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Oli\Documents\PhD\Model development\Data\"/>
    </mc:Choice>
  </mc:AlternateContent>
  <xr:revisionPtr revIDLastSave="0" documentId="13_ncr:1_{2E0720B0-0256-412F-A1E3-C61771C06D22}" xr6:coauthVersionLast="45" xr6:coauthVersionMax="45" xr10:uidLastSave="{00000000-0000-0000-0000-000000000000}"/>
  <bookViews>
    <workbookView xWindow="-30" yWindow="0" windowWidth="11570" windowHeight="10000" tabRatio="607" xr2:uid="{5174F2F4-3259-4D90-B57A-C50D0AB18A6A}"/>
  </bookViews>
  <sheets>
    <sheet name="Record info" sheetId="2" r:id="rId1"/>
    <sheet name="Land use" sheetId="4" r:id="rId2"/>
    <sheet name="Reported burning" sheetId="3" r:id="rId3"/>
    <sheet name="Estimated burning" sheetId="10" r:id="rId4"/>
    <sheet name="Fire suppression" sheetId="8" r:id="rId5"/>
    <sheet name="Fire Policy" sheetId="6" r:id="rId6"/>
    <sheet name="IGNORE Lookups" sheetId="11" r:id="rId7"/>
  </sheets>
  <externalReferences>
    <externalReference r:id="rId8"/>
    <externalReference r:id="rId9"/>
    <externalReference r:id="rId10"/>
    <externalReference r:id="rId11"/>
    <externalReference r:id="rId12"/>
  </externalReferences>
  <definedNames>
    <definedName name="_xlnm._FilterDatabase" localSheetId="3" hidden="1">'Estimated burning'!$A$1:$A$3946</definedName>
    <definedName name="_xlnm._FilterDatabase" localSheetId="5" hidden="1">'Fire Policy'!$A$1:$A$775</definedName>
    <definedName name="_xlnm._FilterDatabase" localSheetId="4" hidden="1">'Fire suppression'!$A$1:$A$703</definedName>
    <definedName name="_xlnm._FilterDatabase" localSheetId="1" hidden="1">'Land use'!$A$1:$A$1219</definedName>
    <definedName name="_xlnm._FilterDatabase" localSheetId="0" hidden="1">'Record info'!$A$1:$A$1219</definedName>
    <definedName name="_xlnm._FilterDatabase" localSheetId="2" hidden="1">'Reported burning'!$A$1:$A$2911</definedName>
    <definedName name="_xlnm.Print_Titles" localSheetId="1">'Land use'!$1:$1</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3555" i="3" l="1"/>
  <c r="I1462" i="2"/>
  <c r="J1462" i="2"/>
  <c r="K1462" i="2"/>
  <c r="J1461" i="2"/>
  <c r="I1461" i="2"/>
  <c r="J1460" i="2"/>
  <c r="I1460" i="2"/>
  <c r="K1459" i="2"/>
  <c r="X3550" i="3" s="1"/>
  <c r="V3548" i="3"/>
  <c r="V3547" i="3"/>
  <c r="V3545" i="3"/>
  <c r="V3544" i="3"/>
  <c r="X3545" i="3"/>
  <c r="X3546" i="3"/>
  <c r="X3547" i="3"/>
  <c r="X3548" i="3"/>
  <c r="X3544" i="3"/>
  <c r="T3546" i="3"/>
  <c r="T3548" i="3"/>
  <c r="T3547" i="3"/>
  <c r="T3545" i="3"/>
  <c r="T3544" i="3"/>
  <c r="X3543" i="3"/>
  <c r="T3542" i="3"/>
  <c r="K1456" i="2"/>
  <c r="K1455" i="2"/>
  <c r="V3541" i="3"/>
  <c r="J1455" i="2"/>
  <c r="I1455" i="2"/>
  <c r="J1454" i="2"/>
  <c r="I1454" i="2"/>
  <c r="J1453" i="2"/>
  <c r="I1453" i="2"/>
  <c r="N1443" i="2"/>
  <c r="R1435" i="4"/>
  <c r="N1435" i="4"/>
  <c r="P1435" i="4" s="1"/>
  <c r="O1435" i="4" s="1"/>
  <c r="R1436" i="4"/>
  <c r="N1436" i="4"/>
  <c r="P1436" i="4" s="1"/>
  <c r="O1436" i="4" s="1"/>
  <c r="B3532" i="10"/>
  <c r="B3533" i="10"/>
  <c r="B3534" i="10"/>
  <c r="B3535" i="10"/>
  <c r="A3532" i="10"/>
  <c r="A3533" i="10"/>
  <c r="A3531" i="10"/>
  <c r="A3515" i="10"/>
  <c r="B3515" i="10"/>
  <c r="C3515" i="10"/>
  <c r="D3515" i="10"/>
  <c r="E3515" i="10"/>
  <c r="F3515" i="10"/>
  <c r="G3515" i="10"/>
  <c r="H3515" i="10"/>
  <c r="X3499" i="3"/>
  <c r="X3498" i="3"/>
  <c r="I1436" i="2"/>
  <c r="I1435" i="2"/>
  <c r="X3497" i="3"/>
  <c r="N1418" i="4"/>
  <c r="P1418" i="4" s="1"/>
  <c r="O1418" i="4" s="1"/>
  <c r="R1418" i="4"/>
  <c r="X3490" i="3"/>
  <c r="I1418" i="2"/>
  <c r="T3492" i="3"/>
  <c r="T3491" i="3" s="1"/>
  <c r="X3491" i="3" s="1"/>
  <c r="J3497" i="3" l="1"/>
  <c r="J3498" i="3"/>
  <c r="J3499" i="3"/>
  <c r="X3492" i="3"/>
  <c r="N1417" i="4" s="1"/>
  <c r="E2306" i="10" l="1"/>
  <c r="E2307" i="10"/>
  <c r="E2308" i="10"/>
  <c r="E2309" i="10"/>
  <c r="E2310" i="10"/>
  <c r="E2176" i="10"/>
  <c r="A3324" i="10"/>
  <c r="B3324" i="10"/>
  <c r="C3324" i="10"/>
  <c r="D3324" i="10"/>
  <c r="E3324" i="10"/>
  <c r="F3324" i="10"/>
  <c r="G3324" i="10"/>
  <c r="H3324" i="10"/>
  <c r="V3485" i="3"/>
  <c r="X3485" i="3" s="1"/>
  <c r="V3484" i="3"/>
  <c r="X3484" i="3" s="1"/>
  <c r="V3483" i="3"/>
  <c r="X3483" i="3" s="1"/>
  <c r="V3482" i="3"/>
  <c r="X3482" i="3" s="1"/>
  <c r="V3481" i="3"/>
  <c r="X3481" i="3" s="1"/>
  <c r="T3481" i="3" s="1"/>
  <c r="V3480" i="3"/>
  <c r="X3480" i="3" s="1"/>
  <c r="V3479" i="3"/>
  <c r="X3479" i="3" s="1"/>
  <c r="T3479" i="3" s="1"/>
  <c r="V3478" i="3"/>
  <c r="X3478" i="3" s="1"/>
  <c r="V3477" i="3"/>
  <c r="X3477" i="3" s="1"/>
  <c r="V3476" i="3"/>
  <c r="X3476" i="3" s="1"/>
  <c r="V3475" i="3"/>
  <c r="X3475" i="3" s="1"/>
  <c r="V3474" i="3"/>
  <c r="X3474" i="3" s="1"/>
  <c r="V3473" i="3"/>
  <c r="X3473" i="3" s="1"/>
  <c r="V3472" i="3"/>
  <c r="X3472" i="3" s="1"/>
  <c r="V3471" i="3"/>
  <c r="X3471" i="3" s="1"/>
  <c r="V3470" i="3"/>
  <c r="X3470" i="3" s="1"/>
  <c r="T3470" i="3" s="1"/>
  <c r="V3467" i="3"/>
  <c r="X3467" i="3" s="1"/>
  <c r="V3466" i="3"/>
  <c r="X3466" i="3" s="1"/>
  <c r="V3465" i="3"/>
  <c r="X3465" i="3" s="1"/>
  <c r="V3464" i="3"/>
  <c r="X3464" i="3" s="1"/>
  <c r="V3463" i="3"/>
  <c r="X3463" i="3" s="1"/>
  <c r="V3462" i="3"/>
  <c r="X3462" i="3" s="1"/>
  <c r="V3461" i="3"/>
  <c r="X3461" i="3" s="1"/>
  <c r="V3460" i="3"/>
  <c r="X3460" i="3" s="1"/>
  <c r="V3459" i="3"/>
  <c r="X3459" i="3" s="1"/>
  <c r="V3458" i="3"/>
  <c r="X3458" i="3" s="1"/>
  <c r="T3458" i="3" s="1"/>
  <c r="V3457" i="3"/>
  <c r="V3456" i="3"/>
  <c r="X3456" i="3" s="1"/>
  <c r="T3456" i="3" s="1"/>
  <c r="V3455" i="3"/>
  <c r="V3454" i="3"/>
  <c r="X3454" i="3" s="1"/>
  <c r="V3453" i="3"/>
  <c r="X3453" i="3" s="1"/>
  <c r="V3452" i="3"/>
  <c r="X3452" i="3" s="1"/>
  <c r="V3451" i="3"/>
  <c r="V3450" i="3"/>
  <c r="X3450" i="3" s="1"/>
  <c r="T3450" i="3" s="1"/>
  <c r="X3457" i="3"/>
  <c r="X3455" i="3"/>
  <c r="X3451" i="3"/>
  <c r="V3449" i="3"/>
  <c r="X3449" i="3" s="1"/>
  <c r="V3448" i="3"/>
  <c r="X3448" i="3" s="1"/>
  <c r="V3447" i="3"/>
  <c r="X3447" i="3" s="1"/>
  <c r="V3446" i="3"/>
  <c r="X3446" i="3" s="1"/>
  <c r="T3446" i="3" s="1"/>
  <c r="V3445" i="3"/>
  <c r="X3445" i="3" s="1"/>
  <c r="V3444" i="3"/>
  <c r="X3444" i="3" s="1"/>
  <c r="V3443" i="3"/>
  <c r="X3443" i="3" s="1"/>
  <c r="V3442" i="3"/>
  <c r="X3442" i="3" s="1"/>
  <c r="V3441" i="3"/>
  <c r="X3441" i="3" s="1"/>
  <c r="V3440" i="3"/>
  <c r="X3440" i="3" s="1"/>
  <c r="V3439" i="3"/>
  <c r="X3439" i="3" s="1"/>
  <c r="V3438" i="3"/>
  <c r="X3438" i="3"/>
  <c r="V3437" i="3"/>
  <c r="X3437" i="3" s="1"/>
  <c r="V3436" i="3"/>
  <c r="X3436" i="3" s="1"/>
  <c r="T3436" i="3" s="1"/>
  <c r="V3435" i="3"/>
  <c r="X3435" i="3" s="1"/>
  <c r="V3434" i="3"/>
  <c r="X3434" i="3" s="1"/>
  <c r="T3434" i="3" s="1"/>
  <c r="V3433" i="3"/>
  <c r="X3433" i="3" s="1"/>
  <c r="V3432" i="3"/>
  <c r="X3432" i="3" s="1"/>
  <c r="V3431" i="3"/>
  <c r="X3431" i="3" s="1"/>
  <c r="V3430" i="3"/>
  <c r="X3430" i="3" s="1"/>
  <c r="V3429" i="3"/>
  <c r="X3429" i="3" s="1"/>
  <c r="V3428" i="3"/>
  <c r="X3428" i="3" s="1"/>
  <c r="T3428" i="3" s="1"/>
  <c r="V3427" i="3"/>
  <c r="X3427" i="3" s="1"/>
  <c r="V3426" i="3"/>
  <c r="X3426" i="3" s="1"/>
  <c r="T3426" i="3" s="1"/>
  <c r="V3425" i="3"/>
  <c r="X3425" i="3" s="1"/>
  <c r="V3424" i="3"/>
  <c r="X3424" i="3" s="1"/>
  <c r="V3423" i="3"/>
  <c r="X3423" i="3" s="1"/>
  <c r="V3422" i="3"/>
  <c r="X3422" i="3" s="1"/>
  <c r="V3421" i="3"/>
  <c r="X3421" i="3" s="1"/>
  <c r="V3420" i="3"/>
  <c r="X3420" i="3" s="1"/>
  <c r="V3419" i="3"/>
  <c r="X3419" i="3" s="1"/>
  <c r="V3416" i="3"/>
  <c r="X3416" i="3" s="1"/>
  <c r="V3415" i="3"/>
  <c r="X3415" i="3" s="1"/>
  <c r="V3414" i="3"/>
  <c r="X3414" i="3" s="1"/>
  <c r="V3413" i="3"/>
  <c r="X3413" i="3" s="1"/>
  <c r="T3413" i="3" s="1"/>
  <c r="V3412" i="3"/>
  <c r="X3412" i="3" s="1"/>
  <c r="T3412" i="3" s="1"/>
  <c r="V3411" i="3"/>
  <c r="X3411" i="3" s="1"/>
  <c r="V3410" i="3"/>
  <c r="X3410" i="3" s="1"/>
  <c r="X3408" i="3"/>
  <c r="T3408" i="3" s="1"/>
  <c r="V3409" i="3"/>
  <c r="X3409" i="3" s="1"/>
  <c r="V3408" i="3"/>
  <c r="V3404" i="3"/>
  <c r="X3404" i="3" s="1"/>
  <c r="V3403" i="3"/>
  <c r="X3403" i="3" s="1"/>
  <c r="T3403" i="3" s="1"/>
  <c r="V3402" i="3"/>
  <c r="X3402" i="3" s="1"/>
  <c r="T3402" i="3" s="1"/>
  <c r="V3401" i="3"/>
  <c r="V3400" i="3"/>
  <c r="X3401" i="3" s="1"/>
  <c r="V3399" i="3"/>
  <c r="X3400" i="3" s="1"/>
  <c r="V3398" i="3"/>
  <c r="V3397" i="3"/>
  <c r="X3398" i="3" s="1"/>
  <c r="V3396" i="3"/>
  <c r="X3397" i="3" s="1"/>
  <c r="T3397" i="3" s="1"/>
  <c r="V3395" i="3"/>
  <c r="X3395" i="3" s="1"/>
  <c r="V3392" i="3"/>
  <c r="X3392" i="3" s="1"/>
  <c r="V3391" i="3"/>
  <c r="X3391" i="3" s="1"/>
  <c r="X3393" i="3"/>
  <c r="X3394" i="3"/>
  <c r="V3390" i="3"/>
  <c r="X3390" i="3" s="1"/>
  <c r="X3399" i="3"/>
  <c r="T3387" i="3"/>
  <c r="V3389" i="3"/>
  <c r="X3389" i="3" s="1"/>
  <c r="T3389" i="3" s="1"/>
  <c r="V3388" i="3"/>
  <c r="X3388" i="3" s="1"/>
  <c r="V3387" i="3"/>
  <c r="V3386" i="3"/>
  <c r="X3386" i="3" s="1"/>
  <c r="V3385" i="3"/>
  <c r="X3385" i="3" s="1"/>
  <c r="V3384" i="3"/>
  <c r="X3384" i="3" s="1"/>
  <c r="V3383" i="3"/>
  <c r="X3383" i="3" s="1"/>
  <c r="V3382" i="3"/>
  <c r="X3382" i="3" s="1"/>
  <c r="V3381" i="3"/>
  <c r="X3381" i="3" s="1"/>
  <c r="V3380" i="3"/>
  <c r="X3380" i="3" s="1"/>
  <c r="V3379" i="3"/>
  <c r="X3379" i="3" s="1"/>
  <c r="X3387" i="3"/>
  <c r="V3378" i="3"/>
  <c r="X3378" i="3" s="1"/>
  <c r="I1414" i="2"/>
  <c r="J1414" i="2"/>
  <c r="J1411" i="2"/>
  <c r="I1411" i="2"/>
  <c r="J1410" i="2"/>
  <c r="I1410" i="2"/>
  <c r="J1409" i="2"/>
  <c r="I1409" i="2"/>
  <c r="J1408" i="2"/>
  <c r="I1408" i="2"/>
  <c r="K1414" i="2"/>
  <c r="K1413" i="2"/>
  <c r="K1412" i="2"/>
  <c r="K1411" i="2"/>
  <c r="K1410" i="2"/>
  <c r="K1409" i="2"/>
  <c r="K1408" i="2"/>
  <c r="K1407" i="2"/>
  <c r="K1406" i="2"/>
  <c r="X3377" i="3"/>
  <c r="T3377" i="3" s="1"/>
  <c r="V3377" i="3"/>
  <c r="S1405" i="4"/>
  <c r="N1404" i="2"/>
  <c r="K1405" i="2"/>
  <c r="K1404" i="2"/>
  <c r="I1402" i="4"/>
  <c r="P1401" i="4"/>
  <c r="O1401" i="4"/>
  <c r="S1401" i="4"/>
  <c r="R1401" i="4"/>
  <c r="K1401" i="2"/>
  <c r="N1401" i="2" s="1"/>
  <c r="T3368" i="3"/>
  <c r="X3368" i="3" s="1"/>
  <c r="T3367" i="3"/>
  <c r="X3367" i="3" s="1"/>
  <c r="J3356" i="3"/>
  <c r="V3356" i="3"/>
  <c r="K1398" i="2"/>
  <c r="H1397" i="4"/>
  <c r="H1396" i="4"/>
  <c r="A3321" i="10"/>
  <c r="B3321" i="10"/>
  <c r="C3321" i="10"/>
  <c r="D3321" i="10"/>
  <c r="E3321" i="10"/>
  <c r="F3321" i="10"/>
  <c r="G3321" i="10"/>
  <c r="H3321" i="10"/>
  <c r="A3322" i="10"/>
  <c r="B3322" i="10"/>
  <c r="C3322" i="10"/>
  <c r="D3322" i="10"/>
  <c r="E3322" i="10"/>
  <c r="F3322" i="10"/>
  <c r="G3322" i="10"/>
  <c r="H3322" i="10"/>
  <c r="N1390" i="4"/>
  <c r="N1390" i="2"/>
  <c r="J1389" i="2"/>
  <c r="I1389" i="2"/>
  <c r="X3396" i="3" l="1"/>
  <c r="T3424" i="3"/>
  <c r="T3437" i="3"/>
  <c r="T3378" i="3"/>
  <c r="T3382" i="3"/>
  <c r="T3388" i="3"/>
  <c r="T3400" i="3"/>
  <c r="T3409" i="3"/>
  <c r="T3414" i="3"/>
  <c r="T3422" i="3"/>
  <c r="T3427" i="3"/>
  <c r="T3435" i="3"/>
  <c r="T3439" i="3"/>
  <c r="T3447" i="3"/>
  <c r="T3457" i="3"/>
  <c r="T3462" i="3"/>
  <c r="T3472" i="3"/>
  <c r="T3474" i="3"/>
  <c r="T3482" i="3"/>
  <c r="T3383" i="3"/>
  <c r="T3391" i="3"/>
  <c r="T3410" i="3"/>
  <c r="T3416" i="3"/>
  <c r="T3429" i="3"/>
  <c r="T3441" i="3"/>
  <c r="T3459" i="3"/>
  <c r="T3464" i="3"/>
  <c r="T3475" i="3"/>
  <c r="T3484" i="3"/>
  <c r="T3415" i="3"/>
  <c r="T3440" i="3"/>
  <c r="T3463" i="3"/>
  <c r="T3473" i="3"/>
  <c r="T3384" i="3"/>
  <c r="T3385" i="3"/>
  <c r="T3379" i="3"/>
  <c r="T3392" i="3"/>
  <c r="T3396" i="3"/>
  <c r="T3411" i="3"/>
  <c r="T3425" i="3"/>
  <c r="T3430" i="3"/>
  <c r="T3445" i="3"/>
  <c r="T3442" i="3"/>
  <c r="T3451" i="3"/>
  <c r="T3460" i="3"/>
  <c r="T3476" i="3"/>
  <c r="T3423" i="3"/>
  <c r="T3381" i="3"/>
  <c r="T3386" i="3"/>
  <c r="T3399" i="3"/>
  <c r="T3395" i="3"/>
  <c r="T3419" i="3"/>
  <c r="T3431" i="3"/>
  <c r="T3438" i="3"/>
  <c r="T3443" i="3"/>
  <c r="T3452" i="3"/>
  <c r="T3453" i="3"/>
  <c r="T3466" i="3"/>
  <c r="T3477" i="3"/>
  <c r="T3478" i="3"/>
  <c r="T3390" i="3"/>
  <c r="T3421" i="3"/>
  <c r="T3432" i="3"/>
  <c r="T3449" i="3"/>
  <c r="T3444" i="3"/>
  <c r="T3455" i="3"/>
  <c r="T3454" i="3"/>
  <c r="T3465" i="3"/>
  <c r="T3467" i="3"/>
  <c r="T3483" i="3"/>
  <c r="T3380" i="3"/>
  <c r="T3401" i="3"/>
  <c r="T3398" i="3"/>
  <c r="T3404" i="3"/>
  <c r="T3420" i="3"/>
  <c r="T3433" i="3"/>
  <c r="T3448" i="3"/>
  <c r="T3461" i="3"/>
  <c r="T3471" i="3"/>
  <c r="T3485" i="3"/>
  <c r="T3480" i="3"/>
  <c r="I1388" i="4"/>
  <c r="H1388" i="4" s="1"/>
  <c r="K1368" i="2"/>
  <c r="K1369" i="2"/>
  <c r="K1370" i="2"/>
  <c r="K1371" i="2"/>
  <c r="K1372" i="2"/>
  <c r="K1373" i="2"/>
  <c r="K1374" i="2"/>
  <c r="K1375" i="2"/>
  <c r="K1377" i="2"/>
  <c r="K1379" i="2"/>
  <c r="K1380" i="2"/>
  <c r="K1381" i="2"/>
  <c r="K1367" i="2"/>
  <c r="J1365" i="2"/>
  <c r="I1365" i="2"/>
  <c r="X3261" i="3"/>
  <c r="X3260" i="3"/>
  <c r="T3255" i="3"/>
  <c r="X3255" i="3" s="1"/>
  <c r="T3254" i="3"/>
  <c r="X3254" i="3" s="1"/>
  <c r="L3253" i="3"/>
  <c r="L3252" i="3"/>
  <c r="O1361" i="4"/>
  <c r="P1361" i="4" s="1"/>
  <c r="J3252" i="3" s="1"/>
  <c r="O3250" i="3"/>
  <c r="M3250" i="3"/>
  <c r="K3250" i="3"/>
  <c r="P1360" i="4"/>
  <c r="K3247" i="3"/>
  <c r="K3246" i="3"/>
  <c r="M3247" i="3"/>
  <c r="M3246" i="3"/>
  <c r="O3247" i="3"/>
  <c r="O3246" i="3"/>
  <c r="N1360" i="2"/>
  <c r="J3245" i="3"/>
  <c r="J3244" i="3"/>
  <c r="J3243" i="3"/>
  <c r="S3245" i="3"/>
  <c r="S3244" i="3"/>
  <c r="S3243" i="3"/>
  <c r="K1359" i="2"/>
  <c r="J1359" i="2"/>
  <c r="I1359" i="2"/>
  <c r="T3242" i="3"/>
  <c r="X3242" i="3" s="1"/>
  <c r="T3241" i="3"/>
  <c r="X3241" i="3" s="1"/>
  <c r="T3240" i="3"/>
  <c r="X3240" i="3" s="1"/>
  <c r="T3239" i="3"/>
  <c r="X3239" i="3" s="1"/>
  <c r="T3238" i="3"/>
  <c r="X3238" i="3" s="1"/>
  <c r="T3237" i="3"/>
  <c r="X3237" i="3" s="1"/>
  <c r="T3236" i="3"/>
  <c r="X3236" i="3" s="1"/>
  <c r="T3235" i="3"/>
  <c r="X3235" i="3" s="1"/>
  <c r="P3242" i="3"/>
  <c r="P3241" i="3"/>
  <c r="P3240" i="3"/>
  <c r="P3239" i="3"/>
  <c r="P3238" i="3"/>
  <c r="P3237" i="3"/>
  <c r="P3236" i="3"/>
  <c r="P3235" i="3"/>
  <c r="J3242" i="3"/>
  <c r="J3241" i="3"/>
  <c r="J3240" i="3"/>
  <c r="J3239" i="3"/>
  <c r="J3238" i="3"/>
  <c r="J3237" i="3"/>
  <c r="J3236" i="3"/>
  <c r="J3235" i="3"/>
  <c r="J1358" i="2"/>
  <c r="I1358" i="2"/>
  <c r="J1357" i="2"/>
  <c r="I1357" i="2"/>
  <c r="J1356" i="4"/>
  <c r="K1356" i="2" s="1"/>
  <c r="S3227" i="3" s="1"/>
  <c r="J1355" i="4"/>
  <c r="K1355" i="2" s="1"/>
  <c r="S3226" i="3" s="1"/>
  <c r="I1354" i="2"/>
  <c r="K1354" i="2"/>
  <c r="S3225" i="3" s="1"/>
  <c r="K1353" i="2"/>
  <c r="S3224" i="3" s="1"/>
  <c r="K1352" i="2"/>
  <c r="S3223" i="3" s="1"/>
  <c r="J1354" i="4"/>
  <c r="J1352" i="4"/>
  <c r="J1353" i="4"/>
  <c r="N1351" i="2"/>
  <c r="U3215" i="3"/>
  <c r="T3215" i="3"/>
  <c r="W3215" i="3" s="1"/>
  <c r="X3201" i="3"/>
  <c r="P1335" i="4"/>
  <c r="J1335" i="2"/>
  <c r="I1335" i="2"/>
  <c r="K1335" i="2"/>
  <c r="A3193" i="10"/>
  <c r="A3194" i="10"/>
  <c r="A3195" i="10"/>
  <c r="K1323" i="2"/>
  <c r="V3184" i="3"/>
  <c r="X3184" i="3" s="1"/>
  <c r="K1320" i="2"/>
  <c r="K1319" i="2"/>
  <c r="K1316" i="2"/>
  <c r="K1315" i="2"/>
  <c r="K1312" i="2"/>
  <c r="K1313" i="2"/>
  <c r="K1309" i="2"/>
  <c r="K1310" i="2"/>
  <c r="K1311" i="2"/>
  <c r="K1308" i="2"/>
  <c r="K1307" i="2"/>
  <c r="K1305" i="2"/>
  <c r="X3161" i="3"/>
  <c r="K1304" i="2"/>
  <c r="V3161" i="3"/>
  <c r="K1303" i="2"/>
  <c r="X3155" i="3"/>
  <c r="X3154" i="3"/>
  <c r="X3153" i="3"/>
  <c r="X3152" i="3"/>
  <c r="X3151" i="3"/>
  <c r="X3148" i="3"/>
  <c r="X3147" i="3"/>
  <c r="X3146" i="3"/>
  <c r="X3145" i="3"/>
  <c r="X3144" i="3"/>
  <c r="X3143" i="3"/>
  <c r="X3141" i="3"/>
  <c r="H1030" i="4"/>
  <c r="W2449" i="3"/>
  <c r="I1024" i="4"/>
  <c r="I1022" i="4"/>
  <c r="A2446" i="10"/>
  <c r="B2446" i="10"/>
  <c r="C2446" i="10"/>
  <c r="D2446" i="10"/>
  <c r="E2446" i="10"/>
  <c r="F2446" i="10"/>
  <c r="G2446" i="10"/>
  <c r="H2446" i="10"/>
  <c r="H2430" i="10"/>
  <c r="H2427" i="10"/>
  <c r="J1012" i="4"/>
  <c r="J1011" i="4"/>
  <c r="J1010" i="4"/>
  <c r="H2414" i="10"/>
  <c r="H2413" i="10"/>
  <c r="J1009" i="4"/>
  <c r="J1008" i="4"/>
  <c r="J1007" i="4"/>
  <c r="J1006" i="4"/>
  <c r="J1005" i="4"/>
  <c r="J1004" i="4"/>
  <c r="A2406" i="10"/>
  <c r="B2406" i="10"/>
  <c r="C2406" i="10"/>
  <c r="D2406" i="10"/>
  <c r="E2406" i="10"/>
  <c r="F2406" i="10"/>
  <c r="G2406" i="10"/>
  <c r="H2406" i="10"/>
  <c r="J1002" i="4"/>
  <c r="J1001" i="4"/>
  <c r="V3122" i="3"/>
  <c r="X3122" i="3" s="1"/>
  <c r="V3121" i="3"/>
  <c r="X3121" i="3" s="1"/>
  <c r="V3124" i="3"/>
  <c r="X3124" i="3" s="1"/>
  <c r="V3123" i="3"/>
  <c r="X3123" i="3" s="1"/>
  <c r="V3120" i="3"/>
  <c r="X3120" i="3" s="1"/>
  <c r="V3119" i="3"/>
  <c r="X3119" i="3" s="1"/>
  <c r="V3118" i="3"/>
  <c r="X3118" i="3" s="1"/>
  <c r="V3117" i="3"/>
  <c r="X3117" i="3" s="1"/>
  <c r="R1291" i="4"/>
  <c r="R1290" i="4"/>
  <c r="Q1289" i="4"/>
  <c r="R1289" i="4"/>
  <c r="R1288" i="4"/>
  <c r="N1293" i="2"/>
  <c r="N1292" i="2"/>
  <c r="K1293" i="2"/>
  <c r="J3128" i="3" s="1"/>
  <c r="K1292" i="2"/>
  <c r="J3126" i="3" s="1"/>
  <c r="J1293" i="2"/>
  <c r="J1292" i="2"/>
  <c r="I1293" i="2"/>
  <c r="I1292" i="2"/>
  <c r="K1287" i="2"/>
  <c r="K1283" i="2"/>
  <c r="P3062" i="3"/>
  <c r="P3061" i="3"/>
  <c r="P3060" i="3"/>
  <c r="P3059" i="3"/>
  <c r="J3062" i="3"/>
  <c r="J3061" i="3"/>
  <c r="J3060" i="3"/>
  <c r="J3059" i="3"/>
  <c r="K1281" i="2"/>
  <c r="K1280" i="2"/>
  <c r="K1279" i="2"/>
  <c r="K1278" i="2"/>
  <c r="X3054" i="3"/>
  <c r="X3053" i="3"/>
  <c r="X3052" i="3"/>
  <c r="X3051" i="3"/>
  <c r="X3050" i="3"/>
  <c r="X3049" i="3"/>
  <c r="X3048" i="3"/>
  <c r="K1277" i="2"/>
  <c r="K1276" i="2"/>
  <c r="K1275" i="2"/>
  <c r="K1274" i="2"/>
  <c r="K1273" i="2"/>
  <c r="K1272" i="2"/>
  <c r="K1271" i="2"/>
  <c r="X3039" i="3"/>
  <c r="P3039" i="3"/>
  <c r="J2994" i="3"/>
  <c r="J2993" i="3"/>
  <c r="J2992" i="3"/>
  <c r="J2991" i="3"/>
  <c r="K1266" i="2"/>
  <c r="R1266" i="4" s="1"/>
  <c r="K1265" i="2"/>
  <c r="R1265" i="4" s="1"/>
  <c r="K1264" i="2"/>
  <c r="R1264" i="4" s="1"/>
  <c r="K1263" i="2"/>
  <c r="R1263" i="4" s="1"/>
  <c r="T3201" i="3" l="1"/>
  <c r="J3253" i="3"/>
  <c r="J3127" i="3"/>
  <c r="J3125" i="3"/>
  <c r="K1262" i="2" l="1"/>
  <c r="J1262" i="2"/>
  <c r="I1262" i="2"/>
  <c r="J1261" i="2"/>
  <c r="I1261" i="2"/>
  <c r="O1258" i="4"/>
  <c r="H1258" i="4"/>
  <c r="I1257" i="4"/>
  <c r="I1255" i="4"/>
  <c r="K1255" i="2" s="1"/>
  <c r="K1250" i="2"/>
  <c r="K1251" i="2"/>
  <c r="P1249" i="4"/>
  <c r="K1249" i="2"/>
  <c r="N1249" i="2" s="1"/>
  <c r="J2958" i="3"/>
  <c r="X2955" i="3"/>
  <c r="X2953" i="3"/>
  <c r="X2954" i="3"/>
  <c r="X2952" i="3"/>
  <c r="Q1239" i="4"/>
  <c r="R1239" i="4" s="1"/>
  <c r="Q1240" i="4"/>
  <c r="R1240" i="4" s="1"/>
  <c r="Q1241" i="4"/>
  <c r="R1241" i="4" s="1"/>
  <c r="Q1242" i="4"/>
  <c r="R1242" i="4" s="1"/>
  <c r="Q1238" i="4"/>
  <c r="R1238" i="4" s="1"/>
  <c r="R1234" i="4"/>
  <c r="R1235" i="4"/>
  <c r="R1236" i="4"/>
  <c r="R1237" i="4"/>
  <c r="R1233" i="4"/>
  <c r="J1232" i="2"/>
  <c r="I1232" i="2"/>
  <c r="H1231" i="4"/>
  <c r="H1230" i="4"/>
  <c r="H1229" i="4"/>
  <c r="H1228" i="4"/>
  <c r="H1227" i="4"/>
  <c r="H1226" i="4"/>
  <c r="H1225" i="4"/>
  <c r="H1224" i="4"/>
  <c r="A2395" i="10"/>
  <c r="B2395" i="10"/>
  <c r="C2395" i="10"/>
  <c r="D2395" i="10"/>
  <c r="E2395" i="10"/>
  <c r="F2395" i="10"/>
  <c r="G2395" i="10"/>
  <c r="H2395" i="10"/>
  <c r="A2396" i="10"/>
  <c r="B2396" i="10"/>
  <c r="C2396" i="10"/>
  <c r="D2396" i="10"/>
  <c r="E2396" i="10"/>
  <c r="F2396" i="10"/>
  <c r="G2396" i="10"/>
  <c r="H2396" i="10"/>
  <c r="A2397" i="10"/>
  <c r="B2397" i="10"/>
  <c r="C2397" i="10"/>
  <c r="D2397" i="10"/>
  <c r="E2397" i="10"/>
  <c r="F2397" i="10"/>
  <c r="G2397" i="10"/>
  <c r="H2397" i="10"/>
  <c r="A2398" i="10"/>
  <c r="B2398" i="10"/>
  <c r="C2398" i="10"/>
  <c r="D2398" i="10"/>
  <c r="E2398" i="10"/>
  <c r="F2398" i="10"/>
  <c r="G2398" i="10"/>
  <c r="H2398" i="10"/>
  <c r="A2399" i="10"/>
  <c r="B2399" i="10"/>
  <c r="C2399" i="10"/>
  <c r="D2399" i="10"/>
  <c r="E2399" i="10"/>
  <c r="F2399" i="10"/>
  <c r="G2399" i="10"/>
  <c r="H2399" i="10"/>
  <c r="A2400" i="10"/>
  <c r="B2400" i="10"/>
  <c r="C2400" i="10"/>
  <c r="D2400" i="10"/>
  <c r="E2400" i="10"/>
  <c r="F2400" i="10"/>
  <c r="G2400" i="10"/>
  <c r="H2400" i="10"/>
  <c r="J1231" i="2"/>
  <c r="J1230" i="2"/>
  <c r="J1229" i="2"/>
  <c r="J1228" i="2"/>
  <c r="J1227" i="2"/>
  <c r="J1226" i="2"/>
  <c r="J1225" i="2"/>
  <c r="I1231" i="2"/>
  <c r="I1230" i="2"/>
  <c r="I1229" i="2"/>
  <c r="I1228" i="2"/>
  <c r="I1227" i="2"/>
  <c r="I1226" i="2"/>
  <c r="I1225" i="2"/>
  <c r="J1224" i="2"/>
  <c r="I1224" i="2"/>
  <c r="J1221" i="2"/>
  <c r="I1221" i="2"/>
  <c r="A2913" i="10" l="1"/>
  <c r="B2913" i="10"/>
  <c r="C2913" i="10"/>
  <c r="D2913" i="10"/>
  <c r="E2913" i="10"/>
  <c r="F2913" i="10"/>
  <c r="G2913" i="10"/>
  <c r="H2913" i="10"/>
  <c r="A2914" i="10"/>
  <c r="B2914" i="10"/>
  <c r="C2914" i="10"/>
  <c r="D2914" i="10"/>
  <c r="E2914" i="10"/>
  <c r="F2914" i="10"/>
  <c r="G2914" i="10"/>
  <c r="H2914" i="10"/>
  <c r="A2915" i="10"/>
  <c r="B2915" i="10"/>
  <c r="C2915" i="10"/>
  <c r="D2915" i="10"/>
  <c r="E2915" i="10"/>
  <c r="F2915" i="10"/>
  <c r="G2915" i="10"/>
  <c r="H2915" i="10"/>
  <c r="A2916" i="10"/>
  <c r="B2916" i="10"/>
  <c r="C2916" i="10"/>
  <c r="D2916" i="10"/>
  <c r="E2916" i="10"/>
  <c r="F2916" i="10"/>
  <c r="G2916" i="10"/>
  <c r="H2916" i="10"/>
  <c r="A2917" i="10"/>
  <c r="B2917" i="10"/>
  <c r="C2917" i="10"/>
  <c r="D2917" i="10"/>
  <c r="E2917" i="10"/>
  <c r="F2917" i="10"/>
  <c r="G2917" i="10"/>
  <c r="H2917" i="10"/>
  <c r="A2918" i="10"/>
  <c r="B2918" i="10"/>
  <c r="C2918" i="10"/>
  <c r="D2918" i="10"/>
  <c r="E2918" i="10"/>
  <c r="F2918" i="10"/>
  <c r="G2918" i="10"/>
  <c r="H2918" i="10"/>
  <c r="A2919" i="10"/>
  <c r="B2919" i="10"/>
  <c r="C2919" i="10"/>
  <c r="D2919" i="10"/>
  <c r="E2919" i="10"/>
  <c r="F2919" i="10"/>
  <c r="G2919" i="10"/>
  <c r="H2919" i="10"/>
  <c r="A2920" i="10"/>
  <c r="B2920" i="10"/>
  <c r="C2920" i="10"/>
  <c r="D2920" i="10"/>
  <c r="E2920" i="10"/>
  <c r="F2920" i="10"/>
  <c r="G2920" i="10"/>
  <c r="H2920" i="10"/>
  <c r="A2921" i="10"/>
  <c r="B2921" i="10"/>
  <c r="C2921" i="10"/>
  <c r="D2921" i="10"/>
  <c r="E2921" i="10"/>
  <c r="F2921" i="10"/>
  <c r="G2921" i="10"/>
  <c r="H2921" i="10"/>
  <c r="A2922" i="10"/>
  <c r="B2922" i="10"/>
  <c r="C2922" i="10"/>
  <c r="D2922" i="10"/>
  <c r="E2922" i="10"/>
  <c r="F2922" i="10"/>
  <c r="G2922" i="10"/>
  <c r="H2922" i="10"/>
  <c r="A2923" i="10"/>
  <c r="B2923" i="10"/>
  <c r="C2923" i="10"/>
  <c r="D2923" i="10"/>
  <c r="E2923" i="10"/>
  <c r="F2923" i="10"/>
  <c r="G2923" i="10"/>
  <c r="H2923" i="10"/>
  <c r="A2924" i="10"/>
  <c r="B2924" i="10"/>
  <c r="C2924" i="10"/>
  <c r="D2924" i="10"/>
  <c r="E2924" i="10"/>
  <c r="F2924" i="10"/>
  <c r="G2924" i="10"/>
  <c r="H2924" i="10"/>
  <c r="A2925" i="10"/>
  <c r="B2925" i="10"/>
  <c r="C2925" i="10"/>
  <c r="D2925" i="10"/>
  <c r="E2925" i="10"/>
  <c r="F2925" i="10"/>
  <c r="G2925" i="10"/>
  <c r="H2925" i="10"/>
  <c r="A2926" i="10"/>
  <c r="B2926" i="10"/>
  <c r="C2926" i="10"/>
  <c r="D2926" i="10"/>
  <c r="E2926" i="10"/>
  <c r="F2926" i="10"/>
  <c r="G2926" i="10"/>
  <c r="H2926" i="10"/>
  <c r="A2927" i="10"/>
  <c r="B2927" i="10"/>
  <c r="C2927" i="10"/>
  <c r="D2927" i="10"/>
  <c r="E2927" i="10"/>
  <c r="F2927" i="10"/>
  <c r="G2927" i="10"/>
  <c r="H2927" i="10"/>
  <c r="A2928" i="10"/>
  <c r="B2928" i="10"/>
  <c r="C2928" i="10"/>
  <c r="D2928" i="10"/>
  <c r="E2928" i="10"/>
  <c r="F2928" i="10"/>
  <c r="G2928" i="10"/>
  <c r="H2928" i="10"/>
  <c r="A2929" i="10"/>
  <c r="B2929" i="10"/>
  <c r="C2929" i="10"/>
  <c r="D2929" i="10"/>
  <c r="E2929" i="10"/>
  <c r="F2929" i="10"/>
  <c r="G2929" i="10"/>
  <c r="H2929" i="10"/>
  <c r="A2930" i="10"/>
  <c r="B2930" i="10"/>
  <c r="C2930" i="10"/>
  <c r="D2930" i="10"/>
  <c r="E2930" i="10"/>
  <c r="F2930" i="10"/>
  <c r="G2930" i="10"/>
  <c r="H2930" i="10"/>
  <c r="A2931" i="10"/>
  <c r="B2931" i="10"/>
  <c r="C2931" i="10"/>
  <c r="D2931" i="10"/>
  <c r="E2931" i="10"/>
  <c r="F2931" i="10"/>
  <c r="G2931" i="10"/>
  <c r="H2931" i="10"/>
  <c r="A2932" i="10"/>
  <c r="B2932" i="10"/>
  <c r="C2932" i="10"/>
  <c r="D2932" i="10"/>
  <c r="E2932" i="10"/>
  <c r="F2932" i="10"/>
  <c r="G2932" i="10"/>
  <c r="H2932" i="10"/>
  <c r="A2933" i="10"/>
  <c r="B2933" i="10"/>
  <c r="C2933" i="10"/>
  <c r="D2933" i="10"/>
  <c r="E2933" i="10"/>
  <c r="F2933" i="10"/>
  <c r="G2933" i="10"/>
  <c r="H2933" i="10"/>
  <c r="A2934" i="10"/>
  <c r="B2934" i="10"/>
  <c r="C2934" i="10"/>
  <c r="D2934" i="10"/>
  <c r="E2934" i="10"/>
  <c r="F2934" i="10"/>
  <c r="G2934" i="10"/>
  <c r="H2934" i="10"/>
  <c r="A2935" i="10"/>
  <c r="B2935" i="10"/>
  <c r="C2935" i="10"/>
  <c r="D2935" i="10"/>
  <c r="E2935" i="10"/>
  <c r="F2935" i="10"/>
  <c r="G2935" i="10"/>
  <c r="H2935" i="10"/>
  <c r="A2936" i="10"/>
  <c r="B2936" i="10"/>
  <c r="C2936" i="10"/>
  <c r="D2936" i="10"/>
  <c r="E2936" i="10"/>
  <c r="F2936" i="10"/>
  <c r="G2936" i="10"/>
  <c r="H2936" i="10"/>
  <c r="A2937" i="10"/>
  <c r="B2937" i="10"/>
  <c r="C2937" i="10"/>
  <c r="D2937" i="10"/>
  <c r="E2937" i="10"/>
  <c r="F2937" i="10"/>
  <c r="G2937" i="10"/>
  <c r="H2937" i="10"/>
  <c r="A2938" i="10"/>
  <c r="B2938" i="10"/>
  <c r="C2938" i="10"/>
  <c r="D2938" i="10"/>
  <c r="E2938" i="10"/>
  <c r="F2938" i="10"/>
  <c r="G2938" i="10"/>
  <c r="H2938" i="10"/>
  <c r="A2939" i="10"/>
  <c r="B2939" i="10"/>
  <c r="C2939" i="10"/>
  <c r="D2939" i="10"/>
  <c r="E2939" i="10"/>
  <c r="F2939" i="10"/>
  <c r="G2939" i="10"/>
  <c r="H2939" i="10"/>
  <c r="A2940" i="10"/>
  <c r="B2940" i="10"/>
  <c r="C2940" i="10"/>
  <c r="D2940" i="10"/>
  <c r="E2940" i="10"/>
  <c r="F2940" i="10"/>
  <c r="G2940" i="10"/>
  <c r="H2940" i="10"/>
  <c r="A2941" i="10"/>
  <c r="B2941" i="10"/>
  <c r="C2941" i="10"/>
  <c r="D2941" i="10"/>
  <c r="E2941" i="10"/>
  <c r="F2941" i="10"/>
  <c r="G2941" i="10"/>
  <c r="H2941" i="10"/>
  <c r="A2942" i="10"/>
  <c r="B2942" i="10"/>
  <c r="C2942" i="10"/>
  <c r="D2942" i="10"/>
  <c r="E2942" i="10"/>
  <c r="F2942" i="10"/>
  <c r="G2942" i="10"/>
  <c r="H2942" i="10"/>
  <c r="A2943" i="10"/>
  <c r="B2943" i="10"/>
  <c r="C2943" i="10"/>
  <c r="D2943" i="10"/>
  <c r="E2943" i="10"/>
  <c r="F2943" i="10"/>
  <c r="G2943" i="10"/>
  <c r="H2943" i="10"/>
  <c r="A2944" i="10"/>
  <c r="B2944" i="10"/>
  <c r="C2944" i="10"/>
  <c r="D2944" i="10"/>
  <c r="E2944" i="10"/>
  <c r="F2944" i="10"/>
  <c r="G2944" i="10"/>
  <c r="H2944" i="10"/>
  <c r="A2945" i="10"/>
  <c r="B2945" i="10"/>
  <c r="C2945" i="10"/>
  <c r="D2945" i="10"/>
  <c r="E2945" i="10"/>
  <c r="F2945" i="10"/>
  <c r="G2945" i="10"/>
  <c r="H2945" i="10"/>
  <c r="A2946" i="10"/>
  <c r="B2946" i="10"/>
  <c r="C2946" i="10"/>
  <c r="D2946" i="10"/>
  <c r="E2946" i="10"/>
  <c r="F2946" i="10"/>
  <c r="G2946" i="10"/>
  <c r="H2946" i="10"/>
  <c r="A2947" i="10"/>
  <c r="B2947" i="10"/>
  <c r="C2947" i="10"/>
  <c r="D2947" i="10"/>
  <c r="E2947" i="10"/>
  <c r="F2947" i="10"/>
  <c r="G2947" i="10"/>
  <c r="H2947" i="10"/>
  <c r="A2948" i="10"/>
  <c r="B2948" i="10"/>
  <c r="C2948" i="10"/>
  <c r="D2948" i="10"/>
  <c r="E2948" i="10"/>
  <c r="F2948" i="10"/>
  <c r="G2948" i="10"/>
  <c r="H2948" i="10"/>
  <c r="A2949" i="10"/>
  <c r="B2949" i="10"/>
  <c r="C2949" i="10"/>
  <c r="D2949" i="10"/>
  <c r="E2949" i="10"/>
  <c r="F2949" i="10"/>
  <c r="G2949" i="10"/>
  <c r="H2949" i="10"/>
  <c r="A2950" i="10"/>
  <c r="B2950" i="10"/>
  <c r="C2950" i="10"/>
  <c r="D2950" i="10"/>
  <c r="E2950" i="10"/>
  <c r="F2950" i="10"/>
  <c r="G2950" i="10"/>
  <c r="H2950" i="10"/>
  <c r="A2951" i="10"/>
  <c r="B2951" i="10"/>
  <c r="C2951" i="10"/>
  <c r="D2951" i="10"/>
  <c r="E2951" i="10"/>
  <c r="F2951" i="10"/>
  <c r="G2951" i="10"/>
  <c r="H2951" i="10"/>
  <c r="A2952" i="10"/>
  <c r="B2952" i="10"/>
  <c r="C2952" i="10"/>
  <c r="D2952" i="10"/>
  <c r="E2952" i="10"/>
  <c r="F2952" i="10"/>
  <c r="G2952" i="10"/>
  <c r="H2952" i="10"/>
  <c r="A2953" i="10"/>
  <c r="B2953" i="10"/>
  <c r="C2953" i="10"/>
  <c r="D2953" i="10"/>
  <c r="E2953" i="10"/>
  <c r="F2953" i="10"/>
  <c r="G2953" i="10"/>
  <c r="H2953" i="10"/>
  <c r="A2954" i="10"/>
  <c r="B2954" i="10"/>
  <c r="C2954" i="10"/>
  <c r="D2954" i="10"/>
  <c r="E2954" i="10"/>
  <c r="F2954" i="10"/>
  <c r="G2954" i="10"/>
  <c r="H2954" i="10"/>
  <c r="A2955" i="10"/>
  <c r="B2955" i="10"/>
  <c r="C2955" i="10"/>
  <c r="D2955" i="10"/>
  <c r="E2955" i="10"/>
  <c r="F2955" i="10"/>
  <c r="G2955" i="10"/>
  <c r="H2955" i="10"/>
  <c r="A2956" i="10"/>
  <c r="B2956" i="10"/>
  <c r="C2956" i="10"/>
  <c r="D2956" i="10"/>
  <c r="E2956" i="10"/>
  <c r="F2956" i="10"/>
  <c r="G2956" i="10"/>
  <c r="H2956" i="10"/>
  <c r="A2957" i="10"/>
  <c r="B2957" i="10"/>
  <c r="C2957" i="10"/>
  <c r="D2957" i="10"/>
  <c r="E2957" i="10"/>
  <c r="F2957" i="10"/>
  <c r="G2957" i="10"/>
  <c r="H2957" i="10"/>
  <c r="A2958" i="10"/>
  <c r="B2958" i="10"/>
  <c r="C2958" i="10"/>
  <c r="D2958" i="10"/>
  <c r="E2958" i="10"/>
  <c r="F2958" i="10"/>
  <c r="G2958" i="10"/>
  <c r="H2958" i="10"/>
  <c r="A2959" i="10"/>
  <c r="B2959" i="10"/>
  <c r="C2959" i="10"/>
  <c r="D2959" i="10"/>
  <c r="E2959" i="10"/>
  <c r="F2959" i="10"/>
  <c r="G2959" i="10"/>
  <c r="H2959" i="10"/>
  <c r="A2960" i="10"/>
  <c r="B2960" i="10"/>
  <c r="C2960" i="10"/>
  <c r="D2960" i="10"/>
  <c r="E2960" i="10"/>
  <c r="F2960" i="10"/>
  <c r="G2960" i="10"/>
  <c r="H2960" i="10"/>
  <c r="A2961" i="10"/>
  <c r="B2961" i="10"/>
  <c r="C2961" i="10"/>
  <c r="D2961" i="10"/>
  <c r="E2961" i="10"/>
  <c r="F2961" i="10"/>
  <c r="G2961" i="10"/>
  <c r="H2961" i="10"/>
  <c r="A2962" i="10"/>
  <c r="B2962" i="10"/>
  <c r="C2962" i="10"/>
  <c r="D2962" i="10"/>
  <c r="E2962" i="10"/>
  <c r="F2962" i="10"/>
  <c r="G2962" i="10"/>
  <c r="H2962" i="10"/>
  <c r="A2963" i="10"/>
  <c r="B2963" i="10"/>
  <c r="C2963" i="10"/>
  <c r="D2963" i="10"/>
  <c r="E2963" i="10"/>
  <c r="F2963" i="10"/>
  <c r="G2963" i="10"/>
  <c r="H2963" i="10"/>
  <c r="A2964" i="10"/>
  <c r="B2964" i="10"/>
  <c r="C2964" i="10"/>
  <c r="D2964" i="10"/>
  <c r="E2964" i="10"/>
  <c r="F2964" i="10"/>
  <c r="G2964" i="10"/>
  <c r="H2964" i="10"/>
  <c r="A2965" i="10"/>
  <c r="B2965" i="10"/>
  <c r="C2965" i="10"/>
  <c r="D2965" i="10"/>
  <c r="E2965" i="10"/>
  <c r="F2965" i="10"/>
  <c r="G2965" i="10"/>
  <c r="H2965" i="10"/>
  <c r="A2966" i="10"/>
  <c r="B2966" i="10"/>
  <c r="C2966" i="10"/>
  <c r="D2966" i="10"/>
  <c r="E2966" i="10"/>
  <c r="F2966" i="10"/>
  <c r="G2966" i="10"/>
  <c r="H2966" i="10"/>
  <c r="A2967" i="10"/>
  <c r="B2967" i="10"/>
  <c r="C2967" i="10"/>
  <c r="D2967" i="10"/>
  <c r="E2967" i="10"/>
  <c r="F2967" i="10"/>
  <c r="G2967" i="10"/>
  <c r="H2967" i="10"/>
  <c r="A2968" i="10"/>
  <c r="B2968" i="10"/>
  <c r="C2968" i="10"/>
  <c r="D2968" i="10"/>
  <c r="E2968" i="10"/>
  <c r="F2968" i="10"/>
  <c r="G2968" i="10"/>
  <c r="H2968" i="10"/>
  <c r="A2969" i="10"/>
  <c r="B2969" i="10"/>
  <c r="C2969" i="10"/>
  <c r="D2969" i="10"/>
  <c r="E2969" i="10"/>
  <c r="F2969" i="10"/>
  <c r="G2969" i="10"/>
  <c r="H2969" i="10"/>
  <c r="A2970" i="10"/>
  <c r="B2970" i="10"/>
  <c r="C2970" i="10"/>
  <c r="D2970" i="10"/>
  <c r="E2970" i="10"/>
  <c r="F2970" i="10"/>
  <c r="G2970" i="10"/>
  <c r="H2970" i="10"/>
  <c r="A2971" i="10"/>
  <c r="B2971" i="10"/>
  <c r="C2971" i="10"/>
  <c r="D2971" i="10"/>
  <c r="E2971" i="10"/>
  <c r="F2971" i="10"/>
  <c r="G2971" i="10"/>
  <c r="H2971" i="10"/>
  <c r="A2972" i="10"/>
  <c r="B2972" i="10"/>
  <c r="C2972" i="10"/>
  <c r="D2972" i="10"/>
  <c r="E2972" i="10"/>
  <c r="F2972" i="10"/>
  <c r="G2972" i="10"/>
  <c r="H2972" i="10"/>
  <c r="A2973" i="10"/>
  <c r="B2973" i="10"/>
  <c r="C2973" i="10"/>
  <c r="D2973" i="10"/>
  <c r="E2973" i="10"/>
  <c r="F2973" i="10"/>
  <c r="G2973" i="10"/>
  <c r="H2973" i="10"/>
  <c r="A2974" i="10"/>
  <c r="B2974" i="10"/>
  <c r="C2974" i="10"/>
  <c r="D2974" i="10"/>
  <c r="E2974" i="10"/>
  <c r="F2974" i="10"/>
  <c r="G2974" i="10"/>
  <c r="H2974" i="10"/>
  <c r="A2975" i="10"/>
  <c r="B2975" i="10"/>
  <c r="C2975" i="10"/>
  <c r="D2975" i="10"/>
  <c r="E2975" i="10"/>
  <c r="F2975" i="10"/>
  <c r="G2975" i="10"/>
  <c r="H2975" i="10"/>
  <c r="A2976" i="10"/>
  <c r="B2976" i="10"/>
  <c r="C2976" i="10"/>
  <c r="D2976" i="10"/>
  <c r="E2976" i="10"/>
  <c r="F2976" i="10"/>
  <c r="G2976" i="10"/>
  <c r="H2976" i="10"/>
  <c r="A2977" i="10"/>
  <c r="B2977" i="10"/>
  <c r="C2977" i="10"/>
  <c r="D2977" i="10"/>
  <c r="E2977" i="10"/>
  <c r="F2977" i="10"/>
  <c r="G2977" i="10"/>
  <c r="H2977" i="10"/>
  <c r="A2978" i="10"/>
  <c r="B2978" i="10"/>
  <c r="C2978" i="10"/>
  <c r="D2978" i="10"/>
  <c r="E2978" i="10"/>
  <c r="F2978" i="10"/>
  <c r="G2978" i="10"/>
  <c r="H2978" i="10"/>
  <c r="A2979" i="10"/>
  <c r="B2979" i="10"/>
  <c r="C2979" i="10"/>
  <c r="D2979" i="10"/>
  <c r="E2979" i="10"/>
  <c r="F2979" i="10"/>
  <c r="G2979" i="10"/>
  <c r="H2979" i="10"/>
  <c r="A2980" i="10"/>
  <c r="B2980" i="10"/>
  <c r="C2980" i="10"/>
  <c r="D2980" i="10"/>
  <c r="E2980" i="10"/>
  <c r="F2980" i="10"/>
  <c r="G2980" i="10"/>
  <c r="H2980" i="10"/>
  <c r="A2981" i="10"/>
  <c r="B2981" i="10"/>
  <c r="C2981" i="10"/>
  <c r="D2981" i="10"/>
  <c r="E2981" i="10"/>
  <c r="F2981" i="10"/>
  <c r="G2981" i="10"/>
  <c r="H2981" i="10"/>
  <c r="A2982" i="10"/>
  <c r="B2982" i="10"/>
  <c r="C2982" i="10"/>
  <c r="D2982" i="10"/>
  <c r="E2982" i="10"/>
  <c r="F2982" i="10"/>
  <c r="G2982" i="10"/>
  <c r="H2982" i="10"/>
  <c r="A2983" i="10"/>
  <c r="B2983" i="10"/>
  <c r="C2983" i="10"/>
  <c r="D2983" i="10"/>
  <c r="E2983" i="10"/>
  <c r="F2983" i="10"/>
  <c r="G2983" i="10"/>
  <c r="H2983" i="10"/>
  <c r="A2984" i="10"/>
  <c r="B2984" i="10"/>
  <c r="C2984" i="10"/>
  <c r="D2984" i="10"/>
  <c r="E2984" i="10"/>
  <c r="F2984" i="10"/>
  <c r="G2984" i="10"/>
  <c r="H2984" i="10"/>
  <c r="A2985" i="10"/>
  <c r="B2985" i="10"/>
  <c r="C2985" i="10"/>
  <c r="D2985" i="10"/>
  <c r="E2985" i="10"/>
  <c r="F2985" i="10"/>
  <c r="G2985" i="10"/>
  <c r="H2985" i="10"/>
  <c r="A2986" i="10"/>
  <c r="B2986" i="10"/>
  <c r="C2986" i="10"/>
  <c r="D2986" i="10"/>
  <c r="E2986" i="10"/>
  <c r="F2986" i="10"/>
  <c r="G2986" i="10"/>
  <c r="H2986" i="10"/>
  <c r="A2987" i="10"/>
  <c r="B2987" i="10"/>
  <c r="C2987" i="10"/>
  <c r="D2987" i="10"/>
  <c r="E2987" i="10"/>
  <c r="F2987" i="10"/>
  <c r="G2987" i="10"/>
  <c r="H2987" i="10"/>
  <c r="A2988" i="10"/>
  <c r="B2988" i="10"/>
  <c r="C2988" i="10"/>
  <c r="D2988" i="10"/>
  <c r="E2988" i="10"/>
  <c r="F2988" i="10"/>
  <c r="G2988" i="10"/>
  <c r="H2988" i="10"/>
  <c r="A2989" i="10"/>
  <c r="B2989" i="10"/>
  <c r="C2989" i="10"/>
  <c r="D2989" i="10"/>
  <c r="E2989" i="10"/>
  <c r="F2989" i="10"/>
  <c r="G2989" i="10"/>
  <c r="H2989" i="10"/>
  <c r="A2990" i="10"/>
  <c r="B2990" i="10"/>
  <c r="C2990" i="10"/>
  <c r="D2990" i="10"/>
  <c r="E2990" i="10"/>
  <c r="F2990" i="10"/>
  <c r="G2990" i="10"/>
  <c r="H2990" i="10"/>
  <c r="A2991" i="10"/>
  <c r="B2991" i="10"/>
  <c r="C2991" i="10"/>
  <c r="D2991" i="10"/>
  <c r="E2991" i="10"/>
  <c r="F2991" i="10"/>
  <c r="G2991" i="10"/>
  <c r="H2991" i="10"/>
  <c r="A2992" i="10"/>
  <c r="B2992" i="10"/>
  <c r="C2992" i="10"/>
  <c r="D2992" i="10"/>
  <c r="E2992" i="10"/>
  <c r="F2992" i="10"/>
  <c r="G2992" i="10"/>
  <c r="H2992" i="10"/>
  <c r="A2993" i="10"/>
  <c r="B2993" i="10"/>
  <c r="C2993" i="10"/>
  <c r="D2993" i="10"/>
  <c r="E2993" i="10"/>
  <c r="F2993" i="10"/>
  <c r="G2993" i="10"/>
  <c r="H2993" i="10"/>
  <c r="A2994" i="10"/>
  <c r="B2994" i="10"/>
  <c r="C2994" i="10"/>
  <c r="D2994" i="10"/>
  <c r="E2994" i="10"/>
  <c r="F2994" i="10"/>
  <c r="G2994" i="10"/>
  <c r="H2994" i="10"/>
  <c r="A2995" i="10"/>
  <c r="B2995" i="10"/>
  <c r="C2995" i="10"/>
  <c r="D2995" i="10"/>
  <c r="E2995" i="10"/>
  <c r="F2995" i="10"/>
  <c r="G2995" i="10"/>
  <c r="H2995" i="10"/>
  <c r="A2996" i="10"/>
  <c r="B2996" i="10"/>
  <c r="C2996" i="10"/>
  <c r="D2996" i="10"/>
  <c r="E2996" i="10"/>
  <c r="F2996" i="10"/>
  <c r="G2996" i="10"/>
  <c r="H2996" i="10"/>
  <c r="A2997" i="10"/>
  <c r="B2997" i="10"/>
  <c r="C2997" i="10"/>
  <c r="D2997" i="10"/>
  <c r="E2997" i="10"/>
  <c r="F2997" i="10"/>
  <c r="G2997" i="10"/>
  <c r="H2997" i="10"/>
  <c r="A2998" i="10"/>
  <c r="B2998" i="10"/>
  <c r="C2998" i="10"/>
  <c r="D2998" i="10"/>
  <c r="E2998" i="10"/>
  <c r="F2998" i="10"/>
  <c r="G2998" i="10"/>
  <c r="H2998" i="10"/>
  <c r="A2999" i="10"/>
  <c r="B2999" i="10"/>
  <c r="C2999" i="10"/>
  <c r="D2999" i="10"/>
  <c r="E2999" i="10"/>
  <c r="F2999" i="10"/>
  <c r="G2999" i="10"/>
  <c r="H2999" i="10"/>
  <c r="A3000" i="10"/>
  <c r="B3000" i="10"/>
  <c r="C3000" i="10"/>
  <c r="D3000" i="10"/>
  <c r="E3000" i="10"/>
  <c r="F3000" i="10"/>
  <c r="G3000" i="10"/>
  <c r="H3000" i="10"/>
  <c r="A3001" i="10"/>
  <c r="B3001" i="10"/>
  <c r="C3001" i="10"/>
  <c r="D3001" i="10"/>
  <c r="E3001" i="10"/>
  <c r="F3001" i="10"/>
  <c r="G3001" i="10"/>
  <c r="H3001" i="10"/>
  <c r="A3002" i="10"/>
  <c r="B3002" i="10"/>
  <c r="C3002" i="10"/>
  <c r="D3002" i="10"/>
  <c r="E3002" i="10"/>
  <c r="F3002" i="10"/>
  <c r="G3002" i="10"/>
  <c r="H3002" i="10"/>
  <c r="A3003" i="10"/>
  <c r="B3003" i="10"/>
  <c r="C3003" i="10"/>
  <c r="D3003" i="10"/>
  <c r="E3003" i="10"/>
  <c r="F3003" i="10"/>
  <c r="G3003" i="10"/>
  <c r="H3003" i="10"/>
  <c r="A3004" i="10"/>
  <c r="B3004" i="10"/>
  <c r="C3004" i="10"/>
  <c r="D3004" i="10"/>
  <c r="E3004" i="10"/>
  <c r="F3004" i="10"/>
  <c r="G3004" i="10"/>
  <c r="H3004" i="10"/>
  <c r="A3005" i="10"/>
  <c r="B3005" i="10"/>
  <c r="C3005" i="10"/>
  <c r="D3005" i="10"/>
  <c r="E3005" i="10"/>
  <c r="F3005" i="10"/>
  <c r="G3005" i="10"/>
  <c r="H3005" i="10"/>
  <c r="A3006" i="10"/>
  <c r="B3006" i="10"/>
  <c r="C3006" i="10"/>
  <c r="D3006" i="10"/>
  <c r="E3006" i="10"/>
  <c r="F3006" i="10"/>
  <c r="G3006" i="10"/>
  <c r="H3006" i="10"/>
  <c r="A3007" i="10"/>
  <c r="B3007" i="10"/>
  <c r="C3007" i="10"/>
  <c r="D3007" i="10"/>
  <c r="E3007" i="10"/>
  <c r="F3007" i="10"/>
  <c r="G3007" i="10"/>
  <c r="H3007" i="10"/>
  <c r="A3008" i="10"/>
  <c r="B3008" i="10"/>
  <c r="C3008" i="10"/>
  <c r="D3008" i="10"/>
  <c r="E3008" i="10"/>
  <c r="F3008" i="10"/>
  <c r="G3008" i="10"/>
  <c r="H3008" i="10"/>
  <c r="A3009" i="10"/>
  <c r="B3009" i="10"/>
  <c r="C3009" i="10"/>
  <c r="D3009" i="10"/>
  <c r="E3009" i="10"/>
  <c r="F3009" i="10"/>
  <c r="G3009" i="10"/>
  <c r="H3009" i="10"/>
  <c r="A3010" i="10"/>
  <c r="B3010" i="10"/>
  <c r="C3010" i="10"/>
  <c r="D3010" i="10"/>
  <c r="E3010" i="10"/>
  <c r="F3010" i="10"/>
  <c r="G3010" i="10"/>
  <c r="H3010" i="10"/>
  <c r="A3011" i="10"/>
  <c r="B3011" i="10"/>
  <c r="C3011" i="10"/>
  <c r="D3011" i="10"/>
  <c r="E3011" i="10"/>
  <c r="F3011" i="10"/>
  <c r="G3011" i="10"/>
  <c r="H3011" i="10"/>
  <c r="A3012" i="10"/>
  <c r="B3012" i="10"/>
  <c r="C3012" i="10"/>
  <c r="D3012" i="10"/>
  <c r="E3012" i="10"/>
  <c r="F3012" i="10"/>
  <c r="G3012" i="10"/>
  <c r="H3012" i="10"/>
  <c r="A3013" i="10"/>
  <c r="B3013" i="10"/>
  <c r="C3013" i="10"/>
  <c r="D3013" i="10"/>
  <c r="E3013" i="10"/>
  <c r="F3013" i="10"/>
  <c r="G3013" i="10"/>
  <c r="H3013" i="10"/>
  <c r="A3014" i="10"/>
  <c r="B3014" i="10"/>
  <c r="C3014" i="10"/>
  <c r="D3014" i="10"/>
  <c r="E3014" i="10"/>
  <c r="F3014" i="10"/>
  <c r="G3014" i="10"/>
  <c r="H3014" i="10"/>
  <c r="A3015" i="10"/>
  <c r="B3015" i="10"/>
  <c r="C3015" i="10"/>
  <c r="D3015" i="10"/>
  <c r="E3015" i="10"/>
  <c r="F3015" i="10"/>
  <c r="G3015" i="10"/>
  <c r="H3015" i="10"/>
  <c r="A3016" i="10"/>
  <c r="B3016" i="10"/>
  <c r="C3016" i="10"/>
  <c r="D3016" i="10"/>
  <c r="E3016" i="10"/>
  <c r="F3016" i="10"/>
  <c r="G3016" i="10"/>
  <c r="H3016" i="10"/>
  <c r="A3017" i="10"/>
  <c r="B3017" i="10"/>
  <c r="C3017" i="10"/>
  <c r="D3017" i="10"/>
  <c r="E3017" i="10"/>
  <c r="F3017" i="10"/>
  <c r="G3017" i="10"/>
  <c r="H3017" i="10"/>
  <c r="A3018" i="10"/>
  <c r="B3018" i="10"/>
  <c r="C3018" i="10"/>
  <c r="D3018" i="10"/>
  <c r="E3018" i="10"/>
  <c r="F3018" i="10"/>
  <c r="G3018" i="10"/>
  <c r="H3018" i="10"/>
  <c r="A3019" i="10"/>
  <c r="B3019" i="10"/>
  <c r="C3019" i="10"/>
  <c r="D3019" i="10"/>
  <c r="E3019" i="10"/>
  <c r="F3019" i="10"/>
  <c r="G3019" i="10"/>
  <c r="H3019" i="10"/>
  <c r="A3020" i="10"/>
  <c r="B3020" i="10"/>
  <c r="C3020" i="10"/>
  <c r="D3020" i="10"/>
  <c r="E3020" i="10"/>
  <c r="F3020" i="10"/>
  <c r="G3020" i="10"/>
  <c r="H3020" i="10"/>
  <c r="A3021" i="10"/>
  <c r="B3021" i="10"/>
  <c r="C3021" i="10"/>
  <c r="D3021" i="10"/>
  <c r="E3021" i="10"/>
  <c r="F3021" i="10"/>
  <c r="G3021" i="10"/>
  <c r="H3021" i="10"/>
  <c r="A3022" i="10"/>
  <c r="B3022" i="10"/>
  <c r="C3022" i="10"/>
  <c r="D3022" i="10"/>
  <c r="E3022" i="10"/>
  <c r="F3022" i="10"/>
  <c r="G3022" i="10"/>
  <c r="H3022" i="10"/>
  <c r="A3023" i="10"/>
  <c r="B3023" i="10"/>
  <c r="C3023" i="10"/>
  <c r="D3023" i="10"/>
  <c r="E3023" i="10"/>
  <c r="F3023" i="10"/>
  <c r="G3023" i="10"/>
  <c r="H3023" i="10"/>
  <c r="A3024" i="10"/>
  <c r="B3024" i="10"/>
  <c r="C3024" i="10"/>
  <c r="D3024" i="10"/>
  <c r="E3024" i="10"/>
  <c r="F3024" i="10"/>
  <c r="G3024" i="10"/>
  <c r="H3024" i="10"/>
  <c r="A3025" i="10"/>
  <c r="B3025" i="10"/>
  <c r="C3025" i="10"/>
  <c r="D3025" i="10"/>
  <c r="E3025" i="10"/>
  <c r="F3025" i="10"/>
  <c r="G3025" i="10"/>
  <c r="H3025" i="10"/>
  <c r="A3026" i="10"/>
  <c r="B3026" i="10"/>
  <c r="C3026" i="10"/>
  <c r="D3026" i="10"/>
  <c r="E3026" i="10"/>
  <c r="F3026" i="10"/>
  <c r="G3026" i="10"/>
  <c r="H3026" i="10"/>
  <c r="A3027" i="10"/>
  <c r="B3027" i="10"/>
  <c r="C3027" i="10"/>
  <c r="D3027" i="10"/>
  <c r="E3027" i="10"/>
  <c r="F3027" i="10"/>
  <c r="G3027" i="10"/>
  <c r="H3027" i="10"/>
  <c r="A3028" i="10"/>
  <c r="B3028" i="10"/>
  <c r="C3028" i="10"/>
  <c r="D3028" i="10"/>
  <c r="E3028" i="10"/>
  <c r="F3028" i="10"/>
  <c r="G3028" i="10"/>
  <c r="H3028" i="10"/>
  <c r="A3029" i="10"/>
  <c r="B3029" i="10"/>
  <c r="C3029" i="10"/>
  <c r="D3029" i="10"/>
  <c r="E3029" i="10"/>
  <c r="F3029" i="10"/>
  <c r="G3029" i="10"/>
  <c r="H3029" i="10"/>
  <c r="A3030" i="10"/>
  <c r="B3030" i="10"/>
  <c r="C3030" i="10"/>
  <c r="D3030" i="10"/>
  <c r="E3030" i="10"/>
  <c r="F3030" i="10"/>
  <c r="G3030" i="10"/>
  <c r="H3030" i="10"/>
  <c r="A3031" i="10"/>
  <c r="B3031" i="10"/>
  <c r="C3031" i="10"/>
  <c r="D3031" i="10"/>
  <c r="E3031" i="10"/>
  <c r="F3031" i="10"/>
  <c r="G3031" i="10"/>
  <c r="H3031" i="10"/>
  <c r="A3032" i="10"/>
  <c r="B3032" i="10"/>
  <c r="C3032" i="10"/>
  <c r="D3032" i="10"/>
  <c r="E3032" i="10"/>
  <c r="F3032" i="10"/>
  <c r="G3032" i="10"/>
  <c r="H3032" i="10"/>
  <c r="A3033" i="10"/>
  <c r="B3033" i="10"/>
  <c r="C3033" i="10"/>
  <c r="D3033" i="10"/>
  <c r="E3033" i="10"/>
  <c r="F3033" i="10"/>
  <c r="G3033" i="10"/>
  <c r="H3033" i="10"/>
  <c r="A3034" i="10"/>
  <c r="B3034" i="10"/>
  <c r="C3034" i="10"/>
  <c r="D3034" i="10"/>
  <c r="E3034" i="10"/>
  <c r="F3034" i="10"/>
  <c r="G3034" i="10"/>
  <c r="H3034" i="10"/>
  <c r="A3035" i="10"/>
  <c r="B3035" i="10"/>
  <c r="C3035" i="10"/>
  <c r="D3035" i="10"/>
  <c r="E3035" i="10"/>
  <c r="F3035" i="10"/>
  <c r="G3035" i="10"/>
  <c r="H3035" i="10"/>
  <c r="A3036" i="10"/>
  <c r="B3036" i="10"/>
  <c r="C3036" i="10"/>
  <c r="D3036" i="10"/>
  <c r="E3036" i="10"/>
  <c r="F3036" i="10"/>
  <c r="G3036" i="10"/>
  <c r="H3036" i="10"/>
  <c r="A3037" i="10"/>
  <c r="B3037" i="10"/>
  <c r="C3037" i="10"/>
  <c r="D3037" i="10"/>
  <c r="E3037" i="10"/>
  <c r="F3037" i="10"/>
  <c r="G3037" i="10"/>
  <c r="H3037" i="10"/>
  <c r="A3038" i="10"/>
  <c r="B3038" i="10"/>
  <c r="C3038" i="10"/>
  <c r="D3038" i="10"/>
  <c r="E3038" i="10"/>
  <c r="F3038" i="10"/>
  <c r="G3038" i="10"/>
  <c r="H3038" i="10"/>
  <c r="A3039" i="10"/>
  <c r="B3039" i="10"/>
  <c r="C3039" i="10"/>
  <c r="D3039" i="10"/>
  <c r="E3039" i="10"/>
  <c r="F3039" i="10"/>
  <c r="G3039" i="10"/>
  <c r="H3039" i="10"/>
  <c r="A3040" i="10"/>
  <c r="B3040" i="10"/>
  <c r="C3040" i="10"/>
  <c r="D3040" i="10"/>
  <c r="E3040" i="10"/>
  <c r="F3040" i="10"/>
  <c r="G3040" i="10"/>
  <c r="H3040" i="10"/>
  <c r="A3041" i="10"/>
  <c r="B3041" i="10"/>
  <c r="C3041" i="10"/>
  <c r="D3041" i="10"/>
  <c r="E3041" i="10"/>
  <c r="F3041" i="10"/>
  <c r="G3041" i="10"/>
  <c r="H3041" i="10"/>
  <c r="A3042" i="10"/>
  <c r="B3042" i="10"/>
  <c r="C3042" i="10"/>
  <c r="D3042" i="10"/>
  <c r="E3042" i="10"/>
  <c r="F3042" i="10"/>
  <c r="G3042" i="10"/>
  <c r="H3042" i="10"/>
  <c r="A3043" i="10"/>
  <c r="B3043" i="10"/>
  <c r="C3043" i="10"/>
  <c r="D3043" i="10"/>
  <c r="E3043" i="10"/>
  <c r="F3043" i="10"/>
  <c r="G3043" i="10"/>
  <c r="H3043" i="10"/>
  <c r="A3044" i="10"/>
  <c r="B3044" i="10"/>
  <c r="C3044" i="10"/>
  <c r="D3044" i="10"/>
  <c r="E3044" i="10"/>
  <c r="F3044" i="10"/>
  <c r="G3044" i="10"/>
  <c r="H3044" i="10"/>
  <c r="A3045" i="10"/>
  <c r="B3045" i="10"/>
  <c r="C3045" i="10"/>
  <c r="D3045" i="10"/>
  <c r="E3045" i="10"/>
  <c r="F3045" i="10"/>
  <c r="G3045" i="10"/>
  <c r="H3045" i="10"/>
  <c r="A3046" i="10"/>
  <c r="B3046" i="10"/>
  <c r="C3046" i="10"/>
  <c r="D3046" i="10"/>
  <c r="E3046" i="10"/>
  <c r="F3046" i="10"/>
  <c r="G3046" i="10"/>
  <c r="H3046" i="10"/>
  <c r="A3047" i="10"/>
  <c r="B3047" i="10"/>
  <c r="C3047" i="10"/>
  <c r="D3047" i="10"/>
  <c r="E3047" i="10"/>
  <c r="F3047" i="10"/>
  <c r="G3047" i="10"/>
  <c r="H3047" i="10"/>
  <c r="A3048" i="10"/>
  <c r="B3048" i="10"/>
  <c r="C3048" i="10"/>
  <c r="D3048" i="10"/>
  <c r="E3048" i="10"/>
  <c r="F3048" i="10"/>
  <c r="G3048" i="10"/>
  <c r="H3048" i="10"/>
  <c r="A3049" i="10"/>
  <c r="B3049" i="10"/>
  <c r="C3049" i="10"/>
  <c r="D3049" i="10"/>
  <c r="E3049" i="10"/>
  <c r="F3049" i="10"/>
  <c r="G3049" i="10"/>
  <c r="H3049" i="10"/>
  <c r="A3050" i="10"/>
  <c r="B3050" i="10"/>
  <c r="C3050" i="10"/>
  <c r="D3050" i="10"/>
  <c r="E3050" i="10"/>
  <c r="F3050" i="10"/>
  <c r="G3050" i="10"/>
  <c r="H3050" i="10"/>
  <c r="A3051" i="10"/>
  <c r="B3051" i="10"/>
  <c r="C3051" i="10"/>
  <c r="D3051" i="10"/>
  <c r="E3051" i="10"/>
  <c r="F3051" i="10"/>
  <c r="G3051" i="10"/>
  <c r="H3051" i="10"/>
  <c r="A3052" i="10"/>
  <c r="B3052" i="10"/>
  <c r="C3052" i="10"/>
  <c r="D3052" i="10"/>
  <c r="E3052" i="10"/>
  <c r="F3052" i="10"/>
  <c r="G3052" i="10"/>
  <c r="H3052" i="10"/>
  <c r="A3053" i="10"/>
  <c r="B3053" i="10"/>
  <c r="C3053" i="10"/>
  <c r="D3053" i="10"/>
  <c r="E3053" i="10"/>
  <c r="F3053" i="10"/>
  <c r="G3053" i="10"/>
  <c r="H3053" i="10"/>
  <c r="A3054" i="10"/>
  <c r="B3054" i="10"/>
  <c r="C3054" i="10"/>
  <c r="D3054" i="10"/>
  <c r="E3054" i="10"/>
  <c r="F3054" i="10"/>
  <c r="G3054" i="10"/>
  <c r="H3054" i="10"/>
  <c r="A3055" i="10"/>
  <c r="B3055" i="10"/>
  <c r="C3055" i="10"/>
  <c r="D3055" i="10"/>
  <c r="E3055" i="10"/>
  <c r="F3055" i="10"/>
  <c r="G3055" i="10"/>
  <c r="H3055" i="10"/>
  <c r="A3056" i="10"/>
  <c r="B3056" i="10"/>
  <c r="C3056" i="10"/>
  <c r="D3056" i="10"/>
  <c r="E3056" i="10"/>
  <c r="F3056" i="10"/>
  <c r="G3056" i="10"/>
  <c r="H3056" i="10"/>
  <c r="A3057" i="10"/>
  <c r="B3057" i="10"/>
  <c r="C3057" i="10"/>
  <c r="D3057" i="10"/>
  <c r="E3057" i="10"/>
  <c r="F3057" i="10"/>
  <c r="G3057" i="10"/>
  <c r="H3057" i="10"/>
  <c r="A3058" i="10"/>
  <c r="B3058" i="10"/>
  <c r="C3058" i="10"/>
  <c r="D3058" i="10"/>
  <c r="E3058" i="10"/>
  <c r="F3058" i="10"/>
  <c r="G3058" i="10"/>
  <c r="H3058" i="10"/>
  <c r="A3059" i="10"/>
  <c r="B3059" i="10"/>
  <c r="C3059" i="10"/>
  <c r="D3059" i="10"/>
  <c r="E3059" i="10"/>
  <c r="F3059" i="10"/>
  <c r="G3059" i="10"/>
  <c r="H3059" i="10"/>
  <c r="A3060" i="10"/>
  <c r="B3060" i="10"/>
  <c r="C3060" i="10"/>
  <c r="D3060" i="10"/>
  <c r="E3060" i="10"/>
  <c r="F3060" i="10"/>
  <c r="G3060" i="10"/>
  <c r="H3060" i="10"/>
  <c r="A3061" i="10"/>
  <c r="B3061" i="10"/>
  <c r="C3061" i="10"/>
  <c r="D3061" i="10"/>
  <c r="E3061" i="10"/>
  <c r="F3061" i="10"/>
  <c r="G3061" i="10"/>
  <c r="H3061" i="10"/>
  <c r="A3062" i="10"/>
  <c r="B3062" i="10"/>
  <c r="C3062" i="10"/>
  <c r="D3062" i="10"/>
  <c r="E3062" i="10"/>
  <c r="F3062" i="10"/>
  <c r="G3062" i="10"/>
  <c r="H3062" i="10"/>
  <c r="A3063" i="10"/>
  <c r="B3063" i="10"/>
  <c r="C3063" i="10"/>
  <c r="D3063" i="10"/>
  <c r="E3063" i="10"/>
  <c r="F3063" i="10"/>
  <c r="G3063" i="10"/>
  <c r="H3063" i="10"/>
  <c r="A3064" i="10"/>
  <c r="B3064" i="10"/>
  <c r="C3064" i="10"/>
  <c r="D3064" i="10"/>
  <c r="E3064" i="10"/>
  <c r="F3064" i="10"/>
  <c r="G3064" i="10"/>
  <c r="H3064" i="10"/>
  <c r="A3065" i="10"/>
  <c r="B3065" i="10"/>
  <c r="C3065" i="10"/>
  <c r="D3065" i="10"/>
  <c r="E3065" i="10"/>
  <c r="F3065" i="10"/>
  <c r="G3065" i="10"/>
  <c r="H3065" i="10"/>
  <c r="A3066" i="10"/>
  <c r="B3066" i="10"/>
  <c r="C3066" i="10"/>
  <c r="D3066" i="10"/>
  <c r="E3066" i="10"/>
  <c r="F3066" i="10"/>
  <c r="G3066" i="10"/>
  <c r="H3066" i="10"/>
  <c r="A3067" i="10"/>
  <c r="B3067" i="10"/>
  <c r="C3067" i="10"/>
  <c r="D3067" i="10"/>
  <c r="E3067" i="10"/>
  <c r="F3067" i="10"/>
  <c r="G3067" i="10"/>
  <c r="H3067" i="10"/>
  <c r="A3068" i="10"/>
  <c r="B3068" i="10"/>
  <c r="C3068" i="10"/>
  <c r="D3068" i="10"/>
  <c r="E3068" i="10"/>
  <c r="F3068" i="10"/>
  <c r="G3068" i="10"/>
  <c r="H3068" i="10"/>
  <c r="A3069" i="10"/>
  <c r="B3069" i="10"/>
  <c r="C3069" i="10"/>
  <c r="D3069" i="10"/>
  <c r="E3069" i="10"/>
  <c r="F3069" i="10"/>
  <c r="G3069" i="10"/>
  <c r="H3069" i="10"/>
  <c r="A3070" i="10"/>
  <c r="B3070" i="10"/>
  <c r="C3070" i="10"/>
  <c r="D3070" i="10"/>
  <c r="E3070" i="10"/>
  <c r="F3070" i="10"/>
  <c r="G3070" i="10"/>
  <c r="H3070" i="10"/>
  <c r="A3071" i="10"/>
  <c r="B3071" i="10"/>
  <c r="C3071" i="10"/>
  <c r="D3071" i="10"/>
  <c r="E3071" i="10"/>
  <c r="F3071" i="10"/>
  <c r="G3071" i="10"/>
  <c r="H3071" i="10"/>
  <c r="A3072" i="10"/>
  <c r="B3072" i="10"/>
  <c r="C3072" i="10"/>
  <c r="D3072" i="10"/>
  <c r="E3072" i="10"/>
  <c r="F3072" i="10"/>
  <c r="G3072" i="10"/>
  <c r="H3072" i="10"/>
  <c r="A3073" i="10"/>
  <c r="B3073" i="10"/>
  <c r="C3073" i="10"/>
  <c r="D3073" i="10"/>
  <c r="E3073" i="10"/>
  <c r="F3073" i="10"/>
  <c r="G3073" i="10"/>
  <c r="H3073" i="10"/>
  <c r="A3074" i="10"/>
  <c r="B3074" i="10"/>
  <c r="C3074" i="10"/>
  <c r="D3074" i="10"/>
  <c r="E3074" i="10"/>
  <c r="F3074" i="10"/>
  <c r="G3074" i="10"/>
  <c r="H3074" i="10"/>
  <c r="A3075" i="10"/>
  <c r="B3075" i="10"/>
  <c r="C3075" i="10"/>
  <c r="D3075" i="10"/>
  <c r="E3075" i="10"/>
  <c r="F3075" i="10"/>
  <c r="G3075" i="10"/>
  <c r="H3075" i="10"/>
  <c r="A3076" i="10"/>
  <c r="B3076" i="10"/>
  <c r="C3076" i="10"/>
  <c r="D3076" i="10"/>
  <c r="E3076" i="10"/>
  <c r="F3076" i="10"/>
  <c r="G3076" i="10"/>
  <c r="H3076" i="10"/>
  <c r="A3077" i="10"/>
  <c r="B3077" i="10"/>
  <c r="C3077" i="10"/>
  <c r="D3077" i="10"/>
  <c r="E3077" i="10"/>
  <c r="F3077" i="10"/>
  <c r="G3077" i="10"/>
  <c r="H3077" i="10"/>
  <c r="A3078" i="10"/>
  <c r="B3078" i="10"/>
  <c r="C3078" i="10"/>
  <c r="D3078" i="10"/>
  <c r="E3078" i="10"/>
  <c r="F3078" i="10"/>
  <c r="G3078" i="10"/>
  <c r="H3078" i="10"/>
  <c r="A3079" i="10"/>
  <c r="B3079" i="10"/>
  <c r="C3079" i="10"/>
  <c r="D3079" i="10"/>
  <c r="E3079" i="10"/>
  <c r="F3079" i="10"/>
  <c r="G3079" i="10"/>
  <c r="H3079" i="10"/>
  <c r="A3080" i="10"/>
  <c r="B3080" i="10"/>
  <c r="C3080" i="10"/>
  <c r="D3080" i="10"/>
  <c r="E3080" i="10"/>
  <c r="F3080" i="10"/>
  <c r="G3080" i="10"/>
  <c r="H3080" i="10"/>
  <c r="A3081" i="10"/>
  <c r="B3081" i="10"/>
  <c r="C3081" i="10"/>
  <c r="D3081" i="10"/>
  <c r="E3081" i="10"/>
  <c r="F3081" i="10"/>
  <c r="G3081" i="10"/>
  <c r="H3081" i="10"/>
  <c r="A3082" i="10"/>
  <c r="B3082" i="10"/>
  <c r="C3082" i="10"/>
  <c r="D3082" i="10"/>
  <c r="E3082" i="10"/>
  <c r="F3082" i="10"/>
  <c r="G3082" i="10"/>
  <c r="H3082" i="10"/>
  <c r="A3083" i="10"/>
  <c r="B3083" i="10"/>
  <c r="C3083" i="10"/>
  <c r="D3083" i="10"/>
  <c r="E3083" i="10"/>
  <c r="F3083" i="10"/>
  <c r="G3083" i="10"/>
  <c r="H3083" i="10"/>
  <c r="A3084" i="10"/>
  <c r="B3084" i="10"/>
  <c r="C3084" i="10"/>
  <c r="D3084" i="10"/>
  <c r="E3084" i="10"/>
  <c r="F3084" i="10"/>
  <c r="G3084" i="10"/>
  <c r="H3084" i="10"/>
  <c r="A3085" i="10"/>
  <c r="B3085" i="10"/>
  <c r="C3085" i="10"/>
  <c r="D3085" i="10"/>
  <c r="E3085" i="10"/>
  <c r="F3085" i="10"/>
  <c r="G3085" i="10"/>
  <c r="H3085" i="10"/>
  <c r="A3086" i="10"/>
  <c r="B3086" i="10"/>
  <c r="C3086" i="10"/>
  <c r="D3086" i="10"/>
  <c r="E3086" i="10"/>
  <c r="F3086" i="10"/>
  <c r="G3086" i="10"/>
  <c r="H3086" i="10"/>
  <c r="A3087" i="10"/>
  <c r="B3087" i="10"/>
  <c r="C3087" i="10"/>
  <c r="D3087" i="10"/>
  <c r="E3087" i="10"/>
  <c r="F3087" i="10"/>
  <c r="G3087" i="10"/>
  <c r="H3087" i="10"/>
  <c r="A3088" i="10"/>
  <c r="B3088" i="10"/>
  <c r="C3088" i="10"/>
  <c r="D3088" i="10"/>
  <c r="E3088" i="10"/>
  <c r="F3088" i="10"/>
  <c r="G3088" i="10"/>
  <c r="H3088" i="10"/>
  <c r="A3089" i="10"/>
  <c r="B3089" i="10"/>
  <c r="C3089" i="10"/>
  <c r="D3089" i="10"/>
  <c r="E3089" i="10"/>
  <c r="F3089" i="10"/>
  <c r="G3089" i="10"/>
  <c r="H3089" i="10"/>
  <c r="A3090" i="10"/>
  <c r="B3090" i="10"/>
  <c r="C3090" i="10"/>
  <c r="D3090" i="10"/>
  <c r="E3090" i="10"/>
  <c r="F3090" i="10"/>
  <c r="G3090" i="10"/>
  <c r="H3090" i="10"/>
  <c r="A3091" i="10"/>
  <c r="B3091" i="10"/>
  <c r="C3091" i="10"/>
  <c r="D3091" i="10"/>
  <c r="E3091" i="10"/>
  <c r="F3091" i="10"/>
  <c r="G3091" i="10"/>
  <c r="H3091" i="10"/>
  <c r="A3092" i="10"/>
  <c r="B3092" i="10"/>
  <c r="C3092" i="10"/>
  <c r="D3092" i="10"/>
  <c r="E3092" i="10"/>
  <c r="F3092" i="10"/>
  <c r="G3092" i="10"/>
  <c r="H3092" i="10"/>
  <c r="A3093" i="10"/>
  <c r="B3093" i="10"/>
  <c r="C3093" i="10"/>
  <c r="D3093" i="10"/>
  <c r="E3093" i="10"/>
  <c r="F3093" i="10"/>
  <c r="G3093" i="10"/>
  <c r="H3093" i="10"/>
  <c r="A3094" i="10"/>
  <c r="B3094" i="10"/>
  <c r="C3094" i="10"/>
  <c r="D3094" i="10"/>
  <c r="E3094" i="10"/>
  <c r="F3094" i="10"/>
  <c r="G3094" i="10"/>
  <c r="H3094" i="10"/>
  <c r="A3095" i="10"/>
  <c r="B3095" i="10"/>
  <c r="C3095" i="10"/>
  <c r="D3095" i="10"/>
  <c r="E3095" i="10"/>
  <c r="F3095" i="10"/>
  <c r="G3095" i="10"/>
  <c r="H3095" i="10"/>
  <c r="A3096" i="10"/>
  <c r="B3096" i="10"/>
  <c r="C3096" i="10"/>
  <c r="D3096" i="10"/>
  <c r="E3096" i="10"/>
  <c r="F3096" i="10"/>
  <c r="G3096" i="10"/>
  <c r="H3096" i="10"/>
  <c r="A3097" i="10"/>
  <c r="B3097" i="10"/>
  <c r="C3097" i="10"/>
  <c r="D3097" i="10"/>
  <c r="E3097" i="10"/>
  <c r="F3097" i="10"/>
  <c r="G3097" i="10"/>
  <c r="H3097" i="10"/>
  <c r="A3098" i="10"/>
  <c r="B3098" i="10"/>
  <c r="C3098" i="10"/>
  <c r="D3098" i="10"/>
  <c r="E3098" i="10"/>
  <c r="F3098" i="10"/>
  <c r="G3098" i="10"/>
  <c r="H3098" i="10"/>
  <c r="A3099" i="10"/>
  <c r="B3099" i="10"/>
  <c r="C3099" i="10"/>
  <c r="D3099" i="10"/>
  <c r="E3099" i="10"/>
  <c r="F3099" i="10"/>
  <c r="G3099" i="10"/>
  <c r="H3099" i="10"/>
  <c r="A3100" i="10"/>
  <c r="B3100" i="10"/>
  <c r="C3100" i="10"/>
  <c r="D3100" i="10"/>
  <c r="E3100" i="10"/>
  <c r="F3100" i="10"/>
  <c r="G3100" i="10"/>
  <c r="H3100" i="10"/>
  <c r="A3101" i="10"/>
  <c r="B3101" i="10"/>
  <c r="C3101" i="10"/>
  <c r="D3101" i="10"/>
  <c r="E3101" i="10"/>
  <c r="F3101" i="10"/>
  <c r="G3101" i="10"/>
  <c r="H3101" i="10"/>
  <c r="A3102" i="10"/>
  <c r="B3102" i="10"/>
  <c r="C3102" i="10"/>
  <c r="D3102" i="10"/>
  <c r="E3102" i="10"/>
  <c r="F3102" i="10"/>
  <c r="G3102" i="10"/>
  <c r="H3102" i="10"/>
  <c r="A3103" i="10"/>
  <c r="B3103" i="10"/>
  <c r="C3103" i="10"/>
  <c r="D3103" i="10"/>
  <c r="E3103" i="10"/>
  <c r="F3103" i="10"/>
  <c r="G3103" i="10"/>
  <c r="H3103" i="10"/>
  <c r="A3104" i="10"/>
  <c r="B3104" i="10"/>
  <c r="C3104" i="10"/>
  <c r="D3104" i="10"/>
  <c r="E3104" i="10"/>
  <c r="F3104" i="10"/>
  <c r="G3104" i="10"/>
  <c r="H3104" i="10"/>
  <c r="A3105" i="10"/>
  <c r="B3105" i="10"/>
  <c r="C3105" i="10"/>
  <c r="D3105" i="10"/>
  <c r="E3105" i="10"/>
  <c r="F3105" i="10"/>
  <c r="G3105" i="10"/>
  <c r="H3105" i="10"/>
  <c r="A3106" i="10"/>
  <c r="B3106" i="10"/>
  <c r="C3106" i="10"/>
  <c r="D3106" i="10"/>
  <c r="E3106" i="10"/>
  <c r="F3106" i="10"/>
  <c r="G3106" i="10"/>
  <c r="H3106" i="10"/>
  <c r="A3107" i="10"/>
  <c r="B3107" i="10"/>
  <c r="C3107" i="10"/>
  <c r="D3107" i="10"/>
  <c r="E3107" i="10"/>
  <c r="F3107" i="10"/>
  <c r="G3107" i="10"/>
  <c r="H3107" i="10"/>
  <c r="A3108" i="10"/>
  <c r="B3108" i="10"/>
  <c r="C3108" i="10"/>
  <c r="D3108" i="10"/>
  <c r="E3108" i="10"/>
  <c r="F3108" i="10"/>
  <c r="G3108" i="10"/>
  <c r="H3108" i="10"/>
  <c r="A3109" i="10"/>
  <c r="B3109" i="10"/>
  <c r="C3109" i="10"/>
  <c r="D3109" i="10"/>
  <c r="E3109" i="10"/>
  <c r="F3109" i="10"/>
  <c r="G3109" i="10"/>
  <c r="H3109" i="10"/>
  <c r="A3110" i="10"/>
  <c r="B3110" i="10"/>
  <c r="C3110" i="10"/>
  <c r="D3110" i="10"/>
  <c r="E3110" i="10"/>
  <c r="F3110" i="10"/>
  <c r="G3110" i="10"/>
  <c r="H3110" i="10"/>
  <c r="A3111" i="10"/>
  <c r="B3111" i="10"/>
  <c r="C3111" i="10"/>
  <c r="D3111" i="10"/>
  <c r="E3111" i="10"/>
  <c r="F3111" i="10"/>
  <c r="G3111" i="10"/>
  <c r="H3111" i="10"/>
  <c r="A3112" i="10"/>
  <c r="B3112" i="10"/>
  <c r="C3112" i="10"/>
  <c r="D3112" i="10"/>
  <c r="E3112" i="10"/>
  <c r="F3112" i="10"/>
  <c r="G3112" i="10"/>
  <c r="H3112" i="10"/>
  <c r="A3113" i="10"/>
  <c r="B3113" i="10"/>
  <c r="C3113" i="10"/>
  <c r="D3113" i="10"/>
  <c r="E3113" i="10"/>
  <c r="F3113" i="10"/>
  <c r="G3113" i="10"/>
  <c r="H3113" i="10"/>
  <c r="A3114" i="10"/>
  <c r="B3114" i="10"/>
  <c r="C3114" i="10"/>
  <c r="D3114" i="10"/>
  <c r="E3114" i="10"/>
  <c r="F3114" i="10"/>
  <c r="G3114" i="10"/>
  <c r="H3114" i="10"/>
  <c r="A3115" i="10"/>
  <c r="B3115" i="10"/>
  <c r="C3115" i="10"/>
  <c r="D3115" i="10"/>
  <c r="E3115" i="10"/>
  <c r="F3115" i="10"/>
  <c r="G3115" i="10"/>
  <c r="H3115" i="10"/>
  <c r="A3116" i="10"/>
  <c r="B3116" i="10"/>
  <c r="C3116" i="10"/>
  <c r="D3116" i="10"/>
  <c r="E3116" i="10"/>
  <c r="F3116" i="10"/>
  <c r="G3116" i="10"/>
  <c r="H3116" i="10"/>
  <c r="A3117" i="10"/>
  <c r="B3117" i="10"/>
  <c r="C3117" i="10"/>
  <c r="D3117" i="10"/>
  <c r="E3117" i="10"/>
  <c r="F3117" i="10"/>
  <c r="G3117" i="10"/>
  <c r="H3117" i="10"/>
  <c r="A3118" i="10"/>
  <c r="B3118" i="10"/>
  <c r="C3118" i="10"/>
  <c r="D3118" i="10"/>
  <c r="E3118" i="10"/>
  <c r="F3118" i="10"/>
  <c r="G3118" i="10"/>
  <c r="H3118" i="10"/>
  <c r="A3119" i="10"/>
  <c r="B3119" i="10"/>
  <c r="C3119" i="10"/>
  <c r="D3119" i="10"/>
  <c r="E3119" i="10"/>
  <c r="F3119" i="10"/>
  <c r="G3119" i="10"/>
  <c r="H3119" i="10"/>
  <c r="A3120" i="10"/>
  <c r="B3120" i="10"/>
  <c r="C3120" i="10"/>
  <c r="D3120" i="10"/>
  <c r="E3120" i="10"/>
  <c r="F3120" i="10"/>
  <c r="G3120" i="10"/>
  <c r="H3120" i="10"/>
  <c r="A3121" i="10"/>
  <c r="B3121" i="10"/>
  <c r="C3121" i="10"/>
  <c r="D3121" i="10"/>
  <c r="E3121" i="10"/>
  <c r="F3121" i="10"/>
  <c r="G3121" i="10"/>
  <c r="H3121" i="10"/>
  <c r="A3122" i="10"/>
  <c r="B3122" i="10"/>
  <c r="C3122" i="10"/>
  <c r="D3122" i="10"/>
  <c r="E3122" i="10"/>
  <c r="F3122" i="10"/>
  <c r="G3122" i="10"/>
  <c r="H3122" i="10"/>
  <c r="A3123" i="10"/>
  <c r="B3123" i="10"/>
  <c r="C3123" i="10"/>
  <c r="D3123" i="10"/>
  <c r="E3123" i="10"/>
  <c r="F3123" i="10"/>
  <c r="G3123" i="10"/>
  <c r="H3123" i="10"/>
  <c r="A3124" i="10"/>
  <c r="B3124" i="10"/>
  <c r="C3124" i="10"/>
  <c r="D3124" i="10"/>
  <c r="E3124" i="10"/>
  <c r="F3124" i="10"/>
  <c r="G3124" i="10"/>
  <c r="H3124" i="10"/>
  <c r="A3125" i="10"/>
  <c r="B3125" i="10"/>
  <c r="C3125" i="10"/>
  <c r="D3125" i="10"/>
  <c r="E3125" i="10"/>
  <c r="F3125" i="10"/>
  <c r="G3125" i="10"/>
  <c r="H3125" i="10"/>
  <c r="A3126" i="10"/>
  <c r="B3126" i="10"/>
  <c r="C3126" i="10"/>
  <c r="D3126" i="10"/>
  <c r="E3126" i="10"/>
  <c r="F3126" i="10"/>
  <c r="G3126" i="10"/>
  <c r="H3126" i="10"/>
  <c r="A3127" i="10"/>
  <c r="B3127" i="10"/>
  <c r="C3127" i="10"/>
  <c r="D3127" i="10"/>
  <c r="E3127" i="10"/>
  <c r="F3127" i="10"/>
  <c r="G3127" i="10"/>
  <c r="H3127" i="10"/>
  <c r="A3128" i="10"/>
  <c r="B3128" i="10"/>
  <c r="C3128" i="10"/>
  <c r="D3128" i="10"/>
  <c r="E3128" i="10"/>
  <c r="F3128" i="10"/>
  <c r="G3128" i="10"/>
  <c r="H3128" i="10"/>
  <c r="A3129" i="10"/>
  <c r="B3129" i="10"/>
  <c r="C3129" i="10"/>
  <c r="D3129" i="10"/>
  <c r="E3129" i="10"/>
  <c r="F3129" i="10"/>
  <c r="G3129" i="10"/>
  <c r="H3129" i="10"/>
  <c r="A3130" i="10"/>
  <c r="B3130" i="10"/>
  <c r="C3130" i="10"/>
  <c r="D3130" i="10"/>
  <c r="E3130" i="10"/>
  <c r="F3130" i="10"/>
  <c r="G3130" i="10"/>
  <c r="H3130" i="10"/>
  <c r="A3131" i="10"/>
  <c r="B3131" i="10"/>
  <c r="C3131" i="10"/>
  <c r="D3131" i="10"/>
  <c r="E3131" i="10"/>
  <c r="F3131" i="10"/>
  <c r="G3131" i="10"/>
  <c r="H3131" i="10"/>
  <c r="A3132" i="10"/>
  <c r="B3132" i="10"/>
  <c r="C3132" i="10"/>
  <c r="D3132" i="10"/>
  <c r="E3132" i="10"/>
  <c r="F3132" i="10"/>
  <c r="G3132" i="10"/>
  <c r="H3132" i="10"/>
  <c r="A3133" i="10"/>
  <c r="B3133" i="10"/>
  <c r="C3133" i="10"/>
  <c r="D3133" i="10"/>
  <c r="E3133" i="10"/>
  <c r="F3133" i="10"/>
  <c r="G3133" i="10"/>
  <c r="H3133" i="10"/>
  <c r="A3134" i="10"/>
  <c r="B3134" i="10"/>
  <c r="C3134" i="10"/>
  <c r="D3134" i="10"/>
  <c r="E3134" i="10"/>
  <c r="F3134" i="10"/>
  <c r="G3134" i="10"/>
  <c r="H3134" i="10"/>
  <c r="A3135" i="10"/>
  <c r="B3135" i="10"/>
  <c r="C3135" i="10"/>
  <c r="D3135" i="10"/>
  <c r="E3135" i="10"/>
  <c r="F3135" i="10"/>
  <c r="G3135" i="10"/>
  <c r="H3135" i="10"/>
  <c r="A3136" i="10"/>
  <c r="B3136" i="10"/>
  <c r="C3136" i="10"/>
  <c r="D3136" i="10"/>
  <c r="E3136" i="10"/>
  <c r="F3136" i="10"/>
  <c r="G3136" i="10"/>
  <c r="H3136" i="10"/>
  <c r="A3137" i="10"/>
  <c r="B3137" i="10"/>
  <c r="C3137" i="10"/>
  <c r="D3137" i="10"/>
  <c r="E3137" i="10"/>
  <c r="F3137" i="10"/>
  <c r="G3137" i="10"/>
  <c r="H3137" i="10"/>
  <c r="A3138" i="10"/>
  <c r="B3138" i="10"/>
  <c r="C3138" i="10"/>
  <c r="D3138" i="10"/>
  <c r="E3138" i="10"/>
  <c r="F3138" i="10"/>
  <c r="G3138" i="10"/>
  <c r="H3138" i="10"/>
  <c r="A3139" i="10"/>
  <c r="B3139" i="10"/>
  <c r="C3139" i="10"/>
  <c r="D3139" i="10"/>
  <c r="E3139" i="10"/>
  <c r="F3139" i="10"/>
  <c r="G3139" i="10"/>
  <c r="H3139" i="10"/>
  <c r="A3140" i="10"/>
  <c r="B3140" i="10"/>
  <c r="C3140" i="10"/>
  <c r="D3140" i="10"/>
  <c r="E3140" i="10"/>
  <c r="F3140" i="10"/>
  <c r="G3140" i="10"/>
  <c r="H3140" i="10"/>
  <c r="A3141" i="10"/>
  <c r="B3141" i="10"/>
  <c r="C3141" i="10"/>
  <c r="D3141" i="10"/>
  <c r="E3141" i="10"/>
  <c r="F3141" i="10"/>
  <c r="G3141" i="10"/>
  <c r="H3141" i="10"/>
  <c r="A3142" i="10"/>
  <c r="B3142" i="10"/>
  <c r="C3142" i="10"/>
  <c r="D3142" i="10"/>
  <c r="E3142" i="10"/>
  <c r="F3142" i="10"/>
  <c r="G3142" i="10"/>
  <c r="H3142" i="10"/>
  <c r="A3143" i="10"/>
  <c r="B3143" i="10"/>
  <c r="C3143" i="10"/>
  <c r="D3143" i="10"/>
  <c r="E3143" i="10"/>
  <c r="F3143" i="10"/>
  <c r="G3143" i="10"/>
  <c r="H3143" i="10"/>
  <c r="A3144" i="10"/>
  <c r="B3144" i="10"/>
  <c r="C3144" i="10"/>
  <c r="D3144" i="10"/>
  <c r="E3144" i="10"/>
  <c r="F3144" i="10"/>
  <c r="G3144" i="10"/>
  <c r="H3144" i="10"/>
  <c r="A3145" i="10"/>
  <c r="B3145" i="10"/>
  <c r="C3145" i="10"/>
  <c r="D3145" i="10"/>
  <c r="E3145" i="10"/>
  <c r="F3145" i="10"/>
  <c r="G3145" i="10"/>
  <c r="H3145" i="10"/>
  <c r="A3146" i="10"/>
  <c r="B3146" i="10"/>
  <c r="C3146" i="10"/>
  <c r="D3146" i="10"/>
  <c r="E3146" i="10"/>
  <c r="F3146" i="10"/>
  <c r="G3146" i="10"/>
  <c r="H3146" i="10"/>
  <c r="A3147" i="10"/>
  <c r="B3147" i="10"/>
  <c r="C3147" i="10"/>
  <c r="D3147" i="10"/>
  <c r="E3147" i="10"/>
  <c r="F3147" i="10"/>
  <c r="G3147" i="10"/>
  <c r="H3147" i="10"/>
  <c r="A3148" i="10"/>
  <c r="B3148" i="10"/>
  <c r="C3148" i="10"/>
  <c r="D3148" i="10"/>
  <c r="E3148" i="10"/>
  <c r="F3148" i="10"/>
  <c r="G3148" i="10"/>
  <c r="H3148" i="10"/>
  <c r="A3149" i="10"/>
  <c r="B3149" i="10"/>
  <c r="C3149" i="10"/>
  <c r="D3149" i="10"/>
  <c r="E3149" i="10"/>
  <c r="F3149" i="10"/>
  <c r="G3149" i="10"/>
  <c r="H3149" i="10"/>
  <c r="A3150" i="10"/>
  <c r="B3150" i="10"/>
  <c r="C3150" i="10"/>
  <c r="D3150" i="10"/>
  <c r="E3150" i="10"/>
  <c r="F3150" i="10"/>
  <c r="G3150" i="10"/>
  <c r="H3150" i="10"/>
  <c r="A3151" i="10"/>
  <c r="B3151" i="10"/>
  <c r="C3151" i="10"/>
  <c r="D3151" i="10"/>
  <c r="E3151" i="10"/>
  <c r="F3151" i="10"/>
  <c r="G3151" i="10"/>
  <c r="H3151" i="10"/>
  <c r="A3152" i="10"/>
  <c r="B3152" i="10"/>
  <c r="C3152" i="10"/>
  <c r="D3152" i="10"/>
  <c r="E3152" i="10"/>
  <c r="F3152" i="10"/>
  <c r="G3152" i="10"/>
  <c r="H3152" i="10"/>
  <c r="A3153" i="10"/>
  <c r="B3153" i="10"/>
  <c r="C3153" i="10"/>
  <c r="D3153" i="10"/>
  <c r="E3153" i="10"/>
  <c r="F3153" i="10"/>
  <c r="G3153" i="10"/>
  <c r="H3153" i="10"/>
  <c r="A3154" i="10"/>
  <c r="B3154" i="10"/>
  <c r="C3154" i="10"/>
  <c r="D3154" i="10"/>
  <c r="E3154" i="10"/>
  <c r="F3154" i="10"/>
  <c r="G3154" i="10"/>
  <c r="H3154" i="10"/>
  <c r="A3155" i="10"/>
  <c r="B3155" i="10"/>
  <c r="C3155" i="10"/>
  <c r="D3155" i="10"/>
  <c r="E3155" i="10"/>
  <c r="F3155" i="10"/>
  <c r="G3155" i="10"/>
  <c r="H3155" i="10"/>
  <c r="A3156" i="10"/>
  <c r="B3156" i="10"/>
  <c r="C3156" i="10"/>
  <c r="D3156" i="10"/>
  <c r="E3156" i="10"/>
  <c r="F3156" i="10"/>
  <c r="G3156" i="10"/>
  <c r="H3156" i="10"/>
  <c r="A3157" i="10"/>
  <c r="B3157" i="10"/>
  <c r="C3157" i="10"/>
  <c r="D3157" i="10"/>
  <c r="E3157" i="10"/>
  <c r="F3157" i="10"/>
  <c r="G3157" i="10"/>
  <c r="H3157" i="10"/>
  <c r="A3158" i="10"/>
  <c r="B3158" i="10"/>
  <c r="C3158" i="10"/>
  <c r="D3158" i="10"/>
  <c r="E3158" i="10"/>
  <c r="F3158" i="10"/>
  <c r="G3158" i="10"/>
  <c r="H3158" i="10"/>
  <c r="A3159" i="10"/>
  <c r="B3159" i="10"/>
  <c r="C3159" i="10"/>
  <c r="D3159" i="10"/>
  <c r="E3159" i="10"/>
  <c r="F3159" i="10"/>
  <c r="G3159" i="10"/>
  <c r="H3159" i="10"/>
  <c r="A3160" i="10"/>
  <c r="B3160" i="10"/>
  <c r="C3160" i="10"/>
  <c r="D3160" i="10"/>
  <c r="E3160" i="10"/>
  <c r="F3160" i="10"/>
  <c r="G3160" i="10"/>
  <c r="H3160" i="10"/>
  <c r="A3161" i="10"/>
  <c r="B3161" i="10"/>
  <c r="C3161" i="10"/>
  <c r="D3161" i="10"/>
  <c r="E3161" i="10"/>
  <c r="F3161" i="10"/>
  <c r="G3161" i="10"/>
  <c r="H3161" i="10"/>
  <c r="A3162" i="10"/>
  <c r="B3162" i="10"/>
  <c r="C3162" i="10"/>
  <c r="D3162" i="10"/>
  <c r="E3162" i="10"/>
  <c r="F3162" i="10"/>
  <c r="G3162" i="10"/>
  <c r="H3162" i="10"/>
  <c r="A3163" i="10"/>
  <c r="B3163" i="10"/>
  <c r="C3163" i="10"/>
  <c r="D3163" i="10"/>
  <c r="E3163" i="10"/>
  <c r="F3163" i="10"/>
  <c r="G3163" i="10"/>
  <c r="H3163" i="10"/>
  <c r="A3164" i="10"/>
  <c r="B3164" i="10"/>
  <c r="C3164" i="10"/>
  <c r="D3164" i="10"/>
  <c r="E3164" i="10"/>
  <c r="F3164" i="10"/>
  <c r="G3164" i="10"/>
  <c r="H3164" i="10"/>
  <c r="A3165" i="10"/>
  <c r="B3165" i="10"/>
  <c r="C3165" i="10"/>
  <c r="D3165" i="10"/>
  <c r="E3165" i="10"/>
  <c r="F3165" i="10"/>
  <c r="G3165" i="10"/>
  <c r="H3165" i="10"/>
  <c r="A3166" i="10"/>
  <c r="B3166" i="10"/>
  <c r="C3166" i="10"/>
  <c r="D3166" i="10"/>
  <c r="E3166" i="10"/>
  <c r="F3166" i="10"/>
  <c r="G3166" i="10"/>
  <c r="H3166" i="10"/>
  <c r="A3167" i="10"/>
  <c r="B3167" i="10"/>
  <c r="C3167" i="10"/>
  <c r="D3167" i="10"/>
  <c r="E3167" i="10"/>
  <c r="F3167" i="10"/>
  <c r="G3167" i="10"/>
  <c r="H3167" i="10"/>
  <c r="A3168" i="10"/>
  <c r="B3168" i="10"/>
  <c r="C3168" i="10"/>
  <c r="D3168" i="10"/>
  <c r="E3168" i="10"/>
  <c r="F3168" i="10"/>
  <c r="G3168" i="10"/>
  <c r="H3168" i="10"/>
  <c r="A3169" i="10"/>
  <c r="B3169" i="10"/>
  <c r="C3169" i="10"/>
  <c r="D3169" i="10"/>
  <c r="E3169" i="10"/>
  <c r="F3169" i="10"/>
  <c r="G3169" i="10"/>
  <c r="H3169" i="10"/>
  <c r="A3170" i="10"/>
  <c r="B3170" i="10"/>
  <c r="C3170" i="10"/>
  <c r="D3170" i="10"/>
  <c r="E3170" i="10"/>
  <c r="F3170" i="10"/>
  <c r="G3170" i="10"/>
  <c r="H3170" i="10"/>
  <c r="A3171" i="10"/>
  <c r="B3171" i="10"/>
  <c r="C3171" i="10"/>
  <c r="D3171" i="10"/>
  <c r="E3171" i="10"/>
  <c r="F3171" i="10"/>
  <c r="G3171" i="10"/>
  <c r="H3171" i="10"/>
  <c r="A3172" i="10"/>
  <c r="B3172" i="10"/>
  <c r="C3172" i="10"/>
  <c r="D3172" i="10"/>
  <c r="E3172" i="10"/>
  <c r="F3172" i="10"/>
  <c r="G3172" i="10"/>
  <c r="H3172" i="10"/>
  <c r="A3173" i="10"/>
  <c r="B3173" i="10"/>
  <c r="C3173" i="10"/>
  <c r="D3173" i="10"/>
  <c r="E3173" i="10"/>
  <c r="F3173" i="10"/>
  <c r="G3173" i="10"/>
  <c r="H3173" i="10"/>
  <c r="A3174" i="10"/>
  <c r="B3174" i="10"/>
  <c r="C3174" i="10"/>
  <c r="D3174" i="10"/>
  <c r="E3174" i="10"/>
  <c r="F3174" i="10"/>
  <c r="G3174" i="10"/>
  <c r="H3174" i="10"/>
  <c r="A3175" i="10"/>
  <c r="B3175" i="10"/>
  <c r="C3175" i="10"/>
  <c r="D3175" i="10"/>
  <c r="E3175" i="10"/>
  <c r="F3175" i="10"/>
  <c r="G3175" i="10"/>
  <c r="H3175" i="10"/>
  <c r="A3176" i="10"/>
  <c r="B3176" i="10"/>
  <c r="C3176" i="10"/>
  <c r="D3176" i="10"/>
  <c r="E3176" i="10"/>
  <c r="F3176" i="10"/>
  <c r="G3176" i="10"/>
  <c r="H3176" i="10"/>
  <c r="A3177" i="10"/>
  <c r="B3177" i="10"/>
  <c r="C3177" i="10"/>
  <c r="D3177" i="10"/>
  <c r="E3177" i="10"/>
  <c r="F3177" i="10"/>
  <c r="G3177" i="10"/>
  <c r="H3177" i="10"/>
  <c r="A3178" i="10"/>
  <c r="B3178" i="10"/>
  <c r="C3178" i="10"/>
  <c r="D3178" i="10"/>
  <c r="E3178" i="10"/>
  <c r="F3178" i="10"/>
  <c r="G3178" i="10"/>
  <c r="H3178" i="10"/>
  <c r="A3179" i="10"/>
  <c r="B3179" i="10"/>
  <c r="C3179" i="10"/>
  <c r="D3179" i="10"/>
  <c r="E3179" i="10"/>
  <c r="F3179" i="10"/>
  <c r="G3179" i="10"/>
  <c r="H3179" i="10"/>
  <c r="A3180" i="10"/>
  <c r="B3180" i="10"/>
  <c r="C3180" i="10"/>
  <c r="D3180" i="10"/>
  <c r="E3180" i="10"/>
  <c r="F3180" i="10"/>
  <c r="G3180" i="10"/>
  <c r="H3180" i="10"/>
  <c r="A3181" i="10"/>
  <c r="B3181" i="10"/>
  <c r="C3181" i="10"/>
  <c r="D3181" i="10"/>
  <c r="E3181" i="10"/>
  <c r="F3181" i="10"/>
  <c r="G3181" i="10"/>
  <c r="H3181" i="10"/>
  <c r="A3182" i="10"/>
  <c r="B3182" i="10"/>
  <c r="C3182" i="10"/>
  <c r="D3182" i="10"/>
  <c r="E3182" i="10"/>
  <c r="F3182" i="10"/>
  <c r="G3182" i="10"/>
  <c r="H3182" i="10"/>
  <c r="A3183" i="10"/>
  <c r="B3183" i="10"/>
  <c r="C3183" i="10"/>
  <c r="D3183" i="10"/>
  <c r="E3183" i="10"/>
  <c r="F3183" i="10"/>
  <c r="G3183" i="10"/>
  <c r="H3183" i="10"/>
  <c r="A3184" i="10"/>
  <c r="B3184" i="10"/>
  <c r="C3184" i="10"/>
  <c r="D3184" i="10"/>
  <c r="E3184" i="10"/>
  <c r="F3184" i="10"/>
  <c r="G3184" i="10"/>
  <c r="H3184" i="10"/>
  <c r="A3185" i="10"/>
  <c r="B3185" i="10"/>
  <c r="C3185" i="10"/>
  <c r="D3185" i="10"/>
  <c r="E3185" i="10"/>
  <c r="F3185" i="10"/>
  <c r="G3185" i="10"/>
  <c r="H3185" i="10"/>
  <c r="A3186" i="10"/>
  <c r="B3186" i="10"/>
  <c r="C3186" i="10"/>
  <c r="D3186" i="10"/>
  <c r="E3186" i="10"/>
  <c r="F3186" i="10"/>
  <c r="G3186" i="10"/>
  <c r="H3186" i="10"/>
  <c r="A3187" i="10"/>
  <c r="B3187" i="10"/>
  <c r="C3187" i="10"/>
  <c r="D3187" i="10"/>
  <c r="E3187" i="10"/>
  <c r="F3187" i="10"/>
  <c r="G3187" i="10"/>
  <c r="H3187" i="10"/>
  <c r="A3188" i="10"/>
  <c r="B3188" i="10"/>
  <c r="C3188" i="10"/>
  <c r="D3188" i="10"/>
  <c r="E3188" i="10"/>
  <c r="F3188" i="10"/>
  <c r="G3188" i="10"/>
  <c r="H3188" i="10"/>
  <c r="A3189" i="10"/>
  <c r="B3189" i="10"/>
  <c r="C3189" i="10"/>
  <c r="D3189" i="10"/>
  <c r="E3189" i="10"/>
  <c r="F3189" i="10"/>
  <c r="G3189" i="10"/>
  <c r="H3189" i="10"/>
  <c r="A3190" i="10"/>
  <c r="B3190" i="10"/>
  <c r="C3190" i="10"/>
  <c r="D3190" i="10"/>
  <c r="E3190" i="10"/>
  <c r="F3190" i="10"/>
  <c r="G3190" i="10"/>
  <c r="H3190" i="10"/>
  <c r="A3191" i="10"/>
  <c r="B3191" i="10"/>
  <c r="C3191" i="10"/>
  <c r="D3191" i="10"/>
  <c r="E3191" i="10"/>
  <c r="F3191" i="10"/>
  <c r="G3191" i="10"/>
  <c r="H3191" i="10"/>
  <c r="A3192" i="10"/>
  <c r="B3192" i="10"/>
  <c r="C3192" i="10"/>
  <c r="D3192" i="10"/>
  <c r="E3192" i="10"/>
  <c r="F3192" i="10"/>
  <c r="G3192" i="10"/>
  <c r="H3192" i="10"/>
  <c r="B3193" i="10"/>
  <c r="C3193" i="10"/>
  <c r="D3193" i="10"/>
  <c r="E3193" i="10"/>
  <c r="F3193" i="10"/>
  <c r="G3193" i="10"/>
  <c r="H3193" i="10"/>
  <c r="B3194" i="10"/>
  <c r="C3194" i="10"/>
  <c r="D3194" i="10"/>
  <c r="E3194" i="10"/>
  <c r="F3194" i="10"/>
  <c r="G3194" i="10"/>
  <c r="H3194" i="10"/>
  <c r="B3195" i="10"/>
  <c r="C3195" i="10"/>
  <c r="D3195" i="10"/>
  <c r="E3195" i="10"/>
  <c r="F3195" i="10"/>
  <c r="G3195" i="10"/>
  <c r="H3195" i="10"/>
  <c r="A3196" i="10"/>
  <c r="B3196" i="10"/>
  <c r="C3196" i="10"/>
  <c r="D3196" i="10"/>
  <c r="E3196" i="10"/>
  <c r="F3196" i="10"/>
  <c r="G3196" i="10"/>
  <c r="H3196" i="10"/>
  <c r="A3197" i="10"/>
  <c r="B3197" i="10"/>
  <c r="C3197" i="10"/>
  <c r="D3197" i="10"/>
  <c r="E3197" i="10"/>
  <c r="F3197" i="10"/>
  <c r="G3197" i="10"/>
  <c r="H3197" i="10"/>
  <c r="A3198" i="10"/>
  <c r="B3198" i="10"/>
  <c r="C3198" i="10"/>
  <c r="D3198" i="10"/>
  <c r="E3198" i="10"/>
  <c r="F3198" i="10"/>
  <c r="G3198" i="10"/>
  <c r="H3198" i="10"/>
  <c r="A3199" i="10"/>
  <c r="B3199" i="10"/>
  <c r="C3199" i="10"/>
  <c r="D3199" i="10"/>
  <c r="E3199" i="10"/>
  <c r="F3199" i="10"/>
  <c r="G3199" i="10"/>
  <c r="H3199" i="10"/>
  <c r="A3200" i="10"/>
  <c r="B3200" i="10"/>
  <c r="C3200" i="10"/>
  <c r="D3200" i="10"/>
  <c r="E3200" i="10"/>
  <c r="F3200" i="10"/>
  <c r="G3200" i="10"/>
  <c r="H3200" i="10"/>
  <c r="A3201" i="10"/>
  <c r="B3201" i="10"/>
  <c r="C3201" i="10"/>
  <c r="D3201" i="10"/>
  <c r="E3201" i="10"/>
  <c r="F3201" i="10"/>
  <c r="G3201" i="10"/>
  <c r="H3201" i="10"/>
  <c r="A3202" i="10"/>
  <c r="B3202" i="10"/>
  <c r="C3202" i="10"/>
  <c r="D3202" i="10"/>
  <c r="E3202" i="10"/>
  <c r="F3202" i="10"/>
  <c r="G3202" i="10"/>
  <c r="H3202" i="10"/>
  <c r="A3203" i="10"/>
  <c r="B3203" i="10"/>
  <c r="C3203" i="10"/>
  <c r="D3203" i="10"/>
  <c r="E3203" i="10"/>
  <c r="F3203" i="10"/>
  <c r="G3203" i="10"/>
  <c r="H3203" i="10"/>
  <c r="A3204" i="10"/>
  <c r="B3204" i="10"/>
  <c r="C3204" i="10"/>
  <c r="D3204" i="10"/>
  <c r="E3204" i="10"/>
  <c r="F3204" i="10"/>
  <c r="G3204" i="10"/>
  <c r="H3204" i="10"/>
  <c r="A3205" i="10"/>
  <c r="B3205" i="10"/>
  <c r="C3205" i="10"/>
  <c r="D3205" i="10"/>
  <c r="E3205" i="10"/>
  <c r="F3205" i="10"/>
  <c r="G3205" i="10"/>
  <c r="H3205" i="10"/>
  <c r="A3206" i="10"/>
  <c r="B3206" i="10"/>
  <c r="C3206" i="10"/>
  <c r="D3206" i="10"/>
  <c r="E3206" i="10"/>
  <c r="F3206" i="10"/>
  <c r="G3206" i="10"/>
  <c r="H3206" i="10"/>
  <c r="A3207" i="10"/>
  <c r="B3207" i="10"/>
  <c r="C3207" i="10"/>
  <c r="D3207" i="10"/>
  <c r="E3207" i="10"/>
  <c r="F3207" i="10"/>
  <c r="G3207" i="10"/>
  <c r="H3207" i="10"/>
  <c r="A3208" i="10"/>
  <c r="B3208" i="10"/>
  <c r="C3208" i="10"/>
  <c r="D3208" i="10"/>
  <c r="E3208" i="10"/>
  <c r="F3208" i="10"/>
  <c r="G3208" i="10"/>
  <c r="H3208" i="10"/>
  <c r="A3209" i="10"/>
  <c r="B3209" i="10"/>
  <c r="C3209" i="10"/>
  <c r="D3209" i="10"/>
  <c r="E3209" i="10"/>
  <c r="F3209" i="10"/>
  <c r="G3209" i="10"/>
  <c r="H3209" i="10"/>
  <c r="A3210" i="10"/>
  <c r="B3210" i="10"/>
  <c r="C3210" i="10"/>
  <c r="D3210" i="10"/>
  <c r="E3210" i="10"/>
  <c r="F3210" i="10"/>
  <c r="G3210" i="10"/>
  <c r="H3210" i="10"/>
  <c r="A3211" i="10"/>
  <c r="B3211" i="10"/>
  <c r="C3211" i="10"/>
  <c r="D3211" i="10"/>
  <c r="E3211" i="10"/>
  <c r="F3211" i="10"/>
  <c r="G3211" i="10"/>
  <c r="H3211" i="10"/>
  <c r="A3212" i="10"/>
  <c r="B3212" i="10"/>
  <c r="C3212" i="10"/>
  <c r="D3212" i="10"/>
  <c r="E3212" i="10"/>
  <c r="F3212" i="10"/>
  <c r="G3212" i="10"/>
  <c r="H3212" i="10"/>
  <c r="A3213" i="10"/>
  <c r="B3213" i="10"/>
  <c r="C3213" i="10"/>
  <c r="D3213" i="10"/>
  <c r="E3213" i="10"/>
  <c r="F3213" i="10"/>
  <c r="G3213" i="10"/>
  <c r="H3213" i="10"/>
  <c r="A3214" i="10"/>
  <c r="B3214" i="10"/>
  <c r="C3214" i="10"/>
  <c r="D3214" i="10"/>
  <c r="E3214" i="10"/>
  <c r="F3214" i="10"/>
  <c r="G3214" i="10"/>
  <c r="H3214" i="10"/>
  <c r="A3215" i="10"/>
  <c r="B3215" i="10"/>
  <c r="C3215" i="10"/>
  <c r="D3215" i="10"/>
  <c r="E3215" i="10"/>
  <c r="F3215" i="10"/>
  <c r="G3215" i="10"/>
  <c r="H3215" i="10"/>
  <c r="A3216" i="10"/>
  <c r="B3216" i="10"/>
  <c r="C3216" i="10"/>
  <c r="D3216" i="10"/>
  <c r="E3216" i="10"/>
  <c r="F3216" i="10"/>
  <c r="G3216" i="10"/>
  <c r="H3216" i="10"/>
  <c r="A3217" i="10"/>
  <c r="B3217" i="10"/>
  <c r="C3217" i="10"/>
  <c r="D3217" i="10"/>
  <c r="E3217" i="10"/>
  <c r="F3217" i="10"/>
  <c r="G3217" i="10"/>
  <c r="H3217" i="10"/>
  <c r="A3218" i="10"/>
  <c r="B3218" i="10"/>
  <c r="C3218" i="10"/>
  <c r="D3218" i="10"/>
  <c r="E3218" i="10"/>
  <c r="F3218" i="10"/>
  <c r="G3218" i="10"/>
  <c r="H3218" i="10"/>
  <c r="A3219" i="10"/>
  <c r="B3219" i="10"/>
  <c r="C3219" i="10"/>
  <c r="D3219" i="10"/>
  <c r="E3219" i="10"/>
  <c r="F3219" i="10"/>
  <c r="G3219" i="10"/>
  <c r="H3219" i="10"/>
  <c r="A3220" i="10"/>
  <c r="B3220" i="10"/>
  <c r="C3220" i="10"/>
  <c r="D3220" i="10"/>
  <c r="E3220" i="10"/>
  <c r="F3220" i="10"/>
  <c r="G3220" i="10"/>
  <c r="H3220" i="10"/>
  <c r="A3221" i="10"/>
  <c r="B3221" i="10"/>
  <c r="C3221" i="10"/>
  <c r="D3221" i="10"/>
  <c r="E3221" i="10"/>
  <c r="F3221" i="10"/>
  <c r="G3221" i="10"/>
  <c r="H3221" i="10"/>
  <c r="A3222" i="10"/>
  <c r="B3222" i="10"/>
  <c r="C3222" i="10"/>
  <c r="D3222" i="10"/>
  <c r="E3222" i="10"/>
  <c r="F3222" i="10"/>
  <c r="G3222" i="10"/>
  <c r="H3222" i="10"/>
  <c r="A3223" i="10"/>
  <c r="B3223" i="10"/>
  <c r="C3223" i="10"/>
  <c r="D3223" i="10"/>
  <c r="E3223" i="10"/>
  <c r="F3223" i="10"/>
  <c r="G3223" i="10"/>
  <c r="H3223" i="10"/>
  <c r="A3224" i="10"/>
  <c r="B3224" i="10"/>
  <c r="C3224" i="10"/>
  <c r="D3224" i="10"/>
  <c r="E3224" i="10"/>
  <c r="F3224" i="10"/>
  <c r="G3224" i="10"/>
  <c r="H3224" i="10"/>
  <c r="A3225" i="10"/>
  <c r="B3225" i="10"/>
  <c r="C3225" i="10"/>
  <c r="D3225" i="10"/>
  <c r="E3225" i="10"/>
  <c r="F3225" i="10"/>
  <c r="G3225" i="10"/>
  <c r="H3225" i="10"/>
  <c r="A3226" i="10"/>
  <c r="B3226" i="10"/>
  <c r="C3226" i="10"/>
  <c r="D3226" i="10"/>
  <c r="E3226" i="10"/>
  <c r="F3226" i="10"/>
  <c r="G3226" i="10"/>
  <c r="H3226" i="10"/>
  <c r="A3227" i="10"/>
  <c r="B3227" i="10"/>
  <c r="C3227" i="10"/>
  <c r="D3227" i="10"/>
  <c r="E3227" i="10"/>
  <c r="F3227" i="10"/>
  <c r="G3227" i="10"/>
  <c r="H3227" i="10"/>
  <c r="A3228" i="10"/>
  <c r="B3228" i="10"/>
  <c r="C3228" i="10"/>
  <c r="D3228" i="10"/>
  <c r="E3228" i="10"/>
  <c r="F3228" i="10"/>
  <c r="G3228" i="10"/>
  <c r="H3228" i="10"/>
  <c r="A3229" i="10"/>
  <c r="B3229" i="10"/>
  <c r="C3229" i="10"/>
  <c r="D3229" i="10"/>
  <c r="E3229" i="10"/>
  <c r="F3229" i="10"/>
  <c r="G3229" i="10"/>
  <c r="H3229" i="10"/>
  <c r="A3230" i="10"/>
  <c r="B3230" i="10"/>
  <c r="C3230" i="10"/>
  <c r="D3230" i="10"/>
  <c r="E3230" i="10"/>
  <c r="F3230" i="10"/>
  <c r="G3230" i="10"/>
  <c r="H3230" i="10"/>
  <c r="A3231" i="10"/>
  <c r="B3231" i="10"/>
  <c r="C3231" i="10"/>
  <c r="D3231" i="10"/>
  <c r="E3231" i="10"/>
  <c r="F3231" i="10"/>
  <c r="G3231" i="10"/>
  <c r="H3231" i="10"/>
  <c r="A3232" i="10"/>
  <c r="B3232" i="10"/>
  <c r="C3232" i="10"/>
  <c r="D3232" i="10"/>
  <c r="E3232" i="10"/>
  <c r="F3232" i="10"/>
  <c r="G3232" i="10"/>
  <c r="H3232" i="10"/>
  <c r="A3233" i="10"/>
  <c r="B3233" i="10"/>
  <c r="C3233" i="10"/>
  <c r="D3233" i="10"/>
  <c r="E3233" i="10"/>
  <c r="F3233" i="10"/>
  <c r="G3233" i="10"/>
  <c r="H3233" i="10"/>
  <c r="A3234" i="10"/>
  <c r="B3234" i="10"/>
  <c r="C3234" i="10"/>
  <c r="D3234" i="10"/>
  <c r="E3234" i="10"/>
  <c r="F3234" i="10"/>
  <c r="G3234" i="10"/>
  <c r="H3234" i="10"/>
  <c r="A3235" i="10"/>
  <c r="B3235" i="10"/>
  <c r="C3235" i="10"/>
  <c r="D3235" i="10"/>
  <c r="E3235" i="10"/>
  <c r="F3235" i="10"/>
  <c r="G3235" i="10"/>
  <c r="H3235" i="10"/>
  <c r="A3236" i="10"/>
  <c r="B3236" i="10"/>
  <c r="C3236" i="10"/>
  <c r="D3236" i="10"/>
  <c r="E3236" i="10"/>
  <c r="F3236" i="10"/>
  <c r="G3236" i="10"/>
  <c r="H3236" i="10"/>
  <c r="A3237" i="10"/>
  <c r="B3237" i="10"/>
  <c r="C3237" i="10"/>
  <c r="D3237" i="10"/>
  <c r="E3237" i="10"/>
  <c r="F3237" i="10"/>
  <c r="G3237" i="10"/>
  <c r="H3237" i="10"/>
  <c r="A3238" i="10"/>
  <c r="B3238" i="10"/>
  <c r="C3238" i="10"/>
  <c r="D3238" i="10"/>
  <c r="E3238" i="10"/>
  <c r="F3238" i="10"/>
  <c r="G3238" i="10"/>
  <c r="H3238" i="10"/>
  <c r="A3239" i="10"/>
  <c r="B3239" i="10"/>
  <c r="C3239" i="10"/>
  <c r="D3239" i="10"/>
  <c r="E3239" i="10"/>
  <c r="F3239" i="10"/>
  <c r="G3239" i="10"/>
  <c r="H3239" i="10"/>
  <c r="A3240" i="10"/>
  <c r="B3240" i="10"/>
  <c r="C3240" i="10"/>
  <c r="D3240" i="10"/>
  <c r="E3240" i="10"/>
  <c r="F3240" i="10"/>
  <c r="G3240" i="10"/>
  <c r="H3240" i="10"/>
  <c r="A3241" i="10"/>
  <c r="B3241" i="10"/>
  <c r="C3241" i="10"/>
  <c r="D3241" i="10"/>
  <c r="E3241" i="10"/>
  <c r="F3241" i="10"/>
  <c r="G3241" i="10"/>
  <c r="H3241" i="10"/>
  <c r="A3242" i="10"/>
  <c r="B3242" i="10"/>
  <c r="C3242" i="10"/>
  <c r="D3242" i="10"/>
  <c r="E3242" i="10"/>
  <c r="F3242" i="10"/>
  <c r="G3242" i="10"/>
  <c r="H3242" i="10"/>
  <c r="A3243" i="10"/>
  <c r="B3243" i="10"/>
  <c r="C3243" i="10"/>
  <c r="D3243" i="10"/>
  <c r="E3243" i="10"/>
  <c r="F3243" i="10"/>
  <c r="G3243" i="10"/>
  <c r="H3243" i="10"/>
  <c r="A3244" i="10"/>
  <c r="B3244" i="10"/>
  <c r="C3244" i="10"/>
  <c r="D3244" i="10"/>
  <c r="E3244" i="10"/>
  <c r="F3244" i="10"/>
  <c r="G3244" i="10"/>
  <c r="H3244" i="10"/>
  <c r="A3245" i="10"/>
  <c r="B3245" i="10"/>
  <c r="C3245" i="10"/>
  <c r="D3245" i="10"/>
  <c r="E3245" i="10"/>
  <c r="F3245" i="10"/>
  <c r="G3245" i="10"/>
  <c r="H3245" i="10"/>
  <c r="A3246" i="10"/>
  <c r="B3246" i="10"/>
  <c r="C3246" i="10"/>
  <c r="D3246" i="10"/>
  <c r="E3246" i="10"/>
  <c r="F3246" i="10"/>
  <c r="G3246" i="10"/>
  <c r="H3246" i="10"/>
  <c r="A3247" i="10"/>
  <c r="B3247" i="10"/>
  <c r="C3247" i="10"/>
  <c r="D3247" i="10"/>
  <c r="E3247" i="10"/>
  <c r="F3247" i="10"/>
  <c r="G3247" i="10"/>
  <c r="H3247" i="10"/>
  <c r="A3248" i="10"/>
  <c r="B3248" i="10"/>
  <c r="C3248" i="10"/>
  <c r="D3248" i="10"/>
  <c r="E3248" i="10"/>
  <c r="F3248" i="10"/>
  <c r="G3248" i="10"/>
  <c r="H3248" i="10"/>
  <c r="A3249" i="10"/>
  <c r="B3249" i="10"/>
  <c r="C3249" i="10"/>
  <c r="D3249" i="10"/>
  <c r="E3249" i="10"/>
  <c r="F3249" i="10"/>
  <c r="G3249" i="10"/>
  <c r="H3249" i="10"/>
  <c r="A3250" i="10"/>
  <c r="B3250" i="10"/>
  <c r="C3250" i="10"/>
  <c r="D3250" i="10"/>
  <c r="E3250" i="10"/>
  <c r="F3250" i="10"/>
  <c r="G3250" i="10"/>
  <c r="H3250" i="10"/>
  <c r="A3251" i="10"/>
  <c r="B3251" i="10"/>
  <c r="C3251" i="10"/>
  <c r="D3251" i="10"/>
  <c r="E3251" i="10"/>
  <c r="F3251" i="10"/>
  <c r="G3251" i="10"/>
  <c r="H3251" i="10"/>
  <c r="A3252" i="10"/>
  <c r="B3252" i="10"/>
  <c r="C3252" i="10"/>
  <c r="D3252" i="10"/>
  <c r="E3252" i="10"/>
  <c r="F3252" i="10"/>
  <c r="G3252" i="10"/>
  <c r="H3252" i="10"/>
  <c r="A3253" i="10"/>
  <c r="B3253" i="10"/>
  <c r="C3253" i="10"/>
  <c r="D3253" i="10"/>
  <c r="E3253" i="10"/>
  <c r="F3253" i="10"/>
  <c r="G3253" i="10"/>
  <c r="H3253" i="10"/>
  <c r="A3254" i="10"/>
  <c r="B3254" i="10"/>
  <c r="C3254" i="10"/>
  <c r="D3254" i="10"/>
  <c r="E3254" i="10"/>
  <c r="F3254" i="10"/>
  <c r="G3254" i="10"/>
  <c r="H3254" i="10"/>
  <c r="A3255" i="10"/>
  <c r="B3255" i="10"/>
  <c r="C3255" i="10"/>
  <c r="D3255" i="10"/>
  <c r="E3255" i="10"/>
  <c r="F3255" i="10"/>
  <c r="G3255" i="10"/>
  <c r="H3255" i="10"/>
  <c r="A3256" i="10"/>
  <c r="B3256" i="10"/>
  <c r="C3256" i="10"/>
  <c r="D3256" i="10"/>
  <c r="E3256" i="10"/>
  <c r="F3256" i="10"/>
  <c r="G3256" i="10"/>
  <c r="H3256" i="10"/>
  <c r="A3257" i="10"/>
  <c r="B3257" i="10"/>
  <c r="C3257" i="10"/>
  <c r="D3257" i="10"/>
  <c r="E3257" i="10"/>
  <c r="F3257" i="10"/>
  <c r="G3257" i="10"/>
  <c r="H3257" i="10"/>
  <c r="A3258" i="10"/>
  <c r="B3258" i="10"/>
  <c r="C3258" i="10"/>
  <c r="D3258" i="10"/>
  <c r="E3258" i="10"/>
  <c r="F3258" i="10"/>
  <c r="G3258" i="10"/>
  <c r="H3258" i="10"/>
  <c r="A3259" i="10"/>
  <c r="B3259" i="10"/>
  <c r="C3259" i="10"/>
  <c r="D3259" i="10"/>
  <c r="E3259" i="10"/>
  <c r="F3259" i="10"/>
  <c r="G3259" i="10"/>
  <c r="H3259" i="10"/>
  <c r="A3260" i="10"/>
  <c r="B3260" i="10"/>
  <c r="C3260" i="10"/>
  <c r="D3260" i="10"/>
  <c r="E3260" i="10"/>
  <c r="F3260" i="10"/>
  <c r="G3260" i="10"/>
  <c r="H3260" i="10"/>
  <c r="A3261" i="10"/>
  <c r="B3261" i="10"/>
  <c r="C3261" i="10"/>
  <c r="D3261" i="10"/>
  <c r="E3261" i="10"/>
  <c r="F3261" i="10"/>
  <c r="G3261" i="10"/>
  <c r="H3261" i="10"/>
  <c r="A3262" i="10"/>
  <c r="B3262" i="10"/>
  <c r="C3262" i="10"/>
  <c r="D3262" i="10"/>
  <c r="E3262" i="10"/>
  <c r="F3262" i="10"/>
  <c r="G3262" i="10"/>
  <c r="H3262" i="10"/>
  <c r="A3263" i="10"/>
  <c r="B3263" i="10"/>
  <c r="C3263" i="10"/>
  <c r="D3263" i="10"/>
  <c r="E3263" i="10"/>
  <c r="F3263" i="10"/>
  <c r="G3263" i="10"/>
  <c r="H3263" i="10"/>
  <c r="A3264" i="10"/>
  <c r="B3264" i="10"/>
  <c r="C3264" i="10"/>
  <c r="D3264" i="10"/>
  <c r="E3264" i="10"/>
  <c r="F3264" i="10"/>
  <c r="G3264" i="10"/>
  <c r="H3264" i="10"/>
  <c r="A3265" i="10"/>
  <c r="B3265" i="10"/>
  <c r="C3265" i="10"/>
  <c r="D3265" i="10"/>
  <c r="E3265" i="10"/>
  <c r="F3265" i="10"/>
  <c r="G3265" i="10"/>
  <c r="H3265" i="10"/>
  <c r="A3266" i="10"/>
  <c r="B3266" i="10"/>
  <c r="C3266" i="10"/>
  <c r="D3266" i="10"/>
  <c r="E3266" i="10"/>
  <c r="F3266" i="10"/>
  <c r="G3266" i="10"/>
  <c r="H3266" i="10"/>
  <c r="A3267" i="10"/>
  <c r="B3267" i="10"/>
  <c r="C3267" i="10"/>
  <c r="D3267" i="10"/>
  <c r="E3267" i="10"/>
  <c r="F3267" i="10"/>
  <c r="G3267" i="10"/>
  <c r="H3267" i="10"/>
  <c r="A3268" i="10"/>
  <c r="B3268" i="10"/>
  <c r="C3268" i="10"/>
  <c r="D3268" i="10"/>
  <c r="E3268" i="10"/>
  <c r="F3268" i="10"/>
  <c r="G3268" i="10"/>
  <c r="H3268" i="10"/>
  <c r="A3269" i="10"/>
  <c r="B3269" i="10"/>
  <c r="C3269" i="10"/>
  <c r="D3269" i="10"/>
  <c r="E3269" i="10"/>
  <c r="F3269" i="10"/>
  <c r="G3269" i="10"/>
  <c r="H3269" i="10"/>
  <c r="A3270" i="10"/>
  <c r="B3270" i="10"/>
  <c r="C3270" i="10"/>
  <c r="D3270" i="10"/>
  <c r="E3270" i="10"/>
  <c r="F3270" i="10"/>
  <c r="G3270" i="10"/>
  <c r="H3270" i="10"/>
  <c r="A3271" i="10"/>
  <c r="B3271" i="10"/>
  <c r="C3271" i="10"/>
  <c r="D3271" i="10"/>
  <c r="E3271" i="10"/>
  <c r="F3271" i="10"/>
  <c r="G3271" i="10"/>
  <c r="H3271" i="10"/>
  <c r="A3272" i="10"/>
  <c r="B3272" i="10"/>
  <c r="C3272" i="10"/>
  <c r="D3272" i="10"/>
  <c r="E3272" i="10"/>
  <c r="F3272" i="10"/>
  <c r="G3272" i="10"/>
  <c r="H3272" i="10"/>
  <c r="A3273" i="10"/>
  <c r="B3273" i="10"/>
  <c r="C3273" i="10"/>
  <c r="D3273" i="10"/>
  <c r="E3273" i="10"/>
  <c r="F3273" i="10"/>
  <c r="G3273" i="10"/>
  <c r="H3273" i="10"/>
  <c r="A3274" i="10"/>
  <c r="B3274" i="10"/>
  <c r="C3274" i="10"/>
  <c r="D3274" i="10"/>
  <c r="E3274" i="10"/>
  <c r="F3274" i="10"/>
  <c r="G3274" i="10"/>
  <c r="H3274" i="10"/>
  <c r="A3275" i="10"/>
  <c r="B3275" i="10"/>
  <c r="C3275" i="10"/>
  <c r="D3275" i="10"/>
  <c r="E3275" i="10"/>
  <c r="F3275" i="10"/>
  <c r="G3275" i="10"/>
  <c r="H3275" i="10"/>
  <c r="A3276" i="10"/>
  <c r="B3276" i="10"/>
  <c r="C3276" i="10"/>
  <c r="D3276" i="10"/>
  <c r="E3276" i="10"/>
  <c r="F3276" i="10"/>
  <c r="G3276" i="10"/>
  <c r="H3276" i="10"/>
  <c r="A3277" i="10"/>
  <c r="B3277" i="10"/>
  <c r="C3277" i="10"/>
  <c r="D3277" i="10"/>
  <c r="E3277" i="10"/>
  <c r="F3277" i="10"/>
  <c r="G3277" i="10"/>
  <c r="H3277" i="10"/>
  <c r="A3278" i="10"/>
  <c r="B3278" i="10"/>
  <c r="C3278" i="10"/>
  <c r="D3278" i="10"/>
  <c r="E3278" i="10"/>
  <c r="F3278" i="10"/>
  <c r="G3278" i="10"/>
  <c r="H3278" i="10"/>
  <c r="A3279" i="10"/>
  <c r="B3279" i="10"/>
  <c r="C3279" i="10"/>
  <c r="D3279" i="10"/>
  <c r="E3279" i="10"/>
  <c r="F3279" i="10"/>
  <c r="G3279" i="10"/>
  <c r="H3279" i="10"/>
  <c r="A3280" i="10"/>
  <c r="B3280" i="10"/>
  <c r="C3280" i="10"/>
  <c r="D3280" i="10"/>
  <c r="E3280" i="10"/>
  <c r="F3280" i="10"/>
  <c r="G3280" i="10"/>
  <c r="H3280" i="10"/>
  <c r="A3281" i="10"/>
  <c r="B3281" i="10"/>
  <c r="C3281" i="10"/>
  <c r="D3281" i="10"/>
  <c r="E3281" i="10"/>
  <c r="F3281" i="10"/>
  <c r="G3281" i="10"/>
  <c r="H3281" i="10"/>
  <c r="A3282" i="10"/>
  <c r="B3282" i="10"/>
  <c r="C3282" i="10"/>
  <c r="D3282" i="10"/>
  <c r="E3282" i="10"/>
  <c r="F3282" i="10"/>
  <c r="G3282" i="10"/>
  <c r="H3282" i="10"/>
  <c r="A3283" i="10"/>
  <c r="B3283" i="10"/>
  <c r="C3283" i="10"/>
  <c r="D3283" i="10"/>
  <c r="E3283" i="10"/>
  <c r="F3283" i="10"/>
  <c r="G3283" i="10"/>
  <c r="H3283" i="10"/>
  <c r="A3284" i="10"/>
  <c r="B3284" i="10"/>
  <c r="C3284" i="10"/>
  <c r="D3284" i="10"/>
  <c r="E3284" i="10"/>
  <c r="F3284" i="10"/>
  <c r="G3284" i="10"/>
  <c r="H3284" i="10"/>
  <c r="A3285" i="10"/>
  <c r="B3285" i="10"/>
  <c r="C3285" i="10"/>
  <c r="D3285" i="10"/>
  <c r="E3285" i="10"/>
  <c r="F3285" i="10"/>
  <c r="G3285" i="10"/>
  <c r="H3285" i="10"/>
  <c r="A3286" i="10"/>
  <c r="B3286" i="10"/>
  <c r="C3286" i="10"/>
  <c r="D3286" i="10"/>
  <c r="E3286" i="10"/>
  <c r="F3286" i="10"/>
  <c r="G3286" i="10"/>
  <c r="H3286" i="10"/>
  <c r="A3287" i="10"/>
  <c r="B3287" i="10"/>
  <c r="C3287" i="10"/>
  <c r="D3287" i="10"/>
  <c r="E3287" i="10"/>
  <c r="F3287" i="10"/>
  <c r="G3287" i="10"/>
  <c r="H3287" i="10"/>
  <c r="A3288" i="10"/>
  <c r="B3288" i="10"/>
  <c r="C3288" i="10"/>
  <c r="D3288" i="10"/>
  <c r="E3288" i="10"/>
  <c r="F3288" i="10"/>
  <c r="G3288" i="10"/>
  <c r="H3288" i="10"/>
  <c r="A3289" i="10"/>
  <c r="B3289" i="10"/>
  <c r="C3289" i="10"/>
  <c r="D3289" i="10"/>
  <c r="E3289" i="10"/>
  <c r="F3289" i="10"/>
  <c r="G3289" i="10"/>
  <c r="H3289" i="10"/>
  <c r="A3290" i="10"/>
  <c r="B3290" i="10"/>
  <c r="C3290" i="10"/>
  <c r="D3290" i="10"/>
  <c r="E3290" i="10"/>
  <c r="F3290" i="10"/>
  <c r="G3290" i="10"/>
  <c r="H3290" i="10"/>
  <c r="A3291" i="10"/>
  <c r="B3291" i="10"/>
  <c r="C3291" i="10"/>
  <c r="D3291" i="10"/>
  <c r="E3291" i="10"/>
  <c r="F3291" i="10"/>
  <c r="G3291" i="10"/>
  <c r="H3291" i="10"/>
  <c r="A3292" i="10"/>
  <c r="B3292" i="10"/>
  <c r="C3292" i="10"/>
  <c r="D3292" i="10"/>
  <c r="E3292" i="10"/>
  <c r="F3292" i="10"/>
  <c r="G3292" i="10"/>
  <c r="H3292" i="10"/>
  <c r="A3293" i="10"/>
  <c r="B3293" i="10"/>
  <c r="C3293" i="10"/>
  <c r="D3293" i="10"/>
  <c r="E3293" i="10"/>
  <c r="F3293" i="10"/>
  <c r="G3293" i="10"/>
  <c r="H3293" i="10"/>
  <c r="A3294" i="10"/>
  <c r="B3294" i="10"/>
  <c r="C3294" i="10"/>
  <c r="D3294" i="10"/>
  <c r="E3294" i="10"/>
  <c r="F3294" i="10"/>
  <c r="G3294" i="10"/>
  <c r="H3294" i="10"/>
  <c r="A3295" i="10"/>
  <c r="B3295" i="10"/>
  <c r="C3295" i="10"/>
  <c r="D3295" i="10"/>
  <c r="E3295" i="10"/>
  <c r="F3295" i="10"/>
  <c r="G3295" i="10"/>
  <c r="H3295" i="10"/>
  <c r="A3296" i="10"/>
  <c r="B3296" i="10"/>
  <c r="C3296" i="10"/>
  <c r="D3296" i="10"/>
  <c r="E3296" i="10"/>
  <c r="F3296" i="10"/>
  <c r="G3296" i="10"/>
  <c r="H3296" i="10"/>
  <c r="A3297" i="10"/>
  <c r="B3297" i="10"/>
  <c r="C3297" i="10"/>
  <c r="D3297" i="10"/>
  <c r="E3297" i="10"/>
  <c r="F3297" i="10"/>
  <c r="G3297" i="10"/>
  <c r="H3297" i="10"/>
  <c r="A3298" i="10"/>
  <c r="B3298" i="10"/>
  <c r="C3298" i="10"/>
  <c r="D3298" i="10"/>
  <c r="E3298" i="10"/>
  <c r="F3298" i="10"/>
  <c r="G3298" i="10"/>
  <c r="H3298" i="10"/>
  <c r="A3299" i="10"/>
  <c r="B3299" i="10"/>
  <c r="C3299" i="10"/>
  <c r="D3299" i="10"/>
  <c r="E3299" i="10"/>
  <c r="F3299" i="10"/>
  <c r="G3299" i="10"/>
  <c r="H3299" i="10"/>
  <c r="A3300" i="10"/>
  <c r="B3300" i="10"/>
  <c r="C3300" i="10"/>
  <c r="D3300" i="10"/>
  <c r="E3300" i="10"/>
  <c r="F3300" i="10"/>
  <c r="G3300" i="10"/>
  <c r="H3300" i="10"/>
  <c r="A3301" i="10"/>
  <c r="B3301" i="10"/>
  <c r="C3301" i="10"/>
  <c r="D3301" i="10"/>
  <c r="E3301" i="10"/>
  <c r="F3301" i="10"/>
  <c r="G3301" i="10"/>
  <c r="H3301" i="10"/>
  <c r="A3302" i="10"/>
  <c r="B3302" i="10"/>
  <c r="C3302" i="10"/>
  <c r="D3302" i="10"/>
  <c r="E3302" i="10"/>
  <c r="F3302" i="10"/>
  <c r="G3302" i="10"/>
  <c r="H3302" i="10"/>
  <c r="A3303" i="10"/>
  <c r="B3303" i="10"/>
  <c r="C3303" i="10"/>
  <c r="D3303" i="10"/>
  <c r="E3303" i="10"/>
  <c r="F3303" i="10"/>
  <c r="G3303" i="10"/>
  <c r="H3303" i="10"/>
  <c r="A3304" i="10"/>
  <c r="B3304" i="10"/>
  <c r="C3304" i="10"/>
  <c r="D3304" i="10"/>
  <c r="E3304" i="10"/>
  <c r="F3304" i="10"/>
  <c r="G3304" i="10"/>
  <c r="H3304" i="10"/>
  <c r="A3305" i="10"/>
  <c r="B3305" i="10"/>
  <c r="C3305" i="10"/>
  <c r="D3305" i="10"/>
  <c r="E3305" i="10"/>
  <c r="F3305" i="10"/>
  <c r="G3305" i="10"/>
  <c r="H3305" i="10"/>
  <c r="A3306" i="10"/>
  <c r="B3306" i="10"/>
  <c r="C3306" i="10"/>
  <c r="D3306" i="10"/>
  <c r="E3306" i="10"/>
  <c r="F3306" i="10"/>
  <c r="G3306" i="10"/>
  <c r="H3306" i="10"/>
  <c r="A3307" i="10"/>
  <c r="B3307" i="10"/>
  <c r="C3307" i="10"/>
  <c r="D3307" i="10"/>
  <c r="E3307" i="10"/>
  <c r="F3307" i="10"/>
  <c r="G3307" i="10"/>
  <c r="H3307" i="10"/>
  <c r="A3308" i="10"/>
  <c r="B3308" i="10"/>
  <c r="C3308" i="10"/>
  <c r="D3308" i="10"/>
  <c r="E3308" i="10"/>
  <c r="F3308" i="10"/>
  <c r="G3308" i="10"/>
  <c r="H3308" i="10"/>
  <c r="A3309" i="10"/>
  <c r="B3309" i="10"/>
  <c r="C3309" i="10"/>
  <c r="D3309" i="10"/>
  <c r="E3309" i="10"/>
  <c r="F3309" i="10"/>
  <c r="G3309" i="10"/>
  <c r="H3309" i="10"/>
  <c r="A3310" i="10"/>
  <c r="B3310" i="10"/>
  <c r="C3310" i="10"/>
  <c r="D3310" i="10"/>
  <c r="E3310" i="10"/>
  <c r="F3310" i="10"/>
  <c r="G3310" i="10"/>
  <c r="H3310" i="10"/>
  <c r="A3311" i="10"/>
  <c r="B3311" i="10"/>
  <c r="C3311" i="10"/>
  <c r="D3311" i="10"/>
  <c r="E3311" i="10"/>
  <c r="F3311" i="10"/>
  <c r="G3311" i="10"/>
  <c r="H3311" i="10"/>
  <c r="A3312" i="10"/>
  <c r="B3312" i="10"/>
  <c r="C3312" i="10"/>
  <c r="D3312" i="10"/>
  <c r="E3312" i="10"/>
  <c r="F3312" i="10"/>
  <c r="G3312" i="10"/>
  <c r="H3312" i="10"/>
  <c r="A3313" i="10"/>
  <c r="B3313" i="10"/>
  <c r="C3313" i="10"/>
  <c r="D3313" i="10"/>
  <c r="E3313" i="10"/>
  <c r="F3313" i="10"/>
  <c r="G3313" i="10"/>
  <c r="H3313" i="10"/>
  <c r="A3314" i="10"/>
  <c r="B3314" i="10"/>
  <c r="C3314" i="10"/>
  <c r="D3314" i="10"/>
  <c r="E3314" i="10"/>
  <c r="F3314" i="10"/>
  <c r="G3314" i="10"/>
  <c r="H3314" i="10"/>
  <c r="A3315" i="10"/>
  <c r="B3315" i="10"/>
  <c r="C3315" i="10"/>
  <c r="D3315" i="10"/>
  <c r="E3315" i="10"/>
  <c r="F3315" i="10"/>
  <c r="G3315" i="10"/>
  <c r="H3315" i="10"/>
  <c r="A3316" i="10"/>
  <c r="B3316" i="10"/>
  <c r="C3316" i="10"/>
  <c r="D3316" i="10"/>
  <c r="E3316" i="10"/>
  <c r="F3316" i="10"/>
  <c r="G3316" i="10"/>
  <c r="H3316" i="10"/>
  <c r="A3317" i="10"/>
  <c r="B3317" i="10"/>
  <c r="C3317" i="10"/>
  <c r="D3317" i="10"/>
  <c r="E3317" i="10"/>
  <c r="F3317" i="10"/>
  <c r="G3317" i="10"/>
  <c r="H3317" i="10"/>
  <c r="A3318" i="10"/>
  <c r="B3318" i="10"/>
  <c r="C3318" i="10"/>
  <c r="D3318" i="10"/>
  <c r="E3318" i="10"/>
  <c r="F3318" i="10"/>
  <c r="G3318" i="10"/>
  <c r="H3318" i="10"/>
  <c r="A3319" i="10"/>
  <c r="B3319" i="10"/>
  <c r="C3319" i="10"/>
  <c r="D3319" i="10"/>
  <c r="E3319" i="10"/>
  <c r="F3319" i="10"/>
  <c r="G3319" i="10"/>
  <c r="H3319" i="10"/>
  <c r="A3320" i="10"/>
  <c r="B3320" i="10"/>
  <c r="C3320" i="10"/>
  <c r="D3320" i="10"/>
  <c r="E3320" i="10"/>
  <c r="F3320" i="10"/>
  <c r="G3320" i="10"/>
  <c r="H3320" i="10"/>
  <c r="A3323" i="10"/>
  <c r="B3323" i="10"/>
  <c r="C3323" i="10"/>
  <c r="D3323" i="10"/>
  <c r="E3323" i="10"/>
  <c r="F3323" i="10"/>
  <c r="G3323" i="10"/>
  <c r="H3323" i="10"/>
  <c r="B3325" i="10"/>
  <c r="C3325" i="10"/>
  <c r="D3325" i="10"/>
  <c r="E3325" i="10"/>
  <c r="F3325" i="10"/>
  <c r="G3325" i="10"/>
  <c r="H3325" i="10"/>
  <c r="A3326" i="10"/>
  <c r="B3326" i="10"/>
  <c r="C3326" i="10"/>
  <c r="D3326" i="10"/>
  <c r="E3326" i="10"/>
  <c r="F3326" i="10"/>
  <c r="G3326" i="10"/>
  <c r="H3326" i="10"/>
  <c r="A3327" i="10"/>
  <c r="B3327" i="10"/>
  <c r="C3327" i="10"/>
  <c r="D3327" i="10"/>
  <c r="E3327" i="10"/>
  <c r="F3327" i="10"/>
  <c r="G3327" i="10"/>
  <c r="H3327" i="10"/>
  <c r="A3328" i="10"/>
  <c r="B3328" i="10"/>
  <c r="C3328" i="10"/>
  <c r="D3328" i="10"/>
  <c r="E3328" i="10"/>
  <c r="F3328" i="10"/>
  <c r="G3328" i="10"/>
  <c r="H3328" i="10"/>
  <c r="A3329" i="10"/>
  <c r="B3329" i="10"/>
  <c r="C3329" i="10"/>
  <c r="D3329" i="10"/>
  <c r="E3329" i="10"/>
  <c r="F3329" i="10"/>
  <c r="G3329" i="10"/>
  <c r="H3329" i="10"/>
  <c r="A3330" i="10"/>
  <c r="B3330" i="10"/>
  <c r="C3330" i="10"/>
  <c r="D3330" i="10"/>
  <c r="E3330" i="10"/>
  <c r="F3330" i="10"/>
  <c r="G3330" i="10"/>
  <c r="H3330" i="10"/>
  <c r="A3331" i="10"/>
  <c r="B3331" i="10"/>
  <c r="C3331" i="10"/>
  <c r="D3331" i="10"/>
  <c r="E3331" i="10"/>
  <c r="F3331" i="10"/>
  <c r="G3331" i="10"/>
  <c r="H3331" i="10"/>
  <c r="A3332" i="10"/>
  <c r="B3332" i="10"/>
  <c r="C3332" i="10"/>
  <c r="D3332" i="10"/>
  <c r="E3332" i="10"/>
  <c r="F3332" i="10"/>
  <c r="G3332" i="10"/>
  <c r="H3332" i="10"/>
  <c r="A3333" i="10"/>
  <c r="B3333" i="10"/>
  <c r="C3333" i="10"/>
  <c r="D3333" i="10"/>
  <c r="E3333" i="10"/>
  <c r="F3333" i="10"/>
  <c r="G3333" i="10"/>
  <c r="H3333" i="10"/>
  <c r="A3334" i="10"/>
  <c r="B3334" i="10"/>
  <c r="C3334" i="10"/>
  <c r="D3334" i="10"/>
  <c r="E3334" i="10"/>
  <c r="F3334" i="10"/>
  <c r="G3334" i="10"/>
  <c r="H3334" i="10"/>
  <c r="A3335" i="10"/>
  <c r="B3335" i="10"/>
  <c r="C3335" i="10"/>
  <c r="D3335" i="10"/>
  <c r="E3335" i="10"/>
  <c r="F3335" i="10"/>
  <c r="G3335" i="10"/>
  <c r="H3335" i="10"/>
  <c r="A3336" i="10"/>
  <c r="B3336" i="10"/>
  <c r="C3336" i="10"/>
  <c r="D3336" i="10"/>
  <c r="E3336" i="10"/>
  <c r="F3336" i="10"/>
  <c r="G3336" i="10"/>
  <c r="H3336" i="10"/>
  <c r="A3337" i="10"/>
  <c r="B3337" i="10"/>
  <c r="C3337" i="10"/>
  <c r="D3337" i="10"/>
  <c r="E3337" i="10"/>
  <c r="F3337" i="10"/>
  <c r="G3337" i="10"/>
  <c r="H3337" i="10"/>
  <c r="A3338" i="10"/>
  <c r="B3338" i="10"/>
  <c r="C3338" i="10"/>
  <c r="D3338" i="10"/>
  <c r="E3338" i="10"/>
  <c r="F3338" i="10"/>
  <c r="G3338" i="10"/>
  <c r="H3338" i="10"/>
  <c r="A3339" i="10"/>
  <c r="B3339" i="10"/>
  <c r="C3339" i="10"/>
  <c r="D3339" i="10"/>
  <c r="E3339" i="10"/>
  <c r="F3339" i="10"/>
  <c r="G3339" i="10"/>
  <c r="H3339" i="10"/>
  <c r="A3340" i="10"/>
  <c r="B3340" i="10"/>
  <c r="C3340" i="10"/>
  <c r="D3340" i="10"/>
  <c r="E3340" i="10"/>
  <c r="F3340" i="10"/>
  <c r="G3340" i="10"/>
  <c r="H3340" i="10"/>
  <c r="A3341" i="10"/>
  <c r="B3341" i="10"/>
  <c r="C3341" i="10"/>
  <c r="D3341" i="10"/>
  <c r="E3341" i="10"/>
  <c r="F3341" i="10"/>
  <c r="G3341" i="10"/>
  <c r="H3341" i="10"/>
  <c r="A3342" i="10"/>
  <c r="B3342" i="10"/>
  <c r="C3342" i="10"/>
  <c r="D3342" i="10"/>
  <c r="E3342" i="10"/>
  <c r="F3342" i="10"/>
  <c r="G3342" i="10"/>
  <c r="H3342" i="10"/>
  <c r="A3343" i="10"/>
  <c r="B3343" i="10"/>
  <c r="C3343" i="10"/>
  <c r="D3343" i="10"/>
  <c r="E3343" i="10"/>
  <c r="F3343" i="10"/>
  <c r="G3343" i="10"/>
  <c r="H3343" i="10"/>
  <c r="A3344" i="10"/>
  <c r="B3344" i="10"/>
  <c r="C3344" i="10"/>
  <c r="D3344" i="10"/>
  <c r="E3344" i="10"/>
  <c r="F3344" i="10"/>
  <c r="G3344" i="10"/>
  <c r="H3344" i="10"/>
  <c r="A3345" i="10"/>
  <c r="B3345" i="10"/>
  <c r="C3345" i="10"/>
  <c r="D3345" i="10"/>
  <c r="E3345" i="10"/>
  <c r="F3345" i="10"/>
  <c r="G3345" i="10"/>
  <c r="H3345" i="10"/>
  <c r="A3346" i="10"/>
  <c r="B3346" i="10"/>
  <c r="C3346" i="10"/>
  <c r="D3346" i="10"/>
  <c r="E3346" i="10"/>
  <c r="F3346" i="10"/>
  <c r="G3346" i="10"/>
  <c r="H3346" i="10"/>
  <c r="A3347" i="10"/>
  <c r="B3347" i="10"/>
  <c r="C3347" i="10"/>
  <c r="D3347" i="10"/>
  <c r="E3347" i="10"/>
  <c r="F3347" i="10"/>
  <c r="G3347" i="10"/>
  <c r="H3347" i="10"/>
  <c r="A3348" i="10"/>
  <c r="B3348" i="10"/>
  <c r="C3348" i="10"/>
  <c r="D3348" i="10"/>
  <c r="E3348" i="10"/>
  <c r="F3348" i="10"/>
  <c r="G3348" i="10"/>
  <c r="H3348" i="10"/>
  <c r="A3349" i="10"/>
  <c r="B3349" i="10"/>
  <c r="C3349" i="10"/>
  <c r="D3349" i="10"/>
  <c r="E3349" i="10"/>
  <c r="F3349" i="10"/>
  <c r="G3349" i="10"/>
  <c r="H3349" i="10"/>
  <c r="A3350" i="10"/>
  <c r="B3350" i="10"/>
  <c r="C3350" i="10"/>
  <c r="D3350" i="10"/>
  <c r="E3350" i="10"/>
  <c r="F3350" i="10"/>
  <c r="G3350" i="10"/>
  <c r="H3350" i="10"/>
  <c r="A3351" i="10"/>
  <c r="B3351" i="10"/>
  <c r="C3351" i="10"/>
  <c r="D3351" i="10"/>
  <c r="E3351" i="10"/>
  <c r="F3351" i="10"/>
  <c r="G3351" i="10"/>
  <c r="H3351" i="10"/>
  <c r="A3352" i="10"/>
  <c r="B3352" i="10"/>
  <c r="C3352" i="10"/>
  <c r="D3352" i="10"/>
  <c r="E3352" i="10"/>
  <c r="F3352" i="10"/>
  <c r="G3352" i="10"/>
  <c r="H3352" i="10"/>
  <c r="A3353" i="10"/>
  <c r="B3353" i="10"/>
  <c r="C3353" i="10"/>
  <c r="D3353" i="10"/>
  <c r="E3353" i="10"/>
  <c r="F3353" i="10"/>
  <c r="G3353" i="10"/>
  <c r="H3353" i="10"/>
  <c r="A3354" i="10"/>
  <c r="B3354" i="10"/>
  <c r="C3354" i="10"/>
  <c r="D3354" i="10"/>
  <c r="E3354" i="10"/>
  <c r="F3354" i="10"/>
  <c r="G3354" i="10"/>
  <c r="H3354" i="10"/>
  <c r="A3355" i="10"/>
  <c r="B3355" i="10"/>
  <c r="C3355" i="10"/>
  <c r="D3355" i="10"/>
  <c r="E3355" i="10"/>
  <c r="F3355" i="10"/>
  <c r="G3355" i="10"/>
  <c r="H3355" i="10"/>
  <c r="A3356" i="10"/>
  <c r="B3356" i="10"/>
  <c r="C3356" i="10"/>
  <c r="D3356" i="10"/>
  <c r="E3356" i="10"/>
  <c r="F3356" i="10"/>
  <c r="G3356" i="10"/>
  <c r="H3356" i="10"/>
  <c r="A3357" i="10"/>
  <c r="B3357" i="10"/>
  <c r="C3357" i="10"/>
  <c r="D3357" i="10"/>
  <c r="E3357" i="10"/>
  <c r="F3357" i="10"/>
  <c r="G3357" i="10"/>
  <c r="H3357" i="10"/>
  <c r="A3358" i="10"/>
  <c r="B3358" i="10"/>
  <c r="C3358" i="10"/>
  <c r="D3358" i="10"/>
  <c r="E3358" i="10"/>
  <c r="F3358" i="10"/>
  <c r="G3358" i="10"/>
  <c r="H3358" i="10"/>
  <c r="A3359" i="10"/>
  <c r="B3359" i="10"/>
  <c r="C3359" i="10"/>
  <c r="D3359" i="10"/>
  <c r="E3359" i="10"/>
  <c r="F3359" i="10"/>
  <c r="G3359" i="10"/>
  <c r="H3359" i="10"/>
  <c r="A3360" i="10"/>
  <c r="B3360" i="10"/>
  <c r="C3360" i="10"/>
  <c r="D3360" i="10"/>
  <c r="E3360" i="10"/>
  <c r="F3360" i="10"/>
  <c r="G3360" i="10"/>
  <c r="H3360" i="10"/>
  <c r="A3361" i="10"/>
  <c r="B3361" i="10"/>
  <c r="C3361" i="10"/>
  <c r="D3361" i="10"/>
  <c r="E3361" i="10"/>
  <c r="F3361" i="10"/>
  <c r="G3361" i="10"/>
  <c r="H3361" i="10"/>
  <c r="A3362" i="10"/>
  <c r="B3362" i="10"/>
  <c r="C3362" i="10"/>
  <c r="D3362" i="10"/>
  <c r="E3362" i="10"/>
  <c r="F3362" i="10"/>
  <c r="G3362" i="10"/>
  <c r="H3362" i="10"/>
  <c r="A3363" i="10"/>
  <c r="B3363" i="10"/>
  <c r="C3363" i="10"/>
  <c r="D3363" i="10"/>
  <c r="E3363" i="10"/>
  <c r="F3363" i="10"/>
  <c r="G3363" i="10"/>
  <c r="H3363" i="10"/>
  <c r="A3364" i="10"/>
  <c r="B3364" i="10"/>
  <c r="C3364" i="10"/>
  <c r="D3364" i="10"/>
  <c r="E3364" i="10"/>
  <c r="F3364" i="10"/>
  <c r="G3364" i="10"/>
  <c r="H3364" i="10"/>
  <c r="A3365" i="10"/>
  <c r="B3365" i="10"/>
  <c r="C3365" i="10"/>
  <c r="D3365" i="10"/>
  <c r="E3365" i="10"/>
  <c r="F3365" i="10"/>
  <c r="G3365" i="10"/>
  <c r="H3365" i="10"/>
  <c r="A3366" i="10"/>
  <c r="B3366" i="10"/>
  <c r="C3366" i="10"/>
  <c r="D3366" i="10"/>
  <c r="E3366" i="10"/>
  <c r="F3366" i="10"/>
  <c r="G3366" i="10"/>
  <c r="H3366" i="10"/>
  <c r="A3367" i="10"/>
  <c r="B3367" i="10"/>
  <c r="C3367" i="10"/>
  <c r="D3367" i="10"/>
  <c r="E3367" i="10"/>
  <c r="F3367" i="10"/>
  <c r="G3367" i="10"/>
  <c r="H3367" i="10"/>
  <c r="A3368" i="10"/>
  <c r="B3368" i="10"/>
  <c r="C3368" i="10"/>
  <c r="D3368" i="10"/>
  <c r="E3368" i="10"/>
  <c r="F3368" i="10"/>
  <c r="G3368" i="10"/>
  <c r="H3368" i="10"/>
  <c r="A3369" i="10"/>
  <c r="B3369" i="10"/>
  <c r="C3369" i="10"/>
  <c r="D3369" i="10"/>
  <c r="E3369" i="10"/>
  <c r="F3369" i="10"/>
  <c r="G3369" i="10"/>
  <c r="H3369" i="10"/>
  <c r="A3370" i="10"/>
  <c r="B3370" i="10"/>
  <c r="C3370" i="10"/>
  <c r="D3370" i="10"/>
  <c r="E3370" i="10"/>
  <c r="F3370" i="10"/>
  <c r="G3370" i="10"/>
  <c r="H3370" i="10"/>
  <c r="A3371" i="10"/>
  <c r="B3371" i="10"/>
  <c r="C3371" i="10"/>
  <c r="D3371" i="10"/>
  <c r="E3371" i="10"/>
  <c r="F3371" i="10"/>
  <c r="G3371" i="10"/>
  <c r="H3371" i="10"/>
  <c r="A3372" i="10"/>
  <c r="B3372" i="10"/>
  <c r="C3372" i="10"/>
  <c r="D3372" i="10"/>
  <c r="E3372" i="10"/>
  <c r="F3372" i="10"/>
  <c r="G3372" i="10"/>
  <c r="H3372" i="10"/>
  <c r="A3373" i="10"/>
  <c r="B3373" i="10"/>
  <c r="C3373" i="10"/>
  <c r="D3373" i="10"/>
  <c r="E3373" i="10"/>
  <c r="F3373" i="10"/>
  <c r="G3373" i="10"/>
  <c r="H3373" i="10"/>
  <c r="A3374" i="10"/>
  <c r="B3374" i="10"/>
  <c r="C3374" i="10"/>
  <c r="D3374" i="10"/>
  <c r="E3374" i="10"/>
  <c r="F3374" i="10"/>
  <c r="G3374" i="10"/>
  <c r="H3374" i="10"/>
  <c r="A3375" i="10"/>
  <c r="B3375" i="10"/>
  <c r="C3375" i="10"/>
  <c r="D3375" i="10"/>
  <c r="E3375" i="10"/>
  <c r="F3375" i="10"/>
  <c r="G3375" i="10"/>
  <c r="H3375" i="10"/>
  <c r="A3376" i="10"/>
  <c r="B3376" i="10"/>
  <c r="C3376" i="10"/>
  <c r="D3376" i="10"/>
  <c r="E3376" i="10"/>
  <c r="F3376" i="10"/>
  <c r="G3376" i="10"/>
  <c r="H3376" i="10"/>
  <c r="A3377" i="10"/>
  <c r="B3377" i="10"/>
  <c r="C3377" i="10"/>
  <c r="D3377" i="10"/>
  <c r="E3377" i="10"/>
  <c r="F3377" i="10"/>
  <c r="G3377" i="10"/>
  <c r="H3377" i="10"/>
  <c r="A3378" i="10"/>
  <c r="B3378" i="10"/>
  <c r="C3378" i="10"/>
  <c r="D3378" i="10"/>
  <c r="E3378" i="10"/>
  <c r="F3378" i="10"/>
  <c r="G3378" i="10"/>
  <c r="H3378" i="10"/>
  <c r="A3379" i="10"/>
  <c r="B3379" i="10"/>
  <c r="C3379" i="10"/>
  <c r="D3379" i="10"/>
  <c r="E3379" i="10"/>
  <c r="F3379" i="10"/>
  <c r="G3379" i="10"/>
  <c r="H3379" i="10"/>
  <c r="A3380" i="10"/>
  <c r="B3380" i="10"/>
  <c r="C3380" i="10"/>
  <c r="D3380" i="10"/>
  <c r="E3380" i="10"/>
  <c r="F3380" i="10"/>
  <c r="G3380" i="10"/>
  <c r="H3380" i="10"/>
  <c r="A3381" i="10"/>
  <c r="B3381" i="10"/>
  <c r="C3381" i="10"/>
  <c r="D3381" i="10"/>
  <c r="E3381" i="10"/>
  <c r="F3381" i="10"/>
  <c r="G3381" i="10"/>
  <c r="H3381" i="10"/>
  <c r="A3382" i="10"/>
  <c r="B3382" i="10"/>
  <c r="C3382" i="10"/>
  <c r="D3382" i="10"/>
  <c r="E3382" i="10"/>
  <c r="F3382" i="10"/>
  <c r="G3382" i="10"/>
  <c r="H3382" i="10"/>
  <c r="A3383" i="10"/>
  <c r="B3383" i="10"/>
  <c r="C3383" i="10"/>
  <c r="D3383" i="10"/>
  <c r="E3383" i="10"/>
  <c r="F3383" i="10"/>
  <c r="G3383" i="10"/>
  <c r="H3383" i="10"/>
  <c r="A3384" i="10"/>
  <c r="B3384" i="10"/>
  <c r="C3384" i="10"/>
  <c r="D3384" i="10"/>
  <c r="E3384" i="10"/>
  <c r="F3384" i="10"/>
  <c r="G3384" i="10"/>
  <c r="H3384" i="10"/>
  <c r="A3385" i="10"/>
  <c r="B3385" i="10"/>
  <c r="C3385" i="10"/>
  <c r="D3385" i="10"/>
  <c r="E3385" i="10"/>
  <c r="F3385" i="10"/>
  <c r="G3385" i="10"/>
  <c r="H3385" i="10"/>
  <c r="A3386" i="10"/>
  <c r="B3386" i="10"/>
  <c r="C3386" i="10"/>
  <c r="D3386" i="10"/>
  <c r="E3386" i="10"/>
  <c r="F3386" i="10"/>
  <c r="G3386" i="10"/>
  <c r="H3386" i="10"/>
  <c r="A3387" i="10"/>
  <c r="B3387" i="10"/>
  <c r="C3387" i="10"/>
  <c r="D3387" i="10"/>
  <c r="E3387" i="10"/>
  <c r="F3387" i="10"/>
  <c r="G3387" i="10"/>
  <c r="H3387" i="10"/>
  <c r="A3388" i="10"/>
  <c r="B3388" i="10"/>
  <c r="C3388" i="10"/>
  <c r="D3388" i="10"/>
  <c r="E3388" i="10"/>
  <c r="F3388" i="10"/>
  <c r="G3388" i="10"/>
  <c r="H3388" i="10"/>
  <c r="A3389" i="10"/>
  <c r="B3389" i="10"/>
  <c r="C3389" i="10"/>
  <c r="D3389" i="10"/>
  <c r="E3389" i="10"/>
  <c r="F3389" i="10"/>
  <c r="G3389" i="10"/>
  <c r="H3389" i="10"/>
  <c r="A3390" i="10"/>
  <c r="B3390" i="10"/>
  <c r="C3390" i="10"/>
  <c r="D3390" i="10"/>
  <c r="E3390" i="10"/>
  <c r="F3390" i="10"/>
  <c r="G3390" i="10"/>
  <c r="H3390" i="10"/>
  <c r="A3391" i="10"/>
  <c r="B3391" i="10"/>
  <c r="C3391" i="10"/>
  <c r="D3391" i="10"/>
  <c r="E3391" i="10"/>
  <c r="F3391" i="10"/>
  <c r="G3391" i="10"/>
  <c r="H3391" i="10"/>
  <c r="A3392" i="10"/>
  <c r="B3392" i="10"/>
  <c r="C3392" i="10"/>
  <c r="D3392" i="10"/>
  <c r="E3392" i="10"/>
  <c r="F3392" i="10"/>
  <c r="G3392" i="10"/>
  <c r="H3392" i="10"/>
  <c r="A3393" i="10"/>
  <c r="B3393" i="10"/>
  <c r="C3393" i="10"/>
  <c r="D3393" i="10"/>
  <c r="E3393" i="10"/>
  <c r="F3393" i="10"/>
  <c r="G3393" i="10"/>
  <c r="H3393" i="10"/>
  <c r="A3394" i="10"/>
  <c r="B3394" i="10"/>
  <c r="C3394" i="10"/>
  <c r="D3394" i="10"/>
  <c r="E3394" i="10"/>
  <c r="F3394" i="10"/>
  <c r="G3394" i="10"/>
  <c r="H3394" i="10"/>
  <c r="A3395" i="10"/>
  <c r="B3395" i="10"/>
  <c r="C3395" i="10"/>
  <c r="D3395" i="10"/>
  <c r="E3395" i="10"/>
  <c r="F3395" i="10"/>
  <c r="G3395" i="10"/>
  <c r="H3395" i="10"/>
  <c r="A3396" i="10"/>
  <c r="B3396" i="10"/>
  <c r="C3396" i="10"/>
  <c r="D3396" i="10"/>
  <c r="E3396" i="10"/>
  <c r="F3396" i="10"/>
  <c r="G3396" i="10"/>
  <c r="H3396" i="10"/>
  <c r="A3397" i="10"/>
  <c r="B3397" i="10"/>
  <c r="C3397" i="10"/>
  <c r="D3397" i="10"/>
  <c r="E3397" i="10"/>
  <c r="F3397" i="10"/>
  <c r="G3397" i="10"/>
  <c r="H3397" i="10"/>
  <c r="A3398" i="10"/>
  <c r="B3398" i="10"/>
  <c r="C3398" i="10"/>
  <c r="D3398" i="10"/>
  <c r="E3398" i="10"/>
  <c r="F3398" i="10"/>
  <c r="G3398" i="10"/>
  <c r="H3398" i="10"/>
  <c r="A3399" i="10"/>
  <c r="B3399" i="10"/>
  <c r="C3399" i="10"/>
  <c r="D3399" i="10"/>
  <c r="E3399" i="10"/>
  <c r="F3399" i="10"/>
  <c r="G3399" i="10"/>
  <c r="H3399" i="10"/>
  <c r="A3400" i="10"/>
  <c r="B3400" i="10"/>
  <c r="C3400" i="10"/>
  <c r="D3400" i="10"/>
  <c r="E3400" i="10"/>
  <c r="F3400" i="10"/>
  <c r="G3400" i="10"/>
  <c r="H3400" i="10"/>
  <c r="A3401" i="10"/>
  <c r="B3401" i="10"/>
  <c r="C3401" i="10"/>
  <c r="D3401" i="10"/>
  <c r="E3401" i="10"/>
  <c r="F3401" i="10"/>
  <c r="G3401" i="10"/>
  <c r="H3401" i="10"/>
  <c r="A3402" i="10"/>
  <c r="B3402" i="10"/>
  <c r="C3402" i="10"/>
  <c r="D3402" i="10"/>
  <c r="E3402" i="10"/>
  <c r="F3402" i="10"/>
  <c r="G3402" i="10"/>
  <c r="H3402" i="10"/>
  <c r="A3403" i="10"/>
  <c r="B3403" i="10"/>
  <c r="C3403" i="10"/>
  <c r="D3403" i="10"/>
  <c r="E3403" i="10"/>
  <c r="F3403" i="10"/>
  <c r="G3403" i="10"/>
  <c r="H3403" i="10"/>
  <c r="A3404" i="10"/>
  <c r="B3404" i="10"/>
  <c r="C3404" i="10"/>
  <c r="D3404" i="10"/>
  <c r="E3404" i="10"/>
  <c r="F3404" i="10"/>
  <c r="G3404" i="10"/>
  <c r="H3404" i="10"/>
  <c r="A3405" i="10"/>
  <c r="B3405" i="10"/>
  <c r="C3405" i="10"/>
  <c r="D3405" i="10"/>
  <c r="E3405" i="10"/>
  <c r="F3405" i="10"/>
  <c r="G3405" i="10"/>
  <c r="H3405" i="10"/>
  <c r="A3406" i="10"/>
  <c r="B3406" i="10"/>
  <c r="C3406" i="10"/>
  <c r="D3406" i="10"/>
  <c r="E3406" i="10"/>
  <c r="F3406" i="10"/>
  <c r="G3406" i="10"/>
  <c r="H3406" i="10"/>
  <c r="A3407" i="10"/>
  <c r="B3407" i="10"/>
  <c r="C3407" i="10"/>
  <c r="D3407" i="10"/>
  <c r="E3407" i="10"/>
  <c r="F3407" i="10"/>
  <c r="G3407" i="10"/>
  <c r="H3407" i="10"/>
  <c r="A3408" i="10"/>
  <c r="B3408" i="10"/>
  <c r="C3408" i="10"/>
  <c r="D3408" i="10"/>
  <c r="E3408" i="10"/>
  <c r="F3408" i="10"/>
  <c r="G3408" i="10"/>
  <c r="H3408" i="10"/>
  <c r="A3409" i="10"/>
  <c r="B3409" i="10"/>
  <c r="C3409" i="10"/>
  <c r="D3409" i="10"/>
  <c r="E3409" i="10"/>
  <c r="F3409" i="10"/>
  <c r="G3409" i="10"/>
  <c r="H3409" i="10"/>
  <c r="A3410" i="10"/>
  <c r="B3410" i="10"/>
  <c r="C3410" i="10"/>
  <c r="D3410" i="10"/>
  <c r="E3410" i="10"/>
  <c r="F3410" i="10"/>
  <c r="G3410" i="10"/>
  <c r="H3410" i="10"/>
  <c r="A3411" i="10"/>
  <c r="B3411" i="10"/>
  <c r="C3411" i="10"/>
  <c r="D3411" i="10"/>
  <c r="E3411" i="10"/>
  <c r="F3411" i="10"/>
  <c r="G3411" i="10"/>
  <c r="H3411" i="10"/>
  <c r="A3412" i="10"/>
  <c r="B3412" i="10"/>
  <c r="C3412" i="10"/>
  <c r="D3412" i="10"/>
  <c r="E3412" i="10"/>
  <c r="F3412" i="10"/>
  <c r="G3412" i="10"/>
  <c r="H3412" i="10"/>
  <c r="A3413" i="10"/>
  <c r="B3413" i="10"/>
  <c r="C3413" i="10"/>
  <c r="D3413" i="10"/>
  <c r="E3413" i="10"/>
  <c r="F3413" i="10"/>
  <c r="G3413" i="10"/>
  <c r="H3413" i="10"/>
  <c r="A3414" i="10"/>
  <c r="B3414" i="10"/>
  <c r="C3414" i="10"/>
  <c r="D3414" i="10"/>
  <c r="E3414" i="10"/>
  <c r="F3414" i="10"/>
  <c r="G3414" i="10"/>
  <c r="H3414" i="10"/>
  <c r="A3415" i="10"/>
  <c r="B3415" i="10"/>
  <c r="C3415" i="10"/>
  <c r="D3415" i="10"/>
  <c r="E3415" i="10"/>
  <c r="F3415" i="10"/>
  <c r="G3415" i="10"/>
  <c r="H3415" i="10"/>
  <c r="A3416" i="10"/>
  <c r="B3416" i="10"/>
  <c r="C3416" i="10"/>
  <c r="D3416" i="10"/>
  <c r="E3416" i="10"/>
  <c r="F3416" i="10"/>
  <c r="G3416" i="10"/>
  <c r="H3416" i="10"/>
  <c r="A3417" i="10"/>
  <c r="B3417" i="10"/>
  <c r="C3417" i="10"/>
  <c r="D3417" i="10"/>
  <c r="E3417" i="10"/>
  <c r="F3417" i="10"/>
  <c r="G3417" i="10"/>
  <c r="H3417" i="10"/>
  <c r="A3418" i="10"/>
  <c r="B3418" i="10"/>
  <c r="C3418" i="10"/>
  <c r="D3418" i="10"/>
  <c r="E3418" i="10"/>
  <c r="F3418" i="10"/>
  <c r="G3418" i="10"/>
  <c r="H3418" i="10"/>
  <c r="A3419" i="10"/>
  <c r="B3419" i="10"/>
  <c r="C3419" i="10"/>
  <c r="D3419" i="10"/>
  <c r="E3419" i="10"/>
  <c r="F3419" i="10"/>
  <c r="G3419" i="10"/>
  <c r="H3419" i="10"/>
  <c r="A3420" i="10"/>
  <c r="B3420" i="10"/>
  <c r="C3420" i="10"/>
  <c r="D3420" i="10"/>
  <c r="E3420" i="10"/>
  <c r="F3420" i="10"/>
  <c r="G3420" i="10"/>
  <c r="H3420" i="10"/>
  <c r="A3421" i="10"/>
  <c r="B3421" i="10"/>
  <c r="C3421" i="10"/>
  <c r="D3421" i="10"/>
  <c r="E3421" i="10"/>
  <c r="F3421" i="10"/>
  <c r="G3421" i="10"/>
  <c r="H3421" i="10"/>
  <c r="A3422" i="10"/>
  <c r="B3422" i="10"/>
  <c r="C3422" i="10"/>
  <c r="D3422" i="10"/>
  <c r="E3422" i="10"/>
  <c r="F3422" i="10"/>
  <c r="G3422" i="10"/>
  <c r="H3422" i="10"/>
  <c r="A3423" i="10"/>
  <c r="B3423" i="10"/>
  <c r="C3423" i="10"/>
  <c r="D3423" i="10"/>
  <c r="E3423" i="10"/>
  <c r="F3423" i="10"/>
  <c r="G3423" i="10"/>
  <c r="H3423" i="10"/>
  <c r="A3424" i="10"/>
  <c r="B3424" i="10"/>
  <c r="C3424" i="10"/>
  <c r="D3424" i="10"/>
  <c r="E3424" i="10"/>
  <c r="F3424" i="10"/>
  <c r="G3424" i="10"/>
  <c r="H3424" i="10"/>
  <c r="A3425" i="10"/>
  <c r="B3425" i="10"/>
  <c r="C3425" i="10"/>
  <c r="D3425" i="10"/>
  <c r="E3425" i="10"/>
  <c r="F3425" i="10"/>
  <c r="G3425" i="10"/>
  <c r="H3425" i="10"/>
  <c r="A3426" i="10"/>
  <c r="B3426" i="10"/>
  <c r="C3426" i="10"/>
  <c r="D3426" i="10"/>
  <c r="E3426" i="10"/>
  <c r="F3426" i="10"/>
  <c r="G3426" i="10"/>
  <c r="H3426" i="10"/>
  <c r="A3427" i="10"/>
  <c r="B3427" i="10"/>
  <c r="C3427" i="10"/>
  <c r="D3427" i="10"/>
  <c r="E3427" i="10"/>
  <c r="F3427" i="10"/>
  <c r="G3427" i="10"/>
  <c r="H3427" i="10"/>
  <c r="A3428" i="10"/>
  <c r="B3428" i="10"/>
  <c r="C3428" i="10"/>
  <c r="D3428" i="10"/>
  <c r="E3428" i="10"/>
  <c r="F3428" i="10"/>
  <c r="G3428" i="10"/>
  <c r="H3428" i="10"/>
  <c r="A3429" i="10"/>
  <c r="B3429" i="10"/>
  <c r="C3429" i="10"/>
  <c r="D3429" i="10"/>
  <c r="E3429" i="10"/>
  <c r="F3429" i="10"/>
  <c r="G3429" i="10"/>
  <c r="H3429" i="10"/>
  <c r="A3430" i="10"/>
  <c r="B3430" i="10"/>
  <c r="C3430" i="10"/>
  <c r="D3430" i="10"/>
  <c r="E3430" i="10"/>
  <c r="F3430" i="10"/>
  <c r="G3430" i="10"/>
  <c r="H3430" i="10"/>
  <c r="A3431" i="10"/>
  <c r="B3431" i="10"/>
  <c r="C3431" i="10"/>
  <c r="D3431" i="10"/>
  <c r="E3431" i="10"/>
  <c r="F3431" i="10"/>
  <c r="G3431" i="10"/>
  <c r="H3431" i="10"/>
  <c r="A3432" i="10"/>
  <c r="B3432" i="10"/>
  <c r="C3432" i="10"/>
  <c r="D3432" i="10"/>
  <c r="E3432" i="10"/>
  <c r="F3432" i="10"/>
  <c r="G3432" i="10"/>
  <c r="H3432" i="10"/>
  <c r="A3433" i="10"/>
  <c r="B3433" i="10"/>
  <c r="C3433" i="10"/>
  <c r="D3433" i="10"/>
  <c r="E3433" i="10"/>
  <c r="F3433" i="10"/>
  <c r="G3433" i="10"/>
  <c r="H3433" i="10"/>
  <c r="A3434" i="10"/>
  <c r="B3434" i="10"/>
  <c r="C3434" i="10"/>
  <c r="D3434" i="10"/>
  <c r="E3434" i="10"/>
  <c r="F3434" i="10"/>
  <c r="G3434" i="10"/>
  <c r="H3434" i="10"/>
  <c r="A3435" i="10"/>
  <c r="B3435" i="10"/>
  <c r="C3435" i="10"/>
  <c r="D3435" i="10"/>
  <c r="E3435" i="10"/>
  <c r="F3435" i="10"/>
  <c r="G3435" i="10"/>
  <c r="H3435" i="10"/>
  <c r="A3436" i="10"/>
  <c r="B3436" i="10"/>
  <c r="C3436" i="10"/>
  <c r="D3436" i="10"/>
  <c r="E3436" i="10"/>
  <c r="F3436" i="10"/>
  <c r="G3436" i="10"/>
  <c r="H3436" i="10"/>
  <c r="A3437" i="10"/>
  <c r="B3437" i="10"/>
  <c r="C3437" i="10"/>
  <c r="D3437" i="10"/>
  <c r="E3437" i="10"/>
  <c r="F3437" i="10"/>
  <c r="G3437" i="10"/>
  <c r="H3437" i="10"/>
  <c r="A3438" i="10"/>
  <c r="B3438" i="10"/>
  <c r="C3438" i="10"/>
  <c r="D3438" i="10"/>
  <c r="E3438" i="10"/>
  <c r="F3438" i="10"/>
  <c r="G3438" i="10"/>
  <c r="H3438" i="10"/>
  <c r="A3439" i="10"/>
  <c r="B3439" i="10"/>
  <c r="C3439" i="10"/>
  <c r="D3439" i="10"/>
  <c r="E3439" i="10"/>
  <c r="F3439" i="10"/>
  <c r="G3439" i="10"/>
  <c r="H3439" i="10"/>
  <c r="A3440" i="10"/>
  <c r="B3440" i="10"/>
  <c r="C3440" i="10"/>
  <c r="D3440" i="10"/>
  <c r="E3440" i="10"/>
  <c r="F3440" i="10"/>
  <c r="G3440" i="10"/>
  <c r="H3440" i="10"/>
  <c r="A3441" i="10"/>
  <c r="B3441" i="10"/>
  <c r="C3441" i="10"/>
  <c r="D3441" i="10"/>
  <c r="E3441" i="10"/>
  <c r="F3441" i="10"/>
  <c r="G3441" i="10"/>
  <c r="H3441" i="10"/>
  <c r="A3442" i="10"/>
  <c r="B3442" i="10"/>
  <c r="C3442" i="10"/>
  <c r="D3442" i="10"/>
  <c r="E3442" i="10"/>
  <c r="F3442" i="10"/>
  <c r="G3442" i="10"/>
  <c r="H3442" i="10"/>
  <c r="A3443" i="10"/>
  <c r="B3443" i="10"/>
  <c r="C3443" i="10"/>
  <c r="D3443" i="10"/>
  <c r="E3443" i="10"/>
  <c r="F3443" i="10"/>
  <c r="G3443" i="10"/>
  <c r="H3443" i="10"/>
  <c r="A3444" i="10"/>
  <c r="B3444" i="10"/>
  <c r="C3444" i="10"/>
  <c r="D3444" i="10"/>
  <c r="E3444" i="10"/>
  <c r="F3444" i="10"/>
  <c r="G3444" i="10"/>
  <c r="H3444" i="10"/>
  <c r="A3445" i="10"/>
  <c r="B3445" i="10"/>
  <c r="C3445" i="10"/>
  <c r="D3445" i="10"/>
  <c r="E3445" i="10"/>
  <c r="F3445" i="10"/>
  <c r="G3445" i="10"/>
  <c r="H3445" i="10"/>
  <c r="A3446" i="10"/>
  <c r="B3446" i="10"/>
  <c r="C3446" i="10"/>
  <c r="D3446" i="10"/>
  <c r="E3446" i="10"/>
  <c r="F3446" i="10"/>
  <c r="G3446" i="10"/>
  <c r="H3446" i="10"/>
  <c r="A3447" i="10"/>
  <c r="B3447" i="10"/>
  <c r="C3447" i="10"/>
  <c r="D3447" i="10"/>
  <c r="E3447" i="10"/>
  <c r="F3447" i="10"/>
  <c r="G3447" i="10"/>
  <c r="H3447" i="10"/>
  <c r="A3448" i="10"/>
  <c r="B3448" i="10"/>
  <c r="C3448" i="10"/>
  <c r="D3448" i="10"/>
  <c r="E3448" i="10"/>
  <c r="F3448" i="10"/>
  <c r="G3448" i="10"/>
  <c r="H3448" i="10"/>
  <c r="A3449" i="10"/>
  <c r="B3449" i="10"/>
  <c r="C3449" i="10"/>
  <c r="D3449" i="10"/>
  <c r="E3449" i="10"/>
  <c r="F3449" i="10"/>
  <c r="G3449" i="10"/>
  <c r="H3449" i="10"/>
  <c r="A3450" i="10"/>
  <c r="B3450" i="10"/>
  <c r="C3450" i="10"/>
  <c r="D3450" i="10"/>
  <c r="E3450" i="10"/>
  <c r="F3450" i="10"/>
  <c r="G3450" i="10"/>
  <c r="H3450" i="10"/>
  <c r="A3451" i="10"/>
  <c r="B3451" i="10"/>
  <c r="C3451" i="10"/>
  <c r="D3451" i="10"/>
  <c r="E3451" i="10"/>
  <c r="F3451" i="10"/>
  <c r="G3451" i="10"/>
  <c r="H3451" i="10"/>
  <c r="A3452" i="10"/>
  <c r="B3452" i="10"/>
  <c r="C3452" i="10"/>
  <c r="D3452" i="10"/>
  <c r="E3452" i="10"/>
  <c r="F3452" i="10"/>
  <c r="G3452" i="10"/>
  <c r="H3452" i="10"/>
  <c r="A3453" i="10"/>
  <c r="B3453" i="10"/>
  <c r="C3453" i="10"/>
  <c r="D3453" i="10"/>
  <c r="E3453" i="10"/>
  <c r="F3453" i="10"/>
  <c r="G3453" i="10"/>
  <c r="H3453" i="10"/>
  <c r="A3454" i="10"/>
  <c r="B3454" i="10"/>
  <c r="C3454" i="10"/>
  <c r="D3454" i="10"/>
  <c r="E3454" i="10"/>
  <c r="F3454" i="10"/>
  <c r="G3454" i="10"/>
  <c r="H3454" i="10"/>
  <c r="A3455" i="10"/>
  <c r="B3455" i="10"/>
  <c r="C3455" i="10"/>
  <c r="D3455" i="10"/>
  <c r="E3455" i="10"/>
  <c r="F3455" i="10"/>
  <c r="G3455" i="10"/>
  <c r="H3455" i="10"/>
  <c r="A3456" i="10"/>
  <c r="B3456" i="10"/>
  <c r="C3456" i="10"/>
  <c r="D3456" i="10"/>
  <c r="E3456" i="10"/>
  <c r="F3456" i="10"/>
  <c r="G3456" i="10"/>
  <c r="H3456" i="10"/>
  <c r="A3457" i="10"/>
  <c r="B3457" i="10"/>
  <c r="C3457" i="10"/>
  <c r="D3457" i="10"/>
  <c r="E3457" i="10"/>
  <c r="F3457" i="10"/>
  <c r="G3457" i="10"/>
  <c r="H3457" i="10"/>
  <c r="A3458" i="10"/>
  <c r="B3458" i="10"/>
  <c r="C3458" i="10"/>
  <c r="D3458" i="10"/>
  <c r="E3458" i="10"/>
  <c r="F3458" i="10"/>
  <c r="G3458" i="10"/>
  <c r="H3458" i="10"/>
  <c r="A3459" i="10"/>
  <c r="B3459" i="10"/>
  <c r="C3459" i="10"/>
  <c r="D3459" i="10"/>
  <c r="E3459" i="10"/>
  <c r="F3459" i="10"/>
  <c r="G3459" i="10"/>
  <c r="H3459" i="10"/>
  <c r="A3460" i="10"/>
  <c r="B3460" i="10"/>
  <c r="C3460" i="10"/>
  <c r="D3460" i="10"/>
  <c r="E3460" i="10"/>
  <c r="F3460" i="10"/>
  <c r="G3460" i="10"/>
  <c r="H3460" i="10"/>
  <c r="A3461" i="10"/>
  <c r="B3461" i="10"/>
  <c r="C3461" i="10"/>
  <c r="D3461" i="10"/>
  <c r="E3461" i="10"/>
  <c r="F3461" i="10"/>
  <c r="G3461" i="10"/>
  <c r="H3461" i="10"/>
  <c r="A3462" i="10"/>
  <c r="B3462" i="10"/>
  <c r="C3462" i="10"/>
  <c r="D3462" i="10"/>
  <c r="E3462" i="10"/>
  <c r="F3462" i="10"/>
  <c r="G3462" i="10"/>
  <c r="H3462" i="10"/>
  <c r="A3463" i="10"/>
  <c r="B3463" i="10"/>
  <c r="C3463" i="10"/>
  <c r="D3463" i="10"/>
  <c r="E3463" i="10"/>
  <c r="F3463" i="10"/>
  <c r="G3463" i="10"/>
  <c r="H3463" i="10"/>
  <c r="A3464" i="10"/>
  <c r="B3464" i="10"/>
  <c r="C3464" i="10"/>
  <c r="D3464" i="10"/>
  <c r="E3464" i="10"/>
  <c r="F3464" i="10"/>
  <c r="G3464" i="10"/>
  <c r="H3464" i="10"/>
  <c r="A3465" i="10"/>
  <c r="B3465" i="10"/>
  <c r="C3465" i="10"/>
  <c r="D3465" i="10"/>
  <c r="E3465" i="10"/>
  <c r="F3465" i="10"/>
  <c r="G3465" i="10"/>
  <c r="H3465" i="10"/>
  <c r="A3466" i="10"/>
  <c r="B3466" i="10"/>
  <c r="C3466" i="10"/>
  <c r="D3466" i="10"/>
  <c r="E3466" i="10"/>
  <c r="F3466" i="10"/>
  <c r="G3466" i="10"/>
  <c r="H3466" i="10"/>
  <c r="A3467" i="10"/>
  <c r="B3467" i="10"/>
  <c r="C3467" i="10"/>
  <c r="D3467" i="10"/>
  <c r="E3467" i="10"/>
  <c r="F3467" i="10"/>
  <c r="G3467" i="10"/>
  <c r="H3467" i="10"/>
  <c r="A3468" i="10"/>
  <c r="B3468" i="10"/>
  <c r="C3468" i="10"/>
  <c r="D3468" i="10"/>
  <c r="E3468" i="10"/>
  <c r="F3468" i="10"/>
  <c r="G3468" i="10"/>
  <c r="H3468" i="10"/>
  <c r="A3469" i="10"/>
  <c r="B3469" i="10"/>
  <c r="C3469" i="10"/>
  <c r="D3469" i="10"/>
  <c r="E3469" i="10"/>
  <c r="F3469" i="10"/>
  <c r="G3469" i="10"/>
  <c r="H3469" i="10"/>
  <c r="A3470" i="10"/>
  <c r="B3470" i="10"/>
  <c r="C3470" i="10"/>
  <c r="D3470" i="10"/>
  <c r="E3470" i="10"/>
  <c r="F3470" i="10"/>
  <c r="G3470" i="10"/>
  <c r="H3470" i="10"/>
  <c r="A3471" i="10"/>
  <c r="B3471" i="10"/>
  <c r="C3471" i="10"/>
  <c r="D3471" i="10"/>
  <c r="E3471" i="10"/>
  <c r="F3471" i="10"/>
  <c r="G3471" i="10"/>
  <c r="H3471" i="10"/>
  <c r="A3472" i="10"/>
  <c r="B3472" i="10"/>
  <c r="C3472" i="10"/>
  <c r="D3472" i="10"/>
  <c r="E3472" i="10"/>
  <c r="F3472" i="10"/>
  <c r="G3472" i="10"/>
  <c r="H3472" i="10"/>
  <c r="A3473" i="10"/>
  <c r="B3473" i="10"/>
  <c r="C3473" i="10"/>
  <c r="D3473" i="10"/>
  <c r="E3473" i="10"/>
  <c r="F3473" i="10"/>
  <c r="G3473" i="10"/>
  <c r="H3473" i="10"/>
  <c r="A3474" i="10"/>
  <c r="B3474" i="10"/>
  <c r="C3474" i="10"/>
  <c r="D3474" i="10"/>
  <c r="E3474" i="10"/>
  <c r="F3474" i="10"/>
  <c r="G3474" i="10"/>
  <c r="H3474" i="10"/>
  <c r="A3475" i="10"/>
  <c r="B3475" i="10"/>
  <c r="C3475" i="10"/>
  <c r="D3475" i="10"/>
  <c r="E3475" i="10"/>
  <c r="F3475" i="10"/>
  <c r="G3475" i="10"/>
  <c r="H3475" i="10"/>
  <c r="A3476" i="10"/>
  <c r="B3476" i="10"/>
  <c r="C3476" i="10"/>
  <c r="D3476" i="10"/>
  <c r="E3476" i="10"/>
  <c r="F3476" i="10"/>
  <c r="G3476" i="10"/>
  <c r="H3476" i="10"/>
  <c r="A3477" i="10"/>
  <c r="B3477" i="10"/>
  <c r="C3477" i="10"/>
  <c r="D3477" i="10"/>
  <c r="E3477" i="10"/>
  <c r="F3477" i="10"/>
  <c r="G3477" i="10"/>
  <c r="H3477" i="10"/>
  <c r="A3478" i="10"/>
  <c r="B3478" i="10"/>
  <c r="C3478" i="10"/>
  <c r="D3478" i="10"/>
  <c r="E3478" i="10"/>
  <c r="F3478" i="10"/>
  <c r="G3478" i="10"/>
  <c r="H3478" i="10"/>
  <c r="A3479" i="10"/>
  <c r="B3479" i="10"/>
  <c r="C3479" i="10"/>
  <c r="D3479" i="10"/>
  <c r="E3479" i="10"/>
  <c r="F3479" i="10"/>
  <c r="G3479" i="10"/>
  <c r="H3479" i="10"/>
  <c r="A3480" i="10"/>
  <c r="B3480" i="10"/>
  <c r="C3480" i="10"/>
  <c r="D3480" i="10"/>
  <c r="E3480" i="10"/>
  <c r="F3480" i="10"/>
  <c r="G3480" i="10"/>
  <c r="H3480" i="10"/>
  <c r="A3481" i="10"/>
  <c r="B3481" i="10"/>
  <c r="C3481" i="10"/>
  <c r="D3481" i="10"/>
  <c r="E3481" i="10"/>
  <c r="F3481" i="10"/>
  <c r="G3481" i="10"/>
  <c r="H3481" i="10"/>
  <c r="A3482" i="10"/>
  <c r="B3482" i="10"/>
  <c r="C3482" i="10"/>
  <c r="D3482" i="10"/>
  <c r="E3482" i="10"/>
  <c r="F3482" i="10"/>
  <c r="G3482" i="10"/>
  <c r="H3482" i="10"/>
  <c r="A3483" i="10"/>
  <c r="B3483" i="10"/>
  <c r="C3483" i="10"/>
  <c r="D3483" i="10"/>
  <c r="E3483" i="10"/>
  <c r="F3483" i="10"/>
  <c r="G3483" i="10"/>
  <c r="H3483" i="10"/>
  <c r="A3484" i="10"/>
  <c r="B3484" i="10"/>
  <c r="C3484" i="10"/>
  <c r="D3484" i="10"/>
  <c r="E3484" i="10"/>
  <c r="F3484" i="10"/>
  <c r="G3484" i="10"/>
  <c r="H3484" i="10"/>
  <c r="A3485" i="10"/>
  <c r="B3485" i="10"/>
  <c r="C3485" i="10"/>
  <c r="D3485" i="10"/>
  <c r="E3485" i="10"/>
  <c r="F3485" i="10"/>
  <c r="G3485" i="10"/>
  <c r="H3485" i="10"/>
  <c r="A3486" i="10"/>
  <c r="B3486" i="10"/>
  <c r="C3486" i="10"/>
  <c r="D3486" i="10"/>
  <c r="E3486" i="10"/>
  <c r="F3486" i="10"/>
  <c r="G3486" i="10"/>
  <c r="H3486" i="10"/>
  <c r="A3487" i="10"/>
  <c r="B3487" i="10"/>
  <c r="C3487" i="10"/>
  <c r="D3487" i="10"/>
  <c r="E3487" i="10"/>
  <c r="F3487" i="10"/>
  <c r="G3487" i="10"/>
  <c r="H3487" i="10"/>
  <c r="A3488" i="10"/>
  <c r="B3488" i="10"/>
  <c r="C3488" i="10"/>
  <c r="D3488" i="10"/>
  <c r="E3488" i="10"/>
  <c r="F3488" i="10"/>
  <c r="G3488" i="10"/>
  <c r="H3488" i="10"/>
  <c r="A3489" i="10"/>
  <c r="B3489" i="10"/>
  <c r="C3489" i="10"/>
  <c r="D3489" i="10"/>
  <c r="E3489" i="10"/>
  <c r="F3489" i="10"/>
  <c r="G3489" i="10"/>
  <c r="H3489" i="10"/>
  <c r="A3490" i="10"/>
  <c r="B3490" i="10"/>
  <c r="C3490" i="10"/>
  <c r="D3490" i="10"/>
  <c r="E3490" i="10"/>
  <c r="F3490" i="10"/>
  <c r="G3490" i="10"/>
  <c r="H3490" i="10"/>
  <c r="A3491" i="10"/>
  <c r="B3491" i="10"/>
  <c r="C3491" i="10"/>
  <c r="D3491" i="10"/>
  <c r="E3491" i="10"/>
  <c r="F3491" i="10"/>
  <c r="G3491" i="10"/>
  <c r="H3491" i="10"/>
  <c r="A3492" i="10"/>
  <c r="B3492" i="10"/>
  <c r="C3492" i="10"/>
  <c r="D3492" i="10"/>
  <c r="E3492" i="10"/>
  <c r="F3492" i="10"/>
  <c r="G3492" i="10"/>
  <c r="H3492" i="10"/>
  <c r="A3493" i="10"/>
  <c r="B3493" i="10"/>
  <c r="C3493" i="10"/>
  <c r="D3493" i="10"/>
  <c r="E3493" i="10"/>
  <c r="F3493" i="10"/>
  <c r="G3493" i="10"/>
  <c r="H3493" i="10"/>
  <c r="A3494" i="10"/>
  <c r="B3494" i="10"/>
  <c r="C3494" i="10"/>
  <c r="D3494" i="10"/>
  <c r="E3494" i="10"/>
  <c r="F3494" i="10"/>
  <c r="G3494" i="10"/>
  <c r="H3494" i="10"/>
  <c r="A3495" i="10"/>
  <c r="B3495" i="10"/>
  <c r="C3495" i="10"/>
  <c r="D3495" i="10"/>
  <c r="E3495" i="10"/>
  <c r="F3495" i="10"/>
  <c r="G3495" i="10"/>
  <c r="H3495" i="10"/>
  <c r="A3496" i="10"/>
  <c r="B3496" i="10"/>
  <c r="C3496" i="10"/>
  <c r="D3496" i="10"/>
  <c r="E3496" i="10"/>
  <c r="F3496" i="10"/>
  <c r="G3496" i="10"/>
  <c r="H3496" i="10"/>
  <c r="A3497" i="10"/>
  <c r="B3497" i="10"/>
  <c r="C3497" i="10"/>
  <c r="D3497" i="10"/>
  <c r="E3497" i="10"/>
  <c r="F3497" i="10"/>
  <c r="G3497" i="10"/>
  <c r="H3497" i="10"/>
  <c r="A3498" i="10"/>
  <c r="B3498" i="10"/>
  <c r="C3498" i="10"/>
  <c r="D3498" i="10"/>
  <c r="E3498" i="10"/>
  <c r="F3498" i="10"/>
  <c r="G3498" i="10"/>
  <c r="H3498" i="10"/>
  <c r="A3499" i="10"/>
  <c r="B3499" i="10"/>
  <c r="C3499" i="10"/>
  <c r="D3499" i="10"/>
  <c r="E3499" i="10"/>
  <c r="F3499" i="10"/>
  <c r="G3499" i="10"/>
  <c r="H3499" i="10"/>
  <c r="A3500" i="10"/>
  <c r="B3500" i="10"/>
  <c r="C3500" i="10"/>
  <c r="D3500" i="10"/>
  <c r="E3500" i="10"/>
  <c r="F3500" i="10"/>
  <c r="G3500" i="10"/>
  <c r="H3500" i="10"/>
  <c r="A3501" i="10"/>
  <c r="B3501" i="10"/>
  <c r="C3501" i="10"/>
  <c r="D3501" i="10"/>
  <c r="E3501" i="10"/>
  <c r="F3501" i="10"/>
  <c r="G3501" i="10"/>
  <c r="H3501" i="10"/>
  <c r="A3502" i="10"/>
  <c r="B3502" i="10"/>
  <c r="C3502" i="10"/>
  <c r="D3502" i="10"/>
  <c r="E3502" i="10"/>
  <c r="F3502" i="10"/>
  <c r="G3502" i="10"/>
  <c r="H3502" i="10"/>
  <c r="A3503" i="10"/>
  <c r="B3503" i="10"/>
  <c r="C3503" i="10"/>
  <c r="D3503" i="10"/>
  <c r="E3503" i="10"/>
  <c r="F3503" i="10"/>
  <c r="G3503" i="10"/>
  <c r="H3503" i="10"/>
  <c r="A3504" i="10"/>
  <c r="B3504" i="10"/>
  <c r="C3504" i="10"/>
  <c r="D3504" i="10"/>
  <c r="E3504" i="10"/>
  <c r="F3504" i="10"/>
  <c r="G3504" i="10"/>
  <c r="H3504" i="10"/>
  <c r="A3505" i="10"/>
  <c r="B3505" i="10"/>
  <c r="C3505" i="10"/>
  <c r="D3505" i="10"/>
  <c r="E3505" i="10"/>
  <c r="F3505" i="10"/>
  <c r="G3505" i="10"/>
  <c r="H3505" i="10"/>
  <c r="A3506" i="10"/>
  <c r="B3506" i="10"/>
  <c r="C3506" i="10"/>
  <c r="D3506" i="10"/>
  <c r="E3506" i="10"/>
  <c r="F3506" i="10"/>
  <c r="G3506" i="10"/>
  <c r="H3506" i="10"/>
  <c r="A3507" i="10"/>
  <c r="B3507" i="10"/>
  <c r="C3507" i="10"/>
  <c r="D3507" i="10"/>
  <c r="E3507" i="10"/>
  <c r="F3507" i="10"/>
  <c r="G3507" i="10"/>
  <c r="H3507" i="10"/>
  <c r="A3508" i="10"/>
  <c r="B3508" i="10"/>
  <c r="C3508" i="10"/>
  <c r="D3508" i="10"/>
  <c r="E3508" i="10"/>
  <c r="F3508" i="10"/>
  <c r="G3508" i="10"/>
  <c r="H3508" i="10"/>
  <c r="A3509" i="10"/>
  <c r="B3509" i="10"/>
  <c r="C3509" i="10"/>
  <c r="D3509" i="10"/>
  <c r="E3509" i="10"/>
  <c r="F3509" i="10"/>
  <c r="G3509" i="10"/>
  <c r="H3509" i="10"/>
  <c r="A3510" i="10"/>
  <c r="B3510" i="10"/>
  <c r="C3510" i="10"/>
  <c r="D3510" i="10"/>
  <c r="E3510" i="10"/>
  <c r="F3510" i="10"/>
  <c r="G3510" i="10"/>
  <c r="H3510" i="10"/>
  <c r="A3511" i="10"/>
  <c r="B3511" i="10"/>
  <c r="C3511" i="10"/>
  <c r="D3511" i="10"/>
  <c r="E3511" i="10"/>
  <c r="F3511" i="10"/>
  <c r="G3511" i="10"/>
  <c r="H3511" i="10"/>
  <c r="A3512" i="10"/>
  <c r="B3512" i="10"/>
  <c r="C3512" i="10"/>
  <c r="D3512" i="10"/>
  <c r="E3512" i="10"/>
  <c r="F3512" i="10"/>
  <c r="G3512" i="10"/>
  <c r="H3512" i="10"/>
  <c r="A3513" i="10"/>
  <c r="B3513" i="10"/>
  <c r="C3513" i="10"/>
  <c r="D3513" i="10"/>
  <c r="E3513" i="10"/>
  <c r="F3513" i="10"/>
  <c r="G3513" i="10"/>
  <c r="H3513" i="10"/>
  <c r="A3514" i="10"/>
  <c r="B3514" i="10"/>
  <c r="C3514" i="10"/>
  <c r="D3514" i="10"/>
  <c r="E3514" i="10"/>
  <c r="F3514" i="10"/>
  <c r="G3514" i="10"/>
  <c r="H3514" i="10"/>
  <c r="A3516" i="10"/>
  <c r="B3516" i="10"/>
  <c r="C3516" i="10"/>
  <c r="D3516" i="10"/>
  <c r="E3516" i="10"/>
  <c r="F3516" i="10"/>
  <c r="G3516" i="10"/>
  <c r="H3516" i="10"/>
  <c r="A3517" i="10"/>
  <c r="B3517" i="10"/>
  <c r="C3517" i="10"/>
  <c r="D3517" i="10"/>
  <c r="E3517" i="10"/>
  <c r="F3517" i="10"/>
  <c r="G3517" i="10"/>
  <c r="H3517" i="10"/>
  <c r="A3518" i="10"/>
  <c r="B3518" i="10"/>
  <c r="C3518" i="10"/>
  <c r="D3518" i="10"/>
  <c r="E3518" i="10"/>
  <c r="F3518" i="10"/>
  <c r="G3518" i="10"/>
  <c r="H3518" i="10"/>
  <c r="A3519" i="10"/>
  <c r="B3519" i="10"/>
  <c r="C3519" i="10"/>
  <c r="D3519" i="10"/>
  <c r="E3519" i="10"/>
  <c r="F3519" i="10"/>
  <c r="G3519" i="10"/>
  <c r="H3519" i="10"/>
  <c r="A3520" i="10"/>
  <c r="B3520" i="10"/>
  <c r="C3520" i="10"/>
  <c r="D3520" i="10"/>
  <c r="E3520" i="10"/>
  <c r="F3520" i="10"/>
  <c r="G3520" i="10"/>
  <c r="H3520" i="10"/>
  <c r="A3521" i="10"/>
  <c r="B3521" i="10"/>
  <c r="C3521" i="10"/>
  <c r="D3521" i="10"/>
  <c r="E3521" i="10"/>
  <c r="F3521" i="10"/>
  <c r="G3521" i="10"/>
  <c r="H3521" i="10"/>
  <c r="A3522" i="10"/>
  <c r="B3522" i="10"/>
  <c r="C3522" i="10"/>
  <c r="D3522" i="10"/>
  <c r="E3522" i="10"/>
  <c r="F3522" i="10"/>
  <c r="G3522" i="10"/>
  <c r="H3522" i="10"/>
  <c r="A3523" i="10"/>
  <c r="B3523" i="10"/>
  <c r="C3523" i="10"/>
  <c r="D3523" i="10"/>
  <c r="E3523" i="10"/>
  <c r="F3523" i="10"/>
  <c r="G3523" i="10"/>
  <c r="H3523" i="10"/>
  <c r="A3524" i="10"/>
  <c r="B3524" i="10"/>
  <c r="C3524" i="10"/>
  <c r="D3524" i="10"/>
  <c r="E3524" i="10"/>
  <c r="F3524" i="10"/>
  <c r="G3524" i="10"/>
  <c r="H3524" i="10"/>
  <c r="A3525" i="10"/>
  <c r="B3525" i="10"/>
  <c r="C3525" i="10"/>
  <c r="D3525" i="10"/>
  <c r="E3525" i="10"/>
  <c r="F3525" i="10"/>
  <c r="G3525" i="10"/>
  <c r="H3525" i="10"/>
  <c r="A3526" i="10"/>
  <c r="B3526" i="10"/>
  <c r="C3526" i="10"/>
  <c r="D3526" i="10"/>
  <c r="E3526" i="10"/>
  <c r="F3526" i="10"/>
  <c r="G3526" i="10"/>
  <c r="H3526" i="10"/>
  <c r="A3527" i="10"/>
  <c r="B3527" i="10"/>
  <c r="C3527" i="10"/>
  <c r="D3527" i="10"/>
  <c r="E3527" i="10"/>
  <c r="F3527" i="10"/>
  <c r="G3527" i="10"/>
  <c r="H3527" i="10"/>
  <c r="A3528" i="10"/>
  <c r="B3528" i="10"/>
  <c r="C3528" i="10"/>
  <c r="D3528" i="10"/>
  <c r="E3528" i="10"/>
  <c r="F3528" i="10"/>
  <c r="G3528" i="10"/>
  <c r="H3528" i="10"/>
  <c r="A3529" i="10"/>
  <c r="B3529" i="10"/>
  <c r="C3529" i="10"/>
  <c r="D3529" i="10"/>
  <c r="E3529" i="10"/>
  <c r="F3529" i="10"/>
  <c r="G3529" i="10"/>
  <c r="H3529" i="10"/>
  <c r="A3530" i="10"/>
  <c r="B3530" i="10"/>
  <c r="C3530" i="10"/>
  <c r="D3530" i="10"/>
  <c r="E3530" i="10"/>
  <c r="F3530" i="10"/>
  <c r="G3530" i="10"/>
  <c r="H3530" i="10"/>
  <c r="B3531" i="10"/>
  <c r="C3531" i="10"/>
  <c r="D3531" i="10"/>
  <c r="E3531" i="10"/>
  <c r="F3531" i="10"/>
  <c r="G3531" i="10"/>
  <c r="H3531" i="10"/>
  <c r="C3532" i="10"/>
  <c r="D3532" i="10"/>
  <c r="E3532" i="10"/>
  <c r="F3532" i="10"/>
  <c r="G3532" i="10"/>
  <c r="H3532" i="10"/>
  <c r="C3533" i="10"/>
  <c r="D3533" i="10"/>
  <c r="E3533" i="10"/>
  <c r="F3533" i="10"/>
  <c r="G3533" i="10"/>
  <c r="H3533" i="10"/>
  <c r="A3534" i="10"/>
  <c r="C3534" i="10"/>
  <c r="D3534" i="10"/>
  <c r="E3534" i="10"/>
  <c r="F3534" i="10"/>
  <c r="G3534" i="10"/>
  <c r="H3534" i="10"/>
  <c r="A3535" i="10"/>
  <c r="C3535" i="10"/>
  <c r="D3535" i="10"/>
  <c r="E3535" i="10"/>
  <c r="F3535" i="10"/>
  <c r="G3535" i="10"/>
  <c r="H3535" i="10"/>
  <c r="A3536" i="10"/>
  <c r="B3536" i="10"/>
  <c r="C3536" i="10"/>
  <c r="D3536" i="10"/>
  <c r="E3536" i="10"/>
  <c r="F3536" i="10"/>
  <c r="G3536" i="10"/>
  <c r="H3536" i="10"/>
  <c r="A3537" i="10"/>
  <c r="B3537" i="10"/>
  <c r="C3537" i="10"/>
  <c r="D3537" i="10"/>
  <c r="E3537" i="10"/>
  <c r="F3537" i="10"/>
  <c r="G3537" i="10"/>
  <c r="H3537" i="10"/>
  <c r="A3538" i="10"/>
  <c r="B3538" i="10"/>
  <c r="C3538" i="10"/>
  <c r="D3538" i="10"/>
  <c r="E3538" i="10"/>
  <c r="F3538" i="10"/>
  <c r="G3538" i="10"/>
  <c r="H3538" i="10"/>
  <c r="A3539" i="10"/>
  <c r="B3539" i="10"/>
  <c r="C3539" i="10"/>
  <c r="D3539" i="10"/>
  <c r="E3539" i="10"/>
  <c r="F3539" i="10"/>
  <c r="G3539" i="10"/>
  <c r="H3539" i="10"/>
  <c r="A3540" i="10"/>
  <c r="B3540" i="10"/>
  <c r="C3540" i="10"/>
  <c r="D3540" i="10"/>
  <c r="E3540" i="10"/>
  <c r="F3540" i="10"/>
  <c r="G3540" i="10"/>
  <c r="H3540" i="10"/>
  <c r="A3541" i="10"/>
  <c r="B3541" i="10"/>
  <c r="C3541" i="10"/>
  <c r="D3541" i="10"/>
  <c r="E3541" i="10"/>
  <c r="F3541" i="10"/>
  <c r="G3541" i="10"/>
  <c r="H3541" i="10"/>
  <c r="A3542" i="10"/>
  <c r="B3542" i="10"/>
  <c r="C3542" i="10"/>
  <c r="D3542" i="10"/>
  <c r="E3542" i="10"/>
  <c r="F3542" i="10"/>
  <c r="G3542" i="10"/>
  <c r="H3542" i="10"/>
  <c r="A3543" i="10"/>
  <c r="B3543" i="10"/>
  <c r="C3543" i="10"/>
  <c r="D3543" i="10"/>
  <c r="E3543" i="10"/>
  <c r="F3543" i="10"/>
  <c r="G3543" i="10"/>
  <c r="H3543" i="10"/>
  <c r="A3544" i="10"/>
  <c r="B3544" i="10"/>
  <c r="C3544" i="10"/>
  <c r="D3544" i="10"/>
  <c r="E3544" i="10"/>
  <c r="F3544" i="10"/>
  <c r="G3544" i="10"/>
  <c r="H3544" i="10"/>
  <c r="A3545" i="10"/>
  <c r="B3545" i="10"/>
  <c r="C3545" i="10"/>
  <c r="D3545" i="10"/>
  <c r="E3545" i="10"/>
  <c r="F3545" i="10"/>
  <c r="G3545" i="10"/>
  <c r="H3545" i="10"/>
  <c r="A3546" i="10"/>
  <c r="B3546" i="10"/>
  <c r="C3546" i="10"/>
  <c r="D3546" i="10"/>
  <c r="E3546" i="10"/>
  <c r="F3546" i="10"/>
  <c r="G3546" i="10"/>
  <c r="H3546" i="10"/>
  <c r="A3547" i="10"/>
  <c r="B3547" i="10"/>
  <c r="C3547" i="10"/>
  <c r="D3547" i="10"/>
  <c r="E3547" i="10"/>
  <c r="F3547" i="10"/>
  <c r="G3547" i="10"/>
  <c r="H3547" i="10"/>
  <c r="A3548" i="10"/>
  <c r="B3548" i="10"/>
  <c r="C3548" i="10"/>
  <c r="D3548" i="10"/>
  <c r="E3548" i="10"/>
  <c r="F3548" i="10"/>
  <c r="G3548" i="10"/>
  <c r="H3548" i="10"/>
  <c r="A3549" i="10"/>
  <c r="B3549" i="10"/>
  <c r="C3549" i="10"/>
  <c r="D3549" i="10"/>
  <c r="E3549" i="10"/>
  <c r="F3549" i="10"/>
  <c r="G3549" i="10"/>
  <c r="H3549" i="10"/>
  <c r="A3550" i="10"/>
  <c r="B3550" i="10"/>
  <c r="C3550" i="10"/>
  <c r="D3550" i="10"/>
  <c r="E3550" i="10"/>
  <c r="F3550" i="10"/>
  <c r="G3550" i="10"/>
  <c r="H3550" i="10"/>
  <c r="A3551" i="10"/>
  <c r="B3551" i="10"/>
  <c r="C3551" i="10"/>
  <c r="D3551" i="10"/>
  <c r="E3551" i="10"/>
  <c r="F3551" i="10"/>
  <c r="G3551" i="10"/>
  <c r="H3551" i="10"/>
  <c r="A3552" i="10"/>
  <c r="B3552" i="10"/>
  <c r="C3552" i="10"/>
  <c r="D3552" i="10"/>
  <c r="E3552" i="10"/>
  <c r="F3552" i="10"/>
  <c r="G3552" i="10"/>
  <c r="H3552" i="10"/>
  <c r="A3553" i="10"/>
  <c r="B3553" i="10"/>
  <c r="C3553" i="10"/>
  <c r="D3553" i="10"/>
  <c r="E3553" i="10"/>
  <c r="F3553" i="10"/>
  <c r="G3553" i="10"/>
  <c r="H3553" i="10"/>
  <c r="A3554" i="10"/>
  <c r="B3554" i="10"/>
  <c r="C3554" i="10"/>
  <c r="D3554" i="10"/>
  <c r="E3554" i="10"/>
  <c r="F3554" i="10"/>
  <c r="G3554" i="10"/>
  <c r="H3554" i="10"/>
  <c r="A3555" i="10"/>
  <c r="B3555" i="10"/>
  <c r="C3555" i="10"/>
  <c r="D3555" i="10"/>
  <c r="E3555" i="10"/>
  <c r="F3555" i="10"/>
  <c r="G3555" i="10"/>
  <c r="H3555" i="10"/>
  <c r="A3556" i="10"/>
  <c r="B3556" i="10"/>
  <c r="C3556" i="10"/>
  <c r="D3556" i="10"/>
  <c r="E3556" i="10"/>
  <c r="F3556" i="10"/>
  <c r="G3556" i="10"/>
  <c r="H3556" i="10"/>
  <c r="A3557" i="10"/>
  <c r="B3557" i="10"/>
  <c r="C3557" i="10"/>
  <c r="D3557" i="10"/>
  <c r="E3557" i="10"/>
  <c r="F3557" i="10"/>
  <c r="G3557" i="10"/>
  <c r="H3557" i="10"/>
  <c r="A3558" i="10"/>
  <c r="B3558" i="10"/>
  <c r="C3558" i="10"/>
  <c r="D3558" i="10"/>
  <c r="E3558" i="10"/>
  <c r="F3558" i="10"/>
  <c r="G3558" i="10"/>
  <c r="H3558" i="10"/>
  <c r="A3559" i="10"/>
  <c r="B3559" i="10"/>
  <c r="C3559" i="10"/>
  <c r="D3559" i="10"/>
  <c r="E3559" i="10"/>
  <c r="F3559" i="10"/>
  <c r="G3559" i="10"/>
  <c r="H3559" i="10"/>
  <c r="A3560" i="10"/>
  <c r="B3560" i="10"/>
  <c r="C3560" i="10"/>
  <c r="D3560" i="10"/>
  <c r="E3560" i="10"/>
  <c r="F3560" i="10"/>
  <c r="G3560" i="10"/>
  <c r="H3560" i="10"/>
  <c r="A3561" i="10"/>
  <c r="B3561" i="10"/>
  <c r="C3561" i="10"/>
  <c r="D3561" i="10"/>
  <c r="E3561" i="10"/>
  <c r="F3561" i="10"/>
  <c r="G3561" i="10"/>
  <c r="H3561" i="10"/>
  <c r="A3562" i="10"/>
  <c r="B3562" i="10"/>
  <c r="C3562" i="10"/>
  <c r="D3562" i="10"/>
  <c r="E3562" i="10"/>
  <c r="F3562" i="10"/>
  <c r="G3562" i="10"/>
  <c r="H3562" i="10"/>
  <c r="A3563" i="10"/>
  <c r="B3563" i="10"/>
  <c r="C3563" i="10"/>
  <c r="D3563" i="10"/>
  <c r="E3563" i="10"/>
  <c r="F3563" i="10"/>
  <c r="G3563" i="10"/>
  <c r="H3563" i="10"/>
  <c r="A3564" i="10"/>
  <c r="B3564" i="10"/>
  <c r="C3564" i="10"/>
  <c r="D3564" i="10"/>
  <c r="E3564" i="10"/>
  <c r="F3564" i="10"/>
  <c r="G3564" i="10"/>
  <c r="H3564" i="10"/>
  <c r="A3565" i="10"/>
  <c r="B3565" i="10"/>
  <c r="C3565" i="10"/>
  <c r="D3565" i="10"/>
  <c r="E3565" i="10"/>
  <c r="F3565" i="10"/>
  <c r="G3565" i="10"/>
  <c r="H3565" i="10"/>
  <c r="A3566" i="10"/>
  <c r="B3566" i="10"/>
  <c r="C3566" i="10"/>
  <c r="D3566" i="10"/>
  <c r="E3566" i="10"/>
  <c r="F3566" i="10"/>
  <c r="G3566" i="10"/>
  <c r="H3566" i="10"/>
  <c r="A3567" i="10"/>
  <c r="B3567" i="10"/>
  <c r="C3567" i="10"/>
  <c r="D3567" i="10"/>
  <c r="E3567" i="10"/>
  <c r="F3567" i="10"/>
  <c r="G3567" i="10"/>
  <c r="H3567" i="10"/>
  <c r="A3568" i="10"/>
  <c r="B3568" i="10"/>
  <c r="C3568" i="10"/>
  <c r="D3568" i="10"/>
  <c r="E3568" i="10"/>
  <c r="F3568" i="10"/>
  <c r="G3568" i="10"/>
  <c r="H3568" i="10"/>
  <c r="A3569" i="10"/>
  <c r="B3569" i="10"/>
  <c r="C3569" i="10"/>
  <c r="D3569" i="10"/>
  <c r="E3569" i="10"/>
  <c r="F3569" i="10"/>
  <c r="G3569" i="10"/>
  <c r="H3569" i="10"/>
  <c r="A3570" i="10"/>
  <c r="B3570" i="10"/>
  <c r="C3570" i="10"/>
  <c r="D3570" i="10"/>
  <c r="E3570" i="10"/>
  <c r="F3570" i="10"/>
  <c r="G3570" i="10"/>
  <c r="H3570" i="10"/>
  <c r="A3571" i="10"/>
  <c r="B3571" i="10"/>
  <c r="C3571" i="10"/>
  <c r="D3571" i="10"/>
  <c r="E3571" i="10"/>
  <c r="F3571" i="10"/>
  <c r="G3571" i="10"/>
  <c r="H3571" i="10"/>
  <c r="A3572" i="10"/>
  <c r="B3572" i="10"/>
  <c r="C3572" i="10"/>
  <c r="D3572" i="10"/>
  <c r="E3572" i="10"/>
  <c r="F3572" i="10"/>
  <c r="G3572" i="10"/>
  <c r="H3572" i="10"/>
  <c r="A3573" i="10"/>
  <c r="B3573" i="10"/>
  <c r="C3573" i="10"/>
  <c r="D3573" i="10"/>
  <c r="E3573" i="10"/>
  <c r="F3573" i="10"/>
  <c r="G3573" i="10"/>
  <c r="H3573" i="10"/>
  <c r="A3574" i="10"/>
  <c r="B3574" i="10"/>
  <c r="C3574" i="10"/>
  <c r="D3574" i="10"/>
  <c r="E3574" i="10"/>
  <c r="F3574" i="10"/>
  <c r="G3574" i="10"/>
  <c r="H3574" i="10"/>
  <c r="A3575" i="10"/>
  <c r="B3575" i="10"/>
  <c r="C3575" i="10"/>
  <c r="D3575" i="10"/>
  <c r="E3575" i="10"/>
  <c r="F3575" i="10"/>
  <c r="G3575" i="10"/>
  <c r="H3575" i="10"/>
  <c r="A3576" i="10"/>
  <c r="B3576" i="10"/>
  <c r="C3576" i="10"/>
  <c r="D3576" i="10"/>
  <c r="E3576" i="10"/>
  <c r="F3576" i="10"/>
  <c r="G3576" i="10"/>
  <c r="H3576" i="10"/>
  <c r="A3577" i="10"/>
  <c r="B3577" i="10"/>
  <c r="C3577" i="10"/>
  <c r="D3577" i="10"/>
  <c r="E3577" i="10"/>
  <c r="F3577" i="10"/>
  <c r="G3577" i="10"/>
  <c r="H3577" i="10"/>
  <c r="A3578" i="10"/>
  <c r="B3578" i="10"/>
  <c r="C3578" i="10"/>
  <c r="D3578" i="10"/>
  <c r="E3578" i="10"/>
  <c r="F3578" i="10"/>
  <c r="G3578" i="10"/>
  <c r="H3578" i="10"/>
  <c r="A3579" i="10"/>
  <c r="B3579" i="10"/>
  <c r="C3579" i="10"/>
  <c r="D3579" i="10"/>
  <c r="E3579" i="10"/>
  <c r="F3579" i="10"/>
  <c r="G3579" i="10"/>
  <c r="H3579" i="10"/>
  <c r="A3580" i="10"/>
  <c r="B3580" i="10"/>
  <c r="C3580" i="10"/>
  <c r="D3580" i="10"/>
  <c r="E3580" i="10"/>
  <c r="F3580" i="10"/>
  <c r="G3580" i="10"/>
  <c r="H3580" i="10"/>
  <c r="A3581" i="10"/>
  <c r="B3581" i="10"/>
  <c r="C3581" i="10"/>
  <c r="D3581" i="10"/>
  <c r="E3581" i="10"/>
  <c r="F3581" i="10"/>
  <c r="G3581" i="10"/>
  <c r="H3581" i="10"/>
  <c r="A3582" i="10"/>
  <c r="B3582" i="10"/>
  <c r="C3582" i="10"/>
  <c r="D3582" i="10"/>
  <c r="E3582" i="10"/>
  <c r="F3582" i="10"/>
  <c r="G3582" i="10"/>
  <c r="H3582" i="10"/>
  <c r="A3583" i="10"/>
  <c r="B3583" i="10"/>
  <c r="C3583" i="10"/>
  <c r="D3583" i="10"/>
  <c r="E3583" i="10"/>
  <c r="F3583" i="10"/>
  <c r="G3583" i="10"/>
  <c r="H3583" i="10"/>
  <c r="A3584" i="10"/>
  <c r="B3584" i="10"/>
  <c r="C3584" i="10"/>
  <c r="D3584" i="10"/>
  <c r="E3584" i="10"/>
  <c r="F3584" i="10"/>
  <c r="G3584" i="10"/>
  <c r="H3584" i="10"/>
  <c r="A3585" i="10"/>
  <c r="B3585" i="10"/>
  <c r="C3585" i="10"/>
  <c r="D3585" i="10"/>
  <c r="E3585" i="10"/>
  <c r="F3585" i="10"/>
  <c r="G3585" i="10"/>
  <c r="H3585" i="10"/>
  <c r="A3586" i="10"/>
  <c r="B3586" i="10"/>
  <c r="C3586" i="10"/>
  <c r="D3586" i="10"/>
  <c r="E3586" i="10"/>
  <c r="F3586" i="10"/>
  <c r="G3586" i="10"/>
  <c r="H3586" i="10"/>
  <c r="A3587" i="10"/>
  <c r="B3587" i="10"/>
  <c r="C3587" i="10"/>
  <c r="D3587" i="10"/>
  <c r="E3587" i="10"/>
  <c r="F3587" i="10"/>
  <c r="G3587" i="10"/>
  <c r="H3587" i="10"/>
  <c r="A3588" i="10"/>
  <c r="B3588" i="10"/>
  <c r="C3588" i="10"/>
  <c r="D3588" i="10"/>
  <c r="E3588" i="10"/>
  <c r="F3588" i="10"/>
  <c r="G3588" i="10"/>
  <c r="H3588" i="10"/>
  <c r="A3589" i="10"/>
  <c r="B3589" i="10"/>
  <c r="C3589" i="10"/>
  <c r="D3589" i="10"/>
  <c r="E3589" i="10"/>
  <c r="F3589" i="10"/>
  <c r="G3589" i="10"/>
  <c r="H3589" i="10"/>
  <c r="A3590" i="10"/>
  <c r="B3590" i="10"/>
  <c r="C3590" i="10"/>
  <c r="D3590" i="10"/>
  <c r="E3590" i="10"/>
  <c r="F3590" i="10"/>
  <c r="G3590" i="10"/>
  <c r="H3590" i="10"/>
  <c r="A3591" i="10"/>
  <c r="B3591" i="10"/>
  <c r="C3591" i="10"/>
  <c r="D3591" i="10"/>
  <c r="E3591" i="10"/>
  <c r="F3591" i="10"/>
  <c r="G3591" i="10"/>
  <c r="H3591" i="10"/>
  <c r="A3592" i="10"/>
  <c r="B3592" i="10"/>
  <c r="C3592" i="10"/>
  <c r="D3592" i="10"/>
  <c r="E3592" i="10"/>
  <c r="F3592" i="10"/>
  <c r="G3592" i="10"/>
  <c r="H3592" i="10"/>
  <c r="A3593" i="10"/>
  <c r="B3593" i="10"/>
  <c r="C3593" i="10"/>
  <c r="D3593" i="10"/>
  <c r="E3593" i="10"/>
  <c r="F3593" i="10"/>
  <c r="G3593" i="10"/>
  <c r="H3593" i="10"/>
  <c r="A3594" i="10"/>
  <c r="B3594" i="10"/>
  <c r="C3594" i="10"/>
  <c r="D3594" i="10"/>
  <c r="E3594" i="10"/>
  <c r="F3594" i="10"/>
  <c r="G3594" i="10"/>
  <c r="H3594" i="10"/>
  <c r="A3595" i="10"/>
  <c r="B3595" i="10"/>
  <c r="C3595" i="10"/>
  <c r="D3595" i="10"/>
  <c r="E3595" i="10"/>
  <c r="F3595" i="10"/>
  <c r="G3595" i="10"/>
  <c r="H3595" i="10"/>
  <c r="A3596" i="10"/>
  <c r="B3596" i="10"/>
  <c r="C3596" i="10"/>
  <c r="D3596" i="10"/>
  <c r="E3596" i="10"/>
  <c r="F3596" i="10"/>
  <c r="G3596" i="10"/>
  <c r="H3596" i="10"/>
  <c r="A3597" i="10"/>
  <c r="B3597" i="10"/>
  <c r="C3597" i="10"/>
  <c r="D3597" i="10"/>
  <c r="E3597" i="10"/>
  <c r="F3597" i="10"/>
  <c r="G3597" i="10"/>
  <c r="H3597" i="10"/>
  <c r="A3598" i="10"/>
  <c r="B3598" i="10"/>
  <c r="C3598" i="10"/>
  <c r="D3598" i="10"/>
  <c r="E3598" i="10"/>
  <c r="F3598" i="10"/>
  <c r="G3598" i="10"/>
  <c r="H3598" i="10"/>
  <c r="A3599" i="10"/>
  <c r="B3599" i="10"/>
  <c r="C3599" i="10"/>
  <c r="D3599" i="10"/>
  <c r="E3599" i="10"/>
  <c r="F3599" i="10"/>
  <c r="G3599" i="10"/>
  <c r="H3599" i="10"/>
  <c r="A3600" i="10"/>
  <c r="B3600" i="10"/>
  <c r="C3600" i="10"/>
  <c r="D3600" i="10"/>
  <c r="E3600" i="10"/>
  <c r="F3600" i="10"/>
  <c r="G3600" i="10"/>
  <c r="H3600" i="10"/>
  <c r="A3601" i="10"/>
  <c r="B3601" i="10"/>
  <c r="C3601" i="10"/>
  <c r="D3601" i="10"/>
  <c r="E3601" i="10"/>
  <c r="F3601" i="10"/>
  <c r="G3601" i="10"/>
  <c r="H3601" i="10"/>
  <c r="A3602" i="10"/>
  <c r="B3602" i="10"/>
  <c r="C3602" i="10"/>
  <c r="D3602" i="10"/>
  <c r="E3602" i="10"/>
  <c r="F3602" i="10"/>
  <c r="G3602" i="10"/>
  <c r="H3602" i="10"/>
  <c r="A3603" i="10"/>
  <c r="B3603" i="10"/>
  <c r="C3603" i="10"/>
  <c r="D3603" i="10"/>
  <c r="E3603" i="10"/>
  <c r="F3603" i="10"/>
  <c r="G3603" i="10"/>
  <c r="H3603" i="10"/>
  <c r="A3604" i="10"/>
  <c r="B3604" i="10"/>
  <c r="C3604" i="10"/>
  <c r="D3604" i="10"/>
  <c r="E3604" i="10"/>
  <c r="F3604" i="10"/>
  <c r="G3604" i="10"/>
  <c r="H3604" i="10"/>
  <c r="A3605" i="10"/>
  <c r="B3605" i="10"/>
  <c r="C3605" i="10"/>
  <c r="D3605" i="10"/>
  <c r="E3605" i="10"/>
  <c r="F3605" i="10"/>
  <c r="G3605" i="10"/>
  <c r="H3605" i="10"/>
  <c r="A3606" i="10"/>
  <c r="B3606" i="10"/>
  <c r="C3606" i="10"/>
  <c r="D3606" i="10"/>
  <c r="E3606" i="10"/>
  <c r="F3606" i="10"/>
  <c r="G3606" i="10"/>
  <c r="H3606" i="10"/>
  <c r="A3607" i="10"/>
  <c r="B3607" i="10"/>
  <c r="C3607" i="10"/>
  <c r="D3607" i="10"/>
  <c r="E3607" i="10"/>
  <c r="F3607" i="10"/>
  <c r="G3607" i="10"/>
  <c r="H3607" i="10"/>
  <c r="A3608" i="10"/>
  <c r="B3608" i="10"/>
  <c r="C3608" i="10"/>
  <c r="D3608" i="10"/>
  <c r="E3608" i="10"/>
  <c r="F3608" i="10"/>
  <c r="G3608" i="10"/>
  <c r="H3608" i="10"/>
  <c r="A3609" i="10"/>
  <c r="B3609" i="10"/>
  <c r="C3609" i="10"/>
  <c r="D3609" i="10"/>
  <c r="E3609" i="10"/>
  <c r="F3609" i="10"/>
  <c r="G3609" i="10"/>
  <c r="H3609" i="10"/>
  <c r="A3610" i="10"/>
  <c r="B3610" i="10"/>
  <c r="C3610" i="10"/>
  <c r="D3610" i="10"/>
  <c r="E3610" i="10"/>
  <c r="F3610" i="10"/>
  <c r="G3610" i="10"/>
  <c r="H3610" i="10"/>
  <c r="A3611" i="10"/>
  <c r="B3611" i="10"/>
  <c r="C3611" i="10"/>
  <c r="D3611" i="10"/>
  <c r="E3611" i="10"/>
  <c r="F3611" i="10"/>
  <c r="G3611" i="10"/>
  <c r="H3611" i="10"/>
  <c r="A3612" i="10"/>
  <c r="B3612" i="10"/>
  <c r="C3612" i="10"/>
  <c r="D3612" i="10"/>
  <c r="E3612" i="10"/>
  <c r="F3612" i="10"/>
  <c r="G3612" i="10"/>
  <c r="H3612" i="10"/>
  <c r="A3613" i="10"/>
  <c r="B3613" i="10"/>
  <c r="C3613" i="10"/>
  <c r="D3613" i="10"/>
  <c r="E3613" i="10"/>
  <c r="F3613" i="10"/>
  <c r="G3613" i="10"/>
  <c r="H3613" i="10"/>
  <c r="A3614" i="10"/>
  <c r="B3614" i="10"/>
  <c r="C3614" i="10"/>
  <c r="D3614" i="10"/>
  <c r="E3614" i="10"/>
  <c r="F3614" i="10"/>
  <c r="G3614" i="10"/>
  <c r="H3614" i="10"/>
  <c r="A3615" i="10"/>
  <c r="B3615" i="10"/>
  <c r="C3615" i="10"/>
  <c r="D3615" i="10"/>
  <c r="E3615" i="10"/>
  <c r="F3615" i="10"/>
  <c r="G3615" i="10"/>
  <c r="H3615" i="10"/>
  <c r="A3616" i="10"/>
  <c r="B3616" i="10"/>
  <c r="C3616" i="10"/>
  <c r="D3616" i="10"/>
  <c r="E3616" i="10"/>
  <c r="F3616" i="10"/>
  <c r="G3616" i="10"/>
  <c r="H3616" i="10"/>
  <c r="A3617" i="10"/>
  <c r="B3617" i="10"/>
  <c r="C3617" i="10"/>
  <c r="D3617" i="10"/>
  <c r="E3617" i="10"/>
  <c r="F3617" i="10"/>
  <c r="G3617" i="10"/>
  <c r="H3617" i="10"/>
  <c r="A3618" i="10"/>
  <c r="B3618" i="10"/>
  <c r="C3618" i="10"/>
  <c r="D3618" i="10"/>
  <c r="E3618" i="10"/>
  <c r="F3618" i="10"/>
  <c r="G3618" i="10"/>
  <c r="H3618" i="10"/>
  <c r="A3619" i="10"/>
  <c r="B3619" i="10"/>
  <c r="C3619" i="10"/>
  <c r="D3619" i="10"/>
  <c r="E3619" i="10"/>
  <c r="F3619" i="10"/>
  <c r="G3619" i="10"/>
  <c r="H3619" i="10"/>
  <c r="A3620" i="10"/>
  <c r="B3620" i="10"/>
  <c r="C3620" i="10"/>
  <c r="D3620" i="10"/>
  <c r="E3620" i="10"/>
  <c r="F3620" i="10"/>
  <c r="G3620" i="10"/>
  <c r="H3620" i="10"/>
  <c r="A3621" i="10"/>
  <c r="B3621" i="10"/>
  <c r="C3621" i="10"/>
  <c r="D3621" i="10"/>
  <c r="E3621" i="10"/>
  <c r="F3621" i="10"/>
  <c r="G3621" i="10"/>
  <c r="H3621" i="10"/>
  <c r="A3622" i="10"/>
  <c r="B3622" i="10"/>
  <c r="C3622" i="10"/>
  <c r="D3622" i="10"/>
  <c r="E3622" i="10"/>
  <c r="F3622" i="10"/>
  <c r="G3622" i="10"/>
  <c r="H3622" i="10"/>
  <c r="A3623" i="10"/>
  <c r="B3623" i="10"/>
  <c r="C3623" i="10"/>
  <c r="D3623" i="10"/>
  <c r="E3623" i="10"/>
  <c r="F3623" i="10"/>
  <c r="G3623" i="10"/>
  <c r="H3623" i="10"/>
  <c r="A3624" i="10"/>
  <c r="B3624" i="10"/>
  <c r="C3624" i="10"/>
  <c r="D3624" i="10"/>
  <c r="E3624" i="10"/>
  <c r="F3624" i="10"/>
  <c r="G3624" i="10"/>
  <c r="H3624" i="10"/>
  <c r="A3625" i="10"/>
  <c r="B3625" i="10"/>
  <c r="C3625" i="10"/>
  <c r="D3625" i="10"/>
  <c r="E3625" i="10"/>
  <c r="F3625" i="10"/>
  <c r="G3625" i="10"/>
  <c r="H3625" i="10"/>
  <c r="A3626" i="10"/>
  <c r="B3626" i="10"/>
  <c r="C3626" i="10"/>
  <c r="D3626" i="10"/>
  <c r="E3626" i="10"/>
  <c r="F3626" i="10"/>
  <c r="G3626" i="10"/>
  <c r="H3626" i="10"/>
  <c r="A3627" i="10"/>
  <c r="B3627" i="10"/>
  <c r="C3627" i="10"/>
  <c r="D3627" i="10"/>
  <c r="E3627" i="10"/>
  <c r="F3627" i="10"/>
  <c r="G3627" i="10"/>
  <c r="H3627" i="10"/>
  <c r="A3628" i="10"/>
  <c r="B3628" i="10"/>
  <c r="C3628" i="10"/>
  <c r="D3628" i="10"/>
  <c r="E3628" i="10"/>
  <c r="F3628" i="10"/>
  <c r="G3628" i="10"/>
  <c r="H3628" i="10"/>
  <c r="A3629" i="10"/>
  <c r="B3629" i="10"/>
  <c r="C3629" i="10"/>
  <c r="D3629" i="10"/>
  <c r="E3629" i="10"/>
  <c r="F3629" i="10"/>
  <c r="G3629" i="10"/>
  <c r="H3629" i="10"/>
  <c r="A3630" i="10"/>
  <c r="B3630" i="10"/>
  <c r="C3630" i="10"/>
  <c r="D3630" i="10"/>
  <c r="E3630" i="10"/>
  <c r="F3630" i="10"/>
  <c r="G3630" i="10"/>
  <c r="H3630" i="10"/>
  <c r="A3631" i="10"/>
  <c r="B3631" i="10"/>
  <c r="C3631" i="10"/>
  <c r="D3631" i="10"/>
  <c r="E3631" i="10"/>
  <c r="F3631" i="10"/>
  <c r="G3631" i="10"/>
  <c r="H3631" i="10"/>
  <c r="A3632" i="10"/>
  <c r="B3632" i="10"/>
  <c r="C3632" i="10"/>
  <c r="D3632" i="10"/>
  <c r="E3632" i="10"/>
  <c r="F3632" i="10"/>
  <c r="G3632" i="10"/>
  <c r="H3632" i="10"/>
  <c r="A3633" i="10"/>
  <c r="B3633" i="10"/>
  <c r="C3633" i="10"/>
  <c r="D3633" i="10"/>
  <c r="E3633" i="10"/>
  <c r="F3633" i="10"/>
  <c r="G3633" i="10"/>
  <c r="H3633" i="10"/>
  <c r="A3634" i="10"/>
  <c r="B3634" i="10"/>
  <c r="C3634" i="10"/>
  <c r="D3634" i="10"/>
  <c r="E3634" i="10"/>
  <c r="F3634" i="10"/>
  <c r="G3634" i="10"/>
  <c r="H3634" i="10"/>
  <c r="A3635" i="10"/>
  <c r="B3635" i="10"/>
  <c r="C3635" i="10"/>
  <c r="D3635" i="10"/>
  <c r="E3635" i="10"/>
  <c r="F3635" i="10"/>
  <c r="G3635" i="10"/>
  <c r="H3635" i="10"/>
  <c r="A3636" i="10"/>
  <c r="B3636" i="10"/>
  <c r="C3636" i="10"/>
  <c r="D3636" i="10"/>
  <c r="E3636" i="10"/>
  <c r="F3636" i="10"/>
  <c r="G3636" i="10"/>
  <c r="H3636" i="10"/>
  <c r="A3637" i="10"/>
  <c r="B3637" i="10"/>
  <c r="C3637" i="10"/>
  <c r="D3637" i="10"/>
  <c r="E3637" i="10"/>
  <c r="F3637" i="10"/>
  <c r="G3637" i="10"/>
  <c r="H3637" i="10"/>
  <c r="A3638" i="10"/>
  <c r="B3638" i="10"/>
  <c r="C3638" i="10"/>
  <c r="D3638" i="10"/>
  <c r="E3638" i="10"/>
  <c r="F3638" i="10"/>
  <c r="G3638" i="10"/>
  <c r="H3638" i="10"/>
  <c r="A3639" i="10"/>
  <c r="B3639" i="10"/>
  <c r="C3639" i="10"/>
  <c r="D3639" i="10"/>
  <c r="E3639" i="10"/>
  <c r="F3639" i="10"/>
  <c r="G3639" i="10"/>
  <c r="H3639" i="10"/>
  <c r="A3640" i="10"/>
  <c r="B3640" i="10"/>
  <c r="C3640" i="10"/>
  <c r="D3640" i="10"/>
  <c r="E3640" i="10"/>
  <c r="F3640" i="10"/>
  <c r="G3640" i="10"/>
  <c r="H3640" i="10"/>
  <c r="A3641" i="10"/>
  <c r="B3641" i="10"/>
  <c r="C3641" i="10"/>
  <c r="D3641" i="10"/>
  <c r="E3641" i="10"/>
  <c r="F3641" i="10"/>
  <c r="G3641" i="10"/>
  <c r="H3641" i="10"/>
  <c r="A3642" i="10"/>
  <c r="B3642" i="10"/>
  <c r="C3642" i="10"/>
  <c r="D3642" i="10"/>
  <c r="E3642" i="10"/>
  <c r="F3642" i="10"/>
  <c r="G3642" i="10"/>
  <c r="H3642" i="10"/>
  <c r="A3643" i="10"/>
  <c r="B3643" i="10"/>
  <c r="C3643" i="10"/>
  <c r="D3643" i="10"/>
  <c r="E3643" i="10"/>
  <c r="F3643" i="10"/>
  <c r="G3643" i="10"/>
  <c r="H3643" i="10"/>
  <c r="A3644" i="10"/>
  <c r="B3644" i="10"/>
  <c r="C3644" i="10"/>
  <c r="D3644" i="10"/>
  <c r="E3644" i="10"/>
  <c r="F3644" i="10"/>
  <c r="G3644" i="10"/>
  <c r="H3644" i="10"/>
  <c r="A3645" i="10"/>
  <c r="B3645" i="10"/>
  <c r="C3645" i="10"/>
  <c r="D3645" i="10"/>
  <c r="E3645" i="10"/>
  <c r="F3645" i="10"/>
  <c r="G3645" i="10"/>
  <c r="H3645" i="10"/>
  <c r="A3646" i="10"/>
  <c r="B3646" i="10"/>
  <c r="C3646" i="10"/>
  <c r="D3646" i="10"/>
  <c r="E3646" i="10"/>
  <c r="F3646" i="10"/>
  <c r="G3646" i="10"/>
  <c r="H3646" i="10"/>
  <c r="A3647" i="10"/>
  <c r="B3647" i="10"/>
  <c r="C3647" i="10"/>
  <c r="D3647" i="10"/>
  <c r="E3647" i="10"/>
  <c r="F3647" i="10"/>
  <c r="G3647" i="10"/>
  <c r="H3647" i="10"/>
  <c r="A3648" i="10"/>
  <c r="B3648" i="10"/>
  <c r="C3648" i="10"/>
  <c r="D3648" i="10"/>
  <c r="E3648" i="10"/>
  <c r="F3648" i="10"/>
  <c r="G3648" i="10"/>
  <c r="H3648" i="10"/>
  <c r="A3649" i="10"/>
  <c r="B3649" i="10"/>
  <c r="C3649" i="10"/>
  <c r="D3649" i="10"/>
  <c r="E3649" i="10"/>
  <c r="F3649" i="10"/>
  <c r="G3649" i="10"/>
  <c r="H3649" i="10"/>
  <c r="A3650" i="10"/>
  <c r="B3650" i="10"/>
  <c r="C3650" i="10"/>
  <c r="D3650" i="10"/>
  <c r="E3650" i="10"/>
  <c r="F3650" i="10"/>
  <c r="G3650" i="10"/>
  <c r="H3650" i="10"/>
  <c r="A3651" i="10"/>
  <c r="B3651" i="10"/>
  <c r="C3651" i="10"/>
  <c r="D3651" i="10"/>
  <c r="E3651" i="10"/>
  <c r="F3651" i="10"/>
  <c r="G3651" i="10"/>
  <c r="H3651" i="10"/>
  <c r="A3652" i="10"/>
  <c r="B3652" i="10"/>
  <c r="C3652" i="10"/>
  <c r="D3652" i="10"/>
  <c r="E3652" i="10"/>
  <c r="F3652" i="10"/>
  <c r="G3652" i="10"/>
  <c r="H3652" i="10"/>
  <c r="A3653" i="10"/>
  <c r="B3653" i="10"/>
  <c r="C3653" i="10"/>
  <c r="D3653" i="10"/>
  <c r="E3653" i="10"/>
  <c r="F3653" i="10"/>
  <c r="G3653" i="10"/>
  <c r="H3653" i="10"/>
  <c r="A3654" i="10"/>
  <c r="B3654" i="10"/>
  <c r="C3654" i="10"/>
  <c r="D3654" i="10"/>
  <c r="E3654" i="10"/>
  <c r="F3654" i="10"/>
  <c r="G3654" i="10"/>
  <c r="H3654" i="10"/>
  <c r="A3655" i="10"/>
  <c r="B3655" i="10"/>
  <c r="C3655" i="10"/>
  <c r="D3655" i="10"/>
  <c r="E3655" i="10"/>
  <c r="F3655" i="10"/>
  <c r="G3655" i="10"/>
  <c r="H3655" i="10"/>
  <c r="A3656" i="10"/>
  <c r="B3656" i="10"/>
  <c r="C3656" i="10"/>
  <c r="D3656" i="10"/>
  <c r="E3656" i="10"/>
  <c r="F3656" i="10"/>
  <c r="G3656" i="10"/>
  <c r="H3656" i="10"/>
  <c r="A3657" i="10"/>
  <c r="B3657" i="10"/>
  <c r="C3657" i="10"/>
  <c r="D3657" i="10"/>
  <c r="E3657" i="10"/>
  <c r="F3657" i="10"/>
  <c r="G3657" i="10"/>
  <c r="H3657" i="10"/>
  <c r="A3658" i="10"/>
  <c r="B3658" i="10"/>
  <c r="C3658" i="10"/>
  <c r="D3658" i="10"/>
  <c r="E3658" i="10"/>
  <c r="F3658" i="10"/>
  <c r="G3658" i="10"/>
  <c r="H3658" i="10"/>
  <c r="A3659" i="10"/>
  <c r="B3659" i="10"/>
  <c r="C3659" i="10"/>
  <c r="D3659" i="10"/>
  <c r="E3659" i="10"/>
  <c r="F3659" i="10"/>
  <c r="G3659" i="10"/>
  <c r="H3659" i="10"/>
  <c r="A3660" i="10"/>
  <c r="B3660" i="10"/>
  <c r="C3660" i="10"/>
  <c r="D3660" i="10"/>
  <c r="E3660" i="10"/>
  <c r="F3660" i="10"/>
  <c r="G3660" i="10"/>
  <c r="H3660" i="10"/>
  <c r="A3661" i="10"/>
  <c r="B3661" i="10"/>
  <c r="C3661" i="10"/>
  <c r="D3661" i="10"/>
  <c r="E3661" i="10"/>
  <c r="F3661" i="10"/>
  <c r="G3661" i="10"/>
  <c r="H3661" i="10"/>
  <c r="A3662" i="10"/>
  <c r="B3662" i="10"/>
  <c r="C3662" i="10"/>
  <c r="D3662" i="10"/>
  <c r="E3662" i="10"/>
  <c r="F3662" i="10"/>
  <c r="G3662" i="10"/>
  <c r="H3662" i="10"/>
  <c r="A3663" i="10"/>
  <c r="B3663" i="10"/>
  <c r="C3663" i="10"/>
  <c r="D3663" i="10"/>
  <c r="E3663" i="10"/>
  <c r="F3663" i="10"/>
  <c r="G3663" i="10"/>
  <c r="H3663" i="10"/>
  <c r="A3664" i="10"/>
  <c r="B3664" i="10"/>
  <c r="C3664" i="10"/>
  <c r="D3664" i="10"/>
  <c r="E3664" i="10"/>
  <c r="F3664" i="10"/>
  <c r="G3664" i="10"/>
  <c r="H3664" i="10"/>
  <c r="A3665" i="10"/>
  <c r="B3665" i="10"/>
  <c r="C3665" i="10"/>
  <c r="D3665" i="10"/>
  <c r="E3665" i="10"/>
  <c r="F3665" i="10"/>
  <c r="G3665" i="10"/>
  <c r="H3665" i="10"/>
  <c r="A3666" i="10"/>
  <c r="B3666" i="10"/>
  <c r="C3666" i="10"/>
  <c r="D3666" i="10"/>
  <c r="E3666" i="10"/>
  <c r="F3666" i="10"/>
  <c r="G3666" i="10"/>
  <c r="H3666" i="10"/>
  <c r="A3667" i="10"/>
  <c r="B3667" i="10"/>
  <c r="C3667" i="10"/>
  <c r="D3667" i="10"/>
  <c r="E3667" i="10"/>
  <c r="F3667" i="10"/>
  <c r="G3667" i="10"/>
  <c r="H3667" i="10"/>
  <c r="A3668" i="10"/>
  <c r="B3668" i="10"/>
  <c r="C3668" i="10"/>
  <c r="D3668" i="10"/>
  <c r="E3668" i="10"/>
  <c r="F3668" i="10"/>
  <c r="G3668" i="10"/>
  <c r="H3668" i="10"/>
  <c r="A3669" i="10"/>
  <c r="B3669" i="10"/>
  <c r="C3669" i="10"/>
  <c r="D3669" i="10"/>
  <c r="E3669" i="10"/>
  <c r="F3669" i="10"/>
  <c r="G3669" i="10"/>
  <c r="H3669" i="10"/>
  <c r="A3670" i="10"/>
  <c r="B3670" i="10"/>
  <c r="C3670" i="10"/>
  <c r="D3670" i="10"/>
  <c r="E3670" i="10"/>
  <c r="F3670" i="10"/>
  <c r="G3670" i="10"/>
  <c r="H3670" i="10"/>
  <c r="A3671" i="10"/>
  <c r="B3671" i="10"/>
  <c r="C3671" i="10"/>
  <c r="D3671" i="10"/>
  <c r="E3671" i="10"/>
  <c r="F3671" i="10"/>
  <c r="G3671" i="10"/>
  <c r="H3671" i="10"/>
  <c r="A3672" i="10"/>
  <c r="B3672" i="10"/>
  <c r="C3672" i="10"/>
  <c r="D3672" i="10"/>
  <c r="E3672" i="10"/>
  <c r="F3672" i="10"/>
  <c r="G3672" i="10"/>
  <c r="H3672" i="10"/>
  <c r="A3673" i="10"/>
  <c r="B3673" i="10"/>
  <c r="C3673" i="10"/>
  <c r="D3673" i="10"/>
  <c r="E3673" i="10"/>
  <c r="F3673" i="10"/>
  <c r="G3673" i="10"/>
  <c r="H3673" i="10"/>
  <c r="A3674" i="10"/>
  <c r="B3674" i="10"/>
  <c r="C3674" i="10"/>
  <c r="D3674" i="10"/>
  <c r="E3674" i="10"/>
  <c r="F3674" i="10"/>
  <c r="G3674" i="10"/>
  <c r="H3674" i="10"/>
  <c r="A3675" i="10"/>
  <c r="B3675" i="10"/>
  <c r="C3675" i="10"/>
  <c r="D3675" i="10"/>
  <c r="E3675" i="10"/>
  <c r="F3675" i="10"/>
  <c r="G3675" i="10"/>
  <c r="H3675" i="10"/>
  <c r="A3676" i="10"/>
  <c r="B3676" i="10"/>
  <c r="C3676" i="10"/>
  <c r="D3676" i="10"/>
  <c r="E3676" i="10"/>
  <c r="F3676" i="10"/>
  <c r="G3676" i="10"/>
  <c r="H3676" i="10"/>
  <c r="A3677" i="10"/>
  <c r="B3677" i="10"/>
  <c r="C3677" i="10"/>
  <c r="D3677" i="10"/>
  <c r="E3677" i="10"/>
  <c r="F3677" i="10"/>
  <c r="G3677" i="10"/>
  <c r="H3677" i="10"/>
  <c r="A3678" i="10"/>
  <c r="B3678" i="10"/>
  <c r="C3678" i="10"/>
  <c r="D3678" i="10"/>
  <c r="E3678" i="10"/>
  <c r="F3678" i="10"/>
  <c r="G3678" i="10"/>
  <c r="H3678" i="10"/>
  <c r="A3679" i="10"/>
  <c r="B3679" i="10"/>
  <c r="C3679" i="10"/>
  <c r="D3679" i="10"/>
  <c r="E3679" i="10"/>
  <c r="F3679" i="10"/>
  <c r="G3679" i="10"/>
  <c r="H3679" i="10"/>
  <c r="A3680" i="10"/>
  <c r="B3680" i="10"/>
  <c r="C3680" i="10"/>
  <c r="D3680" i="10"/>
  <c r="E3680" i="10"/>
  <c r="F3680" i="10"/>
  <c r="G3680" i="10"/>
  <c r="H3680" i="10"/>
  <c r="A3681" i="10"/>
  <c r="B3681" i="10"/>
  <c r="C3681" i="10"/>
  <c r="D3681" i="10"/>
  <c r="E3681" i="10"/>
  <c r="F3681" i="10"/>
  <c r="G3681" i="10"/>
  <c r="H3681" i="10"/>
  <c r="A3682" i="10"/>
  <c r="B3682" i="10"/>
  <c r="C3682" i="10"/>
  <c r="D3682" i="10"/>
  <c r="E3682" i="10"/>
  <c r="F3682" i="10"/>
  <c r="G3682" i="10"/>
  <c r="H3682" i="10"/>
  <c r="A3683" i="10"/>
  <c r="B3683" i="10"/>
  <c r="C3683" i="10"/>
  <c r="D3683" i="10"/>
  <c r="E3683" i="10"/>
  <c r="F3683" i="10"/>
  <c r="G3683" i="10"/>
  <c r="H3683" i="10"/>
  <c r="A3684" i="10"/>
  <c r="B3684" i="10"/>
  <c r="C3684" i="10"/>
  <c r="D3684" i="10"/>
  <c r="E3684" i="10"/>
  <c r="F3684" i="10"/>
  <c r="G3684" i="10"/>
  <c r="H3684" i="10"/>
  <c r="A3685" i="10"/>
  <c r="B3685" i="10"/>
  <c r="C3685" i="10"/>
  <c r="D3685" i="10"/>
  <c r="E3685" i="10"/>
  <c r="F3685" i="10"/>
  <c r="G3685" i="10"/>
  <c r="H3685" i="10"/>
  <c r="A3686" i="10"/>
  <c r="B3686" i="10"/>
  <c r="C3686" i="10"/>
  <c r="D3686" i="10"/>
  <c r="E3686" i="10"/>
  <c r="F3686" i="10"/>
  <c r="G3686" i="10"/>
  <c r="H3686" i="10"/>
  <c r="A3687" i="10"/>
  <c r="B3687" i="10"/>
  <c r="C3687" i="10"/>
  <c r="D3687" i="10"/>
  <c r="E3687" i="10"/>
  <c r="F3687" i="10"/>
  <c r="G3687" i="10"/>
  <c r="H3687" i="10"/>
  <c r="A3688" i="10"/>
  <c r="B3688" i="10"/>
  <c r="C3688" i="10"/>
  <c r="D3688" i="10"/>
  <c r="E3688" i="10"/>
  <c r="F3688" i="10"/>
  <c r="G3688" i="10"/>
  <c r="H3688" i="10"/>
  <c r="A3689" i="10"/>
  <c r="B3689" i="10"/>
  <c r="C3689" i="10"/>
  <c r="D3689" i="10"/>
  <c r="E3689" i="10"/>
  <c r="F3689" i="10"/>
  <c r="G3689" i="10"/>
  <c r="H3689" i="10"/>
  <c r="A3690" i="10"/>
  <c r="B3690" i="10"/>
  <c r="C3690" i="10"/>
  <c r="D3690" i="10"/>
  <c r="E3690" i="10"/>
  <c r="F3690" i="10"/>
  <c r="G3690" i="10"/>
  <c r="H3690" i="10"/>
  <c r="A3691" i="10"/>
  <c r="B3691" i="10"/>
  <c r="C3691" i="10"/>
  <c r="D3691" i="10"/>
  <c r="E3691" i="10"/>
  <c r="F3691" i="10"/>
  <c r="G3691" i="10"/>
  <c r="H3691" i="10"/>
  <c r="A3692" i="10"/>
  <c r="B3692" i="10"/>
  <c r="C3692" i="10"/>
  <c r="D3692" i="10"/>
  <c r="E3692" i="10"/>
  <c r="F3692" i="10"/>
  <c r="G3692" i="10"/>
  <c r="H3692" i="10"/>
  <c r="A3693" i="10"/>
  <c r="B3693" i="10"/>
  <c r="C3693" i="10"/>
  <c r="D3693" i="10"/>
  <c r="E3693" i="10"/>
  <c r="F3693" i="10"/>
  <c r="G3693" i="10"/>
  <c r="H3693" i="10"/>
  <c r="A3694" i="10"/>
  <c r="B3694" i="10"/>
  <c r="C3694" i="10"/>
  <c r="D3694" i="10"/>
  <c r="E3694" i="10"/>
  <c r="F3694" i="10"/>
  <c r="G3694" i="10"/>
  <c r="H3694" i="10"/>
  <c r="A3695" i="10"/>
  <c r="B3695" i="10"/>
  <c r="C3695" i="10"/>
  <c r="D3695" i="10"/>
  <c r="E3695" i="10"/>
  <c r="F3695" i="10"/>
  <c r="G3695" i="10"/>
  <c r="H3695" i="10"/>
  <c r="A3696" i="10"/>
  <c r="B3696" i="10"/>
  <c r="C3696" i="10"/>
  <c r="D3696" i="10"/>
  <c r="E3696" i="10"/>
  <c r="F3696" i="10"/>
  <c r="G3696" i="10"/>
  <c r="H3696" i="10"/>
  <c r="A3697" i="10"/>
  <c r="B3697" i="10"/>
  <c r="C3697" i="10"/>
  <c r="D3697" i="10"/>
  <c r="E3697" i="10"/>
  <c r="F3697" i="10"/>
  <c r="G3697" i="10"/>
  <c r="H3697" i="10"/>
  <c r="A3698" i="10"/>
  <c r="B3698" i="10"/>
  <c r="C3698" i="10"/>
  <c r="D3698" i="10"/>
  <c r="E3698" i="10"/>
  <c r="F3698" i="10"/>
  <c r="G3698" i="10"/>
  <c r="H3698" i="10"/>
  <c r="A3699" i="10"/>
  <c r="B3699" i="10"/>
  <c r="C3699" i="10"/>
  <c r="D3699" i="10"/>
  <c r="E3699" i="10"/>
  <c r="F3699" i="10"/>
  <c r="G3699" i="10"/>
  <c r="H3699" i="10"/>
  <c r="A3700" i="10"/>
  <c r="B3700" i="10"/>
  <c r="C3700" i="10"/>
  <c r="D3700" i="10"/>
  <c r="E3700" i="10"/>
  <c r="F3700" i="10"/>
  <c r="G3700" i="10"/>
  <c r="H3700" i="10"/>
  <c r="A3701" i="10"/>
  <c r="B3701" i="10"/>
  <c r="C3701" i="10"/>
  <c r="D3701" i="10"/>
  <c r="E3701" i="10"/>
  <c r="F3701" i="10"/>
  <c r="G3701" i="10"/>
  <c r="H3701" i="10"/>
  <c r="A3702" i="10"/>
  <c r="B3702" i="10"/>
  <c r="C3702" i="10"/>
  <c r="D3702" i="10"/>
  <c r="E3702" i="10"/>
  <c r="F3702" i="10"/>
  <c r="G3702" i="10"/>
  <c r="H3702" i="10"/>
  <c r="A3703" i="10"/>
  <c r="B3703" i="10"/>
  <c r="C3703" i="10"/>
  <c r="D3703" i="10"/>
  <c r="E3703" i="10"/>
  <c r="F3703" i="10"/>
  <c r="G3703" i="10"/>
  <c r="H3703" i="10"/>
  <c r="A3704" i="10"/>
  <c r="B3704" i="10"/>
  <c r="C3704" i="10"/>
  <c r="D3704" i="10"/>
  <c r="E3704" i="10"/>
  <c r="F3704" i="10"/>
  <c r="G3704" i="10"/>
  <c r="H3704" i="10"/>
  <c r="A3705" i="10"/>
  <c r="B3705" i="10"/>
  <c r="C3705" i="10"/>
  <c r="D3705" i="10"/>
  <c r="E3705" i="10"/>
  <c r="F3705" i="10"/>
  <c r="G3705" i="10"/>
  <c r="H3705" i="10"/>
  <c r="A3706" i="10"/>
  <c r="B3706" i="10"/>
  <c r="C3706" i="10"/>
  <c r="D3706" i="10"/>
  <c r="E3706" i="10"/>
  <c r="F3706" i="10"/>
  <c r="G3706" i="10"/>
  <c r="H3706" i="10"/>
  <c r="A3707" i="10"/>
  <c r="B3707" i="10"/>
  <c r="C3707" i="10"/>
  <c r="D3707" i="10"/>
  <c r="E3707" i="10"/>
  <c r="F3707" i="10"/>
  <c r="G3707" i="10"/>
  <c r="H3707" i="10"/>
  <c r="A3708" i="10"/>
  <c r="B3708" i="10"/>
  <c r="C3708" i="10"/>
  <c r="D3708" i="10"/>
  <c r="E3708" i="10"/>
  <c r="F3708" i="10"/>
  <c r="G3708" i="10"/>
  <c r="H3708" i="10"/>
  <c r="A3709" i="10"/>
  <c r="B3709" i="10"/>
  <c r="C3709" i="10"/>
  <c r="D3709" i="10"/>
  <c r="E3709" i="10"/>
  <c r="F3709" i="10"/>
  <c r="G3709" i="10"/>
  <c r="H3709" i="10"/>
  <c r="A3710" i="10"/>
  <c r="B3710" i="10"/>
  <c r="C3710" i="10"/>
  <c r="D3710" i="10"/>
  <c r="E3710" i="10"/>
  <c r="F3710" i="10"/>
  <c r="G3710" i="10"/>
  <c r="H3710" i="10"/>
  <c r="A3711" i="10"/>
  <c r="B3711" i="10"/>
  <c r="C3711" i="10"/>
  <c r="D3711" i="10"/>
  <c r="E3711" i="10"/>
  <c r="F3711" i="10"/>
  <c r="G3711" i="10"/>
  <c r="H3711" i="10"/>
  <c r="A3712" i="10"/>
  <c r="B3712" i="10"/>
  <c r="C3712" i="10"/>
  <c r="D3712" i="10"/>
  <c r="E3712" i="10"/>
  <c r="F3712" i="10"/>
  <c r="G3712" i="10"/>
  <c r="H3712" i="10"/>
  <c r="A3713" i="10"/>
  <c r="B3713" i="10"/>
  <c r="C3713" i="10"/>
  <c r="D3713" i="10"/>
  <c r="E3713" i="10"/>
  <c r="F3713" i="10"/>
  <c r="G3713" i="10"/>
  <c r="H3713" i="10"/>
  <c r="A3714" i="10"/>
  <c r="B3714" i="10"/>
  <c r="C3714" i="10"/>
  <c r="D3714" i="10"/>
  <c r="E3714" i="10"/>
  <c r="F3714" i="10"/>
  <c r="G3714" i="10"/>
  <c r="H3714" i="10"/>
  <c r="A3715" i="10"/>
  <c r="B3715" i="10"/>
  <c r="C3715" i="10"/>
  <c r="D3715" i="10"/>
  <c r="E3715" i="10"/>
  <c r="F3715" i="10"/>
  <c r="G3715" i="10"/>
  <c r="H3715" i="10"/>
  <c r="A3716" i="10"/>
  <c r="B3716" i="10"/>
  <c r="C3716" i="10"/>
  <c r="D3716" i="10"/>
  <c r="E3716" i="10"/>
  <c r="F3716" i="10"/>
  <c r="G3716" i="10"/>
  <c r="H3716" i="10"/>
  <c r="A3717" i="10"/>
  <c r="B3717" i="10"/>
  <c r="C3717" i="10"/>
  <c r="D3717" i="10"/>
  <c r="E3717" i="10"/>
  <c r="F3717" i="10"/>
  <c r="G3717" i="10"/>
  <c r="H3717" i="10"/>
  <c r="A3718" i="10"/>
  <c r="B3718" i="10"/>
  <c r="C3718" i="10"/>
  <c r="D3718" i="10"/>
  <c r="E3718" i="10"/>
  <c r="F3718" i="10"/>
  <c r="G3718" i="10"/>
  <c r="H3718" i="10"/>
  <c r="A3719" i="10"/>
  <c r="B3719" i="10"/>
  <c r="C3719" i="10"/>
  <c r="D3719" i="10"/>
  <c r="E3719" i="10"/>
  <c r="F3719" i="10"/>
  <c r="G3719" i="10"/>
  <c r="H3719" i="10"/>
  <c r="A3720" i="10"/>
  <c r="B3720" i="10"/>
  <c r="C3720" i="10"/>
  <c r="D3720" i="10"/>
  <c r="E3720" i="10"/>
  <c r="F3720" i="10"/>
  <c r="G3720" i="10"/>
  <c r="H3720" i="10"/>
  <c r="A3721" i="10"/>
  <c r="B3721" i="10"/>
  <c r="C3721" i="10"/>
  <c r="D3721" i="10"/>
  <c r="E3721" i="10"/>
  <c r="F3721" i="10"/>
  <c r="G3721" i="10"/>
  <c r="H3721" i="10"/>
  <c r="A3722" i="10"/>
  <c r="B3722" i="10"/>
  <c r="C3722" i="10"/>
  <c r="D3722" i="10"/>
  <c r="E3722" i="10"/>
  <c r="F3722" i="10"/>
  <c r="G3722" i="10"/>
  <c r="H3722" i="10"/>
  <c r="A3723" i="10"/>
  <c r="B3723" i="10"/>
  <c r="C3723" i="10"/>
  <c r="D3723" i="10"/>
  <c r="E3723" i="10"/>
  <c r="F3723" i="10"/>
  <c r="G3723" i="10"/>
  <c r="H3723" i="10"/>
  <c r="A3724" i="10"/>
  <c r="B3724" i="10"/>
  <c r="C3724" i="10"/>
  <c r="D3724" i="10"/>
  <c r="E3724" i="10"/>
  <c r="F3724" i="10"/>
  <c r="G3724" i="10"/>
  <c r="H3724" i="10"/>
  <c r="A3725" i="10"/>
  <c r="B3725" i="10"/>
  <c r="C3725" i="10"/>
  <c r="D3725" i="10"/>
  <c r="E3725" i="10"/>
  <c r="F3725" i="10"/>
  <c r="G3725" i="10"/>
  <c r="H3725" i="10"/>
  <c r="A3726" i="10"/>
  <c r="B3726" i="10"/>
  <c r="C3726" i="10"/>
  <c r="D3726" i="10"/>
  <c r="E3726" i="10"/>
  <c r="F3726" i="10"/>
  <c r="G3726" i="10"/>
  <c r="H3726" i="10"/>
  <c r="A3727" i="10"/>
  <c r="B3727" i="10"/>
  <c r="C3727" i="10"/>
  <c r="D3727" i="10"/>
  <c r="E3727" i="10"/>
  <c r="F3727" i="10"/>
  <c r="G3727" i="10"/>
  <c r="H3727" i="10"/>
  <c r="A3728" i="10"/>
  <c r="B3728" i="10"/>
  <c r="C3728" i="10"/>
  <c r="D3728" i="10"/>
  <c r="E3728" i="10"/>
  <c r="F3728" i="10"/>
  <c r="G3728" i="10"/>
  <c r="H3728" i="10"/>
  <c r="A3729" i="10"/>
  <c r="B3729" i="10"/>
  <c r="C3729" i="10"/>
  <c r="D3729" i="10"/>
  <c r="E3729" i="10"/>
  <c r="F3729" i="10"/>
  <c r="G3729" i="10"/>
  <c r="H3729" i="10"/>
  <c r="A3730" i="10"/>
  <c r="B3730" i="10"/>
  <c r="C3730" i="10"/>
  <c r="D3730" i="10"/>
  <c r="E3730" i="10"/>
  <c r="F3730" i="10"/>
  <c r="G3730" i="10"/>
  <c r="H3730" i="10"/>
  <c r="A3731" i="10"/>
  <c r="B3731" i="10"/>
  <c r="C3731" i="10"/>
  <c r="D3731" i="10"/>
  <c r="E3731" i="10"/>
  <c r="F3731" i="10"/>
  <c r="G3731" i="10"/>
  <c r="H3731" i="10"/>
  <c r="A3732" i="10"/>
  <c r="B3732" i="10"/>
  <c r="C3732" i="10"/>
  <c r="D3732" i="10"/>
  <c r="E3732" i="10"/>
  <c r="F3732" i="10"/>
  <c r="G3732" i="10"/>
  <c r="H3732" i="10"/>
  <c r="A3733" i="10"/>
  <c r="B3733" i="10"/>
  <c r="C3733" i="10"/>
  <c r="D3733" i="10"/>
  <c r="E3733" i="10"/>
  <c r="F3733" i="10"/>
  <c r="G3733" i="10"/>
  <c r="H3733" i="10"/>
  <c r="A3734" i="10"/>
  <c r="B3734" i="10"/>
  <c r="C3734" i="10"/>
  <c r="D3734" i="10"/>
  <c r="E3734" i="10"/>
  <c r="F3734" i="10"/>
  <c r="G3734" i="10"/>
  <c r="H3734" i="10"/>
  <c r="A3735" i="10"/>
  <c r="B3735" i="10"/>
  <c r="C3735" i="10"/>
  <c r="D3735" i="10"/>
  <c r="E3735" i="10"/>
  <c r="F3735" i="10"/>
  <c r="G3735" i="10"/>
  <c r="H3735" i="10"/>
  <c r="A3736" i="10"/>
  <c r="B3736" i="10"/>
  <c r="C3736" i="10"/>
  <c r="D3736" i="10"/>
  <c r="E3736" i="10"/>
  <c r="F3736" i="10"/>
  <c r="G3736" i="10"/>
  <c r="H3736" i="10"/>
  <c r="A3737" i="10"/>
  <c r="B3737" i="10"/>
  <c r="C3737" i="10"/>
  <c r="D3737" i="10"/>
  <c r="E3737" i="10"/>
  <c r="F3737" i="10"/>
  <c r="G3737" i="10"/>
  <c r="H3737" i="10"/>
  <c r="A3738" i="10"/>
  <c r="B3738" i="10"/>
  <c r="C3738" i="10"/>
  <c r="D3738" i="10"/>
  <c r="E3738" i="10"/>
  <c r="F3738" i="10"/>
  <c r="G3738" i="10"/>
  <c r="H3738" i="10"/>
  <c r="A3739" i="10"/>
  <c r="B3739" i="10"/>
  <c r="C3739" i="10"/>
  <c r="D3739" i="10"/>
  <c r="E3739" i="10"/>
  <c r="F3739" i="10"/>
  <c r="G3739" i="10"/>
  <c r="H3739" i="10"/>
  <c r="A3740" i="10"/>
  <c r="B3740" i="10"/>
  <c r="C3740" i="10"/>
  <c r="D3740" i="10"/>
  <c r="E3740" i="10"/>
  <c r="F3740" i="10"/>
  <c r="G3740" i="10"/>
  <c r="H3740" i="10"/>
  <c r="A3741" i="10"/>
  <c r="B3741" i="10"/>
  <c r="C3741" i="10"/>
  <c r="D3741" i="10"/>
  <c r="E3741" i="10"/>
  <c r="F3741" i="10"/>
  <c r="G3741" i="10"/>
  <c r="H3741" i="10"/>
  <c r="A3742" i="10"/>
  <c r="B3742" i="10"/>
  <c r="C3742" i="10"/>
  <c r="D3742" i="10"/>
  <c r="E3742" i="10"/>
  <c r="F3742" i="10"/>
  <c r="G3742" i="10"/>
  <c r="H3742" i="10"/>
  <c r="A3743" i="10"/>
  <c r="B3743" i="10"/>
  <c r="C3743" i="10"/>
  <c r="D3743" i="10"/>
  <c r="E3743" i="10"/>
  <c r="F3743" i="10"/>
  <c r="G3743" i="10"/>
  <c r="H3743" i="10"/>
  <c r="A3744" i="10"/>
  <c r="B3744" i="10"/>
  <c r="C3744" i="10"/>
  <c r="D3744" i="10"/>
  <c r="E3744" i="10"/>
  <c r="F3744" i="10"/>
  <c r="G3744" i="10"/>
  <c r="H3744" i="10"/>
  <c r="A3745" i="10"/>
  <c r="B3745" i="10"/>
  <c r="C3745" i="10"/>
  <c r="D3745" i="10"/>
  <c r="E3745" i="10"/>
  <c r="F3745" i="10"/>
  <c r="G3745" i="10"/>
  <c r="H3745" i="10"/>
  <c r="A3746" i="10"/>
  <c r="B3746" i="10"/>
  <c r="C3746" i="10"/>
  <c r="D3746" i="10"/>
  <c r="E3746" i="10"/>
  <c r="F3746" i="10"/>
  <c r="G3746" i="10"/>
  <c r="H3746" i="10"/>
  <c r="A3747" i="10"/>
  <c r="B3747" i="10"/>
  <c r="C3747" i="10"/>
  <c r="D3747" i="10"/>
  <c r="E3747" i="10"/>
  <c r="F3747" i="10"/>
  <c r="G3747" i="10"/>
  <c r="H3747" i="10"/>
  <c r="A3748" i="10"/>
  <c r="B3748" i="10"/>
  <c r="C3748" i="10"/>
  <c r="D3748" i="10"/>
  <c r="E3748" i="10"/>
  <c r="F3748" i="10"/>
  <c r="G3748" i="10"/>
  <c r="H3748" i="10"/>
  <c r="A3749" i="10"/>
  <c r="B3749" i="10"/>
  <c r="C3749" i="10"/>
  <c r="D3749" i="10"/>
  <c r="E3749" i="10"/>
  <c r="F3749" i="10"/>
  <c r="G3749" i="10"/>
  <c r="H3749" i="10"/>
  <c r="A3750" i="10"/>
  <c r="B3750" i="10"/>
  <c r="C3750" i="10"/>
  <c r="D3750" i="10"/>
  <c r="E3750" i="10"/>
  <c r="F3750" i="10"/>
  <c r="G3750" i="10"/>
  <c r="H3750" i="10"/>
  <c r="A3751" i="10"/>
  <c r="B3751" i="10"/>
  <c r="C3751" i="10"/>
  <c r="D3751" i="10"/>
  <c r="E3751" i="10"/>
  <c r="F3751" i="10"/>
  <c r="G3751" i="10"/>
  <c r="H3751" i="10"/>
  <c r="A3752" i="10"/>
  <c r="B3752" i="10"/>
  <c r="C3752" i="10"/>
  <c r="D3752" i="10"/>
  <c r="E3752" i="10"/>
  <c r="F3752" i="10"/>
  <c r="G3752" i="10"/>
  <c r="H3752" i="10"/>
  <c r="A3753" i="10"/>
  <c r="B3753" i="10"/>
  <c r="C3753" i="10"/>
  <c r="D3753" i="10"/>
  <c r="E3753" i="10"/>
  <c r="F3753" i="10"/>
  <c r="G3753" i="10"/>
  <c r="H3753" i="10"/>
  <c r="A3754" i="10"/>
  <c r="B3754" i="10"/>
  <c r="C3754" i="10"/>
  <c r="D3754" i="10"/>
  <c r="E3754" i="10"/>
  <c r="F3754" i="10"/>
  <c r="G3754" i="10"/>
  <c r="H3754" i="10"/>
  <c r="A3755" i="10"/>
  <c r="B3755" i="10"/>
  <c r="C3755" i="10"/>
  <c r="D3755" i="10"/>
  <c r="E3755" i="10"/>
  <c r="F3755" i="10"/>
  <c r="G3755" i="10"/>
  <c r="H3755" i="10"/>
  <c r="A3756" i="10"/>
  <c r="B3756" i="10"/>
  <c r="C3756" i="10"/>
  <c r="D3756" i="10"/>
  <c r="E3756" i="10"/>
  <c r="F3756" i="10"/>
  <c r="G3756" i="10"/>
  <c r="H3756" i="10"/>
  <c r="A3757" i="10"/>
  <c r="B3757" i="10"/>
  <c r="C3757" i="10"/>
  <c r="D3757" i="10"/>
  <c r="E3757" i="10"/>
  <c r="F3757" i="10"/>
  <c r="G3757" i="10"/>
  <c r="H3757" i="10"/>
  <c r="A3758" i="10"/>
  <c r="B3758" i="10"/>
  <c r="C3758" i="10"/>
  <c r="D3758" i="10"/>
  <c r="E3758" i="10"/>
  <c r="F3758" i="10"/>
  <c r="G3758" i="10"/>
  <c r="H3758" i="10"/>
  <c r="A3759" i="10"/>
  <c r="B3759" i="10"/>
  <c r="C3759" i="10"/>
  <c r="D3759" i="10"/>
  <c r="E3759" i="10"/>
  <c r="F3759" i="10"/>
  <c r="G3759" i="10"/>
  <c r="H3759" i="10"/>
  <c r="A3760" i="10"/>
  <c r="B3760" i="10"/>
  <c r="C3760" i="10"/>
  <c r="D3760" i="10"/>
  <c r="E3760" i="10"/>
  <c r="F3760" i="10"/>
  <c r="G3760" i="10"/>
  <c r="H3760" i="10"/>
  <c r="A3761" i="10"/>
  <c r="B3761" i="10"/>
  <c r="C3761" i="10"/>
  <c r="D3761" i="10"/>
  <c r="E3761" i="10"/>
  <c r="F3761" i="10"/>
  <c r="G3761" i="10"/>
  <c r="H3761" i="10"/>
  <c r="A3762" i="10"/>
  <c r="B3762" i="10"/>
  <c r="C3762" i="10"/>
  <c r="D3762" i="10"/>
  <c r="E3762" i="10"/>
  <c r="F3762" i="10"/>
  <c r="G3762" i="10"/>
  <c r="H3762" i="10"/>
  <c r="A3763" i="10"/>
  <c r="B3763" i="10"/>
  <c r="C3763" i="10"/>
  <c r="D3763" i="10"/>
  <c r="E3763" i="10"/>
  <c r="F3763" i="10"/>
  <c r="G3763" i="10"/>
  <c r="H3763" i="10"/>
  <c r="A3764" i="10"/>
  <c r="B3764" i="10"/>
  <c r="C3764" i="10"/>
  <c r="D3764" i="10"/>
  <c r="E3764" i="10"/>
  <c r="F3764" i="10"/>
  <c r="G3764" i="10"/>
  <c r="H3764" i="10"/>
  <c r="A3765" i="10"/>
  <c r="B3765" i="10"/>
  <c r="C3765" i="10"/>
  <c r="D3765" i="10"/>
  <c r="E3765" i="10"/>
  <c r="F3765" i="10"/>
  <c r="G3765" i="10"/>
  <c r="H3765" i="10"/>
  <c r="A3766" i="10"/>
  <c r="B3766" i="10"/>
  <c r="C3766" i="10"/>
  <c r="D3766" i="10"/>
  <c r="E3766" i="10"/>
  <c r="F3766" i="10"/>
  <c r="G3766" i="10"/>
  <c r="H3766" i="10"/>
  <c r="A3767" i="10"/>
  <c r="B3767" i="10"/>
  <c r="C3767" i="10"/>
  <c r="D3767" i="10"/>
  <c r="E3767" i="10"/>
  <c r="F3767" i="10"/>
  <c r="G3767" i="10"/>
  <c r="H3767" i="10"/>
  <c r="A3768" i="10"/>
  <c r="B3768" i="10"/>
  <c r="C3768" i="10"/>
  <c r="D3768" i="10"/>
  <c r="E3768" i="10"/>
  <c r="F3768" i="10"/>
  <c r="G3768" i="10"/>
  <c r="H3768" i="10"/>
  <c r="A3769" i="10"/>
  <c r="B3769" i="10"/>
  <c r="C3769" i="10"/>
  <c r="D3769" i="10"/>
  <c r="E3769" i="10"/>
  <c r="F3769" i="10"/>
  <c r="G3769" i="10"/>
  <c r="H3769" i="10"/>
  <c r="A3770" i="10"/>
  <c r="B3770" i="10"/>
  <c r="C3770" i="10"/>
  <c r="D3770" i="10"/>
  <c r="E3770" i="10"/>
  <c r="F3770" i="10"/>
  <c r="G3770" i="10"/>
  <c r="H3770" i="10"/>
  <c r="A3771" i="10"/>
  <c r="B3771" i="10"/>
  <c r="C3771" i="10"/>
  <c r="D3771" i="10"/>
  <c r="E3771" i="10"/>
  <c r="F3771" i="10"/>
  <c r="G3771" i="10"/>
  <c r="H3771" i="10"/>
  <c r="A3772" i="10"/>
  <c r="B3772" i="10"/>
  <c r="C3772" i="10"/>
  <c r="D3772" i="10"/>
  <c r="E3772" i="10"/>
  <c r="F3772" i="10"/>
  <c r="G3772" i="10"/>
  <c r="H3772" i="10"/>
  <c r="A3773" i="10"/>
  <c r="B3773" i="10"/>
  <c r="C3773" i="10"/>
  <c r="D3773" i="10"/>
  <c r="E3773" i="10"/>
  <c r="F3773" i="10"/>
  <c r="G3773" i="10"/>
  <c r="H3773" i="10"/>
  <c r="A3774" i="10"/>
  <c r="B3774" i="10"/>
  <c r="C3774" i="10"/>
  <c r="D3774" i="10"/>
  <c r="E3774" i="10"/>
  <c r="F3774" i="10"/>
  <c r="G3774" i="10"/>
  <c r="H3774" i="10"/>
  <c r="A3775" i="10"/>
  <c r="B3775" i="10"/>
  <c r="C3775" i="10"/>
  <c r="D3775" i="10"/>
  <c r="E3775" i="10"/>
  <c r="F3775" i="10"/>
  <c r="G3775" i="10"/>
  <c r="H3775" i="10"/>
  <c r="A3776" i="10"/>
  <c r="B3776" i="10"/>
  <c r="C3776" i="10"/>
  <c r="D3776" i="10"/>
  <c r="E3776" i="10"/>
  <c r="F3776" i="10"/>
  <c r="G3776" i="10"/>
  <c r="H3776" i="10"/>
  <c r="A3777" i="10"/>
  <c r="B3777" i="10"/>
  <c r="C3777" i="10"/>
  <c r="D3777" i="10"/>
  <c r="E3777" i="10"/>
  <c r="F3777" i="10"/>
  <c r="G3777" i="10"/>
  <c r="H3777" i="10"/>
  <c r="A3778" i="10"/>
  <c r="B3778" i="10"/>
  <c r="C3778" i="10"/>
  <c r="D3778" i="10"/>
  <c r="E3778" i="10"/>
  <c r="F3778" i="10"/>
  <c r="G3778" i="10"/>
  <c r="H3778" i="10"/>
  <c r="A3779" i="10"/>
  <c r="B3779" i="10"/>
  <c r="C3779" i="10"/>
  <c r="D3779" i="10"/>
  <c r="E3779" i="10"/>
  <c r="F3779" i="10"/>
  <c r="G3779" i="10"/>
  <c r="H3779" i="10"/>
  <c r="A3780" i="10"/>
  <c r="B3780" i="10"/>
  <c r="C3780" i="10"/>
  <c r="D3780" i="10"/>
  <c r="E3780" i="10"/>
  <c r="F3780" i="10"/>
  <c r="G3780" i="10"/>
  <c r="H3780" i="10"/>
  <c r="A3781" i="10"/>
  <c r="B3781" i="10"/>
  <c r="C3781" i="10"/>
  <c r="D3781" i="10"/>
  <c r="E3781" i="10"/>
  <c r="F3781" i="10"/>
  <c r="G3781" i="10"/>
  <c r="H3781" i="10"/>
  <c r="A3782" i="10"/>
  <c r="B3782" i="10"/>
  <c r="C3782" i="10"/>
  <c r="D3782" i="10"/>
  <c r="E3782" i="10"/>
  <c r="F3782" i="10"/>
  <c r="G3782" i="10"/>
  <c r="H3782" i="10"/>
  <c r="A3783" i="10"/>
  <c r="B3783" i="10"/>
  <c r="C3783" i="10"/>
  <c r="D3783" i="10"/>
  <c r="E3783" i="10"/>
  <c r="F3783" i="10"/>
  <c r="G3783" i="10"/>
  <c r="H3783" i="10"/>
  <c r="A3784" i="10"/>
  <c r="B3784" i="10"/>
  <c r="C3784" i="10"/>
  <c r="D3784" i="10"/>
  <c r="E3784" i="10"/>
  <c r="F3784" i="10"/>
  <c r="G3784" i="10"/>
  <c r="H3784" i="10"/>
  <c r="A3785" i="10"/>
  <c r="B3785" i="10"/>
  <c r="C3785" i="10"/>
  <c r="D3785" i="10"/>
  <c r="E3785" i="10"/>
  <c r="F3785" i="10"/>
  <c r="G3785" i="10"/>
  <c r="H3785" i="10"/>
  <c r="A3786" i="10"/>
  <c r="B3786" i="10"/>
  <c r="C3786" i="10"/>
  <c r="D3786" i="10"/>
  <c r="E3786" i="10"/>
  <c r="F3786" i="10"/>
  <c r="G3786" i="10"/>
  <c r="H3786" i="10"/>
  <c r="A3787" i="10"/>
  <c r="B3787" i="10"/>
  <c r="C3787" i="10"/>
  <c r="D3787" i="10"/>
  <c r="E3787" i="10"/>
  <c r="F3787" i="10"/>
  <c r="G3787" i="10"/>
  <c r="H3787" i="10"/>
  <c r="A3788" i="10"/>
  <c r="B3788" i="10"/>
  <c r="C3788" i="10"/>
  <c r="D3788" i="10"/>
  <c r="E3788" i="10"/>
  <c r="F3788" i="10"/>
  <c r="G3788" i="10"/>
  <c r="H3788" i="10"/>
  <c r="A3789" i="10"/>
  <c r="B3789" i="10"/>
  <c r="C3789" i="10"/>
  <c r="D3789" i="10"/>
  <c r="E3789" i="10"/>
  <c r="F3789" i="10"/>
  <c r="G3789" i="10"/>
  <c r="H3789" i="10"/>
  <c r="A3790" i="10"/>
  <c r="B3790" i="10"/>
  <c r="C3790" i="10"/>
  <c r="D3790" i="10"/>
  <c r="E3790" i="10"/>
  <c r="F3790" i="10"/>
  <c r="G3790" i="10"/>
  <c r="H3790" i="10"/>
  <c r="A3791" i="10"/>
  <c r="B3791" i="10"/>
  <c r="C3791" i="10"/>
  <c r="D3791" i="10"/>
  <c r="E3791" i="10"/>
  <c r="F3791" i="10"/>
  <c r="G3791" i="10"/>
  <c r="H3791" i="10"/>
  <c r="A3792" i="10"/>
  <c r="B3792" i="10"/>
  <c r="C3792" i="10"/>
  <c r="D3792" i="10"/>
  <c r="E3792" i="10"/>
  <c r="F3792" i="10"/>
  <c r="G3792" i="10"/>
  <c r="H3792" i="10"/>
  <c r="A3793" i="10"/>
  <c r="B3793" i="10"/>
  <c r="C3793" i="10"/>
  <c r="D3793" i="10"/>
  <c r="E3793" i="10"/>
  <c r="F3793" i="10"/>
  <c r="G3793" i="10"/>
  <c r="H3793" i="10"/>
  <c r="A3794" i="10"/>
  <c r="B3794" i="10"/>
  <c r="C3794" i="10"/>
  <c r="D3794" i="10"/>
  <c r="E3794" i="10"/>
  <c r="F3794" i="10"/>
  <c r="G3794" i="10"/>
  <c r="H3794" i="10"/>
  <c r="A3795" i="10"/>
  <c r="B3795" i="10"/>
  <c r="C3795" i="10"/>
  <c r="D3795" i="10"/>
  <c r="E3795" i="10"/>
  <c r="F3795" i="10"/>
  <c r="G3795" i="10"/>
  <c r="H3795" i="10"/>
  <c r="A3796" i="10"/>
  <c r="B3796" i="10"/>
  <c r="C3796" i="10"/>
  <c r="D3796" i="10"/>
  <c r="E3796" i="10"/>
  <c r="F3796" i="10"/>
  <c r="G3796" i="10"/>
  <c r="H3796" i="10"/>
  <c r="A3797" i="10"/>
  <c r="B3797" i="10"/>
  <c r="C3797" i="10"/>
  <c r="D3797" i="10"/>
  <c r="E3797" i="10"/>
  <c r="F3797" i="10"/>
  <c r="G3797" i="10"/>
  <c r="H3797" i="10"/>
  <c r="A3798" i="10"/>
  <c r="B3798" i="10"/>
  <c r="C3798" i="10"/>
  <c r="D3798" i="10"/>
  <c r="E3798" i="10"/>
  <c r="F3798" i="10"/>
  <c r="G3798" i="10"/>
  <c r="H3798" i="10"/>
  <c r="A3799" i="10"/>
  <c r="B3799" i="10"/>
  <c r="C3799" i="10"/>
  <c r="D3799" i="10"/>
  <c r="E3799" i="10"/>
  <c r="F3799" i="10"/>
  <c r="G3799" i="10"/>
  <c r="H3799" i="10"/>
  <c r="A3800" i="10"/>
  <c r="B3800" i="10"/>
  <c r="C3800" i="10"/>
  <c r="D3800" i="10"/>
  <c r="E3800" i="10"/>
  <c r="F3800" i="10"/>
  <c r="G3800" i="10"/>
  <c r="H3800" i="10"/>
  <c r="A3801" i="10"/>
  <c r="B3801" i="10"/>
  <c r="C3801" i="10"/>
  <c r="D3801" i="10"/>
  <c r="E3801" i="10"/>
  <c r="F3801" i="10"/>
  <c r="G3801" i="10"/>
  <c r="H3801" i="10"/>
  <c r="A3802" i="10"/>
  <c r="B3802" i="10"/>
  <c r="C3802" i="10"/>
  <c r="D3802" i="10"/>
  <c r="E3802" i="10"/>
  <c r="F3802" i="10"/>
  <c r="G3802" i="10"/>
  <c r="H3802" i="10"/>
  <c r="A3803" i="10"/>
  <c r="B3803" i="10"/>
  <c r="C3803" i="10"/>
  <c r="D3803" i="10"/>
  <c r="E3803" i="10"/>
  <c r="F3803" i="10"/>
  <c r="G3803" i="10"/>
  <c r="H3803" i="10"/>
  <c r="A3804" i="10"/>
  <c r="B3804" i="10"/>
  <c r="C3804" i="10"/>
  <c r="D3804" i="10"/>
  <c r="E3804" i="10"/>
  <c r="F3804" i="10"/>
  <c r="G3804" i="10"/>
  <c r="H3804" i="10"/>
  <c r="A3805" i="10"/>
  <c r="B3805" i="10"/>
  <c r="C3805" i="10"/>
  <c r="D3805" i="10"/>
  <c r="E3805" i="10"/>
  <c r="F3805" i="10"/>
  <c r="G3805" i="10"/>
  <c r="H3805" i="10"/>
  <c r="A3806" i="10"/>
  <c r="B3806" i="10"/>
  <c r="C3806" i="10"/>
  <c r="D3806" i="10"/>
  <c r="E3806" i="10"/>
  <c r="F3806" i="10"/>
  <c r="G3806" i="10"/>
  <c r="H3806" i="10"/>
  <c r="A3807" i="10"/>
  <c r="B3807" i="10"/>
  <c r="C3807" i="10"/>
  <c r="D3807" i="10"/>
  <c r="E3807" i="10"/>
  <c r="F3807" i="10"/>
  <c r="G3807" i="10"/>
  <c r="H3807" i="10"/>
  <c r="A3808" i="10"/>
  <c r="B3808" i="10"/>
  <c r="C3808" i="10"/>
  <c r="D3808" i="10"/>
  <c r="E3808" i="10"/>
  <c r="F3808" i="10"/>
  <c r="G3808" i="10"/>
  <c r="H3808" i="10"/>
  <c r="A3809" i="10"/>
  <c r="B3809" i="10"/>
  <c r="C3809" i="10"/>
  <c r="D3809" i="10"/>
  <c r="E3809" i="10"/>
  <c r="F3809" i="10"/>
  <c r="G3809" i="10"/>
  <c r="H3809" i="10"/>
  <c r="A3810" i="10"/>
  <c r="B3810" i="10"/>
  <c r="C3810" i="10"/>
  <c r="D3810" i="10"/>
  <c r="E3810" i="10"/>
  <c r="F3810" i="10"/>
  <c r="G3810" i="10"/>
  <c r="H3810" i="10"/>
  <c r="A3811" i="10"/>
  <c r="B3811" i="10"/>
  <c r="C3811" i="10"/>
  <c r="D3811" i="10"/>
  <c r="E3811" i="10"/>
  <c r="F3811" i="10"/>
  <c r="G3811" i="10"/>
  <c r="H3811" i="10"/>
  <c r="A3812" i="10"/>
  <c r="B3812" i="10"/>
  <c r="C3812" i="10"/>
  <c r="D3812" i="10"/>
  <c r="E3812" i="10"/>
  <c r="F3812" i="10"/>
  <c r="G3812" i="10"/>
  <c r="H3812" i="10"/>
  <c r="A3813" i="10"/>
  <c r="B3813" i="10"/>
  <c r="C3813" i="10"/>
  <c r="D3813" i="10"/>
  <c r="E3813" i="10"/>
  <c r="F3813" i="10"/>
  <c r="G3813" i="10"/>
  <c r="H3813" i="10"/>
  <c r="A3814" i="10"/>
  <c r="B3814" i="10"/>
  <c r="C3814" i="10"/>
  <c r="D3814" i="10"/>
  <c r="E3814" i="10"/>
  <c r="F3814" i="10"/>
  <c r="G3814" i="10"/>
  <c r="H3814" i="10"/>
  <c r="A3815" i="10"/>
  <c r="B3815" i="10"/>
  <c r="C3815" i="10"/>
  <c r="D3815" i="10"/>
  <c r="E3815" i="10"/>
  <c r="F3815" i="10"/>
  <c r="G3815" i="10"/>
  <c r="H3815" i="10"/>
  <c r="A3816" i="10"/>
  <c r="B3816" i="10"/>
  <c r="C3816" i="10"/>
  <c r="D3816" i="10"/>
  <c r="E3816" i="10"/>
  <c r="F3816" i="10"/>
  <c r="G3816" i="10"/>
  <c r="H3816" i="10"/>
  <c r="A3817" i="10"/>
  <c r="B3817" i="10"/>
  <c r="C3817" i="10"/>
  <c r="D3817" i="10"/>
  <c r="E3817" i="10"/>
  <c r="F3817" i="10"/>
  <c r="G3817" i="10"/>
  <c r="H3817" i="10"/>
  <c r="A3818" i="10"/>
  <c r="B3818" i="10"/>
  <c r="C3818" i="10"/>
  <c r="D3818" i="10"/>
  <c r="E3818" i="10"/>
  <c r="F3818" i="10"/>
  <c r="G3818" i="10"/>
  <c r="H3818" i="10"/>
  <c r="A3819" i="10"/>
  <c r="B3819" i="10"/>
  <c r="C3819" i="10"/>
  <c r="D3819" i="10"/>
  <c r="E3819" i="10"/>
  <c r="F3819" i="10"/>
  <c r="G3819" i="10"/>
  <c r="H3819" i="10"/>
  <c r="A3820" i="10"/>
  <c r="B3820" i="10"/>
  <c r="C3820" i="10"/>
  <c r="D3820" i="10"/>
  <c r="E3820" i="10"/>
  <c r="F3820" i="10"/>
  <c r="G3820" i="10"/>
  <c r="H3820" i="10"/>
  <c r="A3821" i="10"/>
  <c r="B3821" i="10"/>
  <c r="C3821" i="10"/>
  <c r="D3821" i="10"/>
  <c r="E3821" i="10"/>
  <c r="F3821" i="10"/>
  <c r="G3821" i="10"/>
  <c r="H3821" i="10"/>
  <c r="A3822" i="10"/>
  <c r="B3822" i="10"/>
  <c r="C3822" i="10"/>
  <c r="D3822" i="10"/>
  <c r="E3822" i="10"/>
  <c r="F3822" i="10"/>
  <c r="G3822" i="10"/>
  <c r="H3822" i="10"/>
  <c r="A3823" i="10"/>
  <c r="B3823" i="10"/>
  <c r="C3823" i="10"/>
  <c r="D3823" i="10"/>
  <c r="E3823" i="10"/>
  <c r="F3823" i="10"/>
  <c r="G3823" i="10"/>
  <c r="H3823" i="10"/>
  <c r="A3824" i="10"/>
  <c r="B3824" i="10"/>
  <c r="C3824" i="10"/>
  <c r="D3824" i="10"/>
  <c r="E3824" i="10"/>
  <c r="F3824" i="10"/>
  <c r="G3824" i="10"/>
  <c r="H3824" i="10"/>
  <c r="A3825" i="10"/>
  <c r="B3825" i="10"/>
  <c r="C3825" i="10"/>
  <c r="D3825" i="10"/>
  <c r="E3825" i="10"/>
  <c r="F3825" i="10"/>
  <c r="G3825" i="10"/>
  <c r="H3825" i="10"/>
  <c r="A3826" i="10"/>
  <c r="B3826" i="10"/>
  <c r="C3826" i="10"/>
  <c r="D3826" i="10"/>
  <c r="E3826" i="10"/>
  <c r="F3826" i="10"/>
  <c r="G3826" i="10"/>
  <c r="H3826" i="10"/>
  <c r="A3827" i="10"/>
  <c r="B3827" i="10"/>
  <c r="C3827" i="10"/>
  <c r="D3827" i="10"/>
  <c r="E3827" i="10"/>
  <c r="F3827" i="10"/>
  <c r="G3827" i="10"/>
  <c r="H3827" i="10"/>
  <c r="A3828" i="10"/>
  <c r="B3828" i="10"/>
  <c r="C3828" i="10"/>
  <c r="D3828" i="10"/>
  <c r="E3828" i="10"/>
  <c r="F3828" i="10"/>
  <c r="G3828" i="10"/>
  <c r="H3828" i="10"/>
  <c r="A3829" i="10"/>
  <c r="B3829" i="10"/>
  <c r="C3829" i="10"/>
  <c r="D3829" i="10"/>
  <c r="E3829" i="10"/>
  <c r="F3829" i="10"/>
  <c r="G3829" i="10"/>
  <c r="H3829" i="10"/>
  <c r="A3830" i="10"/>
  <c r="B3830" i="10"/>
  <c r="C3830" i="10"/>
  <c r="D3830" i="10"/>
  <c r="E3830" i="10"/>
  <c r="F3830" i="10"/>
  <c r="G3830" i="10"/>
  <c r="H3830" i="10"/>
  <c r="A3831" i="10"/>
  <c r="B3831" i="10"/>
  <c r="C3831" i="10"/>
  <c r="D3831" i="10"/>
  <c r="E3831" i="10"/>
  <c r="F3831" i="10"/>
  <c r="G3831" i="10"/>
  <c r="H3831" i="10"/>
  <c r="A3832" i="10"/>
  <c r="B3832" i="10"/>
  <c r="C3832" i="10"/>
  <c r="D3832" i="10"/>
  <c r="E3832" i="10"/>
  <c r="F3832" i="10"/>
  <c r="G3832" i="10"/>
  <c r="H3832" i="10"/>
  <c r="A3833" i="10"/>
  <c r="B3833" i="10"/>
  <c r="C3833" i="10"/>
  <c r="D3833" i="10"/>
  <c r="E3833" i="10"/>
  <c r="F3833" i="10"/>
  <c r="G3833" i="10"/>
  <c r="H3833" i="10"/>
  <c r="A3834" i="10"/>
  <c r="B3834" i="10"/>
  <c r="C3834" i="10"/>
  <c r="D3834" i="10"/>
  <c r="E3834" i="10"/>
  <c r="F3834" i="10"/>
  <c r="G3834" i="10"/>
  <c r="H3834" i="10"/>
  <c r="A3835" i="10"/>
  <c r="B3835" i="10"/>
  <c r="C3835" i="10"/>
  <c r="D3835" i="10"/>
  <c r="E3835" i="10"/>
  <c r="F3835" i="10"/>
  <c r="G3835" i="10"/>
  <c r="H3835" i="10"/>
  <c r="A3836" i="10"/>
  <c r="B3836" i="10"/>
  <c r="C3836" i="10"/>
  <c r="D3836" i="10"/>
  <c r="E3836" i="10"/>
  <c r="F3836" i="10"/>
  <c r="G3836" i="10"/>
  <c r="H3836" i="10"/>
  <c r="A3837" i="10"/>
  <c r="B3837" i="10"/>
  <c r="C3837" i="10"/>
  <c r="D3837" i="10"/>
  <c r="E3837" i="10"/>
  <c r="F3837" i="10"/>
  <c r="G3837" i="10"/>
  <c r="H3837" i="10"/>
  <c r="A3838" i="10"/>
  <c r="B3838" i="10"/>
  <c r="C3838" i="10"/>
  <c r="D3838" i="10"/>
  <c r="E3838" i="10"/>
  <c r="F3838" i="10"/>
  <c r="G3838" i="10"/>
  <c r="H3838" i="10"/>
  <c r="A3839" i="10"/>
  <c r="B3839" i="10"/>
  <c r="C3839" i="10"/>
  <c r="D3839" i="10"/>
  <c r="E3839" i="10"/>
  <c r="F3839" i="10"/>
  <c r="G3839" i="10"/>
  <c r="H3839" i="10"/>
  <c r="A3840" i="10"/>
  <c r="B3840" i="10"/>
  <c r="C3840" i="10"/>
  <c r="D3840" i="10"/>
  <c r="E3840" i="10"/>
  <c r="F3840" i="10"/>
  <c r="G3840" i="10"/>
  <c r="H3840" i="10"/>
  <c r="A3841" i="10"/>
  <c r="B3841" i="10"/>
  <c r="C3841" i="10"/>
  <c r="D3841" i="10"/>
  <c r="E3841" i="10"/>
  <c r="F3841" i="10"/>
  <c r="G3841" i="10"/>
  <c r="H3841" i="10"/>
  <c r="A3842" i="10"/>
  <c r="B3842" i="10"/>
  <c r="C3842" i="10"/>
  <c r="D3842" i="10"/>
  <c r="E3842" i="10"/>
  <c r="F3842" i="10"/>
  <c r="G3842" i="10"/>
  <c r="H3842" i="10"/>
  <c r="A3843" i="10"/>
  <c r="B3843" i="10"/>
  <c r="C3843" i="10"/>
  <c r="D3843" i="10"/>
  <c r="E3843" i="10"/>
  <c r="F3843" i="10"/>
  <c r="G3843" i="10"/>
  <c r="H3843" i="10"/>
  <c r="A3844" i="10"/>
  <c r="B3844" i="10"/>
  <c r="C3844" i="10"/>
  <c r="D3844" i="10"/>
  <c r="E3844" i="10"/>
  <c r="F3844" i="10"/>
  <c r="G3844" i="10"/>
  <c r="H3844" i="10"/>
  <c r="A3845" i="10"/>
  <c r="B3845" i="10"/>
  <c r="C3845" i="10"/>
  <c r="D3845" i="10"/>
  <c r="E3845" i="10"/>
  <c r="F3845" i="10"/>
  <c r="G3845" i="10"/>
  <c r="H3845" i="10"/>
  <c r="A3846" i="10"/>
  <c r="B3846" i="10"/>
  <c r="C3846" i="10"/>
  <c r="D3846" i="10"/>
  <c r="E3846" i="10"/>
  <c r="F3846" i="10"/>
  <c r="G3846" i="10"/>
  <c r="H3846" i="10"/>
  <c r="A3847" i="10"/>
  <c r="B3847" i="10"/>
  <c r="C3847" i="10"/>
  <c r="D3847" i="10"/>
  <c r="E3847" i="10"/>
  <c r="F3847" i="10"/>
  <c r="G3847" i="10"/>
  <c r="H3847" i="10"/>
  <c r="A3848" i="10"/>
  <c r="B3848" i="10"/>
  <c r="C3848" i="10"/>
  <c r="D3848" i="10"/>
  <c r="E3848" i="10"/>
  <c r="F3848" i="10"/>
  <c r="G3848" i="10"/>
  <c r="H3848" i="10"/>
  <c r="A3849" i="10"/>
  <c r="B3849" i="10"/>
  <c r="C3849" i="10"/>
  <c r="D3849" i="10"/>
  <c r="E3849" i="10"/>
  <c r="F3849" i="10"/>
  <c r="G3849" i="10"/>
  <c r="H3849" i="10"/>
  <c r="A3850" i="10"/>
  <c r="B3850" i="10"/>
  <c r="C3850" i="10"/>
  <c r="D3850" i="10"/>
  <c r="E3850" i="10"/>
  <c r="F3850" i="10"/>
  <c r="G3850" i="10"/>
  <c r="H3850" i="10"/>
  <c r="A3851" i="10"/>
  <c r="B3851" i="10"/>
  <c r="C3851" i="10"/>
  <c r="D3851" i="10"/>
  <c r="E3851" i="10"/>
  <c r="F3851" i="10"/>
  <c r="G3851" i="10"/>
  <c r="H3851" i="10"/>
  <c r="A3852" i="10"/>
  <c r="B3852" i="10"/>
  <c r="C3852" i="10"/>
  <c r="D3852" i="10"/>
  <c r="E3852" i="10"/>
  <c r="F3852" i="10"/>
  <c r="G3852" i="10"/>
  <c r="H3852" i="10"/>
  <c r="A3853" i="10"/>
  <c r="B3853" i="10"/>
  <c r="C3853" i="10"/>
  <c r="D3853" i="10"/>
  <c r="E3853" i="10"/>
  <c r="F3853" i="10"/>
  <c r="G3853" i="10"/>
  <c r="H3853" i="10"/>
  <c r="A3854" i="10"/>
  <c r="B3854" i="10"/>
  <c r="C3854" i="10"/>
  <c r="D3854" i="10"/>
  <c r="E3854" i="10"/>
  <c r="F3854" i="10"/>
  <c r="G3854" i="10"/>
  <c r="H3854" i="10"/>
  <c r="A3855" i="10"/>
  <c r="B3855" i="10"/>
  <c r="C3855" i="10"/>
  <c r="D3855" i="10"/>
  <c r="E3855" i="10"/>
  <c r="F3855" i="10"/>
  <c r="G3855" i="10"/>
  <c r="H3855" i="10"/>
  <c r="A3856" i="10"/>
  <c r="B3856" i="10"/>
  <c r="C3856" i="10"/>
  <c r="D3856" i="10"/>
  <c r="E3856" i="10"/>
  <c r="F3856" i="10"/>
  <c r="G3856" i="10"/>
  <c r="H3856" i="10"/>
  <c r="A3857" i="10"/>
  <c r="B3857" i="10"/>
  <c r="C3857" i="10"/>
  <c r="D3857" i="10"/>
  <c r="E3857" i="10"/>
  <c r="F3857" i="10"/>
  <c r="G3857" i="10"/>
  <c r="H3857" i="10"/>
  <c r="A3858" i="10"/>
  <c r="B3858" i="10"/>
  <c r="C3858" i="10"/>
  <c r="D3858" i="10"/>
  <c r="E3858" i="10"/>
  <c r="F3858" i="10"/>
  <c r="G3858" i="10"/>
  <c r="H3858" i="10"/>
  <c r="A3859" i="10"/>
  <c r="B3859" i="10"/>
  <c r="C3859" i="10"/>
  <c r="D3859" i="10"/>
  <c r="E3859" i="10"/>
  <c r="F3859" i="10"/>
  <c r="G3859" i="10"/>
  <c r="H3859" i="10"/>
  <c r="A3860" i="10"/>
  <c r="B3860" i="10"/>
  <c r="C3860" i="10"/>
  <c r="D3860" i="10"/>
  <c r="E3860" i="10"/>
  <c r="F3860" i="10"/>
  <c r="G3860" i="10"/>
  <c r="H3860" i="10"/>
  <c r="A3861" i="10"/>
  <c r="B3861" i="10"/>
  <c r="C3861" i="10"/>
  <c r="D3861" i="10"/>
  <c r="E3861" i="10"/>
  <c r="F3861" i="10"/>
  <c r="G3861" i="10"/>
  <c r="H3861" i="10"/>
  <c r="A3862" i="10"/>
  <c r="B3862" i="10"/>
  <c r="C3862" i="10"/>
  <c r="D3862" i="10"/>
  <c r="E3862" i="10"/>
  <c r="F3862" i="10"/>
  <c r="G3862" i="10"/>
  <c r="H3862" i="10"/>
  <c r="A3863" i="10"/>
  <c r="B3863" i="10"/>
  <c r="C3863" i="10"/>
  <c r="D3863" i="10"/>
  <c r="E3863" i="10"/>
  <c r="F3863" i="10"/>
  <c r="G3863" i="10"/>
  <c r="H3863" i="10"/>
  <c r="A3864" i="10"/>
  <c r="B3864" i="10"/>
  <c r="C3864" i="10"/>
  <c r="D3864" i="10"/>
  <c r="E3864" i="10"/>
  <c r="F3864" i="10"/>
  <c r="G3864" i="10"/>
  <c r="H3864" i="10"/>
  <c r="A3865" i="10"/>
  <c r="B3865" i="10"/>
  <c r="C3865" i="10"/>
  <c r="D3865" i="10"/>
  <c r="E3865" i="10"/>
  <c r="F3865" i="10"/>
  <c r="G3865" i="10"/>
  <c r="H3865" i="10"/>
  <c r="A3866" i="10"/>
  <c r="B3866" i="10"/>
  <c r="C3866" i="10"/>
  <c r="D3866" i="10"/>
  <c r="E3866" i="10"/>
  <c r="F3866" i="10"/>
  <c r="G3866" i="10"/>
  <c r="H3866" i="10"/>
  <c r="A3867" i="10"/>
  <c r="B3867" i="10"/>
  <c r="C3867" i="10"/>
  <c r="D3867" i="10"/>
  <c r="E3867" i="10"/>
  <c r="F3867" i="10"/>
  <c r="G3867" i="10"/>
  <c r="H3867" i="10"/>
  <c r="A3868" i="10"/>
  <c r="B3868" i="10"/>
  <c r="C3868" i="10"/>
  <c r="D3868" i="10"/>
  <c r="E3868" i="10"/>
  <c r="F3868" i="10"/>
  <c r="G3868" i="10"/>
  <c r="H3868" i="10"/>
  <c r="A3869" i="10"/>
  <c r="B3869" i="10"/>
  <c r="C3869" i="10"/>
  <c r="D3869" i="10"/>
  <c r="E3869" i="10"/>
  <c r="F3869" i="10"/>
  <c r="G3869" i="10"/>
  <c r="H3869" i="10"/>
  <c r="A3870" i="10"/>
  <c r="B3870" i="10"/>
  <c r="C3870" i="10"/>
  <c r="D3870" i="10"/>
  <c r="E3870" i="10"/>
  <c r="F3870" i="10"/>
  <c r="G3870" i="10"/>
  <c r="H3870" i="10"/>
  <c r="A3871" i="10"/>
  <c r="B3871" i="10"/>
  <c r="C3871" i="10"/>
  <c r="D3871" i="10"/>
  <c r="E3871" i="10"/>
  <c r="F3871" i="10"/>
  <c r="G3871" i="10"/>
  <c r="H3871" i="10"/>
  <c r="A3872" i="10"/>
  <c r="B3872" i="10"/>
  <c r="C3872" i="10"/>
  <c r="D3872" i="10"/>
  <c r="E3872" i="10"/>
  <c r="F3872" i="10"/>
  <c r="G3872" i="10"/>
  <c r="H3872" i="10"/>
  <c r="A3873" i="10"/>
  <c r="B3873" i="10"/>
  <c r="C3873" i="10"/>
  <c r="D3873" i="10"/>
  <c r="E3873" i="10"/>
  <c r="F3873" i="10"/>
  <c r="G3873" i="10"/>
  <c r="H3873" i="10"/>
  <c r="A3874" i="10"/>
  <c r="B3874" i="10"/>
  <c r="C3874" i="10"/>
  <c r="D3874" i="10"/>
  <c r="E3874" i="10"/>
  <c r="F3874" i="10"/>
  <c r="G3874" i="10"/>
  <c r="H3874" i="10"/>
  <c r="A3875" i="10"/>
  <c r="B3875" i="10"/>
  <c r="C3875" i="10"/>
  <c r="D3875" i="10"/>
  <c r="E3875" i="10"/>
  <c r="F3875" i="10"/>
  <c r="G3875" i="10"/>
  <c r="H3875" i="10"/>
  <c r="A3876" i="10"/>
  <c r="B3876" i="10"/>
  <c r="C3876" i="10"/>
  <c r="D3876" i="10"/>
  <c r="E3876" i="10"/>
  <c r="F3876" i="10"/>
  <c r="G3876" i="10"/>
  <c r="H3876" i="10"/>
  <c r="A3877" i="10"/>
  <c r="B3877" i="10"/>
  <c r="C3877" i="10"/>
  <c r="D3877" i="10"/>
  <c r="E3877" i="10"/>
  <c r="F3877" i="10"/>
  <c r="G3877" i="10"/>
  <c r="H3877" i="10"/>
  <c r="A3878" i="10"/>
  <c r="B3878" i="10"/>
  <c r="C3878" i="10"/>
  <c r="D3878" i="10"/>
  <c r="E3878" i="10"/>
  <c r="F3878" i="10"/>
  <c r="G3878" i="10"/>
  <c r="H3878" i="10"/>
  <c r="A3879" i="10"/>
  <c r="B3879" i="10"/>
  <c r="C3879" i="10"/>
  <c r="D3879" i="10"/>
  <c r="E3879" i="10"/>
  <c r="F3879" i="10"/>
  <c r="G3879" i="10"/>
  <c r="H3879" i="10"/>
  <c r="A3880" i="10"/>
  <c r="B3880" i="10"/>
  <c r="C3880" i="10"/>
  <c r="D3880" i="10"/>
  <c r="E3880" i="10"/>
  <c r="F3880" i="10"/>
  <c r="G3880" i="10"/>
  <c r="H3880" i="10"/>
  <c r="A3881" i="10"/>
  <c r="B3881" i="10"/>
  <c r="C3881" i="10"/>
  <c r="D3881" i="10"/>
  <c r="E3881" i="10"/>
  <c r="F3881" i="10"/>
  <c r="G3881" i="10"/>
  <c r="H3881" i="10"/>
  <c r="A3882" i="10"/>
  <c r="B3882" i="10"/>
  <c r="C3882" i="10"/>
  <c r="D3882" i="10"/>
  <c r="E3882" i="10"/>
  <c r="F3882" i="10"/>
  <c r="G3882" i="10"/>
  <c r="H3882" i="10"/>
  <c r="A3883" i="10"/>
  <c r="B3883" i="10"/>
  <c r="C3883" i="10"/>
  <c r="D3883" i="10"/>
  <c r="E3883" i="10"/>
  <c r="F3883" i="10"/>
  <c r="G3883" i="10"/>
  <c r="H3883" i="10"/>
  <c r="A3884" i="10"/>
  <c r="B3884" i="10"/>
  <c r="C3884" i="10"/>
  <c r="D3884" i="10"/>
  <c r="E3884" i="10"/>
  <c r="F3884" i="10"/>
  <c r="G3884" i="10"/>
  <c r="H3884" i="10"/>
  <c r="A3885" i="10"/>
  <c r="B3885" i="10"/>
  <c r="C3885" i="10"/>
  <c r="D3885" i="10"/>
  <c r="E3885" i="10"/>
  <c r="F3885" i="10"/>
  <c r="G3885" i="10"/>
  <c r="H3885" i="10"/>
  <c r="A3886" i="10"/>
  <c r="B3886" i="10"/>
  <c r="C3886" i="10"/>
  <c r="D3886" i="10"/>
  <c r="E3886" i="10"/>
  <c r="F3886" i="10"/>
  <c r="G3886" i="10"/>
  <c r="H3886" i="10"/>
  <c r="A3887" i="10"/>
  <c r="B3887" i="10"/>
  <c r="C3887" i="10"/>
  <c r="D3887" i="10"/>
  <c r="E3887" i="10"/>
  <c r="F3887" i="10"/>
  <c r="G3887" i="10"/>
  <c r="H3887" i="10"/>
  <c r="A3888" i="10"/>
  <c r="B3888" i="10"/>
  <c r="C3888" i="10"/>
  <c r="D3888" i="10"/>
  <c r="E3888" i="10"/>
  <c r="F3888" i="10"/>
  <c r="G3888" i="10"/>
  <c r="H3888" i="10"/>
  <c r="A3889" i="10"/>
  <c r="B3889" i="10"/>
  <c r="C3889" i="10"/>
  <c r="D3889" i="10"/>
  <c r="E3889" i="10"/>
  <c r="F3889" i="10"/>
  <c r="G3889" i="10"/>
  <c r="H3889" i="10"/>
  <c r="A3890" i="10"/>
  <c r="B3890" i="10"/>
  <c r="C3890" i="10"/>
  <c r="D3890" i="10"/>
  <c r="E3890" i="10"/>
  <c r="F3890" i="10"/>
  <c r="G3890" i="10"/>
  <c r="H3890" i="10"/>
  <c r="A3891" i="10"/>
  <c r="B3891" i="10"/>
  <c r="C3891" i="10"/>
  <c r="D3891" i="10"/>
  <c r="E3891" i="10"/>
  <c r="F3891" i="10"/>
  <c r="G3891" i="10"/>
  <c r="H3891" i="10"/>
  <c r="A3892" i="10"/>
  <c r="B3892" i="10"/>
  <c r="C3892" i="10"/>
  <c r="D3892" i="10"/>
  <c r="E3892" i="10"/>
  <c r="F3892" i="10"/>
  <c r="G3892" i="10"/>
  <c r="H3892" i="10"/>
  <c r="A3893" i="10"/>
  <c r="B3893" i="10"/>
  <c r="C3893" i="10"/>
  <c r="D3893" i="10"/>
  <c r="E3893" i="10"/>
  <c r="F3893" i="10"/>
  <c r="G3893" i="10"/>
  <c r="H3893" i="10"/>
  <c r="A3894" i="10"/>
  <c r="B3894" i="10"/>
  <c r="C3894" i="10"/>
  <c r="D3894" i="10"/>
  <c r="E3894" i="10"/>
  <c r="F3894" i="10"/>
  <c r="G3894" i="10"/>
  <c r="H3894" i="10"/>
  <c r="A3895" i="10"/>
  <c r="B3895" i="10"/>
  <c r="C3895" i="10"/>
  <c r="D3895" i="10"/>
  <c r="E3895" i="10"/>
  <c r="F3895" i="10"/>
  <c r="G3895" i="10"/>
  <c r="H3895" i="10"/>
  <c r="A3896" i="10"/>
  <c r="B3896" i="10"/>
  <c r="C3896" i="10"/>
  <c r="D3896" i="10"/>
  <c r="E3896" i="10"/>
  <c r="F3896" i="10"/>
  <c r="G3896" i="10"/>
  <c r="H3896" i="10"/>
  <c r="A3897" i="10"/>
  <c r="B3897" i="10"/>
  <c r="C3897" i="10"/>
  <c r="D3897" i="10"/>
  <c r="E3897" i="10"/>
  <c r="F3897" i="10"/>
  <c r="G3897" i="10"/>
  <c r="H3897" i="10"/>
  <c r="A3898" i="10"/>
  <c r="B3898" i="10"/>
  <c r="C3898" i="10"/>
  <c r="D3898" i="10"/>
  <c r="E3898" i="10"/>
  <c r="F3898" i="10"/>
  <c r="G3898" i="10"/>
  <c r="H3898" i="10"/>
  <c r="A3899" i="10"/>
  <c r="B3899" i="10"/>
  <c r="C3899" i="10"/>
  <c r="D3899" i="10"/>
  <c r="E3899" i="10"/>
  <c r="F3899" i="10"/>
  <c r="G3899" i="10"/>
  <c r="H3899" i="10"/>
  <c r="A3900" i="10"/>
  <c r="B3900" i="10"/>
  <c r="C3900" i="10"/>
  <c r="D3900" i="10"/>
  <c r="E3900" i="10"/>
  <c r="F3900" i="10"/>
  <c r="G3900" i="10"/>
  <c r="H3900" i="10"/>
  <c r="A3901" i="10"/>
  <c r="B3901" i="10"/>
  <c r="C3901" i="10"/>
  <c r="D3901" i="10"/>
  <c r="E3901" i="10"/>
  <c r="F3901" i="10"/>
  <c r="G3901" i="10"/>
  <c r="H3901" i="10"/>
  <c r="A3902" i="10"/>
  <c r="B3902" i="10"/>
  <c r="C3902" i="10"/>
  <c r="D3902" i="10"/>
  <c r="E3902" i="10"/>
  <c r="F3902" i="10"/>
  <c r="G3902" i="10"/>
  <c r="H3902" i="10"/>
  <c r="A3903" i="10"/>
  <c r="B3903" i="10"/>
  <c r="C3903" i="10"/>
  <c r="D3903" i="10"/>
  <c r="E3903" i="10"/>
  <c r="F3903" i="10"/>
  <c r="G3903" i="10"/>
  <c r="H3903" i="10"/>
  <c r="A3904" i="10"/>
  <c r="B3904" i="10"/>
  <c r="C3904" i="10"/>
  <c r="D3904" i="10"/>
  <c r="E3904" i="10"/>
  <c r="F3904" i="10"/>
  <c r="G3904" i="10"/>
  <c r="H3904" i="10"/>
  <c r="A3905" i="10"/>
  <c r="B3905" i="10"/>
  <c r="C3905" i="10"/>
  <c r="D3905" i="10"/>
  <c r="E3905" i="10"/>
  <c r="F3905" i="10"/>
  <c r="G3905" i="10"/>
  <c r="H3905" i="10"/>
  <c r="A3906" i="10"/>
  <c r="B3906" i="10"/>
  <c r="C3906" i="10"/>
  <c r="D3906" i="10"/>
  <c r="E3906" i="10"/>
  <c r="F3906" i="10"/>
  <c r="G3906" i="10"/>
  <c r="H3906" i="10"/>
  <c r="A3907" i="10"/>
  <c r="B3907" i="10"/>
  <c r="C3907" i="10"/>
  <c r="D3907" i="10"/>
  <c r="E3907" i="10"/>
  <c r="F3907" i="10"/>
  <c r="G3907" i="10"/>
  <c r="H3907" i="10"/>
  <c r="A3908" i="10"/>
  <c r="B3908" i="10"/>
  <c r="C3908" i="10"/>
  <c r="D3908" i="10"/>
  <c r="E3908" i="10"/>
  <c r="F3908" i="10"/>
  <c r="G3908" i="10"/>
  <c r="H3908" i="10"/>
  <c r="A3909" i="10"/>
  <c r="B3909" i="10"/>
  <c r="C3909" i="10"/>
  <c r="D3909" i="10"/>
  <c r="E3909" i="10"/>
  <c r="F3909" i="10"/>
  <c r="G3909" i="10"/>
  <c r="H3909" i="10"/>
  <c r="A3910" i="10"/>
  <c r="B3910" i="10"/>
  <c r="C3910" i="10"/>
  <c r="D3910" i="10"/>
  <c r="E3910" i="10"/>
  <c r="F3910" i="10"/>
  <c r="G3910" i="10"/>
  <c r="H3910" i="10"/>
  <c r="A3911" i="10"/>
  <c r="B3911" i="10"/>
  <c r="C3911" i="10"/>
  <c r="D3911" i="10"/>
  <c r="E3911" i="10"/>
  <c r="F3911" i="10"/>
  <c r="G3911" i="10"/>
  <c r="H3911" i="10"/>
  <c r="A3912" i="10"/>
  <c r="B3912" i="10"/>
  <c r="C3912" i="10"/>
  <c r="D3912" i="10"/>
  <c r="E3912" i="10"/>
  <c r="F3912" i="10"/>
  <c r="G3912" i="10"/>
  <c r="H3912" i="10"/>
  <c r="A3913" i="10"/>
  <c r="B3913" i="10"/>
  <c r="C3913" i="10"/>
  <c r="D3913" i="10"/>
  <c r="E3913" i="10"/>
  <c r="F3913" i="10"/>
  <c r="G3913" i="10"/>
  <c r="H3913" i="10"/>
  <c r="A3914" i="10"/>
  <c r="B3914" i="10"/>
  <c r="C3914" i="10"/>
  <c r="D3914" i="10"/>
  <c r="E3914" i="10"/>
  <c r="F3914" i="10"/>
  <c r="G3914" i="10"/>
  <c r="H3914" i="10"/>
  <c r="A3915" i="10"/>
  <c r="B3915" i="10"/>
  <c r="C3915" i="10"/>
  <c r="D3915" i="10"/>
  <c r="E3915" i="10"/>
  <c r="F3915" i="10"/>
  <c r="G3915" i="10"/>
  <c r="H3915" i="10"/>
  <c r="A3916" i="10"/>
  <c r="B3916" i="10"/>
  <c r="C3916" i="10"/>
  <c r="D3916" i="10"/>
  <c r="E3916" i="10"/>
  <c r="F3916" i="10"/>
  <c r="G3916" i="10"/>
  <c r="H3916" i="10"/>
  <c r="A3917" i="10"/>
  <c r="B3917" i="10"/>
  <c r="C3917" i="10"/>
  <c r="D3917" i="10"/>
  <c r="E3917" i="10"/>
  <c r="F3917" i="10"/>
  <c r="G3917" i="10"/>
  <c r="H3917" i="10"/>
  <c r="A3918" i="10"/>
  <c r="B3918" i="10"/>
  <c r="C3918" i="10"/>
  <c r="D3918" i="10"/>
  <c r="E3918" i="10"/>
  <c r="F3918" i="10"/>
  <c r="G3918" i="10"/>
  <c r="H3918" i="10"/>
  <c r="A3919" i="10"/>
  <c r="B3919" i="10"/>
  <c r="C3919" i="10"/>
  <c r="D3919" i="10"/>
  <c r="E3919" i="10"/>
  <c r="F3919" i="10"/>
  <c r="G3919" i="10"/>
  <c r="H3919" i="10"/>
  <c r="A3920" i="10"/>
  <c r="B3920" i="10"/>
  <c r="C3920" i="10"/>
  <c r="D3920" i="10"/>
  <c r="E3920" i="10"/>
  <c r="F3920" i="10"/>
  <c r="G3920" i="10"/>
  <c r="H3920" i="10"/>
  <c r="A3921" i="10"/>
  <c r="B3921" i="10"/>
  <c r="C3921" i="10"/>
  <c r="D3921" i="10"/>
  <c r="E3921" i="10"/>
  <c r="F3921" i="10"/>
  <c r="G3921" i="10"/>
  <c r="H3921" i="10"/>
  <c r="A3922" i="10"/>
  <c r="B3922" i="10"/>
  <c r="C3922" i="10"/>
  <c r="D3922" i="10"/>
  <c r="E3922" i="10"/>
  <c r="F3922" i="10"/>
  <c r="G3922" i="10"/>
  <c r="H3922" i="10"/>
  <c r="A3923" i="10"/>
  <c r="B3923" i="10"/>
  <c r="C3923" i="10"/>
  <c r="D3923" i="10"/>
  <c r="E3923" i="10"/>
  <c r="F3923" i="10"/>
  <c r="G3923" i="10"/>
  <c r="H3923" i="10"/>
  <c r="A3924" i="10"/>
  <c r="B3924" i="10"/>
  <c r="C3924" i="10"/>
  <c r="D3924" i="10"/>
  <c r="E3924" i="10"/>
  <c r="F3924" i="10"/>
  <c r="G3924" i="10"/>
  <c r="H3924" i="10"/>
  <c r="A3925" i="10"/>
  <c r="B3925" i="10"/>
  <c r="C3925" i="10"/>
  <c r="D3925" i="10"/>
  <c r="E3925" i="10"/>
  <c r="F3925" i="10"/>
  <c r="G3925" i="10"/>
  <c r="H3925" i="10"/>
  <c r="A3926" i="10"/>
  <c r="B3926" i="10"/>
  <c r="C3926" i="10"/>
  <c r="D3926" i="10"/>
  <c r="E3926" i="10"/>
  <c r="F3926" i="10"/>
  <c r="G3926" i="10"/>
  <c r="H3926" i="10"/>
  <c r="A3927" i="10"/>
  <c r="B3927" i="10"/>
  <c r="C3927" i="10"/>
  <c r="D3927" i="10"/>
  <c r="E3927" i="10"/>
  <c r="F3927" i="10"/>
  <c r="G3927" i="10"/>
  <c r="H3927" i="10"/>
  <c r="A3928" i="10"/>
  <c r="B3928" i="10"/>
  <c r="C3928" i="10"/>
  <c r="D3928" i="10"/>
  <c r="E3928" i="10"/>
  <c r="F3928" i="10"/>
  <c r="G3928" i="10"/>
  <c r="H3928" i="10"/>
  <c r="A3929" i="10"/>
  <c r="B3929" i="10"/>
  <c r="C3929" i="10"/>
  <c r="D3929" i="10"/>
  <c r="E3929" i="10"/>
  <c r="F3929" i="10"/>
  <c r="G3929" i="10"/>
  <c r="H3929" i="10"/>
  <c r="A3930" i="10"/>
  <c r="B3930" i="10"/>
  <c r="C3930" i="10"/>
  <c r="D3930" i="10"/>
  <c r="E3930" i="10"/>
  <c r="F3930" i="10"/>
  <c r="G3930" i="10"/>
  <c r="H3930" i="10"/>
  <c r="A3931" i="10"/>
  <c r="B3931" i="10"/>
  <c r="C3931" i="10"/>
  <c r="D3931" i="10"/>
  <c r="E3931" i="10"/>
  <c r="F3931" i="10"/>
  <c r="G3931" i="10"/>
  <c r="H3931" i="10"/>
  <c r="A3932" i="10"/>
  <c r="B3932" i="10"/>
  <c r="C3932" i="10"/>
  <c r="D3932" i="10"/>
  <c r="E3932" i="10"/>
  <c r="F3932" i="10"/>
  <c r="G3932" i="10"/>
  <c r="H3932" i="10"/>
  <c r="A3933" i="10"/>
  <c r="B3933" i="10"/>
  <c r="C3933" i="10"/>
  <c r="D3933" i="10"/>
  <c r="E3933" i="10"/>
  <c r="F3933" i="10"/>
  <c r="G3933" i="10"/>
  <c r="H3933" i="10"/>
  <c r="A3934" i="10"/>
  <c r="B3934" i="10"/>
  <c r="C3934" i="10"/>
  <c r="D3934" i="10"/>
  <c r="E3934" i="10"/>
  <c r="F3934" i="10"/>
  <c r="G3934" i="10"/>
  <c r="H3934" i="10"/>
  <c r="A3935" i="10"/>
  <c r="B3935" i="10"/>
  <c r="C3935" i="10"/>
  <c r="D3935" i="10"/>
  <c r="E3935" i="10"/>
  <c r="F3935" i="10"/>
  <c r="G3935" i="10"/>
  <c r="H3935" i="10"/>
  <c r="A3936" i="10"/>
  <c r="B3936" i="10"/>
  <c r="C3936" i="10"/>
  <c r="D3936" i="10"/>
  <c r="E3936" i="10"/>
  <c r="F3936" i="10"/>
  <c r="G3936" i="10"/>
  <c r="H3936" i="10"/>
  <c r="A3937" i="10"/>
  <c r="B3937" i="10"/>
  <c r="C3937" i="10"/>
  <c r="D3937" i="10"/>
  <c r="E3937" i="10"/>
  <c r="F3937" i="10"/>
  <c r="G3937" i="10"/>
  <c r="H3937" i="10"/>
  <c r="A3938" i="10"/>
  <c r="B3938" i="10"/>
  <c r="C3938" i="10"/>
  <c r="D3938" i="10"/>
  <c r="E3938" i="10"/>
  <c r="F3938" i="10"/>
  <c r="G3938" i="10"/>
  <c r="H3938" i="10"/>
  <c r="A3939" i="10"/>
  <c r="B3939" i="10"/>
  <c r="C3939" i="10"/>
  <c r="D3939" i="10"/>
  <c r="E3939" i="10"/>
  <c r="F3939" i="10"/>
  <c r="G3939" i="10"/>
  <c r="H3939" i="10"/>
  <c r="A3940" i="10"/>
  <c r="B3940" i="10"/>
  <c r="C3940" i="10"/>
  <c r="D3940" i="10"/>
  <c r="E3940" i="10"/>
  <c r="F3940" i="10"/>
  <c r="G3940" i="10"/>
  <c r="H3940" i="10"/>
  <c r="A3941" i="10"/>
  <c r="B3941" i="10"/>
  <c r="C3941" i="10"/>
  <c r="D3941" i="10"/>
  <c r="E3941" i="10"/>
  <c r="F3941" i="10"/>
  <c r="G3941" i="10"/>
  <c r="H3941" i="10"/>
  <c r="A3942" i="10"/>
  <c r="B3942" i="10"/>
  <c r="C3942" i="10"/>
  <c r="D3942" i="10"/>
  <c r="E3942" i="10"/>
  <c r="F3942" i="10"/>
  <c r="G3942" i="10"/>
  <c r="H3942" i="10"/>
  <c r="A3943" i="10"/>
  <c r="B3943" i="10"/>
  <c r="C3943" i="10"/>
  <c r="D3943" i="10"/>
  <c r="E3943" i="10"/>
  <c r="F3943" i="10"/>
  <c r="G3943" i="10"/>
  <c r="H3943" i="10"/>
  <c r="A3944" i="10"/>
  <c r="B3944" i="10"/>
  <c r="C3944" i="10"/>
  <c r="D3944" i="10"/>
  <c r="E3944" i="10"/>
  <c r="F3944" i="10"/>
  <c r="G3944" i="10"/>
  <c r="H3944" i="10"/>
  <c r="A3945" i="10"/>
  <c r="B3945" i="10"/>
  <c r="C3945" i="10"/>
  <c r="D3945" i="10"/>
  <c r="E3945" i="10"/>
  <c r="F3945" i="10"/>
  <c r="G3945" i="10"/>
  <c r="H3945" i="10"/>
  <c r="A3946" i="10"/>
  <c r="B3946" i="10"/>
  <c r="C3946" i="10"/>
  <c r="D3946" i="10"/>
  <c r="E3946" i="10"/>
  <c r="F3946" i="10"/>
  <c r="G3946" i="10"/>
  <c r="H3946" i="10"/>
  <c r="U2388" i="3" l="1"/>
  <c r="U2387" i="3"/>
  <c r="U2386" i="3"/>
  <c r="U2385" i="3"/>
  <c r="U2383" i="3"/>
  <c r="U2384" i="3"/>
  <c r="X2500" i="3" l="1"/>
  <c r="T2500" i="3"/>
  <c r="J2500" i="3" s="1"/>
  <c r="A2478" i="10"/>
  <c r="B2478" i="10"/>
  <c r="C2478" i="10"/>
  <c r="D2478" i="10"/>
  <c r="E2478" i="10"/>
  <c r="F2478" i="10"/>
  <c r="G2478" i="10"/>
  <c r="H2478" i="10"/>
  <c r="A2479" i="10"/>
  <c r="B2479" i="10"/>
  <c r="C2479" i="10"/>
  <c r="D2479" i="10"/>
  <c r="E2479" i="10"/>
  <c r="F2479" i="10"/>
  <c r="G2479" i="10"/>
  <c r="H2479" i="10"/>
  <c r="A2480" i="10"/>
  <c r="B2480" i="10"/>
  <c r="C2480" i="10"/>
  <c r="D2480" i="10"/>
  <c r="E2480" i="10"/>
  <c r="F2480" i="10"/>
  <c r="G2480" i="10"/>
  <c r="H2480" i="10"/>
  <c r="A2481" i="10"/>
  <c r="B2481" i="10"/>
  <c r="C2481" i="10"/>
  <c r="D2481" i="10"/>
  <c r="E2481" i="10"/>
  <c r="F2481" i="10"/>
  <c r="G2481" i="10"/>
  <c r="H2481" i="10"/>
  <c r="A2482" i="10"/>
  <c r="B2482" i="10"/>
  <c r="C2482" i="10"/>
  <c r="D2482" i="10"/>
  <c r="E2482" i="10"/>
  <c r="F2482" i="10"/>
  <c r="G2482" i="10"/>
  <c r="H2482" i="10"/>
  <c r="A2483" i="10"/>
  <c r="B2483" i="10"/>
  <c r="C2483" i="10"/>
  <c r="D2483" i="10"/>
  <c r="E2483" i="10"/>
  <c r="F2483" i="10"/>
  <c r="G2483" i="10"/>
  <c r="H2483" i="10"/>
  <c r="A2484" i="10"/>
  <c r="B2484" i="10"/>
  <c r="C2484" i="10"/>
  <c r="D2484" i="10"/>
  <c r="E2484" i="10"/>
  <c r="F2484" i="10"/>
  <c r="G2484" i="10"/>
  <c r="H2484" i="10"/>
  <c r="A2485" i="10"/>
  <c r="B2485" i="10"/>
  <c r="C2485" i="10"/>
  <c r="D2485" i="10"/>
  <c r="E2485" i="10"/>
  <c r="F2485" i="10"/>
  <c r="G2485" i="10"/>
  <c r="H2485" i="10"/>
  <c r="A2486" i="10"/>
  <c r="B2486" i="10"/>
  <c r="C2486" i="10"/>
  <c r="D2486" i="10"/>
  <c r="E2486" i="10"/>
  <c r="F2486" i="10"/>
  <c r="G2486" i="10"/>
  <c r="H2486" i="10"/>
  <c r="A2487" i="10"/>
  <c r="B2487" i="10"/>
  <c r="C2487" i="10"/>
  <c r="D2487" i="10"/>
  <c r="E2487" i="10"/>
  <c r="F2487" i="10"/>
  <c r="G2487" i="10"/>
  <c r="H2487" i="10"/>
  <c r="A2488" i="10"/>
  <c r="B2488" i="10"/>
  <c r="C2488" i="10"/>
  <c r="D2488" i="10"/>
  <c r="E2488" i="10"/>
  <c r="F2488" i="10"/>
  <c r="G2488" i="10"/>
  <c r="H2488" i="10"/>
  <c r="A2489" i="10"/>
  <c r="B2489" i="10"/>
  <c r="C2489" i="10"/>
  <c r="D2489" i="10"/>
  <c r="E2489" i="10"/>
  <c r="F2489" i="10"/>
  <c r="G2489" i="10"/>
  <c r="H2489" i="10"/>
  <c r="A2490" i="10"/>
  <c r="B2490" i="10"/>
  <c r="C2490" i="10"/>
  <c r="D2490" i="10"/>
  <c r="E2490" i="10"/>
  <c r="F2490" i="10"/>
  <c r="G2490" i="10"/>
  <c r="H2490" i="10"/>
  <c r="J2473" i="3"/>
  <c r="J2471" i="3"/>
  <c r="J2469" i="3"/>
  <c r="J2467" i="3"/>
  <c r="X2463" i="3"/>
  <c r="P2463" i="3" s="1"/>
  <c r="J2463" i="3"/>
  <c r="J2464" i="3" s="1"/>
  <c r="Z2493" i="10" l="1"/>
  <c r="Z2494" i="10"/>
  <c r="Z2495" i="10"/>
  <c r="Z2496" i="10"/>
  <c r="X2493" i="10"/>
  <c r="Y2493" i="10"/>
  <c r="X2494" i="10"/>
  <c r="Y2494" i="10"/>
  <c r="X2495" i="10"/>
  <c r="Y2495" i="10"/>
  <c r="X2496" i="10"/>
  <c r="Y2496" i="10"/>
  <c r="A2496" i="10"/>
  <c r="B2496" i="10"/>
  <c r="C2496" i="10"/>
  <c r="D2496" i="10"/>
  <c r="E2496" i="10"/>
  <c r="F2496" i="10"/>
  <c r="G2496" i="10"/>
  <c r="H2496" i="10"/>
  <c r="E2495" i="10"/>
  <c r="E2492" i="10"/>
  <c r="A2493" i="10"/>
  <c r="B2493" i="10"/>
  <c r="C2493" i="10"/>
  <c r="D2493" i="10"/>
  <c r="E2493" i="10"/>
  <c r="F2493" i="10"/>
  <c r="G2493" i="10"/>
  <c r="H2493" i="10"/>
  <c r="T2495" i="3"/>
  <c r="P2495" i="3" s="1"/>
  <c r="T2494" i="3"/>
  <c r="P2494" i="3" s="1"/>
  <c r="T2491" i="3"/>
  <c r="P2491" i="3" s="1"/>
  <c r="T2492" i="3"/>
  <c r="P2492" i="3" s="1"/>
  <c r="R1054" i="4"/>
  <c r="A2845" i="10"/>
  <c r="B2845" i="10"/>
  <c r="C2845" i="10"/>
  <c r="D2845" i="10"/>
  <c r="E2845" i="10"/>
  <c r="F2845" i="10"/>
  <c r="G2845" i="10"/>
  <c r="H2845" i="10"/>
  <c r="A2846" i="10"/>
  <c r="B2846" i="10"/>
  <c r="C2846" i="10"/>
  <c r="D2846" i="10"/>
  <c r="E2846" i="10"/>
  <c r="F2846" i="10"/>
  <c r="G2846" i="10"/>
  <c r="H2846" i="10"/>
  <c r="A2847" i="10"/>
  <c r="B2847" i="10"/>
  <c r="C2847" i="10"/>
  <c r="D2847" i="10"/>
  <c r="E2847" i="10"/>
  <c r="F2847" i="10"/>
  <c r="G2847" i="10"/>
  <c r="H2847" i="10"/>
  <c r="A2848" i="10"/>
  <c r="B2848" i="10"/>
  <c r="C2848" i="10"/>
  <c r="D2848" i="10"/>
  <c r="E2848" i="10"/>
  <c r="F2848" i="10"/>
  <c r="G2848" i="10"/>
  <c r="H2848" i="10"/>
  <c r="A2849" i="10"/>
  <c r="B2849" i="10"/>
  <c r="C2849" i="10"/>
  <c r="D2849" i="10"/>
  <c r="E2849" i="10"/>
  <c r="F2849" i="10"/>
  <c r="G2849" i="10"/>
  <c r="H2849" i="10"/>
  <c r="A2850" i="10"/>
  <c r="B2850" i="10"/>
  <c r="C2850" i="10"/>
  <c r="D2850" i="10"/>
  <c r="E2850" i="10"/>
  <c r="F2850" i="10"/>
  <c r="G2850" i="10"/>
  <c r="H2850" i="10"/>
  <c r="A2851" i="10"/>
  <c r="B2851" i="10"/>
  <c r="C2851" i="10"/>
  <c r="D2851" i="10"/>
  <c r="E2851" i="10"/>
  <c r="F2851" i="10"/>
  <c r="G2851" i="10"/>
  <c r="H2851" i="10"/>
  <c r="A2852" i="10"/>
  <c r="B2852" i="10"/>
  <c r="C2852" i="10"/>
  <c r="D2852" i="10"/>
  <c r="E2852" i="10"/>
  <c r="F2852" i="10"/>
  <c r="G2852" i="10"/>
  <c r="H2852" i="10"/>
  <c r="A2853" i="10"/>
  <c r="B2853" i="10"/>
  <c r="C2853" i="10"/>
  <c r="D2853" i="10"/>
  <c r="E2853" i="10"/>
  <c r="F2853" i="10"/>
  <c r="G2853" i="10"/>
  <c r="H2853" i="10"/>
  <c r="A2854" i="10"/>
  <c r="B2854" i="10"/>
  <c r="C2854" i="10"/>
  <c r="D2854" i="10"/>
  <c r="E2854" i="10"/>
  <c r="F2854" i="10"/>
  <c r="G2854" i="10"/>
  <c r="H2854" i="10"/>
  <c r="A2855" i="10"/>
  <c r="B2855" i="10"/>
  <c r="C2855" i="10"/>
  <c r="D2855" i="10"/>
  <c r="E2855" i="10"/>
  <c r="F2855" i="10"/>
  <c r="G2855" i="10"/>
  <c r="H2855" i="10"/>
  <c r="A2856" i="10"/>
  <c r="B2856" i="10"/>
  <c r="C2856" i="10"/>
  <c r="D2856" i="10"/>
  <c r="E2856" i="10"/>
  <c r="F2856" i="10"/>
  <c r="G2856" i="10"/>
  <c r="H2856" i="10"/>
  <c r="A2857" i="10"/>
  <c r="B2857" i="10"/>
  <c r="C2857" i="10"/>
  <c r="D2857" i="10"/>
  <c r="E2857" i="10"/>
  <c r="F2857" i="10"/>
  <c r="G2857" i="10"/>
  <c r="H2857" i="10"/>
  <c r="A2858" i="10"/>
  <c r="B2858" i="10"/>
  <c r="C2858" i="10"/>
  <c r="D2858" i="10"/>
  <c r="E2858" i="10"/>
  <c r="F2858" i="10"/>
  <c r="G2858" i="10"/>
  <c r="H2858" i="10"/>
  <c r="A2859" i="10"/>
  <c r="B2859" i="10"/>
  <c r="C2859" i="10"/>
  <c r="D2859" i="10"/>
  <c r="E2859" i="10"/>
  <c r="F2859" i="10"/>
  <c r="G2859" i="10"/>
  <c r="H2859" i="10"/>
  <c r="A2860" i="10"/>
  <c r="B2860" i="10"/>
  <c r="C2860" i="10"/>
  <c r="D2860" i="10"/>
  <c r="E2860" i="10"/>
  <c r="F2860" i="10"/>
  <c r="G2860" i="10"/>
  <c r="H2860" i="10"/>
  <c r="A2861" i="10"/>
  <c r="B2861" i="10"/>
  <c r="C2861" i="10"/>
  <c r="D2861" i="10"/>
  <c r="E2861" i="10"/>
  <c r="F2861" i="10"/>
  <c r="G2861" i="10"/>
  <c r="H2861" i="10"/>
  <c r="A2862" i="10"/>
  <c r="B2862" i="10"/>
  <c r="C2862" i="10"/>
  <c r="D2862" i="10"/>
  <c r="E2862" i="10"/>
  <c r="F2862" i="10"/>
  <c r="G2862" i="10"/>
  <c r="H2862" i="10"/>
  <c r="A2863" i="10"/>
  <c r="B2863" i="10"/>
  <c r="C2863" i="10"/>
  <c r="D2863" i="10"/>
  <c r="E2863" i="10"/>
  <c r="F2863" i="10"/>
  <c r="G2863" i="10"/>
  <c r="H2863" i="10"/>
  <c r="A2864" i="10"/>
  <c r="B2864" i="10"/>
  <c r="C2864" i="10"/>
  <c r="D2864" i="10"/>
  <c r="E2864" i="10"/>
  <c r="F2864" i="10"/>
  <c r="G2864" i="10"/>
  <c r="H2864" i="10"/>
  <c r="A2865" i="10"/>
  <c r="B2865" i="10"/>
  <c r="C2865" i="10"/>
  <c r="D2865" i="10"/>
  <c r="E2865" i="10"/>
  <c r="F2865" i="10"/>
  <c r="G2865" i="10"/>
  <c r="H2865" i="10"/>
  <c r="A2866" i="10"/>
  <c r="B2866" i="10"/>
  <c r="C2866" i="10"/>
  <c r="D2866" i="10"/>
  <c r="E2866" i="10"/>
  <c r="F2866" i="10"/>
  <c r="G2866" i="10"/>
  <c r="H2866" i="10"/>
  <c r="A2867" i="10"/>
  <c r="B2867" i="10"/>
  <c r="C2867" i="10"/>
  <c r="D2867" i="10"/>
  <c r="E2867" i="10"/>
  <c r="F2867" i="10"/>
  <c r="G2867" i="10"/>
  <c r="H2867" i="10"/>
  <c r="A2868" i="10"/>
  <c r="B2868" i="10"/>
  <c r="C2868" i="10"/>
  <c r="D2868" i="10"/>
  <c r="E2868" i="10"/>
  <c r="F2868" i="10"/>
  <c r="G2868" i="10"/>
  <c r="H2868" i="10"/>
  <c r="A2869" i="10"/>
  <c r="B2869" i="10"/>
  <c r="C2869" i="10"/>
  <c r="D2869" i="10"/>
  <c r="E2869" i="10"/>
  <c r="F2869" i="10"/>
  <c r="G2869" i="10"/>
  <c r="H2869" i="10"/>
  <c r="A2870" i="10"/>
  <c r="B2870" i="10"/>
  <c r="C2870" i="10"/>
  <c r="D2870" i="10"/>
  <c r="E2870" i="10"/>
  <c r="F2870" i="10"/>
  <c r="G2870" i="10"/>
  <c r="H2870" i="10"/>
  <c r="A2871" i="10"/>
  <c r="B2871" i="10"/>
  <c r="C2871" i="10"/>
  <c r="D2871" i="10"/>
  <c r="E2871" i="10"/>
  <c r="F2871" i="10"/>
  <c r="G2871" i="10"/>
  <c r="H2871" i="10"/>
  <c r="A2872" i="10"/>
  <c r="B2872" i="10"/>
  <c r="C2872" i="10"/>
  <c r="D2872" i="10"/>
  <c r="E2872" i="10"/>
  <c r="F2872" i="10"/>
  <c r="G2872" i="10"/>
  <c r="H2872" i="10"/>
  <c r="A2873" i="10"/>
  <c r="B2873" i="10"/>
  <c r="C2873" i="10"/>
  <c r="D2873" i="10"/>
  <c r="E2873" i="10"/>
  <c r="F2873" i="10"/>
  <c r="G2873" i="10"/>
  <c r="H2873" i="10"/>
  <c r="A2874" i="10"/>
  <c r="B2874" i="10"/>
  <c r="C2874" i="10"/>
  <c r="D2874" i="10"/>
  <c r="E2874" i="10"/>
  <c r="F2874" i="10"/>
  <c r="G2874" i="10"/>
  <c r="H2874" i="10"/>
  <c r="A2875" i="10"/>
  <c r="B2875" i="10"/>
  <c r="C2875" i="10"/>
  <c r="D2875" i="10"/>
  <c r="E2875" i="10"/>
  <c r="F2875" i="10"/>
  <c r="G2875" i="10"/>
  <c r="H2875" i="10"/>
  <c r="A2876" i="10"/>
  <c r="B2876" i="10"/>
  <c r="C2876" i="10"/>
  <c r="D2876" i="10"/>
  <c r="E2876" i="10"/>
  <c r="F2876" i="10"/>
  <c r="G2876" i="10"/>
  <c r="H2876" i="10"/>
  <c r="A2877" i="10"/>
  <c r="B2877" i="10"/>
  <c r="C2877" i="10"/>
  <c r="D2877" i="10"/>
  <c r="E2877" i="10"/>
  <c r="F2877" i="10"/>
  <c r="G2877" i="10"/>
  <c r="H2877" i="10"/>
  <c r="A2878" i="10"/>
  <c r="B2878" i="10"/>
  <c r="C2878" i="10"/>
  <c r="D2878" i="10"/>
  <c r="E2878" i="10"/>
  <c r="F2878" i="10"/>
  <c r="G2878" i="10"/>
  <c r="H2878" i="10"/>
  <c r="A2879" i="10"/>
  <c r="B2879" i="10"/>
  <c r="C2879" i="10"/>
  <c r="D2879" i="10"/>
  <c r="E2879" i="10"/>
  <c r="F2879" i="10"/>
  <c r="G2879" i="10"/>
  <c r="H2879" i="10"/>
  <c r="A2880" i="10"/>
  <c r="B2880" i="10"/>
  <c r="C2880" i="10"/>
  <c r="D2880" i="10"/>
  <c r="E2880" i="10"/>
  <c r="F2880" i="10"/>
  <c r="G2880" i="10"/>
  <c r="H2880" i="10"/>
  <c r="A2881" i="10"/>
  <c r="B2881" i="10"/>
  <c r="C2881" i="10"/>
  <c r="D2881" i="10"/>
  <c r="E2881" i="10"/>
  <c r="F2881" i="10"/>
  <c r="G2881" i="10"/>
  <c r="H2881" i="10"/>
  <c r="A2882" i="10"/>
  <c r="B2882" i="10"/>
  <c r="C2882" i="10"/>
  <c r="D2882" i="10"/>
  <c r="E2882" i="10"/>
  <c r="F2882" i="10"/>
  <c r="G2882" i="10"/>
  <c r="H2882" i="10"/>
  <c r="A2883" i="10"/>
  <c r="B2883" i="10"/>
  <c r="C2883" i="10"/>
  <c r="D2883" i="10"/>
  <c r="E2883" i="10"/>
  <c r="F2883" i="10"/>
  <c r="G2883" i="10"/>
  <c r="H2883" i="10"/>
  <c r="A2884" i="10"/>
  <c r="B2884" i="10"/>
  <c r="C2884" i="10"/>
  <c r="D2884" i="10"/>
  <c r="E2884" i="10"/>
  <c r="F2884" i="10"/>
  <c r="G2884" i="10"/>
  <c r="H2884" i="10"/>
  <c r="A2885" i="10"/>
  <c r="B2885" i="10"/>
  <c r="C2885" i="10"/>
  <c r="D2885" i="10"/>
  <c r="E2885" i="10"/>
  <c r="F2885" i="10"/>
  <c r="G2885" i="10"/>
  <c r="H2885" i="10"/>
  <c r="A2886" i="10"/>
  <c r="B2886" i="10"/>
  <c r="C2886" i="10"/>
  <c r="D2886" i="10"/>
  <c r="E2886" i="10"/>
  <c r="F2886" i="10"/>
  <c r="G2886" i="10"/>
  <c r="H2886" i="10"/>
  <c r="A2887" i="10"/>
  <c r="B2887" i="10"/>
  <c r="C2887" i="10"/>
  <c r="D2887" i="10"/>
  <c r="E2887" i="10"/>
  <c r="F2887" i="10"/>
  <c r="G2887" i="10"/>
  <c r="H2887" i="10"/>
  <c r="A2888" i="10"/>
  <c r="B2888" i="10"/>
  <c r="C2888" i="10"/>
  <c r="D2888" i="10"/>
  <c r="E2888" i="10"/>
  <c r="F2888" i="10"/>
  <c r="G2888" i="10"/>
  <c r="H2888" i="10"/>
  <c r="A2889" i="10"/>
  <c r="B2889" i="10"/>
  <c r="C2889" i="10"/>
  <c r="D2889" i="10"/>
  <c r="E2889" i="10"/>
  <c r="F2889" i="10"/>
  <c r="G2889" i="10"/>
  <c r="H2889" i="10"/>
  <c r="A2890" i="10"/>
  <c r="B2890" i="10"/>
  <c r="C2890" i="10"/>
  <c r="D2890" i="10"/>
  <c r="E2890" i="10"/>
  <c r="F2890" i="10"/>
  <c r="G2890" i="10"/>
  <c r="H2890" i="10"/>
  <c r="A2891" i="10"/>
  <c r="B2891" i="10"/>
  <c r="C2891" i="10"/>
  <c r="D2891" i="10"/>
  <c r="E2891" i="10"/>
  <c r="F2891" i="10"/>
  <c r="G2891" i="10"/>
  <c r="H2891" i="10"/>
  <c r="A2892" i="10"/>
  <c r="B2892" i="10"/>
  <c r="C2892" i="10"/>
  <c r="D2892" i="10"/>
  <c r="E2892" i="10"/>
  <c r="F2892" i="10"/>
  <c r="G2892" i="10"/>
  <c r="H2892" i="10"/>
  <c r="A2893" i="10"/>
  <c r="B2893" i="10"/>
  <c r="C2893" i="10"/>
  <c r="D2893" i="10"/>
  <c r="E2893" i="10"/>
  <c r="F2893" i="10"/>
  <c r="G2893" i="10"/>
  <c r="H2893" i="10"/>
  <c r="A2894" i="10"/>
  <c r="B2894" i="10"/>
  <c r="C2894" i="10"/>
  <c r="D2894" i="10"/>
  <c r="E2894" i="10"/>
  <c r="F2894" i="10"/>
  <c r="G2894" i="10"/>
  <c r="H2894" i="10"/>
  <c r="A2895" i="10"/>
  <c r="B2895" i="10"/>
  <c r="C2895" i="10"/>
  <c r="D2895" i="10"/>
  <c r="E2895" i="10"/>
  <c r="F2895" i="10"/>
  <c r="G2895" i="10"/>
  <c r="H2895" i="10"/>
  <c r="A2896" i="10"/>
  <c r="B2896" i="10"/>
  <c r="C2896" i="10"/>
  <c r="D2896" i="10"/>
  <c r="E2896" i="10"/>
  <c r="F2896" i="10"/>
  <c r="G2896" i="10"/>
  <c r="H2896" i="10"/>
  <c r="A2897" i="10"/>
  <c r="B2897" i="10"/>
  <c r="C2897" i="10"/>
  <c r="D2897" i="10"/>
  <c r="E2897" i="10"/>
  <c r="F2897" i="10"/>
  <c r="G2897" i="10"/>
  <c r="H2897" i="10"/>
  <c r="A2898" i="10"/>
  <c r="B2898" i="10"/>
  <c r="C2898" i="10"/>
  <c r="D2898" i="10"/>
  <c r="E2898" i="10"/>
  <c r="F2898" i="10"/>
  <c r="G2898" i="10"/>
  <c r="H2898" i="10"/>
  <c r="A2899" i="10"/>
  <c r="B2899" i="10"/>
  <c r="C2899" i="10"/>
  <c r="D2899" i="10"/>
  <c r="E2899" i="10"/>
  <c r="F2899" i="10"/>
  <c r="G2899" i="10"/>
  <c r="H2899" i="10"/>
  <c r="A2900" i="10"/>
  <c r="B2900" i="10"/>
  <c r="C2900" i="10"/>
  <c r="D2900" i="10"/>
  <c r="E2900" i="10"/>
  <c r="F2900" i="10"/>
  <c r="G2900" i="10"/>
  <c r="H2900" i="10"/>
  <c r="A2901" i="10"/>
  <c r="B2901" i="10"/>
  <c r="C2901" i="10"/>
  <c r="D2901" i="10"/>
  <c r="E2901" i="10"/>
  <c r="F2901" i="10"/>
  <c r="G2901" i="10"/>
  <c r="H2901" i="10"/>
  <c r="A2902" i="10"/>
  <c r="B2902" i="10"/>
  <c r="C2902" i="10"/>
  <c r="D2902" i="10"/>
  <c r="E2902" i="10"/>
  <c r="F2902" i="10"/>
  <c r="G2902" i="10"/>
  <c r="H2902" i="10"/>
  <c r="A2903" i="10"/>
  <c r="B2903" i="10"/>
  <c r="C2903" i="10"/>
  <c r="D2903" i="10"/>
  <c r="E2903" i="10"/>
  <c r="F2903" i="10"/>
  <c r="G2903" i="10"/>
  <c r="H2903" i="10"/>
  <c r="A2904" i="10"/>
  <c r="B2904" i="10"/>
  <c r="C2904" i="10"/>
  <c r="D2904" i="10"/>
  <c r="E2904" i="10"/>
  <c r="F2904" i="10"/>
  <c r="G2904" i="10"/>
  <c r="H2904" i="10"/>
  <c r="A2905" i="10"/>
  <c r="B2905" i="10"/>
  <c r="C2905" i="10"/>
  <c r="D2905" i="10"/>
  <c r="E2905" i="10"/>
  <c r="F2905" i="10"/>
  <c r="G2905" i="10"/>
  <c r="H2905" i="10"/>
  <c r="A2906" i="10"/>
  <c r="B2906" i="10"/>
  <c r="C2906" i="10"/>
  <c r="D2906" i="10"/>
  <c r="E2906" i="10"/>
  <c r="F2906" i="10"/>
  <c r="G2906" i="10"/>
  <c r="H2906" i="10"/>
  <c r="A2907" i="10"/>
  <c r="B2907" i="10"/>
  <c r="C2907" i="10"/>
  <c r="D2907" i="10"/>
  <c r="E2907" i="10"/>
  <c r="F2907" i="10"/>
  <c r="G2907" i="10"/>
  <c r="H2907" i="10"/>
  <c r="A2908" i="10"/>
  <c r="B2908" i="10"/>
  <c r="C2908" i="10"/>
  <c r="D2908" i="10"/>
  <c r="E2908" i="10"/>
  <c r="F2908" i="10"/>
  <c r="G2908" i="10"/>
  <c r="H2908" i="10"/>
  <c r="A2909" i="10"/>
  <c r="B2909" i="10"/>
  <c r="C2909" i="10"/>
  <c r="D2909" i="10"/>
  <c r="E2909" i="10"/>
  <c r="F2909" i="10"/>
  <c r="G2909" i="10"/>
  <c r="H2909" i="10"/>
  <c r="A2910" i="10"/>
  <c r="B2910" i="10"/>
  <c r="C2910" i="10"/>
  <c r="D2910" i="10"/>
  <c r="E2910" i="10"/>
  <c r="F2910" i="10"/>
  <c r="G2910" i="10"/>
  <c r="H2910" i="10"/>
  <c r="A2911" i="10"/>
  <c r="B2911" i="10"/>
  <c r="C2911" i="10"/>
  <c r="D2911" i="10"/>
  <c r="E2911" i="10"/>
  <c r="F2911" i="10"/>
  <c r="G2911" i="10"/>
  <c r="H2911" i="10"/>
  <c r="A2912" i="10"/>
  <c r="B2912" i="10"/>
  <c r="C2912" i="10"/>
  <c r="D2912" i="10"/>
  <c r="E2912" i="10"/>
  <c r="F2912" i="10"/>
  <c r="G2912" i="10"/>
  <c r="H2912" i="10"/>
  <c r="T2844" i="3"/>
  <c r="T2843" i="3"/>
  <c r="X2843" i="3" s="1"/>
  <c r="X2491" i="3" l="1"/>
  <c r="X2494" i="3"/>
  <c r="X2495" i="3"/>
  <c r="X2492" i="3"/>
  <c r="X2844" i="3"/>
  <c r="J1150" i="2"/>
  <c r="I1150" i="2"/>
  <c r="K1217" i="2"/>
  <c r="K1216" i="2"/>
  <c r="K1215" i="2"/>
  <c r="K1214" i="2"/>
  <c r="K1213" i="2"/>
  <c r="K1212" i="2"/>
  <c r="K1210" i="2"/>
  <c r="K1209" i="2"/>
  <c r="K1208" i="2"/>
  <c r="K1207" i="2"/>
  <c r="K1206" i="2"/>
  <c r="K1205" i="2"/>
  <c r="K1204" i="2"/>
  <c r="K1203" i="2"/>
  <c r="K1202" i="2"/>
  <c r="K1201" i="2"/>
  <c r="K1200" i="2"/>
  <c r="K1199" i="2"/>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155" i="2"/>
  <c r="K1154" i="2"/>
  <c r="K1153" i="2"/>
  <c r="K1152" i="2"/>
  <c r="K1151" i="2"/>
  <c r="K1211" i="2"/>
  <c r="C2838" i="10"/>
  <c r="D2838" i="10"/>
  <c r="E2838" i="10"/>
  <c r="F2838" i="10"/>
  <c r="G2838" i="10"/>
  <c r="H2838" i="10"/>
  <c r="A2838" i="10"/>
  <c r="B2838" i="10"/>
  <c r="A2836" i="10"/>
  <c r="B2836" i="10"/>
  <c r="C2836" i="10"/>
  <c r="D2836" i="10"/>
  <c r="E2836" i="10"/>
  <c r="F2836" i="10"/>
  <c r="G2836" i="10"/>
  <c r="H2836" i="10"/>
  <c r="A2837" i="10"/>
  <c r="B2837" i="10"/>
  <c r="C2837" i="10"/>
  <c r="D2837" i="10"/>
  <c r="E2837" i="10"/>
  <c r="F2837" i="10"/>
  <c r="G2837" i="10"/>
  <c r="H2837" i="10"/>
  <c r="A2839" i="10"/>
  <c r="B2839" i="10"/>
  <c r="C2839" i="10"/>
  <c r="D2839" i="10"/>
  <c r="E2839" i="10"/>
  <c r="F2839" i="10"/>
  <c r="G2839" i="10"/>
  <c r="H2839" i="10"/>
  <c r="A2840" i="10"/>
  <c r="B2840" i="10"/>
  <c r="C2840" i="10"/>
  <c r="D2840" i="10"/>
  <c r="E2840" i="10"/>
  <c r="F2840" i="10"/>
  <c r="G2840" i="10"/>
  <c r="H2840" i="10"/>
  <c r="A2841" i="10"/>
  <c r="B2841" i="10"/>
  <c r="C2841" i="10"/>
  <c r="D2841" i="10"/>
  <c r="E2841" i="10"/>
  <c r="F2841" i="10"/>
  <c r="G2841" i="10"/>
  <c r="H2841" i="10"/>
  <c r="A2842" i="10"/>
  <c r="B2842" i="10"/>
  <c r="C2842" i="10"/>
  <c r="D2842" i="10"/>
  <c r="E2842" i="10"/>
  <c r="F2842" i="10"/>
  <c r="G2842" i="10"/>
  <c r="H2842" i="10"/>
  <c r="A2843" i="10"/>
  <c r="B2843" i="10"/>
  <c r="C2843" i="10"/>
  <c r="D2843" i="10"/>
  <c r="E2843" i="10"/>
  <c r="F2843" i="10"/>
  <c r="G2843" i="10"/>
  <c r="H2843" i="10"/>
  <c r="A2844" i="10"/>
  <c r="B2844" i="10"/>
  <c r="C2844" i="10"/>
  <c r="D2844" i="10"/>
  <c r="E2844" i="10"/>
  <c r="F2844" i="10"/>
  <c r="G2844" i="10"/>
  <c r="H2844" i="10"/>
  <c r="X2836" i="3"/>
  <c r="X2806" i="3"/>
  <c r="X2805" i="3"/>
  <c r="X2804" i="3"/>
  <c r="X2788" i="3"/>
  <c r="X2787" i="3"/>
  <c r="X2786" i="3"/>
  <c r="X2770" i="3"/>
  <c r="X2769" i="3"/>
  <c r="X2768" i="3"/>
  <c r="X2752" i="3"/>
  <c r="X2751" i="3"/>
  <c r="X2750" i="3"/>
  <c r="X2734" i="3"/>
  <c r="X2733" i="3"/>
  <c r="X2732" i="3"/>
  <c r="X2716" i="3"/>
  <c r="X2715" i="3"/>
  <c r="X2714" i="3"/>
  <c r="X2698" i="3"/>
  <c r="X2697" i="3"/>
  <c r="X2696" i="3"/>
  <c r="X2644" i="3"/>
  <c r="X2643" i="3"/>
  <c r="X2642" i="3"/>
  <c r="X2680" i="3"/>
  <c r="X2679" i="3"/>
  <c r="X2678" i="3"/>
  <c r="X2818" i="3"/>
  <c r="X2819" i="3"/>
  <c r="X2820" i="3"/>
  <c r="X2821" i="3"/>
  <c r="X2822" i="3"/>
  <c r="X2823" i="3"/>
  <c r="X2824" i="3"/>
  <c r="X2825" i="3"/>
  <c r="X2826" i="3"/>
  <c r="X2662" i="3"/>
  <c r="X2661" i="3"/>
  <c r="X2660" i="3"/>
  <c r="X2827" i="3"/>
  <c r="X2828" i="3"/>
  <c r="X2829" i="3"/>
  <c r="X2830" i="3"/>
  <c r="X2831" i="3"/>
  <c r="X2832" i="3"/>
  <c r="X2833" i="3"/>
  <c r="X2834" i="3"/>
  <c r="X2835" i="3"/>
  <c r="T2817" i="3"/>
  <c r="X2817" i="3" s="1"/>
  <c r="T2816" i="3"/>
  <c r="X2816" i="3" s="1"/>
  <c r="T2815" i="3"/>
  <c r="X2815" i="3" s="1"/>
  <c r="T2814" i="3"/>
  <c r="X2814" i="3" s="1"/>
  <c r="T2813" i="3"/>
  <c r="X2813" i="3" s="1"/>
  <c r="T2812" i="3"/>
  <c r="X2812" i="3" s="1"/>
  <c r="T2811" i="3"/>
  <c r="X2811" i="3" s="1"/>
  <c r="T2810" i="3"/>
  <c r="X2810" i="3" s="1"/>
  <c r="T2809" i="3"/>
  <c r="X2809" i="3" s="1"/>
  <c r="T2808" i="3"/>
  <c r="X2808" i="3" s="1"/>
  <c r="T2807" i="3"/>
  <c r="X2807" i="3" s="1"/>
  <c r="T2803" i="3"/>
  <c r="X2803" i="3" s="1"/>
  <c r="T2802" i="3"/>
  <c r="X2802" i="3" s="1"/>
  <c r="T2801" i="3"/>
  <c r="X2801" i="3" s="1"/>
  <c r="T2800" i="3"/>
  <c r="X2800" i="3" s="1"/>
  <c r="T2799" i="3"/>
  <c r="X2799" i="3" s="1"/>
  <c r="T2798" i="3"/>
  <c r="X2798" i="3" s="1"/>
  <c r="T2797" i="3"/>
  <c r="X2797" i="3" s="1"/>
  <c r="T2796" i="3"/>
  <c r="X2796" i="3" s="1"/>
  <c r="T2795" i="3"/>
  <c r="X2795" i="3" s="1"/>
  <c r="T2794" i="3"/>
  <c r="X2794" i="3" s="1"/>
  <c r="T2793" i="3"/>
  <c r="X2793" i="3" s="1"/>
  <c r="T2792" i="3"/>
  <c r="X2792" i="3" s="1"/>
  <c r="T2791" i="3"/>
  <c r="X2791" i="3" s="1"/>
  <c r="T2790" i="3"/>
  <c r="X2790" i="3" s="1"/>
  <c r="T2789" i="3"/>
  <c r="X2789" i="3" s="1"/>
  <c r="T2785" i="3"/>
  <c r="X2785" i="3" s="1"/>
  <c r="T2784" i="3"/>
  <c r="X2784" i="3" s="1"/>
  <c r="T2783" i="3"/>
  <c r="X2783" i="3" s="1"/>
  <c r="T2782" i="3"/>
  <c r="X2782" i="3" s="1"/>
  <c r="T2781" i="3"/>
  <c r="X2781" i="3" s="1"/>
  <c r="T2780" i="3"/>
  <c r="X2780" i="3" s="1"/>
  <c r="T2779" i="3"/>
  <c r="X2779" i="3" s="1"/>
  <c r="T2778" i="3"/>
  <c r="X2778" i="3" s="1"/>
  <c r="T2777" i="3"/>
  <c r="X2777" i="3" s="1"/>
  <c r="T2776" i="3"/>
  <c r="X2776" i="3" s="1"/>
  <c r="T2775" i="3"/>
  <c r="X2775" i="3" s="1"/>
  <c r="T2774" i="3"/>
  <c r="X2774" i="3" s="1"/>
  <c r="T2773" i="3"/>
  <c r="X2773" i="3" s="1"/>
  <c r="T2772" i="3"/>
  <c r="X2772" i="3" s="1"/>
  <c r="T2771" i="3"/>
  <c r="X2771" i="3" s="1"/>
  <c r="T2767" i="3"/>
  <c r="X2767" i="3" s="1"/>
  <c r="T2766" i="3"/>
  <c r="X2766" i="3" s="1"/>
  <c r="T2765" i="3"/>
  <c r="X2765" i="3" s="1"/>
  <c r="T2764" i="3"/>
  <c r="X2764" i="3" s="1"/>
  <c r="T2763" i="3"/>
  <c r="X2763" i="3" s="1"/>
  <c r="T2762" i="3"/>
  <c r="X2762" i="3" s="1"/>
  <c r="T2761" i="3"/>
  <c r="X2761" i="3" s="1"/>
  <c r="T2760" i="3"/>
  <c r="X2760" i="3" s="1"/>
  <c r="T2759" i="3"/>
  <c r="X2759" i="3" s="1"/>
  <c r="T2758" i="3"/>
  <c r="X2758" i="3" s="1"/>
  <c r="T2757" i="3"/>
  <c r="X2757" i="3" s="1"/>
  <c r="T2756" i="3"/>
  <c r="X2756" i="3" s="1"/>
  <c r="T2755" i="3"/>
  <c r="X2755" i="3" s="1"/>
  <c r="T2754" i="3"/>
  <c r="X2754" i="3" s="1"/>
  <c r="T2753" i="3"/>
  <c r="X2753" i="3" s="1"/>
  <c r="T2749" i="3"/>
  <c r="X2749" i="3" s="1"/>
  <c r="T2748" i="3"/>
  <c r="X2748" i="3" s="1"/>
  <c r="T2747" i="3"/>
  <c r="X2747" i="3" s="1"/>
  <c r="T2746" i="3"/>
  <c r="X2746" i="3" s="1"/>
  <c r="T2745" i="3"/>
  <c r="X2745" i="3" s="1"/>
  <c r="T2744" i="3"/>
  <c r="X2744" i="3" s="1"/>
  <c r="T2743" i="3"/>
  <c r="X2743" i="3" s="1"/>
  <c r="T2742" i="3"/>
  <c r="X2742" i="3" s="1"/>
  <c r="T2741" i="3"/>
  <c r="X2741" i="3" s="1"/>
  <c r="T2740" i="3"/>
  <c r="X2740" i="3" s="1"/>
  <c r="T2739" i="3"/>
  <c r="X2739" i="3" s="1"/>
  <c r="T2738" i="3"/>
  <c r="X2738" i="3" s="1"/>
  <c r="T2737" i="3"/>
  <c r="X2737" i="3" s="1"/>
  <c r="T2736" i="3"/>
  <c r="X2736" i="3" s="1"/>
  <c r="T2735" i="3"/>
  <c r="X2735" i="3" s="1"/>
  <c r="T2731" i="3"/>
  <c r="X2731" i="3" s="1"/>
  <c r="T2730" i="3"/>
  <c r="X2730" i="3" s="1"/>
  <c r="T2729" i="3"/>
  <c r="X2729" i="3" s="1"/>
  <c r="T2728" i="3"/>
  <c r="X2728" i="3" s="1"/>
  <c r="T2727" i="3"/>
  <c r="X2727" i="3" s="1"/>
  <c r="T2726" i="3"/>
  <c r="X2726" i="3" s="1"/>
  <c r="T2725" i="3"/>
  <c r="X2725" i="3" s="1"/>
  <c r="T2724" i="3"/>
  <c r="X2724" i="3" s="1"/>
  <c r="T2723" i="3"/>
  <c r="X2723" i="3" s="1"/>
  <c r="T2722" i="3"/>
  <c r="X2722" i="3" s="1"/>
  <c r="T2721" i="3"/>
  <c r="X2721" i="3" s="1"/>
  <c r="T2720" i="3"/>
  <c r="X2720" i="3" s="1"/>
  <c r="T2719" i="3"/>
  <c r="X2719" i="3" s="1"/>
  <c r="T2718" i="3"/>
  <c r="X2718" i="3" s="1"/>
  <c r="T2717" i="3"/>
  <c r="X2717" i="3" s="1"/>
  <c r="T2713" i="3"/>
  <c r="X2713" i="3" s="1"/>
  <c r="T2712" i="3"/>
  <c r="X2712" i="3" s="1"/>
  <c r="T2711" i="3"/>
  <c r="X2711" i="3" s="1"/>
  <c r="T2710" i="3"/>
  <c r="X2710" i="3" s="1"/>
  <c r="T2709" i="3"/>
  <c r="X2709" i="3" s="1"/>
  <c r="T2708" i="3"/>
  <c r="X2708" i="3" s="1"/>
  <c r="T2707" i="3"/>
  <c r="X2707" i="3" s="1"/>
  <c r="T2706" i="3"/>
  <c r="X2706" i="3" s="1"/>
  <c r="T2705" i="3"/>
  <c r="X2705" i="3" s="1"/>
  <c r="T2704" i="3"/>
  <c r="X2704" i="3" s="1"/>
  <c r="T2703" i="3"/>
  <c r="X2703" i="3" s="1"/>
  <c r="T2702" i="3"/>
  <c r="X2702" i="3" s="1"/>
  <c r="T2701" i="3"/>
  <c r="X2701" i="3" s="1"/>
  <c r="T2700" i="3"/>
  <c r="X2700" i="3" s="1"/>
  <c r="T2699" i="3"/>
  <c r="X2699" i="3" s="1"/>
  <c r="T2695" i="3"/>
  <c r="X2695" i="3" s="1"/>
  <c r="T2694" i="3"/>
  <c r="X2694" i="3" s="1"/>
  <c r="T2693" i="3"/>
  <c r="X2693" i="3" s="1"/>
  <c r="T2692" i="3"/>
  <c r="X2692" i="3" s="1"/>
  <c r="T2691" i="3"/>
  <c r="X2691" i="3" s="1"/>
  <c r="T2690" i="3"/>
  <c r="X2690" i="3" s="1"/>
  <c r="T2689" i="3"/>
  <c r="X2689" i="3" s="1"/>
  <c r="T2688" i="3"/>
  <c r="X2688" i="3" s="1"/>
  <c r="T2687" i="3"/>
  <c r="X2687" i="3" s="1"/>
  <c r="T2686" i="3"/>
  <c r="X2686" i="3" s="1"/>
  <c r="T2685" i="3"/>
  <c r="X2685" i="3" s="1"/>
  <c r="T2684" i="3"/>
  <c r="X2684" i="3" s="1"/>
  <c r="T2683" i="3"/>
  <c r="X2683" i="3" s="1"/>
  <c r="T2682" i="3"/>
  <c r="X2682" i="3" s="1"/>
  <c r="T2681" i="3"/>
  <c r="X2681" i="3" s="1"/>
  <c r="T2677" i="3"/>
  <c r="X2677" i="3" s="1"/>
  <c r="T2676" i="3"/>
  <c r="X2676" i="3" s="1"/>
  <c r="T2675" i="3"/>
  <c r="X2675" i="3" s="1"/>
  <c r="T2674" i="3"/>
  <c r="X2674" i="3" s="1"/>
  <c r="T2673" i="3"/>
  <c r="X2673" i="3" s="1"/>
  <c r="T2672" i="3"/>
  <c r="X2672" i="3" s="1"/>
  <c r="T2671" i="3"/>
  <c r="X2671" i="3" s="1"/>
  <c r="T2670" i="3"/>
  <c r="X2670" i="3" s="1"/>
  <c r="T2669" i="3"/>
  <c r="X2669" i="3" s="1"/>
  <c r="T2668" i="3"/>
  <c r="X2668" i="3" s="1"/>
  <c r="T2667" i="3"/>
  <c r="X2667" i="3" s="1"/>
  <c r="T2666" i="3"/>
  <c r="X2666" i="3" s="1"/>
  <c r="T2665" i="3"/>
  <c r="X2665" i="3" s="1"/>
  <c r="T2664" i="3"/>
  <c r="X2664" i="3" s="1"/>
  <c r="T2663" i="3"/>
  <c r="X2663" i="3" s="1"/>
  <c r="T2659" i="3"/>
  <c r="X2659" i="3" s="1"/>
  <c r="T2658" i="3"/>
  <c r="X2658" i="3" s="1"/>
  <c r="T2657" i="3"/>
  <c r="X2657" i="3" s="1"/>
  <c r="T2656" i="3"/>
  <c r="X2656" i="3" s="1"/>
  <c r="T2655" i="3"/>
  <c r="X2655" i="3" s="1"/>
  <c r="T2654" i="3"/>
  <c r="X2654" i="3" s="1"/>
  <c r="T2653" i="3"/>
  <c r="X2653" i="3" s="1"/>
  <c r="T2652" i="3"/>
  <c r="X2652" i="3" s="1"/>
  <c r="T2651" i="3"/>
  <c r="X2651" i="3" s="1"/>
  <c r="T2650" i="3"/>
  <c r="X2650" i="3" s="1"/>
  <c r="T2649" i="3"/>
  <c r="X2649" i="3" s="1"/>
  <c r="T2648" i="3"/>
  <c r="X2648" i="3" s="1"/>
  <c r="T2647" i="3"/>
  <c r="X2647" i="3" s="1"/>
  <c r="T2646" i="3"/>
  <c r="X2646" i="3" s="1"/>
  <c r="T2645" i="3"/>
  <c r="X2645" i="3" s="1"/>
  <c r="T2641" i="3"/>
  <c r="X2641" i="3" s="1"/>
  <c r="T2640" i="3"/>
  <c r="X2640" i="3" s="1"/>
  <c r="T2639" i="3"/>
  <c r="X2639" i="3" s="1"/>
  <c r="T2638" i="3"/>
  <c r="X2638" i="3" s="1"/>
  <c r="I2552" i="10"/>
  <c r="I2553" i="10"/>
  <c r="I2563" i="10"/>
  <c r="I2564" i="10"/>
  <c r="I2565" i="10"/>
  <c r="I2566" i="10"/>
  <c r="I2567" i="10"/>
  <c r="I2568" i="10"/>
  <c r="I2569" i="10"/>
  <c r="I2570" i="10"/>
  <c r="I2571" i="10"/>
  <c r="I2572" i="10"/>
  <c r="I2573" i="10"/>
  <c r="I2574" i="10"/>
  <c r="I2575" i="10"/>
  <c r="I2576" i="10"/>
  <c r="I2577" i="10"/>
  <c r="I2578" i="10"/>
  <c r="I2579" i="10"/>
  <c r="I2580" i="10"/>
  <c r="I2581" i="10"/>
  <c r="I2582" i="10"/>
  <c r="I2583" i="10"/>
  <c r="I2584" i="10"/>
  <c r="I2585" i="10"/>
  <c r="I2586" i="10"/>
  <c r="I2587" i="10"/>
  <c r="I2588" i="10"/>
  <c r="I2589" i="10"/>
  <c r="I2590" i="10"/>
  <c r="I2591" i="10"/>
  <c r="I2592" i="10"/>
  <c r="I2593" i="10"/>
  <c r="I2594" i="10"/>
  <c r="I2595" i="10"/>
  <c r="I2596" i="10"/>
  <c r="I2597" i="10"/>
  <c r="I2598" i="10"/>
  <c r="I2599" i="10"/>
  <c r="I2600" i="10"/>
  <c r="I2601" i="10"/>
  <c r="I2602" i="10"/>
  <c r="I2603" i="10"/>
  <c r="I2604" i="10"/>
  <c r="I2605" i="10"/>
  <c r="I2606" i="10"/>
  <c r="I2607" i="10"/>
  <c r="I2608" i="10"/>
  <c r="I2609" i="10"/>
  <c r="I2610" i="10"/>
  <c r="I2611" i="10"/>
  <c r="I2612" i="10"/>
  <c r="I2613" i="10"/>
  <c r="I2614" i="10"/>
  <c r="I2615" i="10"/>
  <c r="I2616" i="10"/>
  <c r="I2617" i="10"/>
  <c r="I2618" i="10"/>
  <c r="I2619" i="10"/>
  <c r="I2620" i="10"/>
  <c r="I2621" i="10"/>
  <c r="I2622" i="10"/>
  <c r="I2623" i="10"/>
  <c r="I2624" i="10"/>
  <c r="I2625" i="10"/>
  <c r="I2626" i="10"/>
  <c r="I2627" i="10"/>
  <c r="I2628" i="10"/>
  <c r="I2629" i="10"/>
  <c r="I2630" i="10"/>
  <c r="I2631" i="10"/>
  <c r="I2632" i="10"/>
  <c r="I2633" i="10"/>
  <c r="I2634" i="10"/>
  <c r="I2635" i="10"/>
  <c r="I2636" i="10"/>
  <c r="I2637" i="10"/>
  <c r="T2637" i="3"/>
  <c r="X2637" i="3" s="1"/>
  <c r="T2636" i="3"/>
  <c r="X2636" i="3" s="1"/>
  <c r="T2635" i="3"/>
  <c r="X2635" i="3" s="1"/>
  <c r="T2634" i="3"/>
  <c r="X2634" i="3" s="1"/>
  <c r="T2633" i="3"/>
  <c r="X2633" i="3" s="1"/>
  <c r="T2632" i="3"/>
  <c r="X2632" i="3" s="1"/>
  <c r="T2631" i="3"/>
  <c r="X2631" i="3" s="1"/>
  <c r="T2630" i="3"/>
  <c r="X2630" i="3" s="1"/>
  <c r="T2629" i="3"/>
  <c r="X2629" i="3" s="1"/>
  <c r="T2628" i="3"/>
  <c r="X2628" i="3" s="1"/>
  <c r="T2627" i="3"/>
  <c r="X2627" i="3" s="1"/>
  <c r="T2626" i="3"/>
  <c r="X2626" i="3" s="1"/>
  <c r="T2625" i="3"/>
  <c r="X2625" i="3" s="1"/>
  <c r="T2624" i="3"/>
  <c r="X2624" i="3" s="1"/>
  <c r="T2623" i="3"/>
  <c r="X2623" i="3" s="1"/>
  <c r="T2618" i="3"/>
  <c r="X2618" i="3" s="1"/>
  <c r="T2622" i="3"/>
  <c r="X2622" i="3" s="1"/>
  <c r="T2621" i="3"/>
  <c r="X2621" i="3" s="1"/>
  <c r="T2620" i="3"/>
  <c r="X2620" i="3" s="1"/>
  <c r="T2619" i="3"/>
  <c r="X2619" i="3" s="1"/>
  <c r="T2617" i="3"/>
  <c r="X2617" i="3" s="1"/>
  <c r="T2616" i="3"/>
  <c r="X2616" i="3" s="1"/>
  <c r="T2615" i="3"/>
  <c r="X2615" i="3" s="1"/>
  <c r="T2614" i="3"/>
  <c r="X2614" i="3" s="1"/>
  <c r="T2613" i="3"/>
  <c r="X2613" i="3" s="1"/>
  <c r="T2612" i="3"/>
  <c r="X2612" i="3" s="1"/>
  <c r="T2611" i="3"/>
  <c r="X2611" i="3" s="1"/>
  <c r="T2610" i="3"/>
  <c r="X2610" i="3" s="1"/>
  <c r="T2609" i="3"/>
  <c r="X2609" i="3" s="1"/>
  <c r="T2608" i="3"/>
  <c r="X2608" i="3" s="1"/>
  <c r="T2607" i="3"/>
  <c r="X2607" i="3" s="1"/>
  <c r="T2606" i="3"/>
  <c r="X2606" i="3" s="1"/>
  <c r="T2605" i="3"/>
  <c r="X2605" i="3" s="1"/>
  <c r="T2604" i="3"/>
  <c r="X2604" i="3" s="1"/>
  <c r="T2603" i="3"/>
  <c r="X2603" i="3" s="1"/>
  <c r="T2602" i="3"/>
  <c r="X2602" i="3" s="1"/>
  <c r="T2601" i="3"/>
  <c r="X2601" i="3" s="1"/>
  <c r="T2600" i="3"/>
  <c r="X2600" i="3" s="1"/>
  <c r="T2599" i="3"/>
  <c r="X2599" i="3" s="1"/>
  <c r="T2598" i="3"/>
  <c r="X2598" i="3" s="1"/>
  <c r="T2597" i="3"/>
  <c r="X2597" i="3" s="1"/>
  <c r="T2596" i="3"/>
  <c r="X2596" i="3" s="1"/>
  <c r="T2595" i="3"/>
  <c r="X2595" i="3" s="1"/>
  <c r="T2594" i="3"/>
  <c r="X2594" i="3" s="1"/>
  <c r="T2593" i="3"/>
  <c r="X2593" i="3" s="1"/>
  <c r="T2592" i="3"/>
  <c r="X2592" i="3" s="1"/>
  <c r="T2591" i="3"/>
  <c r="X2591" i="3" s="1"/>
  <c r="T2590" i="3"/>
  <c r="X2590" i="3" s="1"/>
  <c r="T2589" i="3"/>
  <c r="X2589" i="3" s="1"/>
  <c r="T2588" i="3"/>
  <c r="X2588" i="3" s="1"/>
  <c r="T2584" i="3"/>
  <c r="X2584" i="3" s="1"/>
  <c r="T2579" i="3"/>
  <c r="X2579" i="3" s="1"/>
  <c r="T2574" i="3"/>
  <c r="X2574" i="3" s="1"/>
  <c r="T2569" i="3"/>
  <c r="X2569" i="3" s="1"/>
  <c r="T2564" i="3"/>
  <c r="X2564" i="3" s="1"/>
  <c r="T2587" i="3"/>
  <c r="X2587" i="3" s="1"/>
  <c r="T2586" i="3"/>
  <c r="X2586" i="3" s="1"/>
  <c r="T2585" i="3"/>
  <c r="X2585" i="3" s="1"/>
  <c r="T2583" i="3"/>
  <c r="X2583" i="3" s="1"/>
  <c r="T2582" i="3"/>
  <c r="X2582" i="3" s="1"/>
  <c r="T2581" i="3"/>
  <c r="X2581" i="3" s="1"/>
  <c r="T2580" i="3"/>
  <c r="X2580" i="3" s="1"/>
  <c r="T2578" i="3"/>
  <c r="X2578" i="3" s="1"/>
  <c r="T2577" i="3"/>
  <c r="X2577" i="3" s="1"/>
  <c r="T2576" i="3"/>
  <c r="X2576" i="3" s="1"/>
  <c r="T2575" i="3"/>
  <c r="X2575" i="3" s="1"/>
  <c r="T2573" i="3"/>
  <c r="X2573" i="3" s="1"/>
  <c r="T2572" i="3"/>
  <c r="X2572" i="3" s="1"/>
  <c r="T2571" i="3"/>
  <c r="X2571" i="3" s="1"/>
  <c r="T2570" i="3"/>
  <c r="X2570" i="3" s="1"/>
  <c r="T2568" i="3"/>
  <c r="X2568" i="3" s="1"/>
  <c r="T2567" i="3"/>
  <c r="X2567" i="3" s="1"/>
  <c r="T2566" i="3"/>
  <c r="X2566" i="3" s="1"/>
  <c r="T2565" i="3"/>
  <c r="X2565" i="3" s="1"/>
  <c r="T2563" i="3"/>
  <c r="X2563" i="3" s="1"/>
  <c r="W2550" i="3"/>
  <c r="K1110" i="2"/>
  <c r="X2545" i="3" s="1"/>
  <c r="A2538" i="10"/>
  <c r="B2538" i="10"/>
  <c r="C2538" i="10"/>
  <c r="D2538" i="10"/>
  <c r="E2538" i="10"/>
  <c r="F2538" i="10"/>
  <c r="G2538" i="10"/>
  <c r="H2538" i="10"/>
  <c r="H1079" i="4"/>
  <c r="H1078" i="4"/>
  <c r="K1070" i="2"/>
  <c r="J1069" i="2"/>
  <c r="I1069" i="2"/>
  <c r="K1069" i="2"/>
  <c r="I1064" i="2" l="1"/>
  <c r="J1064" i="2"/>
  <c r="K1064" i="2"/>
  <c r="X2515" i="3"/>
  <c r="V2515" i="3"/>
  <c r="K1063" i="2"/>
  <c r="K1062" i="2"/>
  <c r="K1060" i="2"/>
  <c r="X2507" i="3" s="1"/>
  <c r="J1060" i="2"/>
  <c r="I1060" i="2"/>
  <c r="A2505" i="10"/>
  <c r="B2505" i="10"/>
  <c r="C2505" i="10"/>
  <c r="D2505" i="10"/>
  <c r="E2505" i="10"/>
  <c r="F2505" i="10"/>
  <c r="G2505" i="10"/>
  <c r="H2505" i="10"/>
  <c r="A2506" i="10"/>
  <c r="B2506" i="10"/>
  <c r="C2506" i="10"/>
  <c r="D2506" i="10"/>
  <c r="E2506" i="10"/>
  <c r="F2506" i="10"/>
  <c r="G2506" i="10"/>
  <c r="H2506" i="10"/>
  <c r="A2507" i="10"/>
  <c r="B2507" i="10"/>
  <c r="C2507" i="10"/>
  <c r="D2507" i="10"/>
  <c r="E2507" i="10"/>
  <c r="F2507" i="10"/>
  <c r="G2507" i="10"/>
  <c r="H2507" i="10"/>
  <c r="A2508" i="10"/>
  <c r="B2508" i="10"/>
  <c r="C2508" i="10"/>
  <c r="D2508" i="10"/>
  <c r="E2508" i="10"/>
  <c r="F2508" i="10"/>
  <c r="G2508" i="10"/>
  <c r="H2508" i="10"/>
  <c r="A2509" i="10"/>
  <c r="B2509" i="10"/>
  <c r="C2509" i="10"/>
  <c r="D2509" i="10"/>
  <c r="E2509" i="10"/>
  <c r="F2509" i="10"/>
  <c r="G2509" i="10"/>
  <c r="H2509" i="10"/>
  <c r="A2510" i="10"/>
  <c r="B2510" i="10"/>
  <c r="C2510" i="10"/>
  <c r="D2510" i="10"/>
  <c r="E2510" i="10"/>
  <c r="F2510" i="10"/>
  <c r="G2510" i="10"/>
  <c r="H2510" i="10"/>
  <c r="A2511" i="10"/>
  <c r="B2511" i="10"/>
  <c r="C2511" i="10"/>
  <c r="D2511" i="10"/>
  <c r="E2511" i="10"/>
  <c r="F2511" i="10"/>
  <c r="G2511" i="10"/>
  <c r="H2511" i="10"/>
  <c r="A2512" i="10"/>
  <c r="B2512" i="10"/>
  <c r="C2512" i="10"/>
  <c r="D2512" i="10"/>
  <c r="E2512" i="10"/>
  <c r="F2512" i="10"/>
  <c r="G2512" i="10"/>
  <c r="H2512" i="10"/>
  <c r="A2513" i="10"/>
  <c r="B2513" i="10"/>
  <c r="C2513" i="10"/>
  <c r="D2513" i="10"/>
  <c r="E2513" i="10"/>
  <c r="F2513" i="10"/>
  <c r="G2513" i="10"/>
  <c r="H2513" i="10"/>
  <c r="A2514" i="10"/>
  <c r="B2514" i="10"/>
  <c r="C2514" i="10"/>
  <c r="D2514" i="10"/>
  <c r="E2514" i="10"/>
  <c r="F2514" i="10"/>
  <c r="G2514" i="10"/>
  <c r="H2514" i="10"/>
  <c r="A2515" i="10"/>
  <c r="B2515" i="10"/>
  <c r="C2515" i="10"/>
  <c r="D2515" i="10"/>
  <c r="E2515" i="10"/>
  <c r="F2515" i="10"/>
  <c r="G2515" i="10"/>
  <c r="H2515" i="10"/>
  <c r="A2516" i="10"/>
  <c r="B2516" i="10"/>
  <c r="C2516" i="10"/>
  <c r="D2516" i="10"/>
  <c r="E2516" i="10"/>
  <c r="F2516" i="10"/>
  <c r="G2516" i="10"/>
  <c r="H2516" i="10"/>
  <c r="A2517" i="10"/>
  <c r="B2517" i="10"/>
  <c r="C2517" i="10"/>
  <c r="D2517" i="10"/>
  <c r="E2517" i="10"/>
  <c r="F2517" i="10"/>
  <c r="G2517" i="10"/>
  <c r="H2517" i="10"/>
  <c r="A2518" i="10"/>
  <c r="B2518" i="10"/>
  <c r="C2518" i="10"/>
  <c r="D2518" i="10"/>
  <c r="E2518" i="10"/>
  <c r="F2518" i="10"/>
  <c r="G2518" i="10"/>
  <c r="H2518" i="10"/>
  <c r="A2519" i="10"/>
  <c r="B2519" i="10"/>
  <c r="C2519" i="10"/>
  <c r="D2519" i="10"/>
  <c r="E2519" i="10"/>
  <c r="F2519" i="10"/>
  <c r="G2519" i="10"/>
  <c r="H2519" i="10"/>
  <c r="A2520" i="10"/>
  <c r="B2520" i="10"/>
  <c r="C2520" i="10"/>
  <c r="D2520" i="10"/>
  <c r="E2520" i="10"/>
  <c r="F2520" i="10"/>
  <c r="G2520" i="10"/>
  <c r="H2520" i="10"/>
  <c r="A2521" i="10"/>
  <c r="B2521" i="10"/>
  <c r="C2521" i="10"/>
  <c r="D2521" i="10"/>
  <c r="E2521" i="10"/>
  <c r="F2521" i="10"/>
  <c r="G2521" i="10"/>
  <c r="H2521" i="10"/>
  <c r="A2522" i="10"/>
  <c r="B2522" i="10"/>
  <c r="C2522" i="10"/>
  <c r="D2522" i="10"/>
  <c r="E2522" i="10"/>
  <c r="F2522" i="10"/>
  <c r="G2522" i="10"/>
  <c r="H2522" i="10"/>
  <c r="A2523" i="10"/>
  <c r="B2523" i="10"/>
  <c r="C2523" i="10"/>
  <c r="D2523" i="10"/>
  <c r="E2523" i="10"/>
  <c r="F2523" i="10"/>
  <c r="G2523" i="10"/>
  <c r="H2523" i="10"/>
  <c r="A2524" i="10"/>
  <c r="B2524" i="10"/>
  <c r="C2524" i="10"/>
  <c r="D2524" i="10"/>
  <c r="E2524" i="10"/>
  <c r="G2524" i="10"/>
  <c r="H2524" i="10"/>
  <c r="A2525" i="10"/>
  <c r="B2525" i="10"/>
  <c r="C2525" i="10"/>
  <c r="D2525" i="10"/>
  <c r="E2525" i="10"/>
  <c r="G2525" i="10"/>
  <c r="H2525" i="10"/>
  <c r="A2526" i="10"/>
  <c r="B2526" i="10"/>
  <c r="C2526" i="10"/>
  <c r="D2526" i="10"/>
  <c r="E2526" i="10"/>
  <c r="F2526" i="10"/>
  <c r="G2526" i="10"/>
  <c r="H2526" i="10"/>
  <c r="A2527" i="10"/>
  <c r="B2527" i="10"/>
  <c r="C2527" i="10"/>
  <c r="D2527" i="10"/>
  <c r="E2527" i="10"/>
  <c r="F2527" i="10"/>
  <c r="G2527" i="10"/>
  <c r="H2527" i="10"/>
  <c r="A2528" i="10"/>
  <c r="B2528" i="10"/>
  <c r="C2528" i="10"/>
  <c r="D2528" i="10"/>
  <c r="E2528" i="10"/>
  <c r="F2528" i="10"/>
  <c r="H2528" i="10"/>
  <c r="A2529" i="10"/>
  <c r="B2529" i="10"/>
  <c r="C2529" i="10"/>
  <c r="D2529" i="10"/>
  <c r="E2529" i="10"/>
  <c r="F2529" i="10"/>
  <c r="H2529" i="10"/>
  <c r="A2530" i="10"/>
  <c r="B2530" i="10"/>
  <c r="C2530" i="10"/>
  <c r="D2530" i="10"/>
  <c r="E2530" i="10"/>
  <c r="F2530" i="10"/>
  <c r="G2530" i="10"/>
  <c r="H2530" i="10"/>
  <c r="A2531" i="10"/>
  <c r="B2531" i="10"/>
  <c r="C2531" i="10"/>
  <c r="D2531" i="10"/>
  <c r="E2531" i="10"/>
  <c r="F2531" i="10"/>
  <c r="G2531" i="10"/>
  <c r="H2531" i="10"/>
  <c r="A2532" i="10"/>
  <c r="B2532" i="10"/>
  <c r="C2532" i="10"/>
  <c r="D2532" i="10"/>
  <c r="E2532" i="10"/>
  <c r="F2532" i="10"/>
  <c r="G2532" i="10"/>
  <c r="H2532" i="10"/>
  <c r="A2533" i="10"/>
  <c r="B2533" i="10"/>
  <c r="C2533" i="10"/>
  <c r="D2533" i="10"/>
  <c r="E2533" i="10"/>
  <c r="F2533" i="10"/>
  <c r="G2533" i="10"/>
  <c r="H2533" i="10"/>
  <c r="A2534" i="10"/>
  <c r="B2534" i="10"/>
  <c r="C2534" i="10"/>
  <c r="D2534" i="10"/>
  <c r="E2534" i="10"/>
  <c r="F2534" i="10"/>
  <c r="G2534" i="10"/>
  <c r="H2534" i="10"/>
  <c r="A2535" i="10"/>
  <c r="B2535" i="10"/>
  <c r="C2535" i="10"/>
  <c r="D2535" i="10"/>
  <c r="E2535" i="10"/>
  <c r="F2535" i="10"/>
  <c r="G2535" i="10"/>
  <c r="H2535" i="10"/>
  <c r="A2536" i="10"/>
  <c r="B2536" i="10"/>
  <c r="C2536" i="10"/>
  <c r="D2536" i="10"/>
  <c r="E2536" i="10"/>
  <c r="F2536" i="10"/>
  <c r="G2536" i="10"/>
  <c r="H2536" i="10"/>
  <c r="A2537" i="10"/>
  <c r="B2537" i="10"/>
  <c r="C2537" i="10"/>
  <c r="D2537" i="10"/>
  <c r="E2537" i="10"/>
  <c r="F2537" i="10"/>
  <c r="G2537" i="10"/>
  <c r="H2537" i="10"/>
  <c r="A2539" i="10"/>
  <c r="B2539" i="10"/>
  <c r="C2539" i="10"/>
  <c r="D2539" i="10"/>
  <c r="E2539" i="10"/>
  <c r="F2539" i="10"/>
  <c r="G2539" i="10"/>
  <c r="H2539" i="10"/>
  <c r="A2540" i="10"/>
  <c r="B2540" i="10"/>
  <c r="C2540" i="10"/>
  <c r="D2540" i="10"/>
  <c r="E2540" i="10"/>
  <c r="F2540" i="10"/>
  <c r="G2540" i="10"/>
  <c r="H2540" i="10"/>
  <c r="A2541" i="10"/>
  <c r="B2541" i="10"/>
  <c r="C2541" i="10"/>
  <c r="D2541" i="10"/>
  <c r="E2541" i="10"/>
  <c r="F2541" i="10"/>
  <c r="G2541" i="10"/>
  <c r="H2541" i="10"/>
  <c r="A2542" i="10"/>
  <c r="B2542" i="10"/>
  <c r="C2542" i="10"/>
  <c r="D2542" i="10"/>
  <c r="E2542" i="10"/>
  <c r="F2542" i="10"/>
  <c r="G2542" i="10"/>
  <c r="H2542" i="10"/>
  <c r="A2543" i="10"/>
  <c r="B2543" i="10"/>
  <c r="C2543" i="10"/>
  <c r="D2543" i="10"/>
  <c r="E2543" i="10"/>
  <c r="F2543" i="10"/>
  <c r="G2543" i="10"/>
  <c r="H2543" i="10"/>
  <c r="A2544" i="10"/>
  <c r="B2544" i="10"/>
  <c r="C2544" i="10"/>
  <c r="D2544" i="10"/>
  <c r="E2544" i="10"/>
  <c r="F2544" i="10"/>
  <c r="G2544" i="10"/>
  <c r="H2544" i="10"/>
  <c r="A2545" i="10"/>
  <c r="B2545" i="10"/>
  <c r="C2545" i="10"/>
  <c r="D2545" i="10"/>
  <c r="E2545" i="10"/>
  <c r="F2545" i="10"/>
  <c r="G2545" i="10"/>
  <c r="H2545" i="10"/>
  <c r="A2546" i="10"/>
  <c r="B2546" i="10"/>
  <c r="C2546" i="10"/>
  <c r="D2546" i="10"/>
  <c r="E2546" i="10"/>
  <c r="F2546" i="10"/>
  <c r="G2546" i="10"/>
  <c r="H2546" i="10"/>
  <c r="A2547" i="10"/>
  <c r="B2547" i="10"/>
  <c r="C2547" i="10"/>
  <c r="D2547" i="10"/>
  <c r="E2547" i="10"/>
  <c r="F2547" i="10"/>
  <c r="G2547" i="10"/>
  <c r="H2547" i="10"/>
  <c r="A2548" i="10"/>
  <c r="B2548" i="10"/>
  <c r="C2548" i="10"/>
  <c r="D2548" i="10"/>
  <c r="E2548" i="10"/>
  <c r="F2548" i="10"/>
  <c r="G2548" i="10"/>
  <c r="H2548" i="10"/>
  <c r="A2549" i="10"/>
  <c r="B2549" i="10"/>
  <c r="C2549" i="10"/>
  <c r="D2549" i="10"/>
  <c r="E2549" i="10"/>
  <c r="F2549" i="10"/>
  <c r="G2549" i="10"/>
  <c r="H2549" i="10"/>
  <c r="A2550" i="10"/>
  <c r="B2550" i="10"/>
  <c r="C2550" i="10"/>
  <c r="D2550" i="10"/>
  <c r="E2550" i="10"/>
  <c r="F2550" i="10"/>
  <c r="G2550" i="10"/>
  <c r="H2550" i="10"/>
  <c r="A2551" i="10"/>
  <c r="B2551" i="10"/>
  <c r="C2551" i="10"/>
  <c r="D2551" i="10"/>
  <c r="E2551" i="10"/>
  <c r="F2551" i="10"/>
  <c r="G2551" i="10"/>
  <c r="H2551" i="10"/>
  <c r="A2552" i="10"/>
  <c r="B2552" i="10"/>
  <c r="C2552" i="10"/>
  <c r="D2552" i="10"/>
  <c r="E2552" i="10"/>
  <c r="F2552" i="10"/>
  <c r="G2552" i="10"/>
  <c r="H2552" i="10"/>
  <c r="A2553" i="10"/>
  <c r="B2553" i="10"/>
  <c r="C2553" i="10"/>
  <c r="D2553" i="10"/>
  <c r="E2553" i="10"/>
  <c r="F2553" i="10"/>
  <c r="G2553" i="10"/>
  <c r="H2553" i="10"/>
  <c r="A2554" i="10"/>
  <c r="B2554" i="10"/>
  <c r="C2554" i="10"/>
  <c r="D2554" i="10"/>
  <c r="E2554" i="10"/>
  <c r="F2554" i="10"/>
  <c r="G2554" i="10"/>
  <c r="H2554" i="10"/>
  <c r="A2555" i="10"/>
  <c r="B2555" i="10"/>
  <c r="C2555" i="10"/>
  <c r="D2555" i="10"/>
  <c r="E2555" i="10"/>
  <c r="F2555" i="10"/>
  <c r="G2555" i="10"/>
  <c r="H2555" i="10"/>
  <c r="A2556" i="10"/>
  <c r="B2556" i="10"/>
  <c r="C2556" i="10"/>
  <c r="D2556" i="10"/>
  <c r="E2556" i="10"/>
  <c r="F2556" i="10"/>
  <c r="G2556" i="10"/>
  <c r="H2556" i="10"/>
  <c r="A2557" i="10"/>
  <c r="B2557" i="10"/>
  <c r="C2557" i="10"/>
  <c r="D2557" i="10"/>
  <c r="E2557" i="10"/>
  <c r="F2557" i="10"/>
  <c r="G2557" i="10"/>
  <c r="H2557" i="10"/>
  <c r="A2558" i="10"/>
  <c r="B2558" i="10"/>
  <c r="C2558" i="10"/>
  <c r="D2558" i="10"/>
  <c r="E2558" i="10"/>
  <c r="F2558" i="10"/>
  <c r="G2558" i="10"/>
  <c r="H2558" i="10"/>
  <c r="A2559" i="10"/>
  <c r="B2559" i="10"/>
  <c r="C2559" i="10"/>
  <c r="D2559" i="10"/>
  <c r="E2559" i="10"/>
  <c r="F2559" i="10"/>
  <c r="G2559" i="10"/>
  <c r="H2559" i="10"/>
  <c r="A2560" i="10"/>
  <c r="B2560" i="10"/>
  <c r="C2560" i="10"/>
  <c r="D2560" i="10"/>
  <c r="E2560" i="10"/>
  <c r="F2560" i="10"/>
  <c r="G2560" i="10"/>
  <c r="H2560" i="10"/>
  <c r="A2561" i="10"/>
  <c r="B2561" i="10"/>
  <c r="C2561" i="10"/>
  <c r="D2561" i="10"/>
  <c r="E2561" i="10"/>
  <c r="F2561" i="10"/>
  <c r="G2561" i="10"/>
  <c r="H2561" i="10"/>
  <c r="A2562" i="10"/>
  <c r="B2562" i="10"/>
  <c r="C2562" i="10"/>
  <c r="D2562" i="10"/>
  <c r="E2562" i="10"/>
  <c r="F2562" i="10"/>
  <c r="G2562" i="10"/>
  <c r="H2562" i="10"/>
  <c r="A2563" i="10"/>
  <c r="B2563" i="10"/>
  <c r="C2563" i="10"/>
  <c r="D2563" i="10"/>
  <c r="E2563" i="10"/>
  <c r="F2563" i="10"/>
  <c r="G2563" i="10"/>
  <c r="H2563" i="10"/>
  <c r="A2564" i="10"/>
  <c r="B2564" i="10"/>
  <c r="C2564" i="10"/>
  <c r="D2564" i="10"/>
  <c r="E2564" i="10"/>
  <c r="F2564" i="10"/>
  <c r="G2564" i="10"/>
  <c r="H2564" i="10"/>
  <c r="A2565" i="10"/>
  <c r="B2565" i="10"/>
  <c r="C2565" i="10"/>
  <c r="D2565" i="10"/>
  <c r="E2565" i="10"/>
  <c r="F2565" i="10"/>
  <c r="G2565" i="10"/>
  <c r="H2565" i="10"/>
  <c r="A2566" i="10"/>
  <c r="B2566" i="10"/>
  <c r="C2566" i="10"/>
  <c r="D2566" i="10"/>
  <c r="E2566" i="10"/>
  <c r="F2566" i="10"/>
  <c r="G2566" i="10"/>
  <c r="H2566" i="10"/>
  <c r="A2567" i="10"/>
  <c r="B2567" i="10"/>
  <c r="C2567" i="10"/>
  <c r="D2567" i="10"/>
  <c r="E2567" i="10"/>
  <c r="F2567" i="10"/>
  <c r="G2567" i="10"/>
  <c r="H2567" i="10"/>
  <c r="A2568" i="10"/>
  <c r="B2568" i="10"/>
  <c r="C2568" i="10"/>
  <c r="D2568" i="10"/>
  <c r="E2568" i="10"/>
  <c r="F2568" i="10"/>
  <c r="G2568" i="10"/>
  <c r="H2568" i="10"/>
  <c r="A2569" i="10"/>
  <c r="B2569" i="10"/>
  <c r="C2569" i="10"/>
  <c r="D2569" i="10"/>
  <c r="E2569" i="10"/>
  <c r="F2569" i="10"/>
  <c r="G2569" i="10"/>
  <c r="H2569" i="10"/>
  <c r="A2570" i="10"/>
  <c r="B2570" i="10"/>
  <c r="C2570" i="10"/>
  <c r="D2570" i="10"/>
  <c r="E2570" i="10"/>
  <c r="F2570" i="10"/>
  <c r="G2570" i="10"/>
  <c r="H2570" i="10"/>
  <c r="A2571" i="10"/>
  <c r="B2571" i="10"/>
  <c r="C2571" i="10"/>
  <c r="D2571" i="10"/>
  <c r="E2571" i="10"/>
  <c r="F2571" i="10"/>
  <c r="G2571" i="10"/>
  <c r="H2571" i="10"/>
  <c r="A2572" i="10"/>
  <c r="B2572" i="10"/>
  <c r="C2572" i="10"/>
  <c r="D2572" i="10"/>
  <c r="E2572" i="10"/>
  <c r="F2572" i="10"/>
  <c r="G2572" i="10"/>
  <c r="H2572" i="10"/>
  <c r="A2573" i="10"/>
  <c r="B2573" i="10"/>
  <c r="C2573" i="10"/>
  <c r="D2573" i="10"/>
  <c r="E2573" i="10"/>
  <c r="F2573" i="10"/>
  <c r="G2573" i="10"/>
  <c r="H2573" i="10"/>
  <c r="A2574" i="10"/>
  <c r="B2574" i="10"/>
  <c r="C2574" i="10"/>
  <c r="D2574" i="10"/>
  <c r="E2574" i="10"/>
  <c r="F2574" i="10"/>
  <c r="G2574" i="10"/>
  <c r="H2574" i="10"/>
  <c r="A2575" i="10"/>
  <c r="B2575" i="10"/>
  <c r="C2575" i="10"/>
  <c r="D2575" i="10"/>
  <c r="E2575" i="10"/>
  <c r="F2575" i="10"/>
  <c r="G2575" i="10"/>
  <c r="H2575" i="10"/>
  <c r="A2576" i="10"/>
  <c r="B2576" i="10"/>
  <c r="C2576" i="10"/>
  <c r="D2576" i="10"/>
  <c r="E2576" i="10"/>
  <c r="F2576" i="10"/>
  <c r="G2576" i="10"/>
  <c r="H2576" i="10"/>
  <c r="A2577" i="10"/>
  <c r="B2577" i="10"/>
  <c r="C2577" i="10"/>
  <c r="D2577" i="10"/>
  <c r="E2577" i="10"/>
  <c r="F2577" i="10"/>
  <c r="G2577" i="10"/>
  <c r="H2577" i="10"/>
  <c r="A2578" i="10"/>
  <c r="B2578" i="10"/>
  <c r="C2578" i="10"/>
  <c r="D2578" i="10"/>
  <c r="E2578" i="10"/>
  <c r="F2578" i="10"/>
  <c r="G2578" i="10"/>
  <c r="H2578" i="10"/>
  <c r="A2579" i="10"/>
  <c r="B2579" i="10"/>
  <c r="C2579" i="10"/>
  <c r="D2579" i="10"/>
  <c r="E2579" i="10"/>
  <c r="F2579" i="10"/>
  <c r="G2579" i="10"/>
  <c r="H2579" i="10"/>
  <c r="A2580" i="10"/>
  <c r="B2580" i="10"/>
  <c r="C2580" i="10"/>
  <c r="D2580" i="10"/>
  <c r="E2580" i="10"/>
  <c r="F2580" i="10"/>
  <c r="G2580" i="10"/>
  <c r="H2580" i="10"/>
  <c r="A2581" i="10"/>
  <c r="B2581" i="10"/>
  <c r="C2581" i="10"/>
  <c r="D2581" i="10"/>
  <c r="E2581" i="10"/>
  <c r="F2581" i="10"/>
  <c r="G2581" i="10"/>
  <c r="H2581" i="10"/>
  <c r="A2582" i="10"/>
  <c r="B2582" i="10"/>
  <c r="C2582" i="10"/>
  <c r="D2582" i="10"/>
  <c r="E2582" i="10"/>
  <c r="F2582" i="10"/>
  <c r="G2582" i="10"/>
  <c r="H2582" i="10"/>
  <c r="A2583" i="10"/>
  <c r="B2583" i="10"/>
  <c r="C2583" i="10"/>
  <c r="D2583" i="10"/>
  <c r="E2583" i="10"/>
  <c r="F2583" i="10"/>
  <c r="G2583" i="10"/>
  <c r="H2583" i="10"/>
  <c r="A2584" i="10"/>
  <c r="B2584" i="10"/>
  <c r="C2584" i="10"/>
  <c r="D2584" i="10"/>
  <c r="E2584" i="10"/>
  <c r="F2584" i="10"/>
  <c r="G2584" i="10"/>
  <c r="H2584" i="10"/>
  <c r="A2585" i="10"/>
  <c r="B2585" i="10"/>
  <c r="C2585" i="10"/>
  <c r="D2585" i="10"/>
  <c r="E2585" i="10"/>
  <c r="F2585" i="10"/>
  <c r="G2585" i="10"/>
  <c r="H2585" i="10"/>
  <c r="A2586" i="10"/>
  <c r="B2586" i="10"/>
  <c r="C2586" i="10"/>
  <c r="D2586" i="10"/>
  <c r="E2586" i="10"/>
  <c r="F2586" i="10"/>
  <c r="G2586" i="10"/>
  <c r="H2586" i="10"/>
  <c r="A2587" i="10"/>
  <c r="B2587" i="10"/>
  <c r="C2587" i="10"/>
  <c r="D2587" i="10"/>
  <c r="E2587" i="10"/>
  <c r="F2587" i="10"/>
  <c r="G2587" i="10"/>
  <c r="H2587" i="10"/>
  <c r="A2588" i="10"/>
  <c r="B2588" i="10"/>
  <c r="C2588" i="10"/>
  <c r="D2588" i="10"/>
  <c r="E2588" i="10"/>
  <c r="F2588" i="10"/>
  <c r="G2588" i="10"/>
  <c r="H2588" i="10"/>
  <c r="A2589" i="10"/>
  <c r="B2589" i="10"/>
  <c r="C2589" i="10"/>
  <c r="D2589" i="10"/>
  <c r="E2589" i="10"/>
  <c r="F2589" i="10"/>
  <c r="G2589" i="10"/>
  <c r="H2589" i="10"/>
  <c r="A2590" i="10"/>
  <c r="B2590" i="10"/>
  <c r="C2590" i="10"/>
  <c r="D2590" i="10"/>
  <c r="E2590" i="10"/>
  <c r="F2590" i="10"/>
  <c r="G2590" i="10"/>
  <c r="H2590" i="10"/>
  <c r="A2591" i="10"/>
  <c r="B2591" i="10"/>
  <c r="C2591" i="10"/>
  <c r="D2591" i="10"/>
  <c r="E2591" i="10"/>
  <c r="F2591" i="10"/>
  <c r="G2591" i="10"/>
  <c r="H2591" i="10"/>
  <c r="A2592" i="10"/>
  <c r="B2592" i="10"/>
  <c r="C2592" i="10"/>
  <c r="D2592" i="10"/>
  <c r="E2592" i="10"/>
  <c r="F2592" i="10"/>
  <c r="G2592" i="10"/>
  <c r="H2592" i="10"/>
  <c r="A2593" i="10"/>
  <c r="B2593" i="10"/>
  <c r="C2593" i="10"/>
  <c r="D2593" i="10"/>
  <c r="E2593" i="10"/>
  <c r="F2593" i="10"/>
  <c r="G2593" i="10"/>
  <c r="H2593" i="10"/>
  <c r="A2594" i="10"/>
  <c r="B2594" i="10"/>
  <c r="C2594" i="10"/>
  <c r="D2594" i="10"/>
  <c r="E2594" i="10"/>
  <c r="F2594" i="10"/>
  <c r="G2594" i="10"/>
  <c r="H2594" i="10"/>
  <c r="A2595" i="10"/>
  <c r="B2595" i="10"/>
  <c r="C2595" i="10"/>
  <c r="D2595" i="10"/>
  <c r="E2595" i="10"/>
  <c r="F2595" i="10"/>
  <c r="G2595" i="10"/>
  <c r="H2595" i="10"/>
  <c r="A2596" i="10"/>
  <c r="B2596" i="10"/>
  <c r="C2596" i="10"/>
  <c r="D2596" i="10"/>
  <c r="E2596" i="10"/>
  <c r="F2596" i="10"/>
  <c r="G2596" i="10"/>
  <c r="H2596" i="10"/>
  <c r="A2597" i="10"/>
  <c r="B2597" i="10"/>
  <c r="C2597" i="10"/>
  <c r="D2597" i="10"/>
  <c r="E2597" i="10"/>
  <c r="F2597" i="10"/>
  <c r="G2597" i="10"/>
  <c r="H2597" i="10"/>
  <c r="A2598" i="10"/>
  <c r="B2598" i="10"/>
  <c r="C2598" i="10"/>
  <c r="D2598" i="10"/>
  <c r="E2598" i="10"/>
  <c r="F2598" i="10"/>
  <c r="G2598" i="10"/>
  <c r="H2598" i="10"/>
  <c r="A2599" i="10"/>
  <c r="B2599" i="10"/>
  <c r="C2599" i="10"/>
  <c r="D2599" i="10"/>
  <c r="E2599" i="10"/>
  <c r="F2599" i="10"/>
  <c r="G2599" i="10"/>
  <c r="H2599" i="10"/>
  <c r="A2600" i="10"/>
  <c r="B2600" i="10"/>
  <c r="C2600" i="10"/>
  <c r="D2600" i="10"/>
  <c r="E2600" i="10"/>
  <c r="F2600" i="10"/>
  <c r="G2600" i="10"/>
  <c r="H2600" i="10"/>
  <c r="A2601" i="10"/>
  <c r="B2601" i="10"/>
  <c r="C2601" i="10"/>
  <c r="D2601" i="10"/>
  <c r="E2601" i="10"/>
  <c r="F2601" i="10"/>
  <c r="G2601" i="10"/>
  <c r="H2601" i="10"/>
  <c r="A2602" i="10"/>
  <c r="B2602" i="10"/>
  <c r="C2602" i="10"/>
  <c r="D2602" i="10"/>
  <c r="E2602" i="10"/>
  <c r="F2602" i="10"/>
  <c r="G2602" i="10"/>
  <c r="H2602" i="10"/>
  <c r="A2603" i="10"/>
  <c r="B2603" i="10"/>
  <c r="C2603" i="10"/>
  <c r="D2603" i="10"/>
  <c r="E2603" i="10"/>
  <c r="F2603" i="10"/>
  <c r="G2603" i="10"/>
  <c r="H2603" i="10"/>
  <c r="A2604" i="10"/>
  <c r="B2604" i="10"/>
  <c r="C2604" i="10"/>
  <c r="D2604" i="10"/>
  <c r="E2604" i="10"/>
  <c r="F2604" i="10"/>
  <c r="G2604" i="10"/>
  <c r="H2604" i="10"/>
  <c r="A2605" i="10"/>
  <c r="B2605" i="10"/>
  <c r="C2605" i="10"/>
  <c r="D2605" i="10"/>
  <c r="E2605" i="10"/>
  <c r="F2605" i="10"/>
  <c r="G2605" i="10"/>
  <c r="H2605" i="10"/>
  <c r="A2606" i="10"/>
  <c r="B2606" i="10"/>
  <c r="C2606" i="10"/>
  <c r="D2606" i="10"/>
  <c r="E2606" i="10"/>
  <c r="F2606" i="10"/>
  <c r="G2606" i="10"/>
  <c r="H2606" i="10"/>
  <c r="A2607" i="10"/>
  <c r="B2607" i="10"/>
  <c r="C2607" i="10"/>
  <c r="D2607" i="10"/>
  <c r="E2607" i="10"/>
  <c r="F2607" i="10"/>
  <c r="G2607" i="10"/>
  <c r="H2607" i="10"/>
  <c r="A2608" i="10"/>
  <c r="B2608" i="10"/>
  <c r="C2608" i="10"/>
  <c r="D2608" i="10"/>
  <c r="E2608" i="10"/>
  <c r="F2608" i="10"/>
  <c r="G2608" i="10"/>
  <c r="H2608" i="10"/>
  <c r="A2609" i="10"/>
  <c r="B2609" i="10"/>
  <c r="C2609" i="10"/>
  <c r="D2609" i="10"/>
  <c r="E2609" i="10"/>
  <c r="F2609" i="10"/>
  <c r="G2609" i="10"/>
  <c r="H2609" i="10"/>
  <c r="A2610" i="10"/>
  <c r="B2610" i="10"/>
  <c r="C2610" i="10"/>
  <c r="D2610" i="10"/>
  <c r="E2610" i="10"/>
  <c r="F2610" i="10"/>
  <c r="G2610" i="10"/>
  <c r="H2610" i="10"/>
  <c r="A2611" i="10"/>
  <c r="B2611" i="10"/>
  <c r="C2611" i="10"/>
  <c r="D2611" i="10"/>
  <c r="E2611" i="10"/>
  <c r="F2611" i="10"/>
  <c r="G2611" i="10"/>
  <c r="H2611" i="10"/>
  <c r="A2612" i="10"/>
  <c r="B2612" i="10"/>
  <c r="C2612" i="10"/>
  <c r="D2612" i="10"/>
  <c r="E2612" i="10"/>
  <c r="F2612" i="10"/>
  <c r="G2612" i="10"/>
  <c r="H2612" i="10"/>
  <c r="A2613" i="10"/>
  <c r="B2613" i="10"/>
  <c r="C2613" i="10"/>
  <c r="D2613" i="10"/>
  <c r="E2613" i="10"/>
  <c r="F2613" i="10"/>
  <c r="G2613" i="10"/>
  <c r="H2613" i="10"/>
  <c r="A2614" i="10"/>
  <c r="B2614" i="10"/>
  <c r="C2614" i="10"/>
  <c r="D2614" i="10"/>
  <c r="E2614" i="10"/>
  <c r="F2614" i="10"/>
  <c r="G2614" i="10"/>
  <c r="H2614" i="10"/>
  <c r="A2615" i="10"/>
  <c r="B2615" i="10"/>
  <c r="C2615" i="10"/>
  <c r="D2615" i="10"/>
  <c r="E2615" i="10"/>
  <c r="F2615" i="10"/>
  <c r="G2615" i="10"/>
  <c r="H2615" i="10"/>
  <c r="A2616" i="10"/>
  <c r="B2616" i="10"/>
  <c r="C2616" i="10"/>
  <c r="D2616" i="10"/>
  <c r="E2616" i="10"/>
  <c r="F2616" i="10"/>
  <c r="G2616" i="10"/>
  <c r="H2616" i="10"/>
  <c r="A2617" i="10"/>
  <c r="B2617" i="10"/>
  <c r="C2617" i="10"/>
  <c r="D2617" i="10"/>
  <c r="E2617" i="10"/>
  <c r="F2617" i="10"/>
  <c r="G2617" i="10"/>
  <c r="H2617" i="10"/>
  <c r="A2618" i="10"/>
  <c r="B2618" i="10"/>
  <c r="C2618" i="10"/>
  <c r="D2618" i="10"/>
  <c r="E2618" i="10"/>
  <c r="F2618" i="10"/>
  <c r="G2618" i="10"/>
  <c r="H2618" i="10"/>
  <c r="A2619" i="10"/>
  <c r="B2619" i="10"/>
  <c r="C2619" i="10"/>
  <c r="D2619" i="10"/>
  <c r="E2619" i="10"/>
  <c r="F2619" i="10"/>
  <c r="G2619" i="10"/>
  <c r="H2619" i="10"/>
  <c r="A2620" i="10"/>
  <c r="B2620" i="10"/>
  <c r="C2620" i="10"/>
  <c r="D2620" i="10"/>
  <c r="E2620" i="10"/>
  <c r="F2620" i="10"/>
  <c r="G2620" i="10"/>
  <c r="H2620" i="10"/>
  <c r="A2621" i="10"/>
  <c r="B2621" i="10"/>
  <c r="C2621" i="10"/>
  <c r="D2621" i="10"/>
  <c r="E2621" i="10"/>
  <c r="F2621" i="10"/>
  <c r="G2621" i="10"/>
  <c r="H2621" i="10"/>
  <c r="A2622" i="10"/>
  <c r="B2622" i="10"/>
  <c r="C2622" i="10"/>
  <c r="D2622" i="10"/>
  <c r="E2622" i="10"/>
  <c r="F2622" i="10"/>
  <c r="G2622" i="10"/>
  <c r="H2622" i="10"/>
  <c r="A2623" i="10"/>
  <c r="B2623" i="10"/>
  <c r="C2623" i="10"/>
  <c r="D2623" i="10"/>
  <c r="E2623" i="10"/>
  <c r="F2623" i="10"/>
  <c r="G2623" i="10"/>
  <c r="H2623" i="10"/>
  <c r="A2624" i="10"/>
  <c r="B2624" i="10"/>
  <c r="C2624" i="10"/>
  <c r="D2624" i="10"/>
  <c r="E2624" i="10"/>
  <c r="F2624" i="10"/>
  <c r="G2624" i="10"/>
  <c r="H2624" i="10"/>
  <c r="A2625" i="10"/>
  <c r="B2625" i="10"/>
  <c r="C2625" i="10"/>
  <c r="D2625" i="10"/>
  <c r="E2625" i="10"/>
  <c r="F2625" i="10"/>
  <c r="G2625" i="10"/>
  <c r="H2625" i="10"/>
  <c r="A2626" i="10"/>
  <c r="B2626" i="10"/>
  <c r="C2626" i="10"/>
  <c r="D2626" i="10"/>
  <c r="E2626" i="10"/>
  <c r="F2626" i="10"/>
  <c r="G2626" i="10"/>
  <c r="H2626" i="10"/>
  <c r="A2627" i="10"/>
  <c r="B2627" i="10"/>
  <c r="C2627" i="10"/>
  <c r="D2627" i="10"/>
  <c r="E2627" i="10"/>
  <c r="F2627" i="10"/>
  <c r="G2627" i="10"/>
  <c r="H2627" i="10"/>
  <c r="A2628" i="10"/>
  <c r="B2628" i="10"/>
  <c r="C2628" i="10"/>
  <c r="D2628" i="10"/>
  <c r="E2628" i="10"/>
  <c r="F2628" i="10"/>
  <c r="G2628" i="10"/>
  <c r="H2628" i="10"/>
  <c r="A2629" i="10"/>
  <c r="B2629" i="10"/>
  <c r="C2629" i="10"/>
  <c r="D2629" i="10"/>
  <c r="E2629" i="10"/>
  <c r="F2629" i="10"/>
  <c r="G2629" i="10"/>
  <c r="H2629" i="10"/>
  <c r="A2630" i="10"/>
  <c r="B2630" i="10"/>
  <c r="C2630" i="10"/>
  <c r="D2630" i="10"/>
  <c r="E2630" i="10"/>
  <c r="F2630" i="10"/>
  <c r="G2630" i="10"/>
  <c r="H2630" i="10"/>
  <c r="A2631" i="10"/>
  <c r="B2631" i="10"/>
  <c r="C2631" i="10"/>
  <c r="D2631" i="10"/>
  <c r="E2631" i="10"/>
  <c r="F2631" i="10"/>
  <c r="G2631" i="10"/>
  <c r="H2631" i="10"/>
  <c r="A2632" i="10"/>
  <c r="B2632" i="10"/>
  <c r="C2632" i="10"/>
  <c r="D2632" i="10"/>
  <c r="E2632" i="10"/>
  <c r="F2632" i="10"/>
  <c r="G2632" i="10"/>
  <c r="H2632" i="10"/>
  <c r="A2633" i="10"/>
  <c r="B2633" i="10"/>
  <c r="C2633" i="10"/>
  <c r="D2633" i="10"/>
  <c r="E2633" i="10"/>
  <c r="F2633" i="10"/>
  <c r="G2633" i="10"/>
  <c r="H2633" i="10"/>
  <c r="A2634" i="10"/>
  <c r="B2634" i="10"/>
  <c r="C2634" i="10"/>
  <c r="D2634" i="10"/>
  <c r="E2634" i="10"/>
  <c r="F2634" i="10"/>
  <c r="G2634" i="10"/>
  <c r="H2634" i="10"/>
  <c r="A2635" i="10"/>
  <c r="B2635" i="10"/>
  <c r="C2635" i="10"/>
  <c r="D2635" i="10"/>
  <c r="E2635" i="10"/>
  <c r="F2635" i="10"/>
  <c r="G2635" i="10"/>
  <c r="H2635" i="10"/>
  <c r="A2636" i="10"/>
  <c r="B2636" i="10"/>
  <c r="C2636" i="10"/>
  <c r="D2636" i="10"/>
  <c r="E2636" i="10"/>
  <c r="F2636" i="10"/>
  <c r="G2636" i="10"/>
  <c r="H2636" i="10"/>
  <c r="A2637" i="10"/>
  <c r="B2637" i="10"/>
  <c r="C2637" i="10"/>
  <c r="D2637" i="10"/>
  <c r="E2637" i="10"/>
  <c r="F2637" i="10"/>
  <c r="G2637" i="10"/>
  <c r="H2637" i="10"/>
  <c r="A2638" i="10"/>
  <c r="B2638" i="10"/>
  <c r="C2638" i="10"/>
  <c r="D2638" i="10"/>
  <c r="E2638" i="10"/>
  <c r="F2638" i="10"/>
  <c r="G2638" i="10"/>
  <c r="H2638" i="10"/>
  <c r="A2639" i="10"/>
  <c r="B2639" i="10"/>
  <c r="C2639" i="10"/>
  <c r="D2639" i="10"/>
  <c r="E2639" i="10"/>
  <c r="F2639" i="10"/>
  <c r="G2639" i="10"/>
  <c r="H2639" i="10"/>
  <c r="A2640" i="10"/>
  <c r="B2640" i="10"/>
  <c r="C2640" i="10"/>
  <c r="D2640" i="10"/>
  <c r="E2640" i="10"/>
  <c r="F2640" i="10"/>
  <c r="G2640" i="10"/>
  <c r="H2640" i="10"/>
  <c r="A2641" i="10"/>
  <c r="B2641" i="10"/>
  <c r="C2641" i="10"/>
  <c r="D2641" i="10"/>
  <c r="E2641" i="10"/>
  <c r="F2641" i="10"/>
  <c r="G2641" i="10"/>
  <c r="H2641" i="10"/>
  <c r="A2642" i="10"/>
  <c r="B2642" i="10"/>
  <c r="C2642" i="10"/>
  <c r="D2642" i="10"/>
  <c r="E2642" i="10"/>
  <c r="F2642" i="10"/>
  <c r="G2642" i="10"/>
  <c r="H2642" i="10"/>
  <c r="A2643" i="10"/>
  <c r="B2643" i="10"/>
  <c r="C2643" i="10"/>
  <c r="D2643" i="10"/>
  <c r="E2643" i="10"/>
  <c r="F2643" i="10"/>
  <c r="G2643" i="10"/>
  <c r="H2643" i="10"/>
  <c r="A2644" i="10"/>
  <c r="B2644" i="10"/>
  <c r="C2644" i="10"/>
  <c r="D2644" i="10"/>
  <c r="E2644" i="10"/>
  <c r="F2644" i="10"/>
  <c r="G2644" i="10"/>
  <c r="H2644" i="10"/>
  <c r="A2645" i="10"/>
  <c r="B2645" i="10"/>
  <c r="C2645" i="10"/>
  <c r="D2645" i="10"/>
  <c r="E2645" i="10"/>
  <c r="F2645" i="10"/>
  <c r="G2645" i="10"/>
  <c r="H2645" i="10"/>
  <c r="A2646" i="10"/>
  <c r="B2646" i="10"/>
  <c r="C2646" i="10"/>
  <c r="D2646" i="10"/>
  <c r="E2646" i="10"/>
  <c r="F2646" i="10"/>
  <c r="G2646" i="10"/>
  <c r="H2646" i="10"/>
  <c r="A2647" i="10"/>
  <c r="B2647" i="10"/>
  <c r="C2647" i="10"/>
  <c r="D2647" i="10"/>
  <c r="E2647" i="10"/>
  <c r="F2647" i="10"/>
  <c r="G2647" i="10"/>
  <c r="H2647" i="10"/>
  <c r="A2648" i="10"/>
  <c r="B2648" i="10"/>
  <c r="C2648" i="10"/>
  <c r="D2648" i="10"/>
  <c r="E2648" i="10"/>
  <c r="F2648" i="10"/>
  <c r="G2648" i="10"/>
  <c r="H2648" i="10"/>
  <c r="A2649" i="10"/>
  <c r="B2649" i="10"/>
  <c r="C2649" i="10"/>
  <c r="D2649" i="10"/>
  <c r="E2649" i="10"/>
  <c r="F2649" i="10"/>
  <c r="G2649" i="10"/>
  <c r="H2649" i="10"/>
  <c r="A2650" i="10"/>
  <c r="B2650" i="10"/>
  <c r="C2650" i="10"/>
  <c r="D2650" i="10"/>
  <c r="E2650" i="10"/>
  <c r="F2650" i="10"/>
  <c r="G2650" i="10"/>
  <c r="H2650" i="10"/>
  <c r="A2651" i="10"/>
  <c r="B2651" i="10"/>
  <c r="C2651" i="10"/>
  <c r="D2651" i="10"/>
  <c r="E2651" i="10"/>
  <c r="F2651" i="10"/>
  <c r="G2651" i="10"/>
  <c r="H2651" i="10"/>
  <c r="A2652" i="10"/>
  <c r="B2652" i="10"/>
  <c r="C2652" i="10"/>
  <c r="D2652" i="10"/>
  <c r="E2652" i="10"/>
  <c r="F2652" i="10"/>
  <c r="G2652" i="10"/>
  <c r="H2652" i="10"/>
  <c r="A2653" i="10"/>
  <c r="B2653" i="10"/>
  <c r="C2653" i="10"/>
  <c r="D2653" i="10"/>
  <c r="E2653" i="10"/>
  <c r="F2653" i="10"/>
  <c r="G2653" i="10"/>
  <c r="H2653" i="10"/>
  <c r="A2654" i="10"/>
  <c r="B2654" i="10"/>
  <c r="C2654" i="10"/>
  <c r="D2654" i="10"/>
  <c r="E2654" i="10"/>
  <c r="F2654" i="10"/>
  <c r="G2654" i="10"/>
  <c r="H2654" i="10"/>
  <c r="A2655" i="10"/>
  <c r="B2655" i="10"/>
  <c r="C2655" i="10"/>
  <c r="D2655" i="10"/>
  <c r="E2655" i="10"/>
  <c r="F2655" i="10"/>
  <c r="G2655" i="10"/>
  <c r="H2655" i="10"/>
  <c r="A2656" i="10"/>
  <c r="B2656" i="10"/>
  <c r="C2656" i="10"/>
  <c r="D2656" i="10"/>
  <c r="E2656" i="10"/>
  <c r="F2656" i="10"/>
  <c r="G2656" i="10"/>
  <c r="H2656" i="10"/>
  <c r="A2657" i="10"/>
  <c r="B2657" i="10"/>
  <c r="C2657" i="10"/>
  <c r="D2657" i="10"/>
  <c r="E2657" i="10"/>
  <c r="F2657" i="10"/>
  <c r="G2657" i="10"/>
  <c r="H2657" i="10"/>
  <c r="A2658" i="10"/>
  <c r="B2658" i="10"/>
  <c r="C2658" i="10"/>
  <c r="D2658" i="10"/>
  <c r="E2658" i="10"/>
  <c r="F2658" i="10"/>
  <c r="G2658" i="10"/>
  <c r="H2658" i="10"/>
  <c r="A2659" i="10"/>
  <c r="B2659" i="10"/>
  <c r="C2659" i="10"/>
  <c r="D2659" i="10"/>
  <c r="E2659" i="10"/>
  <c r="F2659" i="10"/>
  <c r="G2659" i="10"/>
  <c r="H2659" i="10"/>
  <c r="A2660" i="10"/>
  <c r="B2660" i="10"/>
  <c r="C2660" i="10"/>
  <c r="D2660" i="10"/>
  <c r="E2660" i="10"/>
  <c r="F2660" i="10"/>
  <c r="G2660" i="10"/>
  <c r="H2660" i="10"/>
  <c r="A2661" i="10"/>
  <c r="B2661" i="10"/>
  <c r="C2661" i="10"/>
  <c r="D2661" i="10"/>
  <c r="E2661" i="10"/>
  <c r="F2661" i="10"/>
  <c r="G2661" i="10"/>
  <c r="H2661" i="10"/>
  <c r="A2662" i="10"/>
  <c r="B2662" i="10"/>
  <c r="C2662" i="10"/>
  <c r="D2662" i="10"/>
  <c r="E2662" i="10"/>
  <c r="F2662" i="10"/>
  <c r="G2662" i="10"/>
  <c r="H2662" i="10"/>
  <c r="A2663" i="10"/>
  <c r="B2663" i="10"/>
  <c r="C2663" i="10"/>
  <c r="D2663" i="10"/>
  <c r="E2663" i="10"/>
  <c r="F2663" i="10"/>
  <c r="G2663" i="10"/>
  <c r="H2663" i="10"/>
  <c r="A2664" i="10"/>
  <c r="B2664" i="10"/>
  <c r="C2664" i="10"/>
  <c r="D2664" i="10"/>
  <c r="E2664" i="10"/>
  <c r="F2664" i="10"/>
  <c r="G2664" i="10"/>
  <c r="H2664" i="10"/>
  <c r="A2665" i="10"/>
  <c r="B2665" i="10"/>
  <c r="C2665" i="10"/>
  <c r="D2665" i="10"/>
  <c r="E2665" i="10"/>
  <c r="F2665" i="10"/>
  <c r="G2665" i="10"/>
  <c r="H2665" i="10"/>
  <c r="A2666" i="10"/>
  <c r="B2666" i="10"/>
  <c r="C2666" i="10"/>
  <c r="D2666" i="10"/>
  <c r="E2666" i="10"/>
  <c r="F2666" i="10"/>
  <c r="G2666" i="10"/>
  <c r="H2666" i="10"/>
  <c r="A2667" i="10"/>
  <c r="B2667" i="10"/>
  <c r="C2667" i="10"/>
  <c r="D2667" i="10"/>
  <c r="E2667" i="10"/>
  <c r="F2667" i="10"/>
  <c r="G2667" i="10"/>
  <c r="H2667" i="10"/>
  <c r="A2668" i="10"/>
  <c r="B2668" i="10"/>
  <c r="C2668" i="10"/>
  <c r="D2668" i="10"/>
  <c r="E2668" i="10"/>
  <c r="F2668" i="10"/>
  <c r="G2668" i="10"/>
  <c r="H2668" i="10"/>
  <c r="A2669" i="10"/>
  <c r="B2669" i="10"/>
  <c r="C2669" i="10"/>
  <c r="D2669" i="10"/>
  <c r="E2669" i="10"/>
  <c r="F2669" i="10"/>
  <c r="G2669" i="10"/>
  <c r="H2669" i="10"/>
  <c r="A2670" i="10"/>
  <c r="B2670" i="10"/>
  <c r="C2670" i="10"/>
  <c r="D2670" i="10"/>
  <c r="E2670" i="10"/>
  <c r="F2670" i="10"/>
  <c r="G2670" i="10"/>
  <c r="H2670" i="10"/>
  <c r="A2671" i="10"/>
  <c r="B2671" i="10"/>
  <c r="C2671" i="10"/>
  <c r="D2671" i="10"/>
  <c r="E2671" i="10"/>
  <c r="F2671" i="10"/>
  <c r="G2671" i="10"/>
  <c r="H2671" i="10"/>
  <c r="A2672" i="10"/>
  <c r="B2672" i="10"/>
  <c r="C2672" i="10"/>
  <c r="D2672" i="10"/>
  <c r="E2672" i="10"/>
  <c r="F2672" i="10"/>
  <c r="G2672" i="10"/>
  <c r="H2672" i="10"/>
  <c r="A2673" i="10"/>
  <c r="B2673" i="10"/>
  <c r="C2673" i="10"/>
  <c r="D2673" i="10"/>
  <c r="E2673" i="10"/>
  <c r="F2673" i="10"/>
  <c r="G2673" i="10"/>
  <c r="H2673" i="10"/>
  <c r="A2674" i="10"/>
  <c r="B2674" i="10"/>
  <c r="C2674" i="10"/>
  <c r="D2674" i="10"/>
  <c r="E2674" i="10"/>
  <c r="F2674" i="10"/>
  <c r="G2674" i="10"/>
  <c r="H2674" i="10"/>
  <c r="A2675" i="10"/>
  <c r="B2675" i="10"/>
  <c r="C2675" i="10"/>
  <c r="D2675" i="10"/>
  <c r="E2675" i="10"/>
  <c r="F2675" i="10"/>
  <c r="G2675" i="10"/>
  <c r="H2675" i="10"/>
  <c r="A2676" i="10"/>
  <c r="B2676" i="10"/>
  <c r="C2676" i="10"/>
  <c r="D2676" i="10"/>
  <c r="E2676" i="10"/>
  <c r="F2676" i="10"/>
  <c r="G2676" i="10"/>
  <c r="H2676" i="10"/>
  <c r="A2677" i="10"/>
  <c r="B2677" i="10"/>
  <c r="C2677" i="10"/>
  <c r="D2677" i="10"/>
  <c r="E2677" i="10"/>
  <c r="F2677" i="10"/>
  <c r="G2677" i="10"/>
  <c r="H2677" i="10"/>
  <c r="A2678" i="10"/>
  <c r="B2678" i="10"/>
  <c r="C2678" i="10"/>
  <c r="D2678" i="10"/>
  <c r="E2678" i="10"/>
  <c r="F2678" i="10"/>
  <c r="G2678" i="10"/>
  <c r="H2678" i="10"/>
  <c r="A2679" i="10"/>
  <c r="B2679" i="10"/>
  <c r="C2679" i="10"/>
  <c r="D2679" i="10"/>
  <c r="E2679" i="10"/>
  <c r="F2679" i="10"/>
  <c r="G2679" i="10"/>
  <c r="H2679" i="10"/>
  <c r="A2680" i="10"/>
  <c r="B2680" i="10"/>
  <c r="C2680" i="10"/>
  <c r="D2680" i="10"/>
  <c r="E2680" i="10"/>
  <c r="F2680" i="10"/>
  <c r="G2680" i="10"/>
  <c r="H2680" i="10"/>
  <c r="A2681" i="10"/>
  <c r="B2681" i="10"/>
  <c r="C2681" i="10"/>
  <c r="D2681" i="10"/>
  <c r="E2681" i="10"/>
  <c r="F2681" i="10"/>
  <c r="G2681" i="10"/>
  <c r="H2681" i="10"/>
  <c r="A2682" i="10"/>
  <c r="B2682" i="10"/>
  <c r="C2682" i="10"/>
  <c r="D2682" i="10"/>
  <c r="E2682" i="10"/>
  <c r="F2682" i="10"/>
  <c r="G2682" i="10"/>
  <c r="H2682" i="10"/>
  <c r="A2683" i="10"/>
  <c r="B2683" i="10"/>
  <c r="C2683" i="10"/>
  <c r="D2683" i="10"/>
  <c r="E2683" i="10"/>
  <c r="F2683" i="10"/>
  <c r="G2683" i="10"/>
  <c r="H2683" i="10"/>
  <c r="A2684" i="10"/>
  <c r="B2684" i="10"/>
  <c r="C2684" i="10"/>
  <c r="D2684" i="10"/>
  <c r="E2684" i="10"/>
  <c r="F2684" i="10"/>
  <c r="G2684" i="10"/>
  <c r="H2684" i="10"/>
  <c r="A2685" i="10"/>
  <c r="B2685" i="10"/>
  <c r="C2685" i="10"/>
  <c r="D2685" i="10"/>
  <c r="E2685" i="10"/>
  <c r="F2685" i="10"/>
  <c r="G2685" i="10"/>
  <c r="H2685" i="10"/>
  <c r="A2686" i="10"/>
  <c r="B2686" i="10"/>
  <c r="C2686" i="10"/>
  <c r="D2686" i="10"/>
  <c r="E2686" i="10"/>
  <c r="F2686" i="10"/>
  <c r="G2686" i="10"/>
  <c r="H2686" i="10"/>
  <c r="A2687" i="10"/>
  <c r="B2687" i="10"/>
  <c r="C2687" i="10"/>
  <c r="D2687" i="10"/>
  <c r="E2687" i="10"/>
  <c r="F2687" i="10"/>
  <c r="G2687" i="10"/>
  <c r="H2687" i="10"/>
  <c r="A2688" i="10"/>
  <c r="B2688" i="10"/>
  <c r="C2688" i="10"/>
  <c r="D2688" i="10"/>
  <c r="E2688" i="10"/>
  <c r="F2688" i="10"/>
  <c r="G2688" i="10"/>
  <c r="H2688" i="10"/>
  <c r="A2689" i="10"/>
  <c r="B2689" i="10"/>
  <c r="C2689" i="10"/>
  <c r="D2689" i="10"/>
  <c r="E2689" i="10"/>
  <c r="F2689" i="10"/>
  <c r="G2689" i="10"/>
  <c r="H2689" i="10"/>
  <c r="A2690" i="10"/>
  <c r="B2690" i="10"/>
  <c r="C2690" i="10"/>
  <c r="D2690" i="10"/>
  <c r="E2690" i="10"/>
  <c r="F2690" i="10"/>
  <c r="G2690" i="10"/>
  <c r="H2690" i="10"/>
  <c r="A2691" i="10"/>
  <c r="B2691" i="10"/>
  <c r="C2691" i="10"/>
  <c r="D2691" i="10"/>
  <c r="E2691" i="10"/>
  <c r="F2691" i="10"/>
  <c r="G2691" i="10"/>
  <c r="H2691" i="10"/>
  <c r="A2692" i="10"/>
  <c r="B2692" i="10"/>
  <c r="C2692" i="10"/>
  <c r="D2692" i="10"/>
  <c r="E2692" i="10"/>
  <c r="F2692" i="10"/>
  <c r="G2692" i="10"/>
  <c r="H2692" i="10"/>
  <c r="A2693" i="10"/>
  <c r="B2693" i="10"/>
  <c r="C2693" i="10"/>
  <c r="D2693" i="10"/>
  <c r="E2693" i="10"/>
  <c r="F2693" i="10"/>
  <c r="G2693" i="10"/>
  <c r="H2693" i="10"/>
  <c r="A2694" i="10"/>
  <c r="B2694" i="10"/>
  <c r="C2694" i="10"/>
  <c r="D2694" i="10"/>
  <c r="E2694" i="10"/>
  <c r="F2694" i="10"/>
  <c r="G2694" i="10"/>
  <c r="H2694" i="10"/>
  <c r="A2695" i="10"/>
  <c r="B2695" i="10"/>
  <c r="C2695" i="10"/>
  <c r="D2695" i="10"/>
  <c r="E2695" i="10"/>
  <c r="F2695" i="10"/>
  <c r="G2695" i="10"/>
  <c r="H2695" i="10"/>
  <c r="A2696" i="10"/>
  <c r="B2696" i="10"/>
  <c r="C2696" i="10"/>
  <c r="D2696" i="10"/>
  <c r="E2696" i="10"/>
  <c r="F2696" i="10"/>
  <c r="G2696" i="10"/>
  <c r="H2696" i="10"/>
  <c r="A2697" i="10"/>
  <c r="B2697" i="10"/>
  <c r="C2697" i="10"/>
  <c r="D2697" i="10"/>
  <c r="E2697" i="10"/>
  <c r="F2697" i="10"/>
  <c r="G2697" i="10"/>
  <c r="H2697" i="10"/>
  <c r="A2698" i="10"/>
  <c r="B2698" i="10"/>
  <c r="C2698" i="10"/>
  <c r="D2698" i="10"/>
  <c r="E2698" i="10"/>
  <c r="F2698" i="10"/>
  <c r="G2698" i="10"/>
  <c r="H2698" i="10"/>
  <c r="A2699" i="10"/>
  <c r="B2699" i="10"/>
  <c r="C2699" i="10"/>
  <c r="D2699" i="10"/>
  <c r="E2699" i="10"/>
  <c r="F2699" i="10"/>
  <c r="G2699" i="10"/>
  <c r="H2699" i="10"/>
  <c r="A2700" i="10"/>
  <c r="B2700" i="10"/>
  <c r="C2700" i="10"/>
  <c r="D2700" i="10"/>
  <c r="E2700" i="10"/>
  <c r="F2700" i="10"/>
  <c r="G2700" i="10"/>
  <c r="H2700" i="10"/>
  <c r="A2701" i="10"/>
  <c r="B2701" i="10"/>
  <c r="C2701" i="10"/>
  <c r="D2701" i="10"/>
  <c r="E2701" i="10"/>
  <c r="F2701" i="10"/>
  <c r="G2701" i="10"/>
  <c r="H2701" i="10"/>
  <c r="A2702" i="10"/>
  <c r="B2702" i="10"/>
  <c r="C2702" i="10"/>
  <c r="D2702" i="10"/>
  <c r="E2702" i="10"/>
  <c r="F2702" i="10"/>
  <c r="G2702" i="10"/>
  <c r="H2702" i="10"/>
  <c r="A2703" i="10"/>
  <c r="B2703" i="10"/>
  <c r="C2703" i="10"/>
  <c r="D2703" i="10"/>
  <c r="E2703" i="10"/>
  <c r="F2703" i="10"/>
  <c r="G2703" i="10"/>
  <c r="H2703" i="10"/>
  <c r="A2704" i="10"/>
  <c r="B2704" i="10"/>
  <c r="C2704" i="10"/>
  <c r="D2704" i="10"/>
  <c r="E2704" i="10"/>
  <c r="F2704" i="10"/>
  <c r="G2704" i="10"/>
  <c r="H2704" i="10"/>
  <c r="A2705" i="10"/>
  <c r="B2705" i="10"/>
  <c r="C2705" i="10"/>
  <c r="D2705" i="10"/>
  <c r="E2705" i="10"/>
  <c r="F2705" i="10"/>
  <c r="G2705" i="10"/>
  <c r="H2705" i="10"/>
  <c r="A2706" i="10"/>
  <c r="B2706" i="10"/>
  <c r="C2706" i="10"/>
  <c r="D2706" i="10"/>
  <c r="E2706" i="10"/>
  <c r="F2706" i="10"/>
  <c r="G2706" i="10"/>
  <c r="H2706" i="10"/>
  <c r="A2707" i="10"/>
  <c r="B2707" i="10"/>
  <c r="C2707" i="10"/>
  <c r="D2707" i="10"/>
  <c r="E2707" i="10"/>
  <c r="F2707" i="10"/>
  <c r="G2707" i="10"/>
  <c r="H2707" i="10"/>
  <c r="A2708" i="10"/>
  <c r="B2708" i="10"/>
  <c r="C2708" i="10"/>
  <c r="D2708" i="10"/>
  <c r="E2708" i="10"/>
  <c r="F2708" i="10"/>
  <c r="G2708" i="10"/>
  <c r="H2708" i="10"/>
  <c r="A2709" i="10"/>
  <c r="B2709" i="10"/>
  <c r="C2709" i="10"/>
  <c r="D2709" i="10"/>
  <c r="E2709" i="10"/>
  <c r="F2709" i="10"/>
  <c r="G2709" i="10"/>
  <c r="H2709" i="10"/>
  <c r="A2710" i="10"/>
  <c r="B2710" i="10"/>
  <c r="C2710" i="10"/>
  <c r="D2710" i="10"/>
  <c r="E2710" i="10"/>
  <c r="F2710" i="10"/>
  <c r="G2710" i="10"/>
  <c r="H2710" i="10"/>
  <c r="A2711" i="10"/>
  <c r="B2711" i="10"/>
  <c r="C2711" i="10"/>
  <c r="D2711" i="10"/>
  <c r="E2711" i="10"/>
  <c r="F2711" i="10"/>
  <c r="G2711" i="10"/>
  <c r="H2711" i="10"/>
  <c r="A2712" i="10"/>
  <c r="B2712" i="10"/>
  <c r="C2712" i="10"/>
  <c r="D2712" i="10"/>
  <c r="E2712" i="10"/>
  <c r="F2712" i="10"/>
  <c r="G2712" i="10"/>
  <c r="H2712" i="10"/>
  <c r="A2713" i="10"/>
  <c r="B2713" i="10"/>
  <c r="C2713" i="10"/>
  <c r="D2713" i="10"/>
  <c r="E2713" i="10"/>
  <c r="F2713" i="10"/>
  <c r="G2713" i="10"/>
  <c r="H2713" i="10"/>
  <c r="A2714" i="10"/>
  <c r="B2714" i="10"/>
  <c r="C2714" i="10"/>
  <c r="D2714" i="10"/>
  <c r="E2714" i="10"/>
  <c r="F2714" i="10"/>
  <c r="G2714" i="10"/>
  <c r="H2714" i="10"/>
  <c r="A2715" i="10"/>
  <c r="B2715" i="10"/>
  <c r="C2715" i="10"/>
  <c r="D2715" i="10"/>
  <c r="E2715" i="10"/>
  <c r="F2715" i="10"/>
  <c r="G2715" i="10"/>
  <c r="H2715" i="10"/>
  <c r="A2716" i="10"/>
  <c r="B2716" i="10"/>
  <c r="C2716" i="10"/>
  <c r="D2716" i="10"/>
  <c r="E2716" i="10"/>
  <c r="F2716" i="10"/>
  <c r="G2716" i="10"/>
  <c r="H2716" i="10"/>
  <c r="A2717" i="10"/>
  <c r="B2717" i="10"/>
  <c r="C2717" i="10"/>
  <c r="D2717" i="10"/>
  <c r="E2717" i="10"/>
  <c r="F2717" i="10"/>
  <c r="G2717" i="10"/>
  <c r="H2717" i="10"/>
  <c r="A2718" i="10"/>
  <c r="B2718" i="10"/>
  <c r="C2718" i="10"/>
  <c r="D2718" i="10"/>
  <c r="E2718" i="10"/>
  <c r="F2718" i="10"/>
  <c r="G2718" i="10"/>
  <c r="H2718" i="10"/>
  <c r="A2719" i="10"/>
  <c r="B2719" i="10"/>
  <c r="C2719" i="10"/>
  <c r="D2719" i="10"/>
  <c r="E2719" i="10"/>
  <c r="F2719" i="10"/>
  <c r="G2719" i="10"/>
  <c r="H2719" i="10"/>
  <c r="A2720" i="10"/>
  <c r="B2720" i="10"/>
  <c r="C2720" i="10"/>
  <c r="D2720" i="10"/>
  <c r="E2720" i="10"/>
  <c r="F2720" i="10"/>
  <c r="G2720" i="10"/>
  <c r="H2720" i="10"/>
  <c r="A2721" i="10"/>
  <c r="B2721" i="10"/>
  <c r="C2721" i="10"/>
  <c r="D2721" i="10"/>
  <c r="E2721" i="10"/>
  <c r="F2721" i="10"/>
  <c r="G2721" i="10"/>
  <c r="H2721" i="10"/>
  <c r="A2722" i="10"/>
  <c r="B2722" i="10"/>
  <c r="C2722" i="10"/>
  <c r="D2722" i="10"/>
  <c r="E2722" i="10"/>
  <c r="F2722" i="10"/>
  <c r="G2722" i="10"/>
  <c r="H2722" i="10"/>
  <c r="A2723" i="10"/>
  <c r="B2723" i="10"/>
  <c r="C2723" i="10"/>
  <c r="D2723" i="10"/>
  <c r="E2723" i="10"/>
  <c r="F2723" i="10"/>
  <c r="G2723" i="10"/>
  <c r="H2723" i="10"/>
  <c r="A2724" i="10"/>
  <c r="B2724" i="10"/>
  <c r="C2724" i="10"/>
  <c r="D2724" i="10"/>
  <c r="E2724" i="10"/>
  <c r="F2724" i="10"/>
  <c r="G2724" i="10"/>
  <c r="H2724" i="10"/>
  <c r="A2725" i="10"/>
  <c r="B2725" i="10"/>
  <c r="C2725" i="10"/>
  <c r="D2725" i="10"/>
  <c r="E2725" i="10"/>
  <c r="F2725" i="10"/>
  <c r="G2725" i="10"/>
  <c r="H2725" i="10"/>
  <c r="A2726" i="10"/>
  <c r="B2726" i="10"/>
  <c r="C2726" i="10"/>
  <c r="D2726" i="10"/>
  <c r="E2726" i="10"/>
  <c r="F2726" i="10"/>
  <c r="G2726" i="10"/>
  <c r="H2726" i="10"/>
  <c r="A2727" i="10"/>
  <c r="B2727" i="10"/>
  <c r="C2727" i="10"/>
  <c r="D2727" i="10"/>
  <c r="E2727" i="10"/>
  <c r="F2727" i="10"/>
  <c r="G2727" i="10"/>
  <c r="H2727" i="10"/>
  <c r="A2728" i="10"/>
  <c r="B2728" i="10"/>
  <c r="C2728" i="10"/>
  <c r="D2728" i="10"/>
  <c r="E2728" i="10"/>
  <c r="F2728" i="10"/>
  <c r="G2728" i="10"/>
  <c r="H2728" i="10"/>
  <c r="A2729" i="10"/>
  <c r="B2729" i="10"/>
  <c r="C2729" i="10"/>
  <c r="D2729" i="10"/>
  <c r="E2729" i="10"/>
  <c r="F2729" i="10"/>
  <c r="G2729" i="10"/>
  <c r="H2729" i="10"/>
  <c r="A2730" i="10"/>
  <c r="B2730" i="10"/>
  <c r="C2730" i="10"/>
  <c r="D2730" i="10"/>
  <c r="E2730" i="10"/>
  <c r="F2730" i="10"/>
  <c r="G2730" i="10"/>
  <c r="H2730" i="10"/>
  <c r="A2731" i="10"/>
  <c r="B2731" i="10"/>
  <c r="C2731" i="10"/>
  <c r="D2731" i="10"/>
  <c r="E2731" i="10"/>
  <c r="F2731" i="10"/>
  <c r="G2731" i="10"/>
  <c r="H2731" i="10"/>
  <c r="A2732" i="10"/>
  <c r="B2732" i="10"/>
  <c r="C2732" i="10"/>
  <c r="D2732" i="10"/>
  <c r="E2732" i="10"/>
  <c r="F2732" i="10"/>
  <c r="G2732" i="10"/>
  <c r="H2732" i="10"/>
  <c r="A2733" i="10"/>
  <c r="B2733" i="10"/>
  <c r="C2733" i="10"/>
  <c r="D2733" i="10"/>
  <c r="E2733" i="10"/>
  <c r="F2733" i="10"/>
  <c r="G2733" i="10"/>
  <c r="H2733" i="10"/>
  <c r="A2734" i="10"/>
  <c r="B2734" i="10"/>
  <c r="C2734" i="10"/>
  <c r="D2734" i="10"/>
  <c r="E2734" i="10"/>
  <c r="F2734" i="10"/>
  <c r="G2734" i="10"/>
  <c r="H2734" i="10"/>
  <c r="A2735" i="10"/>
  <c r="B2735" i="10"/>
  <c r="C2735" i="10"/>
  <c r="D2735" i="10"/>
  <c r="E2735" i="10"/>
  <c r="F2735" i="10"/>
  <c r="G2735" i="10"/>
  <c r="H2735" i="10"/>
  <c r="A2736" i="10"/>
  <c r="B2736" i="10"/>
  <c r="C2736" i="10"/>
  <c r="D2736" i="10"/>
  <c r="E2736" i="10"/>
  <c r="F2736" i="10"/>
  <c r="G2736" i="10"/>
  <c r="H2736" i="10"/>
  <c r="A2737" i="10"/>
  <c r="B2737" i="10"/>
  <c r="C2737" i="10"/>
  <c r="D2737" i="10"/>
  <c r="E2737" i="10"/>
  <c r="F2737" i="10"/>
  <c r="G2737" i="10"/>
  <c r="H2737" i="10"/>
  <c r="A2738" i="10"/>
  <c r="B2738" i="10"/>
  <c r="C2738" i="10"/>
  <c r="D2738" i="10"/>
  <c r="E2738" i="10"/>
  <c r="F2738" i="10"/>
  <c r="G2738" i="10"/>
  <c r="H2738" i="10"/>
  <c r="A2739" i="10"/>
  <c r="B2739" i="10"/>
  <c r="C2739" i="10"/>
  <c r="D2739" i="10"/>
  <c r="E2739" i="10"/>
  <c r="F2739" i="10"/>
  <c r="G2739" i="10"/>
  <c r="H2739" i="10"/>
  <c r="A2740" i="10"/>
  <c r="B2740" i="10"/>
  <c r="C2740" i="10"/>
  <c r="D2740" i="10"/>
  <c r="E2740" i="10"/>
  <c r="F2740" i="10"/>
  <c r="G2740" i="10"/>
  <c r="H2740" i="10"/>
  <c r="A2741" i="10"/>
  <c r="B2741" i="10"/>
  <c r="C2741" i="10"/>
  <c r="D2741" i="10"/>
  <c r="E2741" i="10"/>
  <c r="F2741" i="10"/>
  <c r="G2741" i="10"/>
  <c r="H2741" i="10"/>
  <c r="A2742" i="10"/>
  <c r="B2742" i="10"/>
  <c r="C2742" i="10"/>
  <c r="D2742" i="10"/>
  <c r="E2742" i="10"/>
  <c r="F2742" i="10"/>
  <c r="G2742" i="10"/>
  <c r="H2742" i="10"/>
  <c r="A2743" i="10"/>
  <c r="B2743" i="10"/>
  <c r="C2743" i="10"/>
  <c r="D2743" i="10"/>
  <c r="E2743" i="10"/>
  <c r="F2743" i="10"/>
  <c r="G2743" i="10"/>
  <c r="H2743" i="10"/>
  <c r="A2744" i="10"/>
  <c r="B2744" i="10"/>
  <c r="C2744" i="10"/>
  <c r="D2744" i="10"/>
  <c r="E2744" i="10"/>
  <c r="F2744" i="10"/>
  <c r="G2744" i="10"/>
  <c r="H2744" i="10"/>
  <c r="A2745" i="10"/>
  <c r="B2745" i="10"/>
  <c r="C2745" i="10"/>
  <c r="D2745" i="10"/>
  <c r="E2745" i="10"/>
  <c r="F2745" i="10"/>
  <c r="G2745" i="10"/>
  <c r="H2745" i="10"/>
  <c r="A2746" i="10"/>
  <c r="B2746" i="10"/>
  <c r="C2746" i="10"/>
  <c r="D2746" i="10"/>
  <c r="E2746" i="10"/>
  <c r="F2746" i="10"/>
  <c r="G2746" i="10"/>
  <c r="H2746" i="10"/>
  <c r="A2747" i="10"/>
  <c r="B2747" i="10"/>
  <c r="C2747" i="10"/>
  <c r="D2747" i="10"/>
  <c r="E2747" i="10"/>
  <c r="F2747" i="10"/>
  <c r="G2747" i="10"/>
  <c r="H2747" i="10"/>
  <c r="A2748" i="10"/>
  <c r="B2748" i="10"/>
  <c r="C2748" i="10"/>
  <c r="D2748" i="10"/>
  <c r="E2748" i="10"/>
  <c r="F2748" i="10"/>
  <c r="G2748" i="10"/>
  <c r="H2748" i="10"/>
  <c r="A2749" i="10"/>
  <c r="B2749" i="10"/>
  <c r="C2749" i="10"/>
  <c r="D2749" i="10"/>
  <c r="E2749" i="10"/>
  <c r="F2749" i="10"/>
  <c r="G2749" i="10"/>
  <c r="H2749" i="10"/>
  <c r="A2750" i="10"/>
  <c r="B2750" i="10"/>
  <c r="C2750" i="10"/>
  <c r="D2750" i="10"/>
  <c r="E2750" i="10"/>
  <c r="F2750" i="10"/>
  <c r="G2750" i="10"/>
  <c r="H2750" i="10"/>
  <c r="A2751" i="10"/>
  <c r="B2751" i="10"/>
  <c r="C2751" i="10"/>
  <c r="D2751" i="10"/>
  <c r="E2751" i="10"/>
  <c r="F2751" i="10"/>
  <c r="G2751" i="10"/>
  <c r="H2751" i="10"/>
  <c r="A2752" i="10"/>
  <c r="B2752" i="10"/>
  <c r="C2752" i="10"/>
  <c r="D2752" i="10"/>
  <c r="E2752" i="10"/>
  <c r="F2752" i="10"/>
  <c r="G2752" i="10"/>
  <c r="H2752" i="10"/>
  <c r="A2753" i="10"/>
  <c r="B2753" i="10"/>
  <c r="C2753" i="10"/>
  <c r="D2753" i="10"/>
  <c r="E2753" i="10"/>
  <c r="F2753" i="10"/>
  <c r="G2753" i="10"/>
  <c r="H2753" i="10"/>
  <c r="A2754" i="10"/>
  <c r="B2754" i="10"/>
  <c r="C2754" i="10"/>
  <c r="D2754" i="10"/>
  <c r="E2754" i="10"/>
  <c r="F2754" i="10"/>
  <c r="G2754" i="10"/>
  <c r="H2754" i="10"/>
  <c r="A2755" i="10"/>
  <c r="B2755" i="10"/>
  <c r="C2755" i="10"/>
  <c r="D2755" i="10"/>
  <c r="E2755" i="10"/>
  <c r="F2755" i="10"/>
  <c r="G2755" i="10"/>
  <c r="H2755" i="10"/>
  <c r="A2756" i="10"/>
  <c r="B2756" i="10"/>
  <c r="C2756" i="10"/>
  <c r="D2756" i="10"/>
  <c r="E2756" i="10"/>
  <c r="F2756" i="10"/>
  <c r="G2756" i="10"/>
  <c r="H2756" i="10"/>
  <c r="A2757" i="10"/>
  <c r="B2757" i="10"/>
  <c r="C2757" i="10"/>
  <c r="D2757" i="10"/>
  <c r="E2757" i="10"/>
  <c r="F2757" i="10"/>
  <c r="G2757" i="10"/>
  <c r="H2757" i="10"/>
  <c r="A2758" i="10"/>
  <c r="B2758" i="10"/>
  <c r="C2758" i="10"/>
  <c r="D2758" i="10"/>
  <c r="E2758" i="10"/>
  <c r="F2758" i="10"/>
  <c r="G2758" i="10"/>
  <c r="H2758" i="10"/>
  <c r="A2759" i="10"/>
  <c r="B2759" i="10"/>
  <c r="C2759" i="10"/>
  <c r="D2759" i="10"/>
  <c r="E2759" i="10"/>
  <c r="F2759" i="10"/>
  <c r="G2759" i="10"/>
  <c r="H2759" i="10"/>
  <c r="A2760" i="10"/>
  <c r="B2760" i="10"/>
  <c r="C2760" i="10"/>
  <c r="D2760" i="10"/>
  <c r="E2760" i="10"/>
  <c r="F2760" i="10"/>
  <c r="G2760" i="10"/>
  <c r="H2760" i="10"/>
  <c r="A2761" i="10"/>
  <c r="B2761" i="10"/>
  <c r="C2761" i="10"/>
  <c r="D2761" i="10"/>
  <c r="E2761" i="10"/>
  <c r="F2761" i="10"/>
  <c r="G2761" i="10"/>
  <c r="H2761" i="10"/>
  <c r="A2762" i="10"/>
  <c r="B2762" i="10"/>
  <c r="C2762" i="10"/>
  <c r="D2762" i="10"/>
  <c r="E2762" i="10"/>
  <c r="F2762" i="10"/>
  <c r="G2762" i="10"/>
  <c r="H2762" i="10"/>
  <c r="A2763" i="10"/>
  <c r="B2763" i="10"/>
  <c r="C2763" i="10"/>
  <c r="D2763" i="10"/>
  <c r="E2763" i="10"/>
  <c r="F2763" i="10"/>
  <c r="G2763" i="10"/>
  <c r="H2763" i="10"/>
  <c r="A2764" i="10"/>
  <c r="B2764" i="10"/>
  <c r="C2764" i="10"/>
  <c r="D2764" i="10"/>
  <c r="E2764" i="10"/>
  <c r="F2764" i="10"/>
  <c r="G2764" i="10"/>
  <c r="H2764" i="10"/>
  <c r="A2765" i="10"/>
  <c r="B2765" i="10"/>
  <c r="C2765" i="10"/>
  <c r="D2765" i="10"/>
  <c r="E2765" i="10"/>
  <c r="F2765" i="10"/>
  <c r="G2765" i="10"/>
  <c r="H2765" i="10"/>
  <c r="A2766" i="10"/>
  <c r="B2766" i="10"/>
  <c r="C2766" i="10"/>
  <c r="D2766" i="10"/>
  <c r="E2766" i="10"/>
  <c r="F2766" i="10"/>
  <c r="G2766" i="10"/>
  <c r="H2766" i="10"/>
  <c r="A2767" i="10"/>
  <c r="B2767" i="10"/>
  <c r="C2767" i="10"/>
  <c r="D2767" i="10"/>
  <c r="E2767" i="10"/>
  <c r="F2767" i="10"/>
  <c r="G2767" i="10"/>
  <c r="H2767" i="10"/>
  <c r="A2768" i="10"/>
  <c r="B2768" i="10"/>
  <c r="C2768" i="10"/>
  <c r="D2768" i="10"/>
  <c r="E2768" i="10"/>
  <c r="F2768" i="10"/>
  <c r="G2768" i="10"/>
  <c r="H2768" i="10"/>
  <c r="A2769" i="10"/>
  <c r="B2769" i="10"/>
  <c r="C2769" i="10"/>
  <c r="D2769" i="10"/>
  <c r="E2769" i="10"/>
  <c r="F2769" i="10"/>
  <c r="G2769" i="10"/>
  <c r="H2769" i="10"/>
  <c r="A2770" i="10"/>
  <c r="B2770" i="10"/>
  <c r="C2770" i="10"/>
  <c r="D2770" i="10"/>
  <c r="E2770" i="10"/>
  <c r="F2770" i="10"/>
  <c r="G2770" i="10"/>
  <c r="H2770" i="10"/>
  <c r="A2771" i="10"/>
  <c r="B2771" i="10"/>
  <c r="C2771" i="10"/>
  <c r="D2771" i="10"/>
  <c r="E2771" i="10"/>
  <c r="F2771" i="10"/>
  <c r="G2771" i="10"/>
  <c r="H2771" i="10"/>
  <c r="A2772" i="10"/>
  <c r="B2772" i="10"/>
  <c r="C2772" i="10"/>
  <c r="D2772" i="10"/>
  <c r="E2772" i="10"/>
  <c r="F2772" i="10"/>
  <c r="G2772" i="10"/>
  <c r="H2772" i="10"/>
  <c r="A2773" i="10"/>
  <c r="B2773" i="10"/>
  <c r="C2773" i="10"/>
  <c r="D2773" i="10"/>
  <c r="E2773" i="10"/>
  <c r="F2773" i="10"/>
  <c r="G2773" i="10"/>
  <c r="H2773" i="10"/>
  <c r="A2774" i="10"/>
  <c r="B2774" i="10"/>
  <c r="C2774" i="10"/>
  <c r="D2774" i="10"/>
  <c r="E2774" i="10"/>
  <c r="F2774" i="10"/>
  <c r="G2774" i="10"/>
  <c r="H2774" i="10"/>
  <c r="A2775" i="10"/>
  <c r="B2775" i="10"/>
  <c r="C2775" i="10"/>
  <c r="D2775" i="10"/>
  <c r="E2775" i="10"/>
  <c r="F2775" i="10"/>
  <c r="G2775" i="10"/>
  <c r="H2775" i="10"/>
  <c r="A2776" i="10"/>
  <c r="B2776" i="10"/>
  <c r="C2776" i="10"/>
  <c r="D2776" i="10"/>
  <c r="E2776" i="10"/>
  <c r="F2776" i="10"/>
  <c r="G2776" i="10"/>
  <c r="H2776" i="10"/>
  <c r="A2777" i="10"/>
  <c r="B2777" i="10"/>
  <c r="C2777" i="10"/>
  <c r="D2777" i="10"/>
  <c r="E2777" i="10"/>
  <c r="F2777" i="10"/>
  <c r="G2777" i="10"/>
  <c r="H2777" i="10"/>
  <c r="A2778" i="10"/>
  <c r="B2778" i="10"/>
  <c r="C2778" i="10"/>
  <c r="D2778" i="10"/>
  <c r="E2778" i="10"/>
  <c r="F2778" i="10"/>
  <c r="G2778" i="10"/>
  <c r="H2778" i="10"/>
  <c r="A2779" i="10"/>
  <c r="B2779" i="10"/>
  <c r="C2779" i="10"/>
  <c r="D2779" i="10"/>
  <c r="E2779" i="10"/>
  <c r="F2779" i="10"/>
  <c r="G2779" i="10"/>
  <c r="H2779" i="10"/>
  <c r="A2780" i="10"/>
  <c r="B2780" i="10"/>
  <c r="C2780" i="10"/>
  <c r="D2780" i="10"/>
  <c r="E2780" i="10"/>
  <c r="F2780" i="10"/>
  <c r="G2780" i="10"/>
  <c r="H2780" i="10"/>
  <c r="A2781" i="10"/>
  <c r="B2781" i="10"/>
  <c r="C2781" i="10"/>
  <c r="D2781" i="10"/>
  <c r="E2781" i="10"/>
  <c r="F2781" i="10"/>
  <c r="G2781" i="10"/>
  <c r="H2781" i="10"/>
  <c r="A2782" i="10"/>
  <c r="B2782" i="10"/>
  <c r="C2782" i="10"/>
  <c r="D2782" i="10"/>
  <c r="E2782" i="10"/>
  <c r="F2782" i="10"/>
  <c r="G2782" i="10"/>
  <c r="H2782" i="10"/>
  <c r="A2783" i="10"/>
  <c r="B2783" i="10"/>
  <c r="C2783" i="10"/>
  <c r="D2783" i="10"/>
  <c r="E2783" i="10"/>
  <c r="F2783" i="10"/>
  <c r="G2783" i="10"/>
  <c r="H2783" i="10"/>
  <c r="A2784" i="10"/>
  <c r="B2784" i="10"/>
  <c r="C2784" i="10"/>
  <c r="D2784" i="10"/>
  <c r="E2784" i="10"/>
  <c r="F2784" i="10"/>
  <c r="G2784" i="10"/>
  <c r="H2784" i="10"/>
  <c r="A2785" i="10"/>
  <c r="B2785" i="10"/>
  <c r="C2785" i="10"/>
  <c r="D2785" i="10"/>
  <c r="E2785" i="10"/>
  <c r="F2785" i="10"/>
  <c r="G2785" i="10"/>
  <c r="H2785" i="10"/>
  <c r="A2786" i="10"/>
  <c r="B2786" i="10"/>
  <c r="C2786" i="10"/>
  <c r="D2786" i="10"/>
  <c r="E2786" i="10"/>
  <c r="F2786" i="10"/>
  <c r="G2786" i="10"/>
  <c r="H2786" i="10"/>
  <c r="A2787" i="10"/>
  <c r="B2787" i="10"/>
  <c r="C2787" i="10"/>
  <c r="D2787" i="10"/>
  <c r="E2787" i="10"/>
  <c r="F2787" i="10"/>
  <c r="G2787" i="10"/>
  <c r="H2787" i="10"/>
  <c r="A2788" i="10"/>
  <c r="B2788" i="10"/>
  <c r="C2788" i="10"/>
  <c r="D2788" i="10"/>
  <c r="E2788" i="10"/>
  <c r="F2788" i="10"/>
  <c r="G2788" i="10"/>
  <c r="H2788" i="10"/>
  <c r="A2789" i="10"/>
  <c r="B2789" i="10"/>
  <c r="C2789" i="10"/>
  <c r="D2789" i="10"/>
  <c r="E2789" i="10"/>
  <c r="F2789" i="10"/>
  <c r="G2789" i="10"/>
  <c r="H2789" i="10"/>
  <c r="A2790" i="10"/>
  <c r="B2790" i="10"/>
  <c r="C2790" i="10"/>
  <c r="D2790" i="10"/>
  <c r="E2790" i="10"/>
  <c r="F2790" i="10"/>
  <c r="G2790" i="10"/>
  <c r="H2790" i="10"/>
  <c r="A2791" i="10"/>
  <c r="B2791" i="10"/>
  <c r="C2791" i="10"/>
  <c r="D2791" i="10"/>
  <c r="E2791" i="10"/>
  <c r="F2791" i="10"/>
  <c r="G2791" i="10"/>
  <c r="H2791" i="10"/>
  <c r="A2792" i="10"/>
  <c r="B2792" i="10"/>
  <c r="C2792" i="10"/>
  <c r="D2792" i="10"/>
  <c r="E2792" i="10"/>
  <c r="F2792" i="10"/>
  <c r="G2792" i="10"/>
  <c r="H2792" i="10"/>
  <c r="A2793" i="10"/>
  <c r="B2793" i="10"/>
  <c r="C2793" i="10"/>
  <c r="D2793" i="10"/>
  <c r="E2793" i="10"/>
  <c r="F2793" i="10"/>
  <c r="G2793" i="10"/>
  <c r="H2793" i="10"/>
  <c r="A2794" i="10"/>
  <c r="B2794" i="10"/>
  <c r="C2794" i="10"/>
  <c r="D2794" i="10"/>
  <c r="E2794" i="10"/>
  <c r="F2794" i="10"/>
  <c r="G2794" i="10"/>
  <c r="H2794" i="10"/>
  <c r="A2795" i="10"/>
  <c r="B2795" i="10"/>
  <c r="C2795" i="10"/>
  <c r="D2795" i="10"/>
  <c r="E2795" i="10"/>
  <c r="F2795" i="10"/>
  <c r="G2795" i="10"/>
  <c r="H2795" i="10"/>
  <c r="A2796" i="10"/>
  <c r="B2796" i="10"/>
  <c r="C2796" i="10"/>
  <c r="D2796" i="10"/>
  <c r="E2796" i="10"/>
  <c r="F2796" i="10"/>
  <c r="G2796" i="10"/>
  <c r="H2796" i="10"/>
  <c r="A2797" i="10"/>
  <c r="B2797" i="10"/>
  <c r="C2797" i="10"/>
  <c r="D2797" i="10"/>
  <c r="E2797" i="10"/>
  <c r="F2797" i="10"/>
  <c r="G2797" i="10"/>
  <c r="H2797" i="10"/>
  <c r="A2798" i="10"/>
  <c r="B2798" i="10"/>
  <c r="C2798" i="10"/>
  <c r="D2798" i="10"/>
  <c r="E2798" i="10"/>
  <c r="F2798" i="10"/>
  <c r="G2798" i="10"/>
  <c r="H2798" i="10"/>
  <c r="A2799" i="10"/>
  <c r="B2799" i="10"/>
  <c r="C2799" i="10"/>
  <c r="D2799" i="10"/>
  <c r="E2799" i="10"/>
  <c r="F2799" i="10"/>
  <c r="G2799" i="10"/>
  <c r="H2799" i="10"/>
  <c r="A2800" i="10"/>
  <c r="B2800" i="10"/>
  <c r="C2800" i="10"/>
  <c r="D2800" i="10"/>
  <c r="E2800" i="10"/>
  <c r="F2800" i="10"/>
  <c r="G2800" i="10"/>
  <c r="H2800" i="10"/>
  <c r="A2801" i="10"/>
  <c r="B2801" i="10"/>
  <c r="C2801" i="10"/>
  <c r="D2801" i="10"/>
  <c r="E2801" i="10"/>
  <c r="F2801" i="10"/>
  <c r="G2801" i="10"/>
  <c r="H2801" i="10"/>
  <c r="A2802" i="10"/>
  <c r="B2802" i="10"/>
  <c r="C2802" i="10"/>
  <c r="D2802" i="10"/>
  <c r="E2802" i="10"/>
  <c r="F2802" i="10"/>
  <c r="G2802" i="10"/>
  <c r="H2802" i="10"/>
  <c r="A2803" i="10"/>
  <c r="B2803" i="10"/>
  <c r="C2803" i="10"/>
  <c r="D2803" i="10"/>
  <c r="E2803" i="10"/>
  <c r="F2803" i="10"/>
  <c r="G2803" i="10"/>
  <c r="H2803" i="10"/>
  <c r="A2804" i="10"/>
  <c r="B2804" i="10"/>
  <c r="C2804" i="10"/>
  <c r="D2804" i="10"/>
  <c r="E2804" i="10"/>
  <c r="F2804" i="10"/>
  <c r="G2804" i="10"/>
  <c r="H2804" i="10"/>
  <c r="A2805" i="10"/>
  <c r="B2805" i="10"/>
  <c r="C2805" i="10"/>
  <c r="D2805" i="10"/>
  <c r="E2805" i="10"/>
  <c r="F2805" i="10"/>
  <c r="G2805" i="10"/>
  <c r="H2805" i="10"/>
  <c r="A2806" i="10"/>
  <c r="B2806" i="10"/>
  <c r="C2806" i="10"/>
  <c r="D2806" i="10"/>
  <c r="E2806" i="10"/>
  <c r="F2806" i="10"/>
  <c r="G2806" i="10"/>
  <c r="H2806" i="10"/>
  <c r="A2807" i="10"/>
  <c r="B2807" i="10"/>
  <c r="C2807" i="10"/>
  <c r="D2807" i="10"/>
  <c r="E2807" i="10"/>
  <c r="F2807" i="10"/>
  <c r="G2807" i="10"/>
  <c r="H2807" i="10"/>
  <c r="A2808" i="10"/>
  <c r="B2808" i="10"/>
  <c r="C2808" i="10"/>
  <c r="D2808" i="10"/>
  <c r="E2808" i="10"/>
  <c r="F2808" i="10"/>
  <c r="G2808" i="10"/>
  <c r="H2808" i="10"/>
  <c r="A2809" i="10"/>
  <c r="B2809" i="10"/>
  <c r="C2809" i="10"/>
  <c r="D2809" i="10"/>
  <c r="E2809" i="10"/>
  <c r="F2809" i="10"/>
  <c r="G2809" i="10"/>
  <c r="H2809" i="10"/>
  <c r="A2810" i="10"/>
  <c r="B2810" i="10"/>
  <c r="C2810" i="10"/>
  <c r="D2810" i="10"/>
  <c r="E2810" i="10"/>
  <c r="F2810" i="10"/>
  <c r="G2810" i="10"/>
  <c r="H2810" i="10"/>
  <c r="A2811" i="10"/>
  <c r="B2811" i="10"/>
  <c r="C2811" i="10"/>
  <c r="D2811" i="10"/>
  <c r="E2811" i="10"/>
  <c r="F2811" i="10"/>
  <c r="G2811" i="10"/>
  <c r="H2811" i="10"/>
  <c r="A2812" i="10"/>
  <c r="B2812" i="10"/>
  <c r="C2812" i="10"/>
  <c r="D2812" i="10"/>
  <c r="E2812" i="10"/>
  <c r="F2812" i="10"/>
  <c r="G2812" i="10"/>
  <c r="H2812" i="10"/>
  <c r="A2813" i="10"/>
  <c r="B2813" i="10"/>
  <c r="C2813" i="10"/>
  <c r="D2813" i="10"/>
  <c r="E2813" i="10"/>
  <c r="F2813" i="10"/>
  <c r="G2813" i="10"/>
  <c r="H2813" i="10"/>
  <c r="A2814" i="10"/>
  <c r="B2814" i="10"/>
  <c r="C2814" i="10"/>
  <c r="D2814" i="10"/>
  <c r="E2814" i="10"/>
  <c r="F2814" i="10"/>
  <c r="G2814" i="10"/>
  <c r="H2814" i="10"/>
  <c r="A2815" i="10"/>
  <c r="B2815" i="10"/>
  <c r="C2815" i="10"/>
  <c r="D2815" i="10"/>
  <c r="E2815" i="10"/>
  <c r="F2815" i="10"/>
  <c r="G2815" i="10"/>
  <c r="H2815" i="10"/>
  <c r="A2816" i="10"/>
  <c r="B2816" i="10"/>
  <c r="C2816" i="10"/>
  <c r="D2816" i="10"/>
  <c r="E2816" i="10"/>
  <c r="F2816" i="10"/>
  <c r="G2816" i="10"/>
  <c r="H2816" i="10"/>
  <c r="A2817" i="10"/>
  <c r="B2817" i="10"/>
  <c r="C2817" i="10"/>
  <c r="D2817" i="10"/>
  <c r="E2817" i="10"/>
  <c r="F2817" i="10"/>
  <c r="G2817" i="10"/>
  <c r="H2817" i="10"/>
  <c r="A2818" i="10"/>
  <c r="B2818" i="10"/>
  <c r="C2818" i="10"/>
  <c r="D2818" i="10"/>
  <c r="E2818" i="10"/>
  <c r="F2818" i="10"/>
  <c r="G2818" i="10"/>
  <c r="H2818" i="10"/>
  <c r="A2819" i="10"/>
  <c r="B2819" i="10"/>
  <c r="C2819" i="10"/>
  <c r="D2819" i="10"/>
  <c r="E2819" i="10"/>
  <c r="F2819" i="10"/>
  <c r="G2819" i="10"/>
  <c r="H2819" i="10"/>
  <c r="A2820" i="10"/>
  <c r="B2820" i="10"/>
  <c r="C2820" i="10"/>
  <c r="D2820" i="10"/>
  <c r="E2820" i="10"/>
  <c r="F2820" i="10"/>
  <c r="G2820" i="10"/>
  <c r="H2820" i="10"/>
  <c r="A2821" i="10"/>
  <c r="B2821" i="10"/>
  <c r="C2821" i="10"/>
  <c r="D2821" i="10"/>
  <c r="E2821" i="10"/>
  <c r="F2821" i="10"/>
  <c r="G2821" i="10"/>
  <c r="H2821" i="10"/>
  <c r="A2822" i="10"/>
  <c r="B2822" i="10"/>
  <c r="C2822" i="10"/>
  <c r="D2822" i="10"/>
  <c r="E2822" i="10"/>
  <c r="F2822" i="10"/>
  <c r="G2822" i="10"/>
  <c r="H2822" i="10"/>
  <c r="A2823" i="10"/>
  <c r="B2823" i="10"/>
  <c r="C2823" i="10"/>
  <c r="D2823" i="10"/>
  <c r="E2823" i="10"/>
  <c r="F2823" i="10"/>
  <c r="G2823" i="10"/>
  <c r="H2823" i="10"/>
  <c r="A2824" i="10"/>
  <c r="B2824" i="10"/>
  <c r="C2824" i="10"/>
  <c r="D2824" i="10"/>
  <c r="E2824" i="10"/>
  <c r="F2824" i="10"/>
  <c r="G2824" i="10"/>
  <c r="H2824" i="10"/>
  <c r="A2825" i="10"/>
  <c r="B2825" i="10"/>
  <c r="C2825" i="10"/>
  <c r="D2825" i="10"/>
  <c r="E2825" i="10"/>
  <c r="F2825" i="10"/>
  <c r="G2825" i="10"/>
  <c r="H2825" i="10"/>
  <c r="A2826" i="10"/>
  <c r="B2826" i="10"/>
  <c r="C2826" i="10"/>
  <c r="D2826" i="10"/>
  <c r="E2826" i="10"/>
  <c r="F2826" i="10"/>
  <c r="G2826" i="10"/>
  <c r="H2826" i="10"/>
  <c r="A2827" i="10"/>
  <c r="B2827" i="10"/>
  <c r="C2827" i="10"/>
  <c r="D2827" i="10"/>
  <c r="E2827" i="10"/>
  <c r="F2827" i="10"/>
  <c r="G2827" i="10"/>
  <c r="H2827" i="10"/>
  <c r="A2828" i="10"/>
  <c r="B2828" i="10"/>
  <c r="C2828" i="10"/>
  <c r="D2828" i="10"/>
  <c r="E2828" i="10"/>
  <c r="F2828" i="10"/>
  <c r="G2828" i="10"/>
  <c r="H2828" i="10"/>
  <c r="A2829" i="10"/>
  <c r="B2829" i="10"/>
  <c r="C2829" i="10"/>
  <c r="D2829" i="10"/>
  <c r="E2829" i="10"/>
  <c r="F2829" i="10"/>
  <c r="G2829" i="10"/>
  <c r="H2829" i="10"/>
  <c r="A2830" i="10"/>
  <c r="B2830" i="10"/>
  <c r="C2830" i="10"/>
  <c r="D2830" i="10"/>
  <c r="E2830" i="10"/>
  <c r="F2830" i="10"/>
  <c r="G2830" i="10"/>
  <c r="H2830" i="10"/>
  <c r="A2831" i="10"/>
  <c r="B2831" i="10"/>
  <c r="C2831" i="10"/>
  <c r="D2831" i="10"/>
  <c r="E2831" i="10"/>
  <c r="F2831" i="10"/>
  <c r="G2831" i="10"/>
  <c r="H2831" i="10"/>
  <c r="A2832" i="10"/>
  <c r="B2832" i="10"/>
  <c r="C2832" i="10"/>
  <c r="D2832" i="10"/>
  <c r="E2832" i="10"/>
  <c r="F2832" i="10"/>
  <c r="G2832" i="10"/>
  <c r="H2832" i="10"/>
  <c r="A2833" i="10"/>
  <c r="B2833" i="10"/>
  <c r="C2833" i="10"/>
  <c r="D2833" i="10"/>
  <c r="E2833" i="10"/>
  <c r="F2833" i="10"/>
  <c r="G2833" i="10"/>
  <c r="H2833" i="10"/>
  <c r="A2834" i="10"/>
  <c r="B2834" i="10"/>
  <c r="C2834" i="10"/>
  <c r="D2834" i="10"/>
  <c r="E2834" i="10"/>
  <c r="F2834" i="10"/>
  <c r="G2834" i="10"/>
  <c r="H2834" i="10"/>
  <c r="A2835" i="10"/>
  <c r="B2835" i="10"/>
  <c r="C2835" i="10"/>
  <c r="D2835" i="10"/>
  <c r="E2835" i="10"/>
  <c r="F2835" i="10"/>
  <c r="G2835" i="10"/>
  <c r="H2835" i="10"/>
  <c r="K1059" i="2"/>
  <c r="Q1059" i="4" s="1"/>
  <c r="J1058" i="2"/>
  <c r="I1058" i="2"/>
  <c r="Z2461" i="10"/>
  <c r="Z2462" i="10"/>
  <c r="Z2463" i="10"/>
  <c r="Z2464" i="10"/>
  <c r="Z2465" i="10"/>
  <c r="Z2466" i="10"/>
  <c r="Z2467" i="10"/>
  <c r="Z2468" i="10"/>
  <c r="Z2469" i="10"/>
  <c r="Z2470" i="10"/>
  <c r="Z2471" i="10"/>
  <c r="Z2472" i="10"/>
  <c r="Z2473" i="10"/>
  <c r="Z2474" i="10"/>
  <c r="Z2475" i="10"/>
  <c r="Z2476" i="10"/>
  <c r="Z2491" i="10"/>
  <c r="Z2492" i="10"/>
  <c r="Z2497" i="10"/>
  <c r="Z2498" i="10"/>
  <c r="Z2499" i="10"/>
  <c r="Z2500" i="10"/>
  <c r="Z2501" i="10"/>
  <c r="Z2502" i="10"/>
  <c r="X2462" i="10"/>
  <c r="Y2462" i="10"/>
  <c r="X2463" i="10"/>
  <c r="Y2463" i="10"/>
  <c r="X2464" i="10"/>
  <c r="Y2464" i="10"/>
  <c r="X2465" i="10"/>
  <c r="Y2465" i="10"/>
  <c r="X2466" i="10"/>
  <c r="Y2466" i="10"/>
  <c r="X2467" i="10"/>
  <c r="Y2467" i="10"/>
  <c r="X2468" i="10"/>
  <c r="Y2468" i="10"/>
  <c r="X2469" i="10"/>
  <c r="Y2469" i="10"/>
  <c r="X2470" i="10"/>
  <c r="Y2470" i="10"/>
  <c r="X2471" i="10"/>
  <c r="Y2471" i="10"/>
  <c r="X2472" i="10"/>
  <c r="Y2472" i="10"/>
  <c r="X2473" i="10"/>
  <c r="Y2473" i="10"/>
  <c r="X2474" i="10"/>
  <c r="Y2474" i="10"/>
  <c r="X2475" i="10"/>
  <c r="Y2475" i="10"/>
  <c r="X2476" i="10"/>
  <c r="Y2476" i="10"/>
  <c r="X2491" i="10"/>
  <c r="Y2491" i="10"/>
  <c r="X2492" i="10"/>
  <c r="Y2492" i="10"/>
  <c r="X2497" i="10"/>
  <c r="Y2497" i="10"/>
  <c r="X2498" i="10"/>
  <c r="Y2498" i="10"/>
  <c r="X2499" i="10"/>
  <c r="Y2499" i="10"/>
  <c r="X2500" i="10"/>
  <c r="Y2500" i="10"/>
  <c r="X2501" i="10"/>
  <c r="Y2501" i="10"/>
  <c r="X2502" i="10"/>
  <c r="Y2502" i="10"/>
  <c r="Y2461" i="10"/>
  <c r="X2461" i="10"/>
  <c r="A2145" i="10"/>
  <c r="B2145" i="10"/>
  <c r="C2145" i="10"/>
  <c r="D2145" i="10"/>
  <c r="E2145" i="10"/>
  <c r="F2145" i="10"/>
  <c r="G2145" i="10"/>
  <c r="H2145" i="10"/>
  <c r="A2146" i="10"/>
  <c r="B2146" i="10"/>
  <c r="C2146" i="10"/>
  <c r="D2146" i="10"/>
  <c r="E2146" i="10"/>
  <c r="F2146" i="10"/>
  <c r="G2146" i="10"/>
  <c r="H2146" i="10"/>
  <c r="A2147" i="10"/>
  <c r="B2147" i="10"/>
  <c r="C2147" i="10"/>
  <c r="D2147" i="10"/>
  <c r="E2147" i="10"/>
  <c r="F2147" i="10"/>
  <c r="G2147" i="10"/>
  <c r="H2147" i="10"/>
  <c r="A2148" i="10"/>
  <c r="B2148" i="10"/>
  <c r="C2148" i="10"/>
  <c r="D2148" i="10"/>
  <c r="E2148" i="10"/>
  <c r="F2148" i="10"/>
  <c r="G2148" i="10"/>
  <c r="H2148" i="10"/>
  <c r="H926" i="4"/>
  <c r="H925" i="4"/>
  <c r="A2339" i="10"/>
  <c r="B2339" i="10"/>
  <c r="C2339" i="10"/>
  <c r="D2339" i="10"/>
  <c r="E2339" i="10"/>
  <c r="F2339" i="10"/>
  <c r="G2339" i="10"/>
  <c r="H2339" i="10"/>
  <c r="A2340" i="10"/>
  <c r="B2340" i="10"/>
  <c r="C2340" i="10"/>
  <c r="D2340" i="10"/>
  <c r="E2340" i="10"/>
  <c r="F2340" i="10"/>
  <c r="G2340" i="10"/>
  <c r="H2340" i="10"/>
  <c r="A2341" i="10"/>
  <c r="B2341" i="10"/>
  <c r="C2341" i="10"/>
  <c r="D2341" i="10"/>
  <c r="E2341" i="10"/>
  <c r="F2341" i="10"/>
  <c r="G2341" i="10"/>
  <c r="H2341" i="10"/>
  <c r="A2342" i="10"/>
  <c r="B2342" i="10"/>
  <c r="C2342" i="10"/>
  <c r="D2342" i="10"/>
  <c r="E2342" i="10"/>
  <c r="F2342" i="10"/>
  <c r="G2342" i="10"/>
  <c r="H2342" i="10"/>
  <c r="A2343" i="10"/>
  <c r="B2343" i="10"/>
  <c r="C2343" i="10"/>
  <c r="D2343" i="10"/>
  <c r="E2343" i="10"/>
  <c r="F2343" i="10"/>
  <c r="G2343" i="10"/>
  <c r="H2343" i="10"/>
  <c r="A2344" i="10"/>
  <c r="B2344" i="10"/>
  <c r="C2344" i="10"/>
  <c r="D2344" i="10"/>
  <c r="E2344" i="10"/>
  <c r="F2344" i="10"/>
  <c r="G2344" i="10"/>
  <c r="H2344" i="10"/>
  <c r="A2345" i="10"/>
  <c r="B2345" i="10"/>
  <c r="C2345" i="10"/>
  <c r="D2345" i="10"/>
  <c r="E2345" i="10"/>
  <c r="F2345" i="10"/>
  <c r="G2345" i="10"/>
  <c r="H2345" i="10"/>
  <c r="A2346" i="10"/>
  <c r="B2346" i="10"/>
  <c r="C2346" i="10"/>
  <c r="D2346" i="10"/>
  <c r="E2346" i="10"/>
  <c r="F2346" i="10"/>
  <c r="G2346" i="10"/>
  <c r="H2346" i="10"/>
  <c r="A2347" i="10"/>
  <c r="B2347" i="10"/>
  <c r="C2347" i="10"/>
  <c r="D2347" i="10"/>
  <c r="E2347" i="10"/>
  <c r="F2347" i="10"/>
  <c r="G2347" i="10"/>
  <c r="H2347" i="10"/>
  <c r="A2348" i="10"/>
  <c r="B2348" i="10"/>
  <c r="C2348" i="10"/>
  <c r="D2348" i="10"/>
  <c r="E2348" i="10"/>
  <c r="F2348" i="10"/>
  <c r="G2348" i="10"/>
  <c r="H2348" i="10"/>
  <c r="A2349" i="10"/>
  <c r="B2349" i="10"/>
  <c r="C2349" i="10"/>
  <c r="D2349" i="10"/>
  <c r="E2349" i="10"/>
  <c r="F2349" i="10"/>
  <c r="G2349" i="10"/>
  <c r="H2349" i="10"/>
  <c r="A2350" i="10"/>
  <c r="B2350" i="10"/>
  <c r="C2350" i="10"/>
  <c r="D2350" i="10"/>
  <c r="E2350" i="10"/>
  <c r="F2350" i="10"/>
  <c r="G2350" i="10"/>
  <c r="H2350" i="10"/>
  <c r="A2351" i="10"/>
  <c r="B2351" i="10"/>
  <c r="C2351" i="10"/>
  <c r="D2351" i="10"/>
  <c r="E2351" i="10"/>
  <c r="F2351" i="10"/>
  <c r="G2351" i="10"/>
  <c r="H2351" i="10"/>
  <c r="A2352" i="10"/>
  <c r="B2352" i="10"/>
  <c r="C2352" i="10"/>
  <c r="D2352" i="10"/>
  <c r="E2352" i="10"/>
  <c r="F2352" i="10"/>
  <c r="G2352" i="10"/>
  <c r="H2352" i="10"/>
  <c r="A2353" i="10"/>
  <c r="B2353" i="10"/>
  <c r="C2353" i="10"/>
  <c r="D2353" i="10"/>
  <c r="E2353" i="10"/>
  <c r="F2353" i="10"/>
  <c r="G2353" i="10"/>
  <c r="H2353" i="10"/>
  <c r="A2354" i="10"/>
  <c r="B2354" i="10"/>
  <c r="C2354" i="10"/>
  <c r="D2354" i="10"/>
  <c r="E2354" i="10"/>
  <c r="F2354" i="10"/>
  <c r="G2354" i="10"/>
  <c r="H2354" i="10"/>
  <c r="A2355" i="10"/>
  <c r="B2355" i="10"/>
  <c r="C2355" i="10"/>
  <c r="D2355" i="10"/>
  <c r="E2355" i="10"/>
  <c r="F2355" i="10"/>
  <c r="G2355" i="10"/>
  <c r="H2355" i="10"/>
  <c r="A2356" i="10"/>
  <c r="B2356" i="10"/>
  <c r="C2356" i="10"/>
  <c r="D2356" i="10"/>
  <c r="E2356" i="10"/>
  <c r="F2356" i="10"/>
  <c r="G2356" i="10"/>
  <c r="H2356" i="10"/>
  <c r="A2357" i="10"/>
  <c r="B2357" i="10"/>
  <c r="C2357" i="10"/>
  <c r="D2357" i="10"/>
  <c r="E2357" i="10"/>
  <c r="F2357" i="10"/>
  <c r="G2357" i="10"/>
  <c r="H2357" i="10"/>
  <c r="A2358" i="10"/>
  <c r="B2358" i="10"/>
  <c r="C2358" i="10"/>
  <c r="D2358" i="10"/>
  <c r="E2358" i="10"/>
  <c r="F2358" i="10"/>
  <c r="G2358" i="10"/>
  <c r="H2358" i="10"/>
  <c r="A2359" i="10"/>
  <c r="B2359" i="10"/>
  <c r="C2359" i="10"/>
  <c r="D2359" i="10"/>
  <c r="E2359" i="10"/>
  <c r="F2359" i="10"/>
  <c r="G2359" i="10"/>
  <c r="H2359" i="10"/>
  <c r="A2360" i="10"/>
  <c r="B2360" i="10"/>
  <c r="C2360" i="10"/>
  <c r="D2360" i="10"/>
  <c r="E2360" i="10"/>
  <c r="F2360" i="10"/>
  <c r="G2360" i="10"/>
  <c r="H2360" i="10"/>
  <c r="A2361" i="10"/>
  <c r="B2361" i="10"/>
  <c r="C2361" i="10"/>
  <c r="D2361" i="10"/>
  <c r="E2361" i="10"/>
  <c r="F2361" i="10"/>
  <c r="G2361" i="10"/>
  <c r="H2361" i="10"/>
  <c r="A2362" i="10"/>
  <c r="B2362" i="10"/>
  <c r="C2362" i="10"/>
  <c r="D2362" i="10"/>
  <c r="E2362" i="10"/>
  <c r="F2362" i="10"/>
  <c r="G2362" i="10"/>
  <c r="H2362" i="10"/>
  <c r="A2363" i="10"/>
  <c r="B2363" i="10"/>
  <c r="C2363" i="10"/>
  <c r="D2363" i="10"/>
  <c r="E2363" i="10"/>
  <c r="F2363" i="10"/>
  <c r="G2363" i="10"/>
  <c r="H2363" i="10"/>
  <c r="A2364" i="10"/>
  <c r="B2364" i="10"/>
  <c r="C2364" i="10"/>
  <c r="D2364" i="10"/>
  <c r="E2364" i="10"/>
  <c r="F2364" i="10"/>
  <c r="G2364" i="10"/>
  <c r="H2364" i="10"/>
  <c r="A2365" i="10"/>
  <c r="B2365" i="10"/>
  <c r="C2365" i="10"/>
  <c r="D2365" i="10"/>
  <c r="E2365" i="10"/>
  <c r="F2365" i="10"/>
  <c r="G2365" i="10"/>
  <c r="H2365" i="10"/>
  <c r="A2366" i="10"/>
  <c r="B2366" i="10"/>
  <c r="C2366" i="10"/>
  <c r="D2366" i="10"/>
  <c r="E2366" i="10"/>
  <c r="F2366" i="10"/>
  <c r="G2366" i="10"/>
  <c r="H2366" i="10"/>
  <c r="A2367" i="10"/>
  <c r="B2367" i="10"/>
  <c r="C2367" i="10"/>
  <c r="D2367" i="10"/>
  <c r="E2367" i="10"/>
  <c r="F2367" i="10"/>
  <c r="G2367" i="10"/>
  <c r="H2367" i="10"/>
  <c r="A2368" i="10"/>
  <c r="B2368" i="10"/>
  <c r="C2368" i="10"/>
  <c r="D2368" i="10"/>
  <c r="E2368" i="10"/>
  <c r="F2368" i="10"/>
  <c r="G2368" i="10"/>
  <c r="H2368" i="10"/>
  <c r="A2369" i="10"/>
  <c r="B2369" i="10"/>
  <c r="C2369" i="10"/>
  <c r="D2369" i="10"/>
  <c r="E2369" i="10"/>
  <c r="F2369" i="10"/>
  <c r="G2369" i="10"/>
  <c r="H2369" i="10"/>
  <c r="A2370" i="10"/>
  <c r="B2370" i="10"/>
  <c r="C2370" i="10"/>
  <c r="D2370" i="10"/>
  <c r="E2370" i="10"/>
  <c r="F2370" i="10"/>
  <c r="G2370" i="10"/>
  <c r="H2370" i="10"/>
  <c r="A2371" i="10"/>
  <c r="B2371" i="10"/>
  <c r="C2371" i="10"/>
  <c r="D2371" i="10"/>
  <c r="E2371" i="10"/>
  <c r="F2371" i="10"/>
  <c r="G2371" i="10"/>
  <c r="H2371" i="10"/>
  <c r="A2372" i="10"/>
  <c r="B2372" i="10"/>
  <c r="C2372" i="10"/>
  <c r="D2372" i="10"/>
  <c r="E2372" i="10"/>
  <c r="F2372" i="10"/>
  <c r="G2372" i="10"/>
  <c r="H2372" i="10"/>
  <c r="A2373" i="10"/>
  <c r="B2373" i="10"/>
  <c r="C2373" i="10"/>
  <c r="D2373" i="10"/>
  <c r="E2373" i="10"/>
  <c r="F2373" i="10"/>
  <c r="G2373" i="10"/>
  <c r="H2373" i="10"/>
  <c r="A2374" i="10"/>
  <c r="B2374" i="10"/>
  <c r="C2374" i="10"/>
  <c r="D2374" i="10"/>
  <c r="E2374" i="10"/>
  <c r="F2374" i="10"/>
  <c r="G2374" i="10"/>
  <c r="H2374" i="10"/>
  <c r="A2375" i="10"/>
  <c r="B2375" i="10"/>
  <c r="C2375" i="10"/>
  <c r="D2375" i="10"/>
  <c r="E2375" i="10"/>
  <c r="F2375" i="10"/>
  <c r="G2375" i="10"/>
  <c r="H2375" i="10"/>
  <c r="A2376" i="10"/>
  <c r="B2376" i="10"/>
  <c r="C2376" i="10"/>
  <c r="D2376" i="10"/>
  <c r="E2376" i="10"/>
  <c r="F2376" i="10"/>
  <c r="G2376" i="10"/>
  <c r="H2376" i="10"/>
  <c r="A2377" i="10"/>
  <c r="B2377" i="10"/>
  <c r="C2377" i="10"/>
  <c r="D2377" i="10"/>
  <c r="E2377" i="10"/>
  <c r="F2377" i="10"/>
  <c r="G2377" i="10"/>
  <c r="H2377" i="10"/>
  <c r="A2378" i="10"/>
  <c r="B2378" i="10"/>
  <c r="C2378" i="10"/>
  <c r="D2378" i="10"/>
  <c r="E2378" i="10"/>
  <c r="F2378" i="10"/>
  <c r="G2378" i="10"/>
  <c r="H2378" i="10"/>
  <c r="A2379" i="10"/>
  <c r="B2379" i="10"/>
  <c r="C2379" i="10"/>
  <c r="D2379" i="10"/>
  <c r="E2379" i="10"/>
  <c r="F2379" i="10"/>
  <c r="G2379" i="10"/>
  <c r="H2379" i="10"/>
  <c r="A2380" i="10"/>
  <c r="B2380" i="10"/>
  <c r="C2380" i="10"/>
  <c r="D2380" i="10"/>
  <c r="E2380" i="10"/>
  <c r="F2380" i="10"/>
  <c r="G2380" i="10"/>
  <c r="H2380" i="10"/>
  <c r="A2381" i="10"/>
  <c r="B2381" i="10"/>
  <c r="C2381" i="10"/>
  <c r="D2381" i="10"/>
  <c r="E2381" i="10"/>
  <c r="F2381" i="10"/>
  <c r="G2381" i="10"/>
  <c r="H2381" i="10"/>
  <c r="A2382" i="10"/>
  <c r="B2382" i="10"/>
  <c r="C2382" i="10"/>
  <c r="D2382" i="10"/>
  <c r="E2382" i="10"/>
  <c r="F2382" i="10"/>
  <c r="G2382" i="10"/>
  <c r="H2382" i="10"/>
  <c r="A2322" i="10"/>
  <c r="B2322" i="10"/>
  <c r="C2322" i="10"/>
  <c r="D2322" i="10"/>
  <c r="E2322" i="10"/>
  <c r="F2322" i="10"/>
  <c r="G2322" i="10"/>
  <c r="H2322" i="10"/>
  <c r="A2323" i="10"/>
  <c r="B2323" i="10"/>
  <c r="C2323" i="10"/>
  <c r="D2323" i="10"/>
  <c r="E2323" i="10"/>
  <c r="F2323" i="10"/>
  <c r="G2323" i="10"/>
  <c r="H2323" i="10"/>
  <c r="A2324" i="10"/>
  <c r="B2324" i="10"/>
  <c r="C2324" i="10"/>
  <c r="D2324" i="10"/>
  <c r="E2324" i="10"/>
  <c r="F2324" i="10"/>
  <c r="G2324" i="10"/>
  <c r="H2324" i="10"/>
  <c r="A2325" i="10"/>
  <c r="B2325" i="10"/>
  <c r="C2325" i="10"/>
  <c r="D2325" i="10"/>
  <c r="E2325" i="10"/>
  <c r="F2325" i="10"/>
  <c r="G2325" i="10"/>
  <c r="H2325" i="10"/>
  <c r="A2326" i="10"/>
  <c r="B2326" i="10"/>
  <c r="C2326" i="10"/>
  <c r="D2326" i="10"/>
  <c r="E2326" i="10"/>
  <c r="F2326" i="10"/>
  <c r="G2326" i="10"/>
  <c r="H2326" i="10"/>
  <c r="A2327" i="10"/>
  <c r="B2327" i="10"/>
  <c r="C2327" i="10"/>
  <c r="D2327" i="10"/>
  <c r="E2327" i="10"/>
  <c r="F2327" i="10"/>
  <c r="G2327" i="10"/>
  <c r="H2327" i="10"/>
  <c r="A2328" i="10"/>
  <c r="B2328" i="10"/>
  <c r="C2328" i="10"/>
  <c r="D2328" i="10"/>
  <c r="E2328" i="10"/>
  <c r="F2328" i="10"/>
  <c r="G2328" i="10"/>
  <c r="H2328" i="10"/>
  <c r="A2329" i="10"/>
  <c r="B2329" i="10"/>
  <c r="C2329" i="10"/>
  <c r="D2329" i="10"/>
  <c r="E2329" i="10"/>
  <c r="F2329" i="10"/>
  <c r="G2329" i="10"/>
  <c r="H2329" i="10"/>
  <c r="A2330" i="10"/>
  <c r="B2330" i="10"/>
  <c r="C2330" i="10"/>
  <c r="D2330" i="10"/>
  <c r="E2330" i="10"/>
  <c r="F2330" i="10"/>
  <c r="G2330" i="10"/>
  <c r="H2330" i="10"/>
  <c r="A2331" i="10"/>
  <c r="B2331" i="10"/>
  <c r="C2331" i="10"/>
  <c r="D2331" i="10"/>
  <c r="E2331" i="10"/>
  <c r="F2331" i="10"/>
  <c r="G2331" i="10"/>
  <c r="H2331" i="10"/>
  <c r="A2332" i="10"/>
  <c r="B2332" i="10"/>
  <c r="C2332" i="10"/>
  <c r="D2332" i="10"/>
  <c r="E2332" i="10"/>
  <c r="F2332" i="10"/>
  <c r="G2332" i="10"/>
  <c r="H2332" i="10"/>
  <c r="A2333" i="10"/>
  <c r="B2333" i="10"/>
  <c r="C2333" i="10"/>
  <c r="D2333" i="10"/>
  <c r="E2333" i="10"/>
  <c r="F2333" i="10"/>
  <c r="G2333" i="10"/>
  <c r="H2333" i="10"/>
  <c r="A2334" i="10"/>
  <c r="B2334" i="10"/>
  <c r="C2334" i="10"/>
  <c r="D2334" i="10"/>
  <c r="E2334" i="10"/>
  <c r="F2334" i="10"/>
  <c r="G2334" i="10"/>
  <c r="H2334" i="10"/>
  <c r="A2335" i="10"/>
  <c r="B2335" i="10"/>
  <c r="C2335" i="10"/>
  <c r="D2335" i="10"/>
  <c r="E2335" i="10"/>
  <c r="F2335" i="10"/>
  <c r="G2335" i="10"/>
  <c r="H2335" i="10"/>
  <c r="A2336" i="10"/>
  <c r="B2336" i="10"/>
  <c r="C2336" i="10"/>
  <c r="D2336" i="10"/>
  <c r="E2336" i="10"/>
  <c r="F2336" i="10"/>
  <c r="G2336" i="10"/>
  <c r="H2336" i="10"/>
  <c r="A2337" i="10"/>
  <c r="B2337" i="10"/>
  <c r="C2337" i="10"/>
  <c r="D2337" i="10"/>
  <c r="E2337" i="10"/>
  <c r="F2337" i="10"/>
  <c r="G2337" i="10"/>
  <c r="H2337" i="10"/>
  <c r="A2338" i="10"/>
  <c r="B2338" i="10"/>
  <c r="C2338" i="10"/>
  <c r="D2338" i="10"/>
  <c r="E2338" i="10"/>
  <c r="F2338" i="10"/>
  <c r="G2338" i="10"/>
  <c r="H2338" i="10"/>
  <c r="V2374" i="3"/>
  <c r="V2365" i="3"/>
  <c r="V2356" i="3"/>
  <c r="V2347" i="3"/>
  <c r="V2338" i="3"/>
  <c r="V2329" i="3"/>
  <c r="K991" i="2"/>
  <c r="K992" i="2"/>
  <c r="J2338" i="3" s="1"/>
  <c r="J2346" i="3" s="1"/>
  <c r="K993" i="2"/>
  <c r="J2347" i="3" s="1"/>
  <c r="J2353" i="3" s="1"/>
  <c r="K994" i="2"/>
  <c r="J2356" i="3" s="1"/>
  <c r="J2364" i="3" s="1"/>
  <c r="K995" i="2"/>
  <c r="J2365" i="3" s="1"/>
  <c r="K996" i="2"/>
  <c r="J2374" i="3" s="1"/>
  <c r="J2382" i="3" s="1"/>
  <c r="A2316" i="10"/>
  <c r="B2316" i="10"/>
  <c r="C2316" i="10"/>
  <c r="D2316" i="10"/>
  <c r="E2316" i="10"/>
  <c r="F2316" i="10"/>
  <c r="G2316" i="10"/>
  <c r="H2316" i="10"/>
  <c r="A2317" i="10"/>
  <c r="B2317" i="10"/>
  <c r="C2317" i="10"/>
  <c r="D2317" i="10"/>
  <c r="E2317" i="10"/>
  <c r="F2317" i="10"/>
  <c r="G2317" i="10"/>
  <c r="H2317" i="10"/>
  <c r="A2318" i="10"/>
  <c r="B2318" i="10"/>
  <c r="C2318" i="10"/>
  <c r="D2318" i="10"/>
  <c r="E2318" i="10"/>
  <c r="F2318" i="10"/>
  <c r="G2318" i="10"/>
  <c r="H2318" i="10"/>
  <c r="A2319" i="10"/>
  <c r="B2319" i="10"/>
  <c r="C2319" i="10"/>
  <c r="D2319" i="10"/>
  <c r="E2319" i="10"/>
  <c r="F2319" i="10"/>
  <c r="G2319" i="10"/>
  <c r="H2319" i="10"/>
  <c r="A2320" i="10"/>
  <c r="B2320" i="10"/>
  <c r="C2320" i="10"/>
  <c r="D2320" i="10"/>
  <c r="E2320" i="10"/>
  <c r="F2320" i="10"/>
  <c r="G2320" i="10"/>
  <c r="H2320" i="10"/>
  <c r="A2321" i="10"/>
  <c r="B2321" i="10"/>
  <c r="C2321" i="10"/>
  <c r="D2321" i="10"/>
  <c r="E2321" i="10"/>
  <c r="F2321" i="10"/>
  <c r="G2321" i="10"/>
  <c r="H2321" i="10"/>
  <c r="P2316" i="3"/>
  <c r="V2316" i="3"/>
  <c r="T2316" i="3"/>
  <c r="T2329" i="3"/>
  <c r="X2508" i="3" l="1"/>
  <c r="O1060" i="4"/>
  <c r="R1060" i="4" s="1"/>
  <c r="V2509" i="3" s="1"/>
  <c r="K990" i="2"/>
  <c r="J2316" i="3" s="1"/>
  <c r="J2318" i="3" s="1"/>
  <c r="X2509" i="3"/>
  <c r="S1060" i="4"/>
  <c r="J2369" i="3"/>
  <c r="J2368" i="3"/>
  <c r="O1059" i="4"/>
  <c r="R1059" i="4" s="1"/>
  <c r="J2329" i="3"/>
  <c r="J2334" i="3" s="1"/>
  <c r="J2371" i="3"/>
  <c r="J2367" i="3"/>
  <c r="J2355" i="3"/>
  <c r="J2376" i="3"/>
  <c r="J2377" i="3"/>
  <c r="J2350" i="3"/>
  <c r="J2363" i="3"/>
  <c r="J2379" i="3"/>
  <c r="J2345" i="3"/>
  <c r="J2341" i="3"/>
  <c r="J2358" i="3"/>
  <c r="J2342" i="3"/>
  <c r="J2349" i="3"/>
  <c r="J2359" i="3"/>
  <c r="J2370" i="3"/>
  <c r="J2378" i="3"/>
  <c r="J2344" i="3"/>
  <c r="J2351" i="3"/>
  <c r="J2361" i="3"/>
  <c r="J2372" i="3"/>
  <c r="J2380" i="3"/>
  <c r="J2352" i="3"/>
  <c r="J2362" i="3"/>
  <c r="J2373" i="3"/>
  <c r="J2381" i="3"/>
  <c r="J2340" i="3"/>
  <c r="J2343" i="3"/>
  <c r="J2360" i="3"/>
  <c r="J2354" i="3"/>
  <c r="X2316" i="3" l="1"/>
  <c r="J2336" i="3"/>
  <c r="J2366" i="3"/>
  <c r="J2337" i="3"/>
  <c r="J2331" i="3"/>
  <c r="J2330" i="3" s="1"/>
  <c r="J2319" i="3"/>
  <c r="J2333" i="3"/>
  <c r="J2335" i="3"/>
  <c r="J2317" i="3"/>
  <c r="J2332" i="3"/>
  <c r="J2375" i="3"/>
  <c r="J2357" i="3"/>
  <c r="J2348" i="3"/>
  <c r="J2339" i="3"/>
  <c r="J2320" i="3" l="1"/>
  <c r="A2383" i="10"/>
  <c r="B2383" i="10"/>
  <c r="C2383" i="10"/>
  <c r="D2383" i="10"/>
  <c r="E2383" i="10"/>
  <c r="F2383" i="10"/>
  <c r="G2383" i="10"/>
  <c r="H2383" i="10"/>
  <c r="A2384" i="10"/>
  <c r="B2384" i="10"/>
  <c r="C2384" i="10"/>
  <c r="D2384" i="10"/>
  <c r="E2384" i="10"/>
  <c r="F2384" i="10"/>
  <c r="G2384" i="10"/>
  <c r="H2384" i="10"/>
  <c r="A2385" i="10"/>
  <c r="B2385" i="10"/>
  <c r="C2385" i="10"/>
  <c r="D2385" i="10"/>
  <c r="E2385" i="10"/>
  <c r="F2385" i="10"/>
  <c r="G2385" i="10"/>
  <c r="H2385" i="10"/>
  <c r="A2386" i="10"/>
  <c r="B2386" i="10"/>
  <c r="C2386" i="10"/>
  <c r="D2386" i="10"/>
  <c r="E2386" i="10"/>
  <c r="F2386" i="10"/>
  <c r="G2386" i="10"/>
  <c r="H2386" i="10"/>
  <c r="A2387" i="10"/>
  <c r="B2387" i="10"/>
  <c r="C2387" i="10"/>
  <c r="D2387" i="10"/>
  <c r="E2387" i="10"/>
  <c r="F2387" i="10"/>
  <c r="G2387" i="10"/>
  <c r="H2387" i="10"/>
  <c r="A2388" i="10"/>
  <c r="B2388" i="10"/>
  <c r="C2388" i="10"/>
  <c r="D2388" i="10"/>
  <c r="E2388" i="10"/>
  <c r="F2388" i="10"/>
  <c r="G2388" i="10"/>
  <c r="H2388" i="10"/>
  <c r="A2389" i="10"/>
  <c r="B2389" i="10"/>
  <c r="C2389" i="10"/>
  <c r="D2389" i="10"/>
  <c r="E2389" i="10"/>
  <c r="F2389" i="10"/>
  <c r="G2389" i="10"/>
  <c r="H2389" i="10"/>
  <c r="A2390" i="10"/>
  <c r="B2390" i="10"/>
  <c r="C2390" i="10"/>
  <c r="D2390" i="10"/>
  <c r="E2390" i="10"/>
  <c r="F2390" i="10"/>
  <c r="G2390" i="10"/>
  <c r="H2390" i="10"/>
  <c r="A2391" i="10"/>
  <c r="B2391" i="10"/>
  <c r="C2391" i="10"/>
  <c r="D2391" i="10"/>
  <c r="E2391" i="10"/>
  <c r="F2391" i="10"/>
  <c r="G2391" i="10"/>
  <c r="H2391" i="10"/>
  <c r="A2392" i="10"/>
  <c r="B2392" i="10"/>
  <c r="C2392" i="10"/>
  <c r="D2392" i="10"/>
  <c r="E2392" i="10"/>
  <c r="F2392" i="10"/>
  <c r="G2392" i="10"/>
  <c r="H2392" i="10"/>
  <c r="A2393" i="10"/>
  <c r="B2393" i="10"/>
  <c r="C2393" i="10"/>
  <c r="D2393" i="10"/>
  <c r="E2393" i="10"/>
  <c r="F2393" i="10"/>
  <c r="G2393" i="10"/>
  <c r="H2393" i="10"/>
  <c r="A2394" i="10"/>
  <c r="B2394" i="10"/>
  <c r="C2394" i="10"/>
  <c r="D2394" i="10"/>
  <c r="E2394" i="10"/>
  <c r="F2394" i="10"/>
  <c r="G2394" i="10"/>
  <c r="H2394" i="10"/>
  <c r="A2401" i="10"/>
  <c r="B2401" i="10"/>
  <c r="C2401" i="10"/>
  <c r="D2401" i="10"/>
  <c r="E2401" i="10"/>
  <c r="F2401" i="10"/>
  <c r="G2401" i="10"/>
  <c r="H2401" i="10"/>
  <c r="A2402" i="10"/>
  <c r="B2402" i="10"/>
  <c r="C2402" i="10"/>
  <c r="D2402" i="10"/>
  <c r="E2402" i="10"/>
  <c r="F2402" i="10"/>
  <c r="G2402" i="10"/>
  <c r="H2402" i="10"/>
  <c r="A2403" i="10"/>
  <c r="B2403" i="10"/>
  <c r="C2403" i="10"/>
  <c r="D2403" i="10"/>
  <c r="E2403" i="10"/>
  <c r="F2403" i="10"/>
  <c r="G2403" i="10"/>
  <c r="H2403" i="10"/>
  <c r="A2404" i="10"/>
  <c r="B2404" i="10"/>
  <c r="C2404" i="10"/>
  <c r="D2404" i="10"/>
  <c r="E2404" i="10"/>
  <c r="F2404" i="10"/>
  <c r="G2404" i="10"/>
  <c r="H2404" i="10"/>
  <c r="A2405" i="10"/>
  <c r="B2405" i="10"/>
  <c r="C2405" i="10"/>
  <c r="D2405" i="10"/>
  <c r="E2405" i="10"/>
  <c r="F2405" i="10"/>
  <c r="G2405" i="10"/>
  <c r="H2405" i="10"/>
  <c r="A2407" i="10"/>
  <c r="B2407" i="10"/>
  <c r="C2407" i="10"/>
  <c r="D2407" i="10"/>
  <c r="E2407" i="10"/>
  <c r="F2407" i="10"/>
  <c r="G2407" i="10"/>
  <c r="H2407" i="10"/>
  <c r="A2408" i="10"/>
  <c r="B2408" i="10"/>
  <c r="C2408" i="10"/>
  <c r="D2408" i="10"/>
  <c r="E2408" i="10"/>
  <c r="F2408" i="10"/>
  <c r="G2408" i="10"/>
  <c r="H2408" i="10"/>
  <c r="A2409" i="10"/>
  <c r="B2409" i="10"/>
  <c r="C2409" i="10"/>
  <c r="D2409" i="10"/>
  <c r="E2409" i="10"/>
  <c r="F2409" i="10"/>
  <c r="G2409" i="10"/>
  <c r="H2409" i="10"/>
  <c r="A2410" i="10"/>
  <c r="B2410" i="10"/>
  <c r="C2410" i="10"/>
  <c r="D2410" i="10"/>
  <c r="E2410" i="10"/>
  <c r="F2410" i="10"/>
  <c r="G2410" i="10"/>
  <c r="H2410" i="10"/>
  <c r="A2411" i="10"/>
  <c r="B2411" i="10"/>
  <c r="C2411" i="10"/>
  <c r="D2411" i="10"/>
  <c r="E2411" i="10"/>
  <c r="F2411" i="10"/>
  <c r="G2411" i="10"/>
  <c r="H2411" i="10"/>
  <c r="A2412" i="10"/>
  <c r="B2412" i="10"/>
  <c r="C2412" i="10"/>
  <c r="D2412" i="10"/>
  <c r="E2412" i="10"/>
  <c r="F2412" i="10"/>
  <c r="G2412" i="10"/>
  <c r="H2412" i="10"/>
  <c r="A2413" i="10"/>
  <c r="B2413" i="10"/>
  <c r="C2413" i="10"/>
  <c r="D2413" i="10"/>
  <c r="E2413" i="10"/>
  <c r="F2413" i="10"/>
  <c r="G2413" i="10"/>
  <c r="A2414" i="10"/>
  <c r="B2414" i="10"/>
  <c r="C2414" i="10"/>
  <c r="D2414" i="10"/>
  <c r="E2414" i="10"/>
  <c r="F2414" i="10"/>
  <c r="G2414" i="10"/>
  <c r="A2415" i="10"/>
  <c r="B2415" i="10"/>
  <c r="C2415" i="10"/>
  <c r="D2415" i="10"/>
  <c r="E2415" i="10"/>
  <c r="F2415" i="10"/>
  <c r="G2415" i="10"/>
  <c r="H2415" i="10"/>
  <c r="A2416" i="10"/>
  <c r="B2416" i="10"/>
  <c r="C2416" i="10"/>
  <c r="D2416" i="10"/>
  <c r="E2416" i="10"/>
  <c r="F2416" i="10"/>
  <c r="G2416" i="10"/>
  <c r="H2416" i="10"/>
  <c r="A2417" i="10"/>
  <c r="B2417" i="10"/>
  <c r="C2417" i="10"/>
  <c r="D2417" i="10"/>
  <c r="E2417" i="10"/>
  <c r="F2417" i="10"/>
  <c r="G2417" i="10"/>
  <c r="H2417" i="10"/>
  <c r="A2418" i="10"/>
  <c r="B2418" i="10"/>
  <c r="C2418" i="10"/>
  <c r="D2418" i="10"/>
  <c r="E2418" i="10"/>
  <c r="F2418" i="10"/>
  <c r="G2418" i="10"/>
  <c r="H2418" i="10"/>
  <c r="A2419" i="10"/>
  <c r="B2419" i="10"/>
  <c r="C2419" i="10"/>
  <c r="D2419" i="10"/>
  <c r="E2419" i="10"/>
  <c r="F2419" i="10"/>
  <c r="G2419" i="10"/>
  <c r="H2419" i="10"/>
  <c r="A2420" i="10"/>
  <c r="B2420" i="10"/>
  <c r="C2420" i="10"/>
  <c r="D2420" i="10"/>
  <c r="E2420" i="10"/>
  <c r="F2420" i="10"/>
  <c r="G2420" i="10"/>
  <c r="H2420" i="10"/>
  <c r="A2421" i="10"/>
  <c r="B2421" i="10"/>
  <c r="C2421" i="10"/>
  <c r="D2421" i="10"/>
  <c r="E2421" i="10"/>
  <c r="F2421" i="10"/>
  <c r="G2421" i="10"/>
  <c r="H2421" i="10"/>
  <c r="A2422" i="10"/>
  <c r="B2422" i="10"/>
  <c r="C2422" i="10"/>
  <c r="D2422" i="10"/>
  <c r="E2422" i="10"/>
  <c r="F2422" i="10"/>
  <c r="G2422" i="10"/>
  <c r="H2422" i="10"/>
  <c r="A2423" i="10"/>
  <c r="B2423" i="10"/>
  <c r="C2423" i="10"/>
  <c r="D2423" i="10"/>
  <c r="E2423" i="10"/>
  <c r="F2423" i="10"/>
  <c r="G2423" i="10"/>
  <c r="H2423" i="10"/>
  <c r="A2424" i="10"/>
  <c r="B2424" i="10"/>
  <c r="C2424" i="10"/>
  <c r="D2424" i="10"/>
  <c r="E2424" i="10"/>
  <c r="F2424" i="10"/>
  <c r="G2424" i="10"/>
  <c r="H2424" i="10"/>
  <c r="A2425" i="10"/>
  <c r="B2425" i="10"/>
  <c r="C2425" i="10"/>
  <c r="D2425" i="10"/>
  <c r="E2425" i="10"/>
  <c r="F2425" i="10"/>
  <c r="G2425" i="10"/>
  <c r="H2425" i="10"/>
  <c r="A2426" i="10"/>
  <c r="B2426" i="10"/>
  <c r="C2426" i="10"/>
  <c r="D2426" i="10"/>
  <c r="E2426" i="10"/>
  <c r="F2426" i="10"/>
  <c r="G2426" i="10"/>
  <c r="H2426" i="10"/>
  <c r="A2427" i="10"/>
  <c r="B2427" i="10"/>
  <c r="C2427" i="10"/>
  <c r="D2427" i="10"/>
  <c r="E2427" i="10"/>
  <c r="F2427" i="10"/>
  <c r="G2427" i="10"/>
  <c r="A2428" i="10"/>
  <c r="B2428" i="10"/>
  <c r="C2428" i="10"/>
  <c r="D2428" i="10"/>
  <c r="E2428" i="10"/>
  <c r="F2428" i="10"/>
  <c r="G2428" i="10"/>
  <c r="H2428" i="10"/>
  <c r="A2429" i="10"/>
  <c r="B2429" i="10"/>
  <c r="C2429" i="10"/>
  <c r="D2429" i="10"/>
  <c r="E2429" i="10"/>
  <c r="F2429" i="10"/>
  <c r="G2429" i="10"/>
  <c r="H2429" i="10"/>
  <c r="A2430" i="10"/>
  <c r="B2430" i="10"/>
  <c r="C2430" i="10"/>
  <c r="D2430" i="10"/>
  <c r="E2430" i="10"/>
  <c r="F2430" i="10"/>
  <c r="G2430" i="10"/>
  <c r="A2431" i="10"/>
  <c r="B2431" i="10"/>
  <c r="C2431" i="10"/>
  <c r="D2431" i="10"/>
  <c r="E2431" i="10"/>
  <c r="F2431" i="10"/>
  <c r="G2431" i="10"/>
  <c r="H2431" i="10"/>
  <c r="A2432" i="10"/>
  <c r="B2432" i="10"/>
  <c r="C2432" i="10"/>
  <c r="D2432" i="10"/>
  <c r="E2432" i="10"/>
  <c r="F2432" i="10"/>
  <c r="G2432" i="10"/>
  <c r="H2432" i="10"/>
  <c r="A2433" i="10"/>
  <c r="B2433" i="10"/>
  <c r="C2433" i="10"/>
  <c r="D2433" i="10"/>
  <c r="E2433" i="10"/>
  <c r="F2433" i="10"/>
  <c r="G2433" i="10"/>
  <c r="H2433" i="10"/>
  <c r="A2434" i="10"/>
  <c r="B2434" i="10"/>
  <c r="C2434" i="10"/>
  <c r="D2434" i="10"/>
  <c r="E2434" i="10"/>
  <c r="F2434" i="10"/>
  <c r="G2434" i="10"/>
  <c r="H2434" i="10"/>
  <c r="A2435" i="10"/>
  <c r="B2435" i="10"/>
  <c r="C2435" i="10"/>
  <c r="D2435" i="10"/>
  <c r="E2435" i="10"/>
  <c r="F2435" i="10"/>
  <c r="G2435" i="10"/>
  <c r="H2435" i="10"/>
  <c r="A2436" i="10"/>
  <c r="B2436" i="10"/>
  <c r="C2436" i="10"/>
  <c r="D2436" i="10"/>
  <c r="E2436" i="10"/>
  <c r="F2436" i="10"/>
  <c r="G2436" i="10"/>
  <c r="H2436" i="10"/>
  <c r="A2437" i="10"/>
  <c r="B2437" i="10"/>
  <c r="C2437" i="10"/>
  <c r="D2437" i="10"/>
  <c r="E2437" i="10"/>
  <c r="F2437" i="10"/>
  <c r="G2437" i="10"/>
  <c r="H2437" i="10"/>
  <c r="A2438" i="10"/>
  <c r="B2438" i="10"/>
  <c r="C2438" i="10"/>
  <c r="D2438" i="10"/>
  <c r="E2438" i="10"/>
  <c r="F2438" i="10"/>
  <c r="G2438" i="10"/>
  <c r="H2438" i="10"/>
  <c r="A2439" i="10"/>
  <c r="B2439" i="10"/>
  <c r="C2439" i="10"/>
  <c r="D2439" i="10"/>
  <c r="E2439" i="10"/>
  <c r="F2439" i="10"/>
  <c r="G2439" i="10"/>
  <c r="H2439" i="10"/>
  <c r="A2440" i="10"/>
  <c r="B2440" i="10"/>
  <c r="C2440" i="10"/>
  <c r="D2440" i="10"/>
  <c r="E2440" i="10"/>
  <c r="F2440" i="10"/>
  <c r="G2440" i="10"/>
  <c r="H2440" i="10"/>
  <c r="A2441" i="10"/>
  <c r="B2441" i="10"/>
  <c r="C2441" i="10"/>
  <c r="D2441" i="10"/>
  <c r="E2441" i="10"/>
  <c r="F2441" i="10"/>
  <c r="G2441" i="10"/>
  <c r="H2441" i="10"/>
  <c r="A2442" i="10"/>
  <c r="B2442" i="10"/>
  <c r="C2442" i="10"/>
  <c r="D2442" i="10"/>
  <c r="E2442" i="10"/>
  <c r="F2442" i="10"/>
  <c r="G2442" i="10"/>
  <c r="H2442" i="10"/>
  <c r="A2443" i="10"/>
  <c r="B2443" i="10"/>
  <c r="C2443" i="10"/>
  <c r="D2443" i="10"/>
  <c r="E2443" i="10"/>
  <c r="F2443" i="10"/>
  <c r="G2443" i="10"/>
  <c r="H2443" i="10"/>
  <c r="A2444" i="10"/>
  <c r="B2444" i="10"/>
  <c r="C2444" i="10"/>
  <c r="D2444" i="10"/>
  <c r="E2444" i="10"/>
  <c r="F2444" i="10"/>
  <c r="G2444" i="10"/>
  <c r="H2444" i="10"/>
  <c r="A2445" i="10"/>
  <c r="B2445" i="10"/>
  <c r="C2445" i="10"/>
  <c r="D2445" i="10"/>
  <c r="E2445" i="10"/>
  <c r="F2445" i="10"/>
  <c r="G2445" i="10"/>
  <c r="H2445" i="10"/>
  <c r="A2447" i="10"/>
  <c r="B2447" i="10"/>
  <c r="C2447" i="10"/>
  <c r="D2447" i="10"/>
  <c r="E2447" i="10"/>
  <c r="F2447" i="10"/>
  <c r="G2447" i="10"/>
  <c r="H2447" i="10"/>
  <c r="A2448" i="10"/>
  <c r="B2448" i="10"/>
  <c r="C2448" i="10"/>
  <c r="D2448" i="10"/>
  <c r="E2448" i="10"/>
  <c r="F2448" i="10"/>
  <c r="G2448" i="10"/>
  <c r="H2448" i="10"/>
  <c r="A2449" i="10"/>
  <c r="B2449" i="10"/>
  <c r="C2449" i="10"/>
  <c r="D2449" i="10"/>
  <c r="E2449" i="10"/>
  <c r="F2449" i="10"/>
  <c r="G2449" i="10"/>
  <c r="H2449" i="10"/>
  <c r="A2450" i="10"/>
  <c r="B2450" i="10"/>
  <c r="C2450" i="10"/>
  <c r="D2450" i="10"/>
  <c r="E2450" i="10"/>
  <c r="F2450" i="10"/>
  <c r="G2450" i="10"/>
  <c r="H2450" i="10"/>
  <c r="A2451" i="10"/>
  <c r="B2451" i="10"/>
  <c r="C2451" i="10"/>
  <c r="D2451" i="10"/>
  <c r="E2451" i="10"/>
  <c r="F2451" i="10"/>
  <c r="G2451" i="10"/>
  <c r="H2451" i="10"/>
  <c r="A2452" i="10"/>
  <c r="B2452" i="10"/>
  <c r="C2452" i="10"/>
  <c r="D2452" i="10"/>
  <c r="E2452" i="10"/>
  <c r="F2452" i="10"/>
  <c r="G2452" i="10"/>
  <c r="H2452" i="10"/>
  <c r="A2453" i="10"/>
  <c r="B2453" i="10"/>
  <c r="C2453" i="10"/>
  <c r="D2453" i="10"/>
  <c r="E2453" i="10"/>
  <c r="F2453" i="10"/>
  <c r="G2453" i="10"/>
  <c r="H2453" i="10"/>
  <c r="A2454" i="10"/>
  <c r="B2454" i="10"/>
  <c r="C2454" i="10"/>
  <c r="D2454" i="10"/>
  <c r="E2454" i="10"/>
  <c r="F2454" i="10"/>
  <c r="G2454" i="10"/>
  <c r="H2454" i="10"/>
  <c r="A2455" i="10"/>
  <c r="B2455" i="10"/>
  <c r="C2455" i="10"/>
  <c r="D2455" i="10"/>
  <c r="E2455" i="10"/>
  <c r="F2455" i="10"/>
  <c r="G2455" i="10"/>
  <c r="H2455" i="10"/>
  <c r="A2456" i="10"/>
  <c r="B2456" i="10"/>
  <c r="C2456" i="10"/>
  <c r="D2456" i="10"/>
  <c r="E2456" i="10"/>
  <c r="F2456" i="10"/>
  <c r="G2456" i="10"/>
  <c r="H2456" i="10"/>
  <c r="A2457" i="10"/>
  <c r="B2457" i="10"/>
  <c r="C2457" i="10"/>
  <c r="D2457" i="10"/>
  <c r="E2457" i="10"/>
  <c r="F2457" i="10"/>
  <c r="G2457" i="10"/>
  <c r="H2457" i="10"/>
  <c r="A2458" i="10"/>
  <c r="B2458" i="10"/>
  <c r="C2458" i="10"/>
  <c r="D2458" i="10"/>
  <c r="E2458" i="10"/>
  <c r="F2458" i="10"/>
  <c r="G2458" i="10"/>
  <c r="H2458" i="10"/>
  <c r="A2459" i="10"/>
  <c r="B2459" i="10"/>
  <c r="C2459" i="10"/>
  <c r="D2459" i="10"/>
  <c r="E2459" i="10"/>
  <c r="F2459" i="10"/>
  <c r="G2459" i="10"/>
  <c r="H2459" i="10"/>
  <c r="A2460" i="10"/>
  <c r="B2460" i="10"/>
  <c r="C2460" i="10"/>
  <c r="D2460" i="10"/>
  <c r="E2460" i="10"/>
  <c r="F2460" i="10"/>
  <c r="G2460" i="10"/>
  <c r="H2460" i="10"/>
  <c r="A2461" i="10"/>
  <c r="B2461" i="10"/>
  <c r="C2461" i="10"/>
  <c r="D2461" i="10"/>
  <c r="E2461" i="10"/>
  <c r="F2461" i="10"/>
  <c r="G2461" i="10"/>
  <c r="H2461" i="10"/>
  <c r="A2462" i="10"/>
  <c r="B2462" i="10"/>
  <c r="C2462" i="10"/>
  <c r="D2462" i="10"/>
  <c r="E2462" i="10"/>
  <c r="F2462" i="10"/>
  <c r="G2462" i="10"/>
  <c r="H2462" i="10"/>
  <c r="A2463" i="10"/>
  <c r="B2463" i="10"/>
  <c r="C2463" i="10"/>
  <c r="D2463" i="10"/>
  <c r="E2463" i="10"/>
  <c r="F2463" i="10"/>
  <c r="G2463" i="10"/>
  <c r="H2463" i="10"/>
  <c r="A2464" i="10"/>
  <c r="B2464" i="10"/>
  <c r="C2464" i="10"/>
  <c r="D2464" i="10"/>
  <c r="E2464" i="10"/>
  <c r="F2464" i="10"/>
  <c r="G2464" i="10"/>
  <c r="H2464" i="10"/>
  <c r="A2465" i="10"/>
  <c r="B2465" i="10"/>
  <c r="C2465" i="10"/>
  <c r="D2465" i="10"/>
  <c r="E2465" i="10"/>
  <c r="F2465" i="10"/>
  <c r="G2465" i="10"/>
  <c r="H2465" i="10"/>
  <c r="A2466" i="10"/>
  <c r="B2466" i="10"/>
  <c r="C2466" i="10"/>
  <c r="D2466" i="10"/>
  <c r="E2466" i="10"/>
  <c r="F2466" i="10"/>
  <c r="G2466" i="10"/>
  <c r="H2466" i="10"/>
  <c r="A2467" i="10"/>
  <c r="B2467" i="10"/>
  <c r="C2467" i="10"/>
  <c r="D2467" i="10"/>
  <c r="E2467" i="10"/>
  <c r="F2467" i="10"/>
  <c r="G2467" i="10"/>
  <c r="H2467" i="10"/>
  <c r="A2468" i="10"/>
  <c r="B2468" i="10"/>
  <c r="C2468" i="10"/>
  <c r="D2468" i="10"/>
  <c r="E2468" i="10"/>
  <c r="F2468" i="10"/>
  <c r="G2468" i="10"/>
  <c r="H2468" i="10"/>
  <c r="A2469" i="10"/>
  <c r="B2469" i="10"/>
  <c r="C2469" i="10"/>
  <c r="D2469" i="10"/>
  <c r="E2469" i="10"/>
  <c r="F2469" i="10"/>
  <c r="G2469" i="10"/>
  <c r="H2469" i="10"/>
  <c r="A2470" i="10"/>
  <c r="B2470" i="10"/>
  <c r="C2470" i="10"/>
  <c r="D2470" i="10"/>
  <c r="E2470" i="10"/>
  <c r="F2470" i="10"/>
  <c r="G2470" i="10"/>
  <c r="H2470" i="10"/>
  <c r="A2471" i="10"/>
  <c r="B2471" i="10"/>
  <c r="C2471" i="10"/>
  <c r="D2471" i="10"/>
  <c r="E2471" i="10"/>
  <c r="F2471" i="10"/>
  <c r="G2471" i="10"/>
  <c r="H2471" i="10"/>
  <c r="A2472" i="10"/>
  <c r="B2472" i="10"/>
  <c r="C2472" i="10"/>
  <c r="D2472" i="10"/>
  <c r="E2472" i="10"/>
  <c r="F2472" i="10"/>
  <c r="G2472" i="10"/>
  <c r="H2472" i="10"/>
  <c r="A2473" i="10"/>
  <c r="B2473" i="10"/>
  <c r="C2473" i="10"/>
  <c r="D2473" i="10"/>
  <c r="E2473" i="10"/>
  <c r="F2473" i="10"/>
  <c r="G2473" i="10"/>
  <c r="H2473" i="10"/>
  <c r="A2474" i="10"/>
  <c r="B2474" i="10"/>
  <c r="C2474" i="10"/>
  <c r="D2474" i="10"/>
  <c r="E2474" i="10"/>
  <c r="F2474" i="10"/>
  <c r="G2474" i="10"/>
  <c r="H2474" i="10"/>
  <c r="A2475" i="10"/>
  <c r="B2475" i="10"/>
  <c r="C2475" i="10"/>
  <c r="D2475" i="10"/>
  <c r="E2475" i="10"/>
  <c r="F2475" i="10"/>
  <c r="G2475" i="10"/>
  <c r="H2475" i="10"/>
  <c r="A2476" i="10"/>
  <c r="B2476" i="10"/>
  <c r="C2476" i="10"/>
  <c r="D2476" i="10"/>
  <c r="E2476" i="10"/>
  <c r="F2476" i="10"/>
  <c r="G2476" i="10"/>
  <c r="H2476" i="10"/>
  <c r="A2477" i="10"/>
  <c r="B2477" i="10"/>
  <c r="C2477" i="10"/>
  <c r="D2477" i="10"/>
  <c r="E2477" i="10"/>
  <c r="F2477" i="10"/>
  <c r="G2477" i="10"/>
  <c r="H2477" i="10"/>
  <c r="A2491" i="10"/>
  <c r="B2491" i="10"/>
  <c r="C2491" i="10"/>
  <c r="D2491" i="10"/>
  <c r="E2491" i="10"/>
  <c r="F2491" i="10"/>
  <c r="G2491" i="10"/>
  <c r="H2491" i="10"/>
  <c r="A2492" i="10"/>
  <c r="B2492" i="10"/>
  <c r="C2492" i="10"/>
  <c r="D2492" i="10"/>
  <c r="F2492" i="10"/>
  <c r="G2492" i="10"/>
  <c r="H2492" i="10"/>
  <c r="A2494" i="10"/>
  <c r="B2494" i="10"/>
  <c r="C2494" i="10"/>
  <c r="D2494" i="10"/>
  <c r="E2494" i="10"/>
  <c r="F2494" i="10"/>
  <c r="G2494" i="10"/>
  <c r="H2494" i="10"/>
  <c r="A2495" i="10"/>
  <c r="B2495" i="10"/>
  <c r="C2495" i="10"/>
  <c r="D2495" i="10"/>
  <c r="F2495" i="10"/>
  <c r="G2495" i="10"/>
  <c r="H2495" i="10"/>
  <c r="A2497" i="10"/>
  <c r="B2497" i="10"/>
  <c r="C2497" i="10"/>
  <c r="D2497" i="10"/>
  <c r="E2497" i="10"/>
  <c r="F2497" i="10"/>
  <c r="G2497" i="10"/>
  <c r="H2497" i="10"/>
  <c r="A2498" i="10"/>
  <c r="B2498" i="10"/>
  <c r="C2498" i="10"/>
  <c r="D2498" i="10"/>
  <c r="E2498" i="10"/>
  <c r="F2498" i="10"/>
  <c r="G2498" i="10"/>
  <c r="H2498" i="10"/>
  <c r="A2499" i="10"/>
  <c r="B2499" i="10"/>
  <c r="C2499" i="10"/>
  <c r="D2499" i="10"/>
  <c r="E2499" i="10"/>
  <c r="F2499" i="10"/>
  <c r="G2499" i="10"/>
  <c r="H2499" i="10"/>
  <c r="A2500" i="10"/>
  <c r="B2500" i="10"/>
  <c r="C2500" i="10"/>
  <c r="D2500" i="10"/>
  <c r="E2500" i="10"/>
  <c r="F2500" i="10"/>
  <c r="G2500" i="10"/>
  <c r="H2500" i="10"/>
  <c r="A2501" i="10"/>
  <c r="B2501" i="10"/>
  <c r="C2501" i="10"/>
  <c r="D2501" i="10"/>
  <c r="E2501" i="10"/>
  <c r="F2501" i="10"/>
  <c r="G2501" i="10"/>
  <c r="H2501" i="10"/>
  <c r="A2502" i="10"/>
  <c r="B2502" i="10"/>
  <c r="C2502" i="10"/>
  <c r="D2502" i="10"/>
  <c r="E2502" i="10"/>
  <c r="F2502" i="10"/>
  <c r="G2502" i="10"/>
  <c r="H2502" i="10"/>
  <c r="A2503" i="10"/>
  <c r="B2503" i="10"/>
  <c r="C2503" i="10"/>
  <c r="D2503" i="10"/>
  <c r="E2503" i="10"/>
  <c r="F2503" i="10"/>
  <c r="G2503" i="10"/>
  <c r="H2503" i="10"/>
  <c r="A2504" i="10"/>
  <c r="B2504" i="10"/>
  <c r="C2504" i="10"/>
  <c r="D2504" i="10"/>
  <c r="E2504" i="10"/>
  <c r="F2504" i="10"/>
  <c r="G2504" i="10"/>
  <c r="H2504" i="10"/>
  <c r="P984" i="4"/>
  <c r="P983" i="4"/>
  <c r="O984" i="4"/>
  <c r="P985" i="4"/>
  <c r="O985" i="4"/>
  <c r="O983" i="4"/>
  <c r="P979" i="4"/>
  <c r="P978" i="4"/>
  <c r="O978" i="4"/>
  <c r="K978" i="2"/>
  <c r="K977" i="2"/>
  <c r="K976" i="2"/>
  <c r="K975" i="2"/>
  <c r="K974" i="2"/>
  <c r="K973" i="2"/>
  <c r="K972" i="2"/>
  <c r="K971" i="2"/>
  <c r="K970" i="2"/>
  <c r="K969" i="2"/>
  <c r="K968" i="2"/>
  <c r="K967" i="2"/>
  <c r="K966" i="2"/>
  <c r="K965" i="2"/>
  <c r="K964" i="2"/>
  <c r="A2307" i="10"/>
  <c r="B2307" i="10"/>
  <c r="C2307" i="10"/>
  <c r="D2307" i="10"/>
  <c r="F2307" i="10"/>
  <c r="G2307" i="10"/>
  <c r="H2307" i="10"/>
  <c r="A2308" i="10"/>
  <c r="B2308" i="10"/>
  <c r="C2308" i="10"/>
  <c r="D2308" i="10"/>
  <c r="F2308" i="10"/>
  <c r="G2308" i="10"/>
  <c r="H2308" i="10"/>
  <c r="A2309" i="10"/>
  <c r="B2309" i="10"/>
  <c r="C2309" i="10"/>
  <c r="D2309" i="10"/>
  <c r="F2309" i="10"/>
  <c r="G2309" i="10"/>
  <c r="H2309" i="10"/>
  <c r="N963" i="2"/>
  <c r="Q949" i="4"/>
  <c r="R949" i="4"/>
  <c r="P2220" i="3"/>
  <c r="A2221" i="10"/>
  <c r="B2221" i="10"/>
  <c r="C2221" i="10"/>
  <c r="D2221" i="10"/>
  <c r="E2221" i="10"/>
  <c r="F2221" i="10"/>
  <c r="G2221" i="10"/>
  <c r="H2221" i="10"/>
  <c r="A2220" i="10"/>
  <c r="B2220" i="10"/>
  <c r="C2220" i="10"/>
  <c r="D2220" i="10"/>
  <c r="E2220" i="10"/>
  <c r="F2220" i="10"/>
  <c r="G2220" i="10"/>
  <c r="H2220" i="10"/>
  <c r="R950" i="4"/>
  <c r="Q950" i="4"/>
  <c r="P950" i="4"/>
  <c r="J950" i="2"/>
  <c r="I950" i="2"/>
  <c r="J949" i="2"/>
  <c r="I949" i="2"/>
  <c r="K949" i="2"/>
  <c r="O949" i="4" s="1"/>
  <c r="A2314" i="10"/>
  <c r="B2314" i="10"/>
  <c r="C2314" i="10"/>
  <c r="D2314" i="10"/>
  <c r="E2314" i="10"/>
  <c r="F2314" i="10"/>
  <c r="G2314" i="10"/>
  <c r="H2314" i="10"/>
  <c r="A2315" i="10"/>
  <c r="B2315" i="10"/>
  <c r="C2315" i="10"/>
  <c r="D2315" i="10"/>
  <c r="E2315" i="10"/>
  <c r="F2315" i="10"/>
  <c r="G2315" i="10"/>
  <c r="H2315" i="10"/>
  <c r="X2313" i="3"/>
  <c r="J2313" i="3"/>
  <c r="A2311" i="10"/>
  <c r="B2311" i="10"/>
  <c r="C2311" i="10"/>
  <c r="D2311" i="10"/>
  <c r="E2311" i="10"/>
  <c r="F2311" i="10"/>
  <c r="G2311" i="10"/>
  <c r="H2311" i="10"/>
  <c r="A2312" i="10"/>
  <c r="B2312" i="10"/>
  <c r="C2312" i="10"/>
  <c r="D2312" i="10"/>
  <c r="E2312" i="10"/>
  <c r="F2312" i="10"/>
  <c r="G2312" i="10"/>
  <c r="H2312" i="10"/>
  <c r="J2310" i="3"/>
  <c r="J2309" i="3"/>
  <c r="Q988" i="4"/>
  <c r="N988" i="2"/>
  <c r="A2223" i="10"/>
  <c r="B2223" i="10"/>
  <c r="C2223" i="10"/>
  <c r="D2223" i="10"/>
  <c r="E2223" i="10"/>
  <c r="F2223" i="10"/>
  <c r="G2223" i="10"/>
  <c r="H2223" i="10"/>
  <c r="A2224" i="10"/>
  <c r="B2224" i="10"/>
  <c r="C2224" i="10"/>
  <c r="D2224" i="10"/>
  <c r="E2224" i="10"/>
  <c r="F2224" i="10"/>
  <c r="G2224" i="10"/>
  <c r="H2224" i="10"/>
  <c r="A2225" i="10"/>
  <c r="B2225" i="10"/>
  <c r="C2225" i="10"/>
  <c r="D2225" i="10"/>
  <c r="E2225" i="10"/>
  <c r="F2225" i="10"/>
  <c r="G2225" i="10"/>
  <c r="H2225" i="10"/>
  <c r="A2226" i="10"/>
  <c r="B2226" i="10"/>
  <c r="C2226" i="10"/>
  <c r="D2226" i="10"/>
  <c r="E2226" i="10"/>
  <c r="F2226" i="10"/>
  <c r="G2226" i="10"/>
  <c r="H2226" i="10"/>
  <c r="A2227" i="10"/>
  <c r="B2227" i="10"/>
  <c r="C2227" i="10"/>
  <c r="D2227" i="10"/>
  <c r="E2227" i="10"/>
  <c r="F2227" i="10"/>
  <c r="G2227" i="10"/>
  <c r="H2227" i="10"/>
  <c r="A2228" i="10"/>
  <c r="B2228" i="10"/>
  <c r="C2228" i="10"/>
  <c r="D2228" i="10"/>
  <c r="E2228" i="10"/>
  <c r="F2228" i="10"/>
  <c r="G2228" i="10"/>
  <c r="H2228" i="10"/>
  <c r="A2229" i="10"/>
  <c r="B2229" i="10"/>
  <c r="C2229" i="10"/>
  <c r="D2229" i="10"/>
  <c r="E2229" i="10"/>
  <c r="F2229" i="10"/>
  <c r="G2229" i="10"/>
  <c r="H2229" i="10"/>
  <c r="A2230" i="10"/>
  <c r="B2230" i="10"/>
  <c r="C2230" i="10"/>
  <c r="D2230" i="10"/>
  <c r="E2230" i="10"/>
  <c r="F2230" i="10"/>
  <c r="G2230" i="10"/>
  <c r="H2230" i="10"/>
  <c r="A2231" i="10"/>
  <c r="B2231" i="10"/>
  <c r="C2231" i="10"/>
  <c r="D2231" i="10"/>
  <c r="E2231" i="10"/>
  <c r="F2231" i="10"/>
  <c r="G2231" i="10"/>
  <c r="H2231" i="10"/>
  <c r="A2232" i="10"/>
  <c r="B2232" i="10"/>
  <c r="C2232" i="10"/>
  <c r="D2232" i="10"/>
  <c r="E2232" i="10"/>
  <c r="F2232" i="10"/>
  <c r="G2232" i="10"/>
  <c r="H2232" i="10"/>
  <c r="A2233" i="10"/>
  <c r="B2233" i="10"/>
  <c r="C2233" i="10"/>
  <c r="D2233" i="10"/>
  <c r="E2233" i="10"/>
  <c r="F2233" i="10"/>
  <c r="G2233" i="10"/>
  <c r="H2233" i="10"/>
  <c r="A2234" i="10"/>
  <c r="B2234" i="10"/>
  <c r="C2234" i="10"/>
  <c r="D2234" i="10"/>
  <c r="E2234" i="10"/>
  <c r="F2234" i="10"/>
  <c r="G2234" i="10"/>
  <c r="H2234" i="10"/>
  <c r="A2235" i="10"/>
  <c r="B2235" i="10"/>
  <c r="C2235" i="10"/>
  <c r="D2235" i="10"/>
  <c r="E2235" i="10"/>
  <c r="F2235" i="10"/>
  <c r="G2235" i="10"/>
  <c r="H2235" i="10"/>
  <c r="A2236" i="10"/>
  <c r="B2236" i="10"/>
  <c r="C2236" i="10"/>
  <c r="D2236" i="10"/>
  <c r="E2236" i="10"/>
  <c r="F2236" i="10"/>
  <c r="G2236" i="10"/>
  <c r="H2236" i="10"/>
  <c r="A2237" i="10"/>
  <c r="B2237" i="10"/>
  <c r="C2237" i="10"/>
  <c r="D2237" i="10"/>
  <c r="E2237" i="10"/>
  <c r="F2237" i="10"/>
  <c r="G2237" i="10"/>
  <c r="H2237" i="10"/>
  <c r="A2238" i="10"/>
  <c r="B2238" i="10"/>
  <c r="C2238" i="10"/>
  <c r="D2238" i="10"/>
  <c r="E2238" i="10"/>
  <c r="F2238" i="10"/>
  <c r="G2238" i="10"/>
  <c r="H2238" i="10"/>
  <c r="A2239" i="10"/>
  <c r="B2239" i="10"/>
  <c r="C2239" i="10"/>
  <c r="D2239" i="10"/>
  <c r="E2239" i="10"/>
  <c r="F2239" i="10"/>
  <c r="G2239" i="10"/>
  <c r="H2239" i="10"/>
  <c r="A2240" i="10"/>
  <c r="B2240" i="10"/>
  <c r="C2240" i="10"/>
  <c r="D2240" i="10"/>
  <c r="E2240" i="10"/>
  <c r="F2240" i="10"/>
  <c r="G2240" i="10"/>
  <c r="H2240" i="10"/>
  <c r="A2241" i="10"/>
  <c r="B2241" i="10"/>
  <c r="C2241" i="10"/>
  <c r="D2241" i="10"/>
  <c r="E2241" i="10"/>
  <c r="F2241" i="10"/>
  <c r="G2241" i="10"/>
  <c r="H2241" i="10"/>
  <c r="A2242" i="10"/>
  <c r="B2242" i="10"/>
  <c r="C2242" i="10"/>
  <c r="D2242" i="10"/>
  <c r="E2242" i="10"/>
  <c r="F2242" i="10"/>
  <c r="G2242" i="10"/>
  <c r="H2242" i="10"/>
  <c r="A2243" i="10"/>
  <c r="B2243" i="10"/>
  <c r="C2243" i="10"/>
  <c r="D2243" i="10"/>
  <c r="E2243" i="10"/>
  <c r="F2243" i="10"/>
  <c r="G2243" i="10"/>
  <c r="H2243" i="10"/>
  <c r="A2244" i="10"/>
  <c r="B2244" i="10"/>
  <c r="C2244" i="10"/>
  <c r="D2244" i="10"/>
  <c r="E2244" i="10"/>
  <c r="F2244" i="10"/>
  <c r="G2244" i="10"/>
  <c r="H2244" i="10"/>
  <c r="A2245" i="10"/>
  <c r="B2245" i="10"/>
  <c r="C2245" i="10"/>
  <c r="D2245" i="10"/>
  <c r="E2245" i="10"/>
  <c r="F2245" i="10"/>
  <c r="G2245" i="10"/>
  <c r="H2245" i="10"/>
  <c r="A2246" i="10"/>
  <c r="B2246" i="10"/>
  <c r="C2246" i="10"/>
  <c r="D2246" i="10"/>
  <c r="E2246" i="10"/>
  <c r="F2246" i="10"/>
  <c r="G2246" i="10"/>
  <c r="H2246" i="10"/>
  <c r="A2247" i="10"/>
  <c r="B2247" i="10"/>
  <c r="C2247" i="10"/>
  <c r="D2247" i="10"/>
  <c r="E2247" i="10"/>
  <c r="F2247" i="10"/>
  <c r="G2247" i="10"/>
  <c r="H2247" i="10"/>
  <c r="A2248" i="10"/>
  <c r="B2248" i="10"/>
  <c r="C2248" i="10"/>
  <c r="D2248" i="10"/>
  <c r="E2248" i="10"/>
  <c r="F2248" i="10"/>
  <c r="G2248" i="10"/>
  <c r="H2248" i="10"/>
  <c r="A2249" i="10"/>
  <c r="B2249" i="10"/>
  <c r="C2249" i="10"/>
  <c r="D2249" i="10"/>
  <c r="E2249" i="10"/>
  <c r="F2249" i="10"/>
  <c r="G2249" i="10"/>
  <c r="H2249" i="10"/>
  <c r="A2250" i="10"/>
  <c r="B2250" i="10"/>
  <c r="C2250" i="10"/>
  <c r="D2250" i="10"/>
  <c r="E2250" i="10"/>
  <c r="F2250" i="10"/>
  <c r="G2250" i="10"/>
  <c r="H2250" i="10"/>
  <c r="A2251" i="10"/>
  <c r="B2251" i="10"/>
  <c r="C2251" i="10"/>
  <c r="D2251" i="10"/>
  <c r="E2251" i="10"/>
  <c r="F2251" i="10"/>
  <c r="G2251" i="10"/>
  <c r="H2251" i="10"/>
  <c r="A2252" i="10"/>
  <c r="B2252" i="10"/>
  <c r="C2252" i="10"/>
  <c r="D2252" i="10"/>
  <c r="E2252" i="10"/>
  <c r="F2252" i="10"/>
  <c r="G2252" i="10"/>
  <c r="H2252" i="10"/>
  <c r="A2253" i="10"/>
  <c r="B2253" i="10"/>
  <c r="C2253" i="10"/>
  <c r="D2253" i="10"/>
  <c r="E2253" i="10"/>
  <c r="F2253" i="10"/>
  <c r="G2253" i="10"/>
  <c r="H2253" i="10"/>
  <c r="A2254" i="10"/>
  <c r="B2254" i="10"/>
  <c r="C2254" i="10"/>
  <c r="D2254" i="10"/>
  <c r="E2254" i="10"/>
  <c r="F2254" i="10"/>
  <c r="G2254" i="10"/>
  <c r="H2254" i="10"/>
  <c r="A2255" i="10"/>
  <c r="B2255" i="10"/>
  <c r="C2255" i="10"/>
  <c r="D2255" i="10"/>
  <c r="E2255" i="10"/>
  <c r="F2255" i="10"/>
  <c r="G2255" i="10"/>
  <c r="H2255" i="10"/>
  <c r="A2256" i="10"/>
  <c r="B2256" i="10"/>
  <c r="C2256" i="10"/>
  <c r="D2256" i="10"/>
  <c r="E2256" i="10"/>
  <c r="F2256" i="10"/>
  <c r="G2256" i="10"/>
  <c r="H2256" i="10"/>
  <c r="A2257" i="10"/>
  <c r="B2257" i="10"/>
  <c r="C2257" i="10"/>
  <c r="D2257" i="10"/>
  <c r="E2257" i="10"/>
  <c r="F2257" i="10"/>
  <c r="G2257" i="10"/>
  <c r="H2257" i="10"/>
  <c r="A2258" i="10"/>
  <c r="B2258" i="10"/>
  <c r="C2258" i="10"/>
  <c r="D2258" i="10"/>
  <c r="E2258" i="10"/>
  <c r="F2258" i="10"/>
  <c r="G2258" i="10"/>
  <c r="H2258" i="10"/>
  <c r="A2259" i="10"/>
  <c r="B2259" i="10"/>
  <c r="C2259" i="10"/>
  <c r="D2259" i="10"/>
  <c r="E2259" i="10"/>
  <c r="F2259" i="10"/>
  <c r="G2259" i="10"/>
  <c r="H2259" i="10"/>
  <c r="A2260" i="10"/>
  <c r="B2260" i="10"/>
  <c r="C2260" i="10"/>
  <c r="D2260" i="10"/>
  <c r="E2260" i="10"/>
  <c r="F2260" i="10"/>
  <c r="G2260" i="10"/>
  <c r="H2260" i="10"/>
  <c r="A2261" i="10"/>
  <c r="B2261" i="10"/>
  <c r="C2261" i="10"/>
  <c r="D2261" i="10"/>
  <c r="E2261" i="10"/>
  <c r="F2261" i="10"/>
  <c r="G2261" i="10"/>
  <c r="H2261" i="10"/>
  <c r="A2262" i="10"/>
  <c r="B2262" i="10"/>
  <c r="C2262" i="10"/>
  <c r="D2262" i="10"/>
  <c r="E2262" i="10"/>
  <c r="F2262" i="10"/>
  <c r="G2262" i="10"/>
  <c r="H2262" i="10"/>
  <c r="A2263" i="10"/>
  <c r="B2263" i="10"/>
  <c r="C2263" i="10"/>
  <c r="D2263" i="10"/>
  <c r="E2263" i="10"/>
  <c r="F2263" i="10"/>
  <c r="G2263" i="10"/>
  <c r="H2263" i="10"/>
  <c r="A2264" i="10"/>
  <c r="B2264" i="10"/>
  <c r="C2264" i="10"/>
  <c r="D2264" i="10"/>
  <c r="E2264" i="10"/>
  <c r="F2264" i="10"/>
  <c r="G2264" i="10"/>
  <c r="H2264" i="10"/>
  <c r="A2265" i="10"/>
  <c r="B2265" i="10"/>
  <c r="C2265" i="10"/>
  <c r="D2265" i="10"/>
  <c r="E2265" i="10"/>
  <c r="F2265" i="10"/>
  <c r="G2265" i="10"/>
  <c r="H2265" i="10"/>
  <c r="A2266" i="10"/>
  <c r="B2266" i="10"/>
  <c r="C2266" i="10"/>
  <c r="D2266" i="10"/>
  <c r="E2266" i="10"/>
  <c r="F2266" i="10"/>
  <c r="G2266" i="10"/>
  <c r="H2266" i="10"/>
  <c r="A2267" i="10"/>
  <c r="B2267" i="10"/>
  <c r="C2267" i="10"/>
  <c r="D2267" i="10"/>
  <c r="E2267" i="10"/>
  <c r="F2267" i="10"/>
  <c r="G2267" i="10"/>
  <c r="H2267" i="10"/>
  <c r="A2268" i="10"/>
  <c r="B2268" i="10"/>
  <c r="C2268" i="10"/>
  <c r="D2268" i="10"/>
  <c r="E2268" i="10"/>
  <c r="F2268" i="10"/>
  <c r="G2268" i="10"/>
  <c r="H2268" i="10"/>
  <c r="A2269" i="10"/>
  <c r="B2269" i="10"/>
  <c r="C2269" i="10"/>
  <c r="D2269" i="10"/>
  <c r="E2269" i="10"/>
  <c r="F2269" i="10"/>
  <c r="G2269" i="10"/>
  <c r="H2269" i="10"/>
  <c r="A2270" i="10"/>
  <c r="B2270" i="10"/>
  <c r="C2270" i="10"/>
  <c r="D2270" i="10"/>
  <c r="E2270" i="10"/>
  <c r="F2270" i="10"/>
  <c r="G2270" i="10"/>
  <c r="H2270" i="10"/>
  <c r="A2271" i="10"/>
  <c r="B2271" i="10"/>
  <c r="C2271" i="10"/>
  <c r="D2271" i="10"/>
  <c r="E2271" i="10"/>
  <c r="F2271" i="10"/>
  <c r="G2271" i="10"/>
  <c r="H2271" i="10"/>
  <c r="A2272" i="10"/>
  <c r="B2272" i="10"/>
  <c r="C2272" i="10"/>
  <c r="D2272" i="10"/>
  <c r="E2272" i="10"/>
  <c r="F2272" i="10"/>
  <c r="G2272" i="10"/>
  <c r="H2272" i="10"/>
  <c r="A2273" i="10"/>
  <c r="B2273" i="10"/>
  <c r="C2273" i="10"/>
  <c r="D2273" i="10"/>
  <c r="E2273" i="10"/>
  <c r="F2273" i="10"/>
  <c r="G2273" i="10"/>
  <c r="H2273" i="10"/>
  <c r="A2274" i="10"/>
  <c r="B2274" i="10"/>
  <c r="C2274" i="10"/>
  <c r="D2274" i="10"/>
  <c r="E2274" i="10"/>
  <c r="F2274" i="10"/>
  <c r="G2274" i="10"/>
  <c r="H2274" i="10"/>
  <c r="A2275" i="10"/>
  <c r="B2275" i="10"/>
  <c r="C2275" i="10"/>
  <c r="D2275" i="10"/>
  <c r="E2275" i="10"/>
  <c r="F2275" i="10"/>
  <c r="G2275" i="10"/>
  <c r="H2275" i="10"/>
  <c r="A2276" i="10"/>
  <c r="B2276" i="10"/>
  <c r="C2276" i="10"/>
  <c r="D2276" i="10"/>
  <c r="E2276" i="10"/>
  <c r="F2276" i="10"/>
  <c r="G2276" i="10"/>
  <c r="H2276" i="10"/>
  <c r="A2277" i="10"/>
  <c r="B2277" i="10"/>
  <c r="C2277" i="10"/>
  <c r="D2277" i="10"/>
  <c r="E2277" i="10"/>
  <c r="F2277" i="10"/>
  <c r="G2277" i="10"/>
  <c r="H2277" i="10"/>
  <c r="A2278" i="10"/>
  <c r="B2278" i="10"/>
  <c r="C2278" i="10"/>
  <c r="D2278" i="10"/>
  <c r="E2278" i="10"/>
  <c r="F2278" i="10"/>
  <c r="G2278" i="10"/>
  <c r="H2278" i="10"/>
  <c r="A2279" i="10"/>
  <c r="B2279" i="10"/>
  <c r="C2279" i="10"/>
  <c r="D2279" i="10"/>
  <c r="E2279" i="10"/>
  <c r="F2279" i="10"/>
  <c r="G2279" i="10"/>
  <c r="H2279" i="10"/>
  <c r="A2280" i="10"/>
  <c r="B2280" i="10"/>
  <c r="C2280" i="10"/>
  <c r="D2280" i="10"/>
  <c r="E2280" i="10"/>
  <c r="F2280" i="10"/>
  <c r="G2280" i="10"/>
  <c r="H2280" i="10"/>
  <c r="A2281" i="10"/>
  <c r="B2281" i="10"/>
  <c r="C2281" i="10"/>
  <c r="D2281" i="10"/>
  <c r="E2281" i="10"/>
  <c r="F2281" i="10"/>
  <c r="G2281" i="10"/>
  <c r="H2281" i="10"/>
  <c r="A2282" i="10"/>
  <c r="B2282" i="10"/>
  <c r="C2282" i="10"/>
  <c r="D2282" i="10"/>
  <c r="E2282" i="10"/>
  <c r="F2282" i="10"/>
  <c r="G2282" i="10"/>
  <c r="H2282" i="10"/>
  <c r="A2283" i="10"/>
  <c r="B2283" i="10"/>
  <c r="C2283" i="10"/>
  <c r="D2283" i="10"/>
  <c r="E2283" i="10"/>
  <c r="F2283" i="10"/>
  <c r="G2283" i="10"/>
  <c r="H2283" i="10"/>
  <c r="A2284" i="10"/>
  <c r="B2284" i="10"/>
  <c r="C2284" i="10"/>
  <c r="D2284" i="10"/>
  <c r="E2284" i="10"/>
  <c r="F2284" i="10"/>
  <c r="G2284" i="10"/>
  <c r="H2284" i="10"/>
  <c r="A2285" i="10"/>
  <c r="B2285" i="10"/>
  <c r="C2285" i="10"/>
  <c r="D2285" i="10"/>
  <c r="E2285" i="10"/>
  <c r="F2285" i="10"/>
  <c r="G2285" i="10"/>
  <c r="H2285" i="10"/>
  <c r="A2286" i="10"/>
  <c r="B2286" i="10"/>
  <c r="C2286" i="10"/>
  <c r="D2286" i="10"/>
  <c r="E2286" i="10"/>
  <c r="F2286" i="10"/>
  <c r="G2286" i="10"/>
  <c r="H2286" i="10"/>
  <c r="A2287" i="10"/>
  <c r="B2287" i="10"/>
  <c r="C2287" i="10"/>
  <c r="D2287" i="10"/>
  <c r="E2287" i="10"/>
  <c r="F2287" i="10"/>
  <c r="G2287" i="10"/>
  <c r="H2287" i="10"/>
  <c r="A2288" i="10"/>
  <c r="B2288" i="10"/>
  <c r="C2288" i="10"/>
  <c r="D2288" i="10"/>
  <c r="E2288" i="10"/>
  <c r="F2288" i="10"/>
  <c r="G2288" i="10"/>
  <c r="H2288" i="10"/>
  <c r="A2289" i="10"/>
  <c r="B2289" i="10"/>
  <c r="C2289" i="10"/>
  <c r="D2289" i="10"/>
  <c r="E2289" i="10"/>
  <c r="F2289" i="10"/>
  <c r="G2289" i="10"/>
  <c r="H2289" i="10"/>
  <c r="A2290" i="10"/>
  <c r="B2290" i="10"/>
  <c r="C2290" i="10"/>
  <c r="D2290" i="10"/>
  <c r="E2290" i="10"/>
  <c r="F2290" i="10"/>
  <c r="G2290" i="10"/>
  <c r="H2290" i="10"/>
  <c r="A2291" i="10"/>
  <c r="B2291" i="10"/>
  <c r="C2291" i="10"/>
  <c r="D2291" i="10"/>
  <c r="E2291" i="10"/>
  <c r="F2291" i="10"/>
  <c r="G2291" i="10"/>
  <c r="H2291" i="10"/>
  <c r="A2292" i="10"/>
  <c r="B2292" i="10"/>
  <c r="C2292" i="10"/>
  <c r="D2292" i="10"/>
  <c r="E2292" i="10"/>
  <c r="F2292" i="10"/>
  <c r="G2292" i="10"/>
  <c r="H2292" i="10"/>
  <c r="A2293" i="10"/>
  <c r="B2293" i="10"/>
  <c r="C2293" i="10"/>
  <c r="D2293" i="10"/>
  <c r="E2293" i="10"/>
  <c r="F2293" i="10"/>
  <c r="G2293" i="10"/>
  <c r="H2293" i="10"/>
  <c r="A2294" i="10"/>
  <c r="B2294" i="10"/>
  <c r="C2294" i="10"/>
  <c r="D2294" i="10"/>
  <c r="E2294" i="10"/>
  <c r="F2294" i="10"/>
  <c r="G2294" i="10"/>
  <c r="H2294" i="10"/>
  <c r="A2295" i="10"/>
  <c r="B2295" i="10"/>
  <c r="C2295" i="10"/>
  <c r="D2295" i="10"/>
  <c r="E2295" i="10"/>
  <c r="F2295" i="10"/>
  <c r="G2295" i="10"/>
  <c r="H2295" i="10"/>
  <c r="A2296" i="10"/>
  <c r="B2296" i="10"/>
  <c r="C2296" i="10"/>
  <c r="D2296" i="10"/>
  <c r="E2296" i="10"/>
  <c r="F2296" i="10"/>
  <c r="G2296" i="10"/>
  <c r="H2296" i="10"/>
  <c r="A2297" i="10"/>
  <c r="B2297" i="10"/>
  <c r="C2297" i="10"/>
  <c r="D2297" i="10"/>
  <c r="E2297" i="10"/>
  <c r="F2297" i="10"/>
  <c r="G2297" i="10"/>
  <c r="H2297" i="10"/>
  <c r="A2298" i="10"/>
  <c r="B2298" i="10"/>
  <c r="C2298" i="10"/>
  <c r="D2298" i="10"/>
  <c r="E2298" i="10"/>
  <c r="F2298" i="10"/>
  <c r="G2298" i="10"/>
  <c r="H2298" i="10"/>
  <c r="A2299" i="10"/>
  <c r="B2299" i="10"/>
  <c r="C2299" i="10"/>
  <c r="D2299" i="10"/>
  <c r="E2299" i="10"/>
  <c r="F2299" i="10"/>
  <c r="G2299" i="10"/>
  <c r="H2299" i="10"/>
  <c r="A2300" i="10"/>
  <c r="B2300" i="10"/>
  <c r="C2300" i="10"/>
  <c r="D2300" i="10"/>
  <c r="E2300" i="10"/>
  <c r="F2300" i="10"/>
  <c r="G2300" i="10"/>
  <c r="H2300" i="10"/>
  <c r="A2301" i="10"/>
  <c r="B2301" i="10"/>
  <c r="C2301" i="10"/>
  <c r="D2301" i="10"/>
  <c r="E2301" i="10"/>
  <c r="F2301" i="10"/>
  <c r="G2301" i="10"/>
  <c r="H2301" i="10"/>
  <c r="A2302" i="10"/>
  <c r="B2302" i="10"/>
  <c r="C2302" i="10"/>
  <c r="D2302" i="10"/>
  <c r="E2302" i="10"/>
  <c r="F2302" i="10"/>
  <c r="G2302" i="10"/>
  <c r="H2302" i="10"/>
  <c r="A2303" i="10"/>
  <c r="B2303" i="10"/>
  <c r="C2303" i="10"/>
  <c r="D2303" i="10"/>
  <c r="E2303" i="10"/>
  <c r="F2303" i="10"/>
  <c r="G2303" i="10"/>
  <c r="H2303" i="10"/>
  <c r="A2304" i="10"/>
  <c r="B2304" i="10"/>
  <c r="C2304" i="10"/>
  <c r="D2304" i="10"/>
  <c r="E2304" i="10"/>
  <c r="F2304" i="10"/>
  <c r="G2304" i="10"/>
  <c r="H2304" i="10"/>
  <c r="A2305" i="10"/>
  <c r="B2305" i="10"/>
  <c r="C2305" i="10"/>
  <c r="D2305" i="10"/>
  <c r="E2305" i="10"/>
  <c r="F2305" i="10"/>
  <c r="G2305" i="10"/>
  <c r="H2305" i="10"/>
  <c r="A2205" i="10"/>
  <c r="B2205" i="10"/>
  <c r="C2205" i="10"/>
  <c r="D2205" i="10"/>
  <c r="E2205" i="10"/>
  <c r="F2205" i="10"/>
  <c r="G2205" i="10"/>
  <c r="H2205" i="10"/>
  <c r="A2217" i="10"/>
  <c r="B2217" i="10"/>
  <c r="C2217" i="10"/>
  <c r="D2217" i="10"/>
  <c r="E2217" i="10"/>
  <c r="F2217" i="10"/>
  <c r="G2217" i="10"/>
  <c r="H2217" i="10"/>
  <c r="A2218" i="10"/>
  <c r="B2218" i="10"/>
  <c r="C2218" i="10"/>
  <c r="D2218" i="10"/>
  <c r="E2218" i="10"/>
  <c r="F2218" i="10"/>
  <c r="G2218" i="10"/>
  <c r="H2218" i="10"/>
  <c r="A2219" i="10"/>
  <c r="B2219" i="10"/>
  <c r="C2219" i="10"/>
  <c r="D2219" i="10"/>
  <c r="E2219" i="10"/>
  <c r="F2219" i="10"/>
  <c r="G2219" i="10"/>
  <c r="H2219" i="10"/>
  <c r="A2214" i="10"/>
  <c r="B2214" i="10"/>
  <c r="C2214" i="10"/>
  <c r="D2214" i="10"/>
  <c r="E2214" i="10"/>
  <c r="F2214" i="10"/>
  <c r="G2214" i="10"/>
  <c r="H2214" i="10"/>
  <c r="A2215" i="10"/>
  <c r="B2215" i="10"/>
  <c r="C2215" i="10"/>
  <c r="D2215" i="10"/>
  <c r="E2215" i="10"/>
  <c r="F2215" i="10"/>
  <c r="G2215" i="10"/>
  <c r="H2215" i="10"/>
  <c r="A2216" i="10"/>
  <c r="B2216" i="10"/>
  <c r="C2216" i="10"/>
  <c r="D2216" i="10"/>
  <c r="E2216" i="10"/>
  <c r="F2216" i="10"/>
  <c r="G2216" i="10"/>
  <c r="H2216" i="10"/>
  <c r="N948" i="2"/>
  <c r="N947" i="2"/>
  <c r="N946" i="2"/>
  <c r="X2212" i="3"/>
  <c r="X2213" i="3"/>
  <c r="X2211" i="3"/>
  <c r="A2207" i="10"/>
  <c r="B2207" i="10"/>
  <c r="C2207" i="10"/>
  <c r="D2207" i="10"/>
  <c r="E2207" i="10"/>
  <c r="F2207" i="10"/>
  <c r="G2207" i="10"/>
  <c r="H2207" i="10"/>
  <c r="A2208" i="10"/>
  <c r="B2208" i="10"/>
  <c r="C2208" i="10"/>
  <c r="D2208" i="10"/>
  <c r="E2208" i="10"/>
  <c r="F2208" i="10"/>
  <c r="G2208" i="10"/>
  <c r="H2208" i="10"/>
  <c r="A2209" i="10"/>
  <c r="B2209" i="10"/>
  <c r="C2209" i="10"/>
  <c r="D2209" i="10"/>
  <c r="E2209" i="10"/>
  <c r="F2209" i="10"/>
  <c r="G2209" i="10"/>
  <c r="H2209" i="10"/>
  <c r="A2210" i="10"/>
  <c r="B2210" i="10"/>
  <c r="C2210" i="10"/>
  <c r="D2210" i="10"/>
  <c r="E2210" i="10"/>
  <c r="F2210" i="10"/>
  <c r="G2210" i="10"/>
  <c r="H2210" i="10"/>
  <c r="D2212" i="10"/>
  <c r="A2196" i="10"/>
  <c r="B2196" i="10"/>
  <c r="C2196" i="10"/>
  <c r="D2196" i="10"/>
  <c r="E2196" i="10"/>
  <c r="F2196" i="10"/>
  <c r="G2196" i="10"/>
  <c r="H2196" i="10"/>
  <c r="A2197" i="10"/>
  <c r="B2197" i="10"/>
  <c r="C2197" i="10"/>
  <c r="D2197" i="10"/>
  <c r="E2197" i="10"/>
  <c r="F2197" i="10"/>
  <c r="G2197" i="10"/>
  <c r="H2197" i="10"/>
  <c r="A2198" i="10"/>
  <c r="B2198" i="10"/>
  <c r="C2198" i="10"/>
  <c r="D2198" i="10"/>
  <c r="E2198" i="10"/>
  <c r="F2198" i="10"/>
  <c r="G2198" i="10"/>
  <c r="H2198" i="10"/>
  <c r="A2199" i="10"/>
  <c r="B2199" i="10"/>
  <c r="C2199" i="10"/>
  <c r="D2199" i="10"/>
  <c r="E2199" i="10"/>
  <c r="F2199" i="10"/>
  <c r="G2199" i="10"/>
  <c r="H2199" i="10"/>
  <c r="A2200" i="10"/>
  <c r="B2200" i="10"/>
  <c r="C2200" i="10"/>
  <c r="D2200" i="10"/>
  <c r="E2200" i="10"/>
  <c r="F2200" i="10"/>
  <c r="G2200" i="10"/>
  <c r="H2200" i="10"/>
  <c r="A2201" i="10"/>
  <c r="B2201" i="10"/>
  <c r="C2201" i="10"/>
  <c r="D2201" i="10"/>
  <c r="E2201" i="10"/>
  <c r="F2201" i="10"/>
  <c r="G2201" i="10"/>
  <c r="H2201" i="10"/>
  <c r="C2190" i="10"/>
  <c r="D2190" i="10"/>
  <c r="E2190" i="10"/>
  <c r="F2190" i="10"/>
  <c r="G2190" i="10"/>
  <c r="H2190" i="10"/>
  <c r="C2191" i="10"/>
  <c r="D2191" i="10"/>
  <c r="E2191" i="10"/>
  <c r="F2191" i="10"/>
  <c r="G2191" i="10"/>
  <c r="H2191" i="10"/>
  <c r="C2192" i="10"/>
  <c r="D2192" i="10"/>
  <c r="E2192" i="10"/>
  <c r="F2192" i="10"/>
  <c r="G2192" i="10"/>
  <c r="H2192" i="10"/>
  <c r="C2193" i="10"/>
  <c r="D2193" i="10"/>
  <c r="E2193" i="10"/>
  <c r="F2193" i="10"/>
  <c r="G2193" i="10"/>
  <c r="H2193" i="10"/>
  <c r="C2194" i="10"/>
  <c r="D2194" i="10"/>
  <c r="E2194" i="10"/>
  <c r="F2194" i="10"/>
  <c r="G2194" i="10"/>
  <c r="H2194" i="10"/>
  <c r="A2193" i="10"/>
  <c r="B2193" i="10"/>
  <c r="A2194" i="10"/>
  <c r="B2194" i="10"/>
  <c r="A2190" i="10"/>
  <c r="B2190" i="10"/>
  <c r="A2191" i="10"/>
  <c r="B2191" i="10"/>
  <c r="X2201" i="3"/>
  <c r="P2201" i="3"/>
  <c r="J2201" i="3"/>
  <c r="X2198" i="3"/>
  <c r="P2198" i="3"/>
  <c r="T2200" i="3"/>
  <c r="X2200" i="3" s="1"/>
  <c r="T2199" i="3"/>
  <c r="P2199" i="3" s="1"/>
  <c r="J2199" i="3"/>
  <c r="J2200" i="3"/>
  <c r="J2198" i="3"/>
  <c r="J2197" i="3"/>
  <c r="J2194" i="3"/>
  <c r="J2191" i="3"/>
  <c r="J2196" i="3"/>
  <c r="J2195" i="3"/>
  <c r="J2193" i="3"/>
  <c r="J2192" i="3"/>
  <c r="J2189" i="3"/>
  <c r="J2190" i="3"/>
  <c r="N944" i="4"/>
  <c r="R944" i="4"/>
  <c r="K944" i="2"/>
  <c r="A2188" i="10"/>
  <c r="B2188" i="10"/>
  <c r="C2188" i="10"/>
  <c r="D2188" i="10"/>
  <c r="E2188" i="10"/>
  <c r="F2188" i="10"/>
  <c r="G2188" i="10"/>
  <c r="H2188" i="10"/>
  <c r="F2186" i="10"/>
  <c r="E2186" i="10"/>
  <c r="D2186" i="10"/>
  <c r="C2186" i="10"/>
  <c r="F2185" i="10"/>
  <c r="E2185" i="10"/>
  <c r="D2185" i="10"/>
  <c r="C2185" i="10"/>
  <c r="F2184" i="10"/>
  <c r="E2184" i="10"/>
  <c r="D2184" i="10"/>
  <c r="C2184" i="10"/>
  <c r="F2183" i="10"/>
  <c r="E2183" i="10"/>
  <c r="D2183" i="10"/>
  <c r="C2183" i="10"/>
  <c r="F2182" i="10"/>
  <c r="E2182" i="10"/>
  <c r="D2182" i="10"/>
  <c r="C2182" i="10"/>
  <c r="F2181" i="10"/>
  <c r="E2181" i="10"/>
  <c r="D2181" i="10"/>
  <c r="C2181" i="10"/>
  <c r="J942" i="2"/>
  <c r="I942" i="2"/>
  <c r="J941" i="2"/>
  <c r="I941" i="2"/>
  <c r="J940" i="2"/>
  <c r="I940" i="2"/>
  <c r="J939" i="2"/>
  <c r="I939" i="2"/>
  <c r="J938" i="2"/>
  <c r="I938" i="2"/>
  <c r="I937" i="2"/>
  <c r="J937" i="2"/>
  <c r="G2180" i="10"/>
  <c r="F2180" i="10"/>
  <c r="E2180" i="10"/>
  <c r="D2180" i="10"/>
  <c r="C2180" i="10"/>
  <c r="N936" i="2"/>
  <c r="A2178" i="10"/>
  <c r="B2178" i="10"/>
  <c r="C2178" i="10"/>
  <c r="D2178" i="10"/>
  <c r="E2178" i="10"/>
  <c r="F2178" i="10"/>
  <c r="G2178" i="10"/>
  <c r="H2178" i="10"/>
  <c r="A2179" i="10"/>
  <c r="B2179" i="10"/>
  <c r="C2179" i="10"/>
  <c r="D2179" i="10"/>
  <c r="E2179" i="10"/>
  <c r="F2179" i="10"/>
  <c r="G2179" i="10"/>
  <c r="H2179" i="10"/>
  <c r="X2178" i="3"/>
  <c r="T2177" i="3"/>
  <c r="X2177" i="3" s="1"/>
  <c r="P2178" i="3"/>
  <c r="P2177" i="3" s="1"/>
  <c r="J2178" i="3"/>
  <c r="J2177" i="3" s="1"/>
  <c r="X2179" i="3"/>
  <c r="P2179" i="3"/>
  <c r="J2179" i="3"/>
  <c r="C2173" i="10"/>
  <c r="D2173" i="10"/>
  <c r="E2173" i="10"/>
  <c r="F2173" i="10"/>
  <c r="G2173" i="10"/>
  <c r="H2173" i="10"/>
  <c r="C2174" i="10"/>
  <c r="D2174" i="10"/>
  <c r="E2174" i="10"/>
  <c r="F2174" i="10"/>
  <c r="G2174" i="10"/>
  <c r="H2174" i="10"/>
  <c r="C2175" i="10"/>
  <c r="D2175" i="10"/>
  <c r="E2175" i="10"/>
  <c r="F2175" i="10"/>
  <c r="G2175" i="10"/>
  <c r="H2175" i="10"/>
  <c r="C2176" i="10"/>
  <c r="D2176" i="10"/>
  <c r="F2176" i="10"/>
  <c r="G2176" i="10"/>
  <c r="H2176" i="10"/>
  <c r="A2172" i="10"/>
  <c r="B2172" i="10"/>
  <c r="A2173" i="10"/>
  <c r="B2173" i="10"/>
  <c r="A2174" i="10"/>
  <c r="B2174" i="10"/>
  <c r="A2175" i="10"/>
  <c r="B2175" i="10"/>
  <c r="A2176" i="10"/>
  <c r="B2176" i="10"/>
  <c r="P2175" i="3"/>
  <c r="P2174" i="3"/>
  <c r="P2173" i="3"/>
  <c r="P2171" i="3"/>
  <c r="X2172" i="3"/>
  <c r="X2173" i="3"/>
  <c r="V2173" i="3"/>
  <c r="V2172" i="3"/>
  <c r="X2175" i="3"/>
  <c r="X2174" i="3"/>
  <c r="X2171" i="3"/>
  <c r="J2175" i="3"/>
  <c r="J2174" i="3"/>
  <c r="J2173" i="3"/>
  <c r="J2171" i="3"/>
  <c r="J2164" i="3"/>
  <c r="X2170" i="3"/>
  <c r="X2169" i="3"/>
  <c r="X2168" i="3"/>
  <c r="X2166" i="3"/>
  <c r="X2165" i="3"/>
  <c r="X2164" i="3"/>
  <c r="X2163" i="3"/>
  <c r="T2168" i="3"/>
  <c r="P2168" i="3" s="1"/>
  <c r="T2167" i="3"/>
  <c r="P2167" i="3" s="1"/>
  <c r="T2166" i="3"/>
  <c r="P2166" i="3" s="1"/>
  <c r="T2165" i="3"/>
  <c r="P2165" i="3" s="1"/>
  <c r="T2164" i="3"/>
  <c r="P2164" i="3" s="1"/>
  <c r="T2163" i="3"/>
  <c r="P2163" i="3" s="1"/>
  <c r="J2170" i="3"/>
  <c r="J2169" i="3"/>
  <c r="J2168" i="3"/>
  <c r="J2167" i="3"/>
  <c r="J2166" i="3"/>
  <c r="J2165" i="3"/>
  <c r="J2163" i="3"/>
  <c r="T2170" i="3"/>
  <c r="P2170" i="3" s="1"/>
  <c r="T2169" i="3"/>
  <c r="P2169" i="3" s="1"/>
  <c r="X2167" i="3"/>
  <c r="A2165" i="10"/>
  <c r="B2165" i="10"/>
  <c r="C2165" i="10"/>
  <c r="D2165" i="10"/>
  <c r="E2165" i="10"/>
  <c r="F2165" i="10"/>
  <c r="G2165" i="10"/>
  <c r="H2165" i="10"/>
  <c r="A2166" i="10"/>
  <c r="B2166" i="10"/>
  <c r="C2166" i="10"/>
  <c r="D2166" i="10"/>
  <c r="E2166" i="10"/>
  <c r="F2166" i="10"/>
  <c r="G2166" i="10"/>
  <c r="H2166" i="10"/>
  <c r="A2167" i="10"/>
  <c r="B2167" i="10"/>
  <c r="C2167" i="10"/>
  <c r="D2167" i="10"/>
  <c r="E2167" i="10"/>
  <c r="F2167" i="10"/>
  <c r="G2167" i="10"/>
  <c r="H2167" i="10"/>
  <c r="A2168" i="10"/>
  <c r="B2168" i="10"/>
  <c r="C2168" i="10"/>
  <c r="D2168" i="10"/>
  <c r="E2168" i="10"/>
  <c r="F2168" i="10"/>
  <c r="G2168" i="10"/>
  <c r="H2168" i="10"/>
  <c r="A2169" i="10"/>
  <c r="B2169" i="10"/>
  <c r="C2169" i="10"/>
  <c r="D2169" i="10"/>
  <c r="E2169" i="10"/>
  <c r="F2169" i="10"/>
  <c r="G2169" i="10"/>
  <c r="H2169" i="10"/>
  <c r="A2170" i="10"/>
  <c r="B2170" i="10"/>
  <c r="C2170" i="10"/>
  <c r="D2170" i="10"/>
  <c r="E2170" i="10"/>
  <c r="F2170" i="10"/>
  <c r="G2170" i="10"/>
  <c r="H2170" i="10"/>
  <c r="C2164" i="10"/>
  <c r="D2164" i="10"/>
  <c r="E2164" i="10"/>
  <c r="F2164" i="10"/>
  <c r="G2164" i="10"/>
  <c r="H2164" i="10"/>
  <c r="A2164" i="10"/>
  <c r="B2164" i="10"/>
  <c r="X2220" i="3" l="1"/>
  <c r="P949" i="4"/>
  <c r="P2200" i="3"/>
  <c r="X2199" i="3"/>
  <c r="X2162" i="3"/>
  <c r="X2160" i="3"/>
  <c r="X2158" i="3"/>
  <c r="C2157" i="10"/>
  <c r="D2157" i="10"/>
  <c r="E2157" i="10"/>
  <c r="F2157" i="10"/>
  <c r="G2157" i="10"/>
  <c r="H2157" i="10"/>
  <c r="C2158" i="10"/>
  <c r="D2158" i="10"/>
  <c r="E2158" i="10"/>
  <c r="F2158" i="10"/>
  <c r="G2158" i="10"/>
  <c r="H2158" i="10"/>
  <c r="C2159" i="10"/>
  <c r="D2159" i="10"/>
  <c r="E2159" i="10"/>
  <c r="F2159" i="10"/>
  <c r="G2159" i="10"/>
  <c r="H2159" i="10"/>
  <c r="C2160" i="10"/>
  <c r="D2160" i="10"/>
  <c r="E2160" i="10"/>
  <c r="F2160" i="10"/>
  <c r="G2160" i="10"/>
  <c r="H2160" i="10"/>
  <c r="C2161" i="10"/>
  <c r="D2161" i="10"/>
  <c r="E2161" i="10"/>
  <c r="F2161" i="10"/>
  <c r="G2161" i="10"/>
  <c r="H2161" i="10"/>
  <c r="C2162" i="10"/>
  <c r="D2162" i="10"/>
  <c r="E2162" i="10"/>
  <c r="F2162" i="10"/>
  <c r="G2162" i="10"/>
  <c r="H2162" i="10"/>
  <c r="A2157" i="10"/>
  <c r="B2157" i="10"/>
  <c r="A2158" i="10"/>
  <c r="B2158" i="10"/>
  <c r="A2159" i="10"/>
  <c r="B2159" i="10"/>
  <c r="A2160" i="10"/>
  <c r="B2160" i="10"/>
  <c r="A2161" i="10"/>
  <c r="B2161" i="10"/>
  <c r="A2162" i="10"/>
  <c r="B2162" i="10"/>
  <c r="X2161" i="3"/>
  <c r="X2159" i="3"/>
  <c r="X2157" i="3"/>
  <c r="C2151" i="10"/>
  <c r="D2151" i="10"/>
  <c r="E2151" i="10"/>
  <c r="F2151" i="10"/>
  <c r="G2151" i="10"/>
  <c r="H2151" i="10"/>
  <c r="A2151" i="10"/>
  <c r="B2151" i="10"/>
  <c r="A2152" i="10"/>
  <c r="B2152" i="10"/>
  <c r="A2153" i="10"/>
  <c r="B2153" i="10"/>
  <c r="A2154" i="10"/>
  <c r="B2154" i="10"/>
  <c r="K929" i="2"/>
  <c r="H1055" i="4" l="1"/>
  <c r="H1021" i="4"/>
  <c r="H1020" i="4"/>
  <c r="H1012" i="4"/>
  <c r="H1011" i="4"/>
  <c r="H1010" i="4"/>
  <c r="H1008" i="4"/>
  <c r="H1007" i="4"/>
  <c r="H1006" i="4"/>
  <c r="H1005" i="4"/>
  <c r="H1004" i="4"/>
  <c r="H1003" i="4"/>
  <c r="H1002" i="4"/>
  <c r="H1001" i="4"/>
  <c r="J1000" i="2"/>
  <c r="I1000" i="2"/>
  <c r="A2150" i="10" l="1"/>
  <c r="A2155" i="10"/>
  <c r="A2156" i="10"/>
  <c r="A2163" i="10"/>
  <c r="A2171" i="10"/>
  <c r="A2177" i="10"/>
  <c r="A2180" i="10"/>
  <c r="A2181" i="10"/>
  <c r="A2182" i="10"/>
  <c r="A2183" i="10"/>
  <c r="A2184" i="10"/>
  <c r="A2185" i="10"/>
  <c r="A2186" i="10"/>
  <c r="A2187" i="10"/>
  <c r="A2189" i="10"/>
  <c r="A2192" i="10"/>
  <c r="A2195" i="10"/>
  <c r="A2202" i="10"/>
  <c r="A2203" i="10"/>
  <c r="A2204" i="10"/>
  <c r="A2206" i="10"/>
  <c r="A2211" i="10"/>
  <c r="A2212" i="10"/>
  <c r="A2213" i="10"/>
  <c r="A2222" i="10"/>
  <c r="A2306" i="10"/>
  <c r="A2310" i="10"/>
  <c r="A2313" i="10"/>
  <c r="N932" i="2" l="1"/>
  <c r="N928" i="2"/>
  <c r="A1634" i="10" l="1"/>
  <c r="A1633" i="10"/>
  <c r="A1632" i="10"/>
  <c r="A1631" i="10"/>
  <c r="A1630" i="10"/>
  <c r="X1465" i="3"/>
  <c r="X1460" i="3"/>
  <c r="X1455" i="3"/>
  <c r="P1465" i="3"/>
  <c r="P1460" i="3"/>
  <c r="P1455" i="3"/>
  <c r="J924" i="2"/>
  <c r="I924" i="2"/>
  <c r="H923" i="4"/>
  <c r="I919" i="2"/>
  <c r="K919" i="2"/>
  <c r="J919" i="2"/>
  <c r="J915" i="2"/>
  <c r="I915" i="2"/>
  <c r="I914" i="2"/>
  <c r="J914" i="2"/>
  <c r="K906" i="2"/>
  <c r="N906" i="4" s="1"/>
  <c r="R906" i="4" s="1"/>
  <c r="K905" i="2"/>
  <c r="J905" i="2"/>
  <c r="I905" i="2"/>
  <c r="K904" i="2"/>
  <c r="I904" i="2"/>
  <c r="J904" i="2"/>
  <c r="A2064" i="10"/>
  <c r="B2064" i="10"/>
  <c r="C2064" i="10"/>
  <c r="D2064" i="10"/>
  <c r="E2064" i="10"/>
  <c r="F2064" i="10"/>
  <c r="G2064" i="10"/>
  <c r="H2064" i="10"/>
  <c r="A2065" i="10"/>
  <c r="B2065" i="10"/>
  <c r="C2065" i="10"/>
  <c r="D2065" i="10"/>
  <c r="E2065" i="10"/>
  <c r="F2065" i="10"/>
  <c r="G2065" i="10"/>
  <c r="H2065" i="10"/>
  <c r="A2066" i="10"/>
  <c r="B2066" i="10"/>
  <c r="C2066" i="10"/>
  <c r="D2066" i="10"/>
  <c r="E2066" i="10"/>
  <c r="F2066" i="10"/>
  <c r="G2066" i="10"/>
  <c r="H2066" i="10"/>
  <c r="A2067" i="10"/>
  <c r="B2067" i="10"/>
  <c r="C2067" i="10"/>
  <c r="D2067" i="10"/>
  <c r="E2067" i="10"/>
  <c r="F2067" i="10"/>
  <c r="G2067" i="10"/>
  <c r="H2067" i="10"/>
  <c r="A2068" i="10"/>
  <c r="B2068" i="10"/>
  <c r="C2068" i="10"/>
  <c r="D2068" i="10"/>
  <c r="E2068" i="10"/>
  <c r="F2068" i="10"/>
  <c r="G2068" i="10"/>
  <c r="H2068" i="10"/>
  <c r="A2069" i="10"/>
  <c r="B2069" i="10"/>
  <c r="C2069" i="10"/>
  <c r="D2069" i="10"/>
  <c r="E2069" i="10"/>
  <c r="F2069" i="10"/>
  <c r="G2069" i="10"/>
  <c r="H2069" i="10"/>
  <c r="N903" i="2"/>
  <c r="K902" i="2"/>
  <c r="I901" i="2"/>
  <c r="J900" i="2"/>
  <c r="J899" i="2"/>
  <c r="I899" i="2"/>
  <c r="T2057" i="3"/>
  <c r="X2057" i="3" s="1"/>
  <c r="N2053" i="3"/>
  <c r="K894" i="2"/>
  <c r="N894" i="2" s="1"/>
  <c r="J894" i="2"/>
  <c r="I894" i="2"/>
  <c r="R891" i="4"/>
  <c r="A2009" i="10"/>
  <c r="B2009" i="10"/>
  <c r="C2009" i="10"/>
  <c r="D2009" i="10"/>
  <c r="E2009" i="10"/>
  <c r="F2009" i="10"/>
  <c r="G2009" i="10"/>
  <c r="H2009" i="10"/>
  <c r="A2010" i="10"/>
  <c r="B2010" i="10"/>
  <c r="C2010" i="10"/>
  <c r="D2010" i="10"/>
  <c r="E2010" i="10"/>
  <c r="F2010" i="10"/>
  <c r="G2010" i="10"/>
  <c r="H2010" i="10"/>
  <c r="A2011" i="10"/>
  <c r="B2011" i="10"/>
  <c r="C2011" i="10"/>
  <c r="D2011" i="10"/>
  <c r="E2011" i="10"/>
  <c r="F2011" i="10"/>
  <c r="G2011" i="10"/>
  <c r="H2011" i="10"/>
  <c r="A2012" i="10"/>
  <c r="B2012" i="10"/>
  <c r="C2012" i="10"/>
  <c r="D2012" i="10"/>
  <c r="E2012" i="10"/>
  <c r="F2012" i="10"/>
  <c r="G2012" i="10"/>
  <c r="H2012" i="10"/>
  <c r="A2013" i="10"/>
  <c r="B2013" i="10"/>
  <c r="C2013" i="10"/>
  <c r="D2013" i="10"/>
  <c r="E2013" i="10"/>
  <c r="F2013" i="10"/>
  <c r="G2013" i="10"/>
  <c r="H2013" i="10"/>
  <c r="A2014" i="10"/>
  <c r="B2014" i="10"/>
  <c r="C2014" i="10"/>
  <c r="D2014" i="10"/>
  <c r="E2014" i="10"/>
  <c r="F2014" i="10"/>
  <c r="G2014" i="10"/>
  <c r="H2014" i="10"/>
  <c r="A2015" i="10"/>
  <c r="B2015" i="10"/>
  <c r="C2015" i="10"/>
  <c r="D2015" i="10"/>
  <c r="E2015" i="10"/>
  <c r="F2015" i="10"/>
  <c r="G2015" i="10"/>
  <c r="H2015" i="10"/>
  <c r="A2016" i="10"/>
  <c r="B2016" i="10"/>
  <c r="C2016" i="10"/>
  <c r="D2016" i="10"/>
  <c r="E2016" i="10"/>
  <c r="F2016" i="10"/>
  <c r="G2016" i="10"/>
  <c r="H2016" i="10"/>
  <c r="A2017" i="10"/>
  <c r="B2017" i="10"/>
  <c r="C2017" i="10"/>
  <c r="D2017" i="10"/>
  <c r="E2017" i="10"/>
  <c r="F2017" i="10"/>
  <c r="G2017" i="10"/>
  <c r="H2017" i="10"/>
  <c r="A2018" i="10"/>
  <c r="B2018" i="10"/>
  <c r="C2018" i="10"/>
  <c r="D2018" i="10"/>
  <c r="E2018" i="10"/>
  <c r="F2018" i="10"/>
  <c r="G2018" i="10"/>
  <c r="H2018" i="10"/>
  <c r="A2019" i="10"/>
  <c r="B2019" i="10"/>
  <c r="C2019" i="10"/>
  <c r="D2019" i="10"/>
  <c r="E2019" i="10"/>
  <c r="F2019" i="10"/>
  <c r="G2019" i="10"/>
  <c r="H2019" i="10"/>
  <c r="A2020" i="10"/>
  <c r="B2020" i="10"/>
  <c r="C2020" i="10"/>
  <c r="D2020" i="10"/>
  <c r="E2020" i="10"/>
  <c r="F2020" i="10"/>
  <c r="G2020" i="10"/>
  <c r="H2020" i="10"/>
  <c r="A2021" i="10"/>
  <c r="B2021" i="10"/>
  <c r="C2021" i="10"/>
  <c r="D2021" i="10"/>
  <c r="E2021" i="10"/>
  <c r="F2021" i="10"/>
  <c r="G2021" i="10"/>
  <c r="H2021" i="10"/>
  <c r="A2022" i="10"/>
  <c r="B2022" i="10"/>
  <c r="C2022" i="10"/>
  <c r="D2022" i="10"/>
  <c r="E2022" i="10"/>
  <c r="F2022" i="10"/>
  <c r="G2022" i="10"/>
  <c r="H2022" i="10"/>
  <c r="A2023" i="10"/>
  <c r="B2023" i="10"/>
  <c r="C2023" i="10"/>
  <c r="D2023" i="10"/>
  <c r="E2023" i="10"/>
  <c r="F2023" i="10"/>
  <c r="G2023" i="10"/>
  <c r="H2023" i="10"/>
  <c r="A2024" i="10"/>
  <c r="B2024" i="10"/>
  <c r="C2024" i="10"/>
  <c r="D2024" i="10"/>
  <c r="E2024" i="10"/>
  <c r="F2024" i="10"/>
  <c r="G2024" i="10"/>
  <c r="H2024" i="10"/>
  <c r="A2025" i="10"/>
  <c r="B2025" i="10"/>
  <c r="C2025" i="10"/>
  <c r="D2025" i="10"/>
  <c r="E2025" i="10"/>
  <c r="F2025" i="10"/>
  <c r="G2025" i="10"/>
  <c r="H2025" i="10"/>
  <c r="A2026" i="10"/>
  <c r="B2026" i="10"/>
  <c r="C2026" i="10"/>
  <c r="D2026" i="10"/>
  <c r="E2026" i="10"/>
  <c r="F2026" i="10"/>
  <c r="G2026" i="10"/>
  <c r="H2026" i="10"/>
  <c r="A2027" i="10"/>
  <c r="B2027" i="10"/>
  <c r="C2027" i="10"/>
  <c r="D2027" i="10"/>
  <c r="E2027" i="10"/>
  <c r="F2027" i="10"/>
  <c r="G2027" i="10"/>
  <c r="H2027" i="10"/>
  <c r="A2028" i="10"/>
  <c r="B2028" i="10"/>
  <c r="C2028" i="10"/>
  <c r="D2028" i="10"/>
  <c r="E2028" i="10"/>
  <c r="F2028" i="10"/>
  <c r="G2028" i="10"/>
  <c r="H2028" i="10"/>
  <c r="A2029" i="10"/>
  <c r="B2029" i="10"/>
  <c r="C2029" i="10"/>
  <c r="D2029" i="10"/>
  <c r="E2029" i="10"/>
  <c r="F2029" i="10"/>
  <c r="G2029" i="10"/>
  <c r="H2029" i="10"/>
  <c r="A2030" i="10"/>
  <c r="B2030" i="10"/>
  <c r="C2030" i="10"/>
  <c r="D2030" i="10"/>
  <c r="E2030" i="10"/>
  <c r="F2030" i="10"/>
  <c r="G2030" i="10"/>
  <c r="H2030" i="10"/>
  <c r="A2031" i="10"/>
  <c r="B2031" i="10"/>
  <c r="C2031" i="10"/>
  <c r="D2031" i="10"/>
  <c r="E2031" i="10"/>
  <c r="F2031" i="10"/>
  <c r="G2031" i="10"/>
  <c r="H2031" i="10"/>
  <c r="A2032" i="10"/>
  <c r="B2032" i="10"/>
  <c r="C2032" i="10"/>
  <c r="D2032" i="10"/>
  <c r="E2032" i="10"/>
  <c r="F2032" i="10"/>
  <c r="G2032" i="10"/>
  <c r="H2032" i="10"/>
  <c r="A2033" i="10"/>
  <c r="B2033" i="10"/>
  <c r="C2033" i="10"/>
  <c r="D2033" i="10"/>
  <c r="E2033" i="10"/>
  <c r="F2033" i="10"/>
  <c r="G2033" i="10"/>
  <c r="H2033" i="10"/>
  <c r="A2034" i="10"/>
  <c r="B2034" i="10"/>
  <c r="C2034" i="10"/>
  <c r="D2034" i="10"/>
  <c r="E2034" i="10"/>
  <c r="F2034" i="10"/>
  <c r="G2034" i="10"/>
  <c r="H2034" i="10"/>
  <c r="A2035" i="10"/>
  <c r="B2035" i="10"/>
  <c r="C2035" i="10"/>
  <c r="D2035" i="10"/>
  <c r="E2035" i="10"/>
  <c r="F2035" i="10"/>
  <c r="G2035" i="10"/>
  <c r="H2035" i="10"/>
  <c r="A2036" i="10"/>
  <c r="B2036" i="10"/>
  <c r="C2036" i="10"/>
  <c r="D2036" i="10"/>
  <c r="E2036" i="10"/>
  <c r="F2036" i="10"/>
  <c r="G2036" i="10"/>
  <c r="H2036" i="10"/>
  <c r="O888" i="4"/>
  <c r="O887" i="4"/>
  <c r="O886" i="4"/>
  <c r="P888" i="4"/>
  <c r="P887" i="4"/>
  <c r="P886" i="4"/>
  <c r="A1988" i="10"/>
  <c r="B1988" i="10"/>
  <c r="C1988" i="10"/>
  <c r="D1988" i="10"/>
  <c r="E1988" i="10"/>
  <c r="F1988" i="10"/>
  <c r="G1988" i="10"/>
  <c r="H1988" i="10"/>
  <c r="A1989" i="10"/>
  <c r="B1989" i="10"/>
  <c r="C1989" i="10"/>
  <c r="D1989" i="10"/>
  <c r="E1989" i="10"/>
  <c r="F1989" i="10"/>
  <c r="G1989" i="10"/>
  <c r="H1989" i="10"/>
  <c r="A1990" i="10"/>
  <c r="B1990" i="10"/>
  <c r="C1990" i="10"/>
  <c r="D1990" i="10"/>
  <c r="E1990" i="10"/>
  <c r="F1990" i="10"/>
  <c r="G1990" i="10"/>
  <c r="H1990" i="10"/>
  <c r="E1984" i="10"/>
  <c r="F1984" i="10"/>
  <c r="G1984" i="10"/>
  <c r="E1985" i="10"/>
  <c r="F1985" i="10"/>
  <c r="G1985" i="10"/>
  <c r="E1986" i="10"/>
  <c r="F1986" i="10"/>
  <c r="G1986" i="10"/>
  <c r="E1987" i="10"/>
  <c r="F1987" i="10"/>
  <c r="G1987" i="10"/>
  <c r="J880" i="2"/>
  <c r="I880" i="2"/>
  <c r="E1966" i="10" l="1"/>
  <c r="D1966" i="10"/>
  <c r="E1965" i="10"/>
  <c r="D1965" i="10"/>
  <c r="E1964" i="10"/>
  <c r="D1964" i="10"/>
  <c r="E1963" i="10"/>
  <c r="D1963" i="10"/>
  <c r="E1962" i="10"/>
  <c r="D1962" i="10"/>
  <c r="A1913" i="10"/>
  <c r="B1913" i="10"/>
  <c r="C1913" i="10"/>
  <c r="D1913" i="10"/>
  <c r="E1913" i="10"/>
  <c r="F1913" i="10"/>
  <c r="G1913" i="10"/>
  <c r="H1913" i="10"/>
  <c r="A1914" i="10"/>
  <c r="B1914" i="10"/>
  <c r="C1914" i="10"/>
  <c r="D1914" i="10"/>
  <c r="E1914" i="10"/>
  <c r="F1914" i="10"/>
  <c r="G1914" i="10"/>
  <c r="H1914" i="10"/>
  <c r="I868" i="4"/>
  <c r="K868" i="2"/>
  <c r="A1909" i="10"/>
  <c r="B1909" i="10"/>
  <c r="C1909" i="10"/>
  <c r="D1909" i="10"/>
  <c r="E1909" i="10"/>
  <c r="F1909" i="10"/>
  <c r="G1909" i="10"/>
  <c r="H1909" i="10"/>
  <c r="A1910" i="10"/>
  <c r="B1910" i="10"/>
  <c r="C1910" i="10"/>
  <c r="D1910" i="10"/>
  <c r="E1910" i="10"/>
  <c r="F1910" i="10"/>
  <c r="G1910" i="10"/>
  <c r="H1910" i="10"/>
  <c r="A1911" i="10"/>
  <c r="B1911" i="10"/>
  <c r="C1911" i="10"/>
  <c r="D1911" i="10"/>
  <c r="E1911" i="10"/>
  <c r="F1911" i="10"/>
  <c r="G1911" i="10"/>
  <c r="H1911" i="10"/>
  <c r="A1912" i="10"/>
  <c r="B1912" i="10"/>
  <c r="C1912" i="10"/>
  <c r="D1912" i="10"/>
  <c r="E1912" i="10"/>
  <c r="F1912" i="10"/>
  <c r="G1912" i="10"/>
  <c r="H1912" i="10"/>
  <c r="A1891" i="10"/>
  <c r="B1891" i="10"/>
  <c r="C1891" i="10"/>
  <c r="D1891" i="10"/>
  <c r="E1891" i="10"/>
  <c r="F1891" i="10"/>
  <c r="G1891" i="10"/>
  <c r="H1891" i="10"/>
  <c r="A1892" i="10"/>
  <c r="B1892" i="10"/>
  <c r="C1892" i="10"/>
  <c r="D1892" i="10"/>
  <c r="E1892" i="10"/>
  <c r="F1892" i="10"/>
  <c r="G1892" i="10"/>
  <c r="H1892" i="10"/>
  <c r="A1893" i="10"/>
  <c r="B1893" i="10"/>
  <c r="C1893" i="10"/>
  <c r="D1893" i="10"/>
  <c r="E1893" i="10"/>
  <c r="F1893" i="10"/>
  <c r="G1893" i="10"/>
  <c r="H1893" i="10"/>
  <c r="A1894" i="10"/>
  <c r="B1894" i="10"/>
  <c r="C1894" i="10"/>
  <c r="D1894" i="10"/>
  <c r="E1894" i="10"/>
  <c r="F1894" i="10"/>
  <c r="G1894" i="10"/>
  <c r="H1894" i="10"/>
  <c r="A1889" i="10"/>
  <c r="B1889" i="10"/>
  <c r="C1889" i="10"/>
  <c r="D1889" i="10"/>
  <c r="E1889" i="10"/>
  <c r="F1889" i="10"/>
  <c r="G1889" i="10"/>
  <c r="H1889" i="10"/>
  <c r="A1890" i="10"/>
  <c r="B1890" i="10"/>
  <c r="C1890" i="10"/>
  <c r="D1890" i="10"/>
  <c r="E1890" i="10"/>
  <c r="F1890" i="10"/>
  <c r="G1890" i="10"/>
  <c r="H1890" i="10"/>
  <c r="A1876" i="10"/>
  <c r="B1876" i="10"/>
  <c r="C1876" i="10"/>
  <c r="D1876" i="10"/>
  <c r="E1876" i="10"/>
  <c r="F1876" i="10"/>
  <c r="G1876" i="10"/>
  <c r="H1876" i="10"/>
  <c r="A1860" i="10"/>
  <c r="B1860" i="10"/>
  <c r="C1860" i="10"/>
  <c r="D1860" i="10"/>
  <c r="E1860" i="10"/>
  <c r="F1860" i="10"/>
  <c r="G1860" i="10"/>
  <c r="H1860" i="10"/>
  <c r="A1867" i="10"/>
  <c r="B1867" i="10"/>
  <c r="C1867" i="10"/>
  <c r="D1867" i="10"/>
  <c r="E1867" i="10"/>
  <c r="F1867" i="10"/>
  <c r="G1867" i="10"/>
  <c r="H1867" i="10"/>
  <c r="A1868" i="10"/>
  <c r="B1868" i="10"/>
  <c r="C1868" i="10"/>
  <c r="D1868" i="10"/>
  <c r="E1868" i="10"/>
  <c r="F1868" i="10"/>
  <c r="G1868" i="10"/>
  <c r="H1868" i="10"/>
  <c r="A1869" i="10"/>
  <c r="B1869" i="10"/>
  <c r="C1869" i="10"/>
  <c r="D1869" i="10"/>
  <c r="E1869" i="10"/>
  <c r="F1869" i="10"/>
  <c r="G1869" i="10"/>
  <c r="H1869" i="10"/>
  <c r="A1866" i="10"/>
  <c r="B1866" i="10"/>
  <c r="C1866" i="10"/>
  <c r="D1866" i="10"/>
  <c r="E1866" i="10"/>
  <c r="F1866" i="10"/>
  <c r="C1855" i="10"/>
  <c r="D1855" i="10"/>
  <c r="E1855" i="10"/>
  <c r="F1855" i="10"/>
  <c r="G1855" i="10"/>
  <c r="H1855" i="10"/>
  <c r="C1856" i="10"/>
  <c r="D1856" i="10"/>
  <c r="E1856" i="10"/>
  <c r="F1856" i="10"/>
  <c r="G1856" i="10"/>
  <c r="H1856" i="10"/>
  <c r="C1857" i="10"/>
  <c r="D1857" i="10"/>
  <c r="E1857" i="10"/>
  <c r="F1857" i="10"/>
  <c r="G1857" i="10"/>
  <c r="H1857" i="10"/>
  <c r="C1858" i="10"/>
  <c r="D1858" i="10"/>
  <c r="E1858" i="10"/>
  <c r="F1858" i="10"/>
  <c r="G1858" i="10"/>
  <c r="H1858" i="10"/>
  <c r="C1859" i="10"/>
  <c r="D1859" i="10"/>
  <c r="E1859" i="10"/>
  <c r="F1859" i="10"/>
  <c r="G1859" i="10"/>
  <c r="H1859" i="10"/>
  <c r="C1861" i="10"/>
  <c r="D1861" i="10"/>
  <c r="E1861" i="10"/>
  <c r="F1861" i="10"/>
  <c r="G1861" i="10"/>
  <c r="H1861" i="10"/>
  <c r="A1855" i="10"/>
  <c r="B1855" i="10"/>
  <c r="A1856" i="10"/>
  <c r="B1856" i="10"/>
  <c r="A1857" i="10"/>
  <c r="B1857" i="10"/>
  <c r="A1858" i="10"/>
  <c r="B1858" i="10"/>
  <c r="A1859" i="10"/>
  <c r="B1859" i="10"/>
  <c r="A1861" i="10"/>
  <c r="B1861" i="10"/>
  <c r="J859" i="2"/>
  <c r="I859" i="2"/>
  <c r="J858" i="2"/>
  <c r="I858" i="2"/>
  <c r="J857" i="2"/>
  <c r="J856" i="2"/>
  <c r="I857" i="2"/>
  <c r="I856" i="2"/>
  <c r="I855" i="2"/>
  <c r="N857" i="2"/>
  <c r="N855" i="2"/>
  <c r="K852" i="2"/>
  <c r="A1844" i="10"/>
  <c r="B1844" i="10"/>
  <c r="C1844" i="10"/>
  <c r="D1844" i="10"/>
  <c r="E1844" i="10"/>
  <c r="F1844" i="10"/>
  <c r="A1845" i="10"/>
  <c r="B1845" i="10"/>
  <c r="C1845" i="10"/>
  <c r="D1845" i="10"/>
  <c r="E1845" i="10"/>
  <c r="F1845" i="10"/>
  <c r="A1846" i="10"/>
  <c r="B1846" i="10"/>
  <c r="C1846" i="10"/>
  <c r="D1846" i="10"/>
  <c r="E1846" i="10"/>
  <c r="F1846" i="10"/>
  <c r="A1847" i="10"/>
  <c r="B1847" i="10"/>
  <c r="C1847" i="10"/>
  <c r="D1847" i="10"/>
  <c r="E1847" i="10"/>
  <c r="F1847" i="10"/>
  <c r="A1848" i="10"/>
  <c r="B1848" i="10"/>
  <c r="C1848" i="10"/>
  <c r="D1848" i="10"/>
  <c r="E1848" i="10"/>
  <c r="F1848" i="10"/>
  <c r="A1849" i="10"/>
  <c r="B1849" i="10"/>
  <c r="C1849" i="10"/>
  <c r="D1849" i="10"/>
  <c r="E1849" i="10"/>
  <c r="F1849" i="10"/>
  <c r="A1850" i="10"/>
  <c r="B1850" i="10"/>
  <c r="C1850" i="10"/>
  <c r="D1850" i="10"/>
  <c r="E1850" i="10"/>
  <c r="F1850" i="10"/>
  <c r="A1851" i="10"/>
  <c r="B1851" i="10"/>
  <c r="C1851" i="10"/>
  <c r="D1851" i="10"/>
  <c r="E1851" i="10"/>
  <c r="F1851" i="10"/>
  <c r="A1852" i="10"/>
  <c r="B1852" i="10"/>
  <c r="C1852" i="10"/>
  <c r="D1852" i="10"/>
  <c r="E1852" i="10"/>
  <c r="F1852" i="10"/>
  <c r="A1853" i="10"/>
  <c r="B1853" i="10"/>
  <c r="C1853" i="10"/>
  <c r="D1853" i="10"/>
  <c r="E1853" i="10"/>
  <c r="F1853" i="10"/>
  <c r="A1854" i="10"/>
  <c r="B1854" i="10"/>
  <c r="C1854" i="10"/>
  <c r="D1854" i="10"/>
  <c r="E1854" i="10"/>
  <c r="F1854" i="10"/>
  <c r="A1862" i="10"/>
  <c r="B1862" i="10"/>
  <c r="C1862" i="10"/>
  <c r="D1862" i="10"/>
  <c r="E1862" i="10"/>
  <c r="F1862" i="10"/>
  <c r="A1863" i="10"/>
  <c r="B1863" i="10"/>
  <c r="C1863" i="10"/>
  <c r="D1863" i="10"/>
  <c r="E1863" i="10"/>
  <c r="F1863" i="10"/>
  <c r="A1864" i="10"/>
  <c r="B1864" i="10"/>
  <c r="C1864" i="10"/>
  <c r="D1864" i="10"/>
  <c r="E1864" i="10"/>
  <c r="F1864" i="10"/>
  <c r="A1865" i="10"/>
  <c r="B1865" i="10"/>
  <c r="C1865" i="10"/>
  <c r="D1865" i="10"/>
  <c r="E1865" i="10"/>
  <c r="F1865" i="10"/>
  <c r="A1870" i="10"/>
  <c r="B1870" i="10"/>
  <c r="C1870" i="10"/>
  <c r="D1870" i="10"/>
  <c r="E1870" i="10"/>
  <c r="F1870" i="10"/>
  <c r="A1871" i="10"/>
  <c r="B1871" i="10"/>
  <c r="C1871" i="10"/>
  <c r="D1871" i="10"/>
  <c r="E1871" i="10"/>
  <c r="F1871" i="10"/>
  <c r="A1872" i="10"/>
  <c r="B1872" i="10"/>
  <c r="C1872" i="10"/>
  <c r="D1872" i="10"/>
  <c r="E1872" i="10"/>
  <c r="F1872" i="10"/>
  <c r="A1873" i="10"/>
  <c r="B1873" i="10"/>
  <c r="C1873" i="10"/>
  <c r="D1873" i="10"/>
  <c r="E1873" i="10"/>
  <c r="F1873" i="10"/>
  <c r="A1874" i="10"/>
  <c r="B1874" i="10"/>
  <c r="C1874" i="10"/>
  <c r="D1874" i="10"/>
  <c r="E1874" i="10"/>
  <c r="F1874" i="10"/>
  <c r="A1875" i="10"/>
  <c r="B1875" i="10"/>
  <c r="C1875" i="10"/>
  <c r="D1875" i="10"/>
  <c r="E1875" i="10"/>
  <c r="F1875" i="10"/>
  <c r="A1877" i="10"/>
  <c r="B1877" i="10"/>
  <c r="C1877" i="10"/>
  <c r="D1877" i="10"/>
  <c r="E1877" i="10"/>
  <c r="F1877" i="10"/>
  <c r="A1878" i="10"/>
  <c r="B1878" i="10"/>
  <c r="C1878" i="10"/>
  <c r="D1878" i="10"/>
  <c r="E1878" i="10"/>
  <c r="F1878" i="10"/>
  <c r="A1879" i="10"/>
  <c r="B1879" i="10"/>
  <c r="C1879" i="10"/>
  <c r="D1879" i="10"/>
  <c r="E1879" i="10"/>
  <c r="F1879" i="10"/>
  <c r="A1880" i="10"/>
  <c r="B1880" i="10"/>
  <c r="C1880" i="10"/>
  <c r="D1880" i="10"/>
  <c r="E1880" i="10"/>
  <c r="F1880" i="10"/>
  <c r="A1881" i="10"/>
  <c r="B1881" i="10"/>
  <c r="C1881" i="10"/>
  <c r="D1881" i="10"/>
  <c r="E1881" i="10"/>
  <c r="F1881" i="10"/>
  <c r="A1882" i="10"/>
  <c r="B1882" i="10"/>
  <c r="C1882" i="10"/>
  <c r="D1882" i="10"/>
  <c r="E1882" i="10"/>
  <c r="F1882" i="10"/>
  <c r="A1883" i="10"/>
  <c r="B1883" i="10"/>
  <c r="C1883" i="10"/>
  <c r="D1883" i="10"/>
  <c r="E1883" i="10"/>
  <c r="F1883" i="10"/>
  <c r="A1884" i="10"/>
  <c r="B1884" i="10"/>
  <c r="C1884" i="10"/>
  <c r="D1884" i="10"/>
  <c r="E1884" i="10"/>
  <c r="F1884" i="10"/>
  <c r="A1885" i="10"/>
  <c r="B1885" i="10"/>
  <c r="C1885" i="10"/>
  <c r="D1885" i="10"/>
  <c r="E1885" i="10"/>
  <c r="F1885" i="10"/>
  <c r="A1886" i="10"/>
  <c r="B1886" i="10"/>
  <c r="C1886" i="10"/>
  <c r="D1886" i="10"/>
  <c r="E1886" i="10"/>
  <c r="F1886" i="10"/>
  <c r="A1887" i="10"/>
  <c r="B1887" i="10"/>
  <c r="C1887" i="10"/>
  <c r="D1887" i="10"/>
  <c r="E1887" i="10"/>
  <c r="F1887" i="10"/>
  <c r="A1888" i="10"/>
  <c r="B1888" i="10"/>
  <c r="C1888" i="10"/>
  <c r="D1888" i="10"/>
  <c r="E1888" i="10"/>
  <c r="F1888" i="10"/>
  <c r="A1895" i="10"/>
  <c r="B1895" i="10"/>
  <c r="C1895" i="10"/>
  <c r="D1895" i="10"/>
  <c r="E1895" i="10"/>
  <c r="F1895" i="10"/>
  <c r="A1896" i="10"/>
  <c r="B1896" i="10"/>
  <c r="C1896" i="10"/>
  <c r="D1896" i="10"/>
  <c r="E1896" i="10"/>
  <c r="F1896" i="10"/>
  <c r="A1897" i="10"/>
  <c r="B1897" i="10"/>
  <c r="C1897" i="10"/>
  <c r="D1897" i="10"/>
  <c r="E1897" i="10"/>
  <c r="F1897" i="10"/>
  <c r="A1898" i="10"/>
  <c r="B1898" i="10"/>
  <c r="C1898" i="10"/>
  <c r="D1898" i="10"/>
  <c r="E1898" i="10"/>
  <c r="F1898" i="10"/>
  <c r="A1899" i="10"/>
  <c r="B1899" i="10"/>
  <c r="C1899" i="10"/>
  <c r="D1899" i="10"/>
  <c r="E1899" i="10"/>
  <c r="F1899" i="10"/>
  <c r="A1900" i="10"/>
  <c r="B1900" i="10"/>
  <c r="C1900" i="10"/>
  <c r="D1900" i="10"/>
  <c r="E1900" i="10"/>
  <c r="F1900" i="10"/>
  <c r="A1901" i="10"/>
  <c r="B1901" i="10"/>
  <c r="C1901" i="10"/>
  <c r="D1901" i="10"/>
  <c r="E1901" i="10"/>
  <c r="F1901" i="10"/>
  <c r="A1902" i="10"/>
  <c r="B1902" i="10"/>
  <c r="C1902" i="10"/>
  <c r="D1902" i="10"/>
  <c r="E1902" i="10"/>
  <c r="F1902" i="10"/>
  <c r="A1903" i="10"/>
  <c r="B1903" i="10"/>
  <c r="C1903" i="10"/>
  <c r="D1903" i="10"/>
  <c r="E1903" i="10"/>
  <c r="F1903" i="10"/>
  <c r="A1904" i="10"/>
  <c r="B1904" i="10"/>
  <c r="C1904" i="10"/>
  <c r="D1904" i="10"/>
  <c r="E1904" i="10"/>
  <c r="F1904" i="10"/>
  <c r="A1905" i="10"/>
  <c r="B1905" i="10"/>
  <c r="C1905" i="10"/>
  <c r="D1905" i="10"/>
  <c r="E1905" i="10"/>
  <c r="F1905" i="10"/>
  <c r="A1906" i="10"/>
  <c r="B1906" i="10"/>
  <c r="C1906" i="10"/>
  <c r="D1906" i="10"/>
  <c r="E1906" i="10"/>
  <c r="F1906" i="10"/>
  <c r="A1907" i="10"/>
  <c r="B1907" i="10"/>
  <c r="C1907" i="10"/>
  <c r="D1907" i="10"/>
  <c r="E1907" i="10"/>
  <c r="F1907" i="10"/>
  <c r="A1908" i="10"/>
  <c r="B1908" i="10"/>
  <c r="C1908" i="10"/>
  <c r="D1908" i="10"/>
  <c r="E1908" i="10"/>
  <c r="F1908" i="10"/>
  <c r="A1915" i="10"/>
  <c r="B1915" i="10"/>
  <c r="C1915" i="10"/>
  <c r="D1915" i="10"/>
  <c r="E1915" i="10"/>
  <c r="F1915" i="10"/>
  <c r="A1916" i="10"/>
  <c r="B1916" i="10"/>
  <c r="C1916" i="10"/>
  <c r="D1916" i="10"/>
  <c r="E1916" i="10"/>
  <c r="F1916" i="10"/>
  <c r="A1917" i="10"/>
  <c r="B1917" i="10"/>
  <c r="C1917" i="10"/>
  <c r="D1917" i="10"/>
  <c r="E1917" i="10"/>
  <c r="F1917" i="10"/>
  <c r="A1918" i="10"/>
  <c r="B1918" i="10"/>
  <c r="C1918" i="10"/>
  <c r="D1918" i="10"/>
  <c r="E1918" i="10"/>
  <c r="F1918" i="10"/>
  <c r="A1919" i="10"/>
  <c r="B1919" i="10"/>
  <c r="C1919" i="10"/>
  <c r="D1919" i="10"/>
  <c r="E1919" i="10"/>
  <c r="F1919" i="10"/>
  <c r="A1920" i="10"/>
  <c r="B1920" i="10"/>
  <c r="C1920" i="10"/>
  <c r="D1920" i="10"/>
  <c r="E1920" i="10"/>
  <c r="F1920" i="10"/>
  <c r="A1921" i="10"/>
  <c r="B1921" i="10"/>
  <c r="C1921" i="10"/>
  <c r="D1921" i="10"/>
  <c r="E1921" i="10"/>
  <c r="F1921" i="10"/>
  <c r="A1922" i="10"/>
  <c r="B1922" i="10"/>
  <c r="C1922" i="10"/>
  <c r="D1922" i="10"/>
  <c r="E1922" i="10"/>
  <c r="F1922" i="10"/>
  <c r="A1923" i="10"/>
  <c r="B1923" i="10"/>
  <c r="C1923" i="10"/>
  <c r="D1923" i="10"/>
  <c r="E1923" i="10"/>
  <c r="F1923" i="10"/>
  <c r="A1924" i="10"/>
  <c r="B1924" i="10"/>
  <c r="C1924" i="10"/>
  <c r="D1924" i="10"/>
  <c r="E1924" i="10"/>
  <c r="F1924" i="10"/>
  <c r="A1925" i="10"/>
  <c r="B1925" i="10"/>
  <c r="C1925" i="10"/>
  <c r="D1925" i="10"/>
  <c r="E1925" i="10"/>
  <c r="F1925" i="10"/>
  <c r="A1926" i="10"/>
  <c r="B1926" i="10"/>
  <c r="C1926" i="10"/>
  <c r="D1926" i="10"/>
  <c r="E1926" i="10"/>
  <c r="F1926" i="10"/>
  <c r="A1927" i="10"/>
  <c r="B1927" i="10"/>
  <c r="C1927" i="10"/>
  <c r="D1927" i="10"/>
  <c r="E1927" i="10"/>
  <c r="F1927" i="10"/>
  <c r="A1928" i="10"/>
  <c r="B1928" i="10"/>
  <c r="C1928" i="10"/>
  <c r="D1928" i="10"/>
  <c r="E1928" i="10"/>
  <c r="F1928" i="10"/>
  <c r="A1929" i="10"/>
  <c r="B1929" i="10"/>
  <c r="C1929" i="10"/>
  <c r="D1929" i="10"/>
  <c r="E1929" i="10"/>
  <c r="F1929" i="10"/>
  <c r="A1930" i="10"/>
  <c r="B1930" i="10"/>
  <c r="C1930" i="10"/>
  <c r="D1930" i="10"/>
  <c r="E1930" i="10"/>
  <c r="F1930" i="10"/>
  <c r="A1931" i="10"/>
  <c r="B1931" i="10"/>
  <c r="C1931" i="10"/>
  <c r="D1931" i="10"/>
  <c r="E1931" i="10"/>
  <c r="F1931" i="10"/>
  <c r="A1932" i="10"/>
  <c r="B1932" i="10"/>
  <c r="C1932" i="10"/>
  <c r="D1932" i="10"/>
  <c r="E1932" i="10"/>
  <c r="F1932" i="10"/>
  <c r="A1933" i="10"/>
  <c r="B1933" i="10"/>
  <c r="C1933" i="10"/>
  <c r="D1933" i="10"/>
  <c r="E1933" i="10"/>
  <c r="F1933" i="10"/>
  <c r="A1934" i="10"/>
  <c r="B1934" i="10"/>
  <c r="C1934" i="10"/>
  <c r="D1934" i="10"/>
  <c r="E1934" i="10"/>
  <c r="F1934" i="10"/>
  <c r="A1935" i="10"/>
  <c r="B1935" i="10"/>
  <c r="C1935" i="10"/>
  <c r="D1935" i="10"/>
  <c r="E1935" i="10"/>
  <c r="F1935" i="10"/>
  <c r="A1936" i="10"/>
  <c r="B1936" i="10"/>
  <c r="C1936" i="10"/>
  <c r="D1936" i="10"/>
  <c r="E1936" i="10"/>
  <c r="F1936" i="10"/>
  <c r="A1937" i="10"/>
  <c r="B1937" i="10"/>
  <c r="C1937" i="10"/>
  <c r="D1937" i="10"/>
  <c r="E1937" i="10"/>
  <c r="F1937" i="10"/>
  <c r="A1938" i="10"/>
  <c r="B1938" i="10"/>
  <c r="C1938" i="10"/>
  <c r="D1938" i="10"/>
  <c r="E1938" i="10"/>
  <c r="F1938" i="10"/>
  <c r="A1939" i="10"/>
  <c r="B1939" i="10"/>
  <c r="C1939" i="10"/>
  <c r="D1939" i="10"/>
  <c r="E1939" i="10"/>
  <c r="F1939" i="10"/>
  <c r="A1940" i="10"/>
  <c r="B1940" i="10"/>
  <c r="C1940" i="10"/>
  <c r="D1940" i="10"/>
  <c r="E1940" i="10"/>
  <c r="F1940" i="10"/>
  <c r="A1941" i="10"/>
  <c r="B1941" i="10"/>
  <c r="C1941" i="10"/>
  <c r="D1941" i="10"/>
  <c r="E1941" i="10"/>
  <c r="F1941" i="10"/>
  <c r="A1942" i="10"/>
  <c r="B1942" i="10"/>
  <c r="C1942" i="10"/>
  <c r="D1942" i="10"/>
  <c r="E1942" i="10"/>
  <c r="F1942" i="10"/>
  <c r="A1943" i="10"/>
  <c r="B1943" i="10"/>
  <c r="C1943" i="10"/>
  <c r="D1943" i="10"/>
  <c r="E1943" i="10"/>
  <c r="F1943" i="10"/>
  <c r="A1944" i="10"/>
  <c r="B1944" i="10"/>
  <c r="C1944" i="10"/>
  <c r="D1944" i="10"/>
  <c r="E1944" i="10"/>
  <c r="F1944" i="10"/>
  <c r="A1945" i="10"/>
  <c r="B1945" i="10"/>
  <c r="C1945" i="10"/>
  <c r="D1945" i="10"/>
  <c r="E1945" i="10"/>
  <c r="F1945" i="10"/>
  <c r="A1946" i="10"/>
  <c r="B1946" i="10"/>
  <c r="C1946" i="10"/>
  <c r="D1946" i="10"/>
  <c r="E1946" i="10"/>
  <c r="F1946" i="10"/>
  <c r="A1947" i="10"/>
  <c r="B1947" i="10"/>
  <c r="C1947" i="10"/>
  <c r="D1947" i="10"/>
  <c r="E1947" i="10"/>
  <c r="F1947" i="10"/>
  <c r="A1948" i="10"/>
  <c r="B1948" i="10"/>
  <c r="C1948" i="10"/>
  <c r="D1948" i="10"/>
  <c r="E1948" i="10"/>
  <c r="F1948" i="10"/>
  <c r="A1949" i="10"/>
  <c r="B1949" i="10"/>
  <c r="C1949" i="10"/>
  <c r="D1949" i="10"/>
  <c r="E1949" i="10"/>
  <c r="F1949" i="10"/>
  <c r="A1950" i="10"/>
  <c r="B1950" i="10"/>
  <c r="C1950" i="10"/>
  <c r="D1950" i="10"/>
  <c r="E1950" i="10"/>
  <c r="F1950" i="10"/>
  <c r="A1951" i="10"/>
  <c r="B1951" i="10"/>
  <c r="C1951" i="10"/>
  <c r="D1951" i="10"/>
  <c r="E1951" i="10"/>
  <c r="F1951" i="10"/>
  <c r="A1952" i="10"/>
  <c r="B1952" i="10"/>
  <c r="C1952" i="10"/>
  <c r="D1952" i="10"/>
  <c r="E1952" i="10"/>
  <c r="F1952" i="10"/>
  <c r="A1953" i="10"/>
  <c r="B1953" i="10"/>
  <c r="C1953" i="10"/>
  <c r="D1953" i="10"/>
  <c r="E1953" i="10"/>
  <c r="F1953" i="10"/>
  <c r="A1954" i="10"/>
  <c r="B1954" i="10"/>
  <c r="C1954" i="10"/>
  <c r="D1954" i="10"/>
  <c r="E1954" i="10"/>
  <c r="F1954" i="10"/>
  <c r="A1955" i="10"/>
  <c r="B1955" i="10"/>
  <c r="C1955" i="10"/>
  <c r="D1955" i="10"/>
  <c r="E1955" i="10"/>
  <c r="F1955" i="10"/>
  <c r="A1956" i="10"/>
  <c r="B1956" i="10"/>
  <c r="C1956" i="10"/>
  <c r="D1956" i="10"/>
  <c r="E1956" i="10"/>
  <c r="F1956" i="10"/>
  <c r="A1957" i="10"/>
  <c r="B1957" i="10"/>
  <c r="C1957" i="10"/>
  <c r="D1957" i="10"/>
  <c r="E1957" i="10"/>
  <c r="F1957" i="10"/>
  <c r="A1958" i="10"/>
  <c r="B1958" i="10"/>
  <c r="C1958" i="10"/>
  <c r="D1958" i="10"/>
  <c r="E1958" i="10"/>
  <c r="F1958" i="10"/>
  <c r="A1959" i="10"/>
  <c r="B1959" i="10"/>
  <c r="C1959" i="10"/>
  <c r="D1959" i="10"/>
  <c r="E1959" i="10"/>
  <c r="F1959" i="10"/>
  <c r="A1960" i="10"/>
  <c r="B1960" i="10"/>
  <c r="C1960" i="10"/>
  <c r="D1960" i="10"/>
  <c r="E1960" i="10"/>
  <c r="F1960" i="10"/>
  <c r="A1961" i="10"/>
  <c r="B1961" i="10"/>
  <c r="C1961" i="10"/>
  <c r="D1961" i="10"/>
  <c r="E1961" i="10"/>
  <c r="F1961" i="10"/>
  <c r="A1962" i="10"/>
  <c r="B1962" i="10"/>
  <c r="C1962" i="10"/>
  <c r="F1962" i="10"/>
  <c r="A1963" i="10"/>
  <c r="B1963" i="10"/>
  <c r="C1963" i="10"/>
  <c r="F1963" i="10"/>
  <c r="A1964" i="10"/>
  <c r="B1964" i="10"/>
  <c r="C1964" i="10"/>
  <c r="F1964" i="10"/>
  <c r="A1965" i="10"/>
  <c r="B1965" i="10"/>
  <c r="C1965" i="10"/>
  <c r="F1965" i="10"/>
  <c r="A1966" i="10"/>
  <c r="B1966" i="10"/>
  <c r="C1966" i="10"/>
  <c r="F1966" i="10"/>
  <c r="A1967" i="10"/>
  <c r="B1967" i="10"/>
  <c r="C1967" i="10"/>
  <c r="D1967" i="10"/>
  <c r="E1967" i="10"/>
  <c r="F1967" i="10"/>
  <c r="A1968" i="10"/>
  <c r="B1968" i="10"/>
  <c r="C1968" i="10"/>
  <c r="D1968" i="10"/>
  <c r="E1968" i="10"/>
  <c r="F1968" i="10"/>
  <c r="A1969" i="10"/>
  <c r="B1969" i="10"/>
  <c r="C1969" i="10"/>
  <c r="D1969" i="10"/>
  <c r="E1969" i="10"/>
  <c r="F1969" i="10"/>
  <c r="A1970" i="10"/>
  <c r="B1970" i="10"/>
  <c r="C1970" i="10"/>
  <c r="D1970" i="10"/>
  <c r="E1970" i="10"/>
  <c r="F1970" i="10"/>
  <c r="A1971" i="10"/>
  <c r="B1971" i="10"/>
  <c r="C1971" i="10"/>
  <c r="D1971" i="10"/>
  <c r="E1971" i="10"/>
  <c r="F1971" i="10"/>
  <c r="A1972" i="10"/>
  <c r="B1972" i="10"/>
  <c r="C1972" i="10"/>
  <c r="D1972" i="10"/>
  <c r="E1972" i="10"/>
  <c r="F1972" i="10"/>
  <c r="A1973" i="10"/>
  <c r="B1973" i="10"/>
  <c r="C1973" i="10"/>
  <c r="D1973" i="10"/>
  <c r="E1973" i="10"/>
  <c r="F1973" i="10"/>
  <c r="A1974" i="10"/>
  <c r="B1974" i="10"/>
  <c r="C1974" i="10"/>
  <c r="D1974" i="10"/>
  <c r="E1974" i="10"/>
  <c r="F1974" i="10"/>
  <c r="A1975" i="10"/>
  <c r="B1975" i="10"/>
  <c r="C1975" i="10"/>
  <c r="D1975" i="10"/>
  <c r="E1975" i="10"/>
  <c r="F1975" i="10"/>
  <c r="A1976" i="10"/>
  <c r="B1976" i="10"/>
  <c r="C1976" i="10"/>
  <c r="D1976" i="10"/>
  <c r="E1976" i="10"/>
  <c r="F1976" i="10"/>
  <c r="A1977" i="10"/>
  <c r="B1977" i="10"/>
  <c r="C1977" i="10"/>
  <c r="D1977" i="10"/>
  <c r="E1977" i="10"/>
  <c r="F1977" i="10"/>
  <c r="A1978" i="10"/>
  <c r="B1978" i="10"/>
  <c r="C1978" i="10"/>
  <c r="D1978" i="10"/>
  <c r="E1978" i="10"/>
  <c r="F1978" i="10"/>
  <c r="A1979" i="10"/>
  <c r="B1979" i="10"/>
  <c r="C1979" i="10"/>
  <c r="D1979" i="10"/>
  <c r="E1979" i="10"/>
  <c r="F1979" i="10"/>
  <c r="A1980" i="10"/>
  <c r="B1980" i="10"/>
  <c r="C1980" i="10"/>
  <c r="D1980" i="10"/>
  <c r="E1980" i="10"/>
  <c r="F1980" i="10"/>
  <c r="A1981" i="10"/>
  <c r="B1981" i="10"/>
  <c r="C1981" i="10"/>
  <c r="D1981" i="10"/>
  <c r="E1981" i="10"/>
  <c r="F1981" i="10"/>
  <c r="A1982" i="10"/>
  <c r="B1982" i="10"/>
  <c r="C1982" i="10"/>
  <c r="D1982" i="10"/>
  <c r="E1982" i="10"/>
  <c r="F1982" i="10"/>
  <c r="A1983" i="10"/>
  <c r="B1983" i="10"/>
  <c r="C1983" i="10"/>
  <c r="D1983" i="10"/>
  <c r="E1983" i="10"/>
  <c r="F1983" i="10"/>
  <c r="A1984" i="10"/>
  <c r="B1984" i="10"/>
  <c r="C1984" i="10"/>
  <c r="D1984" i="10"/>
  <c r="A1985" i="10"/>
  <c r="B1985" i="10"/>
  <c r="C1985" i="10"/>
  <c r="D1985" i="10"/>
  <c r="A1986" i="10"/>
  <c r="B1986" i="10"/>
  <c r="C1986" i="10"/>
  <c r="D1986" i="10"/>
  <c r="A1987" i="10"/>
  <c r="B1987" i="10"/>
  <c r="C1987" i="10"/>
  <c r="D1987" i="10"/>
  <c r="A1991" i="10"/>
  <c r="B1991" i="10"/>
  <c r="C1991" i="10"/>
  <c r="D1991" i="10"/>
  <c r="E1991" i="10"/>
  <c r="F1991" i="10"/>
  <c r="A1992" i="10"/>
  <c r="B1992" i="10"/>
  <c r="C1992" i="10"/>
  <c r="D1992" i="10"/>
  <c r="E1992" i="10"/>
  <c r="F1992" i="10"/>
  <c r="A1993" i="10"/>
  <c r="B1993" i="10"/>
  <c r="C1993" i="10"/>
  <c r="D1993" i="10"/>
  <c r="E1993" i="10"/>
  <c r="F1993" i="10"/>
  <c r="A1994" i="10"/>
  <c r="B1994" i="10"/>
  <c r="C1994" i="10"/>
  <c r="D1994" i="10"/>
  <c r="E1994" i="10"/>
  <c r="F1994" i="10"/>
  <c r="A1995" i="10"/>
  <c r="B1995" i="10"/>
  <c r="C1995" i="10"/>
  <c r="D1995" i="10"/>
  <c r="E1995" i="10"/>
  <c r="F1995" i="10"/>
  <c r="A1996" i="10"/>
  <c r="B1996" i="10"/>
  <c r="C1996" i="10"/>
  <c r="D1996" i="10"/>
  <c r="E1996" i="10"/>
  <c r="F1996" i="10"/>
  <c r="A1997" i="10"/>
  <c r="B1997" i="10"/>
  <c r="C1997" i="10"/>
  <c r="D1997" i="10"/>
  <c r="E1997" i="10"/>
  <c r="F1997" i="10"/>
  <c r="A1998" i="10"/>
  <c r="B1998" i="10"/>
  <c r="C1998" i="10"/>
  <c r="D1998" i="10"/>
  <c r="E1998" i="10"/>
  <c r="F1998" i="10"/>
  <c r="A1999" i="10"/>
  <c r="B1999" i="10"/>
  <c r="C1999" i="10"/>
  <c r="D1999" i="10"/>
  <c r="E1999" i="10"/>
  <c r="F1999" i="10"/>
  <c r="A2000" i="10"/>
  <c r="B2000" i="10"/>
  <c r="C2000" i="10"/>
  <c r="D2000" i="10"/>
  <c r="E2000" i="10"/>
  <c r="F2000" i="10"/>
  <c r="A2001" i="10"/>
  <c r="B2001" i="10"/>
  <c r="C2001" i="10"/>
  <c r="D2001" i="10"/>
  <c r="E2001" i="10"/>
  <c r="F2001" i="10"/>
  <c r="A2002" i="10"/>
  <c r="B2002" i="10"/>
  <c r="C2002" i="10"/>
  <c r="D2002" i="10"/>
  <c r="E2002" i="10"/>
  <c r="F2002" i="10"/>
  <c r="A2003" i="10"/>
  <c r="B2003" i="10"/>
  <c r="C2003" i="10"/>
  <c r="D2003" i="10"/>
  <c r="E2003" i="10"/>
  <c r="F2003" i="10"/>
  <c r="A2004" i="10"/>
  <c r="B2004" i="10"/>
  <c r="C2004" i="10"/>
  <c r="D2004" i="10"/>
  <c r="E2004" i="10"/>
  <c r="F2004" i="10"/>
  <c r="A2005" i="10"/>
  <c r="B2005" i="10"/>
  <c r="C2005" i="10"/>
  <c r="D2005" i="10"/>
  <c r="E2005" i="10"/>
  <c r="F2005" i="10"/>
  <c r="A2006" i="10"/>
  <c r="B2006" i="10"/>
  <c r="C2006" i="10"/>
  <c r="D2006" i="10"/>
  <c r="E2006" i="10"/>
  <c r="F2006" i="10"/>
  <c r="A2007" i="10"/>
  <c r="B2007" i="10"/>
  <c r="C2007" i="10"/>
  <c r="D2007" i="10"/>
  <c r="E2007" i="10"/>
  <c r="F2007" i="10"/>
  <c r="A2008" i="10"/>
  <c r="B2008" i="10"/>
  <c r="C2008" i="10"/>
  <c r="D2008" i="10"/>
  <c r="E2008" i="10"/>
  <c r="F2008" i="10"/>
  <c r="A2037" i="10"/>
  <c r="B2037" i="10"/>
  <c r="C2037" i="10"/>
  <c r="D2037" i="10"/>
  <c r="E2037" i="10"/>
  <c r="F2037" i="10"/>
  <c r="A2038" i="10"/>
  <c r="B2038" i="10"/>
  <c r="C2038" i="10"/>
  <c r="D2038" i="10"/>
  <c r="E2038" i="10"/>
  <c r="F2038" i="10"/>
  <c r="A2039" i="10"/>
  <c r="B2039" i="10"/>
  <c r="C2039" i="10"/>
  <c r="D2039" i="10"/>
  <c r="E2039" i="10"/>
  <c r="F2039" i="10"/>
  <c r="A2040" i="10"/>
  <c r="B2040" i="10"/>
  <c r="C2040" i="10"/>
  <c r="D2040" i="10"/>
  <c r="E2040" i="10"/>
  <c r="F2040" i="10"/>
  <c r="A2041" i="10"/>
  <c r="B2041" i="10"/>
  <c r="C2041" i="10"/>
  <c r="D2041" i="10"/>
  <c r="E2041" i="10"/>
  <c r="F2041" i="10"/>
  <c r="A2042" i="10"/>
  <c r="B2042" i="10"/>
  <c r="C2042" i="10"/>
  <c r="D2042" i="10"/>
  <c r="E2042" i="10"/>
  <c r="F2042" i="10"/>
  <c r="A2043" i="10"/>
  <c r="B2043" i="10"/>
  <c r="C2043" i="10"/>
  <c r="D2043" i="10"/>
  <c r="E2043" i="10"/>
  <c r="F2043" i="10"/>
  <c r="A2044" i="10"/>
  <c r="B2044" i="10"/>
  <c r="C2044" i="10"/>
  <c r="D2044" i="10"/>
  <c r="E2044" i="10"/>
  <c r="F2044" i="10"/>
  <c r="A2045" i="10"/>
  <c r="B2045" i="10"/>
  <c r="C2045" i="10"/>
  <c r="D2045" i="10"/>
  <c r="E2045" i="10"/>
  <c r="F2045" i="10"/>
  <c r="A2046" i="10"/>
  <c r="B2046" i="10"/>
  <c r="C2046" i="10"/>
  <c r="D2046" i="10"/>
  <c r="E2046" i="10"/>
  <c r="F2046" i="10"/>
  <c r="A2047" i="10"/>
  <c r="B2047" i="10"/>
  <c r="C2047" i="10"/>
  <c r="D2047" i="10"/>
  <c r="E2047" i="10"/>
  <c r="F2047" i="10"/>
  <c r="A2048" i="10"/>
  <c r="B2048" i="10"/>
  <c r="C2048" i="10"/>
  <c r="D2048" i="10"/>
  <c r="E2048" i="10"/>
  <c r="F2048" i="10"/>
  <c r="A2049" i="10"/>
  <c r="B2049" i="10"/>
  <c r="C2049" i="10"/>
  <c r="D2049" i="10"/>
  <c r="E2049" i="10"/>
  <c r="F2049" i="10"/>
  <c r="A2050" i="10"/>
  <c r="B2050" i="10"/>
  <c r="C2050" i="10"/>
  <c r="D2050" i="10"/>
  <c r="E2050" i="10"/>
  <c r="F2050" i="10"/>
  <c r="A2051" i="10"/>
  <c r="B2051" i="10"/>
  <c r="C2051" i="10"/>
  <c r="D2051" i="10"/>
  <c r="E2051" i="10"/>
  <c r="F2051" i="10"/>
  <c r="A2052" i="10"/>
  <c r="B2052" i="10"/>
  <c r="C2052" i="10"/>
  <c r="D2052" i="10"/>
  <c r="E2052" i="10"/>
  <c r="F2052" i="10"/>
  <c r="A2053" i="10"/>
  <c r="B2053" i="10"/>
  <c r="C2053" i="10"/>
  <c r="D2053" i="10"/>
  <c r="E2053" i="10"/>
  <c r="F2053" i="10"/>
  <c r="A2054" i="10"/>
  <c r="B2054" i="10"/>
  <c r="C2054" i="10"/>
  <c r="D2054" i="10"/>
  <c r="E2054" i="10"/>
  <c r="F2054" i="10"/>
  <c r="A2055" i="10"/>
  <c r="B2055" i="10"/>
  <c r="C2055" i="10"/>
  <c r="D2055" i="10"/>
  <c r="E2055" i="10"/>
  <c r="F2055" i="10"/>
  <c r="A2056" i="10"/>
  <c r="B2056" i="10"/>
  <c r="C2056" i="10"/>
  <c r="D2056" i="10"/>
  <c r="E2056" i="10"/>
  <c r="F2056" i="10"/>
  <c r="A2057" i="10"/>
  <c r="B2057" i="10"/>
  <c r="C2057" i="10"/>
  <c r="D2057" i="10"/>
  <c r="E2057" i="10"/>
  <c r="F2057" i="10"/>
  <c r="A2058" i="10"/>
  <c r="B2058" i="10"/>
  <c r="C2058" i="10"/>
  <c r="D2058" i="10"/>
  <c r="E2058" i="10"/>
  <c r="F2058" i="10"/>
  <c r="A2059" i="10"/>
  <c r="B2059" i="10"/>
  <c r="C2059" i="10"/>
  <c r="D2059" i="10"/>
  <c r="E2059" i="10"/>
  <c r="F2059" i="10"/>
  <c r="A2060" i="10"/>
  <c r="B2060" i="10"/>
  <c r="C2060" i="10"/>
  <c r="D2060" i="10"/>
  <c r="E2060" i="10"/>
  <c r="F2060" i="10"/>
  <c r="A2061" i="10"/>
  <c r="B2061" i="10"/>
  <c r="C2061" i="10"/>
  <c r="D2061" i="10"/>
  <c r="E2061" i="10"/>
  <c r="F2061" i="10"/>
  <c r="A2062" i="10"/>
  <c r="B2062" i="10"/>
  <c r="C2062" i="10"/>
  <c r="D2062" i="10"/>
  <c r="E2062" i="10"/>
  <c r="F2062" i="10"/>
  <c r="A2063" i="10"/>
  <c r="B2063" i="10"/>
  <c r="C2063" i="10"/>
  <c r="D2063" i="10"/>
  <c r="E2063" i="10"/>
  <c r="F2063" i="10"/>
  <c r="A2070" i="10"/>
  <c r="B2070" i="10"/>
  <c r="C2070" i="10"/>
  <c r="D2070" i="10"/>
  <c r="E2070" i="10"/>
  <c r="F2070" i="10"/>
  <c r="A2071" i="10"/>
  <c r="B2071" i="10"/>
  <c r="C2071" i="10"/>
  <c r="D2071" i="10"/>
  <c r="E2071" i="10"/>
  <c r="F2071" i="10"/>
  <c r="A2072" i="10"/>
  <c r="B2072" i="10"/>
  <c r="C2072" i="10"/>
  <c r="D2072" i="10"/>
  <c r="E2072" i="10"/>
  <c r="F2072" i="10"/>
  <c r="A2073" i="10"/>
  <c r="B2073" i="10"/>
  <c r="C2073" i="10"/>
  <c r="D2073" i="10"/>
  <c r="E2073" i="10"/>
  <c r="F2073" i="10"/>
  <c r="A2074" i="10"/>
  <c r="B2074" i="10"/>
  <c r="C2074" i="10"/>
  <c r="D2074" i="10"/>
  <c r="E2074" i="10"/>
  <c r="F2074" i="10"/>
  <c r="A2075" i="10"/>
  <c r="B2075" i="10"/>
  <c r="C2075" i="10"/>
  <c r="D2075" i="10"/>
  <c r="E2075" i="10"/>
  <c r="F2075" i="10"/>
  <c r="A2076" i="10"/>
  <c r="B2076" i="10"/>
  <c r="C2076" i="10"/>
  <c r="D2076" i="10"/>
  <c r="E2076" i="10"/>
  <c r="F2076" i="10"/>
  <c r="A2077" i="10"/>
  <c r="B2077" i="10"/>
  <c r="C2077" i="10"/>
  <c r="D2077" i="10"/>
  <c r="E2077" i="10"/>
  <c r="F2077" i="10"/>
  <c r="A2078" i="10"/>
  <c r="B2078" i="10"/>
  <c r="C2078" i="10"/>
  <c r="D2078" i="10"/>
  <c r="E2078" i="10"/>
  <c r="F2078" i="10"/>
  <c r="A2079" i="10"/>
  <c r="B2079" i="10"/>
  <c r="C2079" i="10"/>
  <c r="D2079" i="10"/>
  <c r="E2079" i="10"/>
  <c r="F2079" i="10"/>
  <c r="A2080" i="10"/>
  <c r="B2080" i="10"/>
  <c r="C2080" i="10"/>
  <c r="D2080" i="10"/>
  <c r="E2080" i="10"/>
  <c r="F2080" i="10"/>
  <c r="A2081" i="10"/>
  <c r="B2081" i="10"/>
  <c r="C2081" i="10"/>
  <c r="D2081" i="10"/>
  <c r="E2081" i="10"/>
  <c r="F2081" i="10"/>
  <c r="A2082" i="10"/>
  <c r="B2082" i="10"/>
  <c r="C2082" i="10"/>
  <c r="D2082" i="10"/>
  <c r="E2082" i="10"/>
  <c r="F2082" i="10"/>
  <c r="A2083" i="10"/>
  <c r="B2083" i="10"/>
  <c r="C2083" i="10"/>
  <c r="D2083" i="10"/>
  <c r="E2083" i="10"/>
  <c r="F2083" i="10"/>
  <c r="A2084" i="10"/>
  <c r="B2084" i="10"/>
  <c r="C2084" i="10"/>
  <c r="D2084" i="10"/>
  <c r="E2084" i="10"/>
  <c r="F2084" i="10"/>
  <c r="A2085" i="10"/>
  <c r="B2085" i="10"/>
  <c r="C2085" i="10"/>
  <c r="D2085" i="10"/>
  <c r="E2085" i="10"/>
  <c r="F2085" i="10"/>
  <c r="A2086" i="10"/>
  <c r="B2086" i="10"/>
  <c r="C2086" i="10"/>
  <c r="D2086" i="10"/>
  <c r="E2086" i="10"/>
  <c r="F2086" i="10"/>
  <c r="A2087" i="10"/>
  <c r="B2087" i="10"/>
  <c r="C2087" i="10"/>
  <c r="D2087" i="10"/>
  <c r="E2087" i="10"/>
  <c r="F2087" i="10"/>
  <c r="A2088" i="10"/>
  <c r="B2088" i="10"/>
  <c r="C2088" i="10"/>
  <c r="D2088" i="10"/>
  <c r="E2088" i="10"/>
  <c r="F2088" i="10"/>
  <c r="A2089" i="10"/>
  <c r="B2089" i="10"/>
  <c r="C2089" i="10"/>
  <c r="D2089" i="10"/>
  <c r="E2089" i="10"/>
  <c r="F2089" i="10"/>
  <c r="A2090" i="10"/>
  <c r="B2090" i="10"/>
  <c r="C2090" i="10"/>
  <c r="D2090" i="10"/>
  <c r="E2090" i="10"/>
  <c r="F2090" i="10"/>
  <c r="A2091" i="10"/>
  <c r="B2091" i="10"/>
  <c r="C2091" i="10"/>
  <c r="D2091" i="10"/>
  <c r="E2091" i="10"/>
  <c r="F2091" i="10"/>
  <c r="A2092" i="10"/>
  <c r="B2092" i="10"/>
  <c r="C2092" i="10"/>
  <c r="D2092" i="10"/>
  <c r="E2092" i="10"/>
  <c r="F2092" i="10"/>
  <c r="A2093" i="10"/>
  <c r="B2093" i="10"/>
  <c r="C2093" i="10"/>
  <c r="D2093" i="10"/>
  <c r="E2093" i="10"/>
  <c r="F2093" i="10"/>
  <c r="A2094" i="10"/>
  <c r="B2094" i="10"/>
  <c r="C2094" i="10"/>
  <c r="D2094" i="10"/>
  <c r="E2094" i="10"/>
  <c r="F2094" i="10"/>
  <c r="A2095" i="10"/>
  <c r="B2095" i="10"/>
  <c r="C2095" i="10"/>
  <c r="D2095" i="10"/>
  <c r="E2095" i="10"/>
  <c r="F2095" i="10"/>
  <c r="A2096" i="10"/>
  <c r="B2096" i="10"/>
  <c r="C2096" i="10"/>
  <c r="D2096" i="10"/>
  <c r="E2096" i="10"/>
  <c r="F2096" i="10"/>
  <c r="A2097" i="10"/>
  <c r="B2097" i="10"/>
  <c r="C2097" i="10"/>
  <c r="D2097" i="10"/>
  <c r="E2097" i="10"/>
  <c r="F2097" i="10"/>
  <c r="A2098" i="10"/>
  <c r="B2098" i="10"/>
  <c r="C2098" i="10"/>
  <c r="D2098" i="10"/>
  <c r="E2098" i="10"/>
  <c r="F2098" i="10"/>
  <c r="A2099" i="10"/>
  <c r="B2099" i="10"/>
  <c r="C2099" i="10"/>
  <c r="D2099" i="10"/>
  <c r="E2099" i="10"/>
  <c r="F2099" i="10"/>
  <c r="A2100" i="10"/>
  <c r="B2100" i="10"/>
  <c r="C2100" i="10"/>
  <c r="D2100" i="10"/>
  <c r="E2100" i="10"/>
  <c r="F2100" i="10"/>
  <c r="A2101" i="10"/>
  <c r="B2101" i="10"/>
  <c r="C2101" i="10"/>
  <c r="D2101" i="10"/>
  <c r="E2101" i="10"/>
  <c r="F2101" i="10"/>
  <c r="A2102" i="10"/>
  <c r="B2102" i="10"/>
  <c r="C2102" i="10"/>
  <c r="D2102" i="10"/>
  <c r="E2102" i="10"/>
  <c r="F2102" i="10"/>
  <c r="A2103" i="10"/>
  <c r="B2103" i="10"/>
  <c r="C2103" i="10"/>
  <c r="D2103" i="10"/>
  <c r="E2103" i="10"/>
  <c r="F2103" i="10"/>
  <c r="A2104" i="10"/>
  <c r="B2104" i="10"/>
  <c r="C2104" i="10"/>
  <c r="D2104" i="10"/>
  <c r="E2104" i="10"/>
  <c r="F2104" i="10"/>
  <c r="A2105" i="10"/>
  <c r="B2105" i="10"/>
  <c r="C2105" i="10"/>
  <c r="D2105" i="10"/>
  <c r="E2105" i="10"/>
  <c r="F2105" i="10"/>
  <c r="A2106" i="10"/>
  <c r="B2106" i="10"/>
  <c r="C2106" i="10"/>
  <c r="D2106" i="10"/>
  <c r="E2106" i="10"/>
  <c r="F2106" i="10"/>
  <c r="A2107" i="10"/>
  <c r="B2107" i="10"/>
  <c r="C2107" i="10"/>
  <c r="D2107" i="10"/>
  <c r="E2107" i="10"/>
  <c r="F2107" i="10"/>
  <c r="A2108" i="10"/>
  <c r="B2108" i="10"/>
  <c r="C2108" i="10"/>
  <c r="D2108" i="10"/>
  <c r="E2108" i="10"/>
  <c r="F2108" i="10"/>
  <c r="A2109" i="10"/>
  <c r="B2109" i="10"/>
  <c r="C2109" i="10"/>
  <c r="D2109" i="10"/>
  <c r="E2109" i="10"/>
  <c r="F2109" i="10"/>
  <c r="A2110" i="10"/>
  <c r="B2110" i="10"/>
  <c r="C2110" i="10"/>
  <c r="D2110" i="10"/>
  <c r="E2110" i="10"/>
  <c r="F2110" i="10"/>
  <c r="A2111" i="10"/>
  <c r="B2111" i="10"/>
  <c r="C2111" i="10"/>
  <c r="D2111" i="10"/>
  <c r="E2111" i="10"/>
  <c r="F2111" i="10"/>
  <c r="A2112" i="10"/>
  <c r="B2112" i="10"/>
  <c r="C2112" i="10"/>
  <c r="D2112" i="10"/>
  <c r="E2112" i="10"/>
  <c r="F2112" i="10"/>
  <c r="A2113" i="10"/>
  <c r="B2113" i="10"/>
  <c r="C2113" i="10"/>
  <c r="D2113" i="10"/>
  <c r="E2113" i="10"/>
  <c r="F2113" i="10"/>
  <c r="A2114" i="10"/>
  <c r="B2114" i="10"/>
  <c r="C2114" i="10"/>
  <c r="D2114" i="10"/>
  <c r="E2114" i="10"/>
  <c r="F2114" i="10"/>
  <c r="A2115" i="10"/>
  <c r="B2115" i="10"/>
  <c r="C2115" i="10"/>
  <c r="D2115" i="10"/>
  <c r="E2115" i="10"/>
  <c r="F2115" i="10"/>
  <c r="A2116" i="10"/>
  <c r="B2116" i="10"/>
  <c r="C2116" i="10"/>
  <c r="D2116" i="10"/>
  <c r="E2116" i="10"/>
  <c r="F2116" i="10"/>
  <c r="A2117" i="10"/>
  <c r="B2117" i="10"/>
  <c r="C2117" i="10"/>
  <c r="D2117" i="10"/>
  <c r="E2117" i="10"/>
  <c r="F2117" i="10"/>
  <c r="A2118" i="10"/>
  <c r="B2118" i="10"/>
  <c r="C2118" i="10"/>
  <c r="D2118" i="10"/>
  <c r="E2118" i="10"/>
  <c r="F2118" i="10"/>
  <c r="A2119" i="10"/>
  <c r="B2119" i="10"/>
  <c r="C2119" i="10"/>
  <c r="D2119" i="10"/>
  <c r="E2119" i="10"/>
  <c r="F2119" i="10"/>
  <c r="A2120" i="10"/>
  <c r="B2120" i="10"/>
  <c r="C2120" i="10"/>
  <c r="D2120" i="10"/>
  <c r="E2120" i="10"/>
  <c r="F2120" i="10"/>
  <c r="A2121" i="10"/>
  <c r="B2121" i="10"/>
  <c r="C2121" i="10"/>
  <c r="D2121" i="10"/>
  <c r="E2121" i="10"/>
  <c r="F2121" i="10"/>
  <c r="A2122" i="10"/>
  <c r="B2122" i="10"/>
  <c r="C2122" i="10"/>
  <c r="D2122" i="10"/>
  <c r="E2122" i="10"/>
  <c r="F2122" i="10"/>
  <c r="A2123" i="10"/>
  <c r="B2123" i="10"/>
  <c r="C2123" i="10"/>
  <c r="D2123" i="10"/>
  <c r="E2123" i="10"/>
  <c r="F2123" i="10"/>
  <c r="A2124" i="10"/>
  <c r="B2124" i="10"/>
  <c r="C2124" i="10"/>
  <c r="D2124" i="10"/>
  <c r="E2124" i="10"/>
  <c r="F2124" i="10"/>
  <c r="A2125" i="10"/>
  <c r="B2125" i="10"/>
  <c r="C2125" i="10"/>
  <c r="D2125" i="10"/>
  <c r="E2125" i="10"/>
  <c r="F2125" i="10"/>
  <c r="A2126" i="10"/>
  <c r="B2126" i="10"/>
  <c r="C2126" i="10"/>
  <c r="D2126" i="10"/>
  <c r="E2126" i="10"/>
  <c r="F2126" i="10"/>
  <c r="A2127" i="10"/>
  <c r="B2127" i="10"/>
  <c r="C2127" i="10"/>
  <c r="D2127" i="10"/>
  <c r="E2127" i="10"/>
  <c r="F2127" i="10"/>
  <c r="A2128" i="10"/>
  <c r="B2128" i="10"/>
  <c r="C2128" i="10"/>
  <c r="D2128" i="10"/>
  <c r="E2128" i="10"/>
  <c r="F2128" i="10"/>
  <c r="A2129" i="10"/>
  <c r="B2129" i="10"/>
  <c r="C2129" i="10"/>
  <c r="D2129" i="10"/>
  <c r="E2129" i="10"/>
  <c r="F2129" i="10"/>
  <c r="A2130" i="10"/>
  <c r="B2130" i="10"/>
  <c r="C2130" i="10"/>
  <c r="D2130" i="10"/>
  <c r="E2130" i="10"/>
  <c r="F2130" i="10"/>
  <c r="A2131" i="10"/>
  <c r="B2131" i="10"/>
  <c r="C2131" i="10"/>
  <c r="D2131" i="10"/>
  <c r="E2131" i="10"/>
  <c r="F2131" i="10"/>
  <c r="A2132" i="10"/>
  <c r="B2132" i="10"/>
  <c r="C2132" i="10"/>
  <c r="D2132" i="10"/>
  <c r="E2132" i="10"/>
  <c r="F2132" i="10"/>
  <c r="A2133" i="10"/>
  <c r="B2133" i="10"/>
  <c r="C2133" i="10"/>
  <c r="D2133" i="10"/>
  <c r="E2133" i="10"/>
  <c r="F2133" i="10"/>
  <c r="A2134" i="10"/>
  <c r="B2134" i="10"/>
  <c r="C2134" i="10"/>
  <c r="D2134" i="10"/>
  <c r="E2134" i="10"/>
  <c r="F2134" i="10"/>
  <c r="A2135" i="10"/>
  <c r="B2135" i="10"/>
  <c r="C2135" i="10"/>
  <c r="D2135" i="10"/>
  <c r="E2135" i="10"/>
  <c r="F2135" i="10"/>
  <c r="A2136" i="10"/>
  <c r="B2136" i="10"/>
  <c r="C2136" i="10"/>
  <c r="D2136" i="10"/>
  <c r="E2136" i="10"/>
  <c r="F2136" i="10"/>
  <c r="A2137" i="10"/>
  <c r="B2137" i="10"/>
  <c r="C2137" i="10"/>
  <c r="D2137" i="10"/>
  <c r="E2137" i="10"/>
  <c r="F2137" i="10"/>
  <c r="A2138" i="10"/>
  <c r="B2138" i="10"/>
  <c r="C2138" i="10"/>
  <c r="D2138" i="10"/>
  <c r="E2138" i="10"/>
  <c r="F2138" i="10"/>
  <c r="A2139" i="10"/>
  <c r="B2139" i="10"/>
  <c r="C2139" i="10"/>
  <c r="D2139" i="10"/>
  <c r="E2139" i="10"/>
  <c r="F2139" i="10"/>
  <c r="A2140" i="10"/>
  <c r="B2140" i="10"/>
  <c r="C2140" i="10"/>
  <c r="D2140" i="10"/>
  <c r="E2140" i="10"/>
  <c r="F2140" i="10"/>
  <c r="A2141" i="10"/>
  <c r="B2141" i="10"/>
  <c r="C2141" i="10"/>
  <c r="D2141" i="10"/>
  <c r="E2141" i="10"/>
  <c r="F2141" i="10"/>
  <c r="A2142" i="10"/>
  <c r="B2142" i="10"/>
  <c r="C2142" i="10"/>
  <c r="D2142" i="10"/>
  <c r="E2142" i="10"/>
  <c r="F2142" i="10"/>
  <c r="A2143" i="10"/>
  <c r="B2143" i="10"/>
  <c r="C2143" i="10"/>
  <c r="D2143" i="10"/>
  <c r="E2143" i="10"/>
  <c r="F2143" i="10"/>
  <c r="A2144" i="10"/>
  <c r="B2144" i="10"/>
  <c r="C2144" i="10"/>
  <c r="D2144" i="10"/>
  <c r="E2144" i="10"/>
  <c r="F2144" i="10"/>
  <c r="A2149" i="10"/>
  <c r="B2149" i="10"/>
  <c r="C2149" i="10"/>
  <c r="E2149" i="10"/>
  <c r="F2149" i="10"/>
  <c r="B2150" i="10"/>
  <c r="C2150" i="10"/>
  <c r="D2150" i="10"/>
  <c r="E2150" i="10"/>
  <c r="F2150" i="10"/>
  <c r="C2152" i="10"/>
  <c r="D2152" i="10"/>
  <c r="E2152" i="10"/>
  <c r="F2152" i="10"/>
  <c r="C2153" i="10"/>
  <c r="D2153" i="10"/>
  <c r="E2153" i="10"/>
  <c r="F2153" i="10"/>
  <c r="C2154" i="10"/>
  <c r="D2154" i="10"/>
  <c r="E2154" i="10"/>
  <c r="F2154" i="10"/>
  <c r="B2155" i="10"/>
  <c r="C2155" i="10"/>
  <c r="D2155" i="10"/>
  <c r="E2155" i="10"/>
  <c r="F2155" i="10"/>
  <c r="B2156" i="10"/>
  <c r="C2156" i="10"/>
  <c r="D2156" i="10"/>
  <c r="E2156" i="10"/>
  <c r="F2156" i="10"/>
  <c r="B2163" i="10"/>
  <c r="C2163" i="10"/>
  <c r="D2163" i="10"/>
  <c r="E2163" i="10"/>
  <c r="F2163" i="10"/>
  <c r="B2171" i="10"/>
  <c r="C2171" i="10"/>
  <c r="D2171" i="10"/>
  <c r="E2171" i="10"/>
  <c r="F2171" i="10"/>
  <c r="C2172" i="10"/>
  <c r="D2172" i="10"/>
  <c r="E2172" i="10"/>
  <c r="F2172" i="10"/>
  <c r="B2177" i="10"/>
  <c r="C2177" i="10"/>
  <c r="D2177" i="10"/>
  <c r="E2177" i="10"/>
  <c r="F2177" i="10"/>
  <c r="B2180" i="10"/>
  <c r="B2181" i="10"/>
  <c r="B2182" i="10"/>
  <c r="B2183" i="10"/>
  <c r="B2184" i="10"/>
  <c r="B2185" i="10"/>
  <c r="B2186" i="10"/>
  <c r="B2187" i="10"/>
  <c r="C2187" i="10"/>
  <c r="D2187" i="10"/>
  <c r="E2187" i="10"/>
  <c r="F2187" i="10"/>
  <c r="B2189" i="10"/>
  <c r="C2189" i="10"/>
  <c r="D2189" i="10"/>
  <c r="E2189" i="10"/>
  <c r="F2189" i="10"/>
  <c r="B2192" i="10"/>
  <c r="B2195" i="10"/>
  <c r="C2195" i="10"/>
  <c r="D2195" i="10"/>
  <c r="E2195" i="10"/>
  <c r="F2195" i="10"/>
  <c r="B2202" i="10"/>
  <c r="C2202" i="10"/>
  <c r="D2202" i="10"/>
  <c r="E2202" i="10"/>
  <c r="F2202" i="10"/>
  <c r="B2203" i="10"/>
  <c r="C2203" i="10"/>
  <c r="D2203" i="10"/>
  <c r="E2203" i="10"/>
  <c r="F2203" i="10"/>
  <c r="B2204" i="10"/>
  <c r="C2204" i="10"/>
  <c r="D2204" i="10"/>
  <c r="E2204" i="10"/>
  <c r="F2204" i="10"/>
  <c r="B2206" i="10"/>
  <c r="C2206" i="10"/>
  <c r="D2206" i="10"/>
  <c r="E2206" i="10"/>
  <c r="F2206" i="10"/>
  <c r="B2211" i="10"/>
  <c r="C2211" i="10"/>
  <c r="D2211" i="10"/>
  <c r="E2211" i="10"/>
  <c r="F2211" i="10"/>
  <c r="B2212" i="10"/>
  <c r="C2212" i="10"/>
  <c r="E2212" i="10"/>
  <c r="F2212" i="10"/>
  <c r="B2213" i="10"/>
  <c r="C2213" i="10"/>
  <c r="D2213" i="10"/>
  <c r="E2213" i="10"/>
  <c r="F2213" i="10"/>
  <c r="B2222" i="10"/>
  <c r="C2222" i="10"/>
  <c r="D2222" i="10"/>
  <c r="E2222" i="10"/>
  <c r="F2222" i="10"/>
  <c r="B2306" i="10"/>
  <c r="C2306" i="10"/>
  <c r="D2306" i="10"/>
  <c r="F2306" i="10"/>
  <c r="B2310" i="10"/>
  <c r="C2310" i="10"/>
  <c r="D2310" i="10"/>
  <c r="F2310" i="10"/>
  <c r="B2313" i="10"/>
  <c r="C2313" i="10"/>
  <c r="D2313" i="10"/>
  <c r="E2313" i="10"/>
  <c r="F2313" i="10"/>
  <c r="D1841" i="10"/>
  <c r="D1842" i="10"/>
  <c r="D1843" i="10"/>
  <c r="P1839" i="3"/>
  <c r="J848" i="2"/>
  <c r="A1835" i="10"/>
  <c r="B1835" i="10"/>
  <c r="C1835" i="10"/>
  <c r="D1835" i="10"/>
  <c r="E1835" i="10"/>
  <c r="F1835" i="10"/>
  <c r="G1835" i="10"/>
  <c r="H1835" i="10"/>
  <c r="A1836" i="10"/>
  <c r="B1836" i="10"/>
  <c r="C1836" i="10"/>
  <c r="D1836" i="10"/>
  <c r="E1836" i="10"/>
  <c r="F1836" i="10"/>
  <c r="G1836" i="10"/>
  <c r="H1836" i="10"/>
  <c r="A1837" i="10"/>
  <c r="B1837" i="10"/>
  <c r="C1837" i="10"/>
  <c r="D1837" i="10"/>
  <c r="E1837" i="10"/>
  <c r="F1837" i="10"/>
  <c r="G1837" i="10"/>
  <c r="H1837" i="10"/>
  <c r="A1838" i="10"/>
  <c r="B1838" i="10"/>
  <c r="C1838" i="10"/>
  <c r="D1838" i="10"/>
  <c r="E1838" i="10"/>
  <c r="F1838" i="10"/>
  <c r="G1838" i="10"/>
  <c r="H1838" i="10"/>
  <c r="A1839" i="10"/>
  <c r="B1839" i="10"/>
  <c r="C1839" i="10"/>
  <c r="D1839" i="10"/>
  <c r="E1839" i="10"/>
  <c r="F1839" i="10"/>
  <c r="G1839" i="10"/>
  <c r="H1839" i="10"/>
  <c r="A1840" i="10"/>
  <c r="B1840" i="10"/>
  <c r="C1840" i="10"/>
  <c r="D1840" i="10"/>
  <c r="E1840" i="10"/>
  <c r="F1840" i="10"/>
  <c r="G1840" i="10"/>
  <c r="H1840" i="10"/>
  <c r="A1841" i="10"/>
  <c r="B1841" i="10"/>
  <c r="C1841" i="10"/>
  <c r="E1841" i="10"/>
  <c r="F1841" i="10"/>
  <c r="G1841" i="10"/>
  <c r="H1841" i="10"/>
  <c r="A1842" i="10"/>
  <c r="B1842" i="10"/>
  <c r="C1842" i="10"/>
  <c r="E1842" i="10"/>
  <c r="F1842" i="10"/>
  <c r="G1842" i="10"/>
  <c r="H1842" i="10"/>
  <c r="A1843" i="10"/>
  <c r="B1843" i="10"/>
  <c r="C1843" i="10"/>
  <c r="E1843" i="10"/>
  <c r="F1843" i="10"/>
  <c r="G1843" i="10"/>
  <c r="H1843" i="10"/>
  <c r="G1844" i="10"/>
  <c r="H1844" i="10"/>
  <c r="G1845" i="10"/>
  <c r="H1845" i="10"/>
  <c r="G1846" i="10"/>
  <c r="H1846" i="10"/>
  <c r="G1847" i="10"/>
  <c r="H1847" i="10"/>
  <c r="G1848" i="10"/>
  <c r="H1848" i="10"/>
  <c r="G1849" i="10"/>
  <c r="H1849" i="10"/>
  <c r="G1850" i="10"/>
  <c r="H1850" i="10"/>
  <c r="G1851" i="10"/>
  <c r="H1851" i="10"/>
  <c r="G1852" i="10"/>
  <c r="H1852" i="10"/>
  <c r="G1853" i="10"/>
  <c r="H1853" i="10"/>
  <c r="G1854" i="10"/>
  <c r="H1854" i="10"/>
  <c r="G1862" i="10"/>
  <c r="H1862" i="10"/>
  <c r="G1863" i="10"/>
  <c r="H1863" i="10"/>
  <c r="G1864" i="10"/>
  <c r="H1864" i="10"/>
  <c r="G1865" i="10"/>
  <c r="H1865" i="10"/>
  <c r="G1866" i="10"/>
  <c r="H1866" i="10"/>
  <c r="G1870" i="10"/>
  <c r="H1870" i="10"/>
  <c r="G1871" i="10"/>
  <c r="H1871" i="10"/>
  <c r="G1872" i="10"/>
  <c r="H1872" i="10"/>
  <c r="G1873" i="10"/>
  <c r="H1873" i="10"/>
  <c r="G1874" i="10"/>
  <c r="H1874" i="10"/>
  <c r="G1875" i="10"/>
  <c r="H1875" i="10"/>
  <c r="G1877" i="10"/>
  <c r="H1877" i="10"/>
  <c r="G1878" i="10"/>
  <c r="H1878" i="10"/>
  <c r="G1879" i="10"/>
  <c r="H1879" i="10"/>
  <c r="G1880" i="10"/>
  <c r="H1880" i="10"/>
  <c r="G1881" i="10"/>
  <c r="H1881" i="10"/>
  <c r="G1882" i="10"/>
  <c r="H1882" i="10"/>
  <c r="G1883" i="10"/>
  <c r="H1883" i="10"/>
  <c r="G1884" i="10"/>
  <c r="H1884" i="10"/>
  <c r="G1885" i="10"/>
  <c r="H1885" i="10"/>
  <c r="G1886" i="10"/>
  <c r="H1886" i="10"/>
  <c r="G1887" i="10"/>
  <c r="H1887" i="10"/>
  <c r="G1888" i="10"/>
  <c r="H1888" i="10"/>
  <c r="G1895" i="10"/>
  <c r="H1895" i="10"/>
  <c r="G1896" i="10"/>
  <c r="H1896" i="10"/>
  <c r="G1897" i="10"/>
  <c r="H1897" i="10"/>
  <c r="G1898" i="10"/>
  <c r="H1898" i="10"/>
  <c r="G1899" i="10"/>
  <c r="H1899" i="10"/>
  <c r="G1900" i="10"/>
  <c r="H1900" i="10"/>
  <c r="G1901" i="10"/>
  <c r="H1901" i="10"/>
  <c r="G1902" i="10"/>
  <c r="H1902" i="10"/>
  <c r="G1903" i="10"/>
  <c r="H1903" i="10"/>
  <c r="G1904" i="10"/>
  <c r="H1904" i="10"/>
  <c r="G1905" i="10"/>
  <c r="H1905" i="10"/>
  <c r="G1906" i="10"/>
  <c r="H1906" i="10"/>
  <c r="G1907" i="10"/>
  <c r="H1907" i="10"/>
  <c r="G1908" i="10"/>
  <c r="H1908" i="10"/>
  <c r="G1915" i="10"/>
  <c r="H1915" i="10"/>
  <c r="G1916" i="10"/>
  <c r="H1916" i="10"/>
  <c r="G1917" i="10"/>
  <c r="H1917" i="10"/>
  <c r="G1918" i="10"/>
  <c r="H1918" i="10"/>
  <c r="G1919" i="10"/>
  <c r="H1919" i="10"/>
  <c r="G1920" i="10"/>
  <c r="H1920" i="10"/>
  <c r="G1921" i="10"/>
  <c r="H1921" i="10"/>
  <c r="G1922" i="10"/>
  <c r="H1922" i="10"/>
  <c r="G1923" i="10"/>
  <c r="H1923" i="10"/>
  <c r="G1924" i="10"/>
  <c r="H1924" i="10"/>
  <c r="G1925" i="10"/>
  <c r="H1925" i="10"/>
  <c r="G1926" i="10"/>
  <c r="H1926" i="10"/>
  <c r="G1927" i="10"/>
  <c r="H1927" i="10"/>
  <c r="G1928" i="10"/>
  <c r="H1928" i="10"/>
  <c r="G1929" i="10"/>
  <c r="H1929" i="10"/>
  <c r="G1930" i="10"/>
  <c r="H1930" i="10"/>
  <c r="G1931" i="10"/>
  <c r="H1931" i="10"/>
  <c r="G1932" i="10"/>
  <c r="H1932" i="10"/>
  <c r="G1933" i="10"/>
  <c r="H1933" i="10"/>
  <c r="G1934" i="10"/>
  <c r="H1934" i="10"/>
  <c r="G1935" i="10"/>
  <c r="H1935" i="10"/>
  <c r="G1936" i="10"/>
  <c r="H1936" i="10"/>
  <c r="G1937" i="10"/>
  <c r="H1937" i="10"/>
  <c r="G1938" i="10"/>
  <c r="H1938" i="10"/>
  <c r="G1939" i="10"/>
  <c r="H1939" i="10"/>
  <c r="G1940" i="10"/>
  <c r="H1940" i="10"/>
  <c r="G1941" i="10"/>
  <c r="H1941" i="10"/>
  <c r="G1942" i="10"/>
  <c r="H1942" i="10"/>
  <c r="G1943" i="10"/>
  <c r="H1943" i="10"/>
  <c r="G1944" i="10"/>
  <c r="H1944" i="10"/>
  <c r="G1945" i="10"/>
  <c r="H1945" i="10"/>
  <c r="G1946" i="10"/>
  <c r="H1946" i="10"/>
  <c r="G1947" i="10"/>
  <c r="H1947" i="10"/>
  <c r="G1948" i="10"/>
  <c r="H1948" i="10"/>
  <c r="G1949" i="10"/>
  <c r="H1949" i="10"/>
  <c r="G1950" i="10"/>
  <c r="H1950" i="10"/>
  <c r="G1951" i="10"/>
  <c r="H1951" i="10"/>
  <c r="G1952" i="10"/>
  <c r="H1952" i="10"/>
  <c r="G1953" i="10"/>
  <c r="H1953" i="10"/>
  <c r="G1954" i="10"/>
  <c r="H1954" i="10"/>
  <c r="G1955" i="10"/>
  <c r="H1955" i="10"/>
  <c r="G1956" i="10"/>
  <c r="H1956" i="10"/>
  <c r="G1957" i="10"/>
  <c r="H1957" i="10"/>
  <c r="G1958" i="10"/>
  <c r="H1958" i="10"/>
  <c r="G1959" i="10"/>
  <c r="H1959" i="10"/>
  <c r="G1960" i="10"/>
  <c r="H1960" i="10"/>
  <c r="G1961" i="10"/>
  <c r="H1961" i="10"/>
  <c r="G1962" i="10"/>
  <c r="H1962" i="10"/>
  <c r="G1963" i="10"/>
  <c r="H1963" i="10"/>
  <c r="G1964" i="10"/>
  <c r="H1964" i="10"/>
  <c r="G1965" i="10"/>
  <c r="H1965" i="10"/>
  <c r="G1966" i="10"/>
  <c r="H1966" i="10"/>
  <c r="G1967" i="10"/>
  <c r="H1967" i="10"/>
  <c r="G1968" i="10"/>
  <c r="H1968" i="10"/>
  <c r="G1969" i="10"/>
  <c r="H1969" i="10"/>
  <c r="G1970" i="10"/>
  <c r="H1970" i="10"/>
  <c r="G1971" i="10"/>
  <c r="H1971" i="10"/>
  <c r="G1972" i="10"/>
  <c r="H1972" i="10"/>
  <c r="G1973" i="10"/>
  <c r="H1973" i="10"/>
  <c r="G1974" i="10"/>
  <c r="H1974" i="10"/>
  <c r="G1975" i="10"/>
  <c r="H1975" i="10"/>
  <c r="G1976" i="10"/>
  <c r="H1976" i="10"/>
  <c r="G1977" i="10"/>
  <c r="H1977" i="10"/>
  <c r="G1978" i="10"/>
  <c r="H1978" i="10"/>
  <c r="G1979" i="10"/>
  <c r="H1979" i="10"/>
  <c r="G1980" i="10"/>
  <c r="H1980" i="10"/>
  <c r="G1981" i="10"/>
  <c r="H1981" i="10"/>
  <c r="G1982" i="10"/>
  <c r="H1982" i="10"/>
  <c r="G1983" i="10"/>
  <c r="H1983" i="10"/>
  <c r="H1984" i="10"/>
  <c r="H1985" i="10"/>
  <c r="H1986" i="10"/>
  <c r="H1987" i="10"/>
  <c r="G1991" i="10"/>
  <c r="H1991" i="10"/>
  <c r="G1992" i="10"/>
  <c r="H1992" i="10"/>
  <c r="G1993" i="10"/>
  <c r="H1993" i="10"/>
  <c r="G1994" i="10"/>
  <c r="H1994" i="10"/>
  <c r="G1995" i="10"/>
  <c r="H1995" i="10"/>
  <c r="G1996" i="10"/>
  <c r="H1996" i="10"/>
  <c r="G1997" i="10"/>
  <c r="H1997" i="10"/>
  <c r="G1998" i="10"/>
  <c r="H1998" i="10"/>
  <c r="G1999" i="10"/>
  <c r="H1999" i="10"/>
  <c r="G2000" i="10"/>
  <c r="H2000" i="10"/>
  <c r="G2001" i="10"/>
  <c r="H2001" i="10"/>
  <c r="G2002" i="10"/>
  <c r="H2002" i="10"/>
  <c r="G2003" i="10"/>
  <c r="H2003" i="10"/>
  <c r="G2004" i="10"/>
  <c r="H2004" i="10"/>
  <c r="G2005" i="10"/>
  <c r="H2005" i="10"/>
  <c r="G2006" i="10"/>
  <c r="H2006" i="10"/>
  <c r="G2007" i="10"/>
  <c r="H2007" i="10"/>
  <c r="G2008" i="10"/>
  <c r="H2008" i="10"/>
  <c r="G2037" i="10"/>
  <c r="H2037" i="10"/>
  <c r="G2038" i="10"/>
  <c r="H2038" i="10"/>
  <c r="G2039" i="10"/>
  <c r="H2039" i="10"/>
  <c r="G2040" i="10"/>
  <c r="H2040" i="10"/>
  <c r="G2041" i="10"/>
  <c r="H2041" i="10"/>
  <c r="G2042" i="10"/>
  <c r="H2042" i="10"/>
  <c r="G2043" i="10"/>
  <c r="H2043" i="10"/>
  <c r="G2044" i="10"/>
  <c r="H2044" i="10"/>
  <c r="G2045" i="10"/>
  <c r="H2045" i="10"/>
  <c r="G2046" i="10"/>
  <c r="H2046" i="10"/>
  <c r="G2047" i="10"/>
  <c r="H2047" i="10"/>
  <c r="G2048" i="10"/>
  <c r="H2048" i="10"/>
  <c r="G2049" i="10"/>
  <c r="H2049" i="10"/>
  <c r="G2050" i="10"/>
  <c r="H2050" i="10"/>
  <c r="G2051" i="10"/>
  <c r="H2051" i="10"/>
  <c r="G2052" i="10"/>
  <c r="H2052" i="10"/>
  <c r="G2053" i="10"/>
  <c r="H2053" i="10"/>
  <c r="G2054" i="10"/>
  <c r="H2054" i="10"/>
  <c r="G2055" i="10"/>
  <c r="H2055" i="10"/>
  <c r="G2056" i="10"/>
  <c r="H2056" i="10"/>
  <c r="G2057" i="10"/>
  <c r="H2057" i="10"/>
  <c r="G2058" i="10"/>
  <c r="H2058" i="10"/>
  <c r="G2059" i="10"/>
  <c r="H2059" i="10"/>
  <c r="G2060" i="10"/>
  <c r="H2060" i="10"/>
  <c r="G2061" i="10"/>
  <c r="H2061" i="10"/>
  <c r="G2062" i="10"/>
  <c r="H2062" i="10"/>
  <c r="G2063" i="10"/>
  <c r="H2063" i="10"/>
  <c r="G2070" i="10"/>
  <c r="H2070" i="10"/>
  <c r="G2071" i="10"/>
  <c r="H2071" i="10"/>
  <c r="G2072" i="10"/>
  <c r="H2072" i="10"/>
  <c r="G2073" i="10"/>
  <c r="H2073" i="10"/>
  <c r="G2074" i="10"/>
  <c r="H2074" i="10"/>
  <c r="G2075" i="10"/>
  <c r="H2075" i="10"/>
  <c r="G2076" i="10"/>
  <c r="H2076" i="10"/>
  <c r="G2077" i="10"/>
  <c r="H2077" i="10"/>
  <c r="G2078" i="10"/>
  <c r="H2078" i="10"/>
  <c r="G2079" i="10"/>
  <c r="H2079" i="10"/>
  <c r="G2080" i="10"/>
  <c r="H2080" i="10"/>
  <c r="G2081" i="10"/>
  <c r="H2081" i="10"/>
  <c r="G2082" i="10"/>
  <c r="H2082" i="10"/>
  <c r="G2083" i="10"/>
  <c r="H2083" i="10"/>
  <c r="G2084" i="10"/>
  <c r="H2084" i="10"/>
  <c r="G2085" i="10"/>
  <c r="H2085" i="10"/>
  <c r="G2086" i="10"/>
  <c r="H2086" i="10"/>
  <c r="G2087" i="10"/>
  <c r="H2087" i="10"/>
  <c r="G2088" i="10"/>
  <c r="H2088" i="10"/>
  <c r="G2089" i="10"/>
  <c r="H2089" i="10"/>
  <c r="G2090" i="10"/>
  <c r="H2090" i="10"/>
  <c r="G2091" i="10"/>
  <c r="H2091" i="10"/>
  <c r="G2092" i="10"/>
  <c r="H2092" i="10"/>
  <c r="G2093" i="10"/>
  <c r="H2093" i="10"/>
  <c r="G2094" i="10"/>
  <c r="H2094" i="10"/>
  <c r="G2095" i="10"/>
  <c r="H2095" i="10"/>
  <c r="G2096" i="10"/>
  <c r="H2096" i="10"/>
  <c r="G2097" i="10"/>
  <c r="H2097" i="10"/>
  <c r="G2098" i="10"/>
  <c r="H2098" i="10"/>
  <c r="G2099" i="10"/>
  <c r="H2099" i="10"/>
  <c r="G2100" i="10"/>
  <c r="H2100" i="10"/>
  <c r="G2101" i="10"/>
  <c r="H2101" i="10"/>
  <c r="G2102" i="10"/>
  <c r="H2102" i="10"/>
  <c r="G2103" i="10"/>
  <c r="H2103" i="10"/>
  <c r="G2104" i="10"/>
  <c r="H2104" i="10"/>
  <c r="G2105" i="10"/>
  <c r="H2105" i="10"/>
  <c r="G2106" i="10"/>
  <c r="H2106" i="10"/>
  <c r="G2107" i="10"/>
  <c r="H2107" i="10"/>
  <c r="G2108" i="10"/>
  <c r="H2108" i="10"/>
  <c r="G2109" i="10"/>
  <c r="H2109" i="10"/>
  <c r="G2110" i="10"/>
  <c r="H2110" i="10"/>
  <c r="G2111" i="10"/>
  <c r="H2111" i="10"/>
  <c r="G2112" i="10"/>
  <c r="H2112" i="10"/>
  <c r="G2113" i="10"/>
  <c r="H2113" i="10"/>
  <c r="G2114" i="10"/>
  <c r="H2114" i="10"/>
  <c r="G2115" i="10"/>
  <c r="H2115" i="10"/>
  <c r="G2116" i="10"/>
  <c r="H2116" i="10"/>
  <c r="G2117" i="10"/>
  <c r="H2117" i="10"/>
  <c r="G2118" i="10"/>
  <c r="H2118" i="10"/>
  <c r="G2119" i="10"/>
  <c r="H2119" i="10"/>
  <c r="G2120" i="10"/>
  <c r="H2120" i="10"/>
  <c r="G2121" i="10"/>
  <c r="H2121" i="10"/>
  <c r="G2122" i="10"/>
  <c r="H2122" i="10"/>
  <c r="G2123" i="10"/>
  <c r="H2123" i="10"/>
  <c r="G2124" i="10"/>
  <c r="H2124" i="10"/>
  <c r="G2125" i="10"/>
  <c r="H2125" i="10"/>
  <c r="G2126" i="10"/>
  <c r="H2126" i="10"/>
  <c r="G2127" i="10"/>
  <c r="H2127" i="10"/>
  <c r="G2128" i="10"/>
  <c r="H2128" i="10"/>
  <c r="G2129" i="10"/>
  <c r="H2129" i="10"/>
  <c r="G2130" i="10"/>
  <c r="H2130" i="10"/>
  <c r="G2131" i="10"/>
  <c r="H2131" i="10"/>
  <c r="G2132" i="10"/>
  <c r="H2132" i="10"/>
  <c r="G2133" i="10"/>
  <c r="H2133" i="10"/>
  <c r="G2134" i="10"/>
  <c r="H2134" i="10"/>
  <c r="G2135" i="10"/>
  <c r="H2135" i="10"/>
  <c r="G2136" i="10"/>
  <c r="H2136" i="10"/>
  <c r="G2137" i="10"/>
  <c r="H2137" i="10"/>
  <c r="G2138" i="10"/>
  <c r="H2138" i="10"/>
  <c r="G2139" i="10"/>
  <c r="H2139" i="10"/>
  <c r="G2140" i="10"/>
  <c r="H2140" i="10"/>
  <c r="G2141" i="10"/>
  <c r="H2141" i="10"/>
  <c r="G2142" i="10"/>
  <c r="H2142" i="10"/>
  <c r="G2143" i="10"/>
  <c r="H2143" i="10"/>
  <c r="G2144" i="10"/>
  <c r="H2144" i="10"/>
  <c r="G2149" i="10"/>
  <c r="H2149" i="10"/>
  <c r="G2150" i="10"/>
  <c r="H2150" i="10"/>
  <c r="G2152" i="10"/>
  <c r="H2152" i="10"/>
  <c r="G2153" i="10"/>
  <c r="H2153" i="10"/>
  <c r="G2154" i="10"/>
  <c r="H2154" i="10"/>
  <c r="G2155" i="10"/>
  <c r="H2155" i="10"/>
  <c r="G2156" i="10"/>
  <c r="H2156" i="10"/>
  <c r="G2163" i="10"/>
  <c r="H2163" i="10"/>
  <c r="G2171" i="10"/>
  <c r="H2171" i="10"/>
  <c r="G2172" i="10"/>
  <c r="H2172" i="10"/>
  <c r="G2177" i="10"/>
  <c r="H2177" i="10"/>
  <c r="H2180" i="10"/>
  <c r="G2181" i="10"/>
  <c r="H2181" i="10"/>
  <c r="G2182" i="10"/>
  <c r="H2182" i="10"/>
  <c r="G2183" i="10"/>
  <c r="H2183" i="10"/>
  <c r="G2184" i="10"/>
  <c r="H2184" i="10"/>
  <c r="G2185" i="10"/>
  <c r="H2185" i="10"/>
  <c r="G2186" i="10"/>
  <c r="H2186" i="10"/>
  <c r="G2187" i="10"/>
  <c r="H2187" i="10"/>
  <c r="G2189" i="10"/>
  <c r="H2189" i="10"/>
  <c r="G2195" i="10"/>
  <c r="H2195" i="10"/>
  <c r="G2202" i="10"/>
  <c r="H2202" i="10"/>
  <c r="G2203" i="10"/>
  <c r="H2203" i="10"/>
  <c r="G2204" i="10"/>
  <c r="H2204" i="10"/>
  <c r="G2206" i="10"/>
  <c r="H2206" i="10"/>
  <c r="G2211" i="10"/>
  <c r="H2211" i="10"/>
  <c r="G2212" i="10"/>
  <c r="H2212" i="10"/>
  <c r="G2213" i="10"/>
  <c r="H2213" i="10"/>
  <c r="G2222" i="10"/>
  <c r="H2222" i="10"/>
  <c r="G2306" i="10"/>
  <c r="H2306" i="10"/>
  <c r="G2310" i="10"/>
  <c r="H2310" i="10"/>
  <c r="G2313" i="10"/>
  <c r="H2313" i="10"/>
  <c r="A1832" i="10"/>
  <c r="B1832" i="10"/>
  <c r="C1832" i="10"/>
  <c r="D1832" i="10"/>
  <c r="E1832" i="10"/>
  <c r="F1832" i="10"/>
  <c r="G1832" i="10"/>
  <c r="H1832" i="10"/>
  <c r="A1833" i="10"/>
  <c r="B1833" i="10"/>
  <c r="C1833" i="10"/>
  <c r="D1833" i="10"/>
  <c r="E1833" i="10"/>
  <c r="F1833" i="10"/>
  <c r="G1833" i="10"/>
  <c r="H1833" i="10"/>
  <c r="A1834" i="10"/>
  <c r="B1834" i="10"/>
  <c r="C1834" i="10"/>
  <c r="D1834" i="10"/>
  <c r="E1834" i="10"/>
  <c r="F1834" i="10"/>
  <c r="G1834" i="10"/>
  <c r="H1834" i="10"/>
  <c r="P847" i="4"/>
  <c r="Q847" i="4"/>
  <c r="R847" i="4"/>
  <c r="P845" i="4"/>
  <c r="K845" i="2"/>
  <c r="K844" i="2"/>
  <c r="K847" i="2"/>
  <c r="K846" i="2"/>
  <c r="A1820" i="10"/>
  <c r="B1820" i="10"/>
  <c r="C1820" i="10"/>
  <c r="D1820" i="10"/>
  <c r="E1820" i="10"/>
  <c r="F1820" i="10"/>
  <c r="G1820" i="10"/>
  <c r="H1820" i="10"/>
  <c r="A1821" i="10"/>
  <c r="B1821" i="10"/>
  <c r="C1821" i="10"/>
  <c r="D1821" i="10"/>
  <c r="E1821" i="10"/>
  <c r="F1821" i="10"/>
  <c r="G1821" i="10"/>
  <c r="H1821" i="10"/>
  <c r="A1822" i="10"/>
  <c r="B1822" i="10"/>
  <c r="C1822" i="10"/>
  <c r="D1822" i="10"/>
  <c r="E1822" i="10"/>
  <c r="F1822" i="10"/>
  <c r="G1822" i="10"/>
  <c r="H1822" i="10"/>
  <c r="A1823" i="10"/>
  <c r="B1823" i="10"/>
  <c r="C1823" i="10"/>
  <c r="D1823" i="10"/>
  <c r="E1823" i="10"/>
  <c r="F1823" i="10"/>
  <c r="G1823" i="10"/>
  <c r="H1823" i="10"/>
  <c r="A1824" i="10"/>
  <c r="B1824" i="10"/>
  <c r="C1824" i="10"/>
  <c r="D1824" i="10"/>
  <c r="E1824" i="10"/>
  <c r="F1824" i="10"/>
  <c r="G1824" i="10"/>
  <c r="H1824" i="10"/>
  <c r="A1825" i="10"/>
  <c r="B1825" i="10"/>
  <c r="C1825" i="10"/>
  <c r="D1825" i="10"/>
  <c r="E1825" i="10"/>
  <c r="F1825" i="10"/>
  <c r="G1825" i="10"/>
  <c r="H1825" i="10"/>
  <c r="A1826" i="10"/>
  <c r="B1826" i="10"/>
  <c r="C1826" i="10"/>
  <c r="D1826" i="10"/>
  <c r="E1826" i="10"/>
  <c r="F1826" i="10"/>
  <c r="G1826" i="10"/>
  <c r="H1826" i="10"/>
  <c r="A1827" i="10"/>
  <c r="B1827" i="10"/>
  <c r="C1827" i="10"/>
  <c r="D1827" i="10"/>
  <c r="E1827" i="10"/>
  <c r="F1827" i="10"/>
  <c r="G1827" i="10"/>
  <c r="H1827" i="10"/>
  <c r="A1828" i="10"/>
  <c r="B1828" i="10"/>
  <c r="C1828" i="10"/>
  <c r="D1828" i="10"/>
  <c r="E1828" i="10"/>
  <c r="F1828" i="10"/>
  <c r="G1828" i="10"/>
  <c r="H1828" i="10"/>
  <c r="A1829" i="10"/>
  <c r="B1829" i="10"/>
  <c r="C1829" i="10"/>
  <c r="D1829" i="10"/>
  <c r="E1829" i="10"/>
  <c r="F1829" i="10"/>
  <c r="G1829" i="10"/>
  <c r="H1829" i="10"/>
  <c r="A1830" i="10"/>
  <c r="B1830" i="10"/>
  <c r="C1830" i="10"/>
  <c r="D1830" i="10"/>
  <c r="E1830" i="10"/>
  <c r="F1830" i="10"/>
  <c r="G1830" i="10"/>
  <c r="H1830" i="10"/>
  <c r="A1831" i="10"/>
  <c r="B1831" i="10"/>
  <c r="C1831" i="10"/>
  <c r="D1831" i="10"/>
  <c r="E1831" i="10"/>
  <c r="F1831" i="10"/>
  <c r="G1831" i="10"/>
  <c r="H1831" i="10"/>
  <c r="K843" i="2"/>
  <c r="K842" i="2"/>
  <c r="K841" i="2"/>
  <c r="K840" i="2"/>
  <c r="K839" i="2"/>
  <c r="K838" i="2"/>
  <c r="K837" i="2"/>
  <c r="J836" i="2"/>
  <c r="I836" i="2"/>
  <c r="K835" i="2"/>
  <c r="A1734" i="10"/>
  <c r="B1734" i="10"/>
  <c r="C1734" i="10"/>
  <c r="D1734" i="10"/>
  <c r="E1734" i="10"/>
  <c r="F1734" i="10"/>
  <c r="G1734" i="10"/>
  <c r="H1734" i="10"/>
  <c r="A1735" i="10"/>
  <c r="B1735" i="10"/>
  <c r="C1735" i="10"/>
  <c r="D1735" i="10"/>
  <c r="E1735" i="10"/>
  <c r="F1735" i="10"/>
  <c r="G1735" i="10"/>
  <c r="H1735" i="10"/>
  <c r="A1736" i="10"/>
  <c r="B1736" i="10"/>
  <c r="C1736" i="10"/>
  <c r="D1736" i="10"/>
  <c r="E1736" i="10"/>
  <c r="F1736" i="10"/>
  <c r="G1736" i="10"/>
  <c r="H1736" i="10"/>
  <c r="A1737" i="10"/>
  <c r="B1737" i="10"/>
  <c r="C1737" i="10"/>
  <c r="D1737" i="10"/>
  <c r="E1737" i="10"/>
  <c r="F1737" i="10"/>
  <c r="G1737" i="10"/>
  <c r="H1737" i="10"/>
  <c r="A1738" i="10"/>
  <c r="B1738" i="10"/>
  <c r="C1738" i="10"/>
  <c r="D1738" i="10"/>
  <c r="E1738" i="10"/>
  <c r="F1738" i="10"/>
  <c r="G1738" i="10"/>
  <c r="H1738" i="10"/>
  <c r="A1739" i="10"/>
  <c r="B1739" i="10"/>
  <c r="C1739" i="10"/>
  <c r="D1739" i="10"/>
  <c r="E1739" i="10"/>
  <c r="F1739" i="10"/>
  <c r="G1739" i="10"/>
  <c r="H1739" i="10"/>
  <c r="A1740" i="10"/>
  <c r="B1740" i="10"/>
  <c r="C1740" i="10"/>
  <c r="D1740" i="10"/>
  <c r="E1740" i="10"/>
  <c r="F1740" i="10"/>
  <c r="G1740" i="10"/>
  <c r="H1740" i="10"/>
  <c r="A1741" i="10"/>
  <c r="B1741" i="10"/>
  <c r="C1741" i="10"/>
  <c r="D1741" i="10"/>
  <c r="E1741" i="10"/>
  <c r="F1741" i="10"/>
  <c r="G1741" i="10"/>
  <c r="H1741" i="10"/>
  <c r="A1742" i="10"/>
  <c r="B1742" i="10"/>
  <c r="C1742" i="10"/>
  <c r="D1742" i="10"/>
  <c r="E1742" i="10"/>
  <c r="F1742" i="10"/>
  <c r="G1742" i="10"/>
  <c r="H1742" i="10"/>
  <c r="A1743" i="10"/>
  <c r="B1743" i="10"/>
  <c r="C1743" i="10"/>
  <c r="D1743" i="10"/>
  <c r="E1743" i="10"/>
  <c r="F1743" i="10"/>
  <c r="G1743" i="10"/>
  <c r="H1743" i="10"/>
  <c r="A1744" i="10"/>
  <c r="B1744" i="10"/>
  <c r="C1744" i="10"/>
  <c r="D1744" i="10"/>
  <c r="E1744" i="10"/>
  <c r="F1744" i="10"/>
  <c r="G1744" i="10"/>
  <c r="H1744" i="10"/>
  <c r="A1745" i="10"/>
  <c r="B1745" i="10"/>
  <c r="C1745" i="10"/>
  <c r="D1745" i="10"/>
  <c r="E1745" i="10"/>
  <c r="F1745" i="10"/>
  <c r="G1745" i="10"/>
  <c r="H1745" i="10"/>
  <c r="A1746" i="10"/>
  <c r="B1746" i="10"/>
  <c r="C1746" i="10"/>
  <c r="D1746" i="10"/>
  <c r="E1746" i="10"/>
  <c r="F1746" i="10"/>
  <c r="G1746" i="10"/>
  <c r="H1746" i="10"/>
  <c r="A1747" i="10"/>
  <c r="B1747" i="10"/>
  <c r="C1747" i="10"/>
  <c r="D1747" i="10"/>
  <c r="E1747" i="10"/>
  <c r="F1747" i="10"/>
  <c r="G1747" i="10"/>
  <c r="H1747" i="10"/>
  <c r="A1748" i="10"/>
  <c r="B1748" i="10"/>
  <c r="C1748" i="10"/>
  <c r="D1748" i="10"/>
  <c r="E1748" i="10"/>
  <c r="F1748" i="10"/>
  <c r="G1748" i="10"/>
  <c r="H1748" i="10"/>
  <c r="A1749" i="10"/>
  <c r="B1749" i="10"/>
  <c r="C1749" i="10"/>
  <c r="D1749" i="10"/>
  <c r="E1749" i="10"/>
  <c r="F1749" i="10"/>
  <c r="G1749" i="10"/>
  <c r="H1749" i="10"/>
  <c r="A1750" i="10"/>
  <c r="B1750" i="10"/>
  <c r="C1750" i="10"/>
  <c r="D1750" i="10"/>
  <c r="E1750" i="10"/>
  <c r="F1750" i="10"/>
  <c r="G1750" i="10"/>
  <c r="H1750" i="10"/>
  <c r="A1751" i="10"/>
  <c r="B1751" i="10"/>
  <c r="C1751" i="10"/>
  <c r="D1751" i="10"/>
  <c r="E1751" i="10"/>
  <c r="F1751" i="10"/>
  <c r="G1751" i="10"/>
  <c r="H1751" i="10"/>
  <c r="A1752" i="10"/>
  <c r="B1752" i="10"/>
  <c r="C1752" i="10"/>
  <c r="D1752" i="10"/>
  <c r="E1752" i="10"/>
  <c r="F1752" i="10"/>
  <c r="G1752" i="10"/>
  <c r="H1752" i="10"/>
  <c r="A1753" i="10"/>
  <c r="B1753" i="10"/>
  <c r="C1753" i="10"/>
  <c r="D1753" i="10"/>
  <c r="E1753" i="10"/>
  <c r="F1753" i="10"/>
  <c r="G1753" i="10"/>
  <c r="H1753" i="10"/>
  <c r="A1754" i="10"/>
  <c r="B1754" i="10"/>
  <c r="C1754" i="10"/>
  <c r="D1754" i="10"/>
  <c r="E1754" i="10"/>
  <c r="F1754" i="10"/>
  <c r="G1754" i="10"/>
  <c r="H1754" i="10"/>
  <c r="A1755" i="10"/>
  <c r="B1755" i="10"/>
  <c r="C1755" i="10"/>
  <c r="D1755" i="10"/>
  <c r="E1755" i="10"/>
  <c r="F1755" i="10"/>
  <c r="G1755" i="10"/>
  <c r="H1755" i="10"/>
  <c r="A1756" i="10"/>
  <c r="B1756" i="10"/>
  <c r="C1756" i="10"/>
  <c r="D1756" i="10"/>
  <c r="E1756" i="10"/>
  <c r="F1756" i="10"/>
  <c r="G1756" i="10"/>
  <c r="H1756" i="10"/>
  <c r="A1757" i="10"/>
  <c r="B1757" i="10"/>
  <c r="C1757" i="10"/>
  <c r="D1757" i="10"/>
  <c r="E1757" i="10"/>
  <c r="F1757" i="10"/>
  <c r="G1757" i="10"/>
  <c r="H1757" i="10"/>
  <c r="A1758" i="10"/>
  <c r="B1758" i="10"/>
  <c r="C1758" i="10"/>
  <c r="D1758" i="10"/>
  <c r="E1758" i="10"/>
  <c r="F1758" i="10"/>
  <c r="G1758" i="10"/>
  <c r="H1758" i="10"/>
  <c r="A1759" i="10"/>
  <c r="B1759" i="10"/>
  <c r="C1759" i="10"/>
  <c r="D1759" i="10"/>
  <c r="E1759" i="10"/>
  <c r="F1759" i="10"/>
  <c r="G1759" i="10"/>
  <c r="H1759" i="10"/>
  <c r="A1760" i="10"/>
  <c r="B1760" i="10"/>
  <c r="C1760" i="10"/>
  <c r="D1760" i="10"/>
  <c r="E1760" i="10"/>
  <c r="F1760" i="10"/>
  <c r="G1760" i="10"/>
  <c r="H1760" i="10"/>
  <c r="A1761" i="10"/>
  <c r="B1761" i="10"/>
  <c r="C1761" i="10"/>
  <c r="D1761" i="10"/>
  <c r="E1761" i="10"/>
  <c r="F1761" i="10"/>
  <c r="G1761" i="10"/>
  <c r="H1761" i="10"/>
  <c r="A1762" i="10"/>
  <c r="B1762" i="10"/>
  <c r="C1762" i="10"/>
  <c r="D1762" i="10"/>
  <c r="E1762" i="10"/>
  <c r="F1762" i="10"/>
  <c r="G1762" i="10"/>
  <c r="H1762" i="10"/>
  <c r="A1763" i="10"/>
  <c r="B1763" i="10"/>
  <c r="C1763" i="10"/>
  <c r="D1763" i="10"/>
  <c r="E1763" i="10"/>
  <c r="F1763" i="10"/>
  <c r="G1763" i="10"/>
  <c r="H1763" i="10"/>
  <c r="A1764" i="10"/>
  <c r="B1764" i="10"/>
  <c r="C1764" i="10"/>
  <c r="D1764" i="10"/>
  <c r="E1764" i="10"/>
  <c r="F1764" i="10"/>
  <c r="G1764" i="10"/>
  <c r="H1764" i="10"/>
  <c r="A1765" i="10"/>
  <c r="B1765" i="10"/>
  <c r="C1765" i="10"/>
  <c r="D1765" i="10"/>
  <c r="E1765" i="10"/>
  <c r="F1765" i="10"/>
  <c r="G1765" i="10"/>
  <c r="H1765" i="10"/>
  <c r="A1766" i="10"/>
  <c r="B1766" i="10"/>
  <c r="C1766" i="10"/>
  <c r="D1766" i="10"/>
  <c r="E1766" i="10"/>
  <c r="F1766" i="10"/>
  <c r="G1766" i="10"/>
  <c r="H1766" i="10"/>
  <c r="A1767" i="10"/>
  <c r="B1767" i="10"/>
  <c r="C1767" i="10"/>
  <c r="D1767" i="10"/>
  <c r="E1767" i="10"/>
  <c r="F1767" i="10"/>
  <c r="G1767" i="10"/>
  <c r="H1767" i="10"/>
  <c r="A1768" i="10"/>
  <c r="B1768" i="10"/>
  <c r="C1768" i="10"/>
  <c r="D1768" i="10"/>
  <c r="E1768" i="10"/>
  <c r="F1768" i="10"/>
  <c r="G1768" i="10"/>
  <c r="H1768" i="10"/>
  <c r="A1769" i="10"/>
  <c r="B1769" i="10"/>
  <c r="C1769" i="10"/>
  <c r="D1769" i="10"/>
  <c r="E1769" i="10"/>
  <c r="F1769" i="10"/>
  <c r="G1769" i="10"/>
  <c r="H1769" i="10"/>
  <c r="A1770" i="10"/>
  <c r="B1770" i="10"/>
  <c r="C1770" i="10"/>
  <c r="D1770" i="10"/>
  <c r="E1770" i="10"/>
  <c r="F1770" i="10"/>
  <c r="G1770" i="10"/>
  <c r="H1770" i="10"/>
  <c r="A1771" i="10"/>
  <c r="B1771" i="10"/>
  <c r="C1771" i="10"/>
  <c r="D1771" i="10"/>
  <c r="E1771" i="10"/>
  <c r="F1771" i="10"/>
  <c r="G1771" i="10"/>
  <c r="H1771" i="10"/>
  <c r="A1772" i="10"/>
  <c r="B1772" i="10"/>
  <c r="C1772" i="10"/>
  <c r="D1772" i="10"/>
  <c r="E1772" i="10"/>
  <c r="F1772" i="10"/>
  <c r="G1772" i="10"/>
  <c r="H1772" i="10"/>
  <c r="A1773" i="10"/>
  <c r="B1773" i="10"/>
  <c r="C1773" i="10"/>
  <c r="D1773" i="10"/>
  <c r="E1773" i="10"/>
  <c r="F1773" i="10"/>
  <c r="G1773" i="10"/>
  <c r="H1773" i="10"/>
  <c r="A1774" i="10"/>
  <c r="B1774" i="10"/>
  <c r="C1774" i="10"/>
  <c r="D1774" i="10"/>
  <c r="E1774" i="10"/>
  <c r="F1774" i="10"/>
  <c r="G1774" i="10"/>
  <c r="H1774" i="10"/>
  <c r="A1775" i="10"/>
  <c r="B1775" i="10"/>
  <c r="C1775" i="10"/>
  <c r="D1775" i="10"/>
  <c r="E1775" i="10"/>
  <c r="F1775" i="10"/>
  <c r="G1775" i="10"/>
  <c r="H1775" i="10"/>
  <c r="A1776" i="10"/>
  <c r="B1776" i="10"/>
  <c r="C1776" i="10"/>
  <c r="D1776" i="10"/>
  <c r="E1776" i="10"/>
  <c r="F1776" i="10"/>
  <c r="G1776" i="10"/>
  <c r="H1776" i="10"/>
  <c r="A1777" i="10"/>
  <c r="B1777" i="10"/>
  <c r="C1777" i="10"/>
  <c r="D1777" i="10"/>
  <c r="E1777" i="10"/>
  <c r="F1777" i="10"/>
  <c r="G1777" i="10"/>
  <c r="H1777" i="10"/>
  <c r="A1778" i="10"/>
  <c r="B1778" i="10"/>
  <c r="C1778" i="10"/>
  <c r="D1778" i="10"/>
  <c r="E1778" i="10"/>
  <c r="F1778" i="10"/>
  <c r="G1778" i="10"/>
  <c r="H1778" i="10"/>
  <c r="A1779" i="10"/>
  <c r="B1779" i="10"/>
  <c r="C1779" i="10"/>
  <c r="D1779" i="10"/>
  <c r="E1779" i="10"/>
  <c r="F1779" i="10"/>
  <c r="G1779" i="10"/>
  <c r="H1779" i="10"/>
  <c r="A1780" i="10"/>
  <c r="B1780" i="10"/>
  <c r="C1780" i="10"/>
  <c r="D1780" i="10"/>
  <c r="E1780" i="10"/>
  <c r="F1780" i="10"/>
  <c r="G1780" i="10"/>
  <c r="H1780" i="10"/>
  <c r="A1781" i="10"/>
  <c r="B1781" i="10"/>
  <c r="C1781" i="10"/>
  <c r="D1781" i="10"/>
  <c r="E1781" i="10"/>
  <c r="F1781" i="10"/>
  <c r="G1781" i="10"/>
  <c r="H1781" i="10"/>
  <c r="A1782" i="10"/>
  <c r="B1782" i="10"/>
  <c r="C1782" i="10"/>
  <c r="D1782" i="10"/>
  <c r="E1782" i="10"/>
  <c r="F1782" i="10"/>
  <c r="G1782" i="10"/>
  <c r="H1782" i="10"/>
  <c r="A1783" i="10"/>
  <c r="B1783" i="10"/>
  <c r="C1783" i="10"/>
  <c r="D1783" i="10"/>
  <c r="E1783" i="10"/>
  <c r="F1783" i="10"/>
  <c r="G1783" i="10"/>
  <c r="H1783" i="10"/>
  <c r="A1784" i="10"/>
  <c r="B1784" i="10"/>
  <c r="C1784" i="10"/>
  <c r="D1784" i="10"/>
  <c r="E1784" i="10"/>
  <c r="F1784" i="10"/>
  <c r="G1784" i="10"/>
  <c r="H1784" i="10"/>
  <c r="A1785" i="10"/>
  <c r="B1785" i="10"/>
  <c r="C1785" i="10"/>
  <c r="D1785" i="10"/>
  <c r="E1785" i="10"/>
  <c r="F1785" i="10"/>
  <c r="G1785" i="10"/>
  <c r="H1785" i="10"/>
  <c r="A1786" i="10"/>
  <c r="B1786" i="10"/>
  <c r="C1786" i="10"/>
  <c r="D1786" i="10"/>
  <c r="E1786" i="10"/>
  <c r="F1786" i="10"/>
  <c r="G1786" i="10"/>
  <c r="H1786" i="10"/>
  <c r="A1787" i="10"/>
  <c r="B1787" i="10"/>
  <c r="C1787" i="10"/>
  <c r="D1787" i="10"/>
  <c r="E1787" i="10"/>
  <c r="F1787" i="10"/>
  <c r="G1787" i="10"/>
  <c r="H1787" i="10"/>
  <c r="A1788" i="10"/>
  <c r="B1788" i="10"/>
  <c r="C1788" i="10"/>
  <c r="D1788" i="10"/>
  <c r="E1788" i="10"/>
  <c r="F1788" i="10"/>
  <c r="G1788" i="10"/>
  <c r="H1788" i="10"/>
  <c r="A1789" i="10"/>
  <c r="B1789" i="10"/>
  <c r="C1789" i="10"/>
  <c r="D1789" i="10"/>
  <c r="E1789" i="10"/>
  <c r="F1789" i="10"/>
  <c r="G1789" i="10"/>
  <c r="H1789" i="10"/>
  <c r="A1790" i="10"/>
  <c r="B1790" i="10"/>
  <c r="C1790" i="10"/>
  <c r="D1790" i="10"/>
  <c r="E1790" i="10"/>
  <c r="F1790" i="10"/>
  <c r="G1790" i="10"/>
  <c r="H1790" i="10"/>
  <c r="A1791" i="10"/>
  <c r="B1791" i="10"/>
  <c r="C1791" i="10"/>
  <c r="D1791" i="10"/>
  <c r="E1791" i="10"/>
  <c r="F1791" i="10"/>
  <c r="G1791" i="10"/>
  <c r="H1791" i="10"/>
  <c r="A1792" i="10"/>
  <c r="B1792" i="10"/>
  <c r="C1792" i="10"/>
  <c r="D1792" i="10"/>
  <c r="E1792" i="10"/>
  <c r="F1792" i="10"/>
  <c r="G1792" i="10"/>
  <c r="H1792" i="10"/>
  <c r="A1793" i="10"/>
  <c r="B1793" i="10"/>
  <c r="C1793" i="10"/>
  <c r="D1793" i="10"/>
  <c r="E1793" i="10"/>
  <c r="F1793" i="10"/>
  <c r="G1793" i="10"/>
  <c r="H1793" i="10"/>
  <c r="A1794" i="10"/>
  <c r="B1794" i="10"/>
  <c r="C1794" i="10"/>
  <c r="D1794" i="10"/>
  <c r="E1794" i="10"/>
  <c r="F1794" i="10"/>
  <c r="G1794" i="10"/>
  <c r="H1794" i="10"/>
  <c r="A1795" i="10"/>
  <c r="B1795" i="10"/>
  <c r="C1795" i="10"/>
  <c r="D1795" i="10"/>
  <c r="E1795" i="10"/>
  <c r="F1795" i="10"/>
  <c r="G1795" i="10"/>
  <c r="H1795" i="10"/>
  <c r="A1796" i="10"/>
  <c r="B1796" i="10"/>
  <c r="C1796" i="10"/>
  <c r="D1796" i="10"/>
  <c r="E1796" i="10"/>
  <c r="F1796" i="10"/>
  <c r="G1796" i="10"/>
  <c r="H1796" i="10"/>
  <c r="A1797" i="10"/>
  <c r="B1797" i="10"/>
  <c r="C1797" i="10"/>
  <c r="D1797" i="10"/>
  <c r="E1797" i="10"/>
  <c r="F1797" i="10"/>
  <c r="G1797" i="10"/>
  <c r="H1797" i="10"/>
  <c r="A1798" i="10"/>
  <c r="B1798" i="10"/>
  <c r="C1798" i="10"/>
  <c r="D1798" i="10"/>
  <c r="E1798" i="10"/>
  <c r="F1798" i="10"/>
  <c r="G1798" i="10"/>
  <c r="H1798" i="10"/>
  <c r="A1799" i="10"/>
  <c r="B1799" i="10"/>
  <c r="C1799" i="10"/>
  <c r="D1799" i="10"/>
  <c r="E1799" i="10"/>
  <c r="F1799" i="10"/>
  <c r="G1799" i="10"/>
  <c r="H1799" i="10"/>
  <c r="A1800" i="10"/>
  <c r="B1800" i="10"/>
  <c r="C1800" i="10"/>
  <c r="D1800" i="10"/>
  <c r="E1800" i="10"/>
  <c r="F1800" i="10"/>
  <c r="G1800" i="10"/>
  <c r="H1800" i="10"/>
  <c r="A1801" i="10"/>
  <c r="B1801" i="10"/>
  <c r="C1801" i="10"/>
  <c r="D1801" i="10"/>
  <c r="E1801" i="10"/>
  <c r="F1801" i="10"/>
  <c r="G1801" i="10"/>
  <c r="H1801" i="10"/>
  <c r="A1802" i="10"/>
  <c r="B1802" i="10"/>
  <c r="C1802" i="10"/>
  <c r="D1802" i="10"/>
  <c r="E1802" i="10"/>
  <c r="F1802" i="10"/>
  <c r="G1802" i="10"/>
  <c r="H1802" i="10"/>
  <c r="A1803" i="10"/>
  <c r="B1803" i="10"/>
  <c r="C1803" i="10"/>
  <c r="D1803" i="10"/>
  <c r="E1803" i="10"/>
  <c r="F1803" i="10"/>
  <c r="G1803" i="10"/>
  <c r="H1803" i="10"/>
  <c r="A1804" i="10"/>
  <c r="B1804" i="10"/>
  <c r="C1804" i="10"/>
  <c r="D1804" i="10"/>
  <c r="E1804" i="10"/>
  <c r="F1804" i="10"/>
  <c r="G1804" i="10"/>
  <c r="H1804" i="10"/>
  <c r="A1805" i="10"/>
  <c r="B1805" i="10"/>
  <c r="C1805" i="10"/>
  <c r="D1805" i="10"/>
  <c r="E1805" i="10"/>
  <c r="F1805" i="10"/>
  <c r="G1805" i="10"/>
  <c r="H1805" i="10"/>
  <c r="A1806" i="10"/>
  <c r="B1806" i="10"/>
  <c r="C1806" i="10"/>
  <c r="D1806" i="10"/>
  <c r="E1806" i="10"/>
  <c r="F1806" i="10"/>
  <c r="G1806" i="10"/>
  <c r="H1806" i="10"/>
  <c r="A1807" i="10"/>
  <c r="B1807" i="10"/>
  <c r="C1807" i="10"/>
  <c r="D1807" i="10"/>
  <c r="E1807" i="10"/>
  <c r="F1807" i="10"/>
  <c r="G1807" i="10"/>
  <c r="H1807" i="10"/>
  <c r="A1808" i="10"/>
  <c r="B1808" i="10"/>
  <c r="C1808" i="10"/>
  <c r="D1808" i="10"/>
  <c r="E1808" i="10"/>
  <c r="F1808" i="10"/>
  <c r="G1808" i="10"/>
  <c r="H1808" i="10"/>
  <c r="A1809" i="10"/>
  <c r="B1809" i="10"/>
  <c r="C1809" i="10"/>
  <c r="D1809" i="10"/>
  <c r="E1809" i="10"/>
  <c r="F1809" i="10"/>
  <c r="G1809" i="10"/>
  <c r="H1809" i="10"/>
  <c r="A1810" i="10"/>
  <c r="B1810" i="10"/>
  <c r="C1810" i="10"/>
  <c r="D1810" i="10"/>
  <c r="E1810" i="10"/>
  <c r="F1810" i="10"/>
  <c r="G1810" i="10"/>
  <c r="H1810" i="10"/>
  <c r="A1811" i="10"/>
  <c r="B1811" i="10"/>
  <c r="C1811" i="10"/>
  <c r="D1811" i="10"/>
  <c r="E1811" i="10"/>
  <c r="F1811" i="10"/>
  <c r="G1811" i="10"/>
  <c r="H1811" i="10"/>
  <c r="A1812" i="10"/>
  <c r="B1812" i="10"/>
  <c r="C1812" i="10"/>
  <c r="D1812" i="10"/>
  <c r="E1812" i="10"/>
  <c r="F1812" i="10"/>
  <c r="G1812" i="10"/>
  <c r="H1812" i="10"/>
  <c r="A1813" i="10"/>
  <c r="B1813" i="10"/>
  <c r="C1813" i="10"/>
  <c r="D1813" i="10"/>
  <c r="E1813" i="10"/>
  <c r="F1813" i="10"/>
  <c r="G1813" i="10"/>
  <c r="H1813" i="10"/>
  <c r="A1814" i="10"/>
  <c r="B1814" i="10"/>
  <c r="C1814" i="10"/>
  <c r="D1814" i="10"/>
  <c r="E1814" i="10"/>
  <c r="F1814" i="10"/>
  <c r="G1814" i="10"/>
  <c r="H1814" i="10"/>
  <c r="A1815" i="10"/>
  <c r="B1815" i="10"/>
  <c r="C1815" i="10"/>
  <c r="D1815" i="10"/>
  <c r="E1815" i="10"/>
  <c r="F1815" i="10"/>
  <c r="G1815" i="10"/>
  <c r="H1815" i="10"/>
  <c r="A1816" i="10"/>
  <c r="B1816" i="10"/>
  <c r="C1816" i="10"/>
  <c r="D1816" i="10"/>
  <c r="E1816" i="10"/>
  <c r="F1816" i="10"/>
  <c r="G1816" i="10"/>
  <c r="H1816" i="10"/>
  <c r="A1817" i="10"/>
  <c r="B1817" i="10"/>
  <c r="C1817" i="10"/>
  <c r="D1817" i="10"/>
  <c r="E1817" i="10"/>
  <c r="F1817" i="10"/>
  <c r="G1817" i="10"/>
  <c r="H1817" i="10"/>
  <c r="A1818" i="10"/>
  <c r="B1818" i="10"/>
  <c r="C1818" i="10"/>
  <c r="D1818" i="10"/>
  <c r="E1818" i="10"/>
  <c r="F1818" i="10"/>
  <c r="G1818" i="10"/>
  <c r="H1818" i="10"/>
  <c r="A1819" i="10"/>
  <c r="B1819" i="10"/>
  <c r="C1819" i="10"/>
  <c r="D1819" i="10"/>
  <c r="E1819" i="10"/>
  <c r="F1819" i="10"/>
  <c r="G1819" i="10"/>
  <c r="H1819" i="10"/>
  <c r="A1732" i="10"/>
  <c r="B1732" i="10"/>
  <c r="C1732" i="10"/>
  <c r="D1732" i="10"/>
  <c r="E1732" i="10"/>
  <c r="F1732" i="10"/>
  <c r="G1732" i="10"/>
  <c r="H1732" i="10"/>
  <c r="A1733" i="10"/>
  <c r="B1733" i="10"/>
  <c r="C1733" i="10"/>
  <c r="D1733" i="10"/>
  <c r="E1733" i="10"/>
  <c r="F1733" i="10"/>
  <c r="G1733" i="10"/>
  <c r="H1733" i="10"/>
  <c r="A1723" i="10"/>
  <c r="B1723" i="10"/>
  <c r="C1723" i="10"/>
  <c r="D1723" i="10"/>
  <c r="E1723" i="10"/>
  <c r="F1723" i="10"/>
  <c r="G1723" i="10"/>
  <c r="H1723" i="10"/>
  <c r="A1724" i="10"/>
  <c r="B1724" i="10"/>
  <c r="C1724" i="10"/>
  <c r="D1724" i="10"/>
  <c r="E1724" i="10"/>
  <c r="F1724" i="10"/>
  <c r="G1724" i="10"/>
  <c r="H1724" i="10"/>
  <c r="A1725" i="10"/>
  <c r="B1725" i="10"/>
  <c r="C1725" i="10"/>
  <c r="D1725" i="10"/>
  <c r="E1725" i="10"/>
  <c r="F1725" i="10"/>
  <c r="G1725" i="10"/>
  <c r="H1725" i="10"/>
  <c r="A1726" i="10"/>
  <c r="B1726" i="10"/>
  <c r="C1726" i="10"/>
  <c r="D1726" i="10"/>
  <c r="E1726" i="10"/>
  <c r="F1726" i="10"/>
  <c r="G1726" i="10"/>
  <c r="H1726" i="10"/>
  <c r="A1727" i="10"/>
  <c r="B1727" i="10"/>
  <c r="C1727" i="10"/>
  <c r="D1727" i="10"/>
  <c r="E1727" i="10"/>
  <c r="F1727" i="10"/>
  <c r="G1727" i="10"/>
  <c r="H1727" i="10"/>
  <c r="A1728" i="10"/>
  <c r="B1728" i="10"/>
  <c r="C1728" i="10"/>
  <c r="D1728" i="10"/>
  <c r="E1728" i="10"/>
  <c r="F1728" i="10"/>
  <c r="G1728" i="10"/>
  <c r="H1728" i="10"/>
  <c r="A1729" i="10"/>
  <c r="B1729" i="10"/>
  <c r="C1729" i="10"/>
  <c r="D1729" i="10"/>
  <c r="E1729" i="10"/>
  <c r="F1729" i="10"/>
  <c r="G1729" i="10"/>
  <c r="H1729" i="10"/>
  <c r="A1730" i="10"/>
  <c r="B1730" i="10"/>
  <c r="C1730" i="10"/>
  <c r="D1730" i="10"/>
  <c r="E1730" i="10"/>
  <c r="F1730" i="10"/>
  <c r="G1730" i="10"/>
  <c r="H1730" i="10"/>
  <c r="A1731" i="10"/>
  <c r="B1731" i="10"/>
  <c r="C1731" i="10"/>
  <c r="D1731" i="10"/>
  <c r="E1731" i="10"/>
  <c r="F1731" i="10"/>
  <c r="G1731" i="10"/>
  <c r="H1731" i="10"/>
  <c r="K834" i="2"/>
  <c r="I834" i="2"/>
  <c r="J834" i="2"/>
  <c r="H1712" i="10"/>
  <c r="H1713" i="10"/>
  <c r="H1714" i="10"/>
  <c r="H1715" i="10"/>
  <c r="H1716" i="10"/>
  <c r="H1717" i="10"/>
  <c r="H1718" i="10"/>
  <c r="H1719" i="10"/>
  <c r="H1720" i="10"/>
  <c r="H1721" i="10"/>
  <c r="H1722" i="10"/>
  <c r="A1713" i="10"/>
  <c r="B1713" i="10"/>
  <c r="C1713" i="10"/>
  <c r="D1713" i="10"/>
  <c r="E1713" i="10"/>
  <c r="F1713" i="10"/>
  <c r="G1713" i="10"/>
  <c r="A1714" i="10"/>
  <c r="B1714" i="10"/>
  <c r="C1714" i="10"/>
  <c r="D1714" i="10"/>
  <c r="E1714" i="10"/>
  <c r="F1714" i="10"/>
  <c r="G1714" i="10"/>
  <c r="A1715" i="10"/>
  <c r="B1715" i="10"/>
  <c r="C1715" i="10"/>
  <c r="D1715" i="10"/>
  <c r="E1715" i="10"/>
  <c r="F1715" i="10"/>
  <c r="G1715" i="10"/>
  <c r="A1716" i="10"/>
  <c r="B1716" i="10"/>
  <c r="C1716" i="10"/>
  <c r="D1716" i="10"/>
  <c r="E1716" i="10"/>
  <c r="F1716" i="10"/>
  <c r="G1716" i="10"/>
  <c r="A1717" i="10"/>
  <c r="B1717" i="10"/>
  <c r="C1717" i="10"/>
  <c r="D1717" i="10"/>
  <c r="E1717" i="10"/>
  <c r="F1717" i="10"/>
  <c r="G1717" i="10"/>
  <c r="A1718" i="10"/>
  <c r="B1718" i="10"/>
  <c r="C1718" i="10"/>
  <c r="D1718" i="10"/>
  <c r="E1718" i="10"/>
  <c r="F1718" i="10"/>
  <c r="G1718" i="10"/>
  <c r="A1719" i="10"/>
  <c r="B1719" i="10"/>
  <c r="C1719" i="10"/>
  <c r="D1719" i="10"/>
  <c r="E1719" i="10"/>
  <c r="F1719" i="10"/>
  <c r="G1719" i="10"/>
  <c r="A1720" i="10"/>
  <c r="B1720" i="10"/>
  <c r="C1720" i="10"/>
  <c r="D1720" i="10"/>
  <c r="E1720" i="10"/>
  <c r="F1720" i="10"/>
  <c r="G1720" i="10"/>
  <c r="A1721" i="10"/>
  <c r="B1721" i="10"/>
  <c r="C1721" i="10"/>
  <c r="D1721" i="10"/>
  <c r="E1721" i="10"/>
  <c r="F1721" i="10"/>
  <c r="G1721" i="10"/>
  <c r="A1722" i="10"/>
  <c r="B1722" i="10"/>
  <c r="C1722" i="10"/>
  <c r="D1722" i="10"/>
  <c r="E1722" i="10"/>
  <c r="F1722" i="10"/>
  <c r="G1722" i="10"/>
  <c r="J823" i="2"/>
  <c r="I823" i="2"/>
  <c r="J818" i="2"/>
  <c r="I818" i="2"/>
  <c r="A610" i="10"/>
  <c r="B610" i="10"/>
  <c r="C610" i="10"/>
  <c r="D610" i="10"/>
  <c r="E610" i="10"/>
  <c r="F610" i="10"/>
  <c r="G610" i="10"/>
  <c r="H610" i="10"/>
  <c r="A618" i="10"/>
  <c r="B618" i="10"/>
  <c r="C618" i="10"/>
  <c r="D618" i="10"/>
  <c r="E618" i="10"/>
  <c r="F618" i="10"/>
  <c r="G618" i="10"/>
  <c r="H618" i="10"/>
  <c r="C607" i="10"/>
  <c r="A611" i="10"/>
  <c r="B611" i="10"/>
  <c r="C611" i="10"/>
  <c r="D611" i="10"/>
  <c r="E611" i="10"/>
  <c r="F611" i="10"/>
  <c r="G611" i="10"/>
  <c r="H611" i="10"/>
  <c r="A612" i="10"/>
  <c r="B612" i="10"/>
  <c r="C612" i="10"/>
  <c r="D612" i="10"/>
  <c r="E612" i="10"/>
  <c r="F612" i="10"/>
  <c r="G612" i="10"/>
  <c r="H612" i="10"/>
  <c r="A613" i="10"/>
  <c r="B613" i="10"/>
  <c r="C613" i="10"/>
  <c r="D613" i="10"/>
  <c r="E613" i="10"/>
  <c r="F613" i="10"/>
  <c r="G613" i="10"/>
  <c r="H613" i="10"/>
  <c r="A614" i="10"/>
  <c r="B614" i="10"/>
  <c r="C614" i="10"/>
  <c r="D614" i="10"/>
  <c r="E614" i="10"/>
  <c r="F614" i="10"/>
  <c r="G614" i="10"/>
  <c r="H614" i="10"/>
  <c r="A615" i="10"/>
  <c r="B615" i="10"/>
  <c r="C615" i="10"/>
  <c r="D615" i="10"/>
  <c r="E615" i="10"/>
  <c r="F615" i="10"/>
  <c r="G615" i="10"/>
  <c r="H615" i="10"/>
  <c r="A616" i="10"/>
  <c r="B616" i="10"/>
  <c r="C616" i="10"/>
  <c r="D616" i="10"/>
  <c r="E616" i="10"/>
  <c r="F616" i="10"/>
  <c r="G616" i="10"/>
  <c r="H616" i="10"/>
  <c r="A617" i="10"/>
  <c r="B617" i="10"/>
  <c r="C617" i="10"/>
  <c r="D617" i="10"/>
  <c r="E617" i="10"/>
  <c r="F617" i="10"/>
  <c r="G617" i="10"/>
  <c r="H617" i="10"/>
  <c r="A603" i="10"/>
  <c r="B603" i="10"/>
  <c r="C603" i="10"/>
  <c r="D603" i="10"/>
  <c r="E603" i="10"/>
  <c r="F603" i="10"/>
  <c r="G603" i="10"/>
  <c r="H603" i="10"/>
  <c r="A604" i="10"/>
  <c r="B604" i="10"/>
  <c r="C604" i="10"/>
  <c r="D604" i="10"/>
  <c r="E604" i="10"/>
  <c r="F604" i="10"/>
  <c r="G604" i="10"/>
  <c r="H604" i="10"/>
  <c r="A605" i="10"/>
  <c r="B605" i="10"/>
  <c r="C605" i="10"/>
  <c r="D605" i="10"/>
  <c r="E605" i="10"/>
  <c r="F605" i="10"/>
  <c r="G605" i="10"/>
  <c r="H605" i="10"/>
  <c r="A606" i="10"/>
  <c r="B606" i="10"/>
  <c r="C606" i="10"/>
  <c r="D606" i="10"/>
  <c r="E606" i="10"/>
  <c r="F606" i="10"/>
  <c r="G606" i="10"/>
  <c r="H606" i="10"/>
  <c r="A607" i="10"/>
  <c r="B607" i="10"/>
  <c r="D607" i="10"/>
  <c r="E607" i="10"/>
  <c r="F607" i="10"/>
  <c r="G607" i="10"/>
  <c r="H607" i="10"/>
  <c r="A608" i="10"/>
  <c r="B608" i="10"/>
  <c r="C608" i="10"/>
  <c r="D608" i="10"/>
  <c r="E608" i="10"/>
  <c r="F608" i="10"/>
  <c r="G608" i="10"/>
  <c r="H608" i="10"/>
  <c r="A609" i="10"/>
  <c r="B609" i="10"/>
  <c r="C609" i="10"/>
  <c r="D609" i="10"/>
  <c r="E609" i="10"/>
  <c r="F609" i="10"/>
  <c r="G609" i="10"/>
  <c r="H609" i="10"/>
  <c r="K356" i="2" l="1"/>
  <c r="K355" i="2"/>
  <c r="J356" i="2"/>
  <c r="I356" i="2"/>
  <c r="J355" i="2"/>
  <c r="I355" i="2"/>
  <c r="A1465" i="10" l="1"/>
  <c r="B1465" i="10"/>
  <c r="C1465" i="10"/>
  <c r="D1465" i="10"/>
  <c r="E1465" i="10"/>
  <c r="F1465" i="10"/>
  <c r="G1465" i="10"/>
  <c r="H1465" i="10"/>
  <c r="A1460" i="10"/>
  <c r="B1460" i="10"/>
  <c r="C1460" i="10"/>
  <c r="D1460" i="10"/>
  <c r="E1460" i="10"/>
  <c r="F1460" i="10"/>
  <c r="G1460" i="10"/>
  <c r="H1460" i="10"/>
  <c r="A1455" i="10"/>
  <c r="B1455" i="10"/>
  <c r="C1455" i="10"/>
  <c r="D1455" i="10"/>
  <c r="E1455" i="10"/>
  <c r="F1455" i="10"/>
  <c r="G1455" i="10"/>
  <c r="H1455" i="10"/>
  <c r="A985" i="10"/>
  <c r="B985" i="10"/>
  <c r="C985" i="10"/>
  <c r="D985" i="10"/>
  <c r="E985" i="10"/>
  <c r="F985" i="10"/>
  <c r="G985" i="10"/>
  <c r="H985" i="10"/>
  <c r="J571" i="2"/>
  <c r="I571" i="2"/>
  <c r="E215" i="10"/>
  <c r="E216" i="10"/>
  <c r="E217" i="10"/>
  <c r="G393" i="10"/>
  <c r="A153" i="10" l="1"/>
  <c r="B153" i="10"/>
  <c r="C153" i="10"/>
  <c r="D153" i="10"/>
  <c r="E153" i="10"/>
  <c r="F153" i="10"/>
  <c r="G153" i="10"/>
  <c r="H153" i="10"/>
  <c r="A154" i="10"/>
  <c r="B154" i="10"/>
  <c r="C154" i="10"/>
  <c r="D154" i="10"/>
  <c r="E154" i="10"/>
  <c r="F154" i="10"/>
  <c r="G154" i="10"/>
  <c r="H154" i="10"/>
  <c r="A956" i="10" l="1"/>
  <c r="B956" i="10"/>
  <c r="C956" i="10"/>
  <c r="D956" i="10"/>
  <c r="E956" i="10"/>
  <c r="F956" i="10"/>
  <c r="G956" i="10"/>
  <c r="H956" i="10"/>
  <c r="A1128" i="10"/>
  <c r="B1128" i="10"/>
  <c r="C1128" i="10"/>
  <c r="D1128" i="10"/>
  <c r="E1128" i="10"/>
  <c r="F1128" i="10"/>
  <c r="G1128" i="10"/>
  <c r="H1128" i="10"/>
  <c r="V1128" i="3"/>
  <c r="A3" i="10"/>
  <c r="B3" i="10"/>
  <c r="C3" i="10"/>
  <c r="D3" i="10"/>
  <c r="E3" i="10"/>
  <c r="F3" i="10"/>
  <c r="G3" i="10"/>
  <c r="H3" i="10"/>
  <c r="A4" i="10"/>
  <c r="B4" i="10"/>
  <c r="C4" i="10"/>
  <c r="D4" i="10"/>
  <c r="E4" i="10"/>
  <c r="F4" i="10"/>
  <c r="G4" i="10"/>
  <c r="H4" i="10"/>
  <c r="A5" i="10"/>
  <c r="B5" i="10"/>
  <c r="C5" i="10"/>
  <c r="D5" i="10"/>
  <c r="E5" i="10"/>
  <c r="F5" i="10"/>
  <c r="G5" i="10"/>
  <c r="H5" i="10"/>
  <c r="A6" i="10"/>
  <c r="B6" i="10"/>
  <c r="C6" i="10"/>
  <c r="D6" i="10"/>
  <c r="E6" i="10"/>
  <c r="F6" i="10"/>
  <c r="G6" i="10"/>
  <c r="H6" i="10"/>
  <c r="A7" i="10"/>
  <c r="B7" i="10"/>
  <c r="C7" i="10"/>
  <c r="D7" i="10"/>
  <c r="E7" i="10"/>
  <c r="F7" i="10"/>
  <c r="G7" i="10"/>
  <c r="H7" i="10"/>
  <c r="A8" i="10"/>
  <c r="B8" i="10"/>
  <c r="C8" i="10"/>
  <c r="D8" i="10"/>
  <c r="E8" i="10"/>
  <c r="F8" i="10"/>
  <c r="G8" i="10"/>
  <c r="H8" i="10"/>
  <c r="A9" i="10"/>
  <c r="B9" i="10"/>
  <c r="C9" i="10"/>
  <c r="D9" i="10"/>
  <c r="E9" i="10"/>
  <c r="F9" i="10"/>
  <c r="G9" i="10"/>
  <c r="H9" i="10"/>
  <c r="A10" i="10"/>
  <c r="B10" i="10"/>
  <c r="C10" i="10"/>
  <c r="D10" i="10"/>
  <c r="E10" i="10"/>
  <c r="F10" i="10"/>
  <c r="G10" i="10"/>
  <c r="H10" i="10"/>
  <c r="A11" i="10"/>
  <c r="B11" i="10"/>
  <c r="C11" i="10"/>
  <c r="D11" i="10"/>
  <c r="E11" i="10"/>
  <c r="F11" i="10"/>
  <c r="G11" i="10"/>
  <c r="H11" i="10"/>
  <c r="A12" i="10"/>
  <c r="B12" i="10"/>
  <c r="C12" i="10"/>
  <c r="D12" i="10"/>
  <c r="E12" i="10"/>
  <c r="F12" i="10"/>
  <c r="G12" i="10"/>
  <c r="H12" i="10"/>
  <c r="A13" i="10"/>
  <c r="B13" i="10"/>
  <c r="C13" i="10"/>
  <c r="D13" i="10"/>
  <c r="E13" i="10"/>
  <c r="F13" i="10"/>
  <c r="G13" i="10"/>
  <c r="H13" i="10"/>
  <c r="A14" i="10"/>
  <c r="B14" i="10"/>
  <c r="C14" i="10"/>
  <c r="D14" i="10"/>
  <c r="E14" i="10"/>
  <c r="F14" i="10"/>
  <c r="G14" i="10"/>
  <c r="H14" i="10"/>
  <c r="A15" i="10"/>
  <c r="B15" i="10"/>
  <c r="C15" i="10"/>
  <c r="D15" i="10"/>
  <c r="E15" i="10"/>
  <c r="F15" i="10"/>
  <c r="G15" i="10"/>
  <c r="H15" i="10"/>
  <c r="A16" i="10"/>
  <c r="B16" i="10"/>
  <c r="C16" i="10"/>
  <c r="D16" i="10"/>
  <c r="E16" i="10"/>
  <c r="F16" i="10"/>
  <c r="G16" i="10"/>
  <c r="H16" i="10"/>
  <c r="A17" i="10"/>
  <c r="B17" i="10"/>
  <c r="C17" i="10"/>
  <c r="D17" i="10"/>
  <c r="E17" i="10"/>
  <c r="F17" i="10"/>
  <c r="G17" i="10"/>
  <c r="H17" i="10"/>
  <c r="A18" i="10"/>
  <c r="B18" i="10"/>
  <c r="C18" i="10"/>
  <c r="D18" i="10"/>
  <c r="E18" i="10"/>
  <c r="F18" i="10"/>
  <c r="G18" i="10"/>
  <c r="H18" i="10"/>
  <c r="A19" i="10"/>
  <c r="B19" i="10"/>
  <c r="C19" i="10"/>
  <c r="D19" i="10"/>
  <c r="E19" i="10"/>
  <c r="F19" i="10"/>
  <c r="G19" i="10"/>
  <c r="H19" i="10"/>
  <c r="A20" i="10"/>
  <c r="B20" i="10"/>
  <c r="C20" i="10"/>
  <c r="D20" i="10"/>
  <c r="E20" i="10"/>
  <c r="F20" i="10"/>
  <c r="G20" i="10"/>
  <c r="H20" i="10"/>
  <c r="A21" i="10"/>
  <c r="B21" i="10"/>
  <c r="C21" i="10"/>
  <c r="D21" i="10"/>
  <c r="E21" i="10"/>
  <c r="F21" i="10"/>
  <c r="G21" i="10"/>
  <c r="H21" i="10"/>
  <c r="A22" i="10"/>
  <c r="B22" i="10"/>
  <c r="C22" i="10"/>
  <c r="D22" i="10"/>
  <c r="E22" i="10"/>
  <c r="F22" i="10"/>
  <c r="G22" i="10"/>
  <c r="H22" i="10"/>
  <c r="A23" i="10"/>
  <c r="B23" i="10"/>
  <c r="C23" i="10"/>
  <c r="D23" i="10"/>
  <c r="E23" i="10"/>
  <c r="F23" i="10"/>
  <c r="G23" i="10"/>
  <c r="H23" i="10"/>
  <c r="A24" i="10"/>
  <c r="B24" i="10"/>
  <c r="C24" i="10"/>
  <c r="D24" i="10"/>
  <c r="E24" i="10"/>
  <c r="F24" i="10"/>
  <c r="G24" i="10"/>
  <c r="H24" i="10"/>
  <c r="A25" i="10"/>
  <c r="B25" i="10"/>
  <c r="C25" i="10"/>
  <c r="D25" i="10"/>
  <c r="E25" i="10"/>
  <c r="F25" i="10"/>
  <c r="G25" i="10"/>
  <c r="H25" i="10"/>
  <c r="A26" i="10"/>
  <c r="B26" i="10"/>
  <c r="C26" i="10"/>
  <c r="D26" i="10"/>
  <c r="E26" i="10"/>
  <c r="F26" i="10"/>
  <c r="G26" i="10"/>
  <c r="H26" i="10"/>
  <c r="A27" i="10"/>
  <c r="B27" i="10"/>
  <c r="C27" i="10"/>
  <c r="D27" i="10"/>
  <c r="E27" i="10"/>
  <c r="F27" i="10"/>
  <c r="G27" i="10"/>
  <c r="H27" i="10"/>
  <c r="A28" i="10"/>
  <c r="B28" i="10"/>
  <c r="C28" i="10"/>
  <c r="D28" i="10"/>
  <c r="E28" i="10"/>
  <c r="F28" i="10"/>
  <c r="G28" i="10"/>
  <c r="H28" i="10"/>
  <c r="A29" i="10"/>
  <c r="B29" i="10"/>
  <c r="C29" i="10"/>
  <c r="D29" i="10"/>
  <c r="E29" i="10"/>
  <c r="F29" i="10"/>
  <c r="G29" i="10"/>
  <c r="H29" i="10"/>
  <c r="A30" i="10"/>
  <c r="B30" i="10"/>
  <c r="C30" i="10"/>
  <c r="D30" i="10"/>
  <c r="E30" i="10"/>
  <c r="F30" i="10"/>
  <c r="G30" i="10"/>
  <c r="H30" i="10"/>
  <c r="A31" i="10"/>
  <c r="B31" i="10"/>
  <c r="C31" i="10"/>
  <c r="D31" i="10"/>
  <c r="E31" i="10"/>
  <c r="F31" i="10"/>
  <c r="G31" i="10"/>
  <c r="H31" i="10"/>
  <c r="A32" i="10"/>
  <c r="B32" i="10"/>
  <c r="C32" i="10"/>
  <c r="D32" i="10"/>
  <c r="E32" i="10"/>
  <c r="F32" i="10"/>
  <c r="G32" i="10"/>
  <c r="H32" i="10"/>
  <c r="A33" i="10"/>
  <c r="B33" i="10"/>
  <c r="C33" i="10"/>
  <c r="D33" i="10"/>
  <c r="E33" i="10"/>
  <c r="F33" i="10"/>
  <c r="G33" i="10"/>
  <c r="H33" i="10"/>
  <c r="A34" i="10"/>
  <c r="B34" i="10"/>
  <c r="C34" i="10"/>
  <c r="D34" i="10"/>
  <c r="E34" i="10"/>
  <c r="F34" i="10"/>
  <c r="G34" i="10"/>
  <c r="H34" i="10"/>
  <c r="A35" i="10"/>
  <c r="B35" i="10"/>
  <c r="C35" i="10"/>
  <c r="D35" i="10"/>
  <c r="E35" i="10"/>
  <c r="F35" i="10"/>
  <c r="G35" i="10"/>
  <c r="H35" i="10"/>
  <c r="A36" i="10"/>
  <c r="B36" i="10"/>
  <c r="C36" i="10"/>
  <c r="D36" i="10"/>
  <c r="E36" i="10"/>
  <c r="F36" i="10"/>
  <c r="G36" i="10"/>
  <c r="H36" i="10"/>
  <c r="A37" i="10"/>
  <c r="B37" i="10"/>
  <c r="C37" i="10"/>
  <c r="D37" i="10"/>
  <c r="E37" i="10"/>
  <c r="F37" i="10"/>
  <c r="G37" i="10"/>
  <c r="H37" i="10"/>
  <c r="A38" i="10"/>
  <c r="B38" i="10"/>
  <c r="C38" i="10"/>
  <c r="D38" i="10"/>
  <c r="E38" i="10"/>
  <c r="F38" i="10"/>
  <c r="G38" i="10"/>
  <c r="H38" i="10"/>
  <c r="A39" i="10"/>
  <c r="B39" i="10"/>
  <c r="C39" i="10"/>
  <c r="D39" i="10"/>
  <c r="E39" i="10"/>
  <c r="F39" i="10"/>
  <c r="G39" i="10"/>
  <c r="H39" i="10"/>
  <c r="A40" i="10"/>
  <c r="B40" i="10"/>
  <c r="C40" i="10"/>
  <c r="D40" i="10"/>
  <c r="E40" i="10"/>
  <c r="F40" i="10"/>
  <c r="G40" i="10"/>
  <c r="H40" i="10"/>
  <c r="A41" i="10"/>
  <c r="B41" i="10"/>
  <c r="C41" i="10"/>
  <c r="D41" i="10"/>
  <c r="E41" i="10"/>
  <c r="F41" i="10"/>
  <c r="G41" i="10"/>
  <c r="H41" i="10"/>
  <c r="A42" i="10"/>
  <c r="B42" i="10"/>
  <c r="C42" i="10"/>
  <c r="D42" i="10"/>
  <c r="E42" i="10"/>
  <c r="F42" i="10"/>
  <c r="G42" i="10"/>
  <c r="H42" i="10"/>
  <c r="A43" i="10"/>
  <c r="B43" i="10"/>
  <c r="C43" i="10"/>
  <c r="D43" i="10"/>
  <c r="E43" i="10"/>
  <c r="F43" i="10"/>
  <c r="G43" i="10"/>
  <c r="H43" i="10"/>
  <c r="A44" i="10"/>
  <c r="B44" i="10"/>
  <c r="C44" i="10"/>
  <c r="D44" i="10"/>
  <c r="E44" i="10"/>
  <c r="F44" i="10"/>
  <c r="G44" i="10"/>
  <c r="H44" i="10"/>
  <c r="A45" i="10"/>
  <c r="B45" i="10"/>
  <c r="C45" i="10"/>
  <c r="D45" i="10"/>
  <c r="E45" i="10"/>
  <c r="F45" i="10"/>
  <c r="G45" i="10"/>
  <c r="H45" i="10"/>
  <c r="A46" i="10"/>
  <c r="B46" i="10"/>
  <c r="C46" i="10"/>
  <c r="D46" i="10"/>
  <c r="E46" i="10"/>
  <c r="F46" i="10"/>
  <c r="G46" i="10"/>
  <c r="H46" i="10"/>
  <c r="A47" i="10"/>
  <c r="B47" i="10"/>
  <c r="C47" i="10"/>
  <c r="D47" i="10"/>
  <c r="E47" i="10"/>
  <c r="F47" i="10"/>
  <c r="G47" i="10"/>
  <c r="H47" i="10"/>
  <c r="A48" i="10"/>
  <c r="B48" i="10"/>
  <c r="C48" i="10"/>
  <c r="D48" i="10"/>
  <c r="E48" i="10"/>
  <c r="F48" i="10"/>
  <c r="G48" i="10"/>
  <c r="H48" i="10"/>
  <c r="A49" i="10"/>
  <c r="B49" i="10"/>
  <c r="C49" i="10"/>
  <c r="D49" i="10"/>
  <c r="E49" i="10"/>
  <c r="F49" i="10"/>
  <c r="G49" i="10"/>
  <c r="H49" i="10"/>
  <c r="A50" i="10"/>
  <c r="B50" i="10"/>
  <c r="C50" i="10"/>
  <c r="D50" i="10"/>
  <c r="E50" i="10"/>
  <c r="F50" i="10"/>
  <c r="G50" i="10"/>
  <c r="H50" i="10"/>
  <c r="A51" i="10"/>
  <c r="B51" i="10"/>
  <c r="C51" i="10"/>
  <c r="D51" i="10"/>
  <c r="E51" i="10"/>
  <c r="F51" i="10"/>
  <c r="G51" i="10"/>
  <c r="H51" i="10"/>
  <c r="A52" i="10"/>
  <c r="B52" i="10"/>
  <c r="C52" i="10"/>
  <c r="D52" i="10"/>
  <c r="E52" i="10"/>
  <c r="F52" i="10"/>
  <c r="G52" i="10"/>
  <c r="H52" i="10"/>
  <c r="A53" i="10"/>
  <c r="B53" i="10"/>
  <c r="C53" i="10"/>
  <c r="D53" i="10"/>
  <c r="E53" i="10"/>
  <c r="F53" i="10"/>
  <c r="G53" i="10"/>
  <c r="H53" i="10"/>
  <c r="A54" i="10"/>
  <c r="B54" i="10"/>
  <c r="C54" i="10"/>
  <c r="D54" i="10"/>
  <c r="E54" i="10"/>
  <c r="F54" i="10"/>
  <c r="G54" i="10"/>
  <c r="H54" i="10"/>
  <c r="A55" i="10"/>
  <c r="B55" i="10"/>
  <c r="C55" i="10"/>
  <c r="D55" i="10"/>
  <c r="E55" i="10"/>
  <c r="F55" i="10"/>
  <c r="G55" i="10"/>
  <c r="H55" i="10"/>
  <c r="A56" i="10"/>
  <c r="B56" i="10"/>
  <c r="C56" i="10"/>
  <c r="D56" i="10"/>
  <c r="E56" i="10"/>
  <c r="F56" i="10"/>
  <c r="G56" i="10"/>
  <c r="H56" i="10"/>
  <c r="A57" i="10"/>
  <c r="B57" i="10"/>
  <c r="C57" i="10"/>
  <c r="D57" i="10"/>
  <c r="E57" i="10"/>
  <c r="F57" i="10"/>
  <c r="G57" i="10"/>
  <c r="H57" i="10"/>
  <c r="A58" i="10"/>
  <c r="B58" i="10"/>
  <c r="C58" i="10"/>
  <c r="D58" i="10"/>
  <c r="E58" i="10"/>
  <c r="F58" i="10"/>
  <c r="G58" i="10"/>
  <c r="H58" i="10"/>
  <c r="A59" i="10"/>
  <c r="B59" i="10"/>
  <c r="C59" i="10"/>
  <c r="D59" i="10"/>
  <c r="E59" i="10"/>
  <c r="F59" i="10"/>
  <c r="G59" i="10"/>
  <c r="H59" i="10"/>
  <c r="A60" i="10"/>
  <c r="B60" i="10"/>
  <c r="C60" i="10"/>
  <c r="D60" i="10"/>
  <c r="E60" i="10"/>
  <c r="F60" i="10"/>
  <c r="G60" i="10"/>
  <c r="H60" i="10"/>
  <c r="A61" i="10"/>
  <c r="B61" i="10"/>
  <c r="C61" i="10"/>
  <c r="D61" i="10"/>
  <c r="E61" i="10"/>
  <c r="F61" i="10"/>
  <c r="G61" i="10"/>
  <c r="H61" i="10"/>
  <c r="A62" i="10"/>
  <c r="B62" i="10"/>
  <c r="C62" i="10"/>
  <c r="D62" i="10"/>
  <c r="E62" i="10"/>
  <c r="F62" i="10"/>
  <c r="G62" i="10"/>
  <c r="H62" i="10"/>
  <c r="A63" i="10"/>
  <c r="B63" i="10"/>
  <c r="C63" i="10"/>
  <c r="D63" i="10"/>
  <c r="E63" i="10"/>
  <c r="F63" i="10"/>
  <c r="G63" i="10"/>
  <c r="H63" i="10"/>
  <c r="A64" i="10"/>
  <c r="B64" i="10"/>
  <c r="C64" i="10"/>
  <c r="D64" i="10"/>
  <c r="E64" i="10"/>
  <c r="F64" i="10"/>
  <c r="G64" i="10"/>
  <c r="H64" i="10"/>
  <c r="A65" i="10"/>
  <c r="B65" i="10"/>
  <c r="C65" i="10"/>
  <c r="D65" i="10"/>
  <c r="E65" i="10"/>
  <c r="F65" i="10"/>
  <c r="G65" i="10"/>
  <c r="H65" i="10"/>
  <c r="A66" i="10"/>
  <c r="B66" i="10"/>
  <c r="C66" i="10"/>
  <c r="D66" i="10"/>
  <c r="E66" i="10"/>
  <c r="F66" i="10"/>
  <c r="G66" i="10"/>
  <c r="H66" i="10"/>
  <c r="A67" i="10"/>
  <c r="B67" i="10"/>
  <c r="C67" i="10"/>
  <c r="D67" i="10"/>
  <c r="E67" i="10"/>
  <c r="F67" i="10"/>
  <c r="G67" i="10"/>
  <c r="H67" i="10"/>
  <c r="A68" i="10"/>
  <c r="B68" i="10"/>
  <c r="C68" i="10"/>
  <c r="D68" i="10"/>
  <c r="E68" i="10"/>
  <c r="F68" i="10"/>
  <c r="G68" i="10"/>
  <c r="H68" i="10"/>
  <c r="A69" i="10"/>
  <c r="B69" i="10"/>
  <c r="C69" i="10"/>
  <c r="D69" i="10"/>
  <c r="E69" i="10"/>
  <c r="F69" i="10"/>
  <c r="G69" i="10"/>
  <c r="H69" i="10"/>
  <c r="A70" i="10"/>
  <c r="B70" i="10"/>
  <c r="C70" i="10"/>
  <c r="D70" i="10"/>
  <c r="E70" i="10"/>
  <c r="F70" i="10"/>
  <c r="G70" i="10"/>
  <c r="H70" i="10"/>
  <c r="A71" i="10"/>
  <c r="B71" i="10"/>
  <c r="C71" i="10"/>
  <c r="D71" i="10"/>
  <c r="E71" i="10"/>
  <c r="F71" i="10"/>
  <c r="G71" i="10"/>
  <c r="H71" i="10"/>
  <c r="A72" i="10"/>
  <c r="B72" i="10"/>
  <c r="C72" i="10"/>
  <c r="D72" i="10"/>
  <c r="E72" i="10"/>
  <c r="F72" i="10"/>
  <c r="G72" i="10"/>
  <c r="H72" i="10"/>
  <c r="A73" i="10"/>
  <c r="B73" i="10"/>
  <c r="C73" i="10"/>
  <c r="D73" i="10"/>
  <c r="E73" i="10"/>
  <c r="F73" i="10"/>
  <c r="G73" i="10"/>
  <c r="H73" i="10"/>
  <c r="A74" i="10"/>
  <c r="B74" i="10"/>
  <c r="C74" i="10"/>
  <c r="D74" i="10"/>
  <c r="E74" i="10"/>
  <c r="F74" i="10"/>
  <c r="G74" i="10"/>
  <c r="H74" i="10"/>
  <c r="A75" i="10"/>
  <c r="B75" i="10"/>
  <c r="C75" i="10"/>
  <c r="D75" i="10"/>
  <c r="E75" i="10"/>
  <c r="F75" i="10"/>
  <c r="G75" i="10"/>
  <c r="H75" i="10"/>
  <c r="A76" i="10"/>
  <c r="B76" i="10"/>
  <c r="C76" i="10"/>
  <c r="D76" i="10"/>
  <c r="E76" i="10"/>
  <c r="F76" i="10"/>
  <c r="G76" i="10"/>
  <c r="H76" i="10"/>
  <c r="A77" i="10"/>
  <c r="B77" i="10"/>
  <c r="C77" i="10"/>
  <c r="D77" i="10"/>
  <c r="E77" i="10"/>
  <c r="F77" i="10"/>
  <c r="G77" i="10"/>
  <c r="H77" i="10"/>
  <c r="A78" i="10"/>
  <c r="B78" i="10"/>
  <c r="C78" i="10"/>
  <c r="D78" i="10"/>
  <c r="E78" i="10"/>
  <c r="F78" i="10"/>
  <c r="G78" i="10"/>
  <c r="H78" i="10"/>
  <c r="A79" i="10"/>
  <c r="B79" i="10"/>
  <c r="C79" i="10"/>
  <c r="D79" i="10"/>
  <c r="E79" i="10"/>
  <c r="F79" i="10"/>
  <c r="G79" i="10"/>
  <c r="H79" i="10"/>
  <c r="A80" i="10"/>
  <c r="B80" i="10"/>
  <c r="C80" i="10"/>
  <c r="D80" i="10"/>
  <c r="E80" i="10"/>
  <c r="F80" i="10"/>
  <c r="G80" i="10"/>
  <c r="H80" i="10"/>
  <c r="A81" i="10"/>
  <c r="B81" i="10"/>
  <c r="C81" i="10"/>
  <c r="D81" i="10"/>
  <c r="E81" i="10"/>
  <c r="F81" i="10"/>
  <c r="G81" i="10"/>
  <c r="H81" i="10"/>
  <c r="A82" i="10"/>
  <c r="B82" i="10"/>
  <c r="C82" i="10"/>
  <c r="D82" i="10"/>
  <c r="E82" i="10"/>
  <c r="F82" i="10"/>
  <c r="G82" i="10"/>
  <c r="H82" i="10"/>
  <c r="A83" i="10"/>
  <c r="B83" i="10"/>
  <c r="C83" i="10"/>
  <c r="D83" i="10"/>
  <c r="E83" i="10"/>
  <c r="F83" i="10"/>
  <c r="G83" i="10"/>
  <c r="H83" i="10"/>
  <c r="A84" i="10"/>
  <c r="B84" i="10"/>
  <c r="C84" i="10"/>
  <c r="D84" i="10"/>
  <c r="E84" i="10"/>
  <c r="F84" i="10"/>
  <c r="G84" i="10"/>
  <c r="H84" i="10"/>
  <c r="A85" i="10"/>
  <c r="B85" i="10"/>
  <c r="C85" i="10"/>
  <c r="D85" i="10"/>
  <c r="E85" i="10"/>
  <c r="F85" i="10"/>
  <c r="G85" i="10"/>
  <c r="H85" i="10"/>
  <c r="A86" i="10"/>
  <c r="B86" i="10"/>
  <c r="C86" i="10"/>
  <c r="D86" i="10"/>
  <c r="E86" i="10"/>
  <c r="F86" i="10"/>
  <c r="G86" i="10"/>
  <c r="H86" i="10"/>
  <c r="A87" i="10"/>
  <c r="B87" i="10"/>
  <c r="C87" i="10"/>
  <c r="D87" i="10"/>
  <c r="E87" i="10"/>
  <c r="F87" i="10"/>
  <c r="G87" i="10"/>
  <c r="H87" i="10"/>
  <c r="A88" i="10"/>
  <c r="B88" i="10"/>
  <c r="C88" i="10"/>
  <c r="D88" i="10"/>
  <c r="E88" i="10"/>
  <c r="F88" i="10"/>
  <c r="G88" i="10"/>
  <c r="H88" i="10"/>
  <c r="A89" i="10"/>
  <c r="B89" i="10"/>
  <c r="C89" i="10"/>
  <c r="D89" i="10"/>
  <c r="E89" i="10"/>
  <c r="F89" i="10"/>
  <c r="G89" i="10"/>
  <c r="H89" i="10"/>
  <c r="A90" i="10"/>
  <c r="B90" i="10"/>
  <c r="C90" i="10"/>
  <c r="D90" i="10"/>
  <c r="E90" i="10"/>
  <c r="F90" i="10"/>
  <c r="G90" i="10"/>
  <c r="H90" i="10"/>
  <c r="A91" i="10"/>
  <c r="B91" i="10"/>
  <c r="C91" i="10"/>
  <c r="D91" i="10"/>
  <c r="E91" i="10"/>
  <c r="F91" i="10"/>
  <c r="G91" i="10"/>
  <c r="H91" i="10"/>
  <c r="A92" i="10"/>
  <c r="B92" i="10"/>
  <c r="C92" i="10"/>
  <c r="D92" i="10"/>
  <c r="E92" i="10"/>
  <c r="F92" i="10"/>
  <c r="G92" i="10"/>
  <c r="H92" i="10"/>
  <c r="A93" i="10"/>
  <c r="B93" i="10"/>
  <c r="C93" i="10"/>
  <c r="D93" i="10"/>
  <c r="E93" i="10"/>
  <c r="F93" i="10"/>
  <c r="G93" i="10"/>
  <c r="H93" i="10"/>
  <c r="A94" i="10"/>
  <c r="B94" i="10"/>
  <c r="C94" i="10"/>
  <c r="D94" i="10"/>
  <c r="E94" i="10"/>
  <c r="F94" i="10"/>
  <c r="G94" i="10"/>
  <c r="H94" i="10"/>
  <c r="A95" i="10"/>
  <c r="B95" i="10"/>
  <c r="C95" i="10"/>
  <c r="D95" i="10"/>
  <c r="E95" i="10"/>
  <c r="F95" i="10"/>
  <c r="G95" i="10"/>
  <c r="H95" i="10"/>
  <c r="A96" i="10"/>
  <c r="B96" i="10"/>
  <c r="C96" i="10"/>
  <c r="D96" i="10"/>
  <c r="E96" i="10"/>
  <c r="F96" i="10"/>
  <c r="G96" i="10"/>
  <c r="H96" i="10"/>
  <c r="A97" i="10"/>
  <c r="B97" i="10"/>
  <c r="C97" i="10"/>
  <c r="D97" i="10"/>
  <c r="E97" i="10"/>
  <c r="F97" i="10"/>
  <c r="G97" i="10"/>
  <c r="H97" i="10"/>
  <c r="A98" i="10"/>
  <c r="B98" i="10"/>
  <c r="C98" i="10"/>
  <c r="D98" i="10"/>
  <c r="E98" i="10"/>
  <c r="F98" i="10"/>
  <c r="G98" i="10"/>
  <c r="H98" i="10"/>
  <c r="A99" i="10"/>
  <c r="B99" i="10"/>
  <c r="C99" i="10"/>
  <c r="D99" i="10"/>
  <c r="E99" i="10"/>
  <c r="F99" i="10"/>
  <c r="G99" i="10"/>
  <c r="H99" i="10"/>
  <c r="A100" i="10"/>
  <c r="B100" i="10"/>
  <c r="C100" i="10"/>
  <c r="D100" i="10"/>
  <c r="E100" i="10"/>
  <c r="F100" i="10"/>
  <c r="G100" i="10"/>
  <c r="H100" i="10"/>
  <c r="A101" i="10"/>
  <c r="B101" i="10"/>
  <c r="C101" i="10"/>
  <c r="D101" i="10"/>
  <c r="E101" i="10"/>
  <c r="F101" i="10"/>
  <c r="G101" i="10"/>
  <c r="H101" i="10"/>
  <c r="A102" i="10"/>
  <c r="B102" i="10"/>
  <c r="C102" i="10"/>
  <c r="D102" i="10"/>
  <c r="E102" i="10"/>
  <c r="F102" i="10"/>
  <c r="G102" i="10"/>
  <c r="H102" i="10"/>
  <c r="A103" i="10"/>
  <c r="B103" i="10"/>
  <c r="C103" i="10"/>
  <c r="D103" i="10"/>
  <c r="E103" i="10"/>
  <c r="F103" i="10"/>
  <c r="G103" i="10"/>
  <c r="H103" i="10"/>
  <c r="A104" i="10"/>
  <c r="B104" i="10"/>
  <c r="C104" i="10"/>
  <c r="D104" i="10"/>
  <c r="E104" i="10"/>
  <c r="F104" i="10"/>
  <c r="G104" i="10"/>
  <c r="H104" i="10"/>
  <c r="A105" i="10"/>
  <c r="B105" i="10"/>
  <c r="C105" i="10"/>
  <c r="D105" i="10"/>
  <c r="E105" i="10"/>
  <c r="F105" i="10"/>
  <c r="G105" i="10"/>
  <c r="H105" i="10"/>
  <c r="A106" i="10"/>
  <c r="B106" i="10"/>
  <c r="C106" i="10"/>
  <c r="D106" i="10"/>
  <c r="E106" i="10"/>
  <c r="F106" i="10"/>
  <c r="G106" i="10"/>
  <c r="H106" i="10"/>
  <c r="A107" i="10"/>
  <c r="B107" i="10"/>
  <c r="C107" i="10"/>
  <c r="D107" i="10"/>
  <c r="E107" i="10"/>
  <c r="F107" i="10"/>
  <c r="G107" i="10"/>
  <c r="H107" i="10"/>
  <c r="A108" i="10"/>
  <c r="B108" i="10"/>
  <c r="C108" i="10"/>
  <c r="D108" i="10"/>
  <c r="E108" i="10"/>
  <c r="F108" i="10"/>
  <c r="G108" i="10"/>
  <c r="H108" i="10"/>
  <c r="A109" i="10"/>
  <c r="B109" i="10"/>
  <c r="C109" i="10"/>
  <c r="D109" i="10"/>
  <c r="E109" i="10"/>
  <c r="F109" i="10"/>
  <c r="G109" i="10"/>
  <c r="H109" i="10"/>
  <c r="A110" i="10"/>
  <c r="B110" i="10"/>
  <c r="C110" i="10"/>
  <c r="D110" i="10"/>
  <c r="E110" i="10"/>
  <c r="F110" i="10"/>
  <c r="G110" i="10"/>
  <c r="H110" i="10"/>
  <c r="A111" i="10"/>
  <c r="B111" i="10"/>
  <c r="C111" i="10"/>
  <c r="D111" i="10"/>
  <c r="E111" i="10"/>
  <c r="F111" i="10"/>
  <c r="G111" i="10"/>
  <c r="H111" i="10"/>
  <c r="A112" i="10"/>
  <c r="B112" i="10"/>
  <c r="C112" i="10"/>
  <c r="D112" i="10"/>
  <c r="E112" i="10"/>
  <c r="F112" i="10"/>
  <c r="G112" i="10"/>
  <c r="H112" i="10"/>
  <c r="A113" i="10"/>
  <c r="B113" i="10"/>
  <c r="C113" i="10"/>
  <c r="D113" i="10"/>
  <c r="E113" i="10"/>
  <c r="F113" i="10"/>
  <c r="G113" i="10"/>
  <c r="H113" i="10"/>
  <c r="A114" i="10"/>
  <c r="B114" i="10"/>
  <c r="C114" i="10"/>
  <c r="D114" i="10"/>
  <c r="E114" i="10"/>
  <c r="F114" i="10"/>
  <c r="G114" i="10"/>
  <c r="H114" i="10"/>
  <c r="A115" i="10"/>
  <c r="B115" i="10"/>
  <c r="C115" i="10"/>
  <c r="D115" i="10"/>
  <c r="E115" i="10"/>
  <c r="F115" i="10"/>
  <c r="G115" i="10"/>
  <c r="H115" i="10"/>
  <c r="A116" i="10"/>
  <c r="B116" i="10"/>
  <c r="C116" i="10"/>
  <c r="D116" i="10"/>
  <c r="E116" i="10"/>
  <c r="F116" i="10"/>
  <c r="G116" i="10"/>
  <c r="H116" i="10"/>
  <c r="A117" i="10"/>
  <c r="B117" i="10"/>
  <c r="C117" i="10"/>
  <c r="D117" i="10"/>
  <c r="E117" i="10"/>
  <c r="F117" i="10"/>
  <c r="G117" i="10"/>
  <c r="H117" i="10"/>
  <c r="A118" i="10"/>
  <c r="B118" i="10"/>
  <c r="C118" i="10"/>
  <c r="D118" i="10"/>
  <c r="E118" i="10"/>
  <c r="F118" i="10"/>
  <c r="G118" i="10"/>
  <c r="H118" i="10"/>
  <c r="A119" i="10"/>
  <c r="B119" i="10"/>
  <c r="C119" i="10"/>
  <c r="D119" i="10"/>
  <c r="E119" i="10"/>
  <c r="F119" i="10"/>
  <c r="G119" i="10"/>
  <c r="H119" i="10"/>
  <c r="A120" i="10"/>
  <c r="B120" i="10"/>
  <c r="C120" i="10"/>
  <c r="D120" i="10"/>
  <c r="E120" i="10"/>
  <c r="F120" i="10"/>
  <c r="G120" i="10"/>
  <c r="H120" i="10"/>
  <c r="A121" i="10"/>
  <c r="B121" i="10"/>
  <c r="C121" i="10"/>
  <c r="D121" i="10"/>
  <c r="E121" i="10"/>
  <c r="F121" i="10"/>
  <c r="G121" i="10"/>
  <c r="H121" i="10"/>
  <c r="A122" i="10"/>
  <c r="B122" i="10"/>
  <c r="C122" i="10"/>
  <c r="D122" i="10"/>
  <c r="E122" i="10"/>
  <c r="F122" i="10"/>
  <c r="G122" i="10"/>
  <c r="H122" i="10"/>
  <c r="A123" i="10"/>
  <c r="B123" i="10"/>
  <c r="C123" i="10"/>
  <c r="D123" i="10"/>
  <c r="E123" i="10"/>
  <c r="F123" i="10"/>
  <c r="G123" i="10"/>
  <c r="H123" i="10"/>
  <c r="A124" i="10"/>
  <c r="B124" i="10"/>
  <c r="C124" i="10"/>
  <c r="D124" i="10"/>
  <c r="E124" i="10"/>
  <c r="F124" i="10"/>
  <c r="G124" i="10"/>
  <c r="H124" i="10"/>
  <c r="A125" i="10"/>
  <c r="B125" i="10"/>
  <c r="C125" i="10"/>
  <c r="D125" i="10"/>
  <c r="E125" i="10"/>
  <c r="F125" i="10"/>
  <c r="G125" i="10"/>
  <c r="H125" i="10"/>
  <c r="A126" i="10"/>
  <c r="B126" i="10"/>
  <c r="C126" i="10"/>
  <c r="D126" i="10"/>
  <c r="E126" i="10"/>
  <c r="F126" i="10"/>
  <c r="G126" i="10"/>
  <c r="H126" i="10"/>
  <c r="A127" i="10"/>
  <c r="B127" i="10"/>
  <c r="C127" i="10"/>
  <c r="D127" i="10"/>
  <c r="E127" i="10"/>
  <c r="F127" i="10"/>
  <c r="G127" i="10"/>
  <c r="H127" i="10"/>
  <c r="A128" i="10"/>
  <c r="B128" i="10"/>
  <c r="C128" i="10"/>
  <c r="D128" i="10"/>
  <c r="E128" i="10"/>
  <c r="F128" i="10"/>
  <c r="G128" i="10"/>
  <c r="H128" i="10"/>
  <c r="A129" i="10"/>
  <c r="B129" i="10"/>
  <c r="C129" i="10"/>
  <c r="D129" i="10"/>
  <c r="E129" i="10"/>
  <c r="F129" i="10"/>
  <c r="G129" i="10"/>
  <c r="H129" i="10"/>
  <c r="A130" i="10"/>
  <c r="B130" i="10"/>
  <c r="C130" i="10"/>
  <c r="D130" i="10"/>
  <c r="E130" i="10"/>
  <c r="F130" i="10"/>
  <c r="G130" i="10"/>
  <c r="H130" i="10"/>
  <c r="A131" i="10"/>
  <c r="B131" i="10"/>
  <c r="C131" i="10"/>
  <c r="D131" i="10"/>
  <c r="E131" i="10"/>
  <c r="F131" i="10"/>
  <c r="G131" i="10"/>
  <c r="H131" i="10"/>
  <c r="A132" i="10"/>
  <c r="B132" i="10"/>
  <c r="C132" i="10"/>
  <c r="D132" i="10"/>
  <c r="E132" i="10"/>
  <c r="F132" i="10"/>
  <c r="G132" i="10"/>
  <c r="H132" i="10"/>
  <c r="A133" i="10"/>
  <c r="B133" i="10"/>
  <c r="C133" i="10"/>
  <c r="D133" i="10"/>
  <c r="E133" i="10"/>
  <c r="F133" i="10"/>
  <c r="G133" i="10"/>
  <c r="H133" i="10"/>
  <c r="A134" i="10"/>
  <c r="B134" i="10"/>
  <c r="C134" i="10"/>
  <c r="D134" i="10"/>
  <c r="E134" i="10"/>
  <c r="F134" i="10"/>
  <c r="G134" i="10"/>
  <c r="H134" i="10"/>
  <c r="A135" i="10"/>
  <c r="B135" i="10"/>
  <c r="C135" i="10"/>
  <c r="D135" i="10"/>
  <c r="E135" i="10"/>
  <c r="F135" i="10"/>
  <c r="G135" i="10"/>
  <c r="H135" i="10"/>
  <c r="A136" i="10"/>
  <c r="B136" i="10"/>
  <c r="C136" i="10"/>
  <c r="D136" i="10"/>
  <c r="E136" i="10"/>
  <c r="F136" i="10"/>
  <c r="G136" i="10"/>
  <c r="H136" i="10"/>
  <c r="A137" i="10"/>
  <c r="B137" i="10"/>
  <c r="C137" i="10"/>
  <c r="D137" i="10"/>
  <c r="E137" i="10"/>
  <c r="F137" i="10"/>
  <c r="G137" i="10"/>
  <c r="H137" i="10"/>
  <c r="A138" i="10"/>
  <c r="B138" i="10"/>
  <c r="C138" i="10"/>
  <c r="D138" i="10"/>
  <c r="E138" i="10"/>
  <c r="F138" i="10"/>
  <c r="G138" i="10"/>
  <c r="H138" i="10"/>
  <c r="A139" i="10"/>
  <c r="B139" i="10"/>
  <c r="C139" i="10"/>
  <c r="D139" i="10"/>
  <c r="E139" i="10"/>
  <c r="F139" i="10"/>
  <c r="G139" i="10"/>
  <c r="H139" i="10"/>
  <c r="A140" i="10"/>
  <c r="B140" i="10"/>
  <c r="C140" i="10"/>
  <c r="D140" i="10"/>
  <c r="E140" i="10"/>
  <c r="F140" i="10"/>
  <c r="G140" i="10"/>
  <c r="H140" i="10"/>
  <c r="A141" i="10"/>
  <c r="B141" i="10"/>
  <c r="C141" i="10"/>
  <c r="D141" i="10"/>
  <c r="E141" i="10"/>
  <c r="F141" i="10"/>
  <c r="G141" i="10"/>
  <c r="H141" i="10"/>
  <c r="A142" i="10"/>
  <c r="B142" i="10"/>
  <c r="C142" i="10"/>
  <c r="D142" i="10"/>
  <c r="E142" i="10"/>
  <c r="F142" i="10"/>
  <c r="G142" i="10"/>
  <c r="H142" i="10"/>
  <c r="A143" i="10"/>
  <c r="B143" i="10"/>
  <c r="C143" i="10"/>
  <c r="D143" i="10"/>
  <c r="E143" i="10"/>
  <c r="F143" i="10"/>
  <c r="G143" i="10"/>
  <c r="H143" i="10"/>
  <c r="A144" i="10"/>
  <c r="B144" i="10"/>
  <c r="C144" i="10"/>
  <c r="D144" i="10"/>
  <c r="E144" i="10"/>
  <c r="F144" i="10"/>
  <c r="G144" i="10"/>
  <c r="H144" i="10"/>
  <c r="A145" i="10"/>
  <c r="B145" i="10"/>
  <c r="C145" i="10"/>
  <c r="D145" i="10"/>
  <c r="E145" i="10"/>
  <c r="F145" i="10"/>
  <c r="G145" i="10"/>
  <c r="H145" i="10"/>
  <c r="A146" i="10"/>
  <c r="B146" i="10"/>
  <c r="C146" i="10"/>
  <c r="D146" i="10"/>
  <c r="E146" i="10"/>
  <c r="F146" i="10"/>
  <c r="G146" i="10"/>
  <c r="H146" i="10"/>
  <c r="A147" i="10"/>
  <c r="B147" i="10"/>
  <c r="C147" i="10"/>
  <c r="D147" i="10"/>
  <c r="E147" i="10"/>
  <c r="F147" i="10"/>
  <c r="G147" i="10"/>
  <c r="H147" i="10"/>
  <c r="A148" i="10"/>
  <c r="B148" i="10"/>
  <c r="C148" i="10"/>
  <c r="D148" i="10"/>
  <c r="E148" i="10"/>
  <c r="F148" i="10"/>
  <c r="G148" i="10"/>
  <c r="H148" i="10"/>
  <c r="A149" i="10"/>
  <c r="B149" i="10"/>
  <c r="C149" i="10"/>
  <c r="D149" i="10"/>
  <c r="E149" i="10"/>
  <c r="F149" i="10"/>
  <c r="G149" i="10"/>
  <c r="H149" i="10"/>
  <c r="A150" i="10"/>
  <c r="B150" i="10"/>
  <c r="C150" i="10"/>
  <c r="D150" i="10"/>
  <c r="E150" i="10"/>
  <c r="F150" i="10"/>
  <c r="G150" i="10"/>
  <c r="H150" i="10"/>
  <c r="A151" i="10"/>
  <c r="B151" i="10"/>
  <c r="C151" i="10"/>
  <c r="D151" i="10"/>
  <c r="E151" i="10"/>
  <c r="F151" i="10"/>
  <c r="G151" i="10"/>
  <c r="H151" i="10"/>
  <c r="A152" i="10"/>
  <c r="B152" i="10"/>
  <c r="C152" i="10"/>
  <c r="D152" i="10"/>
  <c r="E152" i="10"/>
  <c r="F152" i="10"/>
  <c r="G152" i="10"/>
  <c r="H152" i="10"/>
  <c r="A155" i="10"/>
  <c r="B155" i="10"/>
  <c r="C155" i="10"/>
  <c r="D155" i="10"/>
  <c r="E155" i="10"/>
  <c r="F155" i="10"/>
  <c r="G155" i="10"/>
  <c r="H155" i="10"/>
  <c r="A156" i="10"/>
  <c r="B156" i="10"/>
  <c r="C156" i="10"/>
  <c r="D156" i="10"/>
  <c r="E156" i="10"/>
  <c r="F156" i="10"/>
  <c r="G156" i="10"/>
  <c r="H156" i="10"/>
  <c r="A157" i="10"/>
  <c r="B157" i="10"/>
  <c r="C157" i="10"/>
  <c r="D157" i="10"/>
  <c r="E157" i="10"/>
  <c r="F157" i="10"/>
  <c r="G157" i="10"/>
  <c r="H157" i="10"/>
  <c r="A158" i="10"/>
  <c r="B158" i="10"/>
  <c r="C158" i="10"/>
  <c r="D158" i="10"/>
  <c r="E158" i="10"/>
  <c r="F158" i="10"/>
  <c r="G158" i="10"/>
  <c r="H158" i="10"/>
  <c r="A159" i="10"/>
  <c r="B159" i="10"/>
  <c r="C159" i="10"/>
  <c r="D159" i="10"/>
  <c r="E159" i="10"/>
  <c r="F159" i="10"/>
  <c r="G159" i="10"/>
  <c r="H159" i="10"/>
  <c r="A160" i="10"/>
  <c r="B160" i="10"/>
  <c r="C160" i="10"/>
  <c r="D160" i="10"/>
  <c r="E160" i="10"/>
  <c r="F160" i="10"/>
  <c r="G160" i="10"/>
  <c r="H160" i="10"/>
  <c r="A161" i="10"/>
  <c r="B161" i="10"/>
  <c r="C161" i="10"/>
  <c r="D161" i="10"/>
  <c r="E161" i="10"/>
  <c r="F161" i="10"/>
  <c r="G161" i="10"/>
  <c r="H161" i="10"/>
  <c r="A162" i="10"/>
  <c r="B162" i="10"/>
  <c r="C162" i="10"/>
  <c r="D162" i="10"/>
  <c r="E162" i="10"/>
  <c r="F162" i="10"/>
  <c r="G162" i="10"/>
  <c r="H162" i="10"/>
  <c r="A163" i="10"/>
  <c r="B163" i="10"/>
  <c r="C163" i="10"/>
  <c r="D163" i="10"/>
  <c r="E163" i="10"/>
  <c r="F163" i="10"/>
  <c r="G163" i="10"/>
  <c r="H163" i="10"/>
  <c r="A164" i="10"/>
  <c r="B164" i="10"/>
  <c r="C164" i="10"/>
  <c r="D164" i="10"/>
  <c r="E164" i="10"/>
  <c r="F164" i="10"/>
  <c r="G164" i="10"/>
  <c r="H164" i="10"/>
  <c r="A165" i="10"/>
  <c r="B165" i="10"/>
  <c r="C165" i="10"/>
  <c r="D165" i="10"/>
  <c r="E165" i="10"/>
  <c r="F165" i="10"/>
  <c r="G165" i="10"/>
  <c r="H165" i="10"/>
  <c r="A166" i="10"/>
  <c r="B166" i="10"/>
  <c r="C166" i="10"/>
  <c r="D166" i="10"/>
  <c r="E166" i="10"/>
  <c r="F166" i="10"/>
  <c r="G166" i="10"/>
  <c r="H166" i="10"/>
  <c r="A167" i="10"/>
  <c r="B167" i="10"/>
  <c r="C167" i="10"/>
  <c r="D167" i="10"/>
  <c r="E167" i="10"/>
  <c r="F167" i="10"/>
  <c r="G167" i="10"/>
  <c r="H167" i="10"/>
  <c r="A168" i="10"/>
  <c r="B168" i="10"/>
  <c r="C168" i="10"/>
  <c r="D168" i="10"/>
  <c r="E168" i="10"/>
  <c r="F168" i="10"/>
  <c r="G168" i="10"/>
  <c r="H168" i="10"/>
  <c r="A169" i="10"/>
  <c r="B169" i="10"/>
  <c r="C169" i="10"/>
  <c r="D169" i="10"/>
  <c r="E169" i="10"/>
  <c r="F169" i="10"/>
  <c r="G169" i="10"/>
  <c r="H169" i="10"/>
  <c r="A170" i="10"/>
  <c r="B170" i="10"/>
  <c r="C170" i="10"/>
  <c r="D170" i="10"/>
  <c r="E170" i="10"/>
  <c r="F170" i="10"/>
  <c r="G170" i="10"/>
  <c r="H170" i="10"/>
  <c r="A171" i="10"/>
  <c r="B171" i="10"/>
  <c r="C171" i="10"/>
  <c r="D171" i="10"/>
  <c r="E171" i="10"/>
  <c r="F171" i="10"/>
  <c r="G171" i="10"/>
  <c r="H171" i="10"/>
  <c r="A172" i="10"/>
  <c r="B172" i="10"/>
  <c r="C172" i="10"/>
  <c r="D172" i="10"/>
  <c r="E172" i="10"/>
  <c r="F172" i="10"/>
  <c r="G172" i="10"/>
  <c r="H172" i="10"/>
  <c r="A173" i="10"/>
  <c r="B173" i="10"/>
  <c r="C173" i="10"/>
  <c r="D173" i="10"/>
  <c r="E173" i="10"/>
  <c r="F173" i="10"/>
  <c r="G173" i="10"/>
  <c r="H173" i="10"/>
  <c r="A174" i="10"/>
  <c r="B174" i="10"/>
  <c r="C174" i="10"/>
  <c r="D174" i="10"/>
  <c r="E174" i="10"/>
  <c r="F174" i="10"/>
  <c r="G174" i="10"/>
  <c r="H174" i="10"/>
  <c r="A175" i="10"/>
  <c r="B175" i="10"/>
  <c r="C175" i="10"/>
  <c r="D175" i="10"/>
  <c r="E175" i="10"/>
  <c r="F175" i="10"/>
  <c r="G175" i="10"/>
  <c r="H175" i="10"/>
  <c r="A176" i="10"/>
  <c r="B176" i="10"/>
  <c r="C176" i="10"/>
  <c r="D176" i="10"/>
  <c r="E176" i="10"/>
  <c r="F176" i="10"/>
  <c r="G176" i="10"/>
  <c r="H176" i="10"/>
  <c r="A177" i="10"/>
  <c r="B177" i="10"/>
  <c r="C177" i="10"/>
  <c r="D177" i="10"/>
  <c r="E177" i="10"/>
  <c r="F177" i="10"/>
  <c r="G177" i="10"/>
  <c r="H177" i="10"/>
  <c r="A178" i="10"/>
  <c r="B178" i="10"/>
  <c r="C178" i="10"/>
  <c r="D178" i="10"/>
  <c r="E178" i="10"/>
  <c r="F178" i="10"/>
  <c r="G178" i="10"/>
  <c r="H178" i="10"/>
  <c r="A179" i="10"/>
  <c r="B179" i="10"/>
  <c r="C179" i="10"/>
  <c r="D179" i="10"/>
  <c r="E179" i="10"/>
  <c r="F179" i="10"/>
  <c r="G179" i="10"/>
  <c r="H179" i="10"/>
  <c r="A180" i="10"/>
  <c r="B180" i="10"/>
  <c r="C180" i="10"/>
  <c r="D180" i="10"/>
  <c r="E180" i="10"/>
  <c r="F180" i="10"/>
  <c r="G180" i="10"/>
  <c r="H180" i="10"/>
  <c r="A181" i="10"/>
  <c r="B181" i="10"/>
  <c r="C181" i="10"/>
  <c r="D181" i="10"/>
  <c r="E181" i="10"/>
  <c r="F181" i="10"/>
  <c r="G181" i="10"/>
  <c r="H181" i="10"/>
  <c r="A182" i="10"/>
  <c r="B182" i="10"/>
  <c r="C182" i="10"/>
  <c r="D182" i="10"/>
  <c r="E182" i="10"/>
  <c r="F182" i="10"/>
  <c r="G182" i="10"/>
  <c r="H182" i="10"/>
  <c r="A183" i="10"/>
  <c r="B183" i="10"/>
  <c r="C183" i="10"/>
  <c r="D183" i="10"/>
  <c r="E183" i="10"/>
  <c r="F183" i="10"/>
  <c r="G183" i="10"/>
  <c r="H183" i="10"/>
  <c r="A184" i="10"/>
  <c r="B184" i="10"/>
  <c r="C184" i="10"/>
  <c r="D184" i="10"/>
  <c r="E184" i="10"/>
  <c r="F184" i="10"/>
  <c r="G184" i="10"/>
  <c r="H184" i="10"/>
  <c r="A185" i="10"/>
  <c r="B185" i="10"/>
  <c r="C185" i="10"/>
  <c r="D185" i="10"/>
  <c r="E185" i="10"/>
  <c r="F185" i="10"/>
  <c r="G185" i="10"/>
  <c r="H185" i="10"/>
  <c r="A186" i="10"/>
  <c r="B186" i="10"/>
  <c r="C186" i="10"/>
  <c r="D186" i="10"/>
  <c r="E186" i="10"/>
  <c r="F186" i="10"/>
  <c r="G186" i="10"/>
  <c r="H186" i="10"/>
  <c r="A187" i="10"/>
  <c r="B187" i="10"/>
  <c r="C187" i="10"/>
  <c r="D187" i="10"/>
  <c r="E187" i="10"/>
  <c r="F187" i="10"/>
  <c r="G187" i="10"/>
  <c r="H187" i="10"/>
  <c r="A188" i="10"/>
  <c r="B188" i="10"/>
  <c r="C188" i="10"/>
  <c r="D188" i="10"/>
  <c r="E188" i="10"/>
  <c r="F188" i="10"/>
  <c r="G188" i="10"/>
  <c r="H188" i="10"/>
  <c r="A189" i="10"/>
  <c r="B189" i="10"/>
  <c r="C189" i="10"/>
  <c r="D189" i="10"/>
  <c r="E189" i="10"/>
  <c r="F189" i="10"/>
  <c r="G189" i="10"/>
  <c r="H189" i="10"/>
  <c r="A190" i="10"/>
  <c r="B190" i="10"/>
  <c r="C190" i="10"/>
  <c r="D190" i="10"/>
  <c r="E190" i="10"/>
  <c r="F190" i="10"/>
  <c r="G190" i="10"/>
  <c r="H190" i="10"/>
  <c r="A191" i="10"/>
  <c r="B191" i="10"/>
  <c r="C191" i="10"/>
  <c r="D191" i="10"/>
  <c r="E191" i="10"/>
  <c r="F191" i="10"/>
  <c r="G191" i="10"/>
  <c r="H191" i="10"/>
  <c r="A192" i="10"/>
  <c r="B192" i="10"/>
  <c r="C192" i="10"/>
  <c r="D192" i="10"/>
  <c r="E192" i="10"/>
  <c r="F192" i="10"/>
  <c r="G192" i="10"/>
  <c r="H192" i="10"/>
  <c r="A193" i="10"/>
  <c r="B193" i="10"/>
  <c r="C193" i="10"/>
  <c r="D193" i="10"/>
  <c r="E193" i="10"/>
  <c r="F193" i="10"/>
  <c r="G193" i="10"/>
  <c r="H193" i="10"/>
  <c r="A194" i="10"/>
  <c r="B194" i="10"/>
  <c r="C194" i="10"/>
  <c r="D194" i="10"/>
  <c r="E194" i="10"/>
  <c r="F194" i="10"/>
  <c r="G194" i="10"/>
  <c r="H194" i="10"/>
  <c r="A195" i="10"/>
  <c r="B195" i="10"/>
  <c r="C195" i="10"/>
  <c r="D195" i="10"/>
  <c r="E195" i="10"/>
  <c r="F195" i="10"/>
  <c r="G195" i="10"/>
  <c r="H195" i="10"/>
  <c r="A196" i="10"/>
  <c r="B196" i="10"/>
  <c r="C196" i="10"/>
  <c r="D196" i="10"/>
  <c r="E196" i="10"/>
  <c r="F196" i="10"/>
  <c r="G196" i="10"/>
  <c r="H196" i="10"/>
  <c r="A197" i="10"/>
  <c r="B197" i="10"/>
  <c r="C197" i="10"/>
  <c r="D197" i="10"/>
  <c r="E197" i="10"/>
  <c r="F197" i="10"/>
  <c r="G197" i="10"/>
  <c r="H197" i="10"/>
  <c r="A198" i="10"/>
  <c r="B198" i="10"/>
  <c r="C198" i="10"/>
  <c r="D198" i="10"/>
  <c r="E198" i="10"/>
  <c r="F198" i="10"/>
  <c r="G198" i="10"/>
  <c r="H198" i="10"/>
  <c r="A199" i="10"/>
  <c r="B199" i="10"/>
  <c r="C199" i="10"/>
  <c r="D199" i="10"/>
  <c r="E199" i="10"/>
  <c r="F199" i="10"/>
  <c r="G199" i="10"/>
  <c r="H199" i="10"/>
  <c r="A200" i="10"/>
  <c r="B200" i="10"/>
  <c r="C200" i="10"/>
  <c r="D200" i="10"/>
  <c r="E200" i="10"/>
  <c r="F200" i="10"/>
  <c r="G200" i="10"/>
  <c r="H200" i="10"/>
  <c r="A201" i="10"/>
  <c r="B201" i="10"/>
  <c r="C201" i="10"/>
  <c r="D201" i="10"/>
  <c r="E201" i="10"/>
  <c r="F201" i="10"/>
  <c r="G201" i="10"/>
  <c r="H201" i="10"/>
  <c r="A202" i="10"/>
  <c r="B202" i="10"/>
  <c r="C202" i="10"/>
  <c r="D202" i="10"/>
  <c r="E202" i="10"/>
  <c r="F202" i="10"/>
  <c r="G202" i="10"/>
  <c r="H202" i="10"/>
  <c r="A203" i="10"/>
  <c r="B203" i="10"/>
  <c r="C203" i="10"/>
  <c r="D203" i="10"/>
  <c r="E203" i="10"/>
  <c r="F203" i="10"/>
  <c r="G203" i="10"/>
  <c r="H203" i="10"/>
  <c r="A204" i="10"/>
  <c r="B204" i="10"/>
  <c r="C204" i="10"/>
  <c r="D204" i="10"/>
  <c r="E204" i="10"/>
  <c r="F204" i="10"/>
  <c r="G204" i="10"/>
  <c r="H204" i="10"/>
  <c r="A205" i="10"/>
  <c r="B205" i="10"/>
  <c r="C205" i="10"/>
  <c r="D205" i="10"/>
  <c r="E205" i="10"/>
  <c r="F205" i="10"/>
  <c r="G205" i="10"/>
  <c r="H205" i="10"/>
  <c r="A206" i="10"/>
  <c r="B206" i="10"/>
  <c r="C206" i="10"/>
  <c r="D206" i="10"/>
  <c r="E206" i="10"/>
  <c r="F206" i="10"/>
  <c r="G206" i="10"/>
  <c r="H206" i="10"/>
  <c r="A207" i="10"/>
  <c r="B207" i="10"/>
  <c r="C207" i="10"/>
  <c r="D207" i="10"/>
  <c r="E207" i="10"/>
  <c r="F207" i="10"/>
  <c r="G207" i="10"/>
  <c r="H207" i="10"/>
  <c r="A208" i="10"/>
  <c r="B208" i="10"/>
  <c r="C208" i="10"/>
  <c r="D208" i="10"/>
  <c r="E208" i="10"/>
  <c r="F208" i="10"/>
  <c r="G208" i="10"/>
  <c r="H208" i="10"/>
  <c r="A209" i="10"/>
  <c r="B209" i="10"/>
  <c r="C209" i="10"/>
  <c r="D209" i="10"/>
  <c r="E209" i="10"/>
  <c r="F209" i="10"/>
  <c r="G209" i="10"/>
  <c r="H209" i="10"/>
  <c r="A210" i="10"/>
  <c r="B210" i="10"/>
  <c r="C210" i="10"/>
  <c r="D210" i="10"/>
  <c r="E210" i="10"/>
  <c r="F210" i="10"/>
  <c r="G210" i="10"/>
  <c r="H210" i="10"/>
  <c r="A211" i="10"/>
  <c r="B211" i="10"/>
  <c r="C211" i="10"/>
  <c r="D211" i="10"/>
  <c r="E211" i="10"/>
  <c r="F211" i="10"/>
  <c r="G211" i="10"/>
  <c r="H211" i="10"/>
  <c r="A212" i="10"/>
  <c r="B212" i="10"/>
  <c r="C212" i="10"/>
  <c r="D212" i="10"/>
  <c r="E212" i="10"/>
  <c r="F212" i="10"/>
  <c r="G212" i="10"/>
  <c r="H212" i="10"/>
  <c r="A213" i="10"/>
  <c r="B213" i="10"/>
  <c r="C213" i="10"/>
  <c r="D213" i="10"/>
  <c r="E213" i="10"/>
  <c r="F213" i="10"/>
  <c r="G213" i="10"/>
  <c r="H213" i="10"/>
  <c r="A214" i="10"/>
  <c r="B214" i="10"/>
  <c r="C214" i="10"/>
  <c r="D214" i="10"/>
  <c r="E214" i="10"/>
  <c r="F214" i="10"/>
  <c r="G214" i="10"/>
  <c r="H214" i="10"/>
  <c r="A215" i="10"/>
  <c r="B215" i="10"/>
  <c r="C215" i="10"/>
  <c r="D215" i="10"/>
  <c r="F215" i="10"/>
  <c r="G215" i="10"/>
  <c r="H215" i="10"/>
  <c r="A216" i="10"/>
  <c r="B216" i="10"/>
  <c r="C216" i="10"/>
  <c r="D216" i="10"/>
  <c r="F216" i="10"/>
  <c r="G216" i="10"/>
  <c r="H216" i="10"/>
  <c r="A217" i="10"/>
  <c r="B217" i="10"/>
  <c r="C217" i="10"/>
  <c r="D217" i="10"/>
  <c r="F217" i="10"/>
  <c r="G217" i="10"/>
  <c r="H217" i="10"/>
  <c r="A218" i="10"/>
  <c r="B218" i="10"/>
  <c r="C218" i="10"/>
  <c r="D218" i="10"/>
  <c r="E218" i="10"/>
  <c r="F218" i="10"/>
  <c r="G218" i="10"/>
  <c r="H218" i="10"/>
  <c r="A219" i="10"/>
  <c r="B219" i="10"/>
  <c r="C219" i="10"/>
  <c r="D219" i="10"/>
  <c r="E219" i="10"/>
  <c r="F219" i="10"/>
  <c r="G219" i="10"/>
  <c r="H219" i="10"/>
  <c r="A220" i="10"/>
  <c r="B220" i="10"/>
  <c r="C220" i="10"/>
  <c r="D220" i="10"/>
  <c r="E220" i="10"/>
  <c r="F220" i="10"/>
  <c r="G220" i="10"/>
  <c r="H220" i="10"/>
  <c r="A221" i="10"/>
  <c r="B221" i="10"/>
  <c r="C221" i="10"/>
  <c r="D221" i="10"/>
  <c r="E221" i="10"/>
  <c r="F221" i="10"/>
  <c r="G221" i="10"/>
  <c r="H221" i="10"/>
  <c r="A222" i="10"/>
  <c r="B222" i="10"/>
  <c r="C222" i="10"/>
  <c r="D222" i="10"/>
  <c r="E222" i="10"/>
  <c r="F222" i="10"/>
  <c r="G222" i="10"/>
  <c r="H222" i="10"/>
  <c r="A223" i="10"/>
  <c r="B223" i="10"/>
  <c r="C223" i="10"/>
  <c r="D223" i="10"/>
  <c r="E223" i="10"/>
  <c r="F223" i="10"/>
  <c r="G223" i="10"/>
  <c r="H223" i="10"/>
  <c r="A224" i="10"/>
  <c r="B224" i="10"/>
  <c r="C224" i="10"/>
  <c r="D224" i="10"/>
  <c r="E224" i="10"/>
  <c r="F224" i="10"/>
  <c r="G224" i="10"/>
  <c r="H224" i="10"/>
  <c r="A225" i="10"/>
  <c r="B225" i="10"/>
  <c r="C225" i="10"/>
  <c r="D225" i="10"/>
  <c r="E225" i="10"/>
  <c r="F225" i="10"/>
  <c r="G225" i="10"/>
  <c r="H225" i="10"/>
  <c r="A226" i="10"/>
  <c r="B226" i="10"/>
  <c r="C226" i="10"/>
  <c r="D226" i="10"/>
  <c r="E226" i="10"/>
  <c r="F226" i="10"/>
  <c r="G226" i="10"/>
  <c r="H226" i="10"/>
  <c r="A227" i="10"/>
  <c r="B227" i="10"/>
  <c r="C227" i="10"/>
  <c r="D227" i="10"/>
  <c r="E227" i="10"/>
  <c r="F227" i="10"/>
  <c r="G227" i="10"/>
  <c r="H227" i="10"/>
  <c r="A228" i="10"/>
  <c r="B228" i="10"/>
  <c r="C228" i="10"/>
  <c r="D228" i="10"/>
  <c r="E228" i="10"/>
  <c r="F228" i="10"/>
  <c r="G228" i="10"/>
  <c r="H228" i="10"/>
  <c r="A229" i="10"/>
  <c r="B229" i="10"/>
  <c r="C229" i="10"/>
  <c r="D229" i="10"/>
  <c r="E229" i="10"/>
  <c r="F229" i="10"/>
  <c r="G229" i="10"/>
  <c r="H229" i="10"/>
  <c r="A230" i="10"/>
  <c r="B230" i="10"/>
  <c r="C230" i="10"/>
  <c r="D230" i="10"/>
  <c r="E230" i="10"/>
  <c r="F230" i="10"/>
  <c r="G230" i="10"/>
  <c r="H230" i="10"/>
  <c r="A231" i="10"/>
  <c r="B231" i="10"/>
  <c r="C231" i="10"/>
  <c r="D231" i="10"/>
  <c r="E231" i="10"/>
  <c r="F231" i="10"/>
  <c r="G231" i="10"/>
  <c r="H231" i="10"/>
  <c r="A232" i="10"/>
  <c r="B232" i="10"/>
  <c r="C232" i="10"/>
  <c r="D232" i="10"/>
  <c r="E232" i="10"/>
  <c r="F232" i="10"/>
  <c r="G232" i="10"/>
  <c r="H232" i="10"/>
  <c r="A233" i="10"/>
  <c r="B233" i="10"/>
  <c r="C233" i="10"/>
  <c r="D233" i="10"/>
  <c r="E233" i="10"/>
  <c r="F233" i="10"/>
  <c r="G233" i="10"/>
  <c r="H233" i="10"/>
  <c r="A234" i="10"/>
  <c r="B234" i="10"/>
  <c r="C234" i="10"/>
  <c r="D234" i="10"/>
  <c r="E234" i="10"/>
  <c r="F234" i="10"/>
  <c r="G234" i="10"/>
  <c r="H234" i="10"/>
  <c r="A235" i="10"/>
  <c r="B235" i="10"/>
  <c r="C235" i="10"/>
  <c r="D235" i="10"/>
  <c r="E235" i="10"/>
  <c r="F235" i="10"/>
  <c r="G235" i="10"/>
  <c r="H235" i="10"/>
  <c r="A236" i="10"/>
  <c r="B236" i="10"/>
  <c r="C236" i="10"/>
  <c r="D236" i="10"/>
  <c r="E236" i="10"/>
  <c r="F236" i="10"/>
  <c r="G236" i="10"/>
  <c r="H236" i="10"/>
  <c r="A237" i="10"/>
  <c r="B237" i="10"/>
  <c r="C237" i="10"/>
  <c r="D237" i="10"/>
  <c r="E237" i="10"/>
  <c r="F237" i="10"/>
  <c r="G237" i="10"/>
  <c r="H237" i="10"/>
  <c r="A238" i="10"/>
  <c r="B238" i="10"/>
  <c r="C238" i="10"/>
  <c r="D238" i="10"/>
  <c r="E238" i="10"/>
  <c r="F238" i="10"/>
  <c r="G238" i="10"/>
  <c r="H238" i="10"/>
  <c r="A239" i="10"/>
  <c r="B239" i="10"/>
  <c r="C239" i="10"/>
  <c r="D239" i="10"/>
  <c r="E239" i="10"/>
  <c r="F239" i="10"/>
  <c r="G239" i="10"/>
  <c r="H239" i="10"/>
  <c r="A240" i="10"/>
  <c r="B240" i="10"/>
  <c r="C240" i="10"/>
  <c r="D240" i="10"/>
  <c r="E240" i="10"/>
  <c r="F240" i="10"/>
  <c r="G240" i="10"/>
  <c r="H240" i="10"/>
  <c r="A241" i="10"/>
  <c r="B241" i="10"/>
  <c r="C241" i="10"/>
  <c r="D241" i="10"/>
  <c r="E241" i="10"/>
  <c r="F241" i="10"/>
  <c r="G241" i="10"/>
  <c r="H241" i="10"/>
  <c r="A242" i="10"/>
  <c r="B242" i="10"/>
  <c r="C242" i="10"/>
  <c r="D242" i="10"/>
  <c r="E242" i="10"/>
  <c r="F242" i="10"/>
  <c r="G242" i="10"/>
  <c r="H242" i="10"/>
  <c r="A243" i="10"/>
  <c r="B243" i="10"/>
  <c r="C243" i="10"/>
  <c r="D243" i="10"/>
  <c r="E243" i="10"/>
  <c r="F243" i="10"/>
  <c r="G243" i="10"/>
  <c r="H243" i="10"/>
  <c r="A244" i="10"/>
  <c r="B244" i="10"/>
  <c r="C244" i="10"/>
  <c r="D244" i="10"/>
  <c r="E244" i="10"/>
  <c r="F244" i="10"/>
  <c r="G244" i="10"/>
  <c r="H244" i="10"/>
  <c r="A245" i="10"/>
  <c r="B245" i="10"/>
  <c r="C245" i="10"/>
  <c r="D245" i="10"/>
  <c r="E245" i="10"/>
  <c r="F245" i="10"/>
  <c r="G245" i="10"/>
  <c r="H245" i="10"/>
  <c r="A246" i="10"/>
  <c r="B246" i="10"/>
  <c r="C246" i="10"/>
  <c r="D246" i="10"/>
  <c r="E246" i="10"/>
  <c r="F246" i="10"/>
  <c r="G246" i="10"/>
  <c r="H246" i="10"/>
  <c r="A247" i="10"/>
  <c r="B247" i="10"/>
  <c r="C247" i="10"/>
  <c r="D247" i="10"/>
  <c r="E247" i="10"/>
  <c r="F247" i="10"/>
  <c r="G247" i="10"/>
  <c r="H247" i="10"/>
  <c r="A248" i="10"/>
  <c r="B248" i="10"/>
  <c r="C248" i="10"/>
  <c r="D248" i="10"/>
  <c r="E248" i="10"/>
  <c r="F248" i="10"/>
  <c r="G248" i="10"/>
  <c r="H248" i="10"/>
  <c r="A249" i="10"/>
  <c r="B249" i="10"/>
  <c r="C249" i="10"/>
  <c r="D249" i="10"/>
  <c r="E249" i="10"/>
  <c r="F249" i="10"/>
  <c r="G249" i="10"/>
  <c r="H249" i="10"/>
  <c r="A250" i="10"/>
  <c r="B250" i="10"/>
  <c r="C250" i="10"/>
  <c r="D250" i="10"/>
  <c r="E250" i="10"/>
  <c r="F250" i="10"/>
  <c r="G250" i="10"/>
  <c r="H250" i="10"/>
  <c r="A251" i="10"/>
  <c r="B251" i="10"/>
  <c r="C251" i="10"/>
  <c r="D251" i="10"/>
  <c r="E251" i="10"/>
  <c r="F251" i="10"/>
  <c r="G251" i="10"/>
  <c r="H251" i="10"/>
  <c r="A252" i="10"/>
  <c r="B252" i="10"/>
  <c r="C252" i="10"/>
  <c r="D252" i="10"/>
  <c r="E252" i="10"/>
  <c r="F252" i="10"/>
  <c r="G252" i="10"/>
  <c r="H252" i="10"/>
  <c r="A253" i="10"/>
  <c r="B253" i="10"/>
  <c r="C253" i="10"/>
  <c r="D253" i="10"/>
  <c r="E253" i="10"/>
  <c r="F253" i="10"/>
  <c r="G253" i="10"/>
  <c r="H253" i="10"/>
  <c r="A254" i="10"/>
  <c r="B254" i="10"/>
  <c r="C254" i="10"/>
  <c r="D254" i="10"/>
  <c r="E254" i="10"/>
  <c r="F254" i="10"/>
  <c r="G254" i="10"/>
  <c r="H254" i="10"/>
  <c r="A255" i="10"/>
  <c r="B255" i="10"/>
  <c r="C255" i="10"/>
  <c r="D255" i="10"/>
  <c r="E255" i="10"/>
  <c r="F255" i="10"/>
  <c r="G255" i="10"/>
  <c r="H255" i="10"/>
  <c r="A256" i="10"/>
  <c r="B256" i="10"/>
  <c r="C256" i="10"/>
  <c r="D256" i="10"/>
  <c r="E256" i="10"/>
  <c r="F256" i="10"/>
  <c r="G256" i="10"/>
  <c r="H256" i="10"/>
  <c r="A257" i="10"/>
  <c r="B257" i="10"/>
  <c r="C257" i="10"/>
  <c r="D257" i="10"/>
  <c r="E257" i="10"/>
  <c r="F257" i="10"/>
  <c r="G257" i="10"/>
  <c r="H257" i="10"/>
  <c r="A258" i="10"/>
  <c r="B258" i="10"/>
  <c r="C258" i="10"/>
  <c r="D258" i="10"/>
  <c r="E258" i="10"/>
  <c r="F258" i="10"/>
  <c r="G258" i="10"/>
  <c r="H258" i="10"/>
  <c r="A259" i="10"/>
  <c r="B259" i="10"/>
  <c r="C259" i="10"/>
  <c r="D259" i="10"/>
  <c r="E259" i="10"/>
  <c r="F259" i="10"/>
  <c r="G259" i="10"/>
  <c r="H259" i="10"/>
  <c r="A260" i="10"/>
  <c r="B260" i="10"/>
  <c r="C260" i="10"/>
  <c r="D260" i="10"/>
  <c r="E260" i="10"/>
  <c r="F260" i="10"/>
  <c r="G260" i="10"/>
  <c r="H260" i="10"/>
  <c r="A261" i="10"/>
  <c r="B261" i="10"/>
  <c r="C261" i="10"/>
  <c r="D261" i="10"/>
  <c r="E261" i="10"/>
  <c r="F261" i="10"/>
  <c r="G261" i="10"/>
  <c r="H261" i="10"/>
  <c r="A262" i="10"/>
  <c r="B262" i="10"/>
  <c r="C262" i="10"/>
  <c r="D262" i="10"/>
  <c r="E262" i="10"/>
  <c r="F262" i="10"/>
  <c r="G262" i="10"/>
  <c r="H262" i="10"/>
  <c r="A263" i="10"/>
  <c r="B263" i="10"/>
  <c r="C263" i="10"/>
  <c r="D263" i="10"/>
  <c r="E263" i="10"/>
  <c r="F263" i="10"/>
  <c r="G263" i="10"/>
  <c r="H263" i="10"/>
  <c r="A264" i="10"/>
  <c r="B264" i="10"/>
  <c r="C264" i="10"/>
  <c r="D264" i="10"/>
  <c r="E264" i="10"/>
  <c r="F264" i="10"/>
  <c r="G264" i="10"/>
  <c r="H264" i="10"/>
  <c r="A265" i="10"/>
  <c r="B265" i="10"/>
  <c r="C265" i="10"/>
  <c r="D265" i="10"/>
  <c r="E265" i="10"/>
  <c r="F265" i="10"/>
  <c r="G265" i="10"/>
  <c r="H265" i="10"/>
  <c r="A266" i="10"/>
  <c r="B266" i="10"/>
  <c r="C266" i="10"/>
  <c r="D266" i="10"/>
  <c r="E266" i="10"/>
  <c r="F266" i="10"/>
  <c r="G266" i="10"/>
  <c r="H266" i="10"/>
  <c r="A267" i="10"/>
  <c r="B267" i="10"/>
  <c r="C267" i="10"/>
  <c r="D267" i="10"/>
  <c r="E267" i="10"/>
  <c r="F267" i="10"/>
  <c r="G267" i="10"/>
  <c r="H267" i="10"/>
  <c r="A268" i="10"/>
  <c r="B268" i="10"/>
  <c r="C268" i="10"/>
  <c r="D268" i="10"/>
  <c r="E268" i="10"/>
  <c r="F268" i="10"/>
  <c r="G268" i="10"/>
  <c r="H268" i="10"/>
  <c r="A269" i="10"/>
  <c r="B269" i="10"/>
  <c r="C269" i="10"/>
  <c r="D269" i="10"/>
  <c r="E269" i="10"/>
  <c r="F269" i="10"/>
  <c r="G269" i="10"/>
  <c r="H269" i="10"/>
  <c r="A270" i="10"/>
  <c r="B270" i="10"/>
  <c r="C270" i="10"/>
  <c r="D270" i="10"/>
  <c r="E270" i="10"/>
  <c r="F270" i="10"/>
  <c r="G270" i="10"/>
  <c r="H270" i="10"/>
  <c r="A271" i="10"/>
  <c r="B271" i="10"/>
  <c r="C271" i="10"/>
  <c r="D271" i="10"/>
  <c r="E271" i="10"/>
  <c r="F271" i="10"/>
  <c r="G271" i="10"/>
  <c r="H271" i="10"/>
  <c r="A272" i="10"/>
  <c r="B272" i="10"/>
  <c r="C272" i="10"/>
  <c r="D272" i="10"/>
  <c r="E272" i="10"/>
  <c r="F272" i="10"/>
  <c r="G272" i="10"/>
  <c r="H272" i="10"/>
  <c r="A273" i="10"/>
  <c r="B273" i="10"/>
  <c r="C273" i="10"/>
  <c r="D273" i="10"/>
  <c r="E273" i="10"/>
  <c r="F273" i="10"/>
  <c r="G273" i="10"/>
  <c r="H273" i="10"/>
  <c r="A274" i="10"/>
  <c r="B274" i="10"/>
  <c r="C274" i="10"/>
  <c r="D274" i="10"/>
  <c r="E274" i="10"/>
  <c r="F274" i="10"/>
  <c r="G274" i="10"/>
  <c r="H274" i="10"/>
  <c r="A275" i="10"/>
  <c r="B275" i="10"/>
  <c r="C275" i="10"/>
  <c r="D275" i="10"/>
  <c r="E275" i="10"/>
  <c r="F275" i="10"/>
  <c r="G275" i="10"/>
  <c r="H275" i="10"/>
  <c r="A276" i="10"/>
  <c r="B276" i="10"/>
  <c r="C276" i="10"/>
  <c r="D276" i="10"/>
  <c r="E276" i="10"/>
  <c r="F276" i="10"/>
  <c r="G276" i="10"/>
  <c r="H276" i="10"/>
  <c r="A277" i="10"/>
  <c r="B277" i="10"/>
  <c r="C277" i="10"/>
  <c r="D277" i="10"/>
  <c r="E277" i="10"/>
  <c r="F277" i="10"/>
  <c r="G277" i="10"/>
  <c r="H277" i="10"/>
  <c r="A278" i="10"/>
  <c r="B278" i="10"/>
  <c r="C278" i="10"/>
  <c r="D278" i="10"/>
  <c r="E278" i="10"/>
  <c r="F278" i="10"/>
  <c r="G278" i="10"/>
  <c r="H278" i="10"/>
  <c r="A279" i="10"/>
  <c r="B279" i="10"/>
  <c r="C279" i="10"/>
  <c r="D279" i="10"/>
  <c r="E279" i="10"/>
  <c r="F279" i="10"/>
  <c r="G279" i="10"/>
  <c r="H279" i="10"/>
  <c r="A280" i="10"/>
  <c r="B280" i="10"/>
  <c r="C280" i="10"/>
  <c r="D280" i="10"/>
  <c r="E280" i="10"/>
  <c r="F280" i="10"/>
  <c r="G280" i="10"/>
  <c r="H280" i="10"/>
  <c r="A281" i="10"/>
  <c r="B281" i="10"/>
  <c r="C281" i="10"/>
  <c r="D281" i="10"/>
  <c r="E281" i="10"/>
  <c r="F281" i="10"/>
  <c r="G281" i="10"/>
  <c r="H281" i="10"/>
  <c r="A282" i="10"/>
  <c r="B282" i="10"/>
  <c r="C282" i="10"/>
  <c r="D282" i="10"/>
  <c r="E282" i="10"/>
  <c r="F282" i="10"/>
  <c r="G282" i="10"/>
  <c r="H282" i="10"/>
  <c r="A283" i="10"/>
  <c r="B283" i="10"/>
  <c r="C283" i="10"/>
  <c r="D283" i="10"/>
  <c r="E283" i="10"/>
  <c r="F283" i="10"/>
  <c r="G283" i="10"/>
  <c r="H283" i="10"/>
  <c r="A284" i="10"/>
  <c r="B284" i="10"/>
  <c r="C284" i="10"/>
  <c r="D284" i="10"/>
  <c r="E284" i="10"/>
  <c r="F284" i="10"/>
  <c r="G284" i="10"/>
  <c r="H284" i="10"/>
  <c r="A285" i="10"/>
  <c r="B285" i="10"/>
  <c r="C285" i="10"/>
  <c r="D285" i="10"/>
  <c r="E285" i="10"/>
  <c r="F285" i="10"/>
  <c r="G285" i="10"/>
  <c r="H285" i="10"/>
  <c r="A286" i="10"/>
  <c r="B286" i="10"/>
  <c r="C286" i="10"/>
  <c r="D286" i="10"/>
  <c r="E286" i="10"/>
  <c r="F286" i="10"/>
  <c r="G286" i="10"/>
  <c r="H286" i="10"/>
  <c r="A287" i="10"/>
  <c r="B287" i="10"/>
  <c r="C287" i="10"/>
  <c r="D287" i="10"/>
  <c r="E287" i="10"/>
  <c r="F287" i="10"/>
  <c r="G287" i="10"/>
  <c r="H287" i="10"/>
  <c r="A288" i="10"/>
  <c r="B288" i="10"/>
  <c r="C288" i="10"/>
  <c r="D288" i="10"/>
  <c r="E288" i="10"/>
  <c r="F288" i="10"/>
  <c r="G288" i="10"/>
  <c r="H288" i="10"/>
  <c r="A289" i="10"/>
  <c r="B289" i="10"/>
  <c r="C289" i="10"/>
  <c r="D289" i="10"/>
  <c r="E289" i="10"/>
  <c r="F289" i="10"/>
  <c r="G289" i="10"/>
  <c r="H289" i="10"/>
  <c r="A290" i="10"/>
  <c r="B290" i="10"/>
  <c r="C290" i="10"/>
  <c r="D290" i="10"/>
  <c r="E290" i="10"/>
  <c r="F290" i="10"/>
  <c r="G290" i="10"/>
  <c r="H290" i="10"/>
  <c r="A291" i="10"/>
  <c r="B291" i="10"/>
  <c r="C291" i="10"/>
  <c r="D291" i="10"/>
  <c r="E291" i="10"/>
  <c r="F291" i="10"/>
  <c r="G291" i="10"/>
  <c r="H291" i="10"/>
  <c r="A292" i="10"/>
  <c r="B292" i="10"/>
  <c r="C292" i="10"/>
  <c r="D292" i="10"/>
  <c r="E292" i="10"/>
  <c r="F292" i="10"/>
  <c r="G292" i="10"/>
  <c r="H292" i="10"/>
  <c r="A293" i="10"/>
  <c r="B293" i="10"/>
  <c r="C293" i="10"/>
  <c r="D293" i="10"/>
  <c r="E293" i="10"/>
  <c r="F293" i="10"/>
  <c r="G293" i="10"/>
  <c r="H293" i="10"/>
  <c r="A294" i="10"/>
  <c r="B294" i="10"/>
  <c r="C294" i="10"/>
  <c r="D294" i="10"/>
  <c r="E294" i="10"/>
  <c r="F294" i="10"/>
  <c r="G294" i="10"/>
  <c r="H294" i="10"/>
  <c r="A295" i="10"/>
  <c r="B295" i="10"/>
  <c r="C295" i="10"/>
  <c r="D295" i="10"/>
  <c r="E295" i="10"/>
  <c r="F295" i="10"/>
  <c r="G295" i="10"/>
  <c r="H295" i="10"/>
  <c r="A296" i="10"/>
  <c r="B296" i="10"/>
  <c r="C296" i="10"/>
  <c r="D296" i="10"/>
  <c r="E296" i="10"/>
  <c r="F296" i="10"/>
  <c r="G296" i="10"/>
  <c r="H296" i="10"/>
  <c r="A297" i="10"/>
  <c r="B297" i="10"/>
  <c r="C297" i="10"/>
  <c r="D297" i="10"/>
  <c r="E297" i="10"/>
  <c r="F297" i="10"/>
  <c r="G297" i="10"/>
  <c r="H297" i="10"/>
  <c r="A298" i="10"/>
  <c r="B298" i="10"/>
  <c r="C298" i="10"/>
  <c r="D298" i="10"/>
  <c r="E298" i="10"/>
  <c r="F298" i="10"/>
  <c r="G298" i="10"/>
  <c r="H298" i="10"/>
  <c r="A299" i="10"/>
  <c r="B299" i="10"/>
  <c r="C299" i="10"/>
  <c r="D299" i="10"/>
  <c r="E299" i="10"/>
  <c r="F299" i="10"/>
  <c r="G299" i="10"/>
  <c r="H299" i="10"/>
  <c r="A300" i="10"/>
  <c r="B300" i="10"/>
  <c r="C300" i="10"/>
  <c r="D300" i="10"/>
  <c r="E300" i="10"/>
  <c r="F300" i="10"/>
  <c r="G300" i="10"/>
  <c r="H300" i="10"/>
  <c r="A301" i="10"/>
  <c r="B301" i="10"/>
  <c r="C301" i="10"/>
  <c r="D301" i="10"/>
  <c r="E301" i="10"/>
  <c r="F301" i="10"/>
  <c r="G301" i="10"/>
  <c r="H301" i="10"/>
  <c r="A302" i="10"/>
  <c r="B302" i="10"/>
  <c r="C302" i="10"/>
  <c r="D302" i="10"/>
  <c r="E302" i="10"/>
  <c r="F302" i="10"/>
  <c r="G302" i="10"/>
  <c r="H302" i="10"/>
  <c r="A303" i="10"/>
  <c r="B303" i="10"/>
  <c r="C303" i="10"/>
  <c r="D303" i="10"/>
  <c r="E303" i="10"/>
  <c r="F303" i="10"/>
  <c r="G303" i="10"/>
  <c r="H303" i="10"/>
  <c r="A304" i="10"/>
  <c r="B304" i="10"/>
  <c r="C304" i="10"/>
  <c r="D304" i="10"/>
  <c r="E304" i="10"/>
  <c r="F304" i="10"/>
  <c r="G304" i="10"/>
  <c r="H304" i="10"/>
  <c r="A305" i="10"/>
  <c r="B305" i="10"/>
  <c r="C305" i="10"/>
  <c r="D305" i="10"/>
  <c r="E305" i="10"/>
  <c r="F305" i="10"/>
  <c r="G305" i="10"/>
  <c r="H305" i="10"/>
  <c r="A306" i="10"/>
  <c r="B306" i="10"/>
  <c r="C306" i="10"/>
  <c r="D306" i="10"/>
  <c r="E306" i="10"/>
  <c r="F306" i="10"/>
  <c r="G306" i="10"/>
  <c r="H306" i="10"/>
  <c r="A307" i="10"/>
  <c r="B307" i="10"/>
  <c r="C307" i="10"/>
  <c r="D307" i="10"/>
  <c r="E307" i="10"/>
  <c r="F307" i="10"/>
  <c r="G307" i="10"/>
  <c r="H307" i="10"/>
  <c r="A308" i="10"/>
  <c r="B308" i="10"/>
  <c r="C308" i="10"/>
  <c r="D308" i="10"/>
  <c r="E308" i="10"/>
  <c r="F308" i="10"/>
  <c r="G308" i="10"/>
  <c r="H308" i="10"/>
  <c r="A309" i="10"/>
  <c r="B309" i="10"/>
  <c r="C309" i="10"/>
  <c r="D309" i="10"/>
  <c r="E309" i="10"/>
  <c r="F309" i="10"/>
  <c r="G309" i="10"/>
  <c r="H309" i="10"/>
  <c r="A310" i="10"/>
  <c r="B310" i="10"/>
  <c r="C310" i="10"/>
  <c r="D310" i="10"/>
  <c r="E310" i="10"/>
  <c r="F310" i="10"/>
  <c r="G310" i="10"/>
  <c r="H310" i="10"/>
  <c r="A311" i="10"/>
  <c r="B311" i="10"/>
  <c r="C311" i="10"/>
  <c r="D311" i="10"/>
  <c r="E311" i="10"/>
  <c r="F311" i="10"/>
  <c r="G311" i="10"/>
  <c r="H311" i="10"/>
  <c r="A312" i="10"/>
  <c r="B312" i="10"/>
  <c r="C312" i="10"/>
  <c r="D312" i="10"/>
  <c r="E312" i="10"/>
  <c r="F312" i="10"/>
  <c r="G312" i="10"/>
  <c r="H312" i="10"/>
  <c r="A313" i="10"/>
  <c r="B313" i="10"/>
  <c r="C313" i="10"/>
  <c r="D313" i="10"/>
  <c r="E313" i="10"/>
  <c r="F313" i="10"/>
  <c r="G313" i="10"/>
  <c r="H313" i="10"/>
  <c r="A314" i="10"/>
  <c r="B314" i="10"/>
  <c r="C314" i="10"/>
  <c r="D314" i="10"/>
  <c r="E314" i="10"/>
  <c r="F314" i="10"/>
  <c r="G314" i="10"/>
  <c r="H314" i="10"/>
  <c r="A315" i="10"/>
  <c r="B315" i="10"/>
  <c r="C315" i="10"/>
  <c r="D315" i="10"/>
  <c r="E315" i="10"/>
  <c r="F315" i="10"/>
  <c r="G315" i="10"/>
  <c r="H315" i="10"/>
  <c r="A316" i="10"/>
  <c r="B316" i="10"/>
  <c r="C316" i="10"/>
  <c r="D316" i="10"/>
  <c r="E316" i="10"/>
  <c r="F316" i="10"/>
  <c r="G316" i="10"/>
  <c r="H316" i="10"/>
  <c r="A317" i="10"/>
  <c r="B317" i="10"/>
  <c r="C317" i="10"/>
  <c r="D317" i="10"/>
  <c r="E317" i="10"/>
  <c r="F317" i="10"/>
  <c r="G317" i="10"/>
  <c r="H317" i="10"/>
  <c r="A318" i="10"/>
  <c r="B318" i="10"/>
  <c r="C318" i="10"/>
  <c r="D318" i="10"/>
  <c r="E318" i="10"/>
  <c r="F318" i="10"/>
  <c r="G318" i="10"/>
  <c r="H318" i="10"/>
  <c r="A319" i="10"/>
  <c r="B319" i="10"/>
  <c r="C319" i="10"/>
  <c r="D319" i="10"/>
  <c r="E319" i="10"/>
  <c r="F319" i="10"/>
  <c r="G319" i="10"/>
  <c r="H319" i="10"/>
  <c r="A320" i="10"/>
  <c r="B320" i="10"/>
  <c r="C320" i="10"/>
  <c r="D320" i="10"/>
  <c r="E320" i="10"/>
  <c r="F320" i="10"/>
  <c r="G320" i="10"/>
  <c r="H320" i="10"/>
  <c r="A321" i="10"/>
  <c r="B321" i="10"/>
  <c r="C321" i="10"/>
  <c r="D321" i="10"/>
  <c r="E321" i="10"/>
  <c r="F321" i="10"/>
  <c r="G321" i="10"/>
  <c r="H321" i="10"/>
  <c r="A322" i="10"/>
  <c r="B322" i="10"/>
  <c r="C322" i="10"/>
  <c r="D322" i="10"/>
  <c r="E322" i="10"/>
  <c r="F322" i="10"/>
  <c r="G322" i="10"/>
  <c r="H322" i="10"/>
  <c r="A323" i="10"/>
  <c r="B323" i="10"/>
  <c r="C323" i="10"/>
  <c r="D323" i="10"/>
  <c r="E323" i="10"/>
  <c r="F323" i="10"/>
  <c r="G323" i="10"/>
  <c r="H323" i="10"/>
  <c r="A324" i="10"/>
  <c r="B324" i="10"/>
  <c r="C324" i="10"/>
  <c r="D324" i="10"/>
  <c r="E324" i="10"/>
  <c r="F324" i="10"/>
  <c r="G324" i="10"/>
  <c r="H324" i="10"/>
  <c r="A325" i="10"/>
  <c r="B325" i="10"/>
  <c r="C325" i="10"/>
  <c r="D325" i="10"/>
  <c r="E325" i="10"/>
  <c r="F325" i="10"/>
  <c r="G325" i="10"/>
  <c r="H325" i="10"/>
  <c r="A326" i="10"/>
  <c r="B326" i="10"/>
  <c r="C326" i="10"/>
  <c r="D326" i="10"/>
  <c r="E326" i="10"/>
  <c r="F326" i="10"/>
  <c r="G326" i="10"/>
  <c r="H326" i="10"/>
  <c r="A327" i="10"/>
  <c r="B327" i="10"/>
  <c r="C327" i="10"/>
  <c r="D327" i="10"/>
  <c r="E327" i="10"/>
  <c r="F327" i="10"/>
  <c r="G327" i="10"/>
  <c r="H327" i="10"/>
  <c r="A328" i="10"/>
  <c r="B328" i="10"/>
  <c r="C328" i="10"/>
  <c r="D328" i="10"/>
  <c r="E328" i="10"/>
  <c r="F328" i="10"/>
  <c r="G328" i="10"/>
  <c r="H328" i="10"/>
  <c r="A329" i="10"/>
  <c r="B329" i="10"/>
  <c r="C329" i="10"/>
  <c r="D329" i="10"/>
  <c r="E329" i="10"/>
  <c r="F329" i="10"/>
  <c r="G329" i="10"/>
  <c r="H329" i="10"/>
  <c r="A330" i="10"/>
  <c r="B330" i="10"/>
  <c r="C330" i="10"/>
  <c r="D330" i="10"/>
  <c r="E330" i="10"/>
  <c r="F330" i="10"/>
  <c r="G330" i="10"/>
  <c r="H330" i="10"/>
  <c r="A331" i="10"/>
  <c r="B331" i="10"/>
  <c r="C331" i="10"/>
  <c r="D331" i="10"/>
  <c r="E331" i="10"/>
  <c r="F331" i="10"/>
  <c r="G331" i="10"/>
  <c r="H331" i="10"/>
  <c r="A332" i="10"/>
  <c r="B332" i="10"/>
  <c r="C332" i="10"/>
  <c r="D332" i="10"/>
  <c r="E332" i="10"/>
  <c r="F332" i="10"/>
  <c r="G332" i="10"/>
  <c r="H332" i="10"/>
  <c r="A333" i="10"/>
  <c r="B333" i="10"/>
  <c r="C333" i="10"/>
  <c r="D333" i="10"/>
  <c r="E333" i="10"/>
  <c r="F333" i="10"/>
  <c r="G333" i="10"/>
  <c r="H333" i="10"/>
  <c r="A334" i="10"/>
  <c r="B334" i="10"/>
  <c r="C334" i="10"/>
  <c r="D334" i="10"/>
  <c r="E334" i="10"/>
  <c r="F334" i="10"/>
  <c r="G334" i="10"/>
  <c r="H334" i="10"/>
  <c r="A335" i="10"/>
  <c r="B335" i="10"/>
  <c r="C335" i="10"/>
  <c r="D335" i="10"/>
  <c r="E335" i="10"/>
  <c r="F335" i="10"/>
  <c r="G335" i="10"/>
  <c r="H335" i="10"/>
  <c r="A336" i="10"/>
  <c r="B336" i="10"/>
  <c r="C336" i="10"/>
  <c r="D336" i="10"/>
  <c r="E336" i="10"/>
  <c r="F336" i="10"/>
  <c r="G336" i="10"/>
  <c r="H336" i="10"/>
  <c r="A337" i="10"/>
  <c r="B337" i="10"/>
  <c r="C337" i="10"/>
  <c r="D337" i="10"/>
  <c r="E337" i="10"/>
  <c r="F337" i="10"/>
  <c r="G337" i="10"/>
  <c r="H337" i="10"/>
  <c r="A338" i="10"/>
  <c r="B338" i="10"/>
  <c r="C338" i="10"/>
  <c r="D338" i="10"/>
  <c r="E338" i="10"/>
  <c r="F338" i="10"/>
  <c r="G338" i="10"/>
  <c r="H338" i="10"/>
  <c r="A339" i="10"/>
  <c r="B339" i="10"/>
  <c r="C339" i="10"/>
  <c r="D339" i="10"/>
  <c r="E339" i="10"/>
  <c r="F339" i="10"/>
  <c r="G339" i="10"/>
  <c r="H339" i="10"/>
  <c r="A340" i="10"/>
  <c r="B340" i="10"/>
  <c r="C340" i="10"/>
  <c r="D340" i="10"/>
  <c r="E340" i="10"/>
  <c r="F340" i="10"/>
  <c r="G340" i="10"/>
  <c r="H340" i="10"/>
  <c r="A341" i="10"/>
  <c r="B341" i="10"/>
  <c r="C341" i="10"/>
  <c r="D341" i="10"/>
  <c r="E341" i="10"/>
  <c r="F341" i="10"/>
  <c r="G341" i="10"/>
  <c r="H341" i="10"/>
  <c r="A342" i="10"/>
  <c r="B342" i="10"/>
  <c r="C342" i="10"/>
  <c r="D342" i="10"/>
  <c r="E342" i="10"/>
  <c r="F342" i="10"/>
  <c r="G342" i="10"/>
  <c r="H342" i="10"/>
  <c r="A343" i="10"/>
  <c r="B343" i="10"/>
  <c r="C343" i="10"/>
  <c r="D343" i="10"/>
  <c r="E343" i="10"/>
  <c r="F343" i="10"/>
  <c r="G343" i="10"/>
  <c r="H343" i="10"/>
  <c r="A344" i="10"/>
  <c r="B344" i="10"/>
  <c r="C344" i="10"/>
  <c r="D344" i="10"/>
  <c r="E344" i="10"/>
  <c r="F344" i="10"/>
  <c r="G344" i="10"/>
  <c r="H344" i="10"/>
  <c r="A345" i="10"/>
  <c r="B345" i="10"/>
  <c r="C345" i="10"/>
  <c r="D345" i="10"/>
  <c r="E345" i="10"/>
  <c r="F345" i="10"/>
  <c r="G345" i="10"/>
  <c r="H345" i="10"/>
  <c r="A346" i="10"/>
  <c r="B346" i="10"/>
  <c r="C346" i="10"/>
  <c r="D346" i="10"/>
  <c r="E346" i="10"/>
  <c r="F346" i="10"/>
  <c r="G346" i="10"/>
  <c r="H346" i="10"/>
  <c r="A347" i="10"/>
  <c r="B347" i="10"/>
  <c r="C347" i="10"/>
  <c r="D347" i="10"/>
  <c r="E347" i="10"/>
  <c r="F347" i="10"/>
  <c r="G347" i="10"/>
  <c r="H347" i="10"/>
  <c r="A348" i="10"/>
  <c r="B348" i="10"/>
  <c r="C348" i="10"/>
  <c r="D348" i="10"/>
  <c r="E348" i="10"/>
  <c r="F348" i="10"/>
  <c r="G348" i="10"/>
  <c r="H348" i="10"/>
  <c r="A349" i="10"/>
  <c r="B349" i="10"/>
  <c r="C349" i="10"/>
  <c r="D349" i="10"/>
  <c r="E349" i="10"/>
  <c r="F349" i="10"/>
  <c r="G349" i="10"/>
  <c r="H349" i="10"/>
  <c r="A350" i="10"/>
  <c r="B350" i="10"/>
  <c r="C350" i="10"/>
  <c r="D350" i="10"/>
  <c r="E350" i="10"/>
  <c r="F350" i="10"/>
  <c r="G350" i="10"/>
  <c r="H350" i="10"/>
  <c r="A351" i="10"/>
  <c r="B351" i="10"/>
  <c r="C351" i="10"/>
  <c r="D351" i="10"/>
  <c r="E351" i="10"/>
  <c r="F351" i="10"/>
  <c r="G351" i="10"/>
  <c r="H351" i="10"/>
  <c r="A352" i="10"/>
  <c r="B352" i="10"/>
  <c r="C352" i="10"/>
  <c r="D352" i="10"/>
  <c r="E352" i="10"/>
  <c r="F352" i="10"/>
  <c r="G352" i="10"/>
  <c r="H352" i="10"/>
  <c r="A353" i="10"/>
  <c r="B353" i="10"/>
  <c r="C353" i="10"/>
  <c r="D353" i="10"/>
  <c r="E353" i="10"/>
  <c r="F353" i="10"/>
  <c r="G353" i="10"/>
  <c r="H353" i="10"/>
  <c r="A354" i="10"/>
  <c r="B354" i="10"/>
  <c r="C354" i="10"/>
  <c r="D354" i="10"/>
  <c r="E354" i="10"/>
  <c r="F354" i="10"/>
  <c r="G354" i="10"/>
  <c r="H354" i="10"/>
  <c r="A355" i="10"/>
  <c r="B355" i="10"/>
  <c r="C355" i="10"/>
  <c r="D355" i="10"/>
  <c r="E355" i="10"/>
  <c r="F355" i="10"/>
  <c r="G355" i="10"/>
  <c r="H355" i="10"/>
  <c r="A356" i="10"/>
  <c r="B356" i="10"/>
  <c r="C356" i="10"/>
  <c r="D356" i="10"/>
  <c r="E356" i="10"/>
  <c r="F356" i="10"/>
  <c r="G356" i="10"/>
  <c r="H356" i="10"/>
  <c r="A357" i="10"/>
  <c r="B357" i="10"/>
  <c r="C357" i="10"/>
  <c r="D357" i="10"/>
  <c r="E357" i="10"/>
  <c r="F357" i="10"/>
  <c r="G357" i="10"/>
  <c r="H357" i="10"/>
  <c r="A358" i="10"/>
  <c r="B358" i="10"/>
  <c r="C358" i="10"/>
  <c r="D358" i="10"/>
  <c r="E358" i="10"/>
  <c r="F358" i="10"/>
  <c r="G358" i="10"/>
  <c r="H358" i="10"/>
  <c r="A359" i="10"/>
  <c r="B359" i="10"/>
  <c r="C359" i="10"/>
  <c r="D359" i="10"/>
  <c r="E359" i="10"/>
  <c r="F359" i="10"/>
  <c r="G359" i="10"/>
  <c r="H359" i="10"/>
  <c r="A360" i="10"/>
  <c r="B360" i="10"/>
  <c r="C360" i="10"/>
  <c r="D360" i="10"/>
  <c r="E360" i="10"/>
  <c r="F360" i="10"/>
  <c r="G360" i="10"/>
  <c r="H360" i="10"/>
  <c r="A361" i="10"/>
  <c r="B361" i="10"/>
  <c r="C361" i="10"/>
  <c r="D361" i="10"/>
  <c r="E361" i="10"/>
  <c r="F361" i="10"/>
  <c r="G361" i="10"/>
  <c r="H361" i="10"/>
  <c r="A362" i="10"/>
  <c r="B362" i="10"/>
  <c r="C362" i="10"/>
  <c r="D362" i="10"/>
  <c r="E362" i="10"/>
  <c r="F362" i="10"/>
  <c r="G362" i="10"/>
  <c r="H362" i="10"/>
  <c r="A363" i="10"/>
  <c r="B363" i="10"/>
  <c r="C363" i="10"/>
  <c r="D363" i="10"/>
  <c r="E363" i="10"/>
  <c r="F363" i="10"/>
  <c r="G363" i="10"/>
  <c r="H363" i="10"/>
  <c r="A364" i="10"/>
  <c r="B364" i="10"/>
  <c r="C364" i="10"/>
  <c r="D364" i="10"/>
  <c r="E364" i="10"/>
  <c r="F364" i="10"/>
  <c r="G364" i="10"/>
  <c r="H364" i="10"/>
  <c r="A365" i="10"/>
  <c r="B365" i="10"/>
  <c r="C365" i="10"/>
  <c r="D365" i="10"/>
  <c r="E365" i="10"/>
  <c r="F365" i="10"/>
  <c r="G365" i="10"/>
  <c r="H365" i="10"/>
  <c r="A366" i="10"/>
  <c r="B366" i="10"/>
  <c r="C366" i="10"/>
  <c r="D366" i="10"/>
  <c r="E366" i="10"/>
  <c r="F366" i="10"/>
  <c r="G366" i="10"/>
  <c r="H366" i="10"/>
  <c r="A367" i="10"/>
  <c r="B367" i="10"/>
  <c r="C367" i="10"/>
  <c r="D367" i="10"/>
  <c r="E367" i="10"/>
  <c r="F367" i="10"/>
  <c r="G367" i="10"/>
  <c r="H367" i="10"/>
  <c r="A368" i="10"/>
  <c r="B368" i="10"/>
  <c r="C368" i="10"/>
  <c r="D368" i="10"/>
  <c r="E368" i="10"/>
  <c r="F368" i="10"/>
  <c r="G368" i="10"/>
  <c r="H368" i="10"/>
  <c r="A369" i="10"/>
  <c r="B369" i="10"/>
  <c r="C369" i="10"/>
  <c r="D369" i="10"/>
  <c r="E369" i="10"/>
  <c r="F369" i="10"/>
  <c r="G369" i="10"/>
  <c r="H369" i="10"/>
  <c r="A370" i="10"/>
  <c r="B370" i="10"/>
  <c r="C370" i="10"/>
  <c r="D370" i="10"/>
  <c r="E370" i="10"/>
  <c r="F370" i="10"/>
  <c r="G370" i="10"/>
  <c r="H370" i="10"/>
  <c r="A371" i="10"/>
  <c r="B371" i="10"/>
  <c r="C371" i="10"/>
  <c r="D371" i="10"/>
  <c r="E371" i="10"/>
  <c r="F371" i="10"/>
  <c r="G371" i="10"/>
  <c r="H371" i="10"/>
  <c r="A372" i="10"/>
  <c r="B372" i="10"/>
  <c r="C372" i="10"/>
  <c r="D372" i="10"/>
  <c r="E372" i="10"/>
  <c r="F372" i="10"/>
  <c r="G372" i="10"/>
  <c r="H372" i="10"/>
  <c r="A373" i="10"/>
  <c r="B373" i="10"/>
  <c r="C373" i="10"/>
  <c r="D373" i="10"/>
  <c r="E373" i="10"/>
  <c r="F373" i="10"/>
  <c r="G373" i="10"/>
  <c r="H373" i="10"/>
  <c r="A374" i="10"/>
  <c r="B374" i="10"/>
  <c r="C374" i="10"/>
  <c r="D374" i="10"/>
  <c r="E374" i="10"/>
  <c r="F374" i="10"/>
  <c r="G374" i="10"/>
  <c r="H374" i="10"/>
  <c r="A375" i="10"/>
  <c r="B375" i="10"/>
  <c r="C375" i="10"/>
  <c r="D375" i="10"/>
  <c r="E375" i="10"/>
  <c r="F375" i="10"/>
  <c r="G375" i="10"/>
  <c r="H375" i="10"/>
  <c r="A376" i="10"/>
  <c r="B376" i="10"/>
  <c r="C376" i="10"/>
  <c r="D376" i="10"/>
  <c r="E376" i="10"/>
  <c r="F376" i="10"/>
  <c r="G376" i="10"/>
  <c r="H376" i="10"/>
  <c r="A377" i="10"/>
  <c r="B377" i="10"/>
  <c r="C377" i="10"/>
  <c r="D377" i="10"/>
  <c r="E377" i="10"/>
  <c r="F377" i="10"/>
  <c r="G377" i="10"/>
  <c r="H377" i="10"/>
  <c r="A378" i="10"/>
  <c r="B378" i="10"/>
  <c r="C378" i="10"/>
  <c r="D378" i="10"/>
  <c r="E378" i="10"/>
  <c r="F378" i="10"/>
  <c r="G378" i="10"/>
  <c r="H378" i="10"/>
  <c r="A379" i="10"/>
  <c r="B379" i="10"/>
  <c r="C379" i="10"/>
  <c r="D379" i="10"/>
  <c r="E379" i="10"/>
  <c r="F379" i="10"/>
  <c r="G379" i="10"/>
  <c r="H379" i="10"/>
  <c r="A380" i="10"/>
  <c r="B380" i="10"/>
  <c r="C380" i="10"/>
  <c r="D380" i="10"/>
  <c r="E380" i="10"/>
  <c r="F380" i="10"/>
  <c r="G380" i="10"/>
  <c r="H380" i="10"/>
  <c r="A381" i="10"/>
  <c r="B381" i="10"/>
  <c r="C381" i="10"/>
  <c r="D381" i="10"/>
  <c r="E381" i="10"/>
  <c r="F381" i="10"/>
  <c r="G381" i="10"/>
  <c r="H381" i="10"/>
  <c r="A382" i="10"/>
  <c r="B382" i="10"/>
  <c r="C382" i="10"/>
  <c r="D382" i="10"/>
  <c r="E382" i="10"/>
  <c r="F382" i="10"/>
  <c r="G382" i="10"/>
  <c r="H382" i="10"/>
  <c r="A383" i="10"/>
  <c r="B383" i="10"/>
  <c r="C383" i="10"/>
  <c r="D383" i="10"/>
  <c r="E383" i="10"/>
  <c r="F383" i="10"/>
  <c r="G383" i="10"/>
  <c r="H383" i="10"/>
  <c r="A384" i="10"/>
  <c r="B384" i="10"/>
  <c r="C384" i="10"/>
  <c r="D384" i="10"/>
  <c r="E384" i="10"/>
  <c r="F384" i="10"/>
  <c r="G384" i="10"/>
  <c r="H384" i="10"/>
  <c r="A385" i="10"/>
  <c r="B385" i="10"/>
  <c r="C385" i="10"/>
  <c r="D385" i="10"/>
  <c r="E385" i="10"/>
  <c r="F385" i="10"/>
  <c r="G385" i="10"/>
  <c r="H385" i="10"/>
  <c r="A386" i="10"/>
  <c r="B386" i="10"/>
  <c r="C386" i="10"/>
  <c r="D386" i="10"/>
  <c r="E386" i="10"/>
  <c r="F386" i="10"/>
  <c r="G386" i="10"/>
  <c r="H386" i="10"/>
  <c r="A387" i="10"/>
  <c r="B387" i="10"/>
  <c r="C387" i="10"/>
  <c r="D387" i="10"/>
  <c r="E387" i="10"/>
  <c r="F387" i="10"/>
  <c r="G387" i="10"/>
  <c r="H387" i="10"/>
  <c r="A388" i="10"/>
  <c r="B388" i="10"/>
  <c r="C388" i="10"/>
  <c r="D388" i="10"/>
  <c r="E388" i="10"/>
  <c r="F388" i="10"/>
  <c r="G388" i="10"/>
  <c r="H388" i="10"/>
  <c r="A389" i="10"/>
  <c r="B389" i="10"/>
  <c r="C389" i="10"/>
  <c r="D389" i="10"/>
  <c r="E389" i="10"/>
  <c r="F389" i="10"/>
  <c r="G389" i="10"/>
  <c r="H389" i="10"/>
  <c r="A390" i="10"/>
  <c r="B390" i="10"/>
  <c r="C390" i="10"/>
  <c r="D390" i="10"/>
  <c r="E390" i="10"/>
  <c r="F390" i="10"/>
  <c r="G390" i="10"/>
  <c r="H390" i="10"/>
  <c r="A391" i="10"/>
  <c r="B391" i="10"/>
  <c r="C391" i="10"/>
  <c r="D391" i="10"/>
  <c r="E391" i="10"/>
  <c r="F391" i="10"/>
  <c r="G391" i="10"/>
  <c r="H391" i="10"/>
  <c r="A392" i="10"/>
  <c r="B392" i="10"/>
  <c r="C392" i="10"/>
  <c r="D392" i="10"/>
  <c r="E392" i="10"/>
  <c r="F392" i="10"/>
  <c r="G392" i="10"/>
  <c r="H392" i="10"/>
  <c r="A393" i="10"/>
  <c r="B393" i="10"/>
  <c r="C393" i="10"/>
  <c r="D393" i="10"/>
  <c r="E393" i="10"/>
  <c r="F393" i="10"/>
  <c r="H393" i="10"/>
  <c r="A394" i="10"/>
  <c r="B394" i="10"/>
  <c r="C394" i="10"/>
  <c r="D394" i="10"/>
  <c r="E394" i="10"/>
  <c r="F394" i="10"/>
  <c r="G394" i="10"/>
  <c r="H394" i="10"/>
  <c r="A395" i="10"/>
  <c r="B395" i="10"/>
  <c r="C395" i="10"/>
  <c r="D395" i="10"/>
  <c r="E395" i="10"/>
  <c r="F395" i="10"/>
  <c r="G395" i="10"/>
  <c r="H395" i="10"/>
  <c r="A396" i="10"/>
  <c r="B396" i="10"/>
  <c r="C396" i="10"/>
  <c r="D396" i="10"/>
  <c r="E396" i="10"/>
  <c r="F396" i="10"/>
  <c r="G396" i="10"/>
  <c r="H396" i="10"/>
  <c r="A397" i="10"/>
  <c r="B397" i="10"/>
  <c r="C397" i="10"/>
  <c r="D397" i="10"/>
  <c r="E397" i="10"/>
  <c r="F397" i="10"/>
  <c r="G397" i="10"/>
  <c r="H397" i="10"/>
  <c r="A398" i="10"/>
  <c r="B398" i="10"/>
  <c r="C398" i="10"/>
  <c r="D398" i="10"/>
  <c r="E398" i="10"/>
  <c r="F398" i="10"/>
  <c r="G398" i="10"/>
  <c r="H398" i="10"/>
  <c r="A399" i="10"/>
  <c r="B399" i="10"/>
  <c r="C399" i="10"/>
  <c r="D399" i="10"/>
  <c r="E399" i="10"/>
  <c r="F399" i="10"/>
  <c r="G399" i="10"/>
  <c r="H399" i="10"/>
  <c r="A400" i="10"/>
  <c r="B400" i="10"/>
  <c r="C400" i="10"/>
  <c r="D400" i="10"/>
  <c r="E400" i="10"/>
  <c r="F400" i="10"/>
  <c r="G400" i="10"/>
  <c r="H400" i="10"/>
  <c r="A401" i="10"/>
  <c r="B401" i="10"/>
  <c r="C401" i="10"/>
  <c r="D401" i="10"/>
  <c r="E401" i="10"/>
  <c r="F401" i="10"/>
  <c r="G401" i="10"/>
  <c r="H401" i="10"/>
  <c r="A402" i="10"/>
  <c r="B402" i="10"/>
  <c r="C402" i="10"/>
  <c r="D402" i="10"/>
  <c r="E402" i="10"/>
  <c r="F402" i="10"/>
  <c r="G402" i="10"/>
  <c r="H402" i="10"/>
  <c r="A403" i="10"/>
  <c r="B403" i="10"/>
  <c r="C403" i="10"/>
  <c r="D403" i="10"/>
  <c r="E403" i="10"/>
  <c r="F403" i="10"/>
  <c r="G403" i="10"/>
  <c r="H403" i="10"/>
  <c r="A404" i="10"/>
  <c r="B404" i="10"/>
  <c r="C404" i="10"/>
  <c r="D404" i="10"/>
  <c r="E404" i="10"/>
  <c r="F404" i="10"/>
  <c r="G404" i="10"/>
  <c r="H404" i="10"/>
  <c r="A405" i="10"/>
  <c r="B405" i="10"/>
  <c r="C405" i="10"/>
  <c r="D405" i="10"/>
  <c r="E405" i="10"/>
  <c r="F405" i="10"/>
  <c r="G405" i="10"/>
  <c r="H405" i="10"/>
  <c r="A406" i="10"/>
  <c r="B406" i="10"/>
  <c r="C406" i="10"/>
  <c r="D406" i="10"/>
  <c r="E406" i="10"/>
  <c r="F406" i="10"/>
  <c r="G406" i="10"/>
  <c r="H406" i="10"/>
  <c r="A407" i="10"/>
  <c r="B407" i="10"/>
  <c r="C407" i="10"/>
  <c r="D407" i="10"/>
  <c r="E407" i="10"/>
  <c r="F407" i="10"/>
  <c r="G407" i="10"/>
  <c r="H407" i="10"/>
  <c r="A408" i="10"/>
  <c r="B408" i="10"/>
  <c r="C408" i="10"/>
  <c r="D408" i="10"/>
  <c r="E408" i="10"/>
  <c r="F408" i="10"/>
  <c r="G408" i="10"/>
  <c r="H408" i="10"/>
  <c r="A409" i="10"/>
  <c r="B409" i="10"/>
  <c r="C409" i="10"/>
  <c r="D409" i="10"/>
  <c r="E409" i="10"/>
  <c r="F409" i="10"/>
  <c r="G409" i="10"/>
  <c r="H409" i="10"/>
  <c r="A410" i="10"/>
  <c r="B410" i="10"/>
  <c r="C410" i="10"/>
  <c r="D410" i="10"/>
  <c r="E410" i="10"/>
  <c r="F410" i="10"/>
  <c r="G410" i="10"/>
  <c r="H410" i="10"/>
  <c r="A411" i="10"/>
  <c r="B411" i="10"/>
  <c r="C411" i="10"/>
  <c r="D411" i="10"/>
  <c r="E411" i="10"/>
  <c r="F411" i="10"/>
  <c r="G411" i="10"/>
  <c r="H411" i="10"/>
  <c r="A412" i="10"/>
  <c r="B412" i="10"/>
  <c r="C412" i="10"/>
  <c r="D412" i="10"/>
  <c r="E412" i="10"/>
  <c r="F412" i="10"/>
  <c r="G412" i="10"/>
  <c r="H412" i="10"/>
  <c r="A413" i="10"/>
  <c r="B413" i="10"/>
  <c r="C413" i="10"/>
  <c r="D413" i="10"/>
  <c r="E413" i="10"/>
  <c r="F413" i="10"/>
  <c r="G413" i="10"/>
  <c r="H413" i="10"/>
  <c r="A414" i="10"/>
  <c r="B414" i="10"/>
  <c r="C414" i="10"/>
  <c r="D414" i="10"/>
  <c r="E414" i="10"/>
  <c r="F414" i="10"/>
  <c r="G414" i="10"/>
  <c r="H414" i="10"/>
  <c r="A415" i="10"/>
  <c r="B415" i="10"/>
  <c r="C415" i="10"/>
  <c r="D415" i="10"/>
  <c r="E415" i="10"/>
  <c r="F415" i="10"/>
  <c r="G415" i="10"/>
  <c r="H415" i="10"/>
  <c r="A416" i="10"/>
  <c r="B416" i="10"/>
  <c r="C416" i="10"/>
  <c r="D416" i="10"/>
  <c r="E416" i="10"/>
  <c r="F416" i="10"/>
  <c r="G416" i="10"/>
  <c r="H416" i="10"/>
  <c r="A417" i="10"/>
  <c r="B417" i="10"/>
  <c r="C417" i="10"/>
  <c r="D417" i="10"/>
  <c r="E417" i="10"/>
  <c r="F417" i="10"/>
  <c r="G417" i="10"/>
  <c r="H417" i="10"/>
  <c r="A418" i="10"/>
  <c r="B418" i="10"/>
  <c r="C418" i="10"/>
  <c r="D418" i="10"/>
  <c r="E418" i="10"/>
  <c r="F418" i="10"/>
  <c r="G418" i="10"/>
  <c r="H418" i="10"/>
  <c r="A419" i="10"/>
  <c r="B419" i="10"/>
  <c r="C419" i="10"/>
  <c r="D419" i="10"/>
  <c r="E419" i="10"/>
  <c r="F419" i="10"/>
  <c r="G419" i="10"/>
  <c r="H419" i="10"/>
  <c r="A420" i="10"/>
  <c r="B420" i="10"/>
  <c r="C420" i="10"/>
  <c r="D420" i="10"/>
  <c r="E420" i="10"/>
  <c r="F420" i="10"/>
  <c r="G420" i="10"/>
  <c r="H420" i="10"/>
  <c r="A421" i="10"/>
  <c r="B421" i="10"/>
  <c r="C421" i="10"/>
  <c r="D421" i="10"/>
  <c r="E421" i="10"/>
  <c r="F421" i="10"/>
  <c r="G421" i="10"/>
  <c r="H421" i="10"/>
  <c r="A422" i="10"/>
  <c r="B422" i="10"/>
  <c r="C422" i="10"/>
  <c r="D422" i="10"/>
  <c r="E422" i="10"/>
  <c r="F422" i="10"/>
  <c r="G422" i="10"/>
  <c r="H422" i="10"/>
  <c r="A423" i="10"/>
  <c r="B423" i="10"/>
  <c r="C423" i="10"/>
  <c r="D423" i="10"/>
  <c r="E423" i="10"/>
  <c r="F423" i="10"/>
  <c r="G423" i="10"/>
  <c r="H423" i="10"/>
  <c r="A424" i="10"/>
  <c r="B424" i="10"/>
  <c r="C424" i="10"/>
  <c r="D424" i="10"/>
  <c r="E424" i="10"/>
  <c r="F424" i="10"/>
  <c r="G424" i="10"/>
  <c r="H424" i="10"/>
  <c r="A425" i="10"/>
  <c r="B425" i="10"/>
  <c r="C425" i="10"/>
  <c r="D425" i="10"/>
  <c r="E425" i="10"/>
  <c r="F425" i="10"/>
  <c r="G425" i="10"/>
  <c r="H425" i="10"/>
  <c r="A426" i="10"/>
  <c r="B426" i="10"/>
  <c r="C426" i="10"/>
  <c r="D426" i="10"/>
  <c r="E426" i="10"/>
  <c r="F426" i="10"/>
  <c r="G426" i="10"/>
  <c r="H426" i="10"/>
  <c r="A427" i="10"/>
  <c r="B427" i="10"/>
  <c r="C427" i="10"/>
  <c r="D427" i="10"/>
  <c r="E427" i="10"/>
  <c r="F427" i="10"/>
  <c r="G427" i="10"/>
  <c r="H427" i="10"/>
  <c r="A428" i="10"/>
  <c r="B428" i="10"/>
  <c r="C428" i="10"/>
  <c r="D428" i="10"/>
  <c r="E428" i="10"/>
  <c r="F428" i="10"/>
  <c r="G428" i="10"/>
  <c r="H428" i="10"/>
  <c r="A429" i="10"/>
  <c r="B429" i="10"/>
  <c r="C429" i="10"/>
  <c r="D429" i="10"/>
  <c r="E429" i="10"/>
  <c r="F429" i="10"/>
  <c r="G429" i="10"/>
  <c r="H429" i="10"/>
  <c r="A430" i="10"/>
  <c r="B430" i="10"/>
  <c r="C430" i="10"/>
  <c r="D430" i="10"/>
  <c r="E430" i="10"/>
  <c r="F430" i="10"/>
  <c r="G430" i="10"/>
  <c r="H430" i="10"/>
  <c r="A431" i="10"/>
  <c r="B431" i="10"/>
  <c r="C431" i="10"/>
  <c r="D431" i="10"/>
  <c r="E431" i="10"/>
  <c r="F431" i="10"/>
  <c r="G431" i="10"/>
  <c r="H431" i="10"/>
  <c r="A432" i="10"/>
  <c r="B432" i="10"/>
  <c r="C432" i="10"/>
  <c r="D432" i="10"/>
  <c r="E432" i="10"/>
  <c r="F432" i="10"/>
  <c r="G432" i="10"/>
  <c r="H432" i="10"/>
  <c r="A433" i="10"/>
  <c r="B433" i="10"/>
  <c r="C433" i="10"/>
  <c r="D433" i="10"/>
  <c r="E433" i="10"/>
  <c r="F433" i="10"/>
  <c r="G433" i="10"/>
  <c r="H433" i="10"/>
  <c r="A434" i="10"/>
  <c r="B434" i="10"/>
  <c r="C434" i="10"/>
  <c r="D434" i="10"/>
  <c r="E434" i="10"/>
  <c r="F434" i="10"/>
  <c r="G434" i="10"/>
  <c r="H434" i="10"/>
  <c r="A435" i="10"/>
  <c r="B435" i="10"/>
  <c r="C435" i="10"/>
  <c r="D435" i="10"/>
  <c r="E435" i="10"/>
  <c r="F435" i="10"/>
  <c r="G435" i="10"/>
  <c r="H435" i="10"/>
  <c r="A436" i="10"/>
  <c r="B436" i="10"/>
  <c r="C436" i="10"/>
  <c r="D436" i="10"/>
  <c r="E436" i="10"/>
  <c r="F436" i="10"/>
  <c r="G436" i="10"/>
  <c r="H436" i="10"/>
  <c r="A437" i="10"/>
  <c r="B437" i="10"/>
  <c r="C437" i="10"/>
  <c r="D437" i="10"/>
  <c r="E437" i="10"/>
  <c r="F437" i="10"/>
  <c r="G437" i="10"/>
  <c r="H437" i="10"/>
  <c r="A438" i="10"/>
  <c r="B438" i="10"/>
  <c r="C438" i="10"/>
  <c r="D438" i="10"/>
  <c r="E438" i="10"/>
  <c r="F438" i="10"/>
  <c r="G438" i="10"/>
  <c r="H438" i="10"/>
  <c r="A439" i="10"/>
  <c r="B439" i="10"/>
  <c r="C439" i="10"/>
  <c r="D439" i="10"/>
  <c r="E439" i="10"/>
  <c r="F439" i="10"/>
  <c r="G439" i="10"/>
  <c r="H439" i="10"/>
  <c r="A440" i="10"/>
  <c r="B440" i="10"/>
  <c r="C440" i="10"/>
  <c r="D440" i="10"/>
  <c r="E440" i="10"/>
  <c r="F440" i="10"/>
  <c r="G440" i="10"/>
  <c r="H440" i="10"/>
  <c r="A441" i="10"/>
  <c r="B441" i="10"/>
  <c r="C441" i="10"/>
  <c r="D441" i="10"/>
  <c r="E441" i="10"/>
  <c r="F441" i="10"/>
  <c r="G441" i="10"/>
  <c r="H441" i="10"/>
  <c r="A442" i="10"/>
  <c r="B442" i="10"/>
  <c r="C442" i="10"/>
  <c r="D442" i="10"/>
  <c r="E442" i="10"/>
  <c r="F442" i="10"/>
  <c r="G442" i="10"/>
  <c r="H442" i="10"/>
  <c r="A443" i="10"/>
  <c r="B443" i="10"/>
  <c r="C443" i="10"/>
  <c r="D443" i="10"/>
  <c r="E443" i="10"/>
  <c r="F443" i="10"/>
  <c r="G443" i="10"/>
  <c r="H443" i="10"/>
  <c r="A444" i="10"/>
  <c r="B444" i="10"/>
  <c r="C444" i="10"/>
  <c r="D444" i="10"/>
  <c r="E444" i="10"/>
  <c r="F444" i="10"/>
  <c r="G444" i="10"/>
  <c r="H444" i="10"/>
  <c r="A445" i="10"/>
  <c r="B445" i="10"/>
  <c r="C445" i="10"/>
  <c r="D445" i="10"/>
  <c r="E445" i="10"/>
  <c r="F445" i="10"/>
  <c r="G445" i="10"/>
  <c r="H445" i="10"/>
  <c r="A446" i="10"/>
  <c r="B446" i="10"/>
  <c r="C446" i="10"/>
  <c r="D446" i="10"/>
  <c r="E446" i="10"/>
  <c r="F446" i="10"/>
  <c r="G446" i="10"/>
  <c r="H446" i="10"/>
  <c r="A447" i="10"/>
  <c r="B447" i="10"/>
  <c r="C447" i="10"/>
  <c r="D447" i="10"/>
  <c r="E447" i="10"/>
  <c r="F447" i="10"/>
  <c r="G447" i="10"/>
  <c r="H447" i="10"/>
  <c r="A448" i="10"/>
  <c r="B448" i="10"/>
  <c r="C448" i="10"/>
  <c r="D448" i="10"/>
  <c r="E448" i="10"/>
  <c r="F448" i="10"/>
  <c r="G448" i="10"/>
  <c r="H448" i="10"/>
  <c r="A449" i="10"/>
  <c r="B449" i="10"/>
  <c r="C449" i="10"/>
  <c r="D449" i="10"/>
  <c r="E449" i="10"/>
  <c r="F449" i="10"/>
  <c r="G449" i="10"/>
  <c r="H449" i="10"/>
  <c r="A450" i="10"/>
  <c r="B450" i="10"/>
  <c r="C450" i="10"/>
  <c r="D450" i="10"/>
  <c r="E450" i="10"/>
  <c r="F450" i="10"/>
  <c r="G450" i="10"/>
  <c r="H450" i="10"/>
  <c r="A451" i="10"/>
  <c r="B451" i="10"/>
  <c r="C451" i="10"/>
  <c r="D451" i="10"/>
  <c r="E451" i="10"/>
  <c r="F451" i="10"/>
  <c r="G451" i="10"/>
  <c r="H451" i="10"/>
  <c r="A452" i="10"/>
  <c r="B452" i="10"/>
  <c r="C452" i="10"/>
  <c r="D452" i="10"/>
  <c r="E452" i="10"/>
  <c r="F452" i="10"/>
  <c r="G452" i="10"/>
  <c r="H452" i="10"/>
  <c r="A453" i="10"/>
  <c r="B453" i="10"/>
  <c r="C453" i="10"/>
  <c r="D453" i="10"/>
  <c r="E453" i="10"/>
  <c r="F453" i="10"/>
  <c r="G453" i="10"/>
  <c r="H453" i="10"/>
  <c r="A454" i="10"/>
  <c r="B454" i="10"/>
  <c r="C454" i="10"/>
  <c r="D454" i="10"/>
  <c r="E454" i="10"/>
  <c r="F454" i="10"/>
  <c r="G454" i="10"/>
  <c r="H454" i="10"/>
  <c r="A455" i="10"/>
  <c r="B455" i="10"/>
  <c r="C455" i="10"/>
  <c r="D455" i="10"/>
  <c r="E455" i="10"/>
  <c r="F455" i="10"/>
  <c r="G455" i="10"/>
  <c r="H455" i="10"/>
  <c r="A456" i="10"/>
  <c r="B456" i="10"/>
  <c r="C456" i="10"/>
  <c r="D456" i="10"/>
  <c r="E456" i="10"/>
  <c r="F456" i="10"/>
  <c r="G456" i="10"/>
  <c r="H456" i="10"/>
  <c r="A457" i="10"/>
  <c r="B457" i="10"/>
  <c r="C457" i="10"/>
  <c r="D457" i="10"/>
  <c r="E457" i="10"/>
  <c r="F457" i="10"/>
  <c r="G457" i="10"/>
  <c r="H457" i="10"/>
  <c r="A458" i="10"/>
  <c r="B458" i="10"/>
  <c r="C458" i="10"/>
  <c r="D458" i="10"/>
  <c r="E458" i="10"/>
  <c r="F458" i="10"/>
  <c r="G458" i="10"/>
  <c r="H458" i="10"/>
  <c r="A459" i="10"/>
  <c r="B459" i="10"/>
  <c r="C459" i="10"/>
  <c r="D459" i="10"/>
  <c r="E459" i="10"/>
  <c r="F459" i="10"/>
  <c r="G459" i="10"/>
  <c r="H459" i="10"/>
  <c r="A460" i="10"/>
  <c r="B460" i="10"/>
  <c r="C460" i="10"/>
  <c r="D460" i="10"/>
  <c r="E460" i="10"/>
  <c r="F460" i="10"/>
  <c r="G460" i="10"/>
  <c r="H460" i="10"/>
  <c r="A461" i="10"/>
  <c r="B461" i="10"/>
  <c r="C461" i="10"/>
  <c r="D461" i="10"/>
  <c r="E461" i="10"/>
  <c r="F461" i="10"/>
  <c r="G461" i="10"/>
  <c r="H461" i="10"/>
  <c r="A462" i="10"/>
  <c r="B462" i="10"/>
  <c r="C462" i="10"/>
  <c r="D462" i="10"/>
  <c r="E462" i="10"/>
  <c r="F462" i="10"/>
  <c r="G462" i="10"/>
  <c r="H462" i="10"/>
  <c r="A463" i="10"/>
  <c r="B463" i="10"/>
  <c r="C463" i="10"/>
  <c r="D463" i="10"/>
  <c r="E463" i="10"/>
  <c r="F463" i="10"/>
  <c r="G463" i="10"/>
  <c r="H463" i="10"/>
  <c r="A464" i="10"/>
  <c r="B464" i="10"/>
  <c r="C464" i="10"/>
  <c r="D464" i="10"/>
  <c r="E464" i="10"/>
  <c r="F464" i="10"/>
  <c r="G464" i="10"/>
  <c r="H464" i="10"/>
  <c r="A465" i="10"/>
  <c r="B465" i="10"/>
  <c r="C465" i="10"/>
  <c r="D465" i="10"/>
  <c r="E465" i="10"/>
  <c r="F465" i="10"/>
  <c r="G465" i="10"/>
  <c r="H465" i="10"/>
  <c r="A466" i="10"/>
  <c r="B466" i="10"/>
  <c r="C466" i="10"/>
  <c r="D466" i="10"/>
  <c r="E466" i="10"/>
  <c r="F466" i="10"/>
  <c r="G466" i="10"/>
  <c r="H466" i="10"/>
  <c r="A467" i="10"/>
  <c r="B467" i="10"/>
  <c r="C467" i="10"/>
  <c r="D467" i="10"/>
  <c r="E467" i="10"/>
  <c r="F467" i="10"/>
  <c r="G467" i="10"/>
  <c r="H467" i="10"/>
  <c r="A468" i="10"/>
  <c r="B468" i="10"/>
  <c r="C468" i="10"/>
  <c r="D468" i="10"/>
  <c r="E468" i="10"/>
  <c r="F468" i="10"/>
  <c r="G468" i="10"/>
  <c r="H468" i="10"/>
  <c r="A469" i="10"/>
  <c r="B469" i="10"/>
  <c r="C469" i="10"/>
  <c r="D469" i="10"/>
  <c r="E469" i="10"/>
  <c r="F469" i="10"/>
  <c r="G469" i="10"/>
  <c r="H469" i="10"/>
  <c r="A470" i="10"/>
  <c r="B470" i="10"/>
  <c r="C470" i="10"/>
  <c r="D470" i="10"/>
  <c r="E470" i="10"/>
  <c r="F470" i="10"/>
  <c r="G470" i="10"/>
  <c r="H470" i="10"/>
  <c r="A471" i="10"/>
  <c r="B471" i="10"/>
  <c r="C471" i="10"/>
  <c r="D471" i="10"/>
  <c r="E471" i="10"/>
  <c r="F471" i="10"/>
  <c r="G471" i="10"/>
  <c r="H471" i="10"/>
  <c r="A472" i="10"/>
  <c r="B472" i="10"/>
  <c r="C472" i="10"/>
  <c r="D472" i="10"/>
  <c r="E472" i="10"/>
  <c r="F472" i="10"/>
  <c r="G472" i="10"/>
  <c r="H472" i="10"/>
  <c r="A473" i="10"/>
  <c r="B473" i="10"/>
  <c r="C473" i="10"/>
  <c r="D473" i="10"/>
  <c r="E473" i="10"/>
  <c r="F473" i="10"/>
  <c r="G473" i="10"/>
  <c r="H473" i="10"/>
  <c r="A474" i="10"/>
  <c r="B474" i="10"/>
  <c r="C474" i="10"/>
  <c r="D474" i="10"/>
  <c r="E474" i="10"/>
  <c r="F474" i="10"/>
  <c r="G474" i="10"/>
  <c r="H474" i="10"/>
  <c r="A475" i="10"/>
  <c r="B475" i="10"/>
  <c r="C475" i="10"/>
  <c r="D475" i="10"/>
  <c r="E475" i="10"/>
  <c r="F475" i="10"/>
  <c r="G475" i="10"/>
  <c r="H475" i="10"/>
  <c r="A476" i="10"/>
  <c r="B476" i="10"/>
  <c r="C476" i="10"/>
  <c r="D476" i="10"/>
  <c r="E476" i="10"/>
  <c r="F476" i="10"/>
  <c r="G476" i="10"/>
  <c r="H476" i="10"/>
  <c r="A477" i="10"/>
  <c r="B477" i="10"/>
  <c r="C477" i="10"/>
  <c r="D477" i="10"/>
  <c r="E477" i="10"/>
  <c r="F477" i="10"/>
  <c r="G477" i="10"/>
  <c r="H477" i="10"/>
  <c r="A478" i="10"/>
  <c r="B478" i="10"/>
  <c r="C478" i="10"/>
  <c r="D478" i="10"/>
  <c r="E478" i="10"/>
  <c r="F478" i="10"/>
  <c r="G478" i="10"/>
  <c r="H478" i="10"/>
  <c r="A479" i="10"/>
  <c r="B479" i="10"/>
  <c r="C479" i="10"/>
  <c r="D479" i="10"/>
  <c r="E479" i="10"/>
  <c r="F479" i="10"/>
  <c r="G479" i="10"/>
  <c r="H479" i="10"/>
  <c r="A480" i="10"/>
  <c r="B480" i="10"/>
  <c r="C480" i="10"/>
  <c r="D480" i="10"/>
  <c r="E480" i="10"/>
  <c r="F480" i="10"/>
  <c r="G480" i="10"/>
  <c r="H480" i="10"/>
  <c r="A481" i="10"/>
  <c r="B481" i="10"/>
  <c r="C481" i="10"/>
  <c r="D481" i="10"/>
  <c r="E481" i="10"/>
  <c r="F481" i="10"/>
  <c r="G481" i="10"/>
  <c r="H481" i="10"/>
  <c r="A482" i="10"/>
  <c r="B482" i="10"/>
  <c r="C482" i="10"/>
  <c r="D482" i="10"/>
  <c r="E482" i="10"/>
  <c r="F482" i="10"/>
  <c r="G482" i="10"/>
  <c r="H482" i="10"/>
  <c r="A483" i="10"/>
  <c r="B483" i="10"/>
  <c r="C483" i="10"/>
  <c r="D483" i="10"/>
  <c r="E483" i="10"/>
  <c r="F483" i="10"/>
  <c r="G483" i="10"/>
  <c r="H483" i="10"/>
  <c r="A484" i="10"/>
  <c r="B484" i="10"/>
  <c r="C484" i="10"/>
  <c r="D484" i="10"/>
  <c r="E484" i="10"/>
  <c r="F484" i="10"/>
  <c r="G484" i="10"/>
  <c r="H484" i="10"/>
  <c r="A485" i="10"/>
  <c r="B485" i="10"/>
  <c r="C485" i="10"/>
  <c r="D485" i="10"/>
  <c r="E485" i="10"/>
  <c r="F485" i="10"/>
  <c r="G485" i="10"/>
  <c r="H485" i="10"/>
  <c r="A486" i="10"/>
  <c r="B486" i="10"/>
  <c r="C486" i="10"/>
  <c r="D486" i="10"/>
  <c r="E486" i="10"/>
  <c r="F486" i="10"/>
  <c r="G486" i="10"/>
  <c r="H486" i="10"/>
  <c r="A487" i="10"/>
  <c r="B487" i="10"/>
  <c r="C487" i="10"/>
  <c r="D487" i="10"/>
  <c r="E487" i="10"/>
  <c r="F487" i="10"/>
  <c r="G487" i="10"/>
  <c r="H487" i="10"/>
  <c r="A488" i="10"/>
  <c r="B488" i="10"/>
  <c r="C488" i="10"/>
  <c r="D488" i="10"/>
  <c r="E488" i="10"/>
  <c r="F488" i="10"/>
  <c r="G488" i="10"/>
  <c r="H488" i="10"/>
  <c r="A489" i="10"/>
  <c r="B489" i="10"/>
  <c r="C489" i="10"/>
  <c r="D489" i="10"/>
  <c r="E489" i="10"/>
  <c r="F489" i="10"/>
  <c r="G489" i="10"/>
  <c r="H489" i="10"/>
  <c r="A490" i="10"/>
  <c r="B490" i="10"/>
  <c r="C490" i="10"/>
  <c r="D490" i="10"/>
  <c r="E490" i="10"/>
  <c r="F490" i="10"/>
  <c r="G490" i="10"/>
  <c r="H490" i="10"/>
  <c r="A491" i="10"/>
  <c r="B491" i="10"/>
  <c r="C491" i="10"/>
  <c r="D491" i="10"/>
  <c r="E491" i="10"/>
  <c r="F491" i="10"/>
  <c r="G491" i="10"/>
  <c r="H491" i="10"/>
  <c r="A492" i="10"/>
  <c r="B492" i="10"/>
  <c r="C492" i="10"/>
  <c r="D492" i="10"/>
  <c r="E492" i="10"/>
  <c r="F492" i="10"/>
  <c r="G492" i="10"/>
  <c r="H492" i="10"/>
  <c r="A493" i="10"/>
  <c r="B493" i="10"/>
  <c r="C493" i="10"/>
  <c r="D493" i="10"/>
  <c r="E493" i="10"/>
  <c r="F493" i="10"/>
  <c r="G493" i="10"/>
  <c r="H493" i="10"/>
  <c r="A494" i="10"/>
  <c r="B494" i="10"/>
  <c r="C494" i="10"/>
  <c r="D494" i="10"/>
  <c r="E494" i="10"/>
  <c r="F494" i="10"/>
  <c r="G494" i="10"/>
  <c r="H494" i="10"/>
  <c r="A495" i="10"/>
  <c r="B495" i="10"/>
  <c r="C495" i="10"/>
  <c r="D495" i="10"/>
  <c r="E495" i="10"/>
  <c r="F495" i="10"/>
  <c r="G495" i="10"/>
  <c r="H495" i="10"/>
  <c r="A496" i="10"/>
  <c r="B496" i="10"/>
  <c r="C496" i="10"/>
  <c r="D496" i="10"/>
  <c r="E496" i="10"/>
  <c r="F496" i="10"/>
  <c r="G496" i="10"/>
  <c r="H496" i="10"/>
  <c r="A497" i="10"/>
  <c r="B497" i="10"/>
  <c r="C497" i="10"/>
  <c r="D497" i="10"/>
  <c r="E497" i="10"/>
  <c r="F497" i="10"/>
  <c r="G497" i="10"/>
  <c r="H497" i="10"/>
  <c r="A498" i="10"/>
  <c r="B498" i="10"/>
  <c r="C498" i="10"/>
  <c r="D498" i="10"/>
  <c r="E498" i="10"/>
  <c r="F498" i="10"/>
  <c r="G498" i="10"/>
  <c r="H498" i="10"/>
  <c r="A499" i="10"/>
  <c r="B499" i="10"/>
  <c r="C499" i="10"/>
  <c r="D499" i="10"/>
  <c r="E499" i="10"/>
  <c r="F499" i="10"/>
  <c r="G499" i="10"/>
  <c r="H499" i="10"/>
  <c r="A500" i="10"/>
  <c r="B500" i="10"/>
  <c r="C500" i="10"/>
  <c r="D500" i="10"/>
  <c r="E500" i="10"/>
  <c r="F500" i="10"/>
  <c r="G500" i="10"/>
  <c r="H500" i="10"/>
  <c r="A501" i="10"/>
  <c r="B501" i="10"/>
  <c r="C501" i="10"/>
  <c r="D501" i="10"/>
  <c r="E501" i="10"/>
  <c r="F501" i="10"/>
  <c r="G501" i="10"/>
  <c r="H501" i="10"/>
  <c r="A502" i="10"/>
  <c r="B502" i="10"/>
  <c r="C502" i="10"/>
  <c r="D502" i="10"/>
  <c r="E502" i="10"/>
  <c r="F502" i="10"/>
  <c r="G502" i="10"/>
  <c r="H502" i="10"/>
  <c r="A503" i="10"/>
  <c r="B503" i="10"/>
  <c r="C503" i="10"/>
  <c r="D503" i="10"/>
  <c r="E503" i="10"/>
  <c r="F503" i="10"/>
  <c r="G503" i="10"/>
  <c r="H503" i="10"/>
  <c r="A504" i="10"/>
  <c r="B504" i="10"/>
  <c r="C504" i="10"/>
  <c r="D504" i="10"/>
  <c r="E504" i="10"/>
  <c r="F504" i="10"/>
  <c r="G504" i="10"/>
  <c r="H504" i="10"/>
  <c r="A505" i="10"/>
  <c r="B505" i="10"/>
  <c r="C505" i="10"/>
  <c r="D505" i="10"/>
  <c r="E505" i="10"/>
  <c r="F505" i="10"/>
  <c r="G505" i="10"/>
  <c r="H505" i="10"/>
  <c r="A506" i="10"/>
  <c r="B506" i="10"/>
  <c r="C506" i="10"/>
  <c r="D506" i="10"/>
  <c r="E506" i="10"/>
  <c r="F506" i="10"/>
  <c r="G506" i="10"/>
  <c r="H506" i="10"/>
  <c r="A507" i="10"/>
  <c r="B507" i="10"/>
  <c r="C507" i="10"/>
  <c r="D507" i="10"/>
  <c r="E507" i="10"/>
  <c r="F507" i="10"/>
  <c r="G507" i="10"/>
  <c r="H507" i="10"/>
  <c r="A508" i="10"/>
  <c r="B508" i="10"/>
  <c r="C508" i="10"/>
  <c r="D508" i="10"/>
  <c r="E508" i="10"/>
  <c r="F508" i="10"/>
  <c r="G508" i="10"/>
  <c r="H508" i="10"/>
  <c r="A509" i="10"/>
  <c r="B509" i="10"/>
  <c r="C509" i="10"/>
  <c r="D509" i="10"/>
  <c r="E509" i="10"/>
  <c r="F509" i="10"/>
  <c r="G509" i="10"/>
  <c r="H509" i="10"/>
  <c r="A510" i="10"/>
  <c r="B510" i="10"/>
  <c r="C510" i="10"/>
  <c r="D510" i="10"/>
  <c r="E510" i="10"/>
  <c r="F510" i="10"/>
  <c r="G510" i="10"/>
  <c r="H510" i="10"/>
  <c r="A511" i="10"/>
  <c r="B511" i="10"/>
  <c r="C511" i="10"/>
  <c r="D511" i="10"/>
  <c r="E511" i="10"/>
  <c r="F511" i="10"/>
  <c r="G511" i="10"/>
  <c r="H511" i="10"/>
  <c r="A512" i="10"/>
  <c r="B512" i="10"/>
  <c r="C512" i="10"/>
  <c r="D512" i="10"/>
  <c r="E512" i="10"/>
  <c r="F512" i="10"/>
  <c r="G512" i="10"/>
  <c r="H512" i="10"/>
  <c r="A513" i="10"/>
  <c r="B513" i="10"/>
  <c r="C513" i="10"/>
  <c r="D513" i="10"/>
  <c r="E513" i="10"/>
  <c r="F513" i="10"/>
  <c r="G513" i="10"/>
  <c r="H513" i="10"/>
  <c r="A514" i="10"/>
  <c r="B514" i="10"/>
  <c r="C514" i="10"/>
  <c r="D514" i="10"/>
  <c r="E514" i="10"/>
  <c r="F514" i="10"/>
  <c r="G514" i="10"/>
  <c r="H514" i="10"/>
  <c r="A515" i="10"/>
  <c r="B515" i="10"/>
  <c r="C515" i="10"/>
  <c r="D515" i="10"/>
  <c r="E515" i="10"/>
  <c r="F515" i="10"/>
  <c r="G515" i="10"/>
  <c r="H515" i="10"/>
  <c r="A516" i="10"/>
  <c r="B516" i="10"/>
  <c r="C516" i="10"/>
  <c r="D516" i="10"/>
  <c r="E516" i="10"/>
  <c r="F516" i="10"/>
  <c r="G516" i="10"/>
  <c r="H516" i="10"/>
  <c r="A517" i="10"/>
  <c r="B517" i="10"/>
  <c r="C517" i="10"/>
  <c r="D517" i="10"/>
  <c r="E517" i="10"/>
  <c r="F517" i="10"/>
  <c r="G517" i="10"/>
  <c r="H517" i="10"/>
  <c r="A518" i="10"/>
  <c r="B518" i="10"/>
  <c r="C518" i="10"/>
  <c r="D518" i="10"/>
  <c r="E518" i="10"/>
  <c r="F518" i="10"/>
  <c r="G518" i="10"/>
  <c r="H518" i="10"/>
  <c r="A519" i="10"/>
  <c r="B519" i="10"/>
  <c r="C519" i="10"/>
  <c r="D519" i="10"/>
  <c r="E519" i="10"/>
  <c r="F519" i="10"/>
  <c r="G519" i="10"/>
  <c r="H519" i="10"/>
  <c r="A520" i="10"/>
  <c r="B520" i="10"/>
  <c r="C520" i="10"/>
  <c r="D520" i="10"/>
  <c r="E520" i="10"/>
  <c r="F520" i="10"/>
  <c r="G520" i="10"/>
  <c r="H520" i="10"/>
  <c r="A521" i="10"/>
  <c r="B521" i="10"/>
  <c r="C521" i="10"/>
  <c r="D521" i="10"/>
  <c r="E521" i="10"/>
  <c r="F521" i="10"/>
  <c r="G521" i="10"/>
  <c r="H521" i="10"/>
  <c r="A522" i="10"/>
  <c r="B522" i="10"/>
  <c r="C522" i="10"/>
  <c r="D522" i="10"/>
  <c r="E522" i="10"/>
  <c r="F522" i="10"/>
  <c r="G522" i="10"/>
  <c r="H522" i="10"/>
  <c r="A523" i="10"/>
  <c r="B523" i="10"/>
  <c r="C523" i="10"/>
  <c r="D523" i="10"/>
  <c r="E523" i="10"/>
  <c r="F523" i="10"/>
  <c r="G523" i="10"/>
  <c r="H523" i="10"/>
  <c r="A524" i="10"/>
  <c r="B524" i="10"/>
  <c r="C524" i="10"/>
  <c r="D524" i="10"/>
  <c r="E524" i="10"/>
  <c r="F524" i="10"/>
  <c r="G524" i="10"/>
  <c r="H524" i="10"/>
  <c r="A525" i="10"/>
  <c r="B525" i="10"/>
  <c r="C525" i="10"/>
  <c r="D525" i="10"/>
  <c r="E525" i="10"/>
  <c r="F525" i="10"/>
  <c r="G525" i="10"/>
  <c r="H525" i="10"/>
  <c r="A526" i="10"/>
  <c r="B526" i="10"/>
  <c r="C526" i="10"/>
  <c r="D526" i="10"/>
  <c r="E526" i="10"/>
  <c r="F526" i="10"/>
  <c r="G526" i="10"/>
  <c r="H526" i="10"/>
  <c r="A527" i="10"/>
  <c r="B527" i="10"/>
  <c r="C527" i="10"/>
  <c r="D527" i="10"/>
  <c r="E527" i="10"/>
  <c r="F527" i="10"/>
  <c r="G527" i="10"/>
  <c r="H527" i="10"/>
  <c r="A528" i="10"/>
  <c r="B528" i="10"/>
  <c r="C528" i="10"/>
  <c r="D528" i="10"/>
  <c r="E528" i="10"/>
  <c r="F528" i="10"/>
  <c r="G528" i="10"/>
  <c r="H528" i="10"/>
  <c r="A529" i="10"/>
  <c r="B529" i="10"/>
  <c r="C529" i="10"/>
  <c r="D529" i="10"/>
  <c r="E529" i="10"/>
  <c r="F529" i="10"/>
  <c r="G529" i="10"/>
  <c r="H529" i="10"/>
  <c r="A530" i="10"/>
  <c r="B530" i="10"/>
  <c r="C530" i="10"/>
  <c r="D530" i="10"/>
  <c r="E530" i="10"/>
  <c r="F530" i="10"/>
  <c r="G530" i="10"/>
  <c r="H530" i="10"/>
  <c r="A531" i="10"/>
  <c r="B531" i="10"/>
  <c r="C531" i="10"/>
  <c r="D531" i="10"/>
  <c r="E531" i="10"/>
  <c r="F531" i="10"/>
  <c r="G531" i="10"/>
  <c r="H531" i="10"/>
  <c r="A532" i="10"/>
  <c r="B532" i="10"/>
  <c r="C532" i="10"/>
  <c r="D532" i="10"/>
  <c r="E532" i="10"/>
  <c r="F532" i="10"/>
  <c r="G532" i="10"/>
  <c r="H532" i="10"/>
  <c r="A533" i="10"/>
  <c r="B533" i="10"/>
  <c r="C533" i="10"/>
  <c r="D533" i="10"/>
  <c r="E533" i="10"/>
  <c r="F533" i="10"/>
  <c r="G533" i="10"/>
  <c r="H533" i="10"/>
  <c r="A534" i="10"/>
  <c r="B534" i="10"/>
  <c r="C534" i="10"/>
  <c r="D534" i="10"/>
  <c r="E534" i="10"/>
  <c r="F534" i="10"/>
  <c r="G534" i="10"/>
  <c r="H534" i="10"/>
  <c r="A535" i="10"/>
  <c r="B535" i="10"/>
  <c r="C535" i="10"/>
  <c r="D535" i="10"/>
  <c r="E535" i="10"/>
  <c r="F535" i="10"/>
  <c r="G535" i="10"/>
  <c r="H535" i="10"/>
  <c r="A536" i="10"/>
  <c r="B536" i="10"/>
  <c r="C536" i="10"/>
  <c r="D536" i="10"/>
  <c r="E536" i="10"/>
  <c r="F536" i="10"/>
  <c r="G536" i="10"/>
  <c r="H536" i="10"/>
  <c r="A537" i="10"/>
  <c r="B537" i="10"/>
  <c r="C537" i="10"/>
  <c r="D537" i="10"/>
  <c r="E537" i="10"/>
  <c r="F537" i="10"/>
  <c r="G537" i="10"/>
  <c r="H537" i="10"/>
  <c r="A538" i="10"/>
  <c r="B538" i="10"/>
  <c r="C538" i="10"/>
  <c r="D538" i="10"/>
  <c r="E538" i="10"/>
  <c r="F538" i="10"/>
  <c r="G538" i="10"/>
  <c r="H538" i="10"/>
  <c r="A539" i="10"/>
  <c r="B539" i="10"/>
  <c r="C539" i="10"/>
  <c r="D539" i="10"/>
  <c r="E539" i="10"/>
  <c r="F539" i="10"/>
  <c r="G539" i="10"/>
  <c r="H539" i="10"/>
  <c r="A540" i="10"/>
  <c r="B540" i="10"/>
  <c r="C540" i="10"/>
  <c r="D540" i="10"/>
  <c r="E540" i="10"/>
  <c r="F540" i="10"/>
  <c r="G540" i="10"/>
  <c r="H540" i="10"/>
  <c r="A541" i="10"/>
  <c r="B541" i="10"/>
  <c r="C541" i="10"/>
  <c r="D541" i="10"/>
  <c r="E541" i="10"/>
  <c r="F541" i="10"/>
  <c r="G541" i="10"/>
  <c r="H541" i="10"/>
  <c r="A542" i="10"/>
  <c r="B542" i="10"/>
  <c r="C542" i="10"/>
  <c r="D542" i="10"/>
  <c r="E542" i="10"/>
  <c r="F542" i="10"/>
  <c r="G542" i="10"/>
  <c r="H542" i="10"/>
  <c r="A543" i="10"/>
  <c r="B543" i="10"/>
  <c r="C543" i="10"/>
  <c r="D543" i="10"/>
  <c r="E543" i="10"/>
  <c r="F543" i="10"/>
  <c r="G543" i="10"/>
  <c r="H543" i="10"/>
  <c r="A544" i="10"/>
  <c r="B544" i="10"/>
  <c r="C544" i="10"/>
  <c r="D544" i="10"/>
  <c r="E544" i="10"/>
  <c r="F544" i="10"/>
  <c r="G544" i="10"/>
  <c r="H544" i="10"/>
  <c r="A545" i="10"/>
  <c r="B545" i="10"/>
  <c r="C545" i="10"/>
  <c r="D545" i="10"/>
  <c r="E545" i="10"/>
  <c r="F545" i="10"/>
  <c r="G545" i="10"/>
  <c r="H545" i="10"/>
  <c r="A546" i="10"/>
  <c r="B546" i="10"/>
  <c r="C546" i="10"/>
  <c r="D546" i="10"/>
  <c r="E546" i="10"/>
  <c r="F546" i="10"/>
  <c r="G546" i="10"/>
  <c r="H546" i="10"/>
  <c r="A547" i="10"/>
  <c r="B547" i="10"/>
  <c r="C547" i="10"/>
  <c r="D547" i="10"/>
  <c r="E547" i="10"/>
  <c r="F547" i="10"/>
  <c r="G547" i="10"/>
  <c r="H547" i="10"/>
  <c r="A548" i="10"/>
  <c r="B548" i="10"/>
  <c r="C548" i="10"/>
  <c r="D548" i="10"/>
  <c r="E548" i="10"/>
  <c r="F548" i="10"/>
  <c r="G548" i="10"/>
  <c r="H548" i="10"/>
  <c r="A549" i="10"/>
  <c r="B549" i="10"/>
  <c r="C549" i="10"/>
  <c r="D549" i="10"/>
  <c r="E549" i="10"/>
  <c r="F549" i="10"/>
  <c r="G549" i="10"/>
  <c r="H549" i="10"/>
  <c r="A550" i="10"/>
  <c r="B550" i="10"/>
  <c r="C550" i="10"/>
  <c r="D550" i="10"/>
  <c r="E550" i="10"/>
  <c r="F550" i="10"/>
  <c r="G550" i="10"/>
  <c r="H550" i="10"/>
  <c r="A551" i="10"/>
  <c r="B551" i="10"/>
  <c r="C551" i="10"/>
  <c r="D551" i="10"/>
  <c r="E551" i="10"/>
  <c r="F551" i="10"/>
  <c r="G551" i="10"/>
  <c r="H551" i="10"/>
  <c r="A552" i="10"/>
  <c r="B552" i="10"/>
  <c r="C552" i="10"/>
  <c r="D552" i="10"/>
  <c r="E552" i="10"/>
  <c r="F552" i="10"/>
  <c r="G552" i="10"/>
  <c r="H552" i="10"/>
  <c r="A553" i="10"/>
  <c r="B553" i="10"/>
  <c r="C553" i="10"/>
  <c r="D553" i="10"/>
  <c r="E553" i="10"/>
  <c r="F553" i="10"/>
  <c r="G553" i="10"/>
  <c r="H553" i="10"/>
  <c r="A554" i="10"/>
  <c r="B554" i="10"/>
  <c r="C554" i="10"/>
  <c r="D554" i="10"/>
  <c r="E554" i="10"/>
  <c r="F554" i="10"/>
  <c r="G554" i="10"/>
  <c r="H554" i="10"/>
  <c r="A555" i="10"/>
  <c r="B555" i="10"/>
  <c r="C555" i="10"/>
  <c r="D555" i="10"/>
  <c r="E555" i="10"/>
  <c r="F555" i="10"/>
  <c r="G555" i="10"/>
  <c r="H555" i="10"/>
  <c r="A556" i="10"/>
  <c r="B556" i="10"/>
  <c r="C556" i="10"/>
  <c r="D556" i="10"/>
  <c r="E556" i="10"/>
  <c r="F556" i="10"/>
  <c r="G556" i="10"/>
  <c r="H556" i="10"/>
  <c r="A557" i="10"/>
  <c r="B557" i="10"/>
  <c r="C557" i="10"/>
  <c r="D557" i="10"/>
  <c r="E557" i="10"/>
  <c r="F557" i="10"/>
  <c r="G557" i="10"/>
  <c r="H557" i="10"/>
  <c r="A558" i="10"/>
  <c r="B558" i="10"/>
  <c r="C558" i="10"/>
  <c r="D558" i="10"/>
  <c r="E558" i="10"/>
  <c r="F558" i="10"/>
  <c r="G558" i="10"/>
  <c r="H558" i="10"/>
  <c r="A559" i="10"/>
  <c r="B559" i="10"/>
  <c r="C559" i="10"/>
  <c r="D559" i="10"/>
  <c r="E559" i="10"/>
  <c r="F559" i="10"/>
  <c r="G559" i="10"/>
  <c r="H559" i="10"/>
  <c r="A560" i="10"/>
  <c r="B560" i="10"/>
  <c r="C560" i="10"/>
  <c r="D560" i="10"/>
  <c r="E560" i="10"/>
  <c r="F560" i="10"/>
  <c r="G560" i="10"/>
  <c r="H560" i="10"/>
  <c r="A561" i="10"/>
  <c r="B561" i="10"/>
  <c r="C561" i="10"/>
  <c r="D561" i="10"/>
  <c r="E561" i="10"/>
  <c r="F561" i="10"/>
  <c r="G561" i="10"/>
  <c r="H561" i="10"/>
  <c r="A562" i="10"/>
  <c r="B562" i="10"/>
  <c r="C562" i="10"/>
  <c r="D562" i="10"/>
  <c r="E562" i="10"/>
  <c r="F562" i="10"/>
  <c r="G562" i="10"/>
  <c r="H562" i="10"/>
  <c r="A563" i="10"/>
  <c r="B563" i="10"/>
  <c r="C563" i="10"/>
  <c r="D563" i="10"/>
  <c r="E563" i="10"/>
  <c r="F563" i="10"/>
  <c r="G563" i="10"/>
  <c r="H563" i="10"/>
  <c r="A564" i="10"/>
  <c r="B564" i="10"/>
  <c r="C564" i="10"/>
  <c r="D564" i="10"/>
  <c r="E564" i="10"/>
  <c r="F564" i="10"/>
  <c r="G564" i="10"/>
  <c r="H564" i="10"/>
  <c r="A565" i="10"/>
  <c r="B565" i="10"/>
  <c r="C565" i="10"/>
  <c r="D565" i="10"/>
  <c r="E565" i="10"/>
  <c r="F565" i="10"/>
  <c r="G565" i="10"/>
  <c r="H565" i="10"/>
  <c r="A566" i="10"/>
  <c r="B566" i="10"/>
  <c r="C566" i="10"/>
  <c r="D566" i="10"/>
  <c r="E566" i="10"/>
  <c r="F566" i="10"/>
  <c r="G566" i="10"/>
  <c r="H566" i="10"/>
  <c r="A567" i="10"/>
  <c r="B567" i="10"/>
  <c r="C567" i="10"/>
  <c r="D567" i="10"/>
  <c r="E567" i="10"/>
  <c r="F567" i="10"/>
  <c r="G567" i="10"/>
  <c r="H567" i="10"/>
  <c r="A568" i="10"/>
  <c r="B568" i="10"/>
  <c r="C568" i="10"/>
  <c r="D568" i="10"/>
  <c r="E568" i="10"/>
  <c r="F568" i="10"/>
  <c r="G568" i="10"/>
  <c r="H568" i="10"/>
  <c r="A569" i="10"/>
  <c r="B569" i="10"/>
  <c r="C569" i="10"/>
  <c r="D569" i="10"/>
  <c r="E569" i="10"/>
  <c r="F569" i="10"/>
  <c r="G569" i="10"/>
  <c r="H569" i="10"/>
  <c r="A570" i="10"/>
  <c r="B570" i="10"/>
  <c r="C570" i="10"/>
  <c r="D570" i="10"/>
  <c r="E570" i="10"/>
  <c r="F570" i="10"/>
  <c r="G570" i="10"/>
  <c r="H570" i="10"/>
  <c r="A571" i="10"/>
  <c r="B571" i="10"/>
  <c r="C571" i="10"/>
  <c r="D571" i="10"/>
  <c r="E571" i="10"/>
  <c r="F571" i="10"/>
  <c r="G571" i="10"/>
  <c r="H571" i="10"/>
  <c r="A572" i="10"/>
  <c r="B572" i="10"/>
  <c r="C572" i="10"/>
  <c r="D572" i="10"/>
  <c r="E572" i="10"/>
  <c r="F572" i="10"/>
  <c r="G572" i="10"/>
  <c r="H572" i="10"/>
  <c r="A573" i="10"/>
  <c r="B573" i="10"/>
  <c r="C573" i="10"/>
  <c r="D573" i="10"/>
  <c r="E573" i="10"/>
  <c r="F573" i="10"/>
  <c r="G573" i="10"/>
  <c r="H573" i="10"/>
  <c r="A574" i="10"/>
  <c r="B574" i="10"/>
  <c r="C574" i="10"/>
  <c r="D574" i="10"/>
  <c r="E574" i="10"/>
  <c r="F574" i="10"/>
  <c r="G574" i="10"/>
  <c r="H574" i="10"/>
  <c r="A575" i="10"/>
  <c r="B575" i="10"/>
  <c r="C575" i="10"/>
  <c r="D575" i="10"/>
  <c r="E575" i="10"/>
  <c r="F575" i="10"/>
  <c r="G575" i="10"/>
  <c r="H575" i="10"/>
  <c r="A576" i="10"/>
  <c r="B576" i="10"/>
  <c r="C576" i="10"/>
  <c r="D576" i="10"/>
  <c r="E576" i="10"/>
  <c r="F576" i="10"/>
  <c r="G576" i="10"/>
  <c r="H576" i="10"/>
  <c r="A577" i="10"/>
  <c r="B577" i="10"/>
  <c r="C577" i="10"/>
  <c r="D577" i="10"/>
  <c r="E577" i="10"/>
  <c r="F577" i="10"/>
  <c r="G577" i="10"/>
  <c r="H577" i="10"/>
  <c r="A578" i="10"/>
  <c r="B578" i="10"/>
  <c r="C578" i="10"/>
  <c r="D578" i="10"/>
  <c r="E578" i="10"/>
  <c r="F578" i="10"/>
  <c r="G578" i="10"/>
  <c r="H578" i="10"/>
  <c r="A579" i="10"/>
  <c r="B579" i="10"/>
  <c r="C579" i="10"/>
  <c r="D579" i="10"/>
  <c r="E579" i="10"/>
  <c r="F579" i="10"/>
  <c r="G579" i="10"/>
  <c r="H579" i="10"/>
  <c r="A580" i="10"/>
  <c r="B580" i="10"/>
  <c r="C580" i="10"/>
  <c r="D580" i="10"/>
  <c r="E580" i="10"/>
  <c r="F580" i="10"/>
  <c r="G580" i="10"/>
  <c r="H580" i="10"/>
  <c r="A581" i="10"/>
  <c r="B581" i="10"/>
  <c r="C581" i="10"/>
  <c r="D581" i="10"/>
  <c r="E581" i="10"/>
  <c r="F581" i="10"/>
  <c r="G581" i="10"/>
  <c r="H581" i="10"/>
  <c r="A582" i="10"/>
  <c r="B582" i="10"/>
  <c r="C582" i="10"/>
  <c r="D582" i="10"/>
  <c r="E582" i="10"/>
  <c r="F582" i="10"/>
  <c r="G582" i="10"/>
  <c r="H582" i="10"/>
  <c r="A583" i="10"/>
  <c r="B583" i="10"/>
  <c r="C583" i="10"/>
  <c r="D583" i="10"/>
  <c r="E583" i="10"/>
  <c r="F583" i="10"/>
  <c r="G583" i="10"/>
  <c r="H583" i="10"/>
  <c r="A584" i="10"/>
  <c r="B584" i="10"/>
  <c r="C584" i="10"/>
  <c r="D584" i="10"/>
  <c r="E584" i="10"/>
  <c r="F584" i="10"/>
  <c r="G584" i="10"/>
  <c r="H584" i="10"/>
  <c r="A585" i="10"/>
  <c r="B585" i="10"/>
  <c r="C585" i="10"/>
  <c r="D585" i="10"/>
  <c r="E585" i="10"/>
  <c r="F585" i="10"/>
  <c r="G585" i="10"/>
  <c r="H585" i="10"/>
  <c r="A586" i="10"/>
  <c r="B586" i="10"/>
  <c r="C586" i="10"/>
  <c r="D586" i="10"/>
  <c r="E586" i="10"/>
  <c r="F586" i="10"/>
  <c r="G586" i="10"/>
  <c r="H586" i="10"/>
  <c r="A587" i="10"/>
  <c r="B587" i="10"/>
  <c r="C587" i="10"/>
  <c r="D587" i="10"/>
  <c r="E587" i="10"/>
  <c r="F587" i="10"/>
  <c r="G587" i="10"/>
  <c r="H587" i="10"/>
  <c r="A588" i="10"/>
  <c r="B588" i="10"/>
  <c r="C588" i="10"/>
  <c r="D588" i="10"/>
  <c r="E588" i="10"/>
  <c r="F588" i="10"/>
  <c r="G588" i="10"/>
  <c r="H588" i="10"/>
  <c r="A589" i="10"/>
  <c r="B589" i="10"/>
  <c r="C589" i="10"/>
  <c r="D589" i="10"/>
  <c r="E589" i="10"/>
  <c r="F589" i="10"/>
  <c r="G589" i="10"/>
  <c r="H589" i="10"/>
  <c r="A590" i="10"/>
  <c r="B590" i="10"/>
  <c r="C590" i="10"/>
  <c r="D590" i="10"/>
  <c r="E590" i="10"/>
  <c r="F590" i="10"/>
  <c r="G590" i="10"/>
  <c r="H590" i="10"/>
  <c r="A591" i="10"/>
  <c r="B591" i="10"/>
  <c r="C591" i="10"/>
  <c r="D591" i="10"/>
  <c r="E591" i="10"/>
  <c r="F591" i="10"/>
  <c r="G591" i="10"/>
  <c r="H591" i="10"/>
  <c r="A592" i="10"/>
  <c r="B592" i="10"/>
  <c r="C592" i="10"/>
  <c r="D592" i="10"/>
  <c r="E592" i="10"/>
  <c r="F592" i="10"/>
  <c r="G592" i="10"/>
  <c r="H592" i="10"/>
  <c r="A593" i="10"/>
  <c r="B593" i="10"/>
  <c r="C593" i="10"/>
  <c r="D593" i="10"/>
  <c r="E593" i="10"/>
  <c r="F593" i="10"/>
  <c r="G593" i="10"/>
  <c r="H593" i="10"/>
  <c r="A594" i="10"/>
  <c r="B594" i="10"/>
  <c r="C594" i="10"/>
  <c r="D594" i="10"/>
  <c r="E594" i="10"/>
  <c r="F594" i="10"/>
  <c r="G594" i="10"/>
  <c r="H594" i="10"/>
  <c r="A595" i="10"/>
  <c r="B595" i="10"/>
  <c r="C595" i="10"/>
  <c r="D595" i="10"/>
  <c r="E595" i="10"/>
  <c r="F595" i="10"/>
  <c r="G595" i="10"/>
  <c r="H595" i="10"/>
  <c r="A596" i="10"/>
  <c r="B596" i="10"/>
  <c r="C596" i="10"/>
  <c r="D596" i="10"/>
  <c r="E596" i="10"/>
  <c r="F596" i="10"/>
  <c r="G596" i="10"/>
  <c r="H596" i="10"/>
  <c r="A597" i="10"/>
  <c r="B597" i="10"/>
  <c r="C597" i="10"/>
  <c r="D597" i="10"/>
  <c r="E597" i="10"/>
  <c r="F597" i="10"/>
  <c r="G597" i="10"/>
  <c r="H597" i="10"/>
  <c r="A598" i="10"/>
  <c r="B598" i="10"/>
  <c r="C598" i="10"/>
  <c r="D598" i="10"/>
  <c r="E598" i="10"/>
  <c r="F598" i="10"/>
  <c r="G598" i="10"/>
  <c r="H598" i="10"/>
  <c r="A599" i="10"/>
  <c r="B599" i="10"/>
  <c r="C599" i="10"/>
  <c r="D599" i="10"/>
  <c r="E599" i="10"/>
  <c r="F599" i="10"/>
  <c r="G599" i="10"/>
  <c r="H599" i="10"/>
  <c r="A600" i="10"/>
  <c r="B600" i="10"/>
  <c r="C600" i="10"/>
  <c r="D600" i="10"/>
  <c r="E600" i="10"/>
  <c r="F600" i="10"/>
  <c r="G600" i="10"/>
  <c r="H600" i="10"/>
  <c r="A601" i="10"/>
  <c r="B601" i="10"/>
  <c r="C601" i="10"/>
  <c r="D601" i="10"/>
  <c r="E601" i="10"/>
  <c r="F601" i="10"/>
  <c r="G601" i="10"/>
  <c r="H601" i="10"/>
  <c r="A602" i="10"/>
  <c r="B602" i="10"/>
  <c r="C602" i="10"/>
  <c r="D602" i="10"/>
  <c r="E602" i="10"/>
  <c r="F602" i="10"/>
  <c r="G602" i="10"/>
  <c r="H602" i="10"/>
  <c r="A619" i="10"/>
  <c r="B619" i="10"/>
  <c r="C619" i="10"/>
  <c r="D619" i="10"/>
  <c r="E619" i="10"/>
  <c r="F619" i="10"/>
  <c r="G619" i="10"/>
  <c r="H619" i="10"/>
  <c r="A620" i="10"/>
  <c r="B620" i="10"/>
  <c r="C620" i="10"/>
  <c r="D620" i="10"/>
  <c r="E620" i="10"/>
  <c r="F620" i="10"/>
  <c r="G620" i="10"/>
  <c r="H620" i="10"/>
  <c r="A621" i="10"/>
  <c r="B621" i="10"/>
  <c r="C621" i="10"/>
  <c r="D621" i="10"/>
  <c r="E621" i="10"/>
  <c r="F621" i="10"/>
  <c r="G621" i="10"/>
  <c r="H621" i="10"/>
  <c r="A622" i="10"/>
  <c r="B622" i="10"/>
  <c r="C622" i="10"/>
  <c r="D622" i="10"/>
  <c r="E622" i="10"/>
  <c r="F622" i="10"/>
  <c r="G622" i="10"/>
  <c r="H622" i="10"/>
  <c r="A623" i="10"/>
  <c r="B623" i="10"/>
  <c r="C623" i="10"/>
  <c r="D623" i="10"/>
  <c r="E623" i="10"/>
  <c r="F623" i="10"/>
  <c r="G623" i="10"/>
  <c r="H623" i="10"/>
  <c r="A624" i="10"/>
  <c r="B624" i="10"/>
  <c r="C624" i="10"/>
  <c r="D624" i="10"/>
  <c r="E624" i="10"/>
  <c r="F624" i="10"/>
  <c r="G624" i="10"/>
  <c r="H624" i="10"/>
  <c r="A625" i="10"/>
  <c r="B625" i="10"/>
  <c r="C625" i="10"/>
  <c r="D625" i="10"/>
  <c r="E625" i="10"/>
  <c r="F625" i="10"/>
  <c r="G625" i="10"/>
  <c r="H625" i="10"/>
  <c r="A626" i="10"/>
  <c r="B626" i="10"/>
  <c r="C626" i="10"/>
  <c r="D626" i="10"/>
  <c r="E626" i="10"/>
  <c r="F626" i="10"/>
  <c r="G626" i="10"/>
  <c r="H626" i="10"/>
  <c r="A627" i="10"/>
  <c r="B627" i="10"/>
  <c r="C627" i="10"/>
  <c r="D627" i="10"/>
  <c r="E627" i="10"/>
  <c r="F627" i="10"/>
  <c r="G627" i="10"/>
  <c r="H627" i="10"/>
  <c r="A628" i="10"/>
  <c r="B628" i="10"/>
  <c r="C628" i="10"/>
  <c r="D628" i="10"/>
  <c r="E628" i="10"/>
  <c r="F628" i="10"/>
  <c r="G628" i="10"/>
  <c r="H628" i="10"/>
  <c r="A629" i="10"/>
  <c r="B629" i="10"/>
  <c r="C629" i="10"/>
  <c r="D629" i="10"/>
  <c r="E629" i="10"/>
  <c r="F629" i="10"/>
  <c r="G629" i="10"/>
  <c r="H629" i="10"/>
  <c r="A630" i="10"/>
  <c r="B630" i="10"/>
  <c r="C630" i="10"/>
  <c r="D630" i="10"/>
  <c r="E630" i="10"/>
  <c r="F630" i="10"/>
  <c r="G630" i="10"/>
  <c r="H630" i="10"/>
  <c r="A631" i="10"/>
  <c r="B631" i="10"/>
  <c r="C631" i="10"/>
  <c r="D631" i="10"/>
  <c r="E631" i="10"/>
  <c r="F631" i="10"/>
  <c r="G631" i="10"/>
  <c r="H631" i="10"/>
  <c r="A632" i="10"/>
  <c r="B632" i="10"/>
  <c r="C632" i="10"/>
  <c r="D632" i="10"/>
  <c r="E632" i="10"/>
  <c r="F632" i="10"/>
  <c r="G632" i="10"/>
  <c r="H632" i="10"/>
  <c r="A633" i="10"/>
  <c r="B633" i="10"/>
  <c r="C633" i="10"/>
  <c r="D633" i="10"/>
  <c r="E633" i="10"/>
  <c r="F633" i="10"/>
  <c r="G633" i="10"/>
  <c r="H633" i="10"/>
  <c r="A634" i="10"/>
  <c r="B634" i="10"/>
  <c r="C634" i="10"/>
  <c r="D634" i="10"/>
  <c r="E634" i="10"/>
  <c r="F634" i="10"/>
  <c r="G634" i="10"/>
  <c r="H634" i="10"/>
  <c r="A635" i="10"/>
  <c r="B635" i="10"/>
  <c r="C635" i="10"/>
  <c r="D635" i="10"/>
  <c r="E635" i="10"/>
  <c r="F635" i="10"/>
  <c r="G635" i="10"/>
  <c r="H635" i="10"/>
  <c r="A636" i="10"/>
  <c r="B636" i="10"/>
  <c r="C636" i="10"/>
  <c r="D636" i="10"/>
  <c r="E636" i="10"/>
  <c r="F636" i="10"/>
  <c r="G636" i="10"/>
  <c r="H636" i="10"/>
  <c r="A637" i="10"/>
  <c r="B637" i="10"/>
  <c r="C637" i="10"/>
  <c r="D637" i="10"/>
  <c r="E637" i="10"/>
  <c r="F637" i="10"/>
  <c r="G637" i="10"/>
  <c r="H637" i="10"/>
  <c r="A638" i="10"/>
  <c r="B638" i="10"/>
  <c r="C638" i="10"/>
  <c r="D638" i="10"/>
  <c r="E638" i="10"/>
  <c r="F638" i="10"/>
  <c r="G638" i="10"/>
  <c r="H638" i="10"/>
  <c r="A639" i="10"/>
  <c r="B639" i="10"/>
  <c r="C639" i="10"/>
  <c r="D639" i="10"/>
  <c r="E639" i="10"/>
  <c r="F639" i="10"/>
  <c r="G639" i="10"/>
  <c r="H639" i="10"/>
  <c r="A640" i="10"/>
  <c r="B640" i="10"/>
  <c r="C640" i="10"/>
  <c r="D640" i="10"/>
  <c r="E640" i="10"/>
  <c r="F640" i="10"/>
  <c r="G640" i="10"/>
  <c r="H640" i="10"/>
  <c r="A641" i="10"/>
  <c r="B641" i="10"/>
  <c r="C641" i="10"/>
  <c r="D641" i="10"/>
  <c r="E641" i="10"/>
  <c r="F641" i="10"/>
  <c r="G641" i="10"/>
  <c r="H641" i="10"/>
  <c r="A642" i="10"/>
  <c r="B642" i="10"/>
  <c r="C642" i="10"/>
  <c r="D642" i="10"/>
  <c r="E642" i="10"/>
  <c r="F642" i="10"/>
  <c r="G642" i="10"/>
  <c r="H642" i="10"/>
  <c r="A643" i="10"/>
  <c r="B643" i="10"/>
  <c r="C643" i="10"/>
  <c r="D643" i="10"/>
  <c r="E643" i="10"/>
  <c r="F643" i="10"/>
  <c r="G643" i="10"/>
  <c r="H643" i="10"/>
  <c r="A644" i="10"/>
  <c r="B644" i="10"/>
  <c r="C644" i="10"/>
  <c r="D644" i="10"/>
  <c r="E644" i="10"/>
  <c r="F644" i="10"/>
  <c r="G644" i="10"/>
  <c r="H644" i="10"/>
  <c r="A645" i="10"/>
  <c r="B645" i="10"/>
  <c r="C645" i="10"/>
  <c r="D645" i="10"/>
  <c r="E645" i="10"/>
  <c r="F645" i="10"/>
  <c r="G645" i="10"/>
  <c r="H645" i="10"/>
  <c r="A646" i="10"/>
  <c r="B646" i="10"/>
  <c r="C646" i="10"/>
  <c r="D646" i="10"/>
  <c r="E646" i="10"/>
  <c r="F646" i="10"/>
  <c r="G646" i="10"/>
  <c r="H646" i="10"/>
  <c r="A647" i="10"/>
  <c r="B647" i="10"/>
  <c r="C647" i="10"/>
  <c r="D647" i="10"/>
  <c r="E647" i="10"/>
  <c r="F647" i="10"/>
  <c r="G647" i="10"/>
  <c r="H647" i="10"/>
  <c r="A648" i="10"/>
  <c r="B648" i="10"/>
  <c r="C648" i="10"/>
  <c r="D648" i="10"/>
  <c r="E648" i="10"/>
  <c r="F648" i="10"/>
  <c r="G648" i="10"/>
  <c r="H648" i="10"/>
  <c r="A649" i="10"/>
  <c r="B649" i="10"/>
  <c r="C649" i="10"/>
  <c r="D649" i="10"/>
  <c r="E649" i="10"/>
  <c r="F649" i="10"/>
  <c r="G649" i="10"/>
  <c r="H649" i="10"/>
  <c r="A650" i="10"/>
  <c r="B650" i="10"/>
  <c r="C650" i="10"/>
  <c r="D650" i="10"/>
  <c r="E650" i="10"/>
  <c r="F650" i="10"/>
  <c r="G650" i="10"/>
  <c r="H650" i="10"/>
  <c r="A651" i="10"/>
  <c r="B651" i="10"/>
  <c r="C651" i="10"/>
  <c r="D651" i="10"/>
  <c r="E651" i="10"/>
  <c r="F651" i="10"/>
  <c r="G651" i="10"/>
  <c r="H651" i="10"/>
  <c r="A652" i="10"/>
  <c r="B652" i="10"/>
  <c r="C652" i="10"/>
  <c r="D652" i="10"/>
  <c r="E652" i="10"/>
  <c r="F652" i="10"/>
  <c r="G652" i="10"/>
  <c r="H652" i="10"/>
  <c r="A653" i="10"/>
  <c r="B653" i="10"/>
  <c r="C653" i="10"/>
  <c r="D653" i="10"/>
  <c r="E653" i="10"/>
  <c r="F653" i="10"/>
  <c r="G653" i="10"/>
  <c r="H653" i="10"/>
  <c r="A654" i="10"/>
  <c r="B654" i="10"/>
  <c r="C654" i="10"/>
  <c r="D654" i="10"/>
  <c r="E654" i="10"/>
  <c r="F654" i="10"/>
  <c r="G654" i="10"/>
  <c r="H654" i="10"/>
  <c r="A655" i="10"/>
  <c r="B655" i="10"/>
  <c r="C655" i="10"/>
  <c r="D655" i="10"/>
  <c r="E655" i="10"/>
  <c r="F655" i="10"/>
  <c r="G655" i="10"/>
  <c r="H655" i="10"/>
  <c r="A656" i="10"/>
  <c r="B656" i="10"/>
  <c r="C656" i="10"/>
  <c r="D656" i="10"/>
  <c r="E656" i="10"/>
  <c r="F656" i="10"/>
  <c r="G656" i="10"/>
  <c r="H656" i="10"/>
  <c r="A657" i="10"/>
  <c r="B657" i="10"/>
  <c r="C657" i="10"/>
  <c r="D657" i="10"/>
  <c r="E657" i="10"/>
  <c r="F657" i="10"/>
  <c r="G657" i="10"/>
  <c r="H657" i="10"/>
  <c r="A658" i="10"/>
  <c r="B658" i="10"/>
  <c r="C658" i="10"/>
  <c r="D658" i="10"/>
  <c r="E658" i="10"/>
  <c r="F658" i="10"/>
  <c r="G658" i="10"/>
  <c r="H658" i="10"/>
  <c r="A659" i="10"/>
  <c r="B659" i="10"/>
  <c r="C659" i="10"/>
  <c r="D659" i="10"/>
  <c r="E659" i="10"/>
  <c r="F659" i="10"/>
  <c r="G659" i="10"/>
  <c r="H659" i="10"/>
  <c r="A660" i="10"/>
  <c r="B660" i="10"/>
  <c r="C660" i="10"/>
  <c r="D660" i="10"/>
  <c r="E660" i="10"/>
  <c r="F660" i="10"/>
  <c r="G660" i="10"/>
  <c r="H660" i="10"/>
  <c r="A661" i="10"/>
  <c r="B661" i="10"/>
  <c r="C661" i="10"/>
  <c r="D661" i="10"/>
  <c r="E661" i="10"/>
  <c r="F661" i="10"/>
  <c r="G661" i="10"/>
  <c r="H661" i="10"/>
  <c r="A662" i="10"/>
  <c r="B662" i="10"/>
  <c r="C662" i="10"/>
  <c r="D662" i="10"/>
  <c r="E662" i="10"/>
  <c r="F662" i="10"/>
  <c r="G662" i="10"/>
  <c r="H662" i="10"/>
  <c r="A663" i="10"/>
  <c r="B663" i="10"/>
  <c r="C663" i="10"/>
  <c r="D663" i="10"/>
  <c r="E663" i="10"/>
  <c r="F663" i="10"/>
  <c r="G663" i="10"/>
  <c r="H663" i="10"/>
  <c r="A664" i="10"/>
  <c r="B664" i="10"/>
  <c r="C664" i="10"/>
  <c r="D664" i="10"/>
  <c r="E664" i="10"/>
  <c r="F664" i="10"/>
  <c r="G664" i="10"/>
  <c r="H664" i="10"/>
  <c r="A665" i="10"/>
  <c r="B665" i="10"/>
  <c r="C665" i="10"/>
  <c r="D665" i="10"/>
  <c r="E665" i="10"/>
  <c r="F665" i="10"/>
  <c r="G665" i="10"/>
  <c r="H665" i="10"/>
  <c r="A666" i="10"/>
  <c r="B666" i="10"/>
  <c r="C666" i="10"/>
  <c r="D666" i="10"/>
  <c r="E666" i="10"/>
  <c r="F666" i="10"/>
  <c r="G666" i="10"/>
  <c r="H666" i="10"/>
  <c r="A667" i="10"/>
  <c r="B667" i="10"/>
  <c r="C667" i="10"/>
  <c r="D667" i="10"/>
  <c r="E667" i="10"/>
  <c r="F667" i="10"/>
  <c r="G667" i="10"/>
  <c r="H667" i="10"/>
  <c r="A668" i="10"/>
  <c r="B668" i="10"/>
  <c r="C668" i="10"/>
  <c r="D668" i="10"/>
  <c r="E668" i="10"/>
  <c r="F668" i="10"/>
  <c r="G668" i="10"/>
  <c r="H668" i="10"/>
  <c r="A669" i="10"/>
  <c r="B669" i="10"/>
  <c r="C669" i="10"/>
  <c r="D669" i="10"/>
  <c r="E669" i="10"/>
  <c r="F669" i="10"/>
  <c r="G669" i="10"/>
  <c r="H669" i="10"/>
  <c r="A670" i="10"/>
  <c r="B670" i="10"/>
  <c r="C670" i="10"/>
  <c r="D670" i="10"/>
  <c r="E670" i="10"/>
  <c r="F670" i="10"/>
  <c r="G670" i="10"/>
  <c r="H670" i="10"/>
  <c r="A671" i="10"/>
  <c r="B671" i="10"/>
  <c r="C671" i="10"/>
  <c r="D671" i="10"/>
  <c r="E671" i="10"/>
  <c r="F671" i="10"/>
  <c r="G671" i="10"/>
  <c r="H671" i="10"/>
  <c r="A672" i="10"/>
  <c r="B672" i="10"/>
  <c r="C672" i="10"/>
  <c r="D672" i="10"/>
  <c r="E672" i="10"/>
  <c r="F672" i="10"/>
  <c r="G672" i="10"/>
  <c r="H672" i="10"/>
  <c r="A673" i="10"/>
  <c r="B673" i="10"/>
  <c r="C673" i="10"/>
  <c r="D673" i="10"/>
  <c r="E673" i="10"/>
  <c r="F673" i="10"/>
  <c r="G673" i="10"/>
  <c r="H673" i="10"/>
  <c r="A674" i="10"/>
  <c r="B674" i="10"/>
  <c r="C674" i="10"/>
  <c r="D674" i="10"/>
  <c r="E674" i="10"/>
  <c r="F674" i="10"/>
  <c r="G674" i="10"/>
  <c r="H674" i="10"/>
  <c r="A675" i="10"/>
  <c r="B675" i="10"/>
  <c r="C675" i="10"/>
  <c r="D675" i="10"/>
  <c r="E675" i="10"/>
  <c r="F675" i="10"/>
  <c r="G675" i="10"/>
  <c r="H675" i="10"/>
  <c r="A676" i="10"/>
  <c r="B676" i="10"/>
  <c r="C676" i="10"/>
  <c r="D676" i="10"/>
  <c r="E676" i="10"/>
  <c r="F676" i="10"/>
  <c r="G676" i="10"/>
  <c r="H676" i="10"/>
  <c r="A677" i="10"/>
  <c r="B677" i="10"/>
  <c r="C677" i="10"/>
  <c r="D677" i="10"/>
  <c r="E677" i="10"/>
  <c r="F677" i="10"/>
  <c r="G677" i="10"/>
  <c r="H677" i="10"/>
  <c r="A678" i="10"/>
  <c r="B678" i="10"/>
  <c r="C678" i="10"/>
  <c r="D678" i="10"/>
  <c r="E678" i="10"/>
  <c r="F678" i="10"/>
  <c r="G678" i="10"/>
  <c r="H678" i="10"/>
  <c r="A679" i="10"/>
  <c r="B679" i="10"/>
  <c r="C679" i="10"/>
  <c r="D679" i="10"/>
  <c r="E679" i="10"/>
  <c r="F679" i="10"/>
  <c r="G679" i="10"/>
  <c r="H679" i="10"/>
  <c r="A680" i="10"/>
  <c r="B680" i="10"/>
  <c r="C680" i="10"/>
  <c r="D680" i="10"/>
  <c r="E680" i="10"/>
  <c r="F680" i="10"/>
  <c r="G680" i="10"/>
  <c r="H680" i="10"/>
  <c r="A681" i="10"/>
  <c r="B681" i="10"/>
  <c r="C681" i="10"/>
  <c r="D681" i="10"/>
  <c r="E681" i="10"/>
  <c r="F681" i="10"/>
  <c r="G681" i="10"/>
  <c r="H681" i="10"/>
  <c r="A682" i="10"/>
  <c r="B682" i="10"/>
  <c r="C682" i="10"/>
  <c r="D682" i="10"/>
  <c r="E682" i="10"/>
  <c r="F682" i="10"/>
  <c r="G682" i="10"/>
  <c r="H682" i="10"/>
  <c r="A683" i="10"/>
  <c r="B683" i="10"/>
  <c r="C683" i="10"/>
  <c r="D683" i="10"/>
  <c r="E683" i="10"/>
  <c r="F683" i="10"/>
  <c r="G683" i="10"/>
  <c r="H683" i="10"/>
  <c r="A684" i="10"/>
  <c r="B684" i="10"/>
  <c r="C684" i="10"/>
  <c r="D684" i="10"/>
  <c r="E684" i="10"/>
  <c r="F684" i="10"/>
  <c r="G684" i="10"/>
  <c r="H684" i="10"/>
  <c r="A685" i="10"/>
  <c r="B685" i="10"/>
  <c r="C685" i="10"/>
  <c r="D685" i="10"/>
  <c r="E685" i="10"/>
  <c r="F685" i="10"/>
  <c r="G685" i="10"/>
  <c r="H685" i="10"/>
  <c r="A686" i="10"/>
  <c r="B686" i="10"/>
  <c r="C686" i="10"/>
  <c r="D686" i="10"/>
  <c r="E686" i="10"/>
  <c r="F686" i="10"/>
  <c r="G686" i="10"/>
  <c r="H686" i="10"/>
  <c r="A687" i="10"/>
  <c r="B687" i="10"/>
  <c r="C687" i="10"/>
  <c r="D687" i="10"/>
  <c r="E687" i="10"/>
  <c r="F687" i="10"/>
  <c r="G687" i="10"/>
  <c r="H687" i="10"/>
  <c r="A688" i="10"/>
  <c r="B688" i="10"/>
  <c r="C688" i="10"/>
  <c r="D688" i="10"/>
  <c r="E688" i="10"/>
  <c r="F688" i="10"/>
  <c r="G688" i="10"/>
  <c r="H688" i="10"/>
  <c r="A689" i="10"/>
  <c r="B689" i="10"/>
  <c r="C689" i="10"/>
  <c r="D689" i="10"/>
  <c r="E689" i="10"/>
  <c r="F689" i="10"/>
  <c r="G689" i="10"/>
  <c r="H689" i="10"/>
  <c r="A690" i="10"/>
  <c r="B690" i="10"/>
  <c r="C690" i="10"/>
  <c r="D690" i="10"/>
  <c r="E690" i="10"/>
  <c r="F690" i="10"/>
  <c r="G690" i="10"/>
  <c r="H690" i="10"/>
  <c r="A691" i="10"/>
  <c r="B691" i="10"/>
  <c r="C691" i="10"/>
  <c r="D691" i="10"/>
  <c r="E691" i="10"/>
  <c r="F691" i="10"/>
  <c r="G691" i="10"/>
  <c r="H691" i="10"/>
  <c r="A692" i="10"/>
  <c r="B692" i="10"/>
  <c r="C692" i="10"/>
  <c r="D692" i="10"/>
  <c r="E692" i="10"/>
  <c r="F692" i="10"/>
  <c r="G692" i="10"/>
  <c r="H692" i="10"/>
  <c r="A693" i="10"/>
  <c r="B693" i="10"/>
  <c r="C693" i="10"/>
  <c r="D693" i="10"/>
  <c r="E693" i="10"/>
  <c r="F693" i="10"/>
  <c r="G693" i="10"/>
  <c r="H693" i="10"/>
  <c r="A694" i="10"/>
  <c r="B694" i="10"/>
  <c r="C694" i="10"/>
  <c r="D694" i="10"/>
  <c r="E694" i="10"/>
  <c r="F694" i="10"/>
  <c r="G694" i="10"/>
  <c r="H694" i="10"/>
  <c r="A695" i="10"/>
  <c r="B695" i="10"/>
  <c r="C695" i="10"/>
  <c r="D695" i="10"/>
  <c r="E695" i="10"/>
  <c r="F695" i="10"/>
  <c r="G695" i="10"/>
  <c r="H695" i="10"/>
  <c r="A696" i="10"/>
  <c r="B696" i="10"/>
  <c r="C696" i="10"/>
  <c r="D696" i="10"/>
  <c r="E696" i="10"/>
  <c r="F696" i="10"/>
  <c r="G696" i="10"/>
  <c r="H696" i="10"/>
  <c r="A697" i="10"/>
  <c r="B697" i="10"/>
  <c r="C697" i="10"/>
  <c r="D697" i="10"/>
  <c r="E697" i="10"/>
  <c r="F697" i="10"/>
  <c r="G697" i="10"/>
  <c r="H697" i="10"/>
  <c r="A698" i="10"/>
  <c r="B698" i="10"/>
  <c r="C698" i="10"/>
  <c r="D698" i="10"/>
  <c r="E698" i="10"/>
  <c r="F698" i="10"/>
  <c r="G698" i="10"/>
  <c r="H698" i="10"/>
  <c r="A699" i="10"/>
  <c r="B699" i="10"/>
  <c r="C699" i="10"/>
  <c r="D699" i="10"/>
  <c r="E699" i="10"/>
  <c r="F699" i="10"/>
  <c r="G699" i="10"/>
  <c r="H699" i="10"/>
  <c r="A700" i="10"/>
  <c r="B700" i="10"/>
  <c r="C700" i="10"/>
  <c r="D700" i="10"/>
  <c r="E700" i="10"/>
  <c r="F700" i="10"/>
  <c r="G700" i="10"/>
  <c r="H700" i="10"/>
  <c r="A701" i="10"/>
  <c r="B701" i="10"/>
  <c r="C701" i="10"/>
  <c r="D701" i="10"/>
  <c r="E701" i="10"/>
  <c r="F701" i="10"/>
  <c r="G701" i="10"/>
  <c r="H701" i="10"/>
  <c r="A702" i="10"/>
  <c r="B702" i="10"/>
  <c r="C702" i="10"/>
  <c r="D702" i="10"/>
  <c r="E702" i="10"/>
  <c r="F702" i="10"/>
  <c r="G702" i="10"/>
  <c r="H702" i="10"/>
  <c r="A703" i="10"/>
  <c r="B703" i="10"/>
  <c r="C703" i="10"/>
  <c r="D703" i="10"/>
  <c r="E703" i="10"/>
  <c r="F703" i="10"/>
  <c r="G703" i="10"/>
  <c r="H703" i="10"/>
  <c r="A704" i="10"/>
  <c r="B704" i="10"/>
  <c r="C704" i="10"/>
  <c r="D704" i="10"/>
  <c r="E704" i="10"/>
  <c r="F704" i="10"/>
  <c r="G704" i="10"/>
  <c r="H704" i="10"/>
  <c r="A705" i="10"/>
  <c r="B705" i="10"/>
  <c r="C705" i="10"/>
  <c r="D705" i="10"/>
  <c r="E705" i="10"/>
  <c r="F705" i="10"/>
  <c r="G705" i="10"/>
  <c r="H705" i="10"/>
  <c r="A706" i="10"/>
  <c r="B706" i="10"/>
  <c r="C706" i="10"/>
  <c r="D706" i="10"/>
  <c r="E706" i="10"/>
  <c r="F706" i="10"/>
  <c r="G706" i="10"/>
  <c r="H706" i="10"/>
  <c r="A707" i="10"/>
  <c r="B707" i="10"/>
  <c r="C707" i="10"/>
  <c r="D707" i="10"/>
  <c r="E707" i="10"/>
  <c r="F707" i="10"/>
  <c r="G707" i="10"/>
  <c r="H707" i="10"/>
  <c r="A708" i="10"/>
  <c r="B708" i="10"/>
  <c r="C708" i="10"/>
  <c r="D708" i="10"/>
  <c r="E708" i="10"/>
  <c r="F708" i="10"/>
  <c r="G708" i="10"/>
  <c r="H708" i="10"/>
  <c r="A709" i="10"/>
  <c r="B709" i="10"/>
  <c r="C709" i="10"/>
  <c r="D709" i="10"/>
  <c r="E709" i="10"/>
  <c r="F709" i="10"/>
  <c r="G709" i="10"/>
  <c r="H709" i="10"/>
  <c r="A710" i="10"/>
  <c r="B710" i="10"/>
  <c r="C710" i="10"/>
  <c r="D710" i="10"/>
  <c r="E710" i="10"/>
  <c r="F710" i="10"/>
  <c r="G710" i="10"/>
  <c r="H710" i="10"/>
  <c r="A711" i="10"/>
  <c r="B711" i="10"/>
  <c r="C711" i="10"/>
  <c r="D711" i="10"/>
  <c r="E711" i="10"/>
  <c r="F711" i="10"/>
  <c r="G711" i="10"/>
  <c r="H711" i="10"/>
  <c r="A712" i="10"/>
  <c r="B712" i="10"/>
  <c r="C712" i="10"/>
  <c r="D712" i="10"/>
  <c r="E712" i="10"/>
  <c r="F712" i="10"/>
  <c r="G712" i="10"/>
  <c r="H712" i="10"/>
  <c r="A713" i="10"/>
  <c r="B713" i="10"/>
  <c r="C713" i="10"/>
  <c r="D713" i="10"/>
  <c r="E713" i="10"/>
  <c r="F713" i="10"/>
  <c r="G713" i="10"/>
  <c r="H713" i="10"/>
  <c r="A714" i="10"/>
  <c r="B714" i="10"/>
  <c r="C714" i="10"/>
  <c r="D714" i="10"/>
  <c r="E714" i="10"/>
  <c r="F714" i="10"/>
  <c r="G714" i="10"/>
  <c r="H714" i="10"/>
  <c r="A715" i="10"/>
  <c r="B715" i="10"/>
  <c r="C715" i="10"/>
  <c r="D715" i="10"/>
  <c r="E715" i="10"/>
  <c r="F715" i="10"/>
  <c r="G715" i="10"/>
  <c r="H715" i="10"/>
  <c r="A716" i="10"/>
  <c r="B716" i="10"/>
  <c r="C716" i="10"/>
  <c r="D716" i="10"/>
  <c r="E716" i="10"/>
  <c r="F716" i="10"/>
  <c r="G716" i="10"/>
  <c r="H716" i="10"/>
  <c r="A717" i="10"/>
  <c r="B717" i="10"/>
  <c r="C717" i="10"/>
  <c r="D717" i="10"/>
  <c r="E717" i="10"/>
  <c r="F717" i="10"/>
  <c r="G717" i="10"/>
  <c r="H717" i="10"/>
  <c r="A718" i="10"/>
  <c r="B718" i="10"/>
  <c r="C718" i="10"/>
  <c r="D718" i="10"/>
  <c r="E718" i="10"/>
  <c r="F718" i="10"/>
  <c r="G718" i="10"/>
  <c r="H718" i="10"/>
  <c r="A719" i="10"/>
  <c r="B719" i="10"/>
  <c r="C719" i="10"/>
  <c r="D719" i="10"/>
  <c r="E719" i="10"/>
  <c r="F719" i="10"/>
  <c r="G719" i="10"/>
  <c r="H719" i="10"/>
  <c r="A720" i="10"/>
  <c r="B720" i="10"/>
  <c r="C720" i="10"/>
  <c r="D720" i="10"/>
  <c r="E720" i="10"/>
  <c r="F720" i="10"/>
  <c r="G720" i="10"/>
  <c r="H720" i="10"/>
  <c r="A721" i="10"/>
  <c r="B721" i="10"/>
  <c r="C721" i="10"/>
  <c r="D721" i="10"/>
  <c r="E721" i="10"/>
  <c r="F721" i="10"/>
  <c r="G721" i="10"/>
  <c r="H721" i="10"/>
  <c r="A722" i="10"/>
  <c r="B722" i="10"/>
  <c r="C722" i="10"/>
  <c r="D722" i="10"/>
  <c r="E722" i="10"/>
  <c r="F722" i="10"/>
  <c r="G722" i="10"/>
  <c r="H722" i="10"/>
  <c r="A723" i="10"/>
  <c r="B723" i="10"/>
  <c r="C723" i="10"/>
  <c r="D723" i="10"/>
  <c r="E723" i="10"/>
  <c r="F723" i="10"/>
  <c r="G723" i="10"/>
  <c r="H723" i="10"/>
  <c r="A724" i="10"/>
  <c r="B724" i="10"/>
  <c r="C724" i="10"/>
  <c r="D724" i="10"/>
  <c r="E724" i="10"/>
  <c r="F724" i="10"/>
  <c r="G724" i="10"/>
  <c r="H724" i="10"/>
  <c r="A725" i="10"/>
  <c r="B725" i="10"/>
  <c r="C725" i="10"/>
  <c r="D725" i="10"/>
  <c r="E725" i="10"/>
  <c r="F725" i="10"/>
  <c r="G725" i="10"/>
  <c r="H725" i="10"/>
  <c r="A726" i="10"/>
  <c r="B726" i="10"/>
  <c r="C726" i="10"/>
  <c r="D726" i="10"/>
  <c r="E726" i="10"/>
  <c r="F726" i="10"/>
  <c r="G726" i="10"/>
  <c r="H726" i="10"/>
  <c r="A727" i="10"/>
  <c r="B727" i="10"/>
  <c r="C727" i="10"/>
  <c r="D727" i="10"/>
  <c r="E727" i="10"/>
  <c r="F727" i="10"/>
  <c r="G727" i="10"/>
  <c r="H727" i="10"/>
  <c r="A728" i="10"/>
  <c r="B728" i="10"/>
  <c r="C728" i="10"/>
  <c r="D728" i="10"/>
  <c r="E728" i="10"/>
  <c r="F728" i="10"/>
  <c r="G728" i="10"/>
  <c r="H728" i="10"/>
  <c r="A729" i="10"/>
  <c r="B729" i="10"/>
  <c r="C729" i="10"/>
  <c r="D729" i="10"/>
  <c r="E729" i="10"/>
  <c r="F729" i="10"/>
  <c r="G729" i="10"/>
  <c r="H729" i="10"/>
  <c r="A730" i="10"/>
  <c r="B730" i="10"/>
  <c r="C730" i="10"/>
  <c r="D730" i="10"/>
  <c r="E730" i="10"/>
  <c r="F730" i="10"/>
  <c r="G730" i="10"/>
  <c r="H730" i="10"/>
  <c r="A731" i="10"/>
  <c r="B731" i="10"/>
  <c r="C731" i="10"/>
  <c r="D731" i="10"/>
  <c r="E731" i="10"/>
  <c r="F731" i="10"/>
  <c r="G731" i="10"/>
  <c r="H731" i="10"/>
  <c r="A732" i="10"/>
  <c r="B732" i="10"/>
  <c r="C732" i="10"/>
  <c r="D732" i="10"/>
  <c r="E732" i="10"/>
  <c r="F732" i="10"/>
  <c r="G732" i="10"/>
  <c r="H732" i="10"/>
  <c r="A733" i="10"/>
  <c r="B733" i="10"/>
  <c r="C733" i="10"/>
  <c r="D733" i="10"/>
  <c r="E733" i="10"/>
  <c r="F733" i="10"/>
  <c r="G733" i="10"/>
  <c r="H733" i="10"/>
  <c r="A734" i="10"/>
  <c r="B734" i="10"/>
  <c r="C734" i="10"/>
  <c r="D734" i="10"/>
  <c r="E734" i="10"/>
  <c r="F734" i="10"/>
  <c r="G734" i="10"/>
  <c r="H734" i="10"/>
  <c r="A735" i="10"/>
  <c r="B735" i="10"/>
  <c r="C735" i="10"/>
  <c r="D735" i="10"/>
  <c r="E735" i="10"/>
  <c r="F735" i="10"/>
  <c r="G735" i="10"/>
  <c r="H735" i="10"/>
  <c r="A736" i="10"/>
  <c r="B736" i="10"/>
  <c r="C736" i="10"/>
  <c r="D736" i="10"/>
  <c r="E736" i="10"/>
  <c r="F736" i="10"/>
  <c r="G736" i="10"/>
  <c r="H736" i="10"/>
  <c r="A737" i="10"/>
  <c r="B737" i="10"/>
  <c r="C737" i="10"/>
  <c r="D737" i="10"/>
  <c r="E737" i="10"/>
  <c r="F737" i="10"/>
  <c r="G737" i="10"/>
  <c r="H737" i="10"/>
  <c r="A738" i="10"/>
  <c r="B738" i="10"/>
  <c r="C738" i="10"/>
  <c r="D738" i="10"/>
  <c r="E738" i="10"/>
  <c r="F738" i="10"/>
  <c r="G738" i="10"/>
  <c r="H738" i="10"/>
  <c r="A739" i="10"/>
  <c r="B739" i="10"/>
  <c r="C739" i="10"/>
  <c r="D739" i="10"/>
  <c r="E739" i="10"/>
  <c r="F739" i="10"/>
  <c r="G739" i="10"/>
  <c r="H739" i="10"/>
  <c r="A740" i="10"/>
  <c r="B740" i="10"/>
  <c r="C740" i="10"/>
  <c r="D740" i="10"/>
  <c r="E740" i="10"/>
  <c r="F740" i="10"/>
  <c r="G740" i="10"/>
  <c r="H740" i="10"/>
  <c r="A741" i="10"/>
  <c r="B741" i="10"/>
  <c r="C741" i="10"/>
  <c r="D741" i="10"/>
  <c r="E741" i="10"/>
  <c r="F741" i="10"/>
  <c r="G741" i="10"/>
  <c r="H741" i="10"/>
  <c r="A742" i="10"/>
  <c r="B742" i="10"/>
  <c r="C742" i="10"/>
  <c r="D742" i="10"/>
  <c r="E742" i="10"/>
  <c r="F742" i="10"/>
  <c r="G742" i="10"/>
  <c r="H742" i="10"/>
  <c r="A743" i="10"/>
  <c r="B743" i="10"/>
  <c r="C743" i="10"/>
  <c r="D743" i="10"/>
  <c r="E743" i="10"/>
  <c r="F743" i="10"/>
  <c r="G743" i="10"/>
  <c r="H743" i="10"/>
  <c r="A744" i="10"/>
  <c r="B744" i="10"/>
  <c r="C744" i="10"/>
  <c r="D744" i="10"/>
  <c r="E744" i="10"/>
  <c r="F744" i="10"/>
  <c r="G744" i="10"/>
  <c r="H744" i="10"/>
  <c r="A745" i="10"/>
  <c r="B745" i="10"/>
  <c r="C745" i="10"/>
  <c r="D745" i="10"/>
  <c r="E745" i="10"/>
  <c r="F745" i="10"/>
  <c r="G745" i="10"/>
  <c r="H745" i="10"/>
  <c r="A746" i="10"/>
  <c r="B746" i="10"/>
  <c r="C746" i="10"/>
  <c r="D746" i="10"/>
  <c r="E746" i="10"/>
  <c r="F746" i="10"/>
  <c r="G746" i="10"/>
  <c r="H746" i="10"/>
  <c r="A747" i="10"/>
  <c r="B747" i="10"/>
  <c r="C747" i="10"/>
  <c r="D747" i="10"/>
  <c r="E747" i="10"/>
  <c r="F747" i="10"/>
  <c r="G747" i="10"/>
  <c r="H747" i="10"/>
  <c r="A748" i="10"/>
  <c r="B748" i="10"/>
  <c r="C748" i="10"/>
  <c r="D748" i="10"/>
  <c r="E748" i="10"/>
  <c r="F748" i="10"/>
  <c r="G748" i="10"/>
  <c r="H748" i="10"/>
  <c r="A749" i="10"/>
  <c r="B749" i="10"/>
  <c r="C749" i="10"/>
  <c r="D749" i="10"/>
  <c r="E749" i="10"/>
  <c r="F749" i="10"/>
  <c r="G749" i="10"/>
  <c r="H749" i="10"/>
  <c r="A750" i="10"/>
  <c r="B750" i="10"/>
  <c r="C750" i="10"/>
  <c r="D750" i="10"/>
  <c r="E750" i="10"/>
  <c r="F750" i="10"/>
  <c r="G750" i="10"/>
  <c r="H750" i="10"/>
  <c r="A751" i="10"/>
  <c r="B751" i="10"/>
  <c r="C751" i="10"/>
  <c r="D751" i="10"/>
  <c r="E751" i="10"/>
  <c r="F751" i="10"/>
  <c r="G751" i="10"/>
  <c r="H751" i="10"/>
  <c r="A752" i="10"/>
  <c r="B752" i="10"/>
  <c r="C752" i="10"/>
  <c r="D752" i="10"/>
  <c r="E752" i="10"/>
  <c r="F752" i="10"/>
  <c r="G752" i="10"/>
  <c r="H752" i="10"/>
  <c r="A753" i="10"/>
  <c r="B753" i="10"/>
  <c r="C753" i="10"/>
  <c r="D753" i="10"/>
  <c r="E753" i="10"/>
  <c r="F753" i="10"/>
  <c r="G753" i="10"/>
  <c r="H753" i="10"/>
  <c r="A754" i="10"/>
  <c r="B754" i="10"/>
  <c r="C754" i="10"/>
  <c r="D754" i="10"/>
  <c r="E754" i="10"/>
  <c r="F754" i="10"/>
  <c r="G754" i="10"/>
  <c r="H754" i="10"/>
  <c r="A755" i="10"/>
  <c r="B755" i="10"/>
  <c r="C755" i="10"/>
  <c r="D755" i="10"/>
  <c r="E755" i="10"/>
  <c r="F755" i="10"/>
  <c r="G755" i="10"/>
  <c r="H755" i="10"/>
  <c r="A756" i="10"/>
  <c r="B756" i="10"/>
  <c r="C756" i="10"/>
  <c r="D756" i="10"/>
  <c r="E756" i="10"/>
  <c r="F756" i="10"/>
  <c r="G756" i="10"/>
  <c r="H756" i="10"/>
  <c r="A757" i="10"/>
  <c r="B757" i="10"/>
  <c r="C757" i="10"/>
  <c r="D757" i="10"/>
  <c r="E757" i="10"/>
  <c r="F757" i="10"/>
  <c r="G757" i="10"/>
  <c r="H757" i="10"/>
  <c r="A758" i="10"/>
  <c r="B758" i="10"/>
  <c r="C758" i="10"/>
  <c r="D758" i="10"/>
  <c r="E758" i="10"/>
  <c r="F758" i="10"/>
  <c r="G758" i="10"/>
  <c r="H758" i="10"/>
  <c r="A759" i="10"/>
  <c r="B759" i="10"/>
  <c r="C759" i="10"/>
  <c r="D759" i="10"/>
  <c r="E759" i="10"/>
  <c r="F759" i="10"/>
  <c r="G759" i="10"/>
  <c r="H759" i="10"/>
  <c r="A760" i="10"/>
  <c r="B760" i="10"/>
  <c r="C760" i="10"/>
  <c r="D760" i="10"/>
  <c r="E760" i="10"/>
  <c r="F760" i="10"/>
  <c r="G760" i="10"/>
  <c r="H760" i="10"/>
  <c r="A761" i="10"/>
  <c r="B761" i="10"/>
  <c r="C761" i="10"/>
  <c r="D761" i="10"/>
  <c r="E761" i="10"/>
  <c r="F761" i="10"/>
  <c r="G761" i="10"/>
  <c r="H761" i="10"/>
  <c r="A762" i="10"/>
  <c r="B762" i="10"/>
  <c r="C762" i="10"/>
  <c r="D762" i="10"/>
  <c r="E762" i="10"/>
  <c r="F762" i="10"/>
  <c r="G762" i="10"/>
  <c r="H762" i="10"/>
  <c r="A763" i="10"/>
  <c r="B763" i="10"/>
  <c r="C763" i="10"/>
  <c r="D763" i="10"/>
  <c r="E763" i="10"/>
  <c r="F763" i="10"/>
  <c r="G763" i="10"/>
  <c r="H763" i="10"/>
  <c r="A764" i="10"/>
  <c r="B764" i="10"/>
  <c r="C764" i="10"/>
  <c r="D764" i="10"/>
  <c r="E764" i="10"/>
  <c r="F764" i="10"/>
  <c r="G764" i="10"/>
  <c r="H764" i="10"/>
  <c r="A765" i="10"/>
  <c r="B765" i="10"/>
  <c r="C765" i="10"/>
  <c r="D765" i="10"/>
  <c r="E765" i="10"/>
  <c r="F765" i="10"/>
  <c r="G765" i="10"/>
  <c r="H765" i="10"/>
  <c r="A766" i="10"/>
  <c r="B766" i="10"/>
  <c r="C766" i="10"/>
  <c r="D766" i="10"/>
  <c r="E766" i="10"/>
  <c r="F766" i="10"/>
  <c r="G766" i="10"/>
  <c r="H766" i="10"/>
  <c r="A767" i="10"/>
  <c r="B767" i="10"/>
  <c r="C767" i="10"/>
  <c r="D767" i="10"/>
  <c r="E767" i="10"/>
  <c r="F767" i="10"/>
  <c r="G767" i="10"/>
  <c r="H767" i="10"/>
  <c r="A768" i="10"/>
  <c r="B768" i="10"/>
  <c r="C768" i="10"/>
  <c r="D768" i="10"/>
  <c r="E768" i="10"/>
  <c r="F768" i="10"/>
  <c r="G768" i="10"/>
  <c r="H768" i="10"/>
  <c r="A769" i="10"/>
  <c r="B769" i="10"/>
  <c r="C769" i="10"/>
  <c r="D769" i="10"/>
  <c r="E769" i="10"/>
  <c r="F769" i="10"/>
  <c r="G769" i="10"/>
  <c r="H769" i="10"/>
  <c r="A770" i="10"/>
  <c r="B770" i="10"/>
  <c r="C770" i="10"/>
  <c r="D770" i="10"/>
  <c r="E770" i="10"/>
  <c r="F770" i="10"/>
  <c r="G770" i="10"/>
  <c r="H770" i="10"/>
  <c r="A771" i="10"/>
  <c r="B771" i="10"/>
  <c r="C771" i="10"/>
  <c r="D771" i="10"/>
  <c r="E771" i="10"/>
  <c r="F771" i="10"/>
  <c r="G771" i="10"/>
  <c r="H771" i="10"/>
  <c r="A772" i="10"/>
  <c r="B772" i="10"/>
  <c r="C772" i="10"/>
  <c r="D772" i="10"/>
  <c r="E772" i="10"/>
  <c r="F772" i="10"/>
  <c r="G772" i="10"/>
  <c r="H772" i="10"/>
  <c r="A773" i="10"/>
  <c r="B773" i="10"/>
  <c r="C773" i="10"/>
  <c r="D773" i="10"/>
  <c r="E773" i="10"/>
  <c r="F773" i="10"/>
  <c r="G773" i="10"/>
  <c r="H773" i="10"/>
  <c r="A774" i="10"/>
  <c r="B774" i="10"/>
  <c r="C774" i="10"/>
  <c r="D774" i="10"/>
  <c r="E774" i="10"/>
  <c r="F774" i="10"/>
  <c r="G774" i="10"/>
  <c r="H774" i="10"/>
  <c r="A775" i="10"/>
  <c r="B775" i="10"/>
  <c r="C775" i="10"/>
  <c r="D775" i="10"/>
  <c r="E775" i="10"/>
  <c r="F775" i="10"/>
  <c r="G775" i="10"/>
  <c r="H775" i="10"/>
  <c r="A776" i="10"/>
  <c r="B776" i="10"/>
  <c r="C776" i="10"/>
  <c r="D776" i="10"/>
  <c r="E776" i="10"/>
  <c r="F776" i="10"/>
  <c r="G776" i="10"/>
  <c r="H776" i="10"/>
  <c r="A777" i="10"/>
  <c r="B777" i="10"/>
  <c r="C777" i="10"/>
  <c r="D777" i="10"/>
  <c r="E777" i="10"/>
  <c r="F777" i="10"/>
  <c r="G777" i="10"/>
  <c r="H777" i="10"/>
  <c r="A778" i="10"/>
  <c r="B778" i="10"/>
  <c r="C778" i="10"/>
  <c r="D778" i="10"/>
  <c r="E778" i="10"/>
  <c r="F778" i="10"/>
  <c r="G778" i="10"/>
  <c r="H778" i="10"/>
  <c r="A779" i="10"/>
  <c r="B779" i="10"/>
  <c r="C779" i="10"/>
  <c r="D779" i="10"/>
  <c r="E779" i="10"/>
  <c r="F779" i="10"/>
  <c r="G779" i="10"/>
  <c r="H779" i="10"/>
  <c r="A780" i="10"/>
  <c r="B780" i="10"/>
  <c r="C780" i="10"/>
  <c r="D780" i="10"/>
  <c r="E780" i="10"/>
  <c r="F780" i="10"/>
  <c r="G780" i="10"/>
  <c r="H780" i="10"/>
  <c r="A781" i="10"/>
  <c r="B781" i="10"/>
  <c r="C781" i="10"/>
  <c r="D781" i="10"/>
  <c r="E781" i="10"/>
  <c r="F781" i="10"/>
  <c r="G781" i="10"/>
  <c r="H781" i="10"/>
  <c r="A782" i="10"/>
  <c r="B782" i="10"/>
  <c r="C782" i="10"/>
  <c r="D782" i="10"/>
  <c r="E782" i="10"/>
  <c r="F782" i="10"/>
  <c r="G782" i="10"/>
  <c r="H782" i="10"/>
  <c r="A783" i="10"/>
  <c r="B783" i="10"/>
  <c r="C783" i="10"/>
  <c r="D783" i="10"/>
  <c r="E783" i="10"/>
  <c r="F783" i="10"/>
  <c r="G783" i="10"/>
  <c r="H783" i="10"/>
  <c r="A784" i="10"/>
  <c r="B784" i="10"/>
  <c r="C784" i="10"/>
  <c r="D784" i="10"/>
  <c r="E784" i="10"/>
  <c r="F784" i="10"/>
  <c r="G784" i="10"/>
  <c r="H784" i="10"/>
  <c r="A785" i="10"/>
  <c r="B785" i="10"/>
  <c r="C785" i="10"/>
  <c r="D785" i="10"/>
  <c r="E785" i="10"/>
  <c r="F785" i="10"/>
  <c r="G785" i="10"/>
  <c r="H785" i="10"/>
  <c r="A786" i="10"/>
  <c r="B786" i="10"/>
  <c r="C786" i="10"/>
  <c r="D786" i="10"/>
  <c r="E786" i="10"/>
  <c r="F786" i="10"/>
  <c r="G786" i="10"/>
  <c r="H786" i="10"/>
  <c r="A787" i="10"/>
  <c r="B787" i="10"/>
  <c r="C787" i="10"/>
  <c r="D787" i="10"/>
  <c r="E787" i="10"/>
  <c r="F787" i="10"/>
  <c r="G787" i="10"/>
  <c r="H787" i="10"/>
  <c r="A788" i="10"/>
  <c r="B788" i="10"/>
  <c r="C788" i="10"/>
  <c r="D788" i="10"/>
  <c r="E788" i="10"/>
  <c r="F788" i="10"/>
  <c r="G788" i="10"/>
  <c r="H788" i="10"/>
  <c r="A789" i="10"/>
  <c r="B789" i="10"/>
  <c r="C789" i="10"/>
  <c r="D789" i="10"/>
  <c r="E789" i="10"/>
  <c r="F789" i="10"/>
  <c r="G789" i="10"/>
  <c r="H789" i="10"/>
  <c r="A790" i="10"/>
  <c r="B790" i="10"/>
  <c r="C790" i="10"/>
  <c r="D790" i="10"/>
  <c r="E790" i="10"/>
  <c r="F790" i="10"/>
  <c r="G790" i="10"/>
  <c r="H790" i="10"/>
  <c r="A791" i="10"/>
  <c r="B791" i="10"/>
  <c r="C791" i="10"/>
  <c r="D791" i="10"/>
  <c r="E791" i="10"/>
  <c r="F791" i="10"/>
  <c r="G791" i="10"/>
  <c r="H791" i="10"/>
  <c r="A792" i="10"/>
  <c r="B792" i="10"/>
  <c r="C792" i="10"/>
  <c r="D792" i="10"/>
  <c r="E792" i="10"/>
  <c r="F792" i="10"/>
  <c r="G792" i="10"/>
  <c r="H792" i="10"/>
  <c r="A793" i="10"/>
  <c r="B793" i="10"/>
  <c r="C793" i="10"/>
  <c r="D793" i="10"/>
  <c r="E793" i="10"/>
  <c r="F793" i="10"/>
  <c r="G793" i="10"/>
  <c r="H793" i="10"/>
  <c r="A794" i="10"/>
  <c r="B794" i="10"/>
  <c r="C794" i="10"/>
  <c r="D794" i="10"/>
  <c r="E794" i="10"/>
  <c r="F794" i="10"/>
  <c r="G794" i="10"/>
  <c r="H794" i="10"/>
  <c r="A795" i="10"/>
  <c r="B795" i="10"/>
  <c r="C795" i="10"/>
  <c r="D795" i="10"/>
  <c r="E795" i="10"/>
  <c r="F795" i="10"/>
  <c r="G795" i="10"/>
  <c r="H795" i="10"/>
  <c r="A796" i="10"/>
  <c r="B796" i="10"/>
  <c r="C796" i="10"/>
  <c r="D796" i="10"/>
  <c r="E796" i="10"/>
  <c r="F796" i="10"/>
  <c r="G796" i="10"/>
  <c r="H796" i="10"/>
  <c r="A797" i="10"/>
  <c r="B797" i="10"/>
  <c r="C797" i="10"/>
  <c r="D797" i="10"/>
  <c r="E797" i="10"/>
  <c r="F797" i="10"/>
  <c r="G797" i="10"/>
  <c r="H797" i="10"/>
  <c r="A798" i="10"/>
  <c r="B798" i="10"/>
  <c r="C798" i="10"/>
  <c r="D798" i="10"/>
  <c r="E798" i="10"/>
  <c r="F798" i="10"/>
  <c r="G798" i="10"/>
  <c r="H798" i="10"/>
  <c r="A799" i="10"/>
  <c r="B799" i="10"/>
  <c r="C799" i="10"/>
  <c r="D799" i="10"/>
  <c r="E799" i="10"/>
  <c r="F799" i="10"/>
  <c r="G799" i="10"/>
  <c r="H799" i="10"/>
  <c r="A800" i="10"/>
  <c r="B800" i="10"/>
  <c r="C800" i="10"/>
  <c r="D800" i="10"/>
  <c r="E800" i="10"/>
  <c r="F800" i="10"/>
  <c r="G800" i="10"/>
  <c r="H800" i="10"/>
  <c r="A801" i="10"/>
  <c r="B801" i="10"/>
  <c r="C801" i="10"/>
  <c r="D801" i="10"/>
  <c r="E801" i="10"/>
  <c r="F801" i="10"/>
  <c r="G801" i="10"/>
  <c r="H801" i="10"/>
  <c r="A802" i="10"/>
  <c r="B802" i="10"/>
  <c r="C802" i="10"/>
  <c r="D802" i="10"/>
  <c r="E802" i="10"/>
  <c r="F802" i="10"/>
  <c r="G802" i="10"/>
  <c r="H802" i="10"/>
  <c r="A803" i="10"/>
  <c r="B803" i="10"/>
  <c r="C803" i="10"/>
  <c r="D803" i="10"/>
  <c r="E803" i="10"/>
  <c r="F803" i="10"/>
  <c r="G803" i="10"/>
  <c r="H803" i="10"/>
  <c r="A804" i="10"/>
  <c r="B804" i="10"/>
  <c r="C804" i="10"/>
  <c r="D804" i="10"/>
  <c r="E804" i="10"/>
  <c r="F804" i="10"/>
  <c r="G804" i="10"/>
  <c r="H804" i="10"/>
  <c r="A805" i="10"/>
  <c r="B805" i="10"/>
  <c r="C805" i="10"/>
  <c r="D805" i="10"/>
  <c r="E805" i="10"/>
  <c r="F805" i="10"/>
  <c r="G805" i="10"/>
  <c r="H805" i="10"/>
  <c r="A806" i="10"/>
  <c r="B806" i="10"/>
  <c r="C806" i="10"/>
  <c r="D806" i="10"/>
  <c r="E806" i="10"/>
  <c r="F806" i="10"/>
  <c r="G806" i="10"/>
  <c r="H806" i="10"/>
  <c r="A807" i="10"/>
  <c r="B807" i="10"/>
  <c r="C807" i="10"/>
  <c r="D807" i="10"/>
  <c r="E807" i="10"/>
  <c r="F807" i="10"/>
  <c r="G807" i="10"/>
  <c r="H807" i="10"/>
  <c r="A808" i="10"/>
  <c r="B808" i="10"/>
  <c r="C808" i="10"/>
  <c r="D808" i="10"/>
  <c r="E808" i="10"/>
  <c r="F808" i="10"/>
  <c r="G808" i="10"/>
  <c r="H808" i="10"/>
  <c r="A809" i="10"/>
  <c r="B809" i="10"/>
  <c r="C809" i="10"/>
  <c r="D809" i="10"/>
  <c r="E809" i="10"/>
  <c r="F809" i="10"/>
  <c r="G809" i="10"/>
  <c r="H809" i="10"/>
  <c r="A810" i="10"/>
  <c r="B810" i="10"/>
  <c r="C810" i="10"/>
  <c r="D810" i="10"/>
  <c r="E810" i="10"/>
  <c r="F810" i="10"/>
  <c r="G810" i="10"/>
  <c r="H810" i="10"/>
  <c r="A811" i="10"/>
  <c r="B811" i="10"/>
  <c r="C811" i="10"/>
  <c r="D811" i="10"/>
  <c r="E811" i="10"/>
  <c r="F811" i="10"/>
  <c r="G811" i="10"/>
  <c r="H811" i="10"/>
  <c r="A812" i="10"/>
  <c r="B812" i="10"/>
  <c r="C812" i="10"/>
  <c r="D812" i="10"/>
  <c r="E812" i="10"/>
  <c r="F812" i="10"/>
  <c r="G812" i="10"/>
  <c r="H812" i="10"/>
  <c r="A813" i="10"/>
  <c r="B813" i="10"/>
  <c r="C813" i="10"/>
  <c r="D813" i="10"/>
  <c r="E813" i="10"/>
  <c r="F813" i="10"/>
  <c r="G813" i="10"/>
  <c r="H813" i="10"/>
  <c r="A814" i="10"/>
  <c r="B814" i="10"/>
  <c r="C814" i="10"/>
  <c r="D814" i="10"/>
  <c r="E814" i="10"/>
  <c r="F814" i="10"/>
  <c r="G814" i="10"/>
  <c r="H814" i="10"/>
  <c r="A815" i="10"/>
  <c r="B815" i="10"/>
  <c r="C815" i="10"/>
  <c r="D815" i="10"/>
  <c r="E815" i="10"/>
  <c r="F815" i="10"/>
  <c r="G815" i="10"/>
  <c r="H815" i="10"/>
  <c r="A816" i="10"/>
  <c r="B816" i="10"/>
  <c r="C816" i="10"/>
  <c r="D816" i="10"/>
  <c r="E816" i="10"/>
  <c r="F816" i="10"/>
  <c r="G816" i="10"/>
  <c r="H816" i="10"/>
  <c r="A817" i="10"/>
  <c r="B817" i="10"/>
  <c r="C817" i="10"/>
  <c r="D817" i="10"/>
  <c r="E817" i="10"/>
  <c r="F817" i="10"/>
  <c r="G817" i="10"/>
  <c r="H817" i="10"/>
  <c r="A818" i="10"/>
  <c r="B818" i="10"/>
  <c r="C818" i="10"/>
  <c r="D818" i="10"/>
  <c r="E818" i="10"/>
  <c r="F818" i="10"/>
  <c r="G818" i="10"/>
  <c r="H818" i="10"/>
  <c r="A819" i="10"/>
  <c r="B819" i="10"/>
  <c r="C819" i="10"/>
  <c r="D819" i="10"/>
  <c r="E819" i="10"/>
  <c r="F819" i="10"/>
  <c r="G819" i="10"/>
  <c r="H819" i="10"/>
  <c r="A820" i="10"/>
  <c r="B820" i="10"/>
  <c r="C820" i="10"/>
  <c r="D820" i="10"/>
  <c r="E820" i="10"/>
  <c r="F820" i="10"/>
  <c r="G820" i="10"/>
  <c r="H820" i="10"/>
  <c r="A821" i="10"/>
  <c r="B821" i="10"/>
  <c r="C821" i="10"/>
  <c r="D821" i="10"/>
  <c r="E821" i="10"/>
  <c r="F821" i="10"/>
  <c r="G821" i="10"/>
  <c r="H821" i="10"/>
  <c r="A822" i="10"/>
  <c r="B822" i="10"/>
  <c r="C822" i="10"/>
  <c r="D822" i="10"/>
  <c r="E822" i="10"/>
  <c r="F822" i="10"/>
  <c r="G822" i="10"/>
  <c r="H822" i="10"/>
  <c r="A823" i="10"/>
  <c r="B823" i="10"/>
  <c r="C823" i="10"/>
  <c r="D823" i="10"/>
  <c r="E823" i="10"/>
  <c r="F823" i="10"/>
  <c r="G823" i="10"/>
  <c r="H823" i="10"/>
  <c r="A824" i="10"/>
  <c r="B824" i="10"/>
  <c r="C824" i="10"/>
  <c r="D824" i="10"/>
  <c r="E824" i="10"/>
  <c r="F824" i="10"/>
  <c r="G824" i="10"/>
  <c r="H824" i="10"/>
  <c r="A825" i="10"/>
  <c r="B825" i="10"/>
  <c r="C825" i="10"/>
  <c r="D825" i="10"/>
  <c r="E825" i="10"/>
  <c r="F825" i="10"/>
  <c r="G825" i="10"/>
  <c r="H825" i="10"/>
  <c r="A826" i="10"/>
  <c r="B826" i="10"/>
  <c r="C826" i="10"/>
  <c r="D826" i="10"/>
  <c r="E826" i="10"/>
  <c r="F826" i="10"/>
  <c r="G826" i="10"/>
  <c r="H826" i="10"/>
  <c r="A827" i="10"/>
  <c r="B827" i="10"/>
  <c r="C827" i="10"/>
  <c r="D827" i="10"/>
  <c r="E827" i="10"/>
  <c r="F827" i="10"/>
  <c r="G827" i="10"/>
  <c r="H827" i="10"/>
  <c r="A828" i="10"/>
  <c r="B828" i="10"/>
  <c r="C828" i="10"/>
  <c r="D828" i="10"/>
  <c r="E828" i="10"/>
  <c r="F828" i="10"/>
  <c r="G828" i="10"/>
  <c r="H828" i="10"/>
  <c r="A829" i="10"/>
  <c r="B829" i="10"/>
  <c r="C829" i="10"/>
  <c r="D829" i="10"/>
  <c r="E829" i="10"/>
  <c r="F829" i="10"/>
  <c r="G829" i="10"/>
  <c r="H829" i="10"/>
  <c r="A830" i="10"/>
  <c r="B830" i="10"/>
  <c r="C830" i="10"/>
  <c r="D830" i="10"/>
  <c r="E830" i="10"/>
  <c r="F830" i="10"/>
  <c r="G830" i="10"/>
  <c r="H830" i="10"/>
  <c r="A831" i="10"/>
  <c r="B831" i="10"/>
  <c r="C831" i="10"/>
  <c r="D831" i="10"/>
  <c r="E831" i="10"/>
  <c r="F831" i="10"/>
  <c r="G831" i="10"/>
  <c r="H831" i="10"/>
  <c r="A832" i="10"/>
  <c r="B832" i="10"/>
  <c r="C832" i="10"/>
  <c r="D832" i="10"/>
  <c r="E832" i="10"/>
  <c r="F832" i="10"/>
  <c r="G832" i="10"/>
  <c r="H832" i="10"/>
  <c r="A833" i="10"/>
  <c r="B833" i="10"/>
  <c r="C833" i="10"/>
  <c r="D833" i="10"/>
  <c r="E833" i="10"/>
  <c r="F833" i="10"/>
  <c r="G833" i="10"/>
  <c r="H833" i="10"/>
  <c r="A834" i="10"/>
  <c r="B834" i="10"/>
  <c r="C834" i="10"/>
  <c r="D834" i="10"/>
  <c r="E834" i="10"/>
  <c r="F834" i="10"/>
  <c r="G834" i="10"/>
  <c r="H834" i="10"/>
  <c r="A835" i="10"/>
  <c r="B835" i="10"/>
  <c r="C835" i="10"/>
  <c r="D835" i="10"/>
  <c r="E835" i="10"/>
  <c r="F835" i="10"/>
  <c r="G835" i="10"/>
  <c r="H835" i="10"/>
  <c r="A836" i="10"/>
  <c r="B836" i="10"/>
  <c r="C836" i="10"/>
  <c r="D836" i="10"/>
  <c r="E836" i="10"/>
  <c r="F836" i="10"/>
  <c r="G836" i="10"/>
  <c r="H836" i="10"/>
  <c r="A837" i="10"/>
  <c r="B837" i="10"/>
  <c r="C837" i="10"/>
  <c r="D837" i="10"/>
  <c r="E837" i="10"/>
  <c r="F837" i="10"/>
  <c r="G837" i="10"/>
  <c r="H837" i="10"/>
  <c r="A838" i="10"/>
  <c r="B838" i="10"/>
  <c r="C838" i="10"/>
  <c r="D838" i="10"/>
  <c r="E838" i="10"/>
  <c r="F838" i="10"/>
  <c r="G838" i="10"/>
  <c r="H838" i="10"/>
  <c r="A839" i="10"/>
  <c r="B839" i="10"/>
  <c r="C839" i="10"/>
  <c r="D839" i="10"/>
  <c r="E839" i="10"/>
  <c r="F839" i="10"/>
  <c r="G839" i="10"/>
  <c r="H839" i="10"/>
  <c r="A840" i="10"/>
  <c r="B840" i="10"/>
  <c r="C840" i="10"/>
  <c r="D840" i="10"/>
  <c r="E840" i="10"/>
  <c r="F840" i="10"/>
  <c r="G840" i="10"/>
  <c r="H840" i="10"/>
  <c r="A841" i="10"/>
  <c r="B841" i="10"/>
  <c r="C841" i="10"/>
  <c r="D841" i="10"/>
  <c r="E841" i="10"/>
  <c r="F841" i="10"/>
  <c r="G841" i="10"/>
  <c r="H841" i="10"/>
  <c r="A842" i="10"/>
  <c r="B842" i="10"/>
  <c r="C842" i="10"/>
  <c r="D842" i="10"/>
  <c r="E842" i="10"/>
  <c r="F842" i="10"/>
  <c r="G842" i="10"/>
  <c r="H842" i="10"/>
  <c r="A843" i="10"/>
  <c r="B843" i="10"/>
  <c r="C843" i="10"/>
  <c r="D843" i="10"/>
  <c r="E843" i="10"/>
  <c r="F843" i="10"/>
  <c r="G843" i="10"/>
  <c r="H843" i="10"/>
  <c r="A844" i="10"/>
  <c r="B844" i="10"/>
  <c r="C844" i="10"/>
  <c r="D844" i="10"/>
  <c r="E844" i="10"/>
  <c r="F844" i="10"/>
  <c r="G844" i="10"/>
  <c r="H844" i="10"/>
  <c r="A845" i="10"/>
  <c r="B845" i="10"/>
  <c r="C845" i="10"/>
  <c r="D845" i="10"/>
  <c r="E845" i="10"/>
  <c r="F845" i="10"/>
  <c r="G845" i="10"/>
  <c r="H845" i="10"/>
  <c r="A846" i="10"/>
  <c r="B846" i="10"/>
  <c r="C846" i="10"/>
  <c r="D846" i="10"/>
  <c r="E846" i="10"/>
  <c r="F846" i="10"/>
  <c r="G846" i="10"/>
  <c r="H846" i="10"/>
  <c r="A847" i="10"/>
  <c r="B847" i="10"/>
  <c r="C847" i="10"/>
  <c r="D847" i="10"/>
  <c r="E847" i="10"/>
  <c r="F847" i="10"/>
  <c r="G847" i="10"/>
  <c r="H847" i="10"/>
  <c r="A848" i="10"/>
  <c r="B848" i="10"/>
  <c r="C848" i="10"/>
  <c r="D848" i="10"/>
  <c r="E848" i="10"/>
  <c r="F848" i="10"/>
  <c r="G848" i="10"/>
  <c r="H848" i="10"/>
  <c r="A849" i="10"/>
  <c r="B849" i="10"/>
  <c r="C849" i="10"/>
  <c r="D849" i="10"/>
  <c r="E849" i="10"/>
  <c r="F849" i="10"/>
  <c r="G849" i="10"/>
  <c r="H849" i="10"/>
  <c r="A850" i="10"/>
  <c r="B850" i="10"/>
  <c r="C850" i="10"/>
  <c r="D850" i="10"/>
  <c r="E850" i="10"/>
  <c r="F850" i="10"/>
  <c r="G850" i="10"/>
  <c r="H850" i="10"/>
  <c r="A851" i="10"/>
  <c r="B851" i="10"/>
  <c r="C851" i="10"/>
  <c r="D851" i="10"/>
  <c r="E851" i="10"/>
  <c r="F851" i="10"/>
  <c r="G851" i="10"/>
  <c r="H851" i="10"/>
  <c r="A852" i="10"/>
  <c r="B852" i="10"/>
  <c r="C852" i="10"/>
  <c r="D852" i="10"/>
  <c r="E852" i="10"/>
  <c r="F852" i="10"/>
  <c r="G852" i="10"/>
  <c r="H852" i="10"/>
  <c r="A853" i="10"/>
  <c r="B853" i="10"/>
  <c r="C853" i="10"/>
  <c r="D853" i="10"/>
  <c r="E853" i="10"/>
  <c r="F853" i="10"/>
  <c r="G853" i="10"/>
  <c r="H853" i="10"/>
  <c r="A854" i="10"/>
  <c r="B854" i="10"/>
  <c r="C854" i="10"/>
  <c r="D854" i="10"/>
  <c r="E854" i="10"/>
  <c r="F854" i="10"/>
  <c r="G854" i="10"/>
  <c r="H854" i="10"/>
  <c r="A855" i="10"/>
  <c r="B855" i="10"/>
  <c r="C855" i="10"/>
  <c r="D855" i="10"/>
  <c r="E855" i="10"/>
  <c r="F855" i="10"/>
  <c r="G855" i="10"/>
  <c r="H855" i="10"/>
  <c r="A856" i="10"/>
  <c r="B856" i="10"/>
  <c r="C856" i="10"/>
  <c r="D856" i="10"/>
  <c r="E856" i="10"/>
  <c r="F856" i="10"/>
  <c r="G856" i="10"/>
  <c r="H856" i="10"/>
  <c r="A857" i="10"/>
  <c r="B857" i="10"/>
  <c r="C857" i="10"/>
  <c r="D857" i="10"/>
  <c r="E857" i="10"/>
  <c r="F857" i="10"/>
  <c r="G857" i="10"/>
  <c r="H857" i="10"/>
  <c r="A858" i="10"/>
  <c r="B858" i="10"/>
  <c r="C858" i="10"/>
  <c r="D858" i="10"/>
  <c r="E858" i="10"/>
  <c r="F858" i="10"/>
  <c r="G858" i="10"/>
  <c r="H858" i="10"/>
  <c r="A859" i="10"/>
  <c r="B859" i="10"/>
  <c r="C859" i="10"/>
  <c r="D859" i="10"/>
  <c r="E859" i="10"/>
  <c r="F859" i="10"/>
  <c r="G859" i="10"/>
  <c r="H859" i="10"/>
  <c r="A860" i="10"/>
  <c r="B860" i="10"/>
  <c r="C860" i="10"/>
  <c r="D860" i="10"/>
  <c r="E860" i="10"/>
  <c r="F860" i="10"/>
  <c r="G860" i="10"/>
  <c r="H860" i="10"/>
  <c r="A861" i="10"/>
  <c r="B861" i="10"/>
  <c r="C861" i="10"/>
  <c r="D861" i="10"/>
  <c r="E861" i="10"/>
  <c r="F861" i="10"/>
  <c r="G861" i="10"/>
  <c r="H861" i="10"/>
  <c r="A862" i="10"/>
  <c r="B862" i="10"/>
  <c r="C862" i="10"/>
  <c r="D862" i="10"/>
  <c r="E862" i="10"/>
  <c r="F862" i="10"/>
  <c r="G862" i="10"/>
  <c r="H862" i="10"/>
  <c r="A863" i="10"/>
  <c r="B863" i="10"/>
  <c r="C863" i="10"/>
  <c r="D863" i="10"/>
  <c r="E863" i="10"/>
  <c r="F863" i="10"/>
  <c r="G863" i="10"/>
  <c r="H863" i="10"/>
  <c r="A864" i="10"/>
  <c r="B864" i="10"/>
  <c r="C864" i="10"/>
  <c r="D864" i="10"/>
  <c r="E864" i="10"/>
  <c r="F864" i="10"/>
  <c r="G864" i="10"/>
  <c r="H864" i="10"/>
  <c r="A865" i="10"/>
  <c r="B865" i="10"/>
  <c r="C865" i="10"/>
  <c r="D865" i="10"/>
  <c r="E865" i="10"/>
  <c r="F865" i="10"/>
  <c r="G865" i="10"/>
  <c r="H865" i="10"/>
  <c r="A866" i="10"/>
  <c r="B866" i="10"/>
  <c r="C866" i="10"/>
  <c r="D866" i="10"/>
  <c r="E866" i="10"/>
  <c r="F866" i="10"/>
  <c r="G866" i="10"/>
  <c r="H866" i="10"/>
  <c r="A867" i="10"/>
  <c r="B867" i="10"/>
  <c r="C867" i="10"/>
  <c r="D867" i="10"/>
  <c r="E867" i="10"/>
  <c r="F867" i="10"/>
  <c r="G867" i="10"/>
  <c r="H867" i="10"/>
  <c r="A868" i="10"/>
  <c r="B868" i="10"/>
  <c r="C868" i="10"/>
  <c r="D868" i="10"/>
  <c r="E868" i="10"/>
  <c r="F868" i="10"/>
  <c r="G868" i="10"/>
  <c r="H868" i="10"/>
  <c r="A869" i="10"/>
  <c r="B869" i="10"/>
  <c r="C869" i="10"/>
  <c r="D869" i="10"/>
  <c r="E869" i="10"/>
  <c r="F869" i="10"/>
  <c r="G869" i="10"/>
  <c r="H869" i="10"/>
  <c r="A870" i="10"/>
  <c r="B870" i="10"/>
  <c r="C870" i="10"/>
  <c r="D870" i="10"/>
  <c r="E870" i="10"/>
  <c r="F870" i="10"/>
  <c r="G870" i="10"/>
  <c r="H870" i="10"/>
  <c r="A871" i="10"/>
  <c r="B871" i="10"/>
  <c r="C871" i="10"/>
  <c r="D871" i="10"/>
  <c r="E871" i="10"/>
  <c r="F871" i="10"/>
  <c r="G871" i="10"/>
  <c r="H871" i="10"/>
  <c r="A872" i="10"/>
  <c r="B872" i="10"/>
  <c r="C872" i="10"/>
  <c r="D872" i="10"/>
  <c r="E872" i="10"/>
  <c r="F872" i="10"/>
  <c r="G872" i="10"/>
  <c r="H872" i="10"/>
  <c r="A873" i="10"/>
  <c r="B873" i="10"/>
  <c r="C873" i="10"/>
  <c r="D873" i="10"/>
  <c r="E873" i="10"/>
  <c r="F873" i="10"/>
  <c r="G873" i="10"/>
  <c r="H873" i="10"/>
  <c r="A874" i="10"/>
  <c r="B874" i="10"/>
  <c r="C874" i="10"/>
  <c r="D874" i="10"/>
  <c r="E874" i="10"/>
  <c r="F874" i="10"/>
  <c r="G874" i="10"/>
  <c r="H874" i="10"/>
  <c r="A875" i="10"/>
  <c r="B875" i="10"/>
  <c r="C875" i="10"/>
  <c r="D875" i="10"/>
  <c r="E875" i="10"/>
  <c r="F875" i="10"/>
  <c r="G875" i="10"/>
  <c r="H875" i="10"/>
  <c r="A876" i="10"/>
  <c r="B876" i="10"/>
  <c r="C876" i="10"/>
  <c r="D876" i="10"/>
  <c r="E876" i="10"/>
  <c r="F876" i="10"/>
  <c r="G876" i="10"/>
  <c r="H876" i="10"/>
  <c r="A877" i="10"/>
  <c r="B877" i="10"/>
  <c r="C877" i="10"/>
  <c r="D877" i="10"/>
  <c r="E877" i="10"/>
  <c r="F877" i="10"/>
  <c r="G877" i="10"/>
  <c r="H877" i="10"/>
  <c r="A878" i="10"/>
  <c r="B878" i="10"/>
  <c r="C878" i="10"/>
  <c r="D878" i="10"/>
  <c r="E878" i="10"/>
  <c r="F878" i="10"/>
  <c r="G878" i="10"/>
  <c r="H878" i="10"/>
  <c r="A879" i="10"/>
  <c r="B879" i="10"/>
  <c r="C879" i="10"/>
  <c r="D879" i="10"/>
  <c r="E879" i="10"/>
  <c r="F879" i="10"/>
  <c r="G879" i="10"/>
  <c r="H879" i="10"/>
  <c r="A880" i="10"/>
  <c r="B880" i="10"/>
  <c r="C880" i="10"/>
  <c r="D880" i="10"/>
  <c r="E880" i="10"/>
  <c r="F880" i="10"/>
  <c r="G880" i="10"/>
  <c r="H880" i="10"/>
  <c r="A881" i="10"/>
  <c r="B881" i="10"/>
  <c r="C881" i="10"/>
  <c r="D881" i="10"/>
  <c r="E881" i="10"/>
  <c r="F881" i="10"/>
  <c r="G881" i="10"/>
  <c r="H881" i="10"/>
  <c r="A882" i="10"/>
  <c r="B882" i="10"/>
  <c r="C882" i="10"/>
  <c r="D882" i="10"/>
  <c r="E882" i="10"/>
  <c r="F882" i="10"/>
  <c r="G882" i="10"/>
  <c r="H882" i="10"/>
  <c r="A883" i="10"/>
  <c r="B883" i="10"/>
  <c r="C883" i="10"/>
  <c r="D883" i="10"/>
  <c r="E883" i="10"/>
  <c r="F883" i="10"/>
  <c r="G883" i="10"/>
  <c r="H883" i="10"/>
  <c r="A884" i="10"/>
  <c r="B884" i="10"/>
  <c r="C884" i="10"/>
  <c r="D884" i="10"/>
  <c r="E884" i="10"/>
  <c r="F884" i="10"/>
  <c r="G884" i="10"/>
  <c r="H884" i="10"/>
  <c r="A885" i="10"/>
  <c r="B885" i="10"/>
  <c r="C885" i="10"/>
  <c r="D885" i="10"/>
  <c r="E885" i="10"/>
  <c r="F885" i="10"/>
  <c r="G885" i="10"/>
  <c r="H885" i="10"/>
  <c r="A886" i="10"/>
  <c r="B886" i="10"/>
  <c r="C886" i="10"/>
  <c r="D886" i="10"/>
  <c r="E886" i="10"/>
  <c r="F886" i="10"/>
  <c r="G886" i="10"/>
  <c r="H886" i="10"/>
  <c r="A887" i="10"/>
  <c r="B887" i="10"/>
  <c r="C887" i="10"/>
  <c r="D887" i="10"/>
  <c r="E887" i="10"/>
  <c r="F887" i="10"/>
  <c r="G887" i="10"/>
  <c r="H887" i="10"/>
  <c r="A888" i="10"/>
  <c r="B888" i="10"/>
  <c r="C888" i="10"/>
  <c r="D888" i="10"/>
  <c r="E888" i="10"/>
  <c r="F888" i="10"/>
  <c r="G888" i="10"/>
  <c r="H888" i="10"/>
  <c r="A889" i="10"/>
  <c r="B889" i="10"/>
  <c r="C889" i="10"/>
  <c r="D889" i="10"/>
  <c r="E889" i="10"/>
  <c r="F889" i="10"/>
  <c r="G889" i="10"/>
  <c r="H889" i="10"/>
  <c r="A890" i="10"/>
  <c r="B890" i="10"/>
  <c r="C890" i="10"/>
  <c r="D890" i="10"/>
  <c r="E890" i="10"/>
  <c r="F890" i="10"/>
  <c r="G890" i="10"/>
  <c r="H890" i="10"/>
  <c r="A891" i="10"/>
  <c r="B891" i="10"/>
  <c r="C891" i="10"/>
  <c r="D891" i="10"/>
  <c r="E891" i="10"/>
  <c r="F891" i="10"/>
  <c r="G891" i="10"/>
  <c r="H891" i="10"/>
  <c r="A892" i="10"/>
  <c r="B892" i="10"/>
  <c r="C892" i="10"/>
  <c r="D892" i="10"/>
  <c r="E892" i="10"/>
  <c r="F892" i="10"/>
  <c r="G892" i="10"/>
  <c r="H892" i="10"/>
  <c r="A893" i="10"/>
  <c r="B893" i="10"/>
  <c r="C893" i="10"/>
  <c r="D893" i="10"/>
  <c r="E893" i="10"/>
  <c r="F893" i="10"/>
  <c r="G893" i="10"/>
  <c r="H893" i="10"/>
  <c r="A894" i="10"/>
  <c r="B894" i="10"/>
  <c r="C894" i="10"/>
  <c r="D894" i="10"/>
  <c r="E894" i="10"/>
  <c r="F894" i="10"/>
  <c r="G894" i="10"/>
  <c r="H894" i="10"/>
  <c r="A895" i="10"/>
  <c r="B895" i="10"/>
  <c r="C895" i="10"/>
  <c r="D895" i="10"/>
  <c r="E895" i="10"/>
  <c r="F895" i="10"/>
  <c r="G895" i="10"/>
  <c r="H895" i="10"/>
  <c r="A896" i="10"/>
  <c r="B896" i="10"/>
  <c r="C896" i="10"/>
  <c r="D896" i="10"/>
  <c r="E896" i="10"/>
  <c r="F896" i="10"/>
  <c r="G896" i="10"/>
  <c r="H896" i="10"/>
  <c r="A897" i="10"/>
  <c r="B897" i="10"/>
  <c r="C897" i="10"/>
  <c r="D897" i="10"/>
  <c r="E897" i="10"/>
  <c r="F897" i="10"/>
  <c r="G897" i="10"/>
  <c r="H897" i="10"/>
  <c r="A898" i="10"/>
  <c r="B898" i="10"/>
  <c r="C898" i="10"/>
  <c r="D898" i="10"/>
  <c r="E898" i="10"/>
  <c r="F898" i="10"/>
  <c r="G898" i="10"/>
  <c r="H898" i="10"/>
  <c r="A899" i="10"/>
  <c r="B899" i="10"/>
  <c r="C899" i="10"/>
  <c r="D899" i="10"/>
  <c r="E899" i="10"/>
  <c r="F899" i="10"/>
  <c r="G899" i="10"/>
  <c r="H899" i="10"/>
  <c r="A900" i="10"/>
  <c r="B900" i="10"/>
  <c r="C900" i="10"/>
  <c r="D900" i="10"/>
  <c r="E900" i="10"/>
  <c r="F900" i="10"/>
  <c r="G900" i="10"/>
  <c r="H900" i="10"/>
  <c r="A901" i="10"/>
  <c r="B901" i="10"/>
  <c r="C901" i="10"/>
  <c r="D901" i="10"/>
  <c r="E901" i="10"/>
  <c r="F901" i="10"/>
  <c r="G901" i="10"/>
  <c r="H901" i="10"/>
  <c r="A902" i="10"/>
  <c r="B902" i="10"/>
  <c r="C902" i="10"/>
  <c r="D902" i="10"/>
  <c r="E902" i="10"/>
  <c r="F902" i="10"/>
  <c r="G902" i="10"/>
  <c r="H902" i="10"/>
  <c r="A903" i="10"/>
  <c r="B903" i="10"/>
  <c r="C903" i="10"/>
  <c r="D903" i="10"/>
  <c r="E903" i="10"/>
  <c r="F903" i="10"/>
  <c r="G903" i="10"/>
  <c r="H903" i="10"/>
  <c r="A904" i="10"/>
  <c r="B904" i="10"/>
  <c r="C904" i="10"/>
  <c r="D904" i="10"/>
  <c r="E904" i="10"/>
  <c r="F904" i="10"/>
  <c r="G904" i="10"/>
  <c r="H904" i="10"/>
  <c r="A905" i="10"/>
  <c r="B905" i="10"/>
  <c r="C905" i="10"/>
  <c r="D905" i="10"/>
  <c r="E905" i="10"/>
  <c r="F905" i="10"/>
  <c r="G905" i="10"/>
  <c r="H905" i="10"/>
  <c r="A906" i="10"/>
  <c r="B906" i="10"/>
  <c r="C906" i="10"/>
  <c r="D906" i="10"/>
  <c r="E906" i="10"/>
  <c r="F906" i="10"/>
  <c r="G906" i="10"/>
  <c r="H906" i="10"/>
  <c r="A907" i="10"/>
  <c r="B907" i="10"/>
  <c r="C907" i="10"/>
  <c r="D907" i="10"/>
  <c r="E907" i="10"/>
  <c r="F907" i="10"/>
  <c r="G907" i="10"/>
  <c r="H907" i="10"/>
  <c r="A908" i="10"/>
  <c r="B908" i="10"/>
  <c r="C908" i="10"/>
  <c r="D908" i="10"/>
  <c r="E908" i="10"/>
  <c r="F908" i="10"/>
  <c r="G908" i="10"/>
  <c r="H908" i="10"/>
  <c r="A909" i="10"/>
  <c r="B909" i="10"/>
  <c r="C909" i="10"/>
  <c r="D909" i="10"/>
  <c r="E909" i="10"/>
  <c r="F909" i="10"/>
  <c r="G909" i="10"/>
  <c r="H909" i="10"/>
  <c r="A910" i="10"/>
  <c r="B910" i="10"/>
  <c r="C910" i="10"/>
  <c r="D910" i="10"/>
  <c r="E910" i="10"/>
  <c r="F910" i="10"/>
  <c r="G910" i="10"/>
  <c r="H910" i="10"/>
  <c r="A911" i="10"/>
  <c r="B911" i="10"/>
  <c r="C911" i="10"/>
  <c r="D911" i="10"/>
  <c r="E911" i="10"/>
  <c r="F911" i="10"/>
  <c r="G911" i="10"/>
  <c r="H911" i="10"/>
  <c r="A912" i="10"/>
  <c r="B912" i="10"/>
  <c r="C912" i="10"/>
  <c r="D912" i="10"/>
  <c r="E912" i="10"/>
  <c r="F912" i="10"/>
  <c r="G912" i="10"/>
  <c r="H912" i="10"/>
  <c r="A913" i="10"/>
  <c r="B913" i="10"/>
  <c r="C913" i="10"/>
  <c r="D913" i="10"/>
  <c r="E913" i="10"/>
  <c r="F913" i="10"/>
  <c r="G913" i="10"/>
  <c r="H913" i="10"/>
  <c r="A914" i="10"/>
  <c r="B914" i="10"/>
  <c r="C914" i="10"/>
  <c r="D914" i="10"/>
  <c r="E914" i="10"/>
  <c r="F914" i="10"/>
  <c r="G914" i="10"/>
  <c r="H914" i="10"/>
  <c r="A915" i="10"/>
  <c r="B915" i="10"/>
  <c r="C915" i="10"/>
  <c r="D915" i="10"/>
  <c r="E915" i="10"/>
  <c r="F915" i="10"/>
  <c r="G915" i="10"/>
  <c r="H915" i="10"/>
  <c r="A916" i="10"/>
  <c r="B916" i="10"/>
  <c r="C916" i="10"/>
  <c r="D916" i="10"/>
  <c r="E916" i="10"/>
  <c r="F916" i="10"/>
  <c r="G916" i="10"/>
  <c r="H916" i="10"/>
  <c r="A917" i="10"/>
  <c r="B917" i="10"/>
  <c r="C917" i="10"/>
  <c r="D917" i="10"/>
  <c r="E917" i="10"/>
  <c r="F917" i="10"/>
  <c r="G917" i="10"/>
  <c r="H917" i="10"/>
  <c r="A918" i="10"/>
  <c r="B918" i="10"/>
  <c r="C918" i="10"/>
  <c r="D918" i="10"/>
  <c r="E918" i="10"/>
  <c r="F918" i="10"/>
  <c r="G918" i="10"/>
  <c r="H918" i="10"/>
  <c r="A919" i="10"/>
  <c r="B919" i="10"/>
  <c r="C919" i="10"/>
  <c r="D919" i="10"/>
  <c r="E919" i="10"/>
  <c r="F919" i="10"/>
  <c r="G919" i="10"/>
  <c r="H919" i="10"/>
  <c r="A920" i="10"/>
  <c r="B920" i="10"/>
  <c r="C920" i="10"/>
  <c r="D920" i="10"/>
  <c r="E920" i="10"/>
  <c r="F920" i="10"/>
  <c r="G920" i="10"/>
  <c r="H920" i="10"/>
  <c r="A921" i="10"/>
  <c r="B921" i="10"/>
  <c r="C921" i="10"/>
  <c r="D921" i="10"/>
  <c r="E921" i="10"/>
  <c r="F921" i="10"/>
  <c r="G921" i="10"/>
  <c r="H921" i="10"/>
  <c r="A922" i="10"/>
  <c r="B922" i="10"/>
  <c r="C922" i="10"/>
  <c r="D922" i="10"/>
  <c r="E922" i="10"/>
  <c r="F922" i="10"/>
  <c r="G922" i="10"/>
  <c r="H922" i="10"/>
  <c r="A923" i="10"/>
  <c r="B923" i="10"/>
  <c r="C923" i="10"/>
  <c r="D923" i="10"/>
  <c r="E923" i="10"/>
  <c r="F923" i="10"/>
  <c r="G923" i="10"/>
  <c r="H923" i="10"/>
  <c r="A924" i="10"/>
  <c r="B924" i="10"/>
  <c r="C924" i="10"/>
  <c r="D924" i="10"/>
  <c r="E924" i="10"/>
  <c r="F924" i="10"/>
  <c r="G924" i="10"/>
  <c r="H924" i="10"/>
  <c r="A925" i="10"/>
  <c r="B925" i="10"/>
  <c r="C925" i="10"/>
  <c r="D925" i="10"/>
  <c r="E925" i="10"/>
  <c r="F925" i="10"/>
  <c r="G925" i="10"/>
  <c r="H925" i="10"/>
  <c r="A926" i="10"/>
  <c r="B926" i="10"/>
  <c r="C926" i="10"/>
  <c r="D926" i="10"/>
  <c r="E926" i="10"/>
  <c r="F926" i="10"/>
  <c r="G926" i="10"/>
  <c r="H926" i="10"/>
  <c r="A927" i="10"/>
  <c r="B927" i="10"/>
  <c r="C927" i="10"/>
  <c r="D927" i="10"/>
  <c r="E927" i="10"/>
  <c r="F927" i="10"/>
  <c r="G927" i="10"/>
  <c r="H927" i="10"/>
  <c r="A928" i="10"/>
  <c r="B928" i="10"/>
  <c r="C928" i="10"/>
  <c r="D928" i="10"/>
  <c r="E928" i="10"/>
  <c r="F928" i="10"/>
  <c r="G928" i="10"/>
  <c r="H928" i="10"/>
  <c r="A929" i="10"/>
  <c r="B929" i="10"/>
  <c r="C929" i="10"/>
  <c r="D929" i="10"/>
  <c r="E929" i="10"/>
  <c r="F929" i="10"/>
  <c r="G929" i="10"/>
  <c r="H929" i="10"/>
  <c r="A930" i="10"/>
  <c r="B930" i="10"/>
  <c r="C930" i="10"/>
  <c r="D930" i="10"/>
  <c r="E930" i="10"/>
  <c r="F930" i="10"/>
  <c r="G930" i="10"/>
  <c r="H930" i="10"/>
  <c r="A931" i="10"/>
  <c r="B931" i="10"/>
  <c r="C931" i="10"/>
  <c r="D931" i="10"/>
  <c r="E931" i="10"/>
  <c r="F931" i="10"/>
  <c r="G931" i="10"/>
  <c r="H931" i="10"/>
  <c r="A932" i="10"/>
  <c r="B932" i="10"/>
  <c r="C932" i="10"/>
  <c r="D932" i="10"/>
  <c r="E932" i="10"/>
  <c r="F932" i="10"/>
  <c r="G932" i="10"/>
  <c r="H932" i="10"/>
  <c r="A933" i="10"/>
  <c r="B933" i="10"/>
  <c r="C933" i="10"/>
  <c r="D933" i="10"/>
  <c r="E933" i="10"/>
  <c r="F933" i="10"/>
  <c r="G933" i="10"/>
  <c r="H933" i="10"/>
  <c r="A934" i="10"/>
  <c r="B934" i="10"/>
  <c r="C934" i="10"/>
  <c r="D934" i="10"/>
  <c r="E934" i="10"/>
  <c r="F934" i="10"/>
  <c r="G934" i="10"/>
  <c r="H934" i="10"/>
  <c r="A935" i="10"/>
  <c r="B935" i="10"/>
  <c r="C935" i="10"/>
  <c r="D935" i="10"/>
  <c r="E935" i="10"/>
  <c r="F935" i="10"/>
  <c r="G935" i="10"/>
  <c r="H935" i="10"/>
  <c r="A936" i="10"/>
  <c r="B936" i="10"/>
  <c r="C936" i="10"/>
  <c r="D936" i="10"/>
  <c r="E936" i="10"/>
  <c r="F936" i="10"/>
  <c r="G936" i="10"/>
  <c r="H936" i="10"/>
  <c r="A937" i="10"/>
  <c r="B937" i="10"/>
  <c r="C937" i="10"/>
  <c r="D937" i="10"/>
  <c r="E937" i="10"/>
  <c r="F937" i="10"/>
  <c r="G937" i="10"/>
  <c r="H937" i="10"/>
  <c r="A938" i="10"/>
  <c r="B938" i="10"/>
  <c r="C938" i="10"/>
  <c r="D938" i="10"/>
  <c r="E938" i="10"/>
  <c r="F938" i="10"/>
  <c r="G938" i="10"/>
  <c r="H938" i="10"/>
  <c r="A939" i="10"/>
  <c r="B939" i="10"/>
  <c r="C939" i="10"/>
  <c r="D939" i="10"/>
  <c r="E939" i="10"/>
  <c r="F939" i="10"/>
  <c r="G939" i="10"/>
  <c r="H939" i="10"/>
  <c r="A940" i="10"/>
  <c r="B940" i="10"/>
  <c r="C940" i="10"/>
  <c r="D940" i="10"/>
  <c r="E940" i="10"/>
  <c r="F940" i="10"/>
  <c r="G940" i="10"/>
  <c r="H940" i="10"/>
  <c r="A941" i="10"/>
  <c r="B941" i="10"/>
  <c r="C941" i="10"/>
  <c r="D941" i="10"/>
  <c r="E941" i="10"/>
  <c r="F941" i="10"/>
  <c r="G941" i="10"/>
  <c r="H941" i="10"/>
  <c r="A942" i="10"/>
  <c r="B942" i="10"/>
  <c r="C942" i="10"/>
  <c r="D942" i="10"/>
  <c r="E942" i="10"/>
  <c r="F942" i="10"/>
  <c r="G942" i="10"/>
  <c r="H942" i="10"/>
  <c r="A943" i="10"/>
  <c r="B943" i="10"/>
  <c r="C943" i="10"/>
  <c r="D943" i="10"/>
  <c r="E943" i="10"/>
  <c r="F943" i="10"/>
  <c r="G943" i="10"/>
  <c r="H943" i="10"/>
  <c r="A944" i="10"/>
  <c r="B944" i="10"/>
  <c r="C944" i="10"/>
  <c r="D944" i="10"/>
  <c r="E944" i="10"/>
  <c r="F944" i="10"/>
  <c r="G944" i="10"/>
  <c r="H944" i="10"/>
  <c r="A945" i="10"/>
  <c r="B945" i="10"/>
  <c r="C945" i="10"/>
  <c r="D945" i="10"/>
  <c r="E945" i="10"/>
  <c r="F945" i="10"/>
  <c r="G945" i="10"/>
  <c r="H945" i="10"/>
  <c r="A946" i="10"/>
  <c r="B946" i="10"/>
  <c r="C946" i="10"/>
  <c r="D946" i="10"/>
  <c r="E946" i="10"/>
  <c r="F946" i="10"/>
  <c r="G946" i="10"/>
  <c r="H946" i="10"/>
  <c r="A947" i="10"/>
  <c r="B947" i="10"/>
  <c r="C947" i="10"/>
  <c r="D947" i="10"/>
  <c r="E947" i="10"/>
  <c r="F947" i="10"/>
  <c r="G947" i="10"/>
  <c r="H947" i="10"/>
  <c r="A948" i="10"/>
  <c r="B948" i="10"/>
  <c r="C948" i="10"/>
  <c r="D948" i="10"/>
  <c r="E948" i="10"/>
  <c r="F948" i="10"/>
  <c r="G948" i="10"/>
  <c r="H948" i="10"/>
  <c r="A949" i="10"/>
  <c r="B949" i="10"/>
  <c r="C949" i="10"/>
  <c r="D949" i="10"/>
  <c r="E949" i="10"/>
  <c r="F949" i="10"/>
  <c r="G949" i="10"/>
  <c r="H949" i="10"/>
  <c r="A950" i="10"/>
  <c r="B950" i="10"/>
  <c r="C950" i="10"/>
  <c r="D950" i="10"/>
  <c r="E950" i="10"/>
  <c r="F950" i="10"/>
  <c r="G950" i="10"/>
  <c r="H950" i="10"/>
  <c r="A951" i="10"/>
  <c r="B951" i="10"/>
  <c r="C951" i="10"/>
  <c r="D951" i="10"/>
  <c r="E951" i="10"/>
  <c r="F951" i="10"/>
  <c r="G951" i="10"/>
  <c r="H951" i="10"/>
  <c r="A952" i="10"/>
  <c r="B952" i="10"/>
  <c r="C952" i="10"/>
  <c r="D952" i="10"/>
  <c r="E952" i="10"/>
  <c r="F952" i="10"/>
  <c r="G952" i="10"/>
  <c r="H952" i="10"/>
  <c r="A953" i="10"/>
  <c r="B953" i="10"/>
  <c r="C953" i="10"/>
  <c r="D953" i="10"/>
  <c r="E953" i="10"/>
  <c r="F953" i="10"/>
  <c r="G953" i="10"/>
  <c r="H953" i="10"/>
  <c r="A954" i="10"/>
  <c r="B954" i="10"/>
  <c r="C954" i="10"/>
  <c r="D954" i="10"/>
  <c r="E954" i="10"/>
  <c r="F954" i="10"/>
  <c r="G954" i="10"/>
  <c r="H954" i="10"/>
  <c r="A955" i="10"/>
  <c r="B955" i="10"/>
  <c r="C955" i="10"/>
  <c r="D955" i="10"/>
  <c r="E955" i="10"/>
  <c r="F955" i="10"/>
  <c r="G955" i="10"/>
  <c r="H955" i="10"/>
  <c r="A957" i="10"/>
  <c r="B957" i="10"/>
  <c r="C957" i="10"/>
  <c r="D957" i="10"/>
  <c r="E957" i="10"/>
  <c r="F957" i="10"/>
  <c r="G957" i="10"/>
  <c r="H957" i="10"/>
  <c r="A958" i="10"/>
  <c r="B958" i="10"/>
  <c r="C958" i="10"/>
  <c r="D958" i="10"/>
  <c r="E958" i="10"/>
  <c r="F958" i="10"/>
  <c r="G958" i="10"/>
  <c r="H958" i="10"/>
  <c r="A959" i="10"/>
  <c r="B959" i="10"/>
  <c r="C959" i="10"/>
  <c r="D959" i="10"/>
  <c r="E959" i="10"/>
  <c r="F959" i="10"/>
  <c r="G959" i="10"/>
  <c r="H959" i="10"/>
  <c r="A960" i="10"/>
  <c r="B960" i="10"/>
  <c r="C960" i="10"/>
  <c r="D960" i="10"/>
  <c r="E960" i="10"/>
  <c r="F960" i="10"/>
  <c r="G960" i="10"/>
  <c r="H960" i="10"/>
  <c r="A961" i="10"/>
  <c r="B961" i="10"/>
  <c r="C961" i="10"/>
  <c r="D961" i="10"/>
  <c r="E961" i="10"/>
  <c r="F961" i="10"/>
  <c r="G961" i="10"/>
  <c r="H961" i="10"/>
  <c r="A962" i="10"/>
  <c r="B962" i="10"/>
  <c r="C962" i="10"/>
  <c r="D962" i="10"/>
  <c r="E962" i="10"/>
  <c r="F962" i="10"/>
  <c r="G962" i="10"/>
  <c r="H962" i="10"/>
  <c r="A963" i="10"/>
  <c r="B963" i="10"/>
  <c r="C963" i="10"/>
  <c r="D963" i="10"/>
  <c r="E963" i="10"/>
  <c r="F963" i="10"/>
  <c r="G963" i="10"/>
  <c r="H963" i="10"/>
  <c r="A964" i="10"/>
  <c r="B964" i="10"/>
  <c r="C964" i="10"/>
  <c r="D964" i="10"/>
  <c r="E964" i="10"/>
  <c r="F964" i="10"/>
  <c r="G964" i="10"/>
  <c r="H964" i="10"/>
  <c r="A965" i="10"/>
  <c r="B965" i="10"/>
  <c r="C965" i="10"/>
  <c r="D965" i="10"/>
  <c r="E965" i="10"/>
  <c r="F965" i="10"/>
  <c r="G965" i="10"/>
  <c r="H965" i="10"/>
  <c r="A966" i="10"/>
  <c r="B966" i="10"/>
  <c r="C966" i="10"/>
  <c r="D966" i="10"/>
  <c r="E966" i="10"/>
  <c r="F966" i="10"/>
  <c r="G966" i="10"/>
  <c r="H966" i="10"/>
  <c r="A967" i="10"/>
  <c r="B967" i="10"/>
  <c r="C967" i="10"/>
  <c r="D967" i="10"/>
  <c r="E967" i="10"/>
  <c r="F967" i="10"/>
  <c r="G967" i="10"/>
  <c r="H967" i="10"/>
  <c r="A968" i="10"/>
  <c r="B968" i="10"/>
  <c r="C968" i="10"/>
  <c r="D968" i="10"/>
  <c r="E968" i="10"/>
  <c r="F968" i="10"/>
  <c r="G968" i="10"/>
  <c r="H968" i="10"/>
  <c r="A969" i="10"/>
  <c r="B969" i="10"/>
  <c r="C969" i="10"/>
  <c r="D969" i="10"/>
  <c r="E969" i="10"/>
  <c r="F969" i="10"/>
  <c r="G969" i="10"/>
  <c r="H969" i="10"/>
  <c r="A970" i="10"/>
  <c r="B970" i="10"/>
  <c r="C970" i="10"/>
  <c r="D970" i="10"/>
  <c r="E970" i="10"/>
  <c r="F970" i="10"/>
  <c r="G970" i="10"/>
  <c r="H970" i="10"/>
  <c r="A971" i="10"/>
  <c r="B971" i="10"/>
  <c r="C971" i="10"/>
  <c r="D971" i="10"/>
  <c r="E971" i="10"/>
  <c r="F971" i="10"/>
  <c r="G971" i="10"/>
  <c r="H971" i="10"/>
  <c r="A972" i="10"/>
  <c r="B972" i="10"/>
  <c r="C972" i="10"/>
  <c r="D972" i="10"/>
  <c r="E972" i="10"/>
  <c r="F972" i="10"/>
  <c r="G972" i="10"/>
  <c r="H972" i="10"/>
  <c r="A973" i="10"/>
  <c r="B973" i="10"/>
  <c r="C973" i="10"/>
  <c r="D973" i="10"/>
  <c r="E973" i="10"/>
  <c r="F973" i="10"/>
  <c r="G973" i="10"/>
  <c r="H973" i="10"/>
  <c r="A974" i="10"/>
  <c r="B974" i="10"/>
  <c r="C974" i="10"/>
  <c r="D974" i="10"/>
  <c r="E974" i="10"/>
  <c r="F974" i="10"/>
  <c r="G974" i="10"/>
  <c r="H974" i="10"/>
  <c r="A975" i="10"/>
  <c r="B975" i="10"/>
  <c r="C975" i="10"/>
  <c r="D975" i="10"/>
  <c r="E975" i="10"/>
  <c r="F975" i="10"/>
  <c r="G975" i="10"/>
  <c r="H975" i="10"/>
  <c r="A976" i="10"/>
  <c r="B976" i="10"/>
  <c r="C976" i="10"/>
  <c r="D976" i="10"/>
  <c r="E976" i="10"/>
  <c r="F976" i="10"/>
  <c r="G976" i="10"/>
  <c r="H976" i="10"/>
  <c r="A977" i="10"/>
  <c r="B977" i="10"/>
  <c r="C977" i="10"/>
  <c r="D977" i="10"/>
  <c r="E977" i="10"/>
  <c r="F977" i="10"/>
  <c r="G977" i="10"/>
  <c r="H977" i="10"/>
  <c r="A978" i="10"/>
  <c r="B978" i="10"/>
  <c r="C978" i="10"/>
  <c r="D978" i="10"/>
  <c r="E978" i="10"/>
  <c r="F978" i="10"/>
  <c r="G978" i="10"/>
  <c r="H978" i="10"/>
  <c r="A979" i="10"/>
  <c r="B979" i="10"/>
  <c r="C979" i="10"/>
  <c r="D979" i="10"/>
  <c r="E979" i="10"/>
  <c r="F979" i="10"/>
  <c r="G979" i="10"/>
  <c r="H979" i="10"/>
  <c r="A980" i="10"/>
  <c r="B980" i="10"/>
  <c r="C980" i="10"/>
  <c r="D980" i="10"/>
  <c r="E980" i="10"/>
  <c r="F980" i="10"/>
  <c r="G980" i="10"/>
  <c r="H980" i="10"/>
  <c r="A981" i="10"/>
  <c r="B981" i="10"/>
  <c r="C981" i="10"/>
  <c r="D981" i="10"/>
  <c r="E981" i="10"/>
  <c r="F981" i="10"/>
  <c r="G981" i="10"/>
  <c r="H981" i="10"/>
  <c r="A982" i="10"/>
  <c r="B982" i="10"/>
  <c r="C982" i="10"/>
  <c r="D982" i="10"/>
  <c r="E982" i="10"/>
  <c r="F982" i="10"/>
  <c r="G982" i="10"/>
  <c r="H982" i="10"/>
  <c r="A983" i="10"/>
  <c r="B983" i="10"/>
  <c r="C983" i="10"/>
  <c r="D983" i="10"/>
  <c r="E983" i="10"/>
  <c r="F983" i="10"/>
  <c r="G983" i="10"/>
  <c r="H983" i="10"/>
  <c r="A984" i="10"/>
  <c r="B984" i="10"/>
  <c r="C984" i="10"/>
  <c r="D984" i="10"/>
  <c r="E984" i="10"/>
  <c r="F984" i="10"/>
  <c r="G984" i="10"/>
  <c r="H984" i="10"/>
  <c r="A986" i="10"/>
  <c r="B986" i="10"/>
  <c r="C986" i="10"/>
  <c r="D986" i="10"/>
  <c r="E986" i="10"/>
  <c r="F986" i="10"/>
  <c r="G986" i="10"/>
  <c r="H986" i="10"/>
  <c r="A987" i="10"/>
  <c r="B987" i="10"/>
  <c r="C987" i="10"/>
  <c r="D987" i="10"/>
  <c r="E987" i="10"/>
  <c r="F987" i="10"/>
  <c r="G987" i="10"/>
  <c r="H987" i="10"/>
  <c r="A988" i="10"/>
  <c r="B988" i="10"/>
  <c r="C988" i="10"/>
  <c r="D988" i="10"/>
  <c r="E988" i="10"/>
  <c r="F988" i="10"/>
  <c r="G988" i="10"/>
  <c r="H988" i="10"/>
  <c r="A989" i="10"/>
  <c r="B989" i="10"/>
  <c r="C989" i="10"/>
  <c r="D989" i="10"/>
  <c r="E989" i="10"/>
  <c r="F989" i="10"/>
  <c r="G989" i="10"/>
  <c r="H989" i="10"/>
  <c r="A990" i="10"/>
  <c r="B990" i="10"/>
  <c r="C990" i="10"/>
  <c r="D990" i="10"/>
  <c r="E990" i="10"/>
  <c r="F990" i="10"/>
  <c r="G990" i="10"/>
  <c r="H990" i="10"/>
  <c r="A991" i="10"/>
  <c r="B991" i="10"/>
  <c r="C991" i="10"/>
  <c r="D991" i="10"/>
  <c r="E991" i="10"/>
  <c r="F991" i="10"/>
  <c r="G991" i="10"/>
  <c r="H991" i="10"/>
  <c r="A992" i="10"/>
  <c r="B992" i="10"/>
  <c r="C992" i="10"/>
  <c r="D992" i="10"/>
  <c r="E992" i="10"/>
  <c r="F992" i="10"/>
  <c r="G992" i="10"/>
  <c r="H992" i="10"/>
  <c r="A993" i="10"/>
  <c r="B993" i="10"/>
  <c r="C993" i="10"/>
  <c r="D993" i="10"/>
  <c r="E993" i="10"/>
  <c r="F993" i="10"/>
  <c r="G993" i="10"/>
  <c r="H993" i="10"/>
  <c r="A994" i="10"/>
  <c r="B994" i="10"/>
  <c r="C994" i="10"/>
  <c r="D994" i="10"/>
  <c r="E994" i="10"/>
  <c r="F994" i="10"/>
  <c r="G994" i="10"/>
  <c r="H994" i="10"/>
  <c r="A995" i="10"/>
  <c r="B995" i="10"/>
  <c r="C995" i="10"/>
  <c r="D995" i="10"/>
  <c r="E995" i="10"/>
  <c r="F995" i="10"/>
  <c r="G995" i="10"/>
  <c r="H995" i="10"/>
  <c r="A996" i="10"/>
  <c r="B996" i="10"/>
  <c r="C996" i="10"/>
  <c r="D996" i="10"/>
  <c r="E996" i="10"/>
  <c r="F996" i="10"/>
  <c r="G996" i="10"/>
  <c r="H996" i="10"/>
  <c r="A997" i="10"/>
  <c r="B997" i="10"/>
  <c r="C997" i="10"/>
  <c r="D997" i="10"/>
  <c r="E997" i="10"/>
  <c r="F997" i="10"/>
  <c r="G997" i="10"/>
  <c r="H997" i="10"/>
  <c r="A998" i="10"/>
  <c r="B998" i="10"/>
  <c r="C998" i="10"/>
  <c r="D998" i="10"/>
  <c r="E998" i="10"/>
  <c r="F998" i="10"/>
  <c r="G998" i="10"/>
  <c r="H998" i="10"/>
  <c r="A999" i="10"/>
  <c r="B999" i="10"/>
  <c r="C999" i="10"/>
  <c r="D999" i="10"/>
  <c r="E999" i="10"/>
  <c r="F999" i="10"/>
  <c r="G999" i="10"/>
  <c r="H999" i="10"/>
  <c r="A1000" i="10"/>
  <c r="B1000" i="10"/>
  <c r="C1000" i="10"/>
  <c r="D1000" i="10"/>
  <c r="E1000" i="10"/>
  <c r="F1000" i="10"/>
  <c r="G1000" i="10"/>
  <c r="H1000" i="10"/>
  <c r="A1001" i="10"/>
  <c r="B1001" i="10"/>
  <c r="C1001" i="10"/>
  <c r="D1001" i="10"/>
  <c r="E1001" i="10"/>
  <c r="F1001" i="10"/>
  <c r="G1001" i="10"/>
  <c r="H1001" i="10"/>
  <c r="A1002" i="10"/>
  <c r="B1002" i="10"/>
  <c r="C1002" i="10"/>
  <c r="D1002" i="10"/>
  <c r="E1002" i="10"/>
  <c r="F1002" i="10"/>
  <c r="G1002" i="10"/>
  <c r="H1002" i="10"/>
  <c r="A1003" i="10"/>
  <c r="B1003" i="10"/>
  <c r="C1003" i="10"/>
  <c r="D1003" i="10"/>
  <c r="E1003" i="10"/>
  <c r="F1003" i="10"/>
  <c r="G1003" i="10"/>
  <c r="H1003" i="10"/>
  <c r="A1004" i="10"/>
  <c r="B1004" i="10"/>
  <c r="C1004" i="10"/>
  <c r="D1004" i="10"/>
  <c r="E1004" i="10"/>
  <c r="F1004" i="10"/>
  <c r="G1004" i="10"/>
  <c r="H1004" i="10"/>
  <c r="A1005" i="10"/>
  <c r="B1005" i="10"/>
  <c r="C1005" i="10"/>
  <c r="D1005" i="10"/>
  <c r="E1005" i="10"/>
  <c r="F1005" i="10"/>
  <c r="G1005" i="10"/>
  <c r="H1005" i="10"/>
  <c r="A1006" i="10"/>
  <c r="B1006" i="10"/>
  <c r="C1006" i="10"/>
  <c r="D1006" i="10"/>
  <c r="E1006" i="10"/>
  <c r="F1006" i="10"/>
  <c r="G1006" i="10"/>
  <c r="H1006" i="10"/>
  <c r="A1007" i="10"/>
  <c r="B1007" i="10"/>
  <c r="C1007" i="10"/>
  <c r="D1007" i="10"/>
  <c r="E1007" i="10"/>
  <c r="F1007" i="10"/>
  <c r="G1007" i="10"/>
  <c r="H1007" i="10"/>
  <c r="A1008" i="10"/>
  <c r="B1008" i="10"/>
  <c r="C1008" i="10"/>
  <c r="D1008" i="10"/>
  <c r="E1008" i="10"/>
  <c r="F1008" i="10"/>
  <c r="G1008" i="10"/>
  <c r="H1008" i="10"/>
  <c r="A1009" i="10"/>
  <c r="B1009" i="10"/>
  <c r="C1009" i="10"/>
  <c r="D1009" i="10"/>
  <c r="E1009" i="10"/>
  <c r="F1009" i="10"/>
  <c r="G1009" i="10"/>
  <c r="H1009" i="10"/>
  <c r="A1010" i="10"/>
  <c r="B1010" i="10"/>
  <c r="C1010" i="10"/>
  <c r="D1010" i="10"/>
  <c r="E1010" i="10"/>
  <c r="F1010" i="10"/>
  <c r="G1010" i="10"/>
  <c r="H1010" i="10"/>
  <c r="A1011" i="10"/>
  <c r="B1011" i="10"/>
  <c r="C1011" i="10"/>
  <c r="D1011" i="10"/>
  <c r="E1011" i="10"/>
  <c r="F1011" i="10"/>
  <c r="G1011" i="10"/>
  <c r="H1011" i="10"/>
  <c r="A1012" i="10"/>
  <c r="B1012" i="10"/>
  <c r="C1012" i="10"/>
  <c r="D1012" i="10"/>
  <c r="E1012" i="10"/>
  <c r="F1012" i="10"/>
  <c r="G1012" i="10"/>
  <c r="H1012" i="10"/>
  <c r="A1013" i="10"/>
  <c r="B1013" i="10"/>
  <c r="C1013" i="10"/>
  <c r="D1013" i="10"/>
  <c r="E1013" i="10"/>
  <c r="F1013" i="10"/>
  <c r="G1013" i="10"/>
  <c r="H1013" i="10"/>
  <c r="A1014" i="10"/>
  <c r="B1014" i="10"/>
  <c r="C1014" i="10"/>
  <c r="D1014" i="10"/>
  <c r="E1014" i="10"/>
  <c r="F1014" i="10"/>
  <c r="G1014" i="10"/>
  <c r="H1014" i="10"/>
  <c r="A1015" i="10"/>
  <c r="B1015" i="10"/>
  <c r="C1015" i="10"/>
  <c r="D1015" i="10"/>
  <c r="E1015" i="10"/>
  <c r="F1015" i="10"/>
  <c r="G1015" i="10"/>
  <c r="H1015" i="10"/>
  <c r="A1016" i="10"/>
  <c r="B1016" i="10"/>
  <c r="C1016" i="10"/>
  <c r="D1016" i="10"/>
  <c r="E1016" i="10"/>
  <c r="F1016" i="10"/>
  <c r="G1016" i="10"/>
  <c r="H1016" i="10"/>
  <c r="A1017" i="10"/>
  <c r="B1017" i="10"/>
  <c r="C1017" i="10"/>
  <c r="D1017" i="10"/>
  <c r="E1017" i="10"/>
  <c r="F1017" i="10"/>
  <c r="G1017" i="10"/>
  <c r="H1017" i="10"/>
  <c r="A1018" i="10"/>
  <c r="B1018" i="10"/>
  <c r="C1018" i="10"/>
  <c r="D1018" i="10"/>
  <c r="E1018" i="10"/>
  <c r="F1018" i="10"/>
  <c r="G1018" i="10"/>
  <c r="H1018" i="10"/>
  <c r="A1019" i="10"/>
  <c r="B1019" i="10"/>
  <c r="C1019" i="10"/>
  <c r="D1019" i="10"/>
  <c r="E1019" i="10"/>
  <c r="F1019" i="10"/>
  <c r="G1019" i="10"/>
  <c r="H1019" i="10"/>
  <c r="A1020" i="10"/>
  <c r="B1020" i="10"/>
  <c r="C1020" i="10"/>
  <c r="D1020" i="10"/>
  <c r="E1020" i="10"/>
  <c r="F1020" i="10"/>
  <c r="G1020" i="10"/>
  <c r="H1020" i="10"/>
  <c r="A1021" i="10"/>
  <c r="B1021" i="10"/>
  <c r="C1021" i="10"/>
  <c r="D1021" i="10"/>
  <c r="E1021" i="10"/>
  <c r="F1021" i="10"/>
  <c r="G1021" i="10"/>
  <c r="H1021" i="10"/>
  <c r="A1022" i="10"/>
  <c r="B1022" i="10"/>
  <c r="C1022" i="10"/>
  <c r="D1022" i="10"/>
  <c r="E1022" i="10"/>
  <c r="F1022" i="10"/>
  <c r="G1022" i="10"/>
  <c r="H1022" i="10"/>
  <c r="A1023" i="10"/>
  <c r="B1023" i="10"/>
  <c r="C1023" i="10"/>
  <c r="D1023" i="10"/>
  <c r="E1023" i="10"/>
  <c r="F1023" i="10"/>
  <c r="G1023" i="10"/>
  <c r="H1023" i="10"/>
  <c r="A1024" i="10"/>
  <c r="B1024" i="10"/>
  <c r="C1024" i="10"/>
  <c r="D1024" i="10"/>
  <c r="E1024" i="10"/>
  <c r="F1024" i="10"/>
  <c r="G1024" i="10"/>
  <c r="H1024" i="10"/>
  <c r="A1025" i="10"/>
  <c r="B1025" i="10"/>
  <c r="C1025" i="10"/>
  <c r="D1025" i="10"/>
  <c r="E1025" i="10"/>
  <c r="F1025" i="10"/>
  <c r="G1025" i="10"/>
  <c r="H1025" i="10"/>
  <c r="A1026" i="10"/>
  <c r="B1026" i="10"/>
  <c r="C1026" i="10"/>
  <c r="D1026" i="10"/>
  <c r="E1026" i="10"/>
  <c r="F1026" i="10"/>
  <c r="G1026" i="10"/>
  <c r="H1026" i="10"/>
  <c r="A1027" i="10"/>
  <c r="B1027" i="10"/>
  <c r="C1027" i="10"/>
  <c r="D1027" i="10"/>
  <c r="E1027" i="10"/>
  <c r="F1027" i="10"/>
  <c r="G1027" i="10"/>
  <c r="H1027" i="10"/>
  <c r="A1028" i="10"/>
  <c r="B1028" i="10"/>
  <c r="C1028" i="10"/>
  <c r="D1028" i="10"/>
  <c r="E1028" i="10"/>
  <c r="F1028" i="10"/>
  <c r="G1028" i="10"/>
  <c r="H1028" i="10"/>
  <c r="A1029" i="10"/>
  <c r="B1029" i="10"/>
  <c r="C1029" i="10"/>
  <c r="D1029" i="10"/>
  <c r="E1029" i="10"/>
  <c r="F1029" i="10"/>
  <c r="G1029" i="10"/>
  <c r="H1029" i="10"/>
  <c r="A1030" i="10"/>
  <c r="B1030" i="10"/>
  <c r="C1030" i="10"/>
  <c r="D1030" i="10"/>
  <c r="E1030" i="10"/>
  <c r="F1030" i="10"/>
  <c r="G1030" i="10"/>
  <c r="H1030" i="10"/>
  <c r="A1031" i="10"/>
  <c r="B1031" i="10"/>
  <c r="C1031" i="10"/>
  <c r="D1031" i="10"/>
  <c r="E1031" i="10"/>
  <c r="F1031" i="10"/>
  <c r="G1031" i="10"/>
  <c r="H1031" i="10"/>
  <c r="A1032" i="10"/>
  <c r="B1032" i="10"/>
  <c r="C1032" i="10"/>
  <c r="D1032" i="10"/>
  <c r="E1032" i="10"/>
  <c r="F1032" i="10"/>
  <c r="G1032" i="10"/>
  <c r="H1032" i="10"/>
  <c r="A1033" i="10"/>
  <c r="B1033" i="10"/>
  <c r="C1033" i="10"/>
  <c r="D1033" i="10"/>
  <c r="E1033" i="10"/>
  <c r="F1033" i="10"/>
  <c r="G1033" i="10"/>
  <c r="H1033" i="10"/>
  <c r="A1034" i="10"/>
  <c r="B1034" i="10"/>
  <c r="C1034" i="10"/>
  <c r="D1034" i="10"/>
  <c r="E1034" i="10"/>
  <c r="F1034" i="10"/>
  <c r="G1034" i="10"/>
  <c r="H1034" i="10"/>
  <c r="A1035" i="10"/>
  <c r="B1035" i="10"/>
  <c r="C1035" i="10"/>
  <c r="D1035" i="10"/>
  <c r="E1035" i="10"/>
  <c r="F1035" i="10"/>
  <c r="G1035" i="10"/>
  <c r="H1035" i="10"/>
  <c r="A1036" i="10"/>
  <c r="B1036" i="10"/>
  <c r="C1036" i="10"/>
  <c r="D1036" i="10"/>
  <c r="E1036" i="10"/>
  <c r="F1036" i="10"/>
  <c r="G1036" i="10"/>
  <c r="H1036" i="10"/>
  <c r="A1037" i="10"/>
  <c r="B1037" i="10"/>
  <c r="C1037" i="10"/>
  <c r="D1037" i="10"/>
  <c r="E1037" i="10"/>
  <c r="F1037" i="10"/>
  <c r="G1037" i="10"/>
  <c r="H1037" i="10"/>
  <c r="A1038" i="10"/>
  <c r="B1038" i="10"/>
  <c r="C1038" i="10"/>
  <c r="D1038" i="10"/>
  <c r="E1038" i="10"/>
  <c r="F1038" i="10"/>
  <c r="G1038" i="10"/>
  <c r="H1038" i="10"/>
  <c r="A1039" i="10"/>
  <c r="B1039" i="10"/>
  <c r="C1039" i="10"/>
  <c r="D1039" i="10"/>
  <c r="E1039" i="10"/>
  <c r="F1039" i="10"/>
  <c r="G1039" i="10"/>
  <c r="H1039" i="10"/>
  <c r="A1040" i="10"/>
  <c r="B1040" i="10"/>
  <c r="C1040" i="10"/>
  <c r="D1040" i="10"/>
  <c r="E1040" i="10"/>
  <c r="F1040" i="10"/>
  <c r="G1040" i="10"/>
  <c r="H1040" i="10"/>
  <c r="A1041" i="10"/>
  <c r="B1041" i="10"/>
  <c r="C1041" i="10"/>
  <c r="D1041" i="10"/>
  <c r="E1041" i="10"/>
  <c r="F1041" i="10"/>
  <c r="G1041" i="10"/>
  <c r="H1041" i="10"/>
  <c r="A1042" i="10"/>
  <c r="B1042" i="10"/>
  <c r="C1042" i="10"/>
  <c r="D1042" i="10"/>
  <c r="E1042" i="10"/>
  <c r="F1042" i="10"/>
  <c r="G1042" i="10"/>
  <c r="H1042" i="10"/>
  <c r="A1043" i="10"/>
  <c r="B1043" i="10"/>
  <c r="C1043" i="10"/>
  <c r="D1043" i="10"/>
  <c r="E1043" i="10"/>
  <c r="F1043" i="10"/>
  <c r="G1043" i="10"/>
  <c r="H1043" i="10"/>
  <c r="A1044" i="10"/>
  <c r="B1044" i="10"/>
  <c r="C1044" i="10"/>
  <c r="D1044" i="10"/>
  <c r="E1044" i="10"/>
  <c r="F1044" i="10"/>
  <c r="G1044" i="10"/>
  <c r="H1044" i="10"/>
  <c r="A1045" i="10"/>
  <c r="B1045" i="10"/>
  <c r="C1045" i="10"/>
  <c r="D1045" i="10"/>
  <c r="E1045" i="10"/>
  <c r="F1045" i="10"/>
  <c r="G1045" i="10"/>
  <c r="H1045" i="10"/>
  <c r="A1046" i="10"/>
  <c r="B1046" i="10"/>
  <c r="C1046" i="10"/>
  <c r="D1046" i="10"/>
  <c r="E1046" i="10"/>
  <c r="F1046" i="10"/>
  <c r="G1046" i="10"/>
  <c r="H1046" i="10"/>
  <c r="A1047" i="10"/>
  <c r="B1047" i="10"/>
  <c r="C1047" i="10"/>
  <c r="D1047" i="10"/>
  <c r="E1047" i="10"/>
  <c r="F1047" i="10"/>
  <c r="G1047" i="10"/>
  <c r="H1047" i="10"/>
  <c r="A1048" i="10"/>
  <c r="B1048" i="10"/>
  <c r="C1048" i="10"/>
  <c r="D1048" i="10"/>
  <c r="E1048" i="10"/>
  <c r="F1048" i="10"/>
  <c r="G1048" i="10"/>
  <c r="H1048" i="10"/>
  <c r="A1049" i="10"/>
  <c r="B1049" i="10"/>
  <c r="C1049" i="10"/>
  <c r="D1049" i="10"/>
  <c r="E1049" i="10"/>
  <c r="F1049" i="10"/>
  <c r="G1049" i="10"/>
  <c r="H1049" i="10"/>
  <c r="A1050" i="10"/>
  <c r="B1050" i="10"/>
  <c r="C1050" i="10"/>
  <c r="D1050" i="10"/>
  <c r="E1050" i="10"/>
  <c r="F1050" i="10"/>
  <c r="G1050" i="10"/>
  <c r="H1050" i="10"/>
  <c r="A1051" i="10"/>
  <c r="B1051" i="10"/>
  <c r="C1051" i="10"/>
  <c r="D1051" i="10"/>
  <c r="E1051" i="10"/>
  <c r="F1051" i="10"/>
  <c r="G1051" i="10"/>
  <c r="H1051" i="10"/>
  <c r="A1052" i="10"/>
  <c r="B1052" i="10"/>
  <c r="C1052" i="10"/>
  <c r="D1052" i="10"/>
  <c r="E1052" i="10"/>
  <c r="F1052" i="10"/>
  <c r="G1052" i="10"/>
  <c r="H1052" i="10"/>
  <c r="A1053" i="10"/>
  <c r="B1053" i="10"/>
  <c r="C1053" i="10"/>
  <c r="D1053" i="10"/>
  <c r="E1053" i="10"/>
  <c r="F1053" i="10"/>
  <c r="G1053" i="10"/>
  <c r="H1053" i="10"/>
  <c r="A1054" i="10"/>
  <c r="B1054" i="10"/>
  <c r="C1054" i="10"/>
  <c r="D1054" i="10"/>
  <c r="E1054" i="10"/>
  <c r="F1054" i="10"/>
  <c r="G1054" i="10"/>
  <c r="H1054" i="10"/>
  <c r="A1055" i="10"/>
  <c r="B1055" i="10"/>
  <c r="C1055" i="10"/>
  <c r="D1055" i="10"/>
  <c r="E1055" i="10"/>
  <c r="F1055" i="10"/>
  <c r="G1055" i="10"/>
  <c r="H1055" i="10"/>
  <c r="A1056" i="10"/>
  <c r="B1056" i="10"/>
  <c r="C1056" i="10"/>
  <c r="D1056" i="10"/>
  <c r="E1056" i="10"/>
  <c r="F1056" i="10"/>
  <c r="G1056" i="10"/>
  <c r="H1056" i="10"/>
  <c r="A1057" i="10"/>
  <c r="B1057" i="10"/>
  <c r="C1057" i="10"/>
  <c r="D1057" i="10"/>
  <c r="E1057" i="10"/>
  <c r="F1057" i="10"/>
  <c r="G1057" i="10"/>
  <c r="H1057" i="10"/>
  <c r="A1058" i="10"/>
  <c r="B1058" i="10"/>
  <c r="C1058" i="10"/>
  <c r="D1058" i="10"/>
  <c r="E1058" i="10"/>
  <c r="F1058" i="10"/>
  <c r="G1058" i="10"/>
  <c r="H1058" i="10"/>
  <c r="A1059" i="10"/>
  <c r="B1059" i="10"/>
  <c r="C1059" i="10"/>
  <c r="D1059" i="10"/>
  <c r="E1059" i="10"/>
  <c r="F1059" i="10"/>
  <c r="G1059" i="10"/>
  <c r="H1059" i="10"/>
  <c r="A1060" i="10"/>
  <c r="B1060" i="10"/>
  <c r="C1060" i="10"/>
  <c r="D1060" i="10"/>
  <c r="E1060" i="10"/>
  <c r="F1060" i="10"/>
  <c r="G1060" i="10"/>
  <c r="H1060" i="10"/>
  <c r="A1061" i="10"/>
  <c r="B1061" i="10"/>
  <c r="C1061" i="10"/>
  <c r="D1061" i="10"/>
  <c r="E1061" i="10"/>
  <c r="F1061" i="10"/>
  <c r="G1061" i="10"/>
  <c r="H1061" i="10"/>
  <c r="A1062" i="10"/>
  <c r="B1062" i="10"/>
  <c r="C1062" i="10"/>
  <c r="D1062" i="10"/>
  <c r="E1062" i="10"/>
  <c r="F1062" i="10"/>
  <c r="G1062" i="10"/>
  <c r="H1062" i="10"/>
  <c r="A1063" i="10"/>
  <c r="B1063" i="10"/>
  <c r="C1063" i="10"/>
  <c r="D1063" i="10"/>
  <c r="E1063" i="10"/>
  <c r="F1063" i="10"/>
  <c r="G1063" i="10"/>
  <c r="H1063" i="10"/>
  <c r="A1064" i="10"/>
  <c r="B1064" i="10"/>
  <c r="C1064" i="10"/>
  <c r="D1064" i="10"/>
  <c r="E1064" i="10"/>
  <c r="F1064" i="10"/>
  <c r="G1064" i="10"/>
  <c r="H1064" i="10"/>
  <c r="A1065" i="10"/>
  <c r="B1065" i="10"/>
  <c r="C1065" i="10"/>
  <c r="D1065" i="10"/>
  <c r="E1065" i="10"/>
  <c r="F1065" i="10"/>
  <c r="G1065" i="10"/>
  <c r="H1065" i="10"/>
  <c r="A1066" i="10"/>
  <c r="B1066" i="10"/>
  <c r="C1066" i="10"/>
  <c r="D1066" i="10"/>
  <c r="E1066" i="10"/>
  <c r="F1066" i="10"/>
  <c r="G1066" i="10"/>
  <c r="H1066" i="10"/>
  <c r="A1067" i="10"/>
  <c r="B1067" i="10"/>
  <c r="C1067" i="10"/>
  <c r="D1067" i="10"/>
  <c r="E1067" i="10"/>
  <c r="F1067" i="10"/>
  <c r="G1067" i="10"/>
  <c r="H1067" i="10"/>
  <c r="A1068" i="10"/>
  <c r="B1068" i="10"/>
  <c r="C1068" i="10"/>
  <c r="D1068" i="10"/>
  <c r="E1068" i="10"/>
  <c r="F1068" i="10"/>
  <c r="G1068" i="10"/>
  <c r="H1068" i="10"/>
  <c r="A1069" i="10"/>
  <c r="B1069" i="10"/>
  <c r="C1069" i="10"/>
  <c r="D1069" i="10"/>
  <c r="E1069" i="10"/>
  <c r="F1069" i="10"/>
  <c r="G1069" i="10"/>
  <c r="H1069" i="10"/>
  <c r="A1070" i="10"/>
  <c r="B1070" i="10"/>
  <c r="C1070" i="10"/>
  <c r="D1070" i="10"/>
  <c r="E1070" i="10"/>
  <c r="F1070" i="10"/>
  <c r="G1070" i="10"/>
  <c r="H1070" i="10"/>
  <c r="A1071" i="10"/>
  <c r="B1071" i="10"/>
  <c r="C1071" i="10"/>
  <c r="D1071" i="10"/>
  <c r="E1071" i="10"/>
  <c r="F1071" i="10"/>
  <c r="G1071" i="10"/>
  <c r="H1071" i="10"/>
  <c r="A1072" i="10"/>
  <c r="B1072" i="10"/>
  <c r="C1072" i="10"/>
  <c r="D1072" i="10"/>
  <c r="E1072" i="10"/>
  <c r="F1072" i="10"/>
  <c r="G1072" i="10"/>
  <c r="H1072" i="10"/>
  <c r="A1073" i="10"/>
  <c r="B1073" i="10"/>
  <c r="C1073" i="10"/>
  <c r="D1073" i="10"/>
  <c r="E1073" i="10"/>
  <c r="F1073" i="10"/>
  <c r="G1073" i="10"/>
  <c r="H1073" i="10"/>
  <c r="A1074" i="10"/>
  <c r="B1074" i="10"/>
  <c r="C1074" i="10"/>
  <c r="D1074" i="10"/>
  <c r="E1074" i="10"/>
  <c r="F1074" i="10"/>
  <c r="G1074" i="10"/>
  <c r="H1074" i="10"/>
  <c r="A1075" i="10"/>
  <c r="B1075" i="10"/>
  <c r="C1075" i="10"/>
  <c r="D1075" i="10"/>
  <c r="E1075" i="10"/>
  <c r="F1075" i="10"/>
  <c r="G1075" i="10"/>
  <c r="H1075" i="10"/>
  <c r="A1076" i="10"/>
  <c r="B1076" i="10"/>
  <c r="C1076" i="10"/>
  <c r="D1076" i="10"/>
  <c r="E1076" i="10"/>
  <c r="F1076" i="10"/>
  <c r="G1076" i="10"/>
  <c r="H1076" i="10"/>
  <c r="A1077" i="10"/>
  <c r="B1077" i="10"/>
  <c r="C1077" i="10"/>
  <c r="D1077" i="10"/>
  <c r="E1077" i="10"/>
  <c r="F1077" i="10"/>
  <c r="G1077" i="10"/>
  <c r="H1077" i="10"/>
  <c r="A1078" i="10"/>
  <c r="B1078" i="10"/>
  <c r="C1078" i="10"/>
  <c r="D1078" i="10"/>
  <c r="E1078" i="10"/>
  <c r="F1078" i="10"/>
  <c r="G1078" i="10"/>
  <c r="H1078" i="10"/>
  <c r="A1079" i="10"/>
  <c r="B1079" i="10"/>
  <c r="C1079" i="10"/>
  <c r="D1079" i="10"/>
  <c r="E1079" i="10"/>
  <c r="F1079" i="10"/>
  <c r="G1079" i="10"/>
  <c r="H1079" i="10"/>
  <c r="A1080" i="10"/>
  <c r="B1080" i="10"/>
  <c r="C1080" i="10"/>
  <c r="D1080" i="10"/>
  <c r="E1080" i="10"/>
  <c r="F1080" i="10"/>
  <c r="G1080" i="10"/>
  <c r="H1080" i="10"/>
  <c r="A1081" i="10"/>
  <c r="B1081" i="10"/>
  <c r="C1081" i="10"/>
  <c r="D1081" i="10"/>
  <c r="E1081" i="10"/>
  <c r="F1081" i="10"/>
  <c r="G1081" i="10"/>
  <c r="H1081" i="10"/>
  <c r="A1082" i="10"/>
  <c r="B1082" i="10"/>
  <c r="C1082" i="10"/>
  <c r="D1082" i="10"/>
  <c r="E1082" i="10"/>
  <c r="F1082" i="10"/>
  <c r="G1082" i="10"/>
  <c r="H1082" i="10"/>
  <c r="A1083" i="10"/>
  <c r="B1083" i="10"/>
  <c r="C1083" i="10"/>
  <c r="D1083" i="10"/>
  <c r="E1083" i="10"/>
  <c r="F1083" i="10"/>
  <c r="G1083" i="10"/>
  <c r="H1083" i="10"/>
  <c r="A1084" i="10"/>
  <c r="B1084" i="10"/>
  <c r="C1084" i="10"/>
  <c r="D1084" i="10"/>
  <c r="E1084" i="10"/>
  <c r="F1084" i="10"/>
  <c r="G1084" i="10"/>
  <c r="H1084" i="10"/>
  <c r="A1085" i="10"/>
  <c r="B1085" i="10"/>
  <c r="C1085" i="10"/>
  <c r="D1085" i="10"/>
  <c r="E1085" i="10"/>
  <c r="F1085" i="10"/>
  <c r="G1085" i="10"/>
  <c r="H1085" i="10"/>
  <c r="A1086" i="10"/>
  <c r="B1086" i="10"/>
  <c r="C1086" i="10"/>
  <c r="D1086" i="10"/>
  <c r="E1086" i="10"/>
  <c r="F1086" i="10"/>
  <c r="G1086" i="10"/>
  <c r="H1086" i="10"/>
  <c r="A1087" i="10"/>
  <c r="B1087" i="10"/>
  <c r="C1087" i="10"/>
  <c r="D1087" i="10"/>
  <c r="E1087" i="10"/>
  <c r="F1087" i="10"/>
  <c r="G1087" i="10"/>
  <c r="H1087" i="10"/>
  <c r="A1088" i="10"/>
  <c r="B1088" i="10"/>
  <c r="C1088" i="10"/>
  <c r="D1088" i="10"/>
  <c r="E1088" i="10"/>
  <c r="F1088" i="10"/>
  <c r="G1088" i="10"/>
  <c r="H1088" i="10"/>
  <c r="A1089" i="10"/>
  <c r="B1089" i="10"/>
  <c r="C1089" i="10"/>
  <c r="D1089" i="10"/>
  <c r="E1089" i="10"/>
  <c r="F1089" i="10"/>
  <c r="G1089" i="10"/>
  <c r="H1089" i="10"/>
  <c r="A1090" i="10"/>
  <c r="B1090" i="10"/>
  <c r="C1090" i="10"/>
  <c r="D1090" i="10"/>
  <c r="E1090" i="10"/>
  <c r="F1090" i="10"/>
  <c r="G1090" i="10"/>
  <c r="H1090" i="10"/>
  <c r="A1091" i="10"/>
  <c r="B1091" i="10"/>
  <c r="C1091" i="10"/>
  <c r="D1091" i="10"/>
  <c r="E1091" i="10"/>
  <c r="F1091" i="10"/>
  <c r="G1091" i="10"/>
  <c r="H1091" i="10"/>
  <c r="A1092" i="10"/>
  <c r="B1092" i="10"/>
  <c r="C1092" i="10"/>
  <c r="D1092" i="10"/>
  <c r="E1092" i="10"/>
  <c r="F1092" i="10"/>
  <c r="G1092" i="10"/>
  <c r="H1092" i="10"/>
  <c r="A1093" i="10"/>
  <c r="B1093" i="10"/>
  <c r="C1093" i="10"/>
  <c r="D1093" i="10"/>
  <c r="E1093" i="10"/>
  <c r="F1093" i="10"/>
  <c r="G1093" i="10"/>
  <c r="H1093" i="10"/>
  <c r="A1094" i="10"/>
  <c r="B1094" i="10"/>
  <c r="C1094" i="10"/>
  <c r="D1094" i="10"/>
  <c r="E1094" i="10"/>
  <c r="F1094" i="10"/>
  <c r="G1094" i="10"/>
  <c r="H1094" i="10"/>
  <c r="A1095" i="10"/>
  <c r="B1095" i="10"/>
  <c r="C1095" i="10"/>
  <c r="D1095" i="10"/>
  <c r="E1095" i="10"/>
  <c r="F1095" i="10"/>
  <c r="G1095" i="10"/>
  <c r="H1095" i="10"/>
  <c r="A1096" i="10"/>
  <c r="B1096" i="10"/>
  <c r="C1096" i="10"/>
  <c r="D1096" i="10"/>
  <c r="E1096" i="10"/>
  <c r="F1096" i="10"/>
  <c r="G1096" i="10"/>
  <c r="H1096" i="10"/>
  <c r="A1097" i="10"/>
  <c r="B1097" i="10"/>
  <c r="C1097" i="10"/>
  <c r="D1097" i="10"/>
  <c r="E1097" i="10"/>
  <c r="F1097" i="10"/>
  <c r="G1097" i="10"/>
  <c r="H1097" i="10"/>
  <c r="A1098" i="10"/>
  <c r="B1098" i="10"/>
  <c r="C1098" i="10"/>
  <c r="D1098" i="10"/>
  <c r="E1098" i="10"/>
  <c r="F1098" i="10"/>
  <c r="G1098" i="10"/>
  <c r="H1098" i="10"/>
  <c r="A1099" i="10"/>
  <c r="B1099" i="10"/>
  <c r="C1099" i="10"/>
  <c r="D1099" i="10"/>
  <c r="E1099" i="10"/>
  <c r="F1099" i="10"/>
  <c r="G1099" i="10"/>
  <c r="H1099" i="10"/>
  <c r="A1100" i="10"/>
  <c r="B1100" i="10"/>
  <c r="C1100" i="10"/>
  <c r="D1100" i="10"/>
  <c r="E1100" i="10"/>
  <c r="F1100" i="10"/>
  <c r="G1100" i="10"/>
  <c r="H1100" i="10"/>
  <c r="A1101" i="10"/>
  <c r="B1101" i="10"/>
  <c r="C1101" i="10"/>
  <c r="D1101" i="10"/>
  <c r="E1101" i="10"/>
  <c r="F1101" i="10"/>
  <c r="G1101" i="10"/>
  <c r="H1101" i="10"/>
  <c r="A1102" i="10"/>
  <c r="B1102" i="10"/>
  <c r="C1102" i="10"/>
  <c r="D1102" i="10"/>
  <c r="E1102" i="10"/>
  <c r="F1102" i="10"/>
  <c r="G1102" i="10"/>
  <c r="H1102" i="10"/>
  <c r="A1103" i="10"/>
  <c r="B1103" i="10"/>
  <c r="C1103" i="10"/>
  <c r="D1103" i="10"/>
  <c r="E1103" i="10"/>
  <c r="F1103" i="10"/>
  <c r="G1103" i="10"/>
  <c r="H1103" i="10"/>
  <c r="A1104" i="10"/>
  <c r="B1104" i="10"/>
  <c r="C1104" i="10"/>
  <c r="D1104" i="10"/>
  <c r="E1104" i="10"/>
  <c r="F1104" i="10"/>
  <c r="G1104" i="10"/>
  <c r="H1104" i="10"/>
  <c r="A1105" i="10"/>
  <c r="B1105" i="10"/>
  <c r="C1105" i="10"/>
  <c r="D1105" i="10"/>
  <c r="E1105" i="10"/>
  <c r="F1105" i="10"/>
  <c r="G1105" i="10"/>
  <c r="H1105" i="10"/>
  <c r="A1106" i="10"/>
  <c r="B1106" i="10"/>
  <c r="C1106" i="10"/>
  <c r="D1106" i="10"/>
  <c r="E1106" i="10"/>
  <c r="F1106" i="10"/>
  <c r="G1106" i="10"/>
  <c r="H1106" i="10"/>
  <c r="A1107" i="10"/>
  <c r="B1107" i="10"/>
  <c r="C1107" i="10"/>
  <c r="D1107" i="10"/>
  <c r="E1107" i="10"/>
  <c r="F1107" i="10"/>
  <c r="G1107" i="10"/>
  <c r="H1107" i="10"/>
  <c r="A1108" i="10"/>
  <c r="B1108" i="10"/>
  <c r="C1108" i="10"/>
  <c r="D1108" i="10"/>
  <c r="E1108" i="10"/>
  <c r="F1108" i="10"/>
  <c r="G1108" i="10"/>
  <c r="H1108" i="10"/>
  <c r="A1109" i="10"/>
  <c r="B1109" i="10"/>
  <c r="C1109" i="10"/>
  <c r="D1109" i="10"/>
  <c r="E1109" i="10"/>
  <c r="F1109" i="10"/>
  <c r="G1109" i="10"/>
  <c r="H1109" i="10"/>
  <c r="A1110" i="10"/>
  <c r="B1110" i="10"/>
  <c r="C1110" i="10"/>
  <c r="D1110" i="10"/>
  <c r="E1110" i="10"/>
  <c r="F1110" i="10"/>
  <c r="G1110" i="10"/>
  <c r="H1110" i="10"/>
  <c r="A1111" i="10"/>
  <c r="B1111" i="10"/>
  <c r="C1111" i="10"/>
  <c r="D1111" i="10"/>
  <c r="E1111" i="10"/>
  <c r="F1111" i="10"/>
  <c r="G1111" i="10"/>
  <c r="H1111" i="10"/>
  <c r="A1112" i="10"/>
  <c r="B1112" i="10"/>
  <c r="C1112" i="10"/>
  <c r="D1112" i="10"/>
  <c r="E1112" i="10"/>
  <c r="F1112" i="10"/>
  <c r="G1112" i="10"/>
  <c r="H1112" i="10"/>
  <c r="A1113" i="10"/>
  <c r="B1113" i="10"/>
  <c r="C1113" i="10"/>
  <c r="D1113" i="10"/>
  <c r="E1113" i="10"/>
  <c r="F1113" i="10"/>
  <c r="G1113" i="10"/>
  <c r="H1113" i="10"/>
  <c r="A1114" i="10"/>
  <c r="B1114" i="10"/>
  <c r="C1114" i="10"/>
  <c r="D1114" i="10"/>
  <c r="E1114" i="10"/>
  <c r="F1114" i="10"/>
  <c r="G1114" i="10"/>
  <c r="H1114" i="10"/>
  <c r="A1115" i="10"/>
  <c r="B1115" i="10"/>
  <c r="C1115" i="10"/>
  <c r="D1115" i="10"/>
  <c r="E1115" i="10"/>
  <c r="F1115" i="10"/>
  <c r="G1115" i="10"/>
  <c r="H1115" i="10"/>
  <c r="A1116" i="10"/>
  <c r="B1116" i="10"/>
  <c r="C1116" i="10"/>
  <c r="D1116" i="10"/>
  <c r="E1116" i="10"/>
  <c r="F1116" i="10"/>
  <c r="G1116" i="10"/>
  <c r="H1116" i="10"/>
  <c r="A1117" i="10"/>
  <c r="B1117" i="10"/>
  <c r="C1117" i="10"/>
  <c r="D1117" i="10"/>
  <c r="E1117" i="10"/>
  <c r="F1117" i="10"/>
  <c r="G1117" i="10"/>
  <c r="H1117" i="10"/>
  <c r="A1118" i="10"/>
  <c r="B1118" i="10"/>
  <c r="C1118" i="10"/>
  <c r="D1118" i="10"/>
  <c r="E1118" i="10"/>
  <c r="F1118" i="10"/>
  <c r="G1118" i="10"/>
  <c r="H1118" i="10"/>
  <c r="A1119" i="10"/>
  <c r="B1119" i="10"/>
  <c r="C1119" i="10"/>
  <c r="D1119" i="10"/>
  <c r="E1119" i="10"/>
  <c r="F1119" i="10"/>
  <c r="G1119" i="10"/>
  <c r="H1119" i="10"/>
  <c r="A1120" i="10"/>
  <c r="B1120" i="10"/>
  <c r="C1120" i="10"/>
  <c r="D1120" i="10"/>
  <c r="E1120" i="10"/>
  <c r="F1120" i="10"/>
  <c r="G1120" i="10"/>
  <c r="H1120" i="10"/>
  <c r="A1121" i="10"/>
  <c r="B1121" i="10"/>
  <c r="C1121" i="10"/>
  <c r="D1121" i="10"/>
  <c r="E1121" i="10"/>
  <c r="F1121" i="10"/>
  <c r="G1121" i="10"/>
  <c r="H1121" i="10"/>
  <c r="A1122" i="10"/>
  <c r="B1122" i="10"/>
  <c r="C1122" i="10"/>
  <c r="D1122" i="10"/>
  <c r="E1122" i="10"/>
  <c r="F1122" i="10"/>
  <c r="G1122" i="10"/>
  <c r="H1122" i="10"/>
  <c r="A1123" i="10"/>
  <c r="B1123" i="10"/>
  <c r="C1123" i="10"/>
  <c r="D1123" i="10"/>
  <c r="E1123" i="10"/>
  <c r="F1123" i="10"/>
  <c r="G1123" i="10"/>
  <c r="H1123" i="10"/>
  <c r="A1124" i="10"/>
  <c r="B1124" i="10"/>
  <c r="C1124" i="10"/>
  <c r="D1124" i="10"/>
  <c r="E1124" i="10"/>
  <c r="F1124" i="10"/>
  <c r="G1124" i="10"/>
  <c r="H1124" i="10"/>
  <c r="A1125" i="10"/>
  <c r="B1125" i="10"/>
  <c r="C1125" i="10"/>
  <c r="D1125" i="10"/>
  <c r="E1125" i="10"/>
  <c r="F1125" i="10"/>
  <c r="G1125" i="10"/>
  <c r="H1125" i="10"/>
  <c r="A1126" i="10"/>
  <c r="B1126" i="10"/>
  <c r="C1126" i="10"/>
  <c r="D1126" i="10"/>
  <c r="E1126" i="10"/>
  <c r="F1126" i="10"/>
  <c r="G1126" i="10"/>
  <c r="H1126" i="10"/>
  <c r="A1127" i="10"/>
  <c r="B1127" i="10"/>
  <c r="C1127" i="10"/>
  <c r="D1127" i="10"/>
  <c r="E1127" i="10"/>
  <c r="F1127" i="10"/>
  <c r="G1127" i="10"/>
  <c r="H1127" i="10"/>
  <c r="A1129" i="10"/>
  <c r="B1129" i="10"/>
  <c r="C1129" i="10"/>
  <c r="D1129" i="10"/>
  <c r="E1129" i="10"/>
  <c r="F1129" i="10"/>
  <c r="G1129" i="10"/>
  <c r="H1129" i="10"/>
  <c r="A1130" i="10"/>
  <c r="B1130" i="10"/>
  <c r="C1130" i="10"/>
  <c r="D1130" i="10"/>
  <c r="E1130" i="10"/>
  <c r="F1130" i="10"/>
  <c r="G1130" i="10"/>
  <c r="H1130" i="10"/>
  <c r="A1131" i="10"/>
  <c r="B1131" i="10"/>
  <c r="C1131" i="10"/>
  <c r="D1131" i="10"/>
  <c r="E1131" i="10"/>
  <c r="F1131" i="10"/>
  <c r="G1131" i="10"/>
  <c r="H1131" i="10"/>
  <c r="A1132" i="10"/>
  <c r="B1132" i="10"/>
  <c r="C1132" i="10"/>
  <c r="D1132" i="10"/>
  <c r="E1132" i="10"/>
  <c r="F1132" i="10"/>
  <c r="G1132" i="10"/>
  <c r="H1132" i="10"/>
  <c r="A1133" i="10"/>
  <c r="B1133" i="10"/>
  <c r="C1133" i="10"/>
  <c r="D1133" i="10"/>
  <c r="E1133" i="10"/>
  <c r="F1133" i="10"/>
  <c r="G1133" i="10"/>
  <c r="H1133" i="10"/>
  <c r="A1134" i="10"/>
  <c r="B1134" i="10"/>
  <c r="C1134" i="10"/>
  <c r="D1134" i="10"/>
  <c r="E1134" i="10"/>
  <c r="F1134" i="10"/>
  <c r="G1134" i="10"/>
  <c r="H1134" i="10"/>
  <c r="A1135" i="10"/>
  <c r="B1135" i="10"/>
  <c r="C1135" i="10"/>
  <c r="D1135" i="10"/>
  <c r="E1135" i="10"/>
  <c r="F1135" i="10"/>
  <c r="G1135" i="10"/>
  <c r="H1135" i="10"/>
  <c r="A1136" i="10"/>
  <c r="B1136" i="10"/>
  <c r="C1136" i="10"/>
  <c r="D1136" i="10"/>
  <c r="E1136" i="10"/>
  <c r="F1136" i="10"/>
  <c r="G1136" i="10"/>
  <c r="H1136" i="10"/>
  <c r="A1137" i="10"/>
  <c r="B1137" i="10"/>
  <c r="C1137" i="10"/>
  <c r="D1137" i="10"/>
  <c r="E1137" i="10"/>
  <c r="F1137" i="10"/>
  <c r="G1137" i="10"/>
  <c r="H1137" i="10"/>
  <c r="A1138" i="10"/>
  <c r="B1138" i="10"/>
  <c r="C1138" i="10"/>
  <c r="D1138" i="10"/>
  <c r="E1138" i="10"/>
  <c r="F1138" i="10"/>
  <c r="G1138" i="10"/>
  <c r="H1138" i="10"/>
  <c r="A1139" i="10"/>
  <c r="B1139" i="10"/>
  <c r="C1139" i="10"/>
  <c r="D1139" i="10"/>
  <c r="E1139" i="10"/>
  <c r="F1139" i="10"/>
  <c r="G1139" i="10"/>
  <c r="H1139" i="10"/>
  <c r="A1140" i="10"/>
  <c r="B1140" i="10"/>
  <c r="C1140" i="10"/>
  <c r="D1140" i="10"/>
  <c r="E1140" i="10"/>
  <c r="F1140" i="10"/>
  <c r="G1140" i="10"/>
  <c r="H1140" i="10"/>
  <c r="A1141" i="10"/>
  <c r="B1141" i="10"/>
  <c r="C1141" i="10"/>
  <c r="D1141" i="10"/>
  <c r="E1141" i="10"/>
  <c r="F1141" i="10"/>
  <c r="G1141" i="10"/>
  <c r="H1141" i="10"/>
  <c r="A1142" i="10"/>
  <c r="B1142" i="10"/>
  <c r="C1142" i="10"/>
  <c r="D1142" i="10"/>
  <c r="E1142" i="10"/>
  <c r="F1142" i="10"/>
  <c r="G1142" i="10"/>
  <c r="H1142" i="10"/>
  <c r="A1143" i="10"/>
  <c r="B1143" i="10"/>
  <c r="C1143" i="10"/>
  <c r="D1143" i="10"/>
  <c r="E1143" i="10"/>
  <c r="F1143" i="10"/>
  <c r="G1143" i="10"/>
  <c r="H1143" i="10"/>
  <c r="A1144" i="10"/>
  <c r="B1144" i="10"/>
  <c r="C1144" i="10"/>
  <c r="D1144" i="10"/>
  <c r="E1144" i="10"/>
  <c r="F1144" i="10"/>
  <c r="G1144" i="10"/>
  <c r="H1144" i="10"/>
  <c r="A1145" i="10"/>
  <c r="B1145" i="10"/>
  <c r="C1145" i="10"/>
  <c r="D1145" i="10"/>
  <c r="E1145" i="10"/>
  <c r="F1145" i="10"/>
  <c r="G1145" i="10"/>
  <c r="H1145" i="10"/>
  <c r="A1146" i="10"/>
  <c r="B1146" i="10"/>
  <c r="C1146" i="10"/>
  <c r="D1146" i="10"/>
  <c r="E1146" i="10"/>
  <c r="F1146" i="10"/>
  <c r="G1146" i="10"/>
  <c r="H1146" i="10"/>
  <c r="A1147" i="10"/>
  <c r="B1147" i="10"/>
  <c r="C1147" i="10"/>
  <c r="D1147" i="10"/>
  <c r="E1147" i="10"/>
  <c r="F1147" i="10"/>
  <c r="G1147" i="10"/>
  <c r="H1147" i="10"/>
  <c r="A1148" i="10"/>
  <c r="B1148" i="10"/>
  <c r="C1148" i="10"/>
  <c r="D1148" i="10"/>
  <c r="E1148" i="10"/>
  <c r="F1148" i="10"/>
  <c r="G1148" i="10"/>
  <c r="H1148" i="10"/>
  <c r="A1149" i="10"/>
  <c r="B1149" i="10"/>
  <c r="C1149" i="10"/>
  <c r="D1149" i="10"/>
  <c r="E1149" i="10"/>
  <c r="F1149" i="10"/>
  <c r="G1149" i="10"/>
  <c r="H1149" i="10"/>
  <c r="A1150" i="10"/>
  <c r="B1150" i="10"/>
  <c r="C1150" i="10"/>
  <c r="D1150" i="10"/>
  <c r="E1150" i="10"/>
  <c r="F1150" i="10"/>
  <c r="G1150" i="10"/>
  <c r="H1150" i="10"/>
  <c r="A1151" i="10"/>
  <c r="B1151" i="10"/>
  <c r="C1151" i="10"/>
  <c r="D1151" i="10"/>
  <c r="E1151" i="10"/>
  <c r="F1151" i="10"/>
  <c r="G1151" i="10"/>
  <c r="H1151" i="10"/>
  <c r="A1152" i="10"/>
  <c r="B1152" i="10"/>
  <c r="C1152" i="10"/>
  <c r="D1152" i="10"/>
  <c r="E1152" i="10"/>
  <c r="F1152" i="10"/>
  <c r="G1152" i="10"/>
  <c r="H1152" i="10"/>
  <c r="A1153" i="10"/>
  <c r="B1153" i="10"/>
  <c r="C1153" i="10"/>
  <c r="D1153" i="10"/>
  <c r="E1153" i="10"/>
  <c r="F1153" i="10"/>
  <c r="G1153" i="10"/>
  <c r="H1153" i="10"/>
  <c r="A1154" i="10"/>
  <c r="B1154" i="10"/>
  <c r="C1154" i="10"/>
  <c r="D1154" i="10"/>
  <c r="E1154" i="10"/>
  <c r="F1154" i="10"/>
  <c r="G1154" i="10"/>
  <c r="H1154" i="10"/>
  <c r="A1155" i="10"/>
  <c r="B1155" i="10"/>
  <c r="C1155" i="10"/>
  <c r="D1155" i="10"/>
  <c r="E1155" i="10"/>
  <c r="F1155" i="10"/>
  <c r="G1155" i="10"/>
  <c r="H1155" i="10"/>
  <c r="A1156" i="10"/>
  <c r="B1156" i="10"/>
  <c r="C1156" i="10"/>
  <c r="D1156" i="10"/>
  <c r="E1156" i="10"/>
  <c r="F1156" i="10"/>
  <c r="G1156" i="10"/>
  <c r="H1156" i="10"/>
  <c r="A1157" i="10"/>
  <c r="B1157" i="10"/>
  <c r="C1157" i="10"/>
  <c r="D1157" i="10"/>
  <c r="E1157" i="10"/>
  <c r="F1157" i="10"/>
  <c r="G1157" i="10"/>
  <c r="H1157" i="10"/>
  <c r="A1158" i="10"/>
  <c r="B1158" i="10"/>
  <c r="C1158" i="10"/>
  <c r="D1158" i="10"/>
  <c r="E1158" i="10"/>
  <c r="F1158" i="10"/>
  <c r="G1158" i="10"/>
  <c r="H1158" i="10"/>
  <c r="A1159" i="10"/>
  <c r="B1159" i="10"/>
  <c r="C1159" i="10"/>
  <c r="D1159" i="10"/>
  <c r="E1159" i="10"/>
  <c r="F1159" i="10"/>
  <c r="G1159" i="10"/>
  <c r="H1159" i="10"/>
  <c r="A1160" i="10"/>
  <c r="B1160" i="10"/>
  <c r="C1160" i="10"/>
  <c r="D1160" i="10"/>
  <c r="E1160" i="10"/>
  <c r="F1160" i="10"/>
  <c r="G1160" i="10"/>
  <c r="H1160" i="10"/>
  <c r="A1161" i="10"/>
  <c r="B1161" i="10"/>
  <c r="C1161" i="10"/>
  <c r="D1161" i="10"/>
  <c r="E1161" i="10"/>
  <c r="F1161" i="10"/>
  <c r="G1161" i="10"/>
  <c r="H1161" i="10"/>
  <c r="A1162" i="10"/>
  <c r="B1162" i="10"/>
  <c r="C1162" i="10"/>
  <c r="D1162" i="10"/>
  <c r="E1162" i="10"/>
  <c r="F1162" i="10"/>
  <c r="G1162" i="10"/>
  <c r="H1162" i="10"/>
  <c r="A1163" i="10"/>
  <c r="B1163" i="10"/>
  <c r="C1163" i="10"/>
  <c r="D1163" i="10"/>
  <c r="E1163" i="10"/>
  <c r="F1163" i="10"/>
  <c r="G1163" i="10"/>
  <c r="H1163" i="10"/>
  <c r="A1164" i="10"/>
  <c r="B1164" i="10"/>
  <c r="C1164" i="10"/>
  <c r="D1164" i="10"/>
  <c r="E1164" i="10"/>
  <c r="F1164" i="10"/>
  <c r="G1164" i="10"/>
  <c r="H1164" i="10"/>
  <c r="A1165" i="10"/>
  <c r="B1165" i="10"/>
  <c r="C1165" i="10"/>
  <c r="D1165" i="10"/>
  <c r="E1165" i="10"/>
  <c r="F1165" i="10"/>
  <c r="G1165" i="10"/>
  <c r="H1165" i="10"/>
  <c r="A1166" i="10"/>
  <c r="B1166" i="10"/>
  <c r="C1166" i="10"/>
  <c r="D1166" i="10"/>
  <c r="E1166" i="10"/>
  <c r="F1166" i="10"/>
  <c r="G1166" i="10"/>
  <c r="H1166" i="10"/>
  <c r="A1167" i="10"/>
  <c r="B1167" i="10"/>
  <c r="C1167" i="10"/>
  <c r="D1167" i="10"/>
  <c r="E1167" i="10"/>
  <c r="F1167" i="10"/>
  <c r="G1167" i="10"/>
  <c r="H1167" i="10"/>
  <c r="A1168" i="10"/>
  <c r="B1168" i="10"/>
  <c r="C1168" i="10"/>
  <c r="D1168" i="10"/>
  <c r="E1168" i="10"/>
  <c r="F1168" i="10"/>
  <c r="G1168" i="10"/>
  <c r="H1168" i="10"/>
  <c r="A1169" i="10"/>
  <c r="B1169" i="10"/>
  <c r="C1169" i="10"/>
  <c r="D1169" i="10"/>
  <c r="E1169" i="10"/>
  <c r="F1169" i="10"/>
  <c r="G1169" i="10"/>
  <c r="H1169" i="10"/>
  <c r="A1170" i="10"/>
  <c r="B1170" i="10"/>
  <c r="C1170" i="10"/>
  <c r="D1170" i="10"/>
  <c r="E1170" i="10"/>
  <c r="F1170" i="10"/>
  <c r="G1170" i="10"/>
  <c r="H1170" i="10"/>
  <c r="A1171" i="10"/>
  <c r="B1171" i="10"/>
  <c r="C1171" i="10"/>
  <c r="D1171" i="10"/>
  <c r="E1171" i="10"/>
  <c r="F1171" i="10"/>
  <c r="G1171" i="10"/>
  <c r="H1171" i="10"/>
  <c r="A1172" i="10"/>
  <c r="B1172" i="10"/>
  <c r="C1172" i="10"/>
  <c r="D1172" i="10"/>
  <c r="E1172" i="10"/>
  <c r="F1172" i="10"/>
  <c r="G1172" i="10"/>
  <c r="H1172" i="10"/>
  <c r="A1173" i="10"/>
  <c r="B1173" i="10"/>
  <c r="C1173" i="10"/>
  <c r="D1173" i="10"/>
  <c r="E1173" i="10"/>
  <c r="F1173" i="10"/>
  <c r="G1173" i="10"/>
  <c r="H1173" i="10"/>
  <c r="A1174" i="10"/>
  <c r="B1174" i="10"/>
  <c r="C1174" i="10"/>
  <c r="D1174" i="10"/>
  <c r="E1174" i="10"/>
  <c r="F1174" i="10"/>
  <c r="G1174" i="10"/>
  <c r="H1174" i="10"/>
  <c r="A1175" i="10"/>
  <c r="B1175" i="10"/>
  <c r="C1175" i="10"/>
  <c r="D1175" i="10"/>
  <c r="E1175" i="10"/>
  <c r="F1175" i="10"/>
  <c r="G1175" i="10"/>
  <c r="H1175" i="10"/>
  <c r="A1176" i="10"/>
  <c r="B1176" i="10"/>
  <c r="C1176" i="10"/>
  <c r="D1176" i="10"/>
  <c r="E1176" i="10"/>
  <c r="F1176" i="10"/>
  <c r="G1176" i="10"/>
  <c r="H1176" i="10"/>
  <c r="A1177" i="10"/>
  <c r="B1177" i="10"/>
  <c r="C1177" i="10"/>
  <c r="D1177" i="10"/>
  <c r="E1177" i="10"/>
  <c r="F1177" i="10"/>
  <c r="G1177" i="10"/>
  <c r="H1177" i="10"/>
  <c r="A1178" i="10"/>
  <c r="B1178" i="10"/>
  <c r="C1178" i="10"/>
  <c r="D1178" i="10"/>
  <c r="E1178" i="10"/>
  <c r="F1178" i="10"/>
  <c r="G1178" i="10"/>
  <c r="H1178" i="10"/>
  <c r="A1179" i="10"/>
  <c r="B1179" i="10"/>
  <c r="C1179" i="10"/>
  <c r="D1179" i="10"/>
  <c r="E1179" i="10"/>
  <c r="F1179" i="10"/>
  <c r="G1179" i="10"/>
  <c r="H1179" i="10"/>
  <c r="A1180" i="10"/>
  <c r="B1180" i="10"/>
  <c r="C1180" i="10"/>
  <c r="D1180" i="10"/>
  <c r="E1180" i="10"/>
  <c r="F1180" i="10"/>
  <c r="G1180" i="10"/>
  <c r="H1180" i="10"/>
  <c r="A1181" i="10"/>
  <c r="B1181" i="10"/>
  <c r="C1181" i="10"/>
  <c r="D1181" i="10"/>
  <c r="E1181" i="10"/>
  <c r="F1181" i="10"/>
  <c r="G1181" i="10"/>
  <c r="H1181" i="10"/>
  <c r="A1182" i="10"/>
  <c r="B1182" i="10"/>
  <c r="C1182" i="10"/>
  <c r="D1182" i="10"/>
  <c r="E1182" i="10"/>
  <c r="F1182" i="10"/>
  <c r="G1182" i="10"/>
  <c r="H1182" i="10"/>
  <c r="A1183" i="10"/>
  <c r="B1183" i="10"/>
  <c r="C1183" i="10"/>
  <c r="D1183" i="10"/>
  <c r="E1183" i="10"/>
  <c r="F1183" i="10"/>
  <c r="G1183" i="10"/>
  <c r="H1183" i="10"/>
  <c r="A1184" i="10"/>
  <c r="B1184" i="10"/>
  <c r="C1184" i="10"/>
  <c r="D1184" i="10"/>
  <c r="E1184" i="10"/>
  <c r="F1184" i="10"/>
  <c r="G1184" i="10"/>
  <c r="H1184" i="10"/>
  <c r="A1185" i="10"/>
  <c r="B1185" i="10"/>
  <c r="C1185" i="10"/>
  <c r="D1185" i="10"/>
  <c r="E1185" i="10"/>
  <c r="F1185" i="10"/>
  <c r="G1185" i="10"/>
  <c r="H1185" i="10"/>
  <c r="A1186" i="10"/>
  <c r="B1186" i="10"/>
  <c r="C1186" i="10"/>
  <c r="D1186" i="10"/>
  <c r="E1186" i="10"/>
  <c r="F1186" i="10"/>
  <c r="G1186" i="10"/>
  <c r="H1186" i="10"/>
  <c r="A1187" i="10"/>
  <c r="B1187" i="10"/>
  <c r="C1187" i="10"/>
  <c r="D1187" i="10"/>
  <c r="E1187" i="10"/>
  <c r="F1187" i="10"/>
  <c r="G1187" i="10"/>
  <c r="H1187" i="10"/>
  <c r="A1188" i="10"/>
  <c r="B1188" i="10"/>
  <c r="C1188" i="10"/>
  <c r="D1188" i="10"/>
  <c r="E1188" i="10"/>
  <c r="F1188" i="10"/>
  <c r="G1188" i="10"/>
  <c r="H1188" i="10"/>
  <c r="A1189" i="10"/>
  <c r="B1189" i="10"/>
  <c r="C1189" i="10"/>
  <c r="D1189" i="10"/>
  <c r="E1189" i="10"/>
  <c r="F1189" i="10"/>
  <c r="G1189" i="10"/>
  <c r="H1189" i="10"/>
  <c r="A1190" i="10"/>
  <c r="B1190" i="10"/>
  <c r="C1190" i="10"/>
  <c r="D1190" i="10"/>
  <c r="E1190" i="10"/>
  <c r="F1190" i="10"/>
  <c r="G1190" i="10"/>
  <c r="H1190" i="10"/>
  <c r="A1191" i="10"/>
  <c r="B1191" i="10"/>
  <c r="C1191" i="10"/>
  <c r="D1191" i="10"/>
  <c r="E1191" i="10"/>
  <c r="F1191" i="10"/>
  <c r="G1191" i="10"/>
  <c r="H1191" i="10"/>
  <c r="A1192" i="10"/>
  <c r="B1192" i="10"/>
  <c r="C1192" i="10"/>
  <c r="D1192" i="10"/>
  <c r="E1192" i="10"/>
  <c r="F1192" i="10"/>
  <c r="G1192" i="10"/>
  <c r="H1192" i="10"/>
  <c r="A1193" i="10"/>
  <c r="B1193" i="10"/>
  <c r="C1193" i="10"/>
  <c r="D1193" i="10"/>
  <c r="E1193" i="10"/>
  <c r="F1193" i="10"/>
  <c r="G1193" i="10"/>
  <c r="H1193" i="10"/>
  <c r="A1194" i="10"/>
  <c r="B1194" i="10"/>
  <c r="C1194" i="10"/>
  <c r="D1194" i="10"/>
  <c r="E1194" i="10"/>
  <c r="F1194" i="10"/>
  <c r="G1194" i="10"/>
  <c r="H1194" i="10"/>
  <c r="A1195" i="10"/>
  <c r="B1195" i="10"/>
  <c r="C1195" i="10"/>
  <c r="D1195" i="10"/>
  <c r="E1195" i="10"/>
  <c r="F1195" i="10"/>
  <c r="G1195" i="10"/>
  <c r="H1195" i="10"/>
  <c r="A1196" i="10"/>
  <c r="B1196" i="10"/>
  <c r="C1196" i="10"/>
  <c r="D1196" i="10"/>
  <c r="E1196" i="10"/>
  <c r="F1196" i="10"/>
  <c r="G1196" i="10"/>
  <c r="H1196" i="10"/>
  <c r="A1197" i="10"/>
  <c r="B1197" i="10"/>
  <c r="C1197" i="10"/>
  <c r="D1197" i="10"/>
  <c r="E1197" i="10"/>
  <c r="F1197" i="10"/>
  <c r="G1197" i="10"/>
  <c r="H1197" i="10"/>
  <c r="A1198" i="10"/>
  <c r="B1198" i="10"/>
  <c r="C1198" i="10"/>
  <c r="D1198" i="10"/>
  <c r="E1198" i="10"/>
  <c r="F1198" i="10"/>
  <c r="G1198" i="10"/>
  <c r="H1198" i="10"/>
  <c r="A1199" i="10"/>
  <c r="B1199" i="10"/>
  <c r="C1199" i="10"/>
  <c r="D1199" i="10"/>
  <c r="E1199" i="10"/>
  <c r="F1199" i="10"/>
  <c r="G1199" i="10"/>
  <c r="H1199" i="10"/>
  <c r="A1200" i="10"/>
  <c r="B1200" i="10"/>
  <c r="C1200" i="10"/>
  <c r="D1200" i="10"/>
  <c r="E1200" i="10"/>
  <c r="F1200" i="10"/>
  <c r="G1200" i="10"/>
  <c r="H1200" i="10"/>
  <c r="A1201" i="10"/>
  <c r="B1201" i="10"/>
  <c r="C1201" i="10"/>
  <c r="D1201" i="10"/>
  <c r="E1201" i="10"/>
  <c r="F1201" i="10"/>
  <c r="G1201" i="10"/>
  <c r="H1201" i="10"/>
  <c r="A1202" i="10"/>
  <c r="B1202" i="10"/>
  <c r="C1202" i="10"/>
  <c r="D1202" i="10"/>
  <c r="E1202" i="10"/>
  <c r="F1202" i="10"/>
  <c r="G1202" i="10"/>
  <c r="H1202" i="10"/>
  <c r="A1203" i="10"/>
  <c r="B1203" i="10"/>
  <c r="C1203" i="10"/>
  <c r="D1203" i="10"/>
  <c r="E1203" i="10"/>
  <c r="F1203" i="10"/>
  <c r="G1203" i="10"/>
  <c r="H1203" i="10"/>
  <c r="A1204" i="10"/>
  <c r="B1204" i="10"/>
  <c r="C1204" i="10"/>
  <c r="D1204" i="10"/>
  <c r="E1204" i="10"/>
  <c r="F1204" i="10"/>
  <c r="G1204" i="10"/>
  <c r="H1204" i="10"/>
  <c r="A1205" i="10"/>
  <c r="B1205" i="10"/>
  <c r="C1205" i="10"/>
  <c r="D1205" i="10"/>
  <c r="E1205" i="10"/>
  <c r="F1205" i="10"/>
  <c r="G1205" i="10"/>
  <c r="H1205" i="10"/>
  <c r="A1206" i="10"/>
  <c r="B1206" i="10"/>
  <c r="C1206" i="10"/>
  <c r="D1206" i="10"/>
  <c r="E1206" i="10"/>
  <c r="F1206" i="10"/>
  <c r="G1206" i="10"/>
  <c r="H1206" i="10"/>
  <c r="A1207" i="10"/>
  <c r="B1207" i="10"/>
  <c r="C1207" i="10"/>
  <c r="D1207" i="10"/>
  <c r="E1207" i="10"/>
  <c r="F1207" i="10"/>
  <c r="G1207" i="10"/>
  <c r="H1207" i="10"/>
  <c r="A1208" i="10"/>
  <c r="B1208" i="10"/>
  <c r="C1208" i="10"/>
  <c r="D1208" i="10"/>
  <c r="E1208" i="10"/>
  <c r="F1208" i="10"/>
  <c r="G1208" i="10"/>
  <c r="H1208" i="10"/>
  <c r="A1209" i="10"/>
  <c r="B1209" i="10"/>
  <c r="C1209" i="10"/>
  <c r="D1209" i="10"/>
  <c r="E1209" i="10"/>
  <c r="F1209" i="10"/>
  <c r="G1209" i="10"/>
  <c r="H1209" i="10"/>
  <c r="A1210" i="10"/>
  <c r="B1210" i="10"/>
  <c r="C1210" i="10"/>
  <c r="D1210" i="10"/>
  <c r="E1210" i="10"/>
  <c r="F1210" i="10"/>
  <c r="G1210" i="10"/>
  <c r="H1210" i="10"/>
  <c r="A1211" i="10"/>
  <c r="B1211" i="10"/>
  <c r="C1211" i="10"/>
  <c r="D1211" i="10"/>
  <c r="E1211" i="10"/>
  <c r="F1211" i="10"/>
  <c r="G1211" i="10"/>
  <c r="H1211" i="10"/>
  <c r="A1212" i="10"/>
  <c r="B1212" i="10"/>
  <c r="C1212" i="10"/>
  <c r="D1212" i="10"/>
  <c r="E1212" i="10"/>
  <c r="F1212" i="10"/>
  <c r="G1212" i="10"/>
  <c r="H1212" i="10"/>
  <c r="A1213" i="10"/>
  <c r="B1213" i="10"/>
  <c r="C1213" i="10"/>
  <c r="D1213" i="10"/>
  <c r="E1213" i="10"/>
  <c r="F1213" i="10"/>
  <c r="G1213" i="10"/>
  <c r="H1213" i="10"/>
  <c r="A1214" i="10"/>
  <c r="B1214" i="10"/>
  <c r="C1214" i="10"/>
  <c r="D1214" i="10"/>
  <c r="E1214" i="10"/>
  <c r="F1214" i="10"/>
  <c r="G1214" i="10"/>
  <c r="H1214" i="10"/>
  <c r="A1215" i="10"/>
  <c r="B1215" i="10"/>
  <c r="C1215" i="10"/>
  <c r="D1215" i="10"/>
  <c r="E1215" i="10"/>
  <c r="F1215" i="10"/>
  <c r="G1215" i="10"/>
  <c r="H1215" i="10"/>
  <c r="A1216" i="10"/>
  <c r="B1216" i="10"/>
  <c r="C1216" i="10"/>
  <c r="D1216" i="10"/>
  <c r="E1216" i="10"/>
  <c r="F1216" i="10"/>
  <c r="G1216" i="10"/>
  <c r="H1216" i="10"/>
  <c r="A1217" i="10"/>
  <c r="B1217" i="10"/>
  <c r="C1217" i="10"/>
  <c r="D1217" i="10"/>
  <c r="E1217" i="10"/>
  <c r="F1217" i="10"/>
  <c r="G1217" i="10"/>
  <c r="H1217" i="10"/>
  <c r="A1218" i="10"/>
  <c r="B1218" i="10"/>
  <c r="C1218" i="10"/>
  <c r="D1218" i="10"/>
  <c r="E1218" i="10"/>
  <c r="F1218" i="10"/>
  <c r="G1218" i="10"/>
  <c r="H1218" i="10"/>
  <c r="A1219" i="10"/>
  <c r="B1219" i="10"/>
  <c r="C1219" i="10"/>
  <c r="D1219" i="10"/>
  <c r="E1219" i="10"/>
  <c r="F1219" i="10"/>
  <c r="G1219" i="10"/>
  <c r="H1219" i="10"/>
  <c r="A1220" i="10"/>
  <c r="B1220" i="10"/>
  <c r="C1220" i="10"/>
  <c r="D1220" i="10"/>
  <c r="E1220" i="10"/>
  <c r="F1220" i="10"/>
  <c r="G1220" i="10"/>
  <c r="H1220" i="10"/>
  <c r="A1221" i="10"/>
  <c r="B1221" i="10"/>
  <c r="C1221" i="10"/>
  <c r="D1221" i="10"/>
  <c r="E1221" i="10"/>
  <c r="F1221" i="10"/>
  <c r="G1221" i="10"/>
  <c r="H1221" i="10"/>
  <c r="A1222" i="10"/>
  <c r="B1222" i="10"/>
  <c r="C1222" i="10"/>
  <c r="D1222" i="10"/>
  <c r="E1222" i="10"/>
  <c r="F1222" i="10"/>
  <c r="G1222" i="10"/>
  <c r="H1222" i="10"/>
  <c r="A1223" i="10"/>
  <c r="B1223" i="10"/>
  <c r="C1223" i="10"/>
  <c r="D1223" i="10"/>
  <c r="E1223" i="10"/>
  <c r="F1223" i="10"/>
  <c r="G1223" i="10"/>
  <c r="H1223" i="10"/>
  <c r="A1224" i="10"/>
  <c r="B1224" i="10"/>
  <c r="C1224" i="10"/>
  <c r="D1224" i="10"/>
  <c r="E1224" i="10"/>
  <c r="F1224" i="10"/>
  <c r="G1224" i="10"/>
  <c r="H1224" i="10"/>
  <c r="A1225" i="10"/>
  <c r="B1225" i="10"/>
  <c r="C1225" i="10"/>
  <c r="D1225" i="10"/>
  <c r="E1225" i="10"/>
  <c r="F1225" i="10"/>
  <c r="G1225" i="10"/>
  <c r="H1225" i="10"/>
  <c r="A1226" i="10"/>
  <c r="B1226" i="10"/>
  <c r="C1226" i="10"/>
  <c r="D1226" i="10"/>
  <c r="E1226" i="10"/>
  <c r="F1226" i="10"/>
  <c r="G1226" i="10"/>
  <c r="H1226" i="10"/>
  <c r="A1227" i="10"/>
  <c r="B1227" i="10"/>
  <c r="C1227" i="10"/>
  <c r="D1227" i="10"/>
  <c r="E1227" i="10"/>
  <c r="F1227" i="10"/>
  <c r="G1227" i="10"/>
  <c r="H1227" i="10"/>
  <c r="A1228" i="10"/>
  <c r="B1228" i="10"/>
  <c r="C1228" i="10"/>
  <c r="D1228" i="10"/>
  <c r="E1228" i="10"/>
  <c r="F1228" i="10"/>
  <c r="G1228" i="10"/>
  <c r="H1228" i="10"/>
  <c r="A1229" i="10"/>
  <c r="B1229" i="10"/>
  <c r="C1229" i="10"/>
  <c r="D1229" i="10"/>
  <c r="E1229" i="10"/>
  <c r="F1229" i="10"/>
  <c r="G1229" i="10"/>
  <c r="H1229" i="10"/>
  <c r="A1230" i="10"/>
  <c r="B1230" i="10"/>
  <c r="C1230" i="10"/>
  <c r="D1230" i="10"/>
  <c r="E1230" i="10"/>
  <c r="F1230" i="10"/>
  <c r="G1230" i="10"/>
  <c r="H1230" i="10"/>
  <c r="A1231" i="10"/>
  <c r="B1231" i="10"/>
  <c r="C1231" i="10"/>
  <c r="D1231" i="10"/>
  <c r="E1231" i="10"/>
  <c r="F1231" i="10"/>
  <c r="G1231" i="10"/>
  <c r="H1231" i="10"/>
  <c r="A1232" i="10"/>
  <c r="B1232" i="10"/>
  <c r="C1232" i="10"/>
  <c r="D1232" i="10"/>
  <c r="E1232" i="10"/>
  <c r="F1232" i="10"/>
  <c r="G1232" i="10"/>
  <c r="H1232" i="10"/>
  <c r="A1233" i="10"/>
  <c r="B1233" i="10"/>
  <c r="C1233" i="10"/>
  <c r="D1233" i="10"/>
  <c r="E1233" i="10"/>
  <c r="F1233" i="10"/>
  <c r="G1233" i="10"/>
  <c r="H1233" i="10"/>
  <c r="A1234" i="10"/>
  <c r="B1234" i="10"/>
  <c r="C1234" i="10"/>
  <c r="D1234" i="10"/>
  <c r="E1234" i="10"/>
  <c r="F1234" i="10"/>
  <c r="G1234" i="10"/>
  <c r="H1234" i="10"/>
  <c r="A1235" i="10"/>
  <c r="B1235" i="10"/>
  <c r="C1235" i="10"/>
  <c r="D1235" i="10"/>
  <c r="E1235" i="10"/>
  <c r="F1235" i="10"/>
  <c r="G1235" i="10"/>
  <c r="H1235" i="10"/>
  <c r="A1236" i="10"/>
  <c r="B1236" i="10"/>
  <c r="C1236" i="10"/>
  <c r="D1236" i="10"/>
  <c r="E1236" i="10"/>
  <c r="F1236" i="10"/>
  <c r="G1236" i="10"/>
  <c r="H1236" i="10"/>
  <c r="A1237" i="10"/>
  <c r="B1237" i="10"/>
  <c r="C1237" i="10"/>
  <c r="D1237" i="10"/>
  <c r="E1237" i="10"/>
  <c r="F1237" i="10"/>
  <c r="G1237" i="10"/>
  <c r="H1237" i="10"/>
  <c r="A1238" i="10"/>
  <c r="B1238" i="10"/>
  <c r="C1238" i="10"/>
  <c r="D1238" i="10"/>
  <c r="E1238" i="10"/>
  <c r="F1238" i="10"/>
  <c r="G1238" i="10"/>
  <c r="H1238" i="10"/>
  <c r="A1239" i="10"/>
  <c r="B1239" i="10"/>
  <c r="C1239" i="10"/>
  <c r="D1239" i="10"/>
  <c r="E1239" i="10"/>
  <c r="F1239" i="10"/>
  <c r="G1239" i="10"/>
  <c r="H1239" i="10"/>
  <c r="A1240" i="10"/>
  <c r="B1240" i="10"/>
  <c r="C1240" i="10"/>
  <c r="D1240" i="10"/>
  <c r="E1240" i="10"/>
  <c r="F1240" i="10"/>
  <c r="G1240" i="10"/>
  <c r="H1240" i="10"/>
  <c r="A1241" i="10"/>
  <c r="B1241" i="10"/>
  <c r="C1241" i="10"/>
  <c r="D1241" i="10"/>
  <c r="E1241" i="10"/>
  <c r="F1241" i="10"/>
  <c r="G1241" i="10"/>
  <c r="H1241" i="10"/>
  <c r="A1242" i="10"/>
  <c r="B1242" i="10"/>
  <c r="C1242" i="10"/>
  <c r="D1242" i="10"/>
  <c r="E1242" i="10"/>
  <c r="F1242" i="10"/>
  <c r="G1242" i="10"/>
  <c r="H1242" i="10"/>
  <c r="A1243" i="10"/>
  <c r="B1243" i="10"/>
  <c r="C1243" i="10"/>
  <c r="D1243" i="10"/>
  <c r="E1243" i="10"/>
  <c r="F1243" i="10"/>
  <c r="G1243" i="10"/>
  <c r="H1243" i="10"/>
  <c r="A1244" i="10"/>
  <c r="B1244" i="10"/>
  <c r="C1244" i="10"/>
  <c r="D1244" i="10"/>
  <c r="E1244" i="10"/>
  <c r="F1244" i="10"/>
  <c r="G1244" i="10"/>
  <c r="H1244" i="10"/>
  <c r="A1245" i="10"/>
  <c r="B1245" i="10"/>
  <c r="C1245" i="10"/>
  <c r="D1245" i="10"/>
  <c r="E1245" i="10"/>
  <c r="F1245" i="10"/>
  <c r="G1245" i="10"/>
  <c r="H1245" i="10"/>
  <c r="A1246" i="10"/>
  <c r="B1246" i="10"/>
  <c r="C1246" i="10"/>
  <c r="D1246" i="10"/>
  <c r="E1246" i="10"/>
  <c r="F1246" i="10"/>
  <c r="G1246" i="10"/>
  <c r="H1246" i="10"/>
  <c r="A1247" i="10"/>
  <c r="B1247" i="10"/>
  <c r="C1247" i="10"/>
  <c r="D1247" i="10"/>
  <c r="E1247" i="10"/>
  <c r="F1247" i="10"/>
  <c r="G1247" i="10"/>
  <c r="H1247" i="10"/>
  <c r="A1248" i="10"/>
  <c r="B1248" i="10"/>
  <c r="C1248" i="10"/>
  <c r="D1248" i="10"/>
  <c r="E1248" i="10"/>
  <c r="F1248" i="10"/>
  <c r="G1248" i="10"/>
  <c r="H1248" i="10"/>
  <c r="A1249" i="10"/>
  <c r="B1249" i="10"/>
  <c r="C1249" i="10"/>
  <c r="D1249" i="10"/>
  <c r="E1249" i="10"/>
  <c r="F1249" i="10"/>
  <c r="G1249" i="10"/>
  <c r="H1249" i="10"/>
  <c r="A1250" i="10"/>
  <c r="B1250" i="10"/>
  <c r="C1250" i="10"/>
  <c r="D1250" i="10"/>
  <c r="E1250" i="10"/>
  <c r="F1250" i="10"/>
  <c r="G1250" i="10"/>
  <c r="H1250" i="10"/>
  <c r="A1251" i="10"/>
  <c r="B1251" i="10"/>
  <c r="C1251" i="10"/>
  <c r="D1251" i="10"/>
  <c r="E1251" i="10"/>
  <c r="F1251" i="10"/>
  <c r="G1251" i="10"/>
  <c r="H1251" i="10"/>
  <c r="A1252" i="10"/>
  <c r="B1252" i="10"/>
  <c r="C1252" i="10"/>
  <c r="D1252" i="10"/>
  <c r="E1252" i="10"/>
  <c r="F1252" i="10"/>
  <c r="G1252" i="10"/>
  <c r="H1252" i="10"/>
  <c r="A1253" i="10"/>
  <c r="B1253" i="10"/>
  <c r="C1253" i="10"/>
  <c r="D1253" i="10"/>
  <c r="E1253" i="10"/>
  <c r="F1253" i="10"/>
  <c r="G1253" i="10"/>
  <c r="H1253" i="10"/>
  <c r="A1254" i="10"/>
  <c r="B1254" i="10"/>
  <c r="C1254" i="10"/>
  <c r="D1254" i="10"/>
  <c r="E1254" i="10"/>
  <c r="F1254" i="10"/>
  <c r="G1254" i="10"/>
  <c r="H1254" i="10"/>
  <c r="A1255" i="10"/>
  <c r="B1255" i="10"/>
  <c r="C1255" i="10"/>
  <c r="D1255" i="10"/>
  <c r="E1255" i="10"/>
  <c r="F1255" i="10"/>
  <c r="G1255" i="10"/>
  <c r="H1255" i="10"/>
  <c r="A1256" i="10"/>
  <c r="B1256" i="10"/>
  <c r="C1256" i="10"/>
  <c r="D1256" i="10"/>
  <c r="E1256" i="10"/>
  <c r="F1256" i="10"/>
  <c r="G1256" i="10"/>
  <c r="H1256" i="10"/>
  <c r="A1257" i="10"/>
  <c r="B1257" i="10"/>
  <c r="C1257" i="10"/>
  <c r="D1257" i="10"/>
  <c r="E1257" i="10"/>
  <c r="F1257" i="10"/>
  <c r="G1257" i="10"/>
  <c r="H1257" i="10"/>
  <c r="A1258" i="10"/>
  <c r="B1258" i="10"/>
  <c r="C1258" i="10"/>
  <c r="D1258" i="10"/>
  <c r="E1258" i="10"/>
  <c r="F1258" i="10"/>
  <c r="G1258" i="10"/>
  <c r="H1258" i="10"/>
  <c r="A1259" i="10"/>
  <c r="B1259" i="10"/>
  <c r="C1259" i="10"/>
  <c r="D1259" i="10"/>
  <c r="E1259" i="10"/>
  <c r="F1259" i="10"/>
  <c r="G1259" i="10"/>
  <c r="H1259" i="10"/>
  <c r="A1260" i="10"/>
  <c r="B1260" i="10"/>
  <c r="C1260" i="10"/>
  <c r="D1260" i="10"/>
  <c r="E1260" i="10"/>
  <c r="F1260" i="10"/>
  <c r="G1260" i="10"/>
  <c r="H1260" i="10"/>
  <c r="A1261" i="10"/>
  <c r="B1261" i="10"/>
  <c r="C1261" i="10"/>
  <c r="D1261" i="10"/>
  <c r="E1261" i="10"/>
  <c r="F1261" i="10"/>
  <c r="G1261" i="10"/>
  <c r="H1261" i="10"/>
  <c r="A1262" i="10"/>
  <c r="B1262" i="10"/>
  <c r="C1262" i="10"/>
  <c r="D1262" i="10"/>
  <c r="E1262" i="10"/>
  <c r="F1262" i="10"/>
  <c r="G1262" i="10"/>
  <c r="H1262" i="10"/>
  <c r="A1263" i="10"/>
  <c r="B1263" i="10"/>
  <c r="C1263" i="10"/>
  <c r="D1263" i="10"/>
  <c r="E1263" i="10"/>
  <c r="F1263" i="10"/>
  <c r="G1263" i="10"/>
  <c r="H1263" i="10"/>
  <c r="A1264" i="10"/>
  <c r="B1264" i="10"/>
  <c r="C1264" i="10"/>
  <c r="D1264" i="10"/>
  <c r="E1264" i="10"/>
  <c r="F1264" i="10"/>
  <c r="G1264" i="10"/>
  <c r="H1264" i="10"/>
  <c r="A1265" i="10"/>
  <c r="B1265" i="10"/>
  <c r="C1265" i="10"/>
  <c r="D1265" i="10"/>
  <c r="E1265" i="10"/>
  <c r="F1265" i="10"/>
  <c r="G1265" i="10"/>
  <c r="H1265" i="10"/>
  <c r="A1266" i="10"/>
  <c r="B1266" i="10"/>
  <c r="C1266" i="10"/>
  <c r="D1266" i="10"/>
  <c r="E1266" i="10"/>
  <c r="F1266" i="10"/>
  <c r="G1266" i="10"/>
  <c r="H1266" i="10"/>
  <c r="A1267" i="10"/>
  <c r="B1267" i="10"/>
  <c r="C1267" i="10"/>
  <c r="D1267" i="10"/>
  <c r="E1267" i="10"/>
  <c r="F1267" i="10"/>
  <c r="G1267" i="10"/>
  <c r="H1267" i="10"/>
  <c r="A1268" i="10"/>
  <c r="B1268" i="10"/>
  <c r="C1268" i="10"/>
  <c r="D1268" i="10"/>
  <c r="E1268" i="10"/>
  <c r="F1268" i="10"/>
  <c r="G1268" i="10"/>
  <c r="H1268" i="10"/>
  <c r="A1269" i="10"/>
  <c r="B1269" i="10"/>
  <c r="C1269" i="10"/>
  <c r="D1269" i="10"/>
  <c r="E1269" i="10"/>
  <c r="F1269" i="10"/>
  <c r="G1269" i="10"/>
  <c r="H1269" i="10"/>
  <c r="A1270" i="10"/>
  <c r="B1270" i="10"/>
  <c r="C1270" i="10"/>
  <c r="D1270" i="10"/>
  <c r="E1270" i="10"/>
  <c r="F1270" i="10"/>
  <c r="G1270" i="10"/>
  <c r="H1270" i="10"/>
  <c r="A1271" i="10"/>
  <c r="B1271" i="10"/>
  <c r="C1271" i="10"/>
  <c r="D1271" i="10"/>
  <c r="E1271" i="10"/>
  <c r="F1271" i="10"/>
  <c r="G1271" i="10"/>
  <c r="H1271" i="10"/>
  <c r="A1272" i="10"/>
  <c r="B1272" i="10"/>
  <c r="C1272" i="10"/>
  <c r="D1272" i="10"/>
  <c r="E1272" i="10"/>
  <c r="F1272" i="10"/>
  <c r="G1272" i="10"/>
  <c r="H1272" i="10"/>
  <c r="A1273" i="10"/>
  <c r="B1273" i="10"/>
  <c r="C1273" i="10"/>
  <c r="D1273" i="10"/>
  <c r="E1273" i="10"/>
  <c r="F1273" i="10"/>
  <c r="G1273" i="10"/>
  <c r="H1273" i="10"/>
  <c r="A1274" i="10"/>
  <c r="B1274" i="10"/>
  <c r="C1274" i="10"/>
  <c r="D1274" i="10"/>
  <c r="E1274" i="10"/>
  <c r="F1274" i="10"/>
  <c r="G1274" i="10"/>
  <c r="H1274" i="10"/>
  <c r="A1275" i="10"/>
  <c r="B1275" i="10"/>
  <c r="C1275" i="10"/>
  <c r="D1275" i="10"/>
  <c r="E1275" i="10"/>
  <c r="F1275" i="10"/>
  <c r="G1275" i="10"/>
  <c r="H1275" i="10"/>
  <c r="A1276" i="10"/>
  <c r="B1276" i="10"/>
  <c r="C1276" i="10"/>
  <c r="D1276" i="10"/>
  <c r="E1276" i="10"/>
  <c r="F1276" i="10"/>
  <c r="G1276" i="10"/>
  <c r="H1276" i="10"/>
  <c r="A1277" i="10"/>
  <c r="B1277" i="10"/>
  <c r="C1277" i="10"/>
  <c r="D1277" i="10"/>
  <c r="E1277" i="10"/>
  <c r="F1277" i="10"/>
  <c r="G1277" i="10"/>
  <c r="H1277" i="10"/>
  <c r="A1278" i="10"/>
  <c r="B1278" i="10"/>
  <c r="C1278" i="10"/>
  <c r="D1278" i="10"/>
  <c r="E1278" i="10"/>
  <c r="F1278" i="10"/>
  <c r="G1278" i="10"/>
  <c r="H1278" i="10"/>
  <c r="A1279" i="10"/>
  <c r="B1279" i="10"/>
  <c r="C1279" i="10"/>
  <c r="D1279" i="10"/>
  <c r="E1279" i="10"/>
  <c r="F1279" i="10"/>
  <c r="G1279" i="10"/>
  <c r="H1279" i="10"/>
  <c r="A1280" i="10"/>
  <c r="B1280" i="10"/>
  <c r="C1280" i="10"/>
  <c r="D1280" i="10"/>
  <c r="E1280" i="10"/>
  <c r="F1280" i="10"/>
  <c r="G1280" i="10"/>
  <c r="H1280" i="10"/>
  <c r="A1281" i="10"/>
  <c r="B1281" i="10"/>
  <c r="C1281" i="10"/>
  <c r="D1281" i="10"/>
  <c r="E1281" i="10"/>
  <c r="F1281" i="10"/>
  <c r="G1281" i="10"/>
  <c r="H1281" i="10"/>
  <c r="A1282" i="10"/>
  <c r="B1282" i="10"/>
  <c r="C1282" i="10"/>
  <c r="D1282" i="10"/>
  <c r="E1282" i="10"/>
  <c r="F1282" i="10"/>
  <c r="G1282" i="10"/>
  <c r="H1282" i="10"/>
  <c r="A1283" i="10"/>
  <c r="B1283" i="10"/>
  <c r="C1283" i="10"/>
  <c r="D1283" i="10"/>
  <c r="E1283" i="10"/>
  <c r="F1283" i="10"/>
  <c r="G1283" i="10"/>
  <c r="H1283" i="10"/>
  <c r="A1284" i="10"/>
  <c r="B1284" i="10"/>
  <c r="C1284" i="10"/>
  <c r="D1284" i="10"/>
  <c r="E1284" i="10"/>
  <c r="F1284" i="10"/>
  <c r="G1284" i="10"/>
  <c r="H1284" i="10"/>
  <c r="A1285" i="10"/>
  <c r="B1285" i="10"/>
  <c r="C1285" i="10"/>
  <c r="D1285" i="10"/>
  <c r="E1285" i="10"/>
  <c r="F1285" i="10"/>
  <c r="G1285" i="10"/>
  <c r="H1285" i="10"/>
  <c r="A1286" i="10"/>
  <c r="B1286" i="10"/>
  <c r="C1286" i="10"/>
  <c r="D1286" i="10"/>
  <c r="E1286" i="10"/>
  <c r="F1286" i="10"/>
  <c r="G1286" i="10"/>
  <c r="H1286" i="10"/>
  <c r="A1287" i="10"/>
  <c r="B1287" i="10"/>
  <c r="C1287" i="10"/>
  <c r="D1287" i="10"/>
  <c r="E1287" i="10"/>
  <c r="F1287" i="10"/>
  <c r="G1287" i="10"/>
  <c r="H1287" i="10"/>
  <c r="A1288" i="10"/>
  <c r="B1288" i="10"/>
  <c r="C1288" i="10"/>
  <c r="D1288" i="10"/>
  <c r="E1288" i="10"/>
  <c r="F1288" i="10"/>
  <c r="G1288" i="10"/>
  <c r="H1288" i="10"/>
  <c r="A1289" i="10"/>
  <c r="B1289" i="10"/>
  <c r="C1289" i="10"/>
  <c r="D1289" i="10"/>
  <c r="E1289" i="10"/>
  <c r="F1289" i="10"/>
  <c r="G1289" i="10"/>
  <c r="H1289" i="10"/>
  <c r="A1290" i="10"/>
  <c r="B1290" i="10"/>
  <c r="C1290" i="10"/>
  <c r="D1290" i="10"/>
  <c r="E1290" i="10"/>
  <c r="F1290" i="10"/>
  <c r="G1290" i="10"/>
  <c r="H1290" i="10"/>
  <c r="A1291" i="10"/>
  <c r="B1291" i="10"/>
  <c r="C1291" i="10"/>
  <c r="D1291" i="10"/>
  <c r="E1291" i="10"/>
  <c r="F1291" i="10"/>
  <c r="G1291" i="10"/>
  <c r="H1291" i="10"/>
  <c r="A1292" i="10"/>
  <c r="B1292" i="10"/>
  <c r="C1292" i="10"/>
  <c r="D1292" i="10"/>
  <c r="E1292" i="10"/>
  <c r="F1292" i="10"/>
  <c r="G1292" i="10"/>
  <c r="H1292" i="10"/>
  <c r="A1293" i="10"/>
  <c r="B1293" i="10"/>
  <c r="C1293" i="10"/>
  <c r="D1293" i="10"/>
  <c r="E1293" i="10"/>
  <c r="F1293" i="10"/>
  <c r="G1293" i="10"/>
  <c r="H1293" i="10"/>
  <c r="A1294" i="10"/>
  <c r="B1294" i="10"/>
  <c r="C1294" i="10"/>
  <c r="D1294" i="10"/>
  <c r="E1294" i="10"/>
  <c r="F1294" i="10"/>
  <c r="G1294" i="10"/>
  <c r="H1294" i="10"/>
  <c r="A1295" i="10"/>
  <c r="B1295" i="10"/>
  <c r="C1295" i="10"/>
  <c r="D1295" i="10"/>
  <c r="E1295" i="10"/>
  <c r="F1295" i="10"/>
  <c r="G1295" i="10"/>
  <c r="H1295" i="10"/>
  <c r="A1296" i="10"/>
  <c r="B1296" i="10"/>
  <c r="C1296" i="10"/>
  <c r="D1296" i="10"/>
  <c r="E1296" i="10"/>
  <c r="F1296" i="10"/>
  <c r="G1296" i="10"/>
  <c r="H1296" i="10"/>
  <c r="A1297" i="10"/>
  <c r="B1297" i="10"/>
  <c r="C1297" i="10"/>
  <c r="D1297" i="10"/>
  <c r="E1297" i="10"/>
  <c r="F1297" i="10"/>
  <c r="G1297" i="10"/>
  <c r="H1297" i="10"/>
  <c r="A1298" i="10"/>
  <c r="B1298" i="10"/>
  <c r="C1298" i="10"/>
  <c r="D1298" i="10"/>
  <c r="E1298" i="10"/>
  <c r="F1298" i="10"/>
  <c r="G1298" i="10"/>
  <c r="H1298" i="10"/>
  <c r="A1299" i="10"/>
  <c r="B1299" i="10"/>
  <c r="C1299" i="10"/>
  <c r="D1299" i="10"/>
  <c r="E1299" i="10"/>
  <c r="F1299" i="10"/>
  <c r="G1299" i="10"/>
  <c r="H1299" i="10"/>
  <c r="A1300" i="10"/>
  <c r="B1300" i="10"/>
  <c r="C1300" i="10"/>
  <c r="D1300" i="10"/>
  <c r="E1300" i="10"/>
  <c r="F1300" i="10"/>
  <c r="G1300" i="10"/>
  <c r="H1300" i="10"/>
  <c r="A1301" i="10"/>
  <c r="B1301" i="10"/>
  <c r="C1301" i="10"/>
  <c r="D1301" i="10"/>
  <c r="E1301" i="10"/>
  <c r="F1301" i="10"/>
  <c r="G1301" i="10"/>
  <c r="H1301" i="10"/>
  <c r="A1302" i="10"/>
  <c r="B1302" i="10"/>
  <c r="C1302" i="10"/>
  <c r="D1302" i="10"/>
  <c r="E1302" i="10"/>
  <c r="F1302" i="10"/>
  <c r="G1302" i="10"/>
  <c r="H1302" i="10"/>
  <c r="A1303" i="10"/>
  <c r="B1303" i="10"/>
  <c r="C1303" i="10"/>
  <c r="D1303" i="10"/>
  <c r="E1303" i="10"/>
  <c r="F1303" i="10"/>
  <c r="G1303" i="10"/>
  <c r="H1303" i="10"/>
  <c r="A1304" i="10"/>
  <c r="B1304" i="10"/>
  <c r="C1304" i="10"/>
  <c r="D1304" i="10"/>
  <c r="E1304" i="10"/>
  <c r="F1304" i="10"/>
  <c r="G1304" i="10"/>
  <c r="H1304" i="10"/>
  <c r="A1305" i="10"/>
  <c r="B1305" i="10"/>
  <c r="C1305" i="10"/>
  <c r="D1305" i="10"/>
  <c r="E1305" i="10"/>
  <c r="F1305" i="10"/>
  <c r="G1305" i="10"/>
  <c r="H1305" i="10"/>
  <c r="A1306" i="10"/>
  <c r="B1306" i="10"/>
  <c r="C1306" i="10"/>
  <c r="D1306" i="10"/>
  <c r="E1306" i="10"/>
  <c r="F1306" i="10"/>
  <c r="G1306" i="10"/>
  <c r="H1306" i="10"/>
  <c r="A1307" i="10"/>
  <c r="B1307" i="10"/>
  <c r="C1307" i="10"/>
  <c r="D1307" i="10"/>
  <c r="E1307" i="10"/>
  <c r="F1307" i="10"/>
  <c r="G1307" i="10"/>
  <c r="H1307" i="10"/>
  <c r="A1308" i="10"/>
  <c r="B1308" i="10"/>
  <c r="C1308" i="10"/>
  <c r="D1308" i="10"/>
  <c r="E1308" i="10"/>
  <c r="F1308" i="10"/>
  <c r="G1308" i="10"/>
  <c r="H1308" i="10"/>
  <c r="A1309" i="10"/>
  <c r="B1309" i="10"/>
  <c r="C1309" i="10"/>
  <c r="D1309" i="10"/>
  <c r="E1309" i="10"/>
  <c r="F1309" i="10"/>
  <c r="G1309" i="10"/>
  <c r="H1309" i="10"/>
  <c r="A1310" i="10"/>
  <c r="B1310" i="10"/>
  <c r="C1310" i="10"/>
  <c r="D1310" i="10"/>
  <c r="E1310" i="10"/>
  <c r="F1310" i="10"/>
  <c r="G1310" i="10"/>
  <c r="H1310" i="10"/>
  <c r="A1311" i="10"/>
  <c r="B1311" i="10"/>
  <c r="C1311" i="10"/>
  <c r="D1311" i="10"/>
  <c r="E1311" i="10"/>
  <c r="F1311" i="10"/>
  <c r="G1311" i="10"/>
  <c r="H1311" i="10"/>
  <c r="A1312" i="10"/>
  <c r="B1312" i="10"/>
  <c r="C1312" i="10"/>
  <c r="D1312" i="10"/>
  <c r="E1312" i="10"/>
  <c r="F1312" i="10"/>
  <c r="G1312" i="10"/>
  <c r="H1312" i="10"/>
  <c r="A1313" i="10"/>
  <c r="B1313" i="10"/>
  <c r="C1313" i="10"/>
  <c r="D1313" i="10"/>
  <c r="E1313" i="10"/>
  <c r="F1313" i="10"/>
  <c r="G1313" i="10"/>
  <c r="H1313" i="10"/>
  <c r="A1314" i="10"/>
  <c r="B1314" i="10"/>
  <c r="C1314" i="10"/>
  <c r="D1314" i="10"/>
  <c r="E1314" i="10"/>
  <c r="F1314" i="10"/>
  <c r="G1314" i="10"/>
  <c r="H1314" i="10"/>
  <c r="A1315" i="10"/>
  <c r="B1315" i="10"/>
  <c r="C1315" i="10"/>
  <c r="D1315" i="10"/>
  <c r="E1315" i="10"/>
  <c r="F1315" i="10"/>
  <c r="G1315" i="10"/>
  <c r="H1315" i="10"/>
  <c r="A1316" i="10"/>
  <c r="B1316" i="10"/>
  <c r="C1316" i="10"/>
  <c r="D1316" i="10"/>
  <c r="E1316" i="10"/>
  <c r="F1316" i="10"/>
  <c r="G1316" i="10"/>
  <c r="H1316" i="10"/>
  <c r="A1317" i="10"/>
  <c r="B1317" i="10"/>
  <c r="C1317" i="10"/>
  <c r="D1317" i="10"/>
  <c r="E1317" i="10"/>
  <c r="F1317" i="10"/>
  <c r="G1317" i="10"/>
  <c r="H1317" i="10"/>
  <c r="A1318" i="10"/>
  <c r="B1318" i="10"/>
  <c r="C1318" i="10"/>
  <c r="D1318" i="10"/>
  <c r="E1318" i="10"/>
  <c r="F1318" i="10"/>
  <c r="G1318" i="10"/>
  <c r="H1318" i="10"/>
  <c r="A1319" i="10"/>
  <c r="B1319" i="10"/>
  <c r="C1319" i="10"/>
  <c r="D1319" i="10"/>
  <c r="E1319" i="10"/>
  <c r="F1319" i="10"/>
  <c r="G1319" i="10"/>
  <c r="H1319" i="10"/>
  <c r="A1320" i="10"/>
  <c r="B1320" i="10"/>
  <c r="C1320" i="10"/>
  <c r="D1320" i="10"/>
  <c r="E1320" i="10"/>
  <c r="F1320" i="10"/>
  <c r="G1320" i="10"/>
  <c r="H1320" i="10"/>
  <c r="A1321" i="10"/>
  <c r="B1321" i="10"/>
  <c r="C1321" i="10"/>
  <c r="D1321" i="10"/>
  <c r="E1321" i="10"/>
  <c r="F1321" i="10"/>
  <c r="G1321" i="10"/>
  <c r="H1321" i="10"/>
  <c r="A1322" i="10"/>
  <c r="B1322" i="10"/>
  <c r="C1322" i="10"/>
  <c r="D1322" i="10"/>
  <c r="E1322" i="10"/>
  <c r="F1322" i="10"/>
  <c r="G1322" i="10"/>
  <c r="H1322" i="10"/>
  <c r="A1323" i="10"/>
  <c r="B1323" i="10"/>
  <c r="C1323" i="10"/>
  <c r="D1323" i="10"/>
  <c r="E1323" i="10"/>
  <c r="F1323" i="10"/>
  <c r="G1323" i="10"/>
  <c r="H1323" i="10"/>
  <c r="A1324" i="10"/>
  <c r="B1324" i="10"/>
  <c r="C1324" i="10"/>
  <c r="D1324" i="10"/>
  <c r="E1324" i="10"/>
  <c r="F1324" i="10"/>
  <c r="G1324" i="10"/>
  <c r="H1324" i="10"/>
  <c r="A1325" i="10"/>
  <c r="B1325" i="10"/>
  <c r="C1325" i="10"/>
  <c r="D1325" i="10"/>
  <c r="E1325" i="10"/>
  <c r="F1325" i="10"/>
  <c r="G1325" i="10"/>
  <c r="H1325" i="10"/>
  <c r="A1326" i="10"/>
  <c r="B1326" i="10"/>
  <c r="C1326" i="10"/>
  <c r="D1326" i="10"/>
  <c r="E1326" i="10"/>
  <c r="F1326" i="10"/>
  <c r="G1326" i="10"/>
  <c r="H1326" i="10"/>
  <c r="A1327" i="10"/>
  <c r="B1327" i="10"/>
  <c r="C1327" i="10"/>
  <c r="D1327" i="10"/>
  <c r="E1327" i="10"/>
  <c r="F1327" i="10"/>
  <c r="G1327" i="10"/>
  <c r="H1327" i="10"/>
  <c r="A1328" i="10"/>
  <c r="B1328" i="10"/>
  <c r="C1328" i="10"/>
  <c r="D1328" i="10"/>
  <c r="E1328" i="10"/>
  <c r="F1328" i="10"/>
  <c r="G1328" i="10"/>
  <c r="H1328" i="10"/>
  <c r="A1329" i="10"/>
  <c r="B1329" i="10"/>
  <c r="C1329" i="10"/>
  <c r="D1329" i="10"/>
  <c r="E1329" i="10"/>
  <c r="F1329" i="10"/>
  <c r="G1329" i="10"/>
  <c r="H1329" i="10"/>
  <c r="A1330" i="10"/>
  <c r="B1330" i="10"/>
  <c r="C1330" i="10"/>
  <c r="D1330" i="10"/>
  <c r="E1330" i="10"/>
  <c r="F1330" i="10"/>
  <c r="G1330" i="10"/>
  <c r="H1330" i="10"/>
  <c r="A1331" i="10"/>
  <c r="B1331" i="10"/>
  <c r="C1331" i="10"/>
  <c r="D1331" i="10"/>
  <c r="E1331" i="10"/>
  <c r="F1331" i="10"/>
  <c r="G1331" i="10"/>
  <c r="H1331" i="10"/>
  <c r="A1332" i="10"/>
  <c r="B1332" i="10"/>
  <c r="C1332" i="10"/>
  <c r="D1332" i="10"/>
  <c r="E1332" i="10"/>
  <c r="F1332" i="10"/>
  <c r="G1332" i="10"/>
  <c r="H1332" i="10"/>
  <c r="A1333" i="10"/>
  <c r="B1333" i="10"/>
  <c r="C1333" i="10"/>
  <c r="D1333" i="10"/>
  <c r="E1333" i="10"/>
  <c r="F1333" i="10"/>
  <c r="G1333" i="10"/>
  <c r="H1333" i="10"/>
  <c r="A1334" i="10"/>
  <c r="B1334" i="10"/>
  <c r="C1334" i="10"/>
  <c r="D1334" i="10"/>
  <c r="E1334" i="10"/>
  <c r="F1334" i="10"/>
  <c r="G1334" i="10"/>
  <c r="H1334" i="10"/>
  <c r="A1335" i="10"/>
  <c r="B1335" i="10"/>
  <c r="C1335" i="10"/>
  <c r="D1335" i="10"/>
  <c r="E1335" i="10"/>
  <c r="F1335" i="10"/>
  <c r="G1335" i="10"/>
  <c r="H1335" i="10"/>
  <c r="A1336" i="10"/>
  <c r="B1336" i="10"/>
  <c r="C1336" i="10"/>
  <c r="D1336" i="10"/>
  <c r="E1336" i="10"/>
  <c r="F1336" i="10"/>
  <c r="G1336" i="10"/>
  <c r="H1336" i="10"/>
  <c r="A1337" i="10"/>
  <c r="B1337" i="10"/>
  <c r="C1337" i="10"/>
  <c r="D1337" i="10"/>
  <c r="E1337" i="10"/>
  <c r="F1337" i="10"/>
  <c r="G1337" i="10"/>
  <c r="H1337" i="10"/>
  <c r="A1338" i="10"/>
  <c r="B1338" i="10"/>
  <c r="C1338" i="10"/>
  <c r="D1338" i="10"/>
  <c r="E1338" i="10"/>
  <c r="F1338" i="10"/>
  <c r="G1338" i="10"/>
  <c r="H1338" i="10"/>
  <c r="A1339" i="10"/>
  <c r="B1339" i="10"/>
  <c r="C1339" i="10"/>
  <c r="D1339" i="10"/>
  <c r="E1339" i="10"/>
  <c r="F1339" i="10"/>
  <c r="G1339" i="10"/>
  <c r="H1339" i="10"/>
  <c r="A1340" i="10"/>
  <c r="B1340" i="10"/>
  <c r="C1340" i="10"/>
  <c r="D1340" i="10"/>
  <c r="E1340" i="10"/>
  <c r="F1340" i="10"/>
  <c r="G1340" i="10"/>
  <c r="H1340" i="10"/>
  <c r="A1341" i="10"/>
  <c r="B1341" i="10"/>
  <c r="C1341" i="10"/>
  <c r="D1341" i="10"/>
  <c r="E1341" i="10"/>
  <c r="F1341" i="10"/>
  <c r="G1341" i="10"/>
  <c r="H1341" i="10"/>
  <c r="A1342" i="10"/>
  <c r="B1342" i="10"/>
  <c r="C1342" i="10"/>
  <c r="D1342" i="10"/>
  <c r="E1342" i="10"/>
  <c r="F1342" i="10"/>
  <c r="G1342" i="10"/>
  <c r="H1342" i="10"/>
  <c r="A1343" i="10"/>
  <c r="B1343" i="10"/>
  <c r="C1343" i="10"/>
  <c r="D1343" i="10"/>
  <c r="E1343" i="10"/>
  <c r="F1343" i="10"/>
  <c r="G1343" i="10"/>
  <c r="H1343" i="10"/>
  <c r="A1344" i="10"/>
  <c r="B1344" i="10"/>
  <c r="C1344" i="10"/>
  <c r="D1344" i="10"/>
  <c r="E1344" i="10"/>
  <c r="F1344" i="10"/>
  <c r="G1344" i="10"/>
  <c r="H1344" i="10"/>
  <c r="A1345" i="10"/>
  <c r="B1345" i="10"/>
  <c r="C1345" i="10"/>
  <c r="D1345" i="10"/>
  <c r="E1345" i="10"/>
  <c r="F1345" i="10"/>
  <c r="G1345" i="10"/>
  <c r="H1345" i="10"/>
  <c r="A1346" i="10"/>
  <c r="B1346" i="10"/>
  <c r="C1346" i="10"/>
  <c r="D1346" i="10"/>
  <c r="E1346" i="10"/>
  <c r="F1346" i="10"/>
  <c r="G1346" i="10"/>
  <c r="H1346" i="10"/>
  <c r="A1347" i="10"/>
  <c r="B1347" i="10"/>
  <c r="C1347" i="10"/>
  <c r="D1347" i="10"/>
  <c r="E1347" i="10"/>
  <c r="F1347" i="10"/>
  <c r="G1347" i="10"/>
  <c r="H1347" i="10"/>
  <c r="A1348" i="10"/>
  <c r="B1348" i="10"/>
  <c r="C1348" i="10"/>
  <c r="D1348" i="10"/>
  <c r="E1348" i="10"/>
  <c r="F1348" i="10"/>
  <c r="G1348" i="10"/>
  <c r="H1348" i="10"/>
  <c r="A1349" i="10"/>
  <c r="B1349" i="10"/>
  <c r="C1349" i="10"/>
  <c r="D1349" i="10"/>
  <c r="E1349" i="10"/>
  <c r="F1349" i="10"/>
  <c r="G1349" i="10"/>
  <c r="H1349" i="10"/>
  <c r="A1350" i="10"/>
  <c r="B1350" i="10"/>
  <c r="C1350" i="10"/>
  <c r="D1350" i="10"/>
  <c r="E1350" i="10"/>
  <c r="F1350" i="10"/>
  <c r="G1350" i="10"/>
  <c r="H1350" i="10"/>
  <c r="A1351" i="10"/>
  <c r="B1351" i="10"/>
  <c r="C1351" i="10"/>
  <c r="D1351" i="10"/>
  <c r="E1351" i="10"/>
  <c r="F1351" i="10"/>
  <c r="G1351" i="10"/>
  <c r="H1351" i="10"/>
  <c r="A1352" i="10"/>
  <c r="B1352" i="10"/>
  <c r="C1352" i="10"/>
  <c r="D1352" i="10"/>
  <c r="E1352" i="10"/>
  <c r="F1352" i="10"/>
  <c r="G1352" i="10"/>
  <c r="H1352" i="10"/>
  <c r="A1353" i="10"/>
  <c r="B1353" i="10"/>
  <c r="C1353" i="10"/>
  <c r="D1353" i="10"/>
  <c r="E1353" i="10"/>
  <c r="F1353" i="10"/>
  <c r="G1353" i="10"/>
  <c r="H1353" i="10"/>
  <c r="A1354" i="10"/>
  <c r="B1354" i="10"/>
  <c r="C1354" i="10"/>
  <c r="D1354" i="10"/>
  <c r="E1354" i="10"/>
  <c r="F1354" i="10"/>
  <c r="G1354" i="10"/>
  <c r="H1354" i="10"/>
  <c r="A1355" i="10"/>
  <c r="B1355" i="10"/>
  <c r="C1355" i="10"/>
  <c r="D1355" i="10"/>
  <c r="E1355" i="10"/>
  <c r="F1355" i="10"/>
  <c r="G1355" i="10"/>
  <c r="H1355" i="10"/>
  <c r="A1356" i="10"/>
  <c r="B1356" i="10"/>
  <c r="C1356" i="10"/>
  <c r="D1356" i="10"/>
  <c r="E1356" i="10"/>
  <c r="F1356" i="10"/>
  <c r="G1356" i="10"/>
  <c r="H1356" i="10"/>
  <c r="A1357" i="10"/>
  <c r="B1357" i="10"/>
  <c r="C1357" i="10"/>
  <c r="D1357" i="10"/>
  <c r="E1357" i="10"/>
  <c r="F1357" i="10"/>
  <c r="G1357" i="10"/>
  <c r="H1357" i="10"/>
  <c r="A1358" i="10"/>
  <c r="B1358" i="10"/>
  <c r="C1358" i="10"/>
  <c r="D1358" i="10"/>
  <c r="E1358" i="10"/>
  <c r="F1358" i="10"/>
  <c r="G1358" i="10"/>
  <c r="H1358" i="10"/>
  <c r="B2" i="10"/>
  <c r="C2" i="10"/>
  <c r="D2" i="10"/>
  <c r="E2" i="10"/>
  <c r="F2" i="10"/>
  <c r="G2" i="10"/>
  <c r="H2" i="10"/>
  <c r="A2" i="10"/>
  <c r="T1666" i="3" l="1"/>
  <c r="V1666" i="3" s="1"/>
  <c r="T1665" i="3"/>
  <c r="V1665" i="3" s="1"/>
  <c r="J1666" i="3"/>
  <c r="J1665" i="3"/>
  <c r="T1660" i="3"/>
  <c r="K810" i="2"/>
  <c r="O810" i="4" s="1"/>
  <c r="K783" i="2"/>
  <c r="J783" i="2"/>
  <c r="I783" i="2"/>
  <c r="K807" i="2"/>
  <c r="K806" i="2"/>
  <c r="K805" i="2"/>
  <c r="K804" i="2"/>
  <c r="K803" i="2"/>
  <c r="K802" i="2"/>
  <c r="K801" i="2"/>
  <c r="K800" i="2"/>
  <c r="K799" i="2"/>
  <c r="K797" i="2"/>
  <c r="K796" i="2"/>
  <c r="K795" i="2"/>
  <c r="K794" i="2"/>
  <c r="K793" i="2"/>
  <c r="K792" i="2"/>
  <c r="K791" i="2"/>
  <c r="K790" i="2"/>
  <c r="K789" i="2"/>
  <c r="K788" i="2"/>
  <c r="K787" i="2"/>
  <c r="K786" i="2"/>
  <c r="K785" i="2"/>
  <c r="K784" i="2"/>
  <c r="K782" i="2"/>
  <c r="A1623" i="10"/>
  <c r="B1623" i="10"/>
  <c r="C1623" i="10"/>
  <c r="D1623" i="10"/>
  <c r="E1623" i="10"/>
  <c r="F1623" i="10"/>
  <c r="G1623" i="10"/>
  <c r="H1623" i="10"/>
  <c r="A1624" i="10"/>
  <c r="B1624" i="10"/>
  <c r="C1624" i="10"/>
  <c r="D1624" i="10"/>
  <c r="E1624" i="10"/>
  <c r="F1624" i="10"/>
  <c r="G1624" i="10"/>
  <c r="H1624" i="10"/>
  <c r="A1625" i="10"/>
  <c r="B1625" i="10"/>
  <c r="C1625" i="10"/>
  <c r="D1625" i="10"/>
  <c r="E1625" i="10"/>
  <c r="F1625" i="10"/>
  <c r="G1625" i="10"/>
  <c r="H1625" i="10"/>
  <c r="A1626" i="10"/>
  <c r="B1626" i="10"/>
  <c r="C1626" i="10"/>
  <c r="D1626" i="10"/>
  <c r="E1626" i="10"/>
  <c r="F1626" i="10"/>
  <c r="G1626" i="10"/>
  <c r="H1626" i="10"/>
  <c r="R778" i="4"/>
  <c r="N778" i="2"/>
  <c r="A1610" i="10"/>
  <c r="B1610" i="10"/>
  <c r="C1610" i="10"/>
  <c r="D1610" i="10"/>
  <c r="E1610" i="10"/>
  <c r="F1610" i="10"/>
  <c r="G1610" i="10"/>
  <c r="H1610" i="10"/>
  <c r="A1611" i="10"/>
  <c r="B1611" i="10"/>
  <c r="C1611" i="10"/>
  <c r="D1611" i="10"/>
  <c r="E1611" i="10"/>
  <c r="F1611" i="10"/>
  <c r="G1611" i="10"/>
  <c r="H1611" i="10"/>
  <c r="A1612" i="10"/>
  <c r="B1612" i="10"/>
  <c r="C1612" i="10"/>
  <c r="D1612" i="10"/>
  <c r="E1612" i="10"/>
  <c r="F1612" i="10"/>
  <c r="G1612" i="10"/>
  <c r="H1612" i="10"/>
  <c r="A1613" i="10"/>
  <c r="B1613" i="10"/>
  <c r="C1613" i="10"/>
  <c r="D1613" i="10"/>
  <c r="E1613" i="10"/>
  <c r="F1613" i="10"/>
  <c r="G1613" i="10"/>
  <c r="H1613" i="10"/>
  <c r="R810" i="4" l="1"/>
  <c r="P810" i="4"/>
  <c r="X1660" i="3"/>
  <c r="J1660" i="3"/>
  <c r="P1660" i="3"/>
  <c r="H773" i="4"/>
  <c r="P770" i="4"/>
  <c r="P771" i="4"/>
  <c r="H764" i="4"/>
  <c r="H763" i="4"/>
  <c r="H762" i="4"/>
  <c r="K764" i="2"/>
  <c r="K763" i="2"/>
  <c r="K762" i="2"/>
  <c r="J757" i="2"/>
  <c r="I757" i="2"/>
  <c r="H756" i="4"/>
  <c r="H755" i="4"/>
  <c r="J756" i="2"/>
  <c r="J755" i="2"/>
  <c r="I756" i="2"/>
  <c r="I755" i="2"/>
  <c r="K751" i="2"/>
  <c r="A1529" i="10"/>
  <c r="B1529" i="10"/>
  <c r="C1529" i="10"/>
  <c r="D1529" i="10"/>
  <c r="E1529" i="10"/>
  <c r="F1529" i="10"/>
  <c r="G1529" i="10"/>
  <c r="H1529" i="10"/>
  <c r="C1530" i="10"/>
  <c r="D1530" i="10"/>
  <c r="E1530" i="10"/>
  <c r="F1530" i="10"/>
  <c r="G1530" i="10"/>
  <c r="H1530" i="10"/>
  <c r="C1531" i="10"/>
  <c r="D1531" i="10"/>
  <c r="E1531" i="10"/>
  <c r="F1531" i="10"/>
  <c r="G1531" i="10"/>
  <c r="H1531" i="10"/>
  <c r="C1532" i="10"/>
  <c r="D1532" i="10"/>
  <c r="E1532" i="10"/>
  <c r="F1532" i="10"/>
  <c r="G1532" i="10"/>
  <c r="H1532" i="10"/>
  <c r="C1533" i="10"/>
  <c r="D1533" i="10"/>
  <c r="E1533" i="10"/>
  <c r="F1533" i="10"/>
  <c r="G1533" i="10"/>
  <c r="H1533" i="10"/>
  <c r="C1534" i="10"/>
  <c r="D1534" i="10"/>
  <c r="E1534" i="10"/>
  <c r="F1534" i="10"/>
  <c r="G1534" i="10"/>
  <c r="H1534" i="10"/>
  <c r="C1535" i="10"/>
  <c r="D1535" i="10"/>
  <c r="E1535" i="10"/>
  <c r="F1535" i="10"/>
  <c r="G1535" i="10"/>
  <c r="H1535" i="10"/>
  <c r="C1536" i="10"/>
  <c r="D1536" i="10"/>
  <c r="E1536" i="10"/>
  <c r="F1536" i="10"/>
  <c r="G1536" i="10"/>
  <c r="H1536" i="10"/>
  <c r="C1537" i="10"/>
  <c r="D1537" i="10"/>
  <c r="E1537" i="10"/>
  <c r="F1537" i="10"/>
  <c r="G1537" i="10"/>
  <c r="H1537" i="10"/>
  <c r="C1538" i="10"/>
  <c r="D1538" i="10"/>
  <c r="E1538" i="10"/>
  <c r="F1538" i="10"/>
  <c r="G1538" i="10"/>
  <c r="H1538" i="10"/>
  <c r="C1539" i="10"/>
  <c r="D1539" i="10"/>
  <c r="E1539" i="10"/>
  <c r="F1539" i="10"/>
  <c r="G1539" i="10"/>
  <c r="H1539" i="10"/>
  <c r="C1540" i="10"/>
  <c r="D1540" i="10"/>
  <c r="E1540" i="10"/>
  <c r="F1540" i="10"/>
  <c r="G1540" i="10"/>
  <c r="H1540" i="10"/>
  <c r="C1541" i="10"/>
  <c r="D1541" i="10"/>
  <c r="E1541" i="10"/>
  <c r="F1541" i="10"/>
  <c r="G1541" i="10"/>
  <c r="H1541" i="10"/>
  <c r="C1542" i="10"/>
  <c r="D1542" i="10"/>
  <c r="E1542" i="10"/>
  <c r="F1542" i="10"/>
  <c r="G1542" i="10"/>
  <c r="H1542" i="10"/>
  <c r="C1543" i="10"/>
  <c r="D1543" i="10"/>
  <c r="E1543" i="10"/>
  <c r="F1543" i="10"/>
  <c r="G1543" i="10"/>
  <c r="H1543" i="10"/>
  <c r="C1544" i="10"/>
  <c r="D1544" i="10"/>
  <c r="E1544" i="10"/>
  <c r="F1544" i="10"/>
  <c r="G1544" i="10"/>
  <c r="H1544" i="10"/>
  <c r="C1545" i="10"/>
  <c r="D1545" i="10"/>
  <c r="E1545" i="10"/>
  <c r="F1545" i="10"/>
  <c r="G1545" i="10"/>
  <c r="H1545" i="10"/>
  <c r="C1546" i="10"/>
  <c r="D1546" i="10"/>
  <c r="E1546" i="10"/>
  <c r="F1546" i="10"/>
  <c r="G1546" i="10"/>
  <c r="H1546" i="10"/>
  <c r="C1547" i="10"/>
  <c r="D1547" i="10"/>
  <c r="E1547" i="10"/>
  <c r="F1547" i="10"/>
  <c r="G1547" i="10"/>
  <c r="H1547" i="10"/>
  <c r="C1548" i="10"/>
  <c r="D1548" i="10"/>
  <c r="E1548" i="10"/>
  <c r="F1548" i="10"/>
  <c r="G1548" i="10"/>
  <c r="H1548" i="10"/>
  <c r="C1549" i="10"/>
  <c r="D1549" i="10"/>
  <c r="E1549" i="10"/>
  <c r="F1549" i="10"/>
  <c r="G1549" i="10"/>
  <c r="H1549" i="10"/>
  <c r="C1550" i="10"/>
  <c r="D1550" i="10"/>
  <c r="E1550" i="10"/>
  <c r="F1550" i="10"/>
  <c r="G1550" i="10"/>
  <c r="H1550" i="10"/>
  <c r="C1551" i="10"/>
  <c r="D1551" i="10"/>
  <c r="E1551" i="10"/>
  <c r="F1551" i="10"/>
  <c r="G1551" i="10"/>
  <c r="H1551" i="10"/>
  <c r="C1552" i="10"/>
  <c r="D1552" i="10"/>
  <c r="E1552" i="10"/>
  <c r="F1552" i="10"/>
  <c r="G1552" i="10"/>
  <c r="H1552" i="10"/>
  <c r="C1553" i="10"/>
  <c r="D1553" i="10"/>
  <c r="E1553" i="10"/>
  <c r="F1553" i="10"/>
  <c r="G1553" i="10"/>
  <c r="H1553" i="10"/>
  <c r="C1554" i="10"/>
  <c r="D1554" i="10"/>
  <c r="E1554" i="10"/>
  <c r="F1554" i="10"/>
  <c r="G1554" i="10"/>
  <c r="H1554" i="10"/>
  <c r="C1555" i="10"/>
  <c r="D1555" i="10"/>
  <c r="E1555" i="10"/>
  <c r="F1555" i="10"/>
  <c r="G1555" i="10"/>
  <c r="H1555" i="10"/>
  <c r="C1556" i="10"/>
  <c r="D1556" i="10"/>
  <c r="E1556" i="10"/>
  <c r="F1556" i="10"/>
  <c r="G1556" i="10"/>
  <c r="H1556" i="10"/>
  <c r="C1557" i="10"/>
  <c r="D1557" i="10"/>
  <c r="E1557" i="10"/>
  <c r="F1557" i="10"/>
  <c r="G1557" i="10"/>
  <c r="H1557" i="10"/>
  <c r="C1558" i="10"/>
  <c r="D1558" i="10"/>
  <c r="E1558" i="10"/>
  <c r="F1558" i="10"/>
  <c r="G1558" i="10"/>
  <c r="H1558" i="10"/>
  <c r="C1559" i="10"/>
  <c r="D1559" i="10"/>
  <c r="E1559" i="10"/>
  <c r="F1559" i="10"/>
  <c r="G1559" i="10"/>
  <c r="H1559" i="10"/>
  <c r="C1560" i="10"/>
  <c r="D1560" i="10"/>
  <c r="E1560" i="10"/>
  <c r="F1560" i="10"/>
  <c r="G1560" i="10"/>
  <c r="H1560" i="10"/>
  <c r="C1561" i="10"/>
  <c r="D1561" i="10"/>
  <c r="E1561" i="10"/>
  <c r="F1561" i="10"/>
  <c r="G1561" i="10"/>
  <c r="H1561" i="10"/>
  <c r="C1562" i="10"/>
  <c r="D1562" i="10"/>
  <c r="E1562" i="10"/>
  <c r="F1562" i="10"/>
  <c r="G1562" i="10"/>
  <c r="H1562" i="10"/>
  <c r="C1563" i="10"/>
  <c r="D1563" i="10"/>
  <c r="E1563" i="10"/>
  <c r="F1563" i="10"/>
  <c r="G1563" i="10"/>
  <c r="H1563" i="10"/>
  <c r="C1564" i="10"/>
  <c r="D1564" i="10"/>
  <c r="E1564" i="10"/>
  <c r="F1564" i="10"/>
  <c r="G1564" i="10"/>
  <c r="H1564" i="10"/>
  <c r="C1565" i="10"/>
  <c r="D1565" i="10"/>
  <c r="E1565" i="10"/>
  <c r="F1565" i="10"/>
  <c r="G1565" i="10"/>
  <c r="H1565" i="10"/>
  <c r="C1566" i="10"/>
  <c r="D1566" i="10"/>
  <c r="E1566" i="10"/>
  <c r="F1566" i="10"/>
  <c r="G1566" i="10"/>
  <c r="H1566" i="10"/>
  <c r="C1567" i="10"/>
  <c r="D1567" i="10"/>
  <c r="E1567" i="10"/>
  <c r="F1567" i="10"/>
  <c r="G1567" i="10"/>
  <c r="H1567" i="10"/>
  <c r="C1568" i="10"/>
  <c r="D1568" i="10"/>
  <c r="E1568" i="10"/>
  <c r="F1568" i="10"/>
  <c r="G1568" i="10"/>
  <c r="H1568" i="10"/>
  <c r="C1569" i="10"/>
  <c r="D1569" i="10"/>
  <c r="E1569" i="10"/>
  <c r="F1569" i="10"/>
  <c r="G1569" i="10"/>
  <c r="H1569" i="10"/>
  <c r="C1570" i="10"/>
  <c r="D1570" i="10"/>
  <c r="E1570" i="10"/>
  <c r="F1570" i="10"/>
  <c r="G1570" i="10"/>
  <c r="H1570" i="10"/>
  <c r="C1571" i="10"/>
  <c r="D1571" i="10"/>
  <c r="E1571" i="10"/>
  <c r="F1571" i="10"/>
  <c r="G1571" i="10"/>
  <c r="H1571" i="10"/>
  <c r="C1572" i="10"/>
  <c r="D1572" i="10"/>
  <c r="E1572" i="10"/>
  <c r="F1572" i="10"/>
  <c r="G1572" i="10"/>
  <c r="H1572" i="10"/>
  <c r="C1573" i="10"/>
  <c r="D1573" i="10"/>
  <c r="E1573" i="10"/>
  <c r="F1573" i="10"/>
  <c r="G1573" i="10"/>
  <c r="H1573" i="10"/>
  <c r="C1574" i="10"/>
  <c r="D1574" i="10"/>
  <c r="E1574" i="10"/>
  <c r="F1574" i="10"/>
  <c r="G1574" i="10"/>
  <c r="H1574" i="10"/>
  <c r="C1575" i="10"/>
  <c r="D1575" i="10"/>
  <c r="E1575" i="10"/>
  <c r="F1575" i="10"/>
  <c r="G1575" i="10"/>
  <c r="H1575" i="10"/>
  <c r="C1576" i="10"/>
  <c r="D1576" i="10"/>
  <c r="E1576" i="10"/>
  <c r="F1576" i="10"/>
  <c r="G1576" i="10"/>
  <c r="H1576" i="10"/>
  <c r="C1577" i="10"/>
  <c r="D1577" i="10"/>
  <c r="E1577" i="10"/>
  <c r="F1577" i="10"/>
  <c r="G1577" i="10"/>
  <c r="H1577" i="10"/>
  <c r="C1578" i="10"/>
  <c r="D1578" i="10"/>
  <c r="E1578" i="10"/>
  <c r="F1578" i="10"/>
  <c r="G1578" i="10"/>
  <c r="H1578" i="10"/>
  <c r="C1579" i="10"/>
  <c r="D1579" i="10"/>
  <c r="E1579" i="10"/>
  <c r="F1579" i="10"/>
  <c r="G1579" i="10"/>
  <c r="H1579" i="10"/>
  <c r="C1580" i="10"/>
  <c r="D1580" i="10"/>
  <c r="E1580" i="10"/>
  <c r="F1580" i="10"/>
  <c r="G1580" i="10"/>
  <c r="H1580" i="10"/>
  <c r="C1581" i="10"/>
  <c r="D1581" i="10"/>
  <c r="E1581" i="10"/>
  <c r="F1581" i="10"/>
  <c r="G1581" i="10"/>
  <c r="H1581" i="10"/>
  <c r="C1582" i="10"/>
  <c r="D1582" i="10"/>
  <c r="E1582" i="10"/>
  <c r="F1582" i="10"/>
  <c r="G1582" i="10"/>
  <c r="H1582" i="10"/>
  <c r="C1583" i="10"/>
  <c r="D1583" i="10"/>
  <c r="E1583" i="10"/>
  <c r="F1583" i="10"/>
  <c r="G1583" i="10"/>
  <c r="H1583" i="10"/>
  <c r="C1584" i="10"/>
  <c r="D1584" i="10"/>
  <c r="E1584" i="10"/>
  <c r="F1584" i="10"/>
  <c r="G1584" i="10"/>
  <c r="H1584" i="10"/>
  <c r="C1585" i="10"/>
  <c r="D1585" i="10"/>
  <c r="E1585" i="10"/>
  <c r="F1585" i="10"/>
  <c r="G1585" i="10"/>
  <c r="H1585" i="10"/>
  <c r="C1586" i="10"/>
  <c r="D1586" i="10"/>
  <c r="E1586" i="10"/>
  <c r="F1586" i="10"/>
  <c r="G1586" i="10"/>
  <c r="H1586" i="10"/>
  <c r="C1587" i="10"/>
  <c r="D1587" i="10"/>
  <c r="E1587" i="10"/>
  <c r="F1587" i="10"/>
  <c r="G1587" i="10"/>
  <c r="H1587" i="10"/>
  <c r="C1588" i="10"/>
  <c r="D1588" i="10"/>
  <c r="E1588" i="10"/>
  <c r="F1588" i="10"/>
  <c r="G1588" i="10"/>
  <c r="H1588" i="10"/>
  <c r="C1589" i="10"/>
  <c r="D1589" i="10"/>
  <c r="E1589" i="10"/>
  <c r="F1589" i="10"/>
  <c r="G1589" i="10"/>
  <c r="H1589" i="10"/>
  <c r="C1590" i="10"/>
  <c r="D1590" i="10"/>
  <c r="E1590" i="10"/>
  <c r="F1590" i="10"/>
  <c r="G1590" i="10"/>
  <c r="H1590" i="10"/>
  <c r="C1591" i="10"/>
  <c r="D1591" i="10"/>
  <c r="E1591" i="10"/>
  <c r="F1591" i="10"/>
  <c r="G1591" i="10"/>
  <c r="H1591" i="10"/>
  <c r="C1592" i="10"/>
  <c r="D1592" i="10"/>
  <c r="E1592" i="10"/>
  <c r="F1592" i="10"/>
  <c r="G1592" i="10"/>
  <c r="H1592" i="10"/>
  <c r="C1593" i="10"/>
  <c r="D1593" i="10"/>
  <c r="E1593" i="10"/>
  <c r="F1593" i="10"/>
  <c r="G1593" i="10"/>
  <c r="H1593" i="10"/>
  <c r="C1594" i="10"/>
  <c r="D1594" i="10"/>
  <c r="E1594" i="10"/>
  <c r="F1594" i="10"/>
  <c r="G1594" i="10"/>
  <c r="H1594" i="10"/>
  <c r="C1595" i="10"/>
  <c r="D1595" i="10"/>
  <c r="E1595" i="10"/>
  <c r="F1595" i="10"/>
  <c r="G1595" i="10"/>
  <c r="H1595" i="10"/>
  <c r="C1596" i="10"/>
  <c r="D1596" i="10"/>
  <c r="E1596" i="10"/>
  <c r="F1596" i="10"/>
  <c r="G1596" i="10"/>
  <c r="H1596" i="10"/>
  <c r="C1597" i="10"/>
  <c r="D1597" i="10"/>
  <c r="E1597" i="10"/>
  <c r="F1597" i="10"/>
  <c r="G1597" i="10"/>
  <c r="H1597" i="10"/>
  <c r="C1598" i="10"/>
  <c r="D1598" i="10"/>
  <c r="E1598" i="10"/>
  <c r="F1598" i="10"/>
  <c r="G1598" i="10"/>
  <c r="H1598" i="10"/>
  <c r="C1599" i="10"/>
  <c r="D1599" i="10"/>
  <c r="E1599" i="10"/>
  <c r="F1599" i="10"/>
  <c r="G1599" i="10"/>
  <c r="H1599" i="10"/>
  <c r="C1600" i="10"/>
  <c r="D1600" i="10"/>
  <c r="E1600" i="10"/>
  <c r="F1600" i="10"/>
  <c r="G1600" i="10"/>
  <c r="H1600" i="10"/>
  <c r="C1601" i="10"/>
  <c r="D1601" i="10"/>
  <c r="E1601" i="10"/>
  <c r="F1601" i="10"/>
  <c r="G1601" i="10"/>
  <c r="H1601" i="10"/>
  <c r="C1602" i="10"/>
  <c r="D1602" i="10"/>
  <c r="E1602" i="10"/>
  <c r="F1602" i="10"/>
  <c r="G1602" i="10"/>
  <c r="H1602" i="10"/>
  <c r="C1603" i="10"/>
  <c r="D1603" i="10"/>
  <c r="E1603" i="10"/>
  <c r="F1603" i="10"/>
  <c r="G1603" i="10"/>
  <c r="H1603" i="10"/>
  <c r="C1604" i="10"/>
  <c r="D1604" i="10"/>
  <c r="E1604" i="10"/>
  <c r="F1604" i="10"/>
  <c r="G1604" i="10"/>
  <c r="H1604" i="10"/>
  <c r="C1605" i="10"/>
  <c r="D1605" i="10"/>
  <c r="E1605" i="10"/>
  <c r="F1605" i="10"/>
  <c r="G1605" i="10"/>
  <c r="H1605" i="10"/>
  <c r="C1606" i="10"/>
  <c r="D1606" i="10"/>
  <c r="E1606" i="10"/>
  <c r="F1606" i="10"/>
  <c r="G1606" i="10"/>
  <c r="H1606" i="10"/>
  <c r="C1607" i="10"/>
  <c r="D1607" i="10"/>
  <c r="E1607" i="10"/>
  <c r="F1607" i="10"/>
  <c r="G1607" i="10"/>
  <c r="H1607" i="10"/>
  <c r="C1608" i="10"/>
  <c r="D1608" i="10"/>
  <c r="E1608" i="10"/>
  <c r="F1608" i="10"/>
  <c r="G1608" i="10"/>
  <c r="H1608" i="10"/>
  <c r="C1609" i="10"/>
  <c r="D1609" i="10"/>
  <c r="E1609" i="10"/>
  <c r="F1609" i="10"/>
  <c r="G1609" i="10"/>
  <c r="H1609" i="10"/>
  <c r="C1614" i="10"/>
  <c r="D1614" i="10"/>
  <c r="E1614" i="10"/>
  <c r="F1614" i="10"/>
  <c r="G1614" i="10"/>
  <c r="H1614" i="10"/>
  <c r="C1615" i="10"/>
  <c r="D1615" i="10"/>
  <c r="E1615" i="10"/>
  <c r="F1615" i="10"/>
  <c r="G1615" i="10"/>
  <c r="H1615" i="10"/>
  <c r="C1616" i="10"/>
  <c r="D1616" i="10"/>
  <c r="E1616" i="10"/>
  <c r="F1616" i="10"/>
  <c r="G1616" i="10"/>
  <c r="H1616" i="10"/>
  <c r="C1617" i="10"/>
  <c r="D1617" i="10"/>
  <c r="E1617" i="10"/>
  <c r="F1617" i="10"/>
  <c r="G1617" i="10"/>
  <c r="H1617" i="10"/>
  <c r="C1618" i="10"/>
  <c r="D1618" i="10"/>
  <c r="E1618" i="10"/>
  <c r="F1618" i="10"/>
  <c r="G1618" i="10"/>
  <c r="H1618" i="10"/>
  <c r="C1619" i="10"/>
  <c r="D1619" i="10"/>
  <c r="E1619" i="10"/>
  <c r="F1619" i="10"/>
  <c r="G1619" i="10"/>
  <c r="H1619" i="10"/>
  <c r="C1620" i="10"/>
  <c r="D1620" i="10"/>
  <c r="E1620" i="10"/>
  <c r="F1620" i="10"/>
  <c r="G1620" i="10"/>
  <c r="H1620" i="10"/>
  <c r="C1621" i="10"/>
  <c r="D1621" i="10"/>
  <c r="E1621" i="10"/>
  <c r="F1621" i="10"/>
  <c r="G1621" i="10"/>
  <c r="H1621" i="10"/>
  <c r="C1622" i="10"/>
  <c r="D1622" i="10"/>
  <c r="E1622" i="10"/>
  <c r="F1622" i="10"/>
  <c r="G1622" i="10"/>
  <c r="H1622" i="10"/>
  <c r="C1627" i="10"/>
  <c r="D1627" i="10"/>
  <c r="E1627" i="10"/>
  <c r="F1627" i="10"/>
  <c r="G1627" i="10"/>
  <c r="H1627" i="10"/>
  <c r="C1628" i="10"/>
  <c r="D1628" i="10"/>
  <c r="E1628" i="10"/>
  <c r="F1628" i="10"/>
  <c r="G1628" i="10"/>
  <c r="H1628" i="10"/>
  <c r="C1629" i="10"/>
  <c r="D1629" i="10"/>
  <c r="E1629" i="10"/>
  <c r="F1629" i="10"/>
  <c r="G1629" i="10"/>
  <c r="H1629" i="10"/>
  <c r="C1630" i="10"/>
  <c r="D1630" i="10"/>
  <c r="E1630" i="10"/>
  <c r="F1630" i="10"/>
  <c r="G1630" i="10"/>
  <c r="H1630" i="10"/>
  <c r="C1631" i="10"/>
  <c r="D1631" i="10"/>
  <c r="E1631" i="10"/>
  <c r="F1631" i="10"/>
  <c r="G1631" i="10"/>
  <c r="H1631" i="10"/>
  <c r="C1632" i="10"/>
  <c r="D1632" i="10"/>
  <c r="E1632" i="10"/>
  <c r="F1632" i="10"/>
  <c r="G1632" i="10"/>
  <c r="H1632" i="10"/>
  <c r="C1633" i="10"/>
  <c r="D1633" i="10"/>
  <c r="E1633" i="10"/>
  <c r="F1633" i="10"/>
  <c r="G1633" i="10"/>
  <c r="H1633" i="10"/>
  <c r="C1634" i="10"/>
  <c r="D1634" i="10"/>
  <c r="E1634" i="10"/>
  <c r="F1634" i="10"/>
  <c r="G1634" i="10"/>
  <c r="H1634" i="10"/>
  <c r="C1635" i="10"/>
  <c r="D1635" i="10"/>
  <c r="E1635" i="10"/>
  <c r="F1635" i="10"/>
  <c r="G1635" i="10"/>
  <c r="H1635" i="10"/>
  <c r="C1636" i="10"/>
  <c r="D1636" i="10"/>
  <c r="E1636" i="10"/>
  <c r="F1636" i="10"/>
  <c r="G1636" i="10"/>
  <c r="H1636" i="10"/>
  <c r="C1637" i="10"/>
  <c r="D1637" i="10"/>
  <c r="E1637" i="10"/>
  <c r="F1637" i="10"/>
  <c r="G1637" i="10"/>
  <c r="H1637" i="10"/>
  <c r="C1638" i="10"/>
  <c r="D1638" i="10"/>
  <c r="E1638" i="10"/>
  <c r="F1638" i="10"/>
  <c r="G1638" i="10"/>
  <c r="H1638" i="10"/>
  <c r="C1639" i="10"/>
  <c r="D1639" i="10"/>
  <c r="E1639" i="10"/>
  <c r="F1639" i="10"/>
  <c r="G1639" i="10"/>
  <c r="H1639" i="10"/>
  <c r="C1640" i="10"/>
  <c r="D1640" i="10"/>
  <c r="E1640" i="10"/>
  <c r="F1640" i="10"/>
  <c r="G1640" i="10"/>
  <c r="H1640" i="10"/>
  <c r="C1641" i="10"/>
  <c r="D1641" i="10"/>
  <c r="E1641" i="10"/>
  <c r="F1641" i="10"/>
  <c r="G1641" i="10"/>
  <c r="H1641" i="10"/>
  <c r="C1642" i="10"/>
  <c r="D1642" i="10"/>
  <c r="E1642" i="10"/>
  <c r="F1642" i="10"/>
  <c r="G1642" i="10"/>
  <c r="H1642" i="10"/>
  <c r="C1643" i="10"/>
  <c r="D1643" i="10"/>
  <c r="E1643" i="10"/>
  <c r="F1643" i="10"/>
  <c r="G1643" i="10"/>
  <c r="H1643" i="10"/>
  <c r="C1644" i="10"/>
  <c r="D1644" i="10"/>
  <c r="E1644" i="10"/>
  <c r="F1644" i="10"/>
  <c r="G1644" i="10"/>
  <c r="H1644" i="10"/>
  <c r="C1645" i="10"/>
  <c r="D1645" i="10"/>
  <c r="E1645" i="10"/>
  <c r="F1645" i="10"/>
  <c r="G1645" i="10"/>
  <c r="H1645" i="10"/>
  <c r="C1646" i="10"/>
  <c r="D1646" i="10"/>
  <c r="E1646" i="10"/>
  <c r="F1646" i="10"/>
  <c r="G1646" i="10"/>
  <c r="H1646" i="10"/>
  <c r="C1647" i="10"/>
  <c r="D1647" i="10"/>
  <c r="E1647" i="10"/>
  <c r="F1647" i="10"/>
  <c r="G1647" i="10"/>
  <c r="H1647" i="10"/>
  <c r="C1648" i="10"/>
  <c r="D1648" i="10"/>
  <c r="E1648" i="10"/>
  <c r="F1648" i="10"/>
  <c r="G1648" i="10"/>
  <c r="H1648" i="10"/>
  <c r="C1649" i="10"/>
  <c r="D1649" i="10"/>
  <c r="E1649" i="10"/>
  <c r="F1649" i="10"/>
  <c r="G1649" i="10"/>
  <c r="H1649" i="10"/>
  <c r="C1650" i="10"/>
  <c r="D1650" i="10"/>
  <c r="E1650" i="10"/>
  <c r="F1650" i="10"/>
  <c r="G1650" i="10"/>
  <c r="H1650" i="10"/>
  <c r="C1651" i="10"/>
  <c r="D1651" i="10"/>
  <c r="E1651" i="10"/>
  <c r="F1651" i="10"/>
  <c r="G1651" i="10"/>
  <c r="H1651" i="10"/>
  <c r="C1652" i="10"/>
  <c r="D1652" i="10"/>
  <c r="E1652" i="10"/>
  <c r="F1652" i="10"/>
  <c r="G1652" i="10"/>
  <c r="H1652" i="10"/>
  <c r="C1653" i="10"/>
  <c r="D1653" i="10"/>
  <c r="E1653" i="10"/>
  <c r="F1653" i="10"/>
  <c r="G1653" i="10"/>
  <c r="H1653" i="10"/>
  <c r="C1654" i="10"/>
  <c r="D1654" i="10"/>
  <c r="E1654" i="10"/>
  <c r="F1654" i="10"/>
  <c r="G1654" i="10"/>
  <c r="H1654" i="10"/>
  <c r="C1655" i="10"/>
  <c r="D1655" i="10"/>
  <c r="E1655" i="10"/>
  <c r="F1655" i="10"/>
  <c r="G1655" i="10"/>
  <c r="H1655" i="10"/>
  <c r="C1656" i="10"/>
  <c r="D1656" i="10"/>
  <c r="E1656" i="10"/>
  <c r="F1656" i="10"/>
  <c r="G1656" i="10"/>
  <c r="H1656" i="10"/>
  <c r="C1657" i="10"/>
  <c r="D1657" i="10"/>
  <c r="E1657" i="10"/>
  <c r="F1657" i="10"/>
  <c r="G1657" i="10"/>
  <c r="H1657" i="10"/>
  <c r="C1658" i="10"/>
  <c r="D1658" i="10"/>
  <c r="E1658" i="10"/>
  <c r="F1658" i="10"/>
  <c r="G1658" i="10"/>
  <c r="H1658" i="10"/>
  <c r="C1659" i="10"/>
  <c r="D1659" i="10"/>
  <c r="E1659" i="10"/>
  <c r="F1659" i="10"/>
  <c r="G1659" i="10"/>
  <c r="H1659" i="10"/>
  <c r="C1660" i="10"/>
  <c r="D1660" i="10"/>
  <c r="E1660" i="10"/>
  <c r="F1660" i="10"/>
  <c r="G1660" i="10"/>
  <c r="H1660" i="10"/>
  <c r="C1661" i="10"/>
  <c r="D1661" i="10"/>
  <c r="E1661" i="10"/>
  <c r="F1661" i="10"/>
  <c r="G1661" i="10"/>
  <c r="H1661" i="10"/>
  <c r="C1662" i="10"/>
  <c r="D1662" i="10"/>
  <c r="E1662" i="10"/>
  <c r="F1662" i="10"/>
  <c r="G1662" i="10"/>
  <c r="H1662" i="10"/>
  <c r="C1663" i="10"/>
  <c r="D1663" i="10"/>
  <c r="E1663" i="10"/>
  <c r="F1663" i="10"/>
  <c r="G1663" i="10"/>
  <c r="H1663" i="10"/>
  <c r="C1664" i="10"/>
  <c r="D1664" i="10"/>
  <c r="E1664" i="10"/>
  <c r="F1664" i="10"/>
  <c r="G1664" i="10"/>
  <c r="H1664" i="10"/>
  <c r="C1665" i="10"/>
  <c r="D1665" i="10"/>
  <c r="E1665" i="10"/>
  <c r="F1665" i="10"/>
  <c r="G1665" i="10"/>
  <c r="H1665" i="10"/>
  <c r="C1666" i="10"/>
  <c r="D1666" i="10"/>
  <c r="E1666" i="10"/>
  <c r="F1666" i="10"/>
  <c r="G1666" i="10"/>
  <c r="H1666" i="10"/>
  <c r="C1667" i="10"/>
  <c r="D1667" i="10"/>
  <c r="E1667" i="10"/>
  <c r="F1667" i="10"/>
  <c r="G1667" i="10"/>
  <c r="H1667" i="10"/>
  <c r="C1668" i="10"/>
  <c r="D1668" i="10"/>
  <c r="E1668" i="10"/>
  <c r="F1668" i="10"/>
  <c r="G1668" i="10"/>
  <c r="H1668" i="10"/>
  <c r="C1669" i="10"/>
  <c r="D1669" i="10"/>
  <c r="E1669" i="10"/>
  <c r="F1669" i="10"/>
  <c r="G1669" i="10"/>
  <c r="H1669" i="10"/>
  <c r="C1670" i="10"/>
  <c r="D1670" i="10"/>
  <c r="E1670" i="10"/>
  <c r="F1670" i="10"/>
  <c r="G1670" i="10"/>
  <c r="H1670" i="10"/>
  <c r="C1671" i="10"/>
  <c r="D1671" i="10"/>
  <c r="E1671" i="10"/>
  <c r="F1671" i="10"/>
  <c r="G1671" i="10"/>
  <c r="H1671" i="10"/>
  <c r="C1672" i="10"/>
  <c r="D1672" i="10"/>
  <c r="E1672" i="10"/>
  <c r="F1672" i="10"/>
  <c r="G1672" i="10"/>
  <c r="H1672" i="10"/>
  <c r="C1673" i="10"/>
  <c r="D1673" i="10"/>
  <c r="E1673" i="10"/>
  <c r="F1673" i="10"/>
  <c r="G1673" i="10"/>
  <c r="H1673" i="10"/>
  <c r="C1674" i="10"/>
  <c r="D1674" i="10"/>
  <c r="E1674" i="10"/>
  <c r="F1674" i="10"/>
  <c r="G1674" i="10"/>
  <c r="H1674" i="10"/>
  <c r="C1675" i="10"/>
  <c r="D1675" i="10"/>
  <c r="E1675" i="10"/>
  <c r="F1675" i="10"/>
  <c r="G1675" i="10"/>
  <c r="H1675" i="10"/>
  <c r="C1676" i="10"/>
  <c r="D1676" i="10"/>
  <c r="E1676" i="10"/>
  <c r="F1676" i="10"/>
  <c r="G1676" i="10"/>
  <c r="H1676" i="10"/>
  <c r="C1677" i="10"/>
  <c r="D1677" i="10"/>
  <c r="E1677" i="10"/>
  <c r="F1677" i="10"/>
  <c r="G1677" i="10"/>
  <c r="H1677" i="10"/>
  <c r="C1678" i="10"/>
  <c r="D1678" i="10"/>
  <c r="E1678" i="10"/>
  <c r="F1678" i="10"/>
  <c r="G1678" i="10"/>
  <c r="H1678" i="10"/>
  <c r="C1679" i="10"/>
  <c r="D1679" i="10"/>
  <c r="E1679" i="10"/>
  <c r="F1679" i="10"/>
  <c r="G1679" i="10"/>
  <c r="H1679" i="10"/>
  <c r="C1680" i="10"/>
  <c r="D1680" i="10"/>
  <c r="E1680" i="10"/>
  <c r="F1680" i="10"/>
  <c r="G1680" i="10"/>
  <c r="H1680" i="10"/>
  <c r="C1681" i="10"/>
  <c r="D1681" i="10"/>
  <c r="E1681" i="10"/>
  <c r="F1681" i="10"/>
  <c r="G1681" i="10"/>
  <c r="H1681" i="10"/>
  <c r="C1682" i="10"/>
  <c r="D1682" i="10"/>
  <c r="E1682" i="10"/>
  <c r="F1682" i="10"/>
  <c r="G1682" i="10"/>
  <c r="H1682" i="10"/>
  <c r="C1683" i="10"/>
  <c r="D1683" i="10"/>
  <c r="E1683" i="10"/>
  <c r="F1683" i="10"/>
  <c r="G1683" i="10"/>
  <c r="H1683" i="10"/>
  <c r="C1684" i="10"/>
  <c r="D1684" i="10"/>
  <c r="E1684" i="10"/>
  <c r="F1684" i="10"/>
  <c r="G1684" i="10"/>
  <c r="H1684" i="10"/>
  <c r="C1685" i="10"/>
  <c r="D1685" i="10"/>
  <c r="E1685" i="10"/>
  <c r="F1685" i="10"/>
  <c r="G1685" i="10"/>
  <c r="H1685" i="10"/>
  <c r="C1686" i="10"/>
  <c r="D1686" i="10"/>
  <c r="E1686" i="10"/>
  <c r="F1686" i="10"/>
  <c r="G1686" i="10"/>
  <c r="H1686" i="10"/>
  <c r="C1687" i="10"/>
  <c r="D1687" i="10"/>
  <c r="E1687" i="10"/>
  <c r="F1687" i="10"/>
  <c r="G1687" i="10"/>
  <c r="H1687" i="10"/>
  <c r="C1688" i="10"/>
  <c r="D1688" i="10"/>
  <c r="E1688" i="10"/>
  <c r="F1688" i="10"/>
  <c r="G1688" i="10"/>
  <c r="H1688" i="10"/>
  <c r="C1689" i="10"/>
  <c r="D1689" i="10"/>
  <c r="E1689" i="10"/>
  <c r="F1689" i="10"/>
  <c r="G1689" i="10"/>
  <c r="H1689" i="10"/>
  <c r="C1690" i="10"/>
  <c r="D1690" i="10"/>
  <c r="E1690" i="10"/>
  <c r="F1690" i="10"/>
  <c r="G1690" i="10"/>
  <c r="H1690" i="10"/>
  <c r="C1691" i="10"/>
  <c r="D1691" i="10"/>
  <c r="E1691" i="10"/>
  <c r="F1691" i="10"/>
  <c r="G1691" i="10"/>
  <c r="H1691" i="10"/>
  <c r="C1692" i="10"/>
  <c r="D1692" i="10"/>
  <c r="E1692" i="10"/>
  <c r="F1692" i="10"/>
  <c r="G1692" i="10"/>
  <c r="H1692" i="10"/>
  <c r="C1693" i="10"/>
  <c r="D1693" i="10"/>
  <c r="E1693" i="10"/>
  <c r="F1693" i="10"/>
  <c r="G1693" i="10"/>
  <c r="H1693" i="10"/>
  <c r="C1694" i="10"/>
  <c r="D1694" i="10"/>
  <c r="E1694" i="10"/>
  <c r="F1694" i="10"/>
  <c r="G1694" i="10"/>
  <c r="H1694" i="10"/>
  <c r="C1695" i="10"/>
  <c r="D1695" i="10"/>
  <c r="E1695" i="10"/>
  <c r="F1695" i="10"/>
  <c r="G1695" i="10"/>
  <c r="H1695" i="10"/>
  <c r="C1696" i="10"/>
  <c r="D1696" i="10"/>
  <c r="E1696" i="10"/>
  <c r="F1696" i="10"/>
  <c r="G1696" i="10"/>
  <c r="H1696" i="10"/>
  <c r="C1697" i="10"/>
  <c r="D1697" i="10"/>
  <c r="E1697" i="10"/>
  <c r="F1697" i="10"/>
  <c r="G1697" i="10"/>
  <c r="H1697" i="10"/>
  <c r="C1698" i="10"/>
  <c r="D1698" i="10"/>
  <c r="E1698" i="10"/>
  <c r="F1698" i="10"/>
  <c r="G1698" i="10"/>
  <c r="H1698" i="10"/>
  <c r="C1699" i="10"/>
  <c r="D1699" i="10"/>
  <c r="E1699" i="10"/>
  <c r="F1699" i="10"/>
  <c r="G1699" i="10"/>
  <c r="H1699" i="10"/>
  <c r="C1700" i="10"/>
  <c r="D1700" i="10"/>
  <c r="E1700" i="10"/>
  <c r="F1700" i="10"/>
  <c r="G1700" i="10"/>
  <c r="H1700" i="10"/>
  <c r="C1701" i="10"/>
  <c r="D1701" i="10"/>
  <c r="E1701" i="10"/>
  <c r="F1701" i="10"/>
  <c r="G1701" i="10"/>
  <c r="H1701" i="10"/>
  <c r="C1702" i="10"/>
  <c r="D1702" i="10"/>
  <c r="E1702" i="10"/>
  <c r="F1702" i="10"/>
  <c r="G1702" i="10"/>
  <c r="H1702" i="10"/>
  <c r="C1703" i="10"/>
  <c r="D1703" i="10"/>
  <c r="E1703" i="10"/>
  <c r="F1703" i="10"/>
  <c r="G1703" i="10"/>
  <c r="H1703" i="10"/>
  <c r="C1704" i="10"/>
  <c r="D1704" i="10"/>
  <c r="E1704" i="10"/>
  <c r="F1704" i="10"/>
  <c r="G1704" i="10"/>
  <c r="H1704" i="10"/>
  <c r="C1705" i="10"/>
  <c r="D1705" i="10"/>
  <c r="E1705" i="10"/>
  <c r="F1705" i="10"/>
  <c r="G1705" i="10"/>
  <c r="H1705" i="10"/>
  <c r="C1706" i="10"/>
  <c r="D1706" i="10"/>
  <c r="E1706" i="10"/>
  <c r="F1706" i="10"/>
  <c r="G1706" i="10"/>
  <c r="H1706" i="10"/>
  <c r="C1707" i="10"/>
  <c r="D1707" i="10"/>
  <c r="E1707" i="10"/>
  <c r="F1707" i="10"/>
  <c r="G1707" i="10"/>
  <c r="H1707" i="10"/>
  <c r="C1708" i="10"/>
  <c r="D1708" i="10"/>
  <c r="E1708" i="10"/>
  <c r="F1708" i="10"/>
  <c r="G1708" i="10"/>
  <c r="H1708" i="10"/>
  <c r="C1709" i="10"/>
  <c r="D1709" i="10"/>
  <c r="E1709" i="10"/>
  <c r="F1709" i="10"/>
  <c r="G1709" i="10"/>
  <c r="H1709" i="10"/>
  <c r="C1710" i="10"/>
  <c r="D1710" i="10"/>
  <c r="E1710" i="10"/>
  <c r="F1710" i="10"/>
  <c r="G1710" i="10"/>
  <c r="H1710" i="10"/>
  <c r="C1711" i="10"/>
  <c r="D1711" i="10"/>
  <c r="E1711" i="10"/>
  <c r="F1711" i="10"/>
  <c r="G1711" i="10"/>
  <c r="H1711" i="10"/>
  <c r="C1712" i="10"/>
  <c r="D1712" i="10"/>
  <c r="E1712" i="10"/>
  <c r="F1712" i="10"/>
  <c r="G1712" i="10"/>
  <c r="C1525" i="10"/>
  <c r="D1525" i="10"/>
  <c r="E1525" i="10"/>
  <c r="F1525" i="10"/>
  <c r="G1525" i="10"/>
  <c r="H1525" i="10"/>
  <c r="C1526" i="10"/>
  <c r="D1526" i="10"/>
  <c r="E1526" i="10"/>
  <c r="F1526" i="10"/>
  <c r="G1526" i="10"/>
  <c r="H1526" i="10"/>
  <c r="C1527" i="10"/>
  <c r="D1527" i="10"/>
  <c r="E1527" i="10"/>
  <c r="F1527" i="10"/>
  <c r="G1527" i="10"/>
  <c r="H1527" i="10"/>
  <c r="C1528" i="10"/>
  <c r="D1528" i="10"/>
  <c r="E1528" i="10"/>
  <c r="F1528" i="10"/>
  <c r="G1528" i="10"/>
  <c r="H1528" i="10"/>
  <c r="J741" i="2"/>
  <c r="I741" i="2"/>
  <c r="J740" i="2"/>
  <c r="I740" i="2"/>
  <c r="J739" i="2"/>
  <c r="I739" i="2"/>
  <c r="J738" i="2"/>
  <c r="I738" i="2"/>
  <c r="I737" i="2"/>
  <c r="J737" i="2"/>
  <c r="J736" i="2"/>
  <c r="I736" i="2"/>
  <c r="H733" i="4"/>
  <c r="H734" i="4"/>
  <c r="I735" i="2"/>
  <c r="J735" i="2"/>
  <c r="N734" i="2"/>
  <c r="N733" i="2"/>
  <c r="N732" i="2"/>
  <c r="N731" i="2"/>
  <c r="J730" i="2"/>
  <c r="I730" i="2"/>
  <c r="H719" i="4"/>
  <c r="P719" i="4"/>
  <c r="R719" i="4"/>
  <c r="S723" i="4"/>
  <c r="R723" i="4"/>
  <c r="P722" i="4"/>
  <c r="P723" i="4"/>
  <c r="T1474" i="3"/>
  <c r="H716" i="4"/>
  <c r="N717" i="2"/>
  <c r="K715" i="2"/>
  <c r="K714" i="2"/>
  <c r="K713" i="2"/>
  <c r="K712" i="2"/>
  <c r="K711" i="2"/>
  <c r="K710" i="2"/>
  <c r="K709" i="2"/>
  <c r="K708" i="2"/>
  <c r="K707" i="2"/>
  <c r="K706" i="2"/>
  <c r="J710" i="2"/>
  <c r="I710" i="2"/>
  <c r="J709" i="2"/>
  <c r="I709" i="2"/>
  <c r="H704" i="4"/>
  <c r="H703" i="4"/>
  <c r="H702" i="4"/>
  <c r="K704" i="2"/>
  <c r="O704" i="4" s="1"/>
  <c r="K703" i="2"/>
  <c r="K702" i="2"/>
  <c r="N702" i="4" s="1"/>
  <c r="J704" i="2"/>
  <c r="J703" i="2"/>
  <c r="J702" i="2"/>
  <c r="I704" i="2"/>
  <c r="I703" i="2"/>
  <c r="I702" i="2"/>
  <c r="K701" i="2"/>
  <c r="J699" i="2"/>
  <c r="I699" i="2"/>
  <c r="V1410" i="3"/>
  <c r="V1409" i="3"/>
  <c r="X1410" i="3"/>
  <c r="X1409" i="3"/>
  <c r="P698" i="4"/>
  <c r="R698" i="4" s="1"/>
  <c r="N702" i="2" l="1"/>
  <c r="N704" i="4"/>
  <c r="O702" i="4"/>
  <c r="P702" i="4"/>
  <c r="N704" i="2"/>
  <c r="P703" i="4"/>
  <c r="P704" i="4"/>
  <c r="O703" i="4"/>
  <c r="N703" i="2"/>
  <c r="N703" i="4"/>
  <c r="R704" i="4" l="1"/>
  <c r="R702" i="4"/>
  <c r="R703" i="4"/>
  <c r="K698" i="2" l="1"/>
  <c r="E1390" i="10"/>
  <c r="E1391" i="10"/>
  <c r="H697" i="4"/>
  <c r="N697" i="2"/>
  <c r="M695" i="4"/>
  <c r="I695" i="2" l="1"/>
  <c r="J695" i="2"/>
  <c r="K691" i="2"/>
  <c r="J679" i="2" l="1"/>
  <c r="I679" i="2"/>
  <c r="J654" i="2"/>
  <c r="J653" i="2"/>
  <c r="I654" i="2"/>
  <c r="I653" i="2"/>
  <c r="J651" i="2" l="1"/>
  <c r="I651" i="2"/>
  <c r="K647" i="2" l="1"/>
  <c r="J645" i="2"/>
  <c r="I645" i="2"/>
  <c r="A1359" i="10"/>
  <c r="B1359" i="10"/>
  <c r="C1359" i="10"/>
  <c r="D1359" i="10"/>
  <c r="E1359" i="10"/>
  <c r="F1359" i="10"/>
  <c r="G1359" i="10"/>
  <c r="H1359" i="10"/>
  <c r="A1360" i="10"/>
  <c r="B1360" i="10"/>
  <c r="C1360" i="10"/>
  <c r="D1360" i="10"/>
  <c r="E1360" i="10"/>
  <c r="F1360" i="10"/>
  <c r="G1360" i="10"/>
  <c r="H1360" i="10"/>
  <c r="A1361" i="10"/>
  <c r="B1361" i="10"/>
  <c r="C1361" i="10"/>
  <c r="D1361" i="10"/>
  <c r="E1361" i="10"/>
  <c r="F1361" i="10"/>
  <c r="G1361" i="10"/>
  <c r="H1361" i="10"/>
  <c r="A1362" i="10"/>
  <c r="B1362" i="10"/>
  <c r="C1362" i="10"/>
  <c r="D1362" i="10"/>
  <c r="E1362" i="10"/>
  <c r="F1362" i="10"/>
  <c r="G1362" i="10"/>
  <c r="H1362" i="10"/>
  <c r="A1363" i="10"/>
  <c r="B1363" i="10"/>
  <c r="C1363" i="10"/>
  <c r="D1363" i="10"/>
  <c r="E1363" i="10"/>
  <c r="F1363" i="10"/>
  <c r="G1363" i="10"/>
  <c r="H1363" i="10"/>
  <c r="A1364" i="10"/>
  <c r="B1364" i="10"/>
  <c r="C1364" i="10"/>
  <c r="D1364" i="10"/>
  <c r="E1364" i="10"/>
  <c r="F1364" i="10"/>
  <c r="G1364" i="10"/>
  <c r="H1364" i="10"/>
  <c r="A1365" i="10"/>
  <c r="B1365" i="10"/>
  <c r="C1365" i="10"/>
  <c r="D1365" i="10"/>
  <c r="E1365" i="10"/>
  <c r="F1365" i="10"/>
  <c r="G1365" i="10"/>
  <c r="H1365" i="10"/>
  <c r="A1366" i="10"/>
  <c r="B1366" i="10"/>
  <c r="C1366" i="10"/>
  <c r="D1366" i="10"/>
  <c r="E1366" i="10"/>
  <c r="F1366" i="10"/>
  <c r="G1366" i="10"/>
  <c r="H1366" i="10"/>
  <c r="A1367" i="10"/>
  <c r="B1367" i="10"/>
  <c r="C1367" i="10"/>
  <c r="D1367" i="10"/>
  <c r="E1367" i="10"/>
  <c r="F1367" i="10"/>
  <c r="G1367" i="10"/>
  <c r="H1367" i="10"/>
  <c r="A1368" i="10"/>
  <c r="B1368" i="10"/>
  <c r="C1368" i="10"/>
  <c r="D1368" i="10"/>
  <c r="E1368" i="10"/>
  <c r="F1368" i="10"/>
  <c r="G1368" i="10"/>
  <c r="H1368" i="10"/>
  <c r="A1369" i="10"/>
  <c r="B1369" i="10"/>
  <c r="C1369" i="10"/>
  <c r="D1369" i="10"/>
  <c r="E1369" i="10"/>
  <c r="F1369" i="10"/>
  <c r="G1369" i="10"/>
  <c r="H1369" i="10"/>
  <c r="A1370" i="10"/>
  <c r="B1370" i="10"/>
  <c r="C1370" i="10"/>
  <c r="D1370" i="10"/>
  <c r="E1370" i="10"/>
  <c r="F1370" i="10"/>
  <c r="G1370" i="10"/>
  <c r="H1370" i="10"/>
  <c r="A1371" i="10"/>
  <c r="B1371" i="10"/>
  <c r="C1371" i="10"/>
  <c r="D1371" i="10"/>
  <c r="E1371" i="10"/>
  <c r="F1371" i="10"/>
  <c r="G1371" i="10"/>
  <c r="H1371" i="10"/>
  <c r="A1372" i="10"/>
  <c r="B1372" i="10"/>
  <c r="C1372" i="10"/>
  <c r="D1372" i="10"/>
  <c r="E1372" i="10"/>
  <c r="F1372" i="10"/>
  <c r="G1372" i="10"/>
  <c r="H1372" i="10"/>
  <c r="A1373" i="10"/>
  <c r="B1373" i="10"/>
  <c r="C1373" i="10"/>
  <c r="D1373" i="10"/>
  <c r="E1373" i="10"/>
  <c r="F1373" i="10"/>
  <c r="G1373" i="10"/>
  <c r="H1373" i="10"/>
  <c r="A1374" i="10"/>
  <c r="B1374" i="10"/>
  <c r="C1374" i="10"/>
  <c r="D1374" i="10"/>
  <c r="E1374" i="10"/>
  <c r="F1374" i="10"/>
  <c r="G1374" i="10"/>
  <c r="H1374" i="10"/>
  <c r="A1375" i="10"/>
  <c r="B1375" i="10"/>
  <c r="C1375" i="10"/>
  <c r="D1375" i="10"/>
  <c r="E1375" i="10"/>
  <c r="F1375" i="10"/>
  <c r="G1375" i="10"/>
  <c r="H1375" i="10"/>
  <c r="A1376" i="10"/>
  <c r="B1376" i="10"/>
  <c r="C1376" i="10"/>
  <c r="D1376" i="10"/>
  <c r="E1376" i="10"/>
  <c r="F1376" i="10"/>
  <c r="G1376" i="10"/>
  <c r="H1376" i="10"/>
  <c r="A1377" i="10"/>
  <c r="B1377" i="10"/>
  <c r="C1377" i="10"/>
  <c r="D1377" i="10"/>
  <c r="E1377" i="10"/>
  <c r="F1377" i="10"/>
  <c r="G1377" i="10"/>
  <c r="H1377" i="10"/>
  <c r="A1378" i="10"/>
  <c r="B1378" i="10"/>
  <c r="C1378" i="10"/>
  <c r="D1378" i="10"/>
  <c r="E1378" i="10"/>
  <c r="F1378" i="10"/>
  <c r="G1378" i="10"/>
  <c r="H1378" i="10"/>
  <c r="A1379" i="10"/>
  <c r="B1379" i="10"/>
  <c r="C1379" i="10"/>
  <c r="D1379" i="10"/>
  <c r="E1379" i="10"/>
  <c r="F1379" i="10"/>
  <c r="G1379" i="10"/>
  <c r="H1379" i="10"/>
  <c r="A1380" i="10"/>
  <c r="B1380" i="10"/>
  <c r="C1380" i="10"/>
  <c r="D1380" i="10"/>
  <c r="E1380" i="10"/>
  <c r="F1380" i="10"/>
  <c r="G1380" i="10"/>
  <c r="H1380" i="10"/>
  <c r="A1381" i="10"/>
  <c r="B1381" i="10"/>
  <c r="C1381" i="10"/>
  <c r="D1381" i="10"/>
  <c r="E1381" i="10"/>
  <c r="F1381" i="10"/>
  <c r="G1381" i="10"/>
  <c r="H1381" i="10"/>
  <c r="A1382" i="10"/>
  <c r="B1382" i="10"/>
  <c r="C1382" i="10"/>
  <c r="D1382" i="10"/>
  <c r="E1382" i="10"/>
  <c r="F1382" i="10"/>
  <c r="G1382" i="10"/>
  <c r="H1382" i="10"/>
  <c r="A1383" i="10"/>
  <c r="B1383" i="10"/>
  <c r="C1383" i="10"/>
  <c r="D1383" i="10"/>
  <c r="E1383" i="10"/>
  <c r="F1383" i="10"/>
  <c r="G1383" i="10"/>
  <c r="H1383" i="10"/>
  <c r="A1384" i="10"/>
  <c r="B1384" i="10"/>
  <c r="C1384" i="10"/>
  <c r="D1384" i="10"/>
  <c r="E1384" i="10"/>
  <c r="F1384" i="10"/>
  <c r="G1384" i="10"/>
  <c r="H1384" i="10"/>
  <c r="A1385" i="10"/>
  <c r="B1385" i="10"/>
  <c r="C1385" i="10"/>
  <c r="D1385" i="10"/>
  <c r="E1385" i="10"/>
  <c r="F1385" i="10"/>
  <c r="G1385" i="10"/>
  <c r="H1385" i="10"/>
  <c r="A1386" i="10"/>
  <c r="B1386" i="10"/>
  <c r="C1386" i="10"/>
  <c r="D1386" i="10"/>
  <c r="E1386" i="10"/>
  <c r="F1386" i="10"/>
  <c r="G1386" i="10"/>
  <c r="H1386" i="10"/>
  <c r="A1387" i="10"/>
  <c r="B1387" i="10"/>
  <c r="C1387" i="10"/>
  <c r="D1387" i="10"/>
  <c r="E1387" i="10"/>
  <c r="F1387" i="10"/>
  <c r="G1387" i="10"/>
  <c r="H1387" i="10"/>
  <c r="A1388" i="10"/>
  <c r="B1388" i="10"/>
  <c r="C1388" i="10"/>
  <c r="D1388" i="10"/>
  <c r="E1388" i="10"/>
  <c r="F1388" i="10"/>
  <c r="G1388" i="10"/>
  <c r="H1388" i="10"/>
  <c r="A1389" i="10"/>
  <c r="B1389" i="10"/>
  <c r="C1389" i="10"/>
  <c r="D1389" i="10"/>
  <c r="E1389" i="10"/>
  <c r="F1389" i="10"/>
  <c r="G1389" i="10"/>
  <c r="H1389" i="10"/>
  <c r="A1390" i="10"/>
  <c r="B1390" i="10"/>
  <c r="C1390" i="10"/>
  <c r="D1390" i="10"/>
  <c r="F1390" i="10"/>
  <c r="G1390" i="10"/>
  <c r="H1390" i="10"/>
  <c r="A1391" i="10"/>
  <c r="B1391" i="10"/>
  <c r="C1391" i="10"/>
  <c r="D1391" i="10"/>
  <c r="F1391" i="10"/>
  <c r="G1391" i="10"/>
  <c r="H1391" i="10"/>
  <c r="A1392" i="10"/>
  <c r="B1392" i="10"/>
  <c r="C1392" i="10"/>
  <c r="D1392" i="10"/>
  <c r="E1392" i="10"/>
  <c r="F1392" i="10"/>
  <c r="G1392" i="10"/>
  <c r="H1392" i="10"/>
  <c r="A1393" i="10"/>
  <c r="B1393" i="10"/>
  <c r="C1393" i="10"/>
  <c r="D1393" i="10"/>
  <c r="E1393" i="10"/>
  <c r="F1393" i="10"/>
  <c r="G1393" i="10"/>
  <c r="H1393" i="10"/>
  <c r="A1394" i="10"/>
  <c r="B1394" i="10"/>
  <c r="C1394" i="10"/>
  <c r="D1394" i="10"/>
  <c r="E1394" i="10"/>
  <c r="F1394" i="10"/>
  <c r="G1394" i="10"/>
  <c r="H1394" i="10"/>
  <c r="A1395" i="10"/>
  <c r="B1395" i="10"/>
  <c r="C1395" i="10"/>
  <c r="D1395" i="10"/>
  <c r="E1395" i="10"/>
  <c r="F1395" i="10"/>
  <c r="G1395" i="10"/>
  <c r="H1395" i="10"/>
  <c r="A1396" i="10"/>
  <c r="B1396" i="10"/>
  <c r="C1396" i="10"/>
  <c r="D1396" i="10"/>
  <c r="E1396" i="10"/>
  <c r="F1396" i="10"/>
  <c r="G1396" i="10"/>
  <c r="H1396" i="10"/>
  <c r="A1397" i="10"/>
  <c r="B1397" i="10"/>
  <c r="C1397" i="10"/>
  <c r="D1397" i="10"/>
  <c r="E1397" i="10"/>
  <c r="F1397" i="10"/>
  <c r="G1397" i="10"/>
  <c r="H1397" i="10"/>
  <c r="A1398" i="10"/>
  <c r="B1398" i="10"/>
  <c r="C1398" i="10"/>
  <c r="D1398" i="10"/>
  <c r="E1398" i="10"/>
  <c r="F1398" i="10"/>
  <c r="G1398" i="10"/>
  <c r="H1398" i="10"/>
  <c r="A1399" i="10"/>
  <c r="B1399" i="10"/>
  <c r="C1399" i="10"/>
  <c r="D1399" i="10"/>
  <c r="E1399" i="10"/>
  <c r="F1399" i="10"/>
  <c r="G1399" i="10"/>
  <c r="H1399" i="10"/>
  <c r="A1400" i="10"/>
  <c r="B1400" i="10"/>
  <c r="C1400" i="10"/>
  <c r="D1400" i="10"/>
  <c r="E1400" i="10"/>
  <c r="F1400" i="10"/>
  <c r="G1400" i="10"/>
  <c r="H1400" i="10"/>
  <c r="A1401" i="10"/>
  <c r="B1401" i="10"/>
  <c r="C1401" i="10"/>
  <c r="D1401" i="10"/>
  <c r="E1401" i="10"/>
  <c r="F1401" i="10"/>
  <c r="G1401" i="10"/>
  <c r="H1401" i="10"/>
  <c r="A1402" i="10"/>
  <c r="B1402" i="10"/>
  <c r="C1402" i="10"/>
  <c r="D1402" i="10"/>
  <c r="E1402" i="10"/>
  <c r="F1402" i="10"/>
  <c r="G1402" i="10"/>
  <c r="H1402" i="10"/>
  <c r="A1403" i="10"/>
  <c r="B1403" i="10"/>
  <c r="C1403" i="10"/>
  <c r="D1403" i="10"/>
  <c r="E1403" i="10"/>
  <c r="F1403" i="10"/>
  <c r="G1403" i="10"/>
  <c r="H1403" i="10"/>
  <c r="A1404" i="10"/>
  <c r="B1404" i="10"/>
  <c r="C1404" i="10"/>
  <c r="D1404" i="10"/>
  <c r="E1404" i="10"/>
  <c r="F1404" i="10"/>
  <c r="G1404" i="10"/>
  <c r="H1404" i="10"/>
  <c r="A1405" i="10"/>
  <c r="B1405" i="10"/>
  <c r="C1405" i="10"/>
  <c r="D1405" i="10"/>
  <c r="E1405" i="10"/>
  <c r="F1405" i="10"/>
  <c r="G1405" i="10"/>
  <c r="H1405" i="10"/>
  <c r="A1406" i="10"/>
  <c r="B1406" i="10"/>
  <c r="C1406" i="10"/>
  <c r="D1406" i="10"/>
  <c r="E1406" i="10"/>
  <c r="F1406" i="10"/>
  <c r="G1406" i="10"/>
  <c r="H1406" i="10"/>
  <c r="A1407" i="10"/>
  <c r="B1407" i="10"/>
  <c r="C1407" i="10"/>
  <c r="D1407" i="10"/>
  <c r="E1407" i="10"/>
  <c r="F1407" i="10"/>
  <c r="G1407" i="10"/>
  <c r="H1407" i="10"/>
  <c r="A1408" i="10"/>
  <c r="B1408" i="10"/>
  <c r="C1408" i="10"/>
  <c r="D1408" i="10"/>
  <c r="E1408" i="10"/>
  <c r="F1408" i="10"/>
  <c r="G1408" i="10"/>
  <c r="H1408" i="10"/>
  <c r="A1409" i="10"/>
  <c r="B1409" i="10"/>
  <c r="C1409" i="10"/>
  <c r="D1409" i="10"/>
  <c r="E1409" i="10"/>
  <c r="F1409" i="10"/>
  <c r="G1409" i="10"/>
  <c r="H1409" i="10"/>
  <c r="A1410" i="10"/>
  <c r="B1410" i="10"/>
  <c r="C1410" i="10"/>
  <c r="D1410" i="10"/>
  <c r="E1410" i="10"/>
  <c r="F1410" i="10"/>
  <c r="G1410" i="10"/>
  <c r="H1410" i="10"/>
  <c r="A1411" i="10"/>
  <c r="B1411" i="10"/>
  <c r="C1411" i="10"/>
  <c r="D1411" i="10"/>
  <c r="E1411" i="10"/>
  <c r="F1411" i="10"/>
  <c r="G1411" i="10"/>
  <c r="H1411" i="10"/>
  <c r="A1412" i="10"/>
  <c r="B1412" i="10"/>
  <c r="C1412" i="10"/>
  <c r="D1412" i="10"/>
  <c r="E1412" i="10"/>
  <c r="F1412" i="10"/>
  <c r="G1412" i="10"/>
  <c r="H1412" i="10"/>
  <c r="A1413" i="10"/>
  <c r="B1413" i="10"/>
  <c r="C1413" i="10"/>
  <c r="D1413" i="10"/>
  <c r="E1413" i="10"/>
  <c r="F1413" i="10"/>
  <c r="G1413" i="10"/>
  <c r="H1413" i="10"/>
  <c r="A1414" i="10"/>
  <c r="B1414" i="10"/>
  <c r="C1414" i="10"/>
  <c r="D1414" i="10"/>
  <c r="E1414" i="10"/>
  <c r="F1414" i="10"/>
  <c r="G1414" i="10"/>
  <c r="H1414" i="10"/>
  <c r="A1415" i="10"/>
  <c r="B1415" i="10"/>
  <c r="C1415" i="10"/>
  <c r="D1415" i="10"/>
  <c r="E1415" i="10"/>
  <c r="F1415" i="10"/>
  <c r="G1415" i="10"/>
  <c r="H1415" i="10"/>
  <c r="A1416" i="10"/>
  <c r="B1416" i="10"/>
  <c r="C1416" i="10"/>
  <c r="D1416" i="10"/>
  <c r="E1416" i="10"/>
  <c r="F1416" i="10"/>
  <c r="G1416" i="10"/>
  <c r="H1416" i="10"/>
  <c r="A1417" i="10"/>
  <c r="B1417" i="10"/>
  <c r="C1417" i="10"/>
  <c r="D1417" i="10"/>
  <c r="E1417" i="10"/>
  <c r="F1417" i="10"/>
  <c r="G1417" i="10"/>
  <c r="H1417" i="10"/>
  <c r="A1418" i="10"/>
  <c r="B1418" i="10"/>
  <c r="C1418" i="10"/>
  <c r="D1418" i="10"/>
  <c r="E1418" i="10"/>
  <c r="F1418" i="10"/>
  <c r="G1418" i="10"/>
  <c r="H1418" i="10"/>
  <c r="A1419" i="10"/>
  <c r="B1419" i="10"/>
  <c r="C1419" i="10"/>
  <c r="D1419" i="10"/>
  <c r="E1419" i="10"/>
  <c r="F1419" i="10"/>
  <c r="G1419" i="10"/>
  <c r="H1419" i="10"/>
  <c r="A1420" i="10"/>
  <c r="B1420" i="10"/>
  <c r="C1420" i="10"/>
  <c r="D1420" i="10"/>
  <c r="E1420" i="10"/>
  <c r="F1420" i="10"/>
  <c r="G1420" i="10"/>
  <c r="H1420" i="10"/>
  <c r="A1421" i="10"/>
  <c r="B1421" i="10"/>
  <c r="C1421" i="10"/>
  <c r="D1421" i="10"/>
  <c r="E1421" i="10"/>
  <c r="F1421" i="10"/>
  <c r="G1421" i="10"/>
  <c r="H1421" i="10"/>
  <c r="A1422" i="10"/>
  <c r="B1422" i="10"/>
  <c r="C1422" i="10"/>
  <c r="D1422" i="10"/>
  <c r="E1422" i="10"/>
  <c r="F1422" i="10"/>
  <c r="G1422" i="10"/>
  <c r="H1422" i="10"/>
  <c r="A1423" i="10"/>
  <c r="B1423" i="10"/>
  <c r="C1423" i="10"/>
  <c r="D1423" i="10"/>
  <c r="E1423" i="10"/>
  <c r="F1423" i="10"/>
  <c r="G1423" i="10"/>
  <c r="H1423" i="10"/>
  <c r="A1424" i="10"/>
  <c r="B1424" i="10"/>
  <c r="C1424" i="10"/>
  <c r="D1424" i="10"/>
  <c r="E1424" i="10"/>
  <c r="F1424" i="10"/>
  <c r="G1424" i="10"/>
  <c r="H1424" i="10"/>
  <c r="A1425" i="10"/>
  <c r="B1425" i="10"/>
  <c r="C1425" i="10"/>
  <c r="D1425" i="10"/>
  <c r="E1425" i="10"/>
  <c r="F1425" i="10"/>
  <c r="G1425" i="10"/>
  <c r="H1425" i="10"/>
  <c r="A1426" i="10"/>
  <c r="B1426" i="10"/>
  <c r="C1426" i="10"/>
  <c r="D1426" i="10"/>
  <c r="E1426" i="10"/>
  <c r="F1426" i="10"/>
  <c r="G1426" i="10"/>
  <c r="H1426" i="10"/>
  <c r="A1427" i="10"/>
  <c r="B1427" i="10"/>
  <c r="C1427" i="10"/>
  <c r="D1427" i="10"/>
  <c r="E1427" i="10"/>
  <c r="F1427" i="10"/>
  <c r="G1427" i="10"/>
  <c r="H1427" i="10"/>
  <c r="A1428" i="10"/>
  <c r="B1428" i="10"/>
  <c r="C1428" i="10"/>
  <c r="D1428" i="10"/>
  <c r="E1428" i="10"/>
  <c r="F1428" i="10"/>
  <c r="G1428" i="10"/>
  <c r="H1428" i="10"/>
  <c r="A1429" i="10"/>
  <c r="B1429" i="10"/>
  <c r="C1429" i="10"/>
  <c r="D1429" i="10"/>
  <c r="E1429" i="10"/>
  <c r="F1429" i="10"/>
  <c r="G1429" i="10"/>
  <c r="H1429" i="10"/>
  <c r="A1430" i="10"/>
  <c r="B1430" i="10"/>
  <c r="C1430" i="10"/>
  <c r="D1430" i="10"/>
  <c r="E1430" i="10"/>
  <c r="F1430" i="10"/>
  <c r="G1430" i="10"/>
  <c r="H1430" i="10"/>
  <c r="A1431" i="10"/>
  <c r="B1431" i="10"/>
  <c r="C1431" i="10"/>
  <c r="D1431" i="10"/>
  <c r="E1431" i="10"/>
  <c r="F1431" i="10"/>
  <c r="G1431" i="10"/>
  <c r="H1431" i="10"/>
  <c r="A1432" i="10"/>
  <c r="B1432" i="10"/>
  <c r="C1432" i="10"/>
  <c r="D1432" i="10"/>
  <c r="E1432" i="10"/>
  <c r="F1432" i="10"/>
  <c r="G1432" i="10"/>
  <c r="H1432" i="10"/>
  <c r="A1433" i="10"/>
  <c r="B1433" i="10"/>
  <c r="C1433" i="10"/>
  <c r="D1433" i="10"/>
  <c r="E1433" i="10"/>
  <c r="F1433" i="10"/>
  <c r="G1433" i="10"/>
  <c r="H1433" i="10"/>
  <c r="A1434" i="10"/>
  <c r="B1434" i="10"/>
  <c r="C1434" i="10"/>
  <c r="D1434" i="10"/>
  <c r="E1434" i="10"/>
  <c r="F1434" i="10"/>
  <c r="G1434" i="10"/>
  <c r="H1434" i="10"/>
  <c r="A1435" i="10"/>
  <c r="B1435" i="10"/>
  <c r="C1435" i="10"/>
  <c r="D1435" i="10"/>
  <c r="E1435" i="10"/>
  <c r="F1435" i="10"/>
  <c r="G1435" i="10"/>
  <c r="H1435" i="10"/>
  <c r="A1436" i="10"/>
  <c r="B1436" i="10"/>
  <c r="C1436" i="10"/>
  <c r="D1436" i="10"/>
  <c r="E1436" i="10"/>
  <c r="F1436" i="10"/>
  <c r="G1436" i="10"/>
  <c r="H1436" i="10"/>
  <c r="A1437" i="10"/>
  <c r="B1437" i="10"/>
  <c r="C1437" i="10"/>
  <c r="D1437" i="10"/>
  <c r="E1437" i="10"/>
  <c r="F1437" i="10"/>
  <c r="G1437" i="10"/>
  <c r="H1437" i="10"/>
  <c r="A1438" i="10"/>
  <c r="B1438" i="10"/>
  <c r="C1438" i="10"/>
  <c r="D1438" i="10"/>
  <c r="E1438" i="10"/>
  <c r="F1438" i="10"/>
  <c r="G1438" i="10"/>
  <c r="H1438" i="10"/>
  <c r="A1439" i="10"/>
  <c r="B1439" i="10"/>
  <c r="C1439" i="10"/>
  <c r="D1439" i="10"/>
  <c r="E1439" i="10"/>
  <c r="F1439" i="10"/>
  <c r="G1439" i="10"/>
  <c r="H1439" i="10"/>
  <c r="A1440" i="10"/>
  <c r="B1440" i="10"/>
  <c r="C1440" i="10"/>
  <c r="D1440" i="10"/>
  <c r="E1440" i="10"/>
  <c r="F1440" i="10"/>
  <c r="G1440" i="10"/>
  <c r="H1440" i="10"/>
  <c r="A1441" i="10"/>
  <c r="B1441" i="10"/>
  <c r="C1441" i="10"/>
  <c r="D1441" i="10"/>
  <c r="E1441" i="10"/>
  <c r="F1441" i="10"/>
  <c r="G1441" i="10"/>
  <c r="H1441" i="10"/>
  <c r="A1442" i="10"/>
  <c r="B1442" i="10"/>
  <c r="C1442" i="10"/>
  <c r="D1442" i="10"/>
  <c r="E1442" i="10"/>
  <c r="F1442" i="10"/>
  <c r="G1442" i="10"/>
  <c r="H1442" i="10"/>
  <c r="A1443" i="10"/>
  <c r="B1443" i="10"/>
  <c r="C1443" i="10"/>
  <c r="D1443" i="10"/>
  <c r="E1443" i="10"/>
  <c r="F1443" i="10"/>
  <c r="G1443" i="10"/>
  <c r="H1443" i="10"/>
  <c r="A1444" i="10"/>
  <c r="B1444" i="10"/>
  <c r="C1444" i="10"/>
  <c r="D1444" i="10"/>
  <c r="E1444" i="10"/>
  <c r="F1444" i="10"/>
  <c r="G1444" i="10"/>
  <c r="H1444" i="10"/>
  <c r="A1445" i="10"/>
  <c r="B1445" i="10"/>
  <c r="C1445" i="10"/>
  <c r="D1445" i="10"/>
  <c r="E1445" i="10"/>
  <c r="F1445" i="10"/>
  <c r="G1445" i="10"/>
  <c r="H1445" i="10"/>
  <c r="A1446" i="10"/>
  <c r="B1446" i="10"/>
  <c r="C1446" i="10"/>
  <c r="D1446" i="10"/>
  <c r="E1446" i="10"/>
  <c r="F1446" i="10"/>
  <c r="G1446" i="10"/>
  <c r="H1446" i="10"/>
  <c r="A1447" i="10"/>
  <c r="B1447" i="10"/>
  <c r="C1447" i="10"/>
  <c r="D1447" i="10"/>
  <c r="E1447" i="10"/>
  <c r="F1447" i="10"/>
  <c r="G1447" i="10"/>
  <c r="H1447" i="10"/>
  <c r="A1448" i="10"/>
  <c r="B1448" i="10"/>
  <c r="C1448" i="10"/>
  <c r="D1448" i="10"/>
  <c r="E1448" i="10"/>
  <c r="F1448" i="10"/>
  <c r="G1448" i="10"/>
  <c r="H1448" i="10"/>
  <c r="A1449" i="10"/>
  <c r="B1449" i="10"/>
  <c r="C1449" i="10"/>
  <c r="D1449" i="10"/>
  <c r="E1449" i="10"/>
  <c r="F1449" i="10"/>
  <c r="G1449" i="10"/>
  <c r="H1449" i="10"/>
  <c r="A1450" i="10"/>
  <c r="B1450" i="10"/>
  <c r="C1450" i="10"/>
  <c r="D1450" i="10"/>
  <c r="E1450" i="10"/>
  <c r="F1450" i="10"/>
  <c r="G1450" i="10"/>
  <c r="H1450" i="10"/>
  <c r="A1451" i="10"/>
  <c r="B1451" i="10"/>
  <c r="C1451" i="10"/>
  <c r="D1451" i="10"/>
  <c r="E1451" i="10"/>
  <c r="F1451" i="10"/>
  <c r="G1451" i="10"/>
  <c r="H1451" i="10"/>
  <c r="A1452" i="10"/>
  <c r="B1452" i="10"/>
  <c r="C1452" i="10"/>
  <c r="D1452" i="10"/>
  <c r="E1452" i="10"/>
  <c r="F1452" i="10"/>
  <c r="G1452" i="10"/>
  <c r="H1452" i="10"/>
  <c r="A1453" i="10"/>
  <c r="B1453" i="10"/>
  <c r="C1453" i="10"/>
  <c r="D1453" i="10"/>
  <c r="E1453" i="10"/>
  <c r="F1453" i="10"/>
  <c r="G1453" i="10"/>
  <c r="H1453" i="10"/>
  <c r="A1454" i="10"/>
  <c r="B1454" i="10"/>
  <c r="C1454" i="10"/>
  <c r="D1454" i="10"/>
  <c r="E1454" i="10"/>
  <c r="F1454" i="10"/>
  <c r="G1454" i="10"/>
  <c r="H1454" i="10"/>
  <c r="A1456" i="10"/>
  <c r="B1456" i="10"/>
  <c r="C1456" i="10"/>
  <c r="D1456" i="10"/>
  <c r="E1456" i="10"/>
  <c r="F1456" i="10"/>
  <c r="G1456" i="10"/>
  <c r="H1456" i="10"/>
  <c r="A1457" i="10"/>
  <c r="B1457" i="10"/>
  <c r="C1457" i="10"/>
  <c r="D1457" i="10"/>
  <c r="E1457" i="10"/>
  <c r="F1457" i="10"/>
  <c r="G1457" i="10"/>
  <c r="H1457" i="10"/>
  <c r="A1458" i="10"/>
  <c r="B1458" i="10"/>
  <c r="C1458" i="10"/>
  <c r="D1458" i="10"/>
  <c r="E1458" i="10"/>
  <c r="F1458" i="10"/>
  <c r="G1458" i="10"/>
  <c r="H1458" i="10"/>
  <c r="A1459" i="10"/>
  <c r="B1459" i="10"/>
  <c r="C1459" i="10"/>
  <c r="D1459" i="10"/>
  <c r="E1459" i="10"/>
  <c r="F1459" i="10"/>
  <c r="G1459" i="10"/>
  <c r="H1459" i="10"/>
  <c r="A1461" i="10"/>
  <c r="B1461" i="10"/>
  <c r="C1461" i="10"/>
  <c r="D1461" i="10"/>
  <c r="E1461" i="10"/>
  <c r="F1461" i="10"/>
  <c r="G1461" i="10"/>
  <c r="H1461" i="10"/>
  <c r="A1462" i="10"/>
  <c r="B1462" i="10"/>
  <c r="C1462" i="10"/>
  <c r="D1462" i="10"/>
  <c r="E1462" i="10"/>
  <c r="F1462" i="10"/>
  <c r="G1462" i="10"/>
  <c r="H1462" i="10"/>
  <c r="A1463" i="10"/>
  <c r="B1463" i="10"/>
  <c r="C1463" i="10"/>
  <c r="D1463" i="10"/>
  <c r="E1463" i="10"/>
  <c r="F1463" i="10"/>
  <c r="G1463" i="10"/>
  <c r="H1463" i="10"/>
  <c r="A1464" i="10"/>
  <c r="B1464" i="10"/>
  <c r="C1464" i="10"/>
  <c r="D1464" i="10"/>
  <c r="E1464" i="10"/>
  <c r="F1464" i="10"/>
  <c r="G1464" i="10"/>
  <c r="H1464" i="10"/>
  <c r="A1466" i="10"/>
  <c r="B1466" i="10"/>
  <c r="C1466" i="10"/>
  <c r="D1466" i="10"/>
  <c r="E1466" i="10"/>
  <c r="F1466" i="10"/>
  <c r="G1466" i="10"/>
  <c r="H1466" i="10"/>
  <c r="A1467" i="10"/>
  <c r="B1467" i="10"/>
  <c r="C1467" i="10"/>
  <c r="D1467" i="10"/>
  <c r="E1467" i="10"/>
  <c r="F1467" i="10"/>
  <c r="G1467" i="10"/>
  <c r="H1467" i="10"/>
  <c r="A1468" i="10"/>
  <c r="B1468" i="10"/>
  <c r="C1468" i="10"/>
  <c r="D1468" i="10"/>
  <c r="E1468" i="10"/>
  <c r="F1468" i="10"/>
  <c r="G1468" i="10"/>
  <c r="H1468" i="10"/>
  <c r="A1469" i="10"/>
  <c r="B1469" i="10"/>
  <c r="C1469" i="10"/>
  <c r="D1469" i="10"/>
  <c r="E1469" i="10"/>
  <c r="F1469" i="10"/>
  <c r="G1469" i="10"/>
  <c r="H1469" i="10"/>
  <c r="A1470" i="10"/>
  <c r="B1470" i="10"/>
  <c r="C1470" i="10"/>
  <c r="D1470" i="10"/>
  <c r="E1470" i="10"/>
  <c r="F1470" i="10"/>
  <c r="G1470" i="10"/>
  <c r="H1470" i="10"/>
  <c r="A1471" i="10"/>
  <c r="B1471" i="10"/>
  <c r="C1471" i="10"/>
  <c r="D1471" i="10"/>
  <c r="E1471" i="10"/>
  <c r="F1471" i="10"/>
  <c r="G1471" i="10"/>
  <c r="H1471" i="10"/>
  <c r="A1472" i="10"/>
  <c r="B1472" i="10"/>
  <c r="C1472" i="10"/>
  <c r="D1472" i="10"/>
  <c r="E1472" i="10"/>
  <c r="F1472" i="10"/>
  <c r="G1472" i="10"/>
  <c r="H1472" i="10"/>
  <c r="A1473" i="10"/>
  <c r="B1473" i="10"/>
  <c r="C1473" i="10"/>
  <c r="D1473" i="10"/>
  <c r="E1473" i="10"/>
  <c r="F1473" i="10"/>
  <c r="G1473" i="10"/>
  <c r="H1473" i="10"/>
  <c r="A1474" i="10"/>
  <c r="B1474" i="10"/>
  <c r="C1474" i="10"/>
  <c r="D1474" i="10"/>
  <c r="E1474" i="10"/>
  <c r="F1474" i="10"/>
  <c r="G1474" i="10"/>
  <c r="H1474" i="10"/>
  <c r="A1475" i="10"/>
  <c r="B1475" i="10"/>
  <c r="C1475" i="10"/>
  <c r="D1475" i="10"/>
  <c r="E1475" i="10"/>
  <c r="F1475" i="10"/>
  <c r="G1475" i="10"/>
  <c r="H1475" i="10"/>
  <c r="A1476" i="10"/>
  <c r="B1476" i="10"/>
  <c r="C1476" i="10"/>
  <c r="D1476" i="10"/>
  <c r="E1476" i="10"/>
  <c r="F1476" i="10"/>
  <c r="G1476" i="10"/>
  <c r="H1476" i="10"/>
  <c r="A1477" i="10"/>
  <c r="B1477" i="10"/>
  <c r="C1477" i="10"/>
  <c r="D1477" i="10"/>
  <c r="E1477" i="10"/>
  <c r="F1477" i="10"/>
  <c r="G1477" i="10"/>
  <c r="H1477" i="10"/>
  <c r="A1478" i="10"/>
  <c r="B1478" i="10"/>
  <c r="C1478" i="10"/>
  <c r="D1478" i="10"/>
  <c r="E1478" i="10"/>
  <c r="F1478" i="10"/>
  <c r="G1478" i="10"/>
  <c r="H1478" i="10"/>
  <c r="A1479" i="10"/>
  <c r="B1479" i="10"/>
  <c r="C1479" i="10"/>
  <c r="D1479" i="10"/>
  <c r="E1479" i="10"/>
  <c r="F1479" i="10"/>
  <c r="G1479" i="10"/>
  <c r="H1479" i="10"/>
  <c r="A1480" i="10"/>
  <c r="B1480" i="10"/>
  <c r="C1480" i="10"/>
  <c r="D1480" i="10"/>
  <c r="E1480" i="10"/>
  <c r="F1480" i="10"/>
  <c r="G1480" i="10"/>
  <c r="H1480" i="10"/>
  <c r="A1481" i="10"/>
  <c r="B1481" i="10"/>
  <c r="C1481" i="10"/>
  <c r="D1481" i="10"/>
  <c r="E1481" i="10"/>
  <c r="F1481" i="10"/>
  <c r="G1481" i="10"/>
  <c r="H1481" i="10"/>
  <c r="A1482" i="10"/>
  <c r="B1482" i="10"/>
  <c r="C1482" i="10"/>
  <c r="D1482" i="10"/>
  <c r="E1482" i="10"/>
  <c r="F1482" i="10"/>
  <c r="G1482" i="10"/>
  <c r="H1482" i="10"/>
  <c r="A1483" i="10"/>
  <c r="B1483" i="10"/>
  <c r="C1483" i="10"/>
  <c r="D1483" i="10"/>
  <c r="E1483" i="10"/>
  <c r="F1483" i="10"/>
  <c r="G1483" i="10"/>
  <c r="H1483" i="10"/>
  <c r="A1484" i="10"/>
  <c r="B1484" i="10"/>
  <c r="C1484" i="10"/>
  <c r="D1484" i="10"/>
  <c r="E1484" i="10"/>
  <c r="F1484" i="10"/>
  <c r="G1484" i="10"/>
  <c r="H1484" i="10"/>
  <c r="A1485" i="10"/>
  <c r="B1485" i="10"/>
  <c r="C1485" i="10"/>
  <c r="D1485" i="10"/>
  <c r="E1485" i="10"/>
  <c r="F1485" i="10"/>
  <c r="G1485" i="10"/>
  <c r="H1485" i="10"/>
  <c r="A1486" i="10"/>
  <c r="B1486" i="10"/>
  <c r="C1486" i="10"/>
  <c r="D1486" i="10"/>
  <c r="E1486" i="10"/>
  <c r="F1486" i="10"/>
  <c r="G1486" i="10"/>
  <c r="H1486" i="10"/>
  <c r="A1487" i="10"/>
  <c r="B1487" i="10"/>
  <c r="C1487" i="10"/>
  <c r="D1487" i="10"/>
  <c r="E1487" i="10"/>
  <c r="F1487" i="10"/>
  <c r="G1487" i="10"/>
  <c r="H1487" i="10"/>
  <c r="A1488" i="10"/>
  <c r="B1488" i="10"/>
  <c r="C1488" i="10"/>
  <c r="D1488" i="10"/>
  <c r="E1488" i="10"/>
  <c r="F1488" i="10"/>
  <c r="G1488" i="10"/>
  <c r="H1488" i="10"/>
  <c r="A1489" i="10"/>
  <c r="B1489" i="10"/>
  <c r="C1489" i="10"/>
  <c r="D1489" i="10"/>
  <c r="E1489" i="10"/>
  <c r="F1489" i="10"/>
  <c r="G1489" i="10"/>
  <c r="H1489" i="10"/>
  <c r="A1490" i="10"/>
  <c r="B1490" i="10"/>
  <c r="C1490" i="10"/>
  <c r="D1490" i="10"/>
  <c r="E1490" i="10"/>
  <c r="F1490" i="10"/>
  <c r="G1490" i="10"/>
  <c r="H1490" i="10"/>
  <c r="A1491" i="10"/>
  <c r="B1491" i="10"/>
  <c r="C1491" i="10"/>
  <c r="D1491" i="10"/>
  <c r="E1491" i="10"/>
  <c r="F1491" i="10"/>
  <c r="G1491" i="10"/>
  <c r="H1491" i="10"/>
  <c r="A1492" i="10"/>
  <c r="B1492" i="10"/>
  <c r="C1492" i="10"/>
  <c r="D1492" i="10"/>
  <c r="E1492" i="10"/>
  <c r="F1492" i="10"/>
  <c r="G1492" i="10"/>
  <c r="H1492" i="10"/>
  <c r="A1493" i="10"/>
  <c r="B1493" i="10"/>
  <c r="C1493" i="10"/>
  <c r="D1493" i="10"/>
  <c r="E1493" i="10"/>
  <c r="F1493" i="10"/>
  <c r="G1493" i="10"/>
  <c r="H1493" i="10"/>
  <c r="A1494" i="10"/>
  <c r="B1494" i="10"/>
  <c r="C1494" i="10"/>
  <c r="D1494" i="10"/>
  <c r="E1494" i="10"/>
  <c r="F1494" i="10"/>
  <c r="G1494" i="10"/>
  <c r="H1494" i="10"/>
  <c r="A1495" i="10"/>
  <c r="B1495" i="10"/>
  <c r="C1495" i="10"/>
  <c r="D1495" i="10"/>
  <c r="E1495" i="10"/>
  <c r="F1495" i="10"/>
  <c r="G1495" i="10"/>
  <c r="H1495" i="10"/>
  <c r="A1496" i="10"/>
  <c r="B1496" i="10"/>
  <c r="C1496" i="10"/>
  <c r="D1496" i="10"/>
  <c r="E1496" i="10"/>
  <c r="F1496" i="10"/>
  <c r="G1496" i="10"/>
  <c r="H1496" i="10"/>
  <c r="A1497" i="10"/>
  <c r="B1497" i="10"/>
  <c r="C1497" i="10"/>
  <c r="D1497" i="10"/>
  <c r="E1497" i="10"/>
  <c r="F1497" i="10"/>
  <c r="G1497" i="10"/>
  <c r="H1497" i="10"/>
  <c r="A1498" i="10"/>
  <c r="B1498" i="10"/>
  <c r="C1498" i="10"/>
  <c r="D1498" i="10"/>
  <c r="E1498" i="10"/>
  <c r="F1498" i="10"/>
  <c r="G1498" i="10"/>
  <c r="H1498" i="10"/>
  <c r="A1499" i="10"/>
  <c r="B1499" i="10"/>
  <c r="C1499" i="10"/>
  <c r="D1499" i="10"/>
  <c r="E1499" i="10"/>
  <c r="F1499" i="10"/>
  <c r="G1499" i="10"/>
  <c r="H1499" i="10"/>
  <c r="A1500" i="10"/>
  <c r="B1500" i="10"/>
  <c r="C1500" i="10"/>
  <c r="D1500" i="10"/>
  <c r="E1500" i="10"/>
  <c r="F1500" i="10"/>
  <c r="G1500" i="10"/>
  <c r="H1500" i="10"/>
  <c r="A1501" i="10"/>
  <c r="B1501" i="10"/>
  <c r="C1501" i="10"/>
  <c r="D1501" i="10"/>
  <c r="E1501" i="10"/>
  <c r="F1501" i="10"/>
  <c r="G1501" i="10"/>
  <c r="H1501" i="10"/>
  <c r="A1502" i="10"/>
  <c r="B1502" i="10"/>
  <c r="C1502" i="10"/>
  <c r="D1502" i="10"/>
  <c r="E1502" i="10"/>
  <c r="F1502" i="10"/>
  <c r="G1502" i="10"/>
  <c r="H1502" i="10"/>
  <c r="A1503" i="10"/>
  <c r="B1503" i="10"/>
  <c r="C1503" i="10"/>
  <c r="D1503" i="10"/>
  <c r="E1503" i="10"/>
  <c r="F1503" i="10"/>
  <c r="G1503" i="10"/>
  <c r="H1503" i="10"/>
  <c r="A1504" i="10"/>
  <c r="B1504" i="10"/>
  <c r="C1504" i="10"/>
  <c r="D1504" i="10"/>
  <c r="E1504" i="10"/>
  <c r="F1504" i="10"/>
  <c r="G1504" i="10"/>
  <c r="H1504" i="10"/>
  <c r="A1505" i="10"/>
  <c r="B1505" i="10"/>
  <c r="C1505" i="10"/>
  <c r="D1505" i="10"/>
  <c r="E1505" i="10"/>
  <c r="F1505" i="10"/>
  <c r="G1505" i="10"/>
  <c r="H1505" i="10"/>
  <c r="A1506" i="10"/>
  <c r="B1506" i="10"/>
  <c r="C1506" i="10"/>
  <c r="D1506" i="10"/>
  <c r="E1506" i="10"/>
  <c r="F1506" i="10"/>
  <c r="G1506" i="10"/>
  <c r="H1506" i="10"/>
  <c r="A1507" i="10"/>
  <c r="B1507" i="10"/>
  <c r="C1507" i="10"/>
  <c r="D1507" i="10"/>
  <c r="E1507" i="10"/>
  <c r="F1507" i="10"/>
  <c r="G1507" i="10"/>
  <c r="H1507" i="10"/>
  <c r="A1508" i="10"/>
  <c r="B1508" i="10"/>
  <c r="C1508" i="10"/>
  <c r="D1508" i="10"/>
  <c r="E1508" i="10"/>
  <c r="F1508" i="10"/>
  <c r="G1508" i="10"/>
  <c r="H1508" i="10"/>
  <c r="A1509" i="10"/>
  <c r="B1509" i="10"/>
  <c r="C1509" i="10"/>
  <c r="D1509" i="10"/>
  <c r="E1509" i="10"/>
  <c r="F1509" i="10"/>
  <c r="G1509" i="10"/>
  <c r="H1509" i="10"/>
  <c r="A1510" i="10"/>
  <c r="B1510" i="10"/>
  <c r="C1510" i="10"/>
  <c r="D1510" i="10"/>
  <c r="E1510" i="10"/>
  <c r="F1510" i="10"/>
  <c r="G1510" i="10"/>
  <c r="H1510" i="10"/>
  <c r="A1511" i="10"/>
  <c r="B1511" i="10"/>
  <c r="C1511" i="10"/>
  <c r="D1511" i="10"/>
  <c r="E1511" i="10"/>
  <c r="F1511" i="10"/>
  <c r="G1511" i="10"/>
  <c r="H1511" i="10"/>
  <c r="A1512" i="10"/>
  <c r="B1512" i="10"/>
  <c r="C1512" i="10"/>
  <c r="D1512" i="10"/>
  <c r="E1512" i="10"/>
  <c r="F1512" i="10"/>
  <c r="G1512" i="10"/>
  <c r="H1512" i="10"/>
  <c r="A1513" i="10"/>
  <c r="B1513" i="10"/>
  <c r="C1513" i="10"/>
  <c r="D1513" i="10"/>
  <c r="E1513" i="10"/>
  <c r="F1513" i="10"/>
  <c r="G1513" i="10"/>
  <c r="H1513" i="10"/>
  <c r="A1514" i="10"/>
  <c r="B1514" i="10"/>
  <c r="C1514" i="10"/>
  <c r="D1514" i="10"/>
  <c r="E1514" i="10"/>
  <c r="F1514" i="10"/>
  <c r="G1514" i="10"/>
  <c r="H1514" i="10"/>
  <c r="A1515" i="10"/>
  <c r="B1515" i="10"/>
  <c r="C1515" i="10"/>
  <c r="D1515" i="10"/>
  <c r="E1515" i="10"/>
  <c r="F1515" i="10"/>
  <c r="G1515" i="10"/>
  <c r="H1515" i="10"/>
  <c r="A1516" i="10"/>
  <c r="B1516" i="10"/>
  <c r="C1516" i="10"/>
  <c r="D1516" i="10"/>
  <c r="E1516" i="10"/>
  <c r="F1516" i="10"/>
  <c r="G1516" i="10"/>
  <c r="H1516" i="10"/>
  <c r="A1517" i="10"/>
  <c r="B1517" i="10"/>
  <c r="C1517" i="10"/>
  <c r="D1517" i="10"/>
  <c r="E1517" i="10"/>
  <c r="F1517" i="10"/>
  <c r="G1517" i="10"/>
  <c r="H1517" i="10"/>
  <c r="A1518" i="10"/>
  <c r="B1518" i="10"/>
  <c r="C1518" i="10"/>
  <c r="D1518" i="10"/>
  <c r="E1518" i="10"/>
  <c r="F1518" i="10"/>
  <c r="G1518" i="10"/>
  <c r="H1518" i="10"/>
  <c r="A1519" i="10"/>
  <c r="B1519" i="10"/>
  <c r="C1519" i="10"/>
  <c r="D1519" i="10"/>
  <c r="E1519" i="10"/>
  <c r="F1519" i="10"/>
  <c r="G1519" i="10"/>
  <c r="H1519" i="10"/>
  <c r="A1520" i="10"/>
  <c r="B1520" i="10"/>
  <c r="C1520" i="10"/>
  <c r="D1520" i="10"/>
  <c r="E1520" i="10"/>
  <c r="F1520" i="10"/>
  <c r="G1520" i="10"/>
  <c r="H1520" i="10"/>
  <c r="A1521" i="10"/>
  <c r="B1521" i="10"/>
  <c r="C1521" i="10"/>
  <c r="D1521" i="10"/>
  <c r="E1521" i="10"/>
  <c r="F1521" i="10"/>
  <c r="G1521" i="10"/>
  <c r="H1521" i="10"/>
  <c r="A1522" i="10"/>
  <c r="B1522" i="10"/>
  <c r="C1522" i="10"/>
  <c r="D1522" i="10"/>
  <c r="E1522" i="10"/>
  <c r="F1522" i="10"/>
  <c r="G1522" i="10"/>
  <c r="H1522" i="10"/>
  <c r="A1523" i="10"/>
  <c r="B1523" i="10"/>
  <c r="C1523" i="10"/>
  <c r="D1523" i="10"/>
  <c r="E1523" i="10"/>
  <c r="F1523" i="10"/>
  <c r="G1523" i="10"/>
  <c r="H1523" i="10"/>
  <c r="A1524" i="10"/>
  <c r="B1524" i="10"/>
  <c r="C1524" i="10"/>
  <c r="D1524" i="10"/>
  <c r="E1524" i="10"/>
  <c r="F1524" i="10"/>
  <c r="G1524" i="10"/>
  <c r="H1524" i="10"/>
  <c r="A1525" i="10"/>
  <c r="B1525" i="10"/>
  <c r="A1526" i="10"/>
  <c r="B1526" i="10"/>
  <c r="A1527" i="10"/>
  <c r="B1527" i="10"/>
  <c r="A1528" i="10"/>
  <c r="B1528" i="10"/>
  <c r="A1530" i="10"/>
  <c r="B1530" i="10"/>
  <c r="A1531" i="10"/>
  <c r="B1531" i="10"/>
  <c r="A1532" i="10"/>
  <c r="B1532" i="10"/>
  <c r="A1533" i="10"/>
  <c r="B1533" i="10"/>
  <c r="A1534" i="10"/>
  <c r="B1534" i="10"/>
  <c r="A1535" i="10"/>
  <c r="B1535" i="10"/>
  <c r="A1536" i="10"/>
  <c r="B1536" i="10"/>
  <c r="A1537" i="10"/>
  <c r="B1537" i="10"/>
  <c r="A1538" i="10"/>
  <c r="B1538" i="10"/>
  <c r="A1539" i="10"/>
  <c r="B1539" i="10"/>
  <c r="A1540" i="10"/>
  <c r="B1540" i="10"/>
  <c r="A1541" i="10"/>
  <c r="B1541" i="10"/>
  <c r="A1542" i="10"/>
  <c r="B1542" i="10"/>
  <c r="A1543" i="10"/>
  <c r="B1543" i="10"/>
  <c r="A1544" i="10"/>
  <c r="B1544" i="10"/>
  <c r="A1545" i="10"/>
  <c r="B1545" i="10"/>
  <c r="A1546" i="10"/>
  <c r="B1546" i="10"/>
  <c r="A1547" i="10"/>
  <c r="B1547" i="10"/>
  <c r="A1548" i="10"/>
  <c r="B1548" i="10"/>
  <c r="A1549" i="10"/>
  <c r="B1549" i="10"/>
  <c r="A1550" i="10"/>
  <c r="B1550" i="10"/>
  <c r="A1551" i="10"/>
  <c r="B1551" i="10"/>
  <c r="A1552" i="10"/>
  <c r="B1552" i="10"/>
  <c r="A1553" i="10"/>
  <c r="B1553" i="10"/>
  <c r="A1554" i="10"/>
  <c r="B1554" i="10"/>
  <c r="A1555" i="10"/>
  <c r="B1555" i="10"/>
  <c r="A1556" i="10"/>
  <c r="B1556" i="10"/>
  <c r="A1557" i="10"/>
  <c r="B1557" i="10"/>
  <c r="A1558" i="10"/>
  <c r="B1558" i="10"/>
  <c r="A1559" i="10"/>
  <c r="B1559" i="10"/>
  <c r="A1560" i="10"/>
  <c r="B1560" i="10"/>
  <c r="A1561" i="10"/>
  <c r="B1561" i="10"/>
  <c r="A1562" i="10"/>
  <c r="B1562" i="10"/>
  <c r="A1563" i="10"/>
  <c r="B1563" i="10"/>
  <c r="A1564" i="10"/>
  <c r="B1564" i="10"/>
  <c r="A1565" i="10"/>
  <c r="B1565" i="10"/>
  <c r="A1566" i="10"/>
  <c r="B1566" i="10"/>
  <c r="A1567" i="10"/>
  <c r="B1567" i="10"/>
  <c r="A1568" i="10"/>
  <c r="B1568" i="10"/>
  <c r="A1569" i="10"/>
  <c r="B1569" i="10"/>
  <c r="A1570" i="10"/>
  <c r="B1570" i="10"/>
  <c r="A1571" i="10"/>
  <c r="B1571" i="10"/>
  <c r="A1572" i="10"/>
  <c r="B1572" i="10"/>
  <c r="A1573" i="10"/>
  <c r="B1573" i="10"/>
  <c r="A1574" i="10"/>
  <c r="B1574" i="10"/>
  <c r="A1575" i="10"/>
  <c r="B1575" i="10"/>
  <c r="A1576" i="10"/>
  <c r="B1576" i="10"/>
  <c r="A1577" i="10"/>
  <c r="B1577" i="10"/>
  <c r="A1578" i="10"/>
  <c r="B1578" i="10"/>
  <c r="A1579" i="10"/>
  <c r="B1579" i="10"/>
  <c r="A1580" i="10"/>
  <c r="B1580" i="10"/>
  <c r="A1581" i="10"/>
  <c r="B1581" i="10"/>
  <c r="A1582" i="10"/>
  <c r="B1582" i="10"/>
  <c r="A1583" i="10"/>
  <c r="B1583" i="10"/>
  <c r="A1584" i="10"/>
  <c r="B1584" i="10"/>
  <c r="A1585" i="10"/>
  <c r="B1585" i="10"/>
  <c r="A1586" i="10"/>
  <c r="B1586" i="10"/>
  <c r="A1587" i="10"/>
  <c r="B1587" i="10"/>
  <c r="A1588" i="10"/>
  <c r="B1588" i="10"/>
  <c r="A1589" i="10"/>
  <c r="B1589" i="10"/>
  <c r="A1590" i="10"/>
  <c r="B1590" i="10"/>
  <c r="A1591" i="10"/>
  <c r="B1591" i="10"/>
  <c r="A1592" i="10"/>
  <c r="B1592" i="10"/>
  <c r="A1593" i="10"/>
  <c r="B1593" i="10"/>
  <c r="A1594" i="10"/>
  <c r="B1594" i="10"/>
  <c r="A1595" i="10"/>
  <c r="B1595" i="10"/>
  <c r="A1596" i="10"/>
  <c r="B1596" i="10"/>
  <c r="A1597" i="10"/>
  <c r="B1597" i="10"/>
  <c r="A1598" i="10"/>
  <c r="B1598" i="10"/>
  <c r="A1599" i="10"/>
  <c r="B1599" i="10"/>
  <c r="A1600" i="10"/>
  <c r="B1600" i="10"/>
  <c r="A1601" i="10"/>
  <c r="B1601" i="10"/>
  <c r="A1602" i="10"/>
  <c r="B1602" i="10"/>
  <c r="A1603" i="10"/>
  <c r="B1603" i="10"/>
  <c r="A1604" i="10"/>
  <c r="B1604" i="10"/>
  <c r="A1605" i="10"/>
  <c r="B1605" i="10"/>
  <c r="A1606" i="10"/>
  <c r="B1606" i="10"/>
  <c r="A1607" i="10"/>
  <c r="B1607" i="10"/>
  <c r="A1608" i="10"/>
  <c r="B1608" i="10"/>
  <c r="A1609" i="10"/>
  <c r="B1609" i="10"/>
  <c r="A1614" i="10"/>
  <c r="B1614" i="10"/>
  <c r="A1615" i="10"/>
  <c r="B1615" i="10"/>
  <c r="A1616" i="10"/>
  <c r="B1616" i="10"/>
  <c r="A1617" i="10"/>
  <c r="B1617" i="10"/>
  <c r="A1618" i="10"/>
  <c r="B1618" i="10"/>
  <c r="A1619" i="10"/>
  <c r="B1619" i="10"/>
  <c r="A1620" i="10"/>
  <c r="B1620" i="10"/>
  <c r="A1621" i="10"/>
  <c r="B1621" i="10"/>
  <c r="A1622" i="10"/>
  <c r="B1622" i="10"/>
  <c r="A1627" i="10"/>
  <c r="B1627" i="10"/>
  <c r="A1628" i="10"/>
  <c r="B1628" i="10"/>
  <c r="A1629" i="10"/>
  <c r="B1629" i="10"/>
  <c r="B1630" i="10"/>
  <c r="B1631" i="10"/>
  <c r="B1632" i="10"/>
  <c r="B1633" i="10"/>
  <c r="B1634" i="10"/>
  <c r="A1635" i="10"/>
  <c r="B1635" i="10"/>
  <c r="A1636" i="10"/>
  <c r="B1636" i="10"/>
  <c r="A1637" i="10"/>
  <c r="B1637" i="10"/>
  <c r="A1638" i="10"/>
  <c r="B1638" i="10"/>
  <c r="A1639" i="10"/>
  <c r="B1639" i="10"/>
  <c r="A1640" i="10"/>
  <c r="B1640" i="10"/>
  <c r="A1641" i="10"/>
  <c r="B1641" i="10"/>
  <c r="A1642" i="10"/>
  <c r="B1642" i="10"/>
  <c r="A1643" i="10"/>
  <c r="B1643" i="10"/>
  <c r="A1644" i="10"/>
  <c r="B1644" i="10"/>
  <c r="A1645" i="10"/>
  <c r="B1645" i="10"/>
  <c r="A1646" i="10"/>
  <c r="B1646" i="10"/>
  <c r="A1647" i="10"/>
  <c r="B1647" i="10"/>
  <c r="A1648" i="10"/>
  <c r="B1648" i="10"/>
  <c r="A1649" i="10"/>
  <c r="B1649" i="10"/>
  <c r="A1650" i="10"/>
  <c r="B1650" i="10"/>
  <c r="A1651" i="10"/>
  <c r="B1651" i="10"/>
  <c r="A1652" i="10"/>
  <c r="B1652" i="10"/>
  <c r="A1653" i="10"/>
  <c r="B1653" i="10"/>
  <c r="A1654" i="10"/>
  <c r="B1654" i="10"/>
  <c r="A1655" i="10"/>
  <c r="B1655" i="10"/>
  <c r="A1656" i="10"/>
  <c r="B1656" i="10"/>
  <c r="A1657" i="10"/>
  <c r="B1657" i="10"/>
  <c r="A1658" i="10"/>
  <c r="B1658" i="10"/>
  <c r="A1659" i="10"/>
  <c r="B1659" i="10"/>
  <c r="A1660" i="10"/>
  <c r="B1660" i="10"/>
  <c r="A1661" i="10"/>
  <c r="B1661" i="10"/>
  <c r="A1662" i="10"/>
  <c r="B1662" i="10"/>
  <c r="A1663" i="10"/>
  <c r="B1663" i="10"/>
  <c r="A1664" i="10"/>
  <c r="B1664" i="10"/>
  <c r="A1665" i="10"/>
  <c r="B1665" i="10"/>
  <c r="A1666" i="10"/>
  <c r="B1666" i="10"/>
  <c r="A1667" i="10"/>
  <c r="B1667" i="10"/>
  <c r="A1668" i="10"/>
  <c r="B1668" i="10"/>
  <c r="A1669" i="10"/>
  <c r="B1669" i="10"/>
  <c r="A1670" i="10"/>
  <c r="B1670" i="10"/>
  <c r="A1671" i="10"/>
  <c r="B1671" i="10"/>
  <c r="A1672" i="10"/>
  <c r="B1672" i="10"/>
  <c r="A1673" i="10"/>
  <c r="B1673" i="10"/>
  <c r="A1674" i="10"/>
  <c r="B1674" i="10"/>
  <c r="A1675" i="10"/>
  <c r="B1675" i="10"/>
  <c r="A1676" i="10"/>
  <c r="B1676" i="10"/>
  <c r="A1677" i="10"/>
  <c r="B1677" i="10"/>
  <c r="A1678" i="10"/>
  <c r="B1678" i="10"/>
  <c r="A1679" i="10"/>
  <c r="B1679" i="10"/>
  <c r="A1680" i="10"/>
  <c r="B1680" i="10"/>
  <c r="A1681" i="10"/>
  <c r="B1681" i="10"/>
  <c r="A1682" i="10"/>
  <c r="B1682" i="10"/>
  <c r="A1683" i="10"/>
  <c r="B1683" i="10"/>
  <c r="A1684" i="10"/>
  <c r="B1684" i="10"/>
  <c r="A1685" i="10"/>
  <c r="B1685" i="10"/>
  <c r="A1686" i="10"/>
  <c r="B1686" i="10"/>
  <c r="A1687" i="10"/>
  <c r="B1687" i="10"/>
  <c r="A1688" i="10"/>
  <c r="B1688" i="10"/>
  <c r="A1689" i="10"/>
  <c r="B1689" i="10"/>
  <c r="A1690" i="10"/>
  <c r="B1690" i="10"/>
  <c r="A1691" i="10"/>
  <c r="B1691" i="10"/>
  <c r="A1692" i="10"/>
  <c r="B1692" i="10"/>
  <c r="A1693" i="10"/>
  <c r="B1693" i="10"/>
  <c r="A1694" i="10"/>
  <c r="B1694" i="10"/>
  <c r="A1695" i="10"/>
  <c r="B1695" i="10"/>
  <c r="A1696" i="10"/>
  <c r="B1696" i="10"/>
  <c r="A1697" i="10"/>
  <c r="B1697" i="10"/>
  <c r="A1698" i="10"/>
  <c r="B1698" i="10"/>
  <c r="A1699" i="10"/>
  <c r="B1699" i="10"/>
  <c r="A1700" i="10"/>
  <c r="B1700" i="10"/>
  <c r="A1701" i="10"/>
  <c r="B1701" i="10"/>
  <c r="A1702" i="10"/>
  <c r="B1702" i="10"/>
  <c r="A1703" i="10"/>
  <c r="B1703" i="10"/>
  <c r="A1704" i="10"/>
  <c r="B1704" i="10"/>
  <c r="A1705" i="10"/>
  <c r="B1705" i="10"/>
  <c r="A1706" i="10"/>
  <c r="B1706" i="10"/>
  <c r="A1707" i="10"/>
  <c r="B1707" i="10"/>
  <c r="A1708" i="10"/>
  <c r="B1708" i="10"/>
  <c r="A1709" i="10"/>
  <c r="B1709" i="10"/>
  <c r="A1710" i="10"/>
  <c r="B1710" i="10"/>
  <c r="A1711" i="10"/>
  <c r="B1711" i="10"/>
  <c r="A1712" i="10"/>
  <c r="B1712" i="10"/>
  <c r="K641" i="2"/>
  <c r="J641" i="2"/>
  <c r="I641" i="2"/>
  <c r="M638" i="4"/>
  <c r="J639" i="2"/>
  <c r="I639" i="2"/>
  <c r="J638" i="2"/>
  <c r="N639" i="2"/>
  <c r="N638" i="2"/>
  <c r="P637" i="4"/>
  <c r="K634" i="2" l="1"/>
  <c r="K633" i="2"/>
  <c r="K632" i="2"/>
  <c r="J1191" i="10"/>
  <c r="K1191" i="10"/>
  <c r="L1191" i="10"/>
  <c r="M1191" i="10"/>
  <c r="N1191" i="10"/>
  <c r="O1191" i="10"/>
  <c r="P1191" i="10"/>
  <c r="Q1191" i="10"/>
  <c r="R1191" i="10"/>
  <c r="S1191" i="10"/>
  <c r="T1191" i="10"/>
  <c r="U1191" i="10"/>
  <c r="V1191" i="10"/>
  <c r="W1191" i="10"/>
  <c r="K627" i="2"/>
  <c r="K628" i="2"/>
  <c r="K629" i="2"/>
  <c r="K630" i="2"/>
  <c r="K626" i="2"/>
  <c r="H624" i="4"/>
  <c r="N623" i="2"/>
  <c r="J624" i="2"/>
  <c r="N624" i="2"/>
  <c r="J623" i="2"/>
  <c r="J620" i="2"/>
  <c r="I620" i="2"/>
  <c r="J619" i="2"/>
  <c r="V1138" i="3"/>
  <c r="V1136" i="3"/>
  <c r="V1134" i="3"/>
  <c r="V1132" i="3"/>
  <c r="V1130" i="3"/>
  <c r="I1134" i="10"/>
  <c r="I1135" i="10"/>
  <c r="I1136" i="10"/>
  <c r="I1137" i="10"/>
  <c r="I1138" i="10"/>
  <c r="I1154" i="10"/>
  <c r="I1155" i="10"/>
  <c r="I1156" i="10"/>
  <c r="I1157" i="10"/>
  <c r="I1158" i="10"/>
  <c r="I1159" i="10"/>
  <c r="I1130" i="10"/>
  <c r="I1131" i="10"/>
  <c r="I1132" i="10"/>
  <c r="I1133" i="10"/>
  <c r="I1129" i="10"/>
  <c r="K618" i="2"/>
  <c r="J1134" i="3" s="1"/>
  <c r="I618" i="2"/>
  <c r="J618" i="2"/>
  <c r="J616" i="2"/>
  <c r="I616" i="2"/>
  <c r="H616" i="4"/>
  <c r="J615" i="2"/>
  <c r="I615" i="2"/>
  <c r="J614" i="2"/>
  <c r="I614" i="2"/>
  <c r="W1116" i="10"/>
  <c r="X1116" i="10"/>
  <c r="Y1116" i="10"/>
  <c r="Z1116" i="10"/>
  <c r="W1117" i="10"/>
  <c r="X1117" i="10"/>
  <c r="Y1117" i="10"/>
  <c r="Z1117" i="10"/>
  <c r="W1118" i="10"/>
  <c r="X1118" i="10"/>
  <c r="Y1118" i="10"/>
  <c r="Z1118" i="10"/>
  <c r="W1119" i="10"/>
  <c r="X1119" i="10"/>
  <c r="Y1119" i="10"/>
  <c r="Z1119" i="10"/>
  <c r="W1120" i="10"/>
  <c r="X1120" i="10"/>
  <c r="Y1120" i="10"/>
  <c r="Z1120" i="10"/>
  <c r="W1121" i="10"/>
  <c r="X1121" i="10"/>
  <c r="Y1121" i="10"/>
  <c r="Z1121" i="10"/>
  <c r="K1113" i="10"/>
  <c r="L1113" i="10"/>
  <c r="M1113" i="10"/>
  <c r="N1113" i="10"/>
  <c r="O1113" i="10"/>
  <c r="P1113" i="10"/>
  <c r="Q1113" i="10"/>
  <c r="R1113" i="10"/>
  <c r="S1113" i="10"/>
  <c r="T1113" i="10"/>
  <c r="V1113" i="10"/>
  <c r="K1114" i="10"/>
  <c r="L1114" i="10"/>
  <c r="M1114" i="10"/>
  <c r="N1114" i="10"/>
  <c r="O1114" i="10"/>
  <c r="P1114" i="10"/>
  <c r="Q1114" i="10"/>
  <c r="R1114" i="10"/>
  <c r="S1114" i="10"/>
  <c r="T1114" i="10"/>
  <c r="V1114" i="10"/>
  <c r="K1115" i="10"/>
  <c r="L1115" i="10"/>
  <c r="M1115" i="10"/>
  <c r="N1115" i="10"/>
  <c r="O1115" i="10"/>
  <c r="P1115" i="10"/>
  <c r="Q1115" i="10"/>
  <c r="R1115" i="10"/>
  <c r="S1115" i="10"/>
  <c r="T1115" i="10"/>
  <c r="V1115" i="10"/>
  <c r="K1116" i="10"/>
  <c r="L1116" i="10"/>
  <c r="M1116" i="10"/>
  <c r="N1116" i="10"/>
  <c r="O1116" i="10"/>
  <c r="P1116" i="10"/>
  <c r="Q1116" i="10"/>
  <c r="R1116" i="10"/>
  <c r="S1116" i="10"/>
  <c r="T1116" i="10"/>
  <c r="U1116" i="10"/>
  <c r="V1116" i="10"/>
  <c r="K1117" i="10"/>
  <c r="L1117" i="10"/>
  <c r="M1117" i="10"/>
  <c r="N1117" i="10"/>
  <c r="O1117" i="10"/>
  <c r="P1117" i="10"/>
  <c r="Q1117" i="10"/>
  <c r="R1117" i="10"/>
  <c r="S1117" i="10"/>
  <c r="T1117" i="10"/>
  <c r="U1117" i="10"/>
  <c r="V1117" i="10"/>
  <c r="K1118" i="10"/>
  <c r="L1118" i="10"/>
  <c r="M1118" i="10"/>
  <c r="N1118" i="10"/>
  <c r="O1118" i="10"/>
  <c r="P1118" i="10"/>
  <c r="Q1118" i="10"/>
  <c r="R1118" i="10"/>
  <c r="S1118" i="10"/>
  <c r="T1118" i="10"/>
  <c r="U1118" i="10"/>
  <c r="V1118" i="10"/>
  <c r="K1119" i="10"/>
  <c r="L1119" i="10"/>
  <c r="M1119" i="10"/>
  <c r="N1119" i="10"/>
  <c r="O1119" i="10"/>
  <c r="P1119" i="10"/>
  <c r="Q1119" i="10"/>
  <c r="R1119" i="10"/>
  <c r="S1119" i="10"/>
  <c r="T1119" i="10"/>
  <c r="U1119" i="10"/>
  <c r="V1119" i="10"/>
  <c r="K1120" i="10"/>
  <c r="L1120" i="10"/>
  <c r="M1120" i="10"/>
  <c r="N1120" i="10"/>
  <c r="O1120" i="10"/>
  <c r="P1120" i="10"/>
  <c r="Q1120" i="10"/>
  <c r="R1120" i="10"/>
  <c r="S1120" i="10"/>
  <c r="T1120" i="10"/>
  <c r="U1120" i="10"/>
  <c r="V1120" i="10"/>
  <c r="K1121" i="10"/>
  <c r="L1121" i="10"/>
  <c r="M1121" i="10"/>
  <c r="N1121" i="10"/>
  <c r="O1121" i="10"/>
  <c r="P1121" i="10"/>
  <c r="Q1121" i="10"/>
  <c r="R1121" i="10"/>
  <c r="S1121" i="10"/>
  <c r="T1121" i="10"/>
  <c r="U1121" i="10"/>
  <c r="V1121" i="10"/>
  <c r="J1114" i="10"/>
  <c r="J1115" i="10"/>
  <c r="J1116" i="10"/>
  <c r="J1117" i="10"/>
  <c r="J1118" i="10"/>
  <c r="J1119" i="10"/>
  <c r="J1120" i="10"/>
  <c r="J1121" i="10"/>
  <c r="J1113" i="10"/>
  <c r="I613" i="4"/>
  <c r="I611" i="4"/>
  <c r="I612" i="4"/>
  <c r="N609" i="2"/>
  <c r="N610" i="2"/>
  <c r="J1136" i="3" l="1"/>
  <c r="J1138" i="3"/>
  <c r="J1130" i="3"/>
  <c r="J1132" i="3"/>
  <c r="J607" i="4"/>
  <c r="K607" i="2"/>
  <c r="P607" i="4" s="1"/>
  <c r="K606" i="2"/>
  <c r="K605" i="2"/>
  <c r="N605" i="2" s="1"/>
  <c r="J605" i="2"/>
  <c r="I605" i="2"/>
  <c r="K604" i="2"/>
  <c r="N604" i="2" s="1"/>
  <c r="K603" i="2"/>
  <c r="H603" i="4" s="1"/>
  <c r="K601" i="2"/>
  <c r="H601" i="4" s="1"/>
  <c r="K602" i="2"/>
  <c r="N602" i="2" s="1"/>
  <c r="K600" i="2"/>
  <c r="H600" i="4" s="1"/>
  <c r="I602" i="2"/>
  <c r="J602" i="2"/>
  <c r="K599" i="2"/>
  <c r="K598" i="2"/>
  <c r="Q585" i="4"/>
  <c r="Q586" i="4"/>
  <c r="Q587" i="4"/>
  <c r="Q588" i="4"/>
  <c r="Q589" i="4"/>
  <c r="Q590" i="4"/>
  <c r="Q591" i="4"/>
  <c r="Q592" i="4"/>
  <c r="Q593" i="4"/>
  <c r="Q594" i="4"/>
  <c r="Q595" i="4"/>
  <c r="Q596" i="4"/>
  <c r="Q597" i="4"/>
  <c r="Q584" i="4"/>
  <c r="J597" i="4"/>
  <c r="J596" i="4"/>
  <c r="J595" i="4"/>
  <c r="J594" i="4"/>
  <c r="J593" i="4"/>
  <c r="J592" i="4"/>
  <c r="J591" i="4"/>
  <c r="J590" i="4"/>
  <c r="J589" i="4"/>
  <c r="J588" i="4"/>
  <c r="J587" i="4"/>
  <c r="J586" i="4"/>
  <c r="J585" i="4"/>
  <c r="J584" i="4"/>
  <c r="J588" i="2"/>
  <c r="I588" i="2"/>
  <c r="J582" i="4"/>
  <c r="N582" i="4"/>
  <c r="R582" i="4"/>
  <c r="Q582" i="4"/>
  <c r="P582" i="4"/>
  <c r="K583" i="2"/>
  <c r="J583" i="2"/>
  <c r="I583" i="2"/>
  <c r="K582" i="2"/>
  <c r="I582" i="2"/>
  <c r="J582" i="2"/>
  <c r="I573" i="4"/>
  <c r="I572" i="4"/>
  <c r="I577" i="4"/>
  <c r="I576" i="4"/>
  <c r="I575" i="4"/>
  <c r="I574" i="4"/>
  <c r="K569" i="2"/>
  <c r="K567" i="2" s="1"/>
  <c r="J566" i="2"/>
  <c r="I566" i="2"/>
  <c r="K566" i="2"/>
  <c r="K564" i="2"/>
  <c r="N563" i="2"/>
  <c r="K562" i="2"/>
  <c r="N561" i="4"/>
  <c r="Q561" i="4"/>
  <c r="N560" i="4"/>
  <c r="Q560" i="4"/>
  <c r="I561" i="4"/>
  <c r="I560" i="4"/>
  <c r="P561" i="4"/>
  <c r="R561" i="4"/>
  <c r="P560" i="4"/>
  <c r="R560" i="4"/>
  <c r="S560" i="4" s="1"/>
  <c r="K561" i="2"/>
  <c r="N561" i="2" s="1"/>
  <c r="K560" i="2"/>
  <c r="N560" i="2" s="1"/>
  <c r="N603" i="2" l="1"/>
  <c r="H602" i="4"/>
  <c r="S561" i="4"/>
  <c r="R607" i="4"/>
  <c r="N600" i="2"/>
  <c r="N601" i="2"/>
  <c r="J557" i="2"/>
  <c r="I557" i="2"/>
  <c r="J555" i="2"/>
  <c r="I555" i="2"/>
  <c r="N552" i="2"/>
  <c r="J552" i="2"/>
  <c r="J549" i="2" l="1"/>
  <c r="I549" i="2"/>
  <c r="N542" i="2"/>
  <c r="N543" i="2"/>
  <c r="N541" i="2"/>
  <c r="R543" i="4"/>
  <c r="R542" i="4"/>
  <c r="J543" i="2"/>
  <c r="J542" i="2"/>
  <c r="J541" i="2"/>
  <c r="S540" i="4" l="1"/>
  <c r="S539" i="4"/>
  <c r="S538" i="4"/>
  <c r="S537" i="4"/>
  <c r="S536" i="4"/>
  <c r="P863" i="3" l="1"/>
  <c r="M535" i="4"/>
  <c r="T863" i="3"/>
  <c r="U863" i="3"/>
  <c r="P535" i="4"/>
  <c r="Q535" i="4" s="1"/>
  <c r="J535" i="4" s="1"/>
  <c r="J535" i="2"/>
  <c r="I535" i="2"/>
  <c r="I533" i="4"/>
  <c r="P533" i="4"/>
  <c r="N534" i="2"/>
  <c r="N533" i="2"/>
  <c r="N528" i="2" l="1"/>
  <c r="T860" i="3"/>
  <c r="J532" i="2"/>
  <c r="I532" i="2"/>
  <c r="X859" i="3"/>
  <c r="N531" i="2"/>
  <c r="N530" i="2"/>
  <c r="I524" i="4"/>
  <c r="I525" i="4"/>
  <c r="I526" i="4"/>
  <c r="I527" i="4"/>
  <c r="K509" i="2" l="1"/>
  <c r="S507" i="4"/>
  <c r="R507" i="4"/>
  <c r="S506" i="4"/>
  <c r="P507" i="4"/>
  <c r="Q507" i="4"/>
  <c r="Q506" i="4"/>
  <c r="Y137" i="3" l="1"/>
  <c r="Y136" i="3"/>
  <c r="Y135" i="3"/>
  <c r="Y134" i="3"/>
  <c r="Y133" i="3"/>
  <c r="Y132" i="3"/>
  <c r="Y131" i="3"/>
  <c r="Y130" i="3"/>
  <c r="Y129" i="3"/>
  <c r="Y128" i="3"/>
  <c r="Y127" i="3"/>
  <c r="Y126" i="3"/>
  <c r="Y125" i="3"/>
  <c r="Y124" i="3"/>
  <c r="Y123" i="3"/>
  <c r="Y122" i="3"/>
  <c r="Y121" i="3"/>
  <c r="Y120" i="3"/>
  <c r="Y119" i="3"/>
  <c r="Y118" i="3"/>
  <c r="Y117" i="3"/>
  <c r="Y116" i="3"/>
  <c r="Y115" i="3"/>
  <c r="Y114" i="3"/>
  <c r="K394" i="2" l="1"/>
  <c r="Q131" i="4"/>
  <c r="Q130" i="4"/>
  <c r="Q129" i="4"/>
  <c r="R131" i="4"/>
  <c r="R130" i="4"/>
  <c r="R129" i="4"/>
  <c r="K131" i="2"/>
  <c r="K130" i="2"/>
  <c r="K129" i="2"/>
  <c r="F2524" i="10" l="1"/>
  <c r="F2525" i="10"/>
  <c r="G2528" i="10"/>
  <c r="G2529" i="10"/>
</calcChain>
</file>

<file path=xl/sharedStrings.xml><?xml version="1.0" encoding="utf-8"?>
<sst xmlns="http://schemas.openxmlformats.org/spreadsheetml/2006/main" count="217109" uniqueCount="9321">
  <si>
    <t>Notes</t>
  </si>
  <si>
    <t>Forestry</t>
  </si>
  <si>
    <t>NA</t>
  </si>
  <si>
    <t>Source</t>
  </si>
  <si>
    <t>Location</t>
  </si>
  <si>
    <t>Latitude</t>
  </si>
  <si>
    <t>Longitude</t>
  </si>
  <si>
    <t>Fire type</t>
  </si>
  <si>
    <t>Fire intention</t>
  </si>
  <si>
    <t>Fire season start</t>
  </si>
  <si>
    <t>Fire season end</t>
  </si>
  <si>
    <t>Kull 2004</t>
  </si>
  <si>
    <t>Transition</t>
  </si>
  <si>
    <t>Land tenure</t>
  </si>
  <si>
    <r>
      <t>Stocking rate (head ha</t>
    </r>
    <r>
      <rPr>
        <b/>
        <vertAlign val="superscript"/>
        <sz val="12"/>
        <color theme="1"/>
        <rFont val="Calibri"/>
        <family val="2"/>
        <scheme val="minor"/>
      </rPr>
      <t>-1</t>
    </r>
    <r>
      <rPr>
        <b/>
        <sz val="12"/>
        <color theme="1"/>
        <rFont val="Calibri"/>
        <family val="2"/>
        <scheme val="minor"/>
      </rPr>
      <t>)</t>
    </r>
  </si>
  <si>
    <t>1a</t>
  </si>
  <si>
    <t>1b</t>
  </si>
  <si>
    <t>1c</t>
  </si>
  <si>
    <t>1d</t>
  </si>
  <si>
    <t>1e</t>
  </si>
  <si>
    <t>Kilabe</t>
  </si>
  <si>
    <t>Tsimay</t>
  </si>
  <si>
    <t>Behazo</t>
  </si>
  <si>
    <t>Andringitra</t>
  </si>
  <si>
    <t>Human, deliberate</t>
  </si>
  <si>
    <t>Pasture renewal</t>
  </si>
  <si>
    <t>Pest management</t>
  </si>
  <si>
    <t>Crop field preparation</t>
  </si>
  <si>
    <t>Cropland</t>
  </si>
  <si>
    <t>Pasture</t>
  </si>
  <si>
    <t>Accidental</t>
  </si>
  <si>
    <t>Human, accidental</t>
  </si>
  <si>
    <t>Mixed</t>
  </si>
  <si>
    <t>Criminal</t>
  </si>
  <si>
    <t>June</t>
  </si>
  <si>
    <t>November</t>
  </si>
  <si>
    <t>Fire return period (years)</t>
  </si>
  <si>
    <t>Fire ignition pattern</t>
  </si>
  <si>
    <t>April</t>
  </si>
  <si>
    <t>"Locust arrival provides a convenient pretext for burning without fear of prosecution"</t>
  </si>
  <si>
    <t>1a.1</t>
  </si>
  <si>
    <t>1a.2</t>
  </si>
  <si>
    <t>1a.3</t>
  </si>
  <si>
    <t>1a.4</t>
  </si>
  <si>
    <t>1a.5</t>
  </si>
  <si>
    <t>Cattle, Extensive</t>
  </si>
  <si>
    <t>1b.1</t>
  </si>
  <si>
    <t>1c.1</t>
  </si>
  <si>
    <t>"Very high" fire use: Madagascar 1993 Census</t>
  </si>
  <si>
    <t xml:space="preserve">"Low" fire use: Madagascar 1993 Census </t>
  </si>
  <si>
    <t xml:space="preserve">"No" fire use: Madagascar 1993 Census </t>
  </si>
  <si>
    <t>1d.1</t>
  </si>
  <si>
    <t>Within Andringitra National Park</t>
  </si>
  <si>
    <t>1e.1</t>
  </si>
  <si>
    <t>1e.2</t>
  </si>
  <si>
    <t>Grassland</t>
  </si>
  <si>
    <t>Outside Andringitra National Park; "High" fire use: Madagascar 1993 Census</t>
  </si>
  <si>
    <t>Afotsara</t>
  </si>
  <si>
    <t xml:space="preserve"> Madagascar</t>
  </si>
  <si>
    <t>Country</t>
  </si>
  <si>
    <t>1a.6</t>
  </si>
  <si>
    <t>Forest management</t>
  </si>
  <si>
    <t>Woodland</t>
  </si>
  <si>
    <t>"The area of woodland burned that year was higher than normal due to repeated locust invasions."</t>
  </si>
  <si>
    <t>Seasonal, Consistent</t>
  </si>
  <si>
    <r>
      <t>Biomass harvesting (t ha</t>
    </r>
    <r>
      <rPr>
        <b/>
        <vertAlign val="superscript"/>
        <sz val="12"/>
        <color theme="1"/>
        <rFont val="Calibri"/>
        <family val="2"/>
        <scheme val="minor"/>
      </rPr>
      <t xml:space="preserve">-1 </t>
    </r>
    <r>
      <rPr>
        <b/>
        <sz val="12"/>
        <color theme="1"/>
        <rFont val="Calibri"/>
        <family val="2"/>
        <scheme val="minor"/>
      </rPr>
      <t xml:space="preserve">yr </t>
    </r>
    <r>
      <rPr>
        <b/>
        <vertAlign val="superscript"/>
        <sz val="12"/>
        <color theme="1"/>
        <rFont val="Calibri"/>
        <family val="2"/>
        <scheme val="minor"/>
      </rPr>
      <t>-1</t>
    </r>
    <r>
      <rPr>
        <b/>
        <sz val="12"/>
        <color theme="1"/>
        <rFont val="Calibri"/>
        <family val="2"/>
        <scheme val="minor"/>
      </rPr>
      <t>)</t>
    </r>
  </si>
  <si>
    <t>Fire Behaviour</t>
  </si>
  <si>
    <t>Reported</t>
  </si>
  <si>
    <t>October</t>
  </si>
  <si>
    <t>Traditional</t>
  </si>
  <si>
    <t>Private</t>
  </si>
  <si>
    <t>1f</t>
  </si>
  <si>
    <t xml:space="preserve">Madagascar </t>
  </si>
  <si>
    <t>1f.1</t>
  </si>
  <si>
    <t>Forest</t>
  </si>
  <si>
    <t xml:space="preserve">October </t>
  </si>
  <si>
    <t>Seasonal, Backloaded</t>
  </si>
  <si>
    <t>Fire return periods vary between 3 and 20 years depending on population density.</t>
  </si>
  <si>
    <r>
      <t>Yield (t ha</t>
    </r>
    <r>
      <rPr>
        <b/>
        <vertAlign val="superscript"/>
        <sz val="12"/>
        <color theme="1"/>
        <rFont val="Calibri"/>
        <family val="2"/>
        <scheme val="minor"/>
      </rPr>
      <t>-1</t>
    </r>
    <r>
      <rPr>
        <b/>
        <sz val="12"/>
        <color theme="1"/>
        <rFont val="Calibri"/>
        <family val="2"/>
        <scheme val="minor"/>
      </rPr>
      <t>)</t>
    </r>
  </si>
  <si>
    <t xml:space="preserve">Taty (Shifting Cultivation) Extent </t>
  </si>
  <si>
    <t>Liu et al 2019</t>
  </si>
  <si>
    <t>2a</t>
  </si>
  <si>
    <t>2a.1</t>
  </si>
  <si>
    <t>Crop residue removal</t>
  </si>
  <si>
    <t>Cropping, Intensive</t>
  </si>
  <si>
    <t>2a.2</t>
  </si>
  <si>
    <t>May</t>
  </si>
  <si>
    <t>Punjab</t>
  </si>
  <si>
    <t>India</t>
  </si>
  <si>
    <t>2b</t>
  </si>
  <si>
    <t>Haryana</t>
  </si>
  <si>
    <t>2b.1</t>
  </si>
  <si>
    <t>2b.2</t>
  </si>
  <si>
    <t>Kumar et al 2015</t>
  </si>
  <si>
    <t>3a</t>
  </si>
  <si>
    <t>3a.1</t>
  </si>
  <si>
    <t>3a.2</t>
  </si>
  <si>
    <t>Study Type</t>
  </si>
  <si>
    <t>4a</t>
  </si>
  <si>
    <t>Sidhu et al 1998</t>
  </si>
  <si>
    <t>4a.1</t>
  </si>
  <si>
    <t>4a.2</t>
  </si>
  <si>
    <t>Patiala District</t>
  </si>
  <si>
    <t>5a</t>
  </si>
  <si>
    <t>5a.1</t>
  </si>
  <si>
    <t>Data is for post-monsoon rice crop</t>
  </si>
  <si>
    <t>Singh and Kumar 2019</t>
  </si>
  <si>
    <t>6a</t>
  </si>
  <si>
    <t>Lopes et al 2020</t>
  </si>
  <si>
    <t>Karnal District</t>
  </si>
  <si>
    <t>6a.1</t>
  </si>
  <si>
    <t>6a.2</t>
  </si>
  <si>
    <t>7a</t>
  </si>
  <si>
    <t>Yang et al 2008</t>
  </si>
  <si>
    <t>China</t>
  </si>
  <si>
    <t>7a.1</t>
  </si>
  <si>
    <t>Forestry, Traditional</t>
  </si>
  <si>
    <t>Calculations</t>
  </si>
  <si>
    <t>Burned area % is reported</t>
  </si>
  <si>
    <t>Land cover</t>
  </si>
  <si>
    <t>Farmers leave a 10m fire break around fields when lighting fires.</t>
  </si>
  <si>
    <t>Brazil</t>
  </si>
  <si>
    <t>Carmenta et al 2013</t>
  </si>
  <si>
    <t>8a</t>
  </si>
  <si>
    <t>8a.1</t>
  </si>
  <si>
    <t>8a.2</t>
  </si>
  <si>
    <t>Secondary forest</t>
  </si>
  <si>
    <t>December</t>
  </si>
  <si>
    <t>Seasonal, Frontloaded</t>
  </si>
  <si>
    <t xml:space="preserve">Farmers have one field ready for harvest, one ready for preparation, and will clear another ready for the following year. 1 hectare is given as an indicative field size by an interviewee. </t>
  </si>
  <si>
    <t>Cropping, Swidden</t>
  </si>
  <si>
    <t xml:space="preserve">Forest sites are burned as close to the start of the rainy season (November) as possible. Primary forest burning is discouraged by labour cost and need to gain a permit. Local rules state fires should only be lit in December, but the remoteness of the location and subsequent lack of enforcement means this is ignored. </t>
  </si>
  <si>
    <t xml:space="preserve">Secondary forest sites (capoeira) are burned as close to the beginning of the rainy season (November) as possible. The vast majority of burns take place in secondary forest. Local rules state fires should only be lit in December, but the remoteness of the location and subsequent lack of enforcement means this is ignored. </t>
  </si>
  <si>
    <t>9a</t>
  </si>
  <si>
    <t>Colombia</t>
  </si>
  <si>
    <t>Colombian Amazon Protected Areas &amp; Indigenous Reserves</t>
  </si>
  <si>
    <t>9b</t>
  </si>
  <si>
    <t>Biodiversity conservation</t>
  </si>
  <si>
    <t>9a.1</t>
  </si>
  <si>
    <t>No human ignitions</t>
  </si>
  <si>
    <t>9a.2</t>
  </si>
  <si>
    <t>Illegal coca plantations have been a major source of deforestation in the Colombian Amazon.</t>
  </si>
  <si>
    <t>9b.1</t>
  </si>
  <si>
    <t>Forest clearance</t>
  </si>
  <si>
    <t>Conservation</t>
  </si>
  <si>
    <t>10a</t>
  </si>
  <si>
    <t>Pasture area %</t>
  </si>
  <si>
    <t>Cropland area %</t>
  </si>
  <si>
    <t>Natural ecosystems %</t>
  </si>
  <si>
    <t>Inferred - deforestation</t>
  </si>
  <si>
    <t>11a</t>
  </si>
  <si>
    <t>Armenteras et al 2013b</t>
  </si>
  <si>
    <t>Calamar</t>
  </si>
  <si>
    <t>Study Date (start)</t>
  </si>
  <si>
    <t>Armenteras et al 2013a</t>
  </si>
  <si>
    <t>Secondary vegetation %</t>
  </si>
  <si>
    <t xml:space="preserve">Burned area total is reported along with a transition matrix of vegetation cover. Forest to burned area to pasture transitions are treated as deforestation fires. Forest to burned area to secondary vegetation is treated as swidden. 
The authors state permanent monoculture cropping is not a significant factor in the region. </t>
  </si>
  <si>
    <t>11a.1</t>
  </si>
  <si>
    <t>11a.2</t>
  </si>
  <si>
    <t>11a.3</t>
  </si>
  <si>
    <t>Secondary vegetation</t>
  </si>
  <si>
    <t>Secondary Vegetation</t>
  </si>
  <si>
    <t>12a</t>
  </si>
  <si>
    <t>12b</t>
  </si>
  <si>
    <t>Assuncao et al 2017</t>
  </si>
  <si>
    <t>Mato Grosso</t>
  </si>
  <si>
    <t>Para</t>
  </si>
  <si>
    <t>12a.1</t>
  </si>
  <si>
    <t>Study Year</t>
  </si>
  <si>
    <t>12a.2</t>
  </si>
  <si>
    <t>12a.3</t>
  </si>
  <si>
    <t>12b.1</t>
  </si>
  <si>
    <t>12b.2</t>
  </si>
  <si>
    <t>12b.3</t>
  </si>
  <si>
    <t>13a</t>
  </si>
  <si>
    <t>13b</t>
  </si>
  <si>
    <t>13c</t>
  </si>
  <si>
    <t>Brown 2006</t>
  </si>
  <si>
    <t>Nkometou</t>
  </si>
  <si>
    <t>Awae</t>
  </si>
  <si>
    <t>Akok</t>
  </si>
  <si>
    <t>Cameroon</t>
  </si>
  <si>
    <r>
      <t>Population density (people km</t>
    </r>
    <r>
      <rPr>
        <b/>
        <vertAlign val="superscript"/>
        <sz val="12"/>
        <color theme="1"/>
        <rFont val="Calibri"/>
        <family val="2"/>
        <scheme val="minor"/>
      </rPr>
      <t>2-1</t>
    </r>
    <r>
      <rPr>
        <b/>
        <sz val="12"/>
        <color theme="1"/>
        <rFont val="Calibri"/>
        <family val="2"/>
        <scheme val="minor"/>
      </rPr>
      <t>)</t>
    </r>
  </si>
  <si>
    <t>Inferred - fallow length</t>
  </si>
  <si>
    <t>Fallow period is explicitly linked to "slash and burn" system</t>
  </si>
  <si>
    <t>13a.1</t>
  </si>
  <si>
    <t>13a.2</t>
  </si>
  <si>
    <t>13a.3</t>
  </si>
  <si>
    <t>February</t>
  </si>
  <si>
    <t>March</t>
  </si>
  <si>
    <t>Fallow period is explicitly linked to "slash and burn" system; classified as 'semi-permanent agriculture' by author</t>
  </si>
  <si>
    <t>Khatrai Khurd</t>
  </si>
  <si>
    <t>Sehnsra</t>
  </si>
  <si>
    <t>Jalalpura</t>
  </si>
  <si>
    <t>Lehrka</t>
  </si>
  <si>
    <t>Mudhal</t>
  </si>
  <si>
    <t>Nawan Pind</t>
  </si>
  <si>
    <t>Qila Jiwan Singh</t>
  </si>
  <si>
    <t>Shahpur Khurd</t>
  </si>
  <si>
    <t>Devi Dasspura</t>
  </si>
  <si>
    <t>Naraingarh</t>
  </si>
  <si>
    <t>Kauni</t>
  </si>
  <si>
    <t>Dhadogal</t>
  </si>
  <si>
    <t>Badshahpur</t>
  </si>
  <si>
    <t>Ganga</t>
  </si>
  <si>
    <t>Kaulseri</t>
  </si>
  <si>
    <t>Chhatiana</t>
  </si>
  <si>
    <t>Kumbarwal</t>
  </si>
  <si>
    <t>Bhundar</t>
  </si>
  <si>
    <t>Ladda</t>
  </si>
  <si>
    <t>Khane Ki Dhab</t>
  </si>
  <si>
    <t>Kot Bhai</t>
  </si>
  <si>
    <t>Gurusar</t>
  </si>
  <si>
    <t>Kheri Chandwan</t>
  </si>
  <si>
    <t>Natt</t>
  </si>
  <si>
    <t>Bhamabaddi</t>
  </si>
  <si>
    <t>Loha Khera</t>
  </si>
  <si>
    <t>Sardargarh</t>
  </si>
  <si>
    <t>Lal Bai</t>
  </si>
  <si>
    <t>Jharon</t>
  </si>
  <si>
    <t>Kaljha Rani</t>
  </si>
  <si>
    <t>2aa</t>
  </si>
  <si>
    <t>2ab</t>
  </si>
  <si>
    <t>2ac</t>
  </si>
  <si>
    <t>2ad</t>
  </si>
  <si>
    <t>2ae</t>
  </si>
  <si>
    <t>Chhpri Part</t>
  </si>
  <si>
    <t>Thaska Miranji</t>
  </si>
  <si>
    <t>Mandi</t>
  </si>
  <si>
    <t>Kanthala</t>
  </si>
  <si>
    <t>Lohar Majra</t>
  </si>
  <si>
    <t>Umri Part</t>
  </si>
  <si>
    <t>Bagthala</t>
  </si>
  <si>
    <t>Lukhi</t>
  </si>
  <si>
    <t>Shadipur Shahabad</t>
  </si>
  <si>
    <t>Dhirpur</t>
  </si>
  <si>
    <t>Ajrana Kalan</t>
  </si>
  <si>
    <t>Kharindwa</t>
  </si>
  <si>
    <t>Dhangali</t>
  </si>
  <si>
    <t>Bodla</t>
  </si>
  <si>
    <t>Morthal Khas</t>
  </si>
  <si>
    <t>Mehndipur</t>
  </si>
  <si>
    <t>Palra</t>
  </si>
  <si>
    <t>Mirakpur</t>
  </si>
  <si>
    <t>Jakhauli</t>
  </si>
  <si>
    <t>Haroli</t>
  </si>
  <si>
    <t>Burj</t>
  </si>
  <si>
    <t>Shahnal</t>
  </si>
  <si>
    <t>Gorakhpur</t>
  </si>
  <si>
    <t>Dhaulu</t>
  </si>
  <si>
    <t>Ayalki</t>
  </si>
  <si>
    <t>Nagpur</t>
  </si>
  <si>
    <t>Bhattu Khurd</t>
  </si>
  <si>
    <t>Sarwarpur</t>
  </si>
  <si>
    <t>Banawali</t>
  </si>
  <si>
    <t>Suchan</t>
  </si>
  <si>
    <t>Ali Mohammad</t>
  </si>
  <si>
    <t>2af</t>
  </si>
  <si>
    <t>2ag</t>
  </si>
  <si>
    <t>2ah</t>
  </si>
  <si>
    <t>2ai</t>
  </si>
  <si>
    <t>2aj</t>
  </si>
  <si>
    <t>2ak</t>
  </si>
  <si>
    <t>2al</t>
  </si>
  <si>
    <t>2am</t>
  </si>
  <si>
    <t>2an</t>
  </si>
  <si>
    <t>2ao</t>
  </si>
  <si>
    <t>2ap</t>
  </si>
  <si>
    <t>2aq</t>
  </si>
  <si>
    <t>2ar</t>
  </si>
  <si>
    <t>2as</t>
  </si>
  <si>
    <t>2at</t>
  </si>
  <si>
    <t>2au</t>
  </si>
  <si>
    <t>2av</t>
  </si>
  <si>
    <t>2aw</t>
  </si>
  <si>
    <t>2ax</t>
  </si>
  <si>
    <t>2ay</t>
  </si>
  <si>
    <t>2az</t>
  </si>
  <si>
    <t>2ba</t>
  </si>
  <si>
    <t>2bb</t>
  </si>
  <si>
    <t>2bc</t>
  </si>
  <si>
    <t>2bd</t>
  </si>
  <si>
    <t>2be</t>
  </si>
  <si>
    <t>2bf</t>
  </si>
  <si>
    <t>2bg</t>
  </si>
  <si>
    <t>2bh</t>
  </si>
  <si>
    <t>2bi</t>
  </si>
  <si>
    <t>2bj</t>
  </si>
  <si>
    <t>2bk</t>
  </si>
  <si>
    <t>2bl</t>
  </si>
  <si>
    <t>2aaa</t>
  </si>
  <si>
    <t>2aab</t>
  </si>
  <si>
    <t>2aac</t>
  </si>
  <si>
    <t>2aad</t>
  </si>
  <si>
    <t>2bm</t>
  </si>
  <si>
    <t>2bn</t>
  </si>
  <si>
    <t>2bo</t>
  </si>
  <si>
    <t>2bp</t>
  </si>
  <si>
    <t>2bq</t>
  </si>
  <si>
    <t>2br</t>
  </si>
  <si>
    <t>2bs</t>
  </si>
  <si>
    <t>2bt</t>
  </si>
  <si>
    <t>2bu</t>
  </si>
  <si>
    <t>2bv</t>
  </si>
  <si>
    <t>2bw</t>
  </si>
  <si>
    <t>2bx</t>
  </si>
  <si>
    <t>2by</t>
  </si>
  <si>
    <t>2bz</t>
  </si>
  <si>
    <t>2baa</t>
  </si>
  <si>
    <t>2bab</t>
  </si>
  <si>
    <t>2bac</t>
  </si>
  <si>
    <t>2bad</t>
  </si>
  <si>
    <t>2bae</t>
  </si>
  <si>
    <t>2ab.1</t>
  </si>
  <si>
    <t>2ac.1</t>
  </si>
  <si>
    <t>2ad.1</t>
  </si>
  <si>
    <t>2ae.1</t>
  </si>
  <si>
    <t>2af.1</t>
  </si>
  <si>
    <t>2ag.1</t>
  </si>
  <si>
    <t>2ah.1</t>
  </si>
  <si>
    <t>2ai.1</t>
  </si>
  <si>
    <t>2aj.1</t>
  </si>
  <si>
    <t>2ak.1</t>
  </si>
  <si>
    <t>2al.1</t>
  </si>
  <si>
    <t>2am.1</t>
  </si>
  <si>
    <t>2an.1</t>
  </si>
  <si>
    <t>2ao.1</t>
  </si>
  <si>
    <t>2ap.1</t>
  </si>
  <si>
    <t>2aq.1</t>
  </si>
  <si>
    <t>2ar.1</t>
  </si>
  <si>
    <t>2as.1</t>
  </si>
  <si>
    <t>2at.1</t>
  </si>
  <si>
    <t>2au.1</t>
  </si>
  <si>
    <t>2av.1</t>
  </si>
  <si>
    <t>2aw.1</t>
  </si>
  <si>
    <t>2ax.1</t>
  </si>
  <si>
    <t>2ay.1</t>
  </si>
  <si>
    <t>2az.1</t>
  </si>
  <si>
    <t>2aaa.1</t>
  </si>
  <si>
    <t>2aab.1</t>
  </si>
  <si>
    <t>2aac.1</t>
  </si>
  <si>
    <t>2aad.1</t>
  </si>
  <si>
    <t>2ba.1</t>
  </si>
  <si>
    <t>2bb.1</t>
  </si>
  <si>
    <t>2bc.1</t>
  </si>
  <si>
    <t>2bd.1</t>
  </si>
  <si>
    <t>2be.1</t>
  </si>
  <si>
    <t>2bf.1</t>
  </si>
  <si>
    <t>2bg.1</t>
  </si>
  <si>
    <t>2bh.1</t>
  </si>
  <si>
    <t>2bi.1</t>
  </si>
  <si>
    <t>2bj.1</t>
  </si>
  <si>
    <t>2bk.1</t>
  </si>
  <si>
    <t>2bl.1</t>
  </si>
  <si>
    <t>2bm.1</t>
  </si>
  <si>
    <t>2bn.1</t>
  </si>
  <si>
    <t>2bo.1</t>
  </si>
  <si>
    <t>2bp.1</t>
  </si>
  <si>
    <t>2bq.1</t>
  </si>
  <si>
    <t>2br.1</t>
  </si>
  <si>
    <t>2bs.1</t>
  </si>
  <si>
    <t>2bt.1</t>
  </si>
  <si>
    <t>2bu.1</t>
  </si>
  <si>
    <t>2bv.1</t>
  </si>
  <si>
    <t>2bw.1</t>
  </si>
  <si>
    <t>2bx.1</t>
  </si>
  <si>
    <t>2by.1</t>
  </si>
  <si>
    <t>2bz.1</t>
  </si>
  <si>
    <t>2baa.1</t>
  </si>
  <si>
    <t>2bab.1</t>
  </si>
  <si>
    <t>2bac.1</t>
  </si>
  <si>
    <t>2bad.1</t>
  </si>
  <si>
    <t>2bae.1</t>
  </si>
  <si>
    <t>14a</t>
  </si>
  <si>
    <t>Tschakert 2007</t>
  </si>
  <si>
    <t>Tierra Colectiva</t>
  </si>
  <si>
    <t>Panama</t>
  </si>
  <si>
    <t>Richer households (land holding ~ 74 ha) had a greater focus on pasture than cropland (~18%, 8% respectively) whilst poorer households (land holding ~22 ha) exhibited the opposite trends (pasture ~5%, cropland ~33%). Therefore cropland only accounted for 0.8-2.2ha on average. The average household size was 6.6</t>
  </si>
  <si>
    <t>14a.1</t>
  </si>
  <si>
    <t>14a.2</t>
  </si>
  <si>
    <t xml:space="preserve">Wealthier families with larger land holdings could afford longer fallow periods. Fire linked explicitly to fallow-cycle by authors. </t>
  </si>
  <si>
    <t xml:space="preserve">Poorer, traditional swidden farmers with smaller land holdings were forced to use shorter fallow lengths. Fire linked explicitly to fallow-cycle by authors. </t>
  </si>
  <si>
    <t>15a</t>
  </si>
  <si>
    <t>15b</t>
  </si>
  <si>
    <t>Kilawe et al 2018</t>
  </si>
  <si>
    <t>Tanzania</t>
  </si>
  <si>
    <t xml:space="preserve">Ibingu </t>
  </si>
  <si>
    <t>Ilakala</t>
  </si>
  <si>
    <t>15c</t>
  </si>
  <si>
    <t>15d</t>
  </si>
  <si>
    <t>15a.1</t>
  </si>
  <si>
    <t>15b.1</t>
  </si>
  <si>
    <t>15c.1</t>
  </si>
  <si>
    <t>15d.1</t>
  </si>
  <si>
    <t>Fire return period inferred from distribution of fallow age amongst land holdings of farmers with different wealth levels and farm size. A cultivation period of 2 years is assumed, as is noted by the authors as typical.</t>
  </si>
  <si>
    <t>Pre-industrial</t>
  </si>
  <si>
    <t>Cropping, Monoculture, Market-oriented</t>
  </si>
  <si>
    <t>Cropping, Monoculture, Subsistence-oriented</t>
  </si>
  <si>
    <t>Colombian Amazon (other)</t>
  </si>
  <si>
    <t>January</t>
  </si>
  <si>
    <t xml:space="preserve">November </t>
  </si>
  <si>
    <t>Enforcement of anti-burning laws has changed burning practice</t>
  </si>
  <si>
    <t>Population pressure has led to changed practices, involving increased tillage and mulch to allow longer cultivation periods and less fallow.</t>
  </si>
  <si>
    <t>15a.2</t>
  </si>
  <si>
    <t>July</t>
  </si>
  <si>
    <t>August</t>
  </si>
  <si>
    <t>Cultural &amp; Spiritual</t>
  </si>
  <si>
    <t>15b.2</t>
  </si>
  <si>
    <t>"Early- burn" was used to ward off snakes and other predators, as well as for religious and cultural reasons; the practice had ended by 2013.</t>
  </si>
  <si>
    <t>Burned area from early burn not given</t>
  </si>
  <si>
    <t>15a.3</t>
  </si>
  <si>
    <t>15b.3</t>
  </si>
  <si>
    <t>15c.2</t>
  </si>
  <si>
    <t>15d.2</t>
  </si>
  <si>
    <t xml:space="preserve">Annual forest loss to intensive cultivation over the period 1995 to 2013. Such 'slash-and-burn' frontier agriculture is directly linked to fire by the authors. Number not given for Ibungu as authors note all fires had stopped due to legislation. </t>
  </si>
  <si>
    <t>Fire return period is the author's noted average agricutural use + fallow period for each location and date, weighted by the proportion of intensive and shifting cultivation. Burned area is calculated using fire return period, weighted by land covers calculated from remote sensing.</t>
  </si>
  <si>
    <t>16a</t>
  </si>
  <si>
    <t>Luoga et al 2000</t>
  </si>
  <si>
    <t>Kitulanghalo Forest Reserve</t>
  </si>
  <si>
    <t>16a.1</t>
  </si>
  <si>
    <t>17a</t>
  </si>
  <si>
    <t>Chidumayo 1987</t>
  </si>
  <si>
    <t>Zambia</t>
  </si>
  <si>
    <t>Mansa</t>
  </si>
  <si>
    <t>17a.1</t>
  </si>
  <si>
    <t>September</t>
  </si>
  <si>
    <t xml:space="preserve">Field preparation directly linked to burning of vegetation to create a charcoal-based fertiliser. </t>
  </si>
  <si>
    <t>17b</t>
  </si>
  <si>
    <t>17b.1</t>
  </si>
  <si>
    <t>Allan (1949) cited by Chidumayo 1987</t>
  </si>
  <si>
    <t>18a</t>
  </si>
  <si>
    <t>Nguru Mountains</t>
  </si>
  <si>
    <t>18a.1</t>
  </si>
  <si>
    <t>18a.2</t>
  </si>
  <si>
    <t>Annual fire on swidden croplands; average usage was 10 years, the same as fallow legnth (10 years)</t>
  </si>
  <si>
    <t>Proportion of cropland in use (50%) multiplied by the number of regimes using annual fire (80%)</t>
  </si>
  <si>
    <t>Proportion of secondary vegetation being prepared as cropland</t>
  </si>
  <si>
    <t>Average usage was 10 years, with an average of 10 years fallow.</t>
  </si>
  <si>
    <t>19a</t>
  </si>
  <si>
    <t>Ihombwe</t>
  </si>
  <si>
    <t>Region or district</t>
  </si>
  <si>
    <t>Kilosa</t>
  </si>
  <si>
    <t>19a.1</t>
  </si>
  <si>
    <t>Itani 2007</t>
  </si>
  <si>
    <t>Mfuto</t>
  </si>
  <si>
    <t>Mbozi</t>
  </si>
  <si>
    <t>20a</t>
  </si>
  <si>
    <t>20a.1</t>
  </si>
  <si>
    <t>Oxen-driven ploughing replaced traditional shifting cultivation.</t>
  </si>
  <si>
    <t>Due to the degradation of secondary woodlands and the impact of 'viligisation', villagers adopted an 'etumba' system, which involves a form of mulching of vegetation debris, rather than burning.</t>
  </si>
  <si>
    <t>Specific length of fallow period is not mentioned. Fields are used for 2 years before being returned to fallow.</t>
  </si>
  <si>
    <t>20a.2</t>
  </si>
  <si>
    <t>20a.3</t>
  </si>
  <si>
    <t>Maize monoculture is 'sweeping' through the region due to a spike in the maize price from 2002 enabling farmers to invest in oxen-driven ploughing, to produce maize for sale. 
Due to its remote location, the government national maize project (began 1974-75) did not reach Mfuto.</t>
  </si>
  <si>
    <t>21a</t>
  </si>
  <si>
    <t>21b</t>
  </si>
  <si>
    <t>Ulinji</t>
  </si>
  <si>
    <t>Sumbawanga</t>
  </si>
  <si>
    <t>David Chikoti</t>
  </si>
  <si>
    <t>Birch-Thompson 1999</t>
  </si>
  <si>
    <t>Drought animal use was 87%, which is closely associated with planting of high-yield maize for sale at market.</t>
  </si>
  <si>
    <t>21a.1</t>
  </si>
  <si>
    <t>Animal-ploughing and maize monoculture had replaced fire-fallowing</t>
  </si>
  <si>
    <t>21b.1</t>
  </si>
  <si>
    <t>In cases of Swidden, the grass mound 'etumba' system dominates. This is a fire free mulching system.</t>
  </si>
  <si>
    <t>Mbala</t>
  </si>
  <si>
    <t>22a</t>
  </si>
  <si>
    <t>22b</t>
  </si>
  <si>
    <t>22c</t>
  </si>
  <si>
    <t>22d</t>
  </si>
  <si>
    <t>Grogan et al 2013</t>
  </si>
  <si>
    <t>Ulumi</t>
  </si>
  <si>
    <t>Mashete</t>
  </si>
  <si>
    <t>Bwacha</t>
  </si>
  <si>
    <t>Ngoma</t>
  </si>
  <si>
    <t>Kasama</t>
  </si>
  <si>
    <t>22a.1</t>
  </si>
  <si>
    <t>22a.2</t>
  </si>
  <si>
    <t>The degradation of woodland has meant the abandonment of ntmele (fire-fallow) agriculture, which requires secondary forest to burn.</t>
  </si>
  <si>
    <t>The decline in maize price following liberalisation led to a return to more subsistence agriculture. However, monoculture systems remained.</t>
  </si>
  <si>
    <t>22b.1</t>
  </si>
  <si>
    <t>22b.2</t>
  </si>
  <si>
    <t>22b.3</t>
  </si>
  <si>
    <t>The nteme, slash-and-burn system had decreased to only 5% of households by 2010.</t>
  </si>
  <si>
    <t>22c.1</t>
  </si>
  <si>
    <t>22c.2</t>
  </si>
  <si>
    <t>22c.3</t>
  </si>
  <si>
    <t>22d.1</t>
  </si>
  <si>
    <t>22d.2</t>
  </si>
  <si>
    <t>22d.3</t>
  </si>
  <si>
    <t>The nteme system still dominated in Ngoma, and was practiced by 100% of households. It was complemented by grassland swidden (23%) and semi-permanent monoculture (40%)</t>
  </si>
  <si>
    <t>The nteme, slash-and-burn system had decreased to only 11% of households by 2010.</t>
  </si>
  <si>
    <t xml:space="preserve">Drought animal use was 53%, which is closely associated with planting of high-yield maize for sale at market. </t>
  </si>
  <si>
    <t>Villigisation and centralised government policies from 1974-75 had effectively ended shifting cultivation. The decline in maize price following liberalisation led to a return to more subsistence agriculture. However, monoculture systems remained: Subsistence monoculture (65%), shifting grassland cultivation (35%)</t>
  </si>
  <si>
    <t>The decline in maize price following liberalisation led to a return to more subsistence agriculture. However, monoculture systems remained: Subsistence monoculture (41%), shifting grassland cultivation (55%)</t>
  </si>
  <si>
    <t>Ngoma was a remote village accessible only by an unmaintained dirt road.</t>
  </si>
  <si>
    <t>Bwacha is 20km from the main market town of Kasama.</t>
  </si>
  <si>
    <t>22e</t>
  </si>
  <si>
    <t>22f</t>
  </si>
  <si>
    <t>22g</t>
  </si>
  <si>
    <t>22e.1</t>
  </si>
  <si>
    <t>22e.2</t>
  </si>
  <si>
    <t>22f.1</t>
  </si>
  <si>
    <t>22f.2</t>
  </si>
  <si>
    <t>22f.3</t>
  </si>
  <si>
    <t>22g.1</t>
  </si>
  <si>
    <t>22g.2</t>
  </si>
  <si>
    <t>22g.3</t>
  </si>
  <si>
    <t>Extent of shifting (slash &amp; burn) in the region is dependent on the availability of woodland.</t>
  </si>
  <si>
    <t>23a</t>
  </si>
  <si>
    <t>24a</t>
  </si>
  <si>
    <t>Hume 2006</t>
  </si>
  <si>
    <t>Andasibe</t>
  </si>
  <si>
    <t xml:space="preserve">All farmers interviewed practiced both tavy (slash and burn) and permanent monoculture. Tavy was focused on hillsides and hilltops, whilst permament farming was conducted in valleys and by rivers. </t>
  </si>
  <si>
    <t>24a.1</t>
  </si>
  <si>
    <t>5 years of cropping plus 3 years' fallow</t>
  </si>
  <si>
    <t>Several' farmers argued that is quoted as saying - since the climate is cool, one must heat the soil for the seed to germinate and the plants to be strong enough to produce grain.</t>
  </si>
  <si>
    <t>24a.2</t>
  </si>
  <si>
    <t>24a.3</t>
  </si>
  <si>
    <t xml:space="preserve">Irrigated agriculture focused on valleys and in riverine areas. </t>
  </si>
  <si>
    <t>25a</t>
  </si>
  <si>
    <t>Brinkmann et al 2014</t>
  </si>
  <si>
    <t>Presence / Absence</t>
  </si>
  <si>
    <t>Presence</t>
  </si>
  <si>
    <t>Absence</t>
  </si>
  <si>
    <t>Fire restricted</t>
  </si>
  <si>
    <t>Fire banned</t>
  </si>
  <si>
    <t>Control measures</t>
  </si>
  <si>
    <t>Economic restriction</t>
  </si>
  <si>
    <t>Environmental restriction</t>
  </si>
  <si>
    <t>Human health restriction</t>
  </si>
  <si>
    <t>Economic ban</t>
  </si>
  <si>
    <t>Environmental ban</t>
  </si>
  <si>
    <t>Human health ban</t>
  </si>
  <si>
    <t>Yes</t>
  </si>
  <si>
    <t>Extinction measures</t>
  </si>
  <si>
    <t>Institutional agent type</t>
  </si>
  <si>
    <t>No</t>
  </si>
  <si>
    <t>25a.1</t>
  </si>
  <si>
    <t>25a.2</t>
  </si>
  <si>
    <t xml:space="preserve">Deforestation was primarily associated with presence of shifting cultivation (spearman's rho = 0.47), but was also correlated with cropland (rho = 0.39). Deforestation was clustered towards more marginal villages where shifting cultivation was practiced. </t>
  </si>
  <si>
    <t>National Government</t>
  </si>
  <si>
    <t xml:space="preserve">Cattle production took place closer to more established villages, where forest clearing bans were more robustly enforced. </t>
  </si>
  <si>
    <t>State Government</t>
  </si>
  <si>
    <t>Jakovac 2017</t>
  </si>
  <si>
    <t>Tefe</t>
  </si>
  <si>
    <t>26a</t>
  </si>
  <si>
    <t>26b</t>
  </si>
  <si>
    <t>26a.1</t>
  </si>
  <si>
    <t>26a.2</t>
  </si>
  <si>
    <t>26b.1</t>
  </si>
  <si>
    <t>26b.2</t>
  </si>
  <si>
    <t>Due to difficulty of access in the riverine landscape, 80% of fields are within 2km of a village.</t>
  </si>
  <si>
    <t>Legal Amazon</t>
  </si>
  <si>
    <t>Van vliet 2013</t>
  </si>
  <si>
    <t>28a</t>
  </si>
  <si>
    <t>28b</t>
  </si>
  <si>
    <t>Rondonia</t>
  </si>
  <si>
    <t>Theobroma</t>
  </si>
  <si>
    <t>Acre</t>
  </si>
  <si>
    <t>Pedro Peixoto</t>
  </si>
  <si>
    <t>Vosti 2002</t>
  </si>
  <si>
    <t>28b.1</t>
  </si>
  <si>
    <t>28b.2</t>
  </si>
  <si>
    <t>28a.1</t>
  </si>
  <si>
    <t>28a.2</t>
  </si>
  <si>
    <t xml:space="preserve">Study area (7850) calculated as radius of circle 50km2 around town of Tefe. 
Fallow length is reported; burned area in secondary vegetation %BA is the inverse +1 for active production. Total clearance is reported, and taken as burned area. </t>
  </si>
  <si>
    <t>28a.3</t>
  </si>
  <si>
    <t>28b.3</t>
  </si>
  <si>
    <t>Study focuses on government pioneer farming settlements, with higher agricultural land covers than typical for the region.  Page 69 for yields and pasture carrying capacity yields after a burn.</t>
  </si>
  <si>
    <t>84% of farmers reported burning their pasture annually to kill weeds. Pasture covered an average of 27% of farmers' land.</t>
  </si>
  <si>
    <t>29a</t>
  </si>
  <si>
    <t>29b</t>
  </si>
  <si>
    <t>29c</t>
  </si>
  <si>
    <t>29d</t>
  </si>
  <si>
    <t>29e</t>
  </si>
  <si>
    <t>29f</t>
  </si>
  <si>
    <t>29g</t>
  </si>
  <si>
    <t>29h</t>
  </si>
  <si>
    <t>29i</t>
  </si>
  <si>
    <t>Sri Lanka</t>
  </si>
  <si>
    <t>29a.1</t>
  </si>
  <si>
    <t>Fire return is fallow period + 2</t>
  </si>
  <si>
    <t>Foothills of Perijia mountain range</t>
  </si>
  <si>
    <t>Venezuela</t>
  </si>
  <si>
    <t>Bari Indigenous reserve</t>
  </si>
  <si>
    <t>29b.1</t>
  </si>
  <si>
    <t xml:space="preserve">Pasture lands were reported to be growing, meaning swidden plots were further and further away from Bari settlements. </t>
  </si>
  <si>
    <t>30a</t>
  </si>
  <si>
    <t>Pingali et al 1987</t>
  </si>
  <si>
    <t>Cote d'Ivoire</t>
  </si>
  <si>
    <t>30a.1</t>
  </si>
  <si>
    <t>30b</t>
  </si>
  <si>
    <t>30a.2</t>
  </si>
  <si>
    <t>30c</t>
  </si>
  <si>
    <t>Guinea</t>
  </si>
  <si>
    <t>30c.1</t>
  </si>
  <si>
    <t>30d</t>
  </si>
  <si>
    <t>30b.1</t>
  </si>
  <si>
    <t>30d.1</t>
  </si>
  <si>
    <t>30e</t>
  </si>
  <si>
    <t>30e.1</t>
  </si>
  <si>
    <t>31a</t>
  </si>
  <si>
    <t>Madagascar</t>
  </si>
  <si>
    <t>Keck et al 1994</t>
  </si>
  <si>
    <t>Incentives</t>
  </si>
  <si>
    <t>Economic incentives</t>
  </si>
  <si>
    <t>Environmental incentives</t>
  </si>
  <si>
    <t>Health incentives</t>
  </si>
  <si>
    <t>31a.1</t>
  </si>
  <si>
    <t>31a.2</t>
  </si>
  <si>
    <t>Reported (policy) &amp; Inferred - fallow length</t>
  </si>
  <si>
    <t>Falierana</t>
  </si>
  <si>
    <t>Fanovana</t>
  </si>
  <si>
    <t>Madiorano</t>
  </si>
  <si>
    <t>Maravoalavo</t>
  </si>
  <si>
    <t>Menalamba</t>
  </si>
  <si>
    <t>Village name could not be identified and georeferenced</t>
  </si>
  <si>
    <t>30b.2</t>
  </si>
  <si>
    <t>30c.2</t>
  </si>
  <si>
    <t>30d.2</t>
  </si>
  <si>
    <t>30e.2</t>
  </si>
  <si>
    <t>32a</t>
  </si>
  <si>
    <t>33a</t>
  </si>
  <si>
    <t>Prill-Brett 1986</t>
  </si>
  <si>
    <t>Kukutan</t>
  </si>
  <si>
    <t>Bontoc</t>
  </si>
  <si>
    <t>Philippines</t>
  </si>
  <si>
    <t>29c.1</t>
  </si>
  <si>
    <t>29d.1</t>
  </si>
  <si>
    <t>29e.1</t>
  </si>
  <si>
    <t>29f.1</t>
  </si>
  <si>
    <t>29g.1</t>
  </si>
  <si>
    <t>29h.1</t>
  </si>
  <si>
    <t>29i.1</t>
  </si>
  <si>
    <t>33a.1</t>
  </si>
  <si>
    <t>Fallow linked explicitly to burning</t>
  </si>
  <si>
    <t>Paddy fields developed without use of residue burning for preparation</t>
  </si>
  <si>
    <t>33a.3</t>
  </si>
  <si>
    <t>33a.2</t>
  </si>
  <si>
    <t xml:space="preserve">February </t>
  </si>
  <si>
    <t>Seasonal, backloaded</t>
  </si>
  <si>
    <t>34a</t>
  </si>
  <si>
    <t>Dove 1983</t>
  </si>
  <si>
    <t>West Kalimantan</t>
  </si>
  <si>
    <t>34a.1</t>
  </si>
  <si>
    <t>34a.2</t>
  </si>
  <si>
    <t xml:space="preserve">Secondary forest and primary forest sites were both chosen in a tradeoff between labour cost and yield. The system was stable with contemporary population level. </t>
  </si>
  <si>
    <t>Siren 2007</t>
  </si>
  <si>
    <t>Sarayaku</t>
  </si>
  <si>
    <t>Pastaza</t>
  </si>
  <si>
    <t xml:space="preserve">Ecuador </t>
  </si>
  <si>
    <t>35a</t>
  </si>
  <si>
    <t>35a.1</t>
  </si>
  <si>
    <t>35a.2</t>
  </si>
  <si>
    <t>36a</t>
  </si>
  <si>
    <t>Coomes 2000</t>
  </si>
  <si>
    <t>San Jose'</t>
  </si>
  <si>
    <t>Iquitos</t>
  </si>
  <si>
    <t>Peru</t>
  </si>
  <si>
    <t>36a.1</t>
  </si>
  <si>
    <t>37a</t>
  </si>
  <si>
    <t>Tai</t>
  </si>
  <si>
    <t>Tai Forest Region</t>
  </si>
  <si>
    <t>37a.2</t>
  </si>
  <si>
    <t>37a.1</t>
  </si>
  <si>
    <t xml:space="preserve">Fire difrectly linked to fallow period. </t>
  </si>
  <si>
    <t>38a</t>
  </si>
  <si>
    <t>de Rouw 2013</t>
  </si>
  <si>
    <t>Ban Lak Sip</t>
  </si>
  <si>
    <t>Luang Prabang</t>
  </si>
  <si>
    <t xml:space="preserve">March </t>
  </si>
  <si>
    <t>Farmers' use the 250-1000 elevation belt, and do not use dipterocarp (dry) forest</t>
  </si>
  <si>
    <t>Return period calculated from the full reported fire history of each plot in the study.</t>
  </si>
  <si>
    <t>39a</t>
  </si>
  <si>
    <t>Roder 1997</t>
  </si>
  <si>
    <t>Prabang</t>
  </si>
  <si>
    <t>40a</t>
  </si>
  <si>
    <t>Ducourtoix 2005</t>
  </si>
  <si>
    <t>Phongsaly</t>
  </si>
  <si>
    <t>40b</t>
  </si>
  <si>
    <t>40a.1</t>
  </si>
  <si>
    <t>40b.1</t>
  </si>
  <si>
    <t>40a.2</t>
  </si>
  <si>
    <t>41a</t>
  </si>
  <si>
    <t>41b</t>
  </si>
  <si>
    <t>41c</t>
  </si>
  <si>
    <t>Roder 2001</t>
  </si>
  <si>
    <t>41a.1</t>
  </si>
  <si>
    <t>41a.2</t>
  </si>
  <si>
    <t>41a.3</t>
  </si>
  <si>
    <t>41b.1</t>
  </si>
  <si>
    <t>41b.2</t>
  </si>
  <si>
    <t>41b.3</t>
  </si>
  <si>
    <t>41d</t>
  </si>
  <si>
    <t>41e</t>
  </si>
  <si>
    <t>41f</t>
  </si>
  <si>
    <t>Bokeo</t>
  </si>
  <si>
    <t>42a</t>
  </si>
  <si>
    <t>42b</t>
  </si>
  <si>
    <t>42c</t>
  </si>
  <si>
    <t>42d</t>
  </si>
  <si>
    <t>Linquist et al 2007</t>
  </si>
  <si>
    <t>Namo</t>
  </si>
  <si>
    <t>Oudomxay</t>
  </si>
  <si>
    <t>42e</t>
  </si>
  <si>
    <t>42f</t>
  </si>
  <si>
    <t>Yields calculated as a weighted average of the amount of paddy (3.5 t/ha) and upland swidden (1.5 t/ha)</t>
  </si>
  <si>
    <t>42a.1</t>
  </si>
  <si>
    <t>Shortage of land left many farmers annual cropping. Fallow length is weighted average of fallow lengths in the village +2 years.</t>
  </si>
  <si>
    <t xml:space="preserve">Paddy had replaced upland swidden in response to land reforms and population pressure. </t>
  </si>
  <si>
    <t>42b.1</t>
  </si>
  <si>
    <t>42c.1</t>
  </si>
  <si>
    <t>Before 1990. longer fallows meant paddy and upland swidden both yielded 3-4 t/ha</t>
  </si>
  <si>
    <t>42e.1</t>
  </si>
  <si>
    <t>42e.2</t>
  </si>
  <si>
    <t>42f.2</t>
  </si>
  <si>
    <t>42d.2</t>
  </si>
  <si>
    <t>Fire return is fallow + 2</t>
  </si>
  <si>
    <t>42.a.1</t>
  </si>
  <si>
    <t>42.b.1</t>
  </si>
  <si>
    <t>42.c.1</t>
  </si>
  <si>
    <t>42.a.2</t>
  </si>
  <si>
    <t>42.b.2</t>
  </si>
  <si>
    <t>42.c.2</t>
  </si>
  <si>
    <t>43a</t>
  </si>
  <si>
    <t>43b</t>
  </si>
  <si>
    <t>43c</t>
  </si>
  <si>
    <t>Watanabe 2004</t>
  </si>
  <si>
    <t>Thin Kaeo</t>
  </si>
  <si>
    <t>Phon Xai</t>
  </si>
  <si>
    <t>Long Louat</t>
  </si>
  <si>
    <t>Xiang Ngeun</t>
  </si>
  <si>
    <t>Laos</t>
  </si>
  <si>
    <t>43a.1</t>
  </si>
  <si>
    <t>43a.2</t>
  </si>
  <si>
    <t>42f.1</t>
  </si>
  <si>
    <t>42d.1</t>
  </si>
  <si>
    <t>43b.1</t>
  </si>
  <si>
    <t>43b.2</t>
  </si>
  <si>
    <t>43c.1</t>
  </si>
  <si>
    <t>38a.1</t>
  </si>
  <si>
    <t>39a.1</t>
  </si>
  <si>
    <t>39a.2</t>
  </si>
  <si>
    <t>39a.3</t>
  </si>
  <si>
    <t>43c.2</t>
  </si>
  <si>
    <t>Paddy Fields</t>
  </si>
  <si>
    <t>44a</t>
  </si>
  <si>
    <t>Satoshi 2004</t>
  </si>
  <si>
    <t>Pak Luang</t>
  </si>
  <si>
    <t>44a.1</t>
  </si>
  <si>
    <t>Fire return is fallow + 1 (given explicitly).</t>
  </si>
  <si>
    <t xml:space="preserve">Illicit poppy production was the main complement to swidden. There were no paddy fields in the study area. Study documents diverse array of NTFP gathered by villagers. </t>
  </si>
  <si>
    <t>45a</t>
  </si>
  <si>
    <t>1 year fallow + 2 years planting reported</t>
  </si>
  <si>
    <t>46a</t>
  </si>
  <si>
    <t>45b</t>
  </si>
  <si>
    <t>45c</t>
  </si>
  <si>
    <t>Pieng Xai</t>
  </si>
  <si>
    <t>Keo Xik</t>
  </si>
  <si>
    <t>Khang Khao</t>
  </si>
  <si>
    <t>Huaphan</t>
  </si>
  <si>
    <t xml:space="preserve">Paddy fields were emerging as a response to shorter fallow lengths, driven by central land allocation. </t>
  </si>
  <si>
    <t>45a.1</t>
  </si>
  <si>
    <t>45b.1</t>
  </si>
  <si>
    <t>45c.1</t>
  </si>
  <si>
    <t>Seidenberg 2003</t>
  </si>
  <si>
    <t>Lambert 1996</t>
  </si>
  <si>
    <t>Ejido La Laja</t>
  </si>
  <si>
    <t>Guerrero</t>
  </si>
  <si>
    <t>Mexico</t>
  </si>
  <si>
    <t xml:space="preserve">Fire size from reported field size; 3:7 cultivation fallow system is reported explicitly. </t>
  </si>
  <si>
    <t>46a.1</t>
  </si>
  <si>
    <t>47a</t>
  </si>
  <si>
    <t>47b</t>
  </si>
  <si>
    <t>Pandey 1998</t>
  </si>
  <si>
    <t>Nguyen Binh</t>
  </si>
  <si>
    <t>Cao Bang</t>
  </si>
  <si>
    <t>Ngan Son</t>
  </si>
  <si>
    <t>Vietnam</t>
  </si>
  <si>
    <t>47a.1</t>
  </si>
  <si>
    <t>47b.1</t>
  </si>
  <si>
    <t>47a.2</t>
  </si>
  <si>
    <t>47b.2</t>
  </si>
  <si>
    <t>48a</t>
  </si>
  <si>
    <t>Nanga Sumpa</t>
  </si>
  <si>
    <t>Malaysia</t>
  </si>
  <si>
    <t>Marup Baroh</t>
  </si>
  <si>
    <t>Mertz 1997</t>
  </si>
  <si>
    <t>48b</t>
  </si>
  <si>
    <t>48a.1</t>
  </si>
  <si>
    <t>48a.2</t>
  </si>
  <si>
    <t>48a.3</t>
  </si>
  <si>
    <t>48a.4</t>
  </si>
  <si>
    <t>48a.5</t>
  </si>
  <si>
    <t>48b.1</t>
  </si>
  <si>
    <t>48b.2</t>
  </si>
  <si>
    <t>49a</t>
  </si>
  <si>
    <t>49b</t>
  </si>
  <si>
    <t>49c</t>
  </si>
  <si>
    <t>49d</t>
  </si>
  <si>
    <t>49e</t>
  </si>
  <si>
    <t>49f</t>
  </si>
  <si>
    <t>Lim 1998</t>
  </si>
  <si>
    <t>Tudan Ulu</t>
  </si>
  <si>
    <t>Babagon</t>
  </si>
  <si>
    <t>Notoruss</t>
  </si>
  <si>
    <t>Tagudon</t>
  </si>
  <si>
    <t>Moyog</t>
  </si>
  <si>
    <t>Sabah</t>
  </si>
  <si>
    <t>49a.1</t>
  </si>
  <si>
    <t>49b.1</t>
  </si>
  <si>
    <t>49c.1</t>
  </si>
  <si>
    <t>49d.1</t>
  </si>
  <si>
    <t>49e.1</t>
  </si>
  <si>
    <t>49f.1</t>
  </si>
  <si>
    <t xml:space="preserve">Upland rice swidden had been replaced by cash crops such as pinepapple, vegetables and tropical fruits. </t>
  </si>
  <si>
    <t>50a</t>
  </si>
  <si>
    <t>Williams 1965 (cited in Lim 1998)</t>
  </si>
  <si>
    <t>Sensuron</t>
  </si>
  <si>
    <t>50a.1</t>
  </si>
  <si>
    <t>Cochran 2008</t>
  </si>
  <si>
    <t>Rio Patuca Flood Plain</t>
  </si>
  <si>
    <t>Honduras</t>
  </si>
  <si>
    <t>51a</t>
  </si>
  <si>
    <t>51a.1</t>
  </si>
  <si>
    <t>51a.2</t>
  </si>
  <si>
    <t>51a.3</t>
  </si>
  <si>
    <t>52a</t>
  </si>
  <si>
    <t>Gurri 2002</t>
  </si>
  <si>
    <t>Central Maize Region</t>
  </si>
  <si>
    <t>Yucatan</t>
  </si>
  <si>
    <t>52a.1</t>
  </si>
  <si>
    <t>Irrigated Maize Production</t>
  </si>
  <si>
    <t>79.1% of plots used herbicides due to weeds from short fallowing</t>
  </si>
  <si>
    <t xml:space="preserve">1994 agriculture laws promoted commercial agriculture, particularly citrus production in the region. </t>
  </si>
  <si>
    <t>53a</t>
  </si>
  <si>
    <t>Ku 1992 cited in Gurri 2002</t>
  </si>
  <si>
    <t>Yaxcaba district</t>
  </si>
  <si>
    <t>53a.1</t>
  </si>
  <si>
    <t>54a</t>
  </si>
  <si>
    <t xml:space="preserve">Yucatan </t>
  </si>
  <si>
    <t>Hartter 2008</t>
  </si>
  <si>
    <t>54b</t>
  </si>
  <si>
    <t>54c</t>
  </si>
  <si>
    <t>54d</t>
  </si>
  <si>
    <t>54e</t>
  </si>
  <si>
    <t>54f</t>
  </si>
  <si>
    <t>Small holder dominated site</t>
  </si>
  <si>
    <t>Forested study site</t>
  </si>
  <si>
    <t>54d.1</t>
  </si>
  <si>
    <t>54f.1</t>
  </si>
  <si>
    <t>54b.1</t>
  </si>
  <si>
    <t>Not possible to distinguish swidden from subsistance monoculture</t>
  </si>
  <si>
    <t>PROCAMPO agrarian reforms established large communal forests</t>
  </si>
  <si>
    <t>54b.2</t>
  </si>
  <si>
    <t>54f.2</t>
  </si>
  <si>
    <t>54d.2</t>
  </si>
  <si>
    <t>Mangora 2005</t>
  </si>
  <si>
    <t>Urambo</t>
  </si>
  <si>
    <t>Tabora</t>
  </si>
  <si>
    <t>Inferred - deforestation and fallow length</t>
  </si>
  <si>
    <t>55a</t>
  </si>
  <si>
    <t>Forestry, Small-scale</t>
  </si>
  <si>
    <t>55a.1</t>
  </si>
  <si>
    <t>55a.2</t>
  </si>
  <si>
    <t>55a.3</t>
  </si>
  <si>
    <t>Due to shortage of land, pesticides and fertilisers had begun to replace swidden.</t>
  </si>
  <si>
    <t xml:space="preserve">46.5% of forest clearance was for wood to cure tobacco; wood from lands cleared for agriculture would be used for curing rather than soil fertilisation. </t>
  </si>
  <si>
    <t>56a</t>
  </si>
  <si>
    <t>Araki 2007</t>
  </si>
  <si>
    <t>Mpika</t>
  </si>
  <si>
    <t>Muchinga</t>
  </si>
  <si>
    <t xml:space="preserve">The 'Maize Marketing Board' supplied farmers with seed, fertilisers and access to credit. </t>
  </si>
  <si>
    <t>56a.1</t>
  </si>
  <si>
    <t>End of the 1980s/1990s Maize marketing programme had left farmers with "little reason to invest in their land"</t>
  </si>
  <si>
    <t>57a</t>
  </si>
  <si>
    <t>Oyama 1996</t>
  </si>
  <si>
    <t>Mulenga-Kapuli</t>
  </si>
  <si>
    <t>57a.1</t>
  </si>
  <si>
    <t xml:space="preserve">Fire size from field size. Citemene cultivation involves harvesting several ha of woodland to be burned on a single 'garden' site. </t>
  </si>
  <si>
    <t>58a</t>
  </si>
  <si>
    <t>Dalle 2006</t>
  </si>
  <si>
    <t>58a.1</t>
  </si>
  <si>
    <t>X-Maben</t>
  </si>
  <si>
    <t>Felipe Carillo Puerto</t>
  </si>
  <si>
    <t>59a</t>
  </si>
  <si>
    <t>Nyerges 1989</t>
  </si>
  <si>
    <t>Outamba-Kilimi National Park</t>
  </si>
  <si>
    <t>Sierra Leone</t>
  </si>
  <si>
    <t>Kimili</t>
  </si>
  <si>
    <t xml:space="preserve">12.5% of cultivated area was paddy rice and kitchen gardens. </t>
  </si>
  <si>
    <t>59a.1</t>
  </si>
  <si>
    <t>Kembera</t>
  </si>
  <si>
    <t>Western Kalimantan</t>
  </si>
  <si>
    <t>Indonesia</t>
  </si>
  <si>
    <t>100-600m ASL</t>
  </si>
  <si>
    <t>60a</t>
  </si>
  <si>
    <t>60a.1</t>
  </si>
  <si>
    <t>Lawrence 1998, cited in Lawrence 2005</t>
  </si>
  <si>
    <t>61a</t>
  </si>
  <si>
    <t>Pulido 2006</t>
  </si>
  <si>
    <t>Harvesting of NTFPs</t>
  </si>
  <si>
    <t>61a.1</t>
  </si>
  <si>
    <t>Fire return is fallow + 2; fire size from field size - assumes that while each milpa is constructed of mean 3 sub-plots owned by different farmers, they are burned together.</t>
  </si>
  <si>
    <t>62a</t>
  </si>
  <si>
    <t>Padoch 2008</t>
  </si>
  <si>
    <t>Contamana</t>
  </si>
  <si>
    <t>62b</t>
  </si>
  <si>
    <t>Ponte de Pedras</t>
  </si>
  <si>
    <t>Marajo Island</t>
  </si>
  <si>
    <t>63a</t>
  </si>
  <si>
    <t xml:space="preserve">Brondizio 2008 </t>
  </si>
  <si>
    <t>"Small areas of savanna have been converted to planted pasture by the cooperative and also by larger farmers. A significant problem, how- ever, is the use of fire to 'clean' savanna areas of overgrowth; these fires can spread widely and to nearby forests during the dry season or during periods of extended drought."</t>
  </si>
  <si>
    <t>63a.1</t>
  </si>
  <si>
    <t>63a.2</t>
  </si>
  <si>
    <t>Increased acai agroforestry has reduced pressure on secondary vegetation and increased fallow length. An alternate pattern of burning in June is reported in the river delta.</t>
  </si>
  <si>
    <t>63a.3</t>
  </si>
  <si>
    <t>63a.4</t>
  </si>
  <si>
    <t>62c</t>
  </si>
  <si>
    <t>62d</t>
  </si>
  <si>
    <t>62e</t>
  </si>
  <si>
    <t>Nuevo Piura</t>
  </si>
  <si>
    <t>62b.1</t>
  </si>
  <si>
    <t>62c.1</t>
  </si>
  <si>
    <t>62d.1</t>
  </si>
  <si>
    <t>62e.1</t>
  </si>
  <si>
    <t>65a</t>
  </si>
  <si>
    <t>Rudel 2002</t>
  </si>
  <si>
    <t>Ecuador</t>
  </si>
  <si>
    <t>Chiguaza</t>
  </si>
  <si>
    <t>Study Date (end)</t>
  </si>
  <si>
    <t>65b</t>
  </si>
  <si>
    <t>64a</t>
  </si>
  <si>
    <t>65a.1</t>
  </si>
  <si>
    <t>65b.1</t>
  </si>
  <si>
    <t xml:space="preserve">Economic turmoil caused government to cut support for smallholders. </t>
  </si>
  <si>
    <t>Numbers do not include water, rock, urban land and bare ground. Around 90% of the land area was classified. After the withdrawal of subsidies, the naranjilla industry collapsed. The return to shifting cultivation was also driven by a need to restore soil health.</t>
  </si>
  <si>
    <t>66a</t>
  </si>
  <si>
    <t>Friere 2007</t>
  </si>
  <si>
    <t>Cataniapo River Basein</t>
  </si>
  <si>
    <t xml:space="preserve">Swidden was the dominant agricultural system, though repeated government attempts to introduce more modern agricultural techniques are reported. </t>
  </si>
  <si>
    <t>66a.1</t>
  </si>
  <si>
    <t xml:space="preserve">Government attempts to introduce more intensive agriculture are reported. </t>
  </si>
  <si>
    <t>67a</t>
  </si>
  <si>
    <t>Arce-Nazario 2007</t>
  </si>
  <si>
    <t>67b</t>
  </si>
  <si>
    <t>Panguana Island</t>
  </si>
  <si>
    <t>67a.1</t>
  </si>
  <si>
    <t>67b.1</t>
  </si>
  <si>
    <t>67a.2</t>
  </si>
  <si>
    <t>67b.2</t>
  </si>
  <si>
    <t>Dismantling of agrarian bank under neo-liberal reforms in 1990 had led to abandonment of previous monoculture farms</t>
  </si>
  <si>
    <t xml:space="preserve">Contamana </t>
  </si>
  <si>
    <t>68a</t>
  </si>
  <si>
    <t>Porro 2005</t>
  </si>
  <si>
    <t>Lago do Junco</t>
  </si>
  <si>
    <t>As well as fire-fallow 'roca' a slash and mulch system 'abafado' is reported at the end of the rainy season for production of beans.</t>
  </si>
  <si>
    <t>Clearing forest for pasture was a major source of employment for peasants.</t>
  </si>
  <si>
    <t>69a</t>
  </si>
  <si>
    <t>Lestrelin 2007</t>
  </si>
  <si>
    <t>Highly diverse land use is a response to a) land degradation (leading to e.g. tree plantation agriculture) and also increased market access following liberalisation in 1986. Yield is for rice.</t>
  </si>
  <si>
    <t>68a.1</t>
  </si>
  <si>
    <t>68a.2</t>
  </si>
  <si>
    <t>69a.1</t>
  </si>
  <si>
    <t>69b</t>
  </si>
  <si>
    <t>69c</t>
  </si>
  <si>
    <t xml:space="preserve">Data pre 2001 were constructed from interviews in 2001-2003 in conjunction with secondary data. </t>
  </si>
  <si>
    <t>Fire linked directly to fallowing</t>
  </si>
  <si>
    <t>69b.1</t>
  </si>
  <si>
    <t>69c.1</t>
  </si>
  <si>
    <t>Rasul 2004</t>
  </si>
  <si>
    <t>Bangladesh</t>
  </si>
  <si>
    <t>Dates of field work not given; estimated from publication date.</t>
  </si>
  <si>
    <t>Bandarban District</t>
  </si>
  <si>
    <t>70a</t>
  </si>
  <si>
    <t>70a.1</t>
  </si>
  <si>
    <t>71a</t>
  </si>
  <si>
    <t>Tuy</t>
  </si>
  <si>
    <t>Cambodia</t>
  </si>
  <si>
    <t>71b</t>
  </si>
  <si>
    <t>71c</t>
  </si>
  <si>
    <t>Fox 2008</t>
  </si>
  <si>
    <t>Leu Khun</t>
  </si>
  <si>
    <t>Krala</t>
  </si>
  <si>
    <t>Illegal logging reported; population pressure, demand for land for cashew plantations and limited land had made swidden increasingly impossible to sustain.</t>
  </si>
  <si>
    <t xml:space="preserve">Due to a lower population pressure, and more active land planning, a balance had been found that allowed swidden to be conducted somewhat sustainably. </t>
  </si>
  <si>
    <t xml:space="preserve">71a.1 </t>
  </si>
  <si>
    <t>71c.1</t>
  </si>
  <si>
    <t>72a</t>
  </si>
  <si>
    <t>72b</t>
  </si>
  <si>
    <t>72c</t>
  </si>
  <si>
    <t>72d</t>
  </si>
  <si>
    <t>72e</t>
  </si>
  <si>
    <t>72f</t>
  </si>
  <si>
    <t>72h</t>
  </si>
  <si>
    <t>72g</t>
  </si>
  <si>
    <t>72i</t>
  </si>
  <si>
    <t>Fu 2005</t>
  </si>
  <si>
    <t>Daka</t>
  </si>
  <si>
    <t>Xishuangbanna Dai</t>
  </si>
  <si>
    <t>Baka</t>
  </si>
  <si>
    <t>72a.1</t>
  </si>
  <si>
    <t>72b.1</t>
  </si>
  <si>
    <t>72c.1</t>
  </si>
  <si>
    <t>72d.1</t>
  </si>
  <si>
    <t>72e.1</t>
  </si>
  <si>
    <t>Fallow linked explicitly to fire</t>
  </si>
  <si>
    <t>Fire return is fallow + 2; linear extrapolation between value reported for 1985 and 2000</t>
  </si>
  <si>
    <t>Farm size takes values per capita and multiplies by average family size in 2000</t>
  </si>
  <si>
    <t xml:space="preserve">Farm size assumes family size has stayed roughly constant </t>
  </si>
  <si>
    <t xml:space="preserve">1983 Household Responsibility System allocated 0.026ha of paddy field to each person, whilst ownership remained collective. Households were also allowed to build and own additional paddy. Farm size assumes family size has stayed roughly constant </t>
  </si>
  <si>
    <t>72f.1</t>
  </si>
  <si>
    <t>72g.1</t>
  </si>
  <si>
    <t>72h.1</t>
  </si>
  <si>
    <t>72i.1</t>
  </si>
  <si>
    <t>73a</t>
  </si>
  <si>
    <t>Nampheng</t>
  </si>
  <si>
    <t>Nahom</t>
  </si>
  <si>
    <t>73b</t>
  </si>
  <si>
    <t>Thongmanivong 2006</t>
  </si>
  <si>
    <t>73a.1</t>
  </si>
  <si>
    <t>73b.1</t>
  </si>
  <si>
    <t>74a</t>
  </si>
  <si>
    <t>74b</t>
  </si>
  <si>
    <t>Dressler 2010</t>
  </si>
  <si>
    <t>Buenavista-cabayugan</t>
  </si>
  <si>
    <t>Pallawan Island</t>
  </si>
  <si>
    <t>74a.1</t>
  </si>
  <si>
    <t>74b.1</t>
  </si>
  <si>
    <t>Yield figure is for rice</t>
  </si>
  <si>
    <t>Local Government</t>
  </si>
  <si>
    <t>74a.2</t>
  </si>
  <si>
    <t>74b.2</t>
  </si>
  <si>
    <t>74a.3</t>
  </si>
  <si>
    <t>74a.4</t>
  </si>
  <si>
    <t>74b.3</t>
  </si>
  <si>
    <t>74b.4</t>
  </si>
  <si>
    <t>Nearby city of Puerto Princesa has sought to outlaw and restrict swidden.</t>
  </si>
  <si>
    <t xml:space="preserve">Nearby city of Puerto Princesa has sought to outlaw and restrict swidden. </t>
  </si>
  <si>
    <t>National government has long pursued anti-swidden policies for economic (protection of timber) and environmental reasons</t>
  </si>
  <si>
    <t>75a</t>
  </si>
  <si>
    <t>Fox 2009</t>
  </si>
  <si>
    <t>Xishuangbanna</t>
  </si>
  <si>
    <t>75b</t>
  </si>
  <si>
    <t>75c</t>
  </si>
  <si>
    <t>75d</t>
  </si>
  <si>
    <t>75e</t>
  </si>
  <si>
    <t>Akha Village</t>
  </si>
  <si>
    <t>Northern Laos</t>
  </si>
  <si>
    <t>Yunnan</t>
  </si>
  <si>
    <t>Northern Thailand</t>
  </si>
  <si>
    <t>Thailand</t>
  </si>
  <si>
    <t>Sarawak</t>
  </si>
  <si>
    <t>75f</t>
  </si>
  <si>
    <t>Tanjung Paku</t>
  </si>
  <si>
    <t>Central Kalimantan</t>
  </si>
  <si>
    <t>Sanggau</t>
  </si>
  <si>
    <t>75a.1</t>
  </si>
  <si>
    <t>75b.1</t>
  </si>
  <si>
    <t>75c.1</t>
  </si>
  <si>
    <t>75d.1</t>
  </si>
  <si>
    <t>75e.1</t>
  </si>
  <si>
    <t>75f.1</t>
  </si>
  <si>
    <t>75e.2</t>
  </si>
  <si>
    <t>"Swidden is likely to continue, despite official disapproval"</t>
  </si>
  <si>
    <t>Farmers provided subsidies to grow trees on hilly areas to prevent erosion. This led to an explosion of rubber plantations.</t>
  </si>
  <si>
    <t>In 2005 government enacted a rigorous campaign to eradicate opium cultivation in swidden fields, leading to a large population exodus. Chinese investors increasingly invest in cash crop production.</t>
  </si>
  <si>
    <t>"Substantial and growing discrepancies exist between what land uses are recognized by government institutions operating at different scales… while at the national level land use is officially forbidden or heavily restricted in most upland areas, many forms of land use (including limited areas of swidden) are sanctioned and governed by local institutions".</t>
  </si>
  <si>
    <t>Private Companies</t>
  </si>
  <si>
    <t>The government sponsored 'land custody development authority acts as a broker of land ownership between private investors and local land owners. Its role has been to "totally replace swidden fallows with oil palm plantations"</t>
  </si>
  <si>
    <t>76a</t>
  </si>
  <si>
    <t>Xu 2009</t>
  </si>
  <si>
    <t>Menang Watershed, Xishuangbanna</t>
  </si>
  <si>
    <t>Forests maintained by the government as a means of preventing flooding in the watershed</t>
  </si>
  <si>
    <t>76b</t>
  </si>
  <si>
    <t>76a.1</t>
  </si>
  <si>
    <t>76b.1</t>
  </si>
  <si>
    <t>76a.2</t>
  </si>
  <si>
    <t>Government banned all logging to prevent flooding.</t>
  </si>
  <si>
    <t>76a.3</t>
  </si>
  <si>
    <t>76b.2</t>
  </si>
  <si>
    <t xml:space="preserve">Feb </t>
  </si>
  <si>
    <t>Forests maintained by the government as a means of preventing flooding in the watershed; farmsize assumes 4 persons per household</t>
  </si>
  <si>
    <t>Mining</t>
  </si>
  <si>
    <t>77a</t>
  </si>
  <si>
    <t>Study year</t>
  </si>
  <si>
    <t>77a.1</t>
  </si>
  <si>
    <t>77a.2</t>
  </si>
  <si>
    <t>77a.3</t>
  </si>
  <si>
    <t>77a.4</t>
  </si>
  <si>
    <t>77a.5</t>
  </si>
  <si>
    <t>77a.6</t>
  </si>
  <si>
    <t>International NGOs</t>
  </si>
  <si>
    <t>77a.7</t>
  </si>
  <si>
    <t>77a.8</t>
  </si>
  <si>
    <t>Colonial era no-fire policies were maintained</t>
  </si>
  <si>
    <t>Civial war and uncoordinated government action has led to a lack of effective enforcement</t>
  </si>
  <si>
    <t>78a</t>
  </si>
  <si>
    <t>Hoffmann et al 2009</t>
  </si>
  <si>
    <t>Huai Kha Khaeng Wildlife Sanctuary</t>
  </si>
  <si>
    <t>78a.1</t>
  </si>
  <si>
    <t>78a.2</t>
  </si>
  <si>
    <t>Fire used to encourage mushroom growth</t>
  </si>
  <si>
    <t>78a.3</t>
  </si>
  <si>
    <t>All</t>
  </si>
  <si>
    <t xml:space="preserve">Helicopter fire-crew extinguishes all fires within the nature reserve. </t>
  </si>
  <si>
    <t>78a.4</t>
  </si>
  <si>
    <t>"Unpublished data from the Thai Royal Forest on forest fire during the period 1992-2001 record 100% of fires as human-caused.</t>
  </si>
  <si>
    <t>78a.5</t>
  </si>
  <si>
    <t>78a.6</t>
  </si>
  <si>
    <t>78a.7</t>
  </si>
  <si>
    <t>78a.8</t>
  </si>
  <si>
    <t>78a.9</t>
  </si>
  <si>
    <t>78a.10</t>
  </si>
  <si>
    <t>78a.11</t>
  </si>
  <si>
    <t>78a.12</t>
  </si>
  <si>
    <t>79a</t>
  </si>
  <si>
    <t>79b</t>
  </si>
  <si>
    <t>Johnson 2009</t>
  </si>
  <si>
    <t>Sugihan</t>
  </si>
  <si>
    <t>Mesuji</t>
  </si>
  <si>
    <t>South Sumatra</t>
  </si>
  <si>
    <t>Lampung</t>
  </si>
  <si>
    <t>Hecht 2003</t>
  </si>
  <si>
    <t>80a</t>
  </si>
  <si>
    <t>Kayapo Indigenous Territory</t>
  </si>
  <si>
    <t>80a.1</t>
  </si>
  <si>
    <t xml:space="preserve">The kayapo burn fields regularly throughout the cultivation cycle, with a mixture of ash from cooking and crop residues. </t>
  </si>
  <si>
    <t>80a.2</t>
  </si>
  <si>
    <t>80a.3</t>
  </si>
  <si>
    <t>Vegetation management</t>
  </si>
  <si>
    <t>80a.4</t>
  </si>
  <si>
    <t xml:space="preserve">Sophisticated mosaic of cropping practices used to control burning within a circular field system. </t>
  </si>
  <si>
    <t>Direct fire suppression ID</t>
  </si>
  <si>
    <t>81a</t>
  </si>
  <si>
    <t>Rudel 2005</t>
  </si>
  <si>
    <t>Brazilian Amazon Basin</t>
  </si>
  <si>
    <t xml:space="preserve">During the 1980s, governments across the Amazon basin were keen to 'claim' land by colonising. </t>
  </si>
  <si>
    <t xml:space="preserve">During the 1990s, Debt-driven austerity led Brazilian govt to reduce colonisation for 'geo political reasons', leaving the private sector to drive deforestation. Road paving driven by industry lobbying was a significant driver of increased commercial activity. </t>
  </si>
  <si>
    <t>Natural ecosystem conversion rate %</t>
  </si>
  <si>
    <t>Qualitative Comparative Analysis of policy impact on deforestation</t>
  </si>
  <si>
    <t>82a</t>
  </si>
  <si>
    <t>Ghana</t>
  </si>
  <si>
    <t>83a</t>
  </si>
  <si>
    <t>84a</t>
  </si>
  <si>
    <t>Liberia</t>
  </si>
  <si>
    <t>82a.1</t>
  </si>
  <si>
    <t>83a.1</t>
  </si>
  <si>
    <t>82a.2</t>
  </si>
  <si>
    <t>83a.2</t>
  </si>
  <si>
    <t>Conservation NGOs</t>
  </si>
  <si>
    <t>Conservation NGOs tried a range of integrated conservation and development projects to protect remaining rainforest. These were projects were "not effective".</t>
  </si>
  <si>
    <t>85a</t>
  </si>
  <si>
    <t>Uhl 1997</t>
  </si>
  <si>
    <t>82b</t>
  </si>
  <si>
    <t>82b.1</t>
  </si>
  <si>
    <t>85a.1</t>
  </si>
  <si>
    <t>None</t>
  </si>
  <si>
    <t>82c</t>
  </si>
  <si>
    <t>83a.3</t>
  </si>
  <si>
    <t>82c.1</t>
  </si>
  <si>
    <t>Direct Fire policy ID</t>
  </si>
  <si>
    <t>The Ghanian government removed subsidies from cocoa producing smallholders, meaning many returned to swidden cultivation.</t>
  </si>
  <si>
    <t>Forestry policy was seldom enforced.</t>
  </si>
  <si>
    <t>Nepstad 1999</t>
  </si>
  <si>
    <t>Jepson 2001</t>
  </si>
  <si>
    <t>Kerinci-Seblat National Park</t>
  </si>
  <si>
    <t>Sumatra</t>
  </si>
  <si>
    <t>85b</t>
  </si>
  <si>
    <t>Gunung Leuser National Park</t>
  </si>
  <si>
    <t>85c</t>
  </si>
  <si>
    <t>Kalimantan</t>
  </si>
  <si>
    <t>Malinau district</t>
  </si>
  <si>
    <t>Illegal logging was widespread in the reserve</t>
  </si>
  <si>
    <t>85b.1</t>
  </si>
  <si>
    <t>"Large" areas had been burned.</t>
  </si>
  <si>
    <t>85c.1</t>
  </si>
  <si>
    <t>86a</t>
  </si>
  <si>
    <t>Allen 2006</t>
  </si>
  <si>
    <t>Roraima</t>
  </si>
  <si>
    <t xml:space="preserve">Overview of causes and Brazilian government response to the 1998 wildfires in Roraima. </t>
  </si>
  <si>
    <t>86a.1</t>
  </si>
  <si>
    <t>86a.2</t>
  </si>
  <si>
    <t>86a.3</t>
  </si>
  <si>
    <t>86a.4</t>
  </si>
  <si>
    <t>Even after the drought, ranchers still lit 'irresponsible' land clearance fires</t>
  </si>
  <si>
    <t>86a.5</t>
  </si>
  <si>
    <t>One-off</t>
  </si>
  <si>
    <t xml:space="preserve">Newspaper reports and police investigations indicate farmers burned their lands in order to claim compensation. </t>
  </si>
  <si>
    <t xml:space="preserve">As a result of the fires, a team of 500 "crack firefighters" was established who could be ready for rapid deployment in the Amazon region. </t>
  </si>
  <si>
    <t>87a</t>
  </si>
  <si>
    <t>Tran Duc Vein 2009</t>
  </si>
  <si>
    <t>Tat Hamlet</t>
  </si>
  <si>
    <t>Hoa Binh</t>
  </si>
  <si>
    <t>87b</t>
  </si>
  <si>
    <t>87c</t>
  </si>
  <si>
    <t>Centrally-allocated</t>
  </si>
  <si>
    <t>Yield is for rice, weighted by proportion of paddy and swidden. Monoculture is paddy fields.</t>
  </si>
  <si>
    <t>87a.1</t>
  </si>
  <si>
    <t>87b.1</t>
  </si>
  <si>
    <t>87c.1</t>
  </si>
  <si>
    <t>Usage period reported (2 years)</t>
  </si>
  <si>
    <t>Usage period reported (4 years); increase in fire return is due to more intensive use.</t>
  </si>
  <si>
    <t>Yield is for rice, weighted by proportion of paddy and swidden. Monoculture is paddy fields. Decreased cropland area due to restrictions and incentives to abandon swidden.</t>
  </si>
  <si>
    <t>88a</t>
  </si>
  <si>
    <t>88b</t>
  </si>
  <si>
    <t>88c</t>
  </si>
  <si>
    <t>88d</t>
  </si>
  <si>
    <t>88a.1</t>
  </si>
  <si>
    <t>88b.1</t>
  </si>
  <si>
    <t>88c.1</t>
  </si>
  <si>
    <t>88d.1</t>
  </si>
  <si>
    <t>Fallow and cropping phase reported (6+2)</t>
  </si>
  <si>
    <t>Swidden had disappeared due to government policies</t>
  </si>
  <si>
    <t>Fire size max assumes a family's swidden was all in one plot. Burned area assumes no fires were out of control</t>
  </si>
  <si>
    <t>Burned area from aggregate reported swidden size and fire return, assumes no escaped fires</t>
  </si>
  <si>
    <t>88a.2</t>
  </si>
  <si>
    <t>88b.2</t>
  </si>
  <si>
    <t>88c.2</t>
  </si>
  <si>
    <t>88d.2</t>
  </si>
  <si>
    <t>Trees left in the soil at preliminary burn were copiced and burned during each year of active use</t>
  </si>
  <si>
    <t>Subsidies payed to peasants to plant trees on swidden fields to prevent flooding</t>
  </si>
  <si>
    <t>Dizhengdang</t>
  </si>
  <si>
    <t>Kongdang</t>
  </si>
  <si>
    <t>Dulong valley</t>
  </si>
  <si>
    <t>Shen et al 2017</t>
  </si>
  <si>
    <t>Intended burned area (ha)</t>
  </si>
  <si>
    <t>Intended burned area % (land cover)</t>
  </si>
  <si>
    <t>Butz 2018</t>
  </si>
  <si>
    <t>Engikareti</t>
  </si>
  <si>
    <t>Arusha</t>
  </si>
  <si>
    <t>89a</t>
  </si>
  <si>
    <t>89a.1</t>
  </si>
  <si>
    <t>Early dry season burning to prevent larger fires</t>
  </si>
  <si>
    <t>89a.2</t>
  </si>
  <si>
    <t>Absent due to increased population, and unpredictability of rains</t>
  </si>
  <si>
    <t>89a.3</t>
  </si>
  <si>
    <t>Nyika National Park</t>
  </si>
  <si>
    <t>Malawi</t>
  </si>
  <si>
    <t>89b</t>
  </si>
  <si>
    <t>89b.1</t>
  </si>
  <si>
    <t>Pyrome management</t>
  </si>
  <si>
    <t>Early season burning to prevent late season fires</t>
  </si>
  <si>
    <t>89b.2</t>
  </si>
  <si>
    <t>Hunting</t>
  </si>
  <si>
    <t xml:space="preserve">July </t>
  </si>
  <si>
    <t xml:space="preserve">Firebreaks created around sensitive areas for burning; roads and tracks cleared of grass to act as further firebreaks. </t>
  </si>
  <si>
    <t>Intended fire size mean (ha)</t>
  </si>
  <si>
    <t>Intended fire size max (ha)</t>
  </si>
  <si>
    <t>Intended fire size min (ha)</t>
  </si>
  <si>
    <t>Ban enforcement (1 none or limited, 2) partial; fine or civil action, 3) partial; prison or criminal action, 4) widespread; fine or civil action, 5) widespread prison or criminal action)</t>
  </si>
  <si>
    <t>Restriction enforcement (1 none or limited, 2) partial; fine or civil action, 3) partial prison or criminal action, 4) widespread; fine or civil action, 5) widespread prison or criminal action)</t>
  </si>
  <si>
    <t>3b</t>
  </si>
  <si>
    <t>3c</t>
  </si>
  <si>
    <t>Dhanori</t>
  </si>
  <si>
    <t>Ajnauda Kalan</t>
  </si>
  <si>
    <t>3b.1</t>
  </si>
  <si>
    <t>3b.2</t>
  </si>
  <si>
    <t>3a.3</t>
  </si>
  <si>
    <t>3a.4</t>
  </si>
  <si>
    <t xml:space="preserve">Burning allows rapid clearing and  double cropping. Window is for post-monsoon rice crop. Mean number of crops per year was 2 per field, indicating this is the dominant form of agriculture across farm sizes and levels of intensification. </t>
  </si>
  <si>
    <t xml:space="preserve">Burning allows rapid clearing and  double cropping. Window is for wheat crop. Mean number of crops per year was 2 per field, indicating this is the dominant form of agriculture across farm sizes and levels of intensification. </t>
  </si>
  <si>
    <t>3b.3</t>
  </si>
  <si>
    <t>3b.4</t>
  </si>
  <si>
    <t>3c.1</t>
  </si>
  <si>
    <t>3c.2</t>
  </si>
  <si>
    <t>3c.3</t>
  </si>
  <si>
    <t>3c.4</t>
  </si>
  <si>
    <t>% of residues burned is reported, assume farmers clearing rice residues by machine are more market oriented. Weighted by proportion of agricultural land devoted to rice.</t>
  </si>
  <si>
    <t>% of residues burned is reported, weighted by proportion of agricultural land devoted to wheat.</t>
  </si>
  <si>
    <t>% of residues burned is reported, assume farmers clearing rice residues by hand are more subsistence oriented. Weighted by proportion of agricultural land devoted to rice.</t>
  </si>
  <si>
    <t>4b</t>
  </si>
  <si>
    <t>4c</t>
  </si>
  <si>
    <t>4d</t>
  </si>
  <si>
    <t>4e</t>
  </si>
  <si>
    <t>4f</t>
  </si>
  <si>
    <t>4g</t>
  </si>
  <si>
    <t>4h</t>
  </si>
  <si>
    <t>4i</t>
  </si>
  <si>
    <t>4j</t>
  </si>
  <si>
    <t>4k</t>
  </si>
  <si>
    <t>Amritsar</t>
  </si>
  <si>
    <t>Bhatinda</t>
  </si>
  <si>
    <t>Faridkot</t>
  </si>
  <si>
    <t>Fategarh</t>
  </si>
  <si>
    <t>Ferozepore</t>
  </si>
  <si>
    <t>Gurdaspur</t>
  </si>
  <si>
    <t>Julandhar</t>
  </si>
  <si>
    <t>Kapoorthala</t>
  </si>
  <si>
    <t>Ludhiana</t>
  </si>
  <si>
    <t>Patiala</t>
  </si>
  <si>
    <t>Sangrur</t>
  </si>
  <si>
    <t>Simbro</t>
  </si>
  <si>
    <t>4b.1</t>
  </si>
  <si>
    <t>4b.2</t>
  </si>
  <si>
    <t>4c.1</t>
  </si>
  <si>
    <t>4c.2</t>
  </si>
  <si>
    <t>4d.1</t>
  </si>
  <si>
    <t>4d.2</t>
  </si>
  <si>
    <t>4e.1</t>
  </si>
  <si>
    <t>4e.2</t>
  </si>
  <si>
    <t>4f.1</t>
  </si>
  <si>
    <t>4f.2</t>
  </si>
  <si>
    <t>4g.1</t>
  </si>
  <si>
    <t>4g.2</t>
  </si>
  <si>
    <t>4h.1</t>
  </si>
  <si>
    <t>4h.2</t>
  </si>
  <si>
    <t>4i.1</t>
  </si>
  <si>
    <t>4i.2</t>
  </si>
  <si>
    <t>4j.1</t>
  </si>
  <si>
    <t>4j.2</t>
  </si>
  <si>
    <t>4k.1</t>
  </si>
  <si>
    <t>4k.2</t>
  </si>
  <si>
    <t>Window is for burning of wheat residues</t>
  </si>
  <si>
    <t>Window is for burning of rice residues</t>
  </si>
  <si>
    <t>Stratified random sample of farmers based on farm size</t>
  </si>
  <si>
    <t>6b</t>
  </si>
  <si>
    <t>6c</t>
  </si>
  <si>
    <t>6d</t>
  </si>
  <si>
    <t>6e</t>
  </si>
  <si>
    <t>6f</t>
  </si>
  <si>
    <t>6g</t>
  </si>
  <si>
    <t>6h</t>
  </si>
  <si>
    <t>6i</t>
  </si>
  <si>
    <t>6j</t>
  </si>
  <si>
    <t>6k</t>
  </si>
  <si>
    <t>6b.1</t>
  </si>
  <si>
    <t>6b.2</t>
  </si>
  <si>
    <t>Village 1</t>
  </si>
  <si>
    <t>Village 2</t>
  </si>
  <si>
    <t>Village 3</t>
  </si>
  <si>
    <t>Village 4</t>
  </si>
  <si>
    <t>Village 5</t>
  </si>
  <si>
    <t>Village 6</t>
  </si>
  <si>
    <t>Village 7</t>
  </si>
  <si>
    <t>Village 8</t>
  </si>
  <si>
    <t>Village 9</t>
  </si>
  <si>
    <t>Village 10</t>
  </si>
  <si>
    <t>Village 11</t>
  </si>
  <si>
    <t>6c.1</t>
  </si>
  <si>
    <t>6c.2</t>
  </si>
  <si>
    <t>6d.1</t>
  </si>
  <si>
    <t>6d.2</t>
  </si>
  <si>
    <t>6e.1</t>
  </si>
  <si>
    <t>6e.2</t>
  </si>
  <si>
    <t>6f.1</t>
  </si>
  <si>
    <t>6f.2</t>
  </si>
  <si>
    <t>6g.1</t>
  </si>
  <si>
    <t>6g.2</t>
  </si>
  <si>
    <t>6h.1</t>
  </si>
  <si>
    <t>6h.2</t>
  </si>
  <si>
    <t>6i.1</t>
  </si>
  <si>
    <t>6i.2</t>
  </si>
  <si>
    <t>6j.1</t>
  </si>
  <si>
    <t>6j.2</t>
  </si>
  <si>
    <t>6k.1</t>
  </si>
  <si>
    <t>6k.2</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</si>
  <si>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</si>
  <si>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Intended burned area is multiplied by the number of respondents in the sample and the ratio of the sample to the village population. </t>
  </si>
  <si>
    <t>Overall district land distribution: Farm size, burned residues: 10.42
Farm size, didn't burn residues: 3.46; small-holder types not differentiated.</t>
  </si>
  <si>
    <t>6l</t>
  </si>
  <si>
    <t>Village 12</t>
  </si>
  <si>
    <t>6l.1</t>
  </si>
  <si>
    <t>6l.2</t>
  </si>
  <si>
    <t>90% of rice crop harvested with a combine harvester.</t>
  </si>
  <si>
    <t>7a.2</t>
  </si>
  <si>
    <t>7a.3</t>
  </si>
  <si>
    <t>7a.4</t>
  </si>
  <si>
    <t>7a.5</t>
  </si>
  <si>
    <t>7a.6</t>
  </si>
  <si>
    <t>7a.7</t>
  </si>
  <si>
    <t>7a.8</t>
  </si>
  <si>
    <t>7a.9</t>
  </si>
  <si>
    <t>7a.10</t>
  </si>
  <si>
    <t>Data is for summer wheat crop</t>
  </si>
  <si>
    <t>Data is for autumn rice crop</t>
  </si>
  <si>
    <t xml:space="preserve">total cropped area, % of crop production by commodity reported, and proportion of residues burned for wheat (summer) and rice (autumn) are reported; it is assumed other residues are not burned (implicit assumption of study authors) and that the % production is roughly proportional to the % cropped area. </t>
  </si>
  <si>
    <t>Ignitions from swidden calculated as difference between protected area (no swidden) and land under indigenous reserve.</t>
  </si>
  <si>
    <t xml:space="preserve">Fires are split between pasture fires and forest clearance based on fire events in managed extraction zones and unregulated forest; protected area ignitions assumed as background rate. </t>
  </si>
  <si>
    <r>
      <t>Integrated management areas: 0.0074 ignitions ha</t>
    </r>
    <r>
      <rPr>
        <vertAlign val="superscript"/>
        <sz val="11"/>
        <color theme="1"/>
        <rFont val="Calibri"/>
        <family val="2"/>
        <scheme val="minor"/>
      </rPr>
      <t>-1</t>
    </r>
    <r>
      <rPr>
        <sz val="11"/>
        <color theme="1"/>
        <rFont val="Calibri"/>
        <family val="2"/>
        <scheme val="minor"/>
      </rPr>
      <t>, private and untitled lands: 0.0014 ignitions ha</t>
    </r>
    <r>
      <rPr>
        <vertAlign val="superscript"/>
        <sz val="11"/>
        <color theme="1"/>
        <rFont val="Calibri"/>
        <family val="2"/>
        <scheme val="minor"/>
      </rPr>
      <t xml:space="preserve"> -1</t>
    </r>
    <r>
      <rPr>
        <sz val="11"/>
        <color theme="1"/>
        <rFont val="Calibri"/>
        <family val="2"/>
        <scheme val="minor"/>
      </rPr>
      <t>.</t>
    </r>
  </si>
  <si>
    <t>Bolivar</t>
  </si>
  <si>
    <t>Suqian District</t>
  </si>
  <si>
    <t>Location is district centre</t>
  </si>
  <si>
    <t xml:space="preserve">Study also contains interesting statistical relationships between fires and forest fragmentation. Location is district centre. </t>
  </si>
  <si>
    <t xml:space="preserve">Reported fire activity is remote sensing based; included due to difficulty of access in Colombian Amazon during this period due to conflict. </t>
  </si>
  <si>
    <t xml:space="preserve">Strong evidence that pastures are replacing swidden in the region - 24% of secondary vegetation transitioned to pasture, whilst 33% returned to forest. Further, pasture area increased by 103,000 ha during the study period, yet primary forest only decreased by 19,000 ha. Market-oriented smallholders are larlgely producing illict crops, such as cocaine.
Numbers are averages for study period. </t>
  </si>
  <si>
    <t>Forest burned area higher than deforestation rate, due to the confusion of old growth secondary vegetation with forest  (secondary vegetation being re-classified as forest in subsequent years)</t>
  </si>
  <si>
    <t>Study closely ties fire to property size and land user; study is primarily used to infer information about effectiveness of satellite enforcement of fire policy in the amazon.</t>
  </si>
  <si>
    <t xml:space="preserve">Burned area total is reported along with a transition matrix of vegetation cover. Forest to burned area to pasture transitions are treated as deforestation fires. Forest to burned area to secondary vegetation is treated as swidden. </t>
  </si>
  <si>
    <t>12a.4</t>
  </si>
  <si>
    <t>12a.5</t>
  </si>
  <si>
    <t>12a.6</t>
  </si>
  <si>
    <t>12a.7</t>
  </si>
  <si>
    <t>12a.8</t>
  </si>
  <si>
    <t>12a.9</t>
  </si>
  <si>
    <t>12a.10</t>
  </si>
  <si>
    <t>12a.11</t>
  </si>
  <si>
    <t>Reduction in average clearing size over time closely linked to 'DETER' deforestation detection and enforcement programme. Deforesetation an acceptable proxy for fire size, if it is assumed that deforestation involving / not involving fire is randomly distributed accross farms.</t>
  </si>
  <si>
    <t>12a.12</t>
  </si>
  <si>
    <t>12a.13</t>
  </si>
  <si>
    <t>12a.14</t>
  </si>
  <si>
    <t>12a.15</t>
  </si>
  <si>
    <t>12a.16</t>
  </si>
  <si>
    <t>12a.17</t>
  </si>
  <si>
    <t>12a.18</t>
  </si>
  <si>
    <t>12a.19</t>
  </si>
  <si>
    <t>12a.20</t>
  </si>
  <si>
    <t>12a.21</t>
  </si>
  <si>
    <t>12a.22</t>
  </si>
  <si>
    <t xml:space="preserve">Secondary data is property-level data on size of holding; 'large-farms' used as a proxy for intensive agricultural production. Farms &gt; 352ha (medium, large under author classification) are regarded as intensive cropping. Farms &lt; 352 (small) are regarded as either small-holder cropping or traditional ranching. </t>
  </si>
  <si>
    <t xml:space="preserve">Secondary data is property-level data on size of holding; 'large-farms' used as a proxy for intensive agricultural production. Farms &gt; 280ha (medium, large under author classification) are regarded as intensive cropping. Farms &lt; 280 (small) are regarded as either small-holder cropping or traditional ranching. </t>
  </si>
  <si>
    <t>12b.4</t>
  </si>
  <si>
    <t>12b.5</t>
  </si>
  <si>
    <t>12b.6</t>
  </si>
  <si>
    <t>12b.7</t>
  </si>
  <si>
    <t>12b.8</t>
  </si>
  <si>
    <t>12b.9</t>
  </si>
  <si>
    <t>12b.10</t>
  </si>
  <si>
    <t>12b.11</t>
  </si>
  <si>
    <t>12b.12</t>
  </si>
  <si>
    <t>12b.13</t>
  </si>
  <si>
    <t>12b.14</t>
  </si>
  <si>
    <t>12a.23</t>
  </si>
  <si>
    <t>12a.24</t>
  </si>
  <si>
    <t>12a.25</t>
  </si>
  <si>
    <t>12a.26</t>
  </si>
  <si>
    <t>12a.27</t>
  </si>
  <si>
    <t>12a.28</t>
  </si>
  <si>
    <t>12a.29</t>
  </si>
  <si>
    <t>12a.30</t>
  </si>
  <si>
    <t>12a.31</t>
  </si>
  <si>
    <t>12a.32</t>
  </si>
  <si>
    <t>12a.33</t>
  </si>
  <si>
    <t>12b.15</t>
  </si>
  <si>
    <t>12b.16</t>
  </si>
  <si>
    <t>12b.17</t>
  </si>
  <si>
    <t>12b.18</t>
  </si>
  <si>
    <t>12b.19</t>
  </si>
  <si>
    <t>12b.20</t>
  </si>
  <si>
    <t>12b.21</t>
  </si>
  <si>
    <t>12b.22</t>
  </si>
  <si>
    <t xml:space="preserve">Average fire size is based on a weighted average derived from the % of clearance attributed to different clearance size classes. </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</si>
  <si>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t>
  </si>
  <si>
    <t>12b.23</t>
  </si>
  <si>
    <t>12b.24</t>
  </si>
  <si>
    <t>12b.25</t>
  </si>
  <si>
    <t>12b.26</t>
  </si>
  <si>
    <t>12b.27</t>
  </si>
  <si>
    <t>12b.28</t>
  </si>
  <si>
    <t>12b.29</t>
  </si>
  <si>
    <t>12b.30</t>
  </si>
  <si>
    <t>12b.31</t>
  </si>
  <si>
    <t>12b.32</t>
  </si>
  <si>
    <t>12b.33</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</si>
  <si>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This may be  more an issue in Mato Grosso, with more industrialised agriculture.</t>
  </si>
  <si>
    <r>
      <t>Use of satellite data to enforce anti-deforestation legislation begins on a bi-weekly basis; fires &lt;250m</t>
    </r>
    <r>
      <rPr>
        <vertAlign val="superscript"/>
        <sz val="11"/>
        <color theme="1"/>
        <rFont val="Calibri"/>
        <family val="2"/>
        <scheme val="minor"/>
      </rPr>
      <t>2</t>
    </r>
    <r>
      <rPr>
        <sz val="11"/>
        <color theme="1"/>
        <rFont val="Calibri"/>
        <family val="2"/>
        <scheme val="minor"/>
      </rPr>
      <t xml:space="preserve"> cannot be detected. </t>
    </r>
  </si>
  <si>
    <t xml:space="preserve">Use of satellite data to enforce anti-deforestation legislation on a bi-weekly basis; fires &lt;250m2 cannot be detected. </t>
  </si>
  <si>
    <t xml:space="preserve">Satellite-based enforcement switches to daily data; fires &lt;250m2 cannot be detected. </t>
  </si>
  <si>
    <t xml:space="preserve">Fire return period is a weighted mean of the fallow length used by farmers + 3 years of cropping, as indicated by the author.  </t>
  </si>
  <si>
    <t xml:space="preserve">Field preparation following fallow is directly linked to burning.  34% of farmers used shifting cultivation. Shifting cultivation on slopes, permanent cultivation on flatter land. (Semi-) permanent cultivation on flatter lands begun to involve no-till mulching. </t>
  </si>
  <si>
    <t xml:space="preserve">Field preparation following fallow is directly linked to burning. 24% of farmers used shifting cultivation. Shifting cultivation on slopes, permanent cultivation on flatter land. (Semi-) permanent cultivation on flatter lands begun to involve no-till mulching. </t>
  </si>
  <si>
    <t xml:space="preserve">Field preparation following fallow is directl Shifting cultivation on slopes, permanent cultivation on flatter land.y linked to burning.  16% of farmers used shifting cultivation. Yield figure is for maize. Shifting cultivation on slopes, permanent cultivation on flatter land. (Semi-) permanent cultivation on flatter lands begun to involve no-till mulching. </t>
  </si>
  <si>
    <t xml:space="preserve">Field preparation following fallow is directly linked to burning. 18% of farmers used shifting cultivation. Yield figure is for maize. (Semi-) permanent cultivation on flatter lands begun to involve no-till mulching. </t>
  </si>
  <si>
    <t>15a.4</t>
  </si>
  <si>
    <t>Intended Burned area % (total)</t>
  </si>
  <si>
    <t>Enforcement of anti-burning laws has changed burning practice; swidden systems instead began to use no-till mulching.</t>
  </si>
  <si>
    <t>15c.3</t>
  </si>
  <si>
    <t>15c.4</t>
  </si>
  <si>
    <t>15d.3</t>
  </si>
  <si>
    <t>15d.4</t>
  </si>
  <si>
    <t>"Failure to comply with the law results in a Tanzania Shillings (TZS) 50, 000 fine or a three month jail term"</t>
  </si>
  <si>
    <t>Fire restricted by local bylaws</t>
  </si>
  <si>
    <t>Satellite-based enforcement cannot detect fires smaller than 250m2. Hence smaller land holders were less impacted.</t>
  </si>
  <si>
    <r>
      <t>96% of villagers relied on timber for fuel; 68% practiced shifting cultivation, whilst 32% practiced permanent monoculture. Per capita consumption of fuelwood was 1.5m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consumption for constribution was 0.138m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xml:space="preserve">. Villagers do not keep livestock due to the presence of tsetse flies. </t>
    </r>
  </si>
  <si>
    <t>Field preparation directly linked to 'slash-and-burn' fire practice; fire return is fallow length (4 years) + 6 years' permanent cultivation (reported).</t>
  </si>
  <si>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0.57ha per person.</t>
    </r>
  </si>
  <si>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1.1ha per person.</t>
    </r>
  </si>
  <si>
    <t xml:space="preserve">Population pressure was leading directly to shortened fallows and to deforestation. </t>
  </si>
  <si>
    <t>Fire return is 12 years' fallow + 1 year cultivation (reported)</t>
  </si>
  <si>
    <t>Fire return is 25 years' fallow + 1 year cultivation (reported)</t>
  </si>
  <si>
    <t>Fire return is 7 years' cultivation + 4 years' fallow (both reported)</t>
  </si>
  <si>
    <t xml:space="preserve">3/26 farmers had shifted to monoculture, which consisted principally of maize grown with oxen ploughing. Some larger landholders used tractors to plough their fields. </t>
  </si>
  <si>
    <t>The village had an 'extension officer' responsible for encouraging uptake of new agricultural technologies, including pesticides. She reported having been met with 'skepticism' during her first year on the job, and was finding it difficult to connect with spatially isolated farmers.</t>
  </si>
  <si>
    <t>Where viable woodland was available, traditional burning was still practiced. However, the author reports this had almost disappeared due to the lack of appropriate woodland.</t>
  </si>
  <si>
    <t>21b.2</t>
  </si>
  <si>
    <t>"The population density of Bwacha is similar to that of Ngoma, but Bwacha has far less miombo woodland available due to the presence of dambos (seasonally flooded area) and less productive Chipya vegetation, which reduces the overall land available for Chitemene."</t>
  </si>
  <si>
    <t>20d</t>
  </si>
  <si>
    <t>20d.1</t>
  </si>
  <si>
    <t>20b</t>
  </si>
  <si>
    <t>20c</t>
  </si>
  <si>
    <t>20b.1</t>
  </si>
  <si>
    <t>20c.1</t>
  </si>
  <si>
    <t xml:space="preserve">"Economic liberalisation… generally led to a rapid response by farmers, and fallow, based on the cultivation of crops such as finger millet and beans with low requirements of external inputs, was re-introduced. </t>
  </si>
  <si>
    <t>5 years of cropping plus 3 years' fallow (reported)</t>
  </si>
  <si>
    <t xml:space="preserve">A wide range of government incentive schemes (from providing GM seeds to encouraging uptake of more advanced farming methods) were promoted by the national govenrment. Officials interviewed reported these had little effect due to the cultural attachment of farmers to tavy. </t>
  </si>
  <si>
    <t xml:space="preserve">USAID was amongst the organisations funding Madagascar's attempts to develop agriculture, and phase out swidden, for a variety of environmental and economic reasons. </t>
  </si>
  <si>
    <t xml:space="preserve">Fire was restricted to certain fields in the top third of a mountain during a designated period. However due to understaffing, there was little monitoring of the restrictions. </t>
  </si>
  <si>
    <t xml:space="preserve">12 villages reported in Karnal District; anonymised due to illegality of burning. Location given is centre of Karnal District. </t>
  </si>
  <si>
    <t xml:space="preserve">Mahafaly  </t>
  </si>
  <si>
    <t>Remote sensing struggled to differentiate grassland, savanah and pasture / secondary vegetation from swidden. Transitional forestry is charcoal production for nearby towns.</t>
  </si>
  <si>
    <t xml:space="preserve">Ban on fire was more effectively enforced in ranching and charcoal production areas, which tended to be closer to villages. </t>
  </si>
  <si>
    <t xml:space="preserve">Study area (7850) calculated as radius of circle 50km2 around town of Tefe. 
Fallow length is reported; burned area in secondary vegetation %BA is the inverse +1 for active production. Total clearance is reported; this is an acceptable proxy for fire, given all clearance was for swidden, and no machinery was available. </t>
  </si>
  <si>
    <t>84b</t>
  </si>
  <si>
    <t>84c</t>
  </si>
  <si>
    <t>84d</t>
  </si>
  <si>
    <t>84e</t>
  </si>
  <si>
    <t>84f</t>
  </si>
  <si>
    <t>84g</t>
  </si>
  <si>
    <t>84h</t>
  </si>
  <si>
    <t>84i</t>
  </si>
  <si>
    <t>84j</t>
  </si>
  <si>
    <t>84k</t>
  </si>
  <si>
    <t>84l</t>
  </si>
  <si>
    <t>84m</t>
  </si>
  <si>
    <t>84n</t>
  </si>
  <si>
    <t>84o</t>
  </si>
  <si>
    <t>84p</t>
  </si>
  <si>
    <t>84q</t>
  </si>
  <si>
    <t>84r</t>
  </si>
  <si>
    <t>84s</t>
  </si>
  <si>
    <t>84t</t>
  </si>
  <si>
    <t>84u</t>
  </si>
  <si>
    <t>84v</t>
  </si>
  <si>
    <t>84w</t>
  </si>
  <si>
    <t>84x</t>
  </si>
  <si>
    <t>84y</t>
  </si>
  <si>
    <t>84z</t>
  </si>
  <si>
    <t>84aa</t>
  </si>
  <si>
    <t>84ab</t>
  </si>
  <si>
    <t>84ac</t>
  </si>
  <si>
    <t>84ad</t>
  </si>
  <si>
    <t>84ae</t>
  </si>
  <si>
    <t>84af</t>
  </si>
  <si>
    <t>84ag</t>
  </si>
  <si>
    <t>84ah</t>
  </si>
  <si>
    <t>84ai</t>
  </si>
  <si>
    <t>84aj</t>
  </si>
  <si>
    <t>84ak</t>
  </si>
  <si>
    <t>84al</t>
  </si>
  <si>
    <t>84am</t>
  </si>
  <si>
    <t>84an</t>
  </si>
  <si>
    <t>84ao</t>
  </si>
  <si>
    <t>84ap</t>
  </si>
  <si>
    <t>84aq</t>
  </si>
  <si>
    <t>84ar</t>
  </si>
  <si>
    <t>84as</t>
  </si>
  <si>
    <t>84at</t>
  </si>
  <si>
    <t>84au</t>
  </si>
  <si>
    <t>84av</t>
  </si>
  <si>
    <t>84aw</t>
  </si>
  <si>
    <t>84ax</t>
  </si>
  <si>
    <t>84ay</t>
  </si>
  <si>
    <t>84az</t>
  </si>
  <si>
    <t>84ba</t>
  </si>
  <si>
    <t>84bb</t>
  </si>
  <si>
    <t>84bc</t>
  </si>
  <si>
    <t>84bd</t>
  </si>
  <si>
    <t>84be</t>
  </si>
  <si>
    <t>84bf</t>
  </si>
  <si>
    <t>84bg</t>
  </si>
  <si>
    <t>84bh</t>
  </si>
  <si>
    <t>84bi</t>
  </si>
  <si>
    <t>84bj</t>
  </si>
  <si>
    <t>84bk</t>
  </si>
  <si>
    <t>84bl</t>
  </si>
  <si>
    <t>84bm</t>
  </si>
  <si>
    <t>84bn</t>
  </si>
  <si>
    <t>84bo</t>
  </si>
  <si>
    <t>84bp</t>
  </si>
  <si>
    <t>84bq</t>
  </si>
  <si>
    <t>84br</t>
  </si>
  <si>
    <t>84bs</t>
  </si>
  <si>
    <t>84bt</t>
  </si>
  <si>
    <t>84bu</t>
  </si>
  <si>
    <t>84bv</t>
  </si>
  <si>
    <t>Brazilian Amazon</t>
  </si>
  <si>
    <t>Logging Centre 1</t>
  </si>
  <si>
    <t>Logging Centre 2</t>
  </si>
  <si>
    <t>Logging Centre 3</t>
  </si>
  <si>
    <t>Logging Centre 4</t>
  </si>
  <si>
    <t>Logging Centre 5</t>
  </si>
  <si>
    <t>Logging Centre 6</t>
  </si>
  <si>
    <t>Logging Centre 7</t>
  </si>
  <si>
    <t>Logging Centre 8</t>
  </si>
  <si>
    <t>Logging Centre 9</t>
  </si>
  <si>
    <t>Logging Centre 10</t>
  </si>
  <si>
    <t>Logging Centre 11</t>
  </si>
  <si>
    <t>Logging Centre 12</t>
  </si>
  <si>
    <t>Logging Centre 13</t>
  </si>
  <si>
    <t>Logging Centre 14</t>
  </si>
  <si>
    <t>Logging Centre 15</t>
  </si>
  <si>
    <t>Logging Centre 16</t>
  </si>
  <si>
    <t>Logging Centre 17</t>
  </si>
  <si>
    <t>Logging Centre 18</t>
  </si>
  <si>
    <t>Logging Centre 19</t>
  </si>
  <si>
    <t>Logging Centre 20</t>
  </si>
  <si>
    <t>Logging Centre 21</t>
  </si>
  <si>
    <t>Logging Centre 22</t>
  </si>
  <si>
    <t>Logging Centre 23</t>
  </si>
  <si>
    <t>Logging Centre 24</t>
  </si>
  <si>
    <t>Logging Centre 25</t>
  </si>
  <si>
    <t>Logging Centre 26</t>
  </si>
  <si>
    <t>Logging Centre 27</t>
  </si>
  <si>
    <t>Logging Centre 28</t>
  </si>
  <si>
    <t>Logging Centre 29</t>
  </si>
  <si>
    <t>Logging Centre 30</t>
  </si>
  <si>
    <t>Logging Centre 31</t>
  </si>
  <si>
    <t>Logging Centre 32</t>
  </si>
  <si>
    <t>Logging Centre 33</t>
  </si>
  <si>
    <t>Logging Centre 34</t>
  </si>
  <si>
    <t>Logging Centre 35</t>
  </si>
  <si>
    <t>Logging Centre 36</t>
  </si>
  <si>
    <t>Logging Centre 37</t>
  </si>
  <si>
    <t>Logging Centre 38</t>
  </si>
  <si>
    <t>Logging Centre 39</t>
  </si>
  <si>
    <t>Logging Centre 40</t>
  </si>
  <si>
    <t>Logging Centre 41</t>
  </si>
  <si>
    <t>Logging Centre 42</t>
  </si>
  <si>
    <t>Logging Centre 43</t>
  </si>
  <si>
    <t>Logging Centre 44</t>
  </si>
  <si>
    <t>Logging Centre 45</t>
  </si>
  <si>
    <t>Logging Centre 46</t>
  </si>
  <si>
    <t>Logging Centre 47</t>
  </si>
  <si>
    <t>Logging Centre 48</t>
  </si>
  <si>
    <t>Logging Centre 49</t>
  </si>
  <si>
    <t>Logging Centre 50</t>
  </si>
  <si>
    <t>Logging Centre 51</t>
  </si>
  <si>
    <t>Logging Centre 52</t>
  </si>
  <si>
    <t>Logging Centre 53</t>
  </si>
  <si>
    <t>Logging Centre 54</t>
  </si>
  <si>
    <t>Logging Centre 55</t>
  </si>
  <si>
    <t>Logging Centre 56</t>
  </si>
  <si>
    <t>Logging Centre 57</t>
  </si>
  <si>
    <t>Logging Centre 58</t>
  </si>
  <si>
    <t>Logging Centre 59</t>
  </si>
  <si>
    <t>Logging Centre 60</t>
  </si>
  <si>
    <t>Logging Centre 61</t>
  </si>
  <si>
    <t>Logging Centre 62</t>
  </si>
  <si>
    <t>Logging Centre 63</t>
  </si>
  <si>
    <t>Logging Centre 64</t>
  </si>
  <si>
    <t>Logging Centre 65</t>
  </si>
  <si>
    <t>Logging Centre 66</t>
  </si>
  <si>
    <t>Logging Centre 67</t>
  </si>
  <si>
    <t>Logging Centre 68</t>
  </si>
  <si>
    <t>Logging Centre 69</t>
  </si>
  <si>
    <t>Logging Centre 70</t>
  </si>
  <si>
    <t>Logging Centre 71</t>
  </si>
  <si>
    <t>Logging Centre 72</t>
  </si>
  <si>
    <t>Logging Centre 73</t>
  </si>
  <si>
    <t>Logging Centre 74</t>
  </si>
  <si>
    <t>84a.1</t>
  </si>
  <si>
    <r>
      <t>Biomass harvesting (m</t>
    </r>
    <r>
      <rPr>
        <b/>
        <vertAlign val="superscript"/>
        <sz val="12"/>
        <color theme="1"/>
        <rFont val="Calibri"/>
        <family val="2"/>
        <scheme val="minor"/>
      </rPr>
      <t>2</t>
    </r>
    <r>
      <rPr>
        <b/>
        <sz val="12"/>
        <color theme="1"/>
        <rFont val="Calibri"/>
        <family val="2"/>
        <scheme val="minor"/>
      </rPr>
      <t xml:space="preserve"> ha-</t>
    </r>
    <r>
      <rPr>
        <b/>
        <vertAlign val="superscript"/>
        <sz val="12"/>
        <color theme="1"/>
        <rFont val="Calibri"/>
        <family val="2"/>
        <scheme val="minor"/>
      </rPr>
      <t>1</t>
    </r>
    <r>
      <rPr>
        <b/>
        <sz val="12"/>
        <color theme="1"/>
        <rFont val="Calibri"/>
        <family val="2"/>
        <scheme val="minor"/>
      </rPr>
      <t xml:space="preserve"> yr</t>
    </r>
    <r>
      <rPr>
        <b/>
        <vertAlign val="superscript"/>
        <sz val="12"/>
        <color theme="1"/>
        <rFont val="Calibri"/>
        <family val="2"/>
        <scheme val="minor"/>
      </rPr>
      <t xml:space="preserve"> -1</t>
    </r>
    <r>
      <rPr>
        <b/>
        <sz val="12"/>
        <color theme="1"/>
        <rFont val="Calibri"/>
        <family val="2"/>
        <scheme val="minor"/>
      </rPr>
      <t>)</t>
    </r>
  </si>
  <si>
    <t>84b.1</t>
  </si>
  <si>
    <t>84c.1</t>
  </si>
  <si>
    <t>84d.1</t>
  </si>
  <si>
    <t>84e.1</t>
  </si>
  <si>
    <t>84f.1</t>
  </si>
  <si>
    <t>84g.1</t>
  </si>
  <si>
    <t>84h.1</t>
  </si>
  <si>
    <t>84i.1</t>
  </si>
  <si>
    <t>84j.1</t>
  </si>
  <si>
    <t>84k.1</t>
  </si>
  <si>
    <t>84l.1</t>
  </si>
  <si>
    <t>84m.1</t>
  </si>
  <si>
    <t>84n.1</t>
  </si>
  <si>
    <t>84o.1</t>
  </si>
  <si>
    <t>84p.1</t>
  </si>
  <si>
    <t>84q.1</t>
  </si>
  <si>
    <t>84r.1</t>
  </si>
  <si>
    <t>84s.1</t>
  </si>
  <si>
    <t>84t.1</t>
  </si>
  <si>
    <t>84u.1</t>
  </si>
  <si>
    <t>84v.1</t>
  </si>
  <si>
    <t>84w.1</t>
  </si>
  <si>
    <t>84x.1</t>
  </si>
  <si>
    <t>84y.1</t>
  </si>
  <si>
    <t>84z.1</t>
  </si>
  <si>
    <t>84aa.1</t>
  </si>
  <si>
    <t>84ab.1</t>
  </si>
  <si>
    <t>84ac.1</t>
  </si>
  <si>
    <t>84ad.1</t>
  </si>
  <si>
    <t>84ae.1</t>
  </si>
  <si>
    <t>84af.1</t>
  </si>
  <si>
    <t>84ag.1</t>
  </si>
  <si>
    <t>84ah.1</t>
  </si>
  <si>
    <t>84ai.1</t>
  </si>
  <si>
    <t>84aj.1</t>
  </si>
  <si>
    <t>84ak.1</t>
  </si>
  <si>
    <t>84al.1</t>
  </si>
  <si>
    <t>84am.1</t>
  </si>
  <si>
    <t>84an.1</t>
  </si>
  <si>
    <t>84ao.1</t>
  </si>
  <si>
    <t>84ap.1</t>
  </si>
  <si>
    <t>84aq.1</t>
  </si>
  <si>
    <t>84ar.1</t>
  </si>
  <si>
    <t>84as.1</t>
  </si>
  <si>
    <t>84at.1</t>
  </si>
  <si>
    <t>84au.1</t>
  </si>
  <si>
    <t>84av.1</t>
  </si>
  <si>
    <t>84aw.1</t>
  </si>
  <si>
    <t>84ax.1</t>
  </si>
  <si>
    <t>84ay.1</t>
  </si>
  <si>
    <t>84az.1</t>
  </si>
  <si>
    <t>84ba.1</t>
  </si>
  <si>
    <t>84bb.1</t>
  </si>
  <si>
    <t>84bc.1</t>
  </si>
  <si>
    <t>84bd.1</t>
  </si>
  <si>
    <t>84be.1</t>
  </si>
  <si>
    <t>84bf.1</t>
  </si>
  <si>
    <t>84bg.1</t>
  </si>
  <si>
    <t>84bh.1</t>
  </si>
  <si>
    <t>84bi.1</t>
  </si>
  <si>
    <t>84bj.1</t>
  </si>
  <si>
    <t>84bk.1</t>
  </si>
  <si>
    <t>84bl.1</t>
  </si>
  <si>
    <t>84bm.1</t>
  </si>
  <si>
    <t>84bn.1</t>
  </si>
  <si>
    <t>84bo.1</t>
  </si>
  <si>
    <t>84bp.1</t>
  </si>
  <si>
    <t>84bq.1</t>
  </si>
  <si>
    <t>84br.1</t>
  </si>
  <si>
    <t>84bs.1</t>
  </si>
  <si>
    <t>84bt.1</t>
  </si>
  <si>
    <t>84bu.1</t>
  </si>
  <si>
    <t>84bv.1</t>
  </si>
  <si>
    <t>"Loggers do not clear-cut and burn, but perforate forests by harvesting or damaging many trees."</t>
  </si>
  <si>
    <t>27b</t>
  </si>
  <si>
    <t>27a</t>
  </si>
  <si>
    <t>27c</t>
  </si>
  <si>
    <t>27d</t>
  </si>
  <si>
    <t>27e</t>
  </si>
  <si>
    <t>27h</t>
  </si>
  <si>
    <t>27i</t>
  </si>
  <si>
    <t>27f</t>
  </si>
  <si>
    <t>27g</t>
  </si>
  <si>
    <t>27j</t>
  </si>
  <si>
    <t>27k</t>
  </si>
  <si>
    <t>27l</t>
  </si>
  <si>
    <t>27m</t>
  </si>
  <si>
    <t>27n</t>
  </si>
  <si>
    <t>27o</t>
  </si>
  <si>
    <t>27p</t>
  </si>
  <si>
    <t>27q</t>
  </si>
  <si>
    <t>27r</t>
  </si>
  <si>
    <t>27s</t>
  </si>
  <si>
    <t>27t</t>
  </si>
  <si>
    <t>27u</t>
  </si>
  <si>
    <t>27v</t>
  </si>
  <si>
    <t>27w</t>
  </si>
  <si>
    <t>27x</t>
  </si>
  <si>
    <t>27y</t>
  </si>
  <si>
    <t>27z</t>
  </si>
  <si>
    <t>27aa</t>
  </si>
  <si>
    <t>27ab</t>
  </si>
  <si>
    <t>27ac</t>
  </si>
  <si>
    <t>27ad</t>
  </si>
  <si>
    <t>27ae</t>
  </si>
  <si>
    <t>27af</t>
  </si>
  <si>
    <t>27ag</t>
  </si>
  <si>
    <t>27ah</t>
  </si>
  <si>
    <t>27ai</t>
  </si>
  <si>
    <t>27aj</t>
  </si>
  <si>
    <t>27ak</t>
  </si>
  <si>
    <t>27al</t>
  </si>
  <si>
    <t>27am</t>
  </si>
  <si>
    <t>27ao</t>
  </si>
  <si>
    <t>27ap</t>
  </si>
  <si>
    <t>27aq</t>
  </si>
  <si>
    <t>27ar</t>
  </si>
  <si>
    <t>27as</t>
  </si>
  <si>
    <t>27at</t>
  </si>
  <si>
    <t>27au</t>
  </si>
  <si>
    <t>27av</t>
  </si>
  <si>
    <t>27aw</t>
  </si>
  <si>
    <t>27a.1</t>
  </si>
  <si>
    <t>27b.1</t>
  </si>
  <si>
    <t>27c.1</t>
  </si>
  <si>
    <t>27d.1</t>
  </si>
  <si>
    <t>27d.2</t>
  </si>
  <si>
    <t>27e.1</t>
  </si>
  <si>
    <t>27f.1</t>
  </si>
  <si>
    <t>27f.2</t>
  </si>
  <si>
    <t>27g.1</t>
  </si>
  <si>
    <t>27g.2</t>
  </si>
  <si>
    <t>27h.1</t>
  </si>
  <si>
    <t>27h.2</t>
  </si>
  <si>
    <t>27i.1</t>
  </si>
  <si>
    <t>27i.2</t>
  </si>
  <si>
    <t>27j.1</t>
  </si>
  <si>
    <t>27j.2</t>
  </si>
  <si>
    <t>27k.1</t>
  </si>
  <si>
    <t>27l.1</t>
  </si>
  <si>
    <t>27l.2</t>
  </si>
  <si>
    <t>27m.1</t>
  </si>
  <si>
    <t>27m.2</t>
  </si>
  <si>
    <t>27m.3</t>
  </si>
  <si>
    <t>27n.1</t>
  </si>
  <si>
    <t>27o.1</t>
  </si>
  <si>
    <t>27o.2</t>
  </si>
  <si>
    <t>27p.1</t>
  </si>
  <si>
    <t>27p.2</t>
  </si>
  <si>
    <t>27q.1</t>
  </si>
  <si>
    <t>27q.2</t>
  </si>
  <si>
    <t>27q.3</t>
  </si>
  <si>
    <t>27r.1</t>
  </si>
  <si>
    <t>27r.2</t>
  </si>
  <si>
    <t>27r.3</t>
  </si>
  <si>
    <t>27s.1</t>
  </si>
  <si>
    <t>27t.1</t>
  </si>
  <si>
    <t>27t.2</t>
  </si>
  <si>
    <t>27t.3</t>
  </si>
  <si>
    <t>27u.1</t>
  </si>
  <si>
    <t>27v.1</t>
  </si>
  <si>
    <t>27w.1</t>
  </si>
  <si>
    <t>27w.2</t>
  </si>
  <si>
    <t>27w.3</t>
  </si>
  <si>
    <t>27x.1</t>
  </si>
  <si>
    <t>27y.1</t>
  </si>
  <si>
    <t>27z.1</t>
  </si>
  <si>
    <t>27z.2</t>
  </si>
  <si>
    <t>27z.3</t>
  </si>
  <si>
    <t>27aa.1</t>
  </si>
  <si>
    <t>27aa.2</t>
  </si>
  <si>
    <t>27ab.1</t>
  </si>
  <si>
    <t>27ac.1</t>
  </si>
  <si>
    <t>27ad.1</t>
  </si>
  <si>
    <t>27ae.1</t>
  </si>
  <si>
    <t>27ae.2</t>
  </si>
  <si>
    <t>27ae.3</t>
  </si>
  <si>
    <t>27af.1</t>
  </si>
  <si>
    <t>27af.2</t>
  </si>
  <si>
    <t>27af.3</t>
  </si>
  <si>
    <t>27ag.1</t>
  </si>
  <si>
    <t>27ag.2</t>
  </si>
  <si>
    <t>27ah.1</t>
  </si>
  <si>
    <t>27ah.2</t>
  </si>
  <si>
    <t>27ah.3</t>
  </si>
  <si>
    <t>27ai.1</t>
  </si>
  <si>
    <t>27ai.2</t>
  </si>
  <si>
    <t>27ai.3</t>
  </si>
  <si>
    <t>27aj.1</t>
  </si>
  <si>
    <t>27aj.2</t>
  </si>
  <si>
    <t>27aj.3</t>
  </si>
  <si>
    <t>27ak.1</t>
  </si>
  <si>
    <t>27ak.2</t>
  </si>
  <si>
    <t>27ak.3</t>
  </si>
  <si>
    <t>27al.1</t>
  </si>
  <si>
    <t>27al.2</t>
  </si>
  <si>
    <t>27am.1</t>
  </si>
  <si>
    <t>27am.2</t>
  </si>
  <si>
    <t>27am.3</t>
  </si>
  <si>
    <t>27ao.1</t>
  </si>
  <si>
    <t>27ao.2</t>
  </si>
  <si>
    <t>27ap.1</t>
  </si>
  <si>
    <t>27aq.1</t>
  </si>
  <si>
    <t>27ar.1</t>
  </si>
  <si>
    <t>27ar.2</t>
  </si>
  <si>
    <t>27ar.3</t>
  </si>
  <si>
    <t>27as.1</t>
  </si>
  <si>
    <t>27as.2</t>
  </si>
  <si>
    <t>27as.3</t>
  </si>
  <si>
    <t>27at.1</t>
  </si>
  <si>
    <t>27at.2</t>
  </si>
  <si>
    <t>27au.1</t>
  </si>
  <si>
    <t>27au.2</t>
  </si>
  <si>
    <t>27av.1</t>
  </si>
  <si>
    <t>27aw.1</t>
  </si>
  <si>
    <t>Study focuses on government pioneer farming settlements, with higher agricultural land covers than typical for the region.  Page 69 for yields and pasture carrying capacity yields after a burn. Yield data for corn.</t>
  </si>
  <si>
    <t>Total BA is mean secondary vegetation cleared * number of farmers; fire return is fallow period + 2 years (usage duration reported).</t>
  </si>
  <si>
    <t>Forest clearance linked explicitly to subsequent burning; page 25 gives useful breakdown of operation size.</t>
  </si>
  <si>
    <t>28a.4</t>
  </si>
  <si>
    <t xml:space="preserve">Total BA is mean forest cleared * number of farmers, weighted by the proportion of land dedicated to this land use. </t>
  </si>
  <si>
    <t xml:space="preserve">Pasture not linked directly to deforestation fires, as land is first used for cropping before pasture. Clearly, there may be an indirect link. Pasture used for average of 15 years before degradation. </t>
  </si>
  <si>
    <t>Swidden cycle linked explicitly to burning</t>
  </si>
  <si>
    <t>29j</t>
  </si>
  <si>
    <t>29k</t>
  </si>
  <si>
    <t>29l</t>
  </si>
  <si>
    <t>29m</t>
  </si>
  <si>
    <t>29n</t>
  </si>
  <si>
    <t>29o</t>
  </si>
  <si>
    <t>29r</t>
  </si>
  <si>
    <t>29s</t>
  </si>
  <si>
    <t>29p</t>
  </si>
  <si>
    <t>29q</t>
  </si>
  <si>
    <t>29t</t>
  </si>
  <si>
    <t>29u</t>
  </si>
  <si>
    <t>29v</t>
  </si>
  <si>
    <t>29w</t>
  </si>
  <si>
    <t>29x</t>
  </si>
  <si>
    <t>29y</t>
  </si>
  <si>
    <t>29z</t>
  </si>
  <si>
    <t>29aa</t>
  </si>
  <si>
    <t>29ab</t>
  </si>
  <si>
    <t>29ac</t>
  </si>
  <si>
    <t>29ad</t>
  </si>
  <si>
    <t>29ae</t>
  </si>
  <si>
    <t>29af</t>
  </si>
  <si>
    <t>29ag</t>
  </si>
  <si>
    <t>29ah</t>
  </si>
  <si>
    <t>29ai</t>
  </si>
  <si>
    <t>29ak</t>
  </si>
  <si>
    <t>29aj</t>
  </si>
  <si>
    <t>29al</t>
  </si>
  <si>
    <t>29am</t>
  </si>
  <si>
    <t>29an</t>
  </si>
  <si>
    <t>29ao</t>
  </si>
  <si>
    <t>29ap</t>
  </si>
  <si>
    <t>29aq</t>
  </si>
  <si>
    <t>29ar</t>
  </si>
  <si>
    <t>29as</t>
  </si>
  <si>
    <t>29at</t>
  </si>
  <si>
    <t xml:space="preserve"> Palo Sehtla district </t>
  </si>
  <si>
    <t xml:space="preserve"> Eastern Ngamiland </t>
  </si>
  <si>
    <t xml:space="preserve"> Western Ngamiland</t>
  </si>
  <si>
    <t xml:space="preserve"> Gaborone region</t>
  </si>
  <si>
    <t xml:space="preserve"> Boromo region</t>
  </si>
  <si>
    <t xml:space="preserve"> "Volta Noire"</t>
  </si>
  <si>
    <t xml:space="preserve"> Ouagadougou region</t>
  </si>
  <si>
    <t xml:space="preserve"> Yatenga</t>
  </si>
  <si>
    <t xml:space="preserve"> Mokolo region</t>
  </si>
  <si>
    <t xml:space="preserve"> Guider region</t>
  </si>
  <si>
    <t xml:space="preserve"> Tupairi</t>
  </si>
  <si>
    <t xml:space="preserve"> Guatala</t>
  </si>
  <si>
    <t xml:space="preserve"> Bamenda region</t>
  </si>
  <si>
    <t xml:space="preserve"> Ada'a</t>
  </si>
  <si>
    <t xml:space="preserve"> Adama area</t>
  </si>
  <si>
    <t xml:space="preserve"> Arsi</t>
  </si>
  <si>
    <t xml:space="preserve"> Shewa region</t>
  </si>
  <si>
    <t xml:space="preserve"> Kissidougou</t>
  </si>
  <si>
    <t xml:space="preserve"> Kankan</t>
  </si>
  <si>
    <t xml:space="preserve"> 'Higlit Guinea'</t>
  </si>
  <si>
    <t xml:space="preserve"> South Nyanza</t>
  </si>
  <si>
    <t xml:space="preserve"> Bungoma County</t>
  </si>
  <si>
    <t xml:space="preserve"> Kakamega</t>
  </si>
  <si>
    <t xml:space="preserve"> Siaya</t>
  </si>
  <si>
    <t xml:space="preserve"> Embu County</t>
  </si>
  <si>
    <t xml:space="preserve"> Machakos</t>
  </si>
  <si>
    <t xml:space="preserve"> Bauchi</t>
  </si>
  <si>
    <t xml:space="preserve"> Kano</t>
  </si>
  <si>
    <t xml:space="preserve"> Kaduna State</t>
  </si>
  <si>
    <t xml:space="preserve"> Oyo State</t>
  </si>
  <si>
    <t xml:space="preserve"> Mwanza Hills</t>
  </si>
  <si>
    <t xml:space="preserve"> Mwanza Valley</t>
  </si>
  <si>
    <t xml:space="preserve"> Northern Kilosa</t>
  </si>
  <si>
    <t xml:space="preserve"> Southern Kilosa</t>
  </si>
  <si>
    <t xml:space="preserve"> Katete</t>
  </si>
  <si>
    <t xml:space="preserve"> Kandungo</t>
  </si>
  <si>
    <t>Botswana</t>
  </si>
  <si>
    <t>Burkina Faso</t>
  </si>
  <si>
    <t>Ethiopia</t>
  </si>
  <si>
    <t>Kenya</t>
  </si>
  <si>
    <t>Nigeria</t>
  </si>
  <si>
    <t>Exact date not available; fieldwork completed for 1987 publication. Location digitised from authors' map.</t>
  </si>
  <si>
    <t>"Good" Access to markets reported</t>
  </si>
  <si>
    <t>"Very poor" Access to markets reported</t>
  </si>
  <si>
    <t>"Excellent" Access to markets reported</t>
  </si>
  <si>
    <t>"Fair" Access to markets reported</t>
  </si>
  <si>
    <t>"Poor" Access to markets reported</t>
  </si>
  <si>
    <t>"Very Poor" Access to markets reported</t>
  </si>
  <si>
    <t>Fire-free short fallow system (1-2 years' cultivation and 1-2 years' fallow), using manure as fertiliser</t>
  </si>
  <si>
    <t xml:space="preserve">Emerging annual cultivation' - a transition state between swidden and permanent agriculture, without use of fire. </t>
  </si>
  <si>
    <t>29j.1</t>
  </si>
  <si>
    <t>29k.1</t>
  </si>
  <si>
    <t>29l.1</t>
  </si>
  <si>
    <t>29m.1</t>
  </si>
  <si>
    <t>Fire-free permanent monoculture</t>
  </si>
  <si>
    <t>29n.1</t>
  </si>
  <si>
    <t>29o.1</t>
  </si>
  <si>
    <t>29o.2</t>
  </si>
  <si>
    <t>"Forest Fallow" - a system of 20-25 year fallow, with 1-2 years' cultivation.</t>
  </si>
  <si>
    <t>"Bush Fallow" - a system of 6-10 years' fallow, with 2-6 years' cultivation</t>
  </si>
  <si>
    <t>29p.1</t>
  </si>
  <si>
    <t>29q.1</t>
  </si>
  <si>
    <t>29r.1</t>
  </si>
  <si>
    <t>29s.1</t>
  </si>
  <si>
    <t>29t.1</t>
  </si>
  <si>
    <t>29u.1</t>
  </si>
  <si>
    <t xml:space="preserve">"Emerging annual cultivation" - a transition state between swidden and permanent agriculture, without use of fire. </t>
  </si>
  <si>
    <t>29v.1</t>
  </si>
  <si>
    <t>29w.1</t>
  </si>
  <si>
    <t>29w.2</t>
  </si>
  <si>
    <t>29x.1</t>
  </si>
  <si>
    <t>29y.1</t>
  </si>
  <si>
    <t>29z.1</t>
  </si>
  <si>
    <t>29aa.1</t>
  </si>
  <si>
    <t>29ab.1</t>
  </si>
  <si>
    <t>29ac.1</t>
  </si>
  <si>
    <t>29ad.1</t>
  </si>
  <si>
    <t>29ae.1</t>
  </si>
  <si>
    <t>29af.1</t>
  </si>
  <si>
    <t>29ag.1</t>
  </si>
  <si>
    <t>29ah.1</t>
  </si>
  <si>
    <t>29aj.1</t>
  </si>
  <si>
    <t>29ak.1</t>
  </si>
  <si>
    <t>29al.1</t>
  </si>
  <si>
    <t>29am.1</t>
  </si>
  <si>
    <t>29an.1</t>
  </si>
  <si>
    <t>29ao.1</t>
  </si>
  <si>
    <t>29ap.1</t>
  </si>
  <si>
    <t>29ap.2</t>
  </si>
  <si>
    <t>29aq.1</t>
  </si>
  <si>
    <t>29ar.1</t>
  </si>
  <si>
    <t>29as.1</t>
  </si>
  <si>
    <t xml:space="preserve">11000 ha of nature reserves established; two private forestry companies in the area. Only 10% of farmers practice irrigated agriculture. </t>
  </si>
  <si>
    <t xml:space="preserve">No farmers reported gaining an income from forestry in these villages; Only 10% of farmers practice irrigated agriculture. </t>
  </si>
  <si>
    <t xml:space="preserve">11000 ha of nature reserves established; two private forestry companies in the area. Only 10% of farmers practice irrigated agriculture. 58% of farmers grew coffee as well as subsistence swidden; coffee is grown where soils are suitable. </t>
  </si>
  <si>
    <t xml:space="preserve">No farmers reported gaining an income from forestry in these villages; Only 10% of farmers practice irrigated agriculture. 75% of farmers grew coffee as well as subsistence swidden; coffee is grown where soils are suitable. </t>
  </si>
  <si>
    <t>80% of households cleared "almost 2ha per year".</t>
  </si>
  <si>
    <t>Mean cultivation period in the study region was 2-3 years on forest fallow, and 1-2 on shorter bush fallow.</t>
  </si>
  <si>
    <t>Rice from paddy fields contributes around 50% of calories consumed, whereas swidden contributes only ~25%. Cattle are grazed in forest openings or where vegetation is sparse enough. Yield is for rice.</t>
  </si>
  <si>
    <t>Fallow linked explicitly to burning; cultivation period is 4-5 years due to extensive improvements made to swidden land</t>
  </si>
  <si>
    <t xml:space="preserve">Fires are lit after new rice plants are embedded in paddy fields to ward of disease and pests, in a highly ritualised ceremony. </t>
  </si>
  <si>
    <t xml:space="preserve">Cattle pastures were established in the 1980s due to government subsidies, but had largely been abandoned. </t>
  </si>
  <si>
    <t>Fire return calculated as 1 / average percentage of swidden and secondary vegetation that was under cultivation.</t>
  </si>
  <si>
    <t>2/3 of field clearing was in secondary forest. Field preparation linked explicitly to fire.</t>
  </si>
  <si>
    <t>1/3 of field clearing was in primary forest. Field preparation linked explicitly to fire.</t>
  </si>
  <si>
    <t>A false location name is given to respect participants' anonimity; location estimated from author description.</t>
  </si>
  <si>
    <t>Fire return is fallow age + 2; intended fire size from fallow size.</t>
  </si>
  <si>
    <t>de Rouw 1991</t>
  </si>
  <si>
    <t>Yield is for rice</t>
  </si>
  <si>
    <t>Swidden agriculture used secondary fallows, whilst coffee and cacoa required primary forest fallows for succesful crops.</t>
  </si>
  <si>
    <t>37a.3</t>
  </si>
  <si>
    <t xml:space="preserve">Later burning date than swidden reflects more labour intensive practice. </t>
  </si>
  <si>
    <t>Study is four plots on Luang Prabang, location given is for Luang Prabang plot.</t>
  </si>
  <si>
    <t>Fallowing cycle linked directly to burning; return period is from field interviews conducted in 1991/2</t>
  </si>
  <si>
    <t xml:space="preserve">Land allocation had placed old forests under state protection, and removed them from the swidden cycle. </t>
  </si>
  <si>
    <t>% of burned area is calculated as fallow % / fallow duration; Fire return is fallow period + 2; intended fire size from field size.</t>
  </si>
  <si>
    <t xml:space="preserve">Moving land into forest reserve, combined with bans on burning in those regions, led to shorter fallow lengths and more frequent fire in secondary forest / swidden fallow cycles. </t>
  </si>
  <si>
    <t>Fire linked directly to fallowing; mean cropping period and fallow length both reported.</t>
  </si>
  <si>
    <t>Burned area is amount of swidden upland rice / fire return period. Upland rice area calculated as a weighted mean by the average land holdings of villagers with a given % of paddy.</t>
  </si>
  <si>
    <t xml:space="preserve">1970 upland rice is (1-paddy area); paddy area calculated as 0.2*2003 levels, based on the reported increase across the study area. </t>
  </si>
  <si>
    <t>Location is centre of district</t>
  </si>
  <si>
    <t>Phonxay</t>
  </si>
  <si>
    <t>1970 is based on field interviews conducted in 2003; Location is centre of district.</t>
  </si>
  <si>
    <t>41g</t>
  </si>
  <si>
    <t>41h</t>
  </si>
  <si>
    <t>41i</t>
  </si>
  <si>
    <t>42a.2</t>
  </si>
  <si>
    <t>42b.2</t>
  </si>
  <si>
    <t>42c.2</t>
  </si>
  <si>
    <t>Distinction between records is based on the grouping of Laotian people based on their altitudinal range. Lao Loum traditionally lived in valleys &lt; 300m ASL. Location is centre of province.</t>
  </si>
  <si>
    <t>Location digitised from hand-drawn map</t>
  </si>
  <si>
    <t>Farmers operated a combination of swidden and paddy-grown rice</t>
  </si>
  <si>
    <t>Fallow calculated from land use histories</t>
  </si>
  <si>
    <t>Location is centre of province</t>
  </si>
  <si>
    <t>Intended fire size from fallow size</t>
  </si>
  <si>
    <t>Some farmers had up to 2ha of irrigated land in alluvial areas. 21% of farmers applied some form of chemicals. Yield data for maize.</t>
  </si>
  <si>
    <t>Yield is for rice &amp; a weighted average of upland (1.4) and lowland (2.96)</t>
  </si>
  <si>
    <t>Fire size from reported field size. Fire return is fallow + 2. Cropland burned area is swidden area as a proportion of all cropland / fire return period.</t>
  </si>
  <si>
    <t>Yield is for rice and a weighted average rice crop given allocation to paddy and upland swidden.</t>
  </si>
  <si>
    <t xml:space="preserve">Cultivation and fallow period given explicitly for upland swidden. Intended fire size from swidden field size. </t>
  </si>
  <si>
    <t>Six villages fall within close proximity; location reflects bounding box given in hand drawn map in the study.</t>
  </si>
  <si>
    <t>Kibunut</t>
  </si>
  <si>
    <t xml:space="preserve">Six villages fall within close proximity; location reflects bounding box given in hand drawn map in the study. A 'remote' village. </t>
  </si>
  <si>
    <t>Fire return is fallow + 3 (reported).</t>
  </si>
  <si>
    <t xml:space="preserve">Fire return is fallow + 2 </t>
  </si>
  <si>
    <t>Farm size estimated from narrative description of distribution of land holdings; study mean was 6.1 ha. Cash crops - such as onions or tapioca were being incoporated into the swidden rotation.</t>
  </si>
  <si>
    <t>Farm size estimated from narrative description of distribution of land holdings; study mean was 6.1 ha. "The transition from food to cash crop is evident especially where there is road access"</t>
  </si>
  <si>
    <t xml:space="preserve">Incentives to encourage farmers to abandon swidden in favour of cash cropping; these were most effective where road networks existed. </t>
  </si>
  <si>
    <t>Study conducted close to Lim (1998), record 49.</t>
  </si>
  <si>
    <t>Location digitised from study map</t>
  </si>
  <si>
    <t xml:space="preserve">Conservation reserve to the west of study site is used for gathering of NTFPs; land use from community partcipatory mapping. </t>
  </si>
  <si>
    <t>Fire return calculated from proportion of secondary vegetation to cropland. Intended burned area based on land cover %.</t>
  </si>
  <si>
    <r>
      <rPr>
        <i/>
        <sz val="11"/>
        <color theme="1"/>
        <rFont val="Calibri"/>
        <family val="2"/>
        <scheme val="minor"/>
      </rPr>
      <t>Ejido</t>
    </r>
    <r>
      <rPr>
        <sz val="11"/>
        <color theme="1"/>
        <rFont val="Calibri"/>
        <family val="2"/>
        <scheme val="minor"/>
      </rPr>
      <t xml:space="preserve"> system of land allocation; yield data for maize.</t>
    </r>
  </si>
  <si>
    <t>Location is centre of size study villages; results from individual villages reported together.</t>
  </si>
  <si>
    <t>Fire return is fallow + 2; new (roza) and 1 or 2 year old (cana) milpa plots have different terms in local dialect;  fire size from field size</t>
  </si>
  <si>
    <t>Case study from 2005 not included due to scan error on landsat scene.</t>
  </si>
  <si>
    <t xml:space="preserve">Other' category in land use classification means numbers do not sum to 100. </t>
  </si>
  <si>
    <t>Fallow length from proportion of secondary vegetation, assuming 2 years' cultivation</t>
  </si>
  <si>
    <r>
      <t>Tsetse flies reported as preventing cattle herds; biomass demand is for tobacco, calculated using the average seasonal tobacco field, the amount of wood required for curing, and the percentage of farmers growing tobacco. NB 1ha of miombo woodland &lt; 1ha trees; the author's suggest 23m</t>
    </r>
    <r>
      <rPr>
        <vertAlign val="superscript"/>
        <sz val="11"/>
        <color theme="1"/>
        <rFont val="Calibri"/>
        <family val="2"/>
        <scheme val="minor"/>
      </rPr>
      <t xml:space="preserve">3  </t>
    </r>
    <r>
      <rPr>
        <sz val="11"/>
        <color theme="1"/>
        <rFont val="Calibri"/>
        <family val="2"/>
        <scheme val="minor"/>
      </rPr>
      <t xml:space="preserve">required to cure tobacco from an average field size represents timber stock from ~ 1ha of woodland. </t>
    </r>
  </si>
  <si>
    <t>Fire return is fallow + 2; fire size from field size.</t>
  </si>
  <si>
    <t>56b</t>
  </si>
  <si>
    <t>56c</t>
  </si>
  <si>
    <t>56d</t>
  </si>
  <si>
    <t>56e</t>
  </si>
  <si>
    <t>56f</t>
  </si>
  <si>
    <t>56g</t>
  </si>
  <si>
    <t>56h</t>
  </si>
  <si>
    <t>56i</t>
  </si>
  <si>
    <t>56j</t>
  </si>
  <si>
    <t>56k</t>
  </si>
  <si>
    <t>56l</t>
  </si>
  <si>
    <t>56m</t>
  </si>
  <si>
    <t>56n</t>
  </si>
  <si>
    <t>56o</t>
  </si>
  <si>
    <t>56p</t>
  </si>
  <si>
    <t>56q</t>
  </si>
  <si>
    <t>56r</t>
  </si>
  <si>
    <t>56s</t>
  </si>
  <si>
    <t>56t</t>
  </si>
  <si>
    <t>56u</t>
  </si>
  <si>
    <t>56v</t>
  </si>
  <si>
    <t>56w</t>
  </si>
  <si>
    <t>56x</t>
  </si>
  <si>
    <t>56y</t>
  </si>
  <si>
    <t>56z</t>
  </si>
  <si>
    <t>56aa</t>
  </si>
  <si>
    <t>56ab</t>
  </si>
  <si>
    <t>56ac</t>
  </si>
  <si>
    <t>56ad</t>
  </si>
  <si>
    <t>56ae</t>
  </si>
  <si>
    <t>56af</t>
  </si>
  <si>
    <t>56ag</t>
  </si>
  <si>
    <t>56ah</t>
  </si>
  <si>
    <t>56ai</t>
  </si>
  <si>
    <t>56aj</t>
  </si>
  <si>
    <t>56ak</t>
  </si>
  <si>
    <t>56al</t>
  </si>
  <si>
    <t>56am</t>
  </si>
  <si>
    <t>56an</t>
  </si>
  <si>
    <t>56ao</t>
  </si>
  <si>
    <t>56ap</t>
  </si>
  <si>
    <t>56aq</t>
  </si>
  <si>
    <t>56ar</t>
  </si>
  <si>
    <t>56as</t>
  </si>
  <si>
    <t>56at</t>
  </si>
  <si>
    <t>56au</t>
  </si>
  <si>
    <t>56av</t>
  </si>
  <si>
    <t>56aw</t>
  </si>
  <si>
    <t>56ax</t>
  </si>
  <si>
    <t>56ay</t>
  </si>
  <si>
    <t>56az</t>
  </si>
  <si>
    <t>Field size is for a chitemene; withdrawal of maize subsidies had meant shifting cultivation was the dominant system</t>
  </si>
  <si>
    <t xml:space="preserve">Field size is for a chitemene; production was a combination of traditional chitemene and maize monoculture. </t>
  </si>
  <si>
    <t>Fire return is 4 years' cultivation + 8 years' fallow (both reported); intended burned area is intended % of chitemene burned (based on fire return period) * chitemene size * chitemene density</t>
  </si>
  <si>
    <t>56b.1</t>
  </si>
  <si>
    <t>56c.1</t>
  </si>
  <si>
    <t>56d.1</t>
  </si>
  <si>
    <t>56e.1</t>
  </si>
  <si>
    <t>56f.1</t>
  </si>
  <si>
    <t>56g.1</t>
  </si>
  <si>
    <t>56h.1</t>
  </si>
  <si>
    <t>56i.1</t>
  </si>
  <si>
    <t>56j.1</t>
  </si>
  <si>
    <t>56k.1</t>
  </si>
  <si>
    <t>56l.1</t>
  </si>
  <si>
    <t>56m.1</t>
  </si>
  <si>
    <t>56n.1</t>
  </si>
  <si>
    <t>56o.1</t>
  </si>
  <si>
    <t>56p.1</t>
  </si>
  <si>
    <t>56q.1</t>
  </si>
  <si>
    <t>56r.1</t>
  </si>
  <si>
    <t>56s.1</t>
  </si>
  <si>
    <t>56t.1</t>
  </si>
  <si>
    <t>56u.1</t>
  </si>
  <si>
    <t>56v.1</t>
  </si>
  <si>
    <t>56w.1</t>
  </si>
  <si>
    <t>56x.1</t>
  </si>
  <si>
    <t>56y.1</t>
  </si>
  <si>
    <t>56z.1</t>
  </si>
  <si>
    <t>56aa.1</t>
  </si>
  <si>
    <t>56ab.1</t>
  </si>
  <si>
    <t>56ac.1</t>
  </si>
  <si>
    <t>56ad.1</t>
  </si>
  <si>
    <t>56ae.1</t>
  </si>
  <si>
    <t>56af.1</t>
  </si>
  <si>
    <t>56ag.1</t>
  </si>
  <si>
    <t>56ah.1</t>
  </si>
  <si>
    <t>56ai.1</t>
  </si>
  <si>
    <t>56aj.1</t>
  </si>
  <si>
    <t>56ak.1</t>
  </si>
  <si>
    <t>56al.1</t>
  </si>
  <si>
    <t>56am.1</t>
  </si>
  <si>
    <t>56an.1</t>
  </si>
  <si>
    <t>56ao.1</t>
  </si>
  <si>
    <t>56ap.1</t>
  </si>
  <si>
    <t>56aq.1</t>
  </si>
  <si>
    <t>56ar.1</t>
  </si>
  <si>
    <t>56as.1</t>
  </si>
  <si>
    <t>56at.1</t>
  </si>
  <si>
    <t>56au.1</t>
  </si>
  <si>
    <t>56av.1</t>
  </si>
  <si>
    <t>56aw.1</t>
  </si>
  <si>
    <t>56ax.1</t>
  </si>
  <si>
    <t>56ay.1</t>
  </si>
  <si>
    <t>56az.1</t>
  </si>
  <si>
    <t>56aa.2</t>
  </si>
  <si>
    <t>Maize marketing programme made high-yielding cultivars and fertilisers available to farmers, encouraging them to abandon swidden</t>
  </si>
  <si>
    <t>56ab.2</t>
  </si>
  <si>
    <t>56ac.2</t>
  </si>
  <si>
    <t>56ad.2</t>
  </si>
  <si>
    <t>56ae.2</t>
  </si>
  <si>
    <t>56af.2</t>
  </si>
  <si>
    <t>56ag.2</t>
  </si>
  <si>
    <t>56ah.2</t>
  </si>
  <si>
    <t>56ai.2</t>
  </si>
  <si>
    <t>56aj.2</t>
  </si>
  <si>
    <t>56ak.2</t>
  </si>
  <si>
    <t>56al.2</t>
  </si>
  <si>
    <t>56am.2</t>
  </si>
  <si>
    <t>56an.2</t>
  </si>
  <si>
    <t>56ao.2</t>
  </si>
  <si>
    <t>56ap.2</t>
  </si>
  <si>
    <t>56aq.2</t>
  </si>
  <si>
    <t>56ar.2</t>
  </si>
  <si>
    <t>56as.2</t>
  </si>
  <si>
    <t>56at.2</t>
  </si>
  <si>
    <t>56au.2</t>
  </si>
  <si>
    <t>56av.2</t>
  </si>
  <si>
    <t>56aw.2</t>
  </si>
  <si>
    <t>56ax.2</t>
  </si>
  <si>
    <t>56ay.2</t>
  </si>
  <si>
    <t>56az.2</t>
  </si>
  <si>
    <t>Citemene shifting cultivation only takes place between 600-1400m ASL; yield for finger millet; harvesting of wood for one Citemene estimated as 1-4.2ha</t>
  </si>
  <si>
    <t>Milpas were used to graze livestock (primarily pigs, turkeys, chickens) in the first year after cropping, and to harvest firewood from post-burn remnants</t>
  </si>
  <si>
    <t>Fire return is fallow + 2; Fire return estimated from distributions of fallow reported (40% below 10years old, with a range of 5-60 years); fire size from field size.</t>
  </si>
  <si>
    <t>Fire return is fallow + 1 (reported)</t>
  </si>
  <si>
    <t xml:space="preserve">1-year cultivation period is attributed to soil quality and invasion of weeds during long cultivation periods. </t>
  </si>
  <si>
    <t>62a.1</t>
  </si>
  <si>
    <t xml:space="preserve">Land area is distribution of farmers' holdings, not including surrounding primary forest; secondary vegetation was actively managed for timber production. </t>
  </si>
  <si>
    <t>Land area is distribution of farmers' holdings, not including surrounding primary forest.</t>
  </si>
  <si>
    <t xml:space="preserve">Central Government made credit available to smallholders at concessionary rates. </t>
  </si>
  <si>
    <t xml:space="preserve">Numbers do not include water, rock, urban land and bare ground. Around 90% of the land area was classified. Government subsidies supported development of naranjilla and other cash crop plantations. </t>
  </si>
  <si>
    <t>Location digitised from author map</t>
  </si>
  <si>
    <t xml:space="preserve">Fire return is fallow + 4 years' cultivation (reported); fire size from field size. </t>
  </si>
  <si>
    <t>Charcoal trees were logged highly selectively, often leaving the wider canopy in tact</t>
  </si>
  <si>
    <t>Clearing of primary forest for charcoal supplied to urban areas was a significant process; previous monoculture farms were being abandoned due to the end of agricultural credit in 1990. Charcoal clearing (biomass harvesting) was focused towards swampy areas.</t>
  </si>
  <si>
    <t>Charcoal creation acknowledged as the fastest and easiest way to make money. Charcoal clearing (biomass harvesting) was focused towards swampy areas.</t>
  </si>
  <si>
    <t>Fieldwork dates from author personal communication.</t>
  </si>
  <si>
    <t>A process of land privitisation had lead wealthier farmers to increase land holdings, 'aggrevating' a process of social differentiation. This led to a conflict in land use between secondary forest for babassu production and clearing for pasture. Forestry is babassu extraction.</t>
  </si>
  <si>
    <t>Official government policy has made eradication of shifting cultivation a major priority. This includes a legal limit of the fallow period to 5 years.</t>
  </si>
  <si>
    <t xml:space="preserve">Fallow length &amp; cropping period given explicitly; average of 1.8 years' cropping. Fire size and intended burned area from land holdings per household. </t>
  </si>
  <si>
    <t xml:space="preserve">Fallow length &amp; cropping period given explicitly; 1 year of cropping. Fire size from land holdings. Fire size and intended burned area from land holdings per household. </t>
  </si>
  <si>
    <t xml:space="preserve">Farm size is a weighted average of land holdings. </t>
  </si>
  <si>
    <t xml:space="preserve">Fire return is fallow + 1 year production (reported); fallow linked explicitly to fire. Intended burned area is based on swidden as a proportion of overall cropland. </t>
  </si>
  <si>
    <t xml:space="preserve">Farm size assumes family size has stayed roughly constant; yield is average of paddy and swidden rice farming. </t>
  </si>
  <si>
    <t xml:space="preserve">Farm size takes values per capita and multiplies by average family size in 2000; yield is average of paddy and swidden rice farming. </t>
  </si>
  <si>
    <t>Fire return is fallow + 2; intended burned area from swidden area and fire return.</t>
  </si>
  <si>
    <t>Fire return is fallow + 2; linear extrapolation between value reported for 1987 and 2000; intended burned area from swidden area and fire return.</t>
  </si>
  <si>
    <t>72a.2</t>
  </si>
  <si>
    <t>Land clearance</t>
  </si>
  <si>
    <r>
      <t>9.6ha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</si>
  <si>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72b.2</t>
  </si>
  <si>
    <t>72c.2</t>
  </si>
  <si>
    <t>72d.2</t>
  </si>
  <si>
    <t>72e.2</t>
  </si>
  <si>
    <r>
      <t>7.3ha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</si>
  <si>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12.0ha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</si>
  <si>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7.9ha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</si>
  <si>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Former swidden fallows cleared for rubber plantations; not reported what % involved fire.</t>
  </si>
  <si>
    <t>72h.2</t>
  </si>
  <si>
    <t>72i.2</t>
  </si>
  <si>
    <r>
      <t>2.8ha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</si>
  <si>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Fire return estimated from distribution of secondary forest and swidden fields; assumes cultivation period of 2 years. Intended burned area from reported extent of swidden fields.</t>
  </si>
  <si>
    <t xml:space="preserve">2003 Forest act outlawed swidden outside of village boundaries. </t>
  </si>
  <si>
    <t>Active swidden fields per household averaged 1.3 ha, down from 3.4ha in 1980.</t>
  </si>
  <si>
    <t>75b.2</t>
  </si>
  <si>
    <t>"Throughout the 1990s, the Department of Forestry developed new policies and legislation to promote conservation, imposing restrictions on upland peoples’ access to their swidden fields and fallows."</t>
  </si>
  <si>
    <t>75b.3</t>
  </si>
  <si>
    <t>75b.4</t>
  </si>
  <si>
    <t>75b.5</t>
  </si>
  <si>
    <t>75b.6</t>
  </si>
  <si>
    <t>75b.7</t>
  </si>
  <si>
    <t>75b.8</t>
  </si>
  <si>
    <t>75b.9</t>
  </si>
  <si>
    <t>75b.10</t>
  </si>
  <si>
    <t>75b.11</t>
  </si>
  <si>
    <t>Insecure</t>
  </si>
  <si>
    <t>"Under the Village Forestry Development program… timber concessions launched programs to extend irrigated rice fields, tree plantations, fish ponds and vegetable gardens… farmers slowly left their traditional swidden systems"</t>
  </si>
  <si>
    <t>Farmers switched swidden for intensive production "only as long as the timber concession provided subsidies… after the subsidy was reduced farmers reduced the process… in 2004, about 59/95 households practiced shiftin cultivation".</t>
  </si>
  <si>
    <t xml:space="preserve">% of farmers burning rice residues is reported. BA for all cropland calculated by weighting survey responses by those who grew no rice (12.5%); fire size from field size. </t>
  </si>
  <si>
    <t>Location is mean of sampled villages</t>
  </si>
  <si>
    <t>Study ID</t>
  </si>
  <si>
    <t>Case Study ID</t>
  </si>
  <si>
    <t xml:space="preserve"> Maroua region</t>
  </si>
  <si>
    <t xml:space="preserve"> Morondo region</t>
  </si>
  <si>
    <t xml:space="preserve"> 'Northern region'</t>
  </si>
  <si>
    <t xml:space="preserve"> Debre Birhan region</t>
  </si>
  <si>
    <t xml:space="preserve"> Gueckedou region</t>
  </si>
  <si>
    <t xml:space="preserve"> Busia region</t>
  </si>
  <si>
    <t xml:space="preserve"> Arusha region</t>
  </si>
  <si>
    <t xml:space="preserve"> Chipata region</t>
  </si>
  <si>
    <t xml:space="preserve"> Mkushi region</t>
  </si>
  <si>
    <t xml:space="preserve"> Mazabuka region</t>
  </si>
  <si>
    <t xml:space="preserve">Location is centre of study province; study primarily based in Prabang but also covers some locations in Oudomxay (results reported in aggregate). </t>
  </si>
  <si>
    <t>ND</t>
  </si>
  <si>
    <t>Fallow length linked directly to burning; location digitised from author's map.</t>
  </si>
  <si>
    <t>Study area is compared before and after land reforms that tookplace in 1997. Pre 1997 observations are from field interviews conducted in 2001. Location digitised from author's map.</t>
  </si>
  <si>
    <t>Fire development stage</t>
  </si>
  <si>
    <t>Primary AFT</t>
  </si>
  <si>
    <t>Secondary AFT</t>
  </si>
  <si>
    <t>Tertiary AFT</t>
  </si>
  <si>
    <t>Other AFT</t>
  </si>
  <si>
    <t>Habitat maintenance</t>
  </si>
  <si>
    <t>AFT</t>
  </si>
  <si>
    <t xml:space="preserve">The forest is seen as a natural fire break, and so only fires close to houses or other plots are closely tended. _x000D_
_x000D_
Most burning is conducted 1200-1500 as conducive to a thorough burn._x000D_
_x000D_
Clearing of primary forest is discouraged by need to gain a permit from the authorities (ICMbio)._x000D_
_x000D_
Fire breaks are less than the mandatory 2-6m in width (field size is 100m2); further farmers argue that firebreaks are incapable of containing fire when surrounded by flamable vegetation (bamboo)._x000D_
_x000D_
Local impromptu fire breaks work on low intensity fires surrounded by less flammable vegetation - their effectiveness under drought is unknown but likely limited. </t>
  </si>
  <si>
    <t xml:space="preserve">The vast majority of burns happen in secondary forest sites. _x000D_
_x000D_
Areas are cleared and a fire break prepared pre burn; farmers wait for first rains before burning to limit risk of fire spread. _x000D_
_x000D_
Fire is set across all edges of the field, and tended until the major flames have burned down. _x000D_
_x000D_
However, burning during weak winds, or during the cool hours of the day is still rare. Most burning happens 1200-1500 to ensure a full burn. _x000D_
_x000D_
Fire breaks are less than the mandatory 2-6m in width (field size is 100m2); further farmers argue that firebreaks are incapable of containing fire when surrounded by flamable vegetation (bamboo). _x000D_
_x000D_
Local impromptu fire breaks work on low intensity fires surrounded by less flammable vegetation - their effectiveness under drought is unknown but likely limited. </t>
  </si>
  <si>
    <t xml:space="preserve">To protect livestock, fires are lit in the cool evening, and are watched, primarily by boys. Fire breaks are used, and branches are cut to extinguish fires that jump breaks.Sand is also used to put out fires._x000D_
_x000D_
Areas near heavily forested areas to prevent damage and escape (wood is used for building and firewood). </t>
  </si>
  <si>
    <t>"During the 1990s private companies began setting up oil palm estates in the district. PT Sime Indo Agro (SIA) (owned by the Malaysian conglomerate Sime Darby Berhad) asked farmers to provide 7.5 ha of land: 5 for the estate, 2 to be returned to the farmer planted in oil palm, and 0.5 ha for infrastructure. Communities were initially reluctant but they were pressured by government officers and village headmen, all rumored to have received payments from the company. Although they possessed assets in the form of reasonably large landholdings, averaging 15 ha, under the new arrangements farmers’ access to land, especially swidden land, was considerably reduced."</t>
  </si>
  <si>
    <t>Digitised from author map; study focuses on riverine hamlets</t>
  </si>
  <si>
    <t>Incentives to support tea gardens, &amp; rubber and other plantations to replace swidden</t>
  </si>
  <si>
    <t>Fire return is fallow + 3 (reported); after the collapse of tin mining in 1996, fallow periods collapsed to as low as 3 years as swidden was phased out.</t>
  </si>
  <si>
    <t>Process linked explicitly to fire; "Large plots" burned</t>
  </si>
  <si>
    <t>Logging region</t>
  </si>
  <si>
    <t>Central location in study area</t>
  </si>
  <si>
    <r>
      <t xml:space="preserve">Logging rates were 1-2 trees (traditional), 10+ (small-scale) &amp; &lt;1 (large commercial firms seeking Mahogany; </t>
    </r>
    <r>
      <rPr>
        <sz val="11"/>
        <color rgb="FFFF0000"/>
        <rFont val="Calibri"/>
        <family val="2"/>
        <scheme val="minor"/>
      </rPr>
      <t>"industrial" logging  but not a managed forest</t>
    </r>
  </si>
  <si>
    <t>Chokkalingam 2001</t>
  </si>
  <si>
    <t>Middle Mahakam</t>
  </si>
  <si>
    <t>East Kalimantan</t>
  </si>
  <si>
    <t>10a.1</t>
  </si>
  <si>
    <t>10a.2</t>
  </si>
  <si>
    <t>Fires were concentrated 0.5km from rivers</t>
  </si>
  <si>
    <t>Fires were concentrated 0.5km from rivers, overwhelmingly lit to fish, but also to hunt turtles</t>
  </si>
  <si>
    <t>Fires were lit during drought in El-nino years, driving vast wildfires across the peatlands</t>
  </si>
  <si>
    <t>Fishing</t>
  </si>
  <si>
    <t>Location reported &amp; confirmed from map in study of same region by same author (23)</t>
  </si>
  <si>
    <t>Chokkalingham 2005</t>
  </si>
  <si>
    <t>Main activity of traditional forestry is fishing</t>
  </si>
  <si>
    <t>23a.1</t>
  </si>
  <si>
    <t>23a.2</t>
  </si>
  <si>
    <t>23a.3</t>
  </si>
  <si>
    <t>Uniform</t>
  </si>
  <si>
    <t xml:space="preserve">Fire used to clear river vegetation from river banks, but also to forge new channels in the peat for boats, create pools of water within the peat that act as refuges for fish in the dry season, and finally to provide a nutrient boost that stimulates algae and fish populations. </t>
  </si>
  <si>
    <t xml:space="preserve">Villagers reported that forest clearance for plantations played "almost no role" in the 1998 El Nino fires. </t>
  </si>
  <si>
    <t>23b</t>
  </si>
  <si>
    <t>23c</t>
  </si>
  <si>
    <t>23b.1</t>
  </si>
  <si>
    <t>23b.2</t>
  </si>
  <si>
    <t>23b.3</t>
  </si>
  <si>
    <t>23c.1</t>
  </si>
  <si>
    <t>23c.2</t>
  </si>
  <si>
    <t>23c.3</t>
  </si>
  <si>
    <t>Divides overall amount burned (24%)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</si>
  <si>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(24%) over  5 years by the proportion of the land cover in forest.</t>
  </si>
  <si>
    <t>Divides overall amount burned (17%)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</si>
  <si>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(17%) over  5 years by the proportion of the land cover in forest.</t>
  </si>
  <si>
    <t>Divides overall amount burned (72%) over 3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</si>
  <si>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(72%) over  3 years by the proportion of the land cover in secondary vegetation, and then multiplies by the amount of recurrent burning.</t>
  </si>
  <si>
    <t>Villagers were not concerned with fire spread, as they had little incentive to control them: the surrounding peat swamp vegetation had little intrinsic value to them</t>
  </si>
  <si>
    <t>Chokkalingam 2007</t>
  </si>
  <si>
    <t>79a.1</t>
  </si>
  <si>
    <t>79a.2</t>
  </si>
  <si>
    <t>79b.1</t>
  </si>
  <si>
    <t>Yield is for 'sonor' swidden rice</t>
  </si>
  <si>
    <t>79b.2</t>
  </si>
  <si>
    <t>Once an area has been heavily selectively logged, it is burned out to encourage Gelam growth - a species that thrives in secondary forests and is used for timber and pulp.</t>
  </si>
  <si>
    <t>79a.3</t>
  </si>
  <si>
    <t>79b.3</t>
  </si>
  <si>
    <t>79a.4</t>
  </si>
  <si>
    <t>79b.4</t>
  </si>
  <si>
    <t>Accessibility</t>
  </si>
  <si>
    <t>Areas around river banks and villages to make forests more accessible for fishing and logging</t>
  </si>
  <si>
    <t>79a.5</t>
  </si>
  <si>
    <t>79b.5</t>
  </si>
  <si>
    <t xml:space="preserve">Major oil palm plantations were reported as having not burned during the study period </t>
  </si>
  <si>
    <t>Arson</t>
  </si>
  <si>
    <t>Due to conflict over land tenure, coconut oil plantations were repeatedly burned</t>
  </si>
  <si>
    <t>Gelam dominated secondary forests were burned to foster continued Gelam growth; fire causes Gelam to drop its seeds, and it becomes fire resistant once 3-4 metres in height</t>
  </si>
  <si>
    <t>Sonor system of swidden, is a hybrid of paddy fields and more usual swidden systems, that involves fire use for field fertilisation; it becomes more popular during a drought or long dry season</t>
  </si>
  <si>
    <t>No incentive to control fires due to an absence of management plan and no restrictions</t>
  </si>
  <si>
    <t>Absence of controls</t>
  </si>
  <si>
    <t>Fishing in peat swamps</t>
  </si>
  <si>
    <t>Data Source(s)</t>
  </si>
  <si>
    <t>Extractive forestry</t>
  </si>
  <si>
    <t>Plantation forest area %</t>
  </si>
  <si>
    <t>Actual fire size max (ha)</t>
  </si>
  <si>
    <t>Actual fire size min (ha)</t>
  </si>
  <si>
    <t>Actual fire size mean (ha)</t>
  </si>
  <si>
    <t>Actual burned area (ha)</t>
  </si>
  <si>
    <t>Actual burned area % (land cover)</t>
  </si>
  <si>
    <t>Actual Burned area % (total)</t>
  </si>
  <si>
    <t>0-1</t>
  </si>
  <si>
    <r>
      <t>Number of fires (# km</t>
    </r>
    <r>
      <rPr>
        <b/>
        <vertAlign val="superscript"/>
        <sz val="12"/>
        <color theme="1"/>
        <rFont val="Calibri"/>
        <family val="2"/>
        <scheme val="minor"/>
      </rPr>
      <t>2-1</t>
    </r>
    <r>
      <rPr>
        <b/>
        <sz val="12"/>
        <color theme="1"/>
        <rFont val="Calibri"/>
        <family val="2"/>
        <scheme val="minor"/>
      </rPr>
      <t>)</t>
    </r>
  </si>
  <si>
    <t>0</t>
  </si>
  <si>
    <t>0-0.001</t>
  </si>
  <si>
    <t>0.002-0.01</t>
  </si>
  <si>
    <t>0.011-0.025</t>
  </si>
  <si>
    <t>0.026-0.05</t>
  </si>
  <si>
    <t>0.051-0.1</t>
  </si>
  <si>
    <t>0.101-0.2</t>
  </si>
  <si>
    <t>0.201-0.5</t>
  </si>
  <si>
    <t>0.501-2</t>
  </si>
  <si>
    <t>2-5</t>
  </si>
  <si>
    <t>5-10</t>
  </si>
  <si>
    <t>1-2</t>
  </si>
  <si>
    <t>10-20</t>
  </si>
  <si>
    <t>20-50</t>
  </si>
  <si>
    <t>50-100</t>
  </si>
  <si>
    <t>100-200</t>
  </si>
  <si>
    <t>200-500</t>
  </si>
  <si>
    <t>500-1000</t>
  </si>
  <si>
    <t>1000-2500</t>
  </si>
  <si>
    <t>2500-5000</t>
  </si>
  <si>
    <t>5000-10000</t>
  </si>
  <si>
    <t>10000-25000</t>
  </si>
  <si>
    <t>25000+</t>
  </si>
  <si>
    <t>Counts (# per km2)</t>
  </si>
  <si>
    <t>Fire size (min, max, mean) in ha</t>
  </si>
  <si>
    <t>20-30</t>
  </si>
  <si>
    <t>30-40</t>
  </si>
  <si>
    <t>40-50</t>
  </si>
  <si>
    <t>50-60</t>
  </si>
  <si>
    <t>60-70</t>
  </si>
  <si>
    <t>70-80</t>
  </si>
  <si>
    <t>80-90</t>
  </si>
  <si>
    <t>90-100</t>
  </si>
  <si>
    <t>Burned area (land cover / total) - %</t>
  </si>
  <si>
    <t>Academic</t>
  </si>
  <si>
    <t>Primary</t>
  </si>
  <si>
    <t>Primary, remote sensing</t>
  </si>
  <si>
    <t>2-4</t>
  </si>
  <si>
    <t>4-8</t>
  </si>
  <si>
    <t>8-15</t>
  </si>
  <si>
    <t>15-25</t>
  </si>
  <si>
    <t>Remote sensing</t>
  </si>
  <si>
    <t xml:space="preserve">Remote sensing, secondary </t>
  </si>
  <si>
    <t>Fire return period is the author's noted average agricultural use + fallow period for each location and date, weighted by the proportion of intensive and shifting cultivation. Burned area is calculated using fire return period, weighted by land covers calculated from remote sensing.</t>
  </si>
  <si>
    <t xml:space="preserve">Fire return is 12 years' fallow + 1 year cultivation (reported); intended burned area from fire return period. </t>
  </si>
  <si>
    <t xml:space="preserve">Fire return is 25 years' fallow + 1 year cultivation (reported); intended burned area from fire return period. </t>
  </si>
  <si>
    <t>Mwampamba 2011</t>
  </si>
  <si>
    <t>Norrlund 2004</t>
  </si>
  <si>
    <t>Burned area is proportion of households conducting fire-fallow multiplied by cultivation &amp; fallow cycle (reported)</t>
  </si>
  <si>
    <t xml:space="preserve">Study area (7850) calculated as radius of circle 50km2 around town of Tefe. 
Fallow length and cultivation period reported. Total clearance is reported; this is an acceptable proxy for fire, given all clearance was for swidden, and no machinery was available. </t>
  </si>
  <si>
    <t>Other (see notes)</t>
  </si>
  <si>
    <t>Expert elicitation, experts selected with firsthand field experience working with relevant community</t>
  </si>
  <si>
    <t>NGO</t>
  </si>
  <si>
    <t>Fire return is fallow period + 2; intended fire size from field size.</t>
  </si>
  <si>
    <t>BA is fire return period (inferred from fallow) * %secondary vegetation (reported). Fire size from field size; return is fallow + 2,</t>
  </si>
  <si>
    <t>Fire return based on reported average fallow + 2 years' cultivation; fire size from field size.</t>
  </si>
  <si>
    <t>Primary, remote sensing, secondary</t>
  </si>
  <si>
    <t>Fire return estimated from fallow + 2</t>
  </si>
  <si>
    <t>Primary, secondary</t>
  </si>
  <si>
    <t>Policy review</t>
  </si>
  <si>
    <t>Literature review</t>
  </si>
  <si>
    <t>Policy review: dates based on timing of relevant policy interventions.</t>
  </si>
  <si>
    <t>79b.6</t>
  </si>
  <si>
    <t>79b.7</t>
  </si>
  <si>
    <t>79b.8</t>
  </si>
  <si>
    <t>Location is study centre digitised from author map; policy review</t>
  </si>
  <si>
    <t>Yield is for rice; however coffee and cacoa plantations had come to dominate the regional agricultural system.</t>
  </si>
  <si>
    <t>Fire control (0-3)</t>
  </si>
  <si>
    <t>Fire extinction (0-3)</t>
  </si>
  <si>
    <t>Fire return period</t>
  </si>
  <si>
    <t>Residue Burning</t>
  </si>
  <si>
    <t>"National Green Tribunal recommended the implementation of fines upon errant farmers that burn residue"</t>
  </si>
  <si>
    <r>
      <t>Study area (km</t>
    </r>
    <r>
      <rPr>
        <b/>
        <vertAlign val="superscript"/>
        <sz val="12"/>
        <color theme="1"/>
        <rFont val="Calibri"/>
        <family val="2"/>
        <scheme val="minor"/>
      </rPr>
      <t>2</t>
    </r>
    <r>
      <rPr>
        <b/>
        <sz val="12"/>
        <color theme="1"/>
        <rFont val="Calibri"/>
        <family val="2"/>
        <scheme val="minor"/>
      </rPr>
      <t>)</t>
    </r>
  </si>
  <si>
    <t>Farm area (ha)</t>
  </si>
  <si>
    <t>Intended fire size median (ha)</t>
  </si>
  <si>
    <t>Actual fire size median (ha)</t>
  </si>
  <si>
    <t>Intended land cover</t>
  </si>
  <si>
    <t>Fire prevention (0-3)</t>
  </si>
  <si>
    <t>Prevention measures</t>
  </si>
  <si>
    <t xml:space="preserve">
Delayed deployment of modern firefighters, combined with indigenous forest knowledge was eventually used to combat the fires. </t>
  </si>
  <si>
    <t xml:space="preserve">In the initial stages of the fires, a limited response was made due to the remoteness of the location. </t>
  </si>
  <si>
    <t>Grogan 2012</t>
  </si>
  <si>
    <t>90a</t>
  </si>
  <si>
    <t>Dampa Tiger Reserve</t>
  </si>
  <si>
    <t>Mizoram</t>
  </si>
  <si>
    <t>90b</t>
  </si>
  <si>
    <t>Actual land cover</t>
  </si>
  <si>
    <t>Trial plot</t>
  </si>
  <si>
    <t>Location is 10km North of Lunglei, per author description</t>
  </si>
  <si>
    <t>90a.1</t>
  </si>
  <si>
    <t>90a.2</t>
  </si>
  <si>
    <t>Authors' report that 4% of the forest in the reserve was lost due to swidden, whilst 'substantial' areas were burned that were not required. Assumed that 50% of burned area is due to escaped fires, and 50% due to intentional burning for fields</t>
  </si>
  <si>
    <t>Escaped fires</t>
  </si>
  <si>
    <t>5 year fallow had become common, with 1 or 2 years' cultivation</t>
  </si>
  <si>
    <t>Human, escaped</t>
  </si>
  <si>
    <t>Authors' note that far more area was burned than was necessary for planting crops the subsequent Spring.</t>
  </si>
  <si>
    <t>90b.1</t>
  </si>
  <si>
    <t>State had severely restricted availability of fertilisers to preveent eutrophication from run-off in this very hilly landscape</t>
  </si>
  <si>
    <t>90b.2</t>
  </si>
  <si>
    <t>Annual burning of active swidden plots reported</t>
  </si>
  <si>
    <t>A limited number of farmers applied fertilisers to their fields (given as cropping, monoculture)</t>
  </si>
  <si>
    <t>Sati 2019</t>
  </si>
  <si>
    <t>91a</t>
  </si>
  <si>
    <t>91b</t>
  </si>
  <si>
    <t>91c</t>
  </si>
  <si>
    <t>91d</t>
  </si>
  <si>
    <t>91e</t>
  </si>
  <si>
    <t>91f</t>
  </si>
  <si>
    <t>91g</t>
  </si>
  <si>
    <t>91h</t>
  </si>
  <si>
    <t>91i</t>
  </si>
  <si>
    <t>91j</t>
  </si>
  <si>
    <t>91k</t>
  </si>
  <si>
    <t>91l</t>
  </si>
  <si>
    <t>91m</t>
  </si>
  <si>
    <t>91n</t>
  </si>
  <si>
    <t>91o</t>
  </si>
  <si>
    <t>91p</t>
  </si>
  <si>
    <t>Bukvannei</t>
  </si>
  <si>
    <t>Zanlawn</t>
  </si>
  <si>
    <t>Pehlawn</t>
  </si>
  <si>
    <t>Nalzawl</t>
  </si>
  <si>
    <t>Dapchhuah</t>
  </si>
  <si>
    <t>Tualcheng</t>
  </si>
  <si>
    <t>Neihdawn</t>
  </si>
  <si>
    <t>Thiak</t>
  </si>
  <si>
    <t>Sialhau</t>
  </si>
  <si>
    <t>Sialsir</t>
  </si>
  <si>
    <t>North Mualthuam</t>
  </si>
  <si>
    <t>Thiltlang</t>
  </si>
  <si>
    <t>Siachangkawn</t>
  </si>
  <si>
    <t>Lungzarhtum</t>
  </si>
  <si>
    <t>Vanhne R</t>
  </si>
  <si>
    <t>Theiri</t>
  </si>
  <si>
    <t>Data collected across 16 villages, but reported as one population</t>
  </si>
  <si>
    <r>
      <t>Yield is for paddy rice; paddy was around 0.45 ha out of total farm size per household; yield for other crops was 0.2-0.5 t ha</t>
    </r>
    <r>
      <rPr>
        <vertAlign val="superscript"/>
        <sz val="11"/>
        <color theme="1"/>
        <rFont val="Calibri"/>
        <family val="2"/>
        <scheme val="minor"/>
      </rPr>
      <t>-1</t>
    </r>
  </si>
  <si>
    <t>91a.1</t>
  </si>
  <si>
    <t>91b.1</t>
  </si>
  <si>
    <t>91c.1</t>
  </si>
  <si>
    <t>91d.1</t>
  </si>
  <si>
    <t>91e.1</t>
  </si>
  <si>
    <t>91f.1</t>
  </si>
  <si>
    <t>91g.1</t>
  </si>
  <si>
    <t>91h.1</t>
  </si>
  <si>
    <t>91i.1</t>
  </si>
  <si>
    <t>91j.1</t>
  </si>
  <si>
    <t>91k.1</t>
  </si>
  <si>
    <t>91l.1</t>
  </si>
  <si>
    <t>91m.1</t>
  </si>
  <si>
    <t>91n.1</t>
  </si>
  <si>
    <t>91o.1</t>
  </si>
  <si>
    <t>91p.1</t>
  </si>
  <si>
    <t>Fallow periods of 3-5 years noted as the norm</t>
  </si>
  <si>
    <t>Molinario 2020</t>
  </si>
  <si>
    <t>92a</t>
  </si>
  <si>
    <t>DRC</t>
  </si>
  <si>
    <t>92b</t>
  </si>
  <si>
    <t>Rural complex expansion</t>
  </si>
  <si>
    <t>Isolated forest perforation</t>
  </si>
  <si>
    <t>92a.1</t>
  </si>
  <si>
    <t>92b.1</t>
  </si>
  <si>
    <t>92a.2</t>
  </si>
  <si>
    <t>92b.2</t>
  </si>
  <si>
    <t>0-5</t>
  </si>
  <si>
    <t>Agriculture includes recent clearing as well as active land; farm area as active cultivation not including fallows</t>
  </si>
  <si>
    <t>Commercial agriculture, mining and logging were found to be very small contributors to deforestation, and so are ignored. Fire size from field size</t>
  </si>
  <si>
    <t>Molinario 2015</t>
  </si>
  <si>
    <t>93a</t>
  </si>
  <si>
    <t>93b</t>
  </si>
  <si>
    <t>Study focus is the area of tropical forest across North &amp; Central DRC, split into more easily accessible and more isolated points</t>
  </si>
  <si>
    <t>93a.1</t>
  </si>
  <si>
    <t>93b.1</t>
  </si>
  <si>
    <t>Fires took place in 'Dry Season', after clearing</t>
  </si>
  <si>
    <t>Study focus is the area of tropical forest across North &amp; Central DRC; includes remote sensing results by same authors previously published in Potapov et al., 2012</t>
  </si>
  <si>
    <t>86.4% of clearing took place in mosaic of forest and fallows around existing agricultural areas; this process was dominated by shifting cultivation</t>
  </si>
  <si>
    <t>Wilkie 1998</t>
  </si>
  <si>
    <t>94a</t>
  </si>
  <si>
    <t>Okapi Wildlife Reserve</t>
  </si>
  <si>
    <t>Traditional Forestry is bush meat hunter gathering</t>
  </si>
  <si>
    <t>Modelling results presented not considered; only calibration field data reported</t>
  </si>
  <si>
    <t>94a.1</t>
  </si>
  <si>
    <t>94a.2</t>
  </si>
  <si>
    <t>Inferred  - deforestation</t>
  </si>
  <si>
    <t>92b.3</t>
  </si>
  <si>
    <t>92b.4</t>
  </si>
  <si>
    <t>Tiwari 2003</t>
  </si>
  <si>
    <t>95a</t>
  </si>
  <si>
    <t>Pomlakrai-Mawbynna</t>
  </si>
  <si>
    <t>Meghalaya</t>
  </si>
  <si>
    <t>Fire size from remote sensing study of Potapov 2012</t>
  </si>
  <si>
    <t>95a.1</t>
  </si>
  <si>
    <t>95a.2</t>
  </si>
  <si>
    <t>A similar system to the 'citamene' of Tanzania, where branches are lopped from trees over a wide area before being gathered to a single field and burned.</t>
  </si>
  <si>
    <t>95b</t>
  </si>
  <si>
    <t>95b.1</t>
  </si>
  <si>
    <t>95b.2</t>
  </si>
  <si>
    <t>95b.3</t>
  </si>
  <si>
    <t>95b.4</t>
  </si>
  <si>
    <t>95b.5</t>
  </si>
  <si>
    <t>96a</t>
  </si>
  <si>
    <t>Prokop 2018</t>
  </si>
  <si>
    <t>Slash was gathered and arranged along trenches towards the centre of the swidden plot</t>
  </si>
  <si>
    <t>Slash was covered with earth before burning so that it converted to charcoal</t>
  </si>
  <si>
    <t>Burning in early season, extensive preparation to prevent fire escape including deployment of sandbags.</t>
  </si>
  <si>
    <t>Shillong area</t>
  </si>
  <si>
    <t>Study site digitised from author map</t>
  </si>
  <si>
    <t>Yield figure is for potatoes</t>
  </si>
  <si>
    <t>96a.1</t>
  </si>
  <si>
    <t xml:space="preserve">A novel form of 'sedentary' swidden, amalgamating aspects of intensive (fertiliser) and traditional practice (including burning); introduction of double cropping had moved burning season earlier. </t>
  </si>
  <si>
    <t xml:space="preserve">Field was burned each year in cultivation; fallowed period and cultivation period were the same length. </t>
  </si>
  <si>
    <t>97a</t>
  </si>
  <si>
    <t>Cavechia 2014</t>
  </si>
  <si>
    <t>97b</t>
  </si>
  <si>
    <t>Barra Grande</t>
  </si>
  <si>
    <t>Praia Grande</t>
  </si>
  <si>
    <t>Ilha do Araujo</t>
  </si>
  <si>
    <t>Ponta Negra</t>
  </si>
  <si>
    <t>Praia do Sono</t>
  </si>
  <si>
    <t>Trindade</t>
  </si>
  <si>
    <t>Arroio</t>
  </si>
  <si>
    <t>Divinieia</t>
  </si>
  <si>
    <t>Ribanceira</t>
  </si>
  <si>
    <t>Aguada</t>
  </si>
  <si>
    <t>Barranceira</t>
  </si>
  <si>
    <t>97c</t>
  </si>
  <si>
    <t>97d</t>
  </si>
  <si>
    <t>97e</t>
  </si>
  <si>
    <t>97f</t>
  </si>
  <si>
    <t>97g</t>
  </si>
  <si>
    <t>97h</t>
  </si>
  <si>
    <t>97i</t>
  </si>
  <si>
    <t>97j</t>
  </si>
  <si>
    <t>97k</t>
  </si>
  <si>
    <t>Paraty</t>
  </si>
  <si>
    <t>Imbituba</t>
  </si>
  <si>
    <t>Inferred - swidden cycle</t>
  </si>
  <si>
    <t>97a.2</t>
  </si>
  <si>
    <t>97a.1</t>
  </si>
  <si>
    <t>97b.1</t>
  </si>
  <si>
    <t>97b.2</t>
  </si>
  <si>
    <t>97c.1</t>
  </si>
  <si>
    <t>97c.2</t>
  </si>
  <si>
    <t>97d.1</t>
  </si>
  <si>
    <t>97d.2</t>
  </si>
  <si>
    <t>97e.1</t>
  </si>
  <si>
    <t>97e.2</t>
  </si>
  <si>
    <t>97f.1</t>
  </si>
  <si>
    <t>97f.2</t>
  </si>
  <si>
    <t>97g.1</t>
  </si>
  <si>
    <t>97g.2</t>
  </si>
  <si>
    <t>97h.1</t>
  </si>
  <si>
    <t>97h.2</t>
  </si>
  <si>
    <t>97i.1</t>
  </si>
  <si>
    <t>97i.2</t>
  </si>
  <si>
    <t>97j.1</t>
  </si>
  <si>
    <t>97j.2</t>
  </si>
  <si>
    <t>97k.1</t>
  </si>
  <si>
    <t>97k.2</t>
  </si>
  <si>
    <t xml:space="preserve">Under the traditional land tenure, each household was allocated 2ha of land from communal plots. </t>
  </si>
  <si>
    <t>Thaler 2017</t>
  </si>
  <si>
    <t>98a</t>
  </si>
  <si>
    <t>98b</t>
  </si>
  <si>
    <t>Gunung Madu</t>
  </si>
  <si>
    <t>Long Kelay</t>
  </si>
  <si>
    <t>Mining, traditional</t>
  </si>
  <si>
    <t>98b.1</t>
  </si>
  <si>
    <t>98a.1</t>
  </si>
  <si>
    <t>98a.2</t>
  </si>
  <si>
    <t>International NGO</t>
  </si>
  <si>
    <t>Government</t>
  </si>
  <si>
    <t>Other</t>
  </si>
  <si>
    <t>Data source</t>
  </si>
  <si>
    <t>Review</t>
  </si>
  <si>
    <t>Primary, review</t>
  </si>
  <si>
    <t>Primary, remote sensing, review</t>
  </si>
  <si>
    <t>Primary, remote sensing, secondary, review</t>
  </si>
  <si>
    <t>Fire behaviour</t>
  </si>
  <si>
    <t>Inferred - other</t>
  </si>
  <si>
    <t>Inferred - fallow cycle</t>
  </si>
  <si>
    <t>Record info</t>
  </si>
  <si>
    <t>Land use</t>
  </si>
  <si>
    <t>Industrial</t>
  </si>
  <si>
    <t>Post-industrial</t>
  </si>
  <si>
    <t>Cattle, Intensive</t>
  </si>
  <si>
    <t>Cattle, Landless</t>
  </si>
  <si>
    <t>Forestry, Industrial</t>
  </si>
  <si>
    <t>Agroforestry, Market-oriented</t>
  </si>
  <si>
    <t>Agroforestry, Subsistence-oriented</t>
  </si>
  <si>
    <t>Tourism manager</t>
  </si>
  <si>
    <t>Urban planner</t>
  </si>
  <si>
    <t>Fire pattern</t>
  </si>
  <si>
    <t>Seasonal, Front-loaded</t>
  </si>
  <si>
    <t>Lightning</t>
  </si>
  <si>
    <t>Other Natural</t>
  </si>
  <si>
    <t>Unknown</t>
  </si>
  <si>
    <t>Crop residue burning</t>
  </si>
  <si>
    <t xml:space="preserve">Pasture renewal </t>
  </si>
  <si>
    <t>Forest Clearance</t>
  </si>
  <si>
    <t>Shrubland (Mixed forest &amp; grassland)</t>
  </si>
  <si>
    <t>Plantation forest</t>
  </si>
  <si>
    <t>Burning</t>
  </si>
  <si>
    <t>Suppression</t>
  </si>
  <si>
    <t>Levels</t>
  </si>
  <si>
    <t>Policy</t>
  </si>
  <si>
    <t>Restriction</t>
  </si>
  <si>
    <t>Yes - spatial</t>
  </si>
  <si>
    <t>Yes - temporal</t>
  </si>
  <si>
    <t>Yes - spatiotemporal</t>
  </si>
  <si>
    <t>Policy agent</t>
  </si>
  <si>
    <t>State or local government</t>
  </si>
  <si>
    <t>Private sector</t>
  </si>
  <si>
    <t>Multinational corporation</t>
  </si>
  <si>
    <t xml:space="preserve">Fire return based on villagers reported preferences; </t>
  </si>
  <si>
    <t xml:space="preserve">75% of farmers cleared each year; 'primarly' in natural forest; swidden plots are usually located along rivers or logging roads. </t>
  </si>
  <si>
    <t>98c</t>
  </si>
  <si>
    <t>Farm area includes swidden fallows and active plots</t>
  </si>
  <si>
    <t>77% of villagers farm swiddens; it was the primary source of income for 61%; Farm area includes swidden fallows and active plots</t>
  </si>
  <si>
    <t>98c.1</t>
  </si>
  <si>
    <t>98d</t>
  </si>
  <si>
    <t>Farm area includes swidden fallows and active plots; Monoculture is rubber plantation</t>
  </si>
  <si>
    <t>Farm area includes swidden fallows and active plots; 73% of households farmed, and for 50% it was the primary activity; Monoculture is rubber plantation</t>
  </si>
  <si>
    <t>98d.1</t>
  </si>
  <si>
    <t>TNC support for rubber plantations to reduce swidden clearing fires</t>
  </si>
  <si>
    <t>98b.2</t>
  </si>
  <si>
    <t>Swidden clearing was 'almost exclusively' in natural forest to claim land, and as old fallows were converted to plantations. 70% of farmers cleared land.</t>
  </si>
  <si>
    <t>98a.3</t>
  </si>
  <si>
    <t>Yes - fire suppression</t>
  </si>
  <si>
    <t>Yes - fire creation</t>
  </si>
  <si>
    <t>36% of households cleared land</t>
  </si>
  <si>
    <t>Supported by subsidies, swidden farmers converted old fallows to rubber plantations and other cash crop monocultures</t>
  </si>
  <si>
    <t>98b.3</t>
  </si>
  <si>
    <t>Land was cleared to establish title; preventing other villages or large oil palm plantations from owning it.</t>
  </si>
  <si>
    <t xml:space="preserve">Government compensation payments to farmers' whose lands were taken away for oil palm plantations led to land speculation by swidden farmers - who would clear and claim lands likely to fall in new concessions. Swidden was illegal, whilst large industrial deforestation was done under government licence. </t>
  </si>
  <si>
    <t xml:space="preserve">Economic incentives to develop rubber plantations; Swidden was illegal, whilst large industrial deforestation was done under government licence. </t>
  </si>
  <si>
    <t>98a.4</t>
  </si>
  <si>
    <t>Forest clearance for plantations could be done legally, with government permits and within concessions.</t>
  </si>
  <si>
    <t>98b.4</t>
  </si>
  <si>
    <t>98c.2</t>
  </si>
  <si>
    <t xml:space="preserve">Swidden was illegal  whilst large industrial deforestation was done under government licence. </t>
  </si>
  <si>
    <t>98d.2</t>
  </si>
  <si>
    <t>TNC support for rubber plantations to reduce swidden clearing fires; under a new agreement with villagers payments had been made conditional on a complex series of restrictions on swidden clearing.</t>
  </si>
  <si>
    <t>Barlow 2002</t>
  </si>
  <si>
    <t>Carmenta 2019</t>
  </si>
  <si>
    <t>99a</t>
  </si>
  <si>
    <t>99b</t>
  </si>
  <si>
    <t>99c</t>
  </si>
  <si>
    <t>Middle Solimoes</t>
  </si>
  <si>
    <t>Arapiuns</t>
  </si>
  <si>
    <t>Paragominas</t>
  </si>
  <si>
    <t>REDD+ site, location digitised from author map</t>
  </si>
  <si>
    <t>Extractive reserve (RESEX), location digitised from author map</t>
  </si>
  <si>
    <t>Green municipality pact (GMP), location digitised from author map</t>
  </si>
  <si>
    <t>99c.1</t>
  </si>
  <si>
    <t>REDD+</t>
  </si>
  <si>
    <t>RESEX</t>
  </si>
  <si>
    <t>GMP</t>
  </si>
  <si>
    <t>99b.1</t>
  </si>
  <si>
    <t>99a.1</t>
  </si>
  <si>
    <t>99a.2</t>
  </si>
  <si>
    <t>UN Agency</t>
  </si>
  <si>
    <t>99d</t>
  </si>
  <si>
    <t>99d.1</t>
  </si>
  <si>
    <t>REDD+ incentives for fire-free agroforestry and finance for fire-free swidden projects</t>
  </si>
  <si>
    <t>99b.2</t>
  </si>
  <si>
    <t>Yes - other</t>
  </si>
  <si>
    <t>Sizes of fires were restricted according to an agreed management plan</t>
  </si>
  <si>
    <t>99c.2</t>
  </si>
  <si>
    <t>50% of families had at least 2 fire accidents on their property over 5 years</t>
  </si>
  <si>
    <t>Escaped fires had damaged new agroforestry developments</t>
  </si>
  <si>
    <t>Fire size from field size</t>
  </si>
  <si>
    <t>42% of families had experienced accidental fire in the last 5 years</t>
  </si>
  <si>
    <t>99c.3</t>
  </si>
  <si>
    <t>Fire ban was "never applied to small holders"</t>
  </si>
  <si>
    <t>99c.4</t>
  </si>
  <si>
    <t xml:space="preserve">Subsidised tractors to till soil. </t>
  </si>
  <si>
    <t>Municipal law (Law 765/2011) prohibits all fire use and ascribes sanction.</t>
  </si>
  <si>
    <t>"Residents perceived the awareness raising related to the illegality of fire explained a positive shift towards better fire management." 92% used fire control management.</t>
  </si>
  <si>
    <t>All fire use required a federal licence; residents were aware of constant surveillance.</t>
  </si>
  <si>
    <t>Farmers with land tenure were given significant welfare payments, discouraging swidden and encouraging investment in fire management. All fire use required a federal licence; residents were aware of constant surveillance.</t>
  </si>
  <si>
    <t>99b.3</t>
  </si>
  <si>
    <t xml:space="preserve"> "The head of the rural farmers union was guardian of a cache of equipment for fire combat  but these were chronically inferior (e.g.  fire beaters with rotten handles...) and too few"</t>
  </si>
  <si>
    <t xml:space="preserve">A group of 6 firefighters were based at the site; however they were not equipped with water tanks and other investments as fire was technical illegal at the site. </t>
  </si>
  <si>
    <t>100a</t>
  </si>
  <si>
    <t>Fire size from field size; swidden plot size was regulated by reserve management plan</t>
  </si>
  <si>
    <t>Tapajo´s-Arapiuns Extractive Reserve</t>
  </si>
  <si>
    <t>100a.1</t>
  </si>
  <si>
    <t>Mertz 2011</t>
  </si>
  <si>
    <t>101a</t>
  </si>
  <si>
    <t>Bellona</t>
  </si>
  <si>
    <t>Solomon Islands</t>
  </si>
  <si>
    <t>Study size is approx island size</t>
  </si>
  <si>
    <t>Christiansen 1975, reported in Mertz 2011</t>
  </si>
  <si>
    <t>101b</t>
  </si>
  <si>
    <t>101a.1</t>
  </si>
  <si>
    <t>101b.1</t>
  </si>
  <si>
    <t>Yield is for sweet potato</t>
  </si>
  <si>
    <t>Fire size from field size; fire return from fallow</t>
  </si>
  <si>
    <t>Fire return from fallow</t>
  </si>
  <si>
    <t>Ando 2014</t>
  </si>
  <si>
    <t>102a</t>
  </si>
  <si>
    <t>Eastern Province</t>
  </si>
  <si>
    <t>Unnamed village</t>
  </si>
  <si>
    <t>102a.1</t>
  </si>
  <si>
    <r>
      <t>Yield is for maize; study is of one citamene swidden plot; quotes distribution of swidden is 150-350 Mg ha</t>
    </r>
    <r>
      <rPr>
        <vertAlign val="superscript"/>
        <sz val="11"/>
        <color theme="1"/>
        <rFont val="Calibri"/>
        <family val="2"/>
        <scheme val="minor"/>
      </rPr>
      <t>-1</t>
    </r>
    <r>
      <rPr>
        <sz val="11"/>
        <color theme="1"/>
        <rFont val="Calibri"/>
        <family val="2"/>
        <scheme val="minor"/>
      </rPr>
      <t xml:space="preserve"> of biomass. In the miombo woodland study location it was 38.3 Mg ha</t>
    </r>
    <r>
      <rPr>
        <vertAlign val="superscript"/>
        <sz val="11"/>
        <color theme="1"/>
        <rFont val="Calibri"/>
        <family val="2"/>
        <scheme val="minor"/>
      </rPr>
      <t>-1</t>
    </r>
  </si>
  <si>
    <t>Edirisinghe 2017</t>
  </si>
  <si>
    <t>103a</t>
  </si>
  <si>
    <t>103a.1</t>
  </si>
  <si>
    <t>103a.2</t>
  </si>
  <si>
    <t>Local polititians had sided with the swidden farmers against bans on the practice</t>
  </si>
  <si>
    <t>103b</t>
  </si>
  <si>
    <t>103c</t>
  </si>
  <si>
    <t>103d</t>
  </si>
  <si>
    <t>103e</t>
  </si>
  <si>
    <t>Siyambalanduwa</t>
  </si>
  <si>
    <t>Thanamalwila</t>
  </si>
  <si>
    <t>Buttala</t>
  </si>
  <si>
    <t>Katharagama</t>
  </si>
  <si>
    <t>Sewanagala</t>
  </si>
  <si>
    <t>Monaragala</t>
  </si>
  <si>
    <t>103b.1</t>
  </si>
  <si>
    <t>103c.1</t>
  </si>
  <si>
    <t>103d.1</t>
  </si>
  <si>
    <t>103e.1</t>
  </si>
  <si>
    <t xml:space="preserve">98% of swidden took place on government land &gt; 50% of households used fertiliers, agrochemicals and tractors. </t>
  </si>
  <si>
    <t xml:space="preserve">"Few legal actions are taken, partly because there is an understanding that poor landless farmers have few alternative options".. Since 2009 farmers have been allowed to cultivate a maximum of 0.8ha on forested lands. Incentives for farmers were to convert secondary fallows to timber production; this was not a succesful scheme. </t>
  </si>
  <si>
    <t xml:space="preserve">Intended burned area % from proportion of families participating, weighted by average land holdings and % burning annually. </t>
  </si>
  <si>
    <t>Study location is centre of sub-district; author map estimates distribution of swidden in Sri Lanka</t>
  </si>
  <si>
    <t>103b.2</t>
  </si>
  <si>
    <t>103c.2</t>
  </si>
  <si>
    <t>103d.2</t>
  </si>
  <si>
    <t>103e.2</t>
  </si>
  <si>
    <t xml:space="preserve">Abate 2016 </t>
  </si>
  <si>
    <t>104a</t>
  </si>
  <si>
    <t>Borana rangelands</t>
  </si>
  <si>
    <t>Location is mid point of study area</t>
  </si>
  <si>
    <t>104b</t>
  </si>
  <si>
    <t>104c</t>
  </si>
  <si>
    <t>104a.1</t>
  </si>
  <si>
    <t>104b.1</t>
  </si>
  <si>
    <t>104c.1</t>
  </si>
  <si>
    <t>Rangeland management</t>
  </si>
  <si>
    <t>104c.2</t>
  </si>
  <si>
    <t>104b.2</t>
  </si>
  <si>
    <t>104a.2</t>
  </si>
  <si>
    <t>Fire Ban was having a significant impact on rangelands, with woody enchroachment becoming a major challenge</t>
  </si>
  <si>
    <t>Fire ban was having a significant impact on rangelands, with woody enchroachment becoming a major challenge. Government policy also promoted sedenterisation and crop cultivation</t>
  </si>
  <si>
    <t>105a</t>
  </si>
  <si>
    <t>105b</t>
  </si>
  <si>
    <t>105c</t>
  </si>
  <si>
    <t>105d</t>
  </si>
  <si>
    <t>105e</t>
  </si>
  <si>
    <t>Solomon 2007</t>
  </si>
  <si>
    <t>Did Yabello</t>
  </si>
  <si>
    <t>Moyatte</t>
  </si>
  <si>
    <t>Did Harra</t>
  </si>
  <si>
    <t>Dubuluk</t>
  </si>
  <si>
    <t>Melbana</t>
  </si>
  <si>
    <t>105f</t>
  </si>
  <si>
    <t>Forestry for charcoal production</t>
  </si>
  <si>
    <t>105a.1</t>
  </si>
  <si>
    <t>105a.2</t>
  </si>
  <si>
    <t>105b.1</t>
  </si>
  <si>
    <t>105b.2</t>
  </si>
  <si>
    <t>105c.1</t>
  </si>
  <si>
    <t>105c.2</t>
  </si>
  <si>
    <t>105d.1</t>
  </si>
  <si>
    <t>105d.2</t>
  </si>
  <si>
    <t>105e.1</t>
  </si>
  <si>
    <t>105e.2</t>
  </si>
  <si>
    <t>105f.1</t>
  </si>
  <si>
    <t>105f.2</t>
  </si>
  <si>
    <t>Villagers did not light fires for fear of prosecution</t>
  </si>
  <si>
    <t>Pastoralists were free to light fires to manage the rangelands</t>
  </si>
  <si>
    <t>The majority of pastoralists had adopted cropping as a secondary income due to the lack of rangeland</t>
  </si>
  <si>
    <t>Data from study participant memory; study location mean of villages surveyed</t>
  </si>
  <si>
    <t>106a</t>
  </si>
  <si>
    <t>106b</t>
  </si>
  <si>
    <t>Hoover 2017</t>
  </si>
  <si>
    <t>Papua New Guinea</t>
  </si>
  <si>
    <t>Anonymous study village</t>
  </si>
  <si>
    <t>106a.1</t>
  </si>
  <si>
    <t>10-25</t>
  </si>
  <si>
    <t>25-50</t>
  </si>
  <si>
    <t>106b.1</t>
  </si>
  <si>
    <t>107a</t>
  </si>
  <si>
    <t>Dawoe 2012</t>
  </si>
  <si>
    <t>Atwima Nwabiagya District</t>
  </si>
  <si>
    <t>Location is mid point of study area; study dates estimated from publication date.</t>
  </si>
  <si>
    <t>107a.1</t>
  </si>
  <si>
    <t>107a.2</t>
  </si>
  <si>
    <t>107a.3</t>
  </si>
  <si>
    <t>Fallow periods were a maximum of three years, preventing meaningful secondary fallows from developing</t>
  </si>
  <si>
    <t>Farmers used fire where a field had been fallowed for ~three years to improve access</t>
  </si>
  <si>
    <t>80% of farmers adopted a no-fire mulching practice to improve fertility</t>
  </si>
  <si>
    <t>107a.4</t>
  </si>
  <si>
    <t>80% of farmers did not burn residues</t>
  </si>
  <si>
    <t>Fire return from fallow; intended burned area based on proportion of farmers using fire to fertilise fields and fire return period.</t>
  </si>
  <si>
    <t xml:space="preserve">Intended burned area based on proportion of farmers using residues as a covering / fertiliser &amp; therefore not burning. </t>
  </si>
  <si>
    <t xml:space="preserve">Dendi 2004 </t>
  </si>
  <si>
    <t>108a</t>
  </si>
  <si>
    <t>Mapat Tunggul</t>
  </si>
  <si>
    <t>West Sumatra</t>
  </si>
  <si>
    <t>108a.1</t>
  </si>
  <si>
    <t>108a.2</t>
  </si>
  <si>
    <t xml:space="preserve">Incentives included digging of irrigation canals, and initiatives to promote cocoa and other cash crop growing. </t>
  </si>
  <si>
    <t>Location is mid point of study area; data from community memory (fire/yield) and literature review (policy)</t>
  </si>
  <si>
    <t>108b</t>
  </si>
  <si>
    <t>Subsistence-oriented monoculture is irrigated rice farming, whilst market-oriented farming refers to rubber plantations. Yield for swidden rice.</t>
  </si>
  <si>
    <t>Market-oriented was primarily cocoa and rubber plantations; yield for swidden rice</t>
  </si>
  <si>
    <t>108b.1</t>
  </si>
  <si>
    <t>108b.2</t>
  </si>
  <si>
    <t>Period saw substantial deforestation for swidden due to inward migration from lowlands</t>
  </si>
  <si>
    <t>Fire return from fallow cycle</t>
  </si>
  <si>
    <t>108b.3</t>
  </si>
  <si>
    <t>Forest clearance for rubber plantations was allowed after the removal of colonial-era legislation</t>
  </si>
  <si>
    <t>Government lifted colonial-era ban on use of forests for rubber plantations</t>
  </si>
  <si>
    <t>Bhagawati 2015</t>
  </si>
  <si>
    <t>109a</t>
  </si>
  <si>
    <t>Northeast Himalayan Region</t>
  </si>
  <si>
    <t>109a.1</t>
  </si>
  <si>
    <t>"Very strict customs were followed while burning the slashed field…the event is celebrated overnight… They never go for uncontrolled slash and burn, and know the science to control the fires".</t>
  </si>
  <si>
    <t>Smith 2019</t>
  </si>
  <si>
    <t>110a</t>
  </si>
  <si>
    <t>110b</t>
  </si>
  <si>
    <t>110c</t>
  </si>
  <si>
    <t>Belize</t>
  </si>
  <si>
    <t>Bladen</t>
  </si>
  <si>
    <t>Trio</t>
  </si>
  <si>
    <t>San Isidro</t>
  </si>
  <si>
    <t>Location digitised from description</t>
  </si>
  <si>
    <t>110a.1</t>
  </si>
  <si>
    <t>110b.1</t>
  </si>
  <si>
    <t>110c.1</t>
  </si>
  <si>
    <t>110a.2</t>
  </si>
  <si>
    <t>110a.3</t>
  </si>
  <si>
    <t>110a.4</t>
  </si>
  <si>
    <t>110a.5</t>
  </si>
  <si>
    <t>110a.6</t>
  </si>
  <si>
    <t>110a.7</t>
  </si>
  <si>
    <t>Fires were frequently lit just for "enjoyment"</t>
  </si>
  <si>
    <t>Fires lit to expose snakes</t>
  </si>
  <si>
    <t>For access to palmetto berries and fishing sites</t>
  </si>
  <si>
    <t>To clear land for growing pineapple or plantain</t>
  </si>
  <si>
    <t>110b.2</t>
  </si>
  <si>
    <t>110b.3</t>
  </si>
  <si>
    <t>110b.4</t>
  </si>
  <si>
    <t>110b.5</t>
  </si>
  <si>
    <t>110b.6</t>
  </si>
  <si>
    <t>110b.7</t>
  </si>
  <si>
    <t>110c.2</t>
  </si>
  <si>
    <t>110c.3</t>
  </si>
  <si>
    <t>110c.4</t>
  </si>
  <si>
    <t>110c.5</t>
  </si>
  <si>
    <t>110c.6</t>
  </si>
  <si>
    <t>110c.7</t>
  </si>
  <si>
    <t>"...few households had support from the fire service in Independence, but most also doubt that that service would help…"</t>
  </si>
  <si>
    <t>"...fires in savanna areas removed from their villages, while deemed a problem by conservationists or pine concession-holders, are generally not deemed problematic by local people. These villagers have little incentive to care about fires in these areas because they lack clear access rights..."</t>
  </si>
  <si>
    <t>"Where farms are close together, some farmers construct fire lines around their land and inform neighbours before burning, but many conduct their burns alone and fires sometimes escape into neighbouring farm… Aiming for a hot and ‘clean burn’, many farmers choose to burn around midday on days of good weather. Such hot burns, when not carefully managed, can escape."</t>
  </si>
  <si>
    <t>NGOs &amp; latterly the government had sought to introduce agroforestry, slash and mulch, and other fire free practices.</t>
  </si>
  <si>
    <t>Farmers required a permit to burn, but this was rarely enforced - "most farmers interviewed were unaware of either the Agricultural Fires Act or the Forest Fires Act." NGOs &amp; latterly the government had sought to introduce agroforestry, slash and mulch, and other fire free practices.</t>
  </si>
  <si>
    <t>110d</t>
  </si>
  <si>
    <t>Payne's Creek National Park</t>
  </si>
  <si>
    <t>Beliza</t>
  </si>
  <si>
    <t>Location is centre of reported study area</t>
  </si>
  <si>
    <t>110d.1</t>
  </si>
  <si>
    <t>Park rangers had adopted a rule of thumb that a fire return period of 3-5 years should be adopted</t>
  </si>
  <si>
    <t>"...soon TIDE found funding for fire management equipment, and today its rangers use purpose-made clothing, drip torches, rakes, fire-swatters, water tanks and bladder bags when they conduct prescribed burning... The infrastructure and means of communication available to TIDE for fire management are far less sophisticated than what is used in the USA"</t>
  </si>
  <si>
    <t>Areas of the reserve had been allocated as logging concessions</t>
  </si>
  <si>
    <t>An international conservation NGO had provided training, equipment and ongoing support for prescribed burning to promote biodiversity.</t>
  </si>
  <si>
    <t>Coomes 2017</t>
  </si>
  <si>
    <t>111a</t>
  </si>
  <si>
    <t>A false location name is given to respect participants' anonimity; location estimated from author description. Same as study 36.</t>
  </si>
  <si>
    <t>111b</t>
  </si>
  <si>
    <t>111a.1</t>
  </si>
  <si>
    <t>111b.1</t>
  </si>
  <si>
    <t>111a.2</t>
  </si>
  <si>
    <t xml:space="preserve">Forestry was charcoal production; plantation forests were fruit orchards. Secondary vegetation and orchards split on %s given in land holdings data. </t>
  </si>
  <si>
    <t>111b.2</t>
  </si>
  <si>
    <t>Burned area based on fallow length, and percentage of secondary fallows converted to orchards vs returned to swidden cycle. Ignitions from fire size and burned area estimate.</t>
  </si>
  <si>
    <t>Conelly 1992</t>
  </si>
  <si>
    <t>112a</t>
  </si>
  <si>
    <t>Palawan Island</t>
  </si>
  <si>
    <t>Napsaan</t>
  </si>
  <si>
    <t xml:space="preserve">Low yields due to a short fallow had driven diversification into irrigated rice production, cashew growing, intensified gathering of NTFPs and wage labour. Yield for swidden rice. </t>
  </si>
  <si>
    <t>112a.1</t>
  </si>
  <si>
    <t>Fire return from fallow cycle, fire size from field size.</t>
  </si>
  <si>
    <t xml:space="preserve">Fire size from field size; full fallow cycle reported (5.8 + 1.2 cultivation); intended burned area from amount of secondary vegetation and fallow cycle; ignitions from fire size and burned area. </t>
  </si>
  <si>
    <t xml:space="preserve">Fire size from field size; full fallow cycle reported (3 + 2.75 cultivation); intended burned area from amount of secondary vegetation and fallow cycle; ignitions from fire size and burned area. </t>
  </si>
  <si>
    <t>Swidden fields were tightly packed into a riverine estuary</t>
  </si>
  <si>
    <t>Mistry 2005</t>
  </si>
  <si>
    <t>113a</t>
  </si>
  <si>
    <t>Kraho indigenous reserve</t>
  </si>
  <si>
    <t>Tocantins</t>
  </si>
  <si>
    <t>Reserve was surrounded by commercial farms, with pastures seeded with non-native grasses</t>
  </si>
  <si>
    <t>113a.1</t>
  </si>
  <si>
    <t>Fires list to protect Roca (swidden fields) against late dry-season wildfires</t>
  </si>
  <si>
    <t>113a.2</t>
  </si>
  <si>
    <t>Fires list to protect fruiting trees against late dry-season wildfires</t>
  </si>
  <si>
    <t>113a.3</t>
  </si>
  <si>
    <t>113a.4</t>
  </si>
  <si>
    <t>Burning to encourage 'carrasco' - a thicker form of cerrado rich in fruits and wild animals</t>
  </si>
  <si>
    <t>113a.5</t>
  </si>
  <si>
    <t>"Small areas burnt each year"</t>
  </si>
  <si>
    <t>113a.6</t>
  </si>
  <si>
    <t>"Rocas are burnt at the very end of August or in September"</t>
  </si>
  <si>
    <t>113a.7</t>
  </si>
  <si>
    <t>113a.8</t>
  </si>
  <si>
    <t>113a.9</t>
  </si>
  <si>
    <t>113a.10</t>
  </si>
  <si>
    <t>Outside fires escaped throughout the dry season</t>
  </si>
  <si>
    <t>Several "Small" patches burned during a hunting trip to encourage forage for grazers</t>
  </si>
  <si>
    <t>113a.11</t>
  </si>
  <si>
    <t>Fires were lit en route to Rocas</t>
  </si>
  <si>
    <t>Fires were lit whlist hunting or walking to villages</t>
  </si>
  <si>
    <t>Fires were lit en route to Rocas; most interviewees agreed the cerrado needed to be "cleaned" every 2-3 years</t>
  </si>
  <si>
    <t>Fires were lit whlist hunting or walking to villages most interviewees agreed the cerrado needed to be "cleaned" every 2-3 years</t>
  </si>
  <si>
    <t xml:space="preserve">Fires to manage carrasco were lit as a community, with the thicker vegetation acting as a natural kind of fire break. This combined with the early-season burning made them less likely to escape. </t>
  </si>
  <si>
    <t>113a.12</t>
  </si>
  <si>
    <t>Swidden fires lit at the end of the dry season were liable to escape</t>
  </si>
  <si>
    <t>Widespread use of early-season fires to prevent late dry season intense fires</t>
  </si>
  <si>
    <t>(Burning dry secondary vegetation for swidden...) "results in an intense ﬁre, thoroughly clearing the area for planting. These ﬁres can potentially be very dangerous, especially if it is windy on the day of the burn. Dry fuel around the roca is rarely cleared, and as a result ﬁres occasionally burn into the adjoining vegetation. In order to reduce this possibility, most burns are set in the afternoon, when it is less windy. "</t>
  </si>
  <si>
    <t>Senegal</t>
  </si>
  <si>
    <t>Central Eastern</t>
  </si>
  <si>
    <t>Fieldwork dates estimated</t>
  </si>
  <si>
    <t>114a</t>
  </si>
  <si>
    <t>114a.1</t>
  </si>
  <si>
    <t>114a.2</t>
  </si>
  <si>
    <t>114a.3</t>
  </si>
  <si>
    <t>Fires were in theory illegal, but widely set by local people</t>
  </si>
  <si>
    <t>114a.4</t>
  </si>
  <si>
    <t>Domestic</t>
  </si>
  <si>
    <t>115a</t>
  </si>
  <si>
    <t>115a.1</t>
  </si>
  <si>
    <t>114a.5</t>
  </si>
  <si>
    <t>114a.6</t>
  </si>
  <si>
    <t>114a.7</t>
  </si>
  <si>
    <t>114a.8</t>
  </si>
  <si>
    <t>114a.9</t>
  </si>
  <si>
    <t>114a.10</t>
  </si>
  <si>
    <t>Used in timber collection, honey and Arabic gum extraction</t>
  </si>
  <si>
    <t>114a.11</t>
  </si>
  <si>
    <t>E.g. Non-extinguised cigarettes</t>
  </si>
  <si>
    <t>"to promote new growth of herbs and grasses in the early phase of the dry season, while some soil moisture is still available"</t>
  </si>
  <si>
    <t>Swidden fires were lit late in the dry season, just before the rainy season.</t>
  </si>
  <si>
    <t>Early dry season fires to protect crops and villages from late dry season large fires</t>
  </si>
  <si>
    <t>114a.12</t>
  </si>
  <si>
    <t>Fires lit to pretect woodlands against late season destructive fires</t>
  </si>
  <si>
    <t>Reducing grass coverage through early season burning improves accessibility and visibility, which reduces risks from snakes and scorpions</t>
  </si>
  <si>
    <t>Late dry-season fires were cited as becoming uncontrolled and causing substantial damage</t>
  </si>
  <si>
    <t>Use of early-season fires to prevent late dry season intense fires</t>
  </si>
  <si>
    <t>114a.13</t>
  </si>
  <si>
    <t>114a.14</t>
  </si>
  <si>
    <t>Use of fire by govt forestry agency in fuel load management was "reducing" due to "logistical challenges"</t>
  </si>
  <si>
    <t>Location is centre of reported study area; dates from personal author communication</t>
  </si>
  <si>
    <t>Mistry 1998</t>
  </si>
  <si>
    <t>Distrito Federal</t>
  </si>
  <si>
    <r>
      <t xml:space="preserve">Study location centre of reported area; </t>
    </r>
    <r>
      <rPr>
        <sz val="11"/>
        <color rgb="FFFF0000"/>
        <rFont val="Calibri"/>
        <family val="2"/>
        <scheme val="minor"/>
      </rPr>
      <t xml:space="preserve">dates estimated from publication date. </t>
    </r>
  </si>
  <si>
    <t>115a.2</t>
  </si>
  <si>
    <t>115a.3</t>
  </si>
  <si>
    <t>115a.4</t>
  </si>
  <si>
    <t>115a.5</t>
  </si>
  <si>
    <t xml:space="preserve">Burning took place throughout the dry season, depending on condition of vegetation. In dry years, burning would tend to be earlier, to rejuvinate forage. 19 of 25 cattle farmers' used fire. </t>
  </si>
  <si>
    <t xml:space="preserve">Farmers with access to capital used planting of non-native grasses and tractors to manage their pastures as an alternative to fire. 6/25 farmers' adopted this option. </t>
  </si>
  <si>
    <t xml:space="preserve">Reported that some ranchers created fire breaks around their houses to prevent against fire damage; 5/40 farmers' adopted this practice. </t>
  </si>
  <si>
    <t>115a.6</t>
  </si>
  <si>
    <t>"Small-delimited" fires for cropping were typically better controlled than pasture fires; precautions involved use of water, fire beaters, and use of fire breaks.</t>
  </si>
  <si>
    <t>More likely as dry season progressed</t>
  </si>
  <si>
    <t>BA% estimate based on proportion of farmers burning and fire return period</t>
  </si>
  <si>
    <t>Burning for crops tended to happen in the mid to late dry season; 32/40 farmers interviewed used fire for this purpose</t>
  </si>
  <si>
    <t>Pasture fires tended to be 'large and undelimited'; escaped fires tended to create hostility between neighbours, which in turn led less care to be taken over their control</t>
  </si>
  <si>
    <t>Some farmers created firebreaks around their houses</t>
  </si>
  <si>
    <t>Only 2/40 farmers' interviewed admitted to using fire to clear land</t>
  </si>
  <si>
    <t xml:space="preserve">39/40 farmers did not know how to access the required permit to burn, but did so anyway. Overall "laws and regulations play a negligible role in decision-making". </t>
  </si>
  <si>
    <t>116a</t>
  </si>
  <si>
    <t>Tiogo State Forest</t>
  </si>
  <si>
    <t>Savadogo 2007</t>
  </si>
  <si>
    <t>116a.1</t>
  </si>
  <si>
    <t>"Most forest management plans include early burning"</t>
  </si>
  <si>
    <t>116a.2</t>
  </si>
  <si>
    <t>Eloy 2019</t>
  </si>
  <si>
    <t>117a</t>
  </si>
  <si>
    <t>117b</t>
  </si>
  <si>
    <t>Serra Geral do Tocantins Ecological Station</t>
  </si>
  <si>
    <t>State Park of Jalapao</t>
  </si>
  <si>
    <t>Study location is centre of reported area</t>
  </si>
  <si>
    <t>117a.1</t>
  </si>
  <si>
    <t>117a.2</t>
  </si>
  <si>
    <t>117a.3</t>
  </si>
  <si>
    <t>117a.4</t>
  </si>
  <si>
    <t>117a.5</t>
  </si>
  <si>
    <t>117a.6</t>
  </si>
  <si>
    <t>Fuel load reduction</t>
  </si>
  <si>
    <t>Smaller areas of planted pastures grown close to the house were used to tend sick cattle or those with calves. The remainder of the herd ranged 'larger' areas. Exotic grasses burned October to November</t>
  </si>
  <si>
    <t>117a.7</t>
  </si>
  <si>
    <t>Late season fires were the hardest to control</t>
  </si>
  <si>
    <t>Humid grassland "Varjao" fires</t>
  </si>
  <si>
    <t>Open cerrado fires</t>
  </si>
  <si>
    <t>Community Managed Area</t>
  </si>
  <si>
    <t>117c</t>
  </si>
  <si>
    <t>117d</t>
  </si>
  <si>
    <t>Government Managed Area</t>
  </si>
  <si>
    <t>117b.1</t>
  </si>
  <si>
    <t>117b.2</t>
  </si>
  <si>
    <t>117b.3</t>
  </si>
  <si>
    <t>117b.4</t>
  </si>
  <si>
    <t>117b.5</t>
  </si>
  <si>
    <t>117b.6</t>
  </si>
  <si>
    <t>117b.7</t>
  </si>
  <si>
    <t>117c.1</t>
  </si>
  <si>
    <t>117c.2</t>
  </si>
  <si>
    <t>Zero fire policy</t>
  </si>
  <si>
    <t>Most large fires happened in late dry-season</t>
  </si>
  <si>
    <t>Forestry was crafts based on the local goldflower</t>
  </si>
  <si>
    <t>117c.3</t>
  </si>
  <si>
    <t>Native pasture fires burned to provide late dry-season forage</t>
  </si>
  <si>
    <t>Described as &lt;30ha</t>
  </si>
  <si>
    <t>All fires were &lt; 10000ha and 98% were &lt; 1000</t>
  </si>
  <si>
    <t>117c.4</t>
  </si>
  <si>
    <t>117c.5</t>
  </si>
  <si>
    <t>Most large fires happened in late dry-season; fuel-build up from zero-fire policy led to late season catastrophic fires</t>
  </si>
  <si>
    <t>Burned area calculated from reported % burned and area burned from late dry season</t>
  </si>
  <si>
    <t>117c.6</t>
  </si>
  <si>
    <t>117c.7</t>
  </si>
  <si>
    <t>117d.1</t>
  </si>
  <si>
    <t>117d.2</t>
  </si>
  <si>
    <t>117d.3</t>
  </si>
  <si>
    <t>117d.4</t>
  </si>
  <si>
    <t>117d.5</t>
  </si>
  <si>
    <t>117d.6</t>
  </si>
  <si>
    <t>117d.7</t>
  </si>
  <si>
    <t>Late season fires were the hardest to control; however there was less inter-annual variation due to mega fires than in the government controlled areas</t>
  </si>
  <si>
    <t>"cattle ranchers start ﬁres in the late afternoon, taking account of the ground and weather conditions (especially wind direction)"</t>
  </si>
  <si>
    <t>The seasonal mosaic of burning led to fewer megafires due to fuel load management</t>
  </si>
  <si>
    <t>118a</t>
  </si>
  <si>
    <t>118b</t>
  </si>
  <si>
    <t>Blanco 2013</t>
  </si>
  <si>
    <t>118c</t>
  </si>
  <si>
    <t>118d</t>
  </si>
  <si>
    <t>118e</t>
  </si>
  <si>
    <t>118f</t>
  </si>
  <si>
    <t>Malo</t>
  </si>
  <si>
    <t>Santo</t>
  </si>
  <si>
    <t>Malekula</t>
  </si>
  <si>
    <t>Ambae</t>
  </si>
  <si>
    <t>Tanna</t>
  </si>
  <si>
    <t>Pentecost</t>
  </si>
  <si>
    <t>Vanuatu</t>
  </si>
  <si>
    <t>Avunaleleo</t>
  </si>
  <si>
    <t>Brenwe</t>
  </si>
  <si>
    <t>Pessena</t>
  </si>
  <si>
    <t>Lolossori</t>
  </si>
  <si>
    <t>Lamlu</t>
  </si>
  <si>
    <t>Tansip</t>
  </si>
  <si>
    <t>Location is island centre</t>
  </si>
  <si>
    <t>118a.1</t>
  </si>
  <si>
    <t>118b.1</t>
  </si>
  <si>
    <t>118c.1</t>
  </si>
  <si>
    <t>118d.1</t>
  </si>
  <si>
    <t>118e.1</t>
  </si>
  <si>
    <t>118f.1</t>
  </si>
  <si>
    <t xml:space="preserve">Farmers used a natural irrigation system, allowing fields to be used for ~10 years. Fields were always cut from old forest. </t>
  </si>
  <si>
    <t>Fire size from field size; fire return from fallow. Max documented field size was 0.036ha</t>
  </si>
  <si>
    <t>Fire size from field size; fire return from fallow. Max documented field size was 0.086ha</t>
  </si>
  <si>
    <t>Fire size from field size; fire return from fallow. Max documented field size was 0.072ha</t>
  </si>
  <si>
    <t>Bilbao 2019</t>
  </si>
  <si>
    <t>119a</t>
  </si>
  <si>
    <t>119b</t>
  </si>
  <si>
    <t>119c</t>
  </si>
  <si>
    <t>119d</t>
  </si>
  <si>
    <t>Guyana</t>
  </si>
  <si>
    <t>North Rupununi</t>
  </si>
  <si>
    <t>South Rupununi</t>
  </si>
  <si>
    <t>Raposa Serra do Sol</t>
  </si>
  <si>
    <t>Parque Nacional Canaima</t>
  </si>
  <si>
    <t>119a.1</t>
  </si>
  <si>
    <t>119b.1</t>
  </si>
  <si>
    <t>119c.1</t>
  </si>
  <si>
    <t>119d.1</t>
  </si>
  <si>
    <t>Partly as a colonial legacy, and as a result of large wildfires, a 'zero' burning policy was adopted for conservation reasons.</t>
  </si>
  <si>
    <t>119c.2</t>
  </si>
  <si>
    <t>From 2012, fire was allowed for conservation purposes in "fire prone" environments</t>
  </si>
  <si>
    <t>Farm area from fields per farmer &amp; field size from associated dominant cropping system; traditional forestry refers to fruit collection from trees, especially those lining roads</t>
  </si>
  <si>
    <t>2-3 cultivation plus 5-20 years' fallow reported</t>
  </si>
  <si>
    <t>119a.2</t>
  </si>
  <si>
    <t>119a.3</t>
  </si>
  <si>
    <t>119a.4</t>
  </si>
  <si>
    <t>119a.5</t>
  </si>
  <si>
    <t>119a.6</t>
  </si>
  <si>
    <t>119a.7</t>
  </si>
  <si>
    <t>119a.8</t>
  </si>
  <si>
    <t>119a.9</t>
  </si>
  <si>
    <t>119a.10</t>
  </si>
  <si>
    <t>119a.11</t>
  </si>
  <si>
    <t>119a.12</t>
  </si>
  <si>
    <t>119a.13</t>
  </si>
  <si>
    <t>Fire surrounding rivers and lakes causes insects to jump into the water, thereby attracting fish</t>
  </si>
  <si>
    <t>119a.14</t>
  </si>
  <si>
    <t>119a.15</t>
  </si>
  <si>
    <t>119a.16</t>
  </si>
  <si>
    <t>Small numbers of cattle held in communally-managed areas</t>
  </si>
  <si>
    <t>119b.2</t>
  </si>
  <si>
    <t>119b.3</t>
  </si>
  <si>
    <t>119b.4</t>
  </si>
  <si>
    <t>119b.5</t>
  </si>
  <si>
    <t>119b.6</t>
  </si>
  <si>
    <t>119b.7</t>
  </si>
  <si>
    <t>119b.8</t>
  </si>
  <si>
    <t>119b.9</t>
  </si>
  <si>
    <t>119b.10</t>
  </si>
  <si>
    <t>119b.11</t>
  </si>
  <si>
    <t>119b.12</t>
  </si>
  <si>
    <t>119b.13</t>
  </si>
  <si>
    <t>119b.14</t>
  </si>
  <si>
    <t>119b.15</t>
  </si>
  <si>
    <t>119b.16</t>
  </si>
  <si>
    <t>119c.3</t>
  </si>
  <si>
    <t>119c.4</t>
  </si>
  <si>
    <t>119c.5</t>
  </si>
  <si>
    <t>119c.6</t>
  </si>
  <si>
    <t>119c.7</t>
  </si>
  <si>
    <t>119c.8</t>
  </si>
  <si>
    <t>119c.9</t>
  </si>
  <si>
    <t>119c.10</t>
  </si>
  <si>
    <t>119c.11</t>
  </si>
  <si>
    <t>119c.12</t>
  </si>
  <si>
    <t>119c.13</t>
  </si>
  <si>
    <t>119c.14</t>
  </si>
  <si>
    <t>119d.2</t>
  </si>
  <si>
    <t>119d.3</t>
  </si>
  <si>
    <t>119d.4</t>
  </si>
  <si>
    <t>119d.5</t>
  </si>
  <si>
    <t>119d.6</t>
  </si>
  <si>
    <t>119d.7</t>
  </si>
  <si>
    <t>119d.8</t>
  </si>
  <si>
    <t>119d.9</t>
  </si>
  <si>
    <t>119d.10</t>
  </si>
  <si>
    <t>119d.11</t>
  </si>
  <si>
    <t>119d.12</t>
  </si>
  <si>
    <t>119d.13</t>
  </si>
  <si>
    <t>119d.14</t>
  </si>
  <si>
    <t>"burnings are done against the wind (backﬁres) in early morning hours while ﬂammable material is more humid, in this way, preventing ﬁre spreading. Additionally, since the burning is fully completed in the morning, they still have plenty of light hours to be alert and control and restrain any ﬁre spread..."</t>
  </si>
  <si>
    <t>"Makushi and Wapishana use the patch mosaic system to both have fresh grass for cattle in diﬀerent areas at diﬀerent times and to protect savannas from the spread of wildﬁre"</t>
  </si>
  <si>
    <t>"Foremost among the Pemón’s reasons for burning the savanna is to create a mosaic landscape of vegetation divided by natural ﬁre breaks that keep low fuel levels, preventing the spread of larger ﬁres. They usually undertake this practice in the savanna—forest transitions—in order to protect forests from wildﬁres, assuring the continuity of their main livelihood activities"</t>
  </si>
  <si>
    <t>PCIV brigades formed of indigenous people attended swidden fires…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</si>
  <si>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External firefighting agency dealt with large wildfires within the national park</t>
  </si>
  <si>
    <t>Fire suppression agent</t>
  </si>
  <si>
    <t>Firefighters had previously adopted a zero fire policy, that had led to a build up of fuel and megafires. After this, they had begun to work with local communities to adopt a hybrid plan of firefighting combined with the traditional fire calendar and subsistence practice</t>
  </si>
  <si>
    <t xml:space="preserve">Firefighting service was available, though their ability to implement a first-class fire service was seen as potentially being hampered by wealthy landowners who disliked the incorporation of controlled burning and traditional fire knowledge into fire management plans. </t>
  </si>
  <si>
    <t>PCIV brigades formed of indigenous people attended swidden fires… "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</si>
  <si>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There was no national fire service in Guyana</t>
  </si>
  <si>
    <t>The breakdown of the traditional indigenous community had led to less community envolvement in fire management; one indigenous leader said "Each one takes care of his own farm for example, and if the ﬁre is out of control, there is not a large team to help him, thus increasing the chances of the burn entering adjacent forest".</t>
  </si>
  <si>
    <t>The breakdown of the traditional indigenous community had led to less community envolvement in fire management; one indigenous leader said: "We had an Indigenous calendar for burnings. Now each person does his own thing and makes ﬁre alone without a plan or knowledge"</t>
  </si>
  <si>
    <t>"San Jose"</t>
  </si>
  <si>
    <t>32a.1</t>
  </si>
  <si>
    <t>Fire return estimated from fallow period + 2</t>
  </si>
  <si>
    <t>32a.2</t>
  </si>
  <si>
    <t>Study dates estimated from publication date</t>
  </si>
  <si>
    <t>Agalawtte 1993, cited in Fujisaka 1996</t>
  </si>
  <si>
    <t>Lizarralde 1991</t>
  </si>
  <si>
    <t>Siahaya 2016</t>
  </si>
  <si>
    <t>120a</t>
  </si>
  <si>
    <t>Linggang Melapeh</t>
  </si>
  <si>
    <t xml:space="preserve">120a.1 </t>
  </si>
  <si>
    <t>120a.2</t>
  </si>
  <si>
    <t>Swidden fields were burned annually to remove shrubby vegetation</t>
  </si>
  <si>
    <t>120b.2</t>
  </si>
  <si>
    <t>120b</t>
  </si>
  <si>
    <t>Reijentjes 1992, cited in Siahaya 2016</t>
  </si>
  <si>
    <t>Study dates estimated based on publication date</t>
  </si>
  <si>
    <t>Agroforestry involves rubber, nut and and other crop production; plantation principally rubber plantations; land cover %s based on proportion of reported land cover types; yield is for swidden rice</t>
  </si>
  <si>
    <t>120b.1</t>
  </si>
  <si>
    <t>Fields used for up to three years and are burned annually</t>
  </si>
  <si>
    <t>Fire return based on fire cycle</t>
  </si>
  <si>
    <t xml:space="preserve">Combination of farmers abandoning subsistence farming for cities, and industrial land users occupying territory outside the village had approximately balanced out. </t>
  </si>
  <si>
    <t>121a</t>
  </si>
  <si>
    <t>Schmook 2010</t>
  </si>
  <si>
    <t>Quintana Roo</t>
  </si>
  <si>
    <t>121b</t>
  </si>
  <si>
    <t>121c</t>
  </si>
  <si>
    <t>El Refugio</t>
  </si>
  <si>
    <t>Centauros del Norte</t>
  </si>
  <si>
    <t>Alvaro Obregon</t>
  </si>
  <si>
    <t>121d</t>
  </si>
  <si>
    <t>121e</t>
  </si>
  <si>
    <t>121f</t>
  </si>
  <si>
    <t>Neuvo Becar</t>
  </si>
  <si>
    <t>X-Bonil</t>
  </si>
  <si>
    <t>Nicolas Bravo</t>
  </si>
  <si>
    <t>121g</t>
  </si>
  <si>
    <t>121h</t>
  </si>
  <si>
    <t>121i</t>
  </si>
  <si>
    <t>La Lucha</t>
  </si>
  <si>
    <t>Tomas Garrido</t>
  </si>
  <si>
    <t>Arroyo Negro</t>
  </si>
  <si>
    <t>121j</t>
  </si>
  <si>
    <t>121k</t>
  </si>
  <si>
    <t>121l</t>
  </si>
  <si>
    <t>Chan Laguna</t>
  </si>
  <si>
    <t>Km. 120</t>
  </si>
  <si>
    <t>Alacranes</t>
  </si>
  <si>
    <t>121m</t>
  </si>
  <si>
    <t>121n</t>
  </si>
  <si>
    <t>Cana Brava</t>
  </si>
  <si>
    <t>Ingeniero Ricardo Pavro</t>
  </si>
  <si>
    <t xml:space="preserve">Study village not identified; centre of study region provided. </t>
  </si>
  <si>
    <t>121a.1</t>
  </si>
  <si>
    <t>121b.1</t>
  </si>
  <si>
    <t>121c.1</t>
  </si>
  <si>
    <t>121d.1</t>
  </si>
  <si>
    <t>121e.1</t>
  </si>
  <si>
    <t>121f.1</t>
  </si>
  <si>
    <t>121g.1</t>
  </si>
  <si>
    <t>121h.1</t>
  </si>
  <si>
    <t>121i.1</t>
  </si>
  <si>
    <t>121j.1</t>
  </si>
  <si>
    <t>121k.1</t>
  </si>
  <si>
    <t>121l.1</t>
  </si>
  <si>
    <t>121m.1</t>
  </si>
  <si>
    <t>121n.1</t>
  </si>
  <si>
    <t>Fire return based on cropping density and reported mean fallow cycle (9 years)</t>
  </si>
  <si>
    <t>Yield is for maize; an average of 13.71% and 9.14% used fertilisers on swidden plots</t>
  </si>
  <si>
    <t>de Melo 2012</t>
  </si>
  <si>
    <t>122a</t>
  </si>
  <si>
    <t>122b</t>
  </si>
  <si>
    <t>Pimentel Barbosa Indigenous Lands</t>
  </si>
  <si>
    <t>Areoes Indigenous Lands</t>
  </si>
  <si>
    <t>Forestry is hunter gathering</t>
  </si>
  <si>
    <t>122a.1</t>
  </si>
  <si>
    <t xml:space="preserve">The transitional vegetation (campo sujo) between grassland and shrubland (cerrado) was burned only in July at an interval of 1-2 years. </t>
  </si>
  <si>
    <t>122a.2</t>
  </si>
  <si>
    <t xml:space="preserve">Sparser vegetation was burned earlier in the dry season to prevent uncontrolled wildfires later in the dry-season. The eldest members of the tribe decide whether to burn after 1 or 2 years. </t>
  </si>
  <si>
    <t>"Our results indicate that the Xavante know that fire behavior is determined by the interaction of several factors, such as climate, rain, humidity, wind, topography, and fuel sources. In turn, these factors influence the defining aspects of fire behavior, such as flame intensity, residual heat, the vertical distribution of temperature, and the rate at which a fire spreads....This knowledge-based practice implies that they also understand the extension of these factors to fire behavior and that they use their knowledge of fire behavior to avoid uncontrolled fires and provide the helpful service of fuel reduction"</t>
  </si>
  <si>
    <t>Gil-Romero 2011</t>
  </si>
  <si>
    <t>123a</t>
  </si>
  <si>
    <t>Lower Omo Valley</t>
  </si>
  <si>
    <t>Mako</t>
  </si>
  <si>
    <t>Maganto</t>
  </si>
  <si>
    <t>Dargus</t>
  </si>
  <si>
    <t>123b</t>
  </si>
  <si>
    <t>123c</t>
  </si>
  <si>
    <t>Location digitised from author map; study area estimated from author map.</t>
  </si>
  <si>
    <t>123d</t>
  </si>
  <si>
    <t>123e</t>
  </si>
  <si>
    <t>123f</t>
  </si>
  <si>
    <t>123a.1</t>
  </si>
  <si>
    <t>123a.2</t>
  </si>
  <si>
    <t>Burning timed before first heavy rains fall in March</t>
  </si>
  <si>
    <t>123b.1</t>
  </si>
  <si>
    <t>123b.2</t>
  </si>
  <si>
    <t>123c.1</t>
  </si>
  <si>
    <t>123c.2</t>
  </si>
  <si>
    <t>124a</t>
  </si>
  <si>
    <t>124a.1</t>
  </si>
  <si>
    <t>123d.1</t>
  </si>
  <si>
    <t xml:space="preserve">Burning was every few years to allow fuel build-up; this meant larger fires which removed woody vegetation from the land. </t>
  </si>
  <si>
    <t xml:space="preserve">Community fire-management had broken down, leading to annual burning dominating. </t>
  </si>
  <si>
    <t>123e.1</t>
  </si>
  <si>
    <t>123f.1</t>
  </si>
  <si>
    <t>123a.3</t>
  </si>
  <si>
    <t>123a.4</t>
  </si>
  <si>
    <t>123b.3</t>
  </si>
  <si>
    <t>123b.4</t>
  </si>
  <si>
    <t>123c.3</t>
  </si>
  <si>
    <t>123c.4</t>
  </si>
  <si>
    <t>Burning was 'haphazard'</t>
  </si>
  <si>
    <t>The burning regime was intended to allow fuel build-up, and therefore very large fires that removed trees from the bush.</t>
  </si>
  <si>
    <t>The breakdown of community fire practice had led to people starting fires without due care and attention: "People of my age ... they don’t listen to the elders. They do whatever they like. They burn wherever they like ... which is not right."</t>
  </si>
  <si>
    <t>Annual burning helped to prevent fuel build-up and therefore very large fires</t>
  </si>
  <si>
    <t>There was an intricate arrangement of fire management, involving community rituals led by a local priest.</t>
  </si>
  <si>
    <t>The national parks are described as following a haphazard fire management plan</t>
  </si>
  <si>
    <t xml:space="preserve">Traditional fires for pasture management were outlawed inside govt managed protected areas and a tourist hunting concession. </t>
  </si>
  <si>
    <t>No protected areas or tourist concessions were yet present.</t>
  </si>
  <si>
    <t>Copsey 2009</t>
  </si>
  <si>
    <t>Anororo</t>
  </si>
  <si>
    <t>Lac Alaotra</t>
  </si>
  <si>
    <t>Forestry is hunter gathering, principally fishing and biomass gathering; study focuses on wetland areas. However, not clear what % were primary vs secondary vegetation created from burning for fishing.</t>
  </si>
  <si>
    <t>Wetland vegetation</t>
  </si>
  <si>
    <t>124a.2</t>
  </si>
  <si>
    <t>124a.3</t>
  </si>
  <si>
    <t>Degraded wetland</t>
  </si>
  <si>
    <t>124a.4</t>
  </si>
  <si>
    <t>Wetland vegetation; clearing of land for rice paddy</t>
  </si>
  <si>
    <t>Degraded wetland vegetation; clearing of land for rice paddy</t>
  </si>
  <si>
    <t>124a.5</t>
  </si>
  <si>
    <t>124a.6</t>
  </si>
  <si>
    <t>124a.7</t>
  </si>
  <si>
    <t>Wetland vegetation; hunting for lemurs</t>
  </si>
  <si>
    <t>Andrianandrasana 2005</t>
  </si>
  <si>
    <t>125a</t>
  </si>
  <si>
    <t>Alaotra wetlands</t>
  </si>
  <si>
    <t xml:space="preserve">Subsistence-oriented monoculture is paddy rice; yield is for paddy rice. Study area comprises wetland and surrounding cropland. </t>
  </si>
  <si>
    <t>125a.1</t>
  </si>
  <si>
    <t>125a.2</t>
  </si>
  <si>
    <t>125a.3</t>
  </si>
  <si>
    <t>125a.4</t>
  </si>
  <si>
    <t>Distribution of brned area uses fire intention distribution from Copsey 2009 (124)</t>
  </si>
  <si>
    <t>Fire for fishing restricted to three months of the year; restriction only "strictly enforced" since 2002</t>
  </si>
  <si>
    <t xml:space="preserve">Fire for fishing restricted to three months of the year; on the ground monitoring suggested the ban had been respected. </t>
  </si>
  <si>
    <t>Laws outlawing fire use in fishing were strengthened in 2002.</t>
  </si>
  <si>
    <t>Klop 2007</t>
  </si>
  <si>
    <t>126a</t>
  </si>
  <si>
    <t xml:space="preserve"> Bénoué National Park</t>
  </si>
  <si>
    <t>126a.1</t>
  </si>
  <si>
    <t xml:space="preserve">Burning restricted to dry season; Number of fires is given as 20 - however unclear if this is 20 ignitions or 20 large wildfires. Herbivores reported to prefer grass after a hotter burn that removes stems from shrubby plants. </t>
  </si>
  <si>
    <t>Awash Valley</t>
  </si>
  <si>
    <t>Abule 2004</t>
  </si>
  <si>
    <t>127a</t>
  </si>
  <si>
    <t>127b</t>
  </si>
  <si>
    <t>Awash-Fantale</t>
  </si>
  <si>
    <t>Kereyu-Fantale</t>
  </si>
  <si>
    <t>127a.1</t>
  </si>
  <si>
    <t>127b.1</t>
  </si>
  <si>
    <t>Bans and population pressure had led to an absence of burning: in this region, burning of pasture required fallowing due to low levels of NPP. This was not possible due to overgrazing driven by inward migration and being appropriated as cropland.</t>
  </si>
  <si>
    <t>Angassa 2008</t>
  </si>
  <si>
    <t>128a</t>
  </si>
  <si>
    <t>128b</t>
  </si>
  <si>
    <t>Arero</t>
  </si>
  <si>
    <t>Dirre</t>
  </si>
  <si>
    <t>Yabello</t>
  </si>
  <si>
    <t>128c</t>
  </si>
  <si>
    <t>Oromia</t>
  </si>
  <si>
    <t>Field work dates estimated from publication</t>
  </si>
  <si>
    <t>129a</t>
  </si>
  <si>
    <t>129b</t>
  </si>
  <si>
    <t>129c</t>
  </si>
  <si>
    <t>128a.1</t>
  </si>
  <si>
    <t>128b.1</t>
  </si>
  <si>
    <t>128c.1</t>
  </si>
  <si>
    <t>128a.2</t>
  </si>
  <si>
    <t>128b.2</t>
  </si>
  <si>
    <t>128c.2</t>
  </si>
  <si>
    <t>128a.3</t>
  </si>
  <si>
    <t>128b.3</t>
  </si>
  <si>
    <t>128c.3</t>
  </si>
  <si>
    <t>Fires during main dry season, before main wet season in March-May; data from oral history collected in 2003/4</t>
  </si>
  <si>
    <t>Intended burned area based on proportion of pastoralists burning (94%) and the fire return period (point estimate 2.88)</t>
  </si>
  <si>
    <t>"Despite the government’s concern about the careless use of fires, this study showed that the pastoralists are knowledgeable and careful about the application of fire."</t>
  </si>
  <si>
    <t>Subsequent fire ban (~1970) had had a profound impact on the composition of the rangelands and fire practice in the community</t>
  </si>
  <si>
    <t xml:space="preserve">Incentives were a proactive policy of land privitisation that encouraged a transition to sedentary cropping. </t>
  </si>
  <si>
    <t>Angassa 2007</t>
  </si>
  <si>
    <t>Dida-Hara</t>
  </si>
  <si>
    <t xml:space="preserve">Borana </t>
  </si>
  <si>
    <t xml:space="preserve">Field study conducted in 2003, also reports early field observations </t>
  </si>
  <si>
    <t>129a.1</t>
  </si>
  <si>
    <t>129b.1</t>
  </si>
  <si>
    <t>129c.1</t>
  </si>
  <si>
    <t xml:space="preserve">Inward migration of sedentary population, combined with digging of permanent water pools, combined with a fire ban led to a decline of traditional rangeland mgmt. In its place, pastoralists created communal enclosures for dry season forage. These were too small / heavily grazed and close to villages to be burned. </t>
  </si>
  <si>
    <t>Farm size is for a communal pasture enclosure</t>
  </si>
  <si>
    <t>Bird 2005</t>
  </si>
  <si>
    <t>130a</t>
  </si>
  <si>
    <t>Australia</t>
  </si>
  <si>
    <t>Western Desert</t>
  </si>
  <si>
    <t>Traditional forestry is aboriginal hunter gathering</t>
  </si>
  <si>
    <t xml:space="preserve">Traditional burning regime led to substantial controls on fire size </t>
  </si>
  <si>
    <t>130a.1</t>
  </si>
  <si>
    <t>130a.2</t>
  </si>
  <si>
    <t>Martu Aboriginal Homelands</t>
  </si>
  <si>
    <t>"Foraging outside the (cool-dry season) does not usually involve burning"</t>
  </si>
  <si>
    <t>"Burning during wana hunts is highly systematic: the size of the ﬁre-line used and the burned patch (nyurnma) that results depend on th ewind velocity, accumulated fuels, and surrounding ﬁrebreaks— in the sandplains and dunes, ﬁrebreaks are primarily neighboring patches burned within the last two or three years. Hunters ignite a line of dry spinifex by quickly ﬂicking matches or dabbing a ﬁre-stick into the occasional hummock as they walk along in search."</t>
  </si>
  <si>
    <t>Aboriginal burning had ceased, as population was resettled</t>
  </si>
  <si>
    <t>Resettlement of aboriginal people for cities led to a dramatic increase in fire size</t>
  </si>
  <si>
    <t>Burrows 2006</t>
  </si>
  <si>
    <t>131a</t>
  </si>
  <si>
    <t>Kiwirrkurra Aboriginal Homelands</t>
  </si>
  <si>
    <t>Fieldwork date was 1987</t>
  </si>
  <si>
    <t>131a.1</t>
  </si>
  <si>
    <t>131a.2</t>
  </si>
  <si>
    <t>131a.3</t>
  </si>
  <si>
    <t>131a.4</t>
  </si>
  <si>
    <t>131a.5</t>
  </si>
  <si>
    <t>131a.6</t>
  </si>
  <si>
    <t>131a.7</t>
  </si>
  <si>
    <t>131a.8</t>
  </si>
  <si>
    <t>131a.9</t>
  </si>
  <si>
    <t>131a.10</t>
  </si>
  <si>
    <t>131a.11</t>
  </si>
  <si>
    <t>"From our interviews with Pintupis, it was clear that they had a sound empirical understanding of the role of weather and fuel conditions in influencing fire behaviour."</t>
  </si>
  <si>
    <t>"Many generations of Aborigines frequently burning country as they moved through the landscape would have resulted in discontinuous, patchy fuels, ranging from recently burnt to occasional long-unburnt patches. However, when the human ignition source was removed from the desert, fuels accumulated over large, continuous tracts of land in a relatively short time."</t>
  </si>
  <si>
    <t>Minimum fire return given as 5-7 years; estimate based on this and combined burned area over 5-6 year period. Aboriginal patch burning led to strong controls in mean fire size.</t>
  </si>
  <si>
    <t>Number of fires based on number of patches identified from aerial photo, minus the mean number in years after aboriginal people had left the area. Oral evidence and fire size from satellites suggest the Aborigines burned year round, even in 'marginal weather conditions (light winds, moist fuels)'</t>
  </si>
  <si>
    <t>Russell-Smith 1997</t>
  </si>
  <si>
    <t>132a</t>
  </si>
  <si>
    <t>Location from author description</t>
  </si>
  <si>
    <t>132a.1</t>
  </si>
  <si>
    <t>132a.2</t>
  </si>
  <si>
    <t>The majority of burning took place early in the mid dry season (June-Aug)</t>
  </si>
  <si>
    <t>Fires to 'clean the landscape' ceased In the peak dry season (August-October)</t>
  </si>
  <si>
    <t>132a.3</t>
  </si>
  <si>
    <t>132a.4</t>
  </si>
  <si>
    <t>Fires focused on wetlands, to clear areas for hunting of aphibians and fish</t>
  </si>
  <si>
    <t>132a.5</t>
  </si>
  <si>
    <t xml:space="preserve">During the hot, dry-season, large and escaped fires for hunting were described. </t>
  </si>
  <si>
    <t>Lightning fires dominated ignitions in the storms of the wet season.</t>
  </si>
  <si>
    <t>Throughout (the dry season), "both men and women, typically under the guidance of senior custodians, set about arri wurlhge, "cleaning the country," moving through their clan estates systematically setting fire to the curing grasses with their smouldering anyakngarra (Pandanus spiralis) or guibuk (Banksia dentata) firesticks. Burning radiated out from camp sites and footpaths, creating wurga, small patches, and gabolk birrmiyandan, places cleaned of grasses; later, as people and their fires traveled further, the landscape would become a mosaic of burnt and unburnt vegetation. When burning upland, woodland areas, care was taken to protect/conserve known beds of bush yams; careless burning would erase all trace of their already withering aerial parts. Similarly, conservation of fruit trees was undertaken using anbirlu yahwurd—low, creeping, fires."</t>
  </si>
  <si>
    <t>West Arnhem Aboriginal Lands</t>
  </si>
  <si>
    <t>Kakapu National Park</t>
  </si>
  <si>
    <t>133a</t>
  </si>
  <si>
    <t>Bloesch, 1999</t>
  </si>
  <si>
    <t>Ankarafantsika plateau</t>
  </si>
  <si>
    <t>Traditional forestry is hunter gathering</t>
  </si>
  <si>
    <t xml:space="preserve">Traditional forestry is hunter gathering; extractive forestry was for wood and charcoal for urban population. </t>
  </si>
  <si>
    <t>133a.1</t>
  </si>
  <si>
    <t xml:space="preserve">Late dry season fires to clear woody shrubs from the rangelands. </t>
  </si>
  <si>
    <t>133a.2</t>
  </si>
  <si>
    <t xml:space="preserve">Due to the lack of a permanent water source on the plateau, during the dry season, cattle grazed on rice fields, and hence early dry season pasture burning was 'seldom' practiced. </t>
  </si>
  <si>
    <t>133a.3</t>
  </si>
  <si>
    <t>133a.4</t>
  </si>
  <si>
    <t>133a.5</t>
  </si>
  <si>
    <t>"End of dry season"</t>
  </si>
  <si>
    <t>"The risk of loosing control over the fire is low, if the local community assures control as was traditionally the case."</t>
  </si>
  <si>
    <t>"The burning of a charcoal pile is usually not surveyed permanently and therefore there is a high risk that the fire spreads to the surrounding dry forest."</t>
  </si>
  <si>
    <t>133a.6</t>
  </si>
  <si>
    <t>Charcoal production</t>
  </si>
  <si>
    <t>Charcoal fires "frequently" escaped</t>
  </si>
  <si>
    <t>133a.7</t>
  </si>
  <si>
    <t>133a.8</t>
  </si>
  <si>
    <t>Harvesting of NTFP</t>
  </si>
  <si>
    <t>"Uncontrolled" use of fire for harvesting yams regularly escaped</t>
  </si>
  <si>
    <t>133a.9</t>
  </si>
  <si>
    <t>133a.10</t>
  </si>
  <si>
    <t>"Frequently people manifest their disagreement towards the authorities by setting fire. Most probably, the fire in the newly installed cashew-nut plantations (FaMaMa Project, Mevadoany) was such a case."</t>
  </si>
  <si>
    <t>Almost all use of fire for "almost any purpose" was banned</t>
  </si>
  <si>
    <t>"For the harvesting of the tubers the population uses fire to facilitate the detection of the over-ground parts of these climbers. This uncontrolled burning may devastate large areas of dry forest"</t>
  </si>
  <si>
    <t>Bowora 2016</t>
  </si>
  <si>
    <t>Hwedza District</t>
  </si>
  <si>
    <t>Mashonaland East Province</t>
  </si>
  <si>
    <t>Zimbabwe</t>
  </si>
  <si>
    <t>134a</t>
  </si>
  <si>
    <t>134b</t>
  </si>
  <si>
    <t>Policy overview of fire in Zimbabwe</t>
  </si>
  <si>
    <t>134b.1</t>
  </si>
  <si>
    <t>134b.2</t>
  </si>
  <si>
    <t>"In the 1960s, the country developed a fire management system which was based on early detection, quick reaction and suppression (Mudekwe, 2007).  This system mainly targeted forestry plantations, protected areas and private land such as commercial farms. According to FAO (2011), this approach to fire management was effective though costly and excluded especially the rural farmer who was regarded as part of the problem."</t>
  </si>
  <si>
    <t>134a.1</t>
  </si>
  <si>
    <t>134a.2</t>
  </si>
  <si>
    <t>134a.3</t>
  </si>
  <si>
    <t>"Although the country is making some efforts in managing fire, Nkomo and Sassi (2009) argue that the current fire management system in Zimbabwe is ineffective, costly and spatially limited. Chigurah and Jerie (2010) echo the same sentiments arguing that fire prevention and detection have been severely constrained and ineffective in Zimbabwe... A total of 130 fire fighting teams were established in 2012 throughout the country (EMA, 2012). Despite these trainings there is a generally marked rise in fire occurrences in accelerated land reform programme farming areas (EMA, 2011). Thus the effectiveness of these trainings in controlling fire in accelerated land reform farming 
areas needs to be assessed. "</t>
  </si>
  <si>
    <t xml:space="preserve">Some farmers conducted hay bailing, to harvest grass for cattle - thereby reducing fuel load. </t>
  </si>
  <si>
    <t>134a.4</t>
  </si>
  <si>
    <t>134a.5</t>
  </si>
  <si>
    <t>134a.6</t>
  </si>
  <si>
    <t>In 2009 just 1% of farmers contstructed fire breaks</t>
  </si>
  <si>
    <t>134a.7</t>
  </si>
  <si>
    <t>In 2010 just 1% of farmers contstructed fire breaks</t>
  </si>
  <si>
    <t>134a.8</t>
  </si>
  <si>
    <t>134a.9</t>
  </si>
  <si>
    <t>134a.10</t>
  </si>
  <si>
    <t xml:space="preserve">Fire break adoption increased to around 8%, other measures becoming more common included reducing fuel load, and informing other farmers. </t>
  </si>
  <si>
    <t>134a.11</t>
  </si>
  <si>
    <t>134a.12</t>
  </si>
  <si>
    <t>134a.13</t>
  </si>
  <si>
    <t xml:space="preserve">Fire break adoption increased to around 10%, other measures becoming more common included reducing fuel load, and informing other farmers. </t>
  </si>
  <si>
    <t>134a.14</t>
  </si>
  <si>
    <t>134a.15</t>
  </si>
  <si>
    <t>134a.16</t>
  </si>
  <si>
    <t>134a.17</t>
  </si>
  <si>
    <t>134a.18</t>
  </si>
  <si>
    <t>134a.19</t>
  </si>
  <si>
    <t xml:space="preserve">Fire break adoption increased to around 15%, other measures becoming more common included reducing fuel load, and informing other farmers. </t>
  </si>
  <si>
    <t xml:space="preserve">There were 12 firefighting teams across the ward, however their main equipment was rudimentary fire beaters - often branches of trees hastily pulled down during a fire event. </t>
  </si>
  <si>
    <t xml:space="preserve">There were 9 firefighting teams across the ward, however their main equipment was rudimentary fire beaters - often branches of trees hastily pulled down during a fire event. </t>
  </si>
  <si>
    <t xml:space="preserve">There were 15 firefighting teams across the ward, however their main equipment was rudimentary fire beaters - often branches of trees hastily pulled down during a fire event. </t>
  </si>
  <si>
    <t xml:space="preserve">There were 24 firefighting teams across the ward, however their main equipment was rudimentary fire beaters - often branches of trees hastily pulled down during a fire event. </t>
  </si>
  <si>
    <t xml:space="preserve">"Implementation of the various pieces of fire legislation is still lagging behind mainly due to resource constraints. Poor 
implementation of legislation may not lead to a shift in fire management practices in communities."
Incentives were primarily education and training in fire management. </t>
  </si>
  <si>
    <t>There were no community firefighting teams</t>
  </si>
  <si>
    <t>Butz 2009</t>
  </si>
  <si>
    <t>135a</t>
  </si>
  <si>
    <t>Longido District</t>
  </si>
  <si>
    <t>135b</t>
  </si>
  <si>
    <t>135a.1</t>
  </si>
  <si>
    <t>135a.2</t>
  </si>
  <si>
    <t>135a.3</t>
  </si>
  <si>
    <t>Forested areas were not burned as they were used for building materials and firewood</t>
  </si>
  <si>
    <t>135a.4</t>
  </si>
  <si>
    <t>135a.5</t>
  </si>
  <si>
    <t>135a.6</t>
  </si>
  <si>
    <t>135a.7</t>
  </si>
  <si>
    <t>135a.8</t>
  </si>
  <si>
    <t>135a.9</t>
  </si>
  <si>
    <t>135a.10</t>
  </si>
  <si>
    <t>135a.11</t>
  </si>
  <si>
    <t>135a.12</t>
  </si>
  <si>
    <t>135a.13</t>
  </si>
  <si>
    <t>"Maasai pastoralists used natural or constructed firebreaks, such as a dry riverbed or a constructedtrench,aswellasback-burnstoconstraintheareato be burned… If the area to be burned was experiencing strong winds at night, the men would ignite the fire(s) very early in the morning and assign a team of people, often other warriors and young boys, to carefully watch the progression"</t>
  </si>
  <si>
    <t>"Green branches of trees were cut and used to beat out small fires and fires that jumped a firebreak into an undesired area. Sand was also used to put out fires when careful containment was necessary.</t>
  </si>
  <si>
    <t xml:space="preserve">"a progression of small fires throughout the dry season to create a checkerboard or patch-mosaic (Parr and Brockett 1999) pattern of burns as grasses cured to prevent large, catastrophic late-season fires. Pasture areas grazed down by livestock also served to prevent fires from escaping by containing minimal fuel loads. </t>
  </si>
  <si>
    <t xml:space="preserve">Traditional forestry was gathering of wood for construction and fire. </t>
  </si>
  <si>
    <t>Small-scale forestry was primarily charcoal production</t>
  </si>
  <si>
    <t xml:space="preserve">Data gathered from oral history during 2005 fieldwork; population density is linear interpolation from 1977 and 2005 data. </t>
  </si>
  <si>
    <t xml:space="preserve">135b.1 </t>
  </si>
  <si>
    <t xml:space="preserve">Traditional burning had died out, due to a combination of population pressure making burning too risky, government bans, rains becoming too variable to burn according to the calendar and a lack of confidence forage would grow back. </t>
  </si>
  <si>
    <t>135b.2</t>
  </si>
  <si>
    <t>135b.3</t>
  </si>
  <si>
    <t>135b.4</t>
  </si>
  <si>
    <t>135b.5</t>
  </si>
  <si>
    <t>135b.6</t>
  </si>
  <si>
    <t>135b.7</t>
  </si>
  <si>
    <t>135b.8</t>
  </si>
  <si>
    <t>135b.9</t>
  </si>
  <si>
    <t>135b.10</t>
  </si>
  <si>
    <t>135b.11</t>
  </si>
  <si>
    <t>135b.12</t>
  </si>
  <si>
    <t>135b.13</t>
  </si>
  <si>
    <t>135b.14</t>
  </si>
  <si>
    <t>To eliminate poor grasses</t>
  </si>
  <si>
    <t>Accidental fire that started in West Kilimanjaro</t>
  </si>
  <si>
    <t>Careless cooking fires</t>
  </si>
  <si>
    <t>"Purposeful burn"</t>
  </si>
  <si>
    <t>Cigarette thrown from road</t>
  </si>
  <si>
    <t>135b.1</t>
  </si>
  <si>
    <t>Maasai reported being 'thrown in jail' for burning. One rationale for the ban was "tourists do not want to see blackened land when they are on safari"</t>
  </si>
  <si>
    <t xml:space="preserve">Breakdown of community fire practice had led to more accidental fires and to a "destructive" fire regime. </t>
  </si>
  <si>
    <t>Uganda</t>
  </si>
  <si>
    <t>136a</t>
  </si>
  <si>
    <t>Byakagaba 2018</t>
  </si>
  <si>
    <t>Policy overview of rangeland fire in Uganda</t>
  </si>
  <si>
    <t>136a.1</t>
  </si>
  <si>
    <t>136a.2</t>
  </si>
  <si>
    <t>Nature reserve managers were allowed to burn for fire control and conservation reasons</t>
  </si>
  <si>
    <t xml:space="preserve">The 1974 burning of grassland act banned use of fire for almost all land mangagement purposes, and remained in force. </t>
  </si>
  <si>
    <t xml:space="preserve">"Rangelands cover 44% of Uganda's total land area; most of them are dominated by pastoralists"; frequent land conflicts were reported. </t>
  </si>
  <si>
    <t>Elias 2015</t>
  </si>
  <si>
    <t>137a</t>
  </si>
  <si>
    <t>Darito</t>
  </si>
  <si>
    <t>Yabelo</t>
  </si>
  <si>
    <t>137b</t>
  </si>
  <si>
    <t>137c</t>
  </si>
  <si>
    <t>137d</t>
  </si>
  <si>
    <t>137e</t>
  </si>
  <si>
    <t>Soda</t>
  </si>
  <si>
    <t>Samaro</t>
  </si>
  <si>
    <t>Did mega</t>
  </si>
  <si>
    <t>Haralo</t>
  </si>
  <si>
    <t>Dire</t>
  </si>
  <si>
    <t xml:space="preserve">In land classification provided, "grassland" is not clearly distinct from rangeland and pasture </t>
  </si>
  <si>
    <t>137a.1</t>
  </si>
  <si>
    <t>137b.1</t>
  </si>
  <si>
    <t>137c.1</t>
  </si>
  <si>
    <t>137d.1</t>
  </si>
  <si>
    <t>137e.1</t>
  </si>
  <si>
    <t>137a.2</t>
  </si>
  <si>
    <t>137b.2</t>
  </si>
  <si>
    <t>137c.2</t>
  </si>
  <si>
    <t>137d.2</t>
  </si>
  <si>
    <t>137e.2</t>
  </si>
  <si>
    <t>~10% of farmers used "slash and burning"</t>
  </si>
  <si>
    <t>~50% of farmers used "slash and burning"</t>
  </si>
  <si>
    <t>~40% of farmers used "slash and burning"</t>
  </si>
  <si>
    <t xml:space="preserve">Burned area % based on proportion of farmers burning residues. </t>
  </si>
  <si>
    <t>Easdale 2018</t>
  </si>
  <si>
    <t>138a</t>
  </si>
  <si>
    <t>Northern Neuquén</t>
  </si>
  <si>
    <t>Argentina</t>
  </si>
  <si>
    <t xml:space="preserve">Study of pastoralists in the context of land use change, urbanisation and agricultural intensification. </t>
  </si>
  <si>
    <t>138a.1</t>
  </si>
  <si>
    <t>138a.2</t>
  </si>
  <si>
    <t>Absence of fire use confirmed by author personal communication</t>
  </si>
  <si>
    <t>Patagonia</t>
  </si>
  <si>
    <t>138a.3</t>
  </si>
  <si>
    <t>138a.4</t>
  </si>
  <si>
    <t>Eloy 2017</t>
  </si>
  <si>
    <t>139a</t>
  </si>
  <si>
    <t>139b</t>
  </si>
  <si>
    <t>Gran Sabana</t>
  </si>
  <si>
    <t>Canaima National Park</t>
  </si>
  <si>
    <t>139c</t>
  </si>
  <si>
    <t>139d</t>
  </si>
  <si>
    <t xml:space="preserve">Parque Nacional da Chapada das Mesas </t>
  </si>
  <si>
    <t>Maranhao</t>
  </si>
  <si>
    <t xml:space="preserve">Parque Estadual do Jalapao </t>
  </si>
  <si>
    <t>Estacao Ecologica Serra Geral</t>
  </si>
  <si>
    <t>139a.1</t>
  </si>
  <si>
    <t>139b.1</t>
  </si>
  <si>
    <t>139c.1</t>
  </si>
  <si>
    <t>139d.1</t>
  </si>
  <si>
    <t>139a.2</t>
  </si>
  <si>
    <t>139b.2</t>
  </si>
  <si>
    <t>139c.2</t>
  </si>
  <si>
    <t>139d.2</t>
  </si>
  <si>
    <t>From 2012, fire was allowed in fire-prone ecosystems of the Cerrado for conservation and pyrome management</t>
  </si>
  <si>
    <t>139a.3</t>
  </si>
  <si>
    <t>139b.3</t>
  </si>
  <si>
    <t>139c.3</t>
  </si>
  <si>
    <t>139d.3</t>
  </si>
  <si>
    <t>139a.4</t>
  </si>
  <si>
    <t>139b.4</t>
  </si>
  <si>
    <t>139c.4</t>
  </si>
  <si>
    <t>139d.4</t>
  </si>
  <si>
    <t xml:space="preserve">From 2012, fire was allowed in fire-prone ecosystems of the Cerrado for conservation and pyrome management; incentives were funding for community fire brigades. </t>
  </si>
  <si>
    <t>New law sought to recognise traditional fire knowledge within fire planning and management</t>
  </si>
  <si>
    <t>139a.5</t>
  </si>
  <si>
    <t>139b.5</t>
  </si>
  <si>
    <t>139c.5</t>
  </si>
  <si>
    <t>139a.6</t>
  </si>
  <si>
    <t>139b.6</t>
  </si>
  <si>
    <t>139c.6</t>
  </si>
  <si>
    <t>Fire brigades and other experts worked with farmers to open new swidden plots "without risk"</t>
  </si>
  <si>
    <t>Government had recruited community fire brigades, which harnessed both scientific and traditional fire knowledge</t>
  </si>
  <si>
    <t>Fire brigades worked with local knowledge to conduct fuel reducing prescribed burning</t>
  </si>
  <si>
    <t>George 2013</t>
  </si>
  <si>
    <t>140a</t>
  </si>
  <si>
    <t>Primary, secondary, review</t>
  </si>
  <si>
    <t>140b</t>
  </si>
  <si>
    <t>140b.1</t>
  </si>
  <si>
    <t xml:space="preserve">"In the smallholder farming areas of Zimbabwe, poor farmers who have limited resources and equipment to clear and prepare the land using mechanical methods frequently use fire for land preparation…" by inference, commercial farmers had not used fire prior to land reform. </t>
  </si>
  <si>
    <t>140a.1</t>
  </si>
  <si>
    <t>140a.2</t>
  </si>
  <si>
    <t>140a.3</t>
  </si>
  <si>
    <t>140a.4</t>
  </si>
  <si>
    <t>Traditional forestry is hunting and gathering of honey</t>
  </si>
  <si>
    <t>140a.5</t>
  </si>
  <si>
    <t>Workers were reported to be burning down forests in response to unpaid wages</t>
  </si>
  <si>
    <t>140a.6</t>
  </si>
  <si>
    <t>140a.7</t>
  </si>
  <si>
    <t>140a.8</t>
  </si>
  <si>
    <t>140a.9</t>
  </si>
  <si>
    <t>Escaped cooking fires lit by safari hunters</t>
  </si>
  <si>
    <t>Trains and long distance hauliers were known to start accidental and indiscriminate cooking fires</t>
  </si>
  <si>
    <t>140a.10</t>
  </si>
  <si>
    <t>140a.11</t>
  </si>
  <si>
    <t>140a.12</t>
  </si>
  <si>
    <t>140a.13</t>
  </si>
  <si>
    <t>140a.14</t>
  </si>
  <si>
    <t>140a.15</t>
  </si>
  <si>
    <t>140a.16</t>
  </si>
  <si>
    <t>Mixture of deliberate and escaped fires</t>
  </si>
  <si>
    <t>Burned area based on proportion of fires taking place in A1 (subsistence) and A2 (market) land resettlement areas; max fire size for smallholder based on mean farm size (5ha); data assumes all farmers in resettlement areas burned at a similar rate</t>
  </si>
  <si>
    <t>Burned area based on proportion of fires taking place in A1 (subsistence) and A2 (market) land resettlement areas; data assumes all farmers in resettlement areas burned at a similar rate</t>
  </si>
  <si>
    <t>Mixture of deliberate and escaped fires; both field preparation and land clearance fires</t>
  </si>
  <si>
    <t>"Zimbabwe’s Fast Track Land Reform Program (FTLRP) which started in 2000 resulted in an upsurge in veld fire incidents due to poor land clearing methods by the more than 300000 resettled small holder farmers. The FTLRP has encroached into areas that were not used for agriculture resulting in increased fire incidences."</t>
  </si>
  <si>
    <t>Famers using fire were supposed to enact control measures such as fire breaks; however no fines were issued for non-compliance nationwide</t>
  </si>
  <si>
    <t>Famers using fire were supposed to enact control measures such as fire breaks; however just 30 fines were issued for non-compliance nationwide</t>
  </si>
  <si>
    <t>Famers using fire were supposed to enact control measures such as fire breaks; 240 fines were issued for non-compliance nationwide</t>
  </si>
  <si>
    <t>Famers using fire were supposed to enact control measures such as fire breaks; 345 fines were issued for non-compliance nationwide</t>
  </si>
  <si>
    <t>Owing to government communication campaigns and greater enforcement of rules, farmers had begun to improve fire control methods</t>
  </si>
  <si>
    <t>Hauck 2016</t>
  </si>
  <si>
    <t>141a</t>
  </si>
  <si>
    <t>141b</t>
  </si>
  <si>
    <t>Kazakhstan</t>
  </si>
  <si>
    <t>Zaisan District</t>
  </si>
  <si>
    <t>Saur Mountains</t>
  </si>
  <si>
    <t>Katon-Karagai</t>
  </si>
  <si>
    <t>Kazakh Altai Mountains</t>
  </si>
  <si>
    <t>The Zaisan forest authority reported no fires due to suppression and lookout.</t>
  </si>
  <si>
    <t>Pastoralists reported that wildfire was a danger to their livelihood</t>
  </si>
  <si>
    <t>141a.2</t>
  </si>
  <si>
    <t>141b.1</t>
  </si>
  <si>
    <t>141a.1</t>
  </si>
  <si>
    <t>141a.3</t>
  </si>
  <si>
    <t>Fire vehicles, early warning system</t>
  </si>
  <si>
    <t>Fire vehicles, early warning system, but restricted to more remote areas encompassed by the national park</t>
  </si>
  <si>
    <t>Humphrey 2018</t>
  </si>
  <si>
    <t>142a</t>
  </si>
  <si>
    <t>Bwabwata National Park</t>
  </si>
  <si>
    <t>Namibia</t>
  </si>
  <si>
    <t>Fieldwork in 2014/15</t>
  </si>
  <si>
    <t>142a.1</t>
  </si>
  <si>
    <t>142a.2</t>
  </si>
  <si>
    <t>142a.3</t>
  </si>
  <si>
    <t>142a.4</t>
  </si>
  <si>
    <t>142a.5</t>
  </si>
  <si>
    <t>142a.6</t>
  </si>
  <si>
    <t>142a.7</t>
  </si>
  <si>
    <t>142a.8</t>
  </si>
  <si>
    <t>142a.9</t>
  </si>
  <si>
    <t>A policy of prescribed burning was introduced in the Park</t>
  </si>
  <si>
    <t>A zero fire policy was introduced. There was evidence of communication of the ban and enforcement</t>
  </si>
  <si>
    <t>142a.10</t>
  </si>
  <si>
    <t>142a.11</t>
  </si>
  <si>
    <t>Fire suppression policy weighted towards large late dry-season fires</t>
  </si>
  <si>
    <t>Policy of early season burning in place</t>
  </si>
  <si>
    <t>Burned area based on aggregated figure for 2000-2005, weighted by the frequency of areas burning more than once (reported) - point estimate 0.19. Fire return based on same factors.</t>
  </si>
  <si>
    <t>Burned area based on aggregated figure for 2006-2015, weighted by the frequency of areas burning more than once (reported) - point estimate 0.11. Fire return based on same factors.</t>
  </si>
  <si>
    <t>143a</t>
  </si>
  <si>
    <t>Bale Mountains</t>
  </si>
  <si>
    <t xml:space="preserve">Oromia </t>
  </si>
  <si>
    <t>143a.1</t>
  </si>
  <si>
    <t>143a.2</t>
  </si>
  <si>
    <t>143a.3</t>
  </si>
  <si>
    <t>143a.4</t>
  </si>
  <si>
    <t>Fires weighted towards January &amp; February - particularly days where the fire weather index was &gt; 25</t>
  </si>
  <si>
    <t>Fires to combat a poisonous caterpillar and remove cover from predators</t>
  </si>
  <si>
    <t>Land with shrubby vegetation &lt;6 years old was not burned, as it lacked the fuel and flamability to regenerate forage</t>
  </si>
  <si>
    <t>No lightning fires could be recalled "in living memory"</t>
  </si>
  <si>
    <t>Due to the prevailing cool, wet climate, the primary goal of pastoralists burning was to ensure a complete burn. For this reason, they burned in the morning when winds were stronger and when the weather was at its hottest.</t>
  </si>
  <si>
    <t xml:space="preserve">The mosaic burning resulted in disconnected fuels and natural fire breaks. Owing to the low level of GPP in the vegetation, such natural firebreaks remained effective for several years. </t>
  </si>
  <si>
    <t xml:space="preserve">Owing to the pastoralists remote location, the ban was largely a paper ban, with few known examples of enforcement. </t>
  </si>
  <si>
    <t>Kaufmann 2006</t>
  </si>
  <si>
    <t>144a</t>
  </si>
  <si>
    <t>Androka Vaovao</t>
  </si>
  <si>
    <t>Toliara</t>
  </si>
  <si>
    <t>144a.1</t>
  </si>
  <si>
    <t>144a.2</t>
  </si>
  <si>
    <t>144a.3</t>
  </si>
  <si>
    <t>144b</t>
  </si>
  <si>
    <t>Ankazota</t>
  </si>
  <si>
    <t>"It is important also to note that the process of opening up pastures did not involve fire. Nor did pastoralists use fire as pasture management. ‘Forests in the Mahafale do not burn’, they explained, referring to the fire-resistant moisture storing flora that dominated the landscape. Instead, the cattle browsed the lower storey and ‘opened’ more space for grass to grow between the trees and brush. The trees and brush remained, therefore, in the pastoralist landscape."</t>
  </si>
  <si>
    <t>"It is important also to note that the process of opening up pastures did not involve fire. Nor did pastoralists use fire as pasture management."</t>
  </si>
  <si>
    <t>144b.1</t>
  </si>
  <si>
    <t>144b.2</t>
  </si>
  <si>
    <t>144b.3</t>
  </si>
  <si>
    <t>144b.4</t>
  </si>
  <si>
    <t>144b.5</t>
  </si>
  <si>
    <t>"Mahafale pastoralists did not use fires to manage and maintain their pastures. They employed mobile pastoralist strategies involving the transfer of livestock from one grazing ground to another with the changing of seasons and pasture rotation dependant on the quality of grasses."</t>
  </si>
  <si>
    <t>Kepe 1999</t>
  </si>
  <si>
    <t>145a</t>
  </si>
  <si>
    <t>South Africa</t>
  </si>
  <si>
    <t>Eastern Cape</t>
  </si>
  <si>
    <t>Mkambati Nature Reserve</t>
  </si>
  <si>
    <t>Traditional forestry is hunters poaching in the reserve</t>
  </si>
  <si>
    <t>145a.1</t>
  </si>
  <si>
    <t>145a.2</t>
  </si>
  <si>
    <t>145a.3</t>
  </si>
  <si>
    <r>
      <rPr>
        <i/>
        <sz val="11"/>
        <color theme="1"/>
        <rFont val="Calibri"/>
        <family val="2"/>
        <scheme val="minor"/>
      </rPr>
      <t>Aristida</t>
    </r>
    <r>
      <rPr>
        <sz val="11"/>
        <color theme="1"/>
        <rFont val="Calibri"/>
        <family val="2"/>
        <scheme val="minor"/>
      </rPr>
      <t xml:space="preserve"> dominated grasslands were the predominant ecosystem, which occur under 'heavy grazing and regular burning'</t>
    </r>
  </si>
  <si>
    <t>Hunters lit fires near the edge of the park so as to attract game and hunt it</t>
  </si>
  <si>
    <t>In response to fires lit by hunters, conservationists lit fires at the park centre to attract game away from the hunters</t>
  </si>
  <si>
    <t>The planned patch burning strategy for the reserve had broken down due to frequent, and competing fire users</t>
  </si>
  <si>
    <t>"Perhaps the most dominant transition which has occurred within living memory is the transition to Aristida junciformis grassland, precipitated by a combination of heavy grazing and regular, uncontrolled burning… (by contrast) In the past, grazing and burning used to be controlled within the village area by collective management at the neighborhood level"
Breakdown is attributed to "Scarcity of grazing resources has meant that livestock owners have begun to pursue more individualistic strategies, ensuring that their animals get the best grazing first".</t>
  </si>
  <si>
    <t>Kepe 2005</t>
  </si>
  <si>
    <t>146a</t>
  </si>
  <si>
    <t>Pondoland</t>
  </si>
  <si>
    <t>Khanyayo</t>
  </si>
  <si>
    <t>146a.1</t>
  </si>
  <si>
    <t>Ignitions recrde as being 'throughout the year'</t>
  </si>
  <si>
    <t>146a.2</t>
  </si>
  <si>
    <t>146a.3</t>
  </si>
  <si>
    <t>146a.4</t>
  </si>
  <si>
    <t>Burning to eradicate ticks was done in the winter months</t>
  </si>
  <si>
    <t>Traditional forestry is hunting and biomass gathering; extractive forestry is gathering firewood</t>
  </si>
  <si>
    <t>146a.5</t>
  </si>
  <si>
    <t>146a.6</t>
  </si>
  <si>
    <t>Creation of an adhoc system of fire breaks</t>
  </si>
  <si>
    <t>Laris 2002</t>
  </si>
  <si>
    <t>147a</t>
  </si>
  <si>
    <t>Mali</t>
  </si>
  <si>
    <t>Mbow 2000</t>
  </si>
  <si>
    <t>Koulikoro</t>
  </si>
  <si>
    <t>147a.1</t>
  </si>
  <si>
    <t>147a.2</t>
  </si>
  <si>
    <t>67% of crop fallows burned early (October and November)</t>
  </si>
  <si>
    <t>147a.3</t>
  </si>
  <si>
    <t>147a.4</t>
  </si>
  <si>
    <t>147a.5</t>
  </si>
  <si>
    <t>64% of densely wooded areas burned in January or later</t>
  </si>
  <si>
    <t>Fallows were burned around millet harvest time to protect fruit producing shea trees, and to reduce fuel for the subsequent year's agricultural fields</t>
  </si>
  <si>
    <t>147a.6</t>
  </si>
  <si>
    <t xml:space="preserve">"When ﬁelds are ready to plant in May the remaining grasses will burn.But since areas are separated (by earlier burning),all will not burn. </t>
  </si>
  <si>
    <t>A strict calendar of burning fragmented fuels and reduced risk of out of control late season fires</t>
  </si>
  <si>
    <t xml:space="preserve">In the survey, 41% of farmers admitted to burning; however, if fire were legalised, 94% said they would burn. </t>
  </si>
  <si>
    <t xml:space="preserve">"When ﬁelds are ready to plant in May the remaining grasses will burn.But since areas are separated (by earlier burning), all will not burn. </t>
  </si>
  <si>
    <t>Early dry season fires to protect crops and villages from late dry season large fires; 74% of those starting fires stated this as their reason.</t>
  </si>
  <si>
    <t>Laris 2011</t>
  </si>
  <si>
    <t>148a</t>
  </si>
  <si>
    <t>Landsat pathrow 152/99</t>
  </si>
  <si>
    <t>148a.1</t>
  </si>
  <si>
    <t>148a.2</t>
  </si>
  <si>
    <t>148a.3</t>
  </si>
  <si>
    <t>148a.4</t>
  </si>
  <si>
    <t>148a.5</t>
  </si>
  <si>
    <t>148a.6</t>
  </si>
  <si>
    <t>148a.7</t>
  </si>
  <si>
    <t>Traditional forestry is hunter gathering; extractive forestry was gathering of firewood</t>
  </si>
  <si>
    <t>148a.8</t>
  </si>
  <si>
    <t>148a.9</t>
  </si>
  <si>
    <t xml:space="preserve">Fallows were burned to reduce fuel loads and protect them from destructive late-season fire </t>
  </si>
  <si>
    <t>Actual burned area derived from landsat data, combined with fire intention given by author, and % of farmers using fire for given reasons as in Laris (2001) - record 147.</t>
  </si>
  <si>
    <t xml:space="preserve">Although the patch burning technique led to a highly managed and controlled fire regime; late dry-season fires were noted to become out of control, with villagers complaining about "too much fire". </t>
  </si>
  <si>
    <t>Schmidt 2016</t>
  </si>
  <si>
    <t>149a</t>
  </si>
  <si>
    <t>Afar National Regional State</t>
  </si>
  <si>
    <t>Ewa</t>
  </si>
  <si>
    <t>149b</t>
  </si>
  <si>
    <t>Awra</t>
  </si>
  <si>
    <t>Traditional forestry is gathering of wood for local consumption</t>
  </si>
  <si>
    <t>149a.1</t>
  </si>
  <si>
    <t xml:space="preserve">Government was pursuing a programme of sedentarisation, by allocating farmlands out of communcal rangelands. </t>
  </si>
  <si>
    <t>Sheuyange 2005</t>
  </si>
  <si>
    <t>150a</t>
  </si>
  <si>
    <t>Owambo pastoralist homeland</t>
  </si>
  <si>
    <t xml:space="preserve">Northeastern </t>
  </si>
  <si>
    <t>Study dates estimated from publication date and secondary data sources used.</t>
  </si>
  <si>
    <t>150a.1</t>
  </si>
  <si>
    <t>Vegetation regarded as providing good forage for cattle was burned on a cycle &lt;5 years; older vegetation tended to be determined by woody shrubs</t>
  </si>
  <si>
    <t>150a.2</t>
  </si>
  <si>
    <t xml:space="preserve">Authors report no lightning started fires were present in their study and are very rare in the region. </t>
  </si>
  <si>
    <t>Silori 2001</t>
  </si>
  <si>
    <t>151a</t>
  </si>
  <si>
    <t>Mudumalai Wildlife Sanctuary</t>
  </si>
  <si>
    <t>Western Ghats</t>
  </si>
  <si>
    <r>
      <t xml:space="preserve">Study dates from reported data, </t>
    </r>
    <r>
      <rPr>
        <b/>
        <sz val="11"/>
        <color rgb="FFFF0000"/>
        <rFont val="Calibri"/>
        <family val="2"/>
        <scheme val="minor"/>
      </rPr>
      <t>queried with lead author</t>
    </r>
  </si>
  <si>
    <t>Mixed cropping-livestock small holder, Subsistence-oriented</t>
  </si>
  <si>
    <t>Mixed cropping-livestock small holder, Market-oriented</t>
  </si>
  <si>
    <t xml:space="preserve">Traditional forestry is gathering of NTFP; stocking rate based on author estimate of total cattle grazing and study area. Reported stocking rates give maximum or peak numbers, which are not representative of the overall study location. </t>
  </si>
  <si>
    <t>151a.1</t>
  </si>
  <si>
    <t xml:space="preserve">The stocking rate of cattle meant that demand for forage was 1.5 times the available NPP in grasslands; hence forage could not be burned. Further, cattle were fed from forest biomass to compensate for lack of available grass forage. </t>
  </si>
  <si>
    <t>Absence queried with author</t>
  </si>
  <si>
    <t>Sletto 2008</t>
  </si>
  <si>
    <t>152a</t>
  </si>
  <si>
    <t>Upper Caroni River Basin</t>
  </si>
  <si>
    <t xml:space="preserve">Study area estimated from author map; fieldwork conducted from 2000-2004. Location is centre of regional fire suppression operation. </t>
  </si>
  <si>
    <t>Forests were protected by a state electricity company (EDELCA), to prevent erosion due to the nearby hydroelectric dams. Traditional forestry is hunter gathering.</t>
  </si>
  <si>
    <t>152a.1</t>
  </si>
  <si>
    <t xml:space="preserve">Fire detection data from EDELCA fire suppression team; may be an undercount as not capturing the smallest fires. </t>
  </si>
  <si>
    <t>152a.2</t>
  </si>
  <si>
    <t>152a.3</t>
  </si>
  <si>
    <t>152a.4</t>
  </si>
  <si>
    <t>152a.5</t>
  </si>
  <si>
    <t>152a.6</t>
  </si>
  <si>
    <t>152a.7</t>
  </si>
  <si>
    <t>152a.8</t>
  </si>
  <si>
    <t>152a.9</t>
  </si>
  <si>
    <t>152a.10</t>
  </si>
  <si>
    <t>152a.11</t>
  </si>
  <si>
    <t>152a.12</t>
  </si>
  <si>
    <t>May include some lightning strikes - however the "great majority of fires" were started by people, rather than by lightning ignitions.</t>
  </si>
  <si>
    <t>152a.13</t>
  </si>
  <si>
    <t>152a.14</t>
  </si>
  <si>
    <t>152a.15</t>
  </si>
  <si>
    <t>152a.16</t>
  </si>
  <si>
    <t>152a.17</t>
  </si>
  <si>
    <t>152a.18</t>
  </si>
  <si>
    <t>Fire size queried with author</t>
  </si>
  <si>
    <t>Hunting accounted for 'a large portion of the total fires set by the Pemon'</t>
  </si>
  <si>
    <t>Complex network of monitoring stations; fire crews shipped in to fight fires by helicopter</t>
  </si>
  <si>
    <t>The EDELCA fire suppression crews viewed forest as the 'natural' state of the vegetation and therefore did not engage in fuel management in the Savannas. Further, forests were protected to prevent erosion into hydroelectric dams.</t>
  </si>
  <si>
    <t xml:space="preserve">Patch burned mosaic of Savanna; including a complex treatment of Savanna-forest ecotone to prevent fire spread into forests. </t>
  </si>
  <si>
    <t xml:space="preserve">The small patches of vegetation at different stages of growth provided an effective fire break against out of control fires. </t>
  </si>
  <si>
    <t>Umutoni 2018</t>
  </si>
  <si>
    <t>153a</t>
  </si>
  <si>
    <t>153b</t>
  </si>
  <si>
    <t>Bougouni</t>
  </si>
  <si>
    <t>Koutiala</t>
  </si>
  <si>
    <t>Extractive forestry was tree cutting by migratory pastoralists</t>
  </si>
  <si>
    <t>153a.1</t>
  </si>
  <si>
    <t>153b.1</t>
  </si>
  <si>
    <t>Absence confirmed by personal communication from author 09062020</t>
  </si>
  <si>
    <t>Abubakari 2013</t>
  </si>
  <si>
    <t>154a</t>
  </si>
  <si>
    <t>Garu-Tempane</t>
  </si>
  <si>
    <t>Zebilla</t>
  </si>
  <si>
    <t>Mamprusi</t>
  </si>
  <si>
    <t>Karaga</t>
  </si>
  <si>
    <t xml:space="preserve">Nanumba North </t>
  </si>
  <si>
    <t>154b</t>
  </si>
  <si>
    <t>154d</t>
  </si>
  <si>
    <t>154c</t>
  </si>
  <si>
    <t>154e</t>
  </si>
  <si>
    <t>154f</t>
  </si>
  <si>
    <t>Central Gonja</t>
  </si>
  <si>
    <t>Extractive forestry was tree cutting by migratory pastoralists for forage</t>
  </si>
  <si>
    <t>154a.1</t>
  </si>
  <si>
    <t>Fire season from time spent by pastoralists in Ghana before returning further North.</t>
  </si>
  <si>
    <t>154b.1</t>
  </si>
  <si>
    <t>154c.1</t>
  </si>
  <si>
    <t>154d.1</t>
  </si>
  <si>
    <t>154e.1</t>
  </si>
  <si>
    <t>154f.1</t>
  </si>
  <si>
    <t>155a</t>
  </si>
  <si>
    <t>155b</t>
  </si>
  <si>
    <t>155c</t>
  </si>
  <si>
    <t>155d</t>
  </si>
  <si>
    <t>155e</t>
  </si>
  <si>
    <t>155f</t>
  </si>
  <si>
    <t>155g</t>
  </si>
  <si>
    <t>155h</t>
  </si>
  <si>
    <t>155i</t>
  </si>
  <si>
    <t>155j</t>
  </si>
  <si>
    <t>155k</t>
  </si>
  <si>
    <t>155l</t>
  </si>
  <si>
    <t>Gambia</t>
  </si>
  <si>
    <t>Kiang West</t>
  </si>
  <si>
    <t>Nianjia</t>
  </si>
  <si>
    <t>Tenghory</t>
  </si>
  <si>
    <t>Wassadou</t>
  </si>
  <si>
    <t>Bandafassi</t>
  </si>
  <si>
    <t>Sagabari</t>
  </si>
  <si>
    <t>Madina Diassa</t>
  </si>
  <si>
    <t>Manankoro</t>
  </si>
  <si>
    <t>Gaoual</t>
  </si>
  <si>
    <t>Dinguiraye</t>
  </si>
  <si>
    <t>Guineau</t>
  </si>
  <si>
    <t>Beyla</t>
  </si>
  <si>
    <t>Ayantunde 2014</t>
  </si>
  <si>
    <t>155j.1</t>
  </si>
  <si>
    <t>155k.1</t>
  </si>
  <si>
    <t>155l.1</t>
  </si>
  <si>
    <t>155j.2</t>
  </si>
  <si>
    <t>155k.2</t>
  </si>
  <si>
    <t>155l.2</t>
  </si>
  <si>
    <t>Guineau had mixed incentives to support the livestock sector, both guaranteeing transhumant movement of cattle, and supporting sedenterisation and intensification</t>
  </si>
  <si>
    <t>Market-oriented small-holders was cotton production</t>
  </si>
  <si>
    <t>Author's report rapid cropland expansion</t>
  </si>
  <si>
    <t>155b.1</t>
  </si>
  <si>
    <t>155c.1</t>
  </si>
  <si>
    <t>155e.1</t>
  </si>
  <si>
    <t>155f.1</t>
  </si>
  <si>
    <t>Local farmers blamed pastoralists for "uncontrolled bush fires"</t>
  </si>
  <si>
    <t>155b.2</t>
  </si>
  <si>
    <t>155c.2</t>
  </si>
  <si>
    <t>155e.2</t>
  </si>
  <si>
    <t>155f.2</t>
  </si>
  <si>
    <t>Barrow 2003</t>
  </si>
  <si>
    <t>156a</t>
  </si>
  <si>
    <t>156b</t>
  </si>
  <si>
    <t>Lorugum</t>
  </si>
  <si>
    <t>Turkana</t>
  </si>
  <si>
    <t>Shinyanga</t>
  </si>
  <si>
    <t>Study data from community oral history</t>
  </si>
  <si>
    <t>156c</t>
  </si>
  <si>
    <t xml:space="preserve">Extractive forestry was use of wood for timber, firewood and forage for cattle </t>
  </si>
  <si>
    <t xml:space="preserve">Woodland restoration policies led to a decline in use of extractive forestry </t>
  </si>
  <si>
    <t>156b.1</t>
  </si>
  <si>
    <t>156c.1</t>
  </si>
  <si>
    <t>156b.2</t>
  </si>
  <si>
    <t>156c.2</t>
  </si>
  <si>
    <t>Fires to control tsetse flies</t>
  </si>
  <si>
    <t>Fires had stopped to encourage woodland regeneration</t>
  </si>
  <si>
    <t>156b.3</t>
  </si>
  <si>
    <t>156b.4</t>
  </si>
  <si>
    <t>156c.3</t>
  </si>
  <si>
    <t>156c.4</t>
  </si>
  <si>
    <t>156c.5</t>
  </si>
  <si>
    <t>Ban was agreed on by all villagers as part of a forest restoration project, led by the village chief. Unclear what (if any) punishment was enacted for infractions.</t>
  </si>
  <si>
    <t>Fire was resticted to areas well away from trees - this was agreed on by all villagers as part of a forest restoration project, led by the village chief. Unclear what (if any) punishment was enacted for infractions.</t>
  </si>
  <si>
    <t>Abate 2016b</t>
  </si>
  <si>
    <t>157a</t>
  </si>
  <si>
    <t>157b</t>
  </si>
  <si>
    <t>Guji</t>
  </si>
  <si>
    <t xml:space="preserve"> Wadera</t>
  </si>
  <si>
    <t xml:space="preserve">Gorodola </t>
  </si>
  <si>
    <t>Liben</t>
  </si>
  <si>
    <t>157c</t>
  </si>
  <si>
    <t>Author contacted re study dates</t>
  </si>
  <si>
    <t>157a.1</t>
  </si>
  <si>
    <t>157b.1</t>
  </si>
  <si>
    <t>157c.1</t>
  </si>
  <si>
    <t>Incentives were to encourage crop production</t>
  </si>
  <si>
    <t>157a.2</t>
  </si>
  <si>
    <t>157b.2</t>
  </si>
  <si>
    <t>157c.2</t>
  </si>
  <si>
    <t>157a.3</t>
  </si>
  <si>
    <t>157a.4</t>
  </si>
  <si>
    <t>157b.3</t>
  </si>
  <si>
    <t>157b.4</t>
  </si>
  <si>
    <t>157c.3</t>
  </si>
  <si>
    <t>157c.4</t>
  </si>
  <si>
    <t>13.4% of farmers burned in communal pastures</t>
  </si>
  <si>
    <t>25.3% of farmers burned open rangelands</t>
  </si>
  <si>
    <t>11.0% of farmers burned in communal pastures</t>
  </si>
  <si>
    <t>4.6% of farmers burned in communal pastures</t>
  </si>
  <si>
    <t>25.0% of farmers burned open rangelands</t>
  </si>
  <si>
    <t>158a</t>
  </si>
  <si>
    <t>Green 2004</t>
  </si>
  <si>
    <t>Tchabal Mbabo-Dodeo</t>
  </si>
  <si>
    <t>Study area estimated from author coordinates; location is study centre</t>
  </si>
  <si>
    <t>Extractive forestry was principally use of woodlands for fuel, construction and forage; traditional forestry was also gathering of NTFPs</t>
  </si>
  <si>
    <t>158a.1</t>
  </si>
  <si>
    <t>158a.2</t>
  </si>
  <si>
    <t>158a.3</t>
  </si>
  <si>
    <t>158a.4</t>
  </si>
  <si>
    <t>158a.5</t>
  </si>
  <si>
    <t>158a.6</t>
  </si>
  <si>
    <t>158a.7</t>
  </si>
  <si>
    <t>Fernandez-Giminez 2000</t>
  </si>
  <si>
    <t>159a</t>
  </si>
  <si>
    <t>159b</t>
  </si>
  <si>
    <t>159c</t>
  </si>
  <si>
    <t>159d</t>
  </si>
  <si>
    <t>Mongolia</t>
  </si>
  <si>
    <t>Bayan-Ovoo</t>
  </si>
  <si>
    <t>Jinst Sums</t>
  </si>
  <si>
    <t>Tariat</t>
  </si>
  <si>
    <t>Zaankhushuu</t>
  </si>
  <si>
    <t>Bayankhongor</t>
  </si>
  <si>
    <t>Arkhangai</t>
  </si>
  <si>
    <t>159a.1</t>
  </si>
  <si>
    <t>159b.1</t>
  </si>
  <si>
    <t>159c.1</t>
  </si>
  <si>
    <t>159d.1</t>
  </si>
  <si>
    <t>159a.2</t>
  </si>
  <si>
    <t>159b.2</t>
  </si>
  <si>
    <t>159c.2</t>
  </si>
  <si>
    <t>159d.2</t>
  </si>
  <si>
    <t>Detailed survey of management practices and herders' ecological knowledge given, that makes no reference to fire use or burning.</t>
  </si>
  <si>
    <t>160a</t>
  </si>
  <si>
    <t>160a.1</t>
  </si>
  <si>
    <t>Hadjigeorgiou 2011</t>
  </si>
  <si>
    <t>Greece</t>
  </si>
  <si>
    <t>Arcadia</t>
  </si>
  <si>
    <t>Aegean Islands</t>
  </si>
  <si>
    <t>Etoloacarnania</t>
  </si>
  <si>
    <t>Epiros</t>
  </si>
  <si>
    <t>Makedonia</t>
  </si>
  <si>
    <t>Messinia</t>
  </si>
  <si>
    <t>Thessalia</t>
  </si>
  <si>
    <t>160b</t>
  </si>
  <si>
    <t>160c</t>
  </si>
  <si>
    <t>160d</t>
  </si>
  <si>
    <t>160e</t>
  </si>
  <si>
    <t>160f</t>
  </si>
  <si>
    <t>160g</t>
  </si>
  <si>
    <t>169c</t>
  </si>
  <si>
    <t>160f.1</t>
  </si>
  <si>
    <t>160a.2</t>
  </si>
  <si>
    <t>160f.2</t>
  </si>
  <si>
    <t>160a.3</t>
  </si>
  <si>
    <t>160f.3</t>
  </si>
  <si>
    <t>Large wildfires swept across Southern Greece</t>
  </si>
  <si>
    <t>160b.1</t>
  </si>
  <si>
    <t>160c.1</t>
  </si>
  <si>
    <t>160d.1</t>
  </si>
  <si>
    <t>160e.1</t>
  </si>
  <si>
    <t>Grazing of scrublands and mountainous areas reduced the presence of woody shrubs, and greatly reduced the risk of large wildfires</t>
  </si>
  <si>
    <t>EU</t>
  </si>
  <si>
    <t xml:space="preserve">Incentives towards agricultural intensification led to reduced grazing in mountainous areas; agricultural abandonment led to increased fuel build up and greater risk of wildfires. </t>
  </si>
  <si>
    <t>160b.2</t>
  </si>
  <si>
    <t>160c.2</t>
  </si>
  <si>
    <t>160d.2</t>
  </si>
  <si>
    <t>160e.2</t>
  </si>
  <si>
    <t>Stocking rate is for extensive grazing</t>
  </si>
  <si>
    <t>A change in subsidy led to a revival of grazing in marginal agricultural lands and reduced fuel loads</t>
  </si>
  <si>
    <t>Hessl 2016</t>
  </si>
  <si>
    <t>161a</t>
  </si>
  <si>
    <t>Northern region</t>
  </si>
  <si>
    <t>Tree ring fire record, including present day observations; location is centre of study sampling locations</t>
  </si>
  <si>
    <t>Grazing intensity shifted with different policy regimes</t>
  </si>
  <si>
    <t>161a.1</t>
  </si>
  <si>
    <t>161a.2</t>
  </si>
  <si>
    <t>161a.3</t>
  </si>
  <si>
    <t>161a.4</t>
  </si>
  <si>
    <t>161a.5</t>
  </si>
  <si>
    <t>161a.6</t>
  </si>
  <si>
    <t>161a.7</t>
  </si>
  <si>
    <t>161a.8</t>
  </si>
  <si>
    <t>161a.9</t>
  </si>
  <si>
    <t>Lightning strikes did not occur during the main fire season</t>
  </si>
  <si>
    <t>161a.10</t>
  </si>
  <si>
    <t>161a.11</t>
  </si>
  <si>
    <t>Limited funds restricted the extent and effectiveness of fire fighting</t>
  </si>
  <si>
    <t>161a.12</t>
  </si>
  <si>
    <t>161a.13</t>
  </si>
  <si>
    <t>Grazing, combined with drought, hed kept fuel loads in check and therefore offset any increase in fire activity due to climate change</t>
  </si>
  <si>
    <t>&gt;10% at &gt;3/20 study locations reported burned</t>
  </si>
  <si>
    <t>Hoy 1995</t>
  </si>
  <si>
    <t>162a</t>
  </si>
  <si>
    <t>162b</t>
  </si>
  <si>
    <t>New Zealand</t>
  </si>
  <si>
    <t>Kansas</t>
  </si>
  <si>
    <t>USA</t>
  </si>
  <si>
    <t>South Island</t>
  </si>
  <si>
    <t>Tussock Grasslands</t>
  </si>
  <si>
    <t>Bluestem Grazing Region</t>
  </si>
  <si>
    <t>Documentary and archive-based research; locations estimated from author description</t>
  </si>
  <si>
    <t>"Spring" burning reported</t>
  </si>
  <si>
    <t>162a.1</t>
  </si>
  <si>
    <t>162a.2</t>
  </si>
  <si>
    <t>162b.1</t>
  </si>
  <si>
    <t>162b.2</t>
  </si>
  <si>
    <t>Estimated that 7% of grassland was burned</t>
  </si>
  <si>
    <t>Livestock were primarily sheep in both cases</t>
  </si>
  <si>
    <t>"Where runs have passed through generations of a family, a good deal of lore about the setting and spread of fires on particular slopes is passed along… It is difficultu to find any evidence of irresponsible burning on the land.</t>
  </si>
  <si>
    <t xml:space="preserve">Licenses were required for burning </t>
  </si>
  <si>
    <t>Sporadic local bans against burning were enforced in particular areas of the state</t>
  </si>
  <si>
    <t>Rangers in the park enforced a strict no fire policy (confirmed by author personal communication)</t>
  </si>
  <si>
    <t>Park rangers rigorously enforced a no fire policy (confirmed by author personal communication)</t>
  </si>
  <si>
    <t>163a</t>
  </si>
  <si>
    <t>Huntsinger 2010</t>
  </si>
  <si>
    <t>Sierra Nevada Foothills</t>
  </si>
  <si>
    <t>California</t>
  </si>
  <si>
    <t>163a.1</t>
  </si>
  <si>
    <t>163a.2</t>
  </si>
  <si>
    <t>" A common management activity undertaken by more than half of the ranchers on their own property was brush control or clearing...Controlled burning was 3x more likely on private land than on public US forestry service land"</t>
  </si>
  <si>
    <t>Default position in US Forestry Service land was a zero fire policy - burning was therefore "rarely" undertaken on USFS land</t>
  </si>
  <si>
    <t>Hussain 2017</t>
  </si>
  <si>
    <t>164a</t>
  </si>
  <si>
    <t>Corbett Tiger Reserve</t>
  </si>
  <si>
    <t>Uttarakhand</t>
  </si>
  <si>
    <t>Study date estimated from publication date; author contacted to confirm.</t>
  </si>
  <si>
    <t>Extractive forestry was biomass gathering by semi-nomadi pastoralists</t>
  </si>
  <si>
    <t>164a.1</t>
  </si>
  <si>
    <t>164a.2</t>
  </si>
  <si>
    <t>Forest clearing was strongly linked to gathering of firewood</t>
  </si>
  <si>
    <t>165a</t>
  </si>
  <si>
    <t>165b</t>
  </si>
  <si>
    <t>Kamau 2014</t>
  </si>
  <si>
    <t>Kibwezi</t>
  </si>
  <si>
    <t>Makueni County</t>
  </si>
  <si>
    <t>Loitokitok</t>
  </si>
  <si>
    <t>Kajiado County</t>
  </si>
  <si>
    <t>Small-scale forestry was charcoal production, and also gathering of leaves for sale as medicine</t>
  </si>
  <si>
    <t>165a.1</t>
  </si>
  <si>
    <t>165a.2</t>
  </si>
  <si>
    <t>165a.3</t>
  </si>
  <si>
    <t>165a.4</t>
  </si>
  <si>
    <t>165a.5</t>
  </si>
  <si>
    <t>165a.6</t>
  </si>
  <si>
    <t>165a.7</t>
  </si>
  <si>
    <t>165a.8</t>
  </si>
  <si>
    <t>Harvesting of Timber</t>
  </si>
  <si>
    <t>165a.9</t>
  </si>
  <si>
    <t>165b.1</t>
  </si>
  <si>
    <t>165b.2</t>
  </si>
  <si>
    <t>165a.10</t>
  </si>
  <si>
    <t>165b.3</t>
  </si>
  <si>
    <t>165b.4</t>
  </si>
  <si>
    <t>165b.5</t>
  </si>
  <si>
    <t>165b.6</t>
  </si>
  <si>
    <t>165b.7</t>
  </si>
  <si>
    <t>165b.8</t>
  </si>
  <si>
    <t>165b.9</t>
  </si>
  <si>
    <t>165b.10</t>
  </si>
  <si>
    <t>All villagers strongly agreed that early season burning prevented fuel build-up and large late-dryseason widlfires</t>
  </si>
  <si>
    <t>Burning only at night in early in the morning; tending fires as group; not starting fires in forested areas to protect valuable plants; fines issued to those who burned without authority</t>
  </si>
  <si>
    <t>165a.11</t>
  </si>
  <si>
    <t>Although cases were cited of local people being prosecuted, large-scale fire use continued regardless</t>
  </si>
  <si>
    <t>Escaped charcoal fires were common - "when an inexperienced charcoal maker doesn't cover the kiln with enough soil, a fire might escape and end up burning the surrounding bush"</t>
  </si>
  <si>
    <t>165a.12</t>
  </si>
  <si>
    <t>165b.11</t>
  </si>
  <si>
    <t>165b.12</t>
  </si>
  <si>
    <t>165a.13</t>
  </si>
  <si>
    <t>165a.14</t>
  </si>
  <si>
    <t>6/6 focus groups reported burning for this reason</t>
  </si>
  <si>
    <t>Escaped fires used for cooking and heat; 6/6 focus groups reported burning for this reason</t>
  </si>
  <si>
    <t>Accessibility for people and livestock; 4.5/6 focus groups reported burning for this reason</t>
  </si>
  <si>
    <t>Kenya Wildlife Service lands were burned due to ongoing bitterness and conflict; 1/6 focus groups reported burning for this reason</t>
  </si>
  <si>
    <t>3/6 focus groups reported burning for this reason</t>
  </si>
  <si>
    <t>Forest clearance for cannabis crops; reported by 2/6 focus groups</t>
  </si>
  <si>
    <t>3/6 focus groups reported burning for this reason (all the male focus groups reported this)</t>
  </si>
  <si>
    <t>Honey harvesting; 5/6 focus groups reported burning for this reason</t>
  </si>
  <si>
    <t>4/6 focus groups reported burning for this reason (5 for human accessibility, 3 for livestock accessibiility)</t>
  </si>
  <si>
    <t>Honey harvesting; 5/6 focus groups reported burning for this reason - also medicinal plants (2/6)</t>
  </si>
  <si>
    <t>2/6 focus groups reported burning for this reason</t>
  </si>
  <si>
    <t>Kurtz 2010</t>
  </si>
  <si>
    <t>166a</t>
  </si>
  <si>
    <t>Empedrado</t>
  </si>
  <si>
    <t>Corrientes</t>
  </si>
  <si>
    <t>166a.1</t>
  </si>
  <si>
    <t>166a.2</t>
  </si>
  <si>
    <t>Intensively managed rangelands were "not exposed to fire"</t>
  </si>
  <si>
    <t>Only "undergrazed" pastures were reported to have been burned</t>
  </si>
  <si>
    <t>166a.3</t>
  </si>
  <si>
    <t>166a.4</t>
  </si>
  <si>
    <t>Fire return period based on the amount of pasture that burned in both 2002 &amp; 2005</t>
  </si>
  <si>
    <t>Intensive stocking rates prevented any detectable fires in rangelands during the study period</t>
  </si>
  <si>
    <t>Stocking rate of &gt;0.9 is given as overgrazing, the intensity at which degradation may occur. C4 dominated rangeland with grazing reported as pasture.</t>
  </si>
  <si>
    <t>Liao 2018</t>
  </si>
  <si>
    <t>167a</t>
  </si>
  <si>
    <t>Sarite</t>
  </si>
  <si>
    <t>Borana Rangelands</t>
  </si>
  <si>
    <t>Pastoralists had been largely sedentarised</t>
  </si>
  <si>
    <t>167a.1</t>
  </si>
  <si>
    <t>"Although the (fire) ban was lifted in the 200s, the effect of fire on controlling woody plant encroachment has been diminished during the decades of fire suppression, leaving grazing as the primary disturbance factor at the local level."</t>
  </si>
  <si>
    <t>The fire ban of the 1970s had been lifted, and so fire had returned, in a more limited capacity.</t>
  </si>
  <si>
    <t>167a.2</t>
  </si>
  <si>
    <t>Fire was banned officially in 1974</t>
  </si>
  <si>
    <t>Eriksen 2007</t>
  </si>
  <si>
    <t>168a</t>
  </si>
  <si>
    <t>168b</t>
  </si>
  <si>
    <t xml:space="preserve">Kasanka National Park </t>
  </si>
  <si>
    <t>Kafinda Game Management Area</t>
  </si>
  <si>
    <t>168a.1</t>
  </si>
  <si>
    <t>168a.2</t>
  </si>
  <si>
    <t>Grasses to encourage wildgame for tourist safaris</t>
  </si>
  <si>
    <t xml:space="preserve">Early dry-season fires for fuel management and to create pyro/biodiversity </t>
  </si>
  <si>
    <t>168a.3</t>
  </si>
  <si>
    <t>168a.4</t>
  </si>
  <si>
    <t>Fires from poachers who deliberately burned at the edge of the park to attract game</t>
  </si>
  <si>
    <t>Other late dry-season fires from villagers escaped into the park</t>
  </si>
  <si>
    <t>168b.1</t>
  </si>
  <si>
    <t>168b.2</t>
  </si>
  <si>
    <t>168b.3</t>
  </si>
  <si>
    <t>Traditional forestry was gathering of NTFPs, principally honey and caterpillars</t>
  </si>
  <si>
    <t>For gathering honey</t>
  </si>
  <si>
    <t>168b.4</t>
  </si>
  <si>
    <t>168b.5</t>
  </si>
  <si>
    <t>168b.6</t>
  </si>
  <si>
    <t>For harvesting caterpillars; 79% of interviewees conducted this</t>
  </si>
  <si>
    <t>Fires lit under the citamene system; 59% of respondents did this</t>
  </si>
  <si>
    <t>"Late dry-season" fires; 5% of respondents conducted this burning</t>
  </si>
  <si>
    <t>31% of interviewees conducted this</t>
  </si>
  <si>
    <t>168b.7</t>
  </si>
  <si>
    <t>26% of interviewees conducted this</t>
  </si>
  <si>
    <t>168b.8</t>
  </si>
  <si>
    <t>9% of interviewees conducted this</t>
  </si>
  <si>
    <t>To create firebreaks around fields; escaped fires on fields caused erosion. 76% of interviewees did this to either create fire breaks around fields or property</t>
  </si>
  <si>
    <t>Fire breaks were up to 50m wide; fire size estimated from this</t>
  </si>
  <si>
    <t>Patch mosaic; only early dry-season fires; fire breaks</t>
  </si>
  <si>
    <t>Fuel management; patch mosaic; fire breaks</t>
  </si>
  <si>
    <t>Fire breaks around fields and property</t>
  </si>
  <si>
    <t>Many villagers were unaware of legislation that required burns to be in the early dry-season. Many considered the views of their local chief to override the official ban.</t>
  </si>
  <si>
    <t>Park rangers complied with the restriction of burning to the early dry season</t>
  </si>
  <si>
    <t>Meddour-Sahar 2012</t>
  </si>
  <si>
    <t>169a</t>
  </si>
  <si>
    <t>169b</t>
  </si>
  <si>
    <t>Mizrana</t>
  </si>
  <si>
    <t>Ain Zouia</t>
  </si>
  <si>
    <t>Haizer</t>
  </si>
  <si>
    <t>Algeria</t>
  </si>
  <si>
    <t>Traditional forestry was collection of NTFPs, typically honey gathering; agroforestry was olive growing; extractive forestry was largely illegal logging</t>
  </si>
  <si>
    <t>169a.1</t>
  </si>
  <si>
    <t>169a.2</t>
  </si>
  <si>
    <t>169a.3</t>
  </si>
  <si>
    <t>169a.4</t>
  </si>
  <si>
    <t>169a.5</t>
  </si>
  <si>
    <t>169a.6</t>
  </si>
  <si>
    <t>169a.7</t>
  </si>
  <si>
    <t>169a.8</t>
  </si>
  <si>
    <t>169a.9</t>
  </si>
  <si>
    <t>169a.10</t>
  </si>
  <si>
    <t>11.3% of fires were attributed to this cause</t>
  </si>
  <si>
    <t>9.13% of fires were set for this reason (in combination with 169a.5)</t>
  </si>
  <si>
    <t>9.13% of fires were set for this reason (in combination with 169a.6)</t>
  </si>
  <si>
    <t>9.86% of fires were set for this reason</t>
  </si>
  <si>
    <t>3.56% of fires were set for this reason</t>
  </si>
  <si>
    <t>6.83% of fires were set for this reason</t>
  </si>
  <si>
    <t>Overall numbers are used (table 4), as table 5 contains unclear categories and partial reporting</t>
  </si>
  <si>
    <t>19.91% of fires were set for this reason; arson was both land disputes, and a result of conflict with terrorists</t>
  </si>
  <si>
    <t>169b.1</t>
  </si>
  <si>
    <t>169b.2</t>
  </si>
  <si>
    <t>169b.3</t>
  </si>
  <si>
    <t>169b.4</t>
  </si>
  <si>
    <t>169b.5</t>
  </si>
  <si>
    <t>169b.6</t>
  </si>
  <si>
    <t>169b.7</t>
  </si>
  <si>
    <t>169b.8</t>
  </si>
  <si>
    <t>169b.9</t>
  </si>
  <si>
    <t>169c.1</t>
  </si>
  <si>
    <t>169c.2</t>
  </si>
  <si>
    <t>169c.3</t>
  </si>
  <si>
    <t>169c.4</t>
  </si>
  <si>
    <t>169c.5</t>
  </si>
  <si>
    <t>169c.6</t>
  </si>
  <si>
    <t>169c.7</t>
  </si>
  <si>
    <t>169c.8</t>
  </si>
  <si>
    <t>169c.9</t>
  </si>
  <si>
    <t>169a.11</t>
  </si>
  <si>
    <t>169a.12</t>
  </si>
  <si>
    <t>169a.13</t>
  </si>
  <si>
    <t>Fires only refer to those that burned forested areas</t>
  </si>
  <si>
    <t>Calculated by weighting reported govt fire statistics by fire causes as reported in the survey</t>
  </si>
  <si>
    <t>169b.10</t>
  </si>
  <si>
    <t>169b.11</t>
  </si>
  <si>
    <t>169b.12</t>
  </si>
  <si>
    <t>169b.13</t>
  </si>
  <si>
    <t>169c.10</t>
  </si>
  <si>
    <t>169c.11</t>
  </si>
  <si>
    <t>169c.12</t>
  </si>
  <si>
    <t>169c.13</t>
  </si>
  <si>
    <t>21% of villagers reported working in firefigthing within the forests; however, frequent failure to extinguish fires was reported. Furthermore, conflict in the region meant they had to abandon some fires due to a lack of security.</t>
  </si>
  <si>
    <t>170a</t>
  </si>
  <si>
    <t>Spain</t>
  </si>
  <si>
    <t>Ruiz-Mizaro 2011</t>
  </si>
  <si>
    <t>Andalusia</t>
  </si>
  <si>
    <t>170b</t>
  </si>
  <si>
    <t>170c</t>
  </si>
  <si>
    <t>170d</t>
  </si>
  <si>
    <t>170e</t>
  </si>
  <si>
    <t>170f</t>
  </si>
  <si>
    <t>170g</t>
  </si>
  <si>
    <t>170h</t>
  </si>
  <si>
    <t>170i</t>
  </si>
  <si>
    <t>170j</t>
  </si>
  <si>
    <t>170k</t>
  </si>
  <si>
    <t>Grazed fuel break</t>
  </si>
  <si>
    <t>Total study area was 23.46km; location digitised from author map</t>
  </si>
  <si>
    <t>Grazed fire breaks were created within national parks, typically forested landscapes</t>
  </si>
  <si>
    <t>Encompassing forest and rangeland</t>
  </si>
  <si>
    <t>Entire landscape of Andulucia, outside of comparatively small-scale fire break operations. Provided for context.</t>
  </si>
  <si>
    <t>170a.1</t>
  </si>
  <si>
    <t>170b.1</t>
  </si>
  <si>
    <t>170c.1</t>
  </si>
  <si>
    <t>170d.1</t>
  </si>
  <si>
    <t>170e.1</t>
  </si>
  <si>
    <t>170f.1</t>
  </si>
  <si>
    <t>170g.1</t>
  </si>
  <si>
    <t>170h.1</t>
  </si>
  <si>
    <t>170i.1</t>
  </si>
  <si>
    <t>170j.1</t>
  </si>
  <si>
    <t>170k.1</t>
  </si>
  <si>
    <t>Fuel breaks were strategically grazed to prevent large-scale wildfires. However, at this stage of the programme, their implementation was mixed, with only partial achievement of grazing objectives</t>
  </si>
  <si>
    <t>Outside of experimental fuel break areas, management of fuel loads was not widespread, instead a blanket suppression policy was in action</t>
  </si>
  <si>
    <t>170a.2</t>
  </si>
  <si>
    <t>170b.2</t>
  </si>
  <si>
    <t>170c.2</t>
  </si>
  <si>
    <t>170d.2</t>
  </si>
  <si>
    <t>170e.2</t>
  </si>
  <si>
    <t>170f.2</t>
  </si>
  <si>
    <t>170g.2</t>
  </si>
  <si>
    <t>170h.2</t>
  </si>
  <si>
    <t>170i.2</t>
  </si>
  <si>
    <t>170j.2</t>
  </si>
  <si>
    <t>170k.2</t>
  </si>
  <si>
    <t>The main strategy to tackle wildfires in the region was "fast and effective ongoing fire suppression"</t>
  </si>
  <si>
    <t>Agricultural abandonment had led to fuel build-up in fire prone locations. Therefore, shepherds were paid by the government to graze locations to create fire breaks.</t>
  </si>
  <si>
    <t>Los Alerces National Park</t>
  </si>
  <si>
    <t>Seijo 2020</t>
  </si>
  <si>
    <t>171a</t>
  </si>
  <si>
    <t>Fire regime today</t>
  </si>
  <si>
    <t>171b</t>
  </si>
  <si>
    <t>171a.1</t>
  </si>
  <si>
    <t>171a.2</t>
  </si>
  <si>
    <t>171a.3</t>
  </si>
  <si>
    <t>171b.1</t>
  </si>
  <si>
    <t>171b.2</t>
  </si>
  <si>
    <t>171b.3</t>
  </si>
  <si>
    <t>171b.4</t>
  </si>
  <si>
    <t>Forest understories were burned for pasture</t>
  </si>
  <si>
    <t>171b.5</t>
  </si>
  <si>
    <t>171b.6</t>
  </si>
  <si>
    <t>Commercial cattle ranches had come to dominate land adjacent to the park borders</t>
  </si>
  <si>
    <t xml:space="preserve">Whilst not conclusive of ignition source, the fires took place adjacent to large commercial ranches, and areas burned were subsequently used for pasture. </t>
  </si>
  <si>
    <t xml:space="preserve">Fire exclusion policy </t>
  </si>
  <si>
    <t>171b.7</t>
  </si>
  <si>
    <t>A strict regime of fire suppression was working to remove human ignitions from the study area</t>
  </si>
  <si>
    <t>However, in spite of this policy, large wildfires were present during both study years - suggesting it was not succesful in preventing all wildfires from damaging the park.</t>
  </si>
  <si>
    <t>Before the park was established, fire use was widespread throughout the region</t>
  </si>
  <si>
    <t>Whilst some traditional pastoralists in the region, all other fire use was banned. Further, the government had worked systematically over many years to reduce fire use. For example, closing local infrastructure to support forestry and farming had led to reductions in fire use.</t>
  </si>
  <si>
    <t>Reports fire regime at founding of the park; established through oral history and secondary sources</t>
  </si>
  <si>
    <t>Author confirmed study dates (personal communication)</t>
  </si>
  <si>
    <t>Uncontrolled bush fire rated a 'low' impact problem; author confirmed fire intention (personal communication)</t>
  </si>
  <si>
    <t>Uncontrolled bush fire rated a 'moderate' impact problem; author confirmed fire intention (personal communication)</t>
  </si>
  <si>
    <t>Uncontrolled bush fire rated a 'high' impact problem; author confirmed fire intention (personal communication)</t>
  </si>
  <si>
    <t>Uncontrolled ; author confirmed fire intention (personal communication)bush fire rated a 'low' impact problem</t>
  </si>
  <si>
    <t>172a</t>
  </si>
  <si>
    <t>Said 2014</t>
  </si>
  <si>
    <t>172b</t>
  </si>
  <si>
    <t>172c</t>
  </si>
  <si>
    <t>172d</t>
  </si>
  <si>
    <t>172e</t>
  </si>
  <si>
    <t>172f</t>
  </si>
  <si>
    <t>Unpublished consultant's report; same authors and study location as 155</t>
  </si>
  <si>
    <t>172d.1</t>
  </si>
  <si>
    <t>172d.2</t>
  </si>
  <si>
    <t>District was a market centre for products including staples such as rice and millet, but also cotton and peanuts</t>
  </si>
  <si>
    <t>A traditional "agro-pastoralist" region in which "logging and bush fire" seriously threatened vegetation cover; land cover data from 2006; forest savanna mosaic listed as secondary vegetation</t>
  </si>
  <si>
    <t>An area with much undisturbed rainforest, with pastoralism in the north; land cover data from 2006; forest savanna mosaic listed as secondary vegetation</t>
  </si>
  <si>
    <t>172d.3</t>
  </si>
  <si>
    <t>172e.1</t>
  </si>
  <si>
    <t>172e.2</t>
  </si>
  <si>
    <t>172f.1</t>
  </si>
  <si>
    <t>Early dry season fires, largely attributable to pasture / forage regeneration</t>
  </si>
  <si>
    <t>172a.1</t>
  </si>
  <si>
    <t>172b.1</t>
  </si>
  <si>
    <t>Fire count / BA from MODIS burned area product not included</t>
  </si>
  <si>
    <t>Fire count / BA from MODIS burned area product not included; fire return is fallow (4) + 2</t>
  </si>
  <si>
    <t>172f.2</t>
  </si>
  <si>
    <t>Fire count / BA from MODIS burned area product not included; fire return is fallow (10) + 2</t>
  </si>
  <si>
    <t>This was a less important fire driver than in the other two study areas</t>
  </si>
  <si>
    <t>Niamina East</t>
  </si>
  <si>
    <t>172a.2</t>
  </si>
  <si>
    <t>172b.2</t>
  </si>
  <si>
    <t>Fire behaviour was "erratic" at the study location</t>
  </si>
  <si>
    <t>172c.1</t>
  </si>
  <si>
    <t>172c.2</t>
  </si>
  <si>
    <t>173a</t>
  </si>
  <si>
    <t>Robinett 2008</t>
  </si>
  <si>
    <t>Afghanistan</t>
  </si>
  <si>
    <t>173b</t>
  </si>
  <si>
    <t>Turkmenistan</t>
  </si>
  <si>
    <t>Badkhiz</t>
  </si>
  <si>
    <t>Badkhiz Reserve</t>
  </si>
  <si>
    <t>Tourists reported not liking seeing burned areas, and so tourist lodge owners tried to persuade farmers not to set fires - including those for fuel mgmt</t>
  </si>
  <si>
    <t>Traditional forestry was gathering of biomass for fuel, and also collection of pistachio nuts</t>
  </si>
  <si>
    <t>Policy of "exclusion" for people and their herds</t>
  </si>
  <si>
    <t>173a.1</t>
  </si>
  <si>
    <t>173b.1</t>
  </si>
  <si>
    <t xml:space="preserve">Reliance of people on wood for fire fuel and protection of pistachio trees meant fire was not used for forage regeneration. </t>
  </si>
  <si>
    <t>Anthropogenic land use (aside from conservation) inside the reserve was not permitted</t>
  </si>
  <si>
    <t xml:space="preserve">Grazing had prevented fuel build-up, which prevented the destructive wildfires seen in the proximate national park: further, herders deliberately grazed early season grasses to reduce fire risk. </t>
  </si>
  <si>
    <t>173b.2</t>
  </si>
  <si>
    <t>An absence of proactive fuel management was reported in the park</t>
  </si>
  <si>
    <t>Mills 2005</t>
  </si>
  <si>
    <t>174a</t>
  </si>
  <si>
    <t>Kirkwood</t>
  </si>
  <si>
    <t>174a.1</t>
  </si>
  <si>
    <t>174a.2</t>
  </si>
  <si>
    <t>174b</t>
  </si>
  <si>
    <t>174b.1</t>
  </si>
  <si>
    <t>174b.2</t>
  </si>
  <si>
    <t>174a.3</t>
  </si>
  <si>
    <t>174b.3</t>
  </si>
  <si>
    <t>Fire was not used to manage vegetation in the region</t>
  </si>
  <si>
    <t>The shrubby vegetation that resulted from heavy goat grazing was evergreen, rich in moisture and highly resistant to fire</t>
  </si>
  <si>
    <t>Nigh 2013</t>
  </si>
  <si>
    <t>175a</t>
  </si>
  <si>
    <t>Lakandon Indigenous People</t>
  </si>
  <si>
    <t>Chiapas</t>
  </si>
  <si>
    <t>175b</t>
  </si>
  <si>
    <t>Contemporary Maya Farming</t>
  </si>
  <si>
    <t>175c</t>
  </si>
  <si>
    <t>Teran and Rasmussen (2009) cited by Nigh 2013</t>
  </si>
  <si>
    <t>Dates referred to "up to the end of the 20th century"</t>
  </si>
  <si>
    <t>Dates referred to as state of system "today"</t>
  </si>
  <si>
    <t>175a.1</t>
  </si>
  <si>
    <t>175a.2</t>
  </si>
  <si>
    <t>Fire return is 25 year fallow period with 6 years' cultivation</t>
  </si>
  <si>
    <t>175b.1</t>
  </si>
  <si>
    <t>175b.2</t>
  </si>
  <si>
    <t>Fallow cycle had shortened towards 10 years + 3 years of cultivation</t>
  </si>
  <si>
    <t>Weeds were repeatedly burned throughout the year to create charcoal for nutrients</t>
  </si>
  <si>
    <t>175b.3</t>
  </si>
  <si>
    <t>Multi-annual burning for weeding had been replaced by an annual hot burn of residues</t>
  </si>
  <si>
    <t>Residues were burned annually after harvest</t>
  </si>
  <si>
    <t>175c.1</t>
  </si>
  <si>
    <t>Forestry traditional was planting of specific valuable tree species in secondary fallows</t>
  </si>
  <si>
    <t>A field size of 1ha is given as typical</t>
  </si>
  <si>
    <t>Burning as a community, burning against the wind, careful burn timing, fire breaks</t>
  </si>
  <si>
    <t>Use of fire beaters fashioned from surrounding vegetation to tackle fires that risk spreading out of control</t>
  </si>
  <si>
    <t>Oba 1990</t>
  </si>
  <si>
    <t>176a</t>
  </si>
  <si>
    <t>Lodwar</t>
  </si>
  <si>
    <t>176a.1</t>
  </si>
  <si>
    <t>176a.2</t>
  </si>
  <si>
    <t>176a.3</t>
  </si>
  <si>
    <t>176a.4</t>
  </si>
  <si>
    <t>176a.5</t>
  </si>
  <si>
    <t>Land clearance and accessibility burning particularly focused towards areas of dense palm trees (Hyphanae compressa)</t>
  </si>
  <si>
    <t>176a.6</t>
  </si>
  <si>
    <t>176a.7</t>
  </si>
  <si>
    <t>Fire density from author estimate of 3-4 wildfires per year impacting the riparian woodlands in the study region</t>
  </si>
  <si>
    <t>Lamprey 2004</t>
  </si>
  <si>
    <t>177a</t>
  </si>
  <si>
    <t>Serengeti National Park</t>
  </si>
  <si>
    <t>177b</t>
  </si>
  <si>
    <t>177c</t>
  </si>
  <si>
    <t>177d</t>
  </si>
  <si>
    <t>177a.1</t>
  </si>
  <si>
    <t>177a.2</t>
  </si>
  <si>
    <t>177b.1</t>
  </si>
  <si>
    <t>177b.2</t>
  </si>
  <si>
    <t>Large areas of woodland were cleared as part of a government project to eradicate the tsetse fly</t>
  </si>
  <si>
    <t>Lush grasslands were burned to rejuvinate forage</t>
  </si>
  <si>
    <t>177c.1</t>
  </si>
  <si>
    <t>177d.1</t>
  </si>
  <si>
    <t>Pastoralists burned boma camps after they were used for 4-5 years</t>
  </si>
  <si>
    <t>177c.2</t>
  </si>
  <si>
    <t>Grazing intensity had reached levels where pastoralists complained of too little forage for their herds, indicating little fuel available for wildfires</t>
  </si>
  <si>
    <t>Gregory 2010</t>
  </si>
  <si>
    <t>178a</t>
  </si>
  <si>
    <t>Group ranches had begun to be registered and transhumance reduced with the introduction of permanent agriculture; stocking rate is domesticated animals only</t>
  </si>
  <si>
    <t>Stocking rate excludes wild animals (wilderbeest, zebra)</t>
  </si>
  <si>
    <t>Laikipia</t>
  </si>
  <si>
    <t>178b</t>
  </si>
  <si>
    <t>Fire history of experimental plots</t>
  </si>
  <si>
    <t>178a.1</t>
  </si>
  <si>
    <t>Study location had not burned in last 20 years</t>
  </si>
  <si>
    <t>178a.2</t>
  </si>
  <si>
    <t>Fire exclusionary management remained in force</t>
  </si>
  <si>
    <t>178b.1</t>
  </si>
  <si>
    <t>178b.2</t>
  </si>
  <si>
    <t>North-eastern</t>
  </si>
  <si>
    <t>Swaziland</t>
  </si>
  <si>
    <t>Intensive grazing due to high stocking rates had prevented all fires in the study site for 20 years</t>
  </si>
  <si>
    <t>Roques 2001</t>
  </si>
  <si>
    <t>179a</t>
  </si>
  <si>
    <t>179b</t>
  </si>
  <si>
    <t>179c</t>
  </si>
  <si>
    <t>179d</t>
  </si>
  <si>
    <t>179e</t>
  </si>
  <si>
    <t>Hlane Wildlife Sanctuary</t>
  </si>
  <si>
    <t>Ndukuyamangedla cattle ranch</t>
  </si>
  <si>
    <t>Malahleni site (reserve pasture)</t>
  </si>
  <si>
    <t>Communal land</t>
  </si>
  <si>
    <t>Simunye site (no herbivory)</t>
  </si>
  <si>
    <t>179a.1</t>
  </si>
  <si>
    <t>179b.1</t>
  </si>
  <si>
    <t>179c.1</t>
  </si>
  <si>
    <t>179d.1</t>
  </si>
  <si>
    <t>179e.1</t>
  </si>
  <si>
    <t>179b.2</t>
  </si>
  <si>
    <t>179c.2</t>
  </si>
  <si>
    <t>179d.2</t>
  </si>
  <si>
    <t>179e.2</t>
  </si>
  <si>
    <t>All study years</t>
  </si>
  <si>
    <t>Wildlife park and absenence of intensive grazing led to average fire return period of two years</t>
  </si>
  <si>
    <t>Although burning continued, intensive levels of grazing caused fire return to decrease substantially</t>
  </si>
  <si>
    <t>After conversion of site to an sub-urban buffer zone, no fires were reported</t>
  </si>
  <si>
    <t>Grazing reduced fuel loads and decreased fire frequency. There did not seem to be significant differences between private commercial and communal ranges in the strength of this effect.</t>
  </si>
  <si>
    <t>Trollope 2011</t>
  </si>
  <si>
    <t>180a</t>
  </si>
  <si>
    <t>Ramsar site</t>
  </si>
  <si>
    <t>Okavango Delta</t>
  </si>
  <si>
    <t>180b</t>
  </si>
  <si>
    <t>Southwestern</t>
  </si>
  <si>
    <t>Kavango-Zambezi conservation area</t>
  </si>
  <si>
    <t>180a.1</t>
  </si>
  <si>
    <t>180a.2</t>
  </si>
  <si>
    <t>180a.3</t>
  </si>
  <si>
    <t>180a.4</t>
  </si>
  <si>
    <t>180a.5</t>
  </si>
  <si>
    <t>180a.6</t>
  </si>
  <si>
    <t>180a.7</t>
  </si>
  <si>
    <t>180a.8</t>
  </si>
  <si>
    <t>180a.9</t>
  </si>
  <si>
    <t>180a.10</t>
  </si>
  <si>
    <t>"facilitate the harvesting of forest products like nuts from particular tree species"</t>
  </si>
  <si>
    <t>180b.1</t>
  </si>
  <si>
    <t>180b.2</t>
  </si>
  <si>
    <t>180b.3</t>
  </si>
  <si>
    <t>180b.4</t>
  </si>
  <si>
    <t>180b.5</t>
  </si>
  <si>
    <t>180b.6</t>
  </si>
  <si>
    <t>180b.7</t>
  </si>
  <si>
    <t>180b.8</t>
  </si>
  <si>
    <t>180b.9</t>
  </si>
  <si>
    <t>180b.10</t>
  </si>
  <si>
    <t>Traditional forestry involved both fishing and gathering of nuts / NTFPs</t>
  </si>
  <si>
    <t>180c</t>
  </si>
  <si>
    <t>Phinda Game Reserve</t>
  </si>
  <si>
    <t>Kwazulu-Natal</t>
  </si>
  <si>
    <t>180c.1</t>
  </si>
  <si>
    <t>180c.2</t>
  </si>
  <si>
    <t>180c.3</t>
  </si>
  <si>
    <r>
      <t>2-4 years given as author estimate based on target level of grassland biomass of 4000kg ha</t>
    </r>
    <r>
      <rPr>
        <vertAlign val="superscript"/>
        <sz val="11"/>
        <color theme="1"/>
        <rFont val="Calibri"/>
        <family val="2"/>
        <scheme val="minor"/>
      </rPr>
      <t>-1</t>
    </r>
  </si>
  <si>
    <t>180b.11</t>
  </si>
  <si>
    <t>180a.11</t>
  </si>
  <si>
    <r>
      <t>Fire return assumes a (defacto) target grass length of 3000kg ha</t>
    </r>
    <r>
      <rPr>
        <vertAlign val="superscript"/>
        <sz val="11"/>
        <color theme="1"/>
        <rFont val="Calibri"/>
        <family val="2"/>
        <scheme val="minor"/>
      </rPr>
      <t>-1</t>
    </r>
    <r>
      <rPr>
        <sz val="11"/>
        <color theme="1"/>
        <rFont val="Calibri"/>
        <family val="2"/>
        <scheme val="minor"/>
      </rPr>
      <t>, which is the length found to remove tick presence.</t>
    </r>
  </si>
  <si>
    <t>Ngorongoro Crater</t>
  </si>
  <si>
    <t>180d</t>
  </si>
  <si>
    <t>180d.1</t>
  </si>
  <si>
    <t>180d.2</t>
  </si>
  <si>
    <t>180e</t>
  </si>
  <si>
    <t>180f</t>
  </si>
  <si>
    <t>Kruger National Park</t>
  </si>
  <si>
    <t>Pilansberg National Park</t>
  </si>
  <si>
    <t>180e.1</t>
  </si>
  <si>
    <t>180f.1</t>
  </si>
  <si>
    <t>180e.2</t>
  </si>
  <si>
    <t>180f.2</t>
  </si>
  <si>
    <t>Patch burning mosaic strategy in operation</t>
  </si>
  <si>
    <t>Method of fire carefully evaluated (point vs block burning), detailed restrictions according to weather conditions… "the goal of greater pyrodiversity is achieved if fires are ignited when the air temperature is &lt;25 °C and the relative humidity &gt;50 %"</t>
  </si>
  <si>
    <t>Seasonal mosaic burning to fragment fuels and create a highly heterogenous landscape</t>
  </si>
  <si>
    <t>Fuel loads kept to a very low level through fire and grazing to remove ticks</t>
  </si>
  <si>
    <t>181a</t>
  </si>
  <si>
    <t>Etosha National Park</t>
  </si>
  <si>
    <t>Brockett 2001, cited in Trollope 2004</t>
  </si>
  <si>
    <t>van Wilgen 1990, cited in Trollope 2004</t>
  </si>
  <si>
    <t>181b</t>
  </si>
  <si>
    <t>181c</t>
  </si>
  <si>
    <t>181d</t>
  </si>
  <si>
    <t>Uluru National Park</t>
  </si>
  <si>
    <t>Kakadu National Park</t>
  </si>
  <si>
    <t>181a.1</t>
  </si>
  <si>
    <t>Lightning fires were deliberately allowed to burn, with a prescribed target of 12% of the park</t>
  </si>
  <si>
    <t>181a.2</t>
  </si>
  <si>
    <t>Owing to the lightning fire mgmt system, additional deliberate fires were vigorously suppressed</t>
  </si>
  <si>
    <t>Fire return was 5.5 to 9.3 years; figure is mean of presented range</t>
  </si>
  <si>
    <t>181b.1</t>
  </si>
  <si>
    <t>181c.1</t>
  </si>
  <si>
    <t>181d.1</t>
  </si>
  <si>
    <t>Calculations based on reported range of intended burned area: 1-50% requiring 6-71 ignitions respectively. Values for burned area and ignitions per km2 are means of this range.</t>
  </si>
  <si>
    <t>181a.3</t>
  </si>
  <si>
    <t>Highly organised block burning system set up, with rain gauges used to decide when to prescribe burns; fire behaviour carefully tended and limited to burned area target (12%)</t>
  </si>
  <si>
    <t>Sophisticated approach to fuel load management, involving direct field measurements of grass fuel load; burned area in a given year could be up to 50% of land surface</t>
  </si>
  <si>
    <t>"Unplanned anthropogenic fires were combatted and limited to the smallest area possible"</t>
  </si>
  <si>
    <t>Fuel load management through programme of prescribed burning; maximum burned area of 12%</t>
  </si>
  <si>
    <t>182a</t>
  </si>
  <si>
    <t>182b</t>
  </si>
  <si>
    <t>182c</t>
  </si>
  <si>
    <t>Mid-Boteti</t>
  </si>
  <si>
    <t>Bokspits</t>
  </si>
  <si>
    <t>Reed 2006</t>
  </si>
  <si>
    <t>Tsabong-Werda</t>
  </si>
  <si>
    <t>Study dates estimated from date of publication</t>
  </si>
  <si>
    <t>Livestock was dominated by smallstock such as goats; traditional forestry was gathering of firewood from rangelands</t>
  </si>
  <si>
    <t>182a.1</t>
  </si>
  <si>
    <t>182b.1</t>
  </si>
  <si>
    <t>182c.1</t>
  </si>
  <si>
    <t>182a.2</t>
  </si>
  <si>
    <t>182b.2</t>
  </si>
  <si>
    <t>182c.2</t>
  </si>
  <si>
    <t>Fire use had died out in the rangelands; however, this was primarily due to reduced fuel loads from grazing density and woody enchroachment meaning that fire was no longer an effective management technique</t>
  </si>
  <si>
    <t>Burning was banned and largely phased out in the region; further commercial farmers were applying herbicides and using machinery to remove woody shrubs from the rangelands</t>
  </si>
  <si>
    <t>182a.3</t>
  </si>
  <si>
    <t>182a.4</t>
  </si>
  <si>
    <t>The extent of woody shrub encroachment, and limited fuel loads meant that fire was no longer effective in maintaining grass dominance in the rangelands</t>
  </si>
  <si>
    <t>Low fuel loads due to the intensity of grazing pressure in the region had led to a decline in the frequency and intensity of wildfires</t>
  </si>
  <si>
    <t xml:space="preserve">Fire breaks not installed for prescribed burns due to cost </t>
  </si>
  <si>
    <t>Rueff 2004</t>
  </si>
  <si>
    <t>183a</t>
  </si>
  <si>
    <t>183b</t>
  </si>
  <si>
    <t>Yatir</t>
  </si>
  <si>
    <t>Negev desert</t>
  </si>
  <si>
    <t>Israel</t>
  </si>
  <si>
    <t>Palestine</t>
  </si>
  <si>
    <t>Study location straddled border</t>
  </si>
  <si>
    <t>183a.1</t>
  </si>
  <si>
    <t>Stocking rate is for sheep; herders extracted pinewood for burning from forest</t>
  </si>
  <si>
    <t>183a.2</t>
  </si>
  <si>
    <t>183b.1</t>
  </si>
  <si>
    <t>183b.2</t>
  </si>
  <si>
    <t>Owing to trade restrictions with the Palestinian territories, dung was piled up outside camps and burned (previously was sold as fuel)</t>
  </si>
  <si>
    <t>Given risk of sparking wildfires in populated region, prescribed burning was considered "not a realistic option" - herbicides were used instead to control vegetation</t>
  </si>
  <si>
    <t>In 1997 and 1998, grazing density was too low to fully meet fire suppression objectives</t>
  </si>
  <si>
    <t>From 1998, fire suppression objectives were met through grazing</t>
  </si>
  <si>
    <t>Incentives were provided to Bedouin pastoralists to encourage them to graze the forests</t>
  </si>
  <si>
    <t>Skinner 2010</t>
  </si>
  <si>
    <t>184a</t>
  </si>
  <si>
    <t>Wayama traditional area</t>
  </si>
  <si>
    <t>Location estimated from author description</t>
  </si>
  <si>
    <t>184a.1</t>
  </si>
  <si>
    <t>184a.2</t>
  </si>
  <si>
    <t>"Early dry season" fires; from oral history</t>
  </si>
  <si>
    <t>Due to a combination of a fire ban, grazing intensity and woody shrub encroachment, fire had lost its utility as a management option</t>
  </si>
  <si>
    <t>184a.3</t>
  </si>
  <si>
    <t>Fire was still used to manage ticks and pests</t>
  </si>
  <si>
    <t>Stocking rates without fire for regeneration had meant that even where fires were set deliberately "the fuel load (ground cover) is now so patchy that it can be difficult to get a fire started and maintained"</t>
  </si>
  <si>
    <t>185a</t>
  </si>
  <si>
    <t>185b</t>
  </si>
  <si>
    <t>185c</t>
  </si>
  <si>
    <t>185d</t>
  </si>
  <si>
    <t>Narok</t>
  </si>
  <si>
    <t>Siana</t>
  </si>
  <si>
    <t>Koiyaki</t>
  </si>
  <si>
    <t>Lemek</t>
  </si>
  <si>
    <t>Olchoro-Oiroua</t>
  </si>
  <si>
    <t>Thompson 2002</t>
  </si>
  <si>
    <t>76.6% of pastoralists had adopted some form of cultivation</t>
  </si>
  <si>
    <t>34.45% of pastoralists had adopted some form of cultivation</t>
  </si>
  <si>
    <t>86% of pastoralists had adopted some form of cultivation</t>
  </si>
  <si>
    <t>185a.1</t>
  </si>
  <si>
    <t>185b.1</t>
  </si>
  <si>
    <t>185c.1</t>
  </si>
  <si>
    <t>185d.1</t>
  </si>
  <si>
    <t>Cropland was prepared with machinery, pesticides and fertilisers</t>
  </si>
  <si>
    <t>185a.2</t>
  </si>
  <si>
    <t>185b.2</t>
  </si>
  <si>
    <t>185c.2</t>
  </si>
  <si>
    <t>185d.2</t>
  </si>
  <si>
    <t xml:space="preserve">Fields were fertilised through manuring rather than with ashes and burning. </t>
  </si>
  <si>
    <t>Toutain 2004</t>
  </si>
  <si>
    <t>186a</t>
  </si>
  <si>
    <t>186b</t>
  </si>
  <si>
    <t>186c</t>
  </si>
  <si>
    <t>Benin</t>
  </si>
  <si>
    <t>Niger</t>
  </si>
  <si>
    <t>W National Park</t>
  </si>
  <si>
    <t>Study area assumes park evenly distributed across borders</t>
  </si>
  <si>
    <t>186a.1</t>
  </si>
  <si>
    <t>186b.1</t>
  </si>
  <si>
    <t>186c.1</t>
  </si>
  <si>
    <t>Fire use inferred from description of agricultural practices</t>
  </si>
  <si>
    <t>Pastoralists caught bushmeat using snares and firearms, rather than with fire</t>
  </si>
  <si>
    <t>186a.2</t>
  </si>
  <si>
    <t>186b.2</t>
  </si>
  <si>
    <t>186c.2</t>
  </si>
  <si>
    <t>186a.3</t>
  </si>
  <si>
    <t>186b.3</t>
  </si>
  <si>
    <t>186c.3</t>
  </si>
  <si>
    <t>Farmers established fields, or simply burned pastures to push nomadic pastoralists away and to avoid cattle damaging their crops</t>
  </si>
  <si>
    <t xml:space="preserve">Insecure tenure involved conflict between nomadic pastoralists and park authorities or sedentary farmers. </t>
  </si>
  <si>
    <t>Trigg 2012</t>
  </si>
  <si>
    <t>187a</t>
  </si>
  <si>
    <t>Sudan</t>
  </si>
  <si>
    <t>Kordofan</t>
  </si>
  <si>
    <t>Study location digitised from author map</t>
  </si>
  <si>
    <t>Trigg 2013</t>
  </si>
  <si>
    <t>187b</t>
  </si>
  <si>
    <t>White Nile State</t>
  </si>
  <si>
    <t>Conversion of rangeland into cropland</t>
  </si>
  <si>
    <t>187a.1</t>
  </si>
  <si>
    <t>Fires lit at the interface of agricultural lands and rangelands to ward off nomads to prevent cattle from eating growing crops</t>
  </si>
  <si>
    <t>187a.2</t>
  </si>
  <si>
    <t>187a.3</t>
  </si>
  <si>
    <t>187a.4</t>
  </si>
  <si>
    <t>Lightning fires were not present on cropland as farmers fed residues to cattle</t>
  </si>
  <si>
    <t>Croplands, combined with use of residues to feed cattle, did not burn during the study period</t>
  </si>
  <si>
    <r>
      <t>Ignitions were interpreted visually from remote sensing images; data read from graph and averaged over 2000-2005; assumes a circular area of 3.5km</t>
    </r>
    <r>
      <rPr>
        <vertAlign val="superscript"/>
        <sz val="11"/>
        <color theme="1"/>
        <rFont val="Calibri"/>
        <family val="2"/>
        <scheme val="minor"/>
      </rPr>
      <t>2</t>
    </r>
    <r>
      <rPr>
        <sz val="11"/>
        <color theme="1"/>
        <rFont val="Calibri"/>
        <family val="2"/>
        <scheme val="minor"/>
      </rPr>
      <t xml:space="preserve"> (point estimate 1.04)</t>
    </r>
  </si>
  <si>
    <t>Pastoralists "traditionally" used fire to improve grazing; however its use was limited at the current time due to arson from mechanized farms</t>
  </si>
  <si>
    <t>Turkey</t>
  </si>
  <si>
    <t>188a</t>
  </si>
  <si>
    <t>188b</t>
  </si>
  <si>
    <t xml:space="preserve">Anatolian Highlands </t>
  </si>
  <si>
    <t>Ocak 2016</t>
  </si>
  <si>
    <t>188a.1</t>
  </si>
  <si>
    <t>188b.1</t>
  </si>
  <si>
    <t>"By browsing the undergrowth and low scrub, the herd maintains the brush and heath to manageable levels where ﬁres are far less intense if they occur due to natural causes. As well by constant stomping whilst browsing the understory, the herd buries the volatile pine needles into the soft forest soil, further deterring the likelihood of forest ﬁres."</t>
  </si>
  <si>
    <t>By banning pastoralists from grazing forests, the government was making destructive forest fires more likely</t>
  </si>
  <si>
    <t>189a</t>
  </si>
  <si>
    <t>Wigley 2009</t>
  </si>
  <si>
    <t>Conservation study site</t>
  </si>
  <si>
    <t>Communal grazing study site</t>
  </si>
  <si>
    <t>Commercial ranch study site</t>
  </si>
  <si>
    <t>189b</t>
  </si>
  <si>
    <t>189c</t>
  </si>
  <si>
    <t>189a.1</t>
  </si>
  <si>
    <t>189a.2</t>
  </si>
  <si>
    <t>Park rangers perceived the historical fire regime to have been dominated by a natural or lightning driven regime</t>
  </si>
  <si>
    <t>189a.3</t>
  </si>
  <si>
    <t>Assumes 'present day' to be final 10 years of study period</t>
  </si>
  <si>
    <t>189b.1</t>
  </si>
  <si>
    <t>189c.1</t>
  </si>
  <si>
    <t>189b.2</t>
  </si>
  <si>
    <t>189b.3</t>
  </si>
  <si>
    <t>189b.4</t>
  </si>
  <si>
    <t>189c.2</t>
  </si>
  <si>
    <t>189c.3</t>
  </si>
  <si>
    <t>189c.4</t>
  </si>
  <si>
    <t>Participants reported fire activity peaking at the end of the dry season</t>
  </si>
  <si>
    <t>189b.5</t>
  </si>
  <si>
    <t>189b.6</t>
  </si>
  <si>
    <t>Fires were "infrequent, and controlled"</t>
  </si>
  <si>
    <t>Fires were "frequent, and uncontrolled"</t>
  </si>
  <si>
    <t>Study location digitised from author map; population density from Wrigley (2010)</t>
  </si>
  <si>
    <t>Wigley 2010</t>
  </si>
  <si>
    <t>Land cover from Wrigley (2010) - record 190</t>
  </si>
  <si>
    <t>Extractive forestry was biomass gathering; traditional forestry is biomass gathering. Land cover from Wrigley (2010) - record 190</t>
  </si>
  <si>
    <t>Unclear if nomadic or semi-sedentary; land cover from Wrigley (2010) - record 190</t>
  </si>
  <si>
    <t>Hluhluwe Game Reserve</t>
  </si>
  <si>
    <t>190a</t>
  </si>
  <si>
    <t>190a.1</t>
  </si>
  <si>
    <t>187a.5</t>
  </si>
  <si>
    <t>Vehrs 2016</t>
  </si>
  <si>
    <t>191a</t>
  </si>
  <si>
    <t>East Pokot</t>
  </si>
  <si>
    <t>Nginyang and Mondi Division</t>
  </si>
  <si>
    <t>Head given in Tropical live stock units</t>
  </si>
  <si>
    <t>191b</t>
  </si>
  <si>
    <t>Oral history gathered in 2014-15; 1975 marked the end of a local conflict with Turkana herders and a return to an established pattern of land mgmt / fire use</t>
  </si>
  <si>
    <t>191a.1</t>
  </si>
  <si>
    <t>191b.1</t>
  </si>
  <si>
    <t>A lack of fuel due to intense grazing and woody encroachment made it challenging to generate a dry season burn</t>
  </si>
  <si>
    <t>High grazing pressure had led to low levels of grass forage, and the dominance of woody, fire resistant shrubs</t>
  </si>
  <si>
    <t>191a.2</t>
  </si>
  <si>
    <t>191b.2</t>
  </si>
  <si>
    <t>A lack of fuel due to intense grazing and woody encroachment made it challenging to generate a dry season burn; absence is bolstered by Vehrs (2017) - record 192</t>
  </si>
  <si>
    <t>Vehrs 2017</t>
  </si>
  <si>
    <t>192a</t>
  </si>
  <si>
    <t>Baringo County</t>
  </si>
  <si>
    <t>192b</t>
  </si>
  <si>
    <t>192a.1</t>
  </si>
  <si>
    <t>192b.1</t>
  </si>
  <si>
    <t>192b.2</t>
  </si>
  <si>
    <t>"Grazing. There is nil grazing available in the bottom of the Rift [Valley]. Most of the fodder trees have been cut entirely. Much of the Olarabal (old scheme area) has been burnt, little or no grass has come up. (Visited 24th Sept 65). Churo is overgrazed." - diary of district range management officer (cited in Vehrs 2017)</t>
  </si>
  <si>
    <t>Saladyga 2013</t>
  </si>
  <si>
    <t>193a</t>
  </si>
  <si>
    <t>Fire history from tree rings complemented with similar data from Dai et al., (2004)</t>
  </si>
  <si>
    <t>Tuul River Watershed</t>
  </si>
  <si>
    <t>193b</t>
  </si>
  <si>
    <t>193c</t>
  </si>
  <si>
    <t>193d</t>
  </si>
  <si>
    <t>193e</t>
  </si>
  <si>
    <t>Intensive land use</t>
  </si>
  <si>
    <t>Intermediate land use</t>
  </si>
  <si>
    <t>Low intensity land use</t>
  </si>
  <si>
    <t>Ulaanbaatar</t>
  </si>
  <si>
    <t>Natural ecosystem % is forested land cover; extractive forestry was a combination of migratory herders using fuelwood and logging</t>
  </si>
  <si>
    <t>Extractive forestry was a combination of migratory herders using fuelwood and logging</t>
  </si>
  <si>
    <t>Extractive forestry was principally migratory herders gathering fuelwood</t>
  </si>
  <si>
    <t>193a.1</t>
  </si>
  <si>
    <t>193b.1</t>
  </si>
  <si>
    <t>193c.1</t>
  </si>
  <si>
    <t>193d.1</t>
  </si>
  <si>
    <t>193e.1</t>
  </si>
  <si>
    <t>193a.2</t>
  </si>
  <si>
    <t>193b.2</t>
  </si>
  <si>
    <t>193c.2</t>
  </si>
  <si>
    <t>193d.2</t>
  </si>
  <si>
    <t>193e.2</t>
  </si>
  <si>
    <t>Migratory herders did not use fire for purposes of forage regeneration or land clearance</t>
  </si>
  <si>
    <t>193b.3</t>
  </si>
  <si>
    <t>193c.3</t>
  </si>
  <si>
    <t>193d.3</t>
  </si>
  <si>
    <t>193e.3</t>
  </si>
  <si>
    <t xml:space="preserve">Most ignitions were regarded as being accidental </t>
  </si>
  <si>
    <t>193c.4</t>
  </si>
  <si>
    <t>193d.4</t>
  </si>
  <si>
    <t>193e.4</t>
  </si>
  <si>
    <t>No evidence of stand-replacement fires were found at any study sites</t>
  </si>
  <si>
    <t>194a</t>
  </si>
  <si>
    <t>194a.1</t>
  </si>
  <si>
    <t>Burned area is estimated mean burned area per year (read from graph)</t>
  </si>
  <si>
    <t>Intensive land use had reduced fire return period by &gt;50%</t>
  </si>
  <si>
    <t>Grazing and extraction of fuelwood was negatively correlated with fire (-0.311, -0.206 respectively)</t>
  </si>
  <si>
    <t>Grazing was negatively correlated with fire (-0.311)</t>
  </si>
  <si>
    <t>Intensive land use had reduced fire return period by &gt;50%; logging was postively correlated with years since last fire (0.602, p &lt; 0.01)</t>
  </si>
  <si>
    <t>Logging was postively correlated with years since last fire (0.602, p &lt; 0.01)</t>
  </si>
  <si>
    <t>Varela 2018</t>
  </si>
  <si>
    <t>Location is centre of study area; study area is grazed area</t>
  </si>
  <si>
    <t>194a.2</t>
  </si>
  <si>
    <t>Targeted grazing to create fuel breaks; although a cheap and effective means of fire reduction, it did not remove the need for mechanical fire breaks</t>
  </si>
  <si>
    <t>Mechanically constructed fire breaks, made by removing vegetation</t>
  </si>
  <si>
    <t>Shephers were paid to graze; payments were based on fuel removal and the difficulty of the grazing location</t>
  </si>
  <si>
    <t>Secondary</t>
  </si>
  <si>
    <t>195a</t>
  </si>
  <si>
    <t>Ruiz-Mizaro 2012</t>
  </si>
  <si>
    <t>195b</t>
  </si>
  <si>
    <t>195c</t>
  </si>
  <si>
    <t>195d</t>
  </si>
  <si>
    <t>195e</t>
  </si>
  <si>
    <t>195f</t>
  </si>
  <si>
    <t>195g</t>
  </si>
  <si>
    <t>195h</t>
  </si>
  <si>
    <t>195i</t>
  </si>
  <si>
    <t>195j</t>
  </si>
  <si>
    <t>195k</t>
  </si>
  <si>
    <t>195l</t>
  </si>
  <si>
    <t>195m</t>
  </si>
  <si>
    <t>195n</t>
  </si>
  <si>
    <t>195o</t>
  </si>
  <si>
    <t>195p</t>
  </si>
  <si>
    <t>195q</t>
  </si>
  <si>
    <t>195r</t>
  </si>
  <si>
    <t>195s</t>
  </si>
  <si>
    <t>195t</t>
  </si>
  <si>
    <t>195u</t>
  </si>
  <si>
    <t>195v</t>
  </si>
  <si>
    <t>195w</t>
  </si>
  <si>
    <t>195x</t>
  </si>
  <si>
    <t>195y</t>
  </si>
  <si>
    <t>Cabo de Gata-Níjar</t>
  </si>
  <si>
    <t>Sierra María-Los Vélez</t>
  </si>
  <si>
    <t>Sierra de Grazalema</t>
  </si>
  <si>
    <t>Bahía de Cádiz</t>
  </si>
  <si>
    <t>Alcorncales</t>
  </si>
  <si>
    <t>Breña y Marismas de Barbate</t>
  </si>
  <si>
    <t>Parque Natural del Estrecho</t>
  </si>
  <si>
    <t>Sierra de Cardeña y Montoro</t>
  </si>
  <si>
    <t>Sierra de Hornachuelos</t>
  </si>
  <si>
    <t>Sierras Subbéticas</t>
  </si>
  <si>
    <t>Sierra Nevada National Park</t>
  </si>
  <si>
    <t>Sierra de Baza</t>
  </si>
  <si>
    <t>Sierra de Castril</t>
  </si>
  <si>
    <t>Sierra de Huétor</t>
  </si>
  <si>
    <t>All natural parks in the State of Andalusia (specific locations given in individual case studies)</t>
  </si>
  <si>
    <t>Parque Nacional de Doñana</t>
  </si>
  <si>
    <t>Sierra de Aracena</t>
  </si>
  <si>
    <t>Despeñaperros Natural Park</t>
  </si>
  <si>
    <t>Sierra de Andújar</t>
  </si>
  <si>
    <t>Sierras de Cazorla, Segura y Las Villas Natural Park</t>
  </si>
  <si>
    <t>Sierra Mágina Natural Park</t>
  </si>
  <si>
    <t>Montes de Malaga Natural Park</t>
  </si>
  <si>
    <t>Sierras de Tejeda, Almijara y Alhama Natural Park</t>
  </si>
  <si>
    <t>Sierra de las Nieves</t>
  </si>
  <si>
    <t>Sierra Norte</t>
  </si>
  <si>
    <t>195a.1</t>
  </si>
  <si>
    <t>195b.1</t>
  </si>
  <si>
    <t>195c.1</t>
  </si>
  <si>
    <t>195d.1</t>
  </si>
  <si>
    <t>195e.1</t>
  </si>
  <si>
    <t>195f.1</t>
  </si>
  <si>
    <t>195g.1</t>
  </si>
  <si>
    <t>195h.1</t>
  </si>
  <si>
    <t>195i.1</t>
  </si>
  <si>
    <t>195j.1</t>
  </si>
  <si>
    <t>195k.1</t>
  </si>
  <si>
    <t>195l.1</t>
  </si>
  <si>
    <t>195m.1</t>
  </si>
  <si>
    <t>195n.1</t>
  </si>
  <si>
    <t>195o.1</t>
  </si>
  <si>
    <t>195p.1</t>
  </si>
  <si>
    <t>195q.1</t>
  </si>
  <si>
    <t>195r.1</t>
  </si>
  <si>
    <t>195s.1</t>
  </si>
  <si>
    <t>195t.1</t>
  </si>
  <si>
    <t>195u.1</t>
  </si>
  <si>
    <t>195v.1</t>
  </si>
  <si>
    <t>195w.1</t>
  </si>
  <si>
    <t>195x.1</t>
  </si>
  <si>
    <t>195y.1</t>
  </si>
  <si>
    <t>Genin 2011</t>
  </si>
  <si>
    <t>196a</t>
  </si>
  <si>
    <t>Morocco</t>
  </si>
  <si>
    <t>Azilal</t>
  </si>
  <si>
    <t>Ait Bouguemez</t>
  </si>
  <si>
    <t>196b</t>
  </si>
  <si>
    <t>Inferred from management of fuel loads</t>
  </si>
  <si>
    <t>Essauira</t>
  </si>
  <si>
    <t>Imint'lit</t>
  </si>
  <si>
    <t>Traditional forestry was harvesting of wood for fuelwood and fodder</t>
  </si>
  <si>
    <t>196a.1</t>
  </si>
  <si>
    <t>196a.2</t>
  </si>
  <si>
    <t>196b.1</t>
  </si>
  <si>
    <t>196b.2</t>
  </si>
  <si>
    <t>The Agdal system involved a sophisticated array of local rules and enforcement regarding biomass harvesting from forests; the impact of the system had had a significant impact on the fuel loads and functional shape of the forest ecosystem</t>
  </si>
  <si>
    <t>197a</t>
  </si>
  <si>
    <t>Analysis of government fire data</t>
  </si>
  <si>
    <t>Sardinia</t>
  </si>
  <si>
    <t>Italy</t>
  </si>
  <si>
    <t>Land use cross-checked against Balestieri (2018); agroforestry primarily olive and citrus groves</t>
  </si>
  <si>
    <t>197a.1</t>
  </si>
  <si>
    <t>197a.2</t>
  </si>
  <si>
    <t>Predominant source of ignitions was residue burning</t>
  </si>
  <si>
    <t>197a.3</t>
  </si>
  <si>
    <t>Includes urban fires (206 p/a)</t>
  </si>
  <si>
    <t>197a.4</t>
  </si>
  <si>
    <t>197a.5</t>
  </si>
  <si>
    <t>Assumes permanently cropped area is agroforestry &amp; ignition distribution follows global pattern</t>
  </si>
  <si>
    <t>Assumes ignition temporal distribution follows global pattern</t>
  </si>
  <si>
    <t>197a.6</t>
  </si>
  <si>
    <t>197a.7</t>
  </si>
  <si>
    <t>Assumes ignition temporal distribution follows global pattern; values estimated as unclear land cover / AFT relationship</t>
  </si>
  <si>
    <t>Assumes permanently cropped area is agroforestry &amp; ignition distribution follows global pattern; values estimated as unclear land cover / AFT relationship</t>
  </si>
  <si>
    <t>Overall limited spread of fires "suggests that fire suppression is highly effective almost everywhere"</t>
  </si>
  <si>
    <t>Bajocco 2010</t>
  </si>
  <si>
    <t>Lind 2016</t>
  </si>
  <si>
    <t>198a</t>
  </si>
  <si>
    <t>Somali</t>
  </si>
  <si>
    <t>Charcoal production had led to large levels of deforestation</t>
  </si>
  <si>
    <t>198a.1</t>
  </si>
  <si>
    <t>198b</t>
  </si>
  <si>
    <t>Borana</t>
  </si>
  <si>
    <t>198b.1</t>
  </si>
  <si>
    <t>After the fire ban in the 1970s, enchroachment of woody plants had meant "fuel loads (were) far from being enough to trigger a fire. Pastoralists (had) no choice but to cut the bushes with (sic) axe."</t>
  </si>
  <si>
    <t>Policy of encouraging sedenterisation and uptake of cropping</t>
  </si>
  <si>
    <t>Karamoja</t>
  </si>
  <si>
    <t>198c</t>
  </si>
  <si>
    <t>Extractive forestry was biomass gathering for fire wood, typically by pastoralists</t>
  </si>
  <si>
    <t>198d</t>
  </si>
  <si>
    <t>South Sudan</t>
  </si>
  <si>
    <t>Bahr el Ghazal</t>
  </si>
  <si>
    <t>Extractive forestry was unlawful logging for timber exports and charcoal production</t>
  </si>
  <si>
    <t>198e</t>
  </si>
  <si>
    <t>199a</t>
  </si>
  <si>
    <t>Traditional forestry was hunting and gathering of bush NTFPs</t>
  </si>
  <si>
    <t>Velempini 2008</t>
  </si>
  <si>
    <t>Kgalagadi</t>
  </si>
  <si>
    <t>Khawa</t>
  </si>
  <si>
    <t>Study end date estimated from author description, described as "present day" by authors</t>
  </si>
  <si>
    <t>199a.1</t>
  </si>
  <si>
    <t>199a.2</t>
  </si>
  <si>
    <t>199a.3</t>
  </si>
  <si>
    <t>199a.4</t>
  </si>
  <si>
    <t>199a.5</t>
  </si>
  <si>
    <t>199a.6</t>
  </si>
  <si>
    <t>199a.7</t>
  </si>
  <si>
    <t>199a.8</t>
  </si>
  <si>
    <t>Fire was used, but there was "considerable reluctance" to discuss this due to official bans</t>
  </si>
  <si>
    <t>Fire was used, but there was "considerable reluctance" to discuss this due to official bans &amp; sanctions including prison</t>
  </si>
  <si>
    <t>Powell 1994, cited in Velempini 2008</t>
  </si>
  <si>
    <t>200a</t>
  </si>
  <si>
    <t>San homeland</t>
  </si>
  <si>
    <t>Location given is of former apartheid era Bantustan</t>
  </si>
  <si>
    <t>Traditional forestry was hunting of bush meat</t>
  </si>
  <si>
    <t>200a.1</t>
  </si>
  <si>
    <t>200a.2</t>
  </si>
  <si>
    <t>200a.3</t>
  </si>
  <si>
    <t>200a.4</t>
  </si>
  <si>
    <t>Fire used to "make the vegetation look good"</t>
  </si>
  <si>
    <t>143a.5</t>
  </si>
  <si>
    <t>Maximum patch size was 5ha, but often "multiple consecutive patches were ignited"; Fire count is mean reported fires p/a (48), divided by the vegetation sampling area (33km*11km); land cover burned based on fire return interval</t>
  </si>
  <si>
    <t>Pastoralism, Migratory</t>
  </si>
  <si>
    <t>Cropping, Agroecology</t>
  </si>
  <si>
    <t>Traditional forestry was hunting</t>
  </si>
  <si>
    <t>75f.2</t>
  </si>
  <si>
    <t>Study area only includes the Traditional cropland of the village</t>
  </si>
  <si>
    <t xml:space="preserve">PROCAMPO agrarian reforms established large Traditional forests; 'Other' category in land use classification means numbers do not sum to 100. </t>
  </si>
  <si>
    <t xml:space="preserve">Forestry to produce firewood and charcoal as cash commodities; land was Traditionally held between pastoralists, but increasingly irrigated agriculture around rivers was occupying previous rangelands. </t>
  </si>
  <si>
    <t xml:space="preserve">Farm size is for cropland - private rangelands were between 30-300ha; land tenure was principally Traditional, with increasing chunks being fenced off as private enclosure or commercial cropland. </t>
  </si>
  <si>
    <t>Proportion of Secondary Vegetation being prepared as cropland</t>
  </si>
  <si>
    <t>Divides overall amount burned (72%) over  3 years by the proportion of the land cover in Secondary Vegetation, and then multiplies by the amount of recurrent burning.</t>
  </si>
  <si>
    <t>Total BA is mean Secondary Vegetation cleared * number of farmers; fire return is fallow period + 2 years (usage duration reported).</t>
  </si>
  <si>
    <t>Fire return calculated as 1 / average percentage of swidden and Secondary Vegetation that was under cultivation.</t>
  </si>
  <si>
    <t>BA is fire return period (inferred from fallow) * %Secondary Vegetation (reported). Fire size from field size; return is fallow + 2,</t>
  </si>
  <si>
    <t>BA is fire return period (inferred from fallow) * %Secondary Vegetation (reported). Fire size from field size; return is fallow + 2</t>
  </si>
  <si>
    <t>Fire return calculated from proportion of Secondary Vegetation to cropland. Intended burned area based on land cover %.</t>
  </si>
  <si>
    <t>Increased acai agroforestry has reduced pressure on Secondary Vegetation and increased fallow length. An alternate pattern of burning in June is reported in the river delta.</t>
  </si>
  <si>
    <t>131a.12</t>
  </si>
  <si>
    <t>Fire return estimated from author categorisation of fine, medium and coarse mosaics with associated fire return periods (&lt;2, 3-10, 10+) fire size ranged from fine grained mosaic (with at least 3 patch transitions over a 2km straight line transect) to gun hunting fires of up to 20km.</t>
  </si>
  <si>
    <t>Fire data from remote sensing not included, but used to infer presence of either cyclical / deforestation fires from fire detection and landcover transition matrix</t>
  </si>
  <si>
    <t>Fire return is 4 years' cultivation + 8 years' fallow (both reported); intended burned area is intended % of chitemene burned (based on fire return period) * chitemene size * chitemene density; fire density based on chitemene density and fire return</t>
  </si>
  <si>
    <t xml:space="preserve">% residues burned * % area planted with rice; assumes market-oriented uses combine, and therefore burns (correlation between burning and combine  = 0.72); burned proportion is an average of 93% of combine harvested area. </t>
  </si>
  <si>
    <t xml:space="preserve">% residues burned * % area planted with wheat; assumes market-oriented uses combine, and therefore burns (correlation between burning and combine  = 0.85; burned proportion is an average of 92% of combine harvested area. </t>
  </si>
  <si>
    <t>RS data not included</t>
  </si>
  <si>
    <t>Tapajas-Arapiuns Extractive Reserve</t>
  </si>
  <si>
    <t>Licenses were technically required for burning</t>
  </si>
  <si>
    <t>Data is for post-monsoon rice crop; assumes residue fires burn ~ the field area in which they are grown</t>
  </si>
  <si>
    <t>9b.2</t>
  </si>
  <si>
    <t>9b.3</t>
  </si>
  <si>
    <t>84% of farmers reported burning their pasture annually to kill weeds (page 34). Pasture covered an average of 27% of farmers' land. Max fire size based on reported average operation size of 75ha, assuming one pasture fire on one plot.</t>
  </si>
  <si>
    <t>Johansson 2012</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</si>
  <si>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Assumes 'large'(&gt;100ha) properties are intensive, and those &lt;100ha are mixed cattle / cropping smallholder farms.</t>
  </si>
  <si>
    <t>86% of burn scars were smaller than 50ha; figures assume distribution is exponential (Malamud et al., 2005)</t>
  </si>
  <si>
    <t>Eloy 2020</t>
  </si>
  <si>
    <t>Combined study area</t>
  </si>
  <si>
    <t>Jalapao</t>
  </si>
  <si>
    <t>117e</t>
  </si>
  <si>
    <t>Study location is centre of reported area; combined region reported in a-d</t>
  </si>
  <si>
    <t>117e.1</t>
  </si>
  <si>
    <t>Record combines data in overall fire regime reported in 117a-d. Fire number is based on overall count across study area.</t>
  </si>
  <si>
    <t>169a.14</t>
  </si>
  <si>
    <t>169c.14</t>
  </si>
  <si>
    <t>169b.14</t>
  </si>
  <si>
    <t>2aa.1</t>
  </si>
  <si>
    <t>% of farmers burning rice residues is reported. BA for all cropland calculated by weighted survey responses (972) by those excluded as they didn't grow rice (140). Market-oriented (536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</si>
  <si>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 (65 farmers) defined as crops harvested by hand.Reported distribution of partial (1/9th of field) and complete (entire field) burns factored in.</t>
  </si>
  <si>
    <t>% of farmers burning rice residues is reported. BA for all cropland calculated by weighting survey responses by those who grew no rice (12.5%); fire size from field size. Reported distribution of partial (1/9th of field) and complete (entire field) burns factored in.</t>
  </si>
  <si>
    <t>% of farmers burning rice residues is reported. BA% for all cropland calculated by weighted survey responses (972) by those excluded as they didn't grow rice (140). Market-oriented (194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</si>
  <si>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Subsistence-oriented (172 farmers) defined as all crops harvested with a combine. Reported distribution of partial (1/9th of field) and complete (entire field) burns factored in.</t>
  </si>
  <si>
    <t>Window is for post-monsoon rice crop. Fire sizes from field sizes and author analysis of fire behaviour (%ct of a field burned per fire)</t>
  </si>
  <si>
    <t>Fire creation ID</t>
  </si>
  <si>
    <t>Johansson 2019</t>
  </si>
  <si>
    <t>Bale Mountains National Park</t>
  </si>
  <si>
    <t>Cultivation Zone</t>
  </si>
  <si>
    <t>Areas outside the national park</t>
  </si>
  <si>
    <t>64b</t>
  </si>
  <si>
    <t>64a.1</t>
  </si>
  <si>
    <t>64a.2</t>
  </si>
  <si>
    <t>64a.3</t>
  </si>
  <si>
    <t>64a.4</t>
  </si>
  <si>
    <t>64a.5</t>
  </si>
  <si>
    <t>64a.6</t>
  </si>
  <si>
    <t>64a.7</t>
  </si>
  <si>
    <t>64a.8</t>
  </si>
  <si>
    <t>64b.1</t>
  </si>
  <si>
    <t>Fire season typically runs to February, but in drought years can run into April</t>
  </si>
  <si>
    <t>64b.2</t>
  </si>
  <si>
    <t>64b.3</t>
  </si>
  <si>
    <t>64b.4</t>
  </si>
  <si>
    <t>64b.5</t>
  </si>
  <si>
    <t>64b.6</t>
  </si>
  <si>
    <t>64b.7</t>
  </si>
  <si>
    <t>64b.8</t>
  </si>
  <si>
    <t>Fire size read from graph; fire return weighted mean of reported stand ages; burned area assumes Erica stands cover around 65% of the land area (as found in the authors' sample)</t>
  </si>
  <si>
    <t>Conflict between pastoralists and the natural park</t>
  </si>
  <si>
    <t>A combination of helicopters as well as community action was deployed to tackle large fires</t>
  </si>
  <si>
    <t>Patch burning led to discontinuous fuels and a highly effective means of restricting fire size</t>
  </si>
  <si>
    <t>Because fires were illegal, pastoralists were forced to light them covertly, often riding past on horse with a cigarette</t>
  </si>
  <si>
    <t>Before the ban, pastoralists engaged in detailed community fire practice; whilst the ban was less well enforced outside the park, this community fire management was no longer as robustly in place</t>
  </si>
  <si>
    <t>A fire ban led to large build-ups of fuel, and greatly increased fire size</t>
  </si>
  <si>
    <t>The ban was widely enforced within the national park, particularly near to roads</t>
  </si>
  <si>
    <t>The ban was not widely enforced in more remote and montane areas</t>
  </si>
  <si>
    <t>The study area was part of a REDD+ scheme</t>
  </si>
  <si>
    <t>Cogos 2019</t>
  </si>
  <si>
    <t>201a</t>
  </si>
  <si>
    <t>Jokkmokk</t>
  </si>
  <si>
    <t xml:space="preserve"> Norrbotten </t>
  </si>
  <si>
    <t>Sweeden</t>
  </si>
  <si>
    <t>Study date estimated from publication date and source of funding</t>
  </si>
  <si>
    <t xml:space="preserve">Study focuses on Sami herders, however their lands were under pressure in particular from commercial forestry, hydropower and mining. </t>
  </si>
  <si>
    <t>201a.1</t>
  </si>
  <si>
    <t>201a.2</t>
  </si>
  <si>
    <t>201a.3</t>
  </si>
  <si>
    <t>Fire had been reintroduced as conservationists realised fire bans had led to negative impacts on biodiversity</t>
  </si>
  <si>
    <t>Fire had once been a fundamental part of Sami culture, however fire bans introduced in the late 19th century had removed this</t>
  </si>
  <si>
    <t>Onasanya 2018</t>
  </si>
  <si>
    <t>202a</t>
  </si>
  <si>
    <t>Oyo</t>
  </si>
  <si>
    <t>Osun</t>
  </si>
  <si>
    <t>Ogun</t>
  </si>
  <si>
    <t>202b</t>
  </si>
  <si>
    <t>202c</t>
  </si>
  <si>
    <t>202a.1</t>
  </si>
  <si>
    <t>Adamawa</t>
  </si>
  <si>
    <t>Usman 2017</t>
  </si>
  <si>
    <t>203a</t>
  </si>
  <si>
    <t>Gives a mean number of cattle per household in pastoralists of c. 7.5 (assuming larger herds belong to more intensive practitioners</t>
  </si>
  <si>
    <t>203a.1</t>
  </si>
  <si>
    <t>203a.2</t>
  </si>
  <si>
    <t xml:space="preserve">Whilst migratory pastoralists did use fire to clear ticks - they could also move their cattle to a new (non-infested area). This may have meant sedentary extensive cattle farmers used fire more frequently for this. Overall, 44% of farmers used fire to tackle pests. </t>
  </si>
  <si>
    <t xml:space="preserve">Overall, 44% of farmers used fire to tackle pests. </t>
  </si>
  <si>
    <t>Fires were very widespread in spite of the ban; the authors recommend stronger enforcement.</t>
  </si>
  <si>
    <t>Usman 2017b</t>
  </si>
  <si>
    <t>204a</t>
  </si>
  <si>
    <t>Girei</t>
  </si>
  <si>
    <t>Adamwa</t>
  </si>
  <si>
    <t>Paper focuses on conflict between herders and sedentary farmers</t>
  </si>
  <si>
    <t>204a.1</t>
  </si>
  <si>
    <t>Ansell 2020</t>
  </si>
  <si>
    <t>205a</t>
  </si>
  <si>
    <t>205b</t>
  </si>
  <si>
    <t>205c</t>
  </si>
  <si>
    <t>205d</t>
  </si>
  <si>
    <t>205e</t>
  </si>
  <si>
    <t>205f</t>
  </si>
  <si>
    <t>205g</t>
  </si>
  <si>
    <t>205h</t>
  </si>
  <si>
    <t>205i</t>
  </si>
  <si>
    <t>205j</t>
  </si>
  <si>
    <t>Arnhem Land</t>
  </si>
  <si>
    <t>CALFA</t>
  </si>
  <si>
    <t>WALFA</t>
  </si>
  <si>
    <t>NEALFA</t>
  </si>
  <si>
    <t>SEALFA</t>
  </si>
  <si>
    <t>SEALFA2</t>
  </si>
  <si>
    <t>Case studies are named after fire abatement project regions; locataions digitised from author map</t>
  </si>
  <si>
    <t>205a.1</t>
  </si>
  <si>
    <t>205b.1</t>
  </si>
  <si>
    <t>205c.1</t>
  </si>
  <si>
    <t>205d.1</t>
  </si>
  <si>
    <t>205e.1</t>
  </si>
  <si>
    <t>205f.1</t>
  </si>
  <si>
    <t>205g.1</t>
  </si>
  <si>
    <t>205h.1</t>
  </si>
  <si>
    <t>205i.1</t>
  </si>
  <si>
    <t>205j.1</t>
  </si>
  <si>
    <t>205f.2</t>
  </si>
  <si>
    <t>205g.2</t>
  </si>
  <si>
    <t>205h.2</t>
  </si>
  <si>
    <t>205i.2</t>
  </si>
  <si>
    <t>205j.2</t>
  </si>
  <si>
    <t xml:space="preserve">A combination of industrial fire breaks created through helicopter burning, with ground-based burning to enhance natural breaks such as ravines and rivers. </t>
  </si>
  <si>
    <t>Helicopter operated rapid response fire crews</t>
  </si>
  <si>
    <t>Accidental ignitions by the sides of roads</t>
  </si>
  <si>
    <t>205f.3</t>
  </si>
  <si>
    <t>205g.3</t>
  </si>
  <si>
    <t>205h.3</t>
  </si>
  <si>
    <t>205i.3</t>
  </si>
  <si>
    <t>205j.3</t>
  </si>
  <si>
    <t>A combination of traditional aboriginal knowledge (burning in the early season, and at night, in dewy conditions), and modern equipment</t>
  </si>
  <si>
    <t>Government subsidies for prescribed burning were given to encourage wildfire reduction and carbon sequestration</t>
  </si>
  <si>
    <t>"Early dry season" fires</t>
  </si>
  <si>
    <t>205a.2</t>
  </si>
  <si>
    <t>205b.2</t>
  </si>
  <si>
    <t>205c.2</t>
  </si>
  <si>
    <t>205d.2</t>
  </si>
  <si>
    <t>205e.2</t>
  </si>
  <si>
    <t>205a.3</t>
  </si>
  <si>
    <t>205b.3</t>
  </si>
  <si>
    <t>205c.3</t>
  </si>
  <si>
    <t>205d.3</t>
  </si>
  <si>
    <t>205e.3</t>
  </si>
  <si>
    <t>205f.4</t>
  </si>
  <si>
    <t>205g.4</t>
  </si>
  <si>
    <t>205f.5</t>
  </si>
  <si>
    <t>205g.5</t>
  </si>
  <si>
    <t>205f.6</t>
  </si>
  <si>
    <t>205g.6</t>
  </si>
  <si>
    <t>205f.7</t>
  </si>
  <si>
    <t>205g.7</t>
  </si>
  <si>
    <t>Max fire size: Authors describe 'fire breaks several hundred km long'; Min fire size: some fires were slight touches to improve fire-breaks around important cultural sites; Fire return: Calculated from % of land unburned for &gt;3 years and % of land burned early</t>
  </si>
  <si>
    <t>Based on call-outs by the community fire crews</t>
  </si>
  <si>
    <t>Record entered by</t>
  </si>
  <si>
    <t>OP</t>
  </si>
  <si>
    <t>OP/CS</t>
  </si>
  <si>
    <t>Goldstein 2020</t>
  </si>
  <si>
    <t>206a</t>
  </si>
  <si>
    <t>Mawas</t>
  </si>
  <si>
    <t>Former mega rice project area; main source of livelihood was illegal logging (small-scale forestry)</t>
  </si>
  <si>
    <t>206a.1</t>
  </si>
  <si>
    <t>206a.2</t>
  </si>
  <si>
    <t>206a.3</t>
  </si>
  <si>
    <t>206a.4</t>
  </si>
  <si>
    <t>206a.5</t>
  </si>
  <si>
    <t>206a.6</t>
  </si>
  <si>
    <t>206a.7</t>
  </si>
  <si>
    <t>206a.8</t>
  </si>
  <si>
    <t>206a.9</t>
  </si>
  <si>
    <t>hunter gathering activities "did not account for the majority of ignitions"</t>
  </si>
  <si>
    <t>Accessibiility driven by access to timber</t>
  </si>
  <si>
    <t>206a.10</t>
  </si>
  <si>
    <t>Estimated from landsat fire data provided (30m resolution with robust ground truthing). However, due to clouds and smoke, data provided probably miss several smaller fires (Vetrita and Cochrane 2019). Hence, the final year where no fires were detected is not included in the calculation.</t>
  </si>
  <si>
    <t>The ban was introduced in 2015, and as a result, local land users had changed their fire behaviour for fear of prosecution</t>
  </si>
  <si>
    <t>Owing to fear of prosecution, people had left fires unattended for "fear of punitive action"</t>
  </si>
  <si>
    <t>Hirahara 2020</t>
  </si>
  <si>
    <t>207a</t>
  </si>
  <si>
    <t>Fujiwara</t>
  </si>
  <si>
    <t>Japan</t>
  </si>
  <si>
    <t>Kanto</t>
  </si>
  <si>
    <t>Traditional forestry was aboriginal land use for hunting</t>
  </si>
  <si>
    <t>Traditional forestry was gathering of NTFPs</t>
  </si>
  <si>
    <t>Abandoned Farmland</t>
  </si>
  <si>
    <t>207a.1</t>
  </si>
  <si>
    <t>207a.2</t>
  </si>
  <si>
    <t>The reason for reintroducing prescribed burning was partly conservation and partly to reinvigorate the traditional culture of the villagers</t>
  </si>
  <si>
    <t>Professional fire crews on hand during burns; burns took place whilst snows remained and could be used as fire breaks</t>
  </si>
  <si>
    <t>Professional fire crews on hand</t>
  </si>
  <si>
    <t>Subsidisation of conservation organisations to work with villagers to reintroduce fire; restrictions were the need to acquire a licence to conduct prescribed burns</t>
  </si>
  <si>
    <t>Paudel 2020</t>
  </si>
  <si>
    <t>208a</t>
  </si>
  <si>
    <t>Nepal</t>
  </si>
  <si>
    <t>Langtang National Park</t>
  </si>
  <si>
    <t>Lauribina Danda</t>
  </si>
  <si>
    <t>208a.1</t>
  </si>
  <si>
    <t>208a.2</t>
  </si>
  <si>
    <t>208a.3</t>
  </si>
  <si>
    <t>208a.4</t>
  </si>
  <si>
    <t>208a.5</t>
  </si>
  <si>
    <t>Although fire was regulated, the national park "acknowledges the traditional practice of subsistence of natural resources"</t>
  </si>
  <si>
    <t>Kunwar 2006</t>
  </si>
  <si>
    <t>209a</t>
  </si>
  <si>
    <t>Chitwan</t>
  </si>
  <si>
    <t>209b</t>
  </si>
  <si>
    <t>209c</t>
  </si>
  <si>
    <t>209d</t>
  </si>
  <si>
    <t>209e</t>
  </si>
  <si>
    <t>209f</t>
  </si>
  <si>
    <t>209g</t>
  </si>
  <si>
    <t>Kapilvastu</t>
  </si>
  <si>
    <t>Kailail</t>
  </si>
  <si>
    <t>Bardiya</t>
  </si>
  <si>
    <t>Banke</t>
  </si>
  <si>
    <t>Dang</t>
  </si>
  <si>
    <t>Palpa</t>
  </si>
  <si>
    <t>Terai</t>
  </si>
  <si>
    <t>Logging had had a significant impact on the fire-proneness of the region</t>
  </si>
  <si>
    <t>Small-scale forestry was illegal logging; traditional forestry was both hunting/poaching and NTFP gathering</t>
  </si>
  <si>
    <t>209a.1</t>
  </si>
  <si>
    <t>209a.2</t>
  </si>
  <si>
    <t>209a.3</t>
  </si>
  <si>
    <t>209a.4</t>
  </si>
  <si>
    <t>209a.5</t>
  </si>
  <si>
    <t>209a.6</t>
  </si>
  <si>
    <t>209a.7</t>
  </si>
  <si>
    <t>209a.8</t>
  </si>
  <si>
    <t>209a.9</t>
  </si>
  <si>
    <t>209a.10</t>
  </si>
  <si>
    <t>209a.11</t>
  </si>
  <si>
    <t>209a.12</t>
  </si>
  <si>
    <t>209b.1</t>
  </si>
  <si>
    <t>209b.2</t>
  </si>
  <si>
    <t>209b.3</t>
  </si>
  <si>
    <t>209b.4</t>
  </si>
  <si>
    <t>209b.5</t>
  </si>
  <si>
    <t>209b.6</t>
  </si>
  <si>
    <t>209b.7</t>
  </si>
  <si>
    <t>209b.8</t>
  </si>
  <si>
    <t>209b.9</t>
  </si>
  <si>
    <t>209b.10</t>
  </si>
  <si>
    <t>209c.1</t>
  </si>
  <si>
    <t>209c.2</t>
  </si>
  <si>
    <t>209c.3</t>
  </si>
  <si>
    <t>209c.4</t>
  </si>
  <si>
    <t>209c.5</t>
  </si>
  <si>
    <t>209c.6</t>
  </si>
  <si>
    <t>209c.7</t>
  </si>
  <si>
    <t>209c.8</t>
  </si>
  <si>
    <t>209c.9</t>
  </si>
  <si>
    <t>209c.10</t>
  </si>
  <si>
    <t>209d.1</t>
  </si>
  <si>
    <t>209d.2</t>
  </si>
  <si>
    <t>209d.3</t>
  </si>
  <si>
    <t>209d.4</t>
  </si>
  <si>
    <t>209d.5</t>
  </si>
  <si>
    <t>209d.6</t>
  </si>
  <si>
    <t>209d.7</t>
  </si>
  <si>
    <t>209d.8</t>
  </si>
  <si>
    <t>209d.9</t>
  </si>
  <si>
    <t>209d.10</t>
  </si>
  <si>
    <t>209e.1</t>
  </si>
  <si>
    <t>209e.2</t>
  </si>
  <si>
    <t>209e.3</t>
  </si>
  <si>
    <t>209e.4</t>
  </si>
  <si>
    <t>209e.5</t>
  </si>
  <si>
    <t>209e.6</t>
  </si>
  <si>
    <t>209e.7</t>
  </si>
  <si>
    <t>209e.8</t>
  </si>
  <si>
    <t>209e.9</t>
  </si>
  <si>
    <t>209e.10</t>
  </si>
  <si>
    <t>209f.1</t>
  </si>
  <si>
    <t>209f.2</t>
  </si>
  <si>
    <t>209f.3</t>
  </si>
  <si>
    <t>209f.4</t>
  </si>
  <si>
    <t>209f.5</t>
  </si>
  <si>
    <t>209f.6</t>
  </si>
  <si>
    <t>209f.7</t>
  </si>
  <si>
    <t>209f.8</t>
  </si>
  <si>
    <t>209f.9</t>
  </si>
  <si>
    <t>209f.10</t>
  </si>
  <si>
    <t>209g.1</t>
  </si>
  <si>
    <t>209g.2</t>
  </si>
  <si>
    <t>209g.3</t>
  </si>
  <si>
    <t>209g.4</t>
  </si>
  <si>
    <t>209g.5</t>
  </si>
  <si>
    <t>209g.6</t>
  </si>
  <si>
    <t>209g.7</t>
  </si>
  <si>
    <t>209g.8</t>
  </si>
  <si>
    <t>209g.9</t>
  </si>
  <si>
    <t>209g.10</t>
  </si>
  <si>
    <t>209b.11</t>
  </si>
  <si>
    <t>209b.12</t>
  </si>
  <si>
    <t>209c.11</t>
  </si>
  <si>
    <t>209c.12</t>
  </si>
  <si>
    <t>209d.11</t>
  </si>
  <si>
    <t>209d.12</t>
  </si>
  <si>
    <t>209e.11</t>
  </si>
  <si>
    <t>209e.12</t>
  </si>
  <si>
    <t>209f.11</t>
  </si>
  <si>
    <t>209f.12</t>
  </si>
  <si>
    <t>209g.11</t>
  </si>
  <si>
    <t>209g.12</t>
  </si>
  <si>
    <t>Fire size from authors' own binned ranges</t>
  </si>
  <si>
    <t>Fire size from overall range; grazing renewal accounted for 25% of fires, and so its distribution is assumed to approximate the overall fire size distribution</t>
  </si>
  <si>
    <t>210a</t>
  </si>
  <si>
    <t>210b</t>
  </si>
  <si>
    <t>210c</t>
  </si>
  <si>
    <t>210d</t>
  </si>
  <si>
    <t>Pangkalan Kerinci</t>
  </si>
  <si>
    <t>Watts 2019</t>
  </si>
  <si>
    <t>Control villages</t>
  </si>
  <si>
    <t>Fire free programme villages</t>
  </si>
  <si>
    <t>Degraded forest regarded as 50% forest, 50% degraded forest</t>
  </si>
  <si>
    <t>210a.1</t>
  </si>
  <si>
    <t>210a.2</t>
  </si>
  <si>
    <t>210a.3</t>
  </si>
  <si>
    <t>210b.1</t>
  </si>
  <si>
    <t>210b.2</t>
  </si>
  <si>
    <t>210b.3</t>
  </si>
  <si>
    <t>A combination of incentives and the fire ban had led villagers to adopt fire-free practices; primarily oil palm and rubber plantations</t>
  </si>
  <si>
    <t>210c.1</t>
  </si>
  <si>
    <t>210c.2</t>
  </si>
  <si>
    <t>210c.3</t>
  </si>
  <si>
    <t>210d.1</t>
  </si>
  <si>
    <t>210d.2</t>
  </si>
  <si>
    <t>Following the 2015 fires, the goverenment issued a new ban that was enforced by satellite and by local enforcement groups; it was more effective at targetting large companies than smallholders</t>
  </si>
  <si>
    <t>210b.4</t>
  </si>
  <si>
    <t xml:space="preserve">A local paper company paid farmers to avoid burning within the village limits. </t>
  </si>
  <si>
    <t>211a</t>
  </si>
  <si>
    <t>Asuoha 2019</t>
  </si>
  <si>
    <t>Isiala Ngwa North</t>
  </si>
  <si>
    <t xml:space="preserve">Abia </t>
  </si>
  <si>
    <t>211a.1</t>
  </si>
  <si>
    <t>211a.2</t>
  </si>
  <si>
    <t xml:space="preserve">Fire return from fallow period + 2, burned area from fallow and estimation of those conducting this practice. </t>
  </si>
  <si>
    <t xml:space="preserve">This was a rare practice, mostly conducted by "widows" - those who lacked support in preparing fields. With such a short fallow, burning has been noted elsewhere not to be conducted (e.g. 29). </t>
  </si>
  <si>
    <t>Lewis 2018</t>
  </si>
  <si>
    <t>212a</t>
  </si>
  <si>
    <t>Lytton</t>
  </si>
  <si>
    <t>British Colombia</t>
  </si>
  <si>
    <t>Canada</t>
  </si>
  <si>
    <t>212a.1</t>
  </si>
  <si>
    <t>212a.2</t>
  </si>
  <si>
    <t>212a.3</t>
  </si>
  <si>
    <t>Burning took place in early spring whilst the grass was still wet</t>
  </si>
  <si>
    <t>Farmers sought to avoid late season fires</t>
  </si>
  <si>
    <t xml:space="preserve">All fires took place in the early season to prevent out of control fires; late season fires were looked down on by the community. </t>
  </si>
  <si>
    <t>Fuel management in forested areas to prevent large fires</t>
  </si>
  <si>
    <t xml:space="preserve">Restriction was during April - October, during which precautions had to be followed to avoid destructive wildfires; participants were not aware that this was only a partial restriction, indicative of widespread compliance. </t>
  </si>
  <si>
    <t>Mckemey 2019</t>
  </si>
  <si>
    <t>Wattleridge Indigenous Protected Area</t>
  </si>
  <si>
    <t>New South Wales</t>
  </si>
  <si>
    <t>213a</t>
  </si>
  <si>
    <t>Indigenous protected area was 4.8km2, but study also monitors a fire on adjacent territory</t>
  </si>
  <si>
    <t>Traditional aboriginal burning had been reintroduced, and retaught to aboriginal people for cultural and enviornmental reasons</t>
  </si>
  <si>
    <t>213a.1</t>
  </si>
  <si>
    <t>213a.2</t>
  </si>
  <si>
    <t>213a.3</t>
  </si>
  <si>
    <t>Time since burn provided not deemed representative of this fire practice, as burning was only recently reintroduced</t>
  </si>
  <si>
    <t>Fire return period covers reintroduction of burning in the region</t>
  </si>
  <si>
    <t>Local fire brigade present during burns</t>
  </si>
  <si>
    <t>Local fire brigade present during burns; however large burn size made escaped fires more likely</t>
  </si>
  <si>
    <t>Traditional patch mosaic burns to reduce fuel load</t>
  </si>
  <si>
    <t>Burn also had conservation objectives</t>
  </si>
  <si>
    <t>Cool burn, using early dry season moisture; Burn also had conservation objectives</t>
  </si>
  <si>
    <t>Not clear how frequent or systematic controlled burning was</t>
  </si>
  <si>
    <t>Fire brigade present to address all escaped fires</t>
  </si>
  <si>
    <t>Government agencies were conducting and monitoring prescribed burns</t>
  </si>
  <si>
    <t>Support for reinstatement of traditional burning came from the government</t>
  </si>
  <si>
    <t>Neale 2019</t>
  </si>
  <si>
    <t>214a</t>
  </si>
  <si>
    <t>Northern Territory</t>
  </si>
  <si>
    <t>Location digitised as centre of author map</t>
  </si>
  <si>
    <t>Farm area is for large commercial ranches - classed intensive due to extensive use of exotic grasses</t>
  </si>
  <si>
    <t>214a.1</t>
  </si>
  <si>
    <t>214a.2</t>
  </si>
  <si>
    <t>214a.3</t>
  </si>
  <si>
    <t>214a.4</t>
  </si>
  <si>
    <t>214a.5</t>
  </si>
  <si>
    <t>Exotic grasses thrived in a "high fire ecology", creating intense fires that killed of competition for resources</t>
  </si>
  <si>
    <t>Marks-Block 2019</t>
  </si>
  <si>
    <t>215a</t>
  </si>
  <si>
    <t>Karuk and Yurok Tribal Areas</t>
  </si>
  <si>
    <t>215a.1</t>
  </si>
  <si>
    <t>215a.2</t>
  </si>
  <si>
    <t>Understory fires to encourage growth of shoots used in basket making</t>
  </si>
  <si>
    <t>Fire size and return based on historical observations; however, this was the fire use that was planned to be reintroduced in the area; burned area based on small fragment of the landscape (&lt;1%) of which indigenous people had full control</t>
  </si>
  <si>
    <t>Mckemey 2020</t>
  </si>
  <si>
    <t>216a</t>
  </si>
  <si>
    <t>SEAL Indigenous Protected Area</t>
  </si>
  <si>
    <t>216a.1</t>
  </si>
  <si>
    <t>216a.2</t>
  </si>
  <si>
    <t>A combination of indigenous traditional ecological knowledge and "GPS, helicopters and satellite mapping"</t>
  </si>
  <si>
    <t>Government subsidies payed for "work-related resources, including gators, trailer, vehicles, fuel, helicopter time, ﬁreﬁghting uniforms, drip torches, matches, Raindance machine and pay for casual employees"</t>
  </si>
  <si>
    <t>217a</t>
  </si>
  <si>
    <t>Slaton 2019</t>
  </si>
  <si>
    <t>Indiana Summit</t>
  </si>
  <si>
    <t>217a.1</t>
  </si>
  <si>
    <t>217a.2</t>
  </si>
  <si>
    <t>217a.3</t>
  </si>
  <si>
    <t>217a.4</t>
  </si>
  <si>
    <t>217a.5</t>
  </si>
  <si>
    <t>Paper documents discussion intended to foster the reintroduction of prescribed burning programme</t>
  </si>
  <si>
    <t>Single lightning fire</t>
  </si>
  <si>
    <t>As a result of fire bans, the area had been 'largely unburned since 1932'</t>
  </si>
  <si>
    <t>Temudo 2020</t>
  </si>
  <si>
    <t>281a</t>
  </si>
  <si>
    <t>218a</t>
  </si>
  <si>
    <t>Guineau-Bissau</t>
  </si>
  <si>
    <t>Biocultural region 1</t>
  </si>
  <si>
    <t>218b</t>
  </si>
  <si>
    <t>218c</t>
  </si>
  <si>
    <t>218e</t>
  </si>
  <si>
    <t>218d</t>
  </si>
  <si>
    <t>North East</t>
  </si>
  <si>
    <t>North Central</t>
  </si>
  <si>
    <t>North West</t>
  </si>
  <si>
    <t>West</t>
  </si>
  <si>
    <t>South West</t>
  </si>
  <si>
    <t>Biocultural region 2</t>
  </si>
  <si>
    <t>Biocultural region 3</t>
  </si>
  <si>
    <t>Biocultural region 4</t>
  </si>
  <si>
    <t>Biocultural region 5</t>
  </si>
  <si>
    <t>218a.1</t>
  </si>
  <si>
    <t>218a.2</t>
  </si>
  <si>
    <t>218a.3</t>
  </si>
  <si>
    <t>Freshwater swamp cultivation involved two stages of burning each year</t>
  </si>
  <si>
    <t xml:space="preserve">Late dry season fires </t>
  </si>
  <si>
    <t>218a.4</t>
  </si>
  <si>
    <t>218a.5</t>
  </si>
  <si>
    <t>Fire return is a combination of a 20 year fallow, and an annual burn during 10 year cultivation</t>
  </si>
  <si>
    <t>218a.6</t>
  </si>
  <si>
    <t>218a.7</t>
  </si>
  <si>
    <t>218a.8</t>
  </si>
  <si>
    <t>218a.9</t>
  </si>
  <si>
    <t>218a.10</t>
  </si>
  <si>
    <t>218a.11</t>
  </si>
  <si>
    <t>218a.12</t>
  </si>
  <si>
    <t>218a.13</t>
  </si>
  <si>
    <t>218a.14</t>
  </si>
  <si>
    <t>218a.15</t>
  </si>
  <si>
    <t>Burning of grass understory in cashew fields</t>
  </si>
  <si>
    <t>Land clearance for cashew crops</t>
  </si>
  <si>
    <t>Delibarately allowed swidden fires to spread such that they regnerated pasture and could be used for hunting</t>
  </si>
  <si>
    <t>Desire to protect cashew plantations led to several changes in fire management including: piling of plant biomass, burning at cooler parts of the day, burning collectively with neighbouring fields, monitoring the direction of the wind</t>
  </si>
  <si>
    <t>Creation of fire breaks around fields</t>
  </si>
  <si>
    <t>Use of fire beaters improvised from tree branches</t>
  </si>
  <si>
    <t>218a.16</t>
  </si>
  <si>
    <t>218a.17</t>
  </si>
  <si>
    <t>218a.18</t>
  </si>
  <si>
    <t>218b.1</t>
  </si>
  <si>
    <t>218b.2</t>
  </si>
  <si>
    <t>218b.3</t>
  </si>
  <si>
    <t>218b.4</t>
  </si>
  <si>
    <t>218b.5</t>
  </si>
  <si>
    <t>218b.6</t>
  </si>
  <si>
    <t>218b.7</t>
  </si>
  <si>
    <t>218b.8</t>
  </si>
  <si>
    <t>218b.9</t>
  </si>
  <si>
    <t>218b.10</t>
  </si>
  <si>
    <t>218b.11</t>
  </si>
  <si>
    <t>218b.12</t>
  </si>
  <si>
    <t>218c.1</t>
  </si>
  <si>
    <t>218c.2</t>
  </si>
  <si>
    <t>218c.3</t>
  </si>
  <si>
    <t>218c.4</t>
  </si>
  <si>
    <t>218c.5</t>
  </si>
  <si>
    <t>218c.6</t>
  </si>
  <si>
    <t>218c.7</t>
  </si>
  <si>
    <t>218c.8</t>
  </si>
  <si>
    <t>218a.19</t>
  </si>
  <si>
    <t>218b.13</t>
  </si>
  <si>
    <t>218c.9</t>
  </si>
  <si>
    <t>Farmers in this region did not use uncontrolled fires; "although no fire breaks were created, preventitive measures were taken so that the fire would not spread to undesired areas"</t>
  </si>
  <si>
    <t>218d.1</t>
  </si>
  <si>
    <t>218d.2</t>
  </si>
  <si>
    <t>218d.3</t>
  </si>
  <si>
    <t>218d.4</t>
  </si>
  <si>
    <t>218d.5</t>
  </si>
  <si>
    <t>218d.6</t>
  </si>
  <si>
    <t>218d.7</t>
  </si>
  <si>
    <t>218d.8</t>
  </si>
  <si>
    <t>218d.9</t>
  </si>
  <si>
    <t>218d.10</t>
  </si>
  <si>
    <t>218e.1</t>
  </si>
  <si>
    <t>218e.2</t>
  </si>
  <si>
    <t>218e.3</t>
  </si>
  <si>
    <t>218e.4</t>
  </si>
  <si>
    <t>218e.5</t>
  </si>
  <si>
    <t>218e.6</t>
  </si>
  <si>
    <t>218e.7</t>
  </si>
  <si>
    <t>218e.8</t>
  </si>
  <si>
    <t>218e.9</t>
  </si>
  <si>
    <t>Fire was officially banned through a 1963 colonial era law</t>
  </si>
  <si>
    <t>219a</t>
  </si>
  <si>
    <t>Mensah-Bonsu 2017</t>
  </si>
  <si>
    <t>East Manprusi</t>
  </si>
  <si>
    <t>Ejura</t>
  </si>
  <si>
    <t>Sekyere East</t>
  </si>
  <si>
    <t>Ashanti</t>
  </si>
  <si>
    <t>Northern</t>
  </si>
  <si>
    <t>Brong-Ahafo</t>
  </si>
  <si>
    <t>Nkoranza</t>
  </si>
  <si>
    <t>Atebubu</t>
  </si>
  <si>
    <t>Kwahu East</t>
  </si>
  <si>
    <t>Eastern</t>
  </si>
  <si>
    <t>219b</t>
  </si>
  <si>
    <t>219c</t>
  </si>
  <si>
    <t>219d</t>
  </si>
  <si>
    <t>219e</t>
  </si>
  <si>
    <t>219f</t>
  </si>
  <si>
    <t>North Tongu</t>
  </si>
  <si>
    <t>Ketu South</t>
  </si>
  <si>
    <t>Volta</t>
  </si>
  <si>
    <t>219g</t>
  </si>
  <si>
    <t>219h</t>
  </si>
  <si>
    <t>Location centre of administrative district</t>
  </si>
  <si>
    <t>Yield and farm size are averages for maize</t>
  </si>
  <si>
    <t>219a.1</t>
  </si>
  <si>
    <t>219b.1</t>
  </si>
  <si>
    <t>219c.1</t>
  </si>
  <si>
    <t>219d.1</t>
  </si>
  <si>
    <t>219e.1</t>
  </si>
  <si>
    <t>219f.1</t>
  </si>
  <si>
    <t>219g.1</t>
  </si>
  <si>
    <t>219h.1</t>
  </si>
  <si>
    <t>219a.2</t>
  </si>
  <si>
    <t>219b.2</t>
  </si>
  <si>
    <t>219c.2</t>
  </si>
  <si>
    <t>219d.2</t>
  </si>
  <si>
    <t>219e.2</t>
  </si>
  <si>
    <t>219f.2</t>
  </si>
  <si>
    <t>219g.2</t>
  </si>
  <si>
    <t>219h.2</t>
  </si>
  <si>
    <t>219a.3</t>
  </si>
  <si>
    <t>219b.3</t>
  </si>
  <si>
    <t>219c.3</t>
  </si>
  <si>
    <t>219d.3</t>
  </si>
  <si>
    <t>219e.3</t>
  </si>
  <si>
    <t>219f.3</t>
  </si>
  <si>
    <t>219g.3</t>
  </si>
  <si>
    <t>219h.3</t>
  </si>
  <si>
    <t>Adoption of fire free options such as manure were associated with adoption of fire free practices</t>
  </si>
  <si>
    <t>Incentives to promote fertilisers, manure, no till and other fire-free agricultural options</t>
  </si>
  <si>
    <t xml:space="preserve">Ancog 2016 </t>
  </si>
  <si>
    <t>220a</t>
  </si>
  <si>
    <t>Carranglan</t>
  </si>
  <si>
    <t>Nueva Ecija</t>
  </si>
  <si>
    <t>Phillipines</t>
  </si>
  <si>
    <t>220a.1</t>
  </si>
  <si>
    <t>220a.2</t>
  </si>
  <si>
    <t>There was moderate uptake of measures including vegetation cutting, structural and engineering work, chemical spraying, and prescribed burns</t>
  </si>
  <si>
    <t>Incentives to fund reforestation included support for pyrome managagement fires</t>
  </si>
  <si>
    <t>220a.3</t>
  </si>
  <si>
    <t>220a.4</t>
  </si>
  <si>
    <t>Reforestation programme included support for fire mitigation strategies</t>
  </si>
  <si>
    <t>Thung 2018</t>
  </si>
  <si>
    <t>221a</t>
  </si>
  <si>
    <t>Kapuas Hulu</t>
  </si>
  <si>
    <t>Study date estimated from date of fire ban and date of publication</t>
  </si>
  <si>
    <t>221a.1</t>
  </si>
  <si>
    <t>221a.2</t>
  </si>
  <si>
    <t>Fire size from reported swidden plot size</t>
  </si>
  <si>
    <t>Anti-haze laws were brought in to improve air quality in 2015</t>
  </si>
  <si>
    <t>However, local government recognised the need for subsistence farmers to use fire, and so enforcement was limited</t>
  </si>
  <si>
    <t>Cammelli 2019</t>
  </si>
  <si>
    <t>222a</t>
  </si>
  <si>
    <t>222b</t>
  </si>
  <si>
    <t>Ipixuna do Para</t>
  </si>
  <si>
    <t>Study date confirmed by 223</t>
  </si>
  <si>
    <t>222a.1</t>
  </si>
  <si>
    <t>222b.1</t>
  </si>
  <si>
    <t>222a.2</t>
  </si>
  <si>
    <t>222b.2</t>
  </si>
  <si>
    <t>222a.3</t>
  </si>
  <si>
    <t>222b.3</t>
  </si>
  <si>
    <t>222a.4</t>
  </si>
  <si>
    <t>222b.4</t>
  </si>
  <si>
    <t>222a.5</t>
  </si>
  <si>
    <t>222b.5</t>
  </si>
  <si>
    <t>48% of farmers had suffered more than two fire accidents in the last 5 years</t>
  </si>
  <si>
    <t xml:space="preserve">Excaped fires were largely attributed to pasture fires, owing to fuel loads, abandoned farms and invasive grasses. Farmers tried to shepherd fires towards more forested areas as a means of controlling them - as they spread far more easily in pastures. </t>
  </si>
  <si>
    <t>Fire breaks were not routinely constructed as they were expensive; farmers would be ready to try and control fires should their neighbour be burning</t>
  </si>
  <si>
    <t>Farmers reported having tried to tackle fires together, often reported respiratory illnesses as a result. A common tactic was to push fires towards forested areas where they were easier to control</t>
  </si>
  <si>
    <t>Some farmers had created fire breaks around their properties, but this was not widespread</t>
  </si>
  <si>
    <t>222b.6</t>
  </si>
  <si>
    <t>222b.7</t>
  </si>
  <si>
    <t>222b.8</t>
  </si>
  <si>
    <t>Bans were rarely enforced in practice</t>
  </si>
  <si>
    <t>The government issued some fines for irresponsible fire use and arson, to act as a deterrant</t>
  </si>
  <si>
    <t>Fire brigade was proactively involved in training on fire use and arbitration in neighbourhood disputes</t>
  </si>
  <si>
    <t>A group of size firefighters were stationed, but they "rarely participated in firefighting"</t>
  </si>
  <si>
    <t>223a</t>
  </si>
  <si>
    <t>Cammelli 2019b</t>
  </si>
  <si>
    <t>Sao Domingos do Capim</t>
  </si>
  <si>
    <t>Irituia</t>
  </si>
  <si>
    <t>223b</t>
  </si>
  <si>
    <t>223c</t>
  </si>
  <si>
    <t>223d</t>
  </si>
  <si>
    <t>223a.1</t>
  </si>
  <si>
    <t>223b.1</t>
  </si>
  <si>
    <t>223c.1</t>
  </si>
  <si>
    <t>223d.1</t>
  </si>
  <si>
    <t>223a.2</t>
  </si>
  <si>
    <t>223b.2</t>
  </si>
  <si>
    <t>223c.2</t>
  </si>
  <si>
    <t>223d.2</t>
  </si>
  <si>
    <t>223a.3</t>
  </si>
  <si>
    <t>223b.3</t>
  </si>
  <si>
    <t>223c.3</t>
  </si>
  <si>
    <t>223d.3</t>
  </si>
  <si>
    <t>83% of farmers used fire for annual cropping</t>
  </si>
  <si>
    <t>16% of farmers used fire for pasture maintenance</t>
  </si>
  <si>
    <t>43% of farmers had suffered fire damages from accidental fires over the last five years; 6% originated from their own plot, 41% from their neighbours, and 53% from "afar" - several plots away</t>
  </si>
  <si>
    <t>Fire size estimation from distance of fire source and plot size (50ha); return from reported fire damage</t>
  </si>
  <si>
    <t>Carmenta 2017</t>
  </si>
  <si>
    <t>224a</t>
  </si>
  <si>
    <t>Riau</t>
  </si>
  <si>
    <t>Dumai District</t>
  </si>
  <si>
    <t>224a.1</t>
  </si>
  <si>
    <t>224a.2</t>
  </si>
  <si>
    <t>224a.3</t>
  </si>
  <si>
    <t>224a.4</t>
  </si>
  <si>
    <t>224a.5</t>
  </si>
  <si>
    <t>"Transboundary Haze Pollution Agreement… targets companies.. Responsible for criminal conduct of generating or contributing to haze through their land management practices"</t>
  </si>
  <si>
    <t>Indonesian Sustainable Palm Oil Certification.. Requirement for companies to comply with zero burning through certification</t>
  </si>
  <si>
    <t>Ban on all peat fires was primarily focused towards "companies" and larger produces</t>
  </si>
  <si>
    <t>Neale 2019b</t>
  </si>
  <si>
    <t>225a</t>
  </si>
  <si>
    <t>Dja Dja Wurrung Recognition and Settlement Agreement area</t>
  </si>
  <si>
    <t>Victoria</t>
  </si>
  <si>
    <t>225a.1</t>
  </si>
  <si>
    <t>225a.2</t>
  </si>
  <si>
    <t>225a.3</t>
  </si>
  <si>
    <t>225a.4</t>
  </si>
  <si>
    <t>225a.5</t>
  </si>
  <si>
    <t>225a.6</t>
  </si>
  <si>
    <t>225a.7</t>
  </si>
  <si>
    <t>225a.8</t>
  </si>
  <si>
    <t>Aboriginal traditional burning had not been practiced since at least 1900.</t>
  </si>
  <si>
    <t>Aboriginal burning was reintroduced at a small-scale for the first time</t>
  </si>
  <si>
    <t>The 2017 agreement between the aboriginal people and the state government to reintrodue prescribed burning was the first of its kind</t>
  </si>
  <si>
    <t>Wynecoop 2019</t>
  </si>
  <si>
    <t>226a</t>
  </si>
  <si>
    <t>Washington</t>
  </si>
  <si>
    <t>Colville National Forest</t>
  </si>
  <si>
    <t>226a.1</t>
  </si>
  <si>
    <t>226a.2</t>
  </si>
  <si>
    <t>226a.3</t>
  </si>
  <si>
    <t>A combination of mechanical thinning, fire break creation and prescribed burns</t>
  </si>
  <si>
    <t>Ngurra 2019</t>
  </si>
  <si>
    <t>227a</t>
  </si>
  <si>
    <t>Yellomundee Regional Park</t>
  </si>
  <si>
    <t>227a.1</t>
  </si>
  <si>
    <t>227a.2</t>
  </si>
  <si>
    <t>227a.3</t>
  </si>
  <si>
    <t>Traditional burning had been reintroduced in partnership with the New South Wales parks service</t>
  </si>
  <si>
    <t>Undertaken by govt agency</t>
  </si>
  <si>
    <t>The traditional method for burning was to create a cool, contained fire that 'healed' the land and promoted growth of desirable plants</t>
  </si>
  <si>
    <t>Devisscher 2018</t>
  </si>
  <si>
    <t>228a</t>
  </si>
  <si>
    <t>Bolivia</t>
  </si>
  <si>
    <t>Chiquitania</t>
  </si>
  <si>
    <t>Santa Cruz</t>
  </si>
  <si>
    <t>Farm size is an estimated mean for cattle ranches (range 50-50000ha)</t>
  </si>
  <si>
    <t>228a.1</t>
  </si>
  <si>
    <t>228a.2</t>
  </si>
  <si>
    <t>228a.3</t>
  </si>
  <si>
    <t>228a.4</t>
  </si>
  <si>
    <t>Early dry-season fires</t>
  </si>
  <si>
    <t>Swidden farmers preferred old growth forest; burned in late dry season</t>
  </si>
  <si>
    <t>Machinery was used rather than fire</t>
  </si>
  <si>
    <t>Clearances (1-5ha) for colonising farmers required a permit</t>
  </si>
  <si>
    <t>228a.5</t>
  </si>
  <si>
    <t>228a.6</t>
  </si>
  <si>
    <t>228a.7</t>
  </si>
  <si>
    <t>228a.8</t>
  </si>
  <si>
    <t>Burning was done in the early dry season, when the moisture made fires less likely to get out of control; escaped fires were reported</t>
  </si>
  <si>
    <t>1-3m fire breaks were created around clearings; however govt regulations were for 5m breaks; escaped fires were reported</t>
  </si>
  <si>
    <t>Smaller farmers conducted patch mosaic burning; however this was not evident amongst larger ranchers; escaped fires were reported</t>
  </si>
  <si>
    <t>NGOs were engaged in fire training and awareness raising</t>
  </si>
  <si>
    <t>Biligiri Rangaswamy Temple Tiger Reserve</t>
  </si>
  <si>
    <t>229a</t>
  </si>
  <si>
    <t>Rai 2019</t>
  </si>
  <si>
    <t>229a.1</t>
  </si>
  <si>
    <t>229a.2</t>
  </si>
  <si>
    <t>229a.3</t>
  </si>
  <si>
    <t>Ban established in 1974 for the protection of the nature reserve was strongly enforced</t>
  </si>
  <si>
    <t>229a.4</t>
  </si>
  <si>
    <t>SonyKC 2017</t>
  </si>
  <si>
    <t>230a</t>
  </si>
  <si>
    <t>Chamaita</t>
  </si>
  <si>
    <t>Ilam</t>
  </si>
  <si>
    <t>230b</t>
  </si>
  <si>
    <t>230c</t>
  </si>
  <si>
    <t>230d</t>
  </si>
  <si>
    <t>Jirmale</t>
  </si>
  <si>
    <t>Pyang</t>
  </si>
  <si>
    <t>Naya Bazar</t>
  </si>
  <si>
    <t>230a.1</t>
  </si>
  <si>
    <t>Cardom farmers begun burning their fields to deal with a crop disease; there was no evidence this was effective and had spread amongst farmers by word of mouth</t>
  </si>
  <si>
    <t>The authors argue the government should do more to fund fungicides to deal with cardomom crop disease</t>
  </si>
  <si>
    <t>230b.1</t>
  </si>
  <si>
    <t>230c.1</t>
  </si>
  <si>
    <t>230d.1</t>
  </si>
  <si>
    <t>Ouihba 2018</t>
  </si>
  <si>
    <t>231a</t>
  </si>
  <si>
    <t>Kabylia</t>
  </si>
  <si>
    <t>Tigzirt</t>
  </si>
  <si>
    <t>Afir</t>
  </si>
  <si>
    <t>231b</t>
  </si>
  <si>
    <t>231c</t>
  </si>
  <si>
    <t>Livestock were grazed on both pasture and forests</t>
  </si>
  <si>
    <t>231a.1</t>
  </si>
  <si>
    <t>231b.1</t>
  </si>
  <si>
    <t>231c.1</t>
  </si>
  <si>
    <t>Fire size calculated from study participant reports of observed fire sizes</t>
  </si>
  <si>
    <t>231a.2</t>
  </si>
  <si>
    <t>231b.2</t>
  </si>
  <si>
    <t>231c.2</t>
  </si>
  <si>
    <t>Fire breaks</t>
  </si>
  <si>
    <t>Hand tools, water</t>
  </si>
  <si>
    <t>231a.3</t>
  </si>
  <si>
    <t>231b.3</t>
  </si>
  <si>
    <t>231c.3</t>
  </si>
  <si>
    <t>Fire size estimated from reported property size; most backburning was done in the immediate vacinity of fields and houses</t>
  </si>
  <si>
    <t>Back burning was conducted, but mostly around fields and houses</t>
  </si>
  <si>
    <t>231a.4</t>
  </si>
  <si>
    <t>231b.4</t>
  </si>
  <si>
    <t>231c.4</t>
  </si>
  <si>
    <t>Burned area from % burning residues, weeds and stubble, multiplied by average area burned (0.623) from Liu et al., 2019. Assumes not &lt;90% of farmers who burned residues conduct this annually</t>
  </si>
  <si>
    <t>231a.5</t>
  </si>
  <si>
    <t>231b.5</t>
  </si>
  <si>
    <t>231c.5</t>
  </si>
  <si>
    <t>231a.6</t>
  </si>
  <si>
    <t>231b.6</t>
  </si>
  <si>
    <t>231c.6</t>
  </si>
  <si>
    <t>Burning of domestic waste</t>
  </si>
  <si>
    <t>231a.7</t>
  </si>
  <si>
    <t>231b.7</t>
  </si>
  <si>
    <t>231c.7</t>
  </si>
  <si>
    <t>231a.8</t>
  </si>
  <si>
    <t>231b.8</t>
  </si>
  <si>
    <t>231c.8</t>
  </si>
  <si>
    <t>Not clear backburning was done around pastures</t>
  </si>
  <si>
    <t>Natcher 2004</t>
  </si>
  <si>
    <t>232a</t>
  </si>
  <si>
    <t>232b</t>
  </si>
  <si>
    <t>Alaska</t>
  </si>
  <si>
    <t>Yukon Flats</t>
  </si>
  <si>
    <t>232b.1</t>
  </si>
  <si>
    <t>232b.2</t>
  </si>
  <si>
    <t>232b.3</t>
  </si>
  <si>
    <t>232b.4</t>
  </si>
  <si>
    <t>232b.5</t>
  </si>
  <si>
    <t>232b.6</t>
  </si>
  <si>
    <t>232a.1</t>
  </si>
  <si>
    <t>232a.2</t>
  </si>
  <si>
    <t>Aggressive suppression policy involving planes, and the "latest" fire suppression technology</t>
  </si>
  <si>
    <t>A 'let it burn' policy was implemented reflecting the rising cost of fire suppression</t>
  </si>
  <si>
    <t>Owing to large wildfires, a more mixed approach was adopted, with several areas (including indigenous reserves) being given fire suppression protection</t>
  </si>
  <si>
    <t>The fire ban led to the cessation of traditional burning regimes from the 1960s onwards</t>
  </si>
  <si>
    <t>Inspite of the blanket suppression policy being lifted, the fire culture had been lifted, and indigenous people did not reintroduce it</t>
  </si>
  <si>
    <t>Jajtic 2019</t>
  </si>
  <si>
    <t>233a</t>
  </si>
  <si>
    <t>Croatia</t>
  </si>
  <si>
    <t>Dalmatia</t>
  </si>
  <si>
    <t>Secondary vegetation was abandoned farmland</t>
  </si>
  <si>
    <t>Abandoned agricultural land</t>
  </si>
  <si>
    <t>233a.1</t>
  </si>
  <si>
    <t>233a.2</t>
  </si>
  <si>
    <t>233a.3</t>
  </si>
  <si>
    <t>233a.4</t>
  </si>
  <si>
    <t>233a.5</t>
  </si>
  <si>
    <t>233a.6</t>
  </si>
  <si>
    <t>233a.7</t>
  </si>
  <si>
    <t>Paper reports numbers excluding fires &lt;0.5ha. Fires greater than 0.5ha (n = 445) accounted for 95% of burned area. Data were extrapolated by assuming mean size of fires &lt;=0.5ha was 0.25ha.</t>
  </si>
  <si>
    <t>Weather forecasting, burning during cooler months, burning residues in small piles</t>
  </si>
  <si>
    <t xml:space="preserve">"traditional burning" </t>
  </si>
  <si>
    <t>Abandoned farmland was blamed for increase in large wildfires</t>
  </si>
  <si>
    <t>Aggressive suppression was the main wildfire response</t>
  </si>
  <si>
    <t>Fire was outlawed during the summer; it was reported as being largely respected, but fire fighters complained that penalties were too lenient</t>
  </si>
  <si>
    <t>Bose 2017</t>
  </si>
  <si>
    <t>234a</t>
  </si>
  <si>
    <t>234b</t>
  </si>
  <si>
    <t>Lawngtlai District</t>
  </si>
  <si>
    <t>Kolasib District</t>
  </si>
  <si>
    <t>234a.1</t>
  </si>
  <si>
    <t>234a.2</t>
  </si>
  <si>
    <t>234a.3</t>
  </si>
  <si>
    <t>234b.1</t>
  </si>
  <si>
    <t>234b.2</t>
  </si>
  <si>
    <t>234b.3</t>
  </si>
  <si>
    <t>Successive government policies had sought to eradicate swidden and encourage palm oil plantation, These included land tenure reform and subsidies. However, there was recognition that swidden could not simply be banned outright.</t>
  </si>
  <si>
    <t>Ngone 2018</t>
  </si>
  <si>
    <t>235a</t>
  </si>
  <si>
    <t>Ywa Ngan Township</t>
  </si>
  <si>
    <t>Myanmar</t>
  </si>
  <si>
    <t>Taunggyi District</t>
  </si>
  <si>
    <t>235a.1</t>
  </si>
  <si>
    <t>235a.2</t>
  </si>
  <si>
    <t>Practice of mound burning - collation of and burning of crop residues and manures, which are burned in mounds on the field.</t>
  </si>
  <si>
    <t>Mound burning, rather than shifting cultivation, was the dominant fire use</t>
  </si>
  <si>
    <t>Martin 2018</t>
  </si>
  <si>
    <t>236a</t>
  </si>
  <si>
    <t>Nansa Valley</t>
  </si>
  <si>
    <t>Cantabrian Mountains</t>
  </si>
  <si>
    <t>CS</t>
  </si>
  <si>
    <t>Primarily a historical study, though authors state that traditional fire practice continues "to this day"</t>
  </si>
  <si>
    <t>236a.1</t>
  </si>
  <si>
    <t>Nyongesa 2018</t>
  </si>
  <si>
    <t>237a</t>
  </si>
  <si>
    <t>Gathiuru Forest</t>
  </si>
  <si>
    <t>Mt Kenya Forest Ecosystem</t>
  </si>
  <si>
    <t>Downing 2017</t>
  </si>
  <si>
    <t>Mount Kenya</t>
  </si>
  <si>
    <t>238a</t>
  </si>
  <si>
    <t>237a.1</t>
  </si>
  <si>
    <t>237a.2</t>
  </si>
  <si>
    <t>237a.3</t>
  </si>
  <si>
    <t>Only max fire size taken from remote sensing data</t>
  </si>
  <si>
    <t>239a</t>
  </si>
  <si>
    <t>Welsche 2000a</t>
  </si>
  <si>
    <t>238a.1</t>
  </si>
  <si>
    <t>238a.2</t>
  </si>
  <si>
    <t>238a.3</t>
  </si>
  <si>
    <t>239b</t>
  </si>
  <si>
    <t>239c</t>
  </si>
  <si>
    <t>239d</t>
  </si>
  <si>
    <t>240a</t>
  </si>
  <si>
    <t>238a.4</t>
  </si>
  <si>
    <t>238a.5</t>
  </si>
  <si>
    <t>Based on author's field measurements for year 1997; however it should be noted this was an exceptional year, and local people had not seen fires on this scale before</t>
  </si>
  <si>
    <t>Estimated based on author measurements and observations about their representativeness of the overall fire regime</t>
  </si>
  <si>
    <t>Simen Mountains</t>
  </si>
  <si>
    <t>Mount Elgon</t>
  </si>
  <si>
    <t>Rwenzori Mountain Range</t>
  </si>
  <si>
    <t>Wesche 2000b</t>
  </si>
  <si>
    <t>239a.1</t>
  </si>
  <si>
    <t>239a.2</t>
  </si>
  <si>
    <t>239b.1</t>
  </si>
  <si>
    <t>239c.1</t>
  </si>
  <si>
    <t>241a</t>
  </si>
  <si>
    <t>Langer 2017</t>
  </si>
  <si>
    <t>Karikari Peninsula</t>
  </si>
  <si>
    <t>Aotearoa</t>
  </si>
  <si>
    <t>240b</t>
  </si>
  <si>
    <t>Far North District</t>
  </si>
  <si>
    <t>240b.1</t>
  </si>
  <si>
    <t>240b.2</t>
  </si>
  <si>
    <t>Based on NZ fire service data</t>
  </si>
  <si>
    <t>240a.1</t>
  </si>
  <si>
    <t>240a.2</t>
  </si>
  <si>
    <t>240a.3</t>
  </si>
  <si>
    <t>240a.4</t>
  </si>
  <si>
    <t>240a.5</t>
  </si>
  <si>
    <t>240a.6</t>
  </si>
  <si>
    <t>240a.7</t>
  </si>
  <si>
    <t xml:space="preserve">Some interviewees practiced careful watching of fires, preparation of large water holes and timing for low wind conditions. Others used fireworks and burned irresponsibly. </t>
  </si>
  <si>
    <t>There was community pressure not to use fire carelessly; after the last wildfire in 2011, residents had become more proactive at challenging irresponsible practice</t>
  </si>
  <si>
    <t xml:space="preserve">Fire was outlawed during the dry season; and permits were required to burn at other times. However, there were several reports of only partial adherence. </t>
  </si>
  <si>
    <t xml:space="preserve">Fire force active in community regulation of fires as well as providing fire trucks to extinguish active fires. </t>
  </si>
  <si>
    <t>Harr 2014</t>
  </si>
  <si>
    <t>Grand River Grasslands</t>
  </si>
  <si>
    <t>Iowa</t>
  </si>
  <si>
    <t>OP/JM</t>
  </si>
  <si>
    <t>242a</t>
  </si>
  <si>
    <t>241a.1</t>
  </si>
  <si>
    <t>241a.2</t>
  </si>
  <si>
    <t>241a.3</t>
  </si>
  <si>
    <t>241a.4</t>
  </si>
  <si>
    <t>Landowners gave a diversity of reasons for not using prescribed burning to prevent woody encroachment: these ranged from fear of risk and lack of knowledge, to ambivalence towards conservation, to preference to mechanical methods</t>
  </si>
  <si>
    <t>Conservation  best practice involved prescribed burning to prevent dominance of woody shrubs</t>
  </si>
  <si>
    <t>Morton 2010</t>
  </si>
  <si>
    <t>Study date estimated from publication date</t>
  </si>
  <si>
    <t>242a.1</t>
  </si>
  <si>
    <t>243a</t>
  </si>
  <si>
    <t>242a.2</t>
  </si>
  <si>
    <t>Although the practice was present, just 25% of landowners reported using it</t>
  </si>
  <si>
    <t>243a.1</t>
  </si>
  <si>
    <t>243a.2</t>
  </si>
  <si>
    <t>243a.3</t>
  </si>
  <si>
    <t>243a.4</t>
  </si>
  <si>
    <t>243a.5</t>
  </si>
  <si>
    <t>243a.6</t>
  </si>
  <si>
    <t>243a.7</t>
  </si>
  <si>
    <t>243a.8</t>
  </si>
  <si>
    <t>243a.9</t>
  </si>
  <si>
    <t>243a.10</t>
  </si>
  <si>
    <t>243a.11</t>
  </si>
  <si>
    <t>243a.12</t>
  </si>
  <si>
    <t>Assumes that fires to which the local fire service were called out were escaped (uncontrolled) wildfires rather than all ignitions</t>
  </si>
  <si>
    <t>243a.13</t>
  </si>
  <si>
    <t>Although prescribed burning was legal, owing to the legacy of prior colonial fire suppression policies, it was not practiced</t>
  </si>
  <si>
    <t>The park rangers were called out to tackle "wildfire outbreaks", spending $41,917 over 35 years on the problem</t>
  </si>
  <si>
    <t>The 1977 hunting ban made fire use for hunting illegal</t>
  </si>
  <si>
    <t>Practice was not allowed inside the conservation reserve, but was still carried out illegally</t>
  </si>
  <si>
    <t>The 2014 Fire and Disaster Management Bill paved the way for integrated fire management, but this had not been implemented within the park</t>
  </si>
  <si>
    <t>Rodriguez 2018</t>
  </si>
  <si>
    <t>244a</t>
  </si>
  <si>
    <t>Industrial forestry was the commercial management of lands to produce hydro-power</t>
  </si>
  <si>
    <t>244a.1</t>
  </si>
  <si>
    <t>244a.2</t>
  </si>
  <si>
    <t>244a.3</t>
  </si>
  <si>
    <t>244a.4</t>
  </si>
  <si>
    <t>244a.5</t>
  </si>
  <si>
    <t>Younger generation used fire beaters and helicopters to control fire</t>
  </si>
  <si>
    <t>Younger generation used fire beaters and fire breaks to control planned burns</t>
  </si>
  <si>
    <t>Younger generation did not adopt fire for general conservation or pyrome management</t>
  </si>
  <si>
    <t>The older generation used the traditional savannah patch mosaic burning system</t>
  </si>
  <si>
    <t>Older generation relied on the savannah patch mosaic to control the burn, by fragmenting fuels and by burning before rains</t>
  </si>
  <si>
    <t>Older generation relied on their traditional land management to control fires, and were not engaged in active fire extinguishing</t>
  </si>
  <si>
    <t>Fire use was integrated into an overall conservation plan for the area, focused on fire management rather than suppression</t>
  </si>
  <si>
    <t>244a.6</t>
  </si>
  <si>
    <t>244a.7</t>
  </si>
  <si>
    <t>Meilasari-Sugiana 2018</t>
  </si>
  <si>
    <t>245a</t>
  </si>
  <si>
    <t>Tabanio</t>
  </si>
  <si>
    <t>South Kalimantan</t>
  </si>
  <si>
    <t>Ujung Batu</t>
  </si>
  <si>
    <t>245b</t>
  </si>
  <si>
    <t>245a.1</t>
  </si>
  <si>
    <t>Commercial oil palm plantations were burned in protest at land appropriation</t>
  </si>
  <si>
    <t>246a</t>
  </si>
  <si>
    <t>246a.1</t>
  </si>
  <si>
    <t>Long 2017</t>
  </si>
  <si>
    <t>North Fork</t>
  </si>
  <si>
    <t>246a.2</t>
  </si>
  <si>
    <t>246a.3</t>
  </si>
  <si>
    <t>Low-intensity litter burns to promote oak restoration</t>
  </si>
  <si>
    <t>Carefully monitored burns combined with mechanical stand thinning to reduce fuel loads prior to ignition</t>
  </si>
  <si>
    <t>246a.4</t>
  </si>
  <si>
    <t>246a.5</t>
  </si>
  <si>
    <t>Air quality restrictions had hampered the reintroduction of traditional burning</t>
  </si>
  <si>
    <t>USA Forestry Service was working with indigenous groups to support reintroduction of traditional burning</t>
  </si>
  <si>
    <t>Purnomo 2017</t>
  </si>
  <si>
    <t>247a</t>
  </si>
  <si>
    <t>25ha farm size is an estimate - was the cut-off point between large and small palm oil farmers</t>
  </si>
  <si>
    <t>247a.1</t>
  </si>
  <si>
    <t>247a.2</t>
  </si>
  <si>
    <t>247a.3</t>
  </si>
  <si>
    <t>247a.4</t>
  </si>
  <si>
    <t>247a.5</t>
  </si>
  <si>
    <t>"Few government resources were supplied to local communities to fight fires"</t>
  </si>
  <si>
    <t>Plantation companies were resourced to tackle fires on their lands, but neglected fires in the surrounding area</t>
  </si>
  <si>
    <t>Fire size estimated based on the blocks of land that were used by the various scales of oil palm producer</t>
  </si>
  <si>
    <t>Although land was sometimes cleared mechanically after purchase, land was more valuable when fully cleared and ready for planting. When cleared by local farmers prior to purchase fire was used.</t>
  </si>
  <si>
    <t>Use of fire in forest clearance was still widespread</t>
  </si>
  <si>
    <t>Tani 2016</t>
  </si>
  <si>
    <t>248a</t>
  </si>
  <si>
    <t>Niigata</t>
  </si>
  <si>
    <t>Atsumi</t>
  </si>
  <si>
    <t>Sanpoku</t>
  </si>
  <si>
    <t>Yamagata</t>
  </si>
  <si>
    <t>248a.1</t>
  </si>
  <si>
    <t>248a.2</t>
  </si>
  <si>
    <t xml:space="preserve">Swidden operated on two cycles: one where the fallows were planted with trees for logging (20-50 years), and one where the fields were harvested again after 5 years. Cultivation period was one year. </t>
  </si>
  <si>
    <t>Swidden farmers primary source of income had become tourism, due to the rarity and cultural significance of the practice; 44% of farmers practiced swidden</t>
  </si>
  <si>
    <t>Swidden farmers primary source of income had become tourism, due to the rarity and cultural significance of the practice; 29% of farmers practiced swidden</t>
  </si>
  <si>
    <t>Communal burning involving the neighbours and wider community to prevent spread, burning during a low wind</t>
  </si>
  <si>
    <t>The 1897 Forest Act greatly reduced the amount of swidden and promoted reforestation. This contributed to the comparative rarity of the practice.</t>
  </si>
  <si>
    <t>249a</t>
  </si>
  <si>
    <t>Bird 2012</t>
  </si>
  <si>
    <t>Aboriginal Dominated Fire Regime</t>
  </si>
  <si>
    <t>Lightning Dominated Fire Regime</t>
  </si>
  <si>
    <t>249b</t>
  </si>
  <si>
    <t>Martu Homelands</t>
  </si>
  <si>
    <t>250a</t>
  </si>
  <si>
    <t>249a.1</t>
  </si>
  <si>
    <t>249a.2</t>
  </si>
  <si>
    <t>249a.3</t>
  </si>
  <si>
    <t>249a.4</t>
  </si>
  <si>
    <t>249b.1</t>
  </si>
  <si>
    <t>249b.2</t>
  </si>
  <si>
    <t>Patch mosaic burning led to dramatic decrease in fire size from lightning dominated regimes</t>
  </si>
  <si>
    <t>249a.5</t>
  </si>
  <si>
    <t>Patch mosaic burning led to dramatic decrease in fire size from lightning dominated regimes; "among Martu, burning without foraging is considered
wasteful and costly: It burns resources others might want to collect, exposes animal dens to predators such as dingoes, who also take advantage of fire clearings to hunt, and has the potential to burn areas one does not have the right to burn, exposing the fire starter to potential retribution from others"</t>
  </si>
  <si>
    <t>McDaniel 2005</t>
  </si>
  <si>
    <t>Lomerio</t>
  </si>
  <si>
    <t>250a.1</t>
  </si>
  <si>
    <t>250a.2</t>
  </si>
  <si>
    <t>250a.3</t>
  </si>
  <si>
    <t>Burning into the wind, fire breaks, fire whilst the vegetation is still moist, timing of fires depending on moisture content of soil</t>
  </si>
  <si>
    <t>Pasture was burned "almost every other year"</t>
  </si>
  <si>
    <t>Driver 2016</t>
  </si>
  <si>
    <t>251a</t>
  </si>
  <si>
    <t>Karuk Tribal Lands</t>
  </si>
  <si>
    <t>Fieldwork from 2009-2014</t>
  </si>
  <si>
    <t>251a.1</t>
  </si>
  <si>
    <t>251a.2</t>
  </si>
  <si>
    <t>251a.3</t>
  </si>
  <si>
    <t>251a.4</t>
  </si>
  <si>
    <t>251a.5</t>
  </si>
  <si>
    <t>251a.6</t>
  </si>
  <si>
    <t>251a.7</t>
  </si>
  <si>
    <t>251a.8</t>
  </si>
  <si>
    <t>The United States Forestry Service had developed a co-management plan with local tribal members</t>
  </si>
  <si>
    <t>Following a change in management at USFS, the partnership with tribal members was cancelled</t>
  </si>
  <si>
    <t>Koyama 2017</t>
  </si>
  <si>
    <t>252a</t>
  </si>
  <si>
    <t>Mt. Aso</t>
  </si>
  <si>
    <t>Kumamoto Prefecture</t>
  </si>
  <si>
    <t>252a.1</t>
  </si>
  <si>
    <t>252a.2</t>
  </si>
  <si>
    <t>252a.3</t>
  </si>
  <si>
    <t>Nagata 2016</t>
  </si>
  <si>
    <t>253a</t>
  </si>
  <si>
    <t>Kaida Plateau</t>
  </si>
  <si>
    <t>Nagano Prefecture</t>
  </si>
  <si>
    <t>253a.1</t>
  </si>
  <si>
    <t>253a.2</t>
  </si>
  <si>
    <t>253a.3</t>
  </si>
  <si>
    <t>"Spring" burning</t>
  </si>
  <si>
    <t>Sites were split between those managed with fire and those that were mowed</t>
  </si>
  <si>
    <t>Traditional management involved both mowing and burning</t>
  </si>
  <si>
    <t>254a</t>
  </si>
  <si>
    <t xml:space="preserve">Cakamul </t>
  </si>
  <si>
    <t>Campeche</t>
  </si>
  <si>
    <t>Alvarado 2018</t>
  </si>
  <si>
    <t>254a.1</t>
  </si>
  <si>
    <t>254a.2</t>
  </si>
  <si>
    <t>Careful observation of weather and other phenological indicators, circular burning with the wind, monitoring burns as a community, use of fire breaks</t>
  </si>
  <si>
    <t>Community organises to catch any escaped sparks or fires</t>
  </si>
  <si>
    <t>254a.3</t>
  </si>
  <si>
    <t>Owing to community monitoring of burns, escaped fires did not usually travel more than half a hectare</t>
  </si>
  <si>
    <t>248b</t>
  </si>
  <si>
    <t>Farmers were required to inform authorities about plan to burn, and to take precautionary measures</t>
  </si>
  <si>
    <t>Arima 1997</t>
  </si>
  <si>
    <t>255a</t>
  </si>
  <si>
    <t>255b</t>
  </si>
  <si>
    <t>255c</t>
  </si>
  <si>
    <t>Santarem</t>
  </si>
  <si>
    <t>Santana do Araguaia</t>
  </si>
  <si>
    <t>255b.1</t>
  </si>
  <si>
    <t>255c.1</t>
  </si>
  <si>
    <t>255b.2</t>
  </si>
  <si>
    <t>255c.2</t>
  </si>
  <si>
    <t>255b.3</t>
  </si>
  <si>
    <t>255c.3</t>
  </si>
  <si>
    <t>Mechnical tilling, pesticides and fertilisers were used instead</t>
  </si>
  <si>
    <t>Fire was still used on 'medium-sized' ranching operations</t>
  </si>
  <si>
    <t>Bashari 2016</t>
  </si>
  <si>
    <t>256a</t>
  </si>
  <si>
    <t>Isfahan</t>
  </si>
  <si>
    <t>Iran</t>
  </si>
  <si>
    <t>256a.1</t>
  </si>
  <si>
    <t>256a.2</t>
  </si>
  <si>
    <t>256a.3</t>
  </si>
  <si>
    <t>Secondary data suggests 250 fires took place over the study period; however, this only focuses on large fire events that involved the fire brigade and so is not used</t>
  </si>
  <si>
    <t>Evidence of local firefighting force, involving gathering of fire statistics; however data is likely incomplete</t>
  </si>
  <si>
    <t>257a</t>
  </si>
  <si>
    <t>257b</t>
  </si>
  <si>
    <t>Bassett 2000</t>
  </si>
  <si>
    <t>Ivory Coast</t>
  </si>
  <si>
    <t>Meddour-Sahar 2013 confirms fire data given is for annual averages</t>
  </si>
  <si>
    <t>Pak Ou</t>
  </si>
  <si>
    <t>125a.5</t>
  </si>
  <si>
    <t>125a.6</t>
  </si>
  <si>
    <t>125a.7</t>
  </si>
  <si>
    <t>125a.8</t>
  </si>
  <si>
    <t>125a.9</t>
  </si>
  <si>
    <t>125a.10</t>
  </si>
  <si>
    <t>125a.11</t>
  </si>
  <si>
    <t>125a.12</t>
  </si>
  <si>
    <t>125a.13</t>
  </si>
  <si>
    <t>125a.14</t>
  </si>
  <si>
    <t>125a.15</t>
  </si>
  <si>
    <t>125a.16</t>
  </si>
  <si>
    <t>193a.5</t>
  </si>
  <si>
    <t>193b.5</t>
  </si>
  <si>
    <t>193c.5</t>
  </si>
  <si>
    <t>193d.5</t>
  </si>
  <si>
    <t>193e.5</t>
  </si>
  <si>
    <t>Keeley_2019</t>
  </si>
  <si>
    <t>Nothern California</t>
  </si>
  <si>
    <t>Southern California</t>
  </si>
  <si>
    <t>Pop and area from California State Association of Counties</t>
  </si>
  <si>
    <t>Koutsias_2011</t>
  </si>
  <si>
    <t>Peloponnios</t>
  </si>
  <si>
    <t>Portugal</t>
  </si>
  <si>
    <t>Galicia</t>
  </si>
  <si>
    <t>Pop density from countryeconomy.com</t>
  </si>
  <si>
    <t>Lampin-Maillet_2011</t>
  </si>
  <si>
    <t>France</t>
  </si>
  <si>
    <t>Isolated Residential</t>
  </si>
  <si>
    <t>Scattered Residential</t>
  </si>
  <si>
    <t>Dense Clustered Residential</t>
  </si>
  <si>
    <t>Very Dense Clustered Residential</t>
  </si>
  <si>
    <t>Lampin-Maillet_2012</t>
  </si>
  <si>
    <t>Outside WUI</t>
  </si>
  <si>
    <t>Remaining Areas not captured by other case studies</t>
  </si>
  <si>
    <t>Vacchiano_2014</t>
  </si>
  <si>
    <t>Valle d'Acosta</t>
  </si>
  <si>
    <t>Nus</t>
  </si>
  <si>
    <t>Fuentes-Santos_2013</t>
  </si>
  <si>
    <t>Fonsagrada-Ancares</t>
  </si>
  <si>
    <t>Calviño-Cancela_2018</t>
  </si>
  <si>
    <t>Salis_2019</t>
  </si>
  <si>
    <t>Corsica</t>
  </si>
  <si>
    <t>Catalonia</t>
  </si>
  <si>
    <t>Munoz_2007</t>
  </si>
  <si>
    <t>A Coruna</t>
  </si>
  <si>
    <t>Lugo</t>
  </si>
  <si>
    <t>Ourense</t>
  </si>
  <si>
    <t>Pontevedra</t>
  </si>
  <si>
    <t>Asturias</t>
  </si>
  <si>
    <t>Cantabria</t>
  </si>
  <si>
    <t>Leon</t>
  </si>
  <si>
    <t>Zamora</t>
  </si>
  <si>
    <t>Avila</t>
  </si>
  <si>
    <t>Navarra</t>
  </si>
  <si>
    <t>Huesca</t>
  </si>
  <si>
    <t>Caceres</t>
  </si>
  <si>
    <t>Ricottta_2012</t>
  </si>
  <si>
    <t>Oliveira_2017</t>
  </si>
  <si>
    <t>258a</t>
  </si>
  <si>
    <t>258b</t>
  </si>
  <si>
    <t>259a</t>
  </si>
  <si>
    <t>260a</t>
  </si>
  <si>
    <t>260b</t>
  </si>
  <si>
    <t>260c</t>
  </si>
  <si>
    <t>261a</t>
  </si>
  <si>
    <t>261b</t>
  </si>
  <si>
    <t>261c</t>
  </si>
  <si>
    <t>261d</t>
  </si>
  <si>
    <t>261e</t>
  </si>
  <si>
    <t>261f</t>
  </si>
  <si>
    <t>262a</t>
  </si>
  <si>
    <t>263a</t>
  </si>
  <si>
    <t>264a</t>
  </si>
  <si>
    <t>265a</t>
  </si>
  <si>
    <t>265b</t>
  </si>
  <si>
    <t>265c</t>
  </si>
  <si>
    <t>266a</t>
  </si>
  <si>
    <t>266b</t>
  </si>
  <si>
    <t>267a</t>
  </si>
  <si>
    <t>267b</t>
  </si>
  <si>
    <t>267c</t>
  </si>
  <si>
    <t>267d</t>
  </si>
  <si>
    <t>267e</t>
  </si>
  <si>
    <t>267f</t>
  </si>
  <si>
    <t>267g</t>
  </si>
  <si>
    <t>267h</t>
  </si>
  <si>
    <t>267i</t>
  </si>
  <si>
    <t>267j</t>
  </si>
  <si>
    <t>267k</t>
  </si>
  <si>
    <t>267l</t>
  </si>
  <si>
    <t>268a</t>
  </si>
  <si>
    <t>269a</t>
  </si>
  <si>
    <t>270a</t>
  </si>
  <si>
    <t>271a</t>
  </si>
  <si>
    <t>272a</t>
  </si>
  <si>
    <t>272b</t>
  </si>
  <si>
    <t>272c</t>
  </si>
  <si>
    <t>BM</t>
  </si>
  <si>
    <t>Mean of sub regions is given for the areas</t>
  </si>
  <si>
    <t>Infered fire season dates</t>
  </si>
  <si>
    <t>258a.1</t>
  </si>
  <si>
    <t>258a.2</t>
  </si>
  <si>
    <t>258a.3</t>
  </si>
  <si>
    <t>258a.4</t>
  </si>
  <si>
    <t>258b.1</t>
  </si>
  <si>
    <t>258b.2</t>
  </si>
  <si>
    <t>258b.3</t>
  </si>
  <si>
    <t>258b.4</t>
  </si>
  <si>
    <t>259a.1</t>
  </si>
  <si>
    <t>260a.1</t>
  </si>
  <si>
    <t>260a.2</t>
  </si>
  <si>
    <t>260a.3</t>
  </si>
  <si>
    <t>260b.1</t>
  </si>
  <si>
    <t>260c.1</t>
  </si>
  <si>
    <t>261a.1</t>
  </si>
  <si>
    <t>261b.1</t>
  </si>
  <si>
    <t>261c.1</t>
  </si>
  <si>
    <t>261d.1</t>
  </si>
  <si>
    <t>261e.1</t>
  </si>
  <si>
    <t>261f.1</t>
  </si>
  <si>
    <t>262a.1</t>
  </si>
  <si>
    <t>263a.1</t>
  </si>
  <si>
    <t>263a.2</t>
  </si>
  <si>
    <t>263a.3</t>
  </si>
  <si>
    <t>264a.1</t>
  </si>
  <si>
    <t>264a.2</t>
  </si>
  <si>
    <t>264a.3</t>
  </si>
  <si>
    <t>264a.4</t>
  </si>
  <si>
    <t>265a.1</t>
  </si>
  <si>
    <t>265b.1</t>
  </si>
  <si>
    <t>265c.1</t>
  </si>
  <si>
    <t>266a.1</t>
  </si>
  <si>
    <t>266b.1</t>
  </si>
  <si>
    <t>267a.1</t>
  </si>
  <si>
    <t>267a.2</t>
  </si>
  <si>
    <t>267a.3</t>
  </si>
  <si>
    <t>267a.4</t>
  </si>
  <si>
    <t>267a.5</t>
  </si>
  <si>
    <t>267a.6</t>
  </si>
  <si>
    <t>267b.1</t>
  </si>
  <si>
    <t>267c.1</t>
  </si>
  <si>
    <t>267d.1</t>
  </si>
  <si>
    <t>267e.1</t>
  </si>
  <si>
    <t>267f.1</t>
  </si>
  <si>
    <t>267g.1</t>
  </si>
  <si>
    <t>267h.1</t>
  </si>
  <si>
    <t>267i.1</t>
  </si>
  <si>
    <t>267j.1</t>
  </si>
  <si>
    <t>267k.1</t>
  </si>
  <si>
    <t>267l.1</t>
  </si>
  <si>
    <t>268a.1</t>
  </si>
  <si>
    <t>269a.1</t>
  </si>
  <si>
    <t>269a.2</t>
  </si>
  <si>
    <t>270a.1</t>
  </si>
  <si>
    <t>270a.2</t>
  </si>
  <si>
    <t>271a.1</t>
  </si>
  <si>
    <t>272a.1</t>
  </si>
  <si>
    <t>272b.1</t>
  </si>
  <si>
    <t>272c.1</t>
  </si>
  <si>
    <t>Prescription Burn</t>
  </si>
  <si>
    <t>EU Treaty for firefighting assistance</t>
  </si>
  <si>
    <t>A bilateral cooperation agreement with Spain permitted the fast request of assistance from this country. Additionally, as other countries, Portugal could make use of the assistance from other countries through requests to the Monitoring and Information Centre of the European Commission, being this the executive body of the European Union government.
In 2003, a fleet of large size aircrafts (Canadairs) from Spain (2), Morocco (2), Germany (2) and helicopters from Italy (3) provided support to Portugal. In 2005, 6 Canadairs from Spain (3), France (2) and Italy (1) plus a helicopter from the Netherlands supported fire-fighting operations in the country.</t>
  </si>
  <si>
    <t>Hundreds of fire fighters were mobilized by the Spanish authorities and a large aerial fire fighting mechanism was put in place. However, under the extreme fire danger conditions, the existing fire means became insufficient to stop or contain the fires. The ease of ignition and spread converted this situation into a dramatic period for the region.
In particular, Spain mobilized 39 aircrafts that worked during 1470 h in the extinction and made 7600 water and retardant drops with a volume of water over 24 million l. Furthermore, seven fire brigades and the Emergency Military Unit with a total of up to 1000 people worked on the extinction of the fires. Additional aerial fire fighting means were provided by France (2 Canadairs), Italy (2 Canadairs) and Morocco (2 Hercules 130 and 5 airplanes Thrush Commmander).</t>
  </si>
  <si>
    <t>The fire fighting means in Greece during the 2007 megafire event consisted of 14,500 ground forces, of which 9500 was permanent personnel and 5500 additional seasonal workers. They have available 1525 fire engines (trucks) and additional means of the municipal forces. Suppression efforts were supported by 3000 soldiers, 200 volunteers of the fire services and numerous volunteers and civilians. The aerial means were composed of 21 Canadairs, 18 PZL aircrafts, 3 Grumman, 2 Super Puma, 3 BK-117 helicopters, 19 special fire fighting helicopters, 1 B-200 aircraft (total 67 means)
Assistance from Portugal, Spain, France, Italy -11 Canadairs (July 18th–August 1st), 12 Canadairs, 12 aircrafts, and 16 helicopters (August 24th–September 5th) (Balatsos, 2008).</t>
  </si>
  <si>
    <t>Mechanical thinning</t>
  </si>
  <si>
    <t>Comments</t>
  </si>
  <si>
    <t>Let it burn fires restricted to a point due to health and environmental reasons</t>
  </si>
  <si>
    <t>Lawsuit against power companies which caused fires</t>
  </si>
  <si>
    <t>Fuel reduction enforced by fines</t>
  </si>
  <si>
    <t>260b.2</t>
  </si>
  <si>
    <t>260c.2</t>
  </si>
  <si>
    <t>264a.5</t>
  </si>
  <si>
    <t>264a.6</t>
  </si>
  <si>
    <t>268a.2</t>
  </si>
  <si>
    <t>268a.3</t>
  </si>
  <si>
    <t>Gupta, 2012</t>
  </si>
  <si>
    <t>Location coordinates are an estimate taken as being the centre of Amritsar.</t>
  </si>
  <si>
    <t>Location coordinates are an estimate taken as being the centre of Ludhiana.</t>
  </si>
  <si>
    <t>Location coordinates are an estimate taken as being the centre of Sangrur.</t>
  </si>
  <si>
    <t>Erenstein, 2011</t>
  </si>
  <si>
    <t>Punjab and Haryana</t>
  </si>
  <si>
    <t>Erenstein et al., 2007</t>
  </si>
  <si>
    <t>One of four reports describing a particular sub-region of the Indo-Gangetic plains. Location coordinates not provided, so taken as being the city or town centre.</t>
  </si>
  <si>
    <t>Kurukshetra</t>
  </si>
  <si>
    <t>Hisar</t>
  </si>
  <si>
    <t>Singh et al., 2007</t>
  </si>
  <si>
    <t>Meerut</t>
  </si>
  <si>
    <t>Uttar Pradesh</t>
  </si>
  <si>
    <t>Kanpur</t>
  </si>
  <si>
    <t>Faizabad</t>
  </si>
  <si>
    <t>Thorpe et al., 2007</t>
  </si>
  <si>
    <t>Bhojpur</t>
  </si>
  <si>
    <t>Bihar</t>
  </si>
  <si>
    <t>Samastipur</t>
  </si>
  <si>
    <t>Begusarai</t>
  </si>
  <si>
    <t>Varm et al., 2007</t>
  </si>
  <si>
    <t>Malda</t>
  </si>
  <si>
    <t>West Bangal</t>
  </si>
  <si>
    <t>Nadia</t>
  </si>
  <si>
    <t>Medinipur</t>
  </si>
  <si>
    <t>Boossabong &amp; Chamchong, 2020</t>
  </si>
  <si>
    <t>Chiang Mai</t>
  </si>
  <si>
    <t>Chiang Mai Province</t>
  </si>
  <si>
    <t>Discussion of policy intervention in Thailand. Location coordinates not provided, so taken as being the city centre.</t>
  </si>
  <si>
    <t>Llyang</t>
  </si>
  <si>
    <t>Jiangsu</t>
  </si>
  <si>
    <t>Authors used a retrospective survey approach to report burning in three separate years. 5aa and 5ab survey data was gathered from two separate locations, but is grouped in the article. Location coordinates not provided, so taken as being the city or town centre.</t>
  </si>
  <si>
    <t>Changshu</t>
  </si>
  <si>
    <t>Xinghua</t>
  </si>
  <si>
    <t>Authors used a retrospective survey approach to report burning in three separate years. 5ba and 5bb survey data was gathered from two separate locations, but is grouped in the article. Location coordinates not provided, so taken as being the city or town centre.</t>
  </si>
  <si>
    <t>Baoying</t>
  </si>
  <si>
    <t>Xinyi</t>
  </si>
  <si>
    <t>Authors used a retrospective survey approach to report burning in three separate years. 5ca and 5cb survey data was gathered from two separate locations, but is grouped in the article. Location coordinates not provided, so taken as being the city or town centre.</t>
  </si>
  <si>
    <t>Xiangshui</t>
  </si>
  <si>
    <t>Ahmed, Ahmad &amp; Ahmad, 2015</t>
  </si>
  <si>
    <t>Gujranwala</t>
  </si>
  <si>
    <t>Pakistan</t>
  </si>
  <si>
    <t>Sialkot</t>
  </si>
  <si>
    <t>Rusinamhodzi et al., 2016</t>
  </si>
  <si>
    <t>Murehwa</t>
  </si>
  <si>
    <t>Ruaca</t>
  </si>
  <si>
    <t>Gorongose</t>
  </si>
  <si>
    <t>Keck &amp; Hung, 2019</t>
  </si>
  <si>
    <t>Yen Dong Commune</t>
  </si>
  <si>
    <t>Y Yen</t>
  </si>
  <si>
    <t>Luong Phong Commune</t>
  </si>
  <si>
    <t>Hiep Hoa</t>
  </si>
  <si>
    <t>Che Cu Nha Commune</t>
  </si>
  <si>
    <t>Mu Cang Chain</t>
  </si>
  <si>
    <t>Muliarta, 2018</t>
  </si>
  <si>
    <t>Klungkung Regency</t>
  </si>
  <si>
    <t>Bali</t>
  </si>
  <si>
    <t>Theesfeld, 2017</t>
  </si>
  <si>
    <t>Altai Krai</t>
  </si>
  <si>
    <t>Russia</t>
  </si>
  <si>
    <t>AP</t>
  </si>
  <si>
    <t>No more detailed location data is provided in paper. Location averaged from record 2</t>
  </si>
  <si>
    <t>275a</t>
  </si>
  <si>
    <t>275b</t>
  </si>
  <si>
    <t>275c</t>
  </si>
  <si>
    <t>275d</t>
  </si>
  <si>
    <t>275e</t>
  </si>
  <si>
    <t>275f</t>
  </si>
  <si>
    <t>275g</t>
  </si>
  <si>
    <t>275h</t>
  </si>
  <si>
    <t>275i</t>
  </si>
  <si>
    <t>275j</t>
  </si>
  <si>
    <t>275k</t>
  </si>
  <si>
    <t>275l</t>
  </si>
  <si>
    <t>276a</t>
  </si>
  <si>
    <t>277aa</t>
  </si>
  <si>
    <t>277ba</t>
  </si>
  <si>
    <t>277bb</t>
  </si>
  <si>
    <t>277ca</t>
  </si>
  <si>
    <t>277cb</t>
  </si>
  <si>
    <t>279a</t>
  </si>
  <si>
    <t>279b</t>
  </si>
  <si>
    <t>279c</t>
  </si>
  <si>
    <t>280a</t>
  </si>
  <si>
    <t>280b</t>
  </si>
  <si>
    <t>280c</t>
  </si>
  <si>
    <t>282a</t>
  </si>
  <si>
    <t>283a</t>
  </si>
  <si>
    <t>Mozambique</t>
  </si>
  <si>
    <t>Farm area is mean farm size from sample.</t>
  </si>
  <si>
    <t>Farm area is mean farm size from samples.</t>
  </si>
  <si>
    <t>Primary and secondary AFT decided by marketed crop data</t>
  </si>
  <si>
    <t>Policy paper mentions farmers clearing forest to make way for agricultural land, burning the forest in preparation for growing mushrooms to sell and burning agricultural waste after the harvest. It is assumed the farmers sell and consume the mushrooms and the crops that produce the agricultural waste.</t>
  </si>
  <si>
    <t>Farm area is average farm area for survey participants</t>
  </si>
  <si>
    <t>Farm area is largest farm size reported by households and yield is mean yield for Maize, which covers 80% of cropped area across study sites. AFT is market-orientated as crop-production is said to be more intensive with greater cattle owership and fertiliser use.</t>
  </si>
  <si>
    <t>Farm area is largest farm size reported by households and yield is mean yield for Maize, which covers 80% of cropped area across study sites.</t>
  </si>
  <si>
    <t>Majority of income is derived from agriculture. Farm size is median farm size in Vietnam.</t>
  </si>
  <si>
    <t>Majority of income stems from working in local factories. Farm size is median farm size in Vietnam.</t>
  </si>
  <si>
    <t>Majority of income stems from forestry (cultivated cardamom). Farm size is median farm size in Vietnam.</t>
  </si>
  <si>
    <t>273a</t>
  </si>
  <si>
    <t>273b</t>
  </si>
  <si>
    <t>273c</t>
  </si>
  <si>
    <t>274a</t>
  </si>
  <si>
    <t>Burrows &amp; McCaw 2013</t>
  </si>
  <si>
    <t>Southwestern Australia</t>
  </si>
  <si>
    <t>Calef et al. 2017</t>
  </si>
  <si>
    <t>Fairbanks</t>
  </si>
  <si>
    <t>Area is based on the smallest 5km ring from centre of FAirbanks, Pop density is an estimate based on the Fairbanks city area pop estimate of ~30,000 in 2019 https://en.wikipedia.org/wiki/Fairbanks,_Alaska</t>
  </si>
  <si>
    <t>Pop density is an estimate based on pop (~118000) of following counties: - Yukon-Koyukuk (5198)
- Fairbanks North Star (95898)
- Southeast Fairbanks (6891)
- Denali (1860)
- Northwest Arctic (7715) see https://en.wikipedia.org/wiki/List_of_boroughs_and_census_areas_in_Alaska</t>
  </si>
  <si>
    <t>Goldammer 2007</t>
  </si>
  <si>
    <t>Syphard et al. 2011</t>
  </si>
  <si>
    <t>Angeles National Forest</t>
  </si>
  <si>
    <t>Los Padres National Forest</t>
  </si>
  <si>
    <t>San Bernardino National Forest</t>
  </si>
  <si>
    <t>Cleveland National Forest</t>
  </si>
  <si>
    <t>Steen-Adams et al. 2017</t>
  </si>
  <si>
    <t>Eastern Cascades</t>
  </si>
  <si>
    <t>Oregon</t>
  </si>
  <si>
    <t>DNF 6462 sq km (https://en.wikipedia.org/wiki/Deschutes_National_Forest) plus 9116 sq km (https://en.wikipedia.org/wiki/Fremont%E2%80%93Winema_National_Forest)</t>
  </si>
  <si>
    <t>Warm Springs Reservation</t>
  </si>
  <si>
    <t>Area from https://en.wikipedia.org/wiki/Warm_Springs_Indian_Reservation</t>
  </si>
  <si>
    <t>Campos-Ruiz et al. 2018</t>
  </si>
  <si>
    <t>Wood Buffalo National Park</t>
  </si>
  <si>
    <t>Alberta</t>
  </si>
  <si>
    <t>Lower Athabasca Plains</t>
  </si>
  <si>
    <t>Pop Density from https://en.wikipedia.org/wiki/Lower_Athabasca_Region (note this includes the NE portion, not included in the study)</t>
  </si>
  <si>
    <t>Mudekwe 2007</t>
  </si>
  <si>
    <t>Kalahari Sand Teak Forests</t>
  </si>
  <si>
    <t>Study areas is the following protected forests (fire data provided for these only): Bembesi, Gwaai, Gwampa, Kazuma, Lake Alice, Mafungabusi, Ngamo, Panda-masuie, Sikumi, Umgusa (Panda and Kazuma missing from pop density, crop area and livestock data)</t>
  </si>
  <si>
    <t>Cogos et al. 2020</t>
  </si>
  <si>
    <t>Mala State Forest</t>
  </si>
  <si>
    <t>Västerbotten County</t>
  </si>
  <si>
    <t>Sweden</t>
  </si>
  <si>
    <t>Ramberg et al. 2018</t>
  </si>
  <si>
    <t>Study area is forested land in Sweden</t>
  </si>
  <si>
    <t>JM</t>
  </si>
  <si>
    <t>284a</t>
  </si>
  <si>
    <t>284b</t>
  </si>
  <si>
    <t>285a</t>
  </si>
  <si>
    <t>285b</t>
  </si>
  <si>
    <t>286a</t>
  </si>
  <si>
    <t>286b</t>
  </si>
  <si>
    <t>286c</t>
  </si>
  <si>
    <t>287a</t>
  </si>
  <si>
    <t>287b</t>
  </si>
  <si>
    <t>287c</t>
  </si>
  <si>
    <t>287d</t>
  </si>
  <si>
    <t>288a</t>
  </si>
  <si>
    <t>288b</t>
  </si>
  <si>
    <t>288c</t>
  </si>
  <si>
    <t>288d</t>
  </si>
  <si>
    <t>288e</t>
  </si>
  <si>
    <t>288f</t>
  </si>
  <si>
    <t>288fg</t>
  </si>
  <si>
    <t>288h</t>
  </si>
  <si>
    <t>288i</t>
  </si>
  <si>
    <t>288j</t>
  </si>
  <si>
    <t>288k</t>
  </si>
  <si>
    <t>289a</t>
  </si>
  <si>
    <t>289b</t>
  </si>
  <si>
    <t>290a</t>
  </si>
  <si>
    <t>291a</t>
  </si>
  <si>
    <t>292a</t>
  </si>
  <si>
    <t>Conservationist</t>
  </si>
  <si>
    <t>Primary goal is actually 'commnity protection', conservation second</t>
  </si>
  <si>
    <t>Strictly Protected Forest Zone p.5</t>
  </si>
  <si>
    <t>Protected Forest Zone p.5</t>
  </si>
  <si>
    <t>Utilized Forest Zone p.5</t>
  </si>
  <si>
    <t>Assumes US National Forests are primarily managed as Industrial Forestry (secondary conservation?)</t>
  </si>
  <si>
    <t>Data are missing for Panda-masuie and Kuzuma protected forests</t>
  </si>
  <si>
    <t>Rice-harvesting season</t>
  </si>
  <si>
    <t>Intended burn area is percent of plots burnt provided in article.</t>
  </si>
  <si>
    <t>Rice dominates the cropping pattern during the monsoon season</t>
  </si>
  <si>
    <t>Estimated intended fire size calculated by multiplying cropping pattern farm size by 0.623 correction cited by Liu et al., 2019. Estimated burn area is the % of farmers burning straw for each crop type and farming pattern.</t>
  </si>
  <si>
    <t>Wheat dominates the cropping pattern in winter</t>
  </si>
  <si>
    <t>Basmati dominates the cropping pattern during the monsoon season</t>
  </si>
  <si>
    <t>Non-rice dominates the cropping pattern during the monsoon season</t>
  </si>
  <si>
    <t>Wheat based system</t>
  </si>
  <si>
    <t>Two-crop system monsoon season</t>
  </si>
  <si>
    <t>Two-crop system winter</t>
  </si>
  <si>
    <t>Two-crop system monsoon season, predominantly rice-wheat based.</t>
  </si>
  <si>
    <t>Two-crop system winter, predominantly rice-wheat based.</t>
  </si>
  <si>
    <t>Two-crop system monsoon season, predominantly maize-wheat based.</t>
  </si>
  <si>
    <t>Two-crop system winter, predominantly maize-wheat based.</t>
  </si>
  <si>
    <t>Predominantly rice-based system in the monsoon season</t>
  </si>
  <si>
    <t>Authors used a retrospective survey approach to report burning in three separate years.</t>
  </si>
  <si>
    <t>Crop residue collected by resource group (RG) 1 and 2</t>
  </si>
  <si>
    <t>Crop residue not collected by resource group (RG) 3 and 4</t>
  </si>
  <si>
    <t>Crop residue is burnt by those farmers without livestock</t>
  </si>
  <si>
    <t>Crop residue is burnt by all farmers as 0% livestock ownership in all households</t>
  </si>
  <si>
    <t>Rice is the majority crop in Spring.</t>
  </si>
  <si>
    <t>Rice is the majority crop in Summer.</t>
  </si>
  <si>
    <t>Burning of rice straw after the rice harvest before planting the secondary crop.</t>
  </si>
  <si>
    <t>Area of agricultural land under fire taken from Russia's Federal Forest Agency for first half of 2014.</t>
  </si>
  <si>
    <t>273a.1</t>
  </si>
  <si>
    <t>273a.2</t>
  </si>
  <si>
    <t>273b.1</t>
  </si>
  <si>
    <t>273b.2</t>
  </si>
  <si>
    <t>273c.1</t>
  </si>
  <si>
    <t>273c.2</t>
  </si>
  <si>
    <t>274a.1</t>
  </si>
  <si>
    <t>274a.2</t>
  </si>
  <si>
    <t>274a.3</t>
  </si>
  <si>
    <t>274a.4</t>
  </si>
  <si>
    <t>274a.5</t>
  </si>
  <si>
    <t>274a.6</t>
  </si>
  <si>
    <t>274a.7</t>
  </si>
  <si>
    <t>274a.8</t>
  </si>
  <si>
    <t>274a.9</t>
  </si>
  <si>
    <t>274a.10</t>
  </si>
  <si>
    <t>274a.11</t>
  </si>
  <si>
    <t>274a.12</t>
  </si>
  <si>
    <t>275a.1</t>
  </si>
  <si>
    <t>275a.2</t>
  </si>
  <si>
    <t>275b.1</t>
  </si>
  <si>
    <t>275b.2</t>
  </si>
  <si>
    <t>275c.1</t>
  </si>
  <si>
    <t>275c.2</t>
  </si>
  <si>
    <t>275d.1</t>
  </si>
  <si>
    <t>275d.2</t>
  </si>
  <si>
    <t>275e.1</t>
  </si>
  <si>
    <t>275e.2</t>
  </si>
  <si>
    <t>275f.1</t>
  </si>
  <si>
    <t>275f.2</t>
  </si>
  <si>
    <t>275g.1</t>
  </si>
  <si>
    <t>275g.2</t>
  </si>
  <si>
    <t>275h.1</t>
  </si>
  <si>
    <t>275h.2</t>
  </si>
  <si>
    <t>275i.1</t>
  </si>
  <si>
    <t>275i.2</t>
  </si>
  <si>
    <t>275j.1</t>
  </si>
  <si>
    <t>275j.2</t>
  </si>
  <si>
    <t>275k.1</t>
  </si>
  <si>
    <t>275k.2</t>
  </si>
  <si>
    <t>275l.1</t>
  </si>
  <si>
    <t>275l.2</t>
  </si>
  <si>
    <t>277aa.1</t>
  </si>
  <si>
    <t>277aa.2</t>
  </si>
  <si>
    <t>277aa.3</t>
  </si>
  <si>
    <t>277ab</t>
  </si>
  <si>
    <t>277ab.1</t>
  </si>
  <si>
    <t>277ab.2</t>
  </si>
  <si>
    <t>277ab.3</t>
  </si>
  <si>
    <t>277ba.1</t>
  </si>
  <si>
    <t>277ba.2</t>
  </si>
  <si>
    <t>277ba.3</t>
  </si>
  <si>
    <t>277bb.1</t>
  </si>
  <si>
    <t>277bb.2</t>
  </si>
  <si>
    <t>277bb.3</t>
  </si>
  <si>
    <t>277ca.1</t>
  </si>
  <si>
    <t>277ca.2</t>
  </si>
  <si>
    <t>277ca.3</t>
  </si>
  <si>
    <t>277cb.1</t>
  </si>
  <si>
    <t>277cb.2</t>
  </si>
  <si>
    <t>277cb.3</t>
  </si>
  <si>
    <t>279a.1</t>
  </si>
  <si>
    <t>279a.2</t>
  </si>
  <si>
    <t>279b.1</t>
  </si>
  <si>
    <t>279b.2</t>
  </si>
  <si>
    <t>279c.1</t>
  </si>
  <si>
    <t>280a.1</t>
  </si>
  <si>
    <t>280a.2</t>
  </si>
  <si>
    <t>280b.1</t>
  </si>
  <si>
    <t>280b.2</t>
  </si>
  <si>
    <t>281a.1</t>
  </si>
  <si>
    <t>282a.1</t>
  </si>
  <si>
    <t>283a.1</t>
  </si>
  <si>
    <t>283a.2</t>
  </si>
  <si>
    <t>An authoritarian policy style is commonly used in the country and has been for haze since 2011.</t>
  </si>
  <si>
    <t>Pyrome Management</t>
  </si>
  <si>
    <t>Actual BA is 12.5% of 2500000 (mean annual proportion</t>
  </si>
  <si>
    <t>Actual BA is 0.3% of 2500000 (mean annual proportion)</t>
  </si>
  <si>
    <t>Actual BA is 1.1% of 2500000 (mean annual proportion)</t>
  </si>
  <si>
    <t>Fire density calculated from Human density as proportion (100-99.2%)</t>
  </si>
  <si>
    <t>Fire density calculated from Human density as proportion (100-87.0%)</t>
  </si>
  <si>
    <t>Human, Accidental</t>
  </si>
  <si>
    <t>Fires &gt;10ha</t>
  </si>
  <si>
    <t>Note study period is 45 years in length (important for considering % burned area)</t>
  </si>
  <si>
    <t>Number of fires is for 1921-1961</t>
  </si>
  <si>
    <t>284a.1</t>
  </si>
  <si>
    <t>284a.2</t>
  </si>
  <si>
    <t>284b.1</t>
  </si>
  <si>
    <t>284b.2</t>
  </si>
  <si>
    <t>285a.1</t>
  </si>
  <si>
    <t>285a.2</t>
  </si>
  <si>
    <t>285b.1</t>
  </si>
  <si>
    <t>285b.2</t>
  </si>
  <si>
    <t>287a.1</t>
  </si>
  <si>
    <t>287a.2</t>
  </si>
  <si>
    <t>287b.1</t>
  </si>
  <si>
    <t>287b.2</t>
  </si>
  <si>
    <t>287c.1</t>
  </si>
  <si>
    <t>287c.2</t>
  </si>
  <si>
    <t>287d.1</t>
  </si>
  <si>
    <t>287d.2</t>
  </si>
  <si>
    <t>288a.1</t>
  </si>
  <si>
    <t>288b.1</t>
  </si>
  <si>
    <t>288c.1</t>
  </si>
  <si>
    <t>288d.1</t>
  </si>
  <si>
    <t>288e.1</t>
  </si>
  <si>
    <t>288f.1</t>
  </si>
  <si>
    <t>288g</t>
  </si>
  <si>
    <t>288g.1</t>
  </si>
  <si>
    <t>288h.1</t>
  </si>
  <si>
    <t>288i.1</t>
  </si>
  <si>
    <t>288j.1</t>
  </si>
  <si>
    <t>288k.1</t>
  </si>
  <si>
    <t>289a.1</t>
  </si>
  <si>
    <t>289a.2</t>
  </si>
  <si>
    <t>290a.1</t>
  </si>
  <si>
    <t>290a.2</t>
  </si>
  <si>
    <t>290a.3</t>
  </si>
  <si>
    <t>291a.1</t>
  </si>
  <si>
    <t>292a.1</t>
  </si>
  <si>
    <t>292a.2</t>
  </si>
  <si>
    <t>Prescribed Burning</t>
  </si>
  <si>
    <t>Lower than urban planner in this case study because this is a huge area with mixed suppression policy</t>
  </si>
  <si>
    <t>Fire breaks, prescribed burning</t>
  </si>
  <si>
    <t>All actively burning fires are suppressed</t>
  </si>
  <si>
    <t>From Table 3 "Suppress all fire incidents"</t>
  </si>
  <si>
    <t>Pile burning</t>
  </si>
  <si>
    <t>From Table 3</t>
  </si>
  <si>
    <t>Table 3 "10:00 A.M. Control Policy"</t>
  </si>
  <si>
    <t>From Table 3 "Suppress most fire incidents"</t>
  </si>
  <si>
    <t>Prescribed Burning, Mechanical Thinning</t>
  </si>
  <si>
    <t>Broadcast burning</t>
  </si>
  <si>
    <t xml:space="preserve">Low basal area, fuel breaks </t>
  </si>
  <si>
    <t>"fire towers, radio communications, good access roads, adequate 
manpower, tools and vehicles."</t>
  </si>
  <si>
    <t>quote from p.25 Subsequent sentences detail decline in available resources more recently</t>
  </si>
  <si>
    <t>Fire-breaks, protecting seed trees, advanced burning of anthills</t>
  </si>
  <si>
    <t>Control measured in advance of prescribed burnings are not detailed (but must exist)</t>
  </si>
  <si>
    <t>286a.1</t>
  </si>
  <si>
    <t>286a.2</t>
  </si>
  <si>
    <t>286a.3</t>
  </si>
  <si>
    <t>288b.2</t>
  </si>
  <si>
    <t>288c.2</t>
  </si>
  <si>
    <t>288c.3</t>
  </si>
  <si>
    <t>288c.4</t>
  </si>
  <si>
    <t>288d.2</t>
  </si>
  <si>
    <t>288d.3</t>
  </si>
  <si>
    <t>288d.4</t>
  </si>
  <si>
    <t>288e.2</t>
  </si>
  <si>
    <t>288f.2</t>
  </si>
  <si>
    <t>288g.2</t>
  </si>
  <si>
    <t>288g.3</t>
  </si>
  <si>
    <t>288h.2</t>
  </si>
  <si>
    <t>288i.2</t>
  </si>
  <si>
    <t>288j.2</t>
  </si>
  <si>
    <t>288j.3</t>
  </si>
  <si>
    <t>288k.2</t>
  </si>
  <si>
    <t>288k.3</t>
  </si>
  <si>
    <t>289b.1</t>
  </si>
  <si>
    <t>289b.2</t>
  </si>
  <si>
    <t>276a.1</t>
  </si>
  <si>
    <t>276a.2</t>
  </si>
  <si>
    <t>276a.3</t>
  </si>
  <si>
    <t>276a.4</t>
  </si>
  <si>
    <t>276a.5</t>
  </si>
  <si>
    <t>278bb</t>
  </si>
  <si>
    <t>278bb.1</t>
  </si>
  <si>
    <t>278bb.2</t>
  </si>
  <si>
    <t>278bb.3</t>
  </si>
  <si>
    <t>Human</t>
  </si>
  <si>
    <t>Fire not banned everywhere (huge area)</t>
  </si>
  <si>
    <t>"the law allows protection and suppression measures against fire"</t>
  </si>
  <si>
    <t>All is all other than human deliberate</t>
  </si>
  <si>
    <t>All is all other</t>
  </si>
  <si>
    <t>"To comply with FSC certification regulations, companies are required to burn an area corresponding to at least 5% of the harvested forest area over 5-year period (FSC 2010)." p.298</t>
  </si>
  <si>
    <t>"In addition to certification-driven incentives, prescribed burning is used to meet the national environmental objectives concerning forest bio_x0002_diversity," p.298</t>
  </si>
  <si>
    <t>285a.3</t>
  </si>
  <si>
    <t>285a.4</t>
  </si>
  <si>
    <t>286b.1</t>
  </si>
  <si>
    <t>286c.1</t>
  </si>
  <si>
    <t>288a.2</t>
  </si>
  <si>
    <t>258c</t>
  </si>
  <si>
    <t>258d</t>
  </si>
  <si>
    <t>258e</t>
  </si>
  <si>
    <t>Sequoia and Kings Canyon National Parks</t>
  </si>
  <si>
    <t>Yosemite National Park</t>
  </si>
  <si>
    <t>Lassen Volcanic National Park</t>
  </si>
  <si>
    <t>Areas encompass national parks and surrounding USFS managed forests</t>
  </si>
  <si>
    <t>258c.1</t>
  </si>
  <si>
    <t>258c.2</t>
  </si>
  <si>
    <t>258d.1</t>
  </si>
  <si>
    <t>258d.2</t>
  </si>
  <si>
    <t>258e.1</t>
  </si>
  <si>
    <t>258e.2</t>
  </si>
  <si>
    <t>"Let it Burn" policy</t>
  </si>
  <si>
    <t>Limited prescription burns, mechanical thinning</t>
  </si>
  <si>
    <t>Modest prescription burn programme, with only around 10% of park area burned over 50 years</t>
  </si>
  <si>
    <t>Very modest prescription burn programme, with less than 5% of area managed burned over 50 years</t>
  </si>
  <si>
    <t>Air quality concerns limited the extent of prescribed burning</t>
  </si>
  <si>
    <t>259a.2</t>
  </si>
  <si>
    <t>259a.3</t>
  </si>
  <si>
    <t>259a.4</t>
  </si>
  <si>
    <t>259a.5</t>
  </si>
  <si>
    <t>259a.6</t>
  </si>
  <si>
    <t>259a.7</t>
  </si>
  <si>
    <t>259a.8</t>
  </si>
  <si>
    <t>Max fire size based on statement that 1% of fires accounted for 90% of burned area</t>
  </si>
  <si>
    <t>San-Miguel-Ayanz 2013</t>
  </si>
  <si>
    <t>Case study focuses on three locations: Castello Branco, Portalegre and Santerm</t>
  </si>
  <si>
    <t>260a.4</t>
  </si>
  <si>
    <t>260a.5</t>
  </si>
  <si>
    <t>2003 was an "exceptional fire year"</t>
  </si>
  <si>
    <t>2005 was an "exceptional fire year"</t>
  </si>
  <si>
    <t>260a.6</t>
  </si>
  <si>
    <t>Min median based on distribution across EU Mediterranean, of which Portugal contributes more than half. 88 fires contributed 86% of burned area</t>
  </si>
  <si>
    <t>Min median based on distribution across EU Mediterranean, of which Portugal contributes more than half.</t>
  </si>
  <si>
    <t>During the 2003 fire season, ground crews were deployed but there was no aerial capacity for combatting wildfires</t>
  </si>
  <si>
    <t>260d</t>
  </si>
  <si>
    <t>260d.1</t>
  </si>
  <si>
    <t>Average for the "last decade"</t>
  </si>
  <si>
    <t>260d.2</t>
  </si>
  <si>
    <t>Pop density from study id 259</t>
  </si>
  <si>
    <t>Details of fires from MODIS not included as it does not give a full picture of fire activity</t>
  </si>
  <si>
    <t>Provence</t>
  </si>
  <si>
    <t>262a.2</t>
  </si>
  <si>
    <t>Mean of 8 is given, and 70% of burned area being driven by 'sporadic fires &gt; 20ha': fire metrics estimated from this</t>
  </si>
  <si>
    <t>Farm area is for private plantation size</t>
  </si>
  <si>
    <t>263a.4</t>
  </si>
  <si>
    <t>263a.5</t>
  </si>
  <si>
    <t>263a.6</t>
  </si>
  <si>
    <t>263a.7</t>
  </si>
  <si>
    <t>263a.8</t>
  </si>
  <si>
    <t>263a.9</t>
  </si>
  <si>
    <t>263a.10</t>
  </si>
  <si>
    <t>263a.11</t>
  </si>
  <si>
    <t>263a.12</t>
  </si>
  <si>
    <t>Arson fires were attributed to conflict between farmers and forestry</t>
  </si>
  <si>
    <t>264a.7</t>
  </si>
  <si>
    <t>Evidence of extensive spending on fire extinguishing</t>
  </si>
  <si>
    <t>264a.8</t>
  </si>
  <si>
    <t>264a.9</t>
  </si>
  <si>
    <t>264a.10</t>
  </si>
  <si>
    <t>Agricultural fires were the cause of 41% of fires</t>
  </si>
  <si>
    <t>Pasture fires were responsible for &lt;10% of fires</t>
  </si>
  <si>
    <t>Arson was responsible for &lt;10% of fires</t>
  </si>
  <si>
    <t>Responsible for &lt;10% of fires</t>
  </si>
  <si>
    <t>265a.2</t>
  </si>
  <si>
    <t>265b.2</t>
  </si>
  <si>
    <t>265c.2</t>
  </si>
  <si>
    <t>Mean and median calculated from fire size distributions in table 5</t>
  </si>
  <si>
    <t>265a.3</t>
  </si>
  <si>
    <t>265b.3</t>
  </si>
  <si>
    <t>265c.3</t>
  </si>
  <si>
    <t>Ignition density estimated from author map</t>
  </si>
  <si>
    <t>Authors attribute reduction in burned area to increased fire fighting capacity</t>
  </si>
  <si>
    <t>Authors attribute rise in importance of megafires in part to increased fuel loads due to abandonment</t>
  </si>
  <si>
    <t>267a.7</t>
  </si>
  <si>
    <t>267b.2</t>
  </si>
  <si>
    <t>267b.3</t>
  </si>
  <si>
    <t>267b.4</t>
  </si>
  <si>
    <t>267b.5</t>
  </si>
  <si>
    <t>267b.6</t>
  </si>
  <si>
    <t>267b.7</t>
  </si>
  <si>
    <t>267c.2</t>
  </si>
  <si>
    <t>267c.3</t>
  </si>
  <si>
    <t>267c.4</t>
  </si>
  <si>
    <t>267c.5</t>
  </si>
  <si>
    <t>267c.6</t>
  </si>
  <si>
    <t>267c.7</t>
  </si>
  <si>
    <t>267d.2</t>
  </si>
  <si>
    <t>267d.3</t>
  </si>
  <si>
    <t>267d.4</t>
  </si>
  <si>
    <t>267d.5</t>
  </si>
  <si>
    <t>267d.6</t>
  </si>
  <si>
    <t>267d.7</t>
  </si>
  <si>
    <t>267e.2</t>
  </si>
  <si>
    <t>267e.3</t>
  </si>
  <si>
    <t>267e.4</t>
  </si>
  <si>
    <t>267e.5</t>
  </si>
  <si>
    <t>267e.6</t>
  </si>
  <si>
    <t>267e.7</t>
  </si>
  <si>
    <t>267f.2</t>
  </si>
  <si>
    <t>267f.3</t>
  </si>
  <si>
    <t>267f.4</t>
  </si>
  <si>
    <t>267f.5</t>
  </si>
  <si>
    <t>267f.6</t>
  </si>
  <si>
    <t>267f.7</t>
  </si>
  <si>
    <t>267g.2</t>
  </si>
  <si>
    <t>267g.3</t>
  </si>
  <si>
    <t>267g.4</t>
  </si>
  <si>
    <t>267g.5</t>
  </si>
  <si>
    <t>267g.6</t>
  </si>
  <si>
    <t>267g.7</t>
  </si>
  <si>
    <t>267h.2</t>
  </si>
  <si>
    <t>267h.3</t>
  </si>
  <si>
    <t>267h.4</t>
  </si>
  <si>
    <t>267h.5</t>
  </si>
  <si>
    <t>267h.6</t>
  </si>
  <si>
    <t>267h.7</t>
  </si>
  <si>
    <t>267i.2</t>
  </si>
  <si>
    <t>267i.3</t>
  </si>
  <si>
    <t>267i.4</t>
  </si>
  <si>
    <t>267i.5</t>
  </si>
  <si>
    <t>267i.6</t>
  </si>
  <si>
    <t>267i.7</t>
  </si>
  <si>
    <t>267j.2</t>
  </si>
  <si>
    <t>267j.3</t>
  </si>
  <si>
    <t>267j.4</t>
  </si>
  <si>
    <t>267j.5</t>
  </si>
  <si>
    <t>267j.6</t>
  </si>
  <si>
    <t>267j.7</t>
  </si>
  <si>
    <t>267k.2</t>
  </si>
  <si>
    <t>267k.3</t>
  </si>
  <si>
    <t>267k.4</t>
  </si>
  <si>
    <t>267k.5</t>
  </si>
  <si>
    <t>267k.6</t>
  </si>
  <si>
    <t>267k.7</t>
  </si>
  <si>
    <t>267l.2</t>
  </si>
  <si>
    <t>267l.3</t>
  </si>
  <si>
    <t>267l.4</t>
  </si>
  <si>
    <t>267l.5</t>
  </si>
  <si>
    <t>267l.6</t>
  </si>
  <si>
    <t>267l.7</t>
  </si>
  <si>
    <t>Farmers used fire in a traditional way, without additional controls. Given increased fuel loads driven by abandonment, this was problematic</t>
  </si>
  <si>
    <t>Grazing and pasture burning</t>
  </si>
  <si>
    <t>Training rural inhabitants in prescribed burning</t>
  </si>
  <si>
    <t>Prescribed burning, education of rural people in fuel load management without fire</t>
  </si>
  <si>
    <t>Fire response including helicopter crews</t>
  </si>
  <si>
    <t>Fires were not permitted within 400m of forests, or during the hottest parts of the year</t>
  </si>
  <si>
    <t>The EU had tied CAP payments to a removal of crop residue burning</t>
  </si>
  <si>
    <t>Because burning was not compatible with CAP payments, farmers preferred not to obtain a licence, and therefore not to take precautions. For larger fires it was also harder to attribute blame.</t>
  </si>
  <si>
    <t>Absence of agricultural activities led to a pronounced decrease in burning</t>
  </si>
  <si>
    <t>270a.3</t>
  </si>
  <si>
    <t>270a.4</t>
  </si>
  <si>
    <t>Decrease of fires due to abandonment implies presence of anthropogenic ignitions on managed agricultural lands</t>
  </si>
  <si>
    <t>271a.2</t>
  </si>
  <si>
    <t>271a.3</t>
  </si>
  <si>
    <t>WUI areas were associated with higher ignitions, hence we estimate the 80th percentile for values presented (reported as 'high')</t>
  </si>
  <si>
    <t>Response to fires started at the WUI meant that ignition levels could be almost 10x higher without increasing burned area substantially</t>
  </si>
  <si>
    <t>Although traditional burning continued, much of the inherited fire knowledge had been lost</t>
  </si>
  <si>
    <t>Tourist properties and second homes of urban residents were reluctant to adopt fire control measures for aesthetic reasons</t>
  </si>
  <si>
    <t>Moreira 2001</t>
  </si>
  <si>
    <t>Minho</t>
  </si>
  <si>
    <t>Remote sensing, secondary</t>
  </si>
  <si>
    <t>Figures for whole study area; shrubs and forested areas divided between natural and secondary (abandoned farmland)</t>
  </si>
  <si>
    <t>"Analysis of the number and size of ﬁres occurring in the region during the period 1988–1995 (Direcção Geral das Florestas, unpublished data) showed that ﬁre frequency was well over 25 ﬁres/10000 ha/year and that for most years median size was less than 3 ha (Moreira et al. unpublished data)."</t>
  </si>
  <si>
    <t>Farm size estimated from patch size; assumes low shrublands are active pastures and tall shrublands ~abandoned land</t>
  </si>
  <si>
    <t>Abandoned Farmland; author's demonstrate increased fire size due to fuel accumulation</t>
  </si>
  <si>
    <t>Cvitanovic 2017</t>
  </si>
  <si>
    <t>Craotia</t>
  </si>
  <si>
    <t>Krapina-Zagorje</t>
  </si>
  <si>
    <t>Macdonald 2000</t>
  </si>
  <si>
    <t>Vardousia</t>
  </si>
  <si>
    <t>269b</t>
  </si>
  <si>
    <t>269c</t>
  </si>
  <si>
    <t>269d</t>
  </si>
  <si>
    <t>269e</t>
  </si>
  <si>
    <t>269f</t>
  </si>
  <si>
    <t>269g</t>
  </si>
  <si>
    <t>269h</t>
  </si>
  <si>
    <t>269i</t>
  </si>
  <si>
    <t>269j</t>
  </si>
  <si>
    <t>269k</t>
  </si>
  <si>
    <t>269l</t>
  </si>
  <si>
    <t>269m</t>
  </si>
  <si>
    <t>269n</t>
  </si>
  <si>
    <t>269o</t>
  </si>
  <si>
    <t>269p</t>
  </si>
  <si>
    <t>269q</t>
  </si>
  <si>
    <t>269r</t>
  </si>
  <si>
    <t>269s</t>
  </si>
  <si>
    <t>269t</t>
  </si>
  <si>
    <t>269u</t>
  </si>
  <si>
    <t>269v</t>
  </si>
  <si>
    <t>269w</t>
  </si>
  <si>
    <t>269x</t>
  </si>
  <si>
    <t>Jouchtas and Strouboulas</t>
  </si>
  <si>
    <t>Sud Massif Central</t>
  </si>
  <si>
    <t xml:space="preserve">Pyrénées Rousillon </t>
  </si>
  <si>
    <t>Abruzzes</t>
  </si>
  <si>
    <t>Basilicate</t>
  </si>
  <si>
    <t>Pénibética</t>
  </si>
  <si>
    <t>Terra Quente Transmontana</t>
  </si>
  <si>
    <t>Vindeln</t>
  </si>
  <si>
    <t>North Savo</t>
  </si>
  <si>
    <t>Finland</t>
  </si>
  <si>
    <t>Tyrol Oberland</t>
  </si>
  <si>
    <t>Austria</t>
  </si>
  <si>
    <t>Parc National de Triglav</t>
  </si>
  <si>
    <t>Canton d’Appenzell</t>
  </si>
  <si>
    <t>Oberallgäu</t>
  </si>
  <si>
    <t>Switzerland</t>
  </si>
  <si>
    <t>Germany</t>
  </si>
  <si>
    <t>Savoie</t>
  </si>
  <si>
    <t>Beaufort</t>
  </si>
  <si>
    <t>Slovenia</t>
  </si>
  <si>
    <t>Vallé d’Aoste</t>
  </si>
  <si>
    <t>Canton du Valais</t>
  </si>
  <si>
    <t>Hauts Plateaux du Jura</t>
  </si>
  <si>
    <t>Massif Cantabrique</t>
  </si>
  <si>
    <t>Picos de Europa</t>
  </si>
  <si>
    <t>Pays Basque</t>
  </si>
  <si>
    <t>Montange Basque</t>
  </si>
  <si>
    <t>Haut-Couserans</t>
  </si>
  <si>
    <t>Haut-Sobrarbe</t>
  </si>
  <si>
    <t>Val di Cembra</t>
  </si>
  <si>
    <t>Trentino</t>
  </si>
  <si>
    <t>Vercors</t>
  </si>
  <si>
    <t>Isere et Drome</t>
  </si>
  <si>
    <t>Secondary vegetation was abandoned farmland; "very small" farm size</t>
  </si>
  <si>
    <t>Secondary vegetation was abandoned farmland; "small" farm size</t>
  </si>
  <si>
    <t>269b.1</t>
  </si>
  <si>
    <t>269c.1</t>
  </si>
  <si>
    <t>269d.1</t>
  </si>
  <si>
    <t>269e.1</t>
  </si>
  <si>
    <t>269f.1</t>
  </si>
  <si>
    <t>269g.1</t>
  </si>
  <si>
    <t>269h.1</t>
  </si>
  <si>
    <t>269i.1</t>
  </si>
  <si>
    <t>269j.1</t>
  </si>
  <si>
    <t>269k.1</t>
  </si>
  <si>
    <t>269l.1</t>
  </si>
  <si>
    <t>269m.1</t>
  </si>
  <si>
    <t>269n.1</t>
  </si>
  <si>
    <t>269o.1</t>
  </si>
  <si>
    <t>269p.1</t>
  </si>
  <si>
    <t>269q.1</t>
  </si>
  <si>
    <t>269r.1</t>
  </si>
  <si>
    <t>269s.1</t>
  </si>
  <si>
    <t>269t.1</t>
  </si>
  <si>
    <t>269u.1</t>
  </si>
  <si>
    <t>269v.1</t>
  </si>
  <si>
    <t>269w.1</t>
  </si>
  <si>
    <t>269x.1</t>
  </si>
  <si>
    <t>269b.2</t>
  </si>
  <si>
    <t>269c.2</t>
  </si>
  <si>
    <t>269d.2</t>
  </si>
  <si>
    <t>269e.2</t>
  </si>
  <si>
    <t>269f.2</t>
  </si>
  <si>
    <t>269g.2</t>
  </si>
  <si>
    <t xml:space="preserve">In dry Mediterranean climates, removal of biomass from grazing was attributed with reducing fire risk. After land was abandoned, build up of woody shrubs led to increased fuel loads and risk of fires. </t>
  </si>
  <si>
    <t>Chas 2010</t>
  </si>
  <si>
    <t xml:space="preserve">Case studies reported are groups of departments clustered based on fire data using unsupervised learning. Reported here to demonstrate spread of fire regime. </t>
  </si>
  <si>
    <t>272d</t>
  </si>
  <si>
    <t>272e</t>
  </si>
  <si>
    <t>272f</t>
  </si>
  <si>
    <t>272a.2</t>
  </si>
  <si>
    <t>272a.3</t>
  </si>
  <si>
    <t>272a.4</t>
  </si>
  <si>
    <t>272a.5</t>
  </si>
  <si>
    <t>272a.6</t>
  </si>
  <si>
    <t>272a.7</t>
  </si>
  <si>
    <t>272a.8</t>
  </si>
  <si>
    <t>272a.9</t>
  </si>
  <si>
    <t>272a.10</t>
  </si>
  <si>
    <t>272a.11</t>
  </si>
  <si>
    <t>Arson was in protest at reforestation</t>
  </si>
  <si>
    <t>Land clearance to facilitate reforestation</t>
  </si>
  <si>
    <t>Case studies reported are groups of departments clustered based on fire data using unsupervised learning. Reported here to demonstrate spread of fire regime. Study area based on mean department size</t>
  </si>
  <si>
    <t>Includes plantation forests</t>
  </si>
  <si>
    <t>272b.2</t>
  </si>
  <si>
    <t>272b.3</t>
  </si>
  <si>
    <t>272b.4</t>
  </si>
  <si>
    <t>272b.5</t>
  </si>
  <si>
    <t>272b.6</t>
  </si>
  <si>
    <t>272b.7</t>
  </si>
  <si>
    <t>272b.8</t>
  </si>
  <si>
    <t>272b.9</t>
  </si>
  <si>
    <t>272a.12</t>
  </si>
  <si>
    <t>272a.13</t>
  </si>
  <si>
    <t>272g</t>
  </si>
  <si>
    <t>272c.2</t>
  </si>
  <si>
    <t>272c.3</t>
  </si>
  <si>
    <t>272c.4</t>
  </si>
  <si>
    <t>272c.5</t>
  </si>
  <si>
    <t>272c.6</t>
  </si>
  <si>
    <t>272c.7</t>
  </si>
  <si>
    <t>272c.8</t>
  </si>
  <si>
    <t>272c.9</t>
  </si>
  <si>
    <t>272d.1</t>
  </si>
  <si>
    <t>272d.2</t>
  </si>
  <si>
    <t>272d.3</t>
  </si>
  <si>
    <t>272d.4</t>
  </si>
  <si>
    <t>272d.5</t>
  </si>
  <si>
    <t>272d.6</t>
  </si>
  <si>
    <t>272d.7</t>
  </si>
  <si>
    <t>272d.8</t>
  </si>
  <si>
    <t>272d.9</t>
  </si>
  <si>
    <t>272e.1</t>
  </si>
  <si>
    <t>272e.2</t>
  </si>
  <si>
    <t>272e.3</t>
  </si>
  <si>
    <t>272e.4</t>
  </si>
  <si>
    <t>272e.5</t>
  </si>
  <si>
    <t>272e.6</t>
  </si>
  <si>
    <t>272e.7</t>
  </si>
  <si>
    <t>272e.8</t>
  </si>
  <si>
    <t>272e.9</t>
  </si>
  <si>
    <t>272f.1</t>
  </si>
  <si>
    <t>272f.2</t>
  </si>
  <si>
    <t>272f.3</t>
  </si>
  <si>
    <t>272f.4</t>
  </si>
  <si>
    <t>272f.5</t>
  </si>
  <si>
    <t>272f.6</t>
  </si>
  <si>
    <t>272f.7</t>
  </si>
  <si>
    <t>272f.8</t>
  </si>
  <si>
    <t>272f.9</t>
  </si>
  <si>
    <t>272g.1</t>
  </si>
  <si>
    <t>272g.2</t>
  </si>
  <si>
    <t>272g.3</t>
  </si>
  <si>
    <t>272g.4</t>
  </si>
  <si>
    <t>272g.5</t>
  </si>
  <si>
    <t>272g.6</t>
  </si>
  <si>
    <t>272g.7</t>
  </si>
  <si>
    <t>272g.8</t>
  </si>
  <si>
    <t>272g.9</t>
  </si>
  <si>
    <t>Forest % not included as unknown mixture of plantation and natural</t>
  </si>
  <si>
    <t>Katiali</t>
  </si>
  <si>
    <t>Tagbanga</t>
  </si>
  <si>
    <t>Niofouin</t>
  </si>
  <si>
    <t>Tioroniaradougou</t>
  </si>
  <si>
    <t>Fieldwork completed c. 1995</t>
  </si>
  <si>
    <t>257a.1</t>
  </si>
  <si>
    <t>257a.2</t>
  </si>
  <si>
    <t>257b.1</t>
  </si>
  <si>
    <t>257b.2</t>
  </si>
  <si>
    <t>In the past, with lower stocking rates, pastoralists had burned later. But now, they burn earlier as animals reach their nutrition stress point earlier</t>
  </si>
  <si>
    <t>Intensive grazing pressure had led to a decrease in wildfires</t>
  </si>
  <si>
    <t>Increased amounts of cropland had fragmented the landscape: "most fires extinguished when they reached arable fields"</t>
  </si>
  <si>
    <t>Fire return period implicit from discussion of ecology (processes observed suggest fires more frequently than 3 years)</t>
  </si>
  <si>
    <t>Both fallow period (10-30 years) and cultivation period (5-6 years) reported</t>
  </si>
  <si>
    <t>Valko 2012</t>
  </si>
  <si>
    <t>293a</t>
  </si>
  <si>
    <t>Gyertyan-kuti meadows</t>
  </si>
  <si>
    <t>Zemplen Mountains</t>
  </si>
  <si>
    <t>293a.1</t>
  </si>
  <si>
    <t>293a.2</t>
  </si>
  <si>
    <t>Annual mowing was traditionally used to reduce fuel loads</t>
  </si>
  <si>
    <t>Abandoned meadows</t>
  </si>
  <si>
    <t>Jakimow 2018</t>
  </si>
  <si>
    <t>294a</t>
  </si>
  <si>
    <t>Novo Progresso</t>
  </si>
  <si>
    <t>294a.1</t>
  </si>
  <si>
    <t>294a.2</t>
  </si>
  <si>
    <t>294a.3</t>
  </si>
  <si>
    <t>294a.4</t>
  </si>
  <si>
    <t>Deforestated area given, amount of secondary vegetation ot pasture estimated based on burned area; urban area estimated based on training samples</t>
  </si>
  <si>
    <t xml:space="preserve">Authors adopt a "conservative" approach to mapping fire - preferring to minimise errors of commission, and excluding burned areas &lt;1ha. Calibration therefore showed consistent errors of ommission. Hence, here, we take the authors value for 2014 of 20% of deforested area burned as an estimate. This is backed up by age of pasture lands that were burned. </t>
  </si>
  <si>
    <t xml:space="preserve">Authors adopt a "conservative" approach to mapping fire - preferring to minimise errors of commission, and excluding burned areas &lt;1ha.  Areas of pasture that were both tilled and burned were &lt;10% of overall area burned. </t>
  </si>
  <si>
    <t>Mechnical tillage taken as a proxy for intensified production</t>
  </si>
  <si>
    <t>Lima 2012</t>
  </si>
  <si>
    <t>295a</t>
  </si>
  <si>
    <t>Fieldwork in 2014; robustly ground-truthed study</t>
  </si>
  <si>
    <t>Landsat based study at the landscape level &amp; involving visual interpretation</t>
  </si>
  <si>
    <t xml:space="preserve">Land cover assumes that cropland and pasture are evenly distributed amongst deforestated areas. These were the dominant land types in the study region. </t>
  </si>
  <si>
    <t>295a.1</t>
  </si>
  <si>
    <t>295a.2</t>
  </si>
  <si>
    <t>Machinery was used to clear forest, which was then burned to fully clear the land and prepare for intensive agriculture</t>
  </si>
  <si>
    <t>Fires in existing forests are assumed to be escaped fires (see Cana-Crespo 2015)</t>
  </si>
  <si>
    <t>Assumed to be fires on "old" deforested areas (&gt;3 years)</t>
  </si>
  <si>
    <t>Morton 2006</t>
  </si>
  <si>
    <t>296a</t>
  </si>
  <si>
    <t>296a.1</t>
  </si>
  <si>
    <t>296a.2</t>
  </si>
  <si>
    <t xml:space="preserve">Mean reported clearing was 143ha, however this does not include clearings 25ha, which accounted for an area approx 50% that of the reported clearings. </t>
  </si>
  <si>
    <t>Not assumed that all clearing used fire, but rather estimates size where fire was used</t>
  </si>
  <si>
    <t>Augustine 2012</t>
  </si>
  <si>
    <t>297a</t>
  </si>
  <si>
    <t>Colorado</t>
  </si>
  <si>
    <t>Pawnee National Grassland</t>
  </si>
  <si>
    <t>Only clearings &gt; 25ha are considered; however, only 6% of clearings for intensive agriculture were &lt;200ha; max intended is 1SD above mean</t>
  </si>
  <si>
    <t>Study discusses fire use in national park, but also on surrounding agricultural lands</t>
  </si>
  <si>
    <t>297a.1</t>
  </si>
  <si>
    <t>297a.2</t>
  </si>
  <si>
    <t>297a.3</t>
  </si>
  <si>
    <t>In spite of efforts to reintroduce burning for conservation reasons, ranchers were resistant as it was felt it would not leave sufficient forage for cattle in this semi arid environment</t>
  </si>
  <si>
    <t>Pampa de Achala</t>
  </si>
  <si>
    <t>298a</t>
  </si>
  <si>
    <t>Cingolani 2013</t>
  </si>
  <si>
    <t>298a.1</t>
  </si>
  <si>
    <t>Dry season fires</t>
  </si>
  <si>
    <t>Burned area based on 42/200 plots in a stratified sampling design were burned</t>
  </si>
  <si>
    <t>Clark 2014</t>
  </si>
  <si>
    <t>299a</t>
  </si>
  <si>
    <t>Idaho</t>
  </si>
  <si>
    <t>Whiskey Hill</t>
  </si>
  <si>
    <t>299a.1</t>
  </si>
  <si>
    <t>Fire size from experimental prescribed burn, however illustrative of fire spread within this biome. Fire return from USDA guidance and reported farmer practice. "Unburned areas within the burn perimeter occurred primarily on ridge tops dominated by granite outcrop and
mountain mahogany with sparse understory"</t>
  </si>
  <si>
    <t>Kimberley High Rainfall Zone</t>
  </si>
  <si>
    <t>Craig 1997</t>
  </si>
  <si>
    <t>300a</t>
  </si>
  <si>
    <t>Ban had moderate impact on burning</t>
  </si>
  <si>
    <t>300b</t>
  </si>
  <si>
    <t>300a.1</t>
  </si>
  <si>
    <t>300a.2</t>
  </si>
  <si>
    <t>300a.3</t>
  </si>
  <si>
    <t>The absence of large-scale aboriginal landscape management had lead to the dominance of large late dry season fires</t>
  </si>
  <si>
    <t>Multiple burning strategies are noted with respect to timing</t>
  </si>
  <si>
    <t>Pastoralists had in part adopted the early-season burning strategies of the aboriginal people</t>
  </si>
  <si>
    <t>Fire return from literature estimates based on field surveys and theory; burned area from a range of satellite estimates. NB, authors suggest cloud cover and small aboriginal hunting fires may make this an underestimate</t>
  </si>
  <si>
    <t>Fire return based on recommended 3-4 year burning interval and note that more frequent fire use had been reported</t>
  </si>
  <si>
    <t>Early-season pyrome management fires were lit much less frequently than by aboriginal land users. This meant that large late-season fires dominated</t>
  </si>
  <si>
    <t>Eloy 2016</t>
  </si>
  <si>
    <t>301a</t>
  </si>
  <si>
    <t>301b</t>
  </si>
  <si>
    <t>301c</t>
  </si>
  <si>
    <t>Study dates estimated from author description - work done post the 2013 Brazil Forestry Code</t>
  </si>
  <si>
    <t>Veredas do Acari Sustainable Development Reserve</t>
  </si>
  <si>
    <t xml:space="preserve">Nascentes do Rio Vermelho Environmental Protection Area </t>
  </si>
  <si>
    <t>Goias</t>
  </si>
  <si>
    <t>Minas Gerais</t>
  </si>
  <si>
    <t>301a.1</t>
  </si>
  <si>
    <t>301a.2</t>
  </si>
  <si>
    <t>301a.3</t>
  </si>
  <si>
    <t>301a.4</t>
  </si>
  <si>
    <t>As fire was banned, large-scale soybean farmers were happy to comply, as they "were not reliant on fire". Further, the fire ban "legitimised" their activities</t>
  </si>
  <si>
    <t>301a.5</t>
  </si>
  <si>
    <t>301a.6</t>
  </si>
  <si>
    <t>"criminal" fires were lit late in the dry season in response to fire bans within protected areas</t>
  </si>
  <si>
    <t>Licenses were required for burning, however this was hard to enforce given the prevalence of fire within a savannah ecosystem</t>
  </si>
  <si>
    <t>Evidence of limited local fire brigades</t>
  </si>
  <si>
    <t>Promotion of fire-free activities</t>
  </si>
  <si>
    <t>Community fire management had been undermined by criminalisation, leading to large, uncontrolled and deliberate wildfires set in the peak of the dry season</t>
  </si>
  <si>
    <t>302a</t>
  </si>
  <si>
    <t>Girona-Garcia 2018</t>
  </si>
  <si>
    <t>Buisán</t>
  </si>
  <si>
    <t>Central Pyrenees</t>
  </si>
  <si>
    <t>302a.1</t>
  </si>
  <si>
    <t>302a.2</t>
  </si>
  <si>
    <t>302a.3</t>
  </si>
  <si>
    <t>302a.4</t>
  </si>
  <si>
    <t>Due to a fire ban in 1980, shepherds had stopped using fire to manage rangelands</t>
  </si>
  <si>
    <t>Prescribed burns</t>
  </si>
  <si>
    <t>Detailed weather forecasting, seasonal timing, choice of day with low wind - other unstated "prescription parameters"</t>
  </si>
  <si>
    <t>Build up of fuel on abandoned land was directly linked to increased wildfire risk</t>
  </si>
  <si>
    <t>Ban had led to the end of the practice amongst traditional pastoralists</t>
  </si>
  <si>
    <t>Regulations goverened precuationary measures required to be taken by firefighters conducting prescribed burns</t>
  </si>
  <si>
    <t>Caballero 2010</t>
  </si>
  <si>
    <t>303a</t>
  </si>
  <si>
    <t>Galacia</t>
  </si>
  <si>
    <t>Galacian Mountains</t>
  </si>
  <si>
    <t>Asturias-Leon</t>
  </si>
  <si>
    <t>Cantabrian mountains</t>
  </si>
  <si>
    <t>Aragon</t>
  </si>
  <si>
    <t>Cataluna</t>
  </si>
  <si>
    <t>Pyrenees</t>
  </si>
  <si>
    <t>Cameros Iberian range</t>
  </si>
  <si>
    <t>Albarracin Iberian range</t>
  </si>
  <si>
    <t>Guadarrama-Gredos Central range</t>
  </si>
  <si>
    <t>Sierras Cazorla-Segura</t>
  </si>
  <si>
    <t>Red deer systems</t>
  </si>
  <si>
    <t>Penibetica range</t>
  </si>
  <si>
    <t>Dehesa</t>
  </si>
  <si>
    <t>Wintering Mesta systems</t>
  </si>
  <si>
    <t>Mediterranean highlands</t>
  </si>
  <si>
    <t>Inland Plains</t>
  </si>
  <si>
    <t>Cereal-sheep systems</t>
  </si>
  <si>
    <t>Primary data and expert elicitation</t>
  </si>
  <si>
    <t>303b</t>
  </si>
  <si>
    <t>303c</t>
  </si>
  <si>
    <t>303d</t>
  </si>
  <si>
    <t>303e</t>
  </si>
  <si>
    <t>303f</t>
  </si>
  <si>
    <t>303g</t>
  </si>
  <si>
    <t>303h</t>
  </si>
  <si>
    <t>303i</t>
  </si>
  <si>
    <t>303j</t>
  </si>
  <si>
    <t>303k</t>
  </si>
  <si>
    <t>303l</t>
  </si>
  <si>
    <t>303m</t>
  </si>
  <si>
    <t>303n</t>
  </si>
  <si>
    <t>303o</t>
  </si>
  <si>
    <t>303p</t>
  </si>
  <si>
    <t>303q</t>
  </si>
  <si>
    <t>303r</t>
  </si>
  <si>
    <t>303s</t>
  </si>
  <si>
    <t>303t</t>
  </si>
  <si>
    <t>303u</t>
  </si>
  <si>
    <t>303v</t>
  </si>
  <si>
    <t>303w</t>
  </si>
  <si>
    <t>303x</t>
  </si>
  <si>
    <t>303y</t>
  </si>
  <si>
    <t>303z</t>
  </si>
  <si>
    <t>303aa</t>
  </si>
  <si>
    <t>303ab</t>
  </si>
  <si>
    <t>303ac</t>
  </si>
  <si>
    <t>303ad</t>
  </si>
  <si>
    <t>Piedmont &amp; Liguria</t>
  </si>
  <si>
    <t>Lombardy</t>
  </si>
  <si>
    <t>Veneto</t>
  </si>
  <si>
    <t>Central</t>
  </si>
  <si>
    <t>Emilia Romagna</t>
  </si>
  <si>
    <t>Umbria</t>
  </si>
  <si>
    <t>South Tuscany, Lazio</t>
  </si>
  <si>
    <t>Apulia</t>
  </si>
  <si>
    <t>Campania</t>
  </si>
  <si>
    <t>Calabria</t>
  </si>
  <si>
    <t>Sicily</t>
  </si>
  <si>
    <t>Southern &amp; Sicily</t>
  </si>
  <si>
    <t>Gallura</t>
  </si>
  <si>
    <t>Lowlands</t>
  </si>
  <si>
    <t>Central hills</t>
  </si>
  <si>
    <t>Gennargentu</t>
  </si>
  <si>
    <t>North Pindus</t>
  </si>
  <si>
    <t>South Pindus</t>
  </si>
  <si>
    <t>North Peloponnesus</t>
  </si>
  <si>
    <t>Mediterranean Mountains</t>
  </si>
  <si>
    <t>303ae</t>
  </si>
  <si>
    <t>303af</t>
  </si>
  <si>
    <t>303ag</t>
  </si>
  <si>
    <t>303ah</t>
  </si>
  <si>
    <t>303ai</t>
  </si>
  <si>
    <t>303aj</t>
  </si>
  <si>
    <t>303ak</t>
  </si>
  <si>
    <t>303al</t>
  </si>
  <si>
    <t>303am</t>
  </si>
  <si>
    <t>303ao</t>
  </si>
  <si>
    <t>Thrace</t>
  </si>
  <si>
    <t>Central Macedonia</t>
  </si>
  <si>
    <t>Mediterranean North</t>
  </si>
  <si>
    <t>Western Epirus</t>
  </si>
  <si>
    <t>Eastern Thessaly</t>
  </si>
  <si>
    <t>Southeastern Peloponnesus</t>
  </si>
  <si>
    <t>Central Crete</t>
  </si>
  <si>
    <t>Dodecannisa</t>
  </si>
  <si>
    <t>Mediterranean South</t>
  </si>
  <si>
    <t>Crete</t>
  </si>
  <si>
    <t>303a.1</t>
  </si>
  <si>
    <t>303a.2</t>
  </si>
  <si>
    <t>303b.1</t>
  </si>
  <si>
    <t>303c.1</t>
  </si>
  <si>
    <t>Grazing and clearing of woody shrubs through fire and mechnical removal kept fuel loads low</t>
  </si>
  <si>
    <t>303g.1</t>
  </si>
  <si>
    <t>303h.1</t>
  </si>
  <si>
    <t>303i.1</t>
  </si>
  <si>
    <t>303j.1</t>
  </si>
  <si>
    <t>303k.1</t>
  </si>
  <si>
    <t>303g.2</t>
  </si>
  <si>
    <t>303h.2</t>
  </si>
  <si>
    <t>303i.2</t>
  </si>
  <si>
    <t>303j.2</t>
  </si>
  <si>
    <t>303k.2</t>
  </si>
  <si>
    <t>Crops were mostly used to feed cattle</t>
  </si>
  <si>
    <t>Tourist hunting lodges of red deer</t>
  </si>
  <si>
    <t>303l.1</t>
  </si>
  <si>
    <t>303m.1</t>
  </si>
  <si>
    <t>"occassional" cropland areas in the region helped prevented against the invasion of woody shrubs</t>
  </si>
  <si>
    <t>303q.1</t>
  </si>
  <si>
    <t>"In abandoned pastures, shrubs ... are rapidly encroaching from field borders and colonizing previously open habitats"</t>
  </si>
  <si>
    <t>303s.1</t>
  </si>
  <si>
    <t>"Under stocking, modified grazing management and abandonment greatly affected vegetation changes"</t>
  </si>
  <si>
    <t>303t.1</t>
  </si>
  <si>
    <t>303t.2</t>
  </si>
  <si>
    <t>Goat grazing was proposed as an effective means of fire management</t>
  </si>
  <si>
    <t>Abandoned farmland</t>
  </si>
  <si>
    <t>303w.1</t>
  </si>
  <si>
    <t>"Grazing on pasturelands and on Mediterranean forest helps to reduce danger of wildfires"</t>
  </si>
  <si>
    <t>303w.2</t>
  </si>
  <si>
    <t>303aa.1</t>
  </si>
  <si>
    <t>303ab.1</t>
  </si>
  <si>
    <t>303ac.1</t>
  </si>
  <si>
    <t>303ad.1</t>
  </si>
  <si>
    <t>Subsidies had meant that otherwise unsustainable systems remained viable. This led to over- rather than undergrazing, and control of fuel loads in common and private lands</t>
  </si>
  <si>
    <t>Principally natural pastures &amp; rangelands used for grazing</t>
  </si>
  <si>
    <t>303aj.1</t>
  </si>
  <si>
    <t>Fires lit on "hot and windy" summer days</t>
  </si>
  <si>
    <t>303aj.2</t>
  </si>
  <si>
    <t>303ak.1</t>
  </si>
  <si>
    <t>Frequent wildfires were reported</t>
  </si>
  <si>
    <t>303al.1</t>
  </si>
  <si>
    <t>EU incentives had encouraged increased stocking rates, and an acceleration of the pastoralist fire cycle</t>
  </si>
  <si>
    <t>303am.1</t>
  </si>
  <si>
    <t>303am.2</t>
  </si>
  <si>
    <t>303an</t>
  </si>
  <si>
    <t>303an.1</t>
  </si>
  <si>
    <t>303an.2</t>
  </si>
  <si>
    <t>Fernandes 2013</t>
  </si>
  <si>
    <t>304a</t>
  </si>
  <si>
    <t>304b</t>
  </si>
  <si>
    <t>304c</t>
  </si>
  <si>
    <t>304d</t>
  </si>
  <si>
    <t>304e</t>
  </si>
  <si>
    <t>Southern Mediterranean</t>
  </si>
  <si>
    <t>Covers Portugal, Spain, Italy and France</t>
  </si>
  <si>
    <t>304a.1</t>
  </si>
  <si>
    <t>304b.1</t>
  </si>
  <si>
    <t>304b.2</t>
  </si>
  <si>
    <t>Prescribed burning uptake was still very limited across Southern Europe, with the preference still for suppression</t>
  </si>
  <si>
    <t>Ban had meant the absence of a prescribed burning programme</t>
  </si>
  <si>
    <t>Pyrénées-Orientales</t>
  </si>
  <si>
    <t>Pyrénées-Atlantiques</t>
  </si>
  <si>
    <t>Hautes-Pyrénées</t>
  </si>
  <si>
    <t>304c.1</t>
  </si>
  <si>
    <t>Conservation and rangeland mgmt listed as "secondary" motivations</t>
  </si>
  <si>
    <t>304d.1</t>
  </si>
  <si>
    <t>304e.1</t>
  </si>
  <si>
    <t>304d.2</t>
  </si>
  <si>
    <t>304d.3</t>
  </si>
  <si>
    <t>"poor practices, including agressive ignition patterns and much larger fires than necessary, resulting in frequent fire escapes and environmental damage"</t>
  </si>
  <si>
    <t>"In 2000, local stakeholders developed a participatory approach to improve dialogue, promote best practices, and establish local fire committees. Voluntary burning requests have since increased, while damage to the area’s forestry has declined"</t>
  </si>
  <si>
    <t>The introduction of a local participatory scheme led to much greater compliance</t>
  </si>
  <si>
    <t>Spatiotemporal restrictions combined with licensing</t>
  </si>
  <si>
    <t>304e.2</t>
  </si>
  <si>
    <t>304e.3</t>
  </si>
  <si>
    <t>The effect of the ban was to drive clandestine burning</t>
  </si>
  <si>
    <t>Community participation led to improved fire management</t>
  </si>
  <si>
    <t>Clandestine, unsupervised burning due to "limited" legal opportunities</t>
  </si>
  <si>
    <t>Collaborative burning in partnership with prescribed burning teams</t>
  </si>
  <si>
    <t>Burning assigned to most difficult or fire prone regions to prescribed burning teams</t>
  </si>
  <si>
    <t>"Prescribed burning is rarely a priority for fire- and land-management organizations, and therefore relies heavily on the motivation and effort of individuals within those agencies."</t>
  </si>
  <si>
    <t>Fernandes 2016</t>
  </si>
  <si>
    <t>305a</t>
  </si>
  <si>
    <t>Bretagne</t>
  </si>
  <si>
    <t>Normandie</t>
  </si>
  <si>
    <t>Nord-Pas-de Calais Picardie</t>
  </si>
  <si>
    <t>Ile-de France</t>
  </si>
  <si>
    <t>Alsace Champagne-Ardenne Lorraine</t>
  </si>
  <si>
    <t>Pays-de-la Loire</t>
  </si>
  <si>
    <t>Centre Val-de-Loire</t>
  </si>
  <si>
    <t>Bourgogne France-Comte</t>
  </si>
  <si>
    <t>Aquitaine Limousin Poitou-Charentes</t>
  </si>
  <si>
    <t>Auvergne Rhone-Alpes</t>
  </si>
  <si>
    <t>Langaudoc-Roussillion Midi-Pyranees</t>
  </si>
  <si>
    <t>Provence Alpes Cote d'Azur</t>
  </si>
  <si>
    <t>305b</t>
  </si>
  <si>
    <t>305c</t>
  </si>
  <si>
    <t>305d</t>
  </si>
  <si>
    <t>305e</t>
  </si>
  <si>
    <t>305f</t>
  </si>
  <si>
    <t>305g</t>
  </si>
  <si>
    <t>305h</t>
  </si>
  <si>
    <t>305i</t>
  </si>
  <si>
    <t>305j</t>
  </si>
  <si>
    <t>305k</t>
  </si>
  <si>
    <t>305l</t>
  </si>
  <si>
    <t>305m</t>
  </si>
  <si>
    <t>305n</t>
  </si>
  <si>
    <t>Hungary</t>
  </si>
  <si>
    <t>305a.1</t>
  </si>
  <si>
    <t>305b.1</t>
  </si>
  <si>
    <t>305c.1</t>
  </si>
  <si>
    <t>305d.1</t>
  </si>
  <si>
    <t>305e.1</t>
  </si>
  <si>
    <t>305f.1</t>
  </si>
  <si>
    <t>305g.1</t>
  </si>
  <si>
    <t>305h.1</t>
  </si>
  <si>
    <t>305i.1</t>
  </si>
  <si>
    <t>305j.1</t>
  </si>
  <si>
    <t>305k.1</t>
  </si>
  <si>
    <t>305l.1</t>
  </si>
  <si>
    <t>305m.1</t>
  </si>
  <si>
    <t>(&lt;0.1% of BA from prescribed burns)</t>
  </si>
  <si>
    <t>305i.2</t>
  </si>
  <si>
    <t>305j.2</t>
  </si>
  <si>
    <t>305k.2</t>
  </si>
  <si>
    <t>305l.2</t>
  </si>
  <si>
    <t>305m.2</t>
  </si>
  <si>
    <t>305i.3</t>
  </si>
  <si>
    <t>305j.3</t>
  </si>
  <si>
    <t>305k.3</t>
  </si>
  <si>
    <t>305l.3</t>
  </si>
  <si>
    <t>305m.3</t>
  </si>
  <si>
    <t>305i.4</t>
  </si>
  <si>
    <t>305j.4</t>
  </si>
  <si>
    <t>305k.4</t>
  </si>
  <si>
    <t>305l.4</t>
  </si>
  <si>
    <t>305m.4</t>
  </si>
  <si>
    <t>305i.5</t>
  </si>
  <si>
    <t>305j.5</t>
  </si>
  <si>
    <t>305k.5</t>
  </si>
  <si>
    <t>305l.5</t>
  </si>
  <si>
    <t>305m.5</t>
  </si>
  <si>
    <t>305i.6</t>
  </si>
  <si>
    <t>305j.6</t>
  </si>
  <si>
    <t>305k.6</t>
  </si>
  <si>
    <t>305l.6</t>
  </si>
  <si>
    <t>305m.6</t>
  </si>
  <si>
    <t>305i.7</t>
  </si>
  <si>
    <t>305j.7</t>
  </si>
  <si>
    <t>305k.7</t>
  </si>
  <si>
    <t>305l.7</t>
  </si>
  <si>
    <t>305m.7</t>
  </si>
  <si>
    <t>305i.8</t>
  </si>
  <si>
    <t>305j.8</t>
  </si>
  <si>
    <t>305k.8</t>
  </si>
  <si>
    <t>305l.8</t>
  </si>
  <si>
    <t>305m.8</t>
  </si>
  <si>
    <t>305i.9</t>
  </si>
  <si>
    <t>305j.9</t>
  </si>
  <si>
    <t>305k.9</t>
  </si>
  <si>
    <t>305l.9</t>
  </si>
  <si>
    <t>305m.9</t>
  </si>
  <si>
    <t>305i.10</t>
  </si>
  <si>
    <t>305j.10</t>
  </si>
  <si>
    <t>305k.10</t>
  </si>
  <si>
    <t>305l.10</t>
  </si>
  <si>
    <t>305m.10</t>
  </si>
  <si>
    <t>305i.11</t>
  </si>
  <si>
    <t>305j.11</t>
  </si>
  <si>
    <t>305k.11</t>
  </si>
  <si>
    <t>305l.11</t>
  </si>
  <si>
    <t>305m.11</t>
  </si>
  <si>
    <t>305i.12</t>
  </si>
  <si>
    <t>305j.12</t>
  </si>
  <si>
    <t>305k.12</t>
  </si>
  <si>
    <t>305l.12</t>
  </si>
  <si>
    <t>305m.12</t>
  </si>
  <si>
    <t>305i.13</t>
  </si>
  <si>
    <t>305j.13</t>
  </si>
  <si>
    <t>305k.13</t>
  </si>
  <si>
    <t>305l.13</t>
  </si>
  <si>
    <t>305m.13</t>
  </si>
  <si>
    <t>305i.14</t>
  </si>
  <si>
    <t>305j.14</t>
  </si>
  <si>
    <t>305k.14</t>
  </si>
  <si>
    <t>305l.14</t>
  </si>
  <si>
    <t>305m.14</t>
  </si>
  <si>
    <t>305i.15</t>
  </si>
  <si>
    <t>305j.15</t>
  </si>
  <si>
    <t>305k.15</t>
  </si>
  <si>
    <t>305l.15</t>
  </si>
  <si>
    <t>305m.15</t>
  </si>
  <si>
    <t>305o</t>
  </si>
  <si>
    <t>305p</t>
  </si>
  <si>
    <t>305q</t>
  </si>
  <si>
    <t>305r</t>
  </si>
  <si>
    <t>305s</t>
  </si>
  <si>
    <t>305t</t>
  </si>
  <si>
    <t>305u</t>
  </si>
  <si>
    <t>305v</t>
  </si>
  <si>
    <t>305w</t>
  </si>
  <si>
    <t>305x</t>
  </si>
  <si>
    <t>305y</t>
  </si>
  <si>
    <t>305z</t>
  </si>
  <si>
    <t>305aa</t>
  </si>
  <si>
    <t>305ab</t>
  </si>
  <si>
    <t>305ac</t>
  </si>
  <si>
    <t>305ad</t>
  </si>
  <si>
    <t>305ae</t>
  </si>
  <si>
    <t>Lisbon</t>
  </si>
  <si>
    <t>Leiria</t>
  </si>
  <si>
    <t>Setubal</t>
  </si>
  <si>
    <t>Beja</t>
  </si>
  <si>
    <t>Faro</t>
  </si>
  <si>
    <t>Evora</t>
  </si>
  <si>
    <t>Portalegre</t>
  </si>
  <si>
    <t>Castelo Branco</t>
  </si>
  <si>
    <t>Guarda</t>
  </si>
  <si>
    <t>Coimbra</t>
  </si>
  <si>
    <t>Aveiro</t>
  </si>
  <si>
    <t>Viseu</t>
  </si>
  <si>
    <t>Braganca</t>
  </si>
  <si>
    <t xml:space="preserve">Vila Real </t>
  </si>
  <si>
    <t>Porto</t>
  </si>
  <si>
    <t>Viana de Castelo</t>
  </si>
  <si>
    <t>Braga</t>
  </si>
  <si>
    <t>305n.1</t>
  </si>
  <si>
    <t>305o.1</t>
  </si>
  <si>
    <t>305p.1</t>
  </si>
  <si>
    <t>305q.1</t>
  </si>
  <si>
    <t>305r.1</t>
  </si>
  <si>
    <t>305s.1</t>
  </si>
  <si>
    <t>305t.1</t>
  </si>
  <si>
    <t>305u.1</t>
  </si>
  <si>
    <t>305v.1</t>
  </si>
  <si>
    <t>305w.1</t>
  </si>
  <si>
    <t>305x.1</t>
  </si>
  <si>
    <t>305y.1</t>
  </si>
  <si>
    <t>305z.1</t>
  </si>
  <si>
    <t>305aa.1</t>
  </si>
  <si>
    <t>305ab.1</t>
  </si>
  <si>
    <t>305ac.1</t>
  </si>
  <si>
    <t>305ad.1</t>
  </si>
  <si>
    <t>305ae.1</t>
  </si>
  <si>
    <t>305n.2</t>
  </si>
  <si>
    <t>305o.2</t>
  </si>
  <si>
    <t>305p.2</t>
  </si>
  <si>
    <t>305q.2</t>
  </si>
  <si>
    <t>305r.2</t>
  </si>
  <si>
    <t>305s.2</t>
  </si>
  <si>
    <t>305t.2</t>
  </si>
  <si>
    <t>305u.2</t>
  </si>
  <si>
    <t>305v.2</t>
  </si>
  <si>
    <t>305w.2</t>
  </si>
  <si>
    <t>305x.2</t>
  </si>
  <si>
    <t>305y.2</t>
  </si>
  <si>
    <t>305z.2</t>
  </si>
  <si>
    <t>305aa.2</t>
  </si>
  <si>
    <t>305ab.2</t>
  </si>
  <si>
    <t>305ac.2</t>
  </si>
  <si>
    <t>305ad.2</t>
  </si>
  <si>
    <t>305ae.2</t>
  </si>
  <si>
    <t>305n.3</t>
  </si>
  <si>
    <t>305o.3</t>
  </si>
  <si>
    <t>305p.3</t>
  </si>
  <si>
    <t>305q.3</t>
  </si>
  <si>
    <t>305r.3</t>
  </si>
  <si>
    <t>305s.3</t>
  </si>
  <si>
    <t>305t.3</t>
  </si>
  <si>
    <t>305u.3</t>
  </si>
  <si>
    <t>305v.3</t>
  </si>
  <si>
    <t>305w.3</t>
  </si>
  <si>
    <t>305x.3</t>
  </si>
  <si>
    <t>305y.3</t>
  </si>
  <si>
    <t>305z.3</t>
  </si>
  <si>
    <t>305aa.3</t>
  </si>
  <si>
    <t>305ab.3</t>
  </si>
  <si>
    <t>305ac.3</t>
  </si>
  <si>
    <t>305ad.3</t>
  </si>
  <si>
    <t>305n.4</t>
  </si>
  <si>
    <t>305o.4</t>
  </si>
  <si>
    <t>305p.4</t>
  </si>
  <si>
    <t>305q.4</t>
  </si>
  <si>
    <t>305r.4</t>
  </si>
  <si>
    <t>305s.4</t>
  </si>
  <si>
    <t>305t.4</t>
  </si>
  <si>
    <t>305u.4</t>
  </si>
  <si>
    <t>305v.4</t>
  </si>
  <si>
    <t>305w.4</t>
  </si>
  <si>
    <t>305x.4</t>
  </si>
  <si>
    <t>305y.4</t>
  </si>
  <si>
    <t>305z.4</t>
  </si>
  <si>
    <t>305aa.4</t>
  </si>
  <si>
    <t>305ab.4</t>
  </si>
  <si>
    <t>305ac.4</t>
  </si>
  <si>
    <t>305ad.4</t>
  </si>
  <si>
    <t>305n.5</t>
  </si>
  <si>
    <t>305ae.3</t>
  </si>
  <si>
    <t>305ae.4</t>
  </si>
  <si>
    <t>305o.5</t>
  </si>
  <si>
    <t>305p.5</t>
  </si>
  <si>
    <t>305q.5</t>
  </si>
  <si>
    <t>305r.5</t>
  </si>
  <si>
    <t>305s.5</t>
  </si>
  <si>
    <t>305t.5</t>
  </si>
  <si>
    <t>305u.5</t>
  </si>
  <si>
    <t>305v.5</t>
  </si>
  <si>
    <t>305w.5</t>
  </si>
  <si>
    <t>305x.5</t>
  </si>
  <si>
    <t>305y.5</t>
  </si>
  <si>
    <t>305z.5</t>
  </si>
  <si>
    <t>305aa.5</t>
  </si>
  <si>
    <t>305ab.5</t>
  </si>
  <si>
    <t>305ac.5</t>
  </si>
  <si>
    <t>305ad.5</t>
  </si>
  <si>
    <t>305ae.5</t>
  </si>
  <si>
    <t>305n.6</t>
  </si>
  <si>
    <t>305o.6</t>
  </si>
  <si>
    <t>305p.6</t>
  </si>
  <si>
    <t>305q.6</t>
  </si>
  <si>
    <t>305r.6</t>
  </si>
  <si>
    <t>305s.6</t>
  </si>
  <si>
    <t>305t.6</t>
  </si>
  <si>
    <t>305u.6</t>
  </si>
  <si>
    <t>305v.6</t>
  </si>
  <si>
    <t>305w.6</t>
  </si>
  <si>
    <t>305x.6</t>
  </si>
  <si>
    <t>305y.6</t>
  </si>
  <si>
    <t>305z.6</t>
  </si>
  <si>
    <t>305aa.6</t>
  </si>
  <si>
    <t>305ab.6</t>
  </si>
  <si>
    <t>305ac.6</t>
  </si>
  <si>
    <t>305ad.6</t>
  </si>
  <si>
    <t>305ae.6</t>
  </si>
  <si>
    <t>305n.7</t>
  </si>
  <si>
    <t>305o.7</t>
  </si>
  <si>
    <t>305p.7</t>
  </si>
  <si>
    <t>305q.7</t>
  </si>
  <si>
    <t>305r.7</t>
  </si>
  <si>
    <t>305s.7</t>
  </si>
  <si>
    <t>305t.7</t>
  </si>
  <si>
    <t>305u.7</t>
  </si>
  <si>
    <t>305v.7</t>
  </si>
  <si>
    <t>305w.7</t>
  </si>
  <si>
    <t>305x.7</t>
  </si>
  <si>
    <t>305y.7</t>
  </si>
  <si>
    <t>305z.7</t>
  </si>
  <si>
    <t>305aa.7</t>
  </si>
  <si>
    <t>305ab.7</t>
  </si>
  <si>
    <t>305ac.7</t>
  </si>
  <si>
    <t>305ad.7</t>
  </si>
  <si>
    <t>305ae.7</t>
  </si>
  <si>
    <t>305n.8</t>
  </si>
  <si>
    <t>305o.8</t>
  </si>
  <si>
    <t>305p.8</t>
  </si>
  <si>
    <t>305q.8</t>
  </si>
  <si>
    <t>305r.8</t>
  </si>
  <si>
    <t>305s.8</t>
  </si>
  <si>
    <t>305t.8</t>
  </si>
  <si>
    <t>305u.8</t>
  </si>
  <si>
    <t>305v.8</t>
  </si>
  <si>
    <t>305w.8</t>
  </si>
  <si>
    <t>305x.8</t>
  </si>
  <si>
    <t>305y.8</t>
  </si>
  <si>
    <t>305z.8</t>
  </si>
  <si>
    <t>305aa.8</t>
  </si>
  <si>
    <t>305ab.8</t>
  </si>
  <si>
    <t>305ac.8</t>
  </si>
  <si>
    <t>305ad.8</t>
  </si>
  <si>
    <t>305ae.8</t>
  </si>
  <si>
    <t>305n.9</t>
  </si>
  <si>
    <t>305o.9</t>
  </si>
  <si>
    <t>305p.9</t>
  </si>
  <si>
    <t>305q.9</t>
  </si>
  <si>
    <t>305r.9</t>
  </si>
  <si>
    <t>305s.9</t>
  </si>
  <si>
    <t>305t.9</t>
  </si>
  <si>
    <t>305u.9</t>
  </si>
  <si>
    <t>305v.9</t>
  </si>
  <si>
    <t>305w.9</t>
  </si>
  <si>
    <t>305x.9</t>
  </si>
  <si>
    <t>305y.9</t>
  </si>
  <si>
    <t>305z.9</t>
  </si>
  <si>
    <t>305aa.9</t>
  </si>
  <si>
    <t>305ab.9</t>
  </si>
  <si>
    <t>305ac.9</t>
  </si>
  <si>
    <t>305ad.9</t>
  </si>
  <si>
    <t>305ae.9</t>
  </si>
  <si>
    <t>305n.10</t>
  </si>
  <si>
    <t>305o.10</t>
  </si>
  <si>
    <t>305p.10</t>
  </si>
  <si>
    <t>305q.10</t>
  </si>
  <si>
    <t>305r.10</t>
  </si>
  <si>
    <t>305s.10</t>
  </si>
  <si>
    <t>305t.10</t>
  </si>
  <si>
    <t>305u.10</t>
  </si>
  <si>
    <t>305v.10</t>
  </si>
  <si>
    <t>305w.10</t>
  </si>
  <si>
    <t>305x.10</t>
  </si>
  <si>
    <t>305y.10</t>
  </si>
  <si>
    <t>305z.10</t>
  </si>
  <si>
    <t>305aa.10</t>
  </si>
  <si>
    <t>305ab.10</t>
  </si>
  <si>
    <t>305ac.10</t>
  </si>
  <si>
    <t>305ad.10</t>
  </si>
  <si>
    <t>305ae.10</t>
  </si>
  <si>
    <t>306af</t>
  </si>
  <si>
    <t>305af</t>
  </si>
  <si>
    <t>305af.1</t>
  </si>
  <si>
    <t>305af.2</t>
  </si>
  <si>
    <t>305af.3</t>
  </si>
  <si>
    <t>305af.4</t>
  </si>
  <si>
    <t>305af.5</t>
  </si>
  <si>
    <t>305af.6</t>
  </si>
  <si>
    <t>305af.7</t>
  </si>
  <si>
    <t>305af.8</t>
  </si>
  <si>
    <t>305af.9</t>
  </si>
  <si>
    <t>305af.10</t>
  </si>
  <si>
    <t>305af.11</t>
  </si>
  <si>
    <t>305af.12</t>
  </si>
  <si>
    <t>305af.13</t>
  </si>
  <si>
    <t>305af.14</t>
  </si>
  <si>
    <t>305af.15</t>
  </si>
  <si>
    <t>305af.16</t>
  </si>
  <si>
    <t>305af.17</t>
  </si>
  <si>
    <t>305af.18</t>
  </si>
  <si>
    <t>Personal communication from expert</t>
  </si>
  <si>
    <t>306ag</t>
  </si>
  <si>
    <t>306ag.1</t>
  </si>
  <si>
    <t>305ag</t>
  </si>
  <si>
    <t>305ag.1</t>
  </si>
  <si>
    <t>305af.19</t>
  </si>
  <si>
    <t>305ah</t>
  </si>
  <si>
    <t>305ai</t>
  </si>
  <si>
    <t>305ah.1</t>
  </si>
  <si>
    <t>305ai.1</t>
  </si>
  <si>
    <t>305ai.2</t>
  </si>
  <si>
    <t>Location is approximate centre of prescribed burning activity</t>
  </si>
  <si>
    <t>305ah.2</t>
  </si>
  <si>
    <t>305af.20</t>
  </si>
  <si>
    <t>"Winter to spring"</t>
  </si>
  <si>
    <t>"Essentially from October to May, and mostly in February-April"</t>
  </si>
  <si>
    <t>Operations were "Strongly concentrated" in February and March</t>
  </si>
  <si>
    <t>305ag.2</t>
  </si>
  <si>
    <t>Small-scale prescribed burning programme</t>
  </si>
  <si>
    <t>Widespread prescribed burning</t>
  </si>
  <si>
    <t>Advanced weather monitoring; modelling of fire behaviour, strategic planning; empirical analysis of fuel moisture</t>
  </si>
  <si>
    <t>Overview of government led prescribed burning; principal actors were fire fighting teams, but burn crews were of "variable origin"</t>
  </si>
  <si>
    <t>305ah.3</t>
  </si>
  <si>
    <t>305ah.4</t>
  </si>
  <si>
    <t>Incentives to support prescribed burning were introduced following bad 2003 / 2005 fire seasons</t>
  </si>
  <si>
    <t>Fire use was regulated by a patchwork of regional laws</t>
  </si>
  <si>
    <t>Fire use was regulated by Catalonian regulations</t>
  </si>
  <si>
    <t>Fire use was regulated by national laws</t>
  </si>
  <si>
    <t>Fire "Regulated for agricultural, grazing and
silvicultural uses"</t>
  </si>
  <si>
    <t>Barrett 2016</t>
  </si>
  <si>
    <t>306a</t>
  </si>
  <si>
    <t>306b</t>
  </si>
  <si>
    <t>306c</t>
  </si>
  <si>
    <t>306d</t>
  </si>
  <si>
    <t>306e</t>
  </si>
  <si>
    <t>306f</t>
  </si>
  <si>
    <t>306g</t>
  </si>
  <si>
    <t>306h</t>
  </si>
  <si>
    <t>306i</t>
  </si>
  <si>
    <t>306j</t>
  </si>
  <si>
    <t>306k</t>
  </si>
  <si>
    <t>306l</t>
  </si>
  <si>
    <t>306m</t>
  </si>
  <si>
    <t>306n</t>
  </si>
  <si>
    <t>306o</t>
  </si>
  <si>
    <t>306p</t>
  </si>
  <si>
    <t>306q</t>
  </si>
  <si>
    <t>306r</t>
  </si>
  <si>
    <t>306s</t>
  </si>
  <si>
    <t>306t</t>
  </si>
  <si>
    <t>306u</t>
  </si>
  <si>
    <t>306v</t>
  </si>
  <si>
    <t>306w</t>
  </si>
  <si>
    <t>306x</t>
  </si>
  <si>
    <t>306y</t>
  </si>
  <si>
    <t>306z</t>
  </si>
  <si>
    <t>306aa</t>
  </si>
  <si>
    <t>306ab</t>
  </si>
  <si>
    <t>306ac</t>
  </si>
  <si>
    <t>306ad</t>
  </si>
  <si>
    <t>306ae</t>
  </si>
  <si>
    <t>306ah</t>
  </si>
  <si>
    <t>306ai</t>
  </si>
  <si>
    <t>306aj</t>
  </si>
  <si>
    <t>306ak</t>
  </si>
  <si>
    <t>306al</t>
  </si>
  <si>
    <t>306am</t>
  </si>
  <si>
    <t>306an</t>
  </si>
  <si>
    <t>306ao</t>
  </si>
  <si>
    <t>306ap</t>
  </si>
  <si>
    <t>306aq</t>
  </si>
  <si>
    <t>306ar</t>
  </si>
  <si>
    <t>306as</t>
  </si>
  <si>
    <t>306at</t>
  </si>
  <si>
    <t>306au</t>
  </si>
  <si>
    <t>306av</t>
  </si>
  <si>
    <t>306aw</t>
  </si>
  <si>
    <t>306ax</t>
  </si>
  <si>
    <t>306ay</t>
  </si>
  <si>
    <t>306az</t>
  </si>
  <si>
    <t>Northern Cascades</t>
  </si>
  <si>
    <t>Oregon Coastal Range</t>
  </si>
  <si>
    <t>Northern California Coastal Range</t>
  </si>
  <si>
    <t>Southern California Coastal Range</t>
  </si>
  <si>
    <t>California Central Valley</t>
  </si>
  <si>
    <t>Sierra Nevada Mountain Range</t>
  </si>
  <si>
    <t>Cascade Mountain Range</t>
  </si>
  <si>
    <t>Grande Coulee Basin of the Columbia Plateau</t>
  </si>
  <si>
    <t>Blue Mountain Region of the Columbia Plateau</t>
  </si>
  <si>
    <t>Northwestern Rocky Mountains</t>
  </si>
  <si>
    <t>Western Great Basin</t>
  </si>
  <si>
    <t>Death Valley Basin</t>
  </si>
  <si>
    <t>Sonoran Desert</t>
  </si>
  <si>
    <t>Mogollon Rim</t>
  </si>
  <si>
    <t>Utah High Plateaus</t>
  </si>
  <si>
    <t>Eastern Great Basin</t>
  </si>
  <si>
    <t>Snake River Plain</t>
  </si>
  <si>
    <t>Northern Rocky Mountains</t>
  </si>
  <si>
    <t>Missouri River Plateau</t>
  </si>
  <si>
    <t>Middle Rocky Mountains</t>
  </si>
  <si>
    <t>Wyoming Basin</t>
  </si>
  <si>
    <t>Colorado Plateau</t>
  </si>
  <si>
    <t>Navajo Plateau</t>
  </si>
  <si>
    <t>Rio Grande Basin</t>
  </si>
  <si>
    <t>Chihuahuan Desert</t>
  </si>
  <si>
    <t>Great Plains Tablelands</t>
  </si>
  <si>
    <t>Southern Rocky Mountains</t>
  </si>
  <si>
    <t>Wyoming Highlands</t>
  </si>
  <si>
    <t>Northwestern Great Plains</t>
  </si>
  <si>
    <t>Sandhills</t>
  </si>
  <si>
    <t>Southeastern Great Plains</t>
  </si>
  <si>
    <t>Western Great Plains</t>
  </si>
  <si>
    <t>Southern Great Plains</t>
  </si>
  <si>
    <t>Edwards Plateau</t>
  </si>
  <si>
    <t>Western Gulf Plains</t>
  </si>
  <si>
    <t>Ouachita Hills</t>
  </si>
  <si>
    <t>Eastern Great Plains</t>
  </si>
  <si>
    <t>Prarie Coteau Lands</t>
  </si>
  <si>
    <t>Northern Great Plains</t>
  </si>
  <si>
    <t>Northern Lake Country</t>
  </si>
  <si>
    <t>Western Till Plains</t>
  </si>
  <si>
    <t>Till Plains</t>
  </si>
  <si>
    <t>Ozark Highlands</t>
  </si>
  <si>
    <t>Mississippi Alluvial Plains</t>
  </si>
  <si>
    <t>Gulf Plains</t>
  </si>
  <si>
    <t>Appalachia Bluegrass Hills</t>
  </si>
  <si>
    <t>Cumberland Highlands</t>
  </si>
  <si>
    <t>Central Till Plains</t>
  </si>
  <si>
    <t>Central Great Lakes Uplands</t>
  </si>
  <si>
    <t>Great Lakes Plains</t>
  </si>
  <si>
    <t>Eastern Till Plains</t>
  </si>
  <si>
    <t>Appallachia</t>
  </si>
  <si>
    <t>Southern Piedmont</t>
  </si>
  <si>
    <t>Southeastern Coastal Plains</t>
  </si>
  <si>
    <t>Floridian Coastal Plain</t>
  </si>
  <si>
    <t>Southern Appalachia</t>
  </si>
  <si>
    <t>Eastern Coastal Plain</t>
  </si>
  <si>
    <t>Northeastern Piedmont</t>
  </si>
  <si>
    <t>Chesapeake Bay</t>
  </si>
  <si>
    <t>Northern Appalachia</t>
  </si>
  <si>
    <t>Allegheny Plateau</t>
  </si>
  <si>
    <t>Finger Lakes</t>
  </si>
  <si>
    <t>Northeastern Highlands</t>
  </si>
  <si>
    <t>Connecticut River Basin and Highlands</t>
  </si>
  <si>
    <t>The North Woods</t>
  </si>
  <si>
    <t>Mississippi Delta</t>
  </si>
  <si>
    <t>Coastal Gulf Plains</t>
  </si>
  <si>
    <t>306ba</t>
  </si>
  <si>
    <t>306bb</t>
  </si>
  <si>
    <t>306bc</t>
  </si>
  <si>
    <t>306bd</t>
  </si>
  <si>
    <t>306be</t>
  </si>
  <si>
    <t>306bf</t>
  </si>
  <si>
    <t>306bg</t>
  </si>
  <si>
    <t>306bi</t>
  </si>
  <si>
    <t>306bj</t>
  </si>
  <si>
    <t>306bk</t>
  </si>
  <si>
    <t>306bl</t>
  </si>
  <si>
    <t>306bm</t>
  </si>
  <si>
    <t>306bn</t>
  </si>
  <si>
    <t>306bo</t>
  </si>
  <si>
    <t>306bp</t>
  </si>
  <si>
    <t>Study excludes 2.5km 'WUI' buffer around urban areas; only considers fuel treatments on federal lands</t>
  </si>
  <si>
    <t>Study only covers federal lands</t>
  </si>
  <si>
    <t>CONUS</t>
  </si>
  <si>
    <t>Study only covers federal lands; extractive forestry was mechanical thinning and biomass removal</t>
  </si>
  <si>
    <t>306a.1</t>
  </si>
  <si>
    <t>306a.2</t>
  </si>
  <si>
    <t>Prescribed fire only</t>
  </si>
  <si>
    <t>Mechanical thinning and burning</t>
  </si>
  <si>
    <t>Fire return assumes frequency is broadly similar across treatment types (incl. fire)</t>
  </si>
  <si>
    <t>Prescribed fire only; prescribed fire frequency increased with greater risk of wildfires</t>
  </si>
  <si>
    <t>306b.1</t>
  </si>
  <si>
    <t>306c.1</t>
  </si>
  <si>
    <t>306d.1</t>
  </si>
  <si>
    <t>306e.1</t>
  </si>
  <si>
    <t>306f.1</t>
  </si>
  <si>
    <t>306g.1</t>
  </si>
  <si>
    <t>306h.1</t>
  </si>
  <si>
    <t>306i.1</t>
  </si>
  <si>
    <t>306j.1</t>
  </si>
  <si>
    <t>306k.1</t>
  </si>
  <si>
    <t>306l.1</t>
  </si>
  <si>
    <t>306m.1</t>
  </si>
  <si>
    <t>306n.1</t>
  </si>
  <si>
    <t>306o.1</t>
  </si>
  <si>
    <t>306p.1</t>
  </si>
  <si>
    <t>306q.1</t>
  </si>
  <si>
    <t>306r.1</t>
  </si>
  <si>
    <t>306s.1</t>
  </si>
  <si>
    <t>306t.1</t>
  </si>
  <si>
    <t>306u.1</t>
  </si>
  <si>
    <t>306v.1</t>
  </si>
  <si>
    <t>306w.1</t>
  </si>
  <si>
    <t>306x.1</t>
  </si>
  <si>
    <t>306y.1</t>
  </si>
  <si>
    <t>306z.1</t>
  </si>
  <si>
    <t>306aa.1</t>
  </si>
  <si>
    <t>306ab.1</t>
  </si>
  <si>
    <t>306ac.1</t>
  </si>
  <si>
    <t>306ad.1</t>
  </si>
  <si>
    <t>306ae.1</t>
  </si>
  <si>
    <t>306af.1</t>
  </si>
  <si>
    <t>306ah.1</t>
  </si>
  <si>
    <t>306ai.1</t>
  </si>
  <si>
    <t>306aj.1</t>
  </si>
  <si>
    <t>306ak.1</t>
  </si>
  <si>
    <t>306al.1</t>
  </si>
  <si>
    <t>306am.1</t>
  </si>
  <si>
    <t>306an.1</t>
  </si>
  <si>
    <t>306ao.1</t>
  </si>
  <si>
    <t>306ap.1</t>
  </si>
  <si>
    <t>306aq.1</t>
  </si>
  <si>
    <t>306ar.1</t>
  </si>
  <si>
    <t>306as.1</t>
  </si>
  <si>
    <t>306at.1</t>
  </si>
  <si>
    <t>306au.1</t>
  </si>
  <si>
    <t>306av.1</t>
  </si>
  <si>
    <t>306aw.1</t>
  </si>
  <si>
    <t>306ax.1</t>
  </si>
  <si>
    <t>306ay.1</t>
  </si>
  <si>
    <t>306az.1</t>
  </si>
  <si>
    <t>306ba.1</t>
  </si>
  <si>
    <t>306bb.1</t>
  </si>
  <si>
    <t>306bc.1</t>
  </si>
  <si>
    <t>306bd.1</t>
  </si>
  <si>
    <t>306be.1</t>
  </si>
  <si>
    <t>306bf.1</t>
  </si>
  <si>
    <t>306bg.1</t>
  </si>
  <si>
    <t>306bi.1</t>
  </si>
  <si>
    <t>306bj.1</t>
  </si>
  <si>
    <t>306bk.1</t>
  </si>
  <si>
    <t>306bl.1</t>
  </si>
  <si>
    <t>306bm.1</t>
  </si>
  <si>
    <t>306bn.1</t>
  </si>
  <si>
    <t>306bo.1</t>
  </si>
  <si>
    <t>306bp.1</t>
  </si>
  <si>
    <t>Based on estimated proportion of land with fuel treatment (0 = 0, 0-0.1% = 1, 0.1%-1 = 2, &gt;1% = 3)</t>
  </si>
  <si>
    <t>Rydkvist 2010 in Montiel 2010</t>
  </si>
  <si>
    <t>307a</t>
  </si>
  <si>
    <t>Vasternorrland</t>
  </si>
  <si>
    <t>Stormyran-Lommyran Nature Reserve</t>
  </si>
  <si>
    <t>307b</t>
  </si>
  <si>
    <t>289a.3</t>
  </si>
  <si>
    <t>289b.3</t>
  </si>
  <si>
    <t xml:space="preserve">Estimate based on figure of 75% of fires in 1998 that were contained at &lt;2ha. These are not included in the 'escaped' numbers. </t>
  </si>
  <si>
    <t>All fires</t>
  </si>
  <si>
    <t>Study area is exclusively forest</t>
  </si>
  <si>
    <t>Actual BA is 6.6% of 2500000 (mean annual proportion); fire return from fuel age classes</t>
  </si>
  <si>
    <t>Prescribed burning in action; however, authors suggest an increased annual target, and recognise constraints on burning from population, air quality and WUI</t>
  </si>
  <si>
    <t>Air quality concerns were cited as restricting burned area targets</t>
  </si>
  <si>
    <t>Growth of urban population had restricted prescribed burning programme</t>
  </si>
  <si>
    <t>Limited ("experimental") prescription burns</t>
  </si>
  <si>
    <t>Not sure about these numbers? If &gt;=75% of fires were kept to 2ha, is that really a 1?</t>
  </si>
  <si>
    <t xml:space="preserve">Intended burn area is percent of plots burnt; fire size from plot size </t>
  </si>
  <si>
    <t>Rice dominates the cropping pattern during the monsoon season; assumes non-mechanized (subsistence) farming does not substantially contribute to residue burning</t>
  </si>
  <si>
    <t>Wheat dominates the cropping pattern in winter; assumes non-mechanized (subsistence) farming does not substantially contribute to residue burning</t>
  </si>
  <si>
    <t>Basmati dominates the cropping pattern during the monsoon season; assumes non-mechanized (subsistence) farming does not substantially contribute to residue burning</t>
  </si>
  <si>
    <t>Non-rice dominates the cropping pattern during the monsoon season; assumes non-mechanized (subsistence) farming does not substantially contribute to residue burning</t>
  </si>
  <si>
    <t>Sorrensen 2000</t>
  </si>
  <si>
    <t>308a</t>
  </si>
  <si>
    <t>Belterra</t>
  </si>
  <si>
    <t>308a.1</t>
  </si>
  <si>
    <t>308a.2</t>
  </si>
  <si>
    <t>308a.3</t>
  </si>
  <si>
    <t>308a.4</t>
  </si>
  <si>
    <t>308a.5</t>
  </si>
  <si>
    <t>308a.6</t>
  </si>
  <si>
    <t>308a.7</t>
  </si>
  <si>
    <t>308a.8</t>
  </si>
  <si>
    <t>25% of farmers took precautionary measures; these were mostly used where fields neighboured villages, or other crops and pasture. Measures included group burning, weather monitoring, and creation of fire breaks.</t>
  </si>
  <si>
    <t>Study also gives #burned plots per household</t>
  </si>
  <si>
    <t>Hostede 1995</t>
  </si>
  <si>
    <t>309a</t>
  </si>
  <si>
    <t>Parque Nacional Natural de los Nevados</t>
  </si>
  <si>
    <t>Central Cordillera</t>
  </si>
  <si>
    <t>Dates from Hofstede 1995b</t>
  </si>
  <si>
    <t>309a.1</t>
  </si>
  <si>
    <t>309a.2</t>
  </si>
  <si>
    <t>Grazing density and fire frequency were highly correlated; extensive ranching assumed to be higher intensity than migratory pastoralism</t>
  </si>
  <si>
    <t>Grazing density and fire frequency were highly correlated; migratory pastoralism assumed to be lower intensity than sedentary ranching</t>
  </si>
  <si>
    <t>Fire size from patch size</t>
  </si>
  <si>
    <t>310a</t>
  </si>
  <si>
    <t>Kitzberger 2005</t>
  </si>
  <si>
    <t>Nauhel Huapi National Park</t>
  </si>
  <si>
    <t>310a.1</t>
  </si>
  <si>
    <t>310a.2</t>
  </si>
  <si>
    <t>Chall Huaco Valley</t>
  </si>
  <si>
    <t>310b</t>
  </si>
  <si>
    <t>West Traful</t>
  </si>
  <si>
    <t>310b.1</t>
  </si>
  <si>
    <t xml:space="preserve">Fire exclusion and suppression policy </t>
  </si>
  <si>
    <t>Fire exclusion policy within the national park</t>
  </si>
  <si>
    <t>Little 2015</t>
  </si>
  <si>
    <t>311a</t>
  </si>
  <si>
    <t>Lydenburg Montane Grassland</t>
  </si>
  <si>
    <t>Dullstroom</t>
  </si>
  <si>
    <t>311b</t>
  </si>
  <si>
    <t>311c</t>
  </si>
  <si>
    <t>311d</t>
  </si>
  <si>
    <t>311e</t>
  </si>
  <si>
    <t>311f</t>
  </si>
  <si>
    <t>311g</t>
  </si>
  <si>
    <t>311h</t>
  </si>
  <si>
    <t>Verloren Valei Nature Reserve</t>
  </si>
  <si>
    <t>311a.1</t>
  </si>
  <si>
    <t>311b.1</t>
  </si>
  <si>
    <t>311c.1</t>
  </si>
  <si>
    <t>311d.1</t>
  </si>
  <si>
    <t>311e.1</t>
  </si>
  <si>
    <t>311f.1</t>
  </si>
  <si>
    <t>311g.1</t>
  </si>
  <si>
    <t>311h.1</t>
  </si>
  <si>
    <t>Burning immediately after first spring rains</t>
  </si>
  <si>
    <t>Block burning on a biennial basis</t>
  </si>
  <si>
    <t>Frequent burning and high stocking rates</t>
  </si>
  <si>
    <t>Very high stocking rates - as a consequence fire was not used as a management tool</t>
  </si>
  <si>
    <t>312a</t>
  </si>
  <si>
    <t>Kalakad-Mundanthurai Tiger Reserve</t>
  </si>
  <si>
    <t>Mundanthurai plateau</t>
  </si>
  <si>
    <t>Sankaran 2005</t>
  </si>
  <si>
    <t>312a.1</t>
  </si>
  <si>
    <t>312a.2</t>
  </si>
  <si>
    <t>312a.3</t>
  </si>
  <si>
    <t>312a.4</t>
  </si>
  <si>
    <t>Fire exclusion policy within the national park; enforcement was strongest in areas with most active biodiversity management from park rangers</t>
  </si>
  <si>
    <t>313a</t>
  </si>
  <si>
    <t>313b</t>
  </si>
  <si>
    <t>313c</t>
  </si>
  <si>
    <t>313d</t>
  </si>
  <si>
    <t>313e</t>
  </si>
  <si>
    <t>Pavleichik 2017</t>
  </si>
  <si>
    <t>Ukraine</t>
  </si>
  <si>
    <t>313f</t>
  </si>
  <si>
    <t>313g</t>
  </si>
  <si>
    <t>313h</t>
  </si>
  <si>
    <t>313i</t>
  </si>
  <si>
    <t>313j</t>
  </si>
  <si>
    <t>Talovskoi</t>
  </si>
  <si>
    <t>Burtinskii</t>
  </si>
  <si>
    <t>Ashchisaiskii</t>
  </si>
  <si>
    <t>Aituarskii</t>
  </si>
  <si>
    <t>Predural'skii</t>
  </si>
  <si>
    <t>Transvolga</t>
  </si>
  <si>
    <t>Assumes given number for all cultivated lands includes roughly 50% pasture and cropland; both systems are prominent in the authors' description of land use</t>
  </si>
  <si>
    <t>313a.1</t>
  </si>
  <si>
    <t>313a.2</t>
  </si>
  <si>
    <t>313a.3</t>
  </si>
  <si>
    <t>313a.4</t>
  </si>
  <si>
    <t>313a.5</t>
  </si>
  <si>
    <t>313b.1</t>
  </si>
  <si>
    <t>313b.2</t>
  </si>
  <si>
    <t>313b.3</t>
  </si>
  <si>
    <t>313b.4</t>
  </si>
  <si>
    <t>313b.5</t>
  </si>
  <si>
    <t>Fire return breakdown for whole study area is given; burned area is calculated from this</t>
  </si>
  <si>
    <t>313b.6</t>
  </si>
  <si>
    <t>313b.7</t>
  </si>
  <si>
    <t>313b.8</t>
  </si>
  <si>
    <t>313b.9</t>
  </si>
  <si>
    <t>313b.10</t>
  </si>
  <si>
    <t>Remote sensing data used as little to no field data available; Landsat combined with visual interpretation</t>
  </si>
  <si>
    <t>Dara 2019</t>
  </si>
  <si>
    <t>314a</t>
  </si>
  <si>
    <t>314b</t>
  </si>
  <si>
    <t>Northern Kazakhstan</t>
  </si>
  <si>
    <t>Kazhakhstan</t>
  </si>
  <si>
    <t>314b.1</t>
  </si>
  <si>
    <t>314b.2</t>
  </si>
  <si>
    <t>314b.3</t>
  </si>
  <si>
    <t>314a.1</t>
  </si>
  <si>
    <t>314a.2</t>
  </si>
  <si>
    <t>314b.4</t>
  </si>
  <si>
    <t>314b.5</t>
  </si>
  <si>
    <t>Grazing reduced burned area by as much as 50%</t>
  </si>
  <si>
    <t>Enforcement of anti-burning laws was particularly weak during the post-Soviet period</t>
  </si>
  <si>
    <t>Despite the ban, burning was still widespread</t>
  </si>
  <si>
    <t>Rowan 1994</t>
  </si>
  <si>
    <t>315a</t>
  </si>
  <si>
    <t>Texas</t>
  </si>
  <si>
    <t>Ranch size is median</t>
  </si>
  <si>
    <t>315a.1</t>
  </si>
  <si>
    <t>315a.2</t>
  </si>
  <si>
    <t>315a.3</t>
  </si>
  <si>
    <t>315a.4</t>
  </si>
  <si>
    <t>52% of farmers adopted prescribed burning, whilst 48% used none, and reported no plan to adopt it. The main concern was safety</t>
  </si>
  <si>
    <t>Schindler 2011</t>
  </si>
  <si>
    <t>316a</t>
  </si>
  <si>
    <t>Lake County</t>
  </si>
  <si>
    <t>Nevada</t>
  </si>
  <si>
    <t>Utah</t>
  </si>
  <si>
    <t>Elko County</t>
  </si>
  <si>
    <t>Millard County</t>
  </si>
  <si>
    <t>316b</t>
  </si>
  <si>
    <t>316c</t>
  </si>
  <si>
    <t>316a.1</t>
  </si>
  <si>
    <t>316b.1</t>
  </si>
  <si>
    <t>316c.1</t>
  </si>
  <si>
    <t xml:space="preserve">Author highlights litigation, protest and other channels through which the public can prevent unpopular management strategies </t>
  </si>
  <si>
    <t>Kyriazopoulos 2013</t>
  </si>
  <si>
    <t>317a</t>
  </si>
  <si>
    <t>Viotia prefecture</t>
  </si>
  <si>
    <t>317a.1</t>
  </si>
  <si>
    <t>317a.2</t>
  </si>
  <si>
    <t>Although illegal, the practice was still very widespread</t>
  </si>
  <si>
    <t>Suhs 2020</t>
  </si>
  <si>
    <t>318a</t>
  </si>
  <si>
    <t>318b</t>
  </si>
  <si>
    <t>Santa Catarina</t>
  </si>
  <si>
    <t>Sao Joaquim National Park</t>
  </si>
  <si>
    <t>318a.1</t>
  </si>
  <si>
    <t>318b.1</t>
  </si>
  <si>
    <t>Grazing and traditional fire use controlled occurrence of catastrophic wildfires</t>
  </si>
  <si>
    <t>Fire exclusion policies had led to a build up of fuel and catastrophic wildfires</t>
  </si>
  <si>
    <t>318a.2</t>
  </si>
  <si>
    <t>Bans inside protected areas were typicall enforced</t>
  </si>
  <si>
    <t>Welch 2014</t>
  </si>
  <si>
    <t>319a</t>
  </si>
  <si>
    <t>Xavante tribal lands</t>
  </si>
  <si>
    <t>Traditional forestry is principally hunting</t>
  </si>
  <si>
    <t>319a.1</t>
  </si>
  <si>
    <r>
      <t>Fire size estimated from description of an approx 150km</t>
    </r>
    <r>
      <rPr>
        <vertAlign val="superscript"/>
        <sz val="11"/>
        <color theme="1"/>
        <rFont val="Calibri"/>
        <family val="2"/>
        <scheme val="minor"/>
      </rPr>
      <t>2</t>
    </r>
    <r>
      <rPr>
        <sz val="11"/>
        <color theme="1"/>
        <rFont val="Calibri"/>
        <family val="2"/>
        <scheme val="minor"/>
      </rPr>
      <t xml:space="preserve"> circular fire, with patches of burned and unburned vegetation within the perimeter</t>
    </r>
  </si>
  <si>
    <t>Group burning, seasonal timing, choice of vegetation (not too dry)</t>
  </si>
  <si>
    <t>319a.2</t>
  </si>
  <si>
    <t>Twidwell 2013</t>
  </si>
  <si>
    <t>320a</t>
  </si>
  <si>
    <t>Nebraska</t>
  </si>
  <si>
    <t>320b</t>
  </si>
  <si>
    <t>320a.1</t>
  </si>
  <si>
    <t>320b.1</t>
  </si>
  <si>
    <t>Farmers within burn cooperatives had begun to reintroduce prescribed burns; howevver this practice was not more widely commonplace</t>
  </si>
  <si>
    <t>320a.2</t>
  </si>
  <si>
    <t>320b.2</t>
  </si>
  <si>
    <t>Wildland firefighting teams</t>
  </si>
  <si>
    <t>"The potential for firefighters to suppress wildfires has markedly declined throughout the Great Plains... Guidelines developed by the US Forest Service indicate that fire suppression is unlikely to be successful in the presence of wildland fuels when flame lengths are greater than 3.4 m (Andrews and Rothermel 1982). In areas of longterm juniper encroachment, fires have shifted from frequent, grass-driven surface fires... to
infrequent, juniper-driven crown fires that consistently exhibit extremely long flames"</t>
  </si>
  <si>
    <t>A strict framework of laws restricted the scope of prescribed burns - these ranged from outright bans on fires outside of burning cooperatives, to air quality legislation and other temporal restrictions</t>
  </si>
  <si>
    <t>320a.3</t>
  </si>
  <si>
    <t>320b.3</t>
  </si>
  <si>
    <t>320a.4</t>
  </si>
  <si>
    <t>320b.4</t>
  </si>
  <si>
    <t>Group burning, fire management training, monitoring of fires</t>
  </si>
  <si>
    <t>Oaklahoma</t>
  </si>
  <si>
    <t>Uhl 1987</t>
  </si>
  <si>
    <t>321a</t>
  </si>
  <si>
    <t>321a.1</t>
  </si>
  <si>
    <t>321a.2</t>
  </si>
  <si>
    <t>321a.3</t>
  </si>
  <si>
    <t>Logged forests surrounding cleared pastures were particularly susceptible to fire</t>
  </si>
  <si>
    <t>Incentives for economic development unintentionally, but directly, led to an increase in deforestation: " In summary, extensive pasture development occurred in Paragominas in response to government subsidies"
Law stated that 50% of a farmers' land must be natural forest; however this was rarely enforced</t>
  </si>
  <si>
    <t>Yoder 2004</t>
  </si>
  <si>
    <t>322a</t>
  </si>
  <si>
    <t>National policy overview</t>
  </si>
  <si>
    <t>322a.1</t>
  </si>
  <si>
    <t>322a.2</t>
  </si>
  <si>
    <t>The US forestry service and others conducted prescribed burns for conservation reasons</t>
  </si>
  <si>
    <t>Incentives were liability from damage due to escaped fires; bans and restrictions focused on licencing and air quality. Authors focus on liability as a key inhibitor of burning</t>
  </si>
  <si>
    <t>323a</t>
  </si>
  <si>
    <t>Paramo</t>
  </si>
  <si>
    <t>Bremer 2014</t>
  </si>
  <si>
    <t>323a.1</t>
  </si>
  <si>
    <t>323a.2</t>
  </si>
  <si>
    <t>Enrollment in PES scheme required cessation of agricultural burning (payment of 30$ per ha)</t>
  </si>
  <si>
    <t>Coughlan 2014</t>
  </si>
  <si>
    <t>324a</t>
  </si>
  <si>
    <t>324a.1</t>
  </si>
  <si>
    <t>System of permits for fire use; permits widely sought by local farmers</t>
  </si>
  <si>
    <t>324a.2</t>
  </si>
  <si>
    <t>Ignitions estimated from permit requests; fire size from patch sizes</t>
  </si>
  <si>
    <t>Sharma 2014</t>
  </si>
  <si>
    <t>325a</t>
  </si>
  <si>
    <t>Gorkha</t>
  </si>
  <si>
    <t>Kharibot Village</t>
  </si>
  <si>
    <t>325b</t>
  </si>
  <si>
    <t>1970 data from participant memory</t>
  </si>
  <si>
    <t>Livestock numbers decreased from 1970, but study area is not given</t>
  </si>
  <si>
    <t>325a.1</t>
  </si>
  <si>
    <t>325b.2</t>
  </si>
  <si>
    <t>325b.1</t>
  </si>
  <si>
    <t>325a.2</t>
  </si>
  <si>
    <t>Cattle were grazed at lower altitudes, where pastures were not burned</t>
  </si>
  <si>
    <t>Pastures for sheep were at higher altitudes and were burned to prevent shrub encroachment</t>
  </si>
  <si>
    <t>Onset of shrub encroachment at lower altitudes had led fire to be introduced; this was linked to abandonment</t>
  </si>
  <si>
    <t>326a</t>
  </si>
  <si>
    <t>326a.1</t>
  </si>
  <si>
    <t>Babai 2014</t>
  </si>
  <si>
    <t>Gyimes</t>
  </si>
  <si>
    <t>Romania</t>
  </si>
  <si>
    <t>Study date estimated from author description</t>
  </si>
  <si>
    <t>Preparation of hayfields for forage</t>
  </si>
  <si>
    <t>326a.2</t>
  </si>
  <si>
    <t>Removal of woody shrubs</t>
  </si>
  <si>
    <t>327a</t>
  </si>
  <si>
    <t>Vauda Nature Reserve</t>
  </si>
  <si>
    <t>Borghesio 2009</t>
  </si>
  <si>
    <t>Livestock principally semi-nomadic sheep and goat shepherds</t>
  </si>
  <si>
    <t>327a.1</t>
  </si>
  <si>
    <t>327a.2</t>
  </si>
  <si>
    <t>Four large fires (given as &gt;100ha) accounted for 57% of area burned. These are assumed to be escaped, with the remainder intentional</t>
  </si>
  <si>
    <t>Burning was illegal, and therefore conducted 'anonymously', this led to a frequent number of escaped wildfires</t>
  </si>
  <si>
    <t>Burning was widespread in spite of an official ban</t>
  </si>
  <si>
    <t>327a.3</t>
  </si>
  <si>
    <t>Lovreglio 2010</t>
  </si>
  <si>
    <t>328a</t>
  </si>
  <si>
    <t>Communita Montana Vallo di Diano</t>
  </si>
  <si>
    <t>National Park of Gargano</t>
  </si>
  <si>
    <t>Foggia</t>
  </si>
  <si>
    <t>Bari</t>
  </si>
  <si>
    <t>Bassilicata</t>
  </si>
  <si>
    <t>Combination of secondary data and delphi method</t>
  </si>
  <si>
    <t>328b</t>
  </si>
  <si>
    <t>328c</t>
  </si>
  <si>
    <t>328d</t>
  </si>
  <si>
    <t>328a.1</t>
  </si>
  <si>
    <t>328b.1</t>
  </si>
  <si>
    <t>328c.1</t>
  </si>
  <si>
    <t>328d.1</t>
  </si>
  <si>
    <t>328a.2</t>
  </si>
  <si>
    <t>328a.3</t>
  </si>
  <si>
    <t>328a.4</t>
  </si>
  <si>
    <t>328a.5</t>
  </si>
  <si>
    <t>328a.6</t>
  </si>
  <si>
    <t>328a.7</t>
  </si>
  <si>
    <t>328a.8</t>
  </si>
  <si>
    <t>Field preparation on abandoned land, rather than in a formal swidden cycle</t>
  </si>
  <si>
    <t>328b.2</t>
  </si>
  <si>
    <t>328b.3</t>
  </si>
  <si>
    <t>328b.4</t>
  </si>
  <si>
    <t>328b.5</t>
  </si>
  <si>
    <t>328b.6</t>
  </si>
  <si>
    <t>328c.2</t>
  </si>
  <si>
    <t>328c.3</t>
  </si>
  <si>
    <t>328c.4</t>
  </si>
  <si>
    <t>328c.5</t>
  </si>
  <si>
    <t>328c.6</t>
  </si>
  <si>
    <t>328c.7</t>
  </si>
  <si>
    <t>328d.2</t>
  </si>
  <si>
    <t>328d.3</t>
  </si>
  <si>
    <t>328d.4</t>
  </si>
  <si>
    <t>328d.5</t>
  </si>
  <si>
    <t>328d.6</t>
  </si>
  <si>
    <t>328d.7</t>
  </si>
  <si>
    <t>328d.8</t>
  </si>
  <si>
    <t>Restrictions were requiring a licence, and regulations regarding use and management of burn</t>
  </si>
  <si>
    <t>Fire was widespread in spite of bans on burning</t>
  </si>
  <si>
    <t>Bliege Bird 2008</t>
  </si>
  <si>
    <t>329a</t>
  </si>
  <si>
    <t>Western Australia</t>
  </si>
  <si>
    <t>329a.1</t>
  </si>
  <si>
    <t>Fire return based on vegetation succession</t>
  </si>
  <si>
    <t>329a.2</t>
  </si>
  <si>
    <t>Community burning, time of burning, use of non-flammable vegetation as a natural buffer</t>
  </si>
  <si>
    <t>Patch mosaic burning</t>
  </si>
  <si>
    <t>Fire was for hunting lizards, rather than to drive game over long distances</t>
  </si>
  <si>
    <t>Laris 2015</t>
  </si>
  <si>
    <t>330a</t>
  </si>
  <si>
    <t>330b</t>
  </si>
  <si>
    <t>Study location</t>
  </si>
  <si>
    <t>Each study location relates to a landsat scene</t>
  </si>
  <si>
    <t>330a.1</t>
  </si>
  <si>
    <t>330a.2</t>
  </si>
  <si>
    <t>330a.3</t>
  </si>
  <si>
    <t>330a.4</t>
  </si>
  <si>
    <t>330a.5</t>
  </si>
  <si>
    <t>330a.6</t>
  </si>
  <si>
    <t>330a.7</t>
  </si>
  <si>
    <t>330a.8</t>
  </si>
  <si>
    <t>330a.9</t>
  </si>
  <si>
    <t>330a.10</t>
  </si>
  <si>
    <t>330b.1</t>
  </si>
  <si>
    <t>330b.2</t>
  </si>
  <si>
    <t>330b.3</t>
  </si>
  <si>
    <t>330b.4</t>
  </si>
  <si>
    <t>330b.5</t>
  </si>
  <si>
    <t>330b.6</t>
  </si>
  <si>
    <t>330b.7</t>
  </si>
  <si>
    <t>Burning to remove residues from crops "before they become dessicated"</t>
  </si>
  <si>
    <t>Authorities sought to prevent late dry season burning</t>
  </si>
  <si>
    <t>Stuart 2017</t>
  </si>
  <si>
    <t>331a</t>
  </si>
  <si>
    <t>Fraser Island</t>
  </si>
  <si>
    <t>Queensland</t>
  </si>
  <si>
    <t>331a.1</t>
  </si>
  <si>
    <t>331a.2</t>
  </si>
  <si>
    <t>Large uncontrolled wildfires occurred with an occurrence of ~12 years (1969, 1982, 1994, 2006)</t>
  </si>
  <si>
    <t>Prescribed burn reported; metrics based on government guidelines</t>
  </si>
  <si>
    <t>Prescribed burn within conservation area</t>
  </si>
  <si>
    <t>Limited to conservation area</t>
  </si>
  <si>
    <t>Government funding for prescribed burn</t>
  </si>
  <si>
    <t>Leverkus 2018</t>
  </si>
  <si>
    <t>332a</t>
  </si>
  <si>
    <t>Leverkus 2017</t>
  </si>
  <si>
    <t>Kechika</t>
  </si>
  <si>
    <t>Tuchodi</t>
  </si>
  <si>
    <t>Gathto</t>
  </si>
  <si>
    <t>Sikanni</t>
  </si>
  <si>
    <t>332b</t>
  </si>
  <si>
    <t>332c</t>
  </si>
  <si>
    <t>332d</t>
  </si>
  <si>
    <t>Liard</t>
  </si>
  <si>
    <t>Rabbit</t>
  </si>
  <si>
    <t>Toad</t>
  </si>
  <si>
    <t>Ft Nelson</t>
  </si>
  <si>
    <t>Halfway</t>
  </si>
  <si>
    <t>Finlay</t>
  </si>
  <si>
    <t>332e</t>
  </si>
  <si>
    <t>332f</t>
  </si>
  <si>
    <t>332g</t>
  </si>
  <si>
    <t>Study area is a watershed</t>
  </si>
  <si>
    <t>332a.1</t>
  </si>
  <si>
    <t>332b.1</t>
  </si>
  <si>
    <t>332c.1</t>
  </si>
  <si>
    <t>332d.1</t>
  </si>
  <si>
    <t>332e.1</t>
  </si>
  <si>
    <t>332f.1</t>
  </si>
  <si>
    <t>332g.1</t>
  </si>
  <si>
    <t>Author advocates for introduction of prescribed burning for biodiversity conservation purposes</t>
  </si>
  <si>
    <t>332a.2</t>
  </si>
  <si>
    <t>332b.2</t>
  </si>
  <si>
    <t>332c.2</t>
  </si>
  <si>
    <t>332d.2</t>
  </si>
  <si>
    <t>332e.2</t>
  </si>
  <si>
    <t>332f.2</t>
  </si>
  <si>
    <t>332g.2</t>
  </si>
  <si>
    <t>333a</t>
  </si>
  <si>
    <t>Leverkus 2019</t>
  </si>
  <si>
    <t>Leverkus 2020</t>
  </si>
  <si>
    <t>Leverkus 2021</t>
  </si>
  <si>
    <t>333b</t>
  </si>
  <si>
    <t>333c</t>
  </si>
  <si>
    <t>333d</t>
  </si>
  <si>
    <t>333a.1</t>
  </si>
  <si>
    <t>333b.2</t>
  </si>
  <si>
    <t>333b.1</t>
  </si>
  <si>
    <t>333c.1</t>
  </si>
  <si>
    <t>333d.1</t>
  </si>
  <si>
    <t>333a.2</t>
  </si>
  <si>
    <t>333c.2</t>
  </si>
  <si>
    <t>333d.2</t>
  </si>
  <si>
    <t>333a.3</t>
  </si>
  <si>
    <t>333b.3</t>
  </si>
  <si>
    <t>333c.3</t>
  </si>
  <si>
    <t>333d.3</t>
  </si>
  <si>
    <t>Fire size inversely proportionate to ignition density - likely reflecting influence of anthropogenic burning</t>
  </si>
  <si>
    <t>McGregor 2010</t>
  </si>
  <si>
    <t>334a</t>
  </si>
  <si>
    <t>Wetlands</t>
  </si>
  <si>
    <t>334a.1</t>
  </si>
  <si>
    <t>334a.2</t>
  </si>
  <si>
    <t>334a.3</t>
  </si>
  <si>
    <t>334a.4</t>
  </si>
  <si>
    <t>334a.5</t>
  </si>
  <si>
    <t>334a.6</t>
  </si>
  <si>
    <t>Targeted burning to prevent destructive fires in the wetlands</t>
  </si>
  <si>
    <t>Early dry season burns to allow late dry season burning of wetlands</t>
  </si>
  <si>
    <t>Several burns are required to remove desnse stands of wetland plants</t>
  </si>
  <si>
    <t>Fire size from author description and visual interpretation of presented images</t>
  </si>
  <si>
    <t>Timing of burn, nature of vegetation in the wetlands makes fire spread less likely</t>
  </si>
  <si>
    <t>Intensive programme of prescribed burns</t>
  </si>
  <si>
    <t>335a</t>
  </si>
  <si>
    <t>Miller 2010</t>
  </si>
  <si>
    <t>Ontario</t>
  </si>
  <si>
    <t>White feather forest</t>
  </si>
  <si>
    <t>335a.1</t>
  </si>
  <si>
    <t>335a.2</t>
  </si>
  <si>
    <t>Most lightning fires were extinguished under 0.1ha due to suppression</t>
  </si>
  <si>
    <t>Ability to fight some cool or ground fires - crown fires and uphill fires were dangerous and the response was to flee</t>
  </si>
  <si>
    <t>Complex set of knowledge on how and when to burn set out in figure 4; narrative details cultural "respect" for fire</t>
  </si>
  <si>
    <t>335a.3</t>
  </si>
  <si>
    <t>Fire ban introduced had eradicated the use of fire by indigenous people</t>
  </si>
  <si>
    <t>335a.4</t>
  </si>
  <si>
    <t>Eriksen 2014</t>
  </si>
  <si>
    <t>336a</t>
  </si>
  <si>
    <t>336b</t>
  </si>
  <si>
    <t>336c</t>
  </si>
  <si>
    <t>Paper reports outcomes of interviews and workshops with firefighters and indigenous land managers</t>
  </si>
  <si>
    <t>336a.1</t>
  </si>
  <si>
    <t>336b.1</t>
  </si>
  <si>
    <t>336c.1</t>
  </si>
  <si>
    <t>336c.2</t>
  </si>
  <si>
    <t>336c.3</t>
  </si>
  <si>
    <t>336a.2</t>
  </si>
  <si>
    <t>336b.2</t>
  </si>
  <si>
    <t>Collaboration of firefighting agencies and indigenous people through prescribed burning; however, this was limited due to difficulties with cross cultural exchange</t>
  </si>
  <si>
    <t>Only trained firefighters were permitted to burn to control fire spread</t>
  </si>
  <si>
    <t>Although indigenous people were permitted to participate in prescribed burns, the training and accreditation restrictions on persons who were able to participate made this challenging</t>
  </si>
  <si>
    <t>Carroll 2010</t>
  </si>
  <si>
    <t>337a</t>
  </si>
  <si>
    <t>Nez Perce Tribal Lands</t>
  </si>
  <si>
    <t>337a.1</t>
  </si>
  <si>
    <t>337a.2</t>
  </si>
  <si>
    <t>337a.3</t>
  </si>
  <si>
    <t>Traditional fire use was restricted to lands managed by the Tribe's Forest Management Programme; liability concerns and air quality were both concerns</t>
  </si>
  <si>
    <t>Suppression and build-up of fuels had led to a "WUI-type" situation</t>
  </si>
  <si>
    <t>Fire breaks; fire control methods were not as effective as previously due to fragmentation of the land ownership</t>
  </si>
  <si>
    <t>Ability to manage the landscape was reduced due to restrictions and fragmented land ownership</t>
  </si>
  <si>
    <t>337a.4</t>
  </si>
  <si>
    <t>337a.5</t>
  </si>
  <si>
    <t>337a.6</t>
  </si>
  <si>
    <t>337a.7</t>
  </si>
  <si>
    <t>Burning of residues from timber sales</t>
  </si>
  <si>
    <t>Russell-Smith 2007</t>
  </si>
  <si>
    <t>338a</t>
  </si>
  <si>
    <t>338b</t>
  </si>
  <si>
    <t>East Sumba</t>
  </si>
  <si>
    <t>Ngada</t>
  </si>
  <si>
    <t>338c</t>
  </si>
  <si>
    <t>338d</t>
  </si>
  <si>
    <t>Kiritana</t>
  </si>
  <si>
    <t>Lukuwinggir</t>
  </si>
  <si>
    <t>Dhereisa</t>
  </si>
  <si>
    <t>Dorameli</t>
  </si>
  <si>
    <t>"Construction labourer" given as urban planner</t>
  </si>
  <si>
    <t>338a.1</t>
  </si>
  <si>
    <t>338a.2</t>
  </si>
  <si>
    <t>338a.3</t>
  </si>
  <si>
    <t>338a.4</t>
  </si>
  <si>
    <t>338a.5</t>
  </si>
  <si>
    <t>338b.1</t>
  </si>
  <si>
    <t>338b.2</t>
  </si>
  <si>
    <t>338b.3</t>
  </si>
  <si>
    <t>338b.4</t>
  </si>
  <si>
    <t>338b.5</t>
  </si>
  <si>
    <t>338b.6</t>
  </si>
  <si>
    <t>338c.1</t>
  </si>
  <si>
    <t>338c.2</t>
  </si>
  <si>
    <t>338c.3</t>
  </si>
  <si>
    <t>338c.4</t>
  </si>
  <si>
    <t>338c.5</t>
  </si>
  <si>
    <t>338c.6</t>
  </si>
  <si>
    <t>338c.7</t>
  </si>
  <si>
    <t>338c.8</t>
  </si>
  <si>
    <t>338c.9</t>
  </si>
  <si>
    <t>338d.1</t>
  </si>
  <si>
    <t>338d.2</t>
  </si>
  <si>
    <t>338d.3</t>
  </si>
  <si>
    <t>338d.4</t>
  </si>
  <si>
    <t>338d.5</t>
  </si>
  <si>
    <t>338d.6</t>
  </si>
  <si>
    <t>338d.7</t>
  </si>
  <si>
    <t>Land tenure insecurity, combined with fire bans, led to a pattern of uncontrolled "wanton" fire use with "little regard" for where fires ended up</t>
  </si>
  <si>
    <t>Impact of ban was to lead to chaotic, unmanaged burning, rather than a reduction in fire</t>
  </si>
  <si>
    <t>Fisher 2006</t>
  </si>
  <si>
    <t>339a</t>
  </si>
  <si>
    <t>338e</t>
  </si>
  <si>
    <t>338f</t>
  </si>
  <si>
    <t xml:space="preserve">Study area comprises 338 a&amp;b </t>
  </si>
  <si>
    <t>Study area comprises 338 c&amp;d</t>
  </si>
  <si>
    <t>Land use and tenure from a&amp;b, as well as description in 338e</t>
  </si>
  <si>
    <t>Land use and tenure from c&amp;d, as well as description in 338f</t>
  </si>
  <si>
    <t>338a.6</t>
  </si>
  <si>
    <t>338b.7</t>
  </si>
  <si>
    <t>338d.8</t>
  </si>
  <si>
    <t>338a.7</t>
  </si>
  <si>
    <t>338b.8</t>
  </si>
  <si>
    <t>338c.10</t>
  </si>
  <si>
    <t>338d.9</t>
  </si>
  <si>
    <t>338a.8</t>
  </si>
  <si>
    <t>338b.9</t>
  </si>
  <si>
    <t>338c.11</t>
  </si>
  <si>
    <t>338d.10</t>
  </si>
  <si>
    <t>Fire size from overall regime - savannah fires dominated</t>
  </si>
  <si>
    <t>Fire size from overall regime - 97% of all fires were smaller than 5ha</t>
  </si>
  <si>
    <t>338a.9</t>
  </si>
  <si>
    <t>338b.10</t>
  </si>
  <si>
    <t>338c.12</t>
  </si>
  <si>
    <t>338d.11</t>
  </si>
  <si>
    <t>Ignitions disaggregated from values in 338e; fire return from proportion of sites burned in both years / total</t>
  </si>
  <si>
    <t>Ignitions disaggregated from values in 338f; fire return from proportion of sites burned in both years / total</t>
  </si>
  <si>
    <t>Burned area from proportion of area dominated by rice-wheat system, weighted by methods of residue disposal, combine use, and correction for 'partial' burns as in Liu et al., 2019; fire size from field size. Assumed subsistence oriented hand harvests and therefore uses residues, rather than burning</t>
  </si>
  <si>
    <t>Rice-based system absent</t>
  </si>
  <si>
    <t>Beri 2003, cited in Erenstein et al., 2007</t>
  </si>
  <si>
    <t>339b</t>
  </si>
  <si>
    <t>Sample of 250 farms</t>
  </si>
  <si>
    <t>339a.1</t>
  </si>
  <si>
    <t>339a.2</t>
  </si>
  <si>
    <t>339b.1</t>
  </si>
  <si>
    <t>339b.2</t>
  </si>
  <si>
    <t>339c</t>
  </si>
  <si>
    <t>Utter Pradesh</t>
  </si>
  <si>
    <t>Sample of 498 farms</t>
  </si>
  <si>
    <t>339c.1</t>
  </si>
  <si>
    <t>339c.2</t>
  </si>
  <si>
    <t>339c.3</t>
  </si>
  <si>
    <t>339c.4</t>
  </si>
  <si>
    <t>% burned reported by volume, corrected to BA using 0.623 weight derived from Liu et al., 2019</t>
  </si>
  <si>
    <t>"the environmental protection bureau issued the straw burning ban previously to prohibit straw burning near airports, main roads, densely populated areas and other designated areas"</t>
  </si>
  <si>
    <t>"Farmers can be fined 200 Yuan ($33) for burning straw. However, the enforcement of the burning ban relies on local officials and it had been previously difficult for law enforcement. In 2012, 92% of village leaders were required to sign written pledges for effectively implementing the burning"</t>
  </si>
  <si>
    <t>"In order to better detect spot straw burning, many villages installed monitoring equipment and by 2015, roughly one third of the total sample villages have installed. Therefore, the enforcement of burning ban has been improved significantly."</t>
  </si>
  <si>
    <t>278a</t>
  </si>
  <si>
    <t>278b</t>
  </si>
  <si>
    <t>278a.1</t>
  </si>
  <si>
    <t>278b.1</t>
  </si>
  <si>
    <t>280c.1</t>
  </si>
  <si>
    <t>280c.2</t>
  </si>
  <si>
    <t>All residues fed to cattle</t>
  </si>
  <si>
    <t>100% of peanut, and 27% of rice crop burned, weighted by 0.623 correction from Liu et al., 2019</t>
  </si>
  <si>
    <t>Rice and peanut are the majority crops in Spring.</t>
  </si>
  <si>
    <t>27% of rice crop burned, weighted by 0.623 correction from Liu et al., 2019</t>
  </si>
  <si>
    <t>38% of rice crop burned, weighted by 0.623 correction from Liu et al., 2019</t>
  </si>
  <si>
    <t>Burning is allowed if it has been proven there is no other way to dispose of crop residues and is performed by those with authorized extinguisher and anti-fire security qualification, conditions said to be far too expensive for most farmers to satisfy.</t>
  </si>
  <si>
    <t>Private and state owned land with 42% reported to be under state ownership in 2013. Large land ownership offset by low inputs (e.g. no natural fertilisers applied)</t>
  </si>
  <si>
    <t>NB: the number given is lower than the MODIS estimate of Sukhinin (1460km2 / 86000km2). It is therefore likely an underestimate.</t>
  </si>
  <si>
    <t>Smil 1999</t>
  </si>
  <si>
    <t>340a</t>
  </si>
  <si>
    <t>United Kingdom</t>
  </si>
  <si>
    <t>340a.1</t>
  </si>
  <si>
    <t>340a.2</t>
  </si>
  <si>
    <t>After a ban was introduced in 1992, residue burning largely stopped</t>
  </si>
  <si>
    <t>340b</t>
  </si>
  <si>
    <t>340b.1</t>
  </si>
  <si>
    <t>Quotas were set for farmers residue burning (% of area planted); these reduced over time</t>
  </si>
  <si>
    <t>CA Air Resources Board 1998</t>
  </si>
  <si>
    <t>340c</t>
  </si>
  <si>
    <t>Manitoba</t>
  </si>
  <si>
    <t>Winnipeg</t>
  </si>
  <si>
    <t>340c.1</t>
  </si>
  <si>
    <t>340c.2</t>
  </si>
  <si>
    <t>340c.3</t>
  </si>
  <si>
    <t>340c.4</t>
  </si>
  <si>
    <t>340c.5</t>
  </si>
  <si>
    <t>340c.6</t>
  </si>
  <si>
    <t>340d</t>
  </si>
  <si>
    <t>Location is for great plains, cited as an area with residue burning</t>
  </si>
  <si>
    <t>340d.1</t>
  </si>
  <si>
    <t>1985 and 1990 Farm bills required farmers to have a residue conservation plan in order to qualify for subsidies; this was a direct attempt to halt the practice of residue burning</t>
  </si>
  <si>
    <t>Mendoza 1998</t>
  </si>
  <si>
    <t>341a</t>
  </si>
  <si>
    <t>341a.1</t>
  </si>
  <si>
    <t>341a.2</t>
  </si>
  <si>
    <t>341a.3</t>
  </si>
  <si>
    <t>341a.4</t>
  </si>
  <si>
    <t>341a.5</t>
  </si>
  <si>
    <t xml:space="preserve">10% of farmers were sugarcane or farmers of other commodities; "pre-burning" of sugarcane fields prior to harvesting was necessary to remove pests and facilitate access for harvesting </t>
  </si>
  <si>
    <t>90% of farmers were rice farmers</t>
  </si>
  <si>
    <t>341a.6</t>
  </si>
  <si>
    <t>341a.7</t>
  </si>
  <si>
    <t>341a.8</t>
  </si>
  <si>
    <t>Sugarcane residues were typically piled then burned, so unclear on what burned area this produced</t>
  </si>
  <si>
    <t>341b</t>
  </si>
  <si>
    <t>Barotac Viejo</t>
  </si>
  <si>
    <t>Iloilo</t>
  </si>
  <si>
    <t>341b.1</t>
  </si>
  <si>
    <t>341b.2</t>
  </si>
  <si>
    <t>341b.3</t>
  </si>
  <si>
    <t>341b.4</t>
  </si>
  <si>
    <t>P 200.00 fine + 1 week imprisonment, led to complete cessation of burning</t>
  </si>
  <si>
    <t>NGOs were working with farmers to highlight negative impacts of residue burning</t>
  </si>
  <si>
    <t>Baloloy 2016</t>
  </si>
  <si>
    <t>342a</t>
  </si>
  <si>
    <t>Tarlac</t>
  </si>
  <si>
    <t>342a.1</t>
  </si>
  <si>
    <t>Franca 2012</t>
  </si>
  <si>
    <t>343a</t>
  </si>
  <si>
    <t>Sao Paulo</t>
  </si>
  <si>
    <t>343a.1</t>
  </si>
  <si>
    <t>Introductory review contains policy and biomass burning estimates from secondary sources; study focuses on just cropland areas</t>
  </si>
  <si>
    <t>"Pre-burning" of sugar cane fields</t>
  </si>
  <si>
    <t xml:space="preserve">"Pre-burning" of sugar cane fields to facilitate harvest; the "Green Ethanol" protocol sought to elimiate the practice by 2014 </t>
  </si>
  <si>
    <t>Rudorff 2010</t>
  </si>
  <si>
    <t>344a</t>
  </si>
  <si>
    <t>Study covers sugarcane producing area; landsat images analysed using visual interpretation</t>
  </si>
  <si>
    <t>344b</t>
  </si>
  <si>
    <t>344c</t>
  </si>
  <si>
    <t>344d</t>
  </si>
  <si>
    <t>344e</t>
  </si>
  <si>
    <t>344f</t>
  </si>
  <si>
    <t>344g</t>
  </si>
  <si>
    <t>344h</t>
  </si>
  <si>
    <t>344i</t>
  </si>
  <si>
    <t>344j</t>
  </si>
  <si>
    <t>344k</t>
  </si>
  <si>
    <t>344l</t>
  </si>
  <si>
    <t>344m</t>
  </si>
  <si>
    <t>344n</t>
  </si>
  <si>
    <t>344o</t>
  </si>
  <si>
    <t>344p</t>
  </si>
  <si>
    <t>Aracatuba</t>
  </si>
  <si>
    <t>Baixada Santista</t>
  </si>
  <si>
    <t>Barretos</t>
  </si>
  <si>
    <t>Bauru</t>
  </si>
  <si>
    <t>Campinas</t>
  </si>
  <si>
    <t>Franca</t>
  </si>
  <si>
    <t>Marilia</t>
  </si>
  <si>
    <t>Presidente Prudente</t>
  </si>
  <si>
    <t>Registro</t>
  </si>
  <si>
    <t>Ribeirao Preto</t>
  </si>
  <si>
    <t>Sao Jose do Rio Preto</t>
  </si>
  <si>
    <t>Sao Jose dos Campos</t>
  </si>
  <si>
    <t>Sorocaba</t>
  </si>
  <si>
    <t>344a.1</t>
  </si>
  <si>
    <t>344c.1</t>
  </si>
  <si>
    <t>344d.1</t>
  </si>
  <si>
    <t>344e.1</t>
  </si>
  <si>
    <t>344f.1</t>
  </si>
  <si>
    <t>344g.1</t>
  </si>
  <si>
    <t>344h.1</t>
  </si>
  <si>
    <t>344i.1</t>
  </si>
  <si>
    <t>344k.1</t>
  </si>
  <si>
    <t>344l.1</t>
  </si>
  <si>
    <t>344o.1</t>
  </si>
  <si>
    <t>344a.2</t>
  </si>
  <si>
    <t>344c.2</t>
  </si>
  <si>
    <t>344d.2</t>
  </si>
  <si>
    <t>344e.2</t>
  </si>
  <si>
    <t>344f.2</t>
  </si>
  <si>
    <t>344g.2</t>
  </si>
  <si>
    <t>344h.2</t>
  </si>
  <si>
    <t>344i.2</t>
  </si>
  <si>
    <t>344k.2</t>
  </si>
  <si>
    <t>344l.2</t>
  </si>
  <si>
    <t>344o.2</t>
  </si>
  <si>
    <t>"Pre-burning" of sugar cane fields; under mechanized harvesting, burning was no longer required</t>
  </si>
  <si>
    <t>Aguiar 2009, cited in Rudorff 2010</t>
  </si>
  <si>
    <t>Mendoza 2015</t>
  </si>
  <si>
    <t>345a</t>
  </si>
  <si>
    <t>Location given is Negros island, the centre of the sugarcane industry</t>
  </si>
  <si>
    <t>345a.1</t>
  </si>
  <si>
    <t>345a.2</t>
  </si>
  <si>
    <t>Philippine Clean Air Act "recognises that it is the right of every citizen to breathe clean air"</t>
  </si>
  <si>
    <t>345a.3</t>
  </si>
  <si>
    <t>345a.4</t>
  </si>
  <si>
    <t>The "majority" of state governments had outlawed the burning of rice straw</t>
  </si>
  <si>
    <t>Eastern Batangas</t>
  </si>
  <si>
    <t>Luzon</t>
  </si>
  <si>
    <t>345b</t>
  </si>
  <si>
    <t>345b.1</t>
  </si>
  <si>
    <t>345b.2</t>
  </si>
  <si>
    <t>345c</t>
  </si>
  <si>
    <t>345d</t>
  </si>
  <si>
    <t>Location is agricultural region of WA</t>
  </si>
  <si>
    <t>345d.1</t>
  </si>
  <si>
    <t>345d.2</t>
  </si>
  <si>
    <t>345c.1</t>
  </si>
  <si>
    <t>State government agreed with industry to phase out burning by 2017</t>
  </si>
  <si>
    <t>345c.2</t>
  </si>
  <si>
    <t>Industry body, including processing mills, had agreed to phase out residue burning by 2017</t>
  </si>
  <si>
    <t>Vejar-Cota 2009</t>
  </si>
  <si>
    <t>346a</t>
  </si>
  <si>
    <t>Los Mochis</t>
  </si>
  <si>
    <t>Sinaloa</t>
  </si>
  <si>
    <t>346a.1</t>
  </si>
  <si>
    <t>Inside Costa Rica 2011 (cited in Franca 2012)</t>
  </si>
  <si>
    <t>347a</t>
  </si>
  <si>
    <t>347b</t>
  </si>
  <si>
    <t>347c</t>
  </si>
  <si>
    <t>Costa Rica</t>
  </si>
  <si>
    <t>La Garita</t>
  </si>
  <si>
    <t>Alajuela</t>
  </si>
  <si>
    <t>Tacares</t>
  </si>
  <si>
    <t>Sarchi</t>
  </si>
  <si>
    <t>Grecia</t>
  </si>
  <si>
    <t>Newspaper article</t>
  </si>
  <si>
    <t>347b.1</t>
  </si>
  <si>
    <t>347c.1</t>
  </si>
  <si>
    <t>"Pre-burning" for sugar cane harvest</t>
  </si>
  <si>
    <t>347a.1</t>
  </si>
  <si>
    <t>Environmental and air quality restrictions on residue burning; unclear to what extent these were enforced</t>
  </si>
  <si>
    <t>Ahmed 2019</t>
  </si>
  <si>
    <t>348a</t>
  </si>
  <si>
    <t>348b</t>
  </si>
  <si>
    <t>348a.1</t>
  </si>
  <si>
    <t>348b.1</t>
  </si>
  <si>
    <t>As elsewhere, residue burning was closely linked to introduction of the combine harvester and field size</t>
  </si>
  <si>
    <t>Bornman 2009</t>
  </si>
  <si>
    <t>349a</t>
  </si>
  <si>
    <t>Limpopo</t>
  </si>
  <si>
    <t>Waterberg District</t>
  </si>
  <si>
    <t>Alma</t>
  </si>
  <si>
    <t>Rust de Winter</t>
  </si>
  <si>
    <t>Dwaalboom</t>
  </si>
  <si>
    <t>349b</t>
  </si>
  <si>
    <t>349c</t>
  </si>
  <si>
    <t>349d</t>
  </si>
  <si>
    <t>349a.1</t>
  </si>
  <si>
    <t>349b.1</t>
  </si>
  <si>
    <t>349c.1</t>
  </si>
  <si>
    <t>349d.1</t>
  </si>
  <si>
    <t>349a.2</t>
  </si>
  <si>
    <t>349c.2</t>
  </si>
  <si>
    <t>Limited use of firebreaks - though these are noted as vital to fire control</t>
  </si>
  <si>
    <t>Contracted groups of firefighters available at community request, with specialised equipment</t>
  </si>
  <si>
    <t>Farmers were involved in fighting the veld fires</t>
  </si>
  <si>
    <t>Veld fires act provides a "framework" for fire management and oversight</t>
  </si>
  <si>
    <t>Local government encouraged farmers to form collectives to manage fire</t>
  </si>
  <si>
    <t>Sun, Ge &amp; Zhou, 2019</t>
  </si>
  <si>
    <t>350a</t>
  </si>
  <si>
    <t>Taiwan</t>
  </si>
  <si>
    <t>High resolution imagery, robustly ground-truthed</t>
  </si>
  <si>
    <t>Chang 2013</t>
  </si>
  <si>
    <t>Chiayi County</t>
  </si>
  <si>
    <t>350a.1</t>
  </si>
  <si>
    <t>350a.2</t>
  </si>
  <si>
    <t>Fire size from field size ranging from "half to several hectares"</t>
  </si>
  <si>
    <t>Air quality concerns due to residue burning were a local public health priority; enforcement included high-resolution satellite monitoring</t>
  </si>
  <si>
    <t>Peng 2016</t>
  </si>
  <si>
    <t>351a</t>
  </si>
  <si>
    <t>Study focuses on cropland burning</t>
  </si>
  <si>
    <t>351a.1</t>
  </si>
  <si>
    <t>351b</t>
  </si>
  <si>
    <t>351c</t>
  </si>
  <si>
    <t>351d</t>
  </si>
  <si>
    <t>351e</t>
  </si>
  <si>
    <t>351f</t>
  </si>
  <si>
    <t>351g</t>
  </si>
  <si>
    <t>Hunan</t>
  </si>
  <si>
    <t>Guandong</t>
  </si>
  <si>
    <t>Henan</t>
  </si>
  <si>
    <t>Heilongjiang</t>
  </si>
  <si>
    <t>Liaoning</t>
  </si>
  <si>
    <t>Location in main intensive agricultural zone; focus of additional surveys conducted in b-g</t>
  </si>
  <si>
    <t>351b.1</t>
  </si>
  <si>
    <t>351c.1</t>
  </si>
  <si>
    <t>351d.1</t>
  </si>
  <si>
    <t>351e.1</t>
  </si>
  <si>
    <t>351f.1</t>
  </si>
  <si>
    <t>351g.1</t>
  </si>
  <si>
    <t>351f.2</t>
  </si>
  <si>
    <t>351g.2</t>
  </si>
  <si>
    <t>Bans had had some effect in reducing residue burning, but had not eradicated the practice</t>
  </si>
  <si>
    <t>Ren 2019</t>
  </si>
  <si>
    <t>352a</t>
  </si>
  <si>
    <t>Overview of policy regarding residue burning</t>
  </si>
  <si>
    <t>Xingan League</t>
  </si>
  <si>
    <t>352c</t>
  </si>
  <si>
    <t>352b</t>
  </si>
  <si>
    <t>352a.1</t>
  </si>
  <si>
    <t>352b.1</t>
  </si>
  <si>
    <t>352c.1</t>
  </si>
  <si>
    <t>Large farming corporations had invested in straw processing / biofuel plants. This involved subsidising purchases of straw to encourage 'green' agriculture. Inspection teams were also formed to enforce government ban</t>
  </si>
  <si>
    <t>Straw burning had been banned since 2000, with a fine or prison for "significant damage"; it was increasingly monitored by satellite, but the practice persisted in some regions</t>
  </si>
  <si>
    <t>State and local government supported enforcement of national ban</t>
  </si>
  <si>
    <t>353a</t>
  </si>
  <si>
    <t>353a.1</t>
  </si>
  <si>
    <t xml:space="preserve">Liu 2008 </t>
  </si>
  <si>
    <t>Ellis 1997</t>
  </si>
  <si>
    <t>354a</t>
  </si>
  <si>
    <t>Tai Lake</t>
  </si>
  <si>
    <t>354b</t>
  </si>
  <si>
    <t>354a.1</t>
  </si>
  <si>
    <t>All residues were carefully stored and used as fertilisers</t>
  </si>
  <si>
    <t>354a.2</t>
  </si>
  <si>
    <t>Zhang 2015</t>
  </si>
  <si>
    <t>355a</t>
  </si>
  <si>
    <t>355b</t>
  </si>
  <si>
    <t xml:space="preserve">Changzhou City </t>
  </si>
  <si>
    <t>Tongling City</t>
  </si>
  <si>
    <t>355a.1</t>
  </si>
  <si>
    <t>355b.1</t>
  </si>
  <si>
    <t>355a.2</t>
  </si>
  <si>
    <t>355b.2</t>
  </si>
  <si>
    <t>Zhu 2019</t>
  </si>
  <si>
    <t>356a</t>
  </si>
  <si>
    <t>Hubei</t>
  </si>
  <si>
    <t>356a.1</t>
  </si>
  <si>
    <t>Pile burning (bonfires)</t>
  </si>
  <si>
    <t>Gadde 2009</t>
  </si>
  <si>
    <t>357a</t>
  </si>
  <si>
    <t>357b</t>
  </si>
  <si>
    <t>357c</t>
  </si>
  <si>
    <t>Pubjab</t>
  </si>
  <si>
    <t>357d</t>
  </si>
  <si>
    <t>357e</t>
  </si>
  <si>
    <t>Study area is only rice growing fields</t>
  </si>
  <si>
    <t>Rice cropland</t>
  </si>
  <si>
    <t>357a.1</t>
  </si>
  <si>
    <t>357b.1</t>
  </si>
  <si>
    <t>357c.1</t>
  </si>
  <si>
    <t>Yield data calculated from original source statistics (as cited in paper)</t>
  </si>
  <si>
    <t>357d.1</t>
  </si>
  <si>
    <t>357e.1</t>
  </si>
  <si>
    <t>358a</t>
  </si>
  <si>
    <t>358a.1</t>
  </si>
  <si>
    <t>358a.2</t>
  </si>
  <si>
    <t>358a.3</t>
  </si>
  <si>
    <t>358a.4</t>
  </si>
  <si>
    <t>Li 2017</t>
  </si>
  <si>
    <t>Inner Mongolia Autonomous Region</t>
  </si>
  <si>
    <t>358a.5</t>
  </si>
  <si>
    <t>358a.6</t>
  </si>
  <si>
    <t>358a.7</t>
  </si>
  <si>
    <t>Large fires detected via MODIS were clustered around agricultural and urban areas, with r2  0.633-0.716; as fires less than 10ha could not be detected, these are interpreted as escaped fires</t>
  </si>
  <si>
    <t>359a</t>
  </si>
  <si>
    <t>Zhang 2010</t>
  </si>
  <si>
    <t>359a.1</t>
  </si>
  <si>
    <t>359a.2</t>
  </si>
  <si>
    <t>359a.3</t>
  </si>
  <si>
    <t>359a.4</t>
  </si>
  <si>
    <t>359a.5</t>
  </si>
  <si>
    <t>359a.6</t>
  </si>
  <si>
    <t>359a.7</t>
  </si>
  <si>
    <t>359a.8</t>
  </si>
  <si>
    <t>Paper focuses on "fire disasters" or out of control wildfires (the Chinese for wildfire implies fire disaster)</t>
  </si>
  <si>
    <t>Hulunbuir</t>
  </si>
  <si>
    <t>Hong Van 2014</t>
  </si>
  <si>
    <t>360a</t>
  </si>
  <si>
    <t>Mekong Delta</t>
  </si>
  <si>
    <t>360a.1</t>
  </si>
  <si>
    <t>360a.2</t>
  </si>
  <si>
    <t>360a.3</t>
  </si>
  <si>
    <t>Yield reflects 3 harvests per year; study is of rice paddy only</t>
  </si>
  <si>
    <t>Ignition density assumes intended fire = actual</t>
  </si>
  <si>
    <t>Thot Not District</t>
  </si>
  <si>
    <t>Hanoi Province</t>
  </si>
  <si>
    <t>Lasko 2017</t>
  </si>
  <si>
    <t>361a</t>
  </si>
  <si>
    <t>361a.1</t>
  </si>
  <si>
    <t>361a.2</t>
  </si>
  <si>
    <t>361a.3</t>
  </si>
  <si>
    <t>361a.4</t>
  </si>
  <si>
    <t>361a.5</t>
  </si>
  <si>
    <t>361a.6</t>
  </si>
  <si>
    <t>100-250</t>
  </si>
  <si>
    <t>250-500</t>
  </si>
  <si>
    <t>Ignitions assumes market- and subsistence-oriented AFTs are distributed approximately 50/50</t>
  </si>
  <si>
    <t>Combine harvesting burning involved burning of crops in situ</t>
  </si>
  <si>
    <t>Hand harvested crop residues were piled and the stalks burned</t>
  </si>
  <si>
    <t>Fire size from field size (paddy fields)</t>
  </si>
  <si>
    <t>Pouliot 2017</t>
  </si>
  <si>
    <t>362a</t>
  </si>
  <si>
    <t>Georgia</t>
  </si>
  <si>
    <t>362a.1</t>
  </si>
  <si>
    <t>362a.2</t>
  </si>
  <si>
    <t>Land cover from USDA agricultural survey</t>
  </si>
  <si>
    <t>362b</t>
  </si>
  <si>
    <t>362c</t>
  </si>
  <si>
    <t>362b.1</t>
  </si>
  <si>
    <t>362b.2</t>
  </si>
  <si>
    <t>362c.1</t>
  </si>
  <si>
    <t>362c.2</t>
  </si>
  <si>
    <t>362b.3</t>
  </si>
  <si>
    <t>362c.3</t>
  </si>
  <si>
    <t>80% of fires were less than 16ha</t>
  </si>
  <si>
    <t>Ignitions assumes pasture and cropland fires were spread equally across the two land covers</t>
  </si>
  <si>
    <t xml:space="preserve">Burned area for Oaklahoma and Kansas included as such large areas of grassland are prescribed burned, the remote sensing estimates are likely acceptable </t>
  </si>
  <si>
    <t>Estimates for all States not included as fires &lt;16ha are not captured</t>
  </si>
  <si>
    <t>363a</t>
  </si>
  <si>
    <t>McCarty 2017</t>
  </si>
  <si>
    <t>Smolensk Oblast</t>
  </si>
  <si>
    <t>363a.1</t>
  </si>
  <si>
    <t>363a.2</t>
  </si>
  <si>
    <t>363a.3</t>
  </si>
  <si>
    <t>363a.4</t>
  </si>
  <si>
    <t>363b</t>
  </si>
  <si>
    <t>363c</t>
  </si>
  <si>
    <t>Belarus</t>
  </si>
  <si>
    <t>Lithuania</t>
  </si>
  <si>
    <t>363b.1</t>
  </si>
  <si>
    <t>363b.2</t>
  </si>
  <si>
    <t>363b.3</t>
  </si>
  <si>
    <t>363b.4</t>
  </si>
  <si>
    <t>MODIS estimates not used</t>
  </si>
  <si>
    <t>363c.1</t>
  </si>
  <si>
    <t>363c.2</t>
  </si>
  <si>
    <t>363c.3</t>
  </si>
  <si>
    <t>363c.4</t>
  </si>
  <si>
    <t>Abandoned cropland contributed to widespread fires</t>
  </si>
  <si>
    <t>The Russian State lacked the necessary architecture to enforce the ban on residue burning</t>
  </si>
  <si>
    <t>Includes fires on abandoned farmland</t>
  </si>
  <si>
    <t>Farag 2013</t>
  </si>
  <si>
    <t>364a</t>
  </si>
  <si>
    <t>364b</t>
  </si>
  <si>
    <t>364c</t>
  </si>
  <si>
    <t>364d</t>
  </si>
  <si>
    <t>364e</t>
  </si>
  <si>
    <t>364f</t>
  </si>
  <si>
    <t>364g</t>
  </si>
  <si>
    <t>364h</t>
  </si>
  <si>
    <t>364i</t>
  </si>
  <si>
    <t>364j</t>
  </si>
  <si>
    <t>364k</t>
  </si>
  <si>
    <t>364l</t>
  </si>
  <si>
    <t>364m</t>
  </si>
  <si>
    <t>364n</t>
  </si>
  <si>
    <t>Alexandria</t>
  </si>
  <si>
    <t>Behera</t>
  </si>
  <si>
    <t>Gharbia</t>
  </si>
  <si>
    <t>Dakahlia</t>
  </si>
  <si>
    <t>Damietta</t>
  </si>
  <si>
    <t>Sharkia</t>
  </si>
  <si>
    <t>Ismailia</t>
  </si>
  <si>
    <t>Port Said</t>
  </si>
  <si>
    <t>Suez</t>
  </si>
  <si>
    <t>Qualyouba</t>
  </si>
  <si>
    <t>Cairo</t>
  </si>
  <si>
    <t>BeniSuef</t>
  </si>
  <si>
    <t>Fayoum</t>
  </si>
  <si>
    <t>364o</t>
  </si>
  <si>
    <t>Upper Egypt</t>
  </si>
  <si>
    <t>Egypt</t>
  </si>
  <si>
    <t>Rice paddy fields</t>
  </si>
  <si>
    <t>Kafr El Sheikh</t>
  </si>
  <si>
    <t>364a.1</t>
  </si>
  <si>
    <t>Study only considers rice paddy, which is approx 20% of agricultural land in Egypt (FAO stat)</t>
  </si>
  <si>
    <t>365a</t>
  </si>
  <si>
    <t>Stohl 2007</t>
  </si>
  <si>
    <t>Latvia</t>
  </si>
  <si>
    <t>Kuronian Spit</t>
  </si>
  <si>
    <t>Kaliningrad</t>
  </si>
  <si>
    <t>365b</t>
  </si>
  <si>
    <t>365c</t>
  </si>
  <si>
    <t>365d</t>
  </si>
  <si>
    <t>365e</t>
  </si>
  <si>
    <t>365f</t>
  </si>
  <si>
    <t>Zvenigorod</t>
  </si>
  <si>
    <t>365a.1</t>
  </si>
  <si>
    <t>365b.1</t>
  </si>
  <si>
    <t>365d.1</t>
  </si>
  <si>
    <t>365e.1</t>
  </si>
  <si>
    <t>365f.1</t>
  </si>
  <si>
    <t>365a.2</t>
  </si>
  <si>
    <t>365b.2</t>
  </si>
  <si>
    <t>365d.2</t>
  </si>
  <si>
    <t>365e.2</t>
  </si>
  <si>
    <t>365f.2</t>
  </si>
  <si>
    <t>365c.2</t>
  </si>
  <si>
    <t>Late snow melt led to later burning, and therefore more escaped fires</t>
  </si>
  <si>
    <r>
      <t xml:space="preserve">Mean size of fires </t>
    </r>
    <r>
      <rPr>
        <i/>
        <sz val="11"/>
        <color theme="1"/>
        <rFont val="Calibri"/>
        <family val="2"/>
        <scheme val="minor"/>
      </rPr>
      <t>detected</t>
    </r>
    <r>
      <rPr>
        <sz val="11"/>
        <color theme="1"/>
        <rFont val="Calibri"/>
        <family val="2"/>
        <scheme val="minor"/>
      </rPr>
      <t xml:space="preserve"> was 180ha; given large size of these out of control fires this is likely accurate (see Wotowa 2006)</t>
    </r>
  </si>
  <si>
    <t>Haider 2013</t>
  </si>
  <si>
    <t>366a</t>
  </si>
  <si>
    <t>366a.1</t>
  </si>
  <si>
    <t>366a.2</t>
  </si>
  <si>
    <t>366a.3</t>
  </si>
  <si>
    <t>366a.4</t>
  </si>
  <si>
    <t>Residues were not burned outside of the Aman crop harvest</t>
  </si>
  <si>
    <t>41% of fields were burned; some involved a partial burn (estimated as 1/9 of field area after Liu et al., 2019); fire size from land holdings</t>
  </si>
  <si>
    <t>367a</t>
  </si>
  <si>
    <t>Araujo 2005</t>
  </si>
  <si>
    <t>Oratorios</t>
  </si>
  <si>
    <t>367a.1</t>
  </si>
  <si>
    <t>Pre-burning of sugarcane straw for pest control</t>
  </si>
  <si>
    <t>Achyar 2015</t>
  </si>
  <si>
    <t>368a</t>
  </si>
  <si>
    <t>Ogan Komering Illir</t>
  </si>
  <si>
    <t>368a.1</t>
  </si>
  <si>
    <t>Fire suppression on existing croplands; unclear if fire still used in deforestation</t>
  </si>
  <si>
    <t>368a.2</t>
  </si>
  <si>
    <t>368a.3</t>
  </si>
  <si>
    <t>Private companies had made major investments in fire suppression as fire represented a major threat to their investments</t>
  </si>
  <si>
    <t>Fire ban had led to a 'hit and run' policy of uncontrolled burning</t>
  </si>
  <si>
    <t>Enforcement of zero fire policy had led to clandestine burning from farmers, who had little choice but to use fire in their agriculture</t>
  </si>
  <si>
    <t>369a</t>
  </si>
  <si>
    <t>Conteh 2016</t>
  </si>
  <si>
    <t>Waterloo</t>
  </si>
  <si>
    <t>Jui</t>
  </si>
  <si>
    <t>Goderich</t>
  </si>
  <si>
    <t>Gloucester</t>
  </si>
  <si>
    <t>Freetown Peninsula</t>
  </si>
  <si>
    <t>Study estimated from publication date</t>
  </si>
  <si>
    <t>369b</t>
  </si>
  <si>
    <t>369c</t>
  </si>
  <si>
    <t>369d</t>
  </si>
  <si>
    <t>369a.1</t>
  </si>
  <si>
    <t>369a.2</t>
  </si>
  <si>
    <t>369a.3</t>
  </si>
  <si>
    <t>369b.1</t>
  </si>
  <si>
    <t>369b.2</t>
  </si>
  <si>
    <t>369b.3</t>
  </si>
  <si>
    <t>369c.1</t>
  </si>
  <si>
    <t>369c.2</t>
  </si>
  <si>
    <t>369c.3</t>
  </si>
  <si>
    <t>369d.1</t>
  </si>
  <si>
    <t>369d.2</t>
  </si>
  <si>
    <t>369d.3</t>
  </si>
  <si>
    <t>Musa 2002</t>
  </si>
  <si>
    <t>370a</t>
  </si>
  <si>
    <t>Peninsular Malaysia</t>
  </si>
  <si>
    <t>Pahang</t>
  </si>
  <si>
    <t>370a.1</t>
  </si>
  <si>
    <t>370a.2</t>
  </si>
  <si>
    <t>370a.3</t>
  </si>
  <si>
    <t>370a.4</t>
  </si>
  <si>
    <t>370a.5</t>
  </si>
  <si>
    <t>370a.6</t>
  </si>
  <si>
    <t>370a.7</t>
  </si>
  <si>
    <t>370a.8</t>
  </si>
  <si>
    <t>370a.9</t>
  </si>
  <si>
    <t>370a.10</t>
  </si>
  <si>
    <t>370a.11</t>
  </si>
  <si>
    <t>Fire awareness campaigns had started following the 1997/8 fires</t>
  </si>
  <si>
    <t>Over 1200 Malaysian firefighters were deployed to fight runaway fires in Indonesia, indicative of robust capacity.</t>
  </si>
  <si>
    <t>Camelli 2020</t>
  </si>
  <si>
    <t>371a</t>
  </si>
  <si>
    <t>Oara</t>
  </si>
  <si>
    <t>371b</t>
  </si>
  <si>
    <t>371a.1</t>
  </si>
  <si>
    <t>371a.2</t>
  </si>
  <si>
    <t>371a.3</t>
  </si>
  <si>
    <t>371a.4</t>
  </si>
  <si>
    <t>371a.5</t>
  </si>
  <si>
    <t>77.9% of farmers in sample were fire users</t>
  </si>
  <si>
    <t>371a.6</t>
  </si>
  <si>
    <t>371a.7</t>
  </si>
  <si>
    <t>371a.8</t>
  </si>
  <si>
    <t>371a.9</t>
  </si>
  <si>
    <t>MODIS not used to estimate fire risk</t>
  </si>
  <si>
    <t>Farmers with higher capital investments were at risk of escaped fire, rather than fire users</t>
  </si>
  <si>
    <t>371b.1</t>
  </si>
  <si>
    <t>371b.2</t>
  </si>
  <si>
    <t>371b.3</t>
  </si>
  <si>
    <t>371b.4</t>
  </si>
  <si>
    <t>371b.5</t>
  </si>
  <si>
    <t>371b.6</t>
  </si>
  <si>
    <t>371b.7</t>
  </si>
  <si>
    <t>371b.8</t>
  </si>
  <si>
    <t>371b.9</t>
  </si>
  <si>
    <t>Fire breaks dug; however escaped fire was a widespread problem</t>
  </si>
  <si>
    <t>Larger farmers are not included in the analysis; they are assumed to have the capital to invest in fire suppression to make escaped fire a non-issue</t>
  </si>
  <si>
    <t>More capital intensive smallholders (idicated by machinery, chemical use etc) took significant capital losses from escaped fires</t>
  </si>
  <si>
    <t>Maroof 2002</t>
  </si>
  <si>
    <t>372a</t>
  </si>
  <si>
    <t>Peat forest reserve</t>
  </si>
  <si>
    <t>372a.1</t>
  </si>
  <si>
    <t>372a.2</t>
  </si>
  <si>
    <t>372a.3</t>
  </si>
  <si>
    <t>372a.4</t>
  </si>
  <si>
    <t>372a.5</t>
  </si>
  <si>
    <t>372a.6</t>
  </si>
  <si>
    <t>372a.7</t>
  </si>
  <si>
    <t>372a.8</t>
  </si>
  <si>
    <t>Lack of precautions and preparations using fire are blamed for the large number of escaped wildfires</t>
  </si>
  <si>
    <t>"unsustainable" logging had fragmented the forest and led to it becoming fire-prone</t>
  </si>
  <si>
    <t>The fire brigade had started outreach and fire prevention measures in response to the 1997/8 wildfires</t>
  </si>
  <si>
    <t>372a.9</t>
  </si>
  <si>
    <t>372a.10</t>
  </si>
  <si>
    <t>Study area is in protected reserves of peat swamp forest</t>
  </si>
  <si>
    <t>Fire brigades required additional training in handling peat swamp fires as they are very difficult to control and produce a lot of smoke</t>
  </si>
  <si>
    <t>Before the 1997 fires, fire regulations were not adequately enforced</t>
  </si>
  <si>
    <t>Dube 2015</t>
  </si>
  <si>
    <t>373a</t>
  </si>
  <si>
    <t>Matabeleland South</t>
  </si>
  <si>
    <t>373b</t>
  </si>
  <si>
    <t>Bulilimamangwe</t>
  </si>
  <si>
    <t>373a.1</t>
  </si>
  <si>
    <t>373a.2</t>
  </si>
  <si>
    <t>373a.3</t>
  </si>
  <si>
    <t>373a.4</t>
  </si>
  <si>
    <t>373a.5</t>
  </si>
  <si>
    <t>373a.6</t>
  </si>
  <si>
    <t>373a.7</t>
  </si>
  <si>
    <t>373a.8</t>
  </si>
  <si>
    <t>373a.9</t>
  </si>
  <si>
    <t>373a.10</t>
  </si>
  <si>
    <t>373b.1</t>
  </si>
  <si>
    <t>373b.2</t>
  </si>
  <si>
    <t>Two study districts have since been merged; study dates estimated from dates of secondary data employed (e.g. population)</t>
  </si>
  <si>
    <t>Data is for "farming land destroyed by veld fire"</t>
  </si>
  <si>
    <t>Fire breaks were employed, but these were limited in width and did not comply with the government regulation of 9m on either side of a fence</t>
  </si>
  <si>
    <t>Public information and education, fire rehearsals</t>
  </si>
  <si>
    <t>Fire was banned during the dry summer months; however enforcement was not a major deterrent</t>
  </si>
  <si>
    <t>374a</t>
  </si>
  <si>
    <t>Sardasht County</t>
  </si>
  <si>
    <t>West Azarbaijan</t>
  </si>
  <si>
    <t>Heidarlou 2019</t>
  </si>
  <si>
    <t>374a.1</t>
  </si>
  <si>
    <t>374a.2</t>
  </si>
  <si>
    <t>Kansanga 2019</t>
  </si>
  <si>
    <t>375a</t>
  </si>
  <si>
    <t>Navrongo</t>
  </si>
  <si>
    <t>Northern Savannah</t>
  </si>
  <si>
    <t>375a.1</t>
  </si>
  <si>
    <t>375a.2</t>
  </si>
  <si>
    <t>375a.3</t>
  </si>
  <si>
    <t>375a.4</t>
  </si>
  <si>
    <t>376a</t>
  </si>
  <si>
    <t>Dubinin 2011</t>
  </si>
  <si>
    <t>Republic of Kalmykia</t>
  </si>
  <si>
    <t>376a.1</t>
  </si>
  <si>
    <t>376a.2</t>
  </si>
  <si>
    <t>Grazing pressure had led to significantly lower fuel loads</t>
  </si>
  <si>
    <t>Lowered grazing pressure after the collapse of the Soviet system led to an increased in large fires</t>
  </si>
  <si>
    <t>Welch 2013</t>
  </si>
  <si>
    <t>377a</t>
  </si>
  <si>
    <t>377b</t>
  </si>
  <si>
    <t>Pimentel Barbosa Indigenous Lands (surrounding lands)</t>
  </si>
  <si>
    <t>Pimentel Barbosa Indigenous Lands (protected area)</t>
  </si>
  <si>
    <t>20km buffer around the edge of the protected area</t>
  </si>
  <si>
    <t>377a.1</t>
  </si>
  <si>
    <t xml:space="preserve">Small patchwork of anthropogenic fires succesfully controlled the overall fire regime </t>
  </si>
  <si>
    <t>Group burning, carefuly consideration of weather conditions</t>
  </si>
  <si>
    <t>Cheewaphongphan 2013</t>
  </si>
  <si>
    <t>378a</t>
  </si>
  <si>
    <t xml:space="preserve">Lower Northern </t>
  </si>
  <si>
    <t>Upper Northern</t>
  </si>
  <si>
    <t>Lower Northeastern</t>
  </si>
  <si>
    <t>Upper Northeastern</t>
  </si>
  <si>
    <t>Western</t>
  </si>
  <si>
    <t xml:space="preserve">Central </t>
  </si>
  <si>
    <t xml:space="preserve">Lower Southern </t>
  </si>
  <si>
    <t>Upper Southern</t>
  </si>
  <si>
    <t>378b</t>
  </si>
  <si>
    <t>378d</t>
  </si>
  <si>
    <t>378e</t>
  </si>
  <si>
    <t>378f</t>
  </si>
  <si>
    <t>378g</t>
  </si>
  <si>
    <t>378h</t>
  </si>
  <si>
    <t>378i</t>
  </si>
  <si>
    <t>378c</t>
  </si>
  <si>
    <t>rice farming area</t>
  </si>
  <si>
    <t>378a.1</t>
  </si>
  <si>
    <t>378b.1</t>
  </si>
  <si>
    <t>378c.1</t>
  </si>
  <si>
    <t>378d.1</t>
  </si>
  <si>
    <t>378e.1</t>
  </si>
  <si>
    <t>378f.1</t>
  </si>
  <si>
    <t>378g.1</t>
  </si>
  <si>
    <t>378h.1</t>
  </si>
  <si>
    <t>378i.1</t>
  </si>
  <si>
    <t>378a.2</t>
  </si>
  <si>
    <t>378a.3</t>
  </si>
  <si>
    <t>378a.4</t>
  </si>
  <si>
    <t>378a.5</t>
  </si>
  <si>
    <t>378a.6</t>
  </si>
  <si>
    <t>378a.7</t>
  </si>
  <si>
    <t>378a.8</t>
  </si>
  <si>
    <t>378a.9</t>
  </si>
  <si>
    <t>378a.10</t>
  </si>
  <si>
    <t>378a.11</t>
  </si>
  <si>
    <t>378a.12</t>
  </si>
  <si>
    <t>378b.2</t>
  </si>
  <si>
    <t>378b.3</t>
  </si>
  <si>
    <t>378b.4</t>
  </si>
  <si>
    <t>378b.5</t>
  </si>
  <si>
    <t>378b.6</t>
  </si>
  <si>
    <t>378b.7</t>
  </si>
  <si>
    <t>378b.8</t>
  </si>
  <si>
    <t>378b.9</t>
  </si>
  <si>
    <t>378b.10</t>
  </si>
  <si>
    <t>378b.11</t>
  </si>
  <si>
    <t>378b.12</t>
  </si>
  <si>
    <t>378c.2</t>
  </si>
  <si>
    <t>378c.3</t>
  </si>
  <si>
    <t>378c.4</t>
  </si>
  <si>
    <t>378c.5</t>
  </si>
  <si>
    <t>378c.6</t>
  </si>
  <si>
    <t>378c.7</t>
  </si>
  <si>
    <t>378c.8</t>
  </si>
  <si>
    <t>378c.9</t>
  </si>
  <si>
    <t>378c.10</t>
  </si>
  <si>
    <t>378c.11</t>
  </si>
  <si>
    <t>378c.12</t>
  </si>
  <si>
    <t>378d.2</t>
  </si>
  <si>
    <t>378d.3</t>
  </si>
  <si>
    <t>378d.4</t>
  </si>
  <si>
    <t>378d.5</t>
  </si>
  <si>
    <t>378d.6</t>
  </si>
  <si>
    <t>378d.7</t>
  </si>
  <si>
    <t>378d.8</t>
  </si>
  <si>
    <t>378d.9</t>
  </si>
  <si>
    <t>378d.10</t>
  </si>
  <si>
    <t>378d.11</t>
  </si>
  <si>
    <t>378d.12</t>
  </si>
  <si>
    <t>378e.2</t>
  </si>
  <si>
    <t>378e.3</t>
  </si>
  <si>
    <t>378e.4</t>
  </si>
  <si>
    <t>378e.5</t>
  </si>
  <si>
    <t>378e.6</t>
  </si>
  <si>
    <t>378e.7</t>
  </si>
  <si>
    <t>378e.8</t>
  </si>
  <si>
    <t>378e.9</t>
  </si>
  <si>
    <t>378e.10</t>
  </si>
  <si>
    <t>378e.11</t>
  </si>
  <si>
    <t>378e.12</t>
  </si>
  <si>
    <t>378f.2</t>
  </si>
  <si>
    <t>378f.3</t>
  </si>
  <si>
    <t>378f.4</t>
  </si>
  <si>
    <t>378f.5</t>
  </si>
  <si>
    <t>378f.6</t>
  </si>
  <si>
    <t>378f.7</t>
  </si>
  <si>
    <t>378f.8</t>
  </si>
  <si>
    <t>378f.9</t>
  </si>
  <si>
    <t>378f.10</t>
  </si>
  <si>
    <t>378f.11</t>
  </si>
  <si>
    <t>378f.12</t>
  </si>
  <si>
    <t>378g.2</t>
  </si>
  <si>
    <t>378g.3</t>
  </si>
  <si>
    <t>378g.4</t>
  </si>
  <si>
    <t>378g.5</t>
  </si>
  <si>
    <t>378g.6</t>
  </si>
  <si>
    <t>378g.7</t>
  </si>
  <si>
    <t>378g.8</t>
  </si>
  <si>
    <t>378g.9</t>
  </si>
  <si>
    <t>378g.10</t>
  </si>
  <si>
    <t>378g.11</t>
  </si>
  <si>
    <t>378g.12</t>
  </si>
  <si>
    <t>378h.2</t>
  </si>
  <si>
    <t>378h.3</t>
  </si>
  <si>
    <t>378h.4</t>
  </si>
  <si>
    <t>378h.5</t>
  </si>
  <si>
    <t>378h.6</t>
  </si>
  <si>
    <t>378h.7</t>
  </si>
  <si>
    <t>378h.8</t>
  </si>
  <si>
    <t>378h.9</t>
  </si>
  <si>
    <t>378h.10</t>
  </si>
  <si>
    <t>378h.11</t>
  </si>
  <si>
    <t>378h.12</t>
  </si>
  <si>
    <t>378i.2</t>
  </si>
  <si>
    <t>378i.3</t>
  </si>
  <si>
    <t>378i.4</t>
  </si>
  <si>
    <t>378i.5</t>
  </si>
  <si>
    <t>378i.6</t>
  </si>
  <si>
    <t>378i.7</t>
  </si>
  <si>
    <t>378i.8</t>
  </si>
  <si>
    <t>378i.9</t>
  </si>
  <si>
    <t>378i.10</t>
  </si>
  <si>
    <t>378i.11</t>
  </si>
  <si>
    <t>378i.12</t>
  </si>
  <si>
    <t>Gomez-Gonzalez 2018</t>
  </si>
  <si>
    <t>379a</t>
  </si>
  <si>
    <t>379b</t>
  </si>
  <si>
    <t>Chile</t>
  </si>
  <si>
    <t>379a.1</t>
  </si>
  <si>
    <t>379a.2</t>
  </si>
  <si>
    <t>Fire caused by faults in the electricity grid</t>
  </si>
  <si>
    <t>379b.1</t>
  </si>
  <si>
    <t>379b.2</t>
  </si>
  <si>
    <t>"More than half the 600kha bured was in plantation forests"</t>
  </si>
  <si>
    <t>Southern</t>
  </si>
  <si>
    <t>Plantation forest number is for whole country</t>
  </si>
  <si>
    <t>Although fuel treatment took place on ~ 25% of forests, the presence of plantation forests composed of fire-prone species greatly increased the size of wildfires in the region</t>
  </si>
  <si>
    <t>Fuel management was largely restriced to WUI areas, and so the presence of plantation forests composed of fire-prone species greatly increased the size of wildfires in the region</t>
  </si>
  <si>
    <t>Abandoned and under-managed plantation forest was a major fire risk in the study region</t>
  </si>
  <si>
    <t>CELPA 2015</t>
  </si>
  <si>
    <t>380a</t>
  </si>
  <si>
    <t>Continental Portugal</t>
  </si>
  <si>
    <t>380a.1</t>
  </si>
  <si>
    <t>380a.2</t>
  </si>
  <si>
    <t>380a.3</t>
  </si>
  <si>
    <t>380a.4</t>
  </si>
  <si>
    <t>Ignitions estimate uses world bank 2016 estimate of portugal's forest cover of 34.61 percent; 15385 ignitions were reported</t>
  </si>
  <si>
    <t>380a.5</t>
  </si>
  <si>
    <t>380a.6</t>
  </si>
  <si>
    <t>380a.7</t>
  </si>
  <si>
    <t>Both plantation and regular forest</t>
  </si>
  <si>
    <t>Extensive fuel management programme in place</t>
  </si>
  <si>
    <t>Ubeda 2016</t>
  </si>
  <si>
    <t>381a</t>
  </si>
  <si>
    <t>XV Arica and Parinacota Region</t>
  </si>
  <si>
    <t>I Tarapacá Region</t>
  </si>
  <si>
    <t>II Antofagasta Region</t>
  </si>
  <si>
    <t>III Atacama Region</t>
  </si>
  <si>
    <t>V Valparaíso Region</t>
  </si>
  <si>
    <t>VI Región del Libertador General Bernardo O'Higgins</t>
  </si>
  <si>
    <t>VII Maule Region</t>
  </si>
  <si>
    <t>XVI Ñuble Region</t>
  </si>
  <si>
    <t>VIII Biobío Region</t>
  </si>
  <si>
    <t>IX Araucanía Region</t>
  </si>
  <si>
    <t>XIV Los Ríos Region</t>
  </si>
  <si>
    <t>X Los Lagos Region</t>
  </si>
  <si>
    <t>XI Aisén Region</t>
  </si>
  <si>
    <t>XII Magallanes and Antártica Chilena Region</t>
  </si>
  <si>
    <t>IV Coquimbo Region</t>
  </si>
  <si>
    <t>381b</t>
  </si>
  <si>
    <t>381c</t>
  </si>
  <si>
    <t>381d</t>
  </si>
  <si>
    <t>381e</t>
  </si>
  <si>
    <t>381f</t>
  </si>
  <si>
    <t>381g</t>
  </si>
  <si>
    <t>381h</t>
  </si>
  <si>
    <t>381i</t>
  </si>
  <si>
    <t>381j</t>
  </si>
  <si>
    <t>381k</t>
  </si>
  <si>
    <t>381l</t>
  </si>
  <si>
    <t>381m</t>
  </si>
  <si>
    <t>381n</t>
  </si>
  <si>
    <t>381o</t>
  </si>
  <si>
    <t>381p</t>
  </si>
  <si>
    <t>381q</t>
  </si>
  <si>
    <t>Pasture and cropland is evenly divided from overall "agro-pastoral" land figure</t>
  </si>
  <si>
    <t>381a.1</t>
  </si>
  <si>
    <t xml:space="preserve">Ubeda 2016 &amp; CONAF </t>
  </si>
  <si>
    <t>Data from Ubeda complemented with information from secondary data source (CONAF)</t>
  </si>
  <si>
    <t>Data is for escaped wildfires only - "A forest fire is a fire that, whatever its origin and with danger or damage to people, property or the environment, spreads uncontrollably in rural areas, through woody, shrub or herbaceous vegetation, alive or dead."</t>
  </si>
  <si>
    <t>381aa</t>
  </si>
  <si>
    <t>381ba</t>
  </si>
  <si>
    <t>381aa.1</t>
  </si>
  <si>
    <t>381ba.1</t>
  </si>
  <si>
    <t>381ab</t>
  </si>
  <si>
    <t>381ac</t>
  </si>
  <si>
    <t>381ad</t>
  </si>
  <si>
    <t>381ae</t>
  </si>
  <si>
    <t>381af</t>
  </si>
  <si>
    <t>381ag</t>
  </si>
  <si>
    <t>381ah</t>
  </si>
  <si>
    <t>381ai</t>
  </si>
  <si>
    <t>381aj</t>
  </si>
  <si>
    <t>381ak</t>
  </si>
  <si>
    <t>381al</t>
  </si>
  <si>
    <t>381am</t>
  </si>
  <si>
    <t>381an</t>
  </si>
  <si>
    <t>381ao</t>
  </si>
  <si>
    <t>381ap</t>
  </si>
  <si>
    <t>381b.1</t>
  </si>
  <si>
    <t>381c.1</t>
  </si>
  <si>
    <t>381d.1</t>
  </si>
  <si>
    <t>381e.1</t>
  </si>
  <si>
    <t>381f.1</t>
  </si>
  <si>
    <t>381g.1</t>
  </si>
  <si>
    <t>381h.1</t>
  </si>
  <si>
    <t>381i.1</t>
  </si>
  <si>
    <t>381j.1</t>
  </si>
  <si>
    <t>381k.1</t>
  </si>
  <si>
    <t>381l.1</t>
  </si>
  <si>
    <t>381m.1</t>
  </si>
  <si>
    <t>381n.1</t>
  </si>
  <si>
    <t>381o.1</t>
  </si>
  <si>
    <t>381p.1</t>
  </si>
  <si>
    <t>381ab.1</t>
  </si>
  <si>
    <t>381ac.1</t>
  </si>
  <si>
    <t>381ad.1</t>
  </si>
  <si>
    <t>381ae.1</t>
  </si>
  <si>
    <t>381af.1</t>
  </si>
  <si>
    <t>381ag.1</t>
  </si>
  <si>
    <t>381ah.1</t>
  </si>
  <si>
    <t>381ai.1</t>
  </si>
  <si>
    <t>381aj.1</t>
  </si>
  <si>
    <t>381ak.1</t>
  </si>
  <si>
    <t>381al.1</t>
  </si>
  <si>
    <t>381am.1</t>
  </si>
  <si>
    <t>381an.1</t>
  </si>
  <si>
    <t>381ao.1</t>
  </si>
  <si>
    <t>381ap.1</t>
  </si>
  <si>
    <t>Santiago Metropolitan Area</t>
  </si>
  <si>
    <t>381aq</t>
  </si>
  <si>
    <t>381aq.1</t>
  </si>
  <si>
    <t>381q.1</t>
  </si>
  <si>
    <t>WUI</t>
  </si>
  <si>
    <t>381al.2</t>
  </si>
  <si>
    <t>381am.2</t>
  </si>
  <si>
    <t>Lightning fires were negligible (0.7% of ignitions), whilst wildfires under the CONAF definition were caused by a combination of accidents, arson and negligent but purposeful use of fire. These proportions are unknown and so are grouped here.</t>
  </si>
  <si>
    <t>381aq.2</t>
  </si>
  <si>
    <t>381ah.2</t>
  </si>
  <si>
    <t>Arson against forest plantations is specifically noted</t>
  </si>
  <si>
    <t>Accidental fires caused by toursits within Patagonian protected areas are noted explicitly</t>
  </si>
  <si>
    <t>WUI fires were on the increase</t>
  </si>
  <si>
    <t>381am.3</t>
  </si>
  <si>
    <t>381m.2</t>
  </si>
  <si>
    <t>Stubble burning noted explicitly</t>
  </si>
  <si>
    <t>381ag.2</t>
  </si>
  <si>
    <t>Complex system of wildfire detection towers covering the majority of the region (75%), combined with firefighting</t>
  </si>
  <si>
    <t>Fuel build-ups around houses in forested areas were common, and a major fire hazard</t>
  </si>
  <si>
    <t>Houses in WUI areas were often on steep slopes, making fire fighting a major challenge</t>
  </si>
  <si>
    <t>Growth of plantation forests was directly linked to increasing wildfires; intensive management practices led to large fuel build-ups</t>
  </si>
  <si>
    <t>Pruning, clearing and building firebreaks; however ongoing wildfires demonstrated "the continuing need for these actions"</t>
  </si>
  <si>
    <t>Rivas 2012</t>
  </si>
  <si>
    <t>382a</t>
  </si>
  <si>
    <t>382b</t>
  </si>
  <si>
    <t>Tolhuaca National Park</t>
  </si>
  <si>
    <t>Andes</t>
  </si>
  <si>
    <t>VIII</t>
  </si>
  <si>
    <t>Agricultural Study Site</t>
  </si>
  <si>
    <t>382a.1</t>
  </si>
  <si>
    <t>382b.1</t>
  </si>
  <si>
    <t>383a</t>
  </si>
  <si>
    <t>South Australia</t>
  </si>
  <si>
    <t>"Green Triangle"</t>
  </si>
  <si>
    <t>Cruz 2017</t>
  </si>
  <si>
    <t>383a.1</t>
  </si>
  <si>
    <t>Fires drove a pronounced change in forest management</t>
  </si>
  <si>
    <t>383a.2</t>
  </si>
  <si>
    <t>Fire preventation was not a major part of forest management before the 1984 fires</t>
  </si>
  <si>
    <t>Highly managed prescribed burns</t>
  </si>
  <si>
    <t>Fire management zones, large scale pruning and thinning and other strategic fuel reduction to prevent crown fires; compartmentalisation of forests.</t>
  </si>
  <si>
    <t>Rego 2013</t>
  </si>
  <si>
    <t>384a</t>
  </si>
  <si>
    <t>384a.1</t>
  </si>
  <si>
    <t>Portugese forest fire strategy sought to reduce plantation forest fires from 3-4% to 0.8% of planted area p/a.</t>
  </si>
  <si>
    <t>385a</t>
  </si>
  <si>
    <t>385a.1</t>
  </si>
  <si>
    <t>Bowman et al., 2017</t>
  </si>
  <si>
    <t>Mediterranean Chile</t>
  </si>
  <si>
    <t>385a.2</t>
  </si>
  <si>
    <t>385a.3</t>
  </si>
  <si>
    <t>385a.4</t>
  </si>
  <si>
    <t>385a.5</t>
  </si>
  <si>
    <t>385a.6</t>
  </si>
  <si>
    <t>385b</t>
  </si>
  <si>
    <t>Aguilera Vivanco 2016, cited in Bowman et al., 2017</t>
  </si>
  <si>
    <t>Abandoned agricultural land; abandonment was driven in large part by the growth of industrial forest plantations</t>
  </si>
  <si>
    <t>385b.1</t>
  </si>
  <si>
    <t>Cropping included traditional small-holders and vineyards</t>
  </si>
  <si>
    <t>386a</t>
  </si>
  <si>
    <t>Boer 2020</t>
  </si>
  <si>
    <t>New South Wales &amp; Victoria</t>
  </si>
  <si>
    <t>Study area is forest area - but not clear what % is natural forest vs eucalyptus plantation; land tenure and use from Australian Govt</t>
  </si>
  <si>
    <t>386a.1</t>
  </si>
  <si>
    <t>386a.2</t>
  </si>
  <si>
    <t>Fire breaks had previously relied on "Naturally occurring firebreaks, such as moist gullies, swamps or south-facing slopes"; however these had dried out and did not prevent the spread of fire through the forests</t>
  </si>
  <si>
    <t>Clode 2014</t>
  </si>
  <si>
    <t>Murrindindi</t>
  </si>
  <si>
    <t>387a</t>
  </si>
  <si>
    <t>387b</t>
  </si>
  <si>
    <t>387a.1</t>
  </si>
  <si>
    <t>387b.1</t>
  </si>
  <si>
    <t>387a.2</t>
  </si>
  <si>
    <t>387b.2</t>
  </si>
  <si>
    <t>Churchill</t>
  </si>
  <si>
    <t>Gibbons 2012</t>
  </si>
  <si>
    <t>Widespread prescribed burning programmes; the hectare targets for wildfire reduction were seen as environmentally destructive by ecologists (Clode 2014)</t>
  </si>
  <si>
    <t>387a.3</t>
  </si>
  <si>
    <t>387b.3</t>
  </si>
  <si>
    <t>Homeowners fuel reduction on their properties was limited; almost all was conducted on public lands</t>
  </si>
  <si>
    <t>388a</t>
  </si>
  <si>
    <t>Data reported focuses on prescribed burning on public lands</t>
  </si>
  <si>
    <t>388a.1</t>
  </si>
  <si>
    <t>Prescribed burning target for "high risk" public lands</t>
  </si>
  <si>
    <t>Although prescribed burning programme was widespread, the aftermath of deadly fires on "black Wednesday" led to calls to increase the burned area p/a to 5%</t>
  </si>
  <si>
    <t>388a.2</t>
  </si>
  <si>
    <t xml:space="preserve">Extent of prescribed burning programmes was severely limited by air quality concerns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</si>
</sst>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00000"/>
    <numFmt numFmtId="166" formatCode="0.0_ "/>
    <numFmt numFmtId="167" formatCode="0.00_ "/>
    <numFmt numFmtId="168" formatCode="0.000_ "/>
    <numFmt numFmtId="169" formatCode="0.0000"/>
  </numFmts>
  <fonts count="28">
    <font>
      <sz val="11"/>
      <color theme="1"/>
      <name val="Calibri"/>
      <family val="2"/>
      <scheme val="minor"/>
    </font>
    <font>
      <sz val="11"/>
      <color rgb="FFFF0000"/>
      <name val="Calibri"/>
      <family val="2"/>
      <scheme val="minor"/>
    </font>
    <font>
      <b/>
      <sz val="12"/>
      <color theme="1"/>
      <name val="Calibri"/>
      <family val="2"/>
      <scheme val="minor"/>
    </font>
    <font>
      <u/>
      <sz val="11"/>
      <color theme="10"/>
      <name val="Calibri"/>
      <family val="2"/>
      <scheme val="minor"/>
    </font>
    <font>
      <b/>
      <vertAlign val="superscript"/>
      <sz val="12"/>
      <color theme="1"/>
      <name val="Calibri"/>
      <family val="2"/>
      <scheme val="minor"/>
    </font>
    <font>
      <u/>
      <sz val="11"/>
      <color rgb="FFFF0000"/>
      <name val="Calibri"/>
      <family val="2"/>
      <scheme val="minor"/>
    </font>
    <font>
      <sz val="8"/>
      <name val="Calibri"/>
      <family val="2"/>
      <scheme val="minor"/>
    </font>
    <font>
      <vertAlign val="superscript"/>
      <sz val="11"/>
      <color theme="1"/>
      <name val="Calibri"/>
      <family val="2"/>
      <scheme val="minor"/>
    </font>
    <font>
      <sz val="11"/>
      <color theme="1"/>
      <name val="Calibri"/>
      <family val="2"/>
      <scheme val="minor"/>
    </font>
    <font>
      <u/>
      <sz val="11"/>
      <color theme="1"/>
      <name val="Calibri"/>
      <family val="2"/>
      <scheme val="minor"/>
    </font>
    <font>
      <i/>
      <sz val="11"/>
      <color theme="1"/>
      <name val="Calibri"/>
      <family val="2"/>
      <scheme val="minor"/>
    </font>
    <font>
      <b/>
      <sz val="11"/>
      <color theme="1"/>
      <name val="Calibri"/>
      <family val="2"/>
      <scheme val="minor"/>
    </font>
    <font>
      <i/>
      <sz val="11"/>
      <color rgb="FFFF0000"/>
      <name val="Calibri"/>
      <family val="2"/>
      <scheme val="minor"/>
    </font>
    <font>
      <sz val="11"/>
      <color rgb="FF222222"/>
      <name val="Arial"/>
      <family val="2"/>
    </font>
    <font>
      <sz val="11"/>
      <color rgb="FF000000"/>
      <name val="Calibri"/>
      <family val="2"/>
      <scheme val="minor"/>
    </font>
    <font>
      <sz val="11"/>
      <color rgb="FF212121"/>
      <name val="Calibri"/>
      <family val="2"/>
      <scheme val="minor"/>
    </font>
    <font>
      <b/>
      <sz val="11"/>
      <color rgb="FFFF0000"/>
      <name val="Calibri"/>
      <family val="2"/>
      <scheme val="minor"/>
    </font>
    <font>
      <sz val="11"/>
      <color theme="1"/>
      <name val="Calibri "/>
    </font>
    <font>
      <sz val="12"/>
      <color theme="1"/>
      <name val="Calibri"/>
      <family val="2"/>
      <scheme val="minor"/>
    </font>
    <font>
      <sz val="9"/>
      <color rgb="FF000000"/>
      <name val="Calibri"/>
      <family val="2"/>
      <scheme val="minor"/>
    </font>
    <font>
      <sz val="8"/>
      <color theme="1"/>
      <name val="Calibri"/>
      <family val="2"/>
      <scheme val="minor"/>
    </font>
    <font>
      <sz val="11"/>
      <color rgb="FF333333"/>
      <name val="Calibri"/>
      <family val="2"/>
      <scheme val="minor"/>
    </font>
    <font>
      <sz val="11"/>
      <color rgb="FF000000"/>
      <name val="Arial"/>
      <family val="2"/>
    </font>
    <font>
      <sz val="11"/>
      <name val="Calibri"/>
      <family val="2"/>
      <scheme val="minor"/>
    </font>
    <font>
      <u/>
      <sz val="11"/>
      <color rgb="FF800080"/>
      <name val="Calibri"/>
      <family val="2"/>
      <scheme val="minor"/>
    </font>
    <font>
      <u/>
      <sz val="11"/>
      <color rgb="FF0000FF"/>
      <name val="Calibri"/>
      <family val="2"/>
      <scheme val="minor"/>
    </font>
    <font>
      <sz val="10"/>
      <name val="Arial"/>
      <family val="2"/>
    </font>
    <font>
      <sz val="11"/>
      <color rgb="FF9C6500"/>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rgb="FFFFEB9C"/>
      </patternFill>
    </fill>
  </fills>
  <borders count="22">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s>
  <cellStyleXfs count="8">
    <xf numFmtId="0" fontId="0" fillId="0" borderId="0"/>
    <xf numFmtId="0" fontId="3" fillId="0" borderId="0" applyNumberForma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25" fillId="0" borderId="0" applyNumberFormat="0" applyFill="0" applyBorder="0" applyAlignment="0" applyProtection="0">
      <alignment vertical="center"/>
    </xf>
    <xf numFmtId="0" fontId="26" fillId="0" borderId="0"/>
    <xf numFmtId="0" fontId="27" fillId="4" borderId="0" applyNumberFormat="0" applyBorder="0" applyAlignment="0" applyProtection="0"/>
    <xf numFmtId="0" fontId="8" fillId="0" borderId="0"/>
  </cellStyleXfs>
  <cellXfs count="238">
    <xf numFmtId="0" fontId="0" fillId="0" borderId="0" xfId="0"/>
    <xf numFmtId="0" fontId="2" fillId="0" borderId="1" xfId="0" applyFont="1" applyBorder="1"/>
    <xf numFmtId="0" fontId="2" fillId="0" borderId="2" xfId="0" applyFont="1" applyBorder="1"/>
    <xf numFmtId="0" fontId="0" fillId="0" borderId="4" xfId="0" applyBorder="1"/>
    <xf numFmtId="0" fontId="0" fillId="0" borderId="4" xfId="0" applyBorder="1" applyAlignment="1">
      <alignment wrapText="1"/>
    </xf>
    <xf numFmtId="0" fontId="0" fillId="0" borderId="5" xfId="0" applyBorder="1"/>
    <xf numFmtId="0" fontId="0" fillId="0" borderId="5" xfId="0" applyBorder="1" applyAlignment="1">
      <alignment wrapText="1"/>
    </xf>
    <xf numFmtId="0" fontId="3" fillId="0" borderId="5" xfId="1" applyBorder="1"/>
    <xf numFmtId="0" fontId="1" fillId="0" borderId="4" xfId="0" applyFont="1" applyBorder="1"/>
    <xf numFmtId="0" fontId="1" fillId="0" borderId="4" xfId="0" applyFont="1" applyBorder="1" applyAlignment="1">
      <alignment wrapText="1"/>
    </xf>
    <xf numFmtId="0" fontId="0" fillId="2" borderId="4" xfId="0" applyFont="1" applyFill="1" applyBorder="1" applyAlignment="1">
      <alignment wrapText="1"/>
    </xf>
    <xf numFmtId="0" fontId="0" fillId="0" borderId="4" xfId="0" applyFill="1" applyBorder="1"/>
    <xf numFmtId="0" fontId="0" fillId="2" borderId="4" xfId="0" applyFill="1" applyBorder="1"/>
    <xf numFmtId="2" fontId="0" fillId="0" borderId="0" xfId="0" applyNumberFormat="1"/>
    <xf numFmtId="164" fontId="0" fillId="0" borderId="0" xfId="0" applyNumberFormat="1"/>
    <xf numFmtId="0" fontId="2" fillId="0" borderId="2" xfId="0" applyFont="1" applyBorder="1" applyAlignment="1">
      <alignment wrapText="1"/>
    </xf>
    <xf numFmtId="0" fontId="2" fillId="0" borderId="3" xfId="0" applyFont="1" applyFill="1" applyBorder="1"/>
    <xf numFmtId="0" fontId="2" fillId="0" borderId="2" xfId="0" applyFont="1" applyFill="1" applyBorder="1"/>
    <xf numFmtId="0" fontId="0" fillId="0" borderId="4" xfId="0" quotePrefix="1" applyBorder="1" applyAlignment="1">
      <alignment wrapText="1"/>
    </xf>
    <xf numFmtId="0" fontId="0" fillId="0" borderId="4" xfId="0" applyFill="1" applyBorder="1" applyAlignment="1">
      <alignment wrapText="1"/>
    </xf>
    <xf numFmtId="0" fontId="1" fillId="0" borderId="4" xfId="0" applyFont="1" applyFill="1" applyBorder="1"/>
    <xf numFmtId="164" fontId="0" fillId="0" borderId="4" xfId="0" applyNumberFormat="1" applyBorder="1"/>
    <xf numFmtId="0" fontId="0" fillId="0" borderId="4" xfId="0" applyFont="1" applyBorder="1"/>
    <xf numFmtId="0" fontId="0" fillId="0" borderId="4" xfId="0" applyFont="1" applyFill="1" applyBorder="1"/>
    <xf numFmtId="0" fontId="0" fillId="0" borderId="4" xfId="0" applyFont="1" applyBorder="1" applyAlignment="1">
      <alignment wrapText="1"/>
    </xf>
    <xf numFmtId="164" fontId="0" fillId="0" borderId="5" xfId="0" applyNumberFormat="1" applyBorder="1"/>
    <xf numFmtId="0" fontId="0" fillId="0" borderId="4" xfId="0" applyFont="1" applyFill="1" applyBorder="1" applyAlignment="1">
      <alignment wrapText="1"/>
    </xf>
    <xf numFmtId="0" fontId="2" fillId="0" borderId="2" xfId="0" applyFont="1" applyFill="1" applyBorder="1" applyAlignment="1">
      <alignment wrapText="1"/>
    </xf>
    <xf numFmtId="0" fontId="0" fillId="0" borderId="4" xfId="1" applyFont="1" applyBorder="1"/>
    <xf numFmtId="0" fontId="0" fillId="0" borderId="4" xfId="1" applyFont="1" applyBorder="1" applyAlignment="1">
      <alignment wrapText="1"/>
    </xf>
    <xf numFmtId="0" fontId="0" fillId="0" borderId="4" xfId="1" applyFont="1" applyFill="1" applyBorder="1" applyAlignment="1">
      <alignment wrapText="1"/>
    </xf>
    <xf numFmtId="0" fontId="0" fillId="0" borderId="4" xfId="0" applyBorder="1" applyAlignment="1">
      <alignment horizontal="left"/>
    </xf>
    <xf numFmtId="0" fontId="0" fillId="0" borderId="6" xfId="0" applyBorder="1"/>
    <xf numFmtId="0" fontId="0" fillId="0" borderId="6" xfId="0" applyFill="1" applyBorder="1"/>
    <xf numFmtId="0" fontId="1" fillId="0" borderId="4" xfId="0" applyFont="1" applyFill="1" applyBorder="1" applyAlignment="1">
      <alignment wrapText="1"/>
    </xf>
    <xf numFmtId="0" fontId="0" fillId="0" borderId="7" xfId="0" applyFill="1" applyBorder="1"/>
    <xf numFmtId="0" fontId="0" fillId="0" borderId="7" xfId="0" applyFont="1" applyFill="1" applyBorder="1"/>
    <xf numFmtId="0" fontId="0" fillId="0" borderId="7" xfId="0" applyFont="1" applyBorder="1" applyAlignment="1">
      <alignment wrapText="1"/>
    </xf>
    <xf numFmtId="0" fontId="0" fillId="0" borderId="7" xfId="0" applyBorder="1"/>
    <xf numFmtId="0" fontId="0" fillId="0" borderId="4" xfId="0" quotePrefix="1" applyBorder="1"/>
    <xf numFmtId="0" fontId="3" fillId="0" borderId="4" xfId="1" applyBorder="1"/>
    <xf numFmtId="0" fontId="3" fillId="0" borderId="4" xfId="1" applyBorder="1" applyAlignment="1">
      <alignment wrapText="1"/>
    </xf>
    <xf numFmtId="0" fontId="0" fillId="0" borderId="5" xfId="1" applyFont="1" applyBorder="1"/>
    <xf numFmtId="0" fontId="0" fillId="0" borderId="4" xfId="1" applyFont="1" applyFill="1" applyBorder="1"/>
    <xf numFmtId="0" fontId="0" fillId="3" borderId="4" xfId="0" applyFill="1" applyBorder="1"/>
    <xf numFmtId="0" fontId="0" fillId="0" borderId="5" xfId="0" applyFill="1" applyBorder="1"/>
    <xf numFmtId="0" fontId="0" fillId="0" borderId="5" xfId="0" applyFont="1" applyFill="1" applyBorder="1"/>
    <xf numFmtId="0" fontId="0" fillId="0" borderId="8" xfId="0" applyBorder="1" applyAlignment="1">
      <alignment wrapText="1"/>
    </xf>
    <xf numFmtId="0" fontId="0" fillId="0" borderId="9" xfId="0" applyBorder="1" applyAlignment="1">
      <alignment wrapText="1"/>
    </xf>
    <xf numFmtId="0" fontId="0" fillId="0" borderId="9" xfId="0" applyFill="1" applyBorder="1" applyAlignment="1">
      <alignment wrapText="1"/>
    </xf>
    <xf numFmtId="0" fontId="0" fillId="0" borderId="9" xfId="0" applyFont="1" applyFill="1" applyBorder="1" applyAlignment="1">
      <alignment wrapText="1"/>
    </xf>
    <xf numFmtId="0" fontId="0" fillId="0" borderId="9" xfId="0" applyFont="1" applyFill="1" applyBorder="1"/>
    <xf numFmtId="0" fontId="0" fillId="0" borderId="9" xfId="0" applyBorder="1"/>
    <xf numFmtId="0" fontId="0" fillId="0" borderId="5" xfId="0" applyFill="1" applyBorder="1" applyAlignment="1">
      <alignment wrapText="1"/>
    </xf>
    <xf numFmtId="0" fontId="3" fillId="0" borderId="7" xfId="1" applyBorder="1"/>
    <xf numFmtId="0" fontId="0" fillId="0" borderId="7" xfId="0" applyFill="1" applyBorder="1" applyAlignment="1">
      <alignment wrapText="1"/>
    </xf>
    <xf numFmtId="0" fontId="0" fillId="0" borderId="6" xfId="0" applyFont="1" applyFill="1" applyBorder="1"/>
    <xf numFmtId="0" fontId="3" fillId="0" borderId="4" xfId="1" applyFill="1" applyBorder="1"/>
    <xf numFmtId="0" fontId="0" fillId="3" borderId="4" xfId="0" applyFill="1" applyBorder="1" applyAlignment="1">
      <alignment wrapText="1"/>
    </xf>
    <xf numFmtId="0" fontId="0" fillId="0" borderId="6" xfId="0" applyFont="1" applyFill="1" applyBorder="1" applyAlignment="1">
      <alignment wrapText="1"/>
    </xf>
    <xf numFmtId="0" fontId="0" fillId="0" borderId="0" xfId="0" applyAlignment="1">
      <alignment wrapText="1"/>
    </xf>
    <xf numFmtId="0" fontId="9" fillId="0" borderId="4" xfId="1" applyFont="1" applyBorder="1"/>
    <xf numFmtId="0" fontId="8" fillId="0" borderId="4" xfId="1" applyFont="1" applyBorder="1"/>
    <xf numFmtId="0" fontId="8" fillId="0" borderId="4" xfId="0" applyFont="1" applyBorder="1"/>
    <xf numFmtId="0" fontId="10" fillId="0" borderId="4" xfId="0" applyFont="1" applyFill="1" applyBorder="1"/>
    <xf numFmtId="0" fontId="0" fillId="3" borderId="4" xfId="0" applyFont="1" applyFill="1" applyBorder="1"/>
    <xf numFmtId="0" fontId="0" fillId="3" borderId="5" xfId="0" applyFill="1" applyBorder="1" applyAlignment="1">
      <alignment wrapText="1"/>
    </xf>
    <xf numFmtId="0" fontId="0" fillId="3" borderId="4" xfId="0" applyFont="1" applyFill="1" applyBorder="1" applyAlignment="1">
      <alignment wrapText="1"/>
    </xf>
    <xf numFmtId="0" fontId="2" fillId="0" borderId="3" xfId="0" applyFont="1" applyFill="1" applyBorder="1" applyAlignment="1">
      <alignment wrapText="1"/>
    </xf>
    <xf numFmtId="0" fontId="11" fillId="0" borderId="1" xfId="0" applyFont="1" applyBorder="1"/>
    <xf numFmtId="0" fontId="0" fillId="0" borderId="5" xfId="0" applyBorder="1" applyAlignment="1">
      <alignment horizontal="left"/>
    </xf>
    <xf numFmtId="164" fontId="2" fillId="0" borderId="2" xfId="0" applyNumberFormat="1" applyFont="1" applyBorder="1" applyAlignment="1">
      <alignment wrapText="1"/>
    </xf>
    <xf numFmtId="164" fontId="1" fillId="0" borderId="4" xfId="0" applyNumberFormat="1" applyFont="1" applyBorder="1"/>
    <xf numFmtId="164" fontId="0" fillId="0" borderId="7" xfId="0" applyNumberFormat="1" applyBorder="1"/>
    <xf numFmtId="164" fontId="0" fillId="0" borderId="4" xfId="0" applyNumberFormat="1" applyFill="1" applyBorder="1"/>
    <xf numFmtId="164" fontId="0" fillId="0" borderId="4" xfId="0" applyNumberFormat="1" applyBorder="1" applyAlignment="1">
      <alignment wrapText="1"/>
    </xf>
    <xf numFmtId="164" fontId="0" fillId="0" borderId="4" xfId="0" applyNumberFormat="1" applyFont="1" applyFill="1" applyBorder="1"/>
    <xf numFmtId="164" fontId="0" fillId="0" borderId="4" xfId="0" applyNumberFormat="1" applyFont="1" applyBorder="1"/>
    <xf numFmtId="0" fontId="0" fillId="3" borderId="5" xfId="0" applyFill="1" applyBorder="1"/>
    <xf numFmtId="0" fontId="1" fillId="3" borderId="4" xfId="0" applyFont="1" applyFill="1" applyBorder="1" applyAlignment="1">
      <alignment wrapText="1"/>
    </xf>
    <xf numFmtId="164" fontId="2" fillId="0" borderId="2" xfId="0" applyNumberFormat="1" applyFont="1" applyFill="1" applyBorder="1" applyAlignment="1">
      <alignment wrapText="1"/>
    </xf>
    <xf numFmtId="164" fontId="0" fillId="0" borderId="6" xfId="0" applyNumberFormat="1" applyFont="1" applyBorder="1"/>
    <xf numFmtId="164" fontId="0" fillId="0" borderId="4" xfId="0" applyNumberFormat="1" applyFill="1" applyBorder="1" applyAlignment="1">
      <alignment wrapText="1"/>
    </xf>
    <xf numFmtId="0" fontId="2" fillId="0" borderId="1" xfId="0" applyFont="1" applyBorder="1" applyAlignment="1">
      <alignment wrapText="1"/>
    </xf>
    <xf numFmtId="164" fontId="0" fillId="0" borderId="5" xfId="0" applyNumberFormat="1" applyBorder="1" applyAlignment="1">
      <alignment horizontal="right"/>
    </xf>
    <xf numFmtId="164" fontId="0" fillId="0" borderId="4" xfId="0" applyNumberFormat="1" applyBorder="1" applyAlignment="1">
      <alignment horizontal="right"/>
    </xf>
    <xf numFmtId="164" fontId="0" fillId="0" borderId="6" xfId="0" applyNumberFormat="1" applyBorder="1"/>
    <xf numFmtId="164" fontId="0" fillId="0" borderId="4" xfId="0" applyNumberFormat="1" applyFont="1" applyBorder="1" applyAlignment="1">
      <alignment wrapText="1"/>
    </xf>
    <xf numFmtId="164" fontId="0" fillId="2" borderId="4" xfId="0" applyNumberFormat="1" applyFill="1" applyBorder="1"/>
    <xf numFmtId="164" fontId="1" fillId="0" borderId="4" xfId="0" applyNumberFormat="1" applyFont="1" applyFill="1" applyBorder="1"/>
    <xf numFmtId="0" fontId="0" fillId="2" borderId="4" xfId="0" applyFill="1" applyBorder="1" applyAlignment="1">
      <alignment horizontal="left"/>
    </xf>
    <xf numFmtId="0" fontId="3" fillId="2" borderId="4" xfId="1" applyFill="1" applyBorder="1" applyAlignment="1">
      <alignment wrapText="1"/>
    </xf>
    <xf numFmtId="0" fontId="0" fillId="2" borderId="4" xfId="0" applyFill="1" applyBorder="1" applyAlignment="1">
      <alignment wrapText="1"/>
    </xf>
    <xf numFmtId="0" fontId="0" fillId="2" borderId="4" xfId="0" applyFont="1" applyFill="1" applyBorder="1"/>
    <xf numFmtId="1" fontId="0" fillId="0" borderId="4" xfId="0" applyNumberFormat="1" applyFill="1" applyBorder="1"/>
    <xf numFmtId="1" fontId="0" fillId="0" borderId="4" xfId="0" applyNumberFormat="1" applyBorder="1"/>
    <xf numFmtId="0" fontId="0" fillId="3" borderId="4" xfId="0" applyFill="1" applyBorder="1" applyAlignment="1">
      <alignment horizontal="left"/>
    </xf>
    <xf numFmtId="0" fontId="5" fillId="3" borderId="4" xfId="1" applyFont="1" applyFill="1" applyBorder="1"/>
    <xf numFmtId="0" fontId="1" fillId="3" borderId="4" xfId="0" applyFont="1" applyFill="1" applyBorder="1"/>
    <xf numFmtId="164" fontId="1" fillId="3" borderId="4" xfId="0" applyNumberFormat="1" applyFont="1" applyFill="1" applyBorder="1"/>
    <xf numFmtId="49" fontId="0" fillId="0" borderId="0" xfId="0" applyNumberFormat="1"/>
    <xf numFmtId="0" fontId="0" fillId="3" borderId="5" xfId="1" applyFont="1" applyFill="1" applyBorder="1"/>
    <xf numFmtId="164" fontId="0" fillId="0" borderId="5" xfId="0" applyNumberFormat="1" applyFont="1" applyBorder="1"/>
    <xf numFmtId="49" fontId="0" fillId="0" borderId="4" xfId="0" applyNumberFormat="1" applyBorder="1"/>
    <xf numFmtId="0" fontId="0" fillId="0" borderId="5" xfId="0" applyFont="1" applyBorder="1" applyAlignment="1">
      <alignment wrapText="1"/>
    </xf>
    <xf numFmtId="0" fontId="12" fillId="0" borderId="4" xfId="0" applyFont="1" applyFill="1" applyBorder="1" applyAlignment="1">
      <alignment wrapText="1"/>
    </xf>
    <xf numFmtId="0" fontId="0" fillId="0" borderId="4" xfId="0" applyFill="1" applyBorder="1" applyAlignment="1">
      <alignment horizontal="left"/>
    </xf>
    <xf numFmtId="49" fontId="2" fillId="0" borderId="2" xfId="0" applyNumberFormat="1" applyFont="1" applyBorder="1" applyAlignment="1">
      <alignment wrapText="1"/>
    </xf>
    <xf numFmtId="49" fontId="0" fillId="0" borderId="5" xfId="0" applyNumberFormat="1" applyFont="1" applyBorder="1"/>
    <xf numFmtId="49" fontId="0" fillId="0" borderId="4" xfId="0" applyNumberFormat="1" applyFont="1" applyBorder="1"/>
    <xf numFmtId="49" fontId="1" fillId="0" borderId="4" xfId="0" applyNumberFormat="1" applyFont="1" applyBorder="1"/>
    <xf numFmtId="49" fontId="0" fillId="0" borderId="7" xfId="0" applyNumberFormat="1" applyBorder="1"/>
    <xf numFmtId="49" fontId="0" fillId="0" borderId="4" xfId="0" applyNumberFormat="1" applyFill="1" applyBorder="1" applyAlignment="1">
      <alignment wrapText="1"/>
    </xf>
    <xf numFmtId="0" fontId="10" fillId="0" borderId="4" xfId="0" applyFont="1" applyBorder="1" applyAlignment="1">
      <alignment wrapText="1"/>
    </xf>
    <xf numFmtId="0" fontId="13" fillId="0" borderId="0" xfId="0" applyFont="1"/>
    <xf numFmtId="0" fontId="0" fillId="0" borderId="10" xfId="0" applyBorder="1"/>
    <xf numFmtId="0" fontId="0" fillId="0" borderId="11" xfId="0" applyBorder="1"/>
    <xf numFmtId="0" fontId="0" fillId="0" borderId="12" xfId="0" applyBorder="1"/>
    <xf numFmtId="0" fontId="2" fillId="0" borderId="13" xfId="0" applyFont="1" applyBorder="1" applyAlignment="1">
      <alignment wrapText="1"/>
    </xf>
    <xf numFmtId="0" fontId="11" fillId="0" borderId="0" xfId="0" applyFont="1" applyBorder="1"/>
    <xf numFmtId="0" fontId="11" fillId="0" borderId="14" xfId="0" applyFont="1" applyBorder="1"/>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17" xfId="0" applyBorder="1"/>
    <xf numFmtId="49" fontId="0" fillId="0" borderId="10" xfId="0" applyNumberFormat="1" applyBorder="1"/>
    <xf numFmtId="49" fontId="2" fillId="0" borderId="13" xfId="0" applyNumberFormat="1" applyFont="1" applyBorder="1"/>
    <xf numFmtId="49" fontId="0" fillId="0" borderId="13" xfId="0" applyNumberFormat="1" applyBorder="1"/>
    <xf numFmtId="0" fontId="0" fillId="0" borderId="0" xfId="0" applyFill="1" applyBorder="1"/>
    <xf numFmtId="0" fontId="11" fillId="0" borderId="0" xfId="0" applyFont="1" applyFill="1" applyBorder="1"/>
    <xf numFmtId="0" fontId="2" fillId="0" borderId="0" xfId="0" applyFont="1" applyFill="1" applyBorder="1"/>
    <xf numFmtId="0" fontId="2" fillId="0" borderId="14" xfId="0" applyFont="1" applyBorder="1"/>
    <xf numFmtId="0" fontId="0" fillId="0" borderId="14" xfId="0" applyBorder="1" applyAlignment="1">
      <alignment wrapText="1"/>
    </xf>
    <xf numFmtId="49" fontId="0" fillId="0" borderId="0" xfId="0" applyNumberFormat="1" applyBorder="1"/>
    <xf numFmtId="0" fontId="11" fillId="0" borderId="13" xfId="0" applyFont="1" applyBorder="1"/>
    <xf numFmtId="0" fontId="0" fillId="0" borderId="0" xfId="0" applyBorder="1" applyAlignment="1">
      <alignment wrapText="1"/>
    </xf>
    <xf numFmtId="49" fontId="0" fillId="0" borderId="14" xfId="0" applyNumberFormat="1" applyBorder="1"/>
    <xf numFmtId="0" fontId="11" fillId="0" borderId="13" xfId="0" applyFont="1" applyBorder="1" applyAlignment="1">
      <alignment wrapText="1"/>
    </xf>
    <xf numFmtId="0" fontId="11" fillId="0" borderId="0" xfId="0" applyFont="1" applyBorder="1" applyAlignment="1">
      <alignment wrapText="1"/>
    </xf>
    <xf numFmtId="49" fontId="0" fillId="0" borderId="16" xfId="0" applyNumberFormat="1" applyBorder="1"/>
    <xf numFmtId="0" fontId="0" fillId="0" borderId="14" xfId="0" applyFill="1" applyBorder="1" applyAlignment="1">
      <alignment wrapText="1"/>
    </xf>
    <xf numFmtId="0" fontId="11" fillId="0" borderId="13" xfId="0" applyFont="1" applyFill="1" applyBorder="1"/>
    <xf numFmtId="0" fontId="10" fillId="0" borderId="4" xfId="0" applyFont="1" applyBorder="1"/>
    <xf numFmtId="0" fontId="0" fillId="0" borderId="0" xfId="0" applyFill="1" applyBorder="1" applyAlignment="1">
      <alignment wrapText="1"/>
    </xf>
    <xf numFmtId="0" fontId="0" fillId="0" borderId="4" xfId="0" applyBorder="1" applyProtection="1"/>
    <xf numFmtId="49" fontId="0" fillId="0" borderId="0" xfId="0" applyNumberFormat="1" applyFill="1" applyBorder="1"/>
    <xf numFmtId="0" fontId="0" fillId="0" borderId="4" xfId="0" applyBorder="1" applyAlignment="1" applyProtection="1">
      <alignment wrapText="1"/>
    </xf>
    <xf numFmtId="3" fontId="14" fillId="0" borderId="4" xfId="0" applyNumberFormat="1" applyFont="1" applyBorder="1"/>
    <xf numFmtId="0" fontId="15" fillId="0" borderId="4" xfId="0" applyFont="1" applyBorder="1"/>
    <xf numFmtId="0" fontId="0" fillId="0" borderId="6" xfId="0" applyFill="1" applyBorder="1" applyAlignment="1">
      <alignment wrapText="1"/>
    </xf>
    <xf numFmtId="0" fontId="0" fillId="0" borderId="4" xfId="0" applyFont="1" applyBorder="1" applyAlignment="1" applyProtection="1">
      <alignment wrapText="1"/>
    </xf>
    <xf numFmtId="0" fontId="0" fillId="0" borderId="18" xfId="0" applyFont="1" applyBorder="1"/>
    <xf numFmtId="0" fontId="0" fillId="0" borderId="4" xfId="0" applyFont="1" applyBorder="1" applyAlignment="1">
      <alignment horizontal="left"/>
    </xf>
    <xf numFmtId="0" fontId="9" fillId="0" borderId="4" xfId="1" applyFont="1" applyBorder="1" applyAlignment="1">
      <alignment wrapText="1"/>
    </xf>
    <xf numFmtId="0" fontId="0" fillId="0" borderId="5" xfId="0" applyFont="1" applyBorder="1" applyAlignment="1" applyProtection="1">
      <alignment wrapText="1"/>
    </xf>
    <xf numFmtId="3" fontId="0" fillId="0" borderId="4" xfId="0" applyNumberFormat="1" applyBorder="1"/>
    <xf numFmtId="0" fontId="16" fillId="0" borderId="0" xfId="0" applyFont="1" applyFill="1"/>
    <xf numFmtId="164" fontId="17" fillId="0" borderId="4" xfId="0" applyNumberFormat="1" applyFont="1" applyBorder="1"/>
    <xf numFmtId="2" fontId="0" fillId="0" borderId="4" xfId="0" applyNumberFormat="1" applyBorder="1"/>
    <xf numFmtId="165" fontId="0" fillId="0" borderId="4" xfId="0" applyNumberFormat="1" applyBorder="1"/>
    <xf numFmtId="0" fontId="18" fillId="0" borderId="4" xfId="0" applyFont="1" applyBorder="1" applyAlignment="1">
      <alignment wrapText="1"/>
    </xf>
    <xf numFmtId="0" fontId="16" fillId="0" borderId="4" xfId="0" applyFont="1" applyBorder="1"/>
    <xf numFmtId="164" fontId="0" fillId="0" borderId="0" xfId="0" applyNumberFormat="1" applyBorder="1"/>
    <xf numFmtId="0" fontId="12" fillId="0" borderId="4" xfId="0" applyFont="1" applyBorder="1"/>
    <xf numFmtId="0" fontId="12" fillId="0" borderId="4" xfId="0" applyFont="1" applyBorder="1" applyAlignment="1">
      <alignment wrapText="1"/>
    </xf>
    <xf numFmtId="164" fontId="12" fillId="0" borderId="4" xfId="0" applyNumberFormat="1" applyFont="1" applyBorder="1"/>
    <xf numFmtId="0" fontId="0" fillId="0" borderId="7" xfId="0" applyBorder="1" applyAlignment="1">
      <alignment wrapText="1"/>
    </xf>
    <xf numFmtId="10" fontId="0" fillId="0" borderId="4" xfId="0" applyNumberFormat="1" applyBorder="1" applyAlignment="1">
      <alignment wrapText="1"/>
    </xf>
    <xf numFmtId="0" fontId="0" fillId="0" borderId="7" xfId="0" applyFill="1" applyBorder="1" applyAlignment="1">
      <alignment horizontal="left"/>
    </xf>
    <xf numFmtId="0" fontId="0" fillId="0" borderId="4" xfId="0" applyFont="1" applyFill="1" applyBorder="1" applyAlignment="1">
      <alignment horizontal="left"/>
    </xf>
    <xf numFmtId="1" fontId="0" fillId="0" borderId="4" xfId="0" applyNumberFormat="1" applyFont="1" applyBorder="1"/>
    <xf numFmtId="0" fontId="10" fillId="0" borderId="0" xfId="0" applyFont="1" applyAlignment="1">
      <alignment wrapText="1"/>
    </xf>
    <xf numFmtId="1" fontId="0" fillId="0" borderId="4" xfId="0" applyNumberFormat="1" applyFont="1" applyFill="1" applyBorder="1"/>
    <xf numFmtId="0" fontId="0" fillId="0" borderId="4" xfId="0" applyFill="1" applyBorder="1" applyAlignment="1"/>
    <xf numFmtId="0" fontId="0" fillId="0" borderId="4" xfId="0" applyBorder="1" applyAlignment="1"/>
    <xf numFmtId="164" fontId="0" fillId="0" borderId="18" xfId="0" applyNumberFormat="1" applyBorder="1"/>
    <xf numFmtId="0" fontId="0" fillId="0" borderId="18" xfId="0" applyBorder="1"/>
    <xf numFmtId="0" fontId="14" fillId="0" borderId="4" xfId="0" applyFont="1" applyBorder="1"/>
    <xf numFmtId="0" fontId="19" fillId="0" borderId="4" xfId="0" applyFont="1" applyBorder="1"/>
    <xf numFmtId="164" fontId="0" fillId="0" borderId="4" xfId="0" applyNumberFormat="1" applyFont="1" applyFill="1" applyBorder="1" applyAlignment="1">
      <alignment wrapText="1"/>
    </xf>
    <xf numFmtId="0" fontId="1" fillId="0" borderId="5" xfId="0" applyFont="1" applyBorder="1" applyAlignment="1">
      <alignment wrapText="1"/>
    </xf>
    <xf numFmtId="0" fontId="0" fillId="0" borderId="6" xfId="0" applyBorder="1" applyAlignment="1">
      <alignment wrapText="1"/>
    </xf>
    <xf numFmtId="0" fontId="20" fillId="0" borderId="4" xfId="0" applyFont="1" applyBorder="1" applyAlignment="1">
      <alignment wrapText="1"/>
    </xf>
    <xf numFmtId="0" fontId="0" fillId="0" borderId="6" xfId="0" applyFont="1" applyBorder="1" applyAlignment="1" applyProtection="1">
      <alignment wrapText="1"/>
    </xf>
    <xf numFmtId="0" fontId="21" fillId="0" borderId="4" xfId="0" applyFont="1" applyBorder="1"/>
    <xf numFmtId="0" fontId="0" fillId="0" borderId="18" xfId="0" applyBorder="1" applyAlignment="1">
      <alignment wrapText="1"/>
    </xf>
    <xf numFmtId="0" fontId="0" fillId="0" borderId="4" xfId="0" applyFont="1" applyFill="1" applyBorder="1" applyAlignment="1">
      <alignment horizontal="left" wrapText="1"/>
    </xf>
    <xf numFmtId="0" fontId="22" fillId="0" borderId="4" xfId="0" applyFont="1" applyBorder="1" applyAlignment="1">
      <alignment horizontal="right" wrapText="1"/>
    </xf>
    <xf numFmtId="0" fontId="3" fillId="0" borderId="4" xfId="1" applyFont="1" applyBorder="1" applyAlignment="1">
      <alignment wrapText="1"/>
    </xf>
    <xf numFmtId="164" fontId="0" fillId="0" borderId="4" xfId="0" applyNumberFormat="1" applyFont="1" applyBorder="1" applyAlignment="1">
      <alignment horizontal="right" wrapText="1"/>
    </xf>
    <xf numFmtId="0" fontId="0" fillId="0" borderId="4" xfId="0" applyFont="1" applyFill="1" applyBorder="1" applyAlignment="1" applyProtection="1">
      <alignment wrapText="1"/>
    </xf>
    <xf numFmtId="0" fontId="0" fillId="0" borderId="4" xfId="0" applyBorder="1" applyAlignment="1">
      <alignment horizontal="left" wrapText="1"/>
    </xf>
    <xf numFmtId="0" fontId="0" fillId="0" borderId="4" xfId="3" applyNumberFormat="1" applyFont="1" applyBorder="1" applyAlignment="1">
      <alignment wrapText="1"/>
    </xf>
    <xf numFmtId="165" fontId="0" fillId="0" borderId="4" xfId="0" applyNumberFormat="1" applyBorder="1" applyAlignment="1">
      <alignment wrapText="1"/>
    </xf>
    <xf numFmtId="0" fontId="0" fillId="0" borderId="9" xfId="0" applyFill="1" applyBorder="1"/>
    <xf numFmtId="0" fontId="0" fillId="0" borderId="19" xfId="0" applyFill="1" applyBorder="1" applyAlignment="1">
      <alignment wrapText="1"/>
    </xf>
    <xf numFmtId="0" fontId="0" fillId="0" borderId="20" xfId="0" applyBorder="1"/>
    <xf numFmtId="0" fontId="0" fillId="2" borderId="9" xfId="0" applyFill="1" applyBorder="1" applyAlignment="1">
      <alignment wrapText="1"/>
    </xf>
    <xf numFmtId="0" fontId="0" fillId="0" borderId="20" xfId="0" applyBorder="1" applyAlignment="1">
      <alignment wrapText="1"/>
    </xf>
    <xf numFmtId="164" fontId="23" fillId="0" borderId="4" xfId="0" applyNumberFormat="1" applyFont="1" applyBorder="1"/>
    <xf numFmtId="2" fontId="0" fillId="0" borderId="4" xfId="0" applyNumberFormat="1" applyBorder="1" applyAlignment="1">
      <alignment wrapText="1"/>
    </xf>
    <xf numFmtId="0" fontId="0" fillId="0" borderId="0" xfId="0"/>
    <xf numFmtId="0" fontId="0" fillId="0" borderId="4" xfId="0" applyBorder="1"/>
    <xf numFmtId="0" fontId="0" fillId="0" borderId="0" xfId="0" applyAlignment="1">
      <alignment wrapText="1"/>
    </xf>
    <xf numFmtId="0" fontId="24" fillId="0" borderId="4" xfId="4" applyFont="1" applyBorder="1" applyAlignment="1">
      <alignment wrapText="1"/>
    </xf>
    <xf numFmtId="0" fontId="25" fillId="0" borderId="4" xfId="4" applyBorder="1" applyAlignment="1">
      <alignment wrapText="1"/>
    </xf>
    <xf numFmtId="167" fontId="0" fillId="0" borderId="4" xfId="0" applyNumberFormat="1" applyFont="1" applyFill="1" applyBorder="1" applyAlignment="1">
      <alignment wrapText="1"/>
    </xf>
    <xf numFmtId="1" fontId="0" fillId="0" borderId="4" xfId="0" applyNumberFormat="1" applyBorder="1" applyAlignment="1">
      <alignment wrapText="1"/>
    </xf>
    <xf numFmtId="11" fontId="0" fillId="0" borderId="4" xfId="0" quotePrefix="1" applyNumberFormat="1" applyBorder="1" applyAlignment="1">
      <alignment wrapText="1"/>
    </xf>
    <xf numFmtId="166" fontId="0" fillId="0" borderId="4" xfId="0" applyNumberFormat="1" applyFill="1" applyBorder="1" applyAlignment="1">
      <alignment wrapText="1"/>
    </xf>
    <xf numFmtId="164" fontId="0" fillId="0" borderId="4" xfId="2" applyNumberFormat="1" applyFont="1" applyBorder="1" applyAlignment="1">
      <alignment wrapText="1"/>
    </xf>
    <xf numFmtId="0" fontId="0" fillId="0" borderId="4" xfId="0" applyFill="1" applyBorder="1" applyAlignment="1">
      <alignment horizontal="left" wrapText="1"/>
    </xf>
    <xf numFmtId="0" fontId="3" fillId="0" borderId="4" xfId="1" applyFill="1" applyBorder="1" applyAlignment="1">
      <alignment wrapText="1"/>
    </xf>
    <xf numFmtId="0" fontId="0" fillId="0" borderId="5" xfId="0" applyFont="1" applyFill="1" applyBorder="1" applyAlignment="1" applyProtection="1">
      <alignment wrapText="1"/>
    </xf>
    <xf numFmtId="49" fontId="0" fillId="0" borderId="4" xfId="0" applyNumberFormat="1" applyFill="1" applyBorder="1"/>
    <xf numFmtId="0" fontId="10" fillId="0" borderId="4" xfId="0" applyFont="1" applyFill="1" applyBorder="1" applyAlignment="1">
      <alignment wrapText="1"/>
    </xf>
    <xf numFmtId="169" fontId="0" fillId="0" borderId="4" xfId="0" applyNumberFormat="1" applyBorder="1"/>
    <xf numFmtId="0" fontId="0" fillId="0" borderId="7" xfId="0" applyFill="1" applyBorder="1" applyAlignment="1">
      <alignment horizontal="left" wrapText="1"/>
    </xf>
    <xf numFmtId="164" fontId="0" fillId="0" borderId="7" xfId="0" applyNumberFormat="1" applyFill="1" applyBorder="1" applyAlignment="1">
      <alignment wrapText="1"/>
    </xf>
    <xf numFmtId="169" fontId="0" fillId="0" borderId="4" xfId="0" applyNumberFormat="1" applyBorder="1" applyAlignment="1">
      <alignment wrapText="1"/>
    </xf>
    <xf numFmtId="168" fontId="0" fillId="0" borderId="4" xfId="0" applyNumberFormat="1" applyBorder="1" applyAlignment="1">
      <alignment wrapText="1"/>
    </xf>
    <xf numFmtId="0" fontId="0" fillId="0" borderId="7" xfId="0" applyFont="1" applyBorder="1" applyAlignment="1" applyProtection="1">
      <alignment wrapText="1"/>
    </xf>
    <xf numFmtId="0" fontId="0" fillId="0" borderId="21" xfId="0" applyBorder="1"/>
    <xf numFmtId="0" fontId="0" fillId="3" borderId="4" xfId="0" applyFill="1" applyBorder="1" applyAlignment="1">
      <alignment horizontal="left" wrapText="1"/>
    </xf>
    <xf numFmtId="0" fontId="3" fillId="3" borderId="4" xfId="1" applyFill="1" applyBorder="1" applyAlignment="1">
      <alignment wrapText="1"/>
    </xf>
    <xf numFmtId="164" fontId="0" fillId="3" borderId="4" xfId="0" applyNumberFormat="1" applyFill="1" applyBorder="1"/>
    <xf numFmtId="164" fontId="0" fillId="3" borderId="4" xfId="0" applyNumberFormat="1" applyFill="1" applyBorder="1" applyAlignment="1">
      <alignment wrapText="1"/>
    </xf>
    <xf numFmtId="164" fontId="12" fillId="0" borderId="4" xfId="0" applyNumberFormat="1" applyFont="1" applyBorder="1" applyAlignment="1">
      <alignment wrapText="1"/>
    </xf>
    <xf numFmtId="0" fontId="3" fillId="3" borderId="4" xfId="1" applyFill="1" applyBorder="1"/>
    <xf numFmtId="164" fontId="23" fillId="3" borderId="4" xfId="0" applyNumberFormat="1" applyFont="1" applyFill="1" applyBorder="1"/>
    <xf numFmtId="0" fontId="0" fillId="3" borderId="5" xfId="0" applyFont="1" applyFill="1" applyBorder="1" applyAlignment="1" applyProtection="1">
      <alignment wrapText="1"/>
    </xf>
    <xf numFmtId="0" fontId="14" fillId="0" borderId="4" xfId="0" applyFont="1" applyBorder="1" applyAlignment="1">
      <alignment wrapText="1"/>
    </xf>
    <xf numFmtId="0" fontId="3" fillId="0" borderId="4" xfId="1" applyFont="1" applyBorder="1"/>
    <xf numFmtId="0" fontId="0" fillId="0" borderId="5" xfId="0" applyFont="1" applyFill="1" applyBorder="1" applyAlignment="1">
      <alignment wrapText="1"/>
    </xf>
    <xf numFmtId="0" fontId="0" fillId="0" borderId="5" xfId="0" applyFont="1" applyFill="1" applyBorder="1" applyAlignment="1">
      <alignment horizontal="left" wrapText="1"/>
    </xf>
    <xf numFmtId="4" fontId="0" fillId="0" borderId="4" xfId="0" applyNumberFormat="1" applyBorder="1"/>
  </cellXfs>
  <cellStyles count="8">
    <cellStyle name="Comma" xfId="2" builtinId="3"/>
    <cellStyle name="Hyperlink" xfId="1" builtinId="8"/>
    <cellStyle name="Hyperlink 2" xfId="4" xr:uid="{8FC78BA7-0666-4833-BF44-4905183F2A94}"/>
    <cellStyle name="Neutral 2" xfId="6" xr:uid="{5EBD2635-E595-4C08-A225-82CB27CBA58C}"/>
    <cellStyle name="Normal" xfId="0" builtinId="0"/>
    <cellStyle name="Normal 2" xfId="7" xr:uid="{5CFEF1A8-FADD-415B-AC3E-5B99E92F48F0}"/>
    <cellStyle name="Normal 3" xfId="5" xr:uid="{58772CDC-3BBD-4625-AD35-7A2837286CDE}"/>
    <cellStyle name="Percent" xfId="3" builtinId="5"/>
  </cellStyles>
  <dxfs count="30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llaborators/Current%20Contributor%20Versions/Fire%20Database%20Ben%20v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ollaborators/Current%20Contributor%20Versions/Adam's%20fire%20data.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ollaborators/Current%20Contributor%20Versions/AnthroFireDB_IndustrialForestry_2020-07-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ome/james/OneDrive/Research/Projects/GlobalFireUseDatabase/Industrial%20Forestry/AnthroFireDB_IndustrialForestry_2020-06-1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Admin/Documents/fire%20d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ciencedirect.com/science/article/pii/S0921800919305191" TargetMode="External"/><Relationship Id="rId671" Type="http://schemas.openxmlformats.org/officeDocument/2006/relationships/hyperlink" Target="https://books.google.co.uk/books?hl=en&amp;lr=&amp;id=GWaryI_tlBcC&amp;oi=fnd&amp;pg=PR6&amp;ots=iulrjS1hsC&amp;sig=SMesh24XgIq_RvGJ14wKp83TzKY&amp;redir_esc=y" TargetMode="External"/><Relationship Id="rId769" Type="http://schemas.openxmlformats.org/officeDocument/2006/relationships/hyperlink" Target="https://www.researchgate.net/publication/256645443_Grazing_Systems_and_Biodiversity_in_Mediterranean_Areas_Spain_Italy_and_Greece" TargetMode="External"/><Relationship Id="rId976" Type="http://schemas.openxmlformats.org/officeDocument/2006/relationships/hyperlink" Target="http://reap-canada.com/library/IntDev/8%20Strategies%20to%20Avoid%20Crop%20Residue%20Burning%20in%20the%20Philippine%20Context%20(1999).htm" TargetMode="External"/><Relationship Id="rId21" Type="http://schemas.openxmlformats.org/officeDocument/2006/relationships/hyperlink" Target="https://doi.org/10.14989/68482" TargetMode="External"/><Relationship Id="rId324" Type="http://schemas.openxmlformats.org/officeDocument/2006/relationships/hyperlink" Target="https://doi.org/10.1007/s13280-018-1118-8" TargetMode="External"/><Relationship Id="rId531" Type="http://schemas.openxmlformats.org/officeDocument/2006/relationships/hyperlink" Target="https://www.researchgate.net/publication/334363169" TargetMode="External"/><Relationship Id="rId629" Type="http://schemas.openxmlformats.org/officeDocument/2006/relationships/hyperlink" Target="https://link.springer.com/article/10.1186/s42408-019-0041-0" TargetMode="External"/><Relationship Id="rId170" Type="http://schemas.openxmlformats.org/officeDocument/2006/relationships/hyperlink" Target="https://onlinelibrary.wiley.com/doi/abs/10.1111/1467-8306.00281" TargetMode="External"/><Relationship Id="rId836" Type="http://schemas.openxmlformats.org/officeDocument/2006/relationships/hyperlink" Target="https://www.mdpi.com/1999-4907/7/10/237" TargetMode="External"/><Relationship Id="rId1021" Type="http://schemas.openxmlformats.org/officeDocument/2006/relationships/hyperlink" Target="https://iopscience.iop.org/article/10.1088/1748-9326/aa751d" TargetMode="External"/><Relationship Id="rId268" Type="http://schemas.openxmlformats.org/officeDocument/2006/relationships/hyperlink" Target="https://www.researchgate.net/profile/Unna_Chokkalingam/publication/263852218_Fire_use_peatland_transformation_and_local_livelihoods_A_case_of_positive_reinforcement/links/00b4953c2697686448000000.pdf" TargetMode="External"/><Relationship Id="rId475" Type="http://schemas.openxmlformats.org/officeDocument/2006/relationships/hyperlink" Target="https://onlinelibrary.wiley.com/doi/abs/10.1002/ldr.777" TargetMode="External"/><Relationship Id="rId682" Type="http://schemas.openxmlformats.org/officeDocument/2006/relationships/hyperlink" Target="https://doi.org/10.1007/s11625-018-0592-z" TargetMode="External"/><Relationship Id="rId903" Type="http://schemas.openxmlformats.org/officeDocument/2006/relationships/hyperlink" Target="https://www.academia.edu/5377988/The_effects_of_grazing_and_burning_on_soil_and_plant_nutrient_concentrations_in_Colombian_paramo_grasslands" TargetMode="External"/><Relationship Id="rId32" Type="http://schemas.openxmlformats.org/officeDocument/2006/relationships/hyperlink" Target="https://doi.org/10.14989/68482" TargetMode="External"/><Relationship Id="rId128" Type="http://schemas.openxmlformats.org/officeDocument/2006/relationships/hyperlink" Target="http://oar.icrisat.org/6779/1/EPW_33_39_A163-A168_1998.pdf" TargetMode="External"/><Relationship Id="rId33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2" Type="http://schemas.openxmlformats.org/officeDocument/2006/relationships/hyperlink" Target="https://doi.org/10.1071/WF18152" TargetMode="External"/><Relationship Id="rId987" Type="http://schemas.openxmlformats.org/officeDocument/2006/relationships/hyperlink" Target="https://bioone.org/journals/southwestern-entomologist/volume-34/issue-3/059.034.0302/Impact-of-Sugarcane-Burning-on-the-Stalkborer-iDiatraea-considerate-i/10.3958/059.034.0302.short" TargetMode="External"/><Relationship Id="rId181" Type="http://schemas.openxmlformats.org/officeDocument/2006/relationships/hyperlink" Target="https://doi.org/10.14989/68482" TargetMode="External"/><Relationship Id="rId402" Type="http://schemas.openxmlformats.org/officeDocument/2006/relationships/hyperlink" Target="https://www.semanticscholar.org/paper/PASTORALISM-AND-VIOLENCE-IN-NORTHERN-GHANA%3A-AND-Abubakari/bd1bbba241bc9ad9c82a37d1e9a8aba8e67de9c8" TargetMode="External"/><Relationship Id="rId847" Type="http://schemas.openxmlformats.org/officeDocument/2006/relationships/hyperlink" Target="https://www.mdpi.com/1999-4907/7/10/237" TargetMode="External"/><Relationship Id="rId1032" Type="http://schemas.openxmlformats.org/officeDocument/2006/relationships/hyperlink" Target="https://acp.copernicus.org/preprints/6/9655/2006/acpd-6-9655-2006.pdf" TargetMode="External"/><Relationship Id="rId279" Type="http://schemas.openxmlformats.org/officeDocument/2006/relationships/hyperlink" Target="https://www.researchgate.net/publication/328162058_innovations_in_shifting_cultivation_land_use_and_Land_Cover_Change_in_Higher_Elevations_of_Meghalaya_India" TargetMode="External"/><Relationship Id="rId486" Type="http://schemas.openxmlformats.org/officeDocument/2006/relationships/hyperlink" Target="https://link.springer.com/article/10.1007/s10806-016-9613-z" TargetMode="External"/><Relationship Id="rId693" Type="http://schemas.openxmlformats.org/officeDocument/2006/relationships/hyperlink" Target="http://fmc.online/wp-content/uploads/15-IFFN-36-Mongolia-1-1.pdf" TargetMode="External"/><Relationship Id="rId707" Type="http://schemas.openxmlformats.org/officeDocument/2006/relationships/hyperlink" Target="https://doi.org/10.3390/f9040159" TargetMode="External"/><Relationship Id="rId914"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43" Type="http://schemas.openxmlformats.org/officeDocument/2006/relationships/hyperlink" Target="https://doi.org/10.14989/68482" TargetMode="External"/><Relationship Id="rId139" Type="http://schemas.openxmlformats.org/officeDocument/2006/relationships/hyperlink" Target="https://www.eastwestcenter.org/publications/farming-fire-and-water-human-ecology-composite-swiddening-community-vietnams-northern-m" TargetMode="External"/><Relationship Id="rId34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3" Type="http://schemas.openxmlformats.org/officeDocument/2006/relationships/hyperlink" Target="https://doi.org/10.1007/s10745-019-00120-9" TargetMode="External"/><Relationship Id="rId760" Type="http://schemas.openxmlformats.org/officeDocument/2006/relationships/hyperlink" Target="https://www.researchgate.net/publication/256645443_Grazing_Systems_and_Biodiversity_in_Mediterranean_Areas_Spain_Italy_and_Greece" TargetMode="External"/><Relationship Id="rId998" Type="http://schemas.openxmlformats.org/officeDocument/2006/relationships/hyperlink" Target="https://aaqr.org/articles/aaqr-12-06-oa-0150" TargetMode="External"/><Relationship Id="rId192" Type="http://schemas.openxmlformats.org/officeDocument/2006/relationships/hyperlink" Target="https://doi.org/10.1080/00167223.1997.10649396" TargetMode="External"/><Relationship Id="rId206" Type="http://schemas.openxmlformats.org/officeDocument/2006/relationships/hyperlink" Target="http://www.mekonginfo.org/assets/midocs/0002876-environment-land-policy-and-farming-practices-in-laos.pdf" TargetMode="External"/><Relationship Id="rId413" Type="http://schemas.openxmlformats.org/officeDocument/2006/relationships/hyperlink" Target="https://esajournals.onlinelibrary.wiley.com/doi/abs/10.1890/1051-0761(2000)010%5B1318:TROMNP%5D2.0.CO%3B2" TargetMode="External"/><Relationship Id="rId858" Type="http://schemas.openxmlformats.org/officeDocument/2006/relationships/hyperlink" Target="https://www.mdpi.com/1999-4907/7/10/237" TargetMode="External"/><Relationship Id="rId1043" Type="http://schemas.openxmlformats.org/officeDocument/2006/relationships/hyperlink" Target="https://www.researchgate.net/publication/40116523" TargetMode="External"/><Relationship Id="rId497" Type="http://schemas.openxmlformats.org/officeDocument/2006/relationships/hyperlink" Target="https://link.springer.com/article/10.1007/s10021-013-9673-0" TargetMode="External"/><Relationship Id="rId620" Type="http://schemas.openxmlformats.org/officeDocument/2006/relationships/hyperlink" Target="https://cienciaergosum.uaemex.mx/article/download/10420/8878?inline=1" TargetMode="External"/><Relationship Id="rId718" Type="http://schemas.openxmlformats.org/officeDocument/2006/relationships/hyperlink" Target="https://www.sciencedirect.com/science/article/pii/S0301479799903353" TargetMode="External"/><Relationship Id="rId925" Type="http://schemas.openxmlformats.org/officeDocument/2006/relationships/hyperlink" Target="https://www.nature.com/articles/s41598-020-57564-z" TargetMode="External"/><Relationship Id="rId357" Type="http://schemas.openxmlformats.org/officeDocument/2006/relationships/hyperlink" Target="https://pubmed.ncbi.nlm.nih.gov/15748801/" TargetMode="External"/><Relationship Id="rId54" Type="http://schemas.openxmlformats.org/officeDocument/2006/relationships/hyperlink" Target="http://lad.nafri.org.la/fulltext/231-0.pdf" TargetMode="External"/><Relationship Id="rId217" Type="http://schemas.openxmlformats.org/officeDocument/2006/relationships/hyperlink" Target="https://onlinelibrary.wiley.com/doi/abs/10.2307/1242114" TargetMode="External"/><Relationship Id="rId564" Type="http://schemas.openxmlformats.org/officeDocument/2006/relationships/hyperlink" Target="https://ideas.repec.org/a/ags/afjare/258607.html" TargetMode="External"/><Relationship Id="rId771" Type="http://schemas.openxmlformats.org/officeDocument/2006/relationships/hyperlink" Target="https://www.researchgate.net/publication/256645443_Grazing_Systems_and_Biodiversity_in_Mediterranean_Areas_Spain_Italy_and_Greece" TargetMode="External"/><Relationship Id="rId869" Type="http://schemas.openxmlformats.org/officeDocument/2006/relationships/hyperlink" Target="https://www.mdpi.com/1999-4907/7/10/237" TargetMode="External"/><Relationship Id="rId424" Type="http://schemas.openxmlformats.org/officeDocument/2006/relationships/hyperlink" Target="https://www.jstor.org/stable/23531890" TargetMode="External"/><Relationship Id="rId631" Type="http://schemas.openxmlformats.org/officeDocument/2006/relationships/hyperlink" Target="https://agris.fao.org/agris-search/search.do?recordID=US201400181859" TargetMode="External"/><Relationship Id="rId729" Type="http://schemas.openxmlformats.org/officeDocument/2006/relationships/hyperlink" Target="https://www.sciencedirect.com/science/article/pii/S0301479799903353" TargetMode="External"/><Relationship Id="rId1054" Type="http://schemas.openxmlformats.org/officeDocument/2006/relationships/hyperlink" Target="https://link.springer.com/content/pdf/10.1007/s13143-013-0015-0.pdf" TargetMode="External"/><Relationship Id="rId270" Type="http://schemas.openxmlformats.org/officeDocument/2006/relationships/hyperlink" Target="https://link.springer.com/article/10.1007/s10980-007-9123-5" TargetMode="External"/><Relationship Id="rId936" Type="http://schemas.openxmlformats.org/officeDocument/2006/relationships/hyperlink" Target="https://linkinghub.elsevier.com/retrieve/pii/S0167880913002788" TargetMode="External"/><Relationship Id="rId65" Type="http://schemas.openxmlformats.org/officeDocument/2006/relationships/hyperlink" Target="https://www.tandfonline.com/doi/full/10.1080/08941920.2013.820813" TargetMode="External"/><Relationship Id="rId130" Type="http://schemas.openxmlformats.org/officeDocument/2006/relationships/hyperlink" Target="http://oar.icrisat.org/6779/1/EPW_33_39_A163-A168_1998.pdf" TargetMode="External"/><Relationship Id="rId368" Type="http://schemas.openxmlformats.org/officeDocument/2006/relationships/hyperlink" Target="http://digilib.buse.ac.zw:8080/xmlui/handle/11196/1853" TargetMode="External"/><Relationship Id="rId575" Type="http://schemas.openxmlformats.org/officeDocument/2006/relationships/hyperlink" Target="https://doi.org/10.1016/j.ecolecon.2019.106359" TargetMode="External"/><Relationship Id="rId782" Type="http://schemas.openxmlformats.org/officeDocument/2006/relationships/hyperlink" Target="https://www.researchgate.net/publication/256645443_Grazing_Systems_and_Biodiversity_in_Mediterranean_Areas_Spain_Italy_and_Greece" TargetMode="External"/><Relationship Id="rId228" Type="http://schemas.openxmlformats.org/officeDocument/2006/relationships/hyperlink" Target="https://doi.org/%2010.1371/journal.pone.0181092" TargetMode="External"/><Relationship Id="rId435" Type="http://schemas.openxmlformats.org/officeDocument/2006/relationships/hyperlink" Target="https://www.sciencedirect.com/science/article/pii/S0167880911000405" TargetMode="External"/><Relationship Id="rId642" Type="http://schemas.openxmlformats.org/officeDocument/2006/relationships/hyperlink" Target="https://link.springer.com/article/10.1007/s10342-019-01179-1" TargetMode="External"/><Relationship Id="rId1065" Type="http://schemas.openxmlformats.org/officeDocument/2006/relationships/hyperlink" Target="https://linkinghub.elsevier.com/retrieve/pii/S0921818116302090" TargetMode="External"/><Relationship Id="rId281" Type="http://schemas.openxmlformats.org/officeDocument/2006/relationships/hyperlink" Target="https://onlinelibrary.wiley.com/doi/abs/10.1002/ldr.3018" TargetMode="External"/><Relationship Id="rId502" Type="http://schemas.openxmlformats.org/officeDocument/2006/relationships/hyperlink" Target="https://www.sciencedirect.com/science/article/pii/S0301479711004701?via%3Dihub" TargetMode="External"/><Relationship Id="rId947" Type="http://schemas.openxmlformats.org/officeDocument/2006/relationships/hyperlink" Target="https://pdfs.semanticscholar.org/ad35/96c82623cf33cb44dda5d20f40837b915c92.pdf" TargetMode="External"/><Relationship Id="rId76" Type="http://schemas.openxmlformats.org/officeDocument/2006/relationships/hyperlink" Target="https://www.tandfonline.com/doi/full/10.1080/08941920.2013.820813" TargetMode="External"/><Relationship Id="rId141" Type="http://schemas.openxmlformats.org/officeDocument/2006/relationships/hyperlink" Target="https://science.sciencemag.org/content/292/5518/859.full" TargetMode="External"/><Relationship Id="rId379" Type="http://schemas.openxmlformats.org/officeDocument/2006/relationships/hyperlink" Target="https://rgs-ibg.onlinelibrary.wiley.com/doi/abs/10.1111/geoj.12245" TargetMode="External"/><Relationship Id="rId586" Type="http://schemas.openxmlformats.org/officeDocument/2006/relationships/hyperlink" Target="https://journals.sagepub.com/doi/10.1177/2158244017705422" TargetMode="External"/><Relationship Id="rId793" Type="http://schemas.openxmlformats.org/officeDocument/2006/relationships/hyperlink" Target="https://www.researchgate.net/publication/256645443_Grazing_Systems_and_Biodiversity_in_Mediterranean_Areas_Spain_Italy_and_Greece" TargetMode="External"/><Relationship Id="rId807" Type="http://schemas.openxmlformats.org/officeDocument/2006/relationships/hyperlink" Target="https://www.researchgate.net/publication/311487251" TargetMode="External"/><Relationship Id="rId7" Type="http://schemas.openxmlformats.org/officeDocument/2006/relationships/hyperlink" Target="https://doi.org/10.14989/68482" TargetMode="External"/><Relationship Id="rId239" Type="http://schemas.openxmlformats.org/officeDocument/2006/relationships/hyperlink" Target="http://files.webb.uu.se/uploader/858/MFS-107norrlund-lina-brus-linda.pdf" TargetMode="External"/><Relationship Id="rId446" Type="http://schemas.openxmlformats.org/officeDocument/2006/relationships/hyperlink" Target="https://link.springer.com/article/10.1007/s00267-020-01265-w" TargetMode="External"/><Relationship Id="rId653" Type="http://schemas.openxmlformats.org/officeDocument/2006/relationships/hyperlink" Target="http://www2.fire.uni-freiburg.de/sevilla-2007/contributions/doc/cd/SESIONES_TEMATICAS/ST2/Velez_SPAIN_DGB_ExpeEnglish.pdf" TargetMode="External"/><Relationship Id="rId1076" Type="http://schemas.openxmlformats.org/officeDocument/2006/relationships/hyperlink" Target="https://www.conaf.cl/incendios-forestales/incendios-forestales-en-chile/estadisticas-historicas/" TargetMode="External"/><Relationship Id="rId292" Type="http://schemas.openxmlformats.org/officeDocument/2006/relationships/hyperlink" Target="https://www.researchgate.net/publication/222693814_Effects_of_ground_fires_on_understorey_bird_assemblages_in_Amazonian_forests?enrichId=rgreq-01c85790faf16657234601fdde9177a2-XXX&amp;enrichSource=Y292ZXJQYWdlOzIyMjY5MzgxNDtBUzo1NTIzMzUxNDA4MjMwNDBAMTUwODY5ODM2NzIyOQ%3D%3D&amp;el=1_x_2&amp;_esc=publicationCoverPdf" TargetMode="External"/><Relationship Id="rId306" Type="http://schemas.openxmlformats.org/officeDocument/2006/relationships/hyperlink" Target="https://www.sciencedirect.com/science/article/pii/S0301479706000557" TargetMode="External"/><Relationship Id="rId860" Type="http://schemas.openxmlformats.org/officeDocument/2006/relationships/hyperlink" Target="https://www.mdpi.com/1999-4907/7/10/237" TargetMode="External"/><Relationship Id="rId958" Type="http://schemas.openxmlformats.org/officeDocument/2006/relationships/hyperlink" Target="https://link.springer.com/article/10.1007/s10745-010-9325-3" TargetMode="External"/><Relationship Id="rId87" Type="http://schemas.openxmlformats.org/officeDocument/2006/relationships/hyperlink" Target="https://www.tandfonline.com/doi/full/10.1080/08941920.2013.820813" TargetMode="External"/><Relationship Id="rId513" Type="http://schemas.openxmlformats.org/officeDocument/2006/relationships/hyperlink" Target="https://www.sciencedirect.com/science/article/pii/S0301479711004701?via%3Dihub" TargetMode="External"/><Relationship Id="rId597" Type="http://schemas.openxmlformats.org/officeDocument/2006/relationships/hyperlink" Target="https://www.sciencedirect.com/science/article/pii/S0167880918301087" TargetMode="External"/><Relationship Id="rId720" Type="http://schemas.openxmlformats.org/officeDocument/2006/relationships/hyperlink" Target="https://www.sciencedirect.com/science/article/pii/S0301479799903353" TargetMode="External"/><Relationship Id="rId818" Type="http://schemas.openxmlformats.org/officeDocument/2006/relationships/hyperlink" Target="https://www.researchgate.net/publication/311487251" TargetMode="External"/><Relationship Id="rId152" Type="http://schemas.openxmlformats.org/officeDocument/2006/relationships/hyperlink" Target="https://link.springer.com/article/10.1007/s10745-009-9240-7" TargetMode="External"/><Relationship Id="rId457" Type="http://schemas.openxmlformats.org/officeDocument/2006/relationships/hyperlink" Target="https://esajournals.onlinelibrary.wiley.com/doi/full/10.1890/120344" TargetMode="External"/><Relationship Id="rId1003"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664" Type="http://schemas.openxmlformats.org/officeDocument/2006/relationships/hyperlink" Target="https://books.google.co.uk/books?hl=en&amp;lr=&amp;id=y4EIyCJvWC4C&amp;oi=fnd&amp;pg=PR4&amp;ots=IcTNYTFUZn&amp;sig=NalGHA2GwWwqU5AnRD1E0-7XDuw&amp;redir_esc=y" TargetMode="External"/><Relationship Id="rId871" Type="http://schemas.openxmlformats.org/officeDocument/2006/relationships/hyperlink" Target="https://www.mdpi.com/1999-4907/7/10/237" TargetMode="External"/><Relationship Id="rId969" Type="http://schemas.openxmlformats.org/officeDocument/2006/relationships/hyperlink" Target="https://books.google.co.uk/books?hl=en&amp;lr=&amp;id=y4EIyCJvWC4C&amp;oi=fnd&amp;pg=PR4&amp;ots=IcTNYTFUZn&amp;sig=NalGHA2GwWwqU5AnRD1E0-7XDuw&amp;redir_esc=y" TargetMode="External"/><Relationship Id="rId14" Type="http://schemas.openxmlformats.org/officeDocument/2006/relationships/hyperlink" Target="https://doi.org/10.14989/68482" TargetMode="External"/><Relationship Id="rId317" Type="http://schemas.openxmlformats.org/officeDocument/2006/relationships/hyperlink" Target="https://era.ed.ac.uk/handle/1842/36538?show=full" TargetMode="External"/><Relationship Id="rId524" Type="http://schemas.openxmlformats.org/officeDocument/2006/relationships/hyperlink" Target="https://hal-amu.archives-ouvertes.fr/hal-02100603/document" TargetMode="External"/><Relationship Id="rId731" Type="http://schemas.openxmlformats.org/officeDocument/2006/relationships/hyperlink" Target="https://www.sciencedirect.com/science/article/pii/S0301479799903353" TargetMode="External"/><Relationship Id="rId98" Type="http://schemas.openxmlformats.org/officeDocument/2006/relationships/hyperlink" Target="https://www.tandfonline.com/doi/full/10.1080/08941920.2013.820813" TargetMode="External"/><Relationship Id="rId163" Type="http://schemas.openxmlformats.org/officeDocument/2006/relationships/hyperlink" Target="doi:10.1016/j.apgeog.2004.03.004" TargetMode="External"/><Relationship Id="rId370" Type="http://schemas.openxmlformats.org/officeDocument/2006/relationships/hyperlink" Target="https://www.publish.csiro.au/wf/wf07067" TargetMode="External"/><Relationship Id="rId829" Type="http://schemas.openxmlformats.org/officeDocument/2006/relationships/hyperlink" Target="https://www.researchgate.net/publication/311487251" TargetMode="External"/><Relationship Id="rId1014" Type="http://schemas.openxmlformats.org/officeDocument/2006/relationships/hyperlink" Target="https://www.ncbi.nlm.nih.gov/pmc/articles/PMC6518002/" TargetMode="External"/><Relationship Id="rId230" Type="http://schemas.openxmlformats.org/officeDocument/2006/relationships/hyperlink" Target="http://www.conservationandsociety.org/article.asp?issn=0972-4923;year=2006;volume=4;issue=2;spage=287;epage=303;aulast=Hume" TargetMode="External"/><Relationship Id="rId468" Type="http://schemas.openxmlformats.org/officeDocument/2006/relationships/hyperlink" Target="https://fireecology.springeropen.com/articles/10.4996/fireecology.0701057" TargetMode="External"/><Relationship Id="rId675" Type="http://schemas.openxmlformats.org/officeDocument/2006/relationships/hyperlink" Target="https://doi.org/10.1016/j.fcr.2015.10.007" TargetMode="External"/><Relationship Id="rId882" Type="http://schemas.openxmlformats.org/officeDocument/2006/relationships/hyperlink" Target="https://www.mdpi.com/1999-4907/7/10/237" TargetMode="External"/><Relationship Id="rId25" Type="http://schemas.openxmlformats.org/officeDocument/2006/relationships/hyperlink" Target="https://doi.org/10.14989/68482" TargetMode="External"/><Relationship Id="rId328" Type="http://schemas.openxmlformats.org/officeDocument/2006/relationships/hyperlink" Target="https://www.mdpi.com/2571-6255/2/3/39" TargetMode="External"/><Relationship Id="rId535" Type="http://schemas.openxmlformats.org/officeDocument/2006/relationships/hyperlink" Target="https://doi.org/10.5751/ES-11260-240426" TargetMode="External"/><Relationship Id="rId742" Type="http://schemas.openxmlformats.org/officeDocument/2006/relationships/hyperlink" Target="https://www.witpress.com/elibrary/wit-transactions-on-ecology-and-the-environment/137/21150" TargetMode="External"/><Relationship Id="rId174" Type="http://schemas.openxmlformats.org/officeDocument/2006/relationships/hyperlink" Target="https://www.jstor.org/stable/43927654?seq=12" TargetMode="External"/><Relationship Id="rId381" Type="http://schemas.openxmlformats.org/officeDocument/2006/relationships/hyperlink" Target="https://rgs-ibg.onlinelibrary.wiley.com/doi/abs/10.1111/geoj.12245" TargetMode="External"/><Relationship Id="rId602"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1025" Type="http://schemas.openxmlformats.org/officeDocument/2006/relationships/hyperlink" Target="https://www.researchgate.net/publication/310540577" TargetMode="External"/><Relationship Id="rId241" Type="http://schemas.openxmlformats.org/officeDocument/2006/relationships/hyperlink" Target="https://link.springer.com/article/10.1007/BF00046411" TargetMode="External"/><Relationship Id="rId479" Type="http://schemas.openxmlformats.org/officeDocument/2006/relationships/hyperlink" Target="https://link.springer.com/article/10.1023/A:1014519113923" TargetMode="External"/><Relationship Id="rId686" Type="http://schemas.openxmlformats.org/officeDocument/2006/relationships/hyperlink" Target="https://www.mdpi.com/1999-4907/8/11/422" TargetMode="External"/><Relationship Id="rId893" Type="http://schemas.openxmlformats.org/officeDocument/2006/relationships/hyperlink" Target="https://www.mdpi.com/1999-4907/7/10/237" TargetMode="External"/><Relationship Id="rId907"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36" Type="http://schemas.openxmlformats.org/officeDocument/2006/relationships/hyperlink" Target="https://doi.org/10.14989/68482" TargetMode="External"/><Relationship Id="rId339"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6" Type="http://schemas.openxmlformats.org/officeDocument/2006/relationships/hyperlink" Target="https://doi.org/10.1071/WF19098" TargetMode="External"/><Relationship Id="rId753" Type="http://schemas.openxmlformats.org/officeDocument/2006/relationships/hyperlink" Target="https://www.tandfonline.com/doi/full/10.1080/03066150.2015.1013099" TargetMode="External"/><Relationship Id="rId101" Type="http://schemas.openxmlformats.org/officeDocument/2006/relationships/hyperlink" Target="https://www.tandfonline.com/doi/full/10.1080/08941920.2013.820813" TargetMode="External"/><Relationship Id="rId185" Type="http://schemas.openxmlformats.org/officeDocument/2006/relationships/hyperlink" Target="../../Literature%20Review/Global%20database%20review/Preindustrial%20cropping/cag.2002.24.1.42.pdf" TargetMode="External"/><Relationship Id="rId406" Type="http://schemas.openxmlformats.org/officeDocument/2006/relationships/hyperlink" Target="http://www.cifor.org/publications/corporate/cd-roms/bonn-proc/pdfs/papers/T3_FINAL_Barrow.pdf" TargetMode="External"/><Relationship Id="rId960" Type="http://schemas.openxmlformats.org/officeDocument/2006/relationships/hyperlink" Target="https://www.tandfonline.com/doi/abs/10.1080/08941920.2014.918226" TargetMode="External"/><Relationship Id="rId1036" Type="http://schemas.openxmlformats.org/officeDocument/2006/relationships/hyperlink" Target="https://linkinghub.elsevier.com/retrieve/pii/S030147971300296X" TargetMode="External"/><Relationship Id="rId392" Type="http://schemas.openxmlformats.org/officeDocument/2006/relationships/hyperlink" Target="https://link.springer.com/article/10.1023/A:1015685529180" TargetMode="External"/><Relationship Id="rId613" Type="http://schemas.openxmlformats.org/officeDocument/2006/relationships/hyperlink" Target="https://www.tandfonline.com/doi/abs/10.1080/01426397.2016.1184631?src=recsys&amp;journalCode=clar20" TargetMode="External"/><Relationship Id="rId697" Type="http://schemas.openxmlformats.org/officeDocument/2006/relationships/hyperlink" Target="https://www.ecologyandsociety.org/vol22/iss3/art23/" TargetMode="External"/><Relationship Id="rId820" Type="http://schemas.openxmlformats.org/officeDocument/2006/relationships/hyperlink" Target="https://www.researchgate.net/publication/311487251" TargetMode="External"/><Relationship Id="rId918" Type="http://schemas.openxmlformats.org/officeDocument/2006/relationships/hyperlink" Target="https://link.springer.com/article/10.1007%2Fs10021-019-00447-w" TargetMode="External"/><Relationship Id="rId252" Type="http://schemas.openxmlformats.org/officeDocument/2006/relationships/hyperlink" Target="https://link.springer.com/content/pdf/10.1007%2Fs10457-006-0003-9.pdf" TargetMode="External"/><Relationship Id="rId47" Type="http://schemas.openxmlformats.org/officeDocument/2006/relationships/hyperlink" Target="https://doi.org/10.14989/68482" TargetMode="External"/><Relationship Id="rId112" Type="http://schemas.openxmlformats.org/officeDocument/2006/relationships/hyperlink" Target="https://www.sciencedirect.com/science/article/pii/S0921800919305191" TargetMode="External"/><Relationship Id="rId557" Type="http://schemas.openxmlformats.org/officeDocument/2006/relationships/hyperlink" Target="https://bioone.org/journals/Natural-Areas-Journal/volume-39/issue-4/043.039.0409/Traditional-Ecological-Knowledge-Used-in-Forest-Restoration-Benefits-Natural-and/10.3375/043.039.0409.short" TargetMode="External"/><Relationship Id="rId764" Type="http://schemas.openxmlformats.org/officeDocument/2006/relationships/hyperlink" Target="https://www.researchgate.net/publication/256645443_Grazing_Systems_and_Biodiversity_in_Mediterranean_Areas_Spain_Italy_and_Greece" TargetMode="External"/><Relationship Id="rId971" Type="http://schemas.openxmlformats.org/officeDocument/2006/relationships/hyperlink" Target="https://books.google.co.uk/books?hl=en&amp;lr=&amp;id=y4EIyCJvWC4C&amp;oi=fnd&amp;pg=PR4&amp;ots=IcTNYTFUZn&amp;sig=NalGHA2GwWwqU5AnRD1E0-7XDuw&amp;redir_esc=y" TargetMode="External"/><Relationship Id="rId196" Type="http://schemas.openxmlformats.org/officeDocument/2006/relationships/hyperlink" Target="https://doi.org/10.1080/00167223.2003.10649493" TargetMode="External"/><Relationship Id="rId417" Type="http://schemas.openxmlformats.org/officeDocument/2006/relationships/hyperlink" Target="https://pastoralismjournal.springeropen.com/articles/10.1186/2041-7136-1-24" TargetMode="External"/><Relationship Id="rId624" Type="http://schemas.openxmlformats.org/officeDocument/2006/relationships/hyperlink" Target="https://link.springer.com/article/10.1007/s10661-016-5532-8" TargetMode="External"/><Relationship Id="rId831" Type="http://schemas.openxmlformats.org/officeDocument/2006/relationships/hyperlink" Target="https://www.researchgate.net/publication/311487251" TargetMode="External"/><Relationship Id="rId1047" Type="http://schemas.openxmlformats.org/officeDocument/2006/relationships/hyperlink" Target="https://jamba.org.za/index.php/jamba/article/view/224" TargetMode="External"/><Relationship Id="rId263" Type="http://schemas.openxmlformats.org/officeDocument/2006/relationships/hyperlink" Target="https://iopscience.iop.org/article/10.1088/2515-7620/ab056c" TargetMode="External"/><Relationship Id="rId470" Type="http://schemas.openxmlformats.org/officeDocument/2006/relationships/hyperlink" Target="https://fireecology.springeropen.com/articles/10.4996/fireecology.0701057" TargetMode="External"/><Relationship Id="rId929" Type="http://schemas.openxmlformats.org/officeDocument/2006/relationships/hyperlink" Target="https://esajournals.onlinelibrary.wiley.com/doi/full/10.1890/130015" TargetMode="External"/><Relationship Id="rId58" Type="http://schemas.openxmlformats.org/officeDocument/2006/relationships/hyperlink" Target="https://onlinelibrary.wiley.com/doi/abs/10.2307/1242114" TargetMode="External"/><Relationship Id="rId123" Type="http://schemas.openxmlformats.org/officeDocument/2006/relationships/hyperlink" Target="http://oar.icrisat.org/6779/1/EPW_33_39_A163-A168_1998.pdf" TargetMode="External"/><Relationship Id="rId330" Type="http://schemas.openxmlformats.org/officeDocument/2006/relationships/hyperlink" Target="https://link.springer.com/article/10.1007/BF00148159" TargetMode="External"/><Relationship Id="rId568" Type="http://schemas.openxmlformats.org/officeDocument/2006/relationships/hyperlink" Target="https://ideas.repec.org/a/ags/afjare/258607.html" TargetMode="External"/><Relationship Id="rId775" Type="http://schemas.openxmlformats.org/officeDocument/2006/relationships/hyperlink" Target="https://www.researchgate.net/publication/256645443_Grazing_Systems_and_Biodiversity_in_Mediterranean_Areas_Spain_Italy_and_Greece" TargetMode="External"/><Relationship Id="rId982" Type="http://schemas.openxmlformats.org/officeDocument/2006/relationships/hyperlink" Target="https://www.mdpi.com/2072-4292/2/4/1057/htm" TargetMode="External"/><Relationship Id="rId428" Type="http://schemas.openxmlformats.org/officeDocument/2006/relationships/hyperlink" Target="https://www.sciencedirect.com/science/article/pii/S0143622809000149" TargetMode="External"/><Relationship Id="rId635" Type="http://schemas.openxmlformats.org/officeDocument/2006/relationships/hyperlink" Target="https://www.sciencedirect.com/science/article/pii/S0378112710006924" TargetMode="External"/><Relationship Id="rId842" Type="http://schemas.openxmlformats.org/officeDocument/2006/relationships/hyperlink" Target="https://www.mdpi.com/1999-4907/7/10/237" TargetMode="External"/><Relationship Id="rId1058" Type="http://schemas.openxmlformats.org/officeDocument/2006/relationships/hyperlink" Target="https://link.springer.com/content/pdf/10.1007/s13143-013-0015-0.pdf" TargetMode="External"/><Relationship Id="rId274" Type="http://schemas.openxmlformats.org/officeDocument/2006/relationships/hyperlink" Target="https://link.springer.com/article/10.1007/s11629-019-5416-9" TargetMode="External"/><Relationship Id="rId481" Type="http://schemas.openxmlformats.org/officeDocument/2006/relationships/hyperlink" Target="https://doi.org/10.1080/108071200490505963" TargetMode="External"/><Relationship Id="rId702" Type="http://schemas.openxmlformats.org/officeDocument/2006/relationships/hyperlink" Target="https://www.ecologyandsociety.org/vol22/iss3/art23/" TargetMode="External"/><Relationship Id="rId69" Type="http://schemas.openxmlformats.org/officeDocument/2006/relationships/hyperlink" Target="https://www.tandfonline.com/doi/full/10.1080/08941920.2013.820813" TargetMode="External"/><Relationship Id="rId134" Type="http://schemas.openxmlformats.org/officeDocument/2006/relationships/hyperlink" Target="https://uofupress.lib.utah.edu/fire-otherwise/" TargetMode="External"/><Relationship Id="rId579" Type="http://schemas.openxmlformats.org/officeDocument/2006/relationships/hyperlink" Target="http://dx.doi.org/10.1016/j.gloenvcha.2017.08.001" TargetMode="External"/><Relationship Id="rId786" Type="http://schemas.openxmlformats.org/officeDocument/2006/relationships/hyperlink" Target="https://www.researchgate.net/publication/256645443_Grazing_Systems_and_Biodiversity_in_Mediterranean_Areas_Spain_Italy_and_Greece" TargetMode="External"/><Relationship Id="rId993" Type="http://schemas.openxmlformats.org/officeDocument/2006/relationships/hyperlink" Target="https://www.ajol.info/index.php/sajae/article/view/76886" TargetMode="External"/><Relationship Id="rId341"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439" Type="http://schemas.openxmlformats.org/officeDocument/2006/relationships/hyperlink" Target="https://www.sciencedirect.com/science/article/pii/S0167880911000405" TargetMode="External"/><Relationship Id="rId646" Type="http://schemas.openxmlformats.org/officeDocument/2006/relationships/hyperlink" Target="http://www2.fire.uni-freiburg.de/sevilla-2007/contributions/doc/cd/SESIONES_TEMATICAS/ST2/Velez_SPAIN_DGB_ExpeEnglish.pdf" TargetMode="External"/><Relationship Id="rId1069" Type="http://schemas.openxmlformats.org/officeDocument/2006/relationships/hyperlink" Target="https://linkinghub.elsevier.com/retrieve/pii/S0921818116302090" TargetMode="External"/><Relationship Id="rId201" Type="http://schemas.openxmlformats.org/officeDocument/2006/relationships/hyperlink" Target="http://lad.nafri.org.la/fulltext/231-0.pdf" TargetMode="External"/><Relationship Id="rId285" Type="http://schemas.openxmlformats.org/officeDocument/2006/relationships/hyperlink" Target="https://www.tandfonline.com/doi/full/10.1080/03066150.2016.1243531" TargetMode="External"/><Relationship Id="rId506" Type="http://schemas.openxmlformats.org/officeDocument/2006/relationships/hyperlink" Target="https://www.sciencedirect.com/science/article/pii/S0301479711004701?via%3Dihub" TargetMode="External"/><Relationship Id="rId853" Type="http://schemas.openxmlformats.org/officeDocument/2006/relationships/hyperlink" Target="https://www.mdpi.com/1999-4907/7/10/237" TargetMode="External"/><Relationship Id="rId492" Type="http://schemas.openxmlformats.org/officeDocument/2006/relationships/hyperlink" Target="https://doi.org/10.1080/17531055.2015.1134401" TargetMode="External"/><Relationship Id="rId713" Type="http://schemas.openxmlformats.org/officeDocument/2006/relationships/hyperlink" Target="https://www.sciencedirect.com/science/article/pii/S0743016716301814?via%3Dihub" TargetMode="External"/><Relationship Id="rId797" Type="http://schemas.openxmlformats.org/officeDocument/2006/relationships/hyperlink" Target="https://www.researchgate.net/publication/311487251" TargetMode="External"/><Relationship Id="rId920" Type="http://schemas.openxmlformats.org/officeDocument/2006/relationships/hyperlink" Target="https://pdfs.semanticscholar.org/d0eb/e9e2baa1c1b0a23a4e9d2c868c56bd39c8ce.pdf" TargetMode="External"/><Relationship Id="rId145" Type="http://schemas.openxmlformats.org/officeDocument/2006/relationships/hyperlink" Target="https://books.google.co.uk/books?hl=en&amp;lr=&amp;id=j4AvOb_R9h8C&amp;oi=fnd&amp;pg=PR9&amp;dq=rudel+2005+tropical+forests&amp;ots=w-PptzOWIV&amp;sig=gNGGYgyd9j5pF6hkCcsIbZaS0hE&amp;redir_esc=y" TargetMode="External"/><Relationship Id="rId352" Type="http://schemas.openxmlformats.org/officeDocument/2006/relationships/hyperlink" Target="https://www.tandfonline.com/doi/full/10.1080/17531055.2011.544550?casa_token=deQdRqNhUDUAAAAA%3AcIA_IpoUukibvbPIFZPjXgi4qx86MZnqq2oiWqP5MvE6AqU2B568Jgcsjt5iiGtnuzZr_rrzepDt" TargetMode="External"/><Relationship Id="rId212"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657" Type="http://schemas.openxmlformats.org/officeDocument/2006/relationships/hyperlink" Target="https://core.ac.uk/reader/190976684" TargetMode="External"/><Relationship Id="rId864" Type="http://schemas.openxmlformats.org/officeDocument/2006/relationships/hyperlink" Target="https://www.mdpi.com/1999-4907/7/10/237" TargetMode="External"/><Relationship Id="rId296" Type="http://schemas.openxmlformats.org/officeDocument/2006/relationships/hyperlink" Target="http://www.sandeeonline.org/uploads/documents/publication/1103_PUB_WP_117_Prabath.pdf" TargetMode="External"/><Relationship Id="rId517" Type="http://schemas.openxmlformats.org/officeDocument/2006/relationships/hyperlink" Target="https://www.sciencedirect.com/science/article/pii/S0301479711004701?via%3Dihub" TargetMode="External"/><Relationship Id="rId724" Type="http://schemas.openxmlformats.org/officeDocument/2006/relationships/hyperlink" Target="https://www.sciencedirect.com/science/article/pii/S0301479799903353" TargetMode="External"/><Relationship Id="rId931" Type="http://schemas.openxmlformats.org/officeDocument/2006/relationships/hyperlink" Target="https://esajournals.onlinelibrary.wiley.com/doi/10.1890/1540-9295%282004%29002%5B0361%3ALIAPFF%5D2.0.CO%3B2" TargetMode="External"/><Relationship Id="rId60" Type="http://schemas.openxmlformats.org/officeDocument/2006/relationships/hyperlink" Target="https://onlinelibrary.wiley.com/doi/abs/10.2307/1242114" TargetMode="External"/><Relationship Id="rId156" Type="http://schemas.openxmlformats.org/officeDocument/2006/relationships/hyperlink" Target="https://link.springer.com/article/10.1007/s10460-009-9239-0" TargetMode="External"/><Relationship Id="rId363" Type="http://schemas.openxmlformats.org/officeDocument/2006/relationships/hyperlink" Target="https://link.springer.com/article/10.1007/s10745-005-5155-0" TargetMode="External"/><Relationship Id="rId570" Type="http://schemas.openxmlformats.org/officeDocument/2006/relationships/hyperlink" Target="https://ideas.repec.org/a/ags/afjare/258607.html" TargetMode="External"/><Relationship Id="rId1007" Type="http://schemas.openxmlformats.org/officeDocument/2006/relationships/hyperlink" Target="https://www.mdpi.com/2071-1050/11/6/1762" TargetMode="External"/><Relationship Id="rId223" Type="http://schemas.openxmlformats.org/officeDocument/2006/relationships/hyperlink" Target="https://onlinelibrary.wiley.com/doi/abs/10.2307/1242114" TargetMode="External"/><Relationship Id="rId430" Type="http://schemas.openxmlformats.org/officeDocument/2006/relationships/hyperlink" Target="https://www.jstor.org/stable/30135835" TargetMode="External"/><Relationship Id="rId668" Type="http://schemas.openxmlformats.org/officeDocument/2006/relationships/hyperlink" Target="https://books.google.co.uk/books?hl=en&amp;lr=&amp;id=4nyTyLGxUK4C&amp;oi=fnd&amp;pg=PR5&amp;ots=eBsLoe2a6V&amp;sig=rD0lEmHlM_OWqB5YJzZvs2DYtsw&amp;redir_esc=y" TargetMode="External"/><Relationship Id="rId875" Type="http://schemas.openxmlformats.org/officeDocument/2006/relationships/hyperlink" Target="https://www.mdpi.com/1999-4907/7/10/237" TargetMode="External"/><Relationship Id="rId1060" Type="http://schemas.openxmlformats.org/officeDocument/2006/relationships/hyperlink" Target="https://link.springer.com/content/pdf/10.1007/s13143-013-0015-0.pdf" TargetMode="External"/><Relationship Id="rId18" Type="http://schemas.openxmlformats.org/officeDocument/2006/relationships/hyperlink" Target="https://doi.org/10.14989/68482" TargetMode="External"/><Relationship Id="rId528" Type="http://schemas.openxmlformats.org/officeDocument/2006/relationships/hyperlink" Target="https://www.researchgate.net/publication/334363169" TargetMode="External"/><Relationship Id="rId735" Type="http://schemas.openxmlformats.org/officeDocument/2006/relationships/hyperlink" Target="https://www.sciencedirect.com/science/article/pii/S0301479799903353" TargetMode="External"/><Relationship Id="rId942" Type="http://schemas.openxmlformats.org/officeDocument/2006/relationships/hyperlink" Target="https://www.pnas.org/content/105/39/14796" TargetMode="External"/><Relationship Id="rId167" Type="http://schemas.openxmlformats.org/officeDocument/2006/relationships/hyperlink" Target="https://link.springer.com/article/10.1007/s10980-007-9123-5" TargetMode="External"/><Relationship Id="rId374" Type="http://schemas.openxmlformats.org/officeDocument/2006/relationships/hyperlink" Target="https://www.mdpi.com/2076-3298/2/1/1" TargetMode="External"/><Relationship Id="rId581" Type="http://schemas.openxmlformats.org/officeDocument/2006/relationships/hyperlink" Target="https://doi.org/10.1186/s42408-019-0030-3" TargetMode="External"/><Relationship Id="rId1018" Type="http://schemas.openxmlformats.org/officeDocument/2006/relationships/hyperlink" Target="https://www.mdpi.com/1424-8220/17/3/437" TargetMode="External"/><Relationship Id="rId71" Type="http://schemas.openxmlformats.org/officeDocument/2006/relationships/hyperlink" Target="https://www.tandfonline.com/doi/full/10.1080/08941920.2013.820813" TargetMode="External"/><Relationship Id="rId234" Type="http://schemas.openxmlformats.org/officeDocument/2006/relationships/hyperlink" Target="https://link.springer.com/article/10.1007/s10745-012-9537-9" TargetMode="External"/><Relationship Id="rId679" Type="http://schemas.openxmlformats.org/officeDocument/2006/relationships/hyperlink" Target="https://doi.org/10.29332/ijls.v2n3.234" TargetMode="External"/><Relationship Id="rId802" Type="http://schemas.openxmlformats.org/officeDocument/2006/relationships/hyperlink" Target="https://www.researchgate.net/publication/311487251" TargetMode="External"/><Relationship Id="rId886" Type="http://schemas.openxmlformats.org/officeDocument/2006/relationships/hyperlink" Target="https://www.mdpi.com/1999-4907/7/10/237" TargetMode="External"/><Relationship Id="rId2" Type="http://schemas.openxmlformats.org/officeDocument/2006/relationships/hyperlink" Target="https://doi.org/10.14989/68482" TargetMode="External"/><Relationship Id="rId29" Type="http://schemas.openxmlformats.org/officeDocument/2006/relationships/hyperlink" Target="https://doi.org/10.14989/68482" TargetMode="External"/><Relationship Id="rId441" Type="http://schemas.openxmlformats.org/officeDocument/2006/relationships/hyperlink" Target="https://www.sciencedirect.com/science/article/pii/S0167880911000405" TargetMode="External"/><Relationship Id="rId539" Type="http://schemas.openxmlformats.org/officeDocument/2006/relationships/hyperlink" Target="https://www.researchgate.net/publication/325554028" TargetMode="External"/><Relationship Id="rId746" Type="http://schemas.openxmlformats.org/officeDocument/2006/relationships/hyperlink" Target="https://linkinghub.elsevier.com/retrieve/pii/S0034425717304728" TargetMode="External"/><Relationship Id="rId1071" Type="http://schemas.openxmlformats.org/officeDocument/2006/relationships/hyperlink" Target="https://linkinghub.elsevier.com/retrieve/pii/S0921818116302090" TargetMode="External"/><Relationship Id="rId178" Type="http://schemas.openxmlformats.org/officeDocument/2006/relationships/hyperlink" Target="https://link.springer.com/content/pdf/10.1007/BF00889497.pdf" TargetMode="External"/><Relationship Id="rId301" Type="http://schemas.openxmlformats.org/officeDocument/2006/relationships/hyperlink" Target="https://ecologicalprocesses.springeropen.com/articles/10.1186/s13717-016-0049-1" TargetMode="External"/><Relationship Id="rId953" Type="http://schemas.openxmlformats.org/officeDocument/2006/relationships/hyperlink" Target="https://digitalcommons.usu.edu/hwi/vol12/iss1/" TargetMode="External"/><Relationship Id="rId1029"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82" Type="http://schemas.openxmlformats.org/officeDocument/2006/relationships/hyperlink" Target="https://www.tandfonline.com/doi/full/10.1080/08941920.2013.820813" TargetMode="External"/><Relationship Id="rId203" Type="http://schemas.openxmlformats.org/officeDocument/2006/relationships/hyperlink" Target="http://lad.nafri.org.la/fulltext/231-0.pdf" TargetMode="External"/><Relationship Id="rId385" Type="http://schemas.openxmlformats.org/officeDocument/2006/relationships/hyperlink" Target="https://linkinghub.elsevier.com/retrieve/pii/S014019631630101X" TargetMode="External"/><Relationship Id="rId592" Type="http://schemas.openxmlformats.org/officeDocument/2006/relationships/hyperlink" Target="https://link.springer.com/article/10.1023/B:HUEC.0000043514.19598.23" TargetMode="External"/><Relationship Id="rId606" Type="http://schemas.openxmlformats.org/officeDocument/2006/relationships/hyperlink" Target="https://www.ecologyandsociety.org/vol19/iss2/art41/" TargetMode="External"/><Relationship Id="rId648" Type="http://schemas.openxmlformats.org/officeDocument/2006/relationships/hyperlink" Target="http://www2.fire.uni-freiburg.de/sevilla-2007/contributions/doc/cd/SESIONES_TEMATICAS/ST2/Velez_SPAIN_DGB_ExpeEnglish.pdf" TargetMode="External"/><Relationship Id="rId813" Type="http://schemas.openxmlformats.org/officeDocument/2006/relationships/hyperlink" Target="https://www.researchgate.net/publication/311487251" TargetMode="External"/><Relationship Id="rId855" Type="http://schemas.openxmlformats.org/officeDocument/2006/relationships/hyperlink" Target="https://www.mdpi.com/1999-4907/7/10/237" TargetMode="External"/><Relationship Id="rId1040" Type="http://schemas.openxmlformats.org/officeDocument/2006/relationships/hyperlink" Target="https://link.springer.com/article/10.1007/s11842-015-9311-0" TargetMode="External"/><Relationship Id="rId245" Type="http://schemas.openxmlformats.org/officeDocument/2006/relationships/hyperlink" Target="https://www.sciencedirect.com/science/article/pii/S0143622817307403" TargetMode="External"/><Relationship Id="rId287" Type="http://schemas.openxmlformats.org/officeDocument/2006/relationships/hyperlink" Target="https://www.tandfonline.com/doi/full/10.1080/03066150.2016.1243531" TargetMode="External"/><Relationship Id="rId410" Type="http://schemas.openxmlformats.org/officeDocument/2006/relationships/hyperlink" Target="https://www.jstor.org/stable/pdf/26188765.pdf" TargetMode="External"/><Relationship Id="rId452" Type="http://schemas.openxmlformats.org/officeDocument/2006/relationships/hyperlink" Target="https://journals.uair.arizona.edu/index.php/rangelands/article/download/15883/15858" TargetMode="External"/><Relationship Id="rId494" Type="http://schemas.openxmlformats.org/officeDocument/2006/relationships/hyperlink" Target="https://link.springer.com/article/10.1007/s10745-017-9926-1" TargetMode="External"/><Relationship Id="rId508" Type="http://schemas.openxmlformats.org/officeDocument/2006/relationships/hyperlink" Target="https://www.sciencedirect.com/science/article/pii/S0301479711004701?via%3Dihub" TargetMode="External"/><Relationship Id="rId715" Type="http://schemas.openxmlformats.org/officeDocument/2006/relationships/hyperlink" Target="https://www.sciencedirect.com/science/article/pii/S0301479799903353" TargetMode="External"/><Relationship Id="rId897" Type="http://schemas.openxmlformats.org/officeDocument/2006/relationships/hyperlink" Target="https://www.mdpi.com/1999-4907/7/10/237" TargetMode="External"/><Relationship Id="rId922" Type="http://schemas.openxmlformats.org/officeDocument/2006/relationships/hyperlink" Target="https://bioone.org/journals/Rangeland-Ecology-and-Management/volume-64/issue-4/REM-D-10-00012.1/Public-Perceptions-of-Sagebrush-Ecosystem-Management-in-the-Great-Basin/10.2111/REM-D-10-00012.1.short" TargetMode="External"/><Relationship Id="rId1082" Type="http://schemas.openxmlformats.org/officeDocument/2006/relationships/hyperlink" Target="https://journals.plos.org/plosone/article/file?id=10.1371/journal.pone.0029212&amp;type=printable" TargetMode="External"/><Relationship Id="rId105" Type="http://schemas.openxmlformats.org/officeDocument/2006/relationships/hyperlink" Target="https://www.tandfonline.com/doi/full/10.1080/08941920.2013.820813" TargetMode="External"/><Relationship Id="rId147" Type="http://schemas.openxmlformats.org/officeDocument/2006/relationships/hyperlink" Target="https://link.springer.com/article/10.1007/s11027-006-9038-5" TargetMode="External"/><Relationship Id="rId312" Type="http://schemas.openxmlformats.org/officeDocument/2006/relationships/hyperlink" Target="https://www.semanticscholar.org/paper/The-structure-of-Jhum-(Traditional-Shifting-or-to-Bhagawati-Bhagawati/fac2a7246919fb273a590b6a218064bce5f664bd" TargetMode="External"/><Relationship Id="rId354" Type="http://schemas.openxmlformats.org/officeDocument/2006/relationships/hyperlink" Target="http://monitoringmatters.org/articles/full13.pdf" TargetMode="External"/><Relationship Id="rId757" Type="http://schemas.openxmlformats.org/officeDocument/2006/relationships/hyperlink" Target="https://www.researchgate.net/publication/256645443_Grazing_Systems_and_Biodiversity_in_Mediterranean_Areas_Spain_Italy_and_Greece" TargetMode="External"/><Relationship Id="rId799" Type="http://schemas.openxmlformats.org/officeDocument/2006/relationships/hyperlink" Target="https://www.researchgate.net/publication/311487251" TargetMode="External"/><Relationship Id="rId964" Type="http://schemas.openxmlformats.org/officeDocument/2006/relationships/hyperlink" Target="https://www.jstor.org/stable/pdf/27654196.pdf" TargetMode="External"/><Relationship Id="rId51" Type="http://schemas.openxmlformats.org/officeDocument/2006/relationships/hyperlink" Target="https://doi.org/10.14989/68482" TargetMode="External"/><Relationship Id="rId93" Type="http://schemas.openxmlformats.org/officeDocument/2006/relationships/hyperlink" Target="https://www.tandfonline.com/doi/full/10.1080/08941920.2013.820813" TargetMode="External"/><Relationship Id="rId189" Type="http://schemas.openxmlformats.org/officeDocument/2006/relationships/hyperlink" Target="https://onlinelibrary.wiley.com/doi/abs/10.1111/1467-8373.00072" TargetMode="External"/><Relationship Id="rId396" Type="http://schemas.openxmlformats.org/officeDocument/2006/relationships/hyperlink" Target="https://www.sciencedirect.com/science/article/pii/S0301479705000058" TargetMode="External"/><Relationship Id="rId561" Type="http://schemas.openxmlformats.org/officeDocument/2006/relationships/hyperlink" Target="https://www.sciencedirect.com/science/article/pii/S0143622820300667" TargetMode="External"/><Relationship Id="rId617" Type="http://schemas.openxmlformats.org/officeDocument/2006/relationships/hyperlink" Target="https://link.springer.com/article/10.1007/s10745-016-9851-8" TargetMode="External"/><Relationship Id="rId659" Type="http://schemas.openxmlformats.org/officeDocument/2006/relationships/hyperlink" Target="http://www.sandeeonline.org/uploads/documents/publication/962_PUB_Working_Paper_66_Ridhima_Gupta.pdf" TargetMode="External"/><Relationship Id="rId824" Type="http://schemas.openxmlformats.org/officeDocument/2006/relationships/hyperlink" Target="https://www.researchgate.net/publication/311487251" TargetMode="External"/><Relationship Id="rId866" Type="http://schemas.openxmlformats.org/officeDocument/2006/relationships/hyperlink" Target="https://www.mdpi.com/1999-4907/7/10/237" TargetMode="External"/><Relationship Id="rId214"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256" Type="http://schemas.openxmlformats.org/officeDocument/2006/relationships/hyperlink" Target="https://www.sciencedirect.com/science/article/pii/S0006320712004466" TargetMode="External"/><Relationship Id="rId298" Type="http://schemas.openxmlformats.org/officeDocument/2006/relationships/hyperlink" Target="http://www.sandeeonline.org/uploads/documents/publication/1103_PUB_WP_117_Prabath.pdf" TargetMode="External"/><Relationship Id="rId421" Type="http://schemas.openxmlformats.org/officeDocument/2006/relationships/hyperlink" Target="https://pastoralismjournal.springeropen.com/articles/10.1186/2041-7136-1-24" TargetMode="External"/><Relationship Id="rId463" Type="http://schemas.openxmlformats.org/officeDocument/2006/relationships/hyperlink" Target="https://besjournals.onlinelibrary.wiley.com/doi/pdf/10.1046/j.1365-2664.2001.00567.x" TargetMode="External"/><Relationship Id="rId519" Type="http://schemas.openxmlformats.org/officeDocument/2006/relationships/hyperlink" Target="https://www.sciencedirect.com/science/article/pii/S0301479711004701?via%3Dihub" TargetMode="External"/><Relationship Id="rId670" Type="http://schemas.openxmlformats.org/officeDocument/2006/relationships/hyperlink" Target="https://books.google.co.uk/books?hl=en&amp;lr=&amp;id=4nyTyLGxUK4C&amp;oi=fnd&amp;pg=PR5&amp;ots=eBsLoe2a6V&amp;sig=rD0lEmHlM_OWqB5YJzZvs2DYtsw&amp;redir_esc=y" TargetMode="External"/><Relationship Id="rId1051" Type="http://schemas.openxmlformats.org/officeDocument/2006/relationships/hyperlink" Target="http://dx.doi.org/10.3390/su11061641" TargetMode="External"/><Relationship Id="rId116" Type="http://schemas.openxmlformats.org/officeDocument/2006/relationships/hyperlink" Target="https://www.sciencedirect.com/science/article/pii/S0921800919305191" TargetMode="External"/><Relationship Id="rId158"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323" Type="http://schemas.openxmlformats.org/officeDocument/2006/relationships/hyperlink" Target="https://doi.org/10.1007/s13280-018-1118-8" TargetMode="External"/><Relationship Id="rId530" Type="http://schemas.openxmlformats.org/officeDocument/2006/relationships/hyperlink" Target="https://www.researchgate.net/publication/334363169" TargetMode="External"/><Relationship Id="rId726" Type="http://schemas.openxmlformats.org/officeDocument/2006/relationships/hyperlink" Target="https://www.sciencedirect.com/science/article/pii/S0301479799903353" TargetMode="External"/><Relationship Id="rId768" Type="http://schemas.openxmlformats.org/officeDocument/2006/relationships/hyperlink" Target="https://www.researchgate.net/publication/256645443_Grazing_Systems_and_Biodiversity_in_Mediterranean_Areas_Spain_Italy_and_Greece" TargetMode="External"/><Relationship Id="rId933" Type="http://schemas.openxmlformats.org/officeDocument/2006/relationships/hyperlink" Target="https://www.sciencedirect.com/science/article/abs/pii/S0378112713006889?via%3Dihub" TargetMode="External"/><Relationship Id="rId975"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009" Type="http://schemas.openxmlformats.org/officeDocument/2006/relationships/hyperlink" Target="https://www.researchgate.net/publication/222259152" TargetMode="External"/><Relationship Id="rId20" Type="http://schemas.openxmlformats.org/officeDocument/2006/relationships/hyperlink" Target="https://doi.org/10.14989/68482" TargetMode="External"/><Relationship Id="rId62" Type="http://schemas.openxmlformats.org/officeDocument/2006/relationships/hyperlink" Target="https://www.tandfonline.com/doi/full/10.1080/08941920.2013.820813" TargetMode="External"/><Relationship Id="rId365" Type="http://schemas.openxmlformats.org/officeDocument/2006/relationships/hyperlink" Target="https://link.springer.com/article/10.1023/A:1021970021670" TargetMode="External"/><Relationship Id="rId572" Type="http://schemas.openxmlformats.org/officeDocument/2006/relationships/hyperlink" Target="https://link.springer.com/article/10.1007/s10745-018-9969-y" TargetMode="External"/><Relationship Id="rId628" Type="http://schemas.openxmlformats.org/officeDocument/2006/relationships/hyperlink" Target="https://iforest.sisef.org/pdf/?id=ifor0098-006" TargetMode="External"/><Relationship Id="rId835" Type="http://schemas.openxmlformats.org/officeDocument/2006/relationships/hyperlink" Target="https://www.mdpi.com/1999-4907/7/10/237" TargetMode="External"/><Relationship Id="rId225" Type="http://schemas.openxmlformats.org/officeDocument/2006/relationships/hyperlink" Target="http://www.bio-nica.info/Biblioteca/Vosti2002Deforestation.pdf" TargetMode="External"/><Relationship Id="rId267" Type="http://schemas.openxmlformats.org/officeDocument/2006/relationships/hyperlink" Target="https://books.google.co.uk/books?hl=en&amp;lr=&amp;id=j4AvOb_R9h8C&amp;oi=fnd&amp;pg=PR9&amp;dq=rudel+2005+tropical+forests&amp;ots=w-PptzOWIV&amp;sig=gNGGYgyd9j5pF6hkCcsIbZaS0hE&amp;redir_esc=y" TargetMode="External"/><Relationship Id="rId432" Type="http://schemas.openxmlformats.org/officeDocument/2006/relationships/hyperlink" Target="https://www.scirp.org/journal/paperinformation.aspx?paperid=27362" TargetMode="External"/><Relationship Id="rId474" Type="http://schemas.openxmlformats.org/officeDocument/2006/relationships/hyperlink" Target="https://onlinelibrary.wiley.com/doi/abs/10.1002/ldr.777" TargetMode="External"/><Relationship Id="rId877" Type="http://schemas.openxmlformats.org/officeDocument/2006/relationships/hyperlink" Target="https://www.mdpi.com/1999-4907/7/10/237" TargetMode="External"/><Relationship Id="rId1020" Type="http://schemas.openxmlformats.org/officeDocument/2006/relationships/hyperlink" Target="https://www.jstage.jst.go.jp/article/jsta/58/4/58_155/_pdf/-char/ja" TargetMode="External"/><Relationship Id="rId1062" Type="http://schemas.openxmlformats.org/officeDocument/2006/relationships/hyperlink" Target="https://www.sciencedirect.com/science/article/pii/S1462901117307694?casa_token=1sjjxHogWbkAAAAA:6AZyPnXlIxr2egTtkZkGoBia5G5PNaGPpGAs8IONer_Ic7oejDU7jKLQ_RL76aXLMK294yFkDg" TargetMode="External"/><Relationship Id="rId127" Type="http://schemas.openxmlformats.org/officeDocument/2006/relationships/hyperlink" Target="http://oar.icrisat.org/6779/1/EPW_33_39_A163-A168_1998.pdf" TargetMode="External"/><Relationship Id="rId681" Type="http://schemas.openxmlformats.org/officeDocument/2006/relationships/hyperlink" Target="https://doi.org/10.1016/j.landusepol.2015.05.004" TargetMode="External"/><Relationship Id="rId737" Type="http://schemas.openxmlformats.org/officeDocument/2006/relationships/hyperlink" Target="https://www.sciencedirect.com/science/article/pii/S0301479799903353" TargetMode="External"/><Relationship Id="rId779" Type="http://schemas.openxmlformats.org/officeDocument/2006/relationships/hyperlink" Target="https://www.researchgate.net/publication/256645443_Grazing_Systems_and_Biodiversity_in_Mediterranean_Areas_Spain_Italy_and_Greece" TargetMode="External"/><Relationship Id="rId902" Type="http://schemas.openxmlformats.org/officeDocument/2006/relationships/hyperlink" Target="https://www.sciencedirect.com/science/article/abs/pii/S0378112799002832" TargetMode="External"/><Relationship Id="rId944" Type="http://schemas.openxmlformats.org/officeDocument/2006/relationships/hyperlink" Target="https://bioone.org/journals/Journal-of-Ethnobiology/volume-35/issue-1/0278-0771-35.1.111/The-Human-Ecology-and-Geography-of-Burning-in-an-Unstable/10.2993/0278-0771-35.1.111.short" TargetMode="External"/><Relationship Id="rId986"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31" Type="http://schemas.openxmlformats.org/officeDocument/2006/relationships/hyperlink" Target="https://doi.org/10.14989/68482" TargetMode="External"/><Relationship Id="rId73" Type="http://schemas.openxmlformats.org/officeDocument/2006/relationships/hyperlink" Target="https://www.tandfonline.com/doi/full/10.1080/08941920.2013.820813" TargetMode="External"/><Relationship Id="rId169" Type="http://schemas.openxmlformats.org/officeDocument/2006/relationships/hyperlink" Target="https://onlinelibrary.wiley.com/doi/abs/10.1111/1467-8306.00281" TargetMode="External"/><Relationship Id="rId33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76" Type="http://schemas.openxmlformats.org/officeDocument/2006/relationships/hyperlink" Target="https://www.mdpi.com/2076-3298/2/1/1" TargetMode="External"/><Relationship Id="rId541" Type="http://schemas.openxmlformats.org/officeDocument/2006/relationships/hyperlink" Target="http://managementjournal.usamv.ro/pdf/vol.17_1/Art68.pdf" TargetMode="External"/><Relationship Id="rId583" Type="http://schemas.openxmlformats.org/officeDocument/2006/relationships/hyperlink" Target="https://rgs-ibg.onlinelibrary.wiley.com/doi/abs/10.1111/geoj.12261" TargetMode="External"/><Relationship Id="rId639" Type="http://schemas.openxmlformats.org/officeDocument/2006/relationships/hyperlink" Target="https://www.sciencedirect.com/science/article/pii/S0048969713014046" TargetMode="External"/><Relationship Id="rId790" Type="http://schemas.openxmlformats.org/officeDocument/2006/relationships/hyperlink" Target="https://www.researchgate.net/publication/256645443_Grazing_Systems_and_Biodiversity_in_Mediterranean_Areas_Spain_Italy_and_Greece" TargetMode="External"/><Relationship Id="rId804" Type="http://schemas.openxmlformats.org/officeDocument/2006/relationships/hyperlink" Target="https://www.researchgate.net/publication/311487251" TargetMode="External"/><Relationship Id="rId4" Type="http://schemas.openxmlformats.org/officeDocument/2006/relationships/hyperlink" Target="https://doi.org/10.14989/68482" TargetMode="External"/><Relationship Id="rId180" Type="http://schemas.openxmlformats.org/officeDocument/2006/relationships/hyperlink" Target="http://www.africa.kyoto-u.ac.jp/kiroku/asm_normal/abstracts/pdf/ASM%20%20Vol.17%20No.3%201996/Shuichi%20OYAMA.pdf" TargetMode="External"/><Relationship Id="rId236" Type="http://schemas.openxmlformats.org/officeDocument/2006/relationships/hyperlink" Target="https://www.academia.edu/32394422/Animal_traction_and_market_conditions_a_case_study_from_south-western_Tanzania_and_northern_Zambia" TargetMode="External"/><Relationship Id="rId278" Type="http://schemas.openxmlformats.org/officeDocument/2006/relationships/hyperlink" Target="https://iopscience.iop.org/article/10.1088/1748-9326/10/9/094009/meta" TargetMode="External"/><Relationship Id="rId401" Type="http://schemas.openxmlformats.org/officeDocument/2006/relationships/hyperlink" Target="https://www.semanticscholar.org/paper/PASTORALISM-AND-VIOLENCE-IN-NORTHERN-GHANA%3A-AND-Abubakari/bd1bbba241bc9ad9c82a37d1e9a8aba8e67de9c8" TargetMode="External"/><Relationship Id="rId443" Type="http://schemas.openxmlformats.org/officeDocument/2006/relationships/hyperlink" Target="https://www.sciencedirect.com/science/article/pii/S0167880911000405" TargetMode="External"/><Relationship Id="rId650" Type="http://schemas.openxmlformats.org/officeDocument/2006/relationships/hyperlink" Target="http://www2.fire.uni-freiburg.de/sevilla-2007/contributions/doc/cd/SESIONES_TEMATICAS/ST2/Velez_SPAIN_DGB_ExpeEnglish.pdf" TargetMode="External"/><Relationship Id="rId846" Type="http://schemas.openxmlformats.org/officeDocument/2006/relationships/hyperlink" Target="https://www.mdpi.com/1999-4907/7/10/237" TargetMode="External"/><Relationship Id="rId888" Type="http://schemas.openxmlformats.org/officeDocument/2006/relationships/hyperlink" Target="https://www.mdpi.com/1999-4907/7/10/237" TargetMode="External"/><Relationship Id="rId1031" Type="http://schemas.openxmlformats.org/officeDocument/2006/relationships/hyperlink" Target="https://acp.copernicus.org/preprints/6/9655/2006/acpd-6-9655-2006.pdf" TargetMode="External"/><Relationship Id="rId1073" Type="http://schemas.openxmlformats.org/officeDocument/2006/relationships/hyperlink" Target="https://reader.elsevier.com/reader/sd/pii/S0146638012000575?token=DB6A3A0247400FE0BA11023308B4ACAA35C9EAC449D18C7F55CD9067E8A51C1356EEC001A19A368335920898A07EAF93" TargetMode="External"/><Relationship Id="rId303" Type="http://schemas.openxmlformats.org/officeDocument/2006/relationships/hyperlink" Target="https://www.sciencedirect.com/science/article/pii/S0301479706000557" TargetMode="External"/><Relationship Id="rId485" Type="http://schemas.openxmlformats.org/officeDocument/2006/relationships/hyperlink" Target="https://link.springer.com/article/10.1007/s10806-016-9613-z" TargetMode="External"/><Relationship Id="rId692" Type="http://schemas.openxmlformats.org/officeDocument/2006/relationships/hyperlink" Target="http://doi.org/10.1016/j.foreco.2011.02.0" TargetMode="External"/><Relationship Id="rId706" Type="http://schemas.openxmlformats.org/officeDocument/2006/relationships/hyperlink" Target="https://doi.org/10.3390/f9040159" TargetMode="External"/><Relationship Id="rId748" Type="http://schemas.openxmlformats.org/officeDocument/2006/relationships/hyperlink" Target="https://www.pnas.org/content/pnas/103/39/14637.full.pdf" TargetMode="External"/><Relationship Id="rId913"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55" Type="http://schemas.openxmlformats.org/officeDocument/2006/relationships/hyperlink" Target="https://digitalcommons.usu.edu/hwi/vol12/iss1/" TargetMode="External"/><Relationship Id="rId42" Type="http://schemas.openxmlformats.org/officeDocument/2006/relationships/hyperlink" Target="https://doi.org/10.14989/68482" TargetMode="External"/><Relationship Id="rId84" Type="http://schemas.openxmlformats.org/officeDocument/2006/relationships/hyperlink" Target="https://www.tandfonline.com/doi/full/10.1080/08941920.2013.820813" TargetMode="External"/><Relationship Id="rId138" Type="http://schemas.openxmlformats.org/officeDocument/2006/relationships/hyperlink" Target="https://www.eastwestcenter.org/publications/farming-fire-and-water-human-ecology-composite-swiddening-community-vietnams-northern-m" TargetMode="External"/><Relationship Id="rId34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7" Type="http://schemas.openxmlformats.org/officeDocument/2006/relationships/hyperlink" Target="https://www.ecologyandsociety.org/vol17/iss3/art19/" TargetMode="External"/><Relationship Id="rId510" Type="http://schemas.openxmlformats.org/officeDocument/2006/relationships/hyperlink" Target="https://www.sciencedirect.com/science/article/pii/S0301479711004701?via%3Dihub" TargetMode="External"/><Relationship Id="rId552" Type="http://schemas.openxmlformats.org/officeDocument/2006/relationships/hyperlink" Target="https://academic.oup.com/jof/article/116/2/143/4930767" TargetMode="External"/><Relationship Id="rId594" Type="http://schemas.openxmlformats.org/officeDocument/2006/relationships/hyperlink" Target="https://www.researchgate.net/publication/337937791" TargetMode="External"/><Relationship Id="rId608" Type="http://schemas.openxmlformats.org/officeDocument/2006/relationships/hyperlink" Target="https://journals.uair.arizona.edu/index.php/JPE/article/view/22045" TargetMode="External"/><Relationship Id="rId815" Type="http://schemas.openxmlformats.org/officeDocument/2006/relationships/hyperlink" Target="https://www.researchgate.net/publication/311487251" TargetMode="External"/><Relationship Id="rId997" Type="http://schemas.openxmlformats.org/officeDocument/2006/relationships/hyperlink" Target="https://doi.org/10.1016/j.enpol.2019.110882" TargetMode="External"/><Relationship Id="rId191" Type="http://schemas.openxmlformats.org/officeDocument/2006/relationships/hyperlink" Target="https://doi.org/10.1080/00167223.1997.10649396" TargetMode="External"/><Relationship Id="rId205" Type="http://schemas.openxmlformats.org/officeDocument/2006/relationships/hyperlink" Target="http://www.mekonginfo.org/assets/midocs/0002876-environment-land-policy-and-farming-practices-in-laos.pdf" TargetMode="External"/><Relationship Id="rId247" Type="http://schemas.openxmlformats.org/officeDocument/2006/relationships/hyperlink" Target="https://www.sciencedirect.com/science/article/pii/S0143622817307403" TargetMode="External"/><Relationship Id="rId412" Type="http://schemas.openxmlformats.org/officeDocument/2006/relationships/hyperlink" Target="https://esajournals.onlinelibrary.wiley.com/doi/abs/10.1890/1051-0761(2000)010%5B1318:TROMNP%5D2.0.CO%3B2" TargetMode="External"/><Relationship Id="rId857" Type="http://schemas.openxmlformats.org/officeDocument/2006/relationships/hyperlink" Target="https://www.mdpi.com/1999-4907/7/10/237" TargetMode="External"/><Relationship Id="rId899" Type="http://schemas.openxmlformats.org/officeDocument/2006/relationships/hyperlink" Target="https://www.mdpi.com/1999-4907/7/10/237" TargetMode="External"/><Relationship Id="rId1000"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042" Type="http://schemas.openxmlformats.org/officeDocument/2006/relationships/hyperlink" Target="https://link.springer.com/article/10.1007/s11842-015-9311-0" TargetMode="External"/><Relationship Id="rId1084" Type="http://schemas.openxmlformats.org/officeDocument/2006/relationships/hyperlink" Target="https://www.tandfonline.com/doi/pdf/10.1080/08941920.2014.905894?needAccess=true&amp;instName=King%27s+College+London" TargetMode="External"/><Relationship Id="rId107" Type="http://schemas.openxmlformats.org/officeDocument/2006/relationships/hyperlink" Target="https://www.tandfonline.com/doi/full/10.1080/08941920.2013.820813" TargetMode="External"/><Relationship Id="rId289" Type="http://schemas.openxmlformats.org/officeDocument/2006/relationships/hyperlink" Target="https://rgs-ibg.onlinelibrary.wiley.com/doi/abs/10.1111/geoj.12255" TargetMode="External"/><Relationship Id="rId454" Type="http://schemas.openxmlformats.org/officeDocument/2006/relationships/hyperlink" Target="https://gouritz.com/wp-content/uploads/2019/02/Carbon-in-ecosystems_Effects-of-goat-pastoralism-on-ecosystem-carbon-storage-in-semiarid-thicket-Eastern-Cape-SA_Mills-etal-2005-compressed.pdf" TargetMode="External"/><Relationship Id="rId496" Type="http://schemas.openxmlformats.org/officeDocument/2006/relationships/hyperlink" Target="https://link.springer.com/article/10.1007/s10021-013-9673-0" TargetMode="External"/><Relationship Id="rId661" Type="http://schemas.openxmlformats.org/officeDocument/2006/relationships/hyperlink" Target="http://www.sandeeonline.org/uploads/documents/publication/962_PUB_Working_Paper_66_Ridhima_Gupta.pdf" TargetMode="External"/><Relationship Id="rId717" Type="http://schemas.openxmlformats.org/officeDocument/2006/relationships/hyperlink" Target="https://www.sciencedirect.com/science/article/pii/S0301479799903353" TargetMode="External"/><Relationship Id="rId759" Type="http://schemas.openxmlformats.org/officeDocument/2006/relationships/hyperlink" Target="https://www.researchgate.net/publication/256645443_Grazing_Systems_and_Biodiversity_in_Mediterranean_Areas_Spain_Italy_and_Greece" TargetMode="External"/><Relationship Id="rId924" Type="http://schemas.openxmlformats.org/officeDocument/2006/relationships/hyperlink" Target="https://www.sciencedirect.com/science/article/pii/S0301479713005586?via%3Dihub" TargetMode="External"/><Relationship Id="rId966" Type="http://schemas.openxmlformats.org/officeDocument/2006/relationships/hyperlink" Target="https://www.jstor.org/stable/pdf/27654196.pdf" TargetMode="External"/><Relationship Id="rId11" Type="http://schemas.openxmlformats.org/officeDocument/2006/relationships/hyperlink" Target="https://doi.org/10.14989/68482" TargetMode="External"/><Relationship Id="rId53" Type="http://schemas.openxmlformats.org/officeDocument/2006/relationships/hyperlink" Target="http://lad.nafri.org.la/fulltext/231-0.pdf" TargetMode="External"/><Relationship Id="rId149" Type="http://schemas.openxmlformats.org/officeDocument/2006/relationships/hyperlink" Target="https://link.springer.com/chapter/10.1007/978-3-540-77381-8_1" TargetMode="External"/><Relationship Id="rId314" Type="http://schemas.openxmlformats.org/officeDocument/2006/relationships/hyperlink" Target="https://www.sciencedirect.com/science/article/pii/S0743016716305022" TargetMode="External"/><Relationship Id="rId356" Type="http://schemas.openxmlformats.org/officeDocument/2006/relationships/hyperlink" Target="https://pubmed.ncbi.nlm.nih.gov/15748801/" TargetMode="External"/><Relationship Id="rId398" Type="http://schemas.openxmlformats.org/officeDocument/2006/relationships/hyperlink" Target="https://www.sciencedirect.com/science/article/pii/S0305750X08001265" TargetMode="External"/><Relationship Id="rId521" Type="http://schemas.openxmlformats.org/officeDocument/2006/relationships/hyperlink" Target="https://www.sciencedirect.com/science/article/pii/S0301479711004701?via%3Dihub" TargetMode="External"/><Relationship Id="rId563" Type="http://schemas.openxmlformats.org/officeDocument/2006/relationships/hyperlink" Target="https://ideas.repec.org/a/ags/afjare/258607.html" TargetMode="External"/><Relationship Id="rId619" Type="http://schemas.openxmlformats.org/officeDocument/2006/relationships/hyperlink" Target="https://onlinelibrary.wiley.com/doi/pdf/10.1111/avsc.12252?casa_token=8W-HmZBRXzIAAAAA:xjOrvLjyd1G00AyLgHYlPy8vj3ZUuQ2d6NiHiuBlja1ZNT1p6yHPyUN1NUYiXrkbkr_XoOahwWnQtzA" TargetMode="External"/><Relationship Id="rId770" Type="http://schemas.openxmlformats.org/officeDocument/2006/relationships/hyperlink" Target="https://www.researchgate.net/publication/256645443_Grazing_Systems_and_Biodiversity_in_Mediterranean_Areas_Spain_Italy_and_Greece" TargetMode="External"/><Relationship Id="rId95" Type="http://schemas.openxmlformats.org/officeDocument/2006/relationships/hyperlink" Target="https://www.tandfonline.com/doi/full/10.1080/08941920.2013.820813" TargetMode="External"/><Relationship Id="rId160"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216" Type="http://schemas.openxmlformats.org/officeDocument/2006/relationships/hyperlink" Target="https://onlinelibrary.wiley.com/doi/abs/10.2307/1242114" TargetMode="External"/><Relationship Id="rId423" Type="http://schemas.openxmlformats.org/officeDocument/2006/relationships/hyperlink" Target="doi:10.1002/%202016GL069059." TargetMode="External"/><Relationship Id="rId826" Type="http://schemas.openxmlformats.org/officeDocument/2006/relationships/hyperlink" Target="https://www.researchgate.net/publication/311487251" TargetMode="External"/><Relationship Id="rId868" Type="http://schemas.openxmlformats.org/officeDocument/2006/relationships/hyperlink" Target="https://www.mdpi.com/1999-4907/7/10/237" TargetMode="External"/><Relationship Id="rId1011" Type="http://schemas.openxmlformats.org/officeDocument/2006/relationships/hyperlink" Target="https://www.sciencedirect.com/science/article/pii/S0167880996010997" TargetMode="External"/><Relationship Id="rId1053" Type="http://schemas.openxmlformats.org/officeDocument/2006/relationships/hyperlink" Target="https://link.springer.com/content/pdf/10.1007/s13143-013-0015-0.pdf" TargetMode="External"/><Relationship Id="rId258" Type="http://schemas.openxmlformats.org/officeDocument/2006/relationships/hyperlink" Target="https://www.sciencedirect.com/science/article/pii/S1352231007011326?via%3Dihub" TargetMode="External"/><Relationship Id="rId465" Type="http://schemas.openxmlformats.org/officeDocument/2006/relationships/hyperlink" Target="https://fireecology.springeropen.com/articles/10.4996/fireecology.0701057" TargetMode="External"/><Relationship Id="rId630" Type="http://schemas.openxmlformats.org/officeDocument/2006/relationships/hyperlink" Target="https://link.springer.com/article/10.1186/s42408-019-0041-0" TargetMode="External"/><Relationship Id="rId672" Type="http://schemas.openxmlformats.org/officeDocument/2006/relationships/hyperlink" Target="https://doi.org/10.1080/19460171.2020.1724168" TargetMode="External"/><Relationship Id="rId728" Type="http://schemas.openxmlformats.org/officeDocument/2006/relationships/hyperlink" Target="https://www.sciencedirect.com/science/article/pii/S0301479799903353" TargetMode="External"/><Relationship Id="rId935" Type="http://schemas.openxmlformats.org/officeDocument/2006/relationships/hyperlink" Target="https://www.tandfonline.com/doi/abs/10.1080/01426397.2013.773299" TargetMode="External"/><Relationship Id="rId22" Type="http://schemas.openxmlformats.org/officeDocument/2006/relationships/hyperlink" Target="https://doi.org/10.14989/68482" TargetMode="External"/><Relationship Id="rId64" Type="http://schemas.openxmlformats.org/officeDocument/2006/relationships/hyperlink" Target="https://www.tandfonline.com/doi/full/10.1080/08941920.2013.820813" TargetMode="External"/><Relationship Id="rId118" Type="http://schemas.openxmlformats.org/officeDocument/2006/relationships/hyperlink" Target="https://www.sciencedirect.com/science/article/pii/S0921800919305191" TargetMode="External"/><Relationship Id="rId325" Type="http://schemas.openxmlformats.org/officeDocument/2006/relationships/hyperlink" Target="https://doi.org/10.1007/s13280-018-1118-8" TargetMode="External"/><Relationship Id="rId367" Type="http://schemas.openxmlformats.org/officeDocument/2006/relationships/hyperlink" Target="http://digilib.buse.ac.zw:8080/xmlui/handle/11196/1853" TargetMode="External"/><Relationship Id="rId532" Type="http://schemas.openxmlformats.org/officeDocument/2006/relationships/hyperlink" Target="http://www.jstor.com/stable/41236635" TargetMode="External"/><Relationship Id="rId574" Type="http://schemas.openxmlformats.org/officeDocument/2006/relationships/hyperlink" Target="https://doi.org/10.1007/s10745-019-00096-6" TargetMode="External"/><Relationship Id="rId977" Type="http://schemas.openxmlformats.org/officeDocument/2006/relationships/hyperlink" Target="http://reap-canada.com/library/IntDev/8%20Strategies%20to%20Avoid%20Crop%20Residue%20Burning%20in%20the%20Philippine%20Context%20(1999).htm" TargetMode="External"/><Relationship Id="rId171" Type="http://schemas.openxmlformats.org/officeDocument/2006/relationships/hyperlink" Target="http://www.ecologyandsociety.org/vol13/iss2/art2/" TargetMode="External"/><Relationship Id="rId227" Type="http://schemas.openxmlformats.org/officeDocument/2006/relationships/hyperlink" Target="https://doi.org/%2010.1371/journal.pone.0181092" TargetMode="External"/><Relationship Id="rId781" Type="http://schemas.openxmlformats.org/officeDocument/2006/relationships/hyperlink" Target="https://www.researchgate.net/publication/256645443_Grazing_Systems_and_Biodiversity_in_Mediterranean_Areas_Spain_Italy_and_Greece" TargetMode="External"/><Relationship Id="rId837" Type="http://schemas.openxmlformats.org/officeDocument/2006/relationships/hyperlink" Target="https://www.mdpi.com/1999-4907/7/10/237" TargetMode="External"/><Relationship Id="rId879" Type="http://schemas.openxmlformats.org/officeDocument/2006/relationships/hyperlink" Target="https://www.mdpi.com/1999-4907/7/10/237" TargetMode="External"/><Relationship Id="rId1022" Type="http://schemas.openxmlformats.org/officeDocument/2006/relationships/hyperlink" Target="https://www.tandfonline.com/doi/full/10.1080/10962247.2016.1268982" TargetMode="External"/><Relationship Id="rId269" Type="http://schemas.openxmlformats.org/officeDocument/2006/relationships/hyperlink" Target="https://link.springer.com/article/10.1007/s11027-006-9038-5" TargetMode="External"/><Relationship Id="rId434" Type="http://schemas.openxmlformats.org/officeDocument/2006/relationships/hyperlink" Target="https://www.scirp.org/journal/paperinformation.aspx?paperid=27362" TargetMode="External"/><Relationship Id="rId476" Type="http://schemas.openxmlformats.org/officeDocument/2006/relationships/hyperlink" Target="https://www.jstor.org/stable/43123720" TargetMode="External"/><Relationship Id="rId641" Type="http://schemas.openxmlformats.org/officeDocument/2006/relationships/hyperlink" Target="https://www.ncbi.nlm.nih.gov/pmc/articles/PMC6163030/" TargetMode="External"/><Relationship Id="rId683" Type="http://schemas.openxmlformats.org/officeDocument/2006/relationships/hyperlink" Target="https://doi.org/10.1007/s11625-018-0592-z" TargetMode="External"/><Relationship Id="rId739" Type="http://schemas.openxmlformats.org/officeDocument/2006/relationships/hyperlink" Target="https://www.witpress.com/elibrary/wit-transactions-on-ecology-and-the-environment/137/21150" TargetMode="External"/><Relationship Id="rId890" Type="http://schemas.openxmlformats.org/officeDocument/2006/relationships/hyperlink" Target="https://www.mdpi.com/1999-4907/7/10/237" TargetMode="External"/><Relationship Id="rId904" Type="http://schemas.openxmlformats.org/officeDocument/2006/relationships/hyperlink" Target="https://doi.org/10.1080/00040851.1995.12003091" TargetMode="External"/><Relationship Id="rId1064" Type="http://schemas.openxmlformats.org/officeDocument/2006/relationships/hyperlink" Target="https://linkinghub.elsevier.com/retrieve/pii/S0921818116302090" TargetMode="External"/><Relationship Id="rId33" Type="http://schemas.openxmlformats.org/officeDocument/2006/relationships/hyperlink" Target="https://doi.org/10.14989/68482" TargetMode="External"/><Relationship Id="rId129" Type="http://schemas.openxmlformats.org/officeDocument/2006/relationships/hyperlink" Target="http://oar.icrisat.org/6779/1/EPW_33_39_A163-A168_1998.pdf" TargetMode="External"/><Relationship Id="rId280" Type="http://schemas.openxmlformats.org/officeDocument/2006/relationships/hyperlink" Target="https://www.researchgate.net/publication/328162058_innovations_in_shifting_cultivation_land_use_and_Land_Cover_Change_in_Higher_Elevations_of_Meghalaya_India" TargetMode="External"/><Relationship Id="rId33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01" Type="http://schemas.openxmlformats.org/officeDocument/2006/relationships/hyperlink" Target="https://www.sciencedirect.com/science/article/pii/S0301479711004701?via%3Dihub" TargetMode="External"/><Relationship Id="rId543" Type="http://schemas.openxmlformats.org/officeDocument/2006/relationships/hyperlink" Target="https://doi.org/10.1071/WF18152" TargetMode="External"/><Relationship Id="rId946" Type="http://schemas.openxmlformats.org/officeDocument/2006/relationships/hyperlink" Target="https://pdfs.semanticscholar.org/ad35/96c82623cf33cb44dda5d20f40837b915c92.pdf" TargetMode="External"/><Relationship Id="rId988" Type="http://schemas.openxmlformats.org/officeDocument/2006/relationships/hyperlink" Target="https://insidecostarica.com/dailynews/2011/april/11/costarica11041103.htm" TargetMode="External"/><Relationship Id="rId75" Type="http://schemas.openxmlformats.org/officeDocument/2006/relationships/hyperlink" Target="https://www.tandfonline.com/doi/full/10.1080/08941920.2013.820813" TargetMode="External"/><Relationship Id="rId140" Type="http://schemas.openxmlformats.org/officeDocument/2006/relationships/hyperlink" Target="https://books.google.co.uk/books?hl=en&amp;lr=&amp;id=M4C-AwAAQBAJ&amp;oi=fnd&amp;pg=PR1&amp;dq=human+impacts+on+amazonia+2006&amp;ots=Vb_sS0C6kh&amp;sig=FfyfTTtb6BYObJ8hmtwa0m1qf14" TargetMode="External"/><Relationship Id="rId182" Type="http://schemas.openxmlformats.org/officeDocument/2006/relationships/hyperlink" Target="https://onlinelibrary.wiley.com/doi/full/10.1111/j.1365-2028.2005.00603.x" TargetMode="External"/><Relationship Id="rId378" Type="http://schemas.openxmlformats.org/officeDocument/2006/relationships/hyperlink" Target="https://rgs-ibg.onlinelibrary.wiley.com/doi/abs/10.1111/geoj.12245" TargetMode="External"/><Relationship Id="rId403" Type="http://schemas.openxmlformats.org/officeDocument/2006/relationships/hyperlink" Target="https://link.springer.com/article/10.1007%2Fs10668-014-9515-z" TargetMode="External"/><Relationship Id="rId585" Type="http://schemas.openxmlformats.org/officeDocument/2006/relationships/hyperlink" Target="https://journals.sagepub.com/doi/10.1177/2158244017705422" TargetMode="External"/><Relationship Id="rId750" Type="http://schemas.openxmlformats.org/officeDocument/2006/relationships/hyperlink" Target="http://dx.doi.org/10.1071/RJ12095" TargetMode="External"/><Relationship Id="rId792" Type="http://schemas.openxmlformats.org/officeDocument/2006/relationships/hyperlink" Target="https://www.researchgate.net/publication/256645443_Grazing_Systems_and_Biodiversity_in_Mediterranean_Areas_Spain_Italy_and_Greece" TargetMode="External"/><Relationship Id="rId806" Type="http://schemas.openxmlformats.org/officeDocument/2006/relationships/hyperlink" Target="https://www.researchgate.net/publication/311487251" TargetMode="External"/><Relationship Id="rId848" Type="http://schemas.openxmlformats.org/officeDocument/2006/relationships/hyperlink" Target="https://www.mdpi.com/1999-4907/7/10/237" TargetMode="External"/><Relationship Id="rId1033" Type="http://schemas.openxmlformats.org/officeDocument/2006/relationships/hyperlink" Target="https://acp.copernicus.org/preprints/6/9655/2006/acpd-6-9655-2006.pdf" TargetMode="External"/><Relationship Id="rId6" Type="http://schemas.openxmlformats.org/officeDocument/2006/relationships/hyperlink" Target="https://doi.org/10.14989/68482" TargetMode="External"/><Relationship Id="rId238" Type="http://schemas.openxmlformats.org/officeDocument/2006/relationships/hyperlink" Target="https://doi.org/10.14989/68483" TargetMode="External"/><Relationship Id="rId445" Type="http://schemas.openxmlformats.org/officeDocument/2006/relationships/hyperlink" Target="https://www.sciencedirect.com/science/article/pii/S0167880911000405" TargetMode="External"/><Relationship Id="rId487" Type="http://schemas.openxmlformats.org/officeDocument/2006/relationships/hyperlink" Target="https://onlinelibrary.wiley.com/doi/abs/10.1111/j.1365-2028.2008.01051.x" TargetMode="External"/><Relationship Id="rId610" Type="http://schemas.openxmlformats.org/officeDocument/2006/relationships/hyperlink" Target="https://academic.oup.com/jof/article/115/5/426/4599904" TargetMode="External"/><Relationship Id="rId652" Type="http://schemas.openxmlformats.org/officeDocument/2006/relationships/hyperlink" Target="http://www2.fire.uni-freiburg.de/sevilla-2007/contributions/doc/cd/SESIONES_TEMATICAS/ST2/Velez_SPAIN_DGB_ExpeEnglish.pdf" TargetMode="External"/><Relationship Id="rId694" Type="http://schemas.openxmlformats.org/officeDocument/2006/relationships/hyperlink" Target="http://fmc.online/wp-content/uploads/15-IFFN-36-Mongolia-1-1.pdf" TargetMode="External"/><Relationship Id="rId708" Type="http://schemas.openxmlformats.org/officeDocument/2006/relationships/hyperlink" Target="https://doi.org/10.1007/s10342-019-01247-6" TargetMode="External"/><Relationship Id="rId915" Type="http://schemas.openxmlformats.org/officeDocument/2006/relationships/hyperlink" Target="https://www.jstor.org/stable/26396597" TargetMode="External"/><Relationship Id="rId1075" Type="http://schemas.openxmlformats.org/officeDocument/2006/relationships/hyperlink" Target="https://www.conaf.cl/incendios-forestales/incendios-forestales-en-chile/estadisticas-historicas/" TargetMode="External"/><Relationship Id="rId291" Type="http://schemas.openxmlformats.org/officeDocument/2006/relationships/hyperlink" Target="https://rgs-ibg.onlinelibrary.wiley.com/doi/abs/10.1111/geoj.12255" TargetMode="External"/><Relationship Id="rId305" Type="http://schemas.openxmlformats.org/officeDocument/2006/relationships/hyperlink" Target="https://www.sciencedirect.com/science/article/pii/S0301479706000557" TargetMode="External"/><Relationship Id="rId347" Type="http://schemas.openxmlformats.org/officeDocument/2006/relationships/hyperlink" Target="https://doi.org/10.1080/08941920.2012.713087" TargetMode="External"/><Relationship Id="rId512" Type="http://schemas.openxmlformats.org/officeDocument/2006/relationships/hyperlink" Target="https://www.sciencedirect.com/science/article/pii/S0301479711004701?via%3Dihub" TargetMode="External"/><Relationship Id="rId957" Type="http://schemas.openxmlformats.org/officeDocument/2006/relationships/hyperlink" Target="https://link.springer.com/article/10.1007/s10745-010-9362-y" TargetMode="External"/><Relationship Id="rId999"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44" Type="http://schemas.openxmlformats.org/officeDocument/2006/relationships/hyperlink" Target="https://doi.org/10.14989/68482" TargetMode="External"/><Relationship Id="rId86" Type="http://schemas.openxmlformats.org/officeDocument/2006/relationships/hyperlink" Target="https://www.tandfonline.com/doi/full/10.1080/08941920.2013.820813" TargetMode="External"/><Relationship Id="rId151" Type="http://schemas.openxmlformats.org/officeDocument/2006/relationships/hyperlink" Target="https://www.ecologyandsociety.org/vol14/iss2/art20/" TargetMode="External"/><Relationship Id="rId389" Type="http://schemas.openxmlformats.org/officeDocument/2006/relationships/hyperlink" Target="http://www.conservationandsociety.org/article.asp?issn=0972-4923;year=2006;volume=4;issue=2;spage=231;epage=261;aulast=Kaufmann" TargetMode="External"/><Relationship Id="rId554" Type="http://schemas.openxmlformats.org/officeDocument/2006/relationships/hyperlink" Target="https://doi.org/10.1080/00049182.2019.1686731" TargetMode="External"/><Relationship Id="rId596" Type="http://schemas.openxmlformats.org/officeDocument/2006/relationships/hyperlink" Target="https://doi.org/10.1016/j.landusepol.2018.10.022" TargetMode="External"/><Relationship Id="rId761" Type="http://schemas.openxmlformats.org/officeDocument/2006/relationships/hyperlink" Target="https://www.researchgate.net/publication/256645443_Grazing_Systems_and_Biodiversity_in_Mediterranean_Areas_Spain_Italy_and_Greece" TargetMode="External"/><Relationship Id="rId817" Type="http://schemas.openxmlformats.org/officeDocument/2006/relationships/hyperlink" Target="https://www.researchgate.net/publication/311487251" TargetMode="External"/><Relationship Id="rId859" Type="http://schemas.openxmlformats.org/officeDocument/2006/relationships/hyperlink" Target="https://www.mdpi.com/1999-4907/7/10/237" TargetMode="External"/><Relationship Id="rId1002"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93" Type="http://schemas.openxmlformats.org/officeDocument/2006/relationships/hyperlink" Target="../../../../Downloads/A_socio-economic_analysis_of_rice_produc%20(1).pdf" TargetMode="External"/><Relationship Id="rId207" Type="http://schemas.openxmlformats.org/officeDocument/2006/relationships/hyperlink" Target="https://onlinelibrary.wiley.com/doi/pdf/10.1046/j.1365-3180.1996.d01-6.x" TargetMode="External"/><Relationship Id="rId249" Type="http://schemas.openxmlformats.org/officeDocument/2006/relationships/hyperlink" Target="https://iopscience.iop.org/article/10.1088/2515-7620/ab056c" TargetMode="External"/><Relationship Id="rId414" Type="http://schemas.openxmlformats.org/officeDocument/2006/relationships/hyperlink" Target="https://esajournals.onlinelibrary.wiley.com/doi/abs/10.1890/1051-0761(2000)010%5B1318:TROMNP%5D2.0.CO%3B2" TargetMode="External"/><Relationship Id="rId456" Type="http://schemas.openxmlformats.org/officeDocument/2006/relationships/hyperlink" Target="https://esajournals.onlinelibrary.wiley.com/doi/full/10.1890/120344" TargetMode="External"/><Relationship Id="rId498" Type="http://schemas.openxmlformats.org/officeDocument/2006/relationships/hyperlink" Target="https://www.mdpi.com/1999-4907/9/8/464" TargetMode="External"/><Relationship Id="rId621" Type="http://schemas.openxmlformats.org/officeDocument/2006/relationships/hyperlink" Target="https://doi.org/10.1080/08941929709381043" TargetMode="External"/><Relationship Id="rId663" Type="http://schemas.openxmlformats.org/officeDocument/2006/relationships/hyperlink" Target="https://books.google.co.uk/books?hl=en&amp;lr=&amp;id=y4EIyCJvWC4C&amp;oi=fnd&amp;pg=PR4&amp;ots=IcTNYTFUZn&amp;sig=NalGHA2GwWwqU5AnRD1E0-7XDuw&amp;redir_esc=y" TargetMode="External"/><Relationship Id="rId870" Type="http://schemas.openxmlformats.org/officeDocument/2006/relationships/hyperlink" Target="https://www.mdpi.com/1999-4907/7/10/237" TargetMode="External"/><Relationship Id="rId1044" Type="http://schemas.openxmlformats.org/officeDocument/2006/relationships/hyperlink" Target="https://doi.org/10.1016/j.gloenvcha.2020.102096" TargetMode="External"/><Relationship Id="rId13" Type="http://schemas.openxmlformats.org/officeDocument/2006/relationships/hyperlink" Target="https://doi.org/10.14989/68482" TargetMode="External"/><Relationship Id="rId109" Type="http://schemas.openxmlformats.org/officeDocument/2006/relationships/hyperlink" Target="https://www.nature.com/articles/19066" TargetMode="External"/><Relationship Id="rId260" Type="http://schemas.openxmlformats.org/officeDocument/2006/relationships/hyperlink" Target="https://link.springer.com/article/10.1007/s12524-019-01093-4" TargetMode="External"/><Relationship Id="rId316" Type="http://schemas.openxmlformats.org/officeDocument/2006/relationships/hyperlink" Target="https://link.springer.com/content/pdf/10.1007/BF00889079.pdf" TargetMode="External"/><Relationship Id="rId523" Type="http://schemas.openxmlformats.org/officeDocument/2006/relationships/hyperlink" Target="https://www.sciencedirect.com/science/article/pii/S0301479711004701?via%3Dihub" TargetMode="External"/><Relationship Id="rId719" Type="http://schemas.openxmlformats.org/officeDocument/2006/relationships/hyperlink" Target="https://www.sciencedirect.com/science/article/pii/S0301479799903353" TargetMode="External"/><Relationship Id="rId926" Type="http://schemas.openxmlformats.org/officeDocument/2006/relationships/hyperlink" Target="https://www.nature.com/articles/s41598-020-57564-z" TargetMode="External"/><Relationship Id="rId968" Type="http://schemas.openxmlformats.org/officeDocument/2006/relationships/hyperlink" Target="https://www.researchgate.net/publication/248885612_Remote_sensing_of_fire_regimes_in_semi-arid_Nusa_Tenggara_Timur_eastern_Indonesia_Current_patterns_future_prospects" TargetMode="External"/><Relationship Id="rId55"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97" Type="http://schemas.openxmlformats.org/officeDocument/2006/relationships/hyperlink" Target="https://www.tandfonline.com/doi/full/10.1080/08941920.2013.820813" TargetMode="External"/><Relationship Id="rId120" Type="http://schemas.openxmlformats.org/officeDocument/2006/relationships/hyperlink" Target="https://www.sciencedirect.com/science/article/pii/S0921800919305191" TargetMode="External"/><Relationship Id="rId358" Type="http://schemas.openxmlformats.org/officeDocument/2006/relationships/hyperlink" Target="https://link.springer.com/article/10.1007/s10745-007-9156-z" TargetMode="External"/><Relationship Id="rId565" Type="http://schemas.openxmlformats.org/officeDocument/2006/relationships/hyperlink" Target="https://ideas.repec.org/a/ags/afjare/258607.html" TargetMode="External"/><Relationship Id="rId730" Type="http://schemas.openxmlformats.org/officeDocument/2006/relationships/hyperlink" Target="https://www.sciencedirect.com/science/article/pii/S0301479799903353" TargetMode="External"/><Relationship Id="rId772" Type="http://schemas.openxmlformats.org/officeDocument/2006/relationships/hyperlink" Target="https://www.researchgate.net/publication/256645443_Grazing_Systems_and_Biodiversity_in_Mediterranean_Areas_Spain_Italy_and_Greece" TargetMode="External"/><Relationship Id="rId828" Type="http://schemas.openxmlformats.org/officeDocument/2006/relationships/hyperlink" Target="https://www.researchgate.net/publication/311487251" TargetMode="External"/><Relationship Id="rId1013" Type="http://schemas.openxmlformats.org/officeDocument/2006/relationships/hyperlink" Target="https://www.sciencedirect.com/science/article/pii/S1352231015300807" TargetMode="External"/><Relationship Id="rId162" Type="http://schemas.openxmlformats.org/officeDocument/2006/relationships/hyperlink" Target="https://www.researchgate.net/publication/275523335_Land_for_My_Grandchildren_Land_Use_and_Tenure_Change_in_Ratanakiri_1989-2007" TargetMode="External"/><Relationship Id="rId218" Type="http://schemas.openxmlformats.org/officeDocument/2006/relationships/hyperlink" Target="https://onlinelibrary.wiley.com/doi/abs/10.2307/1242114" TargetMode="External"/><Relationship Id="rId425" Type="http://schemas.openxmlformats.org/officeDocument/2006/relationships/hyperlink" Target="https://www.researchgate.net/publication/228459327_Transhumance_and_pastoralist_resilience_in_the_western_United_States" TargetMode="External"/><Relationship Id="rId467" Type="http://schemas.openxmlformats.org/officeDocument/2006/relationships/hyperlink" Target="https://fireecology.springeropen.com/articles/10.4996/fireecology.0701057" TargetMode="External"/><Relationship Id="rId632" Type="http://schemas.openxmlformats.org/officeDocument/2006/relationships/hyperlink" Target="https://www.sciencedirect.com/science/article/pii/S0378112712006561" TargetMode="External"/><Relationship Id="rId1055" Type="http://schemas.openxmlformats.org/officeDocument/2006/relationships/hyperlink" Target="https://link.springer.com/content/pdf/10.1007/s13143-013-0015-0.pdf" TargetMode="External"/><Relationship Id="rId271" Type="http://schemas.openxmlformats.org/officeDocument/2006/relationships/hyperlink" Target="https://link.springer.com/article/10.1007/s10457-011-9469-1" TargetMode="External"/><Relationship Id="rId674" Type="http://schemas.openxmlformats.org/officeDocument/2006/relationships/hyperlink" Target="https://doi.org/10.1016/j.landusepol.2015.05.004" TargetMode="External"/><Relationship Id="rId881" Type="http://schemas.openxmlformats.org/officeDocument/2006/relationships/hyperlink" Target="https://www.mdpi.com/1999-4907/7/10/237" TargetMode="External"/><Relationship Id="rId937" Type="http://schemas.openxmlformats.org/officeDocument/2006/relationships/hyperlink" Target="https://link.springer.com/content/pdf/10.1007/s11258-008-9459-1.pdf" TargetMode="External"/><Relationship Id="rId979" Type="http://schemas.openxmlformats.org/officeDocument/2006/relationships/hyperlink" Target="https://www.mdpi.com/2073-4433/3/1/164/htm" TargetMode="External"/><Relationship Id="rId24" Type="http://schemas.openxmlformats.org/officeDocument/2006/relationships/hyperlink" Target="https://doi.org/10.14989/68482" TargetMode="External"/><Relationship Id="rId66" Type="http://schemas.openxmlformats.org/officeDocument/2006/relationships/hyperlink" Target="https://www.tandfonline.com/doi/full/10.1080/08941920.2013.820813" TargetMode="External"/><Relationship Id="rId131" Type="http://schemas.openxmlformats.org/officeDocument/2006/relationships/hyperlink" Target="http://oar.icrisat.org/6779/1/EPW_33_39_A163-A168_1998.pdf" TargetMode="External"/><Relationship Id="rId327" Type="http://schemas.openxmlformats.org/officeDocument/2006/relationships/hyperlink" Target="https://www.researchgate.net/publication/257015511_Agrobiodiversity_performance_in_contrasting_island_environments_The_case_of_shifting_cultivation_in_Vanuatu_Pacific" TargetMode="External"/><Relationship Id="rId369" Type="http://schemas.openxmlformats.org/officeDocument/2006/relationships/hyperlink" Target="https://www.publish.csiro.au/wf/wf07067" TargetMode="External"/><Relationship Id="rId534" Type="http://schemas.openxmlformats.org/officeDocument/2006/relationships/hyperlink" Target="https://doi.org/10.1007/s13280-018-1118-8" TargetMode="External"/><Relationship Id="rId576" Type="http://schemas.openxmlformats.org/officeDocument/2006/relationships/hyperlink" Target="https://doi.org/10.1016/j.ecolecon.2019.106359" TargetMode="External"/><Relationship Id="rId741" Type="http://schemas.openxmlformats.org/officeDocument/2006/relationships/hyperlink" Target="https://www.witpress.com/elibrary/wit-transactions-on-ecology-and-the-environment/137/21150" TargetMode="External"/><Relationship Id="rId783" Type="http://schemas.openxmlformats.org/officeDocument/2006/relationships/hyperlink" Target="https://www.researchgate.net/publication/256645443_Grazing_Systems_and_Biodiversity_in_Mediterranean_Areas_Spain_Italy_and_Greece" TargetMode="External"/><Relationship Id="rId839" Type="http://schemas.openxmlformats.org/officeDocument/2006/relationships/hyperlink" Target="https://www.mdpi.com/1999-4907/7/10/237" TargetMode="External"/><Relationship Id="rId990" Type="http://schemas.openxmlformats.org/officeDocument/2006/relationships/hyperlink" Target="https://insidecostarica.com/dailynews/2011/april/11/costarica11041103.htm" TargetMode="External"/><Relationship Id="rId173" Type="http://schemas.openxmlformats.org/officeDocument/2006/relationships/hyperlink" Target="http://www.ecologyandsociety.org/vol13/iss2/art2/" TargetMode="External"/><Relationship Id="rId229" Type="http://schemas.openxmlformats.org/officeDocument/2006/relationships/hyperlink" Target="https://www.sciencedirect.com/science/article/pii/S0167880914003284?via%3Dihub" TargetMode="External"/><Relationship Id="rId380" Type="http://schemas.openxmlformats.org/officeDocument/2006/relationships/hyperlink" Target="https://rgs-ibg.onlinelibrary.wiley.com/doi/abs/10.1111/geoj.12245" TargetMode="External"/><Relationship Id="rId436" Type="http://schemas.openxmlformats.org/officeDocument/2006/relationships/hyperlink" Target="https://www.sciencedirect.com/science/article/pii/S0167880911000405" TargetMode="External"/><Relationship Id="rId601"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643" Type="http://schemas.openxmlformats.org/officeDocument/2006/relationships/hyperlink" Target="https://link.springer.com/article/10.1007/s10342-019-01179-1" TargetMode="External"/><Relationship Id="rId1024" Type="http://schemas.openxmlformats.org/officeDocument/2006/relationships/hyperlink" Target="https://www.tandfonline.com/doi/full/10.1080/10962247.2016.1268982" TargetMode="External"/><Relationship Id="rId1066" Type="http://schemas.openxmlformats.org/officeDocument/2006/relationships/hyperlink" Target="https://linkinghub.elsevier.com/retrieve/pii/S0921818116302090" TargetMode="External"/><Relationship Id="rId240" Type="http://schemas.openxmlformats.org/officeDocument/2006/relationships/hyperlink" Target="https://www.sciencedirect.com/science/article/pii/S0378112710007292" TargetMode="External"/><Relationship Id="rId478" Type="http://schemas.openxmlformats.org/officeDocument/2006/relationships/hyperlink" Target="https://savory.global/rangeland-management-for-improved-pastoralist-livelihoods-the-borana-of-southern-ethiopia/" TargetMode="External"/><Relationship Id="rId685" Type="http://schemas.openxmlformats.org/officeDocument/2006/relationships/hyperlink" Target="https://www.mdpi.com/1999-4907/8/11/422" TargetMode="External"/><Relationship Id="rId850" Type="http://schemas.openxmlformats.org/officeDocument/2006/relationships/hyperlink" Target="https://www.mdpi.com/1999-4907/7/10/237" TargetMode="External"/><Relationship Id="rId892" Type="http://schemas.openxmlformats.org/officeDocument/2006/relationships/hyperlink" Target="https://www.mdpi.com/1999-4907/7/10/237" TargetMode="External"/><Relationship Id="rId906" Type="http://schemas.openxmlformats.org/officeDocument/2006/relationships/hyperlink" Target="https://www.tandfonline.com/doi/abs/10.2989/10220110509485865" TargetMode="External"/><Relationship Id="rId948" Type="http://schemas.openxmlformats.org/officeDocument/2006/relationships/hyperlink" Target="https://pdfs.semanticscholar.org/ad35/96c82623cf33cb44dda5d20f40837b915c92.pdf" TargetMode="External"/><Relationship Id="rId35" Type="http://schemas.openxmlformats.org/officeDocument/2006/relationships/hyperlink" Target="https://doi.org/10.14989/68482" TargetMode="External"/><Relationship Id="rId77" Type="http://schemas.openxmlformats.org/officeDocument/2006/relationships/hyperlink" Target="https://www.tandfonline.com/doi/full/10.1080/08941920.2013.820813" TargetMode="External"/><Relationship Id="rId100" Type="http://schemas.openxmlformats.org/officeDocument/2006/relationships/hyperlink" Target="https://www.tandfonline.com/doi/full/10.1080/08941920.2013.820813" TargetMode="External"/><Relationship Id="rId282" Type="http://schemas.openxmlformats.org/officeDocument/2006/relationships/hyperlink" Target="https://link.springer.com/article/10.1007/s10745-014-9672-6" TargetMode="External"/><Relationship Id="rId338"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03" Type="http://schemas.openxmlformats.org/officeDocument/2006/relationships/hyperlink" Target="https://www.sciencedirect.com/science/article/pii/S0301479711004701?via%3Dihub" TargetMode="External"/><Relationship Id="rId545" Type="http://schemas.openxmlformats.org/officeDocument/2006/relationships/hyperlink" Target="https://doi.org/10.5334/ijc.977" TargetMode="External"/><Relationship Id="rId587" Type="http://schemas.openxmlformats.org/officeDocument/2006/relationships/hyperlink" Target="https://journals.sagepub.com/doi/10.1177/2158244017705422" TargetMode="External"/><Relationship Id="rId710" Type="http://schemas.openxmlformats.org/officeDocument/2006/relationships/hyperlink" Target="https://link.springer.com/article/10.1186/s42408-019-0041-0" TargetMode="External"/><Relationship Id="rId752" Type="http://schemas.openxmlformats.org/officeDocument/2006/relationships/hyperlink" Target="http://www.tropicalgrasslands.info/public/journals/4/Historic/Tropical%20Grasslands%20Journal%20archive/PDFs/Vol_31_1997/Vol_31_03_97_pp161_187.pdf" TargetMode="External"/><Relationship Id="rId808" Type="http://schemas.openxmlformats.org/officeDocument/2006/relationships/hyperlink" Target="https://www.researchgate.net/publication/311487251" TargetMode="External"/><Relationship Id="rId8" Type="http://schemas.openxmlformats.org/officeDocument/2006/relationships/hyperlink" Target="https://doi.org/10.14989/68482" TargetMode="External"/><Relationship Id="rId142" Type="http://schemas.openxmlformats.org/officeDocument/2006/relationships/hyperlink" Target="https://science.sciencemag.org/content/292/5518/859.full" TargetMode="External"/><Relationship Id="rId184" Type="http://schemas.openxmlformats.org/officeDocument/2006/relationships/hyperlink" Target="https://www.sciencedirect.com/science/article/pii/S0143622807000252" TargetMode="External"/><Relationship Id="rId391" Type="http://schemas.openxmlformats.org/officeDocument/2006/relationships/hyperlink" Target="https://doi.org/10.1080/03736245.2005.9713821" TargetMode="External"/><Relationship Id="rId405" Type="http://schemas.openxmlformats.org/officeDocument/2006/relationships/hyperlink" Target="http://www.cifor.org/publications/corporate/cd-roms/bonn-proc/pdfs/papers/T3_FINAL_Barrow.pdf" TargetMode="External"/><Relationship Id="rId447" Type="http://schemas.openxmlformats.org/officeDocument/2006/relationships/hyperlink" Target="https://link.springer.com/article/10.1007/s00267-020-01265-w" TargetMode="External"/><Relationship Id="rId612" Type="http://schemas.openxmlformats.org/officeDocument/2006/relationships/hyperlink" Target="https://www.tandfonline.com/doi/abs/10.1080/01426397.2016.1184631?src=recsys&amp;journalCode=clar20" TargetMode="External"/><Relationship Id="rId794" Type="http://schemas.openxmlformats.org/officeDocument/2006/relationships/hyperlink" Target="https://www.researchgate.net/publication/256645443_Grazing_Systems_and_Biodiversity_in_Mediterranean_Areas_Spain_Italy_and_Greece" TargetMode="External"/><Relationship Id="rId1035" Type="http://schemas.openxmlformats.org/officeDocument/2006/relationships/hyperlink" Target="https://acp.copernicus.org/preprints/6/9655/2006/acpd-6-9655-2006.pdf" TargetMode="External"/><Relationship Id="rId1077" Type="http://schemas.openxmlformats.org/officeDocument/2006/relationships/hyperlink" Target="https://reader.elsevier.com/reader/sd/pii/S0378112716312555?token=2B91B95E32FC5747530F4D06414C0119172AFEC360F9236F3572CBA96D8B1862634CA2C16C9A549AD19E598C226344BF" TargetMode="External"/><Relationship Id="rId251" Type="http://schemas.openxmlformats.org/officeDocument/2006/relationships/hyperlink" Target="https://link.springer.com/content/pdf/10.1007%2Fs10457-006-0003-9.pdf" TargetMode="External"/><Relationship Id="rId489" Type="http://schemas.openxmlformats.org/officeDocument/2006/relationships/hyperlink" Target="https://onlinelibrary.wiley.com/doi/abs/10.1111/j.1365-2028.2008.01051.x" TargetMode="External"/><Relationship Id="rId654" Type="http://schemas.openxmlformats.org/officeDocument/2006/relationships/hyperlink" Target="http://www2.fire.uni-freiburg.de/sevilla-2007/contributions/doc/cd/SESIONES_TEMATICAS/ST2/Velez_SPAIN_DGB_ExpeEnglish.pdf" TargetMode="External"/><Relationship Id="rId696" Type="http://schemas.openxmlformats.org/officeDocument/2006/relationships/hyperlink" Target="https://www.ecologyandsociety.org/vol22/iss3/art23/" TargetMode="External"/><Relationship Id="rId861" Type="http://schemas.openxmlformats.org/officeDocument/2006/relationships/hyperlink" Target="https://www.mdpi.com/1999-4907/7/10/237" TargetMode="External"/><Relationship Id="rId917" Type="http://schemas.openxmlformats.org/officeDocument/2006/relationships/hyperlink" Target="https://link.springer.com/article/10.1134/S1875372818030046" TargetMode="External"/><Relationship Id="rId959" Type="http://schemas.openxmlformats.org/officeDocument/2006/relationships/hyperlink" Target="https://www.tandfonline.com/doi/abs/10.1080/08941920.2014.918226" TargetMode="External"/><Relationship Id="rId46" Type="http://schemas.openxmlformats.org/officeDocument/2006/relationships/hyperlink" Target="https://doi.org/10.14989/68482" TargetMode="External"/><Relationship Id="rId293" Type="http://schemas.openxmlformats.org/officeDocument/2006/relationships/hyperlink" Target="https://rgs-ibg.onlinelibrary.wiley.com/doi/abs/10.1111/j.1475-4959.2011.00447.x" TargetMode="External"/><Relationship Id="rId307" Type="http://schemas.openxmlformats.org/officeDocument/2006/relationships/hyperlink" Target="https://link.springer.com/article/10.1007/s10745-016-9878-x" TargetMode="External"/><Relationship Id="rId349" Type="http://schemas.openxmlformats.org/officeDocument/2006/relationships/hyperlink" Target="https://www.tandfonline.com/doi/full/10.1080/17531055.2011.544550?casa_token=deQdRqNhUDUAAAAA%3AcIA_IpoUukibvbPIFZPjXgi4qx86MZnqq2oiWqP5MvE6AqU2B568Jgcsjt5iiGtnuzZr_rrzepDt" TargetMode="External"/><Relationship Id="rId514" Type="http://schemas.openxmlformats.org/officeDocument/2006/relationships/hyperlink" Target="https://www.sciencedirect.com/science/article/pii/S0301479711004701?via%3Dihub" TargetMode="External"/><Relationship Id="rId556" Type="http://schemas.openxmlformats.org/officeDocument/2006/relationships/hyperlink" Target="https://www.mdpi.com/2071-1050/12/3/995" TargetMode="External"/><Relationship Id="rId721" Type="http://schemas.openxmlformats.org/officeDocument/2006/relationships/hyperlink" Target="https://www.sciencedirect.com/science/article/pii/S0301479799903353" TargetMode="External"/><Relationship Id="rId763" Type="http://schemas.openxmlformats.org/officeDocument/2006/relationships/hyperlink" Target="https://www.researchgate.net/publication/256645443_Grazing_Systems_and_Biodiversity_in_Mediterranean_Areas_Spain_Italy_and_Greece" TargetMode="External"/><Relationship Id="rId88" Type="http://schemas.openxmlformats.org/officeDocument/2006/relationships/hyperlink" Target="https://www.tandfonline.com/doi/full/10.1080/08941920.2013.820813" TargetMode="External"/><Relationship Id="rId111" Type="http://schemas.openxmlformats.org/officeDocument/2006/relationships/hyperlink" Target="https://www.sciencedirect.com/science/article/pii/S0921800919305191" TargetMode="External"/><Relationship Id="rId153" Type="http://schemas.openxmlformats.org/officeDocument/2006/relationships/hyperlink" Target="https://link.springer.com/article/10.1007/s10745-009-9240-7" TargetMode="External"/><Relationship Id="rId195" Type="http://schemas.openxmlformats.org/officeDocument/2006/relationships/hyperlink" Target="https://link.springer.com/content/pdf/10.1007/BF02168861.pdf" TargetMode="External"/><Relationship Id="rId209" Type="http://schemas.openxmlformats.org/officeDocument/2006/relationships/hyperlink" Target="https://core.ac.uk/download/pdf/39861954.pdf" TargetMode="External"/><Relationship Id="rId360" Type="http://schemas.openxmlformats.org/officeDocument/2006/relationships/hyperlink" Target="https://onlinelibrary.wiley.com/doi/abs/10.1111/j.1365-2028.2007.00832.x" TargetMode="External"/><Relationship Id="rId416" Type="http://schemas.openxmlformats.org/officeDocument/2006/relationships/hyperlink" Target="https://pastoralismjournal.springeropen.com/articles/10.1186/2041-7136-1-24" TargetMode="External"/><Relationship Id="rId598" Type="http://schemas.openxmlformats.org/officeDocument/2006/relationships/hyperlink" Target="https://revistaseug.ugr.es/index.php/cuadgeo/article/view/6466" TargetMode="External"/><Relationship Id="rId819" Type="http://schemas.openxmlformats.org/officeDocument/2006/relationships/hyperlink" Target="https://www.researchgate.net/publication/311487251" TargetMode="External"/><Relationship Id="rId970" Type="http://schemas.openxmlformats.org/officeDocument/2006/relationships/hyperlink" Target="https://books.google.co.uk/books?hl=en&amp;lr=&amp;id=y4EIyCJvWC4C&amp;oi=fnd&amp;pg=PR4&amp;ots=IcTNYTFUZn&amp;sig=NalGHA2GwWwqU5AnRD1E0-7XDuw&amp;redir_esc=y" TargetMode="External"/><Relationship Id="rId1004"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046" Type="http://schemas.openxmlformats.org/officeDocument/2006/relationships/hyperlink" Target="https://www.researchgate.net/publication/40116523" TargetMode="External"/><Relationship Id="rId220" Type="http://schemas.openxmlformats.org/officeDocument/2006/relationships/hyperlink" Target="https://onlinelibrary.wiley.com/doi/abs/10.2307/1242114" TargetMode="External"/><Relationship Id="rId458" Type="http://schemas.openxmlformats.org/officeDocument/2006/relationships/hyperlink" Target="https://onlinelibrary.wiley.com/doi/epdf/10.1002/ldr.3400020402" TargetMode="External"/><Relationship Id="rId623" Type="http://schemas.openxmlformats.org/officeDocument/2006/relationships/hyperlink" Target="https://doi.org/10.1080/08941929709381043" TargetMode="External"/><Relationship Id="rId665" Type="http://schemas.openxmlformats.org/officeDocument/2006/relationships/hyperlink" Target="https://books.google.co.uk/books?hl=en&amp;lr=&amp;id=y4EIyCJvWC4C&amp;oi=fnd&amp;pg=PR4&amp;ots=IcTNYTFUZn&amp;sig=NalGHA2GwWwqU5AnRD1E0-7XDuw&amp;redir_esc=y" TargetMode="External"/><Relationship Id="rId830" Type="http://schemas.openxmlformats.org/officeDocument/2006/relationships/hyperlink" Target="https://www.researchgate.net/publication/311487251" TargetMode="External"/><Relationship Id="rId872" Type="http://schemas.openxmlformats.org/officeDocument/2006/relationships/hyperlink" Target="https://www.mdpi.com/1999-4907/7/10/237" TargetMode="External"/><Relationship Id="rId928" Type="http://schemas.openxmlformats.org/officeDocument/2006/relationships/hyperlink" Target="https://esajournals.onlinelibrary.wiley.com/doi/full/10.1890/130015" TargetMode="External"/><Relationship Id="rId15" Type="http://schemas.openxmlformats.org/officeDocument/2006/relationships/hyperlink" Target="https://doi.org/10.14989/68482" TargetMode="External"/><Relationship Id="rId57" Type="http://schemas.openxmlformats.org/officeDocument/2006/relationships/hyperlink" Target="http://citeseerx.ist.psu.edu/viewdoc/download?doi=10.1.1.510.106&amp;rep=rep1&amp;type=pdf" TargetMode="External"/><Relationship Id="rId262" Type="http://schemas.openxmlformats.org/officeDocument/2006/relationships/hyperlink" Target="https://iopscience.iop.org/article/10.1088/2515-7620/ab056c" TargetMode="External"/><Relationship Id="rId318" Type="http://schemas.openxmlformats.org/officeDocument/2006/relationships/hyperlink" Target="https://www.jstor.org/stable/4603577?seq=1" TargetMode="External"/><Relationship Id="rId525" Type="http://schemas.openxmlformats.org/officeDocument/2006/relationships/hyperlink" Target="https://hal-amu.archives-ouvertes.fr/hal-02100603/document" TargetMode="External"/><Relationship Id="rId567" Type="http://schemas.openxmlformats.org/officeDocument/2006/relationships/hyperlink" Target="https://ideas.repec.org/a/ags/afjare/258607.html" TargetMode="External"/><Relationship Id="rId732" Type="http://schemas.openxmlformats.org/officeDocument/2006/relationships/hyperlink" Target="https://www.sciencedirect.com/science/article/pii/S0301479799903353" TargetMode="External"/><Relationship Id="rId99" Type="http://schemas.openxmlformats.org/officeDocument/2006/relationships/hyperlink" Target="https://www.tandfonline.com/doi/full/10.1080/08941920.2013.820813" TargetMode="External"/><Relationship Id="rId122" Type="http://schemas.openxmlformats.org/officeDocument/2006/relationships/hyperlink" Target="http://oar.icrisat.org/6779/1/EPW_33_39_A163-A168_1998.pdf" TargetMode="External"/><Relationship Id="rId164" Type="http://schemas.openxmlformats.org/officeDocument/2006/relationships/hyperlink" Target="https://onlinelibrary.wiley.com/doi/abs/10.1002/ldr.756" TargetMode="External"/><Relationship Id="rId371" Type="http://schemas.openxmlformats.org/officeDocument/2006/relationships/hyperlink" Target="https://link.springer.com/article/10.1186/s13570-017-0111-3" TargetMode="External"/><Relationship Id="rId774" Type="http://schemas.openxmlformats.org/officeDocument/2006/relationships/hyperlink" Target="https://www.researchgate.net/publication/256645443_Grazing_Systems_and_Biodiversity_in_Mediterranean_Areas_Spain_Italy_and_Greece" TargetMode="External"/><Relationship Id="rId981" Type="http://schemas.openxmlformats.org/officeDocument/2006/relationships/hyperlink" Target="https://www.mdpi.com/2072-4292/2/4/1057/htm" TargetMode="External"/><Relationship Id="rId1015" Type="http://schemas.openxmlformats.org/officeDocument/2006/relationships/hyperlink" Target="https://pubmed.ncbi.nlm.nih.gov/19201513/" TargetMode="External"/><Relationship Id="rId1057" Type="http://schemas.openxmlformats.org/officeDocument/2006/relationships/hyperlink" Target="https://link.springer.com/content/pdf/10.1007/s13143-013-0015-0.pdf" TargetMode="External"/><Relationship Id="rId427" Type="http://schemas.openxmlformats.org/officeDocument/2006/relationships/hyperlink" Target="https://www.researchgate.net/publication/260155699_Anthropogenic_fires_and_local_livelihoods_at_Chyulu_Hills_Kenya" TargetMode="External"/><Relationship Id="rId469" Type="http://schemas.openxmlformats.org/officeDocument/2006/relationships/hyperlink" Target="https://fireecology.springeropen.com/articles/10.4996/fireecology.0701057" TargetMode="External"/><Relationship Id="rId634" Type="http://schemas.openxmlformats.org/officeDocument/2006/relationships/hyperlink" Target="https://www.sciencedirect.com/science/article/pii/S0378112710006924" TargetMode="External"/><Relationship Id="rId676" Type="http://schemas.openxmlformats.org/officeDocument/2006/relationships/hyperlink" Target="https://doi.org/10.1007/s11625-018-0592-z" TargetMode="External"/><Relationship Id="rId841" Type="http://schemas.openxmlformats.org/officeDocument/2006/relationships/hyperlink" Target="https://www.mdpi.com/1999-4907/7/10/237" TargetMode="External"/><Relationship Id="rId883" Type="http://schemas.openxmlformats.org/officeDocument/2006/relationships/hyperlink" Target="https://www.mdpi.com/1999-4907/7/10/237" TargetMode="External"/><Relationship Id="rId26" Type="http://schemas.openxmlformats.org/officeDocument/2006/relationships/hyperlink" Target="https://doi.org/10.14989/68482" TargetMode="External"/><Relationship Id="rId231" Type="http://schemas.openxmlformats.org/officeDocument/2006/relationships/hyperlink" Target="https://link.springer.com/article/10.1007/s10745-012-9537-9" TargetMode="External"/><Relationship Id="rId273" Type="http://schemas.openxmlformats.org/officeDocument/2006/relationships/hyperlink" Target="https://link.springer.com/article/10.1007/s11629-019-5416-9" TargetMode="External"/><Relationship Id="rId329" Type="http://schemas.openxmlformats.org/officeDocument/2006/relationships/hyperlink" Target="https://www.mdpi.com/2571-6255/2/3/39" TargetMode="External"/><Relationship Id="rId480" Type="http://schemas.openxmlformats.org/officeDocument/2006/relationships/hyperlink" Target="https://link.springer.com/article/10.1023/A:1014519113923" TargetMode="External"/><Relationship Id="rId536" Type="http://schemas.openxmlformats.org/officeDocument/2006/relationships/hyperlink" Target="https://doi.org/10.5751/ES-11260-240426" TargetMode="External"/><Relationship Id="rId701" Type="http://schemas.openxmlformats.org/officeDocument/2006/relationships/hyperlink" Target="https://www.ecologyandsociety.org/vol22/iss3/art23/" TargetMode="External"/><Relationship Id="rId939" Type="http://schemas.openxmlformats.org/officeDocument/2006/relationships/hyperlink" Target="https://iforest.sisef.org/pdf/?id=ifor0521-003" TargetMode="External"/><Relationship Id="rId68" Type="http://schemas.openxmlformats.org/officeDocument/2006/relationships/hyperlink" Target="https://www.tandfonline.com/doi/full/10.1080/08941920.2013.820813" TargetMode="External"/><Relationship Id="rId133" Type="http://schemas.openxmlformats.org/officeDocument/2006/relationships/hyperlink" Target="https://link.springer.com/book/10.1007%2F978-81-322-2014-5" TargetMode="External"/><Relationship Id="rId175" Type="http://schemas.openxmlformats.org/officeDocument/2006/relationships/hyperlink" Target="http://www.ecologyandsociety.org/vol13/iss2/art2/" TargetMode="External"/><Relationship Id="rId340"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78" Type="http://schemas.openxmlformats.org/officeDocument/2006/relationships/hyperlink" Target="https://doi.org/10.1016/j.ecolecon.2019.106359" TargetMode="External"/><Relationship Id="rId743" Type="http://schemas.openxmlformats.org/officeDocument/2006/relationships/hyperlink" Target="https://www.witpress.com/elibrary/wit-transactions-on-ecology-and-the-environment/137/21150" TargetMode="External"/><Relationship Id="rId785" Type="http://schemas.openxmlformats.org/officeDocument/2006/relationships/hyperlink" Target="https://www.researchgate.net/publication/256645443_Grazing_Systems_and_Biodiversity_in_Mediterranean_Areas_Spain_Italy_and_Greece" TargetMode="External"/><Relationship Id="rId950" Type="http://schemas.openxmlformats.org/officeDocument/2006/relationships/hyperlink" Target="https://pdfs.semanticscholar.org/ad35/96c82623cf33cb44dda5d20f40837b915c92.pdf" TargetMode="External"/><Relationship Id="rId992" Type="http://schemas.openxmlformats.org/officeDocument/2006/relationships/hyperlink" Target="https://ideas.repec.org/a/pje/journl/article29winv.html" TargetMode="External"/><Relationship Id="rId1026" Type="http://schemas.openxmlformats.org/officeDocument/2006/relationships/hyperlink" Target="https://www.researchgate.net/publication/310540577" TargetMode="External"/><Relationship Id="rId200"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382" Type="http://schemas.openxmlformats.org/officeDocument/2006/relationships/hyperlink" Target="https://www.researchgate.net/publication/246576805_Understanding_the_causes_socio-economic_and_environmental_impacts_and_management_of_veld_fires_in_tropical_Zimbabwe" TargetMode="External"/><Relationship Id="rId438" Type="http://schemas.openxmlformats.org/officeDocument/2006/relationships/hyperlink" Target="https://www.sciencedirect.com/science/article/pii/S0167880911000405" TargetMode="External"/><Relationship Id="rId603" Type="http://schemas.openxmlformats.org/officeDocument/2006/relationships/hyperlink" Target="https://www.researchgate.net/publication/319522477" TargetMode="External"/><Relationship Id="rId645" Type="http://schemas.openxmlformats.org/officeDocument/2006/relationships/hyperlink" Target="http://www2.fire.uni-freiburg.de/sevilla-2007/contributions/doc/cd/SESIONES_TEMATICAS/ST2/Velez_SPAIN_DGB_ExpeEnglish.pdf" TargetMode="External"/><Relationship Id="rId687" Type="http://schemas.openxmlformats.org/officeDocument/2006/relationships/hyperlink" Target="http://doi.org/10.1890/120356" TargetMode="External"/><Relationship Id="rId810" Type="http://schemas.openxmlformats.org/officeDocument/2006/relationships/hyperlink" Target="https://www.researchgate.net/publication/311487251" TargetMode="External"/><Relationship Id="rId852" Type="http://schemas.openxmlformats.org/officeDocument/2006/relationships/hyperlink" Target="https://www.mdpi.com/1999-4907/7/10/237" TargetMode="External"/><Relationship Id="rId908"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068" Type="http://schemas.openxmlformats.org/officeDocument/2006/relationships/hyperlink" Target="https://linkinghub.elsevier.com/retrieve/pii/S0921818116302090" TargetMode="External"/><Relationship Id="rId242" Type="http://schemas.openxmlformats.org/officeDocument/2006/relationships/hyperlink" Target="https://link.springer.com/article/10.1007/BF00046411" TargetMode="External"/><Relationship Id="rId284" Type="http://schemas.openxmlformats.org/officeDocument/2006/relationships/hyperlink" Target="https://link.springer.com/article/10.1007/s10745-014-9672-6" TargetMode="External"/><Relationship Id="rId491" Type="http://schemas.openxmlformats.org/officeDocument/2006/relationships/hyperlink" Target="https://doi.org/10.1080/17531055.2015.1134401" TargetMode="External"/><Relationship Id="rId505" Type="http://schemas.openxmlformats.org/officeDocument/2006/relationships/hyperlink" Target="https://www.sciencedirect.com/science/article/pii/S0301479711004701?via%3Dihub" TargetMode="External"/><Relationship Id="rId712" Type="http://schemas.openxmlformats.org/officeDocument/2006/relationships/hyperlink" Target="https://link.springer.com/article/10.1023/A:1013130528470" TargetMode="External"/><Relationship Id="rId894" Type="http://schemas.openxmlformats.org/officeDocument/2006/relationships/hyperlink" Target="https://www.mdpi.com/1999-4907/7/10/237" TargetMode="External"/><Relationship Id="rId37" Type="http://schemas.openxmlformats.org/officeDocument/2006/relationships/hyperlink" Target="https://doi.org/10.14989/68482" TargetMode="External"/><Relationship Id="rId79" Type="http://schemas.openxmlformats.org/officeDocument/2006/relationships/hyperlink" Target="https://www.tandfonline.com/doi/full/10.1080/08941920.2013.820813" TargetMode="External"/><Relationship Id="rId102" Type="http://schemas.openxmlformats.org/officeDocument/2006/relationships/hyperlink" Target="https://www.tandfonline.com/doi/full/10.1080/08941920.2013.820813" TargetMode="External"/><Relationship Id="rId144" Type="http://schemas.openxmlformats.org/officeDocument/2006/relationships/hyperlink" Target="https://www.researchgate.net/publication/237044432_Natural_Resource_Management_in_the_Brazilian_Amazon" TargetMode="External"/><Relationship Id="rId547" Type="http://schemas.openxmlformats.org/officeDocument/2006/relationships/hyperlink" Target="http://gfmc.online/wp-content/uploads/06-IFFN-34-Nepal-2-3.pdf" TargetMode="External"/><Relationship Id="rId589" Type="http://schemas.openxmlformats.org/officeDocument/2006/relationships/hyperlink" Target="https://www.mendeley.com/catalogue/8a778ab6-cfbd-3258-911a-89e248136cc9/" TargetMode="External"/><Relationship Id="rId754" Type="http://schemas.openxmlformats.org/officeDocument/2006/relationships/hyperlink" Target="https://www.tandfonline.com/doi/full/10.1080/03066150.2015.1013099" TargetMode="External"/><Relationship Id="rId796" Type="http://schemas.openxmlformats.org/officeDocument/2006/relationships/hyperlink" Target="https://esajournals.onlinelibrary.wiley.com/doi/full/10.1890/120298" TargetMode="External"/><Relationship Id="rId961" Type="http://schemas.openxmlformats.org/officeDocument/2006/relationships/hyperlink" Target="https://www.tandfonline.com/doi/abs/10.1080/08941920.2014.918226" TargetMode="External"/><Relationship Id="rId90" Type="http://schemas.openxmlformats.org/officeDocument/2006/relationships/hyperlink" Target="https://www.tandfonline.com/doi/full/10.1080/08941920.2013.820813" TargetMode="External"/><Relationship Id="rId186" Type="http://schemas.openxmlformats.org/officeDocument/2006/relationships/hyperlink" Target="..\..\Literature%20Review\Global%20database%20review\Preindustrial%20cropping\cag.2002.24.1.42.pdf" TargetMode="External"/><Relationship Id="rId351" Type="http://schemas.openxmlformats.org/officeDocument/2006/relationships/hyperlink" Target="https://www.tandfonline.com/doi/full/10.1080/17531055.2011.544550?casa_token=deQdRqNhUDUAAAAA%3AcIA_IpoUukibvbPIFZPjXgi4qx86MZnqq2oiWqP5MvE6AqU2B568Jgcsjt5iiGtnuzZr_rrzepDt" TargetMode="External"/><Relationship Id="rId393" Type="http://schemas.openxmlformats.org/officeDocument/2006/relationships/hyperlink" Target="https://www.tandfonline.com/doi/pdf/10.1080/00045608.2011.560063?needAccess=true" TargetMode="External"/><Relationship Id="rId407" Type="http://schemas.openxmlformats.org/officeDocument/2006/relationships/hyperlink" Target="http://www.cifor.org/publications/corporate/cd-roms/bonn-proc/pdfs/papers/T3_FINAL_Barrow.pdf" TargetMode="External"/><Relationship Id="rId449" Type="http://schemas.openxmlformats.org/officeDocument/2006/relationships/hyperlink" Target="../../../../Downloads/FireSyntheisisPaperMarch2012Draft.pdf" TargetMode="External"/><Relationship Id="rId614" Type="http://schemas.openxmlformats.org/officeDocument/2006/relationships/hyperlink" Target="https://www.pnas.org/content/pnas/109/26/10287.full.pdf" TargetMode="External"/><Relationship Id="rId656" Type="http://schemas.openxmlformats.org/officeDocument/2006/relationships/hyperlink" Target="http://www2.fire.uni-freiburg.de/sevilla-2007/contributions/doc/cd/SESIONES_TEMATICAS/ST2/Velez_SPAIN_DGB_ExpeEnglish.pdf" TargetMode="External"/><Relationship Id="rId821" Type="http://schemas.openxmlformats.org/officeDocument/2006/relationships/hyperlink" Target="https://www.researchgate.net/publication/311487251" TargetMode="External"/><Relationship Id="rId863" Type="http://schemas.openxmlformats.org/officeDocument/2006/relationships/hyperlink" Target="https://www.mdpi.com/1999-4907/7/10/237" TargetMode="External"/><Relationship Id="rId1037" Type="http://schemas.openxmlformats.org/officeDocument/2006/relationships/hyperlink" Target="https://www.scielo.br/scielo.php?pid=S1519-566X2005000400016&amp;script=sci_arttext&amp;tlng=pt" TargetMode="External"/><Relationship Id="rId1079" Type="http://schemas.openxmlformats.org/officeDocument/2006/relationships/hyperlink" Target="https://link.springer.com/content/pdf/10.1007/s13280-018-1084-1.pdf" TargetMode="External"/><Relationship Id="rId211" Type="http://schemas.openxmlformats.org/officeDocument/2006/relationships/hyperlink" Target="https://link.springer.com/content/pdf/10.1007/s10745-006-9089-y.pdf" TargetMode="External"/><Relationship Id="rId253" Type="http://schemas.openxmlformats.org/officeDocument/2006/relationships/hyperlink" Target="https://www.sciencedirect.com/science/article/pii/S0264837716300060?via%3Dihub" TargetMode="External"/><Relationship Id="rId295" Type="http://schemas.openxmlformats.org/officeDocument/2006/relationships/hyperlink" Target="https://doi.org/10.1080/00380768.2014.883487" TargetMode="External"/><Relationship Id="rId309" Type="http://schemas.openxmlformats.org/officeDocument/2006/relationships/hyperlink" Target="https://www.sciencedirect.com/science/article/abs/pii/S0016706112000912?via%3Dihub" TargetMode="External"/><Relationship Id="rId460" Type="http://schemas.openxmlformats.org/officeDocument/2006/relationships/hyperlink" Target="https://onlinelibrary.wiley.com/doi/full/10.1111/j.1365-2699.2004.01062.x" TargetMode="External"/><Relationship Id="rId516" Type="http://schemas.openxmlformats.org/officeDocument/2006/relationships/hyperlink" Target="https://www.sciencedirect.com/science/article/pii/S0301479711004701?via%3Dihub" TargetMode="External"/><Relationship Id="rId698" Type="http://schemas.openxmlformats.org/officeDocument/2006/relationships/hyperlink" Target="https://www.ecologyandsociety.org/vol22/iss3/art23/" TargetMode="External"/><Relationship Id="rId919" Type="http://schemas.openxmlformats.org/officeDocument/2006/relationships/hyperlink" Target="https://link.springer.com/article/10.1007%2Fs10021-019-00447-w" TargetMode="External"/><Relationship Id="rId48" Type="http://schemas.openxmlformats.org/officeDocument/2006/relationships/hyperlink" Target="https://doi.org/10.14989/68482" TargetMode="External"/><Relationship Id="rId113" Type="http://schemas.openxmlformats.org/officeDocument/2006/relationships/hyperlink" Target="https://www.sciencedirect.com/science/article/pii/S0921800919305191" TargetMode="External"/><Relationship Id="rId320" Type="http://schemas.openxmlformats.org/officeDocument/2006/relationships/hyperlink" Target="https://pdf.sciencedirectassets.com/272592/1-s2.0-S0301479700X00266/1-s2.0-S0301479798902390/main.pdf?X-Amz-Security-Token=IQoJb3JpZ2luX2VjEI7%2F%2F%2F%2F%2F%2F%2F%2F%2F%2FwEaCXVzLWVhc3QtMSJIMEYCIQCZoVxhPV%2BjPYoI1i6TBvRs9epzQ4YrIVtqPbQRC%2BmdygIhAOnURzKUBDKd8qRJbLCedz3uE9mkTyh5MeYrZBbD8wkJKr0DCNb%2F%2F%2F%2F%2F%2F%2F%2F%2F%2FwEQAxoMMDU5MDAzNTQ2ODY1IgylSxfvv%2BWjNh3XOBgqkQNchGlWZAHzjN76amwXSKeElmvmQd%2B4B2L3ZD8uljLHt9MzIlxoK6KNAsIZdRJ8xIM0ilEEOq7JmwLmrYTN%2FHBKqsdCon%2FuR6TEjcevp9aA6l9WRb1OEAwO6w%2BpTvT8i6TA5Y1ncsuWyEy3adZNEYaf9qYfJQ8bvzx%2FwmcpzeF7zW4Y5DxcJir%2F5JAO1VeDNtpHbR6gyMm%2BGXEdpTKiuBx%2BuQm5%2FCZqabDrRi1chVSfP3MLubpeL4Tu2Qbsvae9PkMdSVuPkoZz%2F9s9lpBPCdvmyTK6kOBl4Op1Or463TLz87tBngUKXwFL1J3Gi49Rza3QchDTD%2FWD9Ll6xqkQtwpt4OUAEjRKK4qMzWlrjvEF2ipvLol0Wl%2F%2FmGsgXfv6SfXqwnce%2BZBX8n5LN5%2FoGCsEUU0Vy68wSG9i2G5Btjp16TDH%2BX1Y4tHKSJV4U%2Bd2Gw1H7PL8h%2BfRtnEmixDcCA3RGZNtSDySOFBXN8hwwgJFyNYLYQNBGM5q1%2BpUenyO8OWc17BdEukEX5qdQ%2FvP%2FacVUTDFl4r2BTrqAcDVeZ41TXYJ9Jc6bEM0LQHzDUBI9qvXFl6z3VOtz1%2F8QSPa809qMPcTJ%2BwTQUJd6Jnfdg%2FWdZwWTZgUR8qz6oAs5NDBVmMeqpj5fv%2FVK2pARVea8NafGf5y52bEM7RyK0gfj8lOvpuppgGetOmAexgQw5VzzC8hJW0240BtcEaiPoM9ov50XCqjlhKD7byMHh7QsifEPzT%2FArSgIoRlXxg3%2BOtRREPjPDZQXlQZgaKnLaO0MIHHy6K1G77Mtx7gI7%2BNkiVBfIxTYfQKV9sxBBl9JIjKAI0xnlxadv4AIa0c2t0%2BRsmp5H69OA%3D%3D&amp;X-Amz-Algorithm=AWS4-HMAC-SHA256&amp;X-Amz-Date=20200518T141344Z&amp;X-Amz-SignedHeaders=host&amp;X-Amz-Expires=300&amp;X-Amz-Credential=ASIAQ3PHCVTY66PBLEUS%2F20200518%2Fus-east-1%2Fs3%2Faws4_request&amp;X-Amz-Signature=b1d8998e2644fb20552beaf4626c6b379f3c41d1c075b2bf7542d84f74121c84&amp;hash=3e01ed28b9b9b907afe9eab83f2d7afa35136a0301c6a43b301373e94bcb91a2&amp;host=68042c943591013ac2b2430a89b270f6af2c76d8dfd086a07176afe7c76c2c61&amp;pii=S0301479798902390&amp;tid=spdf-e6d1e81f-0daa-48c4-8826-f5bf4b9939bf&amp;sid=77a6a0b473e3844b371870b7b27049b92571gxrqb&amp;type=client" TargetMode="External"/><Relationship Id="rId558" Type="http://schemas.openxmlformats.org/officeDocument/2006/relationships/hyperlink" Target="https://www.sciencedirect.com/science/article/pii/S0143622820300667" TargetMode="External"/><Relationship Id="rId723" Type="http://schemas.openxmlformats.org/officeDocument/2006/relationships/hyperlink" Target="https://www.sciencedirect.com/science/article/pii/S0301479799903353" TargetMode="External"/><Relationship Id="rId765" Type="http://schemas.openxmlformats.org/officeDocument/2006/relationships/hyperlink" Target="https://www.researchgate.net/publication/256645443_Grazing_Systems_and_Biodiversity_in_Mediterranean_Areas_Spain_Italy_and_Greece" TargetMode="External"/><Relationship Id="rId930" Type="http://schemas.openxmlformats.org/officeDocument/2006/relationships/hyperlink" Target="https://www.jstor.org/stable/2388588" TargetMode="External"/><Relationship Id="rId972"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006" Type="http://schemas.openxmlformats.org/officeDocument/2006/relationships/hyperlink" Target="https://www.mdpi.com/2071-1050/11/6/1762" TargetMode="External"/><Relationship Id="rId155" Type="http://schemas.openxmlformats.org/officeDocument/2006/relationships/hyperlink" Target="https://link.springer.com/article/10.1007/s10460-009-9239-0" TargetMode="External"/><Relationship Id="rId197" Type="http://schemas.openxmlformats.org/officeDocument/2006/relationships/hyperlink" Target="https://doi.org/10.1080/00167223.2003.10649493" TargetMode="External"/><Relationship Id="rId362" Type="http://schemas.openxmlformats.org/officeDocument/2006/relationships/hyperlink" Target="https://onlinelibrary.wiley.com/doi/abs/10.1111/j.1365-2028.2007.00832.x" TargetMode="External"/><Relationship Id="rId418" Type="http://schemas.openxmlformats.org/officeDocument/2006/relationships/hyperlink" Target="https://pastoralismjournal.springeropen.com/articles/10.1186/2041-7136-1-24" TargetMode="External"/><Relationship Id="rId625" Type="http://schemas.openxmlformats.org/officeDocument/2006/relationships/hyperlink" Target="https://onlinelibrary.wiley.com/doi/abs/10.1111/0004-5608.00184" TargetMode="External"/><Relationship Id="rId832" Type="http://schemas.openxmlformats.org/officeDocument/2006/relationships/hyperlink" Target="https://www.mdpi.com/1999-4907/7/10/237" TargetMode="External"/><Relationship Id="rId1048" Type="http://schemas.openxmlformats.org/officeDocument/2006/relationships/hyperlink" Target="https://jamba.org.za/index.php/jamba/article/view/224" TargetMode="External"/><Relationship Id="rId222" Type="http://schemas.openxmlformats.org/officeDocument/2006/relationships/hyperlink" Target="https://onlinelibrary.wiley.com/doi/abs/10.2307/1242114" TargetMode="External"/><Relationship Id="rId264" Type="http://schemas.openxmlformats.org/officeDocument/2006/relationships/hyperlink" Target="https://www.press.uchicago.edu/ucp/books/book/chicago/I/bo3619725.html" TargetMode="External"/><Relationship Id="rId471" Type="http://schemas.openxmlformats.org/officeDocument/2006/relationships/hyperlink" Target="https://cals.arizona.edu/oals/ALN/aln55/trollope.html" TargetMode="External"/><Relationship Id="rId667" Type="http://schemas.openxmlformats.org/officeDocument/2006/relationships/hyperlink" Target="https://cgspace.cgiar.org/bitstream/handle/10568/219/SLP_ResRep_11.pdf?sequence=1&amp;isAllowed=y" TargetMode="External"/><Relationship Id="rId874" Type="http://schemas.openxmlformats.org/officeDocument/2006/relationships/hyperlink" Target="https://www.mdpi.com/1999-4907/7/10/237" TargetMode="External"/><Relationship Id="rId17" Type="http://schemas.openxmlformats.org/officeDocument/2006/relationships/hyperlink" Target="https://doi.org/10.14989/68482" TargetMode="External"/><Relationship Id="rId59" Type="http://schemas.openxmlformats.org/officeDocument/2006/relationships/hyperlink" Target="https://onlinelibrary.wiley.com/doi/abs/10.2307/1242114" TargetMode="External"/><Relationship Id="rId124" Type="http://schemas.openxmlformats.org/officeDocument/2006/relationships/hyperlink" Target="http://oar.icrisat.org/6779/1/EPW_33_39_A163-A168_1998.pdf" TargetMode="External"/><Relationship Id="rId527" Type="http://schemas.openxmlformats.org/officeDocument/2006/relationships/hyperlink" Target="https://www.researchgate.net/publication/334363169" TargetMode="External"/><Relationship Id="rId569" Type="http://schemas.openxmlformats.org/officeDocument/2006/relationships/hyperlink" Target="https://ideas.repec.org/a/ags/afjare/258607.html" TargetMode="External"/><Relationship Id="rId734" Type="http://schemas.openxmlformats.org/officeDocument/2006/relationships/hyperlink" Target="https://www.sciencedirect.com/science/article/pii/S0301479799903353" TargetMode="External"/><Relationship Id="rId776" Type="http://schemas.openxmlformats.org/officeDocument/2006/relationships/hyperlink" Target="https://www.researchgate.net/publication/256645443_Grazing_Systems_and_Biodiversity_in_Mediterranean_Areas_Spain_Italy_and_Greece" TargetMode="External"/><Relationship Id="rId941" Type="http://schemas.openxmlformats.org/officeDocument/2006/relationships/hyperlink" Target="https://iforest.sisef.org/pdf/?id=ifor0521-003" TargetMode="External"/><Relationship Id="rId983"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70" Type="http://schemas.openxmlformats.org/officeDocument/2006/relationships/hyperlink" Target="https://www.tandfonline.com/doi/full/10.1080/08941920.2013.820813" TargetMode="External"/><Relationship Id="rId166" Type="http://schemas.openxmlformats.org/officeDocument/2006/relationships/hyperlink" Target="https://link.springer.com/article/10.1007/s10745-005-1654-2" TargetMode="External"/><Relationship Id="rId331" Type="http://schemas.openxmlformats.org/officeDocument/2006/relationships/hyperlink" Target="https://www.tandfonline.com/doi/full/10.1080/21513732.2016.1169559" TargetMode="External"/><Relationship Id="rId373" Type="http://schemas.openxmlformats.org/officeDocument/2006/relationships/hyperlink" Target="https://www.mdpi.com/2076-3298/2/1/1" TargetMode="External"/><Relationship Id="rId429" Type="http://schemas.openxmlformats.org/officeDocument/2006/relationships/hyperlink" Target="https://reader.elsevier.com/reader/sd/pii/S0167880917304553?token=06E005B2EB7D3C5F91DE7E422005A316BA0C5C85DD681D7474A864760C13805432C21B31556AE5708472DAA98435539E" TargetMode="External"/><Relationship Id="rId580" Type="http://schemas.openxmlformats.org/officeDocument/2006/relationships/hyperlink" Target="https://journals.sagepub.com/doi/10.1177/1474474018821419" TargetMode="External"/><Relationship Id="rId636" Type="http://schemas.openxmlformats.org/officeDocument/2006/relationships/hyperlink" Target="https://www.sciencedirect.com/science/article/pii/S0378112710006924" TargetMode="External"/><Relationship Id="rId801" Type="http://schemas.openxmlformats.org/officeDocument/2006/relationships/hyperlink" Target="https://www.researchgate.net/publication/311487251" TargetMode="External"/><Relationship Id="rId1017" Type="http://schemas.openxmlformats.org/officeDocument/2006/relationships/hyperlink" Target="https://pubmed.ncbi.nlm.nih.gov/19201513/" TargetMode="External"/><Relationship Id="rId1059" Type="http://schemas.openxmlformats.org/officeDocument/2006/relationships/hyperlink" Target="https://link.springer.com/content/pdf/10.1007/s13143-013-0015-0.pdf" TargetMode="External"/><Relationship Id="rId1" Type="http://schemas.openxmlformats.org/officeDocument/2006/relationships/hyperlink" Target="https://doi.org/10.14989/68482" TargetMode="External"/><Relationship Id="rId233" Type="http://schemas.openxmlformats.org/officeDocument/2006/relationships/hyperlink" Target="https://link.springer.com/article/10.1007/s10745-012-9537-9" TargetMode="External"/><Relationship Id="rId440" Type="http://schemas.openxmlformats.org/officeDocument/2006/relationships/hyperlink" Target="https://www.sciencedirect.com/science/article/pii/S0167880911000405" TargetMode="External"/><Relationship Id="rId678" Type="http://schemas.openxmlformats.org/officeDocument/2006/relationships/hyperlink" Target="https://doi.org/10.1016/j.fcr.2015.10.007" TargetMode="External"/><Relationship Id="rId843" Type="http://schemas.openxmlformats.org/officeDocument/2006/relationships/hyperlink" Target="https://www.mdpi.com/1999-4907/7/10/237" TargetMode="External"/><Relationship Id="rId885" Type="http://schemas.openxmlformats.org/officeDocument/2006/relationships/hyperlink" Target="https://www.mdpi.com/1999-4907/7/10/237" TargetMode="External"/><Relationship Id="rId1070" Type="http://schemas.openxmlformats.org/officeDocument/2006/relationships/hyperlink" Target="https://linkinghub.elsevier.com/retrieve/pii/S0921818116302090" TargetMode="External"/><Relationship Id="rId28" Type="http://schemas.openxmlformats.org/officeDocument/2006/relationships/hyperlink" Target="https://doi.org/10.14989/68482" TargetMode="External"/><Relationship Id="rId275" Type="http://schemas.openxmlformats.org/officeDocument/2006/relationships/hyperlink" Target="https://link.springer.com/article/10.1007/s11629-019-5416-9" TargetMode="External"/><Relationship Id="rId300" Type="http://schemas.openxmlformats.org/officeDocument/2006/relationships/hyperlink" Target="http://www.sandeeonline.org/uploads/documents/publication/1103_PUB_WP_117_Prabath.pdf" TargetMode="External"/><Relationship Id="rId482" Type="http://schemas.openxmlformats.org/officeDocument/2006/relationships/hyperlink" Target="https://doi.org/10.1080/108071200490505963" TargetMode="External"/><Relationship Id="rId538" Type="http://schemas.openxmlformats.org/officeDocument/2006/relationships/hyperlink" Target="https://www.researchgate.net/publication/325554028" TargetMode="External"/><Relationship Id="rId703" Type="http://schemas.openxmlformats.org/officeDocument/2006/relationships/hyperlink" Target="https://www.ecologyandsociety.org/vol22/iss3/art23/" TargetMode="External"/><Relationship Id="rId745" Type="http://schemas.openxmlformats.org/officeDocument/2006/relationships/hyperlink" Target="https://login.microsoftonline.com/8370cf14-16f3-4c16-b83c-724071654356/saml2?SAMLRequest=jZLdbtswDIVfxdC9LUuWfyDEKbIGxQJ0W9C4u9idIjONUFnyRLnb3n6eswAtBhS75iEPeT6ubn4ONnmBgMa7lrAsJwk47Xvjnlry2N2lDblZr1ANdpSbKZ7dA3yfAGMy9zmUS6ElU3DSKzQonRoAZdTysPl0L3mWyzH46LW3JNkgQoiz0a13OA0QDhBejIbHh%2FuWnGMcUVJq%2FZNxmR%2FBqXgGh5mDSP%2FYUE6VRvqsbaZ0Nj1Tq6hguSDJdt7HzPLlhLdzBqODR3%2BK3lnjINN%2BoE1R5%2FrERMqqU5EKzar02BQ6rbnIa1aVoiirxZGT5M4HDcvdLTkpi0CS3bYluqjrnvdlcSyY6IE1%2Bgh1JXhR8qpsSjWrECfYOYzKxZbwnOdpXqdcdKyQvJGizBrGv5Fk%2FzedD8ZdMn8vyuNFhPJj1%2B3T%2FZdDR5KvV3azgFxIycU8vEL0%2Flh15ULW%2F0NhgKh6FVWK4780VvTVBtfH%2BTxb7rZ7b43%2BlWys9T9uA6gI88MRur60vH2v9W8%3D&amp;RelayState=%2Fsaml%2F2%2Fsso%2Fkcl.ac.uk%2Fc%2Fukfed%3FSAMLRequest%3DfZJfT8IwFMW%252FytJ3Vqjjjw0jmWACCSph0wdfTOnuoKFrZ2%252BH%252Bu3dhkR88fmee865v9wpilJXPKn9wWzhvQb0wWepDfJuEJPaGW4FKuRGlIDcS54mD2vOwj6vnPVWWk2CBBGcV9bMrcG6BJeCOykJz9t1TA7eV8gpFU1ICBrhpMCF0pY0Xa6297T1Y3TzlGYkWDQFlBGt1e%252BitntlQltBMziAwdCAp20%252FyiiipUepQyHD%252BkglrY8F5CRYLWLyBvnolhVMyAjy8TCa5MV4txtBBEwUssiLRoZYw8qgF8bHhPVZv9cf91iUDW44m%252FDh4JUEm58r75TJldn%252Fj2R3FiFfZtmmd77pBRx29zQCMpu2xXkX7K5Q%252F28rLnzJ7AIF844nSgVGQq4cSN9BndKrhHNcxR8by9ViY7WSX0Gitf2YOxAeYjIgdHZe%252BfsGs28%253D%26RelayState%3Dcookie%253A1595597331_3db0" TargetMode="External"/><Relationship Id="rId910"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52" Type="http://schemas.openxmlformats.org/officeDocument/2006/relationships/hyperlink" Target="https://pdfs.semanticscholar.org/ad35/96c82623cf33cb44dda5d20f40837b915c92.pdf" TargetMode="External"/><Relationship Id="rId81" Type="http://schemas.openxmlformats.org/officeDocument/2006/relationships/hyperlink" Target="https://www.tandfonline.com/doi/full/10.1080/08941920.2013.820813" TargetMode="External"/><Relationship Id="rId135" Type="http://schemas.openxmlformats.org/officeDocument/2006/relationships/hyperlink" Target="https://uofupress.lib.utah.edu/fire-otherwise/" TargetMode="External"/><Relationship Id="rId177" Type="http://schemas.openxmlformats.org/officeDocument/2006/relationships/hyperlink" Target="https://esajournals.onlinelibrary.wiley.com/doi/pdf/10.1890/04-0841" TargetMode="External"/><Relationship Id="rId342"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4" Type="http://schemas.openxmlformats.org/officeDocument/2006/relationships/hyperlink" Target="https://linkinghub.elsevier.com/retrieve/pii/S014019631630101X" TargetMode="External"/><Relationship Id="rId591" Type="http://schemas.openxmlformats.org/officeDocument/2006/relationships/hyperlink" Target="https://www.mendeley.com/catalogue/8a778ab6-cfbd-3258-911a-89e248136cc9/" TargetMode="External"/><Relationship Id="rId605" Type="http://schemas.openxmlformats.org/officeDocument/2006/relationships/hyperlink" Target="https://www.ecologyandsociety.org/vol19/iss2/art41/" TargetMode="External"/><Relationship Id="rId787" Type="http://schemas.openxmlformats.org/officeDocument/2006/relationships/hyperlink" Target="https://www.researchgate.net/publication/256645443_Grazing_Systems_and_Biodiversity_in_Mediterranean_Areas_Spain_Italy_and_Greece" TargetMode="External"/><Relationship Id="rId812" Type="http://schemas.openxmlformats.org/officeDocument/2006/relationships/hyperlink" Target="https://www.researchgate.net/publication/311487251" TargetMode="External"/><Relationship Id="rId994" Type="http://schemas.openxmlformats.org/officeDocument/2006/relationships/hyperlink" Target="https://www.ajol.info/index.php/sajae/article/view/76886" TargetMode="External"/><Relationship Id="rId1028"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202" Type="http://schemas.openxmlformats.org/officeDocument/2006/relationships/hyperlink" Target="http://lad.nafri.org.la/fulltext/231-0.pdf" TargetMode="External"/><Relationship Id="rId244" Type="http://schemas.openxmlformats.org/officeDocument/2006/relationships/hyperlink" Target="https://www.sciencedirect.com/science/article/pii/S0143622817307403" TargetMode="External"/><Relationship Id="rId647" Type="http://schemas.openxmlformats.org/officeDocument/2006/relationships/hyperlink" Target="http://www2.fire.uni-freiburg.de/sevilla-2007/contributions/doc/cd/SESIONES_TEMATICAS/ST2/Velez_SPAIN_DGB_ExpeEnglish.pdf" TargetMode="External"/><Relationship Id="rId689" Type="http://schemas.openxmlformats.org/officeDocument/2006/relationships/hyperlink" Target="http://doi.org/10.1016/j.foreco.2011.02.0" TargetMode="External"/><Relationship Id="rId854" Type="http://schemas.openxmlformats.org/officeDocument/2006/relationships/hyperlink" Target="https://www.mdpi.com/1999-4907/7/10/237" TargetMode="External"/><Relationship Id="rId896" Type="http://schemas.openxmlformats.org/officeDocument/2006/relationships/hyperlink" Target="https://www.mdpi.com/1999-4907/7/10/237" TargetMode="External"/><Relationship Id="rId1081" Type="http://schemas.openxmlformats.org/officeDocument/2006/relationships/hyperlink" Target="https://www.nature.com/articles/s41558-020-0716-1" TargetMode="External"/><Relationship Id="rId39" Type="http://schemas.openxmlformats.org/officeDocument/2006/relationships/hyperlink" Target="https://doi.org/10.14989/68482" TargetMode="External"/><Relationship Id="rId286" Type="http://schemas.openxmlformats.org/officeDocument/2006/relationships/hyperlink" Target="https://www.tandfonline.com/doi/full/10.1080/03066150.2016.1243531" TargetMode="External"/><Relationship Id="rId451" Type="http://schemas.openxmlformats.org/officeDocument/2006/relationships/hyperlink" Target="../../../../Downloads/FireSyntheisisPaperMarch2012Draft.pdf" TargetMode="External"/><Relationship Id="rId493" Type="http://schemas.openxmlformats.org/officeDocument/2006/relationships/hyperlink" Target="https://link.springer.com/article/10.1007/s10745-017-9926-1" TargetMode="External"/><Relationship Id="rId507" Type="http://schemas.openxmlformats.org/officeDocument/2006/relationships/hyperlink" Target="https://www.sciencedirect.com/science/article/pii/S0301479711004701?via%3Dihub" TargetMode="External"/><Relationship Id="rId549" Type="http://schemas.openxmlformats.org/officeDocument/2006/relationships/hyperlink" Target="https://doi.org/10.1016/j.forpol.2019.101956" TargetMode="External"/><Relationship Id="rId714" Type="http://schemas.openxmlformats.org/officeDocument/2006/relationships/hyperlink" Target="https://www.sciencedirect.com/science/article/pii/S0301479799903353" TargetMode="External"/><Relationship Id="rId756" Type="http://schemas.openxmlformats.org/officeDocument/2006/relationships/hyperlink" Target="https://www.researchgate.net/publication/256645443_Grazing_Systems_and_Biodiversity_in_Mediterranean_Areas_Spain_Italy_and_Greece" TargetMode="External"/><Relationship Id="rId921" Type="http://schemas.openxmlformats.org/officeDocument/2006/relationships/hyperlink" Target="https://bioone.org/journals/Rangeland-Ecology-and-Management/volume-64/issue-4/REM-D-10-00012.1/Public-Perceptions-of-Sagebrush-Ecosystem-Management-in-the-Great-Basin/10.2111/REM-D-10-00012.1.short" TargetMode="External"/><Relationship Id="rId50" Type="http://schemas.openxmlformats.org/officeDocument/2006/relationships/hyperlink" Target="https://doi.org/10.14989/68482" TargetMode="External"/><Relationship Id="rId104" Type="http://schemas.openxmlformats.org/officeDocument/2006/relationships/hyperlink" Target="https://www.tandfonline.com/doi/full/10.1080/08941920.2013.820813" TargetMode="External"/><Relationship Id="rId146" Type="http://schemas.openxmlformats.org/officeDocument/2006/relationships/hyperlink" Target="https://link.springer.com/chapter/10.1007/1-4020-2597-1_18" TargetMode="External"/><Relationship Id="rId188" Type="http://schemas.openxmlformats.org/officeDocument/2006/relationships/hyperlink" Target="https://onlinelibrary.wiley.com/doi/abs/10.1111/1467-8373.00072" TargetMode="External"/><Relationship Id="rId311" Type="http://schemas.openxmlformats.org/officeDocument/2006/relationships/hyperlink" Target="https://onlinelibrary.wiley.com/doi/abs/10.1002/ldr.641" TargetMode="External"/><Relationship Id="rId353" Type="http://schemas.openxmlformats.org/officeDocument/2006/relationships/hyperlink" Target="https://www.cambridge.org/core/journals/oryx/article/burning-to-fish-local-explanations-for-wetland-burning-in-lac-alaotra-madagascar/9FBF1B47FDF362CB1D17E3B6BC8CBF54" TargetMode="External"/><Relationship Id="rId395" Type="http://schemas.openxmlformats.org/officeDocument/2006/relationships/hyperlink" Target="https://www.sciencedirect.com/science/article/abs/pii/S0140196315300124?via%3Dihub" TargetMode="External"/><Relationship Id="rId409" Type="http://schemas.openxmlformats.org/officeDocument/2006/relationships/hyperlink" Target="https://www.jstor.org/stable/pdf/26188765.pdf" TargetMode="External"/><Relationship Id="rId560" Type="http://schemas.openxmlformats.org/officeDocument/2006/relationships/hyperlink" Target="https://www.sciencedirect.com/science/article/pii/S0143622820300667" TargetMode="External"/><Relationship Id="rId798" Type="http://schemas.openxmlformats.org/officeDocument/2006/relationships/hyperlink" Target="https://www.researchgate.net/publication/311487251" TargetMode="External"/><Relationship Id="rId963" Type="http://schemas.openxmlformats.org/officeDocument/2006/relationships/hyperlink" Target="https://www.jstor.org/stable/pdf/27654196.pdf" TargetMode="External"/><Relationship Id="rId1039" Type="http://schemas.openxmlformats.org/officeDocument/2006/relationships/hyperlink" Target="https://link.springer.com/article/10.1007/s11842-015-9311-0" TargetMode="External"/><Relationship Id="rId92" Type="http://schemas.openxmlformats.org/officeDocument/2006/relationships/hyperlink" Target="https://www.tandfonline.com/doi/full/10.1080/08941920.2013.820813" TargetMode="External"/><Relationship Id="rId213"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420" Type="http://schemas.openxmlformats.org/officeDocument/2006/relationships/hyperlink" Target="https://pastoralismjournal.springeropen.com/articles/10.1186/2041-7136-1-24" TargetMode="External"/><Relationship Id="rId616" Type="http://schemas.openxmlformats.org/officeDocument/2006/relationships/hyperlink" Target="https://www.tandfonline.com/doi/pdf/10.1080/08941920500248921?casa_token=xKkBkpHUPFQAAAAA:KBKuY9c-9xDHFd8j2-GIfi6xJToKjh2-uB39qC5Eb5LM63tIYVPgLRbPcBmYuTbsGdDzv9EIPJCk" TargetMode="External"/><Relationship Id="rId658" Type="http://schemas.openxmlformats.org/officeDocument/2006/relationships/hyperlink" Target="https://www.sciencedirect.com/science/article/pii/S0143622817304952" TargetMode="External"/><Relationship Id="rId823" Type="http://schemas.openxmlformats.org/officeDocument/2006/relationships/hyperlink" Target="https://www.researchgate.net/publication/311487251" TargetMode="External"/><Relationship Id="rId865" Type="http://schemas.openxmlformats.org/officeDocument/2006/relationships/hyperlink" Target="https://www.mdpi.com/1999-4907/7/10/237" TargetMode="External"/><Relationship Id="rId1050" Type="http://schemas.openxmlformats.org/officeDocument/2006/relationships/hyperlink" Target="https://doi.org/10.1080/13504509.2018.1491429" TargetMode="External"/><Relationship Id="rId255" Type="http://schemas.openxmlformats.org/officeDocument/2006/relationships/hyperlink" Target="https://journals.plos.org/plosone/article?id=10.1371/journal.pone.0054310" TargetMode="External"/><Relationship Id="rId297" Type="http://schemas.openxmlformats.org/officeDocument/2006/relationships/hyperlink" Target="http://www.sandeeonline.org/uploads/documents/publication/1103_PUB_WP_117_Prabath.pdf" TargetMode="External"/><Relationship Id="rId462" Type="http://schemas.openxmlformats.org/officeDocument/2006/relationships/hyperlink" Target="https://pubmed.ncbi.nlm.nih.gov/20561002/" TargetMode="External"/><Relationship Id="rId518" Type="http://schemas.openxmlformats.org/officeDocument/2006/relationships/hyperlink" Target="https://www.sciencedirect.com/science/article/pii/S0301479711004701?via%3Dihub" TargetMode="External"/><Relationship Id="rId725" Type="http://schemas.openxmlformats.org/officeDocument/2006/relationships/hyperlink" Target="https://www.sciencedirect.com/science/article/pii/S0301479799903353" TargetMode="External"/><Relationship Id="rId932" Type="http://schemas.openxmlformats.org/officeDocument/2006/relationships/hyperlink" Target="https://www.sciencedirect.com/science/article/abs/pii/S2212041614000278?via%3Dihub" TargetMode="External"/><Relationship Id="rId115" Type="http://schemas.openxmlformats.org/officeDocument/2006/relationships/hyperlink" Target="https://www.sciencedirect.com/science/article/pii/S0921800919305191" TargetMode="External"/><Relationship Id="rId157"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322" Type="http://schemas.openxmlformats.org/officeDocument/2006/relationships/hyperlink" Target="https://doi.org/10.1007/s13280-018-1118-8" TargetMode="External"/><Relationship Id="rId364" Type="http://schemas.openxmlformats.org/officeDocument/2006/relationships/hyperlink" Target="https://www.researchgate.net/publication/284776990_Evidence_of_altered_fire_regimes_in_the_Western_Desert_regime_of_Australia" TargetMode="External"/><Relationship Id="rId767" Type="http://schemas.openxmlformats.org/officeDocument/2006/relationships/hyperlink" Target="https://www.researchgate.net/publication/256645443_Grazing_Systems_and_Biodiversity_in_Mediterranean_Areas_Spain_Italy_and_Greece" TargetMode="External"/><Relationship Id="rId974"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008" Type="http://schemas.openxmlformats.org/officeDocument/2006/relationships/hyperlink" Target="https://www.mdpi.com/2071-1050/11/6/1762" TargetMode="External"/><Relationship Id="rId61" Type="http://schemas.openxmlformats.org/officeDocument/2006/relationships/hyperlink" Target="https://onlinelibrary.wiley.com/doi/abs/10.2307/1242114" TargetMode="External"/><Relationship Id="rId199" Type="http://schemas.openxmlformats.org/officeDocument/2006/relationships/hyperlink" Target="https://www.jstage.jst.go.jp/article/tak/41/4/41_KJ00000434320/_pdf" TargetMode="External"/><Relationship Id="rId571" Type="http://schemas.openxmlformats.org/officeDocument/2006/relationships/hyperlink" Target="http://dx.doi.org/10.1016/j.forpol.2016.01.002" TargetMode="External"/><Relationship Id="rId627" Type="http://schemas.openxmlformats.org/officeDocument/2006/relationships/hyperlink" Target="https://iforest.sisef.org/pdf/?id=ifor0098-006" TargetMode="External"/><Relationship Id="rId669" Type="http://schemas.openxmlformats.org/officeDocument/2006/relationships/hyperlink" Target="https://books.google.co.uk/books?hl=en&amp;lr=&amp;id=4nyTyLGxUK4C&amp;oi=fnd&amp;pg=PR5&amp;ots=eBsLoe2a6V&amp;sig=rD0lEmHlM_OWqB5YJzZvs2DYtsw&amp;redir_esc=y" TargetMode="External"/><Relationship Id="rId834" Type="http://schemas.openxmlformats.org/officeDocument/2006/relationships/hyperlink" Target="https://www.mdpi.com/1999-4907/7/10/237" TargetMode="External"/><Relationship Id="rId876" Type="http://schemas.openxmlformats.org/officeDocument/2006/relationships/hyperlink" Target="https://www.mdpi.com/1999-4907/7/10/237" TargetMode="External"/><Relationship Id="rId19" Type="http://schemas.openxmlformats.org/officeDocument/2006/relationships/hyperlink" Target="https://doi.org/10.14989/68482" TargetMode="External"/><Relationship Id="rId224" Type="http://schemas.openxmlformats.org/officeDocument/2006/relationships/hyperlink" Target="http://www.bio-nica.info/Biblioteca/Vosti2002Deforestation.pdf" TargetMode="External"/><Relationship Id="rId266" Type="http://schemas.openxmlformats.org/officeDocument/2006/relationships/hyperlink" Target="https://www.press.uchicago.edu/ucp/books/book/chicago/I/bo3619725.html" TargetMode="External"/><Relationship Id="rId431" Type="http://schemas.openxmlformats.org/officeDocument/2006/relationships/hyperlink" Target="https://www.jstor.org/stable/30135835" TargetMode="External"/><Relationship Id="rId473" Type="http://schemas.openxmlformats.org/officeDocument/2006/relationships/hyperlink" Target="https://cals.arizona.edu/oals/ALN/aln55/trollope.html" TargetMode="External"/><Relationship Id="rId529" Type="http://schemas.openxmlformats.org/officeDocument/2006/relationships/hyperlink" Target="https://www.researchgate.net/publication/334363169" TargetMode="External"/><Relationship Id="rId680" Type="http://schemas.openxmlformats.org/officeDocument/2006/relationships/hyperlink" Target="https://doi.org/10.1016/j.landusepol.2017.06.018" TargetMode="External"/><Relationship Id="rId736" Type="http://schemas.openxmlformats.org/officeDocument/2006/relationships/hyperlink" Target="https://www.sciencedirect.com/science/article/pii/S0301479799903353" TargetMode="External"/><Relationship Id="rId901" Type="http://schemas.openxmlformats.org/officeDocument/2006/relationships/hyperlink" Target="https://www.researchgate.net/publication/263580675" TargetMode="External"/><Relationship Id="rId1061" Type="http://schemas.openxmlformats.org/officeDocument/2006/relationships/hyperlink" Target="https://www.sciencedirect.com/science/article/pii/S1462901117307694?casa_token=1sjjxHogWbkAAAAA:6AZyPnXlIxr2egTtkZkGoBia5G5PNaGPpGAs8IONer_Ic7oejDU7jKLQ_RL76aXLMK294yFkDg" TargetMode="External"/><Relationship Id="rId30" Type="http://schemas.openxmlformats.org/officeDocument/2006/relationships/hyperlink" Target="https://doi.org/10.14989/68482" TargetMode="External"/><Relationship Id="rId126" Type="http://schemas.openxmlformats.org/officeDocument/2006/relationships/hyperlink" Target="http://oar.icrisat.org/6779/1/EPW_33_39_A163-A168_1998.pdf" TargetMode="External"/><Relationship Id="rId168" Type="http://schemas.openxmlformats.org/officeDocument/2006/relationships/hyperlink" Target="https://link.springer.com/article/10.1007/s10745-007-9120-y?shared-article-renderer" TargetMode="External"/><Relationship Id="rId33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0" Type="http://schemas.openxmlformats.org/officeDocument/2006/relationships/hyperlink" Target="http://dx.doi.org/10.4314/jae.v21i1.9" TargetMode="External"/><Relationship Id="rId778" Type="http://schemas.openxmlformats.org/officeDocument/2006/relationships/hyperlink" Target="https://www.researchgate.net/publication/256645443_Grazing_Systems_and_Biodiversity_in_Mediterranean_Areas_Spain_Italy_and_Greece" TargetMode="External"/><Relationship Id="rId943" Type="http://schemas.openxmlformats.org/officeDocument/2006/relationships/hyperlink" Target="https://bioone.org/journals/Journal-of-Ethnobiology/volume-35/issue-1/0278-0771-35.1.111/The-Human-Ecology-and-Geography-of-Burning-in-an-Unstable/10.2993/0278-0771-35.1.111.short" TargetMode="External"/><Relationship Id="rId985"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1019" Type="http://schemas.openxmlformats.org/officeDocument/2006/relationships/hyperlink" Target="https://www.sciencedirect.com/science/article/pii/S014019630900305X" TargetMode="External"/><Relationship Id="rId72" Type="http://schemas.openxmlformats.org/officeDocument/2006/relationships/hyperlink" Target="https://www.tandfonline.com/doi/full/10.1080/08941920.2013.820813" TargetMode="External"/><Relationship Id="rId375" Type="http://schemas.openxmlformats.org/officeDocument/2006/relationships/hyperlink" Target="https://www.mdpi.com/2076-3298/2/1/1" TargetMode="External"/><Relationship Id="rId582" Type="http://schemas.openxmlformats.org/officeDocument/2006/relationships/hyperlink" Target="https://doi.org/10.1080/00049182.2019.1601150" TargetMode="External"/><Relationship Id="rId638" Type="http://schemas.openxmlformats.org/officeDocument/2006/relationships/hyperlink" Target="https://www.sciencedirect.com/science/article/pii/S0378112710006924" TargetMode="External"/><Relationship Id="rId803" Type="http://schemas.openxmlformats.org/officeDocument/2006/relationships/hyperlink" Target="https://www.researchgate.net/publication/311487251" TargetMode="External"/><Relationship Id="rId845" Type="http://schemas.openxmlformats.org/officeDocument/2006/relationships/hyperlink" Target="https://www.mdpi.com/1999-4907/7/10/237" TargetMode="External"/><Relationship Id="rId1030" Type="http://schemas.openxmlformats.org/officeDocument/2006/relationships/hyperlink" Target="https://acp.copernicus.org/preprints/6/9655/2006/acpd-6-9655-2006.pdf" TargetMode="External"/><Relationship Id="rId3" Type="http://schemas.openxmlformats.org/officeDocument/2006/relationships/hyperlink" Target="https://doi.org/10.14989/68482" TargetMode="External"/><Relationship Id="rId235" Type="http://schemas.openxmlformats.org/officeDocument/2006/relationships/hyperlink" Target="https://link.springer.com/article/10.1007/s10745-012-9537-9" TargetMode="External"/><Relationship Id="rId277" Type="http://schemas.openxmlformats.org/officeDocument/2006/relationships/hyperlink" Target="https://link.springer.com/article/10.1007/s11629-019-5416-9" TargetMode="External"/><Relationship Id="rId400" Type="http://schemas.openxmlformats.org/officeDocument/2006/relationships/hyperlink" Target="https://pastoralismjournal.springeropen.com/articles/10.1186/s13570-018-0115-7" TargetMode="External"/><Relationship Id="rId442" Type="http://schemas.openxmlformats.org/officeDocument/2006/relationships/hyperlink" Target="https://www.sciencedirect.com/science/article/pii/S0167880911000405" TargetMode="External"/><Relationship Id="rId484" Type="http://schemas.openxmlformats.org/officeDocument/2006/relationships/hyperlink" Target="http://dx.doi.org/10.1080/1747423X.2011.565372" TargetMode="External"/><Relationship Id="rId705" Type="http://schemas.openxmlformats.org/officeDocument/2006/relationships/hyperlink" Target="https://www.ecologyandsociety.org/vol22/iss3/art23/" TargetMode="External"/><Relationship Id="rId887" Type="http://schemas.openxmlformats.org/officeDocument/2006/relationships/hyperlink" Target="https://www.mdpi.com/1999-4907/7/10/237" TargetMode="External"/><Relationship Id="rId1072" Type="http://schemas.openxmlformats.org/officeDocument/2006/relationships/hyperlink" Target="https://linkinghub.elsevier.com/retrieve/pii/S0921818116302090" TargetMode="External"/><Relationship Id="rId137" Type="http://schemas.openxmlformats.org/officeDocument/2006/relationships/hyperlink" Target="https://www.cabi.org/bookshop/book/9781786391797/" TargetMode="External"/><Relationship Id="rId302" Type="http://schemas.openxmlformats.org/officeDocument/2006/relationships/hyperlink" Target="https://ecologicalprocesses.springeropen.com/articles/10.1186/s13717-016-0049-1" TargetMode="External"/><Relationship Id="rId34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691" Type="http://schemas.openxmlformats.org/officeDocument/2006/relationships/hyperlink" Target="http://doi.org/10.1016/j.foreco.2011.02.0" TargetMode="External"/><Relationship Id="rId747" Type="http://schemas.openxmlformats.org/officeDocument/2006/relationships/hyperlink" Target="https://www.sciencedirect.com/science/article/pii/S0143622811001901?via%3Dihub" TargetMode="External"/><Relationship Id="rId789" Type="http://schemas.openxmlformats.org/officeDocument/2006/relationships/hyperlink" Target="https://www.researchgate.net/publication/256645443_Grazing_Systems_and_Biodiversity_in_Mediterranean_Areas_Spain_Italy_and_Greece" TargetMode="External"/><Relationship Id="rId912"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54" Type="http://schemas.openxmlformats.org/officeDocument/2006/relationships/hyperlink" Target="https://digitalcommons.usu.edu/hwi/vol12/iss1/" TargetMode="External"/><Relationship Id="rId996" Type="http://schemas.openxmlformats.org/officeDocument/2006/relationships/hyperlink" Target="https://www.ajol.info/index.php/sajae/article/view/76886" TargetMode="External"/><Relationship Id="rId41" Type="http://schemas.openxmlformats.org/officeDocument/2006/relationships/hyperlink" Target="https://doi.org/10.14989/68482" TargetMode="External"/><Relationship Id="rId83" Type="http://schemas.openxmlformats.org/officeDocument/2006/relationships/hyperlink" Target="https://www.tandfonline.com/doi/full/10.1080/08941920.2013.820813" TargetMode="External"/><Relationship Id="rId179" Type="http://schemas.openxmlformats.org/officeDocument/2006/relationships/hyperlink" Target="https://www.jstor.org/stable/26265996" TargetMode="External"/><Relationship Id="rId386" Type="http://schemas.openxmlformats.org/officeDocument/2006/relationships/hyperlink" Target="http://www.pcu.uct.ac.za/sites/default/files/image_tool/images/192/GHumphrey_PhDThesis.pdf" TargetMode="External"/><Relationship Id="rId551" Type="http://schemas.openxmlformats.org/officeDocument/2006/relationships/hyperlink" Target="https://www.mdpi.com/2071-1050/11/24/7192" TargetMode="External"/><Relationship Id="rId593" Type="http://schemas.openxmlformats.org/officeDocument/2006/relationships/hyperlink" Target="https://link.springer.com/article/10.1023/B:HUEC.0000043514.19598.23" TargetMode="External"/><Relationship Id="rId607" Type="http://schemas.openxmlformats.org/officeDocument/2006/relationships/hyperlink" Target="https://www.tandfonline.com/doi/pdf/10.1080/1523908X.2013.766579?casa_token=iOmsL19viv4AAAAA:oT6eObk_CsSaeq0ODOV-R40van7GZA15nv0_a2tqMZpYPL3weR4XhVMB3FMn-B8_-zVGKtXXTtMJ" TargetMode="External"/><Relationship Id="rId649" Type="http://schemas.openxmlformats.org/officeDocument/2006/relationships/hyperlink" Target="http://www2.fire.uni-freiburg.de/sevilla-2007/contributions/doc/cd/SESIONES_TEMATICAS/ST2/Velez_SPAIN_DGB_ExpeEnglish.pdf" TargetMode="External"/><Relationship Id="rId814" Type="http://schemas.openxmlformats.org/officeDocument/2006/relationships/hyperlink" Target="https://www.researchgate.net/publication/311487251" TargetMode="External"/><Relationship Id="rId856" Type="http://schemas.openxmlformats.org/officeDocument/2006/relationships/hyperlink" Target="https://www.mdpi.com/1999-4907/7/10/237" TargetMode="External"/><Relationship Id="rId190" Type="http://schemas.openxmlformats.org/officeDocument/2006/relationships/hyperlink" Target="https://onlinelibrary.wiley.com/doi/abs/10.1111/1467-8373.00072" TargetMode="External"/><Relationship Id="rId204" Type="http://schemas.openxmlformats.org/officeDocument/2006/relationships/hyperlink" Target="http://lad.nafri.org.la/fulltext/231-0.pdf" TargetMode="External"/><Relationship Id="rId246" Type="http://schemas.openxmlformats.org/officeDocument/2006/relationships/hyperlink" Target="https://www.sciencedirect.com/science/article/pii/S0143622817307403" TargetMode="External"/><Relationship Id="rId288" Type="http://schemas.openxmlformats.org/officeDocument/2006/relationships/hyperlink" Target="https://www.tandfonline.com/doi/full/10.1080/03066150.2016.1243531" TargetMode="External"/><Relationship Id="rId411" Type="http://schemas.openxmlformats.org/officeDocument/2006/relationships/hyperlink" Target="https://www.researchgate.net/publication/262725053_Evaluation_of_Mbororo_Transhumance_Routes_in_the_Tchabal_Mbabo-Dodeo_Region_of_Cameroon" TargetMode="External"/><Relationship Id="rId453" Type="http://schemas.openxmlformats.org/officeDocument/2006/relationships/hyperlink" Target="https://journals.uair.arizona.edu/index.php/rangelands/article/download/15883/15858" TargetMode="External"/><Relationship Id="rId509" Type="http://schemas.openxmlformats.org/officeDocument/2006/relationships/hyperlink" Target="https://www.sciencedirect.com/science/article/pii/S0301479711004701?via%3Dihub" TargetMode="External"/><Relationship Id="rId660" Type="http://schemas.openxmlformats.org/officeDocument/2006/relationships/hyperlink" Target="http://www.sandeeonline.org/uploads/documents/publication/962_PUB_Working_Paper_66_Ridhima_Gupta.pdf" TargetMode="External"/><Relationship Id="rId898" Type="http://schemas.openxmlformats.org/officeDocument/2006/relationships/hyperlink" Target="https://www.mdpi.com/1999-4907/7/10/237" TargetMode="External"/><Relationship Id="rId1041" Type="http://schemas.openxmlformats.org/officeDocument/2006/relationships/hyperlink" Target="https://link.springer.com/article/10.1007/s11842-015-9311-0" TargetMode="External"/><Relationship Id="rId1083" Type="http://schemas.openxmlformats.org/officeDocument/2006/relationships/hyperlink" Target="https://journals.plos.org/plosone/article/file?id=10.1371/journal.pone.0029212&amp;type=printable" TargetMode="External"/><Relationship Id="rId106" Type="http://schemas.openxmlformats.org/officeDocument/2006/relationships/hyperlink" Target="https://www.tandfonline.com/doi/full/10.1080/08941920.2013.820813" TargetMode="External"/><Relationship Id="rId313" Type="http://schemas.openxmlformats.org/officeDocument/2006/relationships/hyperlink" Target="https://era.ed.ac.uk/handle/1842/36538?show=full" TargetMode="External"/><Relationship Id="rId495" Type="http://schemas.openxmlformats.org/officeDocument/2006/relationships/hyperlink" Target="https://link.springer.com/article/10.1007/s10021-013-9673-0" TargetMode="External"/><Relationship Id="rId716" Type="http://schemas.openxmlformats.org/officeDocument/2006/relationships/hyperlink" Target="https://www.sciencedirect.com/science/article/pii/S0301479799903353" TargetMode="External"/><Relationship Id="rId758" Type="http://schemas.openxmlformats.org/officeDocument/2006/relationships/hyperlink" Target="https://www.researchgate.net/publication/256645443_Grazing_Systems_and_Biodiversity_in_Mediterranean_Areas_Spain_Italy_and_Greece" TargetMode="External"/><Relationship Id="rId923" Type="http://schemas.openxmlformats.org/officeDocument/2006/relationships/hyperlink" Target="https://bioone.org/journals/Rangeland-Ecology-and-Management/volume-64/issue-4/REM-D-10-00012.1/Public-Perceptions-of-Sagebrush-Ecosystem-Management-in-the-Great-Basin/10.2111/REM-D-10-00012.1.short" TargetMode="External"/><Relationship Id="rId965" Type="http://schemas.openxmlformats.org/officeDocument/2006/relationships/hyperlink" Target="https://www.jstor.org/stable/pdf/27654196.pdf" TargetMode="External"/><Relationship Id="rId10" Type="http://schemas.openxmlformats.org/officeDocument/2006/relationships/hyperlink" Target="https://doi.org/10.14989/68482" TargetMode="External"/><Relationship Id="rId52" Type="http://schemas.openxmlformats.org/officeDocument/2006/relationships/hyperlink" Target="https://www.jstage.jst.go.jp/article/tak/41/4/41_KJ00000434320/_pdf" TargetMode="External"/><Relationship Id="rId94" Type="http://schemas.openxmlformats.org/officeDocument/2006/relationships/hyperlink" Target="https://www.tandfonline.com/doi/full/10.1080/08941920.2013.820813" TargetMode="External"/><Relationship Id="rId148" Type="http://schemas.openxmlformats.org/officeDocument/2006/relationships/hyperlink" Target="https://link.springer.com/chapter/10.1007/978-3-540-77381-8_1" TargetMode="External"/><Relationship Id="rId355" Type="http://schemas.openxmlformats.org/officeDocument/2006/relationships/hyperlink" Target="https://www.semanticscholar.org/paper/Resource-selection-by-grazing-herbivores-on-in-a-Klop-Goethem/87f0b0b9a1b27a79a455e37ad410a2f710efa0e0" TargetMode="External"/><Relationship Id="rId397" Type="http://schemas.openxmlformats.org/officeDocument/2006/relationships/hyperlink" Target="https://link.springer.com/article/10.1023/A:1013285910650" TargetMode="External"/><Relationship Id="rId520" Type="http://schemas.openxmlformats.org/officeDocument/2006/relationships/hyperlink" Target="https://www.sciencedirect.com/science/article/pii/S0301479711004701?via%3Dihub" TargetMode="External"/><Relationship Id="rId562" Type="http://schemas.openxmlformats.org/officeDocument/2006/relationships/hyperlink" Target="https://www.sciencedirect.com/science/article/pii/S0143622820300667" TargetMode="External"/><Relationship Id="rId618" Type="http://schemas.openxmlformats.org/officeDocument/2006/relationships/hyperlink" Target="https://onlinelibrary.wiley.com/doi/pdf/10.1111/avsc.12268?casa_token=nVKYbx62kj0AAAAA:SuIVxL6LU08AzOTvv6LI_M5uOLAwnfOmOpLGtwEp7hX1ATzigcBuPCMf-XTMc5OToDjzBVzaML_gJTQ" TargetMode="External"/><Relationship Id="rId825" Type="http://schemas.openxmlformats.org/officeDocument/2006/relationships/hyperlink" Target="https://www.researchgate.net/publication/311487251" TargetMode="External"/><Relationship Id="rId215" Type="http://schemas.openxmlformats.org/officeDocument/2006/relationships/hyperlink" Target="https://onlinelibrary.wiley.com/doi/abs/10.2307/1242114" TargetMode="External"/><Relationship Id="rId257" Type="http://schemas.openxmlformats.org/officeDocument/2006/relationships/hyperlink" Target="https://link.springer.com/article/10.1007/s10745-013-9600-1" TargetMode="External"/><Relationship Id="rId422" Type="http://schemas.openxmlformats.org/officeDocument/2006/relationships/hyperlink" Target="https://pastoralismjournal.springeropen.com/articles/10.1186/2041-7136-1-24" TargetMode="External"/><Relationship Id="rId464" Type="http://schemas.openxmlformats.org/officeDocument/2006/relationships/hyperlink" Target="https://besjournals.onlinelibrary.wiley.com/doi/pdf/10.1046/j.1365-2664.2001.00567.x" TargetMode="External"/><Relationship Id="rId867" Type="http://schemas.openxmlformats.org/officeDocument/2006/relationships/hyperlink" Target="https://www.mdpi.com/1999-4907/7/10/237" TargetMode="External"/><Relationship Id="rId1010" Type="http://schemas.openxmlformats.org/officeDocument/2006/relationships/hyperlink" Target="https://www.sciencedirect.com/science/article/pii/S0167880996010997" TargetMode="External"/><Relationship Id="rId1052" Type="http://schemas.openxmlformats.org/officeDocument/2006/relationships/hyperlink" Target="https://link.springer.com/content/pdf/10.1007/s13143-013-0015-0.pdf" TargetMode="External"/><Relationship Id="rId299" Type="http://schemas.openxmlformats.org/officeDocument/2006/relationships/hyperlink" Target="http://www.sandeeonline.org/uploads/documents/publication/1103_PUB_WP_117_Prabath.pdf" TargetMode="External"/><Relationship Id="rId727" Type="http://schemas.openxmlformats.org/officeDocument/2006/relationships/hyperlink" Target="https://www.sciencedirect.com/science/article/pii/S0301479799903353" TargetMode="External"/><Relationship Id="rId934" Type="http://schemas.openxmlformats.org/officeDocument/2006/relationships/hyperlink" Target="https://www.tandfonline.com/doi/abs/10.1080/01426397.2013.773299" TargetMode="External"/><Relationship Id="rId63" Type="http://schemas.openxmlformats.org/officeDocument/2006/relationships/hyperlink" Target="https://www.tandfonline.com/doi/full/10.1080/08941920.2013.820813" TargetMode="External"/><Relationship Id="rId159"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366" Type="http://schemas.openxmlformats.org/officeDocument/2006/relationships/hyperlink" Target="https://www.jstor.org/stable/1478888" TargetMode="External"/><Relationship Id="rId573" Type="http://schemas.openxmlformats.org/officeDocument/2006/relationships/hyperlink" Target="https://doi.org/10.1007/s10745-019-00096-6" TargetMode="External"/><Relationship Id="rId780" Type="http://schemas.openxmlformats.org/officeDocument/2006/relationships/hyperlink" Target="https://www.researchgate.net/publication/256645443_Grazing_Systems_and_Biodiversity_in_Mediterranean_Areas_Spain_Italy_and_Greece" TargetMode="External"/><Relationship Id="rId226" Type="http://schemas.openxmlformats.org/officeDocument/2006/relationships/hyperlink" Target="https://www.tandfonline.com/doi/full/10.1080/08941920.2013.820813" TargetMode="External"/><Relationship Id="rId433" Type="http://schemas.openxmlformats.org/officeDocument/2006/relationships/hyperlink" Target="https://www.scirp.org/journal/paperinformation.aspx?paperid=27362" TargetMode="External"/><Relationship Id="rId878" Type="http://schemas.openxmlformats.org/officeDocument/2006/relationships/hyperlink" Target="https://www.mdpi.com/1999-4907/7/10/237" TargetMode="External"/><Relationship Id="rId1063" Type="http://schemas.openxmlformats.org/officeDocument/2006/relationships/hyperlink" Target="http://www.celpa.pt/wp-content/uploads/2016/09/Boletim_WEB_2015.pdf" TargetMode="External"/><Relationship Id="rId640" Type="http://schemas.openxmlformats.org/officeDocument/2006/relationships/hyperlink" Target="https://www.sciencedirect.com/science/article/pii/S0301479713002648" TargetMode="External"/><Relationship Id="rId738" Type="http://schemas.openxmlformats.org/officeDocument/2006/relationships/hyperlink" Target="https://www.witpress.com/elibrary/wit-transactions-on-ecology-and-the-environment/137/21150" TargetMode="External"/><Relationship Id="rId945" Type="http://schemas.openxmlformats.org/officeDocument/2006/relationships/hyperlink" Target="https://espace.library.uq.edu.au/view/UQ:681669" TargetMode="External"/><Relationship Id="rId74" Type="http://schemas.openxmlformats.org/officeDocument/2006/relationships/hyperlink" Target="https://www.tandfonline.com/doi/full/10.1080/08941920.2013.820813" TargetMode="External"/><Relationship Id="rId377" Type="http://schemas.openxmlformats.org/officeDocument/2006/relationships/hyperlink" Target="https://www.sciencedirect.com/science/article/pii/S0743016717312287" TargetMode="External"/><Relationship Id="rId500" Type="http://schemas.openxmlformats.org/officeDocument/2006/relationships/hyperlink" Target="https://www.sciencedirect.com/science/article/pii/S0301479711004701?via%3Dihub" TargetMode="External"/><Relationship Id="rId584" Type="http://schemas.openxmlformats.org/officeDocument/2006/relationships/hyperlink" Target="https://onlinelibrary.wiley.com/doi/abs/10.1111/sjtg.12259" TargetMode="External"/><Relationship Id="rId805" Type="http://schemas.openxmlformats.org/officeDocument/2006/relationships/hyperlink" Target="https://www.researchgate.net/publication/311487251" TargetMode="External"/><Relationship Id="rId5" Type="http://schemas.openxmlformats.org/officeDocument/2006/relationships/hyperlink" Target="https://doi.org/10.14989/68482" TargetMode="External"/><Relationship Id="rId237" Type="http://schemas.openxmlformats.org/officeDocument/2006/relationships/hyperlink" Target="https://www.academia.edu/32394422/Animal_traction_and_market_conditions_a_case_study_from_south-western_Tanzania_and_northern_Zambia" TargetMode="External"/><Relationship Id="rId791" Type="http://schemas.openxmlformats.org/officeDocument/2006/relationships/hyperlink" Target="https://www.researchgate.net/publication/256645443_Grazing_Systems_and_Biodiversity_in_Mediterranean_Areas_Spain_Italy_and_Greece" TargetMode="External"/><Relationship Id="rId889" Type="http://schemas.openxmlformats.org/officeDocument/2006/relationships/hyperlink" Target="https://www.mdpi.com/1999-4907/7/10/237" TargetMode="External"/><Relationship Id="rId1074" Type="http://schemas.openxmlformats.org/officeDocument/2006/relationships/hyperlink" Target="https://reader.elsevier.com/reader/sd/pii/S0146638012000575?token=DB6A3A0247400FE0BA11023308B4ACAA35C9EAC449D18C7F55CD9067E8A51C1356EEC001A19A368335920898A07EAF93" TargetMode="External"/><Relationship Id="rId444" Type="http://schemas.openxmlformats.org/officeDocument/2006/relationships/hyperlink" Target="https://www.sciencedirect.com/science/article/pii/S0167880911000405" TargetMode="External"/><Relationship Id="rId651" Type="http://schemas.openxmlformats.org/officeDocument/2006/relationships/hyperlink" Target="http://www2.fire.uni-freiburg.de/sevilla-2007/contributions/doc/cd/SESIONES_TEMATICAS/ST2/Velez_SPAIN_DGB_ExpeEnglish.pdf" TargetMode="External"/><Relationship Id="rId749" Type="http://schemas.openxmlformats.org/officeDocument/2006/relationships/hyperlink" Target="https://wildlife.onlinelibrary.wiley.com/doi/abs/10.1002/jwmg.334" TargetMode="External"/><Relationship Id="rId290" Type="http://schemas.openxmlformats.org/officeDocument/2006/relationships/hyperlink" Target="https://rgs-ibg.onlinelibrary.wiley.com/doi/abs/10.1111/geoj.12255" TargetMode="External"/><Relationship Id="rId304" Type="http://schemas.openxmlformats.org/officeDocument/2006/relationships/hyperlink" Target="https://www.sciencedirect.com/science/article/pii/S0301479706000557" TargetMode="External"/><Relationship Id="rId388" Type="http://schemas.openxmlformats.org/officeDocument/2006/relationships/hyperlink" Target="http://www.conservationandsociety.org/article.asp?issn=0972-4923;year=2006;volume=4;issue=2;spage=231;epage=261;aulast=Kaufmann" TargetMode="External"/><Relationship Id="rId511" Type="http://schemas.openxmlformats.org/officeDocument/2006/relationships/hyperlink" Target="https://www.sciencedirect.com/science/article/pii/S0301479711004701?via%3Dihub" TargetMode="External"/><Relationship Id="rId609" Type="http://schemas.openxmlformats.org/officeDocument/2006/relationships/hyperlink" Target="https://journals.uair.arizona.edu/index.php/JPE/article/view/22045" TargetMode="External"/><Relationship Id="rId956" Type="http://schemas.openxmlformats.org/officeDocument/2006/relationships/hyperlink" Target="https://digitalcommons.usu.edu/hwi/vol12/iss1/" TargetMode="External"/><Relationship Id="rId85" Type="http://schemas.openxmlformats.org/officeDocument/2006/relationships/hyperlink" Target="https://www.tandfonline.com/doi/full/10.1080/08941920.2013.820813" TargetMode="External"/><Relationship Id="rId150" Type="http://schemas.openxmlformats.org/officeDocument/2006/relationships/hyperlink" Target="https://www.ecologyandsociety.org/vol14/iss2/art20/" TargetMode="External"/><Relationship Id="rId595" Type="http://schemas.openxmlformats.org/officeDocument/2006/relationships/hyperlink" Target="https://doi.org/10.1016/j.landusepol.2018.10.022" TargetMode="External"/><Relationship Id="rId816" Type="http://schemas.openxmlformats.org/officeDocument/2006/relationships/hyperlink" Target="https://www.researchgate.net/publication/311487251" TargetMode="External"/><Relationship Id="rId1001"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248" Type="http://schemas.openxmlformats.org/officeDocument/2006/relationships/hyperlink" Target="https://www.sciencedirect.com/science/article/pii/S0921800906000784" TargetMode="External"/><Relationship Id="rId455" Type="http://schemas.openxmlformats.org/officeDocument/2006/relationships/hyperlink" Target="https://esajournals.onlinelibrary.wiley.com/doi/full/10.1890/120344" TargetMode="External"/><Relationship Id="rId662" Type="http://schemas.openxmlformats.org/officeDocument/2006/relationships/hyperlink" Target="https://doi.org/10.1016/j.agsy.2010.09.005" TargetMode="External"/><Relationship Id="rId1085" Type="http://schemas.openxmlformats.org/officeDocument/2006/relationships/printerSettings" Target="../printerSettings/printerSettings1.bin"/><Relationship Id="rId12" Type="http://schemas.openxmlformats.org/officeDocument/2006/relationships/hyperlink" Target="https://doi.org/10.14989/68482" TargetMode="External"/><Relationship Id="rId108" Type="http://schemas.openxmlformats.org/officeDocument/2006/relationships/hyperlink" Target="https://www.tandfonline.com/doi/full/10.1080/08941920.2013.820813" TargetMode="External"/><Relationship Id="rId315" Type="http://schemas.openxmlformats.org/officeDocument/2006/relationships/hyperlink" Target="https://www.sciencedirect.com/science/article/pii/S0743016716305022" TargetMode="External"/><Relationship Id="rId522" Type="http://schemas.openxmlformats.org/officeDocument/2006/relationships/hyperlink" Target="https://www.sciencedirect.com/science/article/pii/S0301479711004701?via%3Dihub" TargetMode="External"/><Relationship Id="rId967" Type="http://schemas.openxmlformats.org/officeDocument/2006/relationships/hyperlink" Target="https://www.researchgate.net/publication/248885612_Remote_sensing_of_fire_regimes_in_semi-arid_Nusa_Tenggara_Timur_eastern_Indonesia_Current_patterns_future_prospects" TargetMode="External"/><Relationship Id="rId96" Type="http://schemas.openxmlformats.org/officeDocument/2006/relationships/hyperlink" Target="https://www.tandfonline.com/doi/full/10.1080/08941920.2013.820813" TargetMode="External"/><Relationship Id="rId161" Type="http://schemas.openxmlformats.org/officeDocument/2006/relationships/hyperlink" Target="https://www.researchgate.net/publication/275523335_Land_for_My_Grandchildren_Land_Use_and_Tenure_Change_in_Ratanakiri_1989-2007" TargetMode="External"/><Relationship Id="rId399" Type="http://schemas.openxmlformats.org/officeDocument/2006/relationships/hyperlink" Target="https://pastoralismjournal.springeropen.com/articles/10.1186/s13570-018-0115-7" TargetMode="External"/><Relationship Id="rId827" Type="http://schemas.openxmlformats.org/officeDocument/2006/relationships/hyperlink" Target="https://www.researchgate.net/publication/311487251" TargetMode="External"/><Relationship Id="rId1012" Type="http://schemas.openxmlformats.org/officeDocument/2006/relationships/hyperlink" Target="https://www.sciencedirect.com/science/article/pii/S1352231015300807" TargetMode="External"/><Relationship Id="rId259" Type="http://schemas.openxmlformats.org/officeDocument/2006/relationships/hyperlink" Target="https://www.sciencedirect.com/science/article/pii/S0921800919305191" TargetMode="External"/><Relationship Id="rId466" Type="http://schemas.openxmlformats.org/officeDocument/2006/relationships/hyperlink" Target="https://fireecology.springeropen.com/articles/10.4996/fireecology.0701057" TargetMode="External"/><Relationship Id="rId673" Type="http://schemas.openxmlformats.org/officeDocument/2006/relationships/hyperlink" Target="https://doi.org/10.1016/j.enpol.2019.110882" TargetMode="External"/><Relationship Id="rId880" Type="http://schemas.openxmlformats.org/officeDocument/2006/relationships/hyperlink" Target="https://www.mdpi.com/1999-4907/7/10/237" TargetMode="External"/><Relationship Id="rId23" Type="http://schemas.openxmlformats.org/officeDocument/2006/relationships/hyperlink" Target="https://doi.org/10.14989/68482" TargetMode="External"/><Relationship Id="rId119" Type="http://schemas.openxmlformats.org/officeDocument/2006/relationships/hyperlink" Target="https://www.sciencedirect.com/science/article/pii/S0921800919305191" TargetMode="External"/><Relationship Id="rId326" Type="http://schemas.openxmlformats.org/officeDocument/2006/relationships/hyperlink" Target="https://www.researchgate.net/publication/257015511_Agrobiodiversity_performance_in_contrasting_island_environments_The_case_of_shifting_cultivation_in_Vanuatu_Pacific" TargetMode="External"/><Relationship Id="rId533" Type="http://schemas.openxmlformats.org/officeDocument/2006/relationships/hyperlink" Target="http://www.jstor.com/stable/41236635" TargetMode="External"/><Relationship Id="rId978" Type="http://schemas.openxmlformats.org/officeDocument/2006/relationships/hyperlink" Target="https://core.ac.uk/download/pdf/190559436.pdf" TargetMode="External"/><Relationship Id="rId740" Type="http://schemas.openxmlformats.org/officeDocument/2006/relationships/hyperlink" Target="https://www.witpress.com/elibrary/wit-transactions-on-ecology-and-the-environment/137/21150" TargetMode="External"/><Relationship Id="rId838" Type="http://schemas.openxmlformats.org/officeDocument/2006/relationships/hyperlink" Target="https://www.mdpi.com/1999-4907/7/10/237" TargetMode="External"/><Relationship Id="rId1023" Type="http://schemas.openxmlformats.org/officeDocument/2006/relationships/hyperlink" Target="https://www.tandfonline.com/doi/full/10.1080/10962247.2016.1268982" TargetMode="External"/><Relationship Id="rId172" Type="http://schemas.openxmlformats.org/officeDocument/2006/relationships/hyperlink" Target="http://www.ecologyandsociety.org/vol13/iss2/art2/" TargetMode="External"/><Relationship Id="rId477" Type="http://schemas.openxmlformats.org/officeDocument/2006/relationships/hyperlink" Target="https://www.jstor.org/stable/43123720" TargetMode="External"/><Relationship Id="rId600" Type="http://schemas.openxmlformats.org/officeDocument/2006/relationships/hyperlink" Target="http://dx.doi.org/10.1016/j.grj.2016.12.003" TargetMode="External"/><Relationship Id="rId684" Type="http://schemas.openxmlformats.org/officeDocument/2006/relationships/hyperlink" Target="http://doi.org/10.1890/120356" TargetMode="External"/><Relationship Id="rId337"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891" Type="http://schemas.openxmlformats.org/officeDocument/2006/relationships/hyperlink" Target="https://www.mdpi.com/1999-4907/7/10/237" TargetMode="External"/><Relationship Id="rId905" Type="http://schemas.openxmlformats.org/officeDocument/2006/relationships/hyperlink" Target="https://www.tandfonline.com/doi/abs/10.2989/10220110509485865" TargetMode="External"/><Relationship Id="rId989" Type="http://schemas.openxmlformats.org/officeDocument/2006/relationships/hyperlink" Target="https://insidecostarica.com/dailynews/2011/april/11/costarica11041103.htm" TargetMode="External"/><Relationship Id="rId34" Type="http://schemas.openxmlformats.org/officeDocument/2006/relationships/hyperlink" Target="https://doi.org/10.14989/68482" TargetMode="External"/><Relationship Id="rId544" Type="http://schemas.openxmlformats.org/officeDocument/2006/relationships/hyperlink" Target="https://onlinelibrary.wiley.com/doi/abs/10.1111/sjtg.12319" TargetMode="External"/><Relationship Id="rId751" Type="http://schemas.openxmlformats.org/officeDocument/2006/relationships/hyperlink" Target="https://www.sciencedirect.com/science/article/pii/S0140196313001821?via%3Dihub" TargetMode="External"/><Relationship Id="rId849" Type="http://schemas.openxmlformats.org/officeDocument/2006/relationships/hyperlink" Target="https://www.mdpi.com/1999-4907/7/10/237" TargetMode="External"/><Relationship Id="rId183" Type="http://schemas.openxmlformats.org/officeDocument/2006/relationships/hyperlink" Target="https://www.sciencedirect.com/science/article/pii/S0143622807000252" TargetMode="External"/><Relationship Id="rId390" Type="http://schemas.openxmlformats.org/officeDocument/2006/relationships/hyperlink" Target="https://link.springer.com/article/10.1023/A:1018753216660" TargetMode="External"/><Relationship Id="rId404" Type="http://schemas.openxmlformats.org/officeDocument/2006/relationships/hyperlink" Target="https://link.springer.com/article/10.1007%2Fs10668-014-9515-z" TargetMode="External"/><Relationship Id="rId611" Type="http://schemas.openxmlformats.org/officeDocument/2006/relationships/hyperlink" Target="http://dx.doi.org/10.1016/j.forpol.2017.01.001" TargetMode="External"/><Relationship Id="rId1034" Type="http://schemas.openxmlformats.org/officeDocument/2006/relationships/hyperlink" Target="https://acp.copernicus.org/preprints/6/9655/2006/acpd-6-9655-2006.pdf" TargetMode="External"/><Relationship Id="rId250" Type="http://schemas.openxmlformats.org/officeDocument/2006/relationships/hyperlink" Target="https://iopscience.iop.org/article/10.1088/2515-7620/ab056c" TargetMode="External"/><Relationship Id="rId488" Type="http://schemas.openxmlformats.org/officeDocument/2006/relationships/hyperlink" Target="https://onlinelibrary.wiley.com/doi/abs/10.1111/j.1365-2028.2008.01051.x" TargetMode="External"/><Relationship Id="rId695" Type="http://schemas.openxmlformats.org/officeDocument/2006/relationships/hyperlink" Target="https://www.ecologyandsociety.org/vol22/iss3/art23/" TargetMode="External"/><Relationship Id="rId709" Type="http://schemas.openxmlformats.org/officeDocument/2006/relationships/hyperlink" Target="https://doi.org/10.1007/s13280-017-0987-6" TargetMode="External"/><Relationship Id="rId916" Type="http://schemas.openxmlformats.org/officeDocument/2006/relationships/hyperlink" Target="https://link.springer.com/article/10.1134/S1875372818030046" TargetMode="External"/><Relationship Id="rId45" Type="http://schemas.openxmlformats.org/officeDocument/2006/relationships/hyperlink" Target="https://doi.org/10.14989/68482" TargetMode="External"/><Relationship Id="rId110" Type="http://schemas.openxmlformats.org/officeDocument/2006/relationships/hyperlink" Target="https://www.nature.com/articles/19066" TargetMode="External"/><Relationship Id="rId348" Type="http://schemas.openxmlformats.org/officeDocument/2006/relationships/hyperlink" Target="https://doi.org/10.1080/08941920.2012.713087" TargetMode="External"/><Relationship Id="rId555" Type="http://schemas.openxmlformats.org/officeDocument/2006/relationships/hyperlink" Target="https://doi.org/10.1016/j.foreco.2019.117517" TargetMode="External"/><Relationship Id="rId762" Type="http://schemas.openxmlformats.org/officeDocument/2006/relationships/hyperlink" Target="https://www.researchgate.net/publication/256645443_Grazing_Systems_and_Biodiversity_in_Mediterranean_Areas_Spain_Italy_and_Greece" TargetMode="External"/><Relationship Id="rId194" Type="http://schemas.openxmlformats.org/officeDocument/2006/relationships/hyperlink" Target="..\..\..\..\Downloads\A_socio-economic_analysis_of_rice_produc%20(1).pdf" TargetMode="External"/><Relationship Id="rId208" Type="http://schemas.openxmlformats.org/officeDocument/2006/relationships/hyperlink" Target="https://onlinelibrary.wiley.com/doi/full/10.1111/wre.12053" TargetMode="External"/><Relationship Id="rId415" Type="http://schemas.openxmlformats.org/officeDocument/2006/relationships/hyperlink" Target="https://esajournals.onlinelibrary.wiley.com/doi/abs/10.1890/1051-0761(2000)010%5B1318:TROMNP%5D2.0.CO%3B2" TargetMode="External"/><Relationship Id="rId622" Type="http://schemas.openxmlformats.org/officeDocument/2006/relationships/hyperlink" Target="https://doi.org/10.1080/08941929709381043" TargetMode="External"/><Relationship Id="rId1045" Type="http://schemas.openxmlformats.org/officeDocument/2006/relationships/hyperlink" Target="https://doi.org/10.1016/j.gloenvcha.2020.102096" TargetMode="External"/><Relationship Id="rId261" Type="http://schemas.openxmlformats.org/officeDocument/2006/relationships/hyperlink" Target="https://link.springer.com/book/10.1007%2F978-81-322-2014-5" TargetMode="External"/><Relationship Id="rId499" Type="http://schemas.openxmlformats.org/officeDocument/2006/relationships/hyperlink" Target="https://www.sciencedirect.com/science/article/pii/S0301479711004701?via%3Dihub" TargetMode="External"/><Relationship Id="rId927" Type="http://schemas.openxmlformats.org/officeDocument/2006/relationships/hyperlink" Target="https://link.springer.com/article/10.1007/s10745-013-9637-1" TargetMode="External"/><Relationship Id="rId56" Type="http://schemas.openxmlformats.org/officeDocument/2006/relationships/hyperlink" Target="https://papers.ssrn.com/sol3/papers.cfm?abstract_id=2408859" TargetMode="External"/><Relationship Id="rId359" Type="http://schemas.openxmlformats.org/officeDocument/2006/relationships/hyperlink" Target="https://link.springer.com/article/10.1007/s10745-007-9156-z" TargetMode="External"/><Relationship Id="rId566" Type="http://schemas.openxmlformats.org/officeDocument/2006/relationships/hyperlink" Target="https://ideas.repec.org/a/ags/afjare/258607.html" TargetMode="External"/><Relationship Id="rId773" Type="http://schemas.openxmlformats.org/officeDocument/2006/relationships/hyperlink" Target="https://www.researchgate.net/publication/256645443_Grazing_Systems_and_Biodiversity_in_Mediterranean_Areas_Spain_Italy_and_Greece" TargetMode="External"/><Relationship Id="rId121" Type="http://schemas.openxmlformats.org/officeDocument/2006/relationships/hyperlink" Target="https://www.sciencedirect.com/science/article/pii/S0921800919305191" TargetMode="External"/><Relationship Id="rId219" Type="http://schemas.openxmlformats.org/officeDocument/2006/relationships/hyperlink" Target="https://onlinelibrary.wiley.com/doi/abs/10.2307/1242114" TargetMode="External"/><Relationship Id="rId426" Type="http://schemas.openxmlformats.org/officeDocument/2006/relationships/hyperlink" Target="https://link.springer.com/article/10.1007/s40974-016-0050-7" TargetMode="External"/><Relationship Id="rId633" Type="http://schemas.openxmlformats.org/officeDocument/2006/relationships/hyperlink" Target="https://www.sciencedirect.com/science/article/pii/S0378112710006924" TargetMode="External"/><Relationship Id="rId980" Type="http://schemas.openxmlformats.org/officeDocument/2006/relationships/hyperlink" Target="https://www.mdpi.com/2072-4292/2/4/1057/htm" TargetMode="External"/><Relationship Id="rId1056" Type="http://schemas.openxmlformats.org/officeDocument/2006/relationships/hyperlink" Target="https://link.springer.com/content/pdf/10.1007/s13143-013-0015-0.pdf" TargetMode="External"/><Relationship Id="rId840" Type="http://schemas.openxmlformats.org/officeDocument/2006/relationships/hyperlink" Target="https://www.mdpi.com/1999-4907/7/10/237" TargetMode="External"/><Relationship Id="rId938" Type="http://schemas.openxmlformats.org/officeDocument/2006/relationships/hyperlink" Target="https://iforest.sisef.org/pdf/?id=ifor0521-003" TargetMode="External"/><Relationship Id="rId67" Type="http://schemas.openxmlformats.org/officeDocument/2006/relationships/hyperlink" Target="https://www.tandfonline.com/doi/full/10.1080/08941920.2013.820813" TargetMode="External"/><Relationship Id="rId272" Type="http://schemas.openxmlformats.org/officeDocument/2006/relationships/hyperlink" Target="https://link.springer.com/article/10.1007/s10457-011-9469-1" TargetMode="External"/><Relationship Id="rId577" Type="http://schemas.openxmlformats.org/officeDocument/2006/relationships/hyperlink" Target="https://doi.org/10.1016/j.ecolecon.2019.106359" TargetMode="External"/><Relationship Id="rId700" Type="http://schemas.openxmlformats.org/officeDocument/2006/relationships/hyperlink" Target="https://www.ecologyandsociety.org/vol22/iss3/art23/" TargetMode="External"/><Relationship Id="rId132" Type="http://schemas.openxmlformats.org/officeDocument/2006/relationships/hyperlink" Target="http://oar.icrisat.org/6779/1/EPW_33_39_A163-A168_1998.pdf" TargetMode="External"/><Relationship Id="rId784" Type="http://schemas.openxmlformats.org/officeDocument/2006/relationships/hyperlink" Target="https://www.researchgate.net/publication/256645443_Grazing_Systems_and_Biodiversity_in_Mediterranean_Areas_Spain_Italy_and_Greece" TargetMode="External"/><Relationship Id="rId991" Type="http://schemas.openxmlformats.org/officeDocument/2006/relationships/hyperlink" Target="https://ideas.repec.org/a/pje/journl/article29winv.html" TargetMode="External"/><Relationship Id="rId1067" Type="http://schemas.openxmlformats.org/officeDocument/2006/relationships/hyperlink" Target="https://linkinghub.elsevier.com/retrieve/pii/S0921818116302090" TargetMode="External"/><Relationship Id="rId437" Type="http://schemas.openxmlformats.org/officeDocument/2006/relationships/hyperlink" Target="https://www.sciencedirect.com/science/article/pii/S0167880911000405" TargetMode="External"/><Relationship Id="rId644" Type="http://schemas.openxmlformats.org/officeDocument/2006/relationships/hyperlink" Target="https://link.springer.com/article/10.1007/s10342-019-01179-1" TargetMode="External"/><Relationship Id="rId851" Type="http://schemas.openxmlformats.org/officeDocument/2006/relationships/hyperlink" Target="https://www.mdpi.com/1999-4907/7/10/237" TargetMode="External"/><Relationship Id="rId283" Type="http://schemas.openxmlformats.org/officeDocument/2006/relationships/hyperlink" Target="https://link.springer.com/article/10.1007/s10745-014-9672-6" TargetMode="External"/><Relationship Id="rId490" Type="http://schemas.openxmlformats.org/officeDocument/2006/relationships/hyperlink" Target="https://onlinelibrary.wiley.com/doi/abs/10.1111/j.1365-2486.2009.02030.x" TargetMode="External"/><Relationship Id="rId504" Type="http://schemas.openxmlformats.org/officeDocument/2006/relationships/hyperlink" Target="https://www.sciencedirect.com/science/article/pii/S0301479711004701?via%3Dihub" TargetMode="External"/><Relationship Id="rId711" Type="http://schemas.openxmlformats.org/officeDocument/2006/relationships/hyperlink" Target="https://link.springer.com/article/10.1023/A:1013130528470" TargetMode="External"/><Relationship Id="rId949" Type="http://schemas.openxmlformats.org/officeDocument/2006/relationships/hyperlink" Target="https://pdfs.semanticscholar.org/ad35/96c82623cf33cb44dda5d20f40837b915c92.pdf" TargetMode="External"/><Relationship Id="rId78" Type="http://schemas.openxmlformats.org/officeDocument/2006/relationships/hyperlink" Target="https://www.tandfonline.com/doi/full/10.1080/08941920.2013.820813" TargetMode="External"/><Relationship Id="rId143" Type="http://schemas.openxmlformats.org/officeDocument/2006/relationships/hyperlink" Target="https://science.sciencemag.org/content/292/5518/859.full" TargetMode="External"/><Relationship Id="rId350" Type="http://schemas.openxmlformats.org/officeDocument/2006/relationships/hyperlink" Target="https://www.tandfonline.com/doi/full/10.1080/17531055.2011.544550?casa_token=deQdRqNhUDUAAAAA%3AcIA_IpoUukibvbPIFZPjXgi4qx86MZnqq2oiWqP5MvE6AqU2B568Jgcsjt5iiGtnuzZr_rrzepDt" TargetMode="External"/><Relationship Id="rId588" Type="http://schemas.openxmlformats.org/officeDocument/2006/relationships/hyperlink" Target="https://journals.sagepub.com/doi/10.1177/2158244017705422" TargetMode="External"/><Relationship Id="rId795" Type="http://schemas.openxmlformats.org/officeDocument/2006/relationships/hyperlink" Target="https://www.researchgate.net/publication/256645443_Grazing_Systems_and_Biodiversity_in_Mediterranean_Areas_Spain_Italy_and_Greece" TargetMode="External"/><Relationship Id="rId809" Type="http://schemas.openxmlformats.org/officeDocument/2006/relationships/hyperlink" Target="https://www.researchgate.net/publication/311487251" TargetMode="External"/><Relationship Id="rId9" Type="http://schemas.openxmlformats.org/officeDocument/2006/relationships/hyperlink" Target="https://doi.org/10.14989/68482" TargetMode="External"/><Relationship Id="rId210" Type="http://schemas.openxmlformats.org/officeDocument/2006/relationships/hyperlink" Target="https://www.sciencedirect.com/science/article/pii/S092180099900066X" TargetMode="External"/><Relationship Id="rId448" Type="http://schemas.openxmlformats.org/officeDocument/2006/relationships/hyperlink" Target="../../../../Downloads/FireSyntheisisPaperMarch2012Draft.pdf" TargetMode="External"/><Relationship Id="rId655" Type="http://schemas.openxmlformats.org/officeDocument/2006/relationships/hyperlink" Target="http://www2.fire.uni-freiburg.de/sevilla-2007/contributions/doc/cd/SESIONES_TEMATICAS/ST2/Velez_SPAIN_DGB_ExpeEnglish.pdf" TargetMode="External"/><Relationship Id="rId862" Type="http://schemas.openxmlformats.org/officeDocument/2006/relationships/hyperlink" Target="https://www.mdpi.com/1999-4907/7/10/237" TargetMode="External"/><Relationship Id="rId1078" Type="http://schemas.openxmlformats.org/officeDocument/2006/relationships/hyperlink" Target="https://pdf.sciencedirectassets.com/272157/1-s2.0-S1389934113X00036/1-s2.0-S1389934112002742/main.pdf?X-Amz-Security-Token=IQoJb3JpZ2luX2VjEKr%2F%2F%2F%2F%2F%2F%2F%2F%2F%2FwEaCXVzLWVhc3QtMSJHMEUCIEuEsileWGYL7OeVPVrOpfkb1zIacJa%2Fhb98x9JZOINWAiEAxdqTvrd%2By4%2BvbI%2F636LUz%2FA45IeBP2jqFZ4g3VBZqZMqvQMIov%2F%2F%2F%2F%2F%2F%2F%2F%2F%2FARADGgwwNTkwMDM1NDY4NjUiDE9zxoc6PBggk1S%2BFyqRAwrDXHJFacedUUILk%2BrICC9nPdnUc8GILBWBj4vGTetRG3PIc93GMpnQnjknIQbZXON0Ywz1dr0B9ycQGv71n%2BIHB8irWqq4gzF4%2Fv49hd4YddZJQMI8OGaFV0oFGKNjjiQEUJFi%2BCTRY1kmqNZXQNL4FZ2YNRq7KcBD5amJ3cqHIe8gZY6YHJ%2F2FWwr8T5fJiblXqiKvxRPK68DAIZbeKpqpdzWKOToGsSA6f9RR5vjwbt%2FxAby4CL41hU4crMbY2t1oZaO3s%2BPfQzghq0Y6TswI4JE6SXn%2BLxOvdqjbdhZvGE8Djqam5GclK7knbP43DX%2B68BinPBOniWrUnMxQp%2BLtX2FZohv91hBF10V7W3MfcauTTuQDW%2FgIwhWWpuy77mLv2Cto89dpKmynh%2BnmOWp68W%2FJXH4%2Fqmh0Y59s6ZTMmLHzq%2BBLjwTtHhEhgXhMWHjRUpEE1c0lbDWFbP9Ri3qj%2FUS4zdf6z1qwilsPBgy1Q8cbvgQs0qUU0bPTJIfAKQ5ETyplB3yzStGwHXGtePJMLDowvoFOusBDUPmrg7rueK4zrqtjvfU0mOQciBKxz6WTC24sVpbBGPnM10aGotb2M7LTYWLZlVUG0AgJaXdbQFPbsEUTxBphEXXWMML4gGLDl3xuPtCzMmG6RaQAidDzBvWYCwlzCJ5dxJgAn%2Ba%2F5iG8V5s%2BcH8Hdl6uAtZx0vKO2392Um8Xn4eJMVxpczcca4ZdvaFv9BLiou24rayHmPocYLcmJXRzL3LWeuqU0QRH68QJq9bXxKm2PPW5LYUGKWth2umFTV1LP7ToGCr1HqNjS8dK9cos0HE4rUjl8yAaPc%2F95NDpzyUgheSScXwrn5KOw%3D%3D&amp;X-Amz-Algorithm=AWS4-HMAC-SHA256&amp;X-Amz-Date=20200903T102009Z&amp;X-Amz-SignedHeaders=host&amp;X-Amz-Expires=300&amp;X-Amz-Credential=ASIAQ3PHCVTY64YTIN4Y%2F20200903%2Fus-east-1%2Fs3%2Faws4_request&amp;X-Amz-Signature=cbf906e1911b074f6b3eaea09484630ef048eeb1307505a4b9c7ae6b23c2b458&amp;hash=97be49b61db445843648bf1418d04fb3555b15976728f25be1be155cd4d92cdc&amp;host=68042c943591013ac2b2430a89b270f6af2c76d8dfd086a07176afe7c76c2c61&amp;pii=S1389934112002742&amp;tid=spdf-4998daea-051e-4f3f-98a0-650b607f6cfd&amp;sid=fcb84c98621a3640d118060159634603e565gxrqb&amp;type=client" TargetMode="External"/><Relationship Id="rId294" Type="http://schemas.openxmlformats.org/officeDocument/2006/relationships/hyperlink" Target="https://rgs-ibg.onlinelibrary.wiley.com/doi/abs/10.1111/j.1475-4959.2011.00447.x" TargetMode="External"/><Relationship Id="rId308" Type="http://schemas.openxmlformats.org/officeDocument/2006/relationships/hyperlink" Target="https://link.springer.com/article/10.1007/s10745-016-9878-x" TargetMode="External"/><Relationship Id="rId515" Type="http://schemas.openxmlformats.org/officeDocument/2006/relationships/hyperlink" Target="https://www.sciencedirect.com/science/article/pii/S0301479711004701?via%3Dihub" TargetMode="External"/><Relationship Id="rId722" Type="http://schemas.openxmlformats.org/officeDocument/2006/relationships/hyperlink" Target="https://www.sciencedirect.com/science/article/pii/S0301479799903353" TargetMode="External"/><Relationship Id="rId89" Type="http://schemas.openxmlformats.org/officeDocument/2006/relationships/hyperlink" Target="https://www.tandfonline.com/doi/full/10.1080/08941920.2013.820813" TargetMode="External"/><Relationship Id="rId154" Type="http://schemas.openxmlformats.org/officeDocument/2006/relationships/hyperlink" Target="https://link.springer.com/article/10.1007/s10745-009-9240-7" TargetMode="External"/><Relationship Id="rId361" Type="http://schemas.openxmlformats.org/officeDocument/2006/relationships/hyperlink" Target="https://onlinelibrary.wiley.com/doi/abs/10.1111/j.1365-2028.2007.00832.x" TargetMode="External"/><Relationship Id="rId599" Type="http://schemas.openxmlformats.org/officeDocument/2006/relationships/hyperlink" Target="https://www.mdpi.com/1999-4907/9/8/481" TargetMode="External"/><Relationship Id="rId1005"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459" Type="http://schemas.openxmlformats.org/officeDocument/2006/relationships/hyperlink" Target="https://onlinelibrary.wiley.com/doi/full/10.1111/j.1365-2699.2004.01062.x" TargetMode="External"/><Relationship Id="rId666" Type="http://schemas.openxmlformats.org/officeDocument/2006/relationships/hyperlink" Target="https://cgspace.cgiar.org/bitstream/handle/10568/219/SLP_ResRep_11.pdf?sequence=1&amp;isAllowed=y" TargetMode="External"/><Relationship Id="rId873" Type="http://schemas.openxmlformats.org/officeDocument/2006/relationships/hyperlink" Target="https://www.mdpi.com/1999-4907/7/10/237" TargetMode="External"/><Relationship Id="rId16" Type="http://schemas.openxmlformats.org/officeDocument/2006/relationships/hyperlink" Target="https://doi.org/10.14989/68482" TargetMode="External"/><Relationship Id="rId221" Type="http://schemas.openxmlformats.org/officeDocument/2006/relationships/hyperlink" Target="https://onlinelibrary.wiley.com/doi/abs/10.2307/1242114" TargetMode="External"/><Relationship Id="rId319" Type="http://schemas.openxmlformats.org/officeDocument/2006/relationships/hyperlink" Target="https://link.springer.com/content/pdf/10.1023/A:1026487730947.pdf" TargetMode="External"/><Relationship Id="rId526" Type="http://schemas.openxmlformats.org/officeDocument/2006/relationships/hyperlink" Target="https://www.researchgate.net/publication/226346960" TargetMode="External"/><Relationship Id="rId733" Type="http://schemas.openxmlformats.org/officeDocument/2006/relationships/hyperlink" Target="https://www.sciencedirect.com/science/article/pii/S0301479799903353" TargetMode="External"/><Relationship Id="rId940" Type="http://schemas.openxmlformats.org/officeDocument/2006/relationships/hyperlink" Target="https://iforest.sisef.org/pdf/?id=ifor0521-003" TargetMode="External"/><Relationship Id="rId1016" Type="http://schemas.openxmlformats.org/officeDocument/2006/relationships/hyperlink" Target="https://pubmed.ncbi.nlm.nih.gov/19201513/" TargetMode="External"/><Relationship Id="rId165" Type="http://schemas.openxmlformats.org/officeDocument/2006/relationships/hyperlink" Target="https://onlinelibrary.wiley.com/doi/abs/10.1002/ldr.756" TargetMode="External"/><Relationship Id="rId372" Type="http://schemas.openxmlformats.org/officeDocument/2006/relationships/hyperlink" Target="https://www.mdpi.com/2076-3298/2/1/1" TargetMode="External"/><Relationship Id="rId677" Type="http://schemas.openxmlformats.org/officeDocument/2006/relationships/hyperlink" Target="https://doi.org/10.1016/j.fcr.2015.10.007" TargetMode="External"/><Relationship Id="rId800" Type="http://schemas.openxmlformats.org/officeDocument/2006/relationships/hyperlink" Target="https://www.researchgate.net/publication/311487251" TargetMode="External"/><Relationship Id="rId232" Type="http://schemas.openxmlformats.org/officeDocument/2006/relationships/hyperlink" Target="https://link.springer.com/article/10.1007/s10745-012-9537-9" TargetMode="External"/><Relationship Id="rId884" Type="http://schemas.openxmlformats.org/officeDocument/2006/relationships/hyperlink" Target="https://www.mdpi.com/1999-4907/7/10/237" TargetMode="External"/><Relationship Id="rId27" Type="http://schemas.openxmlformats.org/officeDocument/2006/relationships/hyperlink" Target="https://doi.org/10.14989/68482" TargetMode="External"/><Relationship Id="rId537" Type="http://schemas.openxmlformats.org/officeDocument/2006/relationships/hyperlink" Target="https://doi.org/10.1007/s10745-019-0056-9" TargetMode="External"/><Relationship Id="rId744" Type="http://schemas.openxmlformats.org/officeDocument/2006/relationships/hyperlink" Target="https://www.witpress.com/elibrary/wit-transactions-on-ecology-and-the-environment/137/21150" TargetMode="External"/><Relationship Id="rId951" Type="http://schemas.openxmlformats.org/officeDocument/2006/relationships/hyperlink" Target="https://pdfs.semanticscholar.org/ad35/96c82623cf33cb44dda5d20f40837b915c92.pdf" TargetMode="External"/><Relationship Id="rId80" Type="http://schemas.openxmlformats.org/officeDocument/2006/relationships/hyperlink" Target="https://www.tandfonline.com/doi/full/10.1080/08941920.2013.820813" TargetMode="External"/><Relationship Id="rId176" Type="http://schemas.openxmlformats.org/officeDocument/2006/relationships/hyperlink" Target="http://www.ibiologia.unam.mx/gela/Tere.pdf" TargetMode="External"/><Relationship Id="rId383" Type="http://schemas.openxmlformats.org/officeDocument/2006/relationships/hyperlink" Target="https://www.researchgate.net/publication/246576805_Understanding_the_causes_socio-economic_and_environmental_impacts_and_management_of_veld_fires_in_tropical_Zimbabwe" TargetMode="External"/><Relationship Id="rId590" Type="http://schemas.openxmlformats.org/officeDocument/2006/relationships/hyperlink" Target="https://www.mendeley.com/catalogue/8a778ab6-cfbd-3258-911a-89e248136cc9/" TargetMode="External"/><Relationship Id="rId604" Type="http://schemas.openxmlformats.org/officeDocument/2006/relationships/hyperlink" Target="https://www.researchgate.net/publication/319522477" TargetMode="External"/><Relationship Id="rId811" Type="http://schemas.openxmlformats.org/officeDocument/2006/relationships/hyperlink" Target="https://www.researchgate.net/publication/311487251" TargetMode="External"/><Relationship Id="rId1027"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243" Type="http://schemas.openxmlformats.org/officeDocument/2006/relationships/hyperlink" Target="https://www.sciencedirect.com/science/article/pii/S025462991531053X" TargetMode="External"/><Relationship Id="rId450" Type="http://schemas.openxmlformats.org/officeDocument/2006/relationships/hyperlink" Target="../../../../Downloads/FireSyntheisisPaperMarch2012Draft.pdf" TargetMode="External"/><Relationship Id="rId688" Type="http://schemas.openxmlformats.org/officeDocument/2006/relationships/hyperlink" Target="http://fmc.online/wp-content/uploads/15-IFFN-36-Mongolia-1-1.pdf" TargetMode="External"/><Relationship Id="rId895" Type="http://schemas.openxmlformats.org/officeDocument/2006/relationships/hyperlink" Target="https://www.mdpi.com/1999-4907/7/10/237" TargetMode="External"/><Relationship Id="rId909"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080" Type="http://schemas.openxmlformats.org/officeDocument/2006/relationships/hyperlink" Target="https://link.springer.com/content/pdf/10.1007/s13280-018-1084-1.pdf" TargetMode="External"/><Relationship Id="rId38" Type="http://schemas.openxmlformats.org/officeDocument/2006/relationships/hyperlink" Target="https://doi.org/10.14989/68482" TargetMode="External"/><Relationship Id="rId103" Type="http://schemas.openxmlformats.org/officeDocument/2006/relationships/hyperlink" Target="https://www.tandfonline.com/doi/full/10.1080/08941920.2013.820813" TargetMode="External"/><Relationship Id="rId310" Type="http://schemas.openxmlformats.org/officeDocument/2006/relationships/hyperlink" Target="https://onlinelibrary.wiley.com/doi/abs/10.1002/ldr.641" TargetMode="External"/><Relationship Id="rId548" Type="http://schemas.openxmlformats.org/officeDocument/2006/relationships/hyperlink" Target="http://gfmc.online/wp-content/uploads/06-IFFN-34-Nepal-2-3.pdf" TargetMode="External"/><Relationship Id="rId755" Type="http://schemas.openxmlformats.org/officeDocument/2006/relationships/hyperlink" Target="https://linkinghub.elsevier.com/retrieve/pii/S0048969717324695" TargetMode="External"/><Relationship Id="rId962" Type="http://schemas.openxmlformats.org/officeDocument/2006/relationships/hyperlink" Target="https://academic.oup.com/jof/article/108/2/71/4599394" TargetMode="External"/><Relationship Id="rId91" Type="http://schemas.openxmlformats.org/officeDocument/2006/relationships/hyperlink" Target="https://www.tandfonline.com/doi/full/10.1080/08941920.2013.820813" TargetMode="External"/><Relationship Id="rId187" Type="http://schemas.openxmlformats.org/officeDocument/2006/relationships/hyperlink" Target="https://www.jstor.org/stable/i25765194" TargetMode="External"/><Relationship Id="rId394" Type="http://schemas.openxmlformats.org/officeDocument/2006/relationships/hyperlink" Target="https://www.sciencedirect.com/science/article/abs/pii/S0140196315300124?via%3Dihub" TargetMode="External"/><Relationship Id="rId408" Type="http://schemas.openxmlformats.org/officeDocument/2006/relationships/hyperlink" Target="https://www.jstor.org/stable/pdf/26188765.pdf" TargetMode="External"/><Relationship Id="rId615" Type="http://schemas.openxmlformats.org/officeDocument/2006/relationships/hyperlink" Target="https://www.pnas.org/content/pnas/109/26/10287.full.pdf" TargetMode="External"/><Relationship Id="rId822" Type="http://schemas.openxmlformats.org/officeDocument/2006/relationships/hyperlink" Target="https://www.researchgate.net/publication/311487251" TargetMode="External"/><Relationship Id="rId1038" Type="http://schemas.openxmlformats.org/officeDocument/2006/relationships/hyperlink" Target="https://linkinghub.elsevier.com/retrieve/pii/S2211464514000839" TargetMode="External"/><Relationship Id="rId254" Type="http://schemas.openxmlformats.org/officeDocument/2006/relationships/hyperlink" Target="https://www.sciencedirect.com/science/article/pii/S0264837716300060?via%3Dihub" TargetMode="External"/><Relationship Id="rId699" Type="http://schemas.openxmlformats.org/officeDocument/2006/relationships/hyperlink" Target="https://www.ecologyandsociety.org/vol22/iss3/art23/" TargetMode="External"/><Relationship Id="rId49" Type="http://schemas.openxmlformats.org/officeDocument/2006/relationships/hyperlink" Target="https://doi.org/10.14989/68482" TargetMode="External"/><Relationship Id="rId114" Type="http://schemas.openxmlformats.org/officeDocument/2006/relationships/hyperlink" Target="https://www.sciencedirect.com/science/article/pii/S0921800919305191" TargetMode="External"/><Relationship Id="rId461" Type="http://schemas.openxmlformats.org/officeDocument/2006/relationships/hyperlink" Target="https://pubmed.ncbi.nlm.nih.gov/20561002/" TargetMode="External"/><Relationship Id="rId559" Type="http://schemas.openxmlformats.org/officeDocument/2006/relationships/hyperlink" Target="https://www.sciencedirect.com/science/article/pii/S0143622820300667" TargetMode="External"/><Relationship Id="rId766" Type="http://schemas.openxmlformats.org/officeDocument/2006/relationships/hyperlink" Target="https://www.researchgate.net/publication/256645443_Grazing_Systems_and_Biodiversity_in_Mediterranean_Areas_Spain_Italy_and_Greece" TargetMode="External"/><Relationship Id="rId198" Type="http://schemas.openxmlformats.org/officeDocument/2006/relationships/hyperlink" Target="https://core.ac.uk/download/pdf/39187926.pdf" TargetMode="External"/><Relationship Id="rId321" Type="http://schemas.openxmlformats.org/officeDocument/2006/relationships/hyperlink" Target="https://www.sciencedirect.com/science/article/pii/S0167880906001551?via%3Dihub" TargetMode="External"/><Relationship Id="rId419" Type="http://schemas.openxmlformats.org/officeDocument/2006/relationships/hyperlink" Target="https://pastoralismjournal.springeropen.com/articles/10.1186/2041-7136-1-24" TargetMode="External"/><Relationship Id="rId626" Type="http://schemas.openxmlformats.org/officeDocument/2006/relationships/hyperlink" Target="https://onlinelibrary.wiley.com/doi/abs/10.1111/0004-5608.00184" TargetMode="External"/><Relationship Id="rId973"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049" Type="http://schemas.openxmlformats.org/officeDocument/2006/relationships/hyperlink" Target="https://www.sciencedirect.com/science/article/abs/pii/S0264837718305210?via%3Dihub" TargetMode="External"/><Relationship Id="rId833" Type="http://schemas.openxmlformats.org/officeDocument/2006/relationships/hyperlink" Target="https://www.mdpi.com/1999-4907/7/10/237" TargetMode="External"/><Relationship Id="rId265" Type="http://schemas.openxmlformats.org/officeDocument/2006/relationships/hyperlink" Target="https://www.press.uchicago.edu/ucp/books/book/chicago/I/bo3619725.html" TargetMode="External"/><Relationship Id="rId472" Type="http://schemas.openxmlformats.org/officeDocument/2006/relationships/hyperlink" Target="https://cals.arizona.edu/oals/ALN/aln55/trollope.html" TargetMode="External"/><Relationship Id="rId900" Type="http://schemas.openxmlformats.org/officeDocument/2006/relationships/hyperlink" Target="https://www.researchgate.net/publication/263580675" TargetMode="External"/><Relationship Id="rId125" Type="http://schemas.openxmlformats.org/officeDocument/2006/relationships/hyperlink" Target="http://oar.icrisat.org/6779/1/EPW_33_39_A163-A168_1998.pdf" TargetMode="External"/><Relationship Id="rId332" Type="http://schemas.openxmlformats.org/officeDocument/2006/relationships/hyperlink" Target="https://www.tandfonline.com/doi/full/10.1080/21513732.2016.1169559" TargetMode="External"/><Relationship Id="rId777" Type="http://schemas.openxmlformats.org/officeDocument/2006/relationships/hyperlink" Target="https://www.researchgate.net/publication/256645443_Grazing_Systems_and_Biodiversity_in_Mediterranean_Areas_Spain_Italy_and_Greece" TargetMode="External"/><Relationship Id="rId984"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637" Type="http://schemas.openxmlformats.org/officeDocument/2006/relationships/hyperlink" Target="https://www.sciencedirect.com/science/article/pii/S0378112710006924" TargetMode="External"/><Relationship Id="rId844" Type="http://schemas.openxmlformats.org/officeDocument/2006/relationships/hyperlink" Target="https://www.mdpi.com/1999-4907/7/10/237" TargetMode="External"/><Relationship Id="rId276" Type="http://schemas.openxmlformats.org/officeDocument/2006/relationships/hyperlink" Target="https://www.mdpi.com/2073-445X/9/1/23" TargetMode="External"/><Relationship Id="rId483" Type="http://schemas.openxmlformats.org/officeDocument/2006/relationships/hyperlink" Target="http://dx.doi.org/10.1080/1747423X.2011.565372" TargetMode="External"/><Relationship Id="rId690" Type="http://schemas.openxmlformats.org/officeDocument/2006/relationships/hyperlink" Target="https://lpfw.org/wp-content/uploads/2018/01/2011_Syphard-Keeley-and-Brennan_Role-of-Fule-Breaks.pdf" TargetMode="External"/><Relationship Id="rId704" Type="http://schemas.openxmlformats.org/officeDocument/2006/relationships/hyperlink" Target="https://www.ecologyandsociety.org/vol22/iss3/art23/" TargetMode="External"/><Relationship Id="rId911"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40" Type="http://schemas.openxmlformats.org/officeDocument/2006/relationships/hyperlink" Target="https://doi.org/10.14989/68482" TargetMode="External"/><Relationship Id="rId136" Type="http://schemas.openxmlformats.org/officeDocument/2006/relationships/hyperlink" Target="https://www.cabi.org/bookshop/book/9781786391797/" TargetMode="External"/><Relationship Id="rId34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0" Type="http://schemas.openxmlformats.org/officeDocument/2006/relationships/hyperlink" Target="https://doi.org/10.1016/j.forpol.2019.101956" TargetMode="External"/><Relationship Id="rId788" Type="http://schemas.openxmlformats.org/officeDocument/2006/relationships/hyperlink" Target="https://www.researchgate.net/publication/256645443_Grazing_Systems_and_Biodiversity_in_Mediterranean_Areas_Spain_Italy_and_Greece" TargetMode="External"/><Relationship Id="rId995" Type="http://schemas.openxmlformats.org/officeDocument/2006/relationships/hyperlink" Target="https://www.ajol.info/index.php/sajae/article/view/76886"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agriculture.gov.au/abares/forestsaustralia/profiles/eucalypt-2016" TargetMode="External"/><Relationship Id="rId1" Type="http://schemas.openxmlformats.org/officeDocument/2006/relationships/hyperlink" Target="https://www.mdpi.com/2071-1050/10/1/123/ht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06D87-AC0D-4BE4-9C13-9486D894B213}">
  <dimension ref="A1:U1462"/>
  <sheetViews>
    <sheetView tabSelected="1" topLeftCell="E1" zoomScale="55" zoomScaleNormal="55" workbookViewId="0">
      <pane ySplit="1" topLeftCell="A1454" activePane="bottomLeft" state="frozen"/>
      <selection activeCell="I1" sqref="I1"/>
      <selection pane="bottomLeft" activeCell="B1470" sqref="B1470"/>
    </sheetView>
  </sheetViews>
  <sheetFormatPr defaultRowHeight="14.5"/>
  <cols>
    <col min="1" max="1" width="14.26953125" customWidth="1"/>
    <col min="2" max="2" width="23.81640625" customWidth="1"/>
    <col min="3" max="4" width="20.26953125" customWidth="1"/>
    <col min="5" max="5" width="35.36328125" customWidth="1"/>
    <col min="6" max="6" width="31.08984375" customWidth="1"/>
    <col min="7" max="7" width="29.7265625" customWidth="1"/>
    <col min="8" max="8" width="21.81640625" customWidth="1"/>
    <col min="9" max="9" width="17.7265625" style="14" customWidth="1"/>
    <col min="10" max="11" width="16.453125" style="14" customWidth="1"/>
    <col min="12" max="13" width="20.90625" customWidth="1"/>
    <col min="14" max="14" width="26.26953125" customWidth="1"/>
    <col min="15" max="16" width="25.54296875" customWidth="1"/>
    <col min="17" max="17" width="40.08984375" customWidth="1"/>
    <col min="18" max="18" width="19.08984375" customWidth="1"/>
    <col min="19" max="19" width="21.453125" customWidth="1"/>
    <col min="20" max="20" width="24.90625" customWidth="1"/>
    <col min="21" max="21" width="25.6328125" customWidth="1"/>
    <col min="22" max="22" width="22.36328125" customWidth="1"/>
    <col min="23" max="23" width="18.54296875" customWidth="1"/>
    <col min="24" max="24" width="19.08984375" customWidth="1"/>
  </cols>
  <sheetData>
    <row r="1" spans="1:21" ht="43.5" customHeight="1" thickBot="1">
      <c r="A1" s="69" t="s">
        <v>2263</v>
      </c>
      <c r="B1" s="15" t="s">
        <v>3</v>
      </c>
      <c r="C1" s="15" t="s">
        <v>2264</v>
      </c>
      <c r="D1" s="15" t="s">
        <v>97</v>
      </c>
      <c r="E1" s="15" t="s">
        <v>2353</v>
      </c>
      <c r="F1" s="15" t="s">
        <v>4</v>
      </c>
      <c r="G1" s="15" t="s">
        <v>440</v>
      </c>
      <c r="H1" s="15" t="s">
        <v>59</v>
      </c>
      <c r="I1" s="71" t="s">
        <v>5</v>
      </c>
      <c r="J1" s="71" t="s">
        <v>6</v>
      </c>
      <c r="K1" s="71" t="s">
        <v>2436</v>
      </c>
      <c r="L1" s="15" t="s">
        <v>153</v>
      </c>
      <c r="M1" s="15" t="s">
        <v>931</v>
      </c>
      <c r="N1" s="15" t="s">
        <v>182</v>
      </c>
      <c r="O1" s="27" t="s">
        <v>66</v>
      </c>
      <c r="P1" s="27" t="s">
        <v>5186</v>
      </c>
      <c r="Q1" s="68" t="s">
        <v>0</v>
      </c>
    </row>
    <row r="2" spans="1:21">
      <c r="A2" s="70">
        <v>1</v>
      </c>
      <c r="B2" s="7" t="s">
        <v>11</v>
      </c>
      <c r="C2" s="5" t="s">
        <v>15</v>
      </c>
      <c r="D2" s="5" t="s">
        <v>2398</v>
      </c>
      <c r="E2" s="42" t="s">
        <v>2399</v>
      </c>
      <c r="F2" s="5" t="s">
        <v>57</v>
      </c>
      <c r="G2" s="78" t="s">
        <v>2276</v>
      </c>
      <c r="H2" s="5" t="s">
        <v>58</v>
      </c>
      <c r="I2" s="25">
        <v>-20.100000000000001</v>
      </c>
      <c r="J2" s="25">
        <v>46.89</v>
      </c>
      <c r="K2" s="25">
        <v>18</v>
      </c>
      <c r="L2" s="5">
        <v>1998</v>
      </c>
      <c r="M2" s="5">
        <v>1998</v>
      </c>
      <c r="N2" s="5">
        <v>97</v>
      </c>
      <c r="O2" s="5" t="s">
        <v>67</v>
      </c>
      <c r="P2" s="5" t="s">
        <v>5187</v>
      </c>
      <c r="Q2" s="5"/>
    </row>
    <row r="3" spans="1:21">
      <c r="A3" s="31">
        <v>1</v>
      </c>
      <c r="B3" s="40" t="s">
        <v>11</v>
      </c>
      <c r="C3" s="3" t="s">
        <v>16</v>
      </c>
      <c r="D3" s="5" t="s">
        <v>2398</v>
      </c>
      <c r="E3" s="42" t="s">
        <v>2399</v>
      </c>
      <c r="F3" s="3" t="s">
        <v>20</v>
      </c>
      <c r="G3" s="44" t="s">
        <v>2276</v>
      </c>
      <c r="H3" s="3" t="s">
        <v>58</v>
      </c>
      <c r="I3" s="21">
        <v>-18.61</v>
      </c>
      <c r="J3" s="21">
        <v>45.83</v>
      </c>
      <c r="K3" s="21" t="s">
        <v>2276</v>
      </c>
      <c r="L3" s="3">
        <v>1998</v>
      </c>
      <c r="M3" s="3">
        <v>1998</v>
      </c>
      <c r="N3" s="3">
        <v>20</v>
      </c>
      <c r="O3" s="3" t="s">
        <v>67</v>
      </c>
      <c r="P3" s="5" t="s">
        <v>5187</v>
      </c>
      <c r="Q3" s="3"/>
    </row>
    <row r="4" spans="1:21">
      <c r="A4" s="31">
        <v>1</v>
      </c>
      <c r="B4" s="40" t="s">
        <v>11</v>
      </c>
      <c r="C4" s="3" t="s">
        <v>17</v>
      </c>
      <c r="D4" s="5" t="s">
        <v>2398</v>
      </c>
      <c r="E4" s="42" t="s">
        <v>2399</v>
      </c>
      <c r="F4" s="3" t="s">
        <v>21</v>
      </c>
      <c r="G4" s="44" t="s">
        <v>2276</v>
      </c>
      <c r="H4" s="3" t="s">
        <v>58</v>
      </c>
      <c r="I4" s="21">
        <v>-19.39</v>
      </c>
      <c r="J4" s="21">
        <v>47.04</v>
      </c>
      <c r="K4" s="21" t="s">
        <v>2276</v>
      </c>
      <c r="L4" s="3">
        <v>1998</v>
      </c>
      <c r="M4" s="3">
        <v>1998</v>
      </c>
      <c r="N4" s="3">
        <v>116</v>
      </c>
      <c r="O4" s="3" t="s">
        <v>67</v>
      </c>
      <c r="P4" s="5" t="s">
        <v>5187</v>
      </c>
      <c r="Q4" s="3"/>
    </row>
    <row r="5" spans="1:21">
      <c r="A5" s="31">
        <v>1</v>
      </c>
      <c r="B5" s="40" t="s">
        <v>11</v>
      </c>
      <c r="C5" s="3" t="s">
        <v>18</v>
      </c>
      <c r="D5" s="5" t="s">
        <v>2398</v>
      </c>
      <c r="E5" s="42" t="s">
        <v>2399</v>
      </c>
      <c r="F5" s="3" t="s">
        <v>22</v>
      </c>
      <c r="G5" s="44" t="s">
        <v>2276</v>
      </c>
      <c r="H5" s="3" t="s">
        <v>58</v>
      </c>
      <c r="I5" s="21">
        <v>-20.54</v>
      </c>
      <c r="J5" s="21">
        <v>46.65</v>
      </c>
      <c r="K5" s="21" t="s">
        <v>2276</v>
      </c>
      <c r="L5" s="3">
        <v>1998</v>
      </c>
      <c r="M5" s="3">
        <v>1998</v>
      </c>
      <c r="N5" s="3">
        <v>200</v>
      </c>
      <c r="O5" s="3" t="s">
        <v>67</v>
      </c>
      <c r="P5" s="5" t="s">
        <v>5187</v>
      </c>
      <c r="Q5" s="3"/>
    </row>
    <row r="6" spans="1:21">
      <c r="A6" s="31">
        <v>1</v>
      </c>
      <c r="B6" s="40" t="s">
        <v>11</v>
      </c>
      <c r="C6" s="3" t="s">
        <v>19</v>
      </c>
      <c r="D6" s="5" t="s">
        <v>2398</v>
      </c>
      <c r="E6" s="42" t="s">
        <v>2399</v>
      </c>
      <c r="F6" s="3" t="s">
        <v>23</v>
      </c>
      <c r="G6" s="44" t="s">
        <v>2276</v>
      </c>
      <c r="H6" s="3" t="s">
        <v>58</v>
      </c>
      <c r="I6" s="21">
        <v>-22.11</v>
      </c>
      <c r="J6" s="21">
        <v>46.9</v>
      </c>
      <c r="K6" s="21" t="s">
        <v>2276</v>
      </c>
      <c r="L6" s="3">
        <v>1998</v>
      </c>
      <c r="M6" s="3">
        <v>1998</v>
      </c>
      <c r="N6" s="3">
        <v>28</v>
      </c>
      <c r="O6" s="3" t="s">
        <v>67</v>
      </c>
      <c r="P6" s="5" t="s">
        <v>5187</v>
      </c>
      <c r="Q6" s="3"/>
    </row>
    <row r="7" spans="1:21" ht="16.5" customHeight="1">
      <c r="A7" s="96">
        <v>1</v>
      </c>
      <c r="B7" s="97" t="s">
        <v>11</v>
      </c>
      <c r="C7" s="98" t="s">
        <v>71</v>
      </c>
      <c r="D7" s="78" t="s">
        <v>2398</v>
      </c>
      <c r="E7" s="101" t="s">
        <v>2399</v>
      </c>
      <c r="F7" s="79" t="s">
        <v>79</v>
      </c>
      <c r="G7" s="79" t="s">
        <v>2276</v>
      </c>
      <c r="H7" s="98" t="s">
        <v>72</v>
      </c>
      <c r="I7" s="99" t="s">
        <v>2</v>
      </c>
      <c r="J7" s="99" t="s">
        <v>2</v>
      </c>
      <c r="K7" s="99" t="s">
        <v>2276</v>
      </c>
      <c r="L7" s="98">
        <v>1998</v>
      </c>
      <c r="M7" s="98">
        <v>1998</v>
      </c>
      <c r="N7" s="98" t="s">
        <v>2276</v>
      </c>
      <c r="O7" s="98" t="s">
        <v>67</v>
      </c>
      <c r="P7" s="5" t="s">
        <v>5187</v>
      </c>
      <c r="Q7" s="98"/>
      <c r="U7" s="14"/>
    </row>
    <row r="8" spans="1:21">
      <c r="A8" s="31">
        <v>2</v>
      </c>
      <c r="B8" s="40" t="s">
        <v>80</v>
      </c>
      <c r="C8" s="31" t="s">
        <v>81</v>
      </c>
      <c r="D8" s="31" t="s">
        <v>2398</v>
      </c>
      <c r="E8" s="28" t="s">
        <v>2400</v>
      </c>
      <c r="F8" s="3" t="s">
        <v>87</v>
      </c>
      <c r="G8" s="3" t="s">
        <v>87</v>
      </c>
      <c r="H8" s="3" t="s">
        <v>88</v>
      </c>
      <c r="I8" s="21">
        <v>30.7741833715288</v>
      </c>
      <c r="J8" s="21">
        <v>75.160195001733896</v>
      </c>
      <c r="K8" s="21" t="s">
        <v>2276</v>
      </c>
      <c r="L8" s="3">
        <v>2016</v>
      </c>
      <c r="M8" s="3">
        <v>2016</v>
      </c>
      <c r="N8" s="3" t="s">
        <v>2276</v>
      </c>
      <c r="O8" s="3" t="s">
        <v>67</v>
      </c>
      <c r="P8" s="5" t="s">
        <v>5187</v>
      </c>
      <c r="Q8" s="3" t="s">
        <v>2262</v>
      </c>
      <c r="U8" s="14"/>
    </row>
    <row r="9" spans="1:21">
      <c r="A9" s="31">
        <v>2</v>
      </c>
      <c r="B9" s="40" t="s">
        <v>80</v>
      </c>
      <c r="C9" s="31" t="s">
        <v>221</v>
      </c>
      <c r="D9" s="31" t="s">
        <v>2398</v>
      </c>
      <c r="E9" s="28" t="s">
        <v>2400</v>
      </c>
      <c r="F9" s="3" t="s">
        <v>191</v>
      </c>
      <c r="G9" s="3" t="s">
        <v>87</v>
      </c>
      <c r="H9" s="3" t="s">
        <v>88</v>
      </c>
      <c r="I9" s="21">
        <v>31.806079678960199</v>
      </c>
      <c r="J9" s="21">
        <v>74.857274427412904</v>
      </c>
      <c r="K9" s="21">
        <v>0.57692310000000002</v>
      </c>
      <c r="L9" s="3">
        <v>2016</v>
      </c>
      <c r="M9" s="3">
        <v>2016</v>
      </c>
      <c r="N9" s="3" t="s">
        <v>2276</v>
      </c>
      <c r="O9" s="3" t="s">
        <v>67</v>
      </c>
      <c r="P9" s="5" t="s">
        <v>5187</v>
      </c>
      <c r="Q9" s="3"/>
      <c r="U9" s="14"/>
    </row>
    <row r="10" spans="1:21">
      <c r="A10" s="31">
        <v>2</v>
      </c>
      <c r="B10" s="40" t="s">
        <v>80</v>
      </c>
      <c r="C10" s="31" t="s">
        <v>222</v>
      </c>
      <c r="D10" s="31" t="s">
        <v>2398</v>
      </c>
      <c r="E10" s="28" t="s">
        <v>2400</v>
      </c>
      <c r="F10" s="3" t="s">
        <v>192</v>
      </c>
      <c r="G10" s="3" t="s">
        <v>87</v>
      </c>
      <c r="H10" s="3" t="s">
        <v>88</v>
      </c>
      <c r="I10" s="21">
        <v>31.773750763335801</v>
      </c>
      <c r="J10" s="21">
        <v>74.825405747756193</v>
      </c>
      <c r="K10" s="21">
        <v>0.74291499999999999</v>
      </c>
      <c r="L10" s="3">
        <v>2016</v>
      </c>
      <c r="M10" s="3">
        <v>2016</v>
      </c>
      <c r="N10" s="3" t="s">
        <v>2276</v>
      </c>
      <c r="O10" s="3" t="s">
        <v>67</v>
      </c>
      <c r="P10" s="5" t="s">
        <v>5187</v>
      </c>
      <c r="Q10" s="3"/>
      <c r="U10" s="14"/>
    </row>
    <row r="11" spans="1:21">
      <c r="A11" s="31">
        <v>2</v>
      </c>
      <c r="B11" s="40" t="s">
        <v>80</v>
      </c>
      <c r="C11" s="31" t="s">
        <v>223</v>
      </c>
      <c r="D11" s="31" t="s">
        <v>2398</v>
      </c>
      <c r="E11" s="28" t="s">
        <v>2400</v>
      </c>
      <c r="F11" s="3" t="s">
        <v>193</v>
      </c>
      <c r="G11" s="3" t="s">
        <v>87</v>
      </c>
      <c r="H11" s="3" t="s">
        <v>88</v>
      </c>
      <c r="I11" s="21">
        <v>31.7706358661579</v>
      </c>
      <c r="J11" s="21">
        <v>75.010733646819205</v>
      </c>
      <c r="K11" s="21">
        <v>0.47823890000000002</v>
      </c>
      <c r="L11" s="3">
        <v>2016</v>
      </c>
      <c r="M11" s="3">
        <v>2016</v>
      </c>
      <c r="N11" s="3" t="s">
        <v>2276</v>
      </c>
      <c r="O11" s="3" t="s">
        <v>67</v>
      </c>
      <c r="P11" s="5" t="s">
        <v>5187</v>
      </c>
      <c r="Q11" s="3"/>
      <c r="U11" s="14"/>
    </row>
    <row r="12" spans="1:21">
      <c r="A12" s="31">
        <v>2</v>
      </c>
      <c r="B12" s="40" t="s">
        <v>80</v>
      </c>
      <c r="C12" s="31" t="s">
        <v>224</v>
      </c>
      <c r="D12" s="31" t="s">
        <v>2398</v>
      </c>
      <c r="E12" s="28" t="s">
        <v>2400</v>
      </c>
      <c r="F12" s="3" t="s">
        <v>194</v>
      </c>
      <c r="G12" s="3" t="s">
        <v>87</v>
      </c>
      <c r="H12" s="3" t="s">
        <v>88</v>
      </c>
      <c r="I12" s="21">
        <v>31.743130427735998</v>
      </c>
      <c r="J12" s="21">
        <v>75.085087608463198</v>
      </c>
      <c r="K12" s="21">
        <v>0.59979760000000004</v>
      </c>
      <c r="L12" s="3">
        <v>2016</v>
      </c>
      <c r="M12" s="3">
        <v>2016</v>
      </c>
      <c r="N12" s="3" t="s">
        <v>2276</v>
      </c>
      <c r="O12" s="3" t="s">
        <v>67</v>
      </c>
      <c r="P12" s="5" t="s">
        <v>5187</v>
      </c>
      <c r="Q12" s="3"/>
      <c r="U12" s="14"/>
    </row>
    <row r="13" spans="1:21">
      <c r="A13" s="31">
        <v>2</v>
      </c>
      <c r="B13" s="40" t="s">
        <v>80</v>
      </c>
      <c r="C13" s="31" t="s">
        <v>225</v>
      </c>
      <c r="D13" s="31" t="s">
        <v>2398</v>
      </c>
      <c r="E13" s="28" t="s">
        <v>2400</v>
      </c>
      <c r="F13" s="3" t="s">
        <v>195</v>
      </c>
      <c r="G13" s="3" t="s">
        <v>87</v>
      </c>
      <c r="H13" s="3" t="s">
        <v>88</v>
      </c>
      <c r="I13" s="21">
        <v>31.6895568868383</v>
      </c>
      <c r="J13" s="21">
        <v>74.946363875020296</v>
      </c>
      <c r="K13" s="21">
        <v>0.78643719999999995</v>
      </c>
      <c r="L13" s="3">
        <v>2016</v>
      </c>
      <c r="M13" s="3">
        <v>2016</v>
      </c>
      <c r="N13" s="3" t="s">
        <v>2276</v>
      </c>
      <c r="O13" s="3" t="s">
        <v>67</v>
      </c>
      <c r="P13" s="5" t="s">
        <v>5187</v>
      </c>
      <c r="Q13" s="3"/>
      <c r="U13" s="14"/>
    </row>
    <row r="14" spans="1:21">
      <c r="A14" s="31">
        <v>2</v>
      </c>
      <c r="B14" s="40" t="s">
        <v>80</v>
      </c>
      <c r="C14" s="31" t="s">
        <v>257</v>
      </c>
      <c r="D14" s="31" t="s">
        <v>2398</v>
      </c>
      <c r="E14" s="28" t="s">
        <v>2400</v>
      </c>
      <c r="F14" s="3" t="s">
        <v>196</v>
      </c>
      <c r="G14" s="3" t="s">
        <v>87</v>
      </c>
      <c r="H14" s="3" t="s">
        <v>88</v>
      </c>
      <c r="I14" s="21">
        <v>31.652058720007201</v>
      </c>
      <c r="J14" s="21">
        <v>75.016924434195204</v>
      </c>
      <c r="K14" s="21">
        <v>0.61336029999999997</v>
      </c>
      <c r="L14" s="3">
        <v>2016</v>
      </c>
      <c r="M14" s="3">
        <v>2016</v>
      </c>
      <c r="N14" s="3" t="s">
        <v>2276</v>
      </c>
      <c r="O14" s="3" t="s">
        <v>67</v>
      </c>
      <c r="P14" s="5" t="s">
        <v>5187</v>
      </c>
      <c r="Q14" s="3"/>
      <c r="U14" s="14"/>
    </row>
    <row r="15" spans="1:21">
      <c r="A15" s="31">
        <v>2</v>
      </c>
      <c r="B15" s="40" t="s">
        <v>80</v>
      </c>
      <c r="C15" s="31" t="s">
        <v>258</v>
      </c>
      <c r="D15" s="31" t="s">
        <v>2398</v>
      </c>
      <c r="E15" s="28" t="s">
        <v>2400</v>
      </c>
      <c r="F15" s="3" t="s">
        <v>197</v>
      </c>
      <c r="G15" s="3" t="s">
        <v>87</v>
      </c>
      <c r="H15" s="3" t="s">
        <v>88</v>
      </c>
      <c r="I15" s="21">
        <v>31.626553913577801</v>
      </c>
      <c r="J15" s="21">
        <v>74.970795330643099</v>
      </c>
      <c r="K15" s="21">
        <v>0.60576920000000001</v>
      </c>
      <c r="L15" s="3">
        <v>2016</v>
      </c>
      <c r="M15" s="3">
        <v>2016</v>
      </c>
      <c r="N15" s="3" t="s">
        <v>2276</v>
      </c>
      <c r="O15" s="3" t="s">
        <v>67</v>
      </c>
      <c r="P15" s="5" t="s">
        <v>5187</v>
      </c>
      <c r="Q15" s="3"/>
      <c r="U15" s="14"/>
    </row>
    <row r="16" spans="1:21">
      <c r="A16" s="31">
        <v>2</v>
      </c>
      <c r="B16" s="40" t="s">
        <v>80</v>
      </c>
      <c r="C16" s="31" t="s">
        <v>259</v>
      </c>
      <c r="D16" s="31" t="s">
        <v>2398</v>
      </c>
      <c r="E16" s="28" t="s">
        <v>2400</v>
      </c>
      <c r="F16" s="3" t="s">
        <v>198</v>
      </c>
      <c r="G16" s="3" t="s">
        <v>87</v>
      </c>
      <c r="H16" s="3" t="s">
        <v>88</v>
      </c>
      <c r="I16" s="21">
        <v>31.6139956753082</v>
      </c>
      <c r="J16" s="21">
        <v>75.114598950032502</v>
      </c>
      <c r="K16" s="21">
        <v>0.444332</v>
      </c>
      <c r="L16" s="3">
        <v>2016</v>
      </c>
      <c r="M16" s="3">
        <v>2016</v>
      </c>
      <c r="N16" s="3" t="s">
        <v>2276</v>
      </c>
      <c r="O16" s="3" t="s">
        <v>67</v>
      </c>
      <c r="P16" s="5" t="s">
        <v>5187</v>
      </c>
      <c r="Q16" s="3"/>
      <c r="U16" s="14"/>
    </row>
    <row r="17" spans="1:21">
      <c r="A17" s="31">
        <v>2</v>
      </c>
      <c r="B17" s="40" t="s">
        <v>80</v>
      </c>
      <c r="C17" s="31" t="s">
        <v>260</v>
      </c>
      <c r="D17" s="31" t="s">
        <v>2398</v>
      </c>
      <c r="E17" s="28" t="s">
        <v>2400</v>
      </c>
      <c r="F17" s="3" t="s">
        <v>199</v>
      </c>
      <c r="G17" s="3" t="s">
        <v>87</v>
      </c>
      <c r="H17" s="3" t="s">
        <v>88</v>
      </c>
      <c r="I17" s="21">
        <v>31.596091775009999</v>
      </c>
      <c r="J17" s="21">
        <v>75.026377738499207</v>
      </c>
      <c r="K17" s="21">
        <v>0.68502019999999997</v>
      </c>
      <c r="L17" s="3">
        <v>2016</v>
      </c>
      <c r="M17" s="3">
        <v>2016</v>
      </c>
      <c r="N17" s="3" t="s">
        <v>2276</v>
      </c>
      <c r="O17" s="3" t="s">
        <v>67</v>
      </c>
      <c r="P17" s="5" t="s">
        <v>5187</v>
      </c>
      <c r="Q17" s="3"/>
      <c r="U17" s="14"/>
    </row>
    <row r="18" spans="1:21">
      <c r="A18" s="31">
        <v>2</v>
      </c>
      <c r="B18" s="40" t="s">
        <v>80</v>
      </c>
      <c r="C18" s="31" t="s">
        <v>261</v>
      </c>
      <c r="D18" s="31" t="s">
        <v>2398</v>
      </c>
      <c r="E18" s="28" t="s">
        <v>2400</v>
      </c>
      <c r="F18" s="3" t="s">
        <v>200</v>
      </c>
      <c r="G18" s="3" t="s">
        <v>87</v>
      </c>
      <c r="H18" s="3" t="s">
        <v>88</v>
      </c>
      <c r="I18" s="21">
        <v>31.584350987828799</v>
      </c>
      <c r="J18" s="21">
        <v>75.105410372997198</v>
      </c>
      <c r="K18" s="21">
        <v>1.1295550000000001</v>
      </c>
      <c r="L18" s="3">
        <v>2016</v>
      </c>
      <c r="M18" s="3">
        <v>2016</v>
      </c>
      <c r="N18" s="3" t="s">
        <v>2276</v>
      </c>
      <c r="O18" s="3" t="s">
        <v>67</v>
      </c>
      <c r="P18" s="5" t="s">
        <v>5187</v>
      </c>
      <c r="Q18" s="3"/>
      <c r="U18" s="14"/>
    </row>
    <row r="19" spans="1:21">
      <c r="A19" s="31">
        <v>2</v>
      </c>
      <c r="B19" s="40" t="s">
        <v>80</v>
      </c>
      <c r="C19" s="31" t="s">
        <v>262</v>
      </c>
      <c r="D19" s="31" t="s">
        <v>2398</v>
      </c>
      <c r="E19" s="28" t="s">
        <v>2400</v>
      </c>
      <c r="F19" s="3" t="s">
        <v>201</v>
      </c>
      <c r="G19" s="3" t="s">
        <v>87</v>
      </c>
      <c r="H19" s="3" t="s">
        <v>88</v>
      </c>
      <c r="I19" s="21">
        <v>30.421134700887801</v>
      </c>
      <c r="J19" s="21">
        <v>74.661359121356199</v>
      </c>
      <c r="K19" s="21">
        <v>1.234818</v>
      </c>
      <c r="L19" s="3">
        <v>2016</v>
      </c>
      <c r="M19" s="3">
        <v>2016</v>
      </c>
      <c r="N19" s="3" t="s">
        <v>2276</v>
      </c>
      <c r="O19" s="3" t="s">
        <v>67</v>
      </c>
      <c r="P19" s="5" t="s">
        <v>5187</v>
      </c>
      <c r="Q19" s="3"/>
      <c r="U19" s="14"/>
    </row>
    <row r="20" spans="1:21">
      <c r="A20" s="31">
        <v>2</v>
      </c>
      <c r="B20" s="40" t="s">
        <v>80</v>
      </c>
      <c r="C20" s="31" t="s">
        <v>263</v>
      </c>
      <c r="D20" s="31" t="s">
        <v>2398</v>
      </c>
      <c r="E20" s="28" t="s">
        <v>2400</v>
      </c>
      <c r="F20" s="3" t="s">
        <v>202</v>
      </c>
      <c r="G20" s="3" t="s">
        <v>87</v>
      </c>
      <c r="H20" s="3" t="s">
        <v>88</v>
      </c>
      <c r="I20" s="21">
        <v>30.419580500828399</v>
      </c>
      <c r="J20" s="21">
        <v>75.971216213258501</v>
      </c>
      <c r="K20" s="21">
        <v>0.72874490000000003</v>
      </c>
      <c r="L20" s="3">
        <v>2016</v>
      </c>
      <c r="M20" s="3">
        <v>2016</v>
      </c>
      <c r="N20" s="3" t="s">
        <v>2276</v>
      </c>
      <c r="O20" s="3" t="s">
        <v>67</v>
      </c>
      <c r="P20" s="5" t="s">
        <v>5187</v>
      </c>
      <c r="Q20" s="3"/>
      <c r="U20" s="14"/>
    </row>
    <row r="21" spans="1:21">
      <c r="A21" s="31">
        <v>2</v>
      </c>
      <c r="B21" s="40" t="s">
        <v>80</v>
      </c>
      <c r="C21" s="31" t="s">
        <v>264</v>
      </c>
      <c r="D21" s="31" t="s">
        <v>2398</v>
      </c>
      <c r="E21" s="28" t="s">
        <v>2400</v>
      </c>
      <c r="F21" s="3" t="s">
        <v>203</v>
      </c>
      <c r="G21" s="3" t="s">
        <v>87</v>
      </c>
      <c r="H21" s="3" t="s">
        <v>88</v>
      </c>
      <c r="I21" s="21">
        <v>30.381901640579301</v>
      </c>
      <c r="J21" s="21">
        <v>75.767988647637907</v>
      </c>
      <c r="K21" s="21">
        <v>0.71255060000000003</v>
      </c>
      <c r="L21" s="3">
        <v>2016</v>
      </c>
      <c r="M21" s="3">
        <v>2016</v>
      </c>
      <c r="N21" s="3" t="s">
        <v>2276</v>
      </c>
      <c r="O21" s="3" t="s">
        <v>67</v>
      </c>
      <c r="P21" s="5" t="s">
        <v>5187</v>
      </c>
      <c r="Q21" s="3"/>
      <c r="U21" s="14"/>
    </row>
    <row r="22" spans="1:21">
      <c r="A22" s="31">
        <v>2</v>
      </c>
      <c r="B22" s="40" t="s">
        <v>80</v>
      </c>
      <c r="C22" s="31" t="s">
        <v>265</v>
      </c>
      <c r="D22" s="31" t="s">
        <v>2398</v>
      </c>
      <c r="E22" s="28" t="s">
        <v>2400</v>
      </c>
      <c r="F22" s="3" t="s">
        <v>204</v>
      </c>
      <c r="G22" s="3" t="s">
        <v>87</v>
      </c>
      <c r="H22" s="3" t="s">
        <v>88</v>
      </c>
      <c r="I22" s="21">
        <v>30.357994178233799</v>
      </c>
      <c r="J22" s="21">
        <v>74.817006318894499</v>
      </c>
      <c r="K22" s="21">
        <v>0.82995949999999996</v>
      </c>
      <c r="L22" s="3">
        <v>2016</v>
      </c>
      <c r="M22" s="3">
        <v>2016</v>
      </c>
      <c r="N22" s="3" t="s">
        <v>2276</v>
      </c>
      <c r="O22" s="3" t="s">
        <v>67</v>
      </c>
      <c r="P22" s="5" t="s">
        <v>5187</v>
      </c>
      <c r="Q22" s="3"/>
      <c r="U22" s="14"/>
    </row>
    <row r="23" spans="1:21">
      <c r="A23" s="31">
        <v>2</v>
      </c>
      <c r="B23" s="40" t="s">
        <v>80</v>
      </c>
      <c r="C23" s="31" t="s">
        <v>266</v>
      </c>
      <c r="D23" s="31" t="s">
        <v>2398</v>
      </c>
      <c r="E23" s="28" t="s">
        <v>2400</v>
      </c>
      <c r="F23" s="3" t="s">
        <v>205</v>
      </c>
      <c r="G23" s="3" t="s">
        <v>87</v>
      </c>
      <c r="H23" s="3" t="s">
        <v>88</v>
      </c>
      <c r="I23" s="21">
        <v>30.3480102934614</v>
      </c>
      <c r="J23" s="21">
        <v>75.933439860555794</v>
      </c>
      <c r="K23" s="21">
        <v>0.73157890000000003</v>
      </c>
      <c r="L23" s="3">
        <v>2016</v>
      </c>
      <c r="M23" s="3">
        <v>2016</v>
      </c>
      <c r="N23" s="3" t="s">
        <v>2276</v>
      </c>
      <c r="O23" s="3" t="s">
        <v>67</v>
      </c>
      <c r="P23" s="5" t="s">
        <v>5187</v>
      </c>
      <c r="Q23" s="3"/>
      <c r="U23" s="14"/>
    </row>
    <row r="24" spans="1:21">
      <c r="A24" s="31">
        <v>2</v>
      </c>
      <c r="B24" s="40" t="s">
        <v>80</v>
      </c>
      <c r="C24" s="31" t="s">
        <v>267</v>
      </c>
      <c r="D24" s="31" t="s">
        <v>2398</v>
      </c>
      <c r="E24" s="28" t="s">
        <v>2400</v>
      </c>
      <c r="F24" s="3" t="s">
        <v>206</v>
      </c>
      <c r="G24" s="3" t="s">
        <v>87</v>
      </c>
      <c r="H24" s="3" t="s">
        <v>88</v>
      </c>
      <c r="I24" s="21">
        <v>30.3342971040794</v>
      </c>
      <c r="J24" s="21">
        <v>74.674783908587202</v>
      </c>
      <c r="K24" s="21">
        <v>0.57287449999999995</v>
      </c>
      <c r="L24" s="3">
        <v>2016</v>
      </c>
      <c r="M24" s="3">
        <v>2016</v>
      </c>
      <c r="N24" s="3" t="s">
        <v>2276</v>
      </c>
      <c r="O24" s="3" t="s">
        <v>67</v>
      </c>
      <c r="P24" s="5" t="s">
        <v>5187</v>
      </c>
      <c r="Q24" s="3"/>
      <c r="U24" s="14"/>
    </row>
    <row r="25" spans="1:21">
      <c r="A25" s="31">
        <v>2</v>
      </c>
      <c r="B25" s="40" t="s">
        <v>80</v>
      </c>
      <c r="C25" s="31" t="s">
        <v>268</v>
      </c>
      <c r="D25" s="31" t="s">
        <v>2398</v>
      </c>
      <c r="E25" s="28" t="s">
        <v>2400</v>
      </c>
      <c r="F25" s="3" t="s">
        <v>207</v>
      </c>
      <c r="G25" s="3" t="s">
        <v>87</v>
      </c>
      <c r="H25" s="3" t="s">
        <v>88</v>
      </c>
      <c r="I25" s="21">
        <v>30.332088118433202</v>
      </c>
      <c r="J25" s="21">
        <v>75.684613092155601</v>
      </c>
      <c r="K25" s="21">
        <v>0.68380569999999996</v>
      </c>
      <c r="L25" s="3">
        <v>2016</v>
      </c>
      <c r="M25" s="3">
        <v>2016</v>
      </c>
      <c r="N25" s="3" t="s">
        <v>2276</v>
      </c>
      <c r="O25" s="3" t="s">
        <v>67</v>
      </c>
      <c r="P25" s="5" t="s">
        <v>5187</v>
      </c>
      <c r="Q25" s="3"/>
      <c r="U25" s="14"/>
    </row>
    <row r="26" spans="1:21">
      <c r="A26" s="31">
        <v>2</v>
      </c>
      <c r="B26" s="40" t="s">
        <v>80</v>
      </c>
      <c r="C26" s="31" t="s">
        <v>269</v>
      </c>
      <c r="D26" s="31" t="s">
        <v>2398</v>
      </c>
      <c r="E26" s="28" t="s">
        <v>2400</v>
      </c>
      <c r="F26" s="3" t="s">
        <v>208</v>
      </c>
      <c r="G26" s="3" t="s">
        <v>87</v>
      </c>
      <c r="H26" s="3" t="s">
        <v>88</v>
      </c>
      <c r="I26" s="21">
        <v>30.333561955300901</v>
      </c>
      <c r="J26" s="21">
        <v>74.530787163503405</v>
      </c>
      <c r="K26" s="21">
        <v>1.016194</v>
      </c>
      <c r="L26" s="3">
        <v>2016</v>
      </c>
      <c r="M26" s="3">
        <v>2016</v>
      </c>
      <c r="N26" s="3" t="s">
        <v>2276</v>
      </c>
      <c r="O26" s="3" t="s">
        <v>67</v>
      </c>
      <c r="P26" s="5" t="s">
        <v>5187</v>
      </c>
      <c r="Q26" s="3"/>
      <c r="U26" s="14"/>
    </row>
    <row r="27" spans="1:21">
      <c r="A27" s="31">
        <v>2</v>
      </c>
      <c r="B27" s="40" t="s">
        <v>80</v>
      </c>
      <c r="C27" s="31" t="s">
        <v>270</v>
      </c>
      <c r="D27" s="31" t="s">
        <v>2398</v>
      </c>
      <c r="E27" s="28" t="s">
        <v>2400</v>
      </c>
      <c r="F27" s="3" t="s">
        <v>209</v>
      </c>
      <c r="G27" s="3" t="s">
        <v>87</v>
      </c>
      <c r="H27" s="3" t="s">
        <v>88</v>
      </c>
      <c r="I27" s="21">
        <v>30.310836140775098</v>
      </c>
      <c r="J27" s="21">
        <v>75.820666771390094</v>
      </c>
      <c r="K27" s="21">
        <v>0.70404860000000002</v>
      </c>
      <c r="L27" s="3">
        <v>2016</v>
      </c>
      <c r="M27" s="3">
        <v>2016</v>
      </c>
      <c r="N27" s="3" t="s">
        <v>2276</v>
      </c>
      <c r="O27" s="3" t="s">
        <v>67</v>
      </c>
      <c r="P27" s="5" t="s">
        <v>5187</v>
      </c>
      <c r="Q27" s="3"/>
      <c r="U27" s="14"/>
    </row>
    <row r="28" spans="1:21">
      <c r="A28" s="31">
        <v>2</v>
      </c>
      <c r="B28" s="40" t="s">
        <v>80</v>
      </c>
      <c r="C28" s="31" t="s">
        <v>271</v>
      </c>
      <c r="D28" s="31" t="s">
        <v>2398</v>
      </c>
      <c r="E28" s="28" t="s">
        <v>2400</v>
      </c>
      <c r="F28" s="3" t="s">
        <v>210</v>
      </c>
      <c r="G28" s="3" t="s">
        <v>87</v>
      </c>
      <c r="H28" s="3" t="s">
        <v>88</v>
      </c>
      <c r="I28" s="21">
        <v>30.303236710750301</v>
      </c>
      <c r="J28" s="21">
        <v>74.455343292657204</v>
      </c>
      <c r="K28" s="21">
        <v>1.7069840000000001</v>
      </c>
      <c r="L28" s="3">
        <v>2016</v>
      </c>
      <c r="M28" s="3">
        <v>2016</v>
      </c>
      <c r="N28" s="3" t="s">
        <v>2276</v>
      </c>
      <c r="O28" s="3" t="s">
        <v>67</v>
      </c>
      <c r="P28" s="5" t="s">
        <v>5187</v>
      </c>
      <c r="Q28" s="3"/>
      <c r="U28" s="14"/>
    </row>
    <row r="29" spans="1:21">
      <c r="A29" s="31">
        <v>2</v>
      </c>
      <c r="B29" s="40" t="s">
        <v>80</v>
      </c>
      <c r="C29" s="31" t="s">
        <v>272</v>
      </c>
      <c r="D29" s="31" t="s">
        <v>2398</v>
      </c>
      <c r="E29" s="28" t="s">
        <v>2400</v>
      </c>
      <c r="F29" s="3" t="s">
        <v>211</v>
      </c>
      <c r="G29" s="3" t="s">
        <v>87</v>
      </c>
      <c r="H29" s="3" t="s">
        <v>88</v>
      </c>
      <c r="I29" s="21">
        <v>30.267181957802801</v>
      </c>
      <c r="J29" s="21">
        <v>74.692416639093594</v>
      </c>
      <c r="K29" s="21">
        <v>0.91194330000000001</v>
      </c>
      <c r="L29" s="3">
        <v>2016</v>
      </c>
      <c r="M29" s="3">
        <v>2016</v>
      </c>
      <c r="N29" s="3" t="s">
        <v>2276</v>
      </c>
      <c r="O29" s="3" t="s">
        <v>67</v>
      </c>
      <c r="P29" s="5" t="s">
        <v>5187</v>
      </c>
      <c r="Q29" s="3"/>
      <c r="U29" s="14"/>
    </row>
    <row r="30" spans="1:21">
      <c r="A30" s="31">
        <v>2</v>
      </c>
      <c r="B30" s="40" t="s">
        <v>80</v>
      </c>
      <c r="C30" s="31" t="s">
        <v>273</v>
      </c>
      <c r="D30" s="31" t="s">
        <v>2398</v>
      </c>
      <c r="E30" s="28" t="s">
        <v>2400</v>
      </c>
      <c r="F30" s="3" t="s">
        <v>212</v>
      </c>
      <c r="G30" s="3" t="s">
        <v>87</v>
      </c>
      <c r="H30" s="3" t="s">
        <v>88</v>
      </c>
      <c r="I30" s="21">
        <v>30.2793653671051</v>
      </c>
      <c r="J30" s="21">
        <v>74.588347301047307</v>
      </c>
      <c r="K30" s="21">
        <v>1.1619429999999999</v>
      </c>
      <c r="L30" s="3">
        <v>2016</v>
      </c>
      <c r="M30" s="3">
        <v>2016</v>
      </c>
      <c r="N30" s="3" t="s">
        <v>2276</v>
      </c>
      <c r="O30" s="3" t="s">
        <v>67</v>
      </c>
      <c r="P30" s="5" t="s">
        <v>5187</v>
      </c>
      <c r="Q30" s="3"/>
      <c r="U30" s="14"/>
    </row>
    <row r="31" spans="1:21">
      <c r="A31" s="31">
        <v>2</v>
      </c>
      <c r="B31" s="40" t="s">
        <v>80</v>
      </c>
      <c r="C31" s="31" t="s">
        <v>274</v>
      </c>
      <c r="D31" s="31" t="s">
        <v>2398</v>
      </c>
      <c r="E31" s="28" t="s">
        <v>2400</v>
      </c>
      <c r="F31" s="3" t="s">
        <v>213</v>
      </c>
      <c r="G31" s="3" t="s">
        <v>87</v>
      </c>
      <c r="H31" s="3" t="s">
        <v>88</v>
      </c>
      <c r="I31" s="21">
        <v>30.308972307371501</v>
      </c>
      <c r="J31" s="21">
        <v>75.975085984540002</v>
      </c>
      <c r="K31" s="21">
        <v>0.43319839999999998</v>
      </c>
      <c r="L31" s="3">
        <v>2016</v>
      </c>
      <c r="M31" s="3">
        <v>2016</v>
      </c>
      <c r="N31" s="3" t="s">
        <v>2276</v>
      </c>
      <c r="O31" s="3" t="s">
        <v>67</v>
      </c>
      <c r="P31" s="5" t="s">
        <v>5187</v>
      </c>
      <c r="Q31" s="3"/>
      <c r="U31" s="14"/>
    </row>
    <row r="32" spans="1:21">
      <c r="A32" s="31">
        <v>2</v>
      </c>
      <c r="B32" s="40" t="s">
        <v>80</v>
      </c>
      <c r="C32" s="31" t="s">
        <v>275</v>
      </c>
      <c r="D32" s="31" t="s">
        <v>2398</v>
      </c>
      <c r="E32" s="28" t="s">
        <v>2400</v>
      </c>
      <c r="F32" s="3" t="s">
        <v>214</v>
      </c>
      <c r="G32" s="3" t="s">
        <v>87</v>
      </c>
      <c r="H32" s="3" t="s">
        <v>88</v>
      </c>
      <c r="I32" s="21">
        <v>30.2866586000845</v>
      </c>
      <c r="J32" s="21">
        <v>75.734371331418799</v>
      </c>
      <c r="K32" s="21">
        <v>0.81174089999999999</v>
      </c>
      <c r="L32" s="3">
        <v>2016</v>
      </c>
      <c r="M32" s="3">
        <v>2016</v>
      </c>
      <c r="N32" s="3" t="s">
        <v>2276</v>
      </c>
      <c r="O32" s="3" t="s">
        <v>67</v>
      </c>
      <c r="P32" s="5" t="s">
        <v>5187</v>
      </c>
      <c r="Q32" s="3"/>
      <c r="U32" s="14"/>
    </row>
    <row r="33" spans="1:21">
      <c r="A33" s="31">
        <v>2</v>
      </c>
      <c r="B33" s="40" t="s">
        <v>80</v>
      </c>
      <c r="C33" s="31" t="s">
        <v>276</v>
      </c>
      <c r="D33" s="31" t="s">
        <v>2398</v>
      </c>
      <c r="E33" s="28" t="s">
        <v>2400</v>
      </c>
      <c r="F33" s="3" t="s">
        <v>215</v>
      </c>
      <c r="G33" s="3" t="s">
        <v>87</v>
      </c>
      <c r="H33" s="3" t="s">
        <v>88</v>
      </c>
      <c r="I33" s="21">
        <v>30.239434740141601</v>
      </c>
      <c r="J33" s="21">
        <v>75.754663834013598</v>
      </c>
      <c r="K33" s="21">
        <v>0.92206480000000002</v>
      </c>
      <c r="L33" s="3">
        <v>2016</v>
      </c>
      <c r="M33" s="3">
        <v>2016</v>
      </c>
      <c r="N33" s="3" t="s">
        <v>2276</v>
      </c>
      <c r="O33" s="3" t="s">
        <v>67</v>
      </c>
      <c r="P33" s="5" t="s">
        <v>5187</v>
      </c>
      <c r="Q33" s="3"/>
      <c r="U33" s="14"/>
    </row>
    <row r="34" spans="1:21">
      <c r="A34" s="31">
        <v>2</v>
      </c>
      <c r="B34" s="40" t="s">
        <v>80</v>
      </c>
      <c r="C34" s="31" t="s">
        <v>277</v>
      </c>
      <c r="D34" s="31" t="s">
        <v>2398</v>
      </c>
      <c r="E34" s="28" t="s">
        <v>2400</v>
      </c>
      <c r="F34" s="3" t="s">
        <v>216</v>
      </c>
      <c r="G34" s="3" t="s">
        <v>87</v>
      </c>
      <c r="H34" s="3" t="s">
        <v>88</v>
      </c>
      <c r="I34" s="21">
        <v>30.213243779885101</v>
      </c>
      <c r="J34" s="21">
        <v>75.628440281843595</v>
      </c>
      <c r="K34" s="21">
        <v>0.89068829999999999</v>
      </c>
      <c r="L34" s="3">
        <v>2016</v>
      </c>
      <c r="M34" s="3">
        <v>2016</v>
      </c>
      <c r="N34" s="3" t="s">
        <v>2276</v>
      </c>
      <c r="O34" s="3" t="s">
        <v>67</v>
      </c>
      <c r="P34" s="5" t="s">
        <v>5187</v>
      </c>
      <c r="Q34" s="3"/>
      <c r="U34" s="14"/>
    </row>
    <row r="35" spans="1:21">
      <c r="A35" s="31">
        <v>2</v>
      </c>
      <c r="B35" s="40" t="s">
        <v>80</v>
      </c>
      <c r="C35" s="31" t="s">
        <v>290</v>
      </c>
      <c r="D35" s="31" t="s">
        <v>2398</v>
      </c>
      <c r="E35" s="28" t="s">
        <v>2400</v>
      </c>
      <c r="F35" s="3" t="s">
        <v>217</v>
      </c>
      <c r="G35" s="3" t="s">
        <v>87</v>
      </c>
      <c r="H35" s="3" t="s">
        <v>88</v>
      </c>
      <c r="I35" s="21">
        <v>30.198490370101698</v>
      </c>
      <c r="J35" s="21">
        <v>74.744110277349904</v>
      </c>
      <c r="K35" s="21">
        <v>1.1449389999999999</v>
      </c>
      <c r="L35" s="3">
        <v>2016</v>
      </c>
      <c r="M35" s="3">
        <v>2016</v>
      </c>
      <c r="N35" s="3" t="s">
        <v>2276</v>
      </c>
      <c r="O35" s="3" t="s">
        <v>67</v>
      </c>
      <c r="P35" s="5" t="s">
        <v>5187</v>
      </c>
      <c r="Q35" s="3"/>
      <c r="U35" s="14"/>
    </row>
    <row r="36" spans="1:21">
      <c r="A36" s="31">
        <v>2</v>
      </c>
      <c r="B36" s="40" t="s">
        <v>80</v>
      </c>
      <c r="C36" s="31" t="s">
        <v>291</v>
      </c>
      <c r="D36" s="31" t="s">
        <v>2398</v>
      </c>
      <c r="E36" s="28" t="s">
        <v>2400</v>
      </c>
      <c r="F36" s="3" t="s">
        <v>218</v>
      </c>
      <c r="G36" s="3" t="s">
        <v>87</v>
      </c>
      <c r="H36" s="3" t="s">
        <v>88</v>
      </c>
      <c r="I36" s="21">
        <v>30.128640460784101</v>
      </c>
      <c r="J36" s="21">
        <v>74.606548409143102</v>
      </c>
      <c r="K36" s="21">
        <v>0.66700400000000004</v>
      </c>
      <c r="L36" s="3">
        <v>2016</v>
      </c>
      <c r="M36" s="3">
        <v>2016</v>
      </c>
      <c r="N36" s="3" t="s">
        <v>2276</v>
      </c>
      <c r="O36" s="3" t="s">
        <v>67</v>
      </c>
      <c r="P36" s="5" t="s">
        <v>5187</v>
      </c>
      <c r="Q36" s="3"/>
      <c r="U36" s="14"/>
    </row>
    <row r="37" spans="1:21">
      <c r="A37" s="31">
        <v>2</v>
      </c>
      <c r="B37" s="40" t="s">
        <v>80</v>
      </c>
      <c r="C37" s="31" t="s">
        <v>292</v>
      </c>
      <c r="D37" s="31" t="s">
        <v>2398</v>
      </c>
      <c r="E37" s="28" t="s">
        <v>2400</v>
      </c>
      <c r="F37" s="3" t="s">
        <v>219</v>
      </c>
      <c r="G37" s="3" t="s">
        <v>87</v>
      </c>
      <c r="H37" s="3" t="s">
        <v>88</v>
      </c>
      <c r="I37" s="21">
        <v>30.1304841529683</v>
      </c>
      <c r="J37" s="21">
        <v>75.645494469996393</v>
      </c>
      <c r="K37" s="21">
        <v>0.51670039999999995</v>
      </c>
      <c r="L37" s="3">
        <v>2016</v>
      </c>
      <c r="M37" s="3">
        <v>2016</v>
      </c>
      <c r="N37" s="3" t="s">
        <v>2276</v>
      </c>
      <c r="O37" s="3" t="s">
        <v>67</v>
      </c>
      <c r="P37" s="5" t="s">
        <v>5187</v>
      </c>
      <c r="Q37" s="3"/>
      <c r="U37" s="14"/>
    </row>
    <row r="38" spans="1:21">
      <c r="A38" s="31">
        <v>2</v>
      </c>
      <c r="B38" s="40" t="s">
        <v>80</v>
      </c>
      <c r="C38" s="31" t="s">
        <v>293</v>
      </c>
      <c r="D38" s="31" t="s">
        <v>2398</v>
      </c>
      <c r="E38" s="28" t="s">
        <v>2400</v>
      </c>
      <c r="F38" s="3" t="s">
        <v>220</v>
      </c>
      <c r="G38" s="3" t="s">
        <v>87</v>
      </c>
      <c r="H38" s="3" t="s">
        <v>88</v>
      </c>
      <c r="I38" s="21">
        <v>30.0894328671552</v>
      </c>
      <c r="J38" s="21">
        <v>74.703833759819403</v>
      </c>
      <c r="K38" s="21">
        <v>0.87246959999999996</v>
      </c>
      <c r="L38" s="3">
        <v>2016</v>
      </c>
      <c r="M38" s="3">
        <v>2016</v>
      </c>
      <c r="N38" s="3" t="s">
        <v>2276</v>
      </c>
      <c r="O38" s="3" t="s">
        <v>67</v>
      </c>
      <c r="P38" s="5" t="s">
        <v>5187</v>
      </c>
      <c r="Q38" s="3"/>
      <c r="U38" s="14"/>
    </row>
    <row r="39" spans="1:21">
      <c r="A39" s="31">
        <v>2</v>
      </c>
      <c r="B39" s="40" t="s">
        <v>80</v>
      </c>
      <c r="C39" s="3" t="s">
        <v>89</v>
      </c>
      <c r="D39" s="31" t="s">
        <v>2398</v>
      </c>
      <c r="E39" s="28" t="s">
        <v>2400</v>
      </c>
      <c r="F39" s="3" t="s">
        <v>90</v>
      </c>
      <c r="G39" s="3" t="s">
        <v>90</v>
      </c>
      <c r="H39" s="3" t="s">
        <v>88</v>
      </c>
      <c r="I39" s="21">
        <v>29.678193861136599</v>
      </c>
      <c r="J39" s="21">
        <v>76.341552366334696</v>
      </c>
      <c r="K39" s="21" t="s">
        <v>2276</v>
      </c>
      <c r="L39" s="3">
        <v>2016</v>
      </c>
      <c r="M39" s="3">
        <v>2016</v>
      </c>
      <c r="N39" s="3" t="s">
        <v>2276</v>
      </c>
      <c r="O39" s="3" t="s">
        <v>67</v>
      </c>
      <c r="P39" s="5" t="s">
        <v>5187</v>
      </c>
      <c r="Q39" s="3" t="s">
        <v>2262</v>
      </c>
      <c r="U39" s="14"/>
    </row>
    <row r="40" spans="1:21">
      <c r="A40" s="31">
        <v>2</v>
      </c>
      <c r="B40" s="40" t="s">
        <v>80</v>
      </c>
      <c r="C40" s="31" t="s">
        <v>278</v>
      </c>
      <c r="D40" s="31" t="s">
        <v>2398</v>
      </c>
      <c r="E40" s="28" t="s">
        <v>2400</v>
      </c>
      <c r="F40" s="3" t="s">
        <v>226</v>
      </c>
      <c r="G40" s="3" t="s">
        <v>90</v>
      </c>
      <c r="H40" s="3" t="s">
        <v>88</v>
      </c>
      <c r="I40" s="21">
        <v>30.1369209870827</v>
      </c>
      <c r="J40" s="21">
        <v>76.913228884142896</v>
      </c>
      <c r="K40" s="21">
        <v>0.25951419999999997</v>
      </c>
      <c r="L40" s="3">
        <v>2016</v>
      </c>
      <c r="M40" s="3">
        <v>2016</v>
      </c>
      <c r="N40" s="3" t="s">
        <v>2276</v>
      </c>
      <c r="O40" s="3" t="s">
        <v>67</v>
      </c>
      <c r="P40" s="5" t="s">
        <v>5187</v>
      </c>
      <c r="Q40" s="3"/>
      <c r="U40" s="14"/>
    </row>
    <row r="41" spans="1:21">
      <c r="A41" s="31">
        <v>2</v>
      </c>
      <c r="B41" s="40" t="s">
        <v>80</v>
      </c>
      <c r="C41" s="31" t="s">
        <v>279</v>
      </c>
      <c r="D41" s="31" t="s">
        <v>2398</v>
      </c>
      <c r="E41" s="28" t="s">
        <v>2400</v>
      </c>
      <c r="F41" s="3" t="s">
        <v>227</v>
      </c>
      <c r="G41" s="3" t="s">
        <v>90</v>
      </c>
      <c r="H41" s="3" t="s">
        <v>88</v>
      </c>
      <c r="I41" s="21">
        <v>30.099961648540301</v>
      </c>
      <c r="J41" s="21">
        <v>76.693235107918099</v>
      </c>
      <c r="K41" s="21">
        <v>0.45141700000000001</v>
      </c>
      <c r="L41" s="3">
        <v>2016</v>
      </c>
      <c r="M41" s="3">
        <v>2016</v>
      </c>
      <c r="N41" s="3" t="s">
        <v>2276</v>
      </c>
      <c r="O41" s="3" t="s">
        <v>67</v>
      </c>
      <c r="P41" s="5" t="s">
        <v>5187</v>
      </c>
      <c r="Q41" s="3"/>
      <c r="U41" s="14"/>
    </row>
    <row r="42" spans="1:21">
      <c r="A42" s="31">
        <v>2</v>
      </c>
      <c r="B42" s="40" t="s">
        <v>80</v>
      </c>
      <c r="C42" s="31" t="s">
        <v>280</v>
      </c>
      <c r="D42" s="31" t="s">
        <v>2398</v>
      </c>
      <c r="E42" s="28" t="s">
        <v>2400</v>
      </c>
      <c r="F42" s="3" t="s">
        <v>228</v>
      </c>
      <c r="G42" s="3" t="s">
        <v>90</v>
      </c>
      <c r="H42" s="3" t="s">
        <v>88</v>
      </c>
      <c r="I42" s="21">
        <v>30.059973529970399</v>
      </c>
      <c r="J42" s="21">
        <v>76.703495254683105</v>
      </c>
      <c r="K42" s="21">
        <v>0.51214570000000004</v>
      </c>
      <c r="L42" s="3">
        <v>2016</v>
      </c>
      <c r="M42" s="3">
        <v>2016</v>
      </c>
      <c r="N42" s="3" t="s">
        <v>2276</v>
      </c>
      <c r="O42" s="3" t="s">
        <v>67</v>
      </c>
      <c r="P42" s="5" t="s">
        <v>5187</v>
      </c>
      <c r="Q42" s="3"/>
      <c r="U42" s="14"/>
    </row>
    <row r="43" spans="1:21">
      <c r="A43" s="31">
        <v>2</v>
      </c>
      <c r="B43" s="40" t="s">
        <v>80</v>
      </c>
      <c r="C43" s="31" t="s">
        <v>281</v>
      </c>
      <c r="D43" s="31" t="s">
        <v>2398</v>
      </c>
      <c r="E43" s="28" t="s">
        <v>2400</v>
      </c>
      <c r="F43" s="3" t="s">
        <v>229</v>
      </c>
      <c r="G43" s="3" t="s">
        <v>90</v>
      </c>
      <c r="H43" s="3" t="s">
        <v>88</v>
      </c>
      <c r="I43" s="21">
        <v>30.0473632934501</v>
      </c>
      <c r="J43" s="21">
        <v>76.667196487195795</v>
      </c>
      <c r="K43" s="21">
        <v>0.61538459999999995</v>
      </c>
      <c r="L43" s="3">
        <v>2016</v>
      </c>
      <c r="M43" s="3">
        <v>2016</v>
      </c>
      <c r="N43" s="3" t="s">
        <v>2276</v>
      </c>
      <c r="O43" s="3" t="s">
        <v>67</v>
      </c>
      <c r="P43" s="5" t="s">
        <v>5187</v>
      </c>
      <c r="Q43" s="3"/>
      <c r="U43" s="14"/>
    </row>
    <row r="44" spans="1:21">
      <c r="A44" s="31">
        <v>2</v>
      </c>
      <c r="B44" s="40" t="s">
        <v>80</v>
      </c>
      <c r="C44" s="31" t="s">
        <v>282</v>
      </c>
      <c r="D44" s="31" t="s">
        <v>2398</v>
      </c>
      <c r="E44" s="28" t="s">
        <v>2400</v>
      </c>
      <c r="F44" s="3" t="s">
        <v>230</v>
      </c>
      <c r="G44" s="3" t="s">
        <v>90</v>
      </c>
      <c r="H44" s="3" t="s">
        <v>88</v>
      </c>
      <c r="I44" s="21">
        <v>29.951171039617499</v>
      </c>
      <c r="J44" s="21">
        <v>76.724481375172203</v>
      </c>
      <c r="K44" s="21">
        <v>0.25303639999999999</v>
      </c>
      <c r="L44" s="3">
        <v>2016</v>
      </c>
      <c r="M44" s="3">
        <v>2016</v>
      </c>
      <c r="N44" s="3" t="s">
        <v>2276</v>
      </c>
      <c r="O44" s="3" t="s">
        <v>67</v>
      </c>
      <c r="P44" s="5" t="s">
        <v>5187</v>
      </c>
      <c r="Q44" s="3"/>
      <c r="U44" s="14"/>
    </row>
    <row r="45" spans="1:21">
      <c r="A45" s="31">
        <v>2</v>
      </c>
      <c r="B45" s="40" t="s">
        <v>80</v>
      </c>
      <c r="C45" s="31" t="s">
        <v>283</v>
      </c>
      <c r="D45" s="31" t="s">
        <v>2398</v>
      </c>
      <c r="E45" s="28" t="s">
        <v>2400</v>
      </c>
      <c r="F45" s="3" t="s">
        <v>231</v>
      </c>
      <c r="G45" s="3" t="s">
        <v>90</v>
      </c>
      <c r="H45" s="3" t="s">
        <v>88</v>
      </c>
      <c r="I45" s="21">
        <v>29.942875047072999</v>
      </c>
      <c r="J45" s="21">
        <v>76.915694556299499</v>
      </c>
      <c r="K45" s="21">
        <v>0.33319840000000001</v>
      </c>
      <c r="L45" s="3">
        <v>2016</v>
      </c>
      <c r="M45" s="3">
        <v>2016</v>
      </c>
      <c r="N45" s="3" t="s">
        <v>2276</v>
      </c>
      <c r="O45" s="3" t="s">
        <v>67</v>
      </c>
      <c r="P45" s="5" t="s">
        <v>5187</v>
      </c>
      <c r="Q45" s="3"/>
      <c r="U45" s="14"/>
    </row>
    <row r="46" spans="1:21">
      <c r="A46" s="31">
        <v>2</v>
      </c>
      <c r="B46" s="40" t="s">
        <v>80</v>
      </c>
      <c r="C46" s="31" t="s">
        <v>284</v>
      </c>
      <c r="D46" s="31" t="s">
        <v>2398</v>
      </c>
      <c r="E46" s="28" t="s">
        <v>2400</v>
      </c>
      <c r="F46" s="3" t="s">
        <v>232</v>
      </c>
      <c r="G46" s="3" t="s">
        <v>90</v>
      </c>
      <c r="H46" s="3" t="s">
        <v>88</v>
      </c>
      <c r="I46" s="21">
        <v>29.9943696643594</v>
      </c>
      <c r="J46" s="21">
        <v>76.738785518287401</v>
      </c>
      <c r="K46" s="21">
        <v>0.86599190000000004</v>
      </c>
      <c r="L46" s="3">
        <v>2016</v>
      </c>
      <c r="M46" s="3">
        <v>2016</v>
      </c>
      <c r="N46" s="3" t="s">
        <v>2276</v>
      </c>
      <c r="O46" s="3" t="s">
        <v>67</v>
      </c>
      <c r="P46" s="5" t="s">
        <v>5187</v>
      </c>
      <c r="Q46" s="3"/>
      <c r="U46" s="14"/>
    </row>
    <row r="47" spans="1:21">
      <c r="A47" s="31">
        <v>2</v>
      </c>
      <c r="B47" s="40" t="s">
        <v>80</v>
      </c>
      <c r="C47" s="31" t="s">
        <v>285</v>
      </c>
      <c r="D47" s="31" t="s">
        <v>2398</v>
      </c>
      <c r="E47" s="28" t="s">
        <v>2400</v>
      </c>
      <c r="F47" s="3" t="s">
        <v>233</v>
      </c>
      <c r="G47" s="3" t="s">
        <v>90</v>
      </c>
      <c r="H47" s="3" t="s">
        <v>88</v>
      </c>
      <c r="I47" s="21">
        <v>30.027913952654998</v>
      </c>
      <c r="J47" s="21">
        <v>76.734842690880896</v>
      </c>
      <c r="K47" s="21">
        <v>1.1943319999999999</v>
      </c>
      <c r="L47" s="3">
        <v>2016</v>
      </c>
      <c r="M47" s="3">
        <v>2016</v>
      </c>
      <c r="N47" s="3" t="s">
        <v>2276</v>
      </c>
      <c r="O47" s="3" t="s">
        <v>67</v>
      </c>
      <c r="P47" s="5" t="s">
        <v>5187</v>
      </c>
      <c r="Q47" s="3"/>
      <c r="U47" s="14"/>
    </row>
    <row r="48" spans="1:21">
      <c r="A48" s="31">
        <v>2</v>
      </c>
      <c r="B48" s="40" t="s">
        <v>80</v>
      </c>
      <c r="C48" s="31" t="s">
        <v>286</v>
      </c>
      <c r="D48" s="31" t="s">
        <v>2398</v>
      </c>
      <c r="E48" s="28" t="s">
        <v>2400</v>
      </c>
      <c r="F48" s="3" t="s">
        <v>234</v>
      </c>
      <c r="G48" s="3" t="s">
        <v>90</v>
      </c>
      <c r="H48" s="3" t="s">
        <v>88</v>
      </c>
      <c r="I48" s="21">
        <v>30.019510728166399</v>
      </c>
      <c r="J48" s="21">
        <v>76.851760969488893</v>
      </c>
      <c r="K48" s="21">
        <v>0.71457490000000001</v>
      </c>
      <c r="L48" s="3">
        <v>2016</v>
      </c>
      <c r="M48" s="3">
        <v>2016</v>
      </c>
      <c r="N48" s="3" t="s">
        <v>2276</v>
      </c>
      <c r="O48" s="3" t="s">
        <v>67</v>
      </c>
      <c r="P48" s="5" t="s">
        <v>5187</v>
      </c>
      <c r="Q48" s="3"/>
      <c r="U48" s="14"/>
    </row>
    <row r="49" spans="1:21">
      <c r="A49" s="31">
        <v>2</v>
      </c>
      <c r="B49" s="40" t="s">
        <v>80</v>
      </c>
      <c r="C49" s="31" t="s">
        <v>287</v>
      </c>
      <c r="D49" s="31" t="s">
        <v>2398</v>
      </c>
      <c r="E49" s="28" t="s">
        <v>2400</v>
      </c>
      <c r="F49" s="3" t="s">
        <v>235</v>
      </c>
      <c r="G49" s="3" t="s">
        <v>90</v>
      </c>
      <c r="H49" s="3" t="s">
        <v>88</v>
      </c>
      <c r="I49" s="21">
        <v>30.042620174605599</v>
      </c>
      <c r="J49" s="21">
        <v>76.851408101939498</v>
      </c>
      <c r="K49" s="21">
        <v>1.0866400000000001</v>
      </c>
      <c r="L49" s="3">
        <v>2016</v>
      </c>
      <c r="M49" s="3">
        <v>2016</v>
      </c>
      <c r="N49" s="3" t="s">
        <v>2276</v>
      </c>
      <c r="O49" s="3" t="s">
        <v>67</v>
      </c>
      <c r="P49" s="5" t="s">
        <v>5187</v>
      </c>
      <c r="Q49" s="3"/>
      <c r="U49" s="14"/>
    </row>
    <row r="50" spans="1:21">
      <c r="A50" s="31">
        <v>2</v>
      </c>
      <c r="B50" s="40" t="s">
        <v>80</v>
      </c>
      <c r="C50" s="31" t="s">
        <v>288</v>
      </c>
      <c r="D50" s="31" t="s">
        <v>2398</v>
      </c>
      <c r="E50" s="28" t="s">
        <v>2400</v>
      </c>
      <c r="F50" s="3" t="s">
        <v>236</v>
      </c>
      <c r="G50" s="3" t="s">
        <v>90</v>
      </c>
      <c r="H50" s="3" t="s">
        <v>88</v>
      </c>
      <c r="I50" s="21">
        <v>30.096675523739499</v>
      </c>
      <c r="J50" s="21">
        <v>76.801926868303198</v>
      </c>
      <c r="K50" s="21">
        <v>1.0364370000000001</v>
      </c>
      <c r="L50" s="3">
        <v>2016</v>
      </c>
      <c r="M50" s="3">
        <v>2016</v>
      </c>
      <c r="N50" s="3" t="s">
        <v>2276</v>
      </c>
      <c r="O50" s="3" t="s">
        <v>67</v>
      </c>
      <c r="P50" s="5" t="s">
        <v>5187</v>
      </c>
      <c r="Q50" s="3"/>
      <c r="U50" s="14"/>
    </row>
    <row r="51" spans="1:21">
      <c r="A51" s="31">
        <v>2</v>
      </c>
      <c r="B51" s="40" t="s">
        <v>80</v>
      </c>
      <c r="C51" s="31" t="s">
        <v>289</v>
      </c>
      <c r="D51" s="31" t="s">
        <v>2398</v>
      </c>
      <c r="E51" s="28" t="s">
        <v>2400</v>
      </c>
      <c r="F51" s="3" t="s">
        <v>237</v>
      </c>
      <c r="G51" s="3" t="s">
        <v>90</v>
      </c>
      <c r="H51" s="3" t="s">
        <v>88</v>
      </c>
      <c r="I51" s="21">
        <v>30.105812353328901</v>
      </c>
      <c r="J51" s="21">
        <v>76.937579425873295</v>
      </c>
      <c r="K51" s="21">
        <v>0.55222669999999996</v>
      </c>
      <c r="L51" s="3">
        <v>2016</v>
      </c>
      <c r="M51" s="3">
        <v>2016</v>
      </c>
      <c r="N51" s="3" t="s">
        <v>2276</v>
      </c>
      <c r="O51" s="3" t="s">
        <v>67</v>
      </c>
      <c r="P51" s="5" t="s">
        <v>5187</v>
      </c>
      <c r="Q51" s="3"/>
      <c r="U51" s="14"/>
    </row>
    <row r="52" spans="1:21">
      <c r="A52" s="31">
        <v>2</v>
      </c>
      <c r="B52" s="40" t="s">
        <v>80</v>
      </c>
      <c r="C52" s="31" t="s">
        <v>294</v>
      </c>
      <c r="D52" s="31" t="s">
        <v>2398</v>
      </c>
      <c r="E52" s="28" t="s">
        <v>2400</v>
      </c>
      <c r="F52" s="3" t="s">
        <v>238</v>
      </c>
      <c r="G52" s="3" t="s">
        <v>90</v>
      </c>
      <c r="H52" s="3" t="s">
        <v>88</v>
      </c>
      <c r="I52" s="21">
        <v>30.1472192622184</v>
      </c>
      <c r="J52" s="21">
        <v>76.946532169023897</v>
      </c>
      <c r="K52" s="21">
        <v>0.47206480000000001</v>
      </c>
      <c r="L52" s="3">
        <v>2016</v>
      </c>
      <c r="M52" s="3">
        <v>2016</v>
      </c>
      <c r="N52" s="3" t="s">
        <v>2276</v>
      </c>
      <c r="O52" s="3" t="s">
        <v>67</v>
      </c>
      <c r="P52" s="5" t="s">
        <v>5187</v>
      </c>
      <c r="Q52" s="3"/>
      <c r="U52" s="14"/>
    </row>
    <row r="53" spans="1:21">
      <c r="A53" s="31">
        <v>2</v>
      </c>
      <c r="B53" s="40" t="s">
        <v>80</v>
      </c>
      <c r="C53" s="31" t="s">
        <v>295</v>
      </c>
      <c r="D53" s="31" t="s">
        <v>2398</v>
      </c>
      <c r="E53" s="28" t="s">
        <v>2400</v>
      </c>
      <c r="F53" s="3" t="s">
        <v>239</v>
      </c>
      <c r="G53" s="3" t="s">
        <v>90</v>
      </c>
      <c r="H53" s="3" t="s">
        <v>88</v>
      </c>
      <c r="I53" s="21">
        <v>30.016530158192399</v>
      </c>
      <c r="J53" s="21">
        <v>76.942547862255296</v>
      </c>
      <c r="K53" s="21">
        <v>0.70850199999999997</v>
      </c>
      <c r="L53" s="3">
        <v>2016</v>
      </c>
      <c r="M53" s="3">
        <v>2016</v>
      </c>
      <c r="N53" s="3" t="s">
        <v>2276</v>
      </c>
      <c r="O53" s="3" t="s">
        <v>67</v>
      </c>
      <c r="P53" s="5" t="s">
        <v>5187</v>
      </c>
      <c r="Q53" s="3"/>
      <c r="U53" s="14"/>
    </row>
    <row r="54" spans="1:21">
      <c r="A54" s="31">
        <v>2</v>
      </c>
      <c r="B54" s="40" t="s">
        <v>80</v>
      </c>
      <c r="C54" s="31" t="s">
        <v>296</v>
      </c>
      <c r="D54" s="31" t="s">
        <v>2398</v>
      </c>
      <c r="E54" s="28" t="s">
        <v>2400</v>
      </c>
      <c r="F54" s="3" t="s">
        <v>240</v>
      </c>
      <c r="G54" s="3" t="s">
        <v>90</v>
      </c>
      <c r="H54" s="3" t="s">
        <v>88</v>
      </c>
      <c r="I54" s="21">
        <v>29.023185012030201</v>
      </c>
      <c r="J54" s="21">
        <v>77.081907496663803</v>
      </c>
      <c r="K54" s="21">
        <v>0.38421050000000001</v>
      </c>
      <c r="L54" s="3">
        <v>2016</v>
      </c>
      <c r="M54" s="3">
        <v>2016</v>
      </c>
      <c r="N54" s="3" t="s">
        <v>2276</v>
      </c>
      <c r="O54" s="3" t="s">
        <v>67</v>
      </c>
      <c r="P54" s="5" t="s">
        <v>5187</v>
      </c>
      <c r="Q54" s="3"/>
      <c r="U54" s="14"/>
    </row>
    <row r="55" spans="1:21">
      <c r="A55" s="31">
        <v>2</v>
      </c>
      <c r="B55" s="40" t="s">
        <v>80</v>
      </c>
      <c r="C55" s="31" t="s">
        <v>297</v>
      </c>
      <c r="D55" s="31" t="s">
        <v>2398</v>
      </c>
      <c r="E55" s="28" t="s">
        <v>2400</v>
      </c>
      <c r="F55" s="3" t="s">
        <v>241</v>
      </c>
      <c r="G55" s="3" t="s">
        <v>90</v>
      </c>
      <c r="H55" s="3" t="s">
        <v>88</v>
      </c>
      <c r="I55" s="21">
        <v>29.027438339907601</v>
      </c>
      <c r="J55" s="21">
        <v>77.1348024006072</v>
      </c>
      <c r="K55" s="21">
        <v>0.93522269999999996</v>
      </c>
      <c r="L55" s="3">
        <v>2016</v>
      </c>
      <c r="M55" s="3">
        <v>2016</v>
      </c>
      <c r="N55" s="3" t="s">
        <v>2276</v>
      </c>
      <c r="O55" s="3" t="s">
        <v>67</v>
      </c>
      <c r="P55" s="5" t="s">
        <v>5187</v>
      </c>
      <c r="Q55" s="3"/>
      <c r="U55" s="14"/>
    </row>
    <row r="56" spans="1:21">
      <c r="A56" s="31">
        <v>2</v>
      </c>
      <c r="B56" s="40" t="s">
        <v>80</v>
      </c>
      <c r="C56" s="31" t="s">
        <v>298</v>
      </c>
      <c r="D56" s="31" t="s">
        <v>2398</v>
      </c>
      <c r="E56" s="28" t="s">
        <v>2400</v>
      </c>
      <c r="F56" s="3" t="s">
        <v>242</v>
      </c>
      <c r="G56" s="3" t="s">
        <v>90</v>
      </c>
      <c r="H56" s="3" t="s">
        <v>88</v>
      </c>
      <c r="I56" s="21">
        <v>28.989687371392002</v>
      </c>
      <c r="J56" s="21">
        <v>77.159592757102004</v>
      </c>
      <c r="K56" s="21">
        <v>0.77165989999999995</v>
      </c>
      <c r="L56" s="3">
        <v>2016</v>
      </c>
      <c r="M56" s="3">
        <v>2016</v>
      </c>
      <c r="N56" s="3" t="s">
        <v>2276</v>
      </c>
      <c r="O56" s="3" t="s">
        <v>67</v>
      </c>
      <c r="P56" s="5" t="s">
        <v>5187</v>
      </c>
      <c r="Q56" s="3"/>
      <c r="U56" s="14"/>
    </row>
    <row r="57" spans="1:21">
      <c r="A57" s="31">
        <v>2</v>
      </c>
      <c r="B57" s="40" t="s">
        <v>80</v>
      </c>
      <c r="C57" s="31" t="s">
        <v>299</v>
      </c>
      <c r="D57" s="31" t="s">
        <v>2398</v>
      </c>
      <c r="E57" s="28" t="s">
        <v>2400</v>
      </c>
      <c r="F57" s="3" t="s">
        <v>243</v>
      </c>
      <c r="G57" s="3" t="s">
        <v>90</v>
      </c>
      <c r="H57" s="3" t="s">
        <v>88</v>
      </c>
      <c r="I57" s="21">
        <v>28.9781192795352</v>
      </c>
      <c r="J57" s="21">
        <v>77.176413881359593</v>
      </c>
      <c r="K57" s="21">
        <v>0.89959509999999998</v>
      </c>
      <c r="L57" s="3">
        <v>2016</v>
      </c>
      <c r="M57" s="3">
        <v>2016</v>
      </c>
      <c r="N57" s="3" t="s">
        <v>2276</v>
      </c>
      <c r="O57" s="3" t="s">
        <v>67</v>
      </c>
      <c r="P57" s="5" t="s">
        <v>5187</v>
      </c>
      <c r="Q57" s="3"/>
      <c r="U57" s="14"/>
    </row>
    <row r="58" spans="1:21">
      <c r="A58" s="31">
        <v>2</v>
      </c>
      <c r="B58" s="40" t="s">
        <v>80</v>
      </c>
      <c r="C58" s="31" t="s">
        <v>300</v>
      </c>
      <c r="D58" s="31" t="s">
        <v>2398</v>
      </c>
      <c r="E58" s="28" t="s">
        <v>2400</v>
      </c>
      <c r="F58" s="3" t="s">
        <v>244</v>
      </c>
      <c r="G58" s="3" t="s">
        <v>90</v>
      </c>
      <c r="H58" s="3" t="s">
        <v>88</v>
      </c>
      <c r="I58" s="21">
        <v>28.928848618112099</v>
      </c>
      <c r="J58" s="21">
        <v>77.150910508035807</v>
      </c>
      <c r="K58" s="21">
        <v>8.9878540000000007E-2</v>
      </c>
      <c r="L58" s="3">
        <v>2016</v>
      </c>
      <c r="M58" s="3">
        <v>2016</v>
      </c>
      <c r="N58" s="3" t="s">
        <v>2276</v>
      </c>
      <c r="O58" s="3" t="s">
        <v>67</v>
      </c>
      <c r="P58" s="5" t="s">
        <v>5187</v>
      </c>
      <c r="Q58" s="3"/>
      <c r="U58" s="14"/>
    </row>
    <row r="59" spans="1:21">
      <c r="A59" s="31">
        <v>2</v>
      </c>
      <c r="B59" s="40" t="s">
        <v>80</v>
      </c>
      <c r="C59" s="31" t="s">
        <v>301</v>
      </c>
      <c r="D59" s="31" t="s">
        <v>2398</v>
      </c>
      <c r="E59" s="28" t="s">
        <v>2400</v>
      </c>
      <c r="F59" s="3" t="s">
        <v>245</v>
      </c>
      <c r="G59" s="3" t="s">
        <v>90</v>
      </c>
      <c r="H59" s="3" t="s">
        <v>88</v>
      </c>
      <c r="I59" s="21">
        <v>29.610022318786001</v>
      </c>
      <c r="J59" s="21">
        <v>75.486159805774506</v>
      </c>
      <c r="K59" s="21">
        <v>0.39878540000000001</v>
      </c>
      <c r="L59" s="3">
        <v>2016</v>
      </c>
      <c r="M59" s="3">
        <v>2016</v>
      </c>
      <c r="N59" s="3" t="s">
        <v>2276</v>
      </c>
      <c r="O59" s="3" t="s">
        <v>67</v>
      </c>
      <c r="P59" s="5" t="s">
        <v>5187</v>
      </c>
      <c r="Q59" s="3"/>
      <c r="U59" s="14"/>
    </row>
    <row r="60" spans="1:21">
      <c r="A60" s="31">
        <v>2</v>
      </c>
      <c r="B60" s="40" t="s">
        <v>80</v>
      </c>
      <c r="C60" s="31" t="s">
        <v>302</v>
      </c>
      <c r="D60" s="31" t="s">
        <v>2398</v>
      </c>
      <c r="E60" s="28" t="s">
        <v>2400</v>
      </c>
      <c r="F60" s="3" t="s">
        <v>246</v>
      </c>
      <c r="G60" s="3" t="s">
        <v>90</v>
      </c>
      <c r="H60" s="3" t="s">
        <v>88</v>
      </c>
      <c r="I60" s="21">
        <v>29.619918834645201</v>
      </c>
      <c r="J60" s="21">
        <v>75.647372967060605</v>
      </c>
      <c r="K60" s="21">
        <v>0.38866400000000001</v>
      </c>
      <c r="L60" s="3">
        <v>2016</v>
      </c>
      <c r="M60" s="3">
        <v>2016</v>
      </c>
      <c r="N60" s="3" t="s">
        <v>2276</v>
      </c>
      <c r="O60" s="3" t="s">
        <v>67</v>
      </c>
      <c r="P60" s="5" t="s">
        <v>5187</v>
      </c>
      <c r="Q60" s="3"/>
      <c r="U60" s="14"/>
    </row>
    <row r="61" spans="1:21">
      <c r="A61" s="31">
        <v>2</v>
      </c>
      <c r="B61" s="40" t="s">
        <v>80</v>
      </c>
      <c r="C61" s="31" t="s">
        <v>303</v>
      </c>
      <c r="D61" s="31" t="s">
        <v>2398</v>
      </c>
      <c r="E61" s="28" t="s">
        <v>2400</v>
      </c>
      <c r="F61" s="3" t="s">
        <v>247</v>
      </c>
      <c r="G61" s="3" t="s">
        <v>90</v>
      </c>
      <c r="H61" s="3" t="s">
        <v>88</v>
      </c>
      <c r="I61" s="21">
        <v>29.598302799730298</v>
      </c>
      <c r="J61" s="21">
        <v>75.5832721824207</v>
      </c>
      <c r="K61" s="21">
        <v>0.44534410000000002</v>
      </c>
      <c r="L61" s="3">
        <v>2016</v>
      </c>
      <c r="M61" s="3">
        <v>2016</v>
      </c>
      <c r="N61" s="3" t="s">
        <v>2276</v>
      </c>
      <c r="O61" s="3" t="s">
        <v>67</v>
      </c>
      <c r="P61" s="5" t="s">
        <v>5187</v>
      </c>
      <c r="Q61" s="3"/>
      <c r="U61" s="14"/>
    </row>
    <row r="62" spans="1:21">
      <c r="A62" s="31">
        <v>2</v>
      </c>
      <c r="B62" s="40" t="s">
        <v>80</v>
      </c>
      <c r="C62" s="31" t="s">
        <v>304</v>
      </c>
      <c r="D62" s="31" t="s">
        <v>2398</v>
      </c>
      <c r="E62" s="28" t="s">
        <v>2400</v>
      </c>
      <c r="F62" s="3" t="s">
        <v>248</v>
      </c>
      <c r="G62" s="3" t="s">
        <v>90</v>
      </c>
      <c r="H62" s="3" t="s">
        <v>88</v>
      </c>
      <c r="I62" s="21">
        <v>29.431641992700701</v>
      </c>
      <c r="J62" s="21">
        <v>75.656888245791507</v>
      </c>
      <c r="K62" s="21">
        <v>0.66194330000000001</v>
      </c>
      <c r="L62" s="3">
        <v>2016</v>
      </c>
      <c r="M62" s="3">
        <v>2016</v>
      </c>
      <c r="N62" s="3" t="s">
        <v>2276</v>
      </c>
      <c r="O62" s="3" t="s">
        <v>67</v>
      </c>
      <c r="P62" s="5" t="s">
        <v>5187</v>
      </c>
      <c r="Q62" s="3"/>
      <c r="U62" s="14"/>
    </row>
    <row r="63" spans="1:21">
      <c r="A63" s="31">
        <v>2</v>
      </c>
      <c r="B63" s="40" t="s">
        <v>80</v>
      </c>
      <c r="C63" s="31" t="s">
        <v>305</v>
      </c>
      <c r="D63" s="31" t="s">
        <v>2398</v>
      </c>
      <c r="E63" s="28" t="s">
        <v>2400</v>
      </c>
      <c r="F63" s="3" t="s">
        <v>249</v>
      </c>
      <c r="G63" s="3" t="s">
        <v>90</v>
      </c>
      <c r="H63" s="3" t="s">
        <v>88</v>
      </c>
      <c r="I63" s="21">
        <v>29.569580444512201</v>
      </c>
      <c r="J63" s="21">
        <v>75.6609874166151</v>
      </c>
      <c r="K63" s="21">
        <v>0.34574899999999997</v>
      </c>
      <c r="L63" s="3">
        <v>2016</v>
      </c>
      <c r="M63" s="3">
        <v>2016</v>
      </c>
      <c r="N63" s="3" t="s">
        <v>2276</v>
      </c>
      <c r="O63" s="3" t="s">
        <v>67</v>
      </c>
      <c r="P63" s="5" t="s">
        <v>5187</v>
      </c>
      <c r="Q63" s="3"/>
      <c r="U63" s="14"/>
    </row>
    <row r="64" spans="1:21">
      <c r="A64" s="31">
        <v>2</v>
      </c>
      <c r="B64" s="40" t="s">
        <v>80</v>
      </c>
      <c r="C64" s="31" t="s">
        <v>306</v>
      </c>
      <c r="D64" s="31" t="s">
        <v>2398</v>
      </c>
      <c r="E64" s="28" t="s">
        <v>2400</v>
      </c>
      <c r="F64" s="3" t="s">
        <v>250</v>
      </c>
      <c r="G64" s="3" t="s">
        <v>90</v>
      </c>
      <c r="H64" s="3" t="s">
        <v>88</v>
      </c>
      <c r="I64" s="21">
        <v>29.555842899866398</v>
      </c>
      <c r="J64" s="21">
        <v>75.502049496546803</v>
      </c>
      <c r="K64" s="21">
        <v>0.41295549999999998</v>
      </c>
      <c r="L64" s="3">
        <v>2016</v>
      </c>
      <c r="M64" s="3">
        <v>2016</v>
      </c>
      <c r="N64" s="3" t="s">
        <v>2276</v>
      </c>
      <c r="O64" s="3" t="s">
        <v>67</v>
      </c>
      <c r="P64" s="5" t="s">
        <v>5187</v>
      </c>
      <c r="Q64" s="3"/>
      <c r="U64" s="14"/>
    </row>
    <row r="65" spans="1:21">
      <c r="A65" s="31">
        <v>2</v>
      </c>
      <c r="B65" s="40" t="s">
        <v>80</v>
      </c>
      <c r="C65" s="31" t="s">
        <v>307</v>
      </c>
      <c r="D65" s="31" t="s">
        <v>2398</v>
      </c>
      <c r="E65" s="28" t="s">
        <v>2400</v>
      </c>
      <c r="F65" s="3" t="s">
        <v>251</v>
      </c>
      <c r="G65" s="3" t="s">
        <v>90</v>
      </c>
      <c r="H65" s="3" t="s">
        <v>88</v>
      </c>
      <c r="I65" s="21">
        <v>29.637913812540798</v>
      </c>
      <c r="J65" s="21">
        <v>75.433375978951503</v>
      </c>
      <c r="K65" s="21">
        <v>1.23583</v>
      </c>
      <c r="L65" s="3">
        <v>2016</v>
      </c>
      <c r="M65" s="3">
        <v>2016</v>
      </c>
      <c r="N65" s="3" t="s">
        <v>2276</v>
      </c>
      <c r="O65" s="3" t="s">
        <v>67</v>
      </c>
      <c r="P65" s="5" t="s">
        <v>5187</v>
      </c>
      <c r="Q65" s="3"/>
      <c r="U65" s="14"/>
    </row>
    <row r="66" spans="1:21">
      <c r="A66" s="31">
        <v>2</v>
      </c>
      <c r="B66" s="40" t="s">
        <v>80</v>
      </c>
      <c r="C66" s="31" t="s">
        <v>308</v>
      </c>
      <c r="D66" s="31" t="s">
        <v>2398</v>
      </c>
      <c r="E66" s="28" t="s">
        <v>2400</v>
      </c>
      <c r="F66" s="3" t="s">
        <v>252</v>
      </c>
      <c r="G66" s="3" t="s">
        <v>90</v>
      </c>
      <c r="H66" s="3" t="s">
        <v>88</v>
      </c>
      <c r="I66" s="21">
        <v>29.591754128692799</v>
      </c>
      <c r="J66" s="21">
        <v>75.327187445953001</v>
      </c>
      <c r="K66" s="21">
        <v>1.1052630000000001</v>
      </c>
      <c r="L66" s="3">
        <v>2016</v>
      </c>
      <c r="M66" s="3">
        <v>2016</v>
      </c>
      <c r="N66" s="3" t="s">
        <v>2276</v>
      </c>
      <c r="O66" s="3" t="s">
        <v>67</v>
      </c>
      <c r="P66" s="5" t="s">
        <v>5187</v>
      </c>
      <c r="Q66" s="3"/>
      <c r="U66" s="14"/>
    </row>
    <row r="67" spans="1:21">
      <c r="A67" s="31">
        <v>2</v>
      </c>
      <c r="B67" s="40" t="s">
        <v>80</v>
      </c>
      <c r="C67" s="31" t="s">
        <v>309</v>
      </c>
      <c r="D67" s="31" t="s">
        <v>2398</v>
      </c>
      <c r="E67" s="28" t="s">
        <v>2400</v>
      </c>
      <c r="F67" s="3" t="s">
        <v>253</v>
      </c>
      <c r="G67" s="3" t="s">
        <v>90</v>
      </c>
      <c r="H67" s="3" t="s">
        <v>88</v>
      </c>
      <c r="I67" s="21">
        <v>29.445284226812699</v>
      </c>
      <c r="J67" s="21">
        <v>75.356791152061803</v>
      </c>
      <c r="K67" s="21">
        <v>0.80323889999999998</v>
      </c>
      <c r="L67" s="3">
        <v>2016</v>
      </c>
      <c r="M67" s="3">
        <v>2016</v>
      </c>
      <c r="N67" s="3" t="s">
        <v>2276</v>
      </c>
      <c r="O67" s="3" t="s">
        <v>67</v>
      </c>
      <c r="P67" s="5" t="s">
        <v>5187</v>
      </c>
      <c r="Q67" s="3"/>
      <c r="U67" s="14"/>
    </row>
    <row r="68" spans="1:21">
      <c r="A68" s="31">
        <v>2</v>
      </c>
      <c r="B68" s="40" t="s">
        <v>80</v>
      </c>
      <c r="C68" s="31" t="s">
        <v>310</v>
      </c>
      <c r="D68" s="31" t="s">
        <v>2398</v>
      </c>
      <c r="E68" s="28" t="s">
        <v>2400</v>
      </c>
      <c r="F68" s="3" t="s">
        <v>254</v>
      </c>
      <c r="G68" s="3" t="s">
        <v>90</v>
      </c>
      <c r="H68" s="3" t="s">
        <v>88</v>
      </c>
      <c r="I68" s="21">
        <v>29.393440711273499</v>
      </c>
      <c r="J68" s="21">
        <v>75.457549568664604</v>
      </c>
      <c r="K68" s="21">
        <v>0.92712550000000005</v>
      </c>
      <c r="L68" s="3">
        <v>2016</v>
      </c>
      <c r="M68" s="3">
        <v>2016</v>
      </c>
      <c r="N68" s="3" t="s">
        <v>2276</v>
      </c>
      <c r="O68" s="3" t="s">
        <v>67</v>
      </c>
      <c r="P68" s="5" t="s">
        <v>5187</v>
      </c>
      <c r="Q68" s="3"/>
      <c r="U68" s="14"/>
    </row>
    <row r="69" spans="1:21">
      <c r="A69" s="31">
        <v>2</v>
      </c>
      <c r="B69" s="40" t="s">
        <v>80</v>
      </c>
      <c r="C69" s="31" t="s">
        <v>311</v>
      </c>
      <c r="D69" s="31" t="s">
        <v>2398</v>
      </c>
      <c r="E69" s="28" t="s">
        <v>2400</v>
      </c>
      <c r="F69" s="3" t="s">
        <v>255</v>
      </c>
      <c r="G69" s="3" t="s">
        <v>90</v>
      </c>
      <c r="H69" s="3" t="s">
        <v>88</v>
      </c>
      <c r="I69" s="21">
        <v>29.494263674187</v>
      </c>
      <c r="J69" s="21">
        <v>75.2158340909304</v>
      </c>
      <c r="K69" s="21">
        <v>1.234413</v>
      </c>
      <c r="L69" s="3">
        <v>2016</v>
      </c>
      <c r="M69" s="3">
        <v>2016</v>
      </c>
      <c r="N69" s="3" t="s">
        <v>2276</v>
      </c>
      <c r="O69" s="3" t="s">
        <v>67</v>
      </c>
      <c r="P69" s="5" t="s">
        <v>5187</v>
      </c>
      <c r="Q69" s="3"/>
      <c r="U69" s="14"/>
    </row>
    <row r="70" spans="1:21">
      <c r="A70" s="31">
        <v>2</v>
      </c>
      <c r="B70" s="40" t="s">
        <v>80</v>
      </c>
      <c r="C70" s="31" t="s">
        <v>312</v>
      </c>
      <c r="D70" s="31" t="s">
        <v>2398</v>
      </c>
      <c r="E70" s="28" t="s">
        <v>2400</v>
      </c>
      <c r="F70" s="3" t="s">
        <v>256</v>
      </c>
      <c r="G70" s="3" t="s">
        <v>90</v>
      </c>
      <c r="H70" s="3" t="s">
        <v>88</v>
      </c>
      <c r="I70" s="21">
        <v>29.439847867511698</v>
      </c>
      <c r="J70" s="21">
        <v>75.134312690372596</v>
      </c>
      <c r="K70" s="21">
        <v>1.3076920000000001</v>
      </c>
      <c r="L70" s="3">
        <v>2016</v>
      </c>
      <c r="M70" s="3">
        <v>2016</v>
      </c>
      <c r="N70" s="3" t="s">
        <v>2276</v>
      </c>
      <c r="O70" s="3" t="s">
        <v>67</v>
      </c>
      <c r="P70" s="5" t="s">
        <v>5187</v>
      </c>
      <c r="Q70" s="3"/>
      <c r="U70" s="14"/>
    </row>
    <row r="71" spans="1:21">
      <c r="A71" s="31">
        <v>3</v>
      </c>
      <c r="B71" s="40" t="s">
        <v>93</v>
      </c>
      <c r="C71" s="3" t="s">
        <v>94</v>
      </c>
      <c r="D71" s="31" t="s">
        <v>2398</v>
      </c>
      <c r="E71" s="28" t="s">
        <v>2399</v>
      </c>
      <c r="F71" s="33" t="s">
        <v>1255</v>
      </c>
      <c r="G71" s="3" t="s">
        <v>87</v>
      </c>
      <c r="H71" s="3" t="s">
        <v>88</v>
      </c>
      <c r="I71" s="21">
        <v>30.153421300000002</v>
      </c>
      <c r="J71" s="21">
        <v>76.276552699999996</v>
      </c>
      <c r="K71" s="21" t="s">
        <v>2276</v>
      </c>
      <c r="L71" s="3">
        <v>2009</v>
      </c>
      <c r="M71" s="3">
        <v>2009</v>
      </c>
      <c r="N71" s="3" t="s">
        <v>2276</v>
      </c>
      <c r="O71" s="3" t="s">
        <v>67</v>
      </c>
      <c r="P71" s="5" t="s">
        <v>5187</v>
      </c>
      <c r="Q71" s="3"/>
      <c r="U71" s="14"/>
    </row>
    <row r="72" spans="1:21">
      <c r="A72" s="31">
        <v>3</v>
      </c>
      <c r="B72" s="40" t="s">
        <v>93</v>
      </c>
      <c r="C72" s="3" t="s">
        <v>1253</v>
      </c>
      <c r="D72" s="31" t="s">
        <v>2398</v>
      </c>
      <c r="E72" s="28" t="s">
        <v>2399</v>
      </c>
      <c r="F72" s="3" t="s">
        <v>1256</v>
      </c>
      <c r="G72" s="3" t="s">
        <v>87</v>
      </c>
      <c r="H72" s="3" t="s">
        <v>88</v>
      </c>
      <c r="I72" s="21">
        <v>30.421217200000001</v>
      </c>
      <c r="J72" s="21">
        <v>76.255839300000005</v>
      </c>
      <c r="K72" s="21" t="s">
        <v>2276</v>
      </c>
      <c r="L72" s="3">
        <v>2009</v>
      </c>
      <c r="M72" s="3">
        <v>2009</v>
      </c>
      <c r="N72" s="3" t="s">
        <v>2276</v>
      </c>
      <c r="O72" s="3" t="s">
        <v>67</v>
      </c>
      <c r="P72" s="5" t="s">
        <v>5187</v>
      </c>
      <c r="Q72" s="3"/>
      <c r="U72" s="14"/>
    </row>
    <row r="73" spans="1:21">
      <c r="A73" s="31">
        <v>3</v>
      </c>
      <c r="B73" s="40" t="s">
        <v>93</v>
      </c>
      <c r="C73" s="3" t="s">
        <v>1254</v>
      </c>
      <c r="D73" s="31" t="s">
        <v>2398</v>
      </c>
      <c r="E73" s="28" t="s">
        <v>2399</v>
      </c>
      <c r="F73" s="3" t="s">
        <v>1293</v>
      </c>
      <c r="G73" s="3" t="s">
        <v>87</v>
      </c>
      <c r="H73" s="3" t="s">
        <v>88</v>
      </c>
      <c r="I73" s="21">
        <v>30.420780100000002</v>
      </c>
      <c r="J73" s="21">
        <v>76.291645099999997</v>
      </c>
      <c r="K73" s="21" t="s">
        <v>2276</v>
      </c>
      <c r="L73" s="3">
        <v>2009</v>
      </c>
      <c r="M73" s="3">
        <v>2009</v>
      </c>
      <c r="N73" s="3" t="s">
        <v>2276</v>
      </c>
      <c r="O73" s="3" t="s">
        <v>67</v>
      </c>
      <c r="P73" s="5" t="s">
        <v>5187</v>
      </c>
      <c r="Q73" s="4"/>
      <c r="U73" s="14"/>
    </row>
    <row r="74" spans="1:21">
      <c r="A74" s="31">
        <v>4</v>
      </c>
      <c r="B74" s="40" t="s">
        <v>99</v>
      </c>
      <c r="C74" s="3" t="s">
        <v>98</v>
      </c>
      <c r="D74" s="31" t="s">
        <v>2398</v>
      </c>
      <c r="E74" s="28" t="s">
        <v>2399</v>
      </c>
      <c r="F74" s="3" t="s">
        <v>1282</v>
      </c>
      <c r="G74" s="3" t="s">
        <v>87</v>
      </c>
      <c r="H74" s="3" t="s">
        <v>88</v>
      </c>
      <c r="I74" s="21">
        <v>31.633544199999999</v>
      </c>
      <c r="J74" s="21">
        <v>74.870120299999996</v>
      </c>
      <c r="K74" s="21" t="s">
        <v>2276</v>
      </c>
      <c r="L74" s="3">
        <v>1996</v>
      </c>
      <c r="M74" s="3">
        <v>1996</v>
      </c>
      <c r="N74" s="3" t="s">
        <v>2276</v>
      </c>
      <c r="O74" s="3" t="s">
        <v>67</v>
      </c>
      <c r="P74" s="5" t="s">
        <v>5187</v>
      </c>
      <c r="Q74" s="4"/>
      <c r="U74" s="14"/>
    </row>
    <row r="75" spans="1:21">
      <c r="A75" s="31">
        <v>4</v>
      </c>
      <c r="B75" s="40" t="s">
        <v>99</v>
      </c>
      <c r="C75" s="3" t="s">
        <v>1272</v>
      </c>
      <c r="D75" s="31" t="s">
        <v>2398</v>
      </c>
      <c r="E75" s="28" t="s">
        <v>2399</v>
      </c>
      <c r="F75" s="3" t="s">
        <v>1283</v>
      </c>
      <c r="G75" s="3" t="s">
        <v>87</v>
      </c>
      <c r="H75" s="3" t="s">
        <v>88</v>
      </c>
      <c r="I75" s="21">
        <v>30.2087702</v>
      </c>
      <c r="J75" s="21">
        <v>74.958686900000004</v>
      </c>
      <c r="K75" s="21" t="s">
        <v>2276</v>
      </c>
      <c r="L75" s="3">
        <v>1996</v>
      </c>
      <c r="M75" s="3">
        <v>1996</v>
      </c>
      <c r="N75" s="3" t="s">
        <v>2276</v>
      </c>
      <c r="O75" s="3" t="s">
        <v>67</v>
      </c>
      <c r="P75" s="5" t="s">
        <v>5187</v>
      </c>
      <c r="Q75" s="4"/>
      <c r="U75" s="14"/>
    </row>
    <row r="76" spans="1:21">
      <c r="A76" s="31">
        <v>4</v>
      </c>
      <c r="B76" s="40" t="s">
        <v>99</v>
      </c>
      <c r="C76" s="3" t="s">
        <v>1273</v>
      </c>
      <c r="D76" s="31" t="s">
        <v>2398</v>
      </c>
      <c r="E76" s="28" t="s">
        <v>2399</v>
      </c>
      <c r="F76" s="3" t="s">
        <v>1284</v>
      </c>
      <c r="G76" s="3" t="s">
        <v>87</v>
      </c>
      <c r="H76" s="3" t="s">
        <v>88</v>
      </c>
      <c r="I76" s="21">
        <v>30.599855000000002</v>
      </c>
      <c r="J76" s="21">
        <v>74.762310099999993</v>
      </c>
      <c r="K76" s="21" t="s">
        <v>2276</v>
      </c>
      <c r="L76" s="3">
        <v>1996</v>
      </c>
      <c r="M76" s="3">
        <v>1996</v>
      </c>
      <c r="N76" s="3" t="s">
        <v>2276</v>
      </c>
      <c r="O76" s="3" t="s">
        <v>67</v>
      </c>
      <c r="P76" s="5" t="s">
        <v>5187</v>
      </c>
      <c r="Q76" s="4"/>
      <c r="U76" s="14"/>
    </row>
    <row r="77" spans="1:21">
      <c r="A77" s="31">
        <v>4</v>
      </c>
      <c r="B77" s="40" t="s">
        <v>99</v>
      </c>
      <c r="C77" s="3" t="s">
        <v>1274</v>
      </c>
      <c r="D77" s="31" t="s">
        <v>2398</v>
      </c>
      <c r="E77" s="28" t="s">
        <v>2399</v>
      </c>
      <c r="F77" s="3" t="s">
        <v>1285</v>
      </c>
      <c r="G77" s="3" t="s">
        <v>87</v>
      </c>
      <c r="H77" s="3" t="s">
        <v>88</v>
      </c>
      <c r="I77" s="21">
        <v>30.652760000000001</v>
      </c>
      <c r="J77" s="21">
        <v>76.355230000000006</v>
      </c>
      <c r="K77" s="21" t="s">
        <v>2276</v>
      </c>
      <c r="L77" s="3">
        <v>1996</v>
      </c>
      <c r="M77" s="3">
        <v>1996</v>
      </c>
      <c r="N77" s="3" t="s">
        <v>2276</v>
      </c>
      <c r="O77" s="3" t="s">
        <v>67</v>
      </c>
      <c r="P77" s="5" t="s">
        <v>5187</v>
      </c>
      <c r="Q77" s="4"/>
      <c r="U77" s="14"/>
    </row>
    <row r="78" spans="1:21">
      <c r="A78" s="31">
        <v>4</v>
      </c>
      <c r="B78" s="40" t="s">
        <v>99</v>
      </c>
      <c r="C78" s="3" t="s">
        <v>1275</v>
      </c>
      <c r="D78" s="31" t="s">
        <v>2398</v>
      </c>
      <c r="E78" s="28" t="s">
        <v>2399</v>
      </c>
      <c r="F78" s="3" t="s">
        <v>1286</v>
      </c>
      <c r="G78" s="3" t="s">
        <v>87</v>
      </c>
      <c r="H78" s="3" t="s">
        <v>88</v>
      </c>
      <c r="I78" s="21">
        <v>30.931942200000002</v>
      </c>
      <c r="J78" s="21">
        <v>74.624271300000004</v>
      </c>
      <c r="K78" s="21" t="s">
        <v>2276</v>
      </c>
      <c r="L78" s="3">
        <v>1996</v>
      </c>
      <c r="M78" s="3">
        <v>1996</v>
      </c>
      <c r="N78" s="3" t="s">
        <v>2276</v>
      </c>
      <c r="O78" s="3" t="s">
        <v>67</v>
      </c>
      <c r="P78" s="5" t="s">
        <v>5187</v>
      </c>
      <c r="Q78" s="4"/>
      <c r="U78" s="14"/>
    </row>
    <row r="79" spans="1:21">
      <c r="A79" s="31">
        <v>4</v>
      </c>
      <c r="B79" s="40" t="s">
        <v>99</v>
      </c>
      <c r="C79" s="3" t="s">
        <v>1276</v>
      </c>
      <c r="D79" s="31" t="s">
        <v>2398</v>
      </c>
      <c r="E79" s="28" t="s">
        <v>2399</v>
      </c>
      <c r="F79" s="3" t="s">
        <v>1287</v>
      </c>
      <c r="G79" s="3" t="s">
        <v>87</v>
      </c>
      <c r="H79" s="3" t="s">
        <v>88</v>
      </c>
      <c r="I79" s="21">
        <v>32.042656999999998</v>
      </c>
      <c r="J79" s="21">
        <v>75.408415599999998</v>
      </c>
      <c r="K79" s="21" t="s">
        <v>2276</v>
      </c>
      <c r="L79" s="3">
        <v>1996</v>
      </c>
      <c r="M79" s="3">
        <v>1996</v>
      </c>
      <c r="N79" s="3" t="s">
        <v>2276</v>
      </c>
      <c r="O79" s="3" t="s">
        <v>67</v>
      </c>
      <c r="P79" s="5" t="s">
        <v>5187</v>
      </c>
      <c r="Q79" s="4"/>
      <c r="U79" s="14"/>
    </row>
    <row r="80" spans="1:21">
      <c r="A80" s="31">
        <v>4</v>
      </c>
      <c r="B80" s="40" t="s">
        <v>99</v>
      </c>
      <c r="C80" s="3" t="s">
        <v>1277</v>
      </c>
      <c r="D80" s="31" t="s">
        <v>2398</v>
      </c>
      <c r="E80" s="28" t="s">
        <v>2399</v>
      </c>
      <c r="F80" s="33" t="s">
        <v>1288</v>
      </c>
      <c r="G80" s="3" t="s">
        <v>87</v>
      </c>
      <c r="H80" s="3" t="s">
        <v>88</v>
      </c>
      <c r="I80" s="21">
        <v>31.322397800000001</v>
      </c>
      <c r="J80" s="21">
        <v>75.573419299999998</v>
      </c>
      <c r="K80" s="21" t="s">
        <v>2276</v>
      </c>
      <c r="L80" s="3">
        <v>1996</v>
      </c>
      <c r="M80" s="3">
        <v>1996</v>
      </c>
      <c r="N80" s="3" t="s">
        <v>2276</v>
      </c>
      <c r="O80" s="3" t="s">
        <v>67</v>
      </c>
      <c r="P80" s="5" t="s">
        <v>5187</v>
      </c>
      <c r="Q80" s="3"/>
      <c r="U80" s="14"/>
    </row>
    <row r="81" spans="1:21">
      <c r="A81" s="31">
        <v>4</v>
      </c>
      <c r="B81" s="40" t="s">
        <v>99</v>
      </c>
      <c r="C81" s="3" t="s">
        <v>1278</v>
      </c>
      <c r="D81" s="31" t="s">
        <v>2398</v>
      </c>
      <c r="E81" s="28" t="s">
        <v>2399</v>
      </c>
      <c r="F81" s="3" t="s">
        <v>1289</v>
      </c>
      <c r="G81" s="3" t="s">
        <v>87</v>
      </c>
      <c r="H81" s="3" t="s">
        <v>88</v>
      </c>
      <c r="I81" s="21">
        <v>31.375614800000001</v>
      </c>
      <c r="J81" s="21">
        <v>75.391874400000006</v>
      </c>
      <c r="K81" s="21" t="s">
        <v>2276</v>
      </c>
      <c r="L81" s="3">
        <v>1996</v>
      </c>
      <c r="M81" s="3">
        <v>1996</v>
      </c>
      <c r="N81" s="3" t="s">
        <v>2276</v>
      </c>
      <c r="O81" s="3" t="s">
        <v>67</v>
      </c>
      <c r="P81" s="5" t="s">
        <v>5187</v>
      </c>
      <c r="Q81" s="3"/>
      <c r="U81" s="14"/>
    </row>
    <row r="82" spans="1:21">
      <c r="A82" s="31">
        <v>4</v>
      </c>
      <c r="B82" s="40" t="s">
        <v>99</v>
      </c>
      <c r="C82" s="3" t="s">
        <v>1279</v>
      </c>
      <c r="D82" s="31" t="s">
        <v>2398</v>
      </c>
      <c r="E82" s="28" t="s">
        <v>2399</v>
      </c>
      <c r="F82" s="3" t="s">
        <v>1290</v>
      </c>
      <c r="G82" s="3" t="s">
        <v>87</v>
      </c>
      <c r="H82" s="3" t="s">
        <v>88</v>
      </c>
      <c r="I82" s="21">
        <v>30.9003452</v>
      </c>
      <c r="J82" s="21">
        <v>75.856673299999997</v>
      </c>
      <c r="K82" s="21" t="s">
        <v>2276</v>
      </c>
      <c r="L82" s="3">
        <v>1996</v>
      </c>
      <c r="M82" s="3">
        <v>1996</v>
      </c>
      <c r="N82" s="3" t="s">
        <v>2276</v>
      </c>
      <c r="O82" s="3" t="s">
        <v>67</v>
      </c>
      <c r="P82" s="5" t="s">
        <v>5187</v>
      </c>
      <c r="Q82" s="3"/>
      <c r="U82" s="14"/>
    </row>
    <row r="83" spans="1:21">
      <c r="A83" s="31">
        <v>4</v>
      </c>
      <c r="B83" s="40" t="s">
        <v>99</v>
      </c>
      <c r="C83" s="3" t="s">
        <v>1280</v>
      </c>
      <c r="D83" s="31" t="s">
        <v>2398</v>
      </c>
      <c r="E83" s="28" t="s">
        <v>2399</v>
      </c>
      <c r="F83" s="3" t="s">
        <v>1291</v>
      </c>
      <c r="G83" s="3" t="s">
        <v>87</v>
      </c>
      <c r="H83" s="3" t="s">
        <v>88</v>
      </c>
      <c r="I83" s="21">
        <v>30.21387</v>
      </c>
      <c r="J83" s="21">
        <v>76.370175000000003</v>
      </c>
      <c r="K83" s="21" t="s">
        <v>2276</v>
      </c>
      <c r="L83" s="3">
        <v>1996</v>
      </c>
      <c r="M83" s="3">
        <v>1996</v>
      </c>
      <c r="N83" s="3" t="s">
        <v>2276</v>
      </c>
      <c r="O83" s="3" t="s">
        <v>67</v>
      </c>
      <c r="P83" s="5" t="s">
        <v>5187</v>
      </c>
      <c r="Q83" s="3"/>
      <c r="U83" s="14"/>
    </row>
    <row r="84" spans="1:21">
      <c r="A84" s="31">
        <v>4</v>
      </c>
      <c r="B84" s="40" t="s">
        <v>99</v>
      </c>
      <c r="C84" s="3" t="s">
        <v>1281</v>
      </c>
      <c r="D84" s="31" t="s">
        <v>2398</v>
      </c>
      <c r="E84" s="28" t="s">
        <v>2399</v>
      </c>
      <c r="F84" s="3" t="s">
        <v>1292</v>
      </c>
      <c r="G84" s="3" t="s">
        <v>87</v>
      </c>
      <c r="H84" s="3" t="s">
        <v>88</v>
      </c>
      <c r="I84" s="21">
        <v>30.242213199999998</v>
      </c>
      <c r="J84" s="21">
        <v>75.842785899999996</v>
      </c>
      <c r="K84" s="21" t="s">
        <v>2276</v>
      </c>
      <c r="L84" s="3">
        <v>1996</v>
      </c>
      <c r="M84" s="3">
        <v>1996</v>
      </c>
      <c r="N84" s="3" t="s">
        <v>2276</v>
      </c>
      <c r="O84" s="3" t="s">
        <v>67</v>
      </c>
      <c r="P84" s="5" t="s">
        <v>5187</v>
      </c>
      <c r="Q84" s="3"/>
      <c r="U84" s="14"/>
    </row>
    <row r="85" spans="1:21" ht="38" customHeight="1">
      <c r="A85" s="31">
        <v>5</v>
      </c>
      <c r="B85" s="40" t="s">
        <v>106</v>
      </c>
      <c r="C85" s="3" t="s">
        <v>103</v>
      </c>
      <c r="D85" s="31" t="s">
        <v>2398</v>
      </c>
      <c r="E85" s="29" t="s">
        <v>2400</v>
      </c>
      <c r="F85" s="22" t="s">
        <v>102</v>
      </c>
      <c r="G85" s="22" t="s">
        <v>2276</v>
      </c>
      <c r="H85" s="3" t="s">
        <v>88</v>
      </c>
      <c r="I85" s="21">
        <v>30.43</v>
      </c>
      <c r="J85" s="21">
        <v>76.09</v>
      </c>
      <c r="K85" s="21">
        <v>901</v>
      </c>
      <c r="L85" s="3">
        <v>2018</v>
      </c>
      <c r="M85" s="3">
        <v>2018</v>
      </c>
      <c r="N85" s="3" t="s">
        <v>2276</v>
      </c>
      <c r="O85" s="3" t="s">
        <v>67</v>
      </c>
      <c r="P85" s="5" t="s">
        <v>5187</v>
      </c>
      <c r="Q85" s="3"/>
      <c r="U85" s="14"/>
    </row>
    <row r="86" spans="1:21" ht="43.5">
      <c r="A86" s="31">
        <v>6</v>
      </c>
      <c r="B86" s="40" t="s">
        <v>108</v>
      </c>
      <c r="C86" s="3" t="s">
        <v>107</v>
      </c>
      <c r="D86" s="31" t="s">
        <v>2398</v>
      </c>
      <c r="E86" s="28" t="s">
        <v>2399</v>
      </c>
      <c r="F86" s="28" t="s">
        <v>1329</v>
      </c>
      <c r="G86" s="28" t="s">
        <v>109</v>
      </c>
      <c r="H86" s="28" t="s">
        <v>88</v>
      </c>
      <c r="I86" s="21">
        <v>29.690674900000001</v>
      </c>
      <c r="J86" s="21">
        <v>76.837599999999995</v>
      </c>
      <c r="K86" s="21" t="s">
        <v>2276</v>
      </c>
      <c r="L86" s="3">
        <v>2018</v>
      </c>
      <c r="M86" s="3">
        <v>2018</v>
      </c>
      <c r="N86" s="3" t="s">
        <v>2276</v>
      </c>
      <c r="O86" s="3" t="s">
        <v>67</v>
      </c>
      <c r="P86" s="5" t="s">
        <v>5187</v>
      </c>
      <c r="Q86" s="4" t="s">
        <v>1498</v>
      </c>
      <c r="U86" s="14"/>
    </row>
    <row r="87" spans="1:21" ht="43.5">
      <c r="A87" s="31">
        <v>6</v>
      </c>
      <c r="B87" s="40" t="s">
        <v>108</v>
      </c>
      <c r="C87" s="3" t="s">
        <v>1317</v>
      </c>
      <c r="D87" s="31" t="s">
        <v>2398</v>
      </c>
      <c r="E87" s="28" t="s">
        <v>2399</v>
      </c>
      <c r="F87" s="28" t="s">
        <v>1330</v>
      </c>
      <c r="G87" s="28" t="s">
        <v>109</v>
      </c>
      <c r="H87" s="28" t="s">
        <v>88</v>
      </c>
      <c r="I87" s="21">
        <v>29.690674900000001</v>
      </c>
      <c r="J87" s="21">
        <v>76.837599999999995</v>
      </c>
      <c r="K87" s="21" t="s">
        <v>2276</v>
      </c>
      <c r="L87" s="3">
        <v>2018</v>
      </c>
      <c r="M87" s="3">
        <v>2018</v>
      </c>
      <c r="N87" s="3" t="s">
        <v>2276</v>
      </c>
      <c r="O87" s="3" t="s">
        <v>67</v>
      </c>
      <c r="P87" s="5" t="s">
        <v>5187</v>
      </c>
      <c r="Q87" s="4" t="s">
        <v>1498</v>
      </c>
      <c r="U87" s="14"/>
    </row>
    <row r="88" spans="1:21" ht="43.5">
      <c r="A88" s="31">
        <v>6</v>
      </c>
      <c r="B88" s="40" t="s">
        <v>108</v>
      </c>
      <c r="C88" s="3" t="s">
        <v>1318</v>
      </c>
      <c r="D88" s="31" t="s">
        <v>2398</v>
      </c>
      <c r="E88" s="28" t="s">
        <v>2399</v>
      </c>
      <c r="F88" s="28" t="s">
        <v>1331</v>
      </c>
      <c r="G88" s="28" t="s">
        <v>109</v>
      </c>
      <c r="H88" s="28" t="s">
        <v>88</v>
      </c>
      <c r="I88" s="21">
        <v>29.690674900000001</v>
      </c>
      <c r="J88" s="21">
        <v>76.837599999999995</v>
      </c>
      <c r="K88" s="21" t="s">
        <v>2276</v>
      </c>
      <c r="L88" s="3">
        <v>2018</v>
      </c>
      <c r="M88" s="3">
        <v>2018</v>
      </c>
      <c r="N88" s="3" t="s">
        <v>2276</v>
      </c>
      <c r="O88" s="3" t="s">
        <v>67</v>
      </c>
      <c r="P88" s="5" t="s">
        <v>5187</v>
      </c>
      <c r="Q88" s="4" t="s">
        <v>1498</v>
      </c>
      <c r="U88" s="14"/>
    </row>
    <row r="89" spans="1:21" ht="43.5">
      <c r="A89" s="31">
        <v>6</v>
      </c>
      <c r="B89" s="40" t="s">
        <v>108</v>
      </c>
      <c r="C89" s="3" t="s">
        <v>1319</v>
      </c>
      <c r="D89" s="31" t="s">
        <v>2398</v>
      </c>
      <c r="E89" s="28" t="s">
        <v>2399</v>
      </c>
      <c r="F89" s="28" t="s">
        <v>1332</v>
      </c>
      <c r="G89" s="28" t="s">
        <v>109</v>
      </c>
      <c r="H89" s="28" t="s">
        <v>88</v>
      </c>
      <c r="I89" s="21">
        <v>29.690674900000001</v>
      </c>
      <c r="J89" s="21">
        <v>76.837599999999995</v>
      </c>
      <c r="K89" s="21" t="s">
        <v>2276</v>
      </c>
      <c r="L89" s="3">
        <v>2018</v>
      </c>
      <c r="M89" s="3">
        <v>2018</v>
      </c>
      <c r="N89" s="3" t="s">
        <v>2276</v>
      </c>
      <c r="O89" s="3" t="s">
        <v>67</v>
      </c>
      <c r="P89" s="5" t="s">
        <v>5187</v>
      </c>
      <c r="Q89" s="4" t="s">
        <v>1498</v>
      </c>
      <c r="U89" s="14"/>
    </row>
    <row r="90" spans="1:21" ht="43.5">
      <c r="A90" s="31">
        <v>6</v>
      </c>
      <c r="B90" s="40" t="s">
        <v>108</v>
      </c>
      <c r="C90" s="3" t="s">
        <v>1320</v>
      </c>
      <c r="D90" s="31" t="s">
        <v>2398</v>
      </c>
      <c r="E90" s="28" t="s">
        <v>2399</v>
      </c>
      <c r="F90" s="28" t="s">
        <v>1333</v>
      </c>
      <c r="G90" s="28" t="s">
        <v>109</v>
      </c>
      <c r="H90" s="28" t="s">
        <v>88</v>
      </c>
      <c r="I90" s="21">
        <v>29.690674900000001</v>
      </c>
      <c r="J90" s="21">
        <v>76.837599999999995</v>
      </c>
      <c r="K90" s="21" t="s">
        <v>2276</v>
      </c>
      <c r="L90" s="3">
        <v>2018</v>
      </c>
      <c r="M90" s="3">
        <v>2018</v>
      </c>
      <c r="N90" s="3" t="s">
        <v>2276</v>
      </c>
      <c r="O90" s="3" t="s">
        <v>67</v>
      </c>
      <c r="P90" s="5" t="s">
        <v>5187</v>
      </c>
      <c r="Q90" s="4" t="s">
        <v>1498</v>
      </c>
      <c r="U90" s="14"/>
    </row>
    <row r="91" spans="1:21" ht="43.5">
      <c r="A91" s="31">
        <v>6</v>
      </c>
      <c r="B91" s="40" t="s">
        <v>108</v>
      </c>
      <c r="C91" s="3" t="s">
        <v>1321</v>
      </c>
      <c r="D91" s="31" t="s">
        <v>2398</v>
      </c>
      <c r="E91" s="28" t="s">
        <v>2399</v>
      </c>
      <c r="F91" s="28" t="s">
        <v>1334</v>
      </c>
      <c r="G91" s="28" t="s">
        <v>109</v>
      </c>
      <c r="H91" s="28" t="s">
        <v>88</v>
      </c>
      <c r="I91" s="21">
        <v>29.690674900000001</v>
      </c>
      <c r="J91" s="21">
        <v>76.837599999999995</v>
      </c>
      <c r="K91" s="21" t="s">
        <v>2276</v>
      </c>
      <c r="L91" s="3">
        <v>2018</v>
      </c>
      <c r="M91" s="3">
        <v>2018</v>
      </c>
      <c r="N91" s="3" t="s">
        <v>2276</v>
      </c>
      <c r="O91" s="3" t="s">
        <v>67</v>
      </c>
      <c r="P91" s="5" t="s">
        <v>5187</v>
      </c>
      <c r="Q91" s="4" t="s">
        <v>1498</v>
      </c>
      <c r="U91" s="14"/>
    </row>
    <row r="92" spans="1:21" ht="43.5">
      <c r="A92" s="31">
        <v>6</v>
      </c>
      <c r="B92" s="40" t="s">
        <v>108</v>
      </c>
      <c r="C92" s="3" t="s">
        <v>1322</v>
      </c>
      <c r="D92" s="31" t="s">
        <v>2398</v>
      </c>
      <c r="E92" s="28" t="s">
        <v>2399</v>
      </c>
      <c r="F92" s="28" t="s">
        <v>1335</v>
      </c>
      <c r="G92" s="28" t="s">
        <v>109</v>
      </c>
      <c r="H92" s="28" t="s">
        <v>88</v>
      </c>
      <c r="I92" s="21">
        <v>29.690674900000001</v>
      </c>
      <c r="J92" s="21">
        <v>76.837599999999995</v>
      </c>
      <c r="K92" s="21" t="s">
        <v>2276</v>
      </c>
      <c r="L92" s="3">
        <v>2018</v>
      </c>
      <c r="M92" s="3">
        <v>2018</v>
      </c>
      <c r="N92" s="3" t="s">
        <v>2276</v>
      </c>
      <c r="O92" s="3" t="s">
        <v>67</v>
      </c>
      <c r="P92" s="5" t="s">
        <v>5187</v>
      </c>
      <c r="Q92" s="4" t="s">
        <v>1498</v>
      </c>
      <c r="U92" s="14"/>
    </row>
    <row r="93" spans="1:21" ht="43.5">
      <c r="A93" s="31">
        <v>6</v>
      </c>
      <c r="B93" s="40" t="s">
        <v>108</v>
      </c>
      <c r="C93" s="3" t="s">
        <v>1323</v>
      </c>
      <c r="D93" s="31" t="s">
        <v>2398</v>
      </c>
      <c r="E93" s="28" t="s">
        <v>2399</v>
      </c>
      <c r="F93" s="28" t="s">
        <v>1336</v>
      </c>
      <c r="G93" s="28" t="s">
        <v>109</v>
      </c>
      <c r="H93" s="28" t="s">
        <v>88</v>
      </c>
      <c r="I93" s="21">
        <v>29.690674900000001</v>
      </c>
      <c r="J93" s="21">
        <v>76.837599999999995</v>
      </c>
      <c r="K93" s="21" t="s">
        <v>2276</v>
      </c>
      <c r="L93" s="3">
        <v>2018</v>
      </c>
      <c r="M93" s="3">
        <v>2018</v>
      </c>
      <c r="N93" s="3" t="s">
        <v>2276</v>
      </c>
      <c r="O93" s="3" t="s">
        <v>67</v>
      </c>
      <c r="P93" s="5" t="s">
        <v>5187</v>
      </c>
      <c r="Q93" s="4" t="s">
        <v>1498</v>
      </c>
      <c r="U93" s="14"/>
    </row>
    <row r="94" spans="1:21" ht="43.5">
      <c r="A94" s="31">
        <v>6</v>
      </c>
      <c r="B94" s="40" t="s">
        <v>108</v>
      </c>
      <c r="C94" s="3" t="s">
        <v>1324</v>
      </c>
      <c r="D94" s="31" t="s">
        <v>2398</v>
      </c>
      <c r="E94" s="28" t="s">
        <v>2399</v>
      </c>
      <c r="F94" s="28" t="s">
        <v>1337</v>
      </c>
      <c r="G94" s="28" t="s">
        <v>109</v>
      </c>
      <c r="H94" s="28" t="s">
        <v>88</v>
      </c>
      <c r="I94" s="21">
        <v>29.690674900000001</v>
      </c>
      <c r="J94" s="21">
        <v>76.837599999999995</v>
      </c>
      <c r="K94" s="21" t="s">
        <v>2276</v>
      </c>
      <c r="L94" s="3">
        <v>2018</v>
      </c>
      <c r="M94" s="3">
        <v>2018</v>
      </c>
      <c r="N94" s="3" t="s">
        <v>2276</v>
      </c>
      <c r="O94" s="3" t="s">
        <v>67</v>
      </c>
      <c r="P94" s="5" t="s">
        <v>5187</v>
      </c>
      <c r="Q94" s="4" t="s">
        <v>1498</v>
      </c>
      <c r="U94" s="14"/>
    </row>
    <row r="95" spans="1:21" ht="43.5">
      <c r="A95" s="31">
        <v>6</v>
      </c>
      <c r="B95" s="40" t="s">
        <v>108</v>
      </c>
      <c r="C95" s="3" t="s">
        <v>1325</v>
      </c>
      <c r="D95" s="31" t="s">
        <v>2398</v>
      </c>
      <c r="E95" s="28" t="s">
        <v>2399</v>
      </c>
      <c r="F95" s="28" t="s">
        <v>1338</v>
      </c>
      <c r="G95" s="28" t="s">
        <v>109</v>
      </c>
      <c r="H95" s="28" t="s">
        <v>88</v>
      </c>
      <c r="I95" s="21">
        <v>29.690674900000001</v>
      </c>
      <c r="J95" s="21">
        <v>76.837599999999995</v>
      </c>
      <c r="K95" s="21" t="s">
        <v>2276</v>
      </c>
      <c r="L95" s="3">
        <v>2018</v>
      </c>
      <c r="M95" s="3">
        <v>2018</v>
      </c>
      <c r="N95" s="3" t="s">
        <v>2276</v>
      </c>
      <c r="O95" s="3" t="s">
        <v>67</v>
      </c>
      <c r="P95" s="5" t="s">
        <v>5187</v>
      </c>
      <c r="Q95" s="4" t="s">
        <v>1498</v>
      </c>
      <c r="U95" s="14"/>
    </row>
    <row r="96" spans="1:21" ht="43.5">
      <c r="A96" s="31">
        <v>6</v>
      </c>
      <c r="B96" s="40" t="s">
        <v>108</v>
      </c>
      <c r="C96" s="3" t="s">
        <v>1326</v>
      </c>
      <c r="D96" s="31" t="s">
        <v>2398</v>
      </c>
      <c r="E96" s="28" t="s">
        <v>2399</v>
      </c>
      <c r="F96" s="28" t="s">
        <v>1339</v>
      </c>
      <c r="G96" s="28" t="s">
        <v>109</v>
      </c>
      <c r="H96" s="28" t="s">
        <v>88</v>
      </c>
      <c r="I96" s="21">
        <v>29.690674900000001</v>
      </c>
      <c r="J96" s="21">
        <v>76.837599999999995</v>
      </c>
      <c r="K96" s="21" t="s">
        <v>2276</v>
      </c>
      <c r="L96" s="3">
        <v>2018</v>
      </c>
      <c r="M96" s="3">
        <v>2018</v>
      </c>
      <c r="N96" s="3" t="s">
        <v>2276</v>
      </c>
      <c r="O96" s="3" t="s">
        <v>67</v>
      </c>
      <c r="P96" s="5" t="s">
        <v>5187</v>
      </c>
      <c r="Q96" s="4" t="s">
        <v>1498</v>
      </c>
      <c r="U96" s="14"/>
    </row>
    <row r="97" spans="1:21" ht="43.5">
      <c r="A97" s="31">
        <v>6</v>
      </c>
      <c r="B97" s="40" t="s">
        <v>108</v>
      </c>
      <c r="C97" s="3" t="s">
        <v>1361</v>
      </c>
      <c r="D97" s="31" t="s">
        <v>2398</v>
      </c>
      <c r="E97" s="28" t="s">
        <v>2399</v>
      </c>
      <c r="F97" s="28" t="s">
        <v>1362</v>
      </c>
      <c r="G97" s="28" t="s">
        <v>109</v>
      </c>
      <c r="H97" s="28" t="s">
        <v>88</v>
      </c>
      <c r="I97" s="21">
        <v>29.690674900000001</v>
      </c>
      <c r="J97" s="21">
        <v>76.837599999999995</v>
      </c>
      <c r="K97" s="21" t="s">
        <v>2276</v>
      </c>
      <c r="L97" s="3">
        <v>2018</v>
      </c>
      <c r="M97" s="3">
        <v>2018</v>
      </c>
      <c r="N97" s="3" t="s">
        <v>2276</v>
      </c>
      <c r="O97" s="3" t="s">
        <v>67</v>
      </c>
      <c r="P97" s="5" t="s">
        <v>5187</v>
      </c>
      <c r="Q97" s="4" t="s">
        <v>1498</v>
      </c>
      <c r="U97" s="14"/>
    </row>
    <row r="98" spans="1:21" ht="40" customHeight="1">
      <c r="A98" s="31">
        <v>7</v>
      </c>
      <c r="B98" s="40" t="s">
        <v>113</v>
      </c>
      <c r="C98" s="3" t="s">
        <v>112</v>
      </c>
      <c r="D98" s="31" t="s">
        <v>2398</v>
      </c>
      <c r="E98" s="28" t="s">
        <v>2399</v>
      </c>
      <c r="F98" s="28" t="s">
        <v>2276</v>
      </c>
      <c r="G98" s="28" t="s">
        <v>1382</v>
      </c>
      <c r="H98" s="28" t="s">
        <v>114</v>
      </c>
      <c r="I98" s="21">
        <v>33.950000000000003</v>
      </c>
      <c r="J98" s="21">
        <v>118.29</v>
      </c>
      <c r="K98" s="21" t="s">
        <v>2276</v>
      </c>
      <c r="L98" s="3">
        <v>2006</v>
      </c>
      <c r="M98" s="3">
        <v>2006</v>
      </c>
      <c r="N98" s="3" t="s">
        <v>2276</v>
      </c>
      <c r="O98" s="3" t="s">
        <v>67</v>
      </c>
      <c r="P98" s="5" t="s">
        <v>5187</v>
      </c>
      <c r="Q98" s="3" t="s">
        <v>1383</v>
      </c>
      <c r="U98" s="14"/>
    </row>
    <row r="99" spans="1:21" ht="45.5" customHeight="1">
      <c r="A99" s="31">
        <v>8</v>
      </c>
      <c r="B99" s="40" t="s">
        <v>122</v>
      </c>
      <c r="C99" s="3" t="s">
        <v>123</v>
      </c>
      <c r="D99" s="31" t="s">
        <v>2398</v>
      </c>
      <c r="E99" s="28" t="s">
        <v>2399</v>
      </c>
      <c r="F99" s="24" t="s">
        <v>2276</v>
      </c>
      <c r="G99" s="24" t="s">
        <v>5028</v>
      </c>
      <c r="H99" s="28" t="s">
        <v>121</v>
      </c>
      <c r="I99" s="21">
        <v>-3.0722933000000001</v>
      </c>
      <c r="J99" s="21">
        <v>-55.513213499999999</v>
      </c>
      <c r="K99" s="21" t="s">
        <v>2276</v>
      </c>
      <c r="L99" s="3">
        <v>2010</v>
      </c>
      <c r="M99" s="3">
        <v>2010</v>
      </c>
      <c r="N99" s="3" t="s">
        <v>2276</v>
      </c>
      <c r="O99" s="3" t="s">
        <v>67</v>
      </c>
      <c r="P99" s="5" t="s">
        <v>5187</v>
      </c>
      <c r="Q99" s="3" t="s">
        <v>1383</v>
      </c>
      <c r="U99" s="13"/>
    </row>
    <row r="100" spans="1:21" ht="48.5" customHeight="1">
      <c r="A100" s="31">
        <v>9</v>
      </c>
      <c r="B100" s="40" t="s">
        <v>154</v>
      </c>
      <c r="C100" s="3" t="s">
        <v>133</v>
      </c>
      <c r="D100" s="31" t="s">
        <v>2398</v>
      </c>
      <c r="E100" s="28" t="s">
        <v>2405</v>
      </c>
      <c r="F100" s="29" t="s">
        <v>2276</v>
      </c>
      <c r="G100" s="29" t="s">
        <v>135</v>
      </c>
      <c r="H100" s="28" t="s">
        <v>134</v>
      </c>
      <c r="I100" s="21">
        <v>-9.37635E-2</v>
      </c>
      <c r="J100" s="21">
        <v>-72.040356399999993</v>
      </c>
      <c r="K100" s="21">
        <v>280000</v>
      </c>
      <c r="L100" s="3">
        <v>2005</v>
      </c>
      <c r="M100" s="3">
        <v>2005</v>
      </c>
      <c r="N100" s="3" t="s">
        <v>2276</v>
      </c>
      <c r="O100" s="3" t="s">
        <v>67</v>
      </c>
      <c r="P100" s="5" t="s">
        <v>5187</v>
      </c>
      <c r="Q100" s="4" t="s">
        <v>1384</v>
      </c>
      <c r="U100" s="13"/>
    </row>
    <row r="101" spans="1:21" ht="34" customHeight="1">
      <c r="A101" s="31">
        <v>9</v>
      </c>
      <c r="B101" s="40" t="s">
        <v>154</v>
      </c>
      <c r="C101" s="3" t="s">
        <v>136</v>
      </c>
      <c r="D101" s="31" t="s">
        <v>2398</v>
      </c>
      <c r="E101" s="28" t="s">
        <v>2405</v>
      </c>
      <c r="F101" s="29" t="s">
        <v>2276</v>
      </c>
      <c r="G101" s="29" t="s">
        <v>398</v>
      </c>
      <c r="H101" s="28" t="s">
        <v>134</v>
      </c>
      <c r="I101" s="21">
        <v>-9.37635E-2</v>
      </c>
      <c r="J101" s="21">
        <v>-72.040356399999993</v>
      </c>
      <c r="K101" s="21">
        <v>177800</v>
      </c>
      <c r="L101" s="3">
        <v>2005</v>
      </c>
      <c r="M101" s="3">
        <v>2005</v>
      </c>
      <c r="N101" s="3" t="s">
        <v>2276</v>
      </c>
      <c r="O101" s="3" t="s">
        <v>67</v>
      </c>
      <c r="P101" s="5" t="s">
        <v>5187</v>
      </c>
      <c r="Q101" s="3" t="s">
        <v>1383</v>
      </c>
    </row>
    <row r="102" spans="1:21" ht="48" customHeight="1">
      <c r="A102" s="31">
        <v>10</v>
      </c>
      <c r="B102" s="57" t="s">
        <v>2297</v>
      </c>
      <c r="C102" s="11" t="s">
        <v>145</v>
      </c>
      <c r="D102" s="31" t="s">
        <v>2398</v>
      </c>
      <c r="E102" s="28" t="s">
        <v>2399</v>
      </c>
      <c r="F102" s="30" t="s">
        <v>2298</v>
      </c>
      <c r="G102" s="30" t="s">
        <v>2299</v>
      </c>
      <c r="H102" s="43" t="s">
        <v>895</v>
      </c>
      <c r="I102" s="74">
        <v>-0.25</v>
      </c>
      <c r="J102" s="74">
        <v>116.5</v>
      </c>
      <c r="K102" s="74" t="s">
        <v>2276</v>
      </c>
      <c r="L102" s="94">
        <v>2001</v>
      </c>
      <c r="M102" s="94">
        <v>2001</v>
      </c>
      <c r="N102" s="74" t="s">
        <v>2276</v>
      </c>
      <c r="O102" s="3" t="s">
        <v>67</v>
      </c>
      <c r="P102" s="5" t="s">
        <v>5187</v>
      </c>
      <c r="Q102" s="19" t="s">
        <v>2306</v>
      </c>
    </row>
    <row r="103" spans="1:21" ht="64" customHeight="1">
      <c r="A103" s="31">
        <v>11</v>
      </c>
      <c r="B103" s="40" t="s">
        <v>151</v>
      </c>
      <c r="C103" s="3" t="s">
        <v>150</v>
      </c>
      <c r="D103" s="31" t="s">
        <v>2398</v>
      </c>
      <c r="E103" s="29" t="s">
        <v>2406</v>
      </c>
      <c r="F103" s="29" t="s">
        <v>152</v>
      </c>
      <c r="G103" s="29" t="s">
        <v>1381</v>
      </c>
      <c r="H103" s="28" t="s">
        <v>134</v>
      </c>
      <c r="I103" s="21">
        <v>2</v>
      </c>
      <c r="J103" s="21">
        <v>-72.5</v>
      </c>
      <c r="K103" s="21">
        <v>54136</v>
      </c>
      <c r="L103" s="3">
        <v>2001</v>
      </c>
      <c r="M103" s="3">
        <v>2009</v>
      </c>
      <c r="N103" s="3" t="s">
        <v>2276</v>
      </c>
      <c r="O103" s="3" t="s">
        <v>67</v>
      </c>
      <c r="P103" s="5" t="s">
        <v>5187</v>
      </c>
      <c r="Q103" s="4" t="s">
        <v>1385</v>
      </c>
    </row>
    <row r="104" spans="1:21" ht="94.5" customHeight="1">
      <c r="A104" s="31">
        <v>12</v>
      </c>
      <c r="B104" s="40" t="s">
        <v>164</v>
      </c>
      <c r="C104" s="3" t="s">
        <v>162</v>
      </c>
      <c r="D104" s="31" t="s">
        <v>2398</v>
      </c>
      <c r="E104" s="29" t="s">
        <v>2406</v>
      </c>
      <c r="F104" s="29" t="s">
        <v>2276</v>
      </c>
      <c r="G104" s="29" t="s">
        <v>165</v>
      </c>
      <c r="H104" s="28" t="s">
        <v>121</v>
      </c>
      <c r="I104" s="21" t="s">
        <v>2</v>
      </c>
      <c r="J104" s="21" t="s">
        <v>2</v>
      </c>
      <c r="K104" s="21">
        <v>900000</v>
      </c>
      <c r="L104" s="3">
        <v>2002</v>
      </c>
      <c r="M104" s="3">
        <v>2012</v>
      </c>
      <c r="N104" s="3" t="s">
        <v>2276</v>
      </c>
      <c r="O104" s="3" t="s">
        <v>149</v>
      </c>
      <c r="P104" s="5" t="s">
        <v>5187</v>
      </c>
      <c r="Q104" s="4" t="s">
        <v>1388</v>
      </c>
    </row>
    <row r="105" spans="1:21" ht="41" customHeight="1">
      <c r="A105" s="31">
        <v>12</v>
      </c>
      <c r="B105" s="40" t="s">
        <v>164</v>
      </c>
      <c r="C105" s="3" t="s">
        <v>163</v>
      </c>
      <c r="D105" s="31" t="s">
        <v>2398</v>
      </c>
      <c r="E105" s="29" t="s">
        <v>2406</v>
      </c>
      <c r="F105" s="29" t="s">
        <v>2276</v>
      </c>
      <c r="G105" s="29" t="s">
        <v>166</v>
      </c>
      <c r="H105" s="28" t="s">
        <v>121</v>
      </c>
      <c r="I105" s="21" t="s">
        <v>2</v>
      </c>
      <c r="J105" s="21" t="s">
        <v>2</v>
      </c>
      <c r="K105" s="21">
        <v>1200000</v>
      </c>
      <c r="L105" s="3">
        <v>2002</v>
      </c>
      <c r="M105" s="3">
        <v>2012</v>
      </c>
      <c r="N105" s="3" t="s">
        <v>2276</v>
      </c>
      <c r="O105" s="3" t="s">
        <v>149</v>
      </c>
      <c r="P105" s="5" t="s">
        <v>5187</v>
      </c>
      <c r="Q105" s="3"/>
    </row>
    <row r="106" spans="1:21" ht="41" customHeight="1">
      <c r="A106" s="31">
        <v>13</v>
      </c>
      <c r="B106" s="40" t="s">
        <v>177</v>
      </c>
      <c r="C106" s="3" t="s">
        <v>174</v>
      </c>
      <c r="D106" s="31" t="s">
        <v>2398</v>
      </c>
      <c r="E106" s="28" t="s">
        <v>2399</v>
      </c>
      <c r="F106" s="29" t="s">
        <v>178</v>
      </c>
      <c r="G106" s="29" t="s">
        <v>2276</v>
      </c>
      <c r="H106" s="28" t="s">
        <v>181</v>
      </c>
      <c r="I106" s="21">
        <v>4.05</v>
      </c>
      <c r="J106" s="21">
        <v>11.55</v>
      </c>
      <c r="K106" s="21" t="s">
        <v>2276</v>
      </c>
      <c r="L106" s="3">
        <v>2003</v>
      </c>
      <c r="M106" s="3">
        <v>2003</v>
      </c>
      <c r="N106" s="22">
        <v>85.3</v>
      </c>
      <c r="O106" s="3" t="s">
        <v>183</v>
      </c>
      <c r="P106" s="5" t="s">
        <v>5187</v>
      </c>
      <c r="Q106" s="3"/>
    </row>
    <row r="107" spans="1:21" ht="41" customHeight="1">
      <c r="A107" s="31">
        <v>13</v>
      </c>
      <c r="B107" s="40" t="s">
        <v>177</v>
      </c>
      <c r="C107" s="3" t="s">
        <v>175</v>
      </c>
      <c r="D107" s="31" t="s">
        <v>2398</v>
      </c>
      <c r="E107" s="28" t="s">
        <v>2399</v>
      </c>
      <c r="F107" s="29" t="s">
        <v>179</v>
      </c>
      <c r="G107" s="29" t="s">
        <v>2276</v>
      </c>
      <c r="H107" s="28" t="s">
        <v>181</v>
      </c>
      <c r="I107" s="21">
        <v>3.91</v>
      </c>
      <c r="J107" s="21">
        <v>11.87</v>
      </c>
      <c r="K107" s="21" t="s">
        <v>2276</v>
      </c>
      <c r="L107" s="3">
        <v>2003</v>
      </c>
      <c r="M107" s="3">
        <v>2003</v>
      </c>
      <c r="N107" s="22">
        <v>35.9</v>
      </c>
      <c r="O107" s="3" t="s">
        <v>183</v>
      </c>
      <c r="P107" s="5" t="s">
        <v>5187</v>
      </c>
      <c r="Q107" s="3"/>
    </row>
    <row r="108" spans="1:21" ht="41" customHeight="1">
      <c r="A108" s="31">
        <v>13</v>
      </c>
      <c r="B108" s="40" t="s">
        <v>177</v>
      </c>
      <c r="C108" s="3" t="s">
        <v>176</v>
      </c>
      <c r="D108" s="31" t="s">
        <v>2398</v>
      </c>
      <c r="E108" s="28" t="s">
        <v>2399</v>
      </c>
      <c r="F108" s="29" t="s">
        <v>180</v>
      </c>
      <c r="G108" s="29" t="s">
        <v>2276</v>
      </c>
      <c r="H108" s="28" t="s">
        <v>181</v>
      </c>
      <c r="I108" s="21">
        <v>2.81</v>
      </c>
      <c r="J108" s="21">
        <v>10.31</v>
      </c>
      <c r="K108" s="21" t="s">
        <v>2276</v>
      </c>
      <c r="L108" s="3">
        <v>2003</v>
      </c>
      <c r="M108" s="3">
        <v>2003</v>
      </c>
      <c r="N108" s="22">
        <v>7.8</v>
      </c>
      <c r="O108" s="3" t="s">
        <v>183</v>
      </c>
      <c r="P108" s="5" t="s">
        <v>5187</v>
      </c>
      <c r="Q108" s="3"/>
    </row>
    <row r="109" spans="1:21" ht="41" customHeight="1">
      <c r="A109" s="31">
        <v>14</v>
      </c>
      <c r="B109" s="40" t="s">
        <v>374</v>
      </c>
      <c r="C109" s="3" t="s">
        <v>373</v>
      </c>
      <c r="D109" s="31" t="s">
        <v>2398</v>
      </c>
      <c r="E109" s="28" t="s">
        <v>2399</v>
      </c>
      <c r="F109" s="29" t="s">
        <v>375</v>
      </c>
      <c r="G109" s="29" t="s">
        <v>2276</v>
      </c>
      <c r="H109" s="28" t="s">
        <v>376</v>
      </c>
      <c r="I109" s="21">
        <v>8.91</v>
      </c>
      <c r="J109" s="21">
        <v>-78.5</v>
      </c>
      <c r="K109" s="21">
        <v>32</v>
      </c>
      <c r="L109" s="3">
        <v>2004</v>
      </c>
      <c r="M109" s="3">
        <v>2004</v>
      </c>
      <c r="N109" s="3" t="s">
        <v>2276</v>
      </c>
      <c r="O109" s="3" t="s">
        <v>183</v>
      </c>
      <c r="P109" s="5" t="s">
        <v>5187</v>
      </c>
      <c r="Q109" s="3"/>
    </row>
    <row r="110" spans="1:21" ht="41" customHeight="1">
      <c r="A110" s="31">
        <v>15</v>
      </c>
      <c r="B110" s="40" t="s">
        <v>384</v>
      </c>
      <c r="C110" s="3" t="s">
        <v>382</v>
      </c>
      <c r="D110" s="31" t="s">
        <v>2398</v>
      </c>
      <c r="E110" s="28" t="s">
        <v>2399</v>
      </c>
      <c r="F110" s="29" t="s">
        <v>386</v>
      </c>
      <c r="G110" s="29" t="s">
        <v>2276</v>
      </c>
      <c r="H110" s="28" t="s">
        <v>385</v>
      </c>
      <c r="I110" s="21">
        <v>-6.1333333333333302</v>
      </c>
      <c r="J110" s="21">
        <v>37.116666666666703</v>
      </c>
      <c r="K110" s="21">
        <v>125.3</v>
      </c>
      <c r="L110" s="3">
        <v>1995</v>
      </c>
      <c r="M110" s="3">
        <v>1995</v>
      </c>
      <c r="N110" s="3" t="s">
        <v>2276</v>
      </c>
      <c r="O110" s="3" t="s">
        <v>183</v>
      </c>
      <c r="P110" s="5" t="s">
        <v>5187</v>
      </c>
      <c r="Q110" s="3"/>
    </row>
    <row r="111" spans="1:21" ht="41" customHeight="1">
      <c r="A111" s="31">
        <v>15</v>
      </c>
      <c r="B111" s="40" t="s">
        <v>384</v>
      </c>
      <c r="C111" s="3" t="s">
        <v>383</v>
      </c>
      <c r="D111" s="31" t="s">
        <v>2398</v>
      </c>
      <c r="E111" s="28" t="s">
        <v>2399</v>
      </c>
      <c r="F111" s="29" t="s">
        <v>387</v>
      </c>
      <c r="G111" s="29" t="s">
        <v>2276</v>
      </c>
      <c r="H111" s="28" t="s">
        <v>385</v>
      </c>
      <c r="I111" s="21">
        <v>-7.0333333333333297</v>
      </c>
      <c r="J111" s="21">
        <v>36.15</v>
      </c>
      <c r="K111" s="21">
        <v>42.77</v>
      </c>
      <c r="L111" s="3">
        <v>1995</v>
      </c>
      <c r="M111" s="3">
        <v>1995</v>
      </c>
      <c r="N111" s="3" t="s">
        <v>2276</v>
      </c>
      <c r="O111" s="3" t="s">
        <v>183</v>
      </c>
      <c r="P111" s="5" t="s">
        <v>5187</v>
      </c>
      <c r="Q111" s="3"/>
    </row>
    <row r="112" spans="1:21" ht="32.5" customHeight="1">
      <c r="A112" s="31">
        <v>15</v>
      </c>
      <c r="B112" s="40" t="s">
        <v>384</v>
      </c>
      <c r="C112" s="3" t="s">
        <v>388</v>
      </c>
      <c r="D112" s="31" t="s">
        <v>2398</v>
      </c>
      <c r="E112" s="28" t="s">
        <v>2399</v>
      </c>
      <c r="F112" s="29" t="s">
        <v>386</v>
      </c>
      <c r="G112" s="29" t="s">
        <v>2276</v>
      </c>
      <c r="H112" s="28" t="s">
        <v>385</v>
      </c>
      <c r="I112" s="21">
        <v>-6.1333333333333302</v>
      </c>
      <c r="J112" s="21">
        <v>37.116666666666703</v>
      </c>
      <c r="K112" s="21">
        <v>72</v>
      </c>
      <c r="L112" s="3">
        <v>2014</v>
      </c>
      <c r="M112" s="3">
        <v>2014</v>
      </c>
      <c r="N112" s="22">
        <v>18.180555600000002</v>
      </c>
      <c r="O112" s="3" t="s">
        <v>183</v>
      </c>
      <c r="P112" s="5" t="s">
        <v>5187</v>
      </c>
      <c r="Q112" s="3"/>
    </row>
    <row r="113" spans="1:17" ht="40.5" customHeight="1">
      <c r="A113" s="31">
        <v>15</v>
      </c>
      <c r="B113" s="40" t="s">
        <v>384</v>
      </c>
      <c r="C113" s="3" t="s">
        <v>389</v>
      </c>
      <c r="D113" s="31" t="s">
        <v>2398</v>
      </c>
      <c r="E113" s="28" t="s">
        <v>2399</v>
      </c>
      <c r="F113" s="29" t="s">
        <v>387</v>
      </c>
      <c r="G113" s="29" t="s">
        <v>2276</v>
      </c>
      <c r="H113" s="28" t="s">
        <v>385</v>
      </c>
      <c r="I113" s="21">
        <v>-7.0333333333333297</v>
      </c>
      <c r="J113" s="21">
        <v>36.15</v>
      </c>
      <c r="K113" s="21">
        <v>42.77</v>
      </c>
      <c r="L113" s="3">
        <v>2014</v>
      </c>
      <c r="M113" s="3">
        <v>2014</v>
      </c>
      <c r="N113" s="22">
        <v>55.7400047</v>
      </c>
      <c r="O113" s="3" t="s">
        <v>183</v>
      </c>
      <c r="P113" s="5" t="s">
        <v>5187</v>
      </c>
      <c r="Q113" s="3"/>
    </row>
    <row r="114" spans="1:17" ht="48" customHeight="1">
      <c r="A114" s="31">
        <v>16</v>
      </c>
      <c r="B114" s="40" t="s">
        <v>417</v>
      </c>
      <c r="C114" s="3" t="s">
        <v>416</v>
      </c>
      <c r="D114" s="31" t="s">
        <v>2398</v>
      </c>
      <c r="E114" s="28" t="s">
        <v>2399</v>
      </c>
      <c r="F114" s="29" t="s">
        <v>418</v>
      </c>
      <c r="G114" s="29" t="s">
        <v>2276</v>
      </c>
      <c r="H114" s="28" t="s">
        <v>385</v>
      </c>
      <c r="I114" s="21">
        <v>-6.56666666666667</v>
      </c>
      <c r="J114" s="21">
        <v>37.883333333333297</v>
      </c>
      <c r="K114" s="21">
        <v>26.4</v>
      </c>
      <c r="L114" s="3">
        <v>1997</v>
      </c>
      <c r="M114" s="3">
        <v>1997</v>
      </c>
      <c r="N114" s="3">
        <v>22</v>
      </c>
      <c r="O114" s="3" t="s">
        <v>183</v>
      </c>
      <c r="P114" s="5" t="s">
        <v>5187</v>
      </c>
      <c r="Q114" s="3"/>
    </row>
    <row r="115" spans="1:17" ht="40" customHeight="1">
      <c r="A115" s="31">
        <v>17</v>
      </c>
      <c r="B115" s="40" t="s">
        <v>421</v>
      </c>
      <c r="C115" s="3" t="s">
        <v>420</v>
      </c>
      <c r="D115" s="31" t="s">
        <v>2398</v>
      </c>
      <c r="E115" s="28" t="s">
        <v>2399</v>
      </c>
      <c r="F115" s="3" t="s">
        <v>2276</v>
      </c>
      <c r="G115" s="29" t="s">
        <v>423</v>
      </c>
      <c r="H115" s="28" t="s">
        <v>422</v>
      </c>
      <c r="I115" s="21">
        <v>-10.343518400000001</v>
      </c>
      <c r="J115" s="21">
        <v>30.486528799999999</v>
      </c>
      <c r="K115" s="21">
        <v>142087</v>
      </c>
      <c r="L115" s="3">
        <v>1984</v>
      </c>
      <c r="M115" s="3">
        <v>1984</v>
      </c>
      <c r="N115" s="3">
        <v>4.5</v>
      </c>
      <c r="O115" s="3" t="s">
        <v>183</v>
      </c>
      <c r="P115" s="5" t="s">
        <v>5187</v>
      </c>
      <c r="Q115" s="3"/>
    </row>
    <row r="116" spans="1:17" ht="36.5" customHeight="1">
      <c r="A116" s="31">
        <v>17</v>
      </c>
      <c r="B116" s="41" t="s">
        <v>429</v>
      </c>
      <c r="C116" s="3" t="s">
        <v>427</v>
      </c>
      <c r="D116" s="31" t="s">
        <v>2398</v>
      </c>
      <c r="E116" s="28" t="s">
        <v>2399</v>
      </c>
      <c r="F116" s="3" t="s">
        <v>2276</v>
      </c>
      <c r="G116" s="29" t="s">
        <v>423</v>
      </c>
      <c r="H116" s="28" t="s">
        <v>422</v>
      </c>
      <c r="I116" s="21">
        <v>-10.343518400000001</v>
      </c>
      <c r="J116" s="21">
        <v>30.486528799999999</v>
      </c>
      <c r="K116" s="21">
        <v>142087</v>
      </c>
      <c r="L116" s="3">
        <v>1949</v>
      </c>
      <c r="M116" s="3">
        <v>1949</v>
      </c>
      <c r="N116" s="3">
        <v>2.4</v>
      </c>
      <c r="O116" s="3" t="s">
        <v>183</v>
      </c>
      <c r="P116" s="5" t="s">
        <v>5187</v>
      </c>
      <c r="Q116" s="3"/>
    </row>
    <row r="117" spans="1:17" ht="42.5" customHeight="1">
      <c r="A117" s="31">
        <v>18</v>
      </c>
      <c r="B117" s="41" t="s">
        <v>2410</v>
      </c>
      <c r="C117" s="3" t="s">
        <v>430</v>
      </c>
      <c r="D117" s="31" t="s">
        <v>2398</v>
      </c>
      <c r="E117" s="28" t="s">
        <v>2399</v>
      </c>
      <c r="F117" s="29" t="s">
        <v>2276</v>
      </c>
      <c r="G117" s="29" t="s">
        <v>431</v>
      </c>
      <c r="H117" s="28" t="s">
        <v>385</v>
      </c>
      <c r="I117" s="21">
        <v>-5.1100000000000003</v>
      </c>
      <c r="J117" s="21">
        <v>26.05</v>
      </c>
      <c r="K117" s="21">
        <v>142500</v>
      </c>
      <c r="L117" s="3">
        <v>2006</v>
      </c>
      <c r="M117" s="3">
        <v>2007</v>
      </c>
      <c r="N117" s="3" t="s">
        <v>2276</v>
      </c>
      <c r="O117" s="3" t="s">
        <v>67</v>
      </c>
      <c r="P117" s="5" t="s">
        <v>5187</v>
      </c>
      <c r="Q117" s="3"/>
    </row>
    <row r="118" spans="1:17" ht="43.5" customHeight="1">
      <c r="A118" s="31">
        <v>19</v>
      </c>
      <c r="B118" s="40" t="s">
        <v>2411</v>
      </c>
      <c r="C118" s="3" t="s">
        <v>438</v>
      </c>
      <c r="D118" s="31" t="s">
        <v>2398</v>
      </c>
      <c r="E118" s="28" t="s">
        <v>2399</v>
      </c>
      <c r="F118" s="29" t="s">
        <v>439</v>
      </c>
      <c r="G118" s="29" t="s">
        <v>441</v>
      </c>
      <c r="H118" s="28" t="s">
        <v>385</v>
      </c>
      <c r="I118" s="21">
        <v>-7.25</v>
      </c>
      <c r="J118" s="21">
        <v>36.75</v>
      </c>
      <c r="K118" s="21" t="s">
        <v>2276</v>
      </c>
      <c r="L118" s="3">
        <v>2004</v>
      </c>
      <c r="M118" s="3">
        <v>2004</v>
      </c>
      <c r="N118" s="3" t="s">
        <v>2276</v>
      </c>
      <c r="O118" s="3" t="s">
        <v>67</v>
      </c>
      <c r="P118" s="5" t="s">
        <v>5187</v>
      </c>
      <c r="Q118" s="3"/>
    </row>
    <row r="119" spans="1:17" ht="47.5" customHeight="1">
      <c r="A119" s="31">
        <v>20</v>
      </c>
      <c r="B119" s="40" t="s">
        <v>443</v>
      </c>
      <c r="C119" s="3" t="s">
        <v>446</v>
      </c>
      <c r="D119" s="31" t="s">
        <v>2398</v>
      </c>
      <c r="E119" s="28" t="s">
        <v>2399</v>
      </c>
      <c r="F119" s="29" t="s">
        <v>444</v>
      </c>
      <c r="G119" s="3" t="s">
        <v>445</v>
      </c>
      <c r="H119" s="28" t="s">
        <v>385</v>
      </c>
      <c r="I119" s="21">
        <v>-8.68333333333333</v>
      </c>
      <c r="J119" s="21">
        <v>32.299999999999997</v>
      </c>
      <c r="K119" s="21" t="s">
        <v>2276</v>
      </c>
      <c r="L119" s="3">
        <v>2001</v>
      </c>
      <c r="M119" s="3">
        <v>2006</v>
      </c>
      <c r="N119" s="3" t="s">
        <v>2276</v>
      </c>
      <c r="O119" s="3" t="s">
        <v>67</v>
      </c>
      <c r="P119" s="5" t="s">
        <v>5187</v>
      </c>
      <c r="Q119" s="3"/>
    </row>
    <row r="120" spans="1:17" ht="71" customHeight="1">
      <c r="A120" s="31">
        <v>21</v>
      </c>
      <c r="B120" s="40" t="s">
        <v>459</v>
      </c>
      <c r="C120" s="3" t="s">
        <v>454</v>
      </c>
      <c r="D120" s="31" t="s">
        <v>2398</v>
      </c>
      <c r="E120" s="28" t="s">
        <v>2399</v>
      </c>
      <c r="F120" s="29" t="s">
        <v>456</v>
      </c>
      <c r="G120" s="3" t="s">
        <v>457</v>
      </c>
      <c r="H120" s="28" t="s">
        <v>385</v>
      </c>
      <c r="I120" s="21">
        <v>-8.0569529000000006</v>
      </c>
      <c r="J120" s="21">
        <v>31.752707600000001</v>
      </c>
      <c r="K120" s="21" t="s">
        <v>2276</v>
      </c>
      <c r="L120" s="3">
        <v>1991</v>
      </c>
      <c r="M120" s="3">
        <v>1993</v>
      </c>
      <c r="N120" s="3">
        <v>47</v>
      </c>
      <c r="O120" s="3" t="s">
        <v>67</v>
      </c>
      <c r="P120" s="5" t="s">
        <v>5187</v>
      </c>
      <c r="Q120" s="3"/>
    </row>
    <row r="121" spans="1:17" ht="56.5" customHeight="1">
      <c r="A121" s="31">
        <v>21</v>
      </c>
      <c r="B121" s="40" t="s">
        <v>459</v>
      </c>
      <c r="C121" s="3" t="s">
        <v>455</v>
      </c>
      <c r="D121" s="31" t="s">
        <v>2398</v>
      </c>
      <c r="E121" s="28" t="s">
        <v>2399</v>
      </c>
      <c r="F121" s="29" t="s">
        <v>458</v>
      </c>
      <c r="G121" s="29" t="s">
        <v>465</v>
      </c>
      <c r="H121" s="28" t="s">
        <v>422</v>
      </c>
      <c r="I121" s="21">
        <v>-8.9023839000000002</v>
      </c>
      <c r="J121" s="21">
        <v>32.0330455</v>
      </c>
      <c r="K121" s="21" t="s">
        <v>2276</v>
      </c>
      <c r="L121" s="3">
        <v>1991</v>
      </c>
      <c r="M121" s="3">
        <v>1993</v>
      </c>
      <c r="N121" s="3">
        <v>28</v>
      </c>
      <c r="O121" s="3" t="s">
        <v>67</v>
      </c>
      <c r="P121" s="5" t="s">
        <v>5187</v>
      </c>
      <c r="Q121" s="3"/>
    </row>
    <row r="122" spans="1:17" ht="34.5" customHeight="1">
      <c r="A122" s="31">
        <v>22</v>
      </c>
      <c r="B122" s="40" t="s">
        <v>470</v>
      </c>
      <c r="C122" s="3" t="s">
        <v>466</v>
      </c>
      <c r="D122" s="31" t="s">
        <v>2398</v>
      </c>
      <c r="E122" s="28" t="s">
        <v>2399</v>
      </c>
      <c r="F122" s="29" t="s">
        <v>471</v>
      </c>
      <c r="G122" s="3" t="s">
        <v>457</v>
      </c>
      <c r="H122" s="28" t="s">
        <v>385</v>
      </c>
      <c r="I122" s="21">
        <v>-8.7279999999999998</v>
      </c>
      <c r="J122" s="21">
        <v>31.725999999999999</v>
      </c>
      <c r="K122" s="21" t="s">
        <v>2276</v>
      </c>
      <c r="L122" s="3">
        <v>2010</v>
      </c>
      <c r="M122" s="3">
        <v>2010</v>
      </c>
      <c r="N122" s="3">
        <v>86</v>
      </c>
      <c r="O122" s="3" t="s">
        <v>67</v>
      </c>
      <c r="P122" s="5" t="s">
        <v>5187</v>
      </c>
      <c r="Q122" s="3"/>
    </row>
    <row r="123" spans="1:17" ht="40" customHeight="1">
      <c r="A123" s="31">
        <v>22</v>
      </c>
      <c r="B123" s="40" t="s">
        <v>470</v>
      </c>
      <c r="C123" s="3" t="s">
        <v>467</v>
      </c>
      <c r="D123" s="31" t="s">
        <v>2398</v>
      </c>
      <c r="E123" s="28" t="s">
        <v>2399</v>
      </c>
      <c r="F123" s="29" t="s">
        <v>472</v>
      </c>
      <c r="G123" s="3" t="s">
        <v>457</v>
      </c>
      <c r="H123" s="28" t="s">
        <v>385</v>
      </c>
      <c r="I123" s="21">
        <v>-7.4089999999999998</v>
      </c>
      <c r="J123" s="21">
        <v>31.14</v>
      </c>
      <c r="K123" s="21" t="s">
        <v>2276</v>
      </c>
      <c r="L123" s="3">
        <v>2010</v>
      </c>
      <c r="M123" s="3">
        <v>2010</v>
      </c>
      <c r="N123" s="3">
        <v>13.5</v>
      </c>
      <c r="O123" s="3" t="s">
        <v>67</v>
      </c>
      <c r="P123" s="5" t="s">
        <v>5187</v>
      </c>
      <c r="Q123" s="3"/>
    </row>
    <row r="124" spans="1:17" ht="119.5" customHeight="1">
      <c r="A124" s="31">
        <v>22</v>
      </c>
      <c r="B124" s="40" t="s">
        <v>470</v>
      </c>
      <c r="C124" s="3" t="s">
        <v>468</v>
      </c>
      <c r="D124" s="31" t="s">
        <v>2398</v>
      </c>
      <c r="E124" s="28" t="s">
        <v>2399</v>
      </c>
      <c r="F124" s="29" t="s">
        <v>473</v>
      </c>
      <c r="G124" s="3" t="s">
        <v>475</v>
      </c>
      <c r="H124" s="28" t="s">
        <v>422</v>
      </c>
      <c r="I124" s="21">
        <v>-10.436999999999999</v>
      </c>
      <c r="J124" s="21">
        <v>31.257000000000001</v>
      </c>
      <c r="K124" s="21" t="s">
        <v>2276</v>
      </c>
      <c r="L124" s="3">
        <v>2010</v>
      </c>
      <c r="M124" s="3">
        <v>2010</v>
      </c>
      <c r="N124" s="3">
        <v>24</v>
      </c>
      <c r="O124" s="3" t="s">
        <v>67</v>
      </c>
      <c r="P124" s="5" t="s">
        <v>5187</v>
      </c>
      <c r="Q124" s="4" t="s">
        <v>1486</v>
      </c>
    </row>
    <row r="125" spans="1:17" ht="38.5" customHeight="1">
      <c r="A125" s="31">
        <v>22</v>
      </c>
      <c r="B125" s="40" t="s">
        <v>470</v>
      </c>
      <c r="C125" s="3" t="s">
        <v>469</v>
      </c>
      <c r="D125" s="31" t="s">
        <v>2398</v>
      </c>
      <c r="E125" s="28" t="s">
        <v>2399</v>
      </c>
      <c r="F125" s="29" t="s">
        <v>474</v>
      </c>
      <c r="G125" s="3" t="s">
        <v>475</v>
      </c>
      <c r="H125" s="28" t="s">
        <v>422</v>
      </c>
      <c r="I125" s="21">
        <v>-15.913</v>
      </c>
      <c r="J125" s="21">
        <v>25.952999999999999</v>
      </c>
      <c r="K125" s="21" t="s">
        <v>2276</v>
      </c>
      <c r="L125" s="3">
        <v>2010</v>
      </c>
      <c r="M125" s="3">
        <v>2010</v>
      </c>
      <c r="N125" s="3">
        <v>25</v>
      </c>
      <c r="O125" s="3" t="s">
        <v>67</v>
      </c>
      <c r="P125" s="5" t="s">
        <v>5187</v>
      </c>
      <c r="Q125" s="3"/>
    </row>
    <row r="126" spans="1:17" ht="36" customHeight="1">
      <c r="A126" s="31">
        <v>22</v>
      </c>
      <c r="B126" s="40" t="s">
        <v>470</v>
      </c>
      <c r="C126" s="3" t="s">
        <v>497</v>
      </c>
      <c r="D126" s="31" t="s">
        <v>2398</v>
      </c>
      <c r="E126" s="28" t="s">
        <v>2399</v>
      </c>
      <c r="F126" s="29" t="s">
        <v>471</v>
      </c>
      <c r="G126" s="3" t="s">
        <v>457</v>
      </c>
      <c r="H126" s="28" t="s">
        <v>385</v>
      </c>
      <c r="I126" s="21">
        <v>-8.7279999999999998</v>
      </c>
      <c r="J126" s="21">
        <v>31.725999999999999</v>
      </c>
      <c r="K126" s="21" t="s">
        <v>2276</v>
      </c>
      <c r="L126" s="3">
        <v>1990</v>
      </c>
      <c r="M126" s="3">
        <v>1990</v>
      </c>
      <c r="N126" s="3" t="s">
        <v>2276</v>
      </c>
      <c r="O126" s="3" t="s">
        <v>183</v>
      </c>
      <c r="P126" s="5" t="s">
        <v>5187</v>
      </c>
      <c r="Q126" s="3"/>
    </row>
    <row r="127" spans="1:17" ht="28" customHeight="1">
      <c r="A127" s="31">
        <v>22</v>
      </c>
      <c r="B127" s="40" t="s">
        <v>470</v>
      </c>
      <c r="C127" s="3" t="s">
        <v>498</v>
      </c>
      <c r="D127" s="31" t="s">
        <v>2398</v>
      </c>
      <c r="E127" s="28" t="s">
        <v>2399</v>
      </c>
      <c r="F127" s="29" t="s">
        <v>472</v>
      </c>
      <c r="G127" s="3" t="s">
        <v>457</v>
      </c>
      <c r="H127" s="28" t="s">
        <v>385</v>
      </c>
      <c r="I127" s="21">
        <v>-7.4089999999999998</v>
      </c>
      <c r="J127" s="21">
        <v>31.14</v>
      </c>
      <c r="K127" s="21" t="s">
        <v>2276</v>
      </c>
      <c r="L127" s="3">
        <v>1997</v>
      </c>
      <c r="M127" s="3">
        <v>1997</v>
      </c>
      <c r="N127" s="3" t="s">
        <v>2276</v>
      </c>
      <c r="O127" s="3" t="s">
        <v>183</v>
      </c>
      <c r="P127" s="5" t="s">
        <v>5187</v>
      </c>
      <c r="Q127" s="3"/>
    </row>
    <row r="128" spans="1:17" ht="32" customHeight="1">
      <c r="A128" s="31">
        <v>22</v>
      </c>
      <c r="B128" s="40" t="s">
        <v>470</v>
      </c>
      <c r="C128" s="3" t="s">
        <v>499</v>
      </c>
      <c r="D128" s="31" t="s">
        <v>2398</v>
      </c>
      <c r="E128" s="28" t="s">
        <v>2399</v>
      </c>
      <c r="F128" s="29" t="s">
        <v>473</v>
      </c>
      <c r="G128" s="3" t="s">
        <v>475</v>
      </c>
      <c r="H128" s="28" t="s">
        <v>422</v>
      </c>
      <c r="I128" s="21">
        <v>-10.436999999999999</v>
      </c>
      <c r="J128" s="21">
        <v>31.257000000000001</v>
      </c>
      <c r="K128" s="21" t="s">
        <v>2276</v>
      </c>
      <c r="L128" s="95">
        <v>1990</v>
      </c>
      <c r="M128" s="95">
        <v>1990</v>
      </c>
      <c r="N128" s="3" t="s">
        <v>2276</v>
      </c>
      <c r="O128" s="3" t="s">
        <v>183</v>
      </c>
      <c r="P128" s="5" t="s">
        <v>5187</v>
      </c>
      <c r="Q128" s="3"/>
    </row>
    <row r="129" spans="1:17" ht="32" customHeight="1">
      <c r="A129" s="31">
        <v>23</v>
      </c>
      <c r="B129" s="57" t="s">
        <v>2307</v>
      </c>
      <c r="C129" s="11" t="s">
        <v>509</v>
      </c>
      <c r="D129" s="31" t="s">
        <v>2398</v>
      </c>
      <c r="E129" s="43" t="s">
        <v>2400</v>
      </c>
      <c r="F129" s="30" t="s">
        <v>2298</v>
      </c>
      <c r="G129" s="30" t="s">
        <v>2299</v>
      </c>
      <c r="H129" s="43" t="s">
        <v>895</v>
      </c>
      <c r="I129" s="74">
        <v>-0.25</v>
      </c>
      <c r="J129" s="74">
        <v>116.5</v>
      </c>
      <c r="K129" s="74">
        <f>226342/100</f>
        <v>2263.42</v>
      </c>
      <c r="L129" s="94">
        <v>1987</v>
      </c>
      <c r="M129" s="94">
        <v>1992</v>
      </c>
      <c r="N129" s="74" t="s">
        <v>2276</v>
      </c>
      <c r="O129" s="74" t="s">
        <v>67</v>
      </c>
      <c r="P129" s="5" t="s">
        <v>5187</v>
      </c>
      <c r="Q129" s="11"/>
    </row>
    <row r="130" spans="1:17" ht="32" customHeight="1">
      <c r="A130" s="31">
        <v>23</v>
      </c>
      <c r="B130" s="57" t="s">
        <v>2307</v>
      </c>
      <c r="C130" s="11" t="s">
        <v>2315</v>
      </c>
      <c r="D130" s="31" t="s">
        <v>2398</v>
      </c>
      <c r="E130" s="43" t="s">
        <v>2400</v>
      </c>
      <c r="F130" s="30" t="s">
        <v>2298</v>
      </c>
      <c r="G130" s="30" t="s">
        <v>2299</v>
      </c>
      <c r="H130" s="43" t="s">
        <v>895</v>
      </c>
      <c r="I130" s="74">
        <v>-0.25</v>
      </c>
      <c r="J130" s="74">
        <v>116.5</v>
      </c>
      <c r="K130" s="74">
        <f t="shared" ref="K130:K131" si="0">226342/100</f>
        <v>2263.42</v>
      </c>
      <c r="L130" s="94">
        <v>1992</v>
      </c>
      <c r="M130" s="94">
        <v>1997</v>
      </c>
      <c r="N130" s="74" t="s">
        <v>2276</v>
      </c>
      <c r="O130" s="74" t="s">
        <v>67</v>
      </c>
      <c r="P130" s="5" t="s">
        <v>5187</v>
      </c>
      <c r="Q130" s="11"/>
    </row>
    <row r="131" spans="1:17" ht="32" customHeight="1">
      <c r="A131" s="31">
        <v>23</v>
      </c>
      <c r="B131" s="57" t="s">
        <v>2307</v>
      </c>
      <c r="C131" s="11" t="s">
        <v>2316</v>
      </c>
      <c r="D131" s="31" t="s">
        <v>2398</v>
      </c>
      <c r="E131" s="43" t="s">
        <v>2400</v>
      </c>
      <c r="F131" s="30" t="s">
        <v>2298</v>
      </c>
      <c r="G131" s="30" t="s">
        <v>2299</v>
      </c>
      <c r="H131" s="43" t="s">
        <v>895</v>
      </c>
      <c r="I131" s="74">
        <v>-0.25</v>
      </c>
      <c r="J131" s="74">
        <v>116.5</v>
      </c>
      <c r="K131" s="74">
        <f t="shared" si="0"/>
        <v>2263.42</v>
      </c>
      <c r="L131" s="94">
        <v>1997</v>
      </c>
      <c r="M131" s="94">
        <v>2000</v>
      </c>
      <c r="N131" s="74" t="s">
        <v>2276</v>
      </c>
      <c r="O131" s="74" t="s">
        <v>67</v>
      </c>
      <c r="P131" s="5" t="s">
        <v>5187</v>
      </c>
      <c r="Q131" s="11"/>
    </row>
    <row r="132" spans="1:17" ht="41" customHeight="1">
      <c r="A132" s="31">
        <v>24</v>
      </c>
      <c r="B132" s="40" t="s">
        <v>511</v>
      </c>
      <c r="C132" s="3" t="s">
        <v>510</v>
      </c>
      <c r="D132" s="31" t="s">
        <v>2398</v>
      </c>
      <c r="E132" s="28" t="s">
        <v>2399</v>
      </c>
      <c r="F132" s="29" t="s">
        <v>512</v>
      </c>
      <c r="G132" s="29" t="s">
        <v>512</v>
      </c>
      <c r="H132" s="28" t="s">
        <v>72</v>
      </c>
      <c r="I132" s="21">
        <v>-18.936</v>
      </c>
      <c r="J132" s="21">
        <v>48.143999999999998</v>
      </c>
      <c r="K132" s="21" t="s">
        <v>2276</v>
      </c>
      <c r="L132" s="95">
        <v>2003</v>
      </c>
      <c r="M132" s="95">
        <v>2004</v>
      </c>
      <c r="N132" s="3" t="s">
        <v>2276</v>
      </c>
      <c r="O132" s="3" t="s">
        <v>67</v>
      </c>
      <c r="P132" s="5" t="s">
        <v>5187</v>
      </c>
      <c r="Q132" s="3"/>
    </row>
    <row r="133" spans="1:17" ht="43.5" customHeight="1">
      <c r="A133" s="31">
        <v>25</v>
      </c>
      <c r="B133" s="40" t="s">
        <v>521</v>
      </c>
      <c r="C133" s="3" t="s">
        <v>520</v>
      </c>
      <c r="D133" s="31" t="s">
        <v>2398</v>
      </c>
      <c r="E133" s="28" t="s">
        <v>2399</v>
      </c>
      <c r="F133" s="29" t="s">
        <v>2276</v>
      </c>
      <c r="G133" s="29" t="s">
        <v>1499</v>
      </c>
      <c r="H133" s="28" t="s">
        <v>72</v>
      </c>
      <c r="I133" s="21">
        <v>-24.289283000000001</v>
      </c>
      <c r="J133" s="21">
        <v>44.203907100000002</v>
      </c>
      <c r="K133" s="21">
        <v>10000</v>
      </c>
      <c r="L133" s="95">
        <v>2013</v>
      </c>
      <c r="M133" s="95">
        <v>2013</v>
      </c>
      <c r="N133" s="3">
        <v>75</v>
      </c>
      <c r="O133" s="3" t="s">
        <v>67</v>
      </c>
      <c r="P133" s="5" t="s">
        <v>5187</v>
      </c>
      <c r="Q133" s="3"/>
    </row>
    <row r="134" spans="1:17" ht="39" customHeight="1">
      <c r="A134" s="31">
        <v>26</v>
      </c>
      <c r="B134" s="40" t="s">
        <v>544</v>
      </c>
      <c r="C134" s="3" t="s">
        <v>546</v>
      </c>
      <c r="D134" s="31" t="s">
        <v>2398</v>
      </c>
      <c r="E134" s="28" t="s">
        <v>2400</v>
      </c>
      <c r="F134" s="3" t="s">
        <v>2276</v>
      </c>
      <c r="G134" s="3" t="s">
        <v>545</v>
      </c>
      <c r="H134" s="28" t="s">
        <v>121</v>
      </c>
      <c r="I134" s="21">
        <v>-3.2707711000000002</v>
      </c>
      <c r="J134" s="21">
        <v>-64.653319800000006</v>
      </c>
      <c r="K134" s="21">
        <v>7850</v>
      </c>
      <c r="L134" s="3">
        <v>1987</v>
      </c>
      <c r="M134" s="3">
        <v>1987</v>
      </c>
      <c r="N134" s="3">
        <v>0.7525965</v>
      </c>
      <c r="O134" s="3" t="s">
        <v>183</v>
      </c>
      <c r="P134" s="5" t="s">
        <v>5187</v>
      </c>
      <c r="Q134" s="3"/>
    </row>
    <row r="135" spans="1:17" ht="36.5" customHeight="1">
      <c r="A135" s="31">
        <v>26</v>
      </c>
      <c r="B135" s="40" t="s">
        <v>544</v>
      </c>
      <c r="C135" s="3" t="s">
        <v>547</v>
      </c>
      <c r="D135" s="31" t="s">
        <v>2398</v>
      </c>
      <c r="E135" s="28" t="s">
        <v>2400</v>
      </c>
      <c r="F135" s="3" t="s">
        <v>2276</v>
      </c>
      <c r="G135" s="3" t="s">
        <v>545</v>
      </c>
      <c r="H135" s="28" t="s">
        <v>121</v>
      </c>
      <c r="I135" s="21">
        <v>-3.2707711000000002</v>
      </c>
      <c r="J135" s="21">
        <v>-64.653319800000006</v>
      </c>
      <c r="K135" s="21">
        <v>7850</v>
      </c>
      <c r="L135" s="3">
        <v>2014</v>
      </c>
      <c r="M135" s="3">
        <v>2014</v>
      </c>
      <c r="N135" s="3">
        <v>2.6</v>
      </c>
      <c r="O135" s="3" t="s">
        <v>183</v>
      </c>
      <c r="P135" s="5" t="s">
        <v>5187</v>
      </c>
      <c r="Q135" s="3"/>
    </row>
    <row r="136" spans="1:17" ht="82" customHeight="1">
      <c r="A136" s="31">
        <v>27</v>
      </c>
      <c r="B136" s="61" t="s">
        <v>554</v>
      </c>
      <c r="C136" s="24" t="s">
        <v>1728</v>
      </c>
      <c r="D136" s="31" t="s">
        <v>2398</v>
      </c>
      <c r="E136" s="62" t="s">
        <v>2414</v>
      </c>
      <c r="F136" s="63" t="s">
        <v>2276</v>
      </c>
      <c r="G136" s="63" t="s">
        <v>553</v>
      </c>
      <c r="H136" s="62" t="s">
        <v>121</v>
      </c>
      <c r="I136" s="21">
        <v>-9.5613574678780395</v>
      </c>
      <c r="J136" s="21">
        <v>-72.146726164833694</v>
      </c>
      <c r="K136" s="21" t="s">
        <v>2276</v>
      </c>
      <c r="L136" s="63">
        <v>2013</v>
      </c>
      <c r="M136" s="63">
        <v>2013</v>
      </c>
      <c r="N136" s="22" t="s">
        <v>2276</v>
      </c>
      <c r="O136" s="22" t="s">
        <v>67</v>
      </c>
      <c r="P136" s="5" t="s">
        <v>5187</v>
      </c>
      <c r="Q136" s="24" t="s">
        <v>2415</v>
      </c>
    </row>
    <row r="137" spans="1:17" ht="82" customHeight="1">
      <c r="A137" s="31">
        <v>27</v>
      </c>
      <c r="B137" s="61" t="s">
        <v>554</v>
      </c>
      <c r="C137" s="24" t="s">
        <v>1727</v>
      </c>
      <c r="D137" s="31" t="s">
        <v>2398</v>
      </c>
      <c r="E137" s="62" t="s">
        <v>2414</v>
      </c>
      <c r="F137" s="63" t="s">
        <v>2276</v>
      </c>
      <c r="G137" s="63" t="s">
        <v>553</v>
      </c>
      <c r="H137" s="62" t="s">
        <v>121</v>
      </c>
      <c r="I137" s="21">
        <v>-10.0178741847118</v>
      </c>
      <c r="J137" s="21">
        <v>-66.789736696113494</v>
      </c>
      <c r="K137" s="21" t="s">
        <v>2276</v>
      </c>
      <c r="L137" s="63">
        <v>2013</v>
      </c>
      <c r="M137" s="63">
        <v>2013</v>
      </c>
      <c r="N137" s="22" t="s">
        <v>2276</v>
      </c>
      <c r="O137" s="22" t="s">
        <v>67</v>
      </c>
      <c r="P137" s="5" t="s">
        <v>5187</v>
      </c>
      <c r="Q137" s="24" t="s">
        <v>2415</v>
      </c>
    </row>
    <row r="138" spans="1:17" ht="82" customHeight="1">
      <c r="A138" s="31">
        <v>27</v>
      </c>
      <c r="B138" s="61" t="s">
        <v>554</v>
      </c>
      <c r="C138" s="24" t="s">
        <v>1729</v>
      </c>
      <c r="D138" s="31" t="s">
        <v>2398</v>
      </c>
      <c r="E138" s="62" t="s">
        <v>2414</v>
      </c>
      <c r="F138" s="63" t="s">
        <v>2276</v>
      </c>
      <c r="G138" s="63" t="s">
        <v>553</v>
      </c>
      <c r="H138" s="62" t="s">
        <v>121</v>
      </c>
      <c r="I138" s="21">
        <v>-10.134021327849601</v>
      </c>
      <c r="J138" s="21">
        <v>-67.760082002684399</v>
      </c>
      <c r="K138" s="21" t="s">
        <v>2276</v>
      </c>
      <c r="L138" s="63">
        <v>2013</v>
      </c>
      <c r="M138" s="63">
        <v>2013</v>
      </c>
      <c r="N138" s="22" t="s">
        <v>2276</v>
      </c>
      <c r="O138" s="22" t="s">
        <v>67</v>
      </c>
      <c r="P138" s="5" t="s">
        <v>5187</v>
      </c>
      <c r="Q138" s="24" t="s">
        <v>2415</v>
      </c>
    </row>
    <row r="139" spans="1:17" ht="82" customHeight="1">
      <c r="A139" s="31">
        <v>27</v>
      </c>
      <c r="B139" s="61" t="s">
        <v>554</v>
      </c>
      <c r="C139" s="24" t="s">
        <v>1730</v>
      </c>
      <c r="D139" s="31" t="s">
        <v>2398</v>
      </c>
      <c r="E139" s="62" t="s">
        <v>2414</v>
      </c>
      <c r="F139" s="63" t="s">
        <v>2276</v>
      </c>
      <c r="G139" s="63" t="s">
        <v>553</v>
      </c>
      <c r="H139" s="62" t="s">
        <v>121</v>
      </c>
      <c r="I139" s="21">
        <v>-10.5748970950303</v>
      </c>
      <c r="J139" s="21">
        <v>-67.721638571044593</v>
      </c>
      <c r="K139" s="21" t="s">
        <v>2276</v>
      </c>
      <c r="L139" s="63">
        <v>2013</v>
      </c>
      <c r="M139" s="63">
        <v>2013</v>
      </c>
      <c r="N139" s="22" t="s">
        <v>2276</v>
      </c>
      <c r="O139" s="22" t="s">
        <v>67</v>
      </c>
      <c r="P139" s="5" t="s">
        <v>5187</v>
      </c>
      <c r="Q139" s="24" t="s">
        <v>2415</v>
      </c>
    </row>
    <row r="140" spans="1:17" ht="82" customHeight="1">
      <c r="A140" s="31">
        <v>27</v>
      </c>
      <c r="B140" s="61" t="s">
        <v>554</v>
      </c>
      <c r="C140" s="24" t="s">
        <v>1731</v>
      </c>
      <c r="D140" s="31" t="s">
        <v>2398</v>
      </c>
      <c r="E140" s="62" t="s">
        <v>2414</v>
      </c>
      <c r="F140" s="63" t="s">
        <v>2276</v>
      </c>
      <c r="G140" s="63" t="s">
        <v>553</v>
      </c>
      <c r="H140" s="62" t="s">
        <v>121</v>
      </c>
      <c r="I140" s="21">
        <v>-10.2610180632664</v>
      </c>
      <c r="J140" s="21">
        <v>-67.144257961522896</v>
      </c>
      <c r="K140" s="21" t="s">
        <v>2276</v>
      </c>
      <c r="L140" s="63">
        <v>2013</v>
      </c>
      <c r="M140" s="63">
        <v>2013</v>
      </c>
      <c r="N140" s="22" t="s">
        <v>2276</v>
      </c>
      <c r="O140" s="22" t="s">
        <v>67</v>
      </c>
      <c r="P140" s="5" t="s">
        <v>5187</v>
      </c>
      <c r="Q140" s="24" t="s">
        <v>2415</v>
      </c>
    </row>
    <row r="141" spans="1:17" ht="82" customHeight="1">
      <c r="A141" s="31">
        <v>27</v>
      </c>
      <c r="B141" s="61" t="s">
        <v>554</v>
      </c>
      <c r="C141" s="24" t="s">
        <v>1734</v>
      </c>
      <c r="D141" s="31" t="s">
        <v>2398</v>
      </c>
      <c r="E141" s="62" t="s">
        <v>2414</v>
      </c>
      <c r="F141" s="63" t="s">
        <v>2276</v>
      </c>
      <c r="G141" s="63" t="s">
        <v>553</v>
      </c>
      <c r="H141" s="62" t="s">
        <v>121</v>
      </c>
      <c r="I141" s="21">
        <v>-9.0983561319372601</v>
      </c>
      <c r="J141" s="21">
        <v>-68.708961155312096</v>
      </c>
      <c r="K141" s="21" t="s">
        <v>2276</v>
      </c>
      <c r="L141" s="63">
        <v>2013</v>
      </c>
      <c r="M141" s="63">
        <v>2013</v>
      </c>
      <c r="N141" s="22" t="s">
        <v>2276</v>
      </c>
      <c r="O141" s="22" t="s">
        <v>67</v>
      </c>
      <c r="P141" s="5" t="s">
        <v>5187</v>
      </c>
      <c r="Q141" s="24" t="s">
        <v>2415</v>
      </c>
    </row>
    <row r="142" spans="1:17" ht="82" customHeight="1">
      <c r="A142" s="31">
        <v>27</v>
      </c>
      <c r="B142" s="61" t="s">
        <v>554</v>
      </c>
      <c r="C142" s="24" t="s">
        <v>1735</v>
      </c>
      <c r="D142" s="31" t="s">
        <v>2398</v>
      </c>
      <c r="E142" s="62" t="s">
        <v>2414</v>
      </c>
      <c r="F142" s="63" t="s">
        <v>2276</v>
      </c>
      <c r="G142" s="63" t="s">
        <v>553</v>
      </c>
      <c r="H142" s="62" t="s">
        <v>121</v>
      </c>
      <c r="I142" s="21">
        <v>-6.4239667922074499</v>
      </c>
      <c r="J142" s="21">
        <v>-68.264657652830493</v>
      </c>
      <c r="K142" s="21" t="s">
        <v>2276</v>
      </c>
      <c r="L142" s="63">
        <v>2013</v>
      </c>
      <c r="M142" s="63">
        <v>2013</v>
      </c>
      <c r="N142" s="22" t="s">
        <v>2276</v>
      </c>
      <c r="O142" s="22" t="s">
        <v>67</v>
      </c>
      <c r="P142" s="5" t="s">
        <v>5187</v>
      </c>
      <c r="Q142" s="24" t="s">
        <v>2415</v>
      </c>
    </row>
    <row r="143" spans="1:17" ht="82" customHeight="1">
      <c r="A143" s="31">
        <v>27</v>
      </c>
      <c r="B143" s="61" t="s">
        <v>554</v>
      </c>
      <c r="C143" s="24" t="s">
        <v>1732</v>
      </c>
      <c r="D143" s="31" t="s">
        <v>2398</v>
      </c>
      <c r="E143" s="62" t="s">
        <v>2414</v>
      </c>
      <c r="F143" s="63" t="s">
        <v>2276</v>
      </c>
      <c r="G143" s="63" t="s">
        <v>553</v>
      </c>
      <c r="H143" s="62" t="s">
        <v>121</v>
      </c>
      <c r="I143" s="21">
        <v>1.04573330617113</v>
      </c>
      <c r="J143" s="21">
        <v>-66.938947787509605</v>
      </c>
      <c r="K143" s="21" t="s">
        <v>2276</v>
      </c>
      <c r="L143" s="63">
        <v>2013</v>
      </c>
      <c r="M143" s="63">
        <v>2013</v>
      </c>
      <c r="N143" s="22" t="s">
        <v>2276</v>
      </c>
      <c r="O143" s="22" t="s">
        <v>67</v>
      </c>
      <c r="P143" s="5" t="s">
        <v>5187</v>
      </c>
      <c r="Q143" s="24" t="s">
        <v>2415</v>
      </c>
    </row>
    <row r="144" spans="1:17" ht="82" customHeight="1">
      <c r="A144" s="31">
        <v>27</v>
      </c>
      <c r="B144" s="61" t="s">
        <v>554</v>
      </c>
      <c r="C144" s="24" t="s">
        <v>1733</v>
      </c>
      <c r="D144" s="31" t="s">
        <v>2398</v>
      </c>
      <c r="E144" s="62" t="s">
        <v>2414</v>
      </c>
      <c r="F144" s="63" t="s">
        <v>2276</v>
      </c>
      <c r="G144" s="63" t="s">
        <v>553</v>
      </c>
      <c r="H144" s="62" t="s">
        <v>121</v>
      </c>
      <c r="I144" s="21">
        <v>-0.379556690268325</v>
      </c>
      <c r="J144" s="21">
        <v>-64.947348495189104</v>
      </c>
      <c r="K144" s="21" t="s">
        <v>2276</v>
      </c>
      <c r="L144" s="63">
        <v>2013</v>
      </c>
      <c r="M144" s="63">
        <v>2013</v>
      </c>
      <c r="N144" s="22" t="s">
        <v>2276</v>
      </c>
      <c r="O144" s="22" t="s">
        <v>67</v>
      </c>
      <c r="P144" s="5" t="s">
        <v>5187</v>
      </c>
      <c r="Q144" s="24" t="s">
        <v>2415</v>
      </c>
    </row>
    <row r="145" spans="1:17" ht="82" customHeight="1">
      <c r="A145" s="31">
        <v>27</v>
      </c>
      <c r="B145" s="61" t="s">
        <v>554</v>
      </c>
      <c r="C145" s="24" t="s">
        <v>1736</v>
      </c>
      <c r="D145" s="31" t="s">
        <v>2398</v>
      </c>
      <c r="E145" s="62" t="s">
        <v>2414</v>
      </c>
      <c r="F145" s="63" t="s">
        <v>2276</v>
      </c>
      <c r="G145" s="63" t="s">
        <v>553</v>
      </c>
      <c r="H145" s="62" t="s">
        <v>121</v>
      </c>
      <c r="I145" s="21">
        <v>-1.62905389506969</v>
      </c>
      <c r="J145" s="21">
        <v>-65.792490922185706</v>
      </c>
      <c r="K145" s="21" t="s">
        <v>2276</v>
      </c>
      <c r="L145" s="63">
        <v>2013</v>
      </c>
      <c r="M145" s="63">
        <v>2013</v>
      </c>
      <c r="N145" s="22" t="s">
        <v>2276</v>
      </c>
      <c r="O145" s="22" t="s">
        <v>67</v>
      </c>
      <c r="P145" s="5" t="s">
        <v>5187</v>
      </c>
      <c r="Q145" s="24" t="s">
        <v>2415</v>
      </c>
    </row>
    <row r="146" spans="1:17" ht="82" customHeight="1">
      <c r="A146" s="31">
        <v>27</v>
      </c>
      <c r="B146" s="61" t="s">
        <v>554</v>
      </c>
      <c r="C146" s="24" t="s">
        <v>1737</v>
      </c>
      <c r="D146" s="31" t="s">
        <v>2398</v>
      </c>
      <c r="E146" s="62" t="s">
        <v>2414</v>
      </c>
      <c r="F146" s="63" t="s">
        <v>2276</v>
      </c>
      <c r="G146" s="63" t="s">
        <v>553</v>
      </c>
      <c r="H146" s="62" t="s">
        <v>121</v>
      </c>
      <c r="I146" s="21">
        <v>-3.1894407519560599</v>
      </c>
      <c r="J146" s="21">
        <v>-60.259330326162001</v>
      </c>
      <c r="K146" s="21" t="s">
        <v>2276</v>
      </c>
      <c r="L146" s="63">
        <v>2013</v>
      </c>
      <c r="M146" s="63">
        <v>2013</v>
      </c>
      <c r="N146" s="22" t="s">
        <v>2276</v>
      </c>
      <c r="O146" s="22" t="s">
        <v>67</v>
      </c>
      <c r="P146" s="5" t="s">
        <v>5187</v>
      </c>
      <c r="Q146" s="24" t="s">
        <v>2415</v>
      </c>
    </row>
    <row r="147" spans="1:17" ht="82" customHeight="1">
      <c r="A147" s="31">
        <v>27</v>
      </c>
      <c r="B147" s="61" t="s">
        <v>554</v>
      </c>
      <c r="C147" s="24" t="s">
        <v>1738</v>
      </c>
      <c r="D147" s="31" t="s">
        <v>2398</v>
      </c>
      <c r="E147" s="62" t="s">
        <v>2414</v>
      </c>
      <c r="F147" s="63" t="s">
        <v>2276</v>
      </c>
      <c r="G147" s="63" t="s">
        <v>553</v>
      </c>
      <c r="H147" s="62" t="s">
        <v>121</v>
      </c>
      <c r="I147" s="21">
        <v>-2.7128890286808498</v>
      </c>
      <c r="J147" s="21">
        <v>-59.697903775910198</v>
      </c>
      <c r="K147" s="21" t="s">
        <v>2276</v>
      </c>
      <c r="L147" s="63">
        <v>2013</v>
      </c>
      <c r="M147" s="63">
        <v>2013</v>
      </c>
      <c r="N147" s="22" t="s">
        <v>2276</v>
      </c>
      <c r="O147" s="22" t="s">
        <v>67</v>
      </c>
      <c r="P147" s="5" t="s">
        <v>5187</v>
      </c>
      <c r="Q147" s="24" t="s">
        <v>2415</v>
      </c>
    </row>
    <row r="148" spans="1:17" ht="82" customHeight="1">
      <c r="A148" s="31">
        <v>27</v>
      </c>
      <c r="B148" s="61" t="s">
        <v>554</v>
      </c>
      <c r="C148" s="24" t="s">
        <v>1739</v>
      </c>
      <c r="D148" s="31" t="s">
        <v>2398</v>
      </c>
      <c r="E148" s="62" t="s">
        <v>2414</v>
      </c>
      <c r="F148" s="63" t="s">
        <v>2276</v>
      </c>
      <c r="G148" s="63" t="s">
        <v>553</v>
      </c>
      <c r="H148" s="62" t="s">
        <v>121</v>
      </c>
      <c r="I148" s="21">
        <v>-2.5004455209047798</v>
      </c>
      <c r="J148" s="21">
        <v>-54.810507429964801</v>
      </c>
      <c r="K148" s="21" t="s">
        <v>2276</v>
      </c>
      <c r="L148" s="63">
        <v>2013</v>
      </c>
      <c r="M148" s="63">
        <v>2013</v>
      </c>
      <c r="N148" s="22" t="s">
        <v>2276</v>
      </c>
      <c r="O148" s="22" t="s">
        <v>67</v>
      </c>
      <c r="P148" s="5" t="s">
        <v>5187</v>
      </c>
      <c r="Q148" s="24" t="s">
        <v>2415</v>
      </c>
    </row>
    <row r="149" spans="1:17" ht="82" customHeight="1">
      <c r="A149" s="31">
        <v>27</v>
      </c>
      <c r="B149" s="61" t="s">
        <v>554</v>
      </c>
      <c r="C149" s="24" t="s">
        <v>1740</v>
      </c>
      <c r="D149" s="31" t="s">
        <v>2398</v>
      </c>
      <c r="E149" s="62" t="s">
        <v>2414</v>
      </c>
      <c r="F149" s="63" t="s">
        <v>2276</v>
      </c>
      <c r="G149" s="63" t="s">
        <v>553</v>
      </c>
      <c r="H149" s="62" t="s">
        <v>121</v>
      </c>
      <c r="I149" s="21">
        <v>-2.1105943215507499</v>
      </c>
      <c r="J149" s="21">
        <v>-53.725391238420997</v>
      </c>
      <c r="K149" s="21" t="s">
        <v>2276</v>
      </c>
      <c r="L149" s="63">
        <v>2013</v>
      </c>
      <c r="M149" s="63">
        <v>2013</v>
      </c>
      <c r="N149" s="22" t="s">
        <v>2276</v>
      </c>
      <c r="O149" s="22" t="s">
        <v>67</v>
      </c>
      <c r="P149" s="5" t="s">
        <v>5187</v>
      </c>
      <c r="Q149" s="24" t="s">
        <v>2415</v>
      </c>
    </row>
    <row r="150" spans="1:17" ht="82" customHeight="1">
      <c r="A150" s="31">
        <v>27</v>
      </c>
      <c r="B150" s="61" t="s">
        <v>554</v>
      </c>
      <c r="C150" s="24" t="s">
        <v>1741</v>
      </c>
      <c r="D150" s="31" t="s">
        <v>2398</v>
      </c>
      <c r="E150" s="62" t="s">
        <v>2414</v>
      </c>
      <c r="F150" s="63" t="s">
        <v>2276</v>
      </c>
      <c r="G150" s="63" t="s">
        <v>553</v>
      </c>
      <c r="H150" s="62" t="s">
        <v>121</v>
      </c>
      <c r="I150" s="21">
        <v>-10.975694674970599</v>
      </c>
      <c r="J150" s="21">
        <v>-68.609640143045496</v>
      </c>
      <c r="K150" s="21" t="s">
        <v>2276</v>
      </c>
      <c r="L150" s="63">
        <v>2013</v>
      </c>
      <c r="M150" s="63">
        <v>2013</v>
      </c>
      <c r="N150" s="22" t="s">
        <v>2276</v>
      </c>
      <c r="O150" s="22" t="s">
        <v>67</v>
      </c>
      <c r="P150" s="5" t="s">
        <v>5187</v>
      </c>
      <c r="Q150" s="24" t="s">
        <v>2415</v>
      </c>
    </row>
    <row r="151" spans="1:17" ht="82" customHeight="1">
      <c r="A151" s="31">
        <v>27</v>
      </c>
      <c r="B151" s="61" t="s">
        <v>554</v>
      </c>
      <c r="C151" s="24" t="s">
        <v>1742</v>
      </c>
      <c r="D151" s="31" t="s">
        <v>2398</v>
      </c>
      <c r="E151" s="62" t="s">
        <v>2414</v>
      </c>
      <c r="F151" s="63" t="s">
        <v>2276</v>
      </c>
      <c r="G151" s="63" t="s">
        <v>553</v>
      </c>
      <c r="H151" s="62" t="s">
        <v>121</v>
      </c>
      <c r="I151" s="21">
        <v>-10.864270837572001</v>
      </c>
      <c r="J151" s="21">
        <v>-69.009507405147303</v>
      </c>
      <c r="K151" s="21" t="s">
        <v>2276</v>
      </c>
      <c r="L151" s="63">
        <v>2013</v>
      </c>
      <c r="M151" s="63">
        <v>2013</v>
      </c>
      <c r="N151" s="22" t="s">
        <v>2276</v>
      </c>
      <c r="O151" s="22" t="s">
        <v>67</v>
      </c>
      <c r="P151" s="5" t="s">
        <v>5187</v>
      </c>
      <c r="Q151" s="24" t="s">
        <v>2415</v>
      </c>
    </row>
    <row r="152" spans="1:17" ht="82" customHeight="1">
      <c r="A152" s="31">
        <v>27</v>
      </c>
      <c r="B152" s="61" t="s">
        <v>554</v>
      </c>
      <c r="C152" s="24" t="s">
        <v>1743</v>
      </c>
      <c r="D152" s="31" t="s">
        <v>2398</v>
      </c>
      <c r="E152" s="62" t="s">
        <v>2414</v>
      </c>
      <c r="F152" s="63" t="s">
        <v>2276</v>
      </c>
      <c r="G152" s="63" t="s">
        <v>553</v>
      </c>
      <c r="H152" s="62" t="s">
        <v>121</v>
      </c>
      <c r="I152" s="21">
        <v>-4.0137928139320902</v>
      </c>
      <c r="J152" s="21">
        <v>-55.441524644168503</v>
      </c>
      <c r="K152" s="21" t="s">
        <v>2276</v>
      </c>
      <c r="L152" s="63">
        <v>2013</v>
      </c>
      <c r="M152" s="63">
        <v>2013</v>
      </c>
      <c r="N152" s="22" t="s">
        <v>2276</v>
      </c>
      <c r="O152" s="22" t="s">
        <v>67</v>
      </c>
      <c r="P152" s="5" t="s">
        <v>5187</v>
      </c>
      <c r="Q152" s="24" t="s">
        <v>2415</v>
      </c>
    </row>
    <row r="153" spans="1:17" ht="82" customHeight="1">
      <c r="A153" s="31">
        <v>27</v>
      </c>
      <c r="B153" s="61" t="s">
        <v>554</v>
      </c>
      <c r="C153" s="24" t="s">
        <v>1744</v>
      </c>
      <c r="D153" s="31" t="s">
        <v>2398</v>
      </c>
      <c r="E153" s="62" t="s">
        <v>2414</v>
      </c>
      <c r="F153" s="63" t="s">
        <v>2276</v>
      </c>
      <c r="G153" s="63" t="s">
        <v>553</v>
      </c>
      <c r="H153" s="62" t="s">
        <v>121</v>
      </c>
      <c r="I153" s="21">
        <v>-4.2542802096062502</v>
      </c>
      <c r="J153" s="21">
        <v>-55.173616881827698</v>
      </c>
      <c r="K153" s="21" t="s">
        <v>2276</v>
      </c>
      <c r="L153" s="63">
        <v>2013</v>
      </c>
      <c r="M153" s="63">
        <v>2013</v>
      </c>
      <c r="N153" s="22" t="s">
        <v>2276</v>
      </c>
      <c r="O153" s="22" t="s">
        <v>67</v>
      </c>
      <c r="P153" s="5" t="s">
        <v>5187</v>
      </c>
      <c r="Q153" s="24" t="s">
        <v>2415</v>
      </c>
    </row>
    <row r="154" spans="1:17" ht="82" customHeight="1">
      <c r="A154" s="31">
        <v>27</v>
      </c>
      <c r="B154" s="61" t="s">
        <v>554</v>
      </c>
      <c r="C154" s="24" t="s">
        <v>1745</v>
      </c>
      <c r="D154" s="31" t="s">
        <v>2398</v>
      </c>
      <c r="E154" s="62" t="s">
        <v>2414</v>
      </c>
      <c r="F154" s="63" t="s">
        <v>2276</v>
      </c>
      <c r="G154" s="63" t="s">
        <v>553</v>
      </c>
      <c r="H154" s="62" t="s">
        <v>121</v>
      </c>
      <c r="I154" s="21">
        <v>-3.77440714575134</v>
      </c>
      <c r="J154" s="21">
        <v>-53.385328409585</v>
      </c>
      <c r="K154" s="21" t="s">
        <v>2276</v>
      </c>
      <c r="L154" s="63">
        <v>2013</v>
      </c>
      <c r="M154" s="63">
        <v>2013</v>
      </c>
      <c r="N154" s="22" t="s">
        <v>2276</v>
      </c>
      <c r="O154" s="22" t="s">
        <v>67</v>
      </c>
      <c r="P154" s="5" t="s">
        <v>5187</v>
      </c>
      <c r="Q154" s="24" t="s">
        <v>2415</v>
      </c>
    </row>
    <row r="155" spans="1:17" ht="82" customHeight="1">
      <c r="A155" s="31">
        <v>27</v>
      </c>
      <c r="B155" s="61" t="s">
        <v>554</v>
      </c>
      <c r="C155" s="24" t="s">
        <v>1746</v>
      </c>
      <c r="D155" s="31" t="s">
        <v>2398</v>
      </c>
      <c r="E155" s="62" t="s">
        <v>2414</v>
      </c>
      <c r="F155" s="63" t="s">
        <v>2276</v>
      </c>
      <c r="G155" s="63" t="s">
        <v>553</v>
      </c>
      <c r="H155" s="62" t="s">
        <v>121</v>
      </c>
      <c r="I155" s="21">
        <v>-0.93638944272485802</v>
      </c>
      <c r="J155" s="21">
        <v>-52.315722027779998</v>
      </c>
      <c r="K155" s="21" t="s">
        <v>2276</v>
      </c>
      <c r="L155" s="63">
        <v>2013</v>
      </c>
      <c r="M155" s="63">
        <v>2013</v>
      </c>
      <c r="N155" s="22" t="s">
        <v>2276</v>
      </c>
      <c r="O155" s="22" t="s">
        <v>67</v>
      </c>
      <c r="P155" s="5" t="s">
        <v>5187</v>
      </c>
      <c r="Q155" s="24" t="s">
        <v>2415</v>
      </c>
    </row>
    <row r="156" spans="1:17" ht="82" customHeight="1">
      <c r="A156" s="31">
        <v>27</v>
      </c>
      <c r="B156" s="61" t="s">
        <v>554</v>
      </c>
      <c r="C156" s="24" t="s">
        <v>1747</v>
      </c>
      <c r="D156" s="31" t="s">
        <v>2398</v>
      </c>
      <c r="E156" s="62" t="s">
        <v>2414</v>
      </c>
      <c r="F156" s="63" t="s">
        <v>2276</v>
      </c>
      <c r="G156" s="63" t="s">
        <v>553</v>
      </c>
      <c r="H156" s="62" t="s">
        <v>121</v>
      </c>
      <c r="I156" s="21">
        <v>-3.0591397000514098</v>
      </c>
      <c r="J156" s="21">
        <v>-52.214124001360403</v>
      </c>
      <c r="K156" s="21" t="s">
        <v>2276</v>
      </c>
      <c r="L156" s="63">
        <v>2013</v>
      </c>
      <c r="M156" s="63">
        <v>2013</v>
      </c>
      <c r="N156" s="22" t="s">
        <v>2276</v>
      </c>
      <c r="O156" s="22" t="s">
        <v>67</v>
      </c>
      <c r="P156" s="5" t="s">
        <v>5187</v>
      </c>
      <c r="Q156" s="24" t="s">
        <v>2415</v>
      </c>
    </row>
    <row r="157" spans="1:17" ht="82" customHeight="1">
      <c r="A157" s="31">
        <v>27</v>
      </c>
      <c r="B157" s="61" t="s">
        <v>554</v>
      </c>
      <c r="C157" s="24" t="s">
        <v>1748</v>
      </c>
      <c r="D157" s="31" t="s">
        <v>2398</v>
      </c>
      <c r="E157" s="62" t="s">
        <v>2414</v>
      </c>
      <c r="F157" s="63" t="s">
        <v>2276</v>
      </c>
      <c r="G157" s="63" t="s">
        <v>553</v>
      </c>
      <c r="H157" s="62" t="s">
        <v>121</v>
      </c>
      <c r="I157" s="21">
        <v>-3.18124783150297</v>
      </c>
      <c r="J157" s="21">
        <v>-51.468963253373801</v>
      </c>
      <c r="K157" s="21" t="s">
        <v>2276</v>
      </c>
      <c r="L157" s="63">
        <v>2013</v>
      </c>
      <c r="M157" s="63">
        <v>2013</v>
      </c>
      <c r="N157" s="22" t="s">
        <v>2276</v>
      </c>
      <c r="O157" s="22" t="s">
        <v>67</v>
      </c>
      <c r="P157" s="5" t="s">
        <v>5187</v>
      </c>
      <c r="Q157" s="24" t="s">
        <v>2415</v>
      </c>
    </row>
    <row r="158" spans="1:17" ht="82" customHeight="1">
      <c r="A158" s="31">
        <v>27</v>
      </c>
      <c r="B158" s="61" t="s">
        <v>554</v>
      </c>
      <c r="C158" s="24" t="s">
        <v>1749</v>
      </c>
      <c r="D158" s="31" t="s">
        <v>2398</v>
      </c>
      <c r="E158" s="62" t="s">
        <v>2414</v>
      </c>
      <c r="F158" s="63" t="s">
        <v>2276</v>
      </c>
      <c r="G158" s="63" t="s">
        <v>553</v>
      </c>
      <c r="H158" s="62" t="s">
        <v>121</v>
      </c>
      <c r="I158" s="21">
        <v>-3.3826514302898398</v>
      </c>
      <c r="J158" s="21">
        <v>-51.052026611523303</v>
      </c>
      <c r="K158" s="21" t="s">
        <v>2276</v>
      </c>
      <c r="L158" s="63">
        <v>2013</v>
      </c>
      <c r="M158" s="63">
        <v>2013</v>
      </c>
      <c r="N158" s="22" t="s">
        <v>2276</v>
      </c>
      <c r="O158" s="22" t="s">
        <v>67</v>
      </c>
      <c r="P158" s="5" t="s">
        <v>5187</v>
      </c>
      <c r="Q158" s="24" t="s">
        <v>2415</v>
      </c>
    </row>
    <row r="159" spans="1:17" ht="82" customHeight="1">
      <c r="A159" s="31">
        <v>27</v>
      </c>
      <c r="B159" s="61" t="s">
        <v>554</v>
      </c>
      <c r="C159" s="24" t="s">
        <v>1750</v>
      </c>
      <c r="D159" s="31" t="s">
        <v>2398</v>
      </c>
      <c r="E159" s="62" t="s">
        <v>2414</v>
      </c>
      <c r="F159" s="63" t="s">
        <v>2276</v>
      </c>
      <c r="G159" s="63" t="s">
        <v>553</v>
      </c>
      <c r="H159" s="62" t="s">
        <v>121</v>
      </c>
      <c r="I159" s="21">
        <v>1.0400138675181301</v>
      </c>
      <c r="J159" s="21">
        <v>-52.005825843251799</v>
      </c>
      <c r="K159" s="21" t="s">
        <v>2276</v>
      </c>
      <c r="L159" s="63">
        <v>2013</v>
      </c>
      <c r="M159" s="63">
        <v>2013</v>
      </c>
      <c r="N159" s="22" t="s">
        <v>2276</v>
      </c>
      <c r="O159" s="22" t="s">
        <v>67</v>
      </c>
      <c r="P159" s="5" t="s">
        <v>5187</v>
      </c>
      <c r="Q159" s="24" t="s">
        <v>2415</v>
      </c>
    </row>
    <row r="160" spans="1:17" ht="82" customHeight="1">
      <c r="A160" s="31">
        <v>27</v>
      </c>
      <c r="B160" s="61" t="s">
        <v>554</v>
      </c>
      <c r="C160" s="24" t="s">
        <v>1751</v>
      </c>
      <c r="D160" s="31" t="s">
        <v>2398</v>
      </c>
      <c r="E160" s="62" t="s">
        <v>2414</v>
      </c>
      <c r="F160" s="63" t="s">
        <v>2276</v>
      </c>
      <c r="G160" s="63" t="s">
        <v>553</v>
      </c>
      <c r="H160" s="62" t="s">
        <v>121</v>
      </c>
      <c r="I160" s="21">
        <v>0.84945155392632599</v>
      </c>
      <c r="J160" s="21">
        <v>-51.607090785769799</v>
      </c>
      <c r="K160" s="21" t="s">
        <v>2276</v>
      </c>
      <c r="L160" s="63">
        <v>2013</v>
      </c>
      <c r="M160" s="63">
        <v>2013</v>
      </c>
      <c r="N160" s="22" t="s">
        <v>2276</v>
      </c>
      <c r="O160" s="22" t="s">
        <v>67</v>
      </c>
      <c r="P160" s="5" t="s">
        <v>5187</v>
      </c>
      <c r="Q160" s="24" t="s">
        <v>2415</v>
      </c>
    </row>
    <row r="161" spans="1:17" ht="82" customHeight="1">
      <c r="A161" s="31">
        <v>27</v>
      </c>
      <c r="B161" s="61" t="s">
        <v>554</v>
      </c>
      <c r="C161" s="24" t="s">
        <v>1752</v>
      </c>
      <c r="D161" s="31" t="s">
        <v>2398</v>
      </c>
      <c r="E161" s="62" t="s">
        <v>2414</v>
      </c>
      <c r="F161" s="63" t="s">
        <v>2276</v>
      </c>
      <c r="G161" s="63" t="s">
        <v>553</v>
      </c>
      <c r="H161" s="62" t="s">
        <v>121</v>
      </c>
      <c r="I161" s="21">
        <v>-0.25394354846828998</v>
      </c>
      <c r="J161" s="21">
        <v>-51.5147030606838</v>
      </c>
      <c r="K161" s="21" t="s">
        <v>2276</v>
      </c>
      <c r="L161" s="63">
        <v>2013</v>
      </c>
      <c r="M161" s="63">
        <v>2013</v>
      </c>
      <c r="N161" s="22" t="s">
        <v>2276</v>
      </c>
      <c r="O161" s="22" t="s">
        <v>67</v>
      </c>
      <c r="P161" s="5" t="s">
        <v>5187</v>
      </c>
      <c r="Q161" s="24" t="s">
        <v>2415</v>
      </c>
    </row>
    <row r="162" spans="1:17" ht="82" customHeight="1">
      <c r="A162" s="31">
        <v>27</v>
      </c>
      <c r="B162" s="61" t="s">
        <v>554</v>
      </c>
      <c r="C162" s="24" t="s">
        <v>1753</v>
      </c>
      <c r="D162" s="31" t="s">
        <v>2398</v>
      </c>
      <c r="E162" s="62" t="s">
        <v>2414</v>
      </c>
      <c r="F162" s="63" t="s">
        <v>2276</v>
      </c>
      <c r="G162" s="63" t="s">
        <v>553</v>
      </c>
      <c r="H162" s="62" t="s">
        <v>121</v>
      </c>
      <c r="I162" s="21">
        <v>-0.14102194500985801</v>
      </c>
      <c r="J162" s="21">
        <v>-51.420931333601501</v>
      </c>
      <c r="K162" s="21" t="s">
        <v>2276</v>
      </c>
      <c r="L162" s="63">
        <v>2013</v>
      </c>
      <c r="M162" s="63">
        <v>2013</v>
      </c>
      <c r="N162" s="22" t="s">
        <v>2276</v>
      </c>
      <c r="O162" s="22" t="s">
        <v>67</v>
      </c>
      <c r="P162" s="5" t="s">
        <v>5187</v>
      </c>
      <c r="Q162" s="24" t="s">
        <v>2415</v>
      </c>
    </row>
    <row r="163" spans="1:17" ht="82" customHeight="1">
      <c r="A163" s="31">
        <v>27</v>
      </c>
      <c r="B163" s="61" t="s">
        <v>554</v>
      </c>
      <c r="C163" s="24" t="s">
        <v>1754</v>
      </c>
      <c r="D163" s="31" t="s">
        <v>2398</v>
      </c>
      <c r="E163" s="62" t="s">
        <v>2414</v>
      </c>
      <c r="F163" s="63" t="s">
        <v>2276</v>
      </c>
      <c r="G163" s="63" t="s">
        <v>553</v>
      </c>
      <c r="H163" s="62" t="s">
        <v>121</v>
      </c>
      <c r="I163" s="21">
        <v>-2.03525697417244</v>
      </c>
      <c r="J163" s="21">
        <v>-50.9419192022741</v>
      </c>
      <c r="K163" s="21" t="s">
        <v>2276</v>
      </c>
      <c r="L163" s="63">
        <v>2013</v>
      </c>
      <c r="M163" s="63">
        <v>2013</v>
      </c>
      <c r="N163" s="22" t="s">
        <v>2276</v>
      </c>
      <c r="O163" s="22" t="s">
        <v>67</v>
      </c>
      <c r="P163" s="5" t="s">
        <v>5187</v>
      </c>
      <c r="Q163" s="24" t="s">
        <v>2415</v>
      </c>
    </row>
    <row r="164" spans="1:17" ht="82" customHeight="1">
      <c r="A164" s="31">
        <v>27</v>
      </c>
      <c r="B164" s="61" t="s">
        <v>554</v>
      </c>
      <c r="C164" s="24" t="s">
        <v>1755</v>
      </c>
      <c r="D164" s="31" t="s">
        <v>2398</v>
      </c>
      <c r="E164" s="62" t="s">
        <v>2414</v>
      </c>
      <c r="F164" s="63" t="s">
        <v>2276</v>
      </c>
      <c r="G164" s="63" t="s">
        <v>553</v>
      </c>
      <c r="H164" s="62" t="s">
        <v>121</v>
      </c>
      <c r="I164" s="21">
        <v>-1.9634013085656801</v>
      </c>
      <c r="J164" s="21">
        <v>-50.890630922426702</v>
      </c>
      <c r="K164" s="21" t="s">
        <v>2276</v>
      </c>
      <c r="L164" s="63">
        <v>2013</v>
      </c>
      <c r="M164" s="63">
        <v>2013</v>
      </c>
      <c r="N164" s="22" t="s">
        <v>2276</v>
      </c>
      <c r="O164" s="22" t="s">
        <v>67</v>
      </c>
      <c r="P164" s="5" t="s">
        <v>5187</v>
      </c>
      <c r="Q164" s="24" t="s">
        <v>2415</v>
      </c>
    </row>
    <row r="165" spans="1:17" ht="82" customHeight="1">
      <c r="A165" s="31">
        <v>27</v>
      </c>
      <c r="B165" s="61" t="s">
        <v>554</v>
      </c>
      <c r="C165" s="24" t="s">
        <v>1756</v>
      </c>
      <c r="D165" s="31" t="s">
        <v>2398</v>
      </c>
      <c r="E165" s="62" t="s">
        <v>2414</v>
      </c>
      <c r="F165" s="63" t="s">
        <v>2276</v>
      </c>
      <c r="G165" s="63" t="s">
        <v>553</v>
      </c>
      <c r="H165" s="62" t="s">
        <v>121</v>
      </c>
      <c r="I165" s="21">
        <v>-6.2830614759706904</v>
      </c>
      <c r="J165" s="21">
        <v>-51.647410398917401</v>
      </c>
      <c r="K165" s="21" t="s">
        <v>2276</v>
      </c>
      <c r="L165" s="63">
        <v>2013</v>
      </c>
      <c r="M165" s="63">
        <v>2013</v>
      </c>
      <c r="N165" s="22" t="s">
        <v>2276</v>
      </c>
      <c r="O165" s="22" t="s">
        <v>67</v>
      </c>
      <c r="P165" s="5" t="s">
        <v>5187</v>
      </c>
      <c r="Q165" s="24" t="s">
        <v>2415</v>
      </c>
    </row>
    <row r="166" spans="1:17" ht="82" customHeight="1">
      <c r="A166" s="31">
        <v>27</v>
      </c>
      <c r="B166" s="61" t="s">
        <v>554</v>
      </c>
      <c r="C166" s="24" t="s">
        <v>1757</v>
      </c>
      <c r="D166" s="31" t="s">
        <v>2398</v>
      </c>
      <c r="E166" s="62" t="s">
        <v>2414</v>
      </c>
      <c r="F166" s="63" t="s">
        <v>2276</v>
      </c>
      <c r="G166" s="63" t="s">
        <v>553</v>
      </c>
      <c r="H166" s="62" t="s">
        <v>121</v>
      </c>
      <c r="I166" s="21">
        <v>-4.7845497118208096</v>
      </c>
      <c r="J166" s="21">
        <v>-49.305165772932298</v>
      </c>
      <c r="K166" s="21" t="s">
        <v>2276</v>
      </c>
      <c r="L166" s="63">
        <v>2013</v>
      </c>
      <c r="M166" s="63">
        <v>2013</v>
      </c>
      <c r="N166" s="22" t="s">
        <v>2276</v>
      </c>
      <c r="O166" s="22" t="s">
        <v>67</v>
      </c>
      <c r="P166" s="5" t="s">
        <v>5187</v>
      </c>
      <c r="Q166" s="24" t="s">
        <v>2415</v>
      </c>
    </row>
    <row r="167" spans="1:17" ht="82" customHeight="1">
      <c r="A167" s="31">
        <v>27</v>
      </c>
      <c r="B167" s="61" t="s">
        <v>554</v>
      </c>
      <c r="C167" s="24" t="s">
        <v>1758</v>
      </c>
      <c r="D167" s="31" t="s">
        <v>2398</v>
      </c>
      <c r="E167" s="62" t="s">
        <v>2414</v>
      </c>
      <c r="F167" s="63" t="s">
        <v>2276</v>
      </c>
      <c r="G167" s="63" t="s">
        <v>553</v>
      </c>
      <c r="H167" s="62" t="s">
        <v>121</v>
      </c>
      <c r="I167" s="21">
        <v>-5.43361237687167</v>
      </c>
      <c r="J167" s="21">
        <v>-49.093104877413701</v>
      </c>
      <c r="K167" s="21" t="s">
        <v>2276</v>
      </c>
      <c r="L167" s="63">
        <v>2013</v>
      </c>
      <c r="M167" s="63">
        <v>2013</v>
      </c>
      <c r="N167" s="22" t="s">
        <v>2276</v>
      </c>
      <c r="O167" s="22" t="s">
        <v>67</v>
      </c>
      <c r="P167" s="5" t="s">
        <v>5187</v>
      </c>
      <c r="Q167" s="24" t="s">
        <v>2415</v>
      </c>
    </row>
    <row r="168" spans="1:17" ht="82" customHeight="1">
      <c r="A168" s="31">
        <v>27</v>
      </c>
      <c r="B168" s="61" t="s">
        <v>554</v>
      </c>
      <c r="C168" s="24" t="s">
        <v>1759</v>
      </c>
      <c r="D168" s="31" t="s">
        <v>2398</v>
      </c>
      <c r="E168" s="62" t="s">
        <v>2414</v>
      </c>
      <c r="F168" s="63" t="s">
        <v>2276</v>
      </c>
      <c r="G168" s="63" t="s">
        <v>553</v>
      </c>
      <c r="H168" s="62" t="s">
        <v>121</v>
      </c>
      <c r="I168" s="21">
        <v>-5.27892003048078</v>
      </c>
      <c r="J168" s="21">
        <v>-49.395325111684102</v>
      </c>
      <c r="K168" s="21" t="s">
        <v>2276</v>
      </c>
      <c r="L168" s="63">
        <v>2013</v>
      </c>
      <c r="M168" s="63">
        <v>2013</v>
      </c>
      <c r="N168" s="22" t="s">
        <v>2276</v>
      </c>
      <c r="O168" s="22" t="s">
        <v>67</v>
      </c>
      <c r="P168" s="5" t="s">
        <v>5187</v>
      </c>
      <c r="Q168" s="24" t="s">
        <v>2415</v>
      </c>
    </row>
    <row r="169" spans="1:17" ht="82" customHeight="1">
      <c r="A169" s="31">
        <v>27</v>
      </c>
      <c r="B169" s="61" t="s">
        <v>554</v>
      </c>
      <c r="C169" s="24" t="s">
        <v>1760</v>
      </c>
      <c r="D169" s="31" t="s">
        <v>2398</v>
      </c>
      <c r="E169" s="62" t="s">
        <v>2414</v>
      </c>
      <c r="F169" s="63" t="s">
        <v>2276</v>
      </c>
      <c r="G169" s="63" t="s">
        <v>553</v>
      </c>
      <c r="H169" s="62" t="s">
        <v>121</v>
      </c>
      <c r="I169" s="21">
        <v>-5.1200070287159702</v>
      </c>
      <c r="J169" s="21">
        <v>-48.434942762262303</v>
      </c>
      <c r="K169" s="21" t="s">
        <v>2276</v>
      </c>
      <c r="L169" s="63">
        <v>2013</v>
      </c>
      <c r="M169" s="63">
        <v>2013</v>
      </c>
      <c r="N169" s="22" t="s">
        <v>2276</v>
      </c>
      <c r="O169" s="22" t="s">
        <v>67</v>
      </c>
      <c r="P169" s="5" t="s">
        <v>5187</v>
      </c>
      <c r="Q169" s="24" t="s">
        <v>2415</v>
      </c>
    </row>
    <row r="170" spans="1:17" ht="82" customHeight="1">
      <c r="A170" s="31">
        <v>27</v>
      </c>
      <c r="B170" s="61" t="s">
        <v>554</v>
      </c>
      <c r="C170" s="24" t="s">
        <v>1761</v>
      </c>
      <c r="D170" s="31" t="s">
        <v>2398</v>
      </c>
      <c r="E170" s="62" t="s">
        <v>2414</v>
      </c>
      <c r="F170" s="63" t="s">
        <v>2276</v>
      </c>
      <c r="G170" s="63" t="s">
        <v>553</v>
      </c>
      <c r="H170" s="62" t="s">
        <v>121</v>
      </c>
      <c r="I170" s="21">
        <v>-5.1857602038248602</v>
      </c>
      <c r="J170" s="21">
        <v>-47.9609711232319</v>
      </c>
      <c r="K170" s="21" t="s">
        <v>2276</v>
      </c>
      <c r="L170" s="63">
        <v>2013</v>
      </c>
      <c r="M170" s="63">
        <v>2013</v>
      </c>
      <c r="N170" s="22" t="s">
        <v>2276</v>
      </c>
      <c r="O170" s="22" t="s">
        <v>67</v>
      </c>
      <c r="P170" s="5" t="s">
        <v>5187</v>
      </c>
      <c r="Q170" s="24" t="s">
        <v>2415</v>
      </c>
    </row>
    <row r="171" spans="1:17" ht="82" customHeight="1">
      <c r="A171" s="31">
        <v>27</v>
      </c>
      <c r="B171" s="61" t="s">
        <v>554</v>
      </c>
      <c r="C171" s="24" t="s">
        <v>1762</v>
      </c>
      <c r="D171" s="31" t="s">
        <v>2398</v>
      </c>
      <c r="E171" s="62" t="s">
        <v>2414</v>
      </c>
      <c r="F171" s="63" t="s">
        <v>2276</v>
      </c>
      <c r="G171" s="63" t="s">
        <v>553</v>
      </c>
      <c r="H171" s="62" t="s">
        <v>121</v>
      </c>
      <c r="I171" s="21">
        <v>-3.02736403086393</v>
      </c>
      <c r="J171" s="21">
        <v>-42.361579646213897</v>
      </c>
      <c r="K171" s="21" t="s">
        <v>2276</v>
      </c>
      <c r="L171" s="63">
        <v>2013</v>
      </c>
      <c r="M171" s="63">
        <v>2013</v>
      </c>
      <c r="N171" s="22" t="s">
        <v>2276</v>
      </c>
      <c r="O171" s="22" t="s">
        <v>67</v>
      </c>
      <c r="P171" s="5" t="s">
        <v>5187</v>
      </c>
      <c r="Q171" s="24" t="s">
        <v>2415</v>
      </c>
    </row>
    <row r="172" spans="1:17" ht="82" customHeight="1">
      <c r="A172" s="31">
        <v>27</v>
      </c>
      <c r="B172" s="61" t="s">
        <v>554</v>
      </c>
      <c r="C172" s="24" t="s">
        <v>1763</v>
      </c>
      <c r="D172" s="31" t="s">
        <v>2398</v>
      </c>
      <c r="E172" s="62" t="s">
        <v>2414</v>
      </c>
      <c r="F172" s="63" t="s">
        <v>2276</v>
      </c>
      <c r="G172" s="63" t="s">
        <v>553</v>
      </c>
      <c r="H172" s="62" t="s">
        <v>121</v>
      </c>
      <c r="I172" s="21">
        <v>-3.1535418016516301</v>
      </c>
      <c r="J172" s="21">
        <v>-43.823853367904903</v>
      </c>
      <c r="K172" s="21" t="s">
        <v>2276</v>
      </c>
      <c r="L172" s="63">
        <v>2013</v>
      </c>
      <c r="M172" s="63">
        <v>2013</v>
      </c>
      <c r="N172" s="22" t="s">
        <v>2276</v>
      </c>
      <c r="O172" s="22" t="s">
        <v>67</v>
      </c>
      <c r="P172" s="5" t="s">
        <v>5187</v>
      </c>
      <c r="Q172" s="24" t="s">
        <v>2415</v>
      </c>
    </row>
    <row r="173" spans="1:17" ht="82" customHeight="1">
      <c r="A173" s="31">
        <v>27</v>
      </c>
      <c r="B173" s="61" t="s">
        <v>554</v>
      </c>
      <c r="C173" s="24" t="s">
        <v>1764</v>
      </c>
      <c r="D173" s="31" t="s">
        <v>2398</v>
      </c>
      <c r="E173" s="62" t="s">
        <v>2414</v>
      </c>
      <c r="F173" s="63" t="s">
        <v>2276</v>
      </c>
      <c r="G173" s="63" t="s">
        <v>553</v>
      </c>
      <c r="H173" s="62" t="s">
        <v>121</v>
      </c>
      <c r="I173" s="21">
        <v>-4.4320868520059999</v>
      </c>
      <c r="J173" s="21">
        <v>-44.780033182653902</v>
      </c>
      <c r="K173" s="21" t="s">
        <v>2276</v>
      </c>
      <c r="L173" s="63">
        <v>2013</v>
      </c>
      <c r="M173" s="63">
        <v>2013</v>
      </c>
      <c r="N173" s="22" t="s">
        <v>2276</v>
      </c>
      <c r="O173" s="22" t="s">
        <v>67</v>
      </c>
      <c r="P173" s="5" t="s">
        <v>5187</v>
      </c>
      <c r="Q173" s="24" t="s">
        <v>2415</v>
      </c>
    </row>
    <row r="174" spans="1:17" ht="82" customHeight="1">
      <c r="A174" s="31">
        <v>27</v>
      </c>
      <c r="B174" s="61" t="s">
        <v>554</v>
      </c>
      <c r="C174" s="24" t="s">
        <v>1765</v>
      </c>
      <c r="D174" s="31" t="s">
        <v>2398</v>
      </c>
      <c r="E174" s="62" t="s">
        <v>2414</v>
      </c>
      <c r="F174" s="63" t="s">
        <v>2276</v>
      </c>
      <c r="G174" s="63" t="s">
        <v>553</v>
      </c>
      <c r="H174" s="62" t="s">
        <v>121</v>
      </c>
      <c r="I174" s="21">
        <v>-1.7699796122715801</v>
      </c>
      <c r="J174" s="21">
        <v>-48.725603836775001</v>
      </c>
      <c r="K174" s="21" t="s">
        <v>2276</v>
      </c>
      <c r="L174" s="63">
        <v>2013</v>
      </c>
      <c r="M174" s="63">
        <v>2013</v>
      </c>
      <c r="N174" s="22" t="s">
        <v>2276</v>
      </c>
      <c r="O174" s="22" t="s">
        <v>67</v>
      </c>
      <c r="P174" s="5" t="s">
        <v>5187</v>
      </c>
      <c r="Q174" s="24" t="s">
        <v>2415</v>
      </c>
    </row>
    <row r="175" spans="1:17" ht="82" customHeight="1">
      <c r="A175" s="31">
        <v>27</v>
      </c>
      <c r="B175" s="61" t="s">
        <v>554</v>
      </c>
      <c r="C175" s="24" t="s">
        <v>1766</v>
      </c>
      <c r="D175" s="31" t="s">
        <v>2398</v>
      </c>
      <c r="E175" s="62" t="s">
        <v>2414</v>
      </c>
      <c r="F175" s="63" t="s">
        <v>2276</v>
      </c>
      <c r="G175" s="63" t="s">
        <v>553</v>
      </c>
      <c r="H175" s="62" t="s">
        <v>121</v>
      </c>
      <c r="I175" s="21">
        <v>-1.7555566896342101</v>
      </c>
      <c r="J175" s="21">
        <v>-48.771873216568601</v>
      </c>
      <c r="K175" s="21" t="s">
        <v>2276</v>
      </c>
      <c r="L175" s="63">
        <v>2013</v>
      </c>
      <c r="M175" s="63">
        <v>2013</v>
      </c>
      <c r="N175" s="22" t="s">
        <v>2276</v>
      </c>
      <c r="O175" s="22" t="s">
        <v>67</v>
      </c>
      <c r="P175" s="5" t="s">
        <v>5187</v>
      </c>
      <c r="Q175" s="24" t="s">
        <v>2415</v>
      </c>
    </row>
    <row r="176" spans="1:17" ht="82" customHeight="1">
      <c r="A176" s="31">
        <v>27</v>
      </c>
      <c r="B176" s="61" t="s">
        <v>554</v>
      </c>
      <c r="C176" s="24" t="s">
        <v>1767</v>
      </c>
      <c r="D176" s="31" t="s">
        <v>2398</v>
      </c>
      <c r="E176" s="62" t="s">
        <v>2414</v>
      </c>
      <c r="F176" s="63" t="s">
        <v>2276</v>
      </c>
      <c r="G176" s="63" t="s">
        <v>553</v>
      </c>
      <c r="H176" s="62" t="s">
        <v>121</v>
      </c>
      <c r="I176" s="21">
        <v>-1.17899017828899</v>
      </c>
      <c r="J176" s="21">
        <v>-47.876652321925697</v>
      </c>
      <c r="K176" s="21" t="s">
        <v>2276</v>
      </c>
      <c r="L176" s="63">
        <v>2013</v>
      </c>
      <c r="M176" s="63">
        <v>2013</v>
      </c>
      <c r="N176" s="22" t="s">
        <v>2276</v>
      </c>
      <c r="O176" s="22" t="s">
        <v>67</v>
      </c>
      <c r="P176" s="5" t="s">
        <v>5187</v>
      </c>
      <c r="Q176" s="24" t="s">
        <v>2415</v>
      </c>
    </row>
    <row r="177" spans="1:17" ht="82" customHeight="1">
      <c r="A177" s="31">
        <v>27</v>
      </c>
      <c r="B177" s="61" t="s">
        <v>554</v>
      </c>
      <c r="C177" s="24" t="s">
        <v>1768</v>
      </c>
      <c r="D177" s="31" t="s">
        <v>2398</v>
      </c>
      <c r="E177" s="62" t="s">
        <v>2414</v>
      </c>
      <c r="F177" s="63" t="s">
        <v>2276</v>
      </c>
      <c r="G177" s="63" t="s">
        <v>553</v>
      </c>
      <c r="H177" s="62" t="s">
        <v>121</v>
      </c>
      <c r="I177" s="21">
        <v>-2.15594860867354</v>
      </c>
      <c r="J177" s="21">
        <v>-47.7743226649592</v>
      </c>
      <c r="K177" s="21" t="s">
        <v>2276</v>
      </c>
      <c r="L177" s="63">
        <v>2013</v>
      </c>
      <c r="M177" s="63">
        <v>2013</v>
      </c>
      <c r="N177" s="22" t="s">
        <v>2276</v>
      </c>
      <c r="O177" s="22" t="s">
        <v>67</v>
      </c>
      <c r="P177" s="5" t="s">
        <v>5187</v>
      </c>
      <c r="Q177" s="24" t="s">
        <v>2415</v>
      </c>
    </row>
    <row r="178" spans="1:17" ht="82" customHeight="1">
      <c r="A178" s="31">
        <v>27</v>
      </c>
      <c r="B178" s="61" t="s">
        <v>554</v>
      </c>
      <c r="C178" s="24" t="s">
        <v>1769</v>
      </c>
      <c r="D178" s="31" t="s">
        <v>2398</v>
      </c>
      <c r="E178" s="62" t="s">
        <v>2414</v>
      </c>
      <c r="F178" s="63" t="s">
        <v>2276</v>
      </c>
      <c r="G178" s="63" t="s">
        <v>553</v>
      </c>
      <c r="H178" s="62" t="s">
        <v>121</v>
      </c>
      <c r="I178" s="21">
        <v>-1.0871119621162599</v>
      </c>
      <c r="J178" s="21">
        <v>-47.002492607475801</v>
      </c>
      <c r="K178" s="21" t="s">
        <v>2276</v>
      </c>
      <c r="L178" s="63">
        <v>2013</v>
      </c>
      <c r="M178" s="63">
        <v>2013</v>
      </c>
      <c r="N178" s="22" t="s">
        <v>2276</v>
      </c>
      <c r="O178" s="22" t="s">
        <v>67</v>
      </c>
      <c r="P178" s="5" t="s">
        <v>5187</v>
      </c>
      <c r="Q178" s="24" t="s">
        <v>2415</v>
      </c>
    </row>
    <row r="179" spans="1:17" ht="82" customHeight="1">
      <c r="A179" s="31">
        <v>27</v>
      </c>
      <c r="B179" s="61" t="s">
        <v>554</v>
      </c>
      <c r="C179" s="24" t="s">
        <v>1770</v>
      </c>
      <c r="D179" s="31" t="s">
        <v>2398</v>
      </c>
      <c r="E179" s="62" t="s">
        <v>2414</v>
      </c>
      <c r="F179" s="63" t="s">
        <v>2276</v>
      </c>
      <c r="G179" s="63" t="s">
        <v>553</v>
      </c>
      <c r="H179" s="62" t="s">
        <v>121</v>
      </c>
      <c r="I179" s="21">
        <v>-1.7919956882308301</v>
      </c>
      <c r="J179" s="21">
        <v>-47.148373173231001</v>
      </c>
      <c r="K179" s="21" t="s">
        <v>2276</v>
      </c>
      <c r="L179" s="63">
        <v>2013</v>
      </c>
      <c r="M179" s="63">
        <v>2013</v>
      </c>
      <c r="N179" s="22" t="s">
        <v>2276</v>
      </c>
      <c r="O179" s="22" t="s">
        <v>67</v>
      </c>
      <c r="P179" s="5" t="s">
        <v>5187</v>
      </c>
      <c r="Q179" s="24" t="s">
        <v>2415</v>
      </c>
    </row>
    <row r="180" spans="1:17" ht="82" customHeight="1">
      <c r="A180" s="31">
        <v>27</v>
      </c>
      <c r="B180" s="61" t="s">
        <v>554</v>
      </c>
      <c r="C180" s="24" t="s">
        <v>1771</v>
      </c>
      <c r="D180" s="31" t="s">
        <v>2398</v>
      </c>
      <c r="E180" s="62" t="s">
        <v>2414</v>
      </c>
      <c r="F180" s="63" t="s">
        <v>2276</v>
      </c>
      <c r="G180" s="63" t="s">
        <v>553</v>
      </c>
      <c r="H180" s="62" t="s">
        <v>121</v>
      </c>
      <c r="I180" s="21">
        <v>-9.4327043589160091</v>
      </c>
      <c r="J180" s="21">
        <v>-62.861690333039199</v>
      </c>
      <c r="K180" s="21" t="s">
        <v>2276</v>
      </c>
      <c r="L180" s="63">
        <v>2013</v>
      </c>
      <c r="M180" s="63">
        <v>2013</v>
      </c>
      <c r="N180" s="22" t="s">
        <v>2276</v>
      </c>
      <c r="O180" s="22" t="s">
        <v>67</v>
      </c>
      <c r="P180" s="5" t="s">
        <v>5187</v>
      </c>
      <c r="Q180" s="24" t="s">
        <v>2415</v>
      </c>
    </row>
    <row r="181" spans="1:17" ht="82" customHeight="1">
      <c r="A181" s="31">
        <v>27</v>
      </c>
      <c r="B181" s="61" t="s">
        <v>554</v>
      </c>
      <c r="C181" s="24" t="s">
        <v>1772</v>
      </c>
      <c r="D181" s="31" t="s">
        <v>2398</v>
      </c>
      <c r="E181" s="62" t="s">
        <v>2414</v>
      </c>
      <c r="F181" s="63" t="s">
        <v>2276</v>
      </c>
      <c r="G181" s="63" t="s">
        <v>553</v>
      </c>
      <c r="H181" s="62" t="s">
        <v>121</v>
      </c>
      <c r="I181" s="21">
        <v>-10.6578776365489</v>
      </c>
      <c r="J181" s="21">
        <v>-63.082704064583403</v>
      </c>
      <c r="K181" s="21" t="s">
        <v>2276</v>
      </c>
      <c r="L181" s="63">
        <v>2013</v>
      </c>
      <c r="M181" s="63">
        <v>2013</v>
      </c>
      <c r="N181" s="22" t="s">
        <v>2276</v>
      </c>
      <c r="O181" s="22" t="s">
        <v>67</v>
      </c>
      <c r="P181" s="5" t="s">
        <v>5187</v>
      </c>
      <c r="Q181" s="24" t="s">
        <v>2415</v>
      </c>
    </row>
    <row r="182" spans="1:17" ht="82" customHeight="1">
      <c r="A182" s="31">
        <v>27</v>
      </c>
      <c r="B182" s="61" t="s">
        <v>554</v>
      </c>
      <c r="C182" s="24" t="s">
        <v>1773</v>
      </c>
      <c r="D182" s="31" t="s">
        <v>2398</v>
      </c>
      <c r="E182" s="62" t="s">
        <v>2414</v>
      </c>
      <c r="F182" s="63" t="s">
        <v>2276</v>
      </c>
      <c r="G182" s="63" t="s">
        <v>553</v>
      </c>
      <c r="H182" s="62" t="s">
        <v>121</v>
      </c>
      <c r="I182" s="21">
        <v>-13.596579223026</v>
      </c>
      <c r="J182" s="21">
        <v>-59.614161000066503</v>
      </c>
      <c r="K182" s="21" t="s">
        <v>2276</v>
      </c>
      <c r="L182" s="63">
        <v>2013</v>
      </c>
      <c r="M182" s="63">
        <v>2013</v>
      </c>
      <c r="N182" s="22" t="s">
        <v>2276</v>
      </c>
      <c r="O182" s="22" t="s">
        <v>67</v>
      </c>
      <c r="P182" s="5" t="s">
        <v>5187</v>
      </c>
      <c r="Q182" s="24" t="s">
        <v>2415</v>
      </c>
    </row>
    <row r="183" spans="1:17" ht="82" customHeight="1">
      <c r="A183" s="31">
        <v>27</v>
      </c>
      <c r="B183" s="61" t="s">
        <v>554</v>
      </c>
      <c r="C183" s="24" t="s">
        <v>1774</v>
      </c>
      <c r="D183" s="31" t="s">
        <v>2398</v>
      </c>
      <c r="E183" s="62" t="s">
        <v>2414</v>
      </c>
      <c r="F183" s="63" t="s">
        <v>2276</v>
      </c>
      <c r="G183" s="63" t="s">
        <v>553</v>
      </c>
      <c r="H183" s="62" t="s">
        <v>121</v>
      </c>
      <c r="I183" s="21">
        <v>-14.7496545101748</v>
      </c>
      <c r="J183" s="21">
        <v>-59.235153189501901</v>
      </c>
      <c r="K183" s="21" t="s">
        <v>2276</v>
      </c>
      <c r="L183" s="63">
        <v>2013</v>
      </c>
      <c r="M183" s="63">
        <v>2013</v>
      </c>
      <c r="N183" s="22" t="s">
        <v>2276</v>
      </c>
      <c r="O183" s="22" t="s">
        <v>67</v>
      </c>
      <c r="P183" s="5" t="s">
        <v>5187</v>
      </c>
      <c r="Q183" s="24" t="s">
        <v>2415</v>
      </c>
    </row>
    <row r="184" spans="1:17" ht="59" customHeight="1">
      <c r="A184" s="31">
        <v>28</v>
      </c>
      <c r="B184" s="40" t="s">
        <v>561</v>
      </c>
      <c r="C184" s="3" t="s">
        <v>555</v>
      </c>
      <c r="D184" s="31" t="s">
        <v>2416</v>
      </c>
      <c r="E184" s="28" t="s">
        <v>2399</v>
      </c>
      <c r="F184" s="3" t="s">
        <v>560</v>
      </c>
      <c r="G184" s="3" t="s">
        <v>559</v>
      </c>
      <c r="H184" s="28" t="s">
        <v>121</v>
      </c>
      <c r="I184" s="21">
        <v>-10.592850800000001</v>
      </c>
      <c r="J184" s="21">
        <v>-67.837599299999994</v>
      </c>
      <c r="K184" s="21">
        <v>3176</v>
      </c>
      <c r="L184" s="3">
        <v>1996</v>
      </c>
      <c r="M184" s="3">
        <v>1996</v>
      </c>
      <c r="N184" s="3" t="s">
        <v>2276</v>
      </c>
      <c r="O184" s="3" t="s">
        <v>183</v>
      </c>
      <c r="P184" s="5" t="s">
        <v>5187</v>
      </c>
      <c r="Q184" s="3"/>
    </row>
    <row r="185" spans="1:17" ht="62.5" customHeight="1">
      <c r="A185" s="31">
        <v>28</v>
      </c>
      <c r="B185" s="40" t="s">
        <v>561</v>
      </c>
      <c r="C185" s="3" t="s">
        <v>556</v>
      </c>
      <c r="D185" s="31" t="s">
        <v>2416</v>
      </c>
      <c r="E185" s="28" t="s">
        <v>2399</v>
      </c>
      <c r="F185" s="3" t="s">
        <v>558</v>
      </c>
      <c r="G185" s="3" t="s">
        <v>557</v>
      </c>
      <c r="H185" s="28" t="s">
        <v>121</v>
      </c>
      <c r="I185" s="21">
        <v>-10.6615097</v>
      </c>
      <c r="J185" s="21">
        <v>-62.162539299999999</v>
      </c>
      <c r="K185" s="21">
        <v>3000</v>
      </c>
      <c r="L185" s="3">
        <v>1996</v>
      </c>
      <c r="M185" s="3">
        <v>1996</v>
      </c>
      <c r="N185" s="3" t="s">
        <v>2276</v>
      </c>
      <c r="O185" s="3" t="s">
        <v>183</v>
      </c>
      <c r="P185" s="5" t="s">
        <v>5187</v>
      </c>
      <c r="Q185" s="3"/>
    </row>
    <row r="186" spans="1:17" ht="62.5" customHeight="1">
      <c r="A186" s="31">
        <v>29</v>
      </c>
      <c r="B186" s="40" t="s">
        <v>589</v>
      </c>
      <c r="C186" s="3" t="s">
        <v>571</v>
      </c>
      <c r="D186" s="3" t="s">
        <v>2398</v>
      </c>
      <c r="E186" s="28" t="s">
        <v>2399</v>
      </c>
      <c r="F186" s="3" t="s">
        <v>2276</v>
      </c>
      <c r="G186" s="3" t="s">
        <v>1912</v>
      </c>
      <c r="H186" s="28" t="s">
        <v>1948</v>
      </c>
      <c r="I186" s="21">
        <v>-19.1550036118843</v>
      </c>
      <c r="J186" s="21">
        <v>23.576400374991898</v>
      </c>
      <c r="K186" s="21" t="s">
        <v>2276</v>
      </c>
      <c r="L186" s="3">
        <v>1985</v>
      </c>
      <c r="M186" s="3">
        <v>1985</v>
      </c>
      <c r="N186" s="3" t="s">
        <v>2276</v>
      </c>
      <c r="O186" s="3" t="s">
        <v>67</v>
      </c>
      <c r="P186" s="5" t="s">
        <v>5187</v>
      </c>
      <c r="Q186" s="4" t="s">
        <v>1953</v>
      </c>
    </row>
    <row r="187" spans="1:17" ht="62.5" customHeight="1">
      <c r="A187" s="31">
        <v>29</v>
      </c>
      <c r="B187" s="40" t="s">
        <v>589</v>
      </c>
      <c r="C187" s="3" t="s">
        <v>572</v>
      </c>
      <c r="D187" s="3" t="s">
        <v>2398</v>
      </c>
      <c r="E187" s="28" t="s">
        <v>2399</v>
      </c>
      <c r="F187" s="3" t="s">
        <v>1913</v>
      </c>
      <c r="G187" s="3" t="s">
        <v>2276</v>
      </c>
      <c r="H187" s="28" t="s">
        <v>1948</v>
      </c>
      <c r="I187" s="21">
        <v>-20.027692239804701</v>
      </c>
      <c r="J187" s="21">
        <v>21.535794259086799</v>
      </c>
      <c r="K187" s="21" t="s">
        <v>2276</v>
      </c>
      <c r="L187" s="3">
        <v>1985</v>
      </c>
      <c r="M187" s="3">
        <v>1985</v>
      </c>
      <c r="N187" s="3" t="s">
        <v>2276</v>
      </c>
      <c r="O187" s="3" t="s">
        <v>67</v>
      </c>
      <c r="P187" s="5" t="s">
        <v>5187</v>
      </c>
      <c r="Q187" s="4" t="s">
        <v>1953</v>
      </c>
    </row>
    <row r="188" spans="1:17" ht="62.5" customHeight="1">
      <c r="A188" s="31">
        <v>29</v>
      </c>
      <c r="B188" s="40" t="s">
        <v>589</v>
      </c>
      <c r="C188" s="3" t="s">
        <v>573</v>
      </c>
      <c r="D188" s="3" t="s">
        <v>2398</v>
      </c>
      <c r="E188" s="28" t="s">
        <v>2399</v>
      </c>
      <c r="F188" s="3" t="s">
        <v>1914</v>
      </c>
      <c r="G188" s="3" t="s">
        <v>2276</v>
      </c>
      <c r="H188" s="28" t="s">
        <v>1948</v>
      </c>
      <c r="I188" s="21">
        <v>-22.177074171542799</v>
      </c>
      <c r="J188" s="21">
        <v>22.9406037306229</v>
      </c>
      <c r="K188" s="21" t="s">
        <v>2276</v>
      </c>
      <c r="L188" s="3">
        <v>1985</v>
      </c>
      <c r="M188" s="3">
        <v>1985</v>
      </c>
      <c r="N188" s="3" t="s">
        <v>2276</v>
      </c>
      <c r="O188" s="3" t="s">
        <v>67</v>
      </c>
      <c r="P188" s="5" t="s">
        <v>5187</v>
      </c>
      <c r="Q188" s="4" t="s">
        <v>1953</v>
      </c>
    </row>
    <row r="189" spans="1:17" ht="62.5" customHeight="1">
      <c r="A189" s="31">
        <v>29</v>
      </c>
      <c r="B189" s="40" t="s">
        <v>589</v>
      </c>
      <c r="C189" s="3" t="s">
        <v>574</v>
      </c>
      <c r="D189" s="3" t="s">
        <v>2398</v>
      </c>
      <c r="E189" s="28" t="s">
        <v>2399</v>
      </c>
      <c r="F189" s="3" t="s">
        <v>2276</v>
      </c>
      <c r="G189" s="3" t="s">
        <v>1915</v>
      </c>
      <c r="H189" s="28" t="s">
        <v>1948</v>
      </c>
      <c r="I189" s="21">
        <v>-24.155826383108899</v>
      </c>
      <c r="J189" s="21">
        <v>25.641106096813001</v>
      </c>
      <c r="K189" s="21" t="s">
        <v>2276</v>
      </c>
      <c r="L189" s="3">
        <v>1985</v>
      </c>
      <c r="M189" s="3">
        <v>1985</v>
      </c>
      <c r="N189" s="3" t="s">
        <v>2276</v>
      </c>
      <c r="O189" s="3" t="s">
        <v>67</v>
      </c>
      <c r="P189" s="5" t="s">
        <v>5187</v>
      </c>
      <c r="Q189" s="4" t="s">
        <v>1953</v>
      </c>
    </row>
    <row r="190" spans="1:17" ht="62.5" customHeight="1">
      <c r="A190" s="31">
        <v>29</v>
      </c>
      <c r="B190" s="40" t="s">
        <v>589</v>
      </c>
      <c r="C190" s="3" t="s">
        <v>575</v>
      </c>
      <c r="D190" s="3" t="s">
        <v>2398</v>
      </c>
      <c r="E190" s="28" t="s">
        <v>2399</v>
      </c>
      <c r="F190" s="3" t="s">
        <v>2276</v>
      </c>
      <c r="G190" s="3" t="s">
        <v>1916</v>
      </c>
      <c r="H190" s="28" t="s">
        <v>1949</v>
      </c>
      <c r="I190" s="21">
        <v>11.7625316349495</v>
      </c>
      <c r="J190" s="21">
        <v>-2.9505707368399201</v>
      </c>
      <c r="K190" s="21" t="s">
        <v>2276</v>
      </c>
      <c r="L190" s="3">
        <v>1985</v>
      </c>
      <c r="M190" s="3">
        <v>1985</v>
      </c>
      <c r="N190" s="3">
        <v>40</v>
      </c>
      <c r="O190" s="3" t="s">
        <v>67</v>
      </c>
      <c r="P190" s="5" t="s">
        <v>5187</v>
      </c>
      <c r="Q190" s="4" t="s">
        <v>1953</v>
      </c>
    </row>
    <row r="191" spans="1:17" ht="62.5" customHeight="1">
      <c r="A191" s="31">
        <v>29</v>
      </c>
      <c r="B191" s="40" t="s">
        <v>589</v>
      </c>
      <c r="C191" s="3" t="s">
        <v>576</v>
      </c>
      <c r="D191" s="3" t="s">
        <v>2398</v>
      </c>
      <c r="E191" s="28" t="s">
        <v>2399</v>
      </c>
      <c r="F191" s="3" t="s">
        <v>1917</v>
      </c>
      <c r="G191" s="3" t="s">
        <v>2276</v>
      </c>
      <c r="H191" s="28" t="s">
        <v>1949</v>
      </c>
      <c r="I191" s="21">
        <v>10.879954780908401</v>
      </c>
      <c r="J191" s="21">
        <v>-4.8309661266719202</v>
      </c>
      <c r="K191" s="21" t="s">
        <v>2276</v>
      </c>
      <c r="L191" s="3">
        <v>1985</v>
      </c>
      <c r="M191" s="3">
        <v>1985</v>
      </c>
      <c r="N191" s="3">
        <v>35</v>
      </c>
      <c r="O191" s="3" t="s">
        <v>67</v>
      </c>
      <c r="P191" s="5" t="s">
        <v>5187</v>
      </c>
      <c r="Q191" s="4" t="s">
        <v>1953</v>
      </c>
    </row>
    <row r="192" spans="1:17" ht="62.5" customHeight="1">
      <c r="A192" s="31">
        <v>29</v>
      </c>
      <c r="B192" s="40" t="s">
        <v>589</v>
      </c>
      <c r="C192" s="3" t="s">
        <v>577</v>
      </c>
      <c r="D192" s="3" t="s">
        <v>2398</v>
      </c>
      <c r="E192" s="28" t="s">
        <v>2399</v>
      </c>
      <c r="F192" s="3" t="s">
        <v>2276</v>
      </c>
      <c r="G192" s="3" t="s">
        <v>1918</v>
      </c>
      <c r="H192" s="28" t="s">
        <v>1949</v>
      </c>
      <c r="I192" s="21">
        <v>12.611229274703099</v>
      </c>
      <c r="J192" s="21">
        <v>-0.64660085477323204</v>
      </c>
      <c r="K192" s="21" t="s">
        <v>2276</v>
      </c>
      <c r="L192" s="3">
        <v>1985</v>
      </c>
      <c r="M192" s="3">
        <v>1985</v>
      </c>
      <c r="N192" s="3">
        <v>80</v>
      </c>
      <c r="O192" s="3" t="s">
        <v>67</v>
      </c>
      <c r="P192" s="5" t="s">
        <v>5187</v>
      </c>
      <c r="Q192" s="4" t="s">
        <v>1953</v>
      </c>
    </row>
    <row r="193" spans="1:17" ht="62.5" customHeight="1">
      <c r="A193" s="31">
        <v>29</v>
      </c>
      <c r="B193" s="40" t="s">
        <v>589</v>
      </c>
      <c r="C193" s="3" t="s">
        <v>578</v>
      </c>
      <c r="D193" s="3" t="s">
        <v>2398</v>
      </c>
      <c r="E193" s="28" t="s">
        <v>2399</v>
      </c>
      <c r="F193" s="3" t="s">
        <v>1919</v>
      </c>
      <c r="G193" s="3" t="s">
        <v>2276</v>
      </c>
      <c r="H193" s="28" t="s">
        <v>1949</v>
      </c>
      <c r="I193" s="21">
        <v>13.624934400000001</v>
      </c>
      <c r="J193" s="21">
        <v>-2.3813621</v>
      </c>
      <c r="K193" s="21" t="s">
        <v>2276</v>
      </c>
      <c r="L193" s="3">
        <v>1985</v>
      </c>
      <c r="M193" s="3">
        <v>1985</v>
      </c>
      <c r="N193" s="3">
        <v>50</v>
      </c>
      <c r="O193" s="3" t="s">
        <v>67</v>
      </c>
      <c r="P193" s="5" t="s">
        <v>5187</v>
      </c>
      <c r="Q193" s="4" t="s">
        <v>1953</v>
      </c>
    </row>
    <row r="194" spans="1:17" ht="62.5" customHeight="1">
      <c r="A194" s="31">
        <v>29</v>
      </c>
      <c r="B194" s="40" t="s">
        <v>589</v>
      </c>
      <c r="C194" s="3" t="s">
        <v>579</v>
      </c>
      <c r="D194" s="3" t="s">
        <v>2398</v>
      </c>
      <c r="E194" s="28" t="s">
        <v>2399</v>
      </c>
      <c r="F194" s="3" t="s">
        <v>2276</v>
      </c>
      <c r="G194" s="3" t="s">
        <v>1920</v>
      </c>
      <c r="H194" s="28" t="s">
        <v>181</v>
      </c>
      <c r="I194" s="21">
        <v>10.7540723034762</v>
      </c>
      <c r="J194" s="21">
        <v>13.8139047147715</v>
      </c>
      <c r="K194" s="21" t="s">
        <v>2276</v>
      </c>
      <c r="L194" s="3">
        <v>1985</v>
      </c>
      <c r="M194" s="3">
        <v>1985</v>
      </c>
      <c r="N194" s="3">
        <v>80</v>
      </c>
      <c r="O194" s="3" t="s">
        <v>67</v>
      </c>
      <c r="P194" s="5" t="s">
        <v>5187</v>
      </c>
      <c r="Q194" s="4" t="s">
        <v>1953</v>
      </c>
    </row>
    <row r="195" spans="1:17" ht="62.5" customHeight="1">
      <c r="A195" s="31">
        <v>29</v>
      </c>
      <c r="B195" s="40" t="s">
        <v>589</v>
      </c>
      <c r="C195" s="3" t="s">
        <v>1875</v>
      </c>
      <c r="D195" s="3" t="s">
        <v>2398</v>
      </c>
      <c r="E195" s="28" t="s">
        <v>2399</v>
      </c>
      <c r="F195" s="3" t="s">
        <v>2276</v>
      </c>
      <c r="G195" s="3" t="s">
        <v>1921</v>
      </c>
      <c r="H195" s="28" t="s">
        <v>181</v>
      </c>
      <c r="I195" s="21">
        <v>9.9535292565250302</v>
      </c>
      <c r="J195" s="21">
        <v>13.610720350500401</v>
      </c>
      <c r="K195" s="21" t="s">
        <v>2276</v>
      </c>
      <c r="L195" s="3">
        <v>1985</v>
      </c>
      <c r="M195" s="3">
        <v>1985</v>
      </c>
      <c r="N195" s="3">
        <v>40</v>
      </c>
      <c r="O195" s="3" t="s">
        <v>67</v>
      </c>
      <c r="P195" s="5" t="s">
        <v>5187</v>
      </c>
      <c r="Q195" s="4" t="s">
        <v>1953</v>
      </c>
    </row>
    <row r="196" spans="1:17" ht="62.5" customHeight="1">
      <c r="A196" s="31">
        <v>29</v>
      </c>
      <c r="B196" s="40" t="s">
        <v>589</v>
      </c>
      <c r="C196" s="3" t="s">
        <v>1876</v>
      </c>
      <c r="D196" s="3" t="s">
        <v>2398</v>
      </c>
      <c r="E196" s="28" t="s">
        <v>2399</v>
      </c>
      <c r="F196" s="3" t="s">
        <v>1922</v>
      </c>
      <c r="G196" s="3" t="s">
        <v>2276</v>
      </c>
      <c r="H196" s="28" t="s">
        <v>181</v>
      </c>
      <c r="I196" s="21">
        <v>7.6463651053823902</v>
      </c>
      <c r="J196" s="21">
        <v>13.904896788598201</v>
      </c>
      <c r="K196" s="21" t="s">
        <v>2276</v>
      </c>
      <c r="L196" s="3">
        <v>1985</v>
      </c>
      <c r="M196" s="3">
        <v>1985</v>
      </c>
      <c r="N196" s="3">
        <v>80</v>
      </c>
      <c r="O196" s="3" t="s">
        <v>67</v>
      </c>
      <c r="P196" s="5" t="s">
        <v>5187</v>
      </c>
      <c r="Q196" s="4" t="s">
        <v>1953</v>
      </c>
    </row>
    <row r="197" spans="1:17" ht="62.5" customHeight="1">
      <c r="A197" s="31">
        <v>29</v>
      </c>
      <c r="B197" s="40" t="s">
        <v>589</v>
      </c>
      <c r="C197" s="3" t="s">
        <v>1877</v>
      </c>
      <c r="D197" s="3" t="s">
        <v>2398</v>
      </c>
      <c r="E197" s="28" t="s">
        <v>2399</v>
      </c>
      <c r="F197" s="3" t="s">
        <v>2276</v>
      </c>
      <c r="G197" s="3" t="s">
        <v>2265</v>
      </c>
      <c r="H197" s="28" t="s">
        <v>181</v>
      </c>
      <c r="I197" s="21">
        <v>10.478421277062999</v>
      </c>
      <c r="J197" s="21">
        <v>14.254079002415599</v>
      </c>
      <c r="K197" s="21" t="s">
        <v>2276</v>
      </c>
      <c r="L197" s="3">
        <v>1985</v>
      </c>
      <c r="M197" s="3">
        <v>1985</v>
      </c>
      <c r="N197" s="3">
        <v>100</v>
      </c>
      <c r="O197" s="3" t="s">
        <v>67</v>
      </c>
      <c r="P197" s="5" t="s">
        <v>5187</v>
      </c>
      <c r="Q197" s="4" t="s">
        <v>1953</v>
      </c>
    </row>
    <row r="198" spans="1:17" ht="62.5" customHeight="1">
      <c r="A198" s="31">
        <v>29</v>
      </c>
      <c r="B198" s="40" t="s">
        <v>589</v>
      </c>
      <c r="C198" s="3" t="s">
        <v>1878</v>
      </c>
      <c r="D198" s="3" t="s">
        <v>2398</v>
      </c>
      <c r="E198" s="28" t="s">
        <v>2399</v>
      </c>
      <c r="F198" s="3" t="s">
        <v>1923</v>
      </c>
      <c r="G198" s="3" t="s">
        <v>2276</v>
      </c>
      <c r="H198" s="28" t="s">
        <v>181</v>
      </c>
      <c r="I198" s="21">
        <v>6.19295809572984</v>
      </c>
      <c r="J198" s="21">
        <v>12.562541729679101</v>
      </c>
      <c r="K198" s="21" t="s">
        <v>2276</v>
      </c>
      <c r="L198" s="3">
        <v>1985</v>
      </c>
      <c r="M198" s="3">
        <v>1985</v>
      </c>
      <c r="N198" s="3">
        <v>40</v>
      </c>
      <c r="O198" s="3" t="s">
        <v>67</v>
      </c>
      <c r="P198" s="5" t="s">
        <v>5187</v>
      </c>
      <c r="Q198" s="4" t="s">
        <v>1953</v>
      </c>
    </row>
    <row r="199" spans="1:17" ht="62.5" customHeight="1">
      <c r="A199" s="31">
        <v>29</v>
      </c>
      <c r="B199" s="40" t="s">
        <v>589</v>
      </c>
      <c r="C199" s="3" t="s">
        <v>1879</v>
      </c>
      <c r="D199" s="3" t="s">
        <v>2398</v>
      </c>
      <c r="E199" s="28" t="s">
        <v>2399</v>
      </c>
      <c r="F199" s="3" t="s">
        <v>2276</v>
      </c>
      <c r="G199" s="3" t="s">
        <v>1924</v>
      </c>
      <c r="H199" s="28" t="s">
        <v>181</v>
      </c>
      <c r="I199" s="21">
        <v>5.85743574413838</v>
      </c>
      <c r="J199" s="21">
        <v>10.287874022904401</v>
      </c>
      <c r="K199" s="21" t="s">
        <v>2276</v>
      </c>
      <c r="L199" s="3">
        <v>1985</v>
      </c>
      <c r="M199" s="3">
        <v>1985</v>
      </c>
      <c r="N199" s="3">
        <v>40</v>
      </c>
      <c r="O199" s="3" t="s">
        <v>67</v>
      </c>
      <c r="P199" s="5" t="s">
        <v>5187</v>
      </c>
      <c r="Q199" s="4" t="s">
        <v>1953</v>
      </c>
    </row>
    <row r="200" spans="1:17" ht="53" customHeight="1">
      <c r="A200" s="31">
        <v>29</v>
      </c>
      <c r="B200" s="40" t="s">
        <v>589</v>
      </c>
      <c r="C200" s="3" t="s">
        <v>1880</v>
      </c>
      <c r="D200" s="3" t="s">
        <v>2398</v>
      </c>
      <c r="E200" s="28" t="s">
        <v>2399</v>
      </c>
      <c r="F200" s="3" t="s">
        <v>2276</v>
      </c>
      <c r="G200" s="3" t="s">
        <v>2266</v>
      </c>
      <c r="H200" s="3" t="s">
        <v>590</v>
      </c>
      <c r="I200" s="21">
        <v>8.9565306545839896</v>
      </c>
      <c r="J200" s="21">
        <v>-6.7699408234470502</v>
      </c>
      <c r="K200" s="21" t="s">
        <v>2276</v>
      </c>
      <c r="L200" s="3">
        <v>1985</v>
      </c>
      <c r="M200" s="3">
        <v>1985</v>
      </c>
      <c r="N200" s="3">
        <v>5</v>
      </c>
      <c r="O200" s="3" t="s">
        <v>67</v>
      </c>
      <c r="P200" s="5" t="s">
        <v>5187</v>
      </c>
      <c r="Q200" s="4" t="s">
        <v>1953</v>
      </c>
    </row>
    <row r="201" spans="1:17" ht="54" customHeight="1">
      <c r="A201" s="31">
        <v>29</v>
      </c>
      <c r="B201" s="40" t="s">
        <v>589</v>
      </c>
      <c r="C201" s="3" t="s">
        <v>1883</v>
      </c>
      <c r="D201" s="3" t="s">
        <v>2398</v>
      </c>
      <c r="E201" s="28" t="s">
        <v>2399</v>
      </c>
      <c r="F201" s="3" t="s">
        <v>2276</v>
      </c>
      <c r="G201" s="3" t="s">
        <v>2267</v>
      </c>
      <c r="H201" s="3" t="s">
        <v>590</v>
      </c>
      <c r="I201" s="21">
        <v>9.2805623820391894</v>
      </c>
      <c r="J201" s="21">
        <v>-5.1582710783539101</v>
      </c>
      <c r="K201" s="21" t="s">
        <v>2276</v>
      </c>
      <c r="L201" s="3">
        <v>1985</v>
      </c>
      <c r="M201" s="3">
        <v>1985</v>
      </c>
      <c r="N201" s="3">
        <v>15</v>
      </c>
      <c r="O201" s="3" t="s">
        <v>67</v>
      </c>
      <c r="P201" s="5" t="s">
        <v>5187</v>
      </c>
      <c r="Q201" s="4" t="s">
        <v>1953</v>
      </c>
    </row>
    <row r="202" spans="1:17" ht="42.5" customHeight="1">
      <c r="A202" s="31">
        <v>29</v>
      </c>
      <c r="B202" s="40" t="s">
        <v>589</v>
      </c>
      <c r="C202" s="3" t="s">
        <v>1884</v>
      </c>
      <c r="D202" s="3" t="s">
        <v>2398</v>
      </c>
      <c r="E202" s="28" t="s">
        <v>2399</v>
      </c>
      <c r="F202" s="3" t="s">
        <v>2276</v>
      </c>
      <c r="G202" s="3" t="s">
        <v>2268</v>
      </c>
      <c r="H202" s="3" t="s">
        <v>1950</v>
      </c>
      <c r="I202" s="21">
        <v>9.7010633278366498</v>
      </c>
      <c r="J202" s="21">
        <v>39.511526716167502</v>
      </c>
      <c r="K202" s="21" t="s">
        <v>2276</v>
      </c>
      <c r="L202" s="3">
        <v>1985</v>
      </c>
      <c r="M202" s="3">
        <v>1985</v>
      </c>
      <c r="N202" s="3">
        <v>38</v>
      </c>
      <c r="O202" s="3" t="s">
        <v>67</v>
      </c>
      <c r="P202" s="5" t="s">
        <v>5187</v>
      </c>
      <c r="Q202" s="4" t="s">
        <v>1953</v>
      </c>
    </row>
    <row r="203" spans="1:17" ht="42.5" customHeight="1">
      <c r="A203" s="31">
        <v>29</v>
      </c>
      <c r="B203" s="40" t="s">
        <v>589</v>
      </c>
      <c r="C203" s="3" t="s">
        <v>1881</v>
      </c>
      <c r="D203" s="3" t="s">
        <v>2398</v>
      </c>
      <c r="E203" s="28" t="s">
        <v>2399</v>
      </c>
      <c r="F203" s="3" t="s">
        <v>1925</v>
      </c>
      <c r="G203" s="3" t="s">
        <v>2276</v>
      </c>
      <c r="H203" s="3" t="s">
        <v>1950</v>
      </c>
      <c r="I203" s="21">
        <v>9.5371298000000007</v>
      </c>
      <c r="J203" s="21">
        <v>38.298010499999997</v>
      </c>
      <c r="K203" s="21" t="s">
        <v>2276</v>
      </c>
      <c r="L203" s="3">
        <v>1985</v>
      </c>
      <c r="M203" s="3">
        <v>1985</v>
      </c>
      <c r="N203" s="3">
        <v>73</v>
      </c>
      <c r="O203" s="3" t="s">
        <v>67</v>
      </c>
      <c r="P203" s="5" t="s">
        <v>5187</v>
      </c>
      <c r="Q203" s="4" t="s">
        <v>1953</v>
      </c>
    </row>
    <row r="204" spans="1:17" ht="42.5" customHeight="1">
      <c r="A204" s="31">
        <v>29</v>
      </c>
      <c r="B204" s="40" t="s">
        <v>589</v>
      </c>
      <c r="C204" s="3" t="s">
        <v>1882</v>
      </c>
      <c r="D204" s="3" t="s">
        <v>2398</v>
      </c>
      <c r="E204" s="28" t="s">
        <v>2399</v>
      </c>
      <c r="F204" s="3" t="s">
        <v>1926</v>
      </c>
      <c r="G204" s="3" t="s">
        <v>2276</v>
      </c>
      <c r="H204" s="3" t="s">
        <v>1950</v>
      </c>
      <c r="I204" s="21">
        <v>8.5412740581124407</v>
      </c>
      <c r="J204" s="21">
        <v>39.240746538084103</v>
      </c>
      <c r="K204" s="21" t="s">
        <v>2276</v>
      </c>
      <c r="L204" s="3">
        <v>1985</v>
      </c>
      <c r="M204" s="3">
        <v>1985</v>
      </c>
      <c r="N204" s="3">
        <v>48</v>
      </c>
      <c r="O204" s="3" t="s">
        <v>67</v>
      </c>
      <c r="P204" s="5" t="s">
        <v>5187</v>
      </c>
      <c r="Q204" s="4" t="s">
        <v>1953</v>
      </c>
    </row>
    <row r="205" spans="1:17" ht="42.5" customHeight="1">
      <c r="A205" s="31">
        <v>29</v>
      </c>
      <c r="B205" s="40" t="s">
        <v>589</v>
      </c>
      <c r="C205" s="3" t="s">
        <v>1885</v>
      </c>
      <c r="D205" s="3" t="s">
        <v>2398</v>
      </c>
      <c r="E205" s="28" t="s">
        <v>2399</v>
      </c>
      <c r="F205" s="3" t="s">
        <v>1927</v>
      </c>
      <c r="G205" s="3" t="s">
        <v>2276</v>
      </c>
      <c r="H205" s="3" t="s">
        <v>1950</v>
      </c>
      <c r="I205" s="21">
        <v>8.9109453314877207</v>
      </c>
      <c r="J205" s="21">
        <v>39.778849259040399</v>
      </c>
      <c r="K205" s="21" t="s">
        <v>2276</v>
      </c>
      <c r="L205" s="3">
        <v>1985</v>
      </c>
      <c r="M205" s="3">
        <v>1985</v>
      </c>
      <c r="N205" s="3">
        <v>56</v>
      </c>
      <c r="O205" s="3" t="s">
        <v>67</v>
      </c>
      <c r="P205" s="5" t="s">
        <v>5187</v>
      </c>
      <c r="Q205" s="4" t="s">
        <v>1953</v>
      </c>
    </row>
    <row r="206" spans="1:17" ht="42.5" customHeight="1">
      <c r="A206" s="31">
        <v>29</v>
      </c>
      <c r="B206" s="40" t="s">
        <v>589</v>
      </c>
      <c r="C206" s="3" t="s">
        <v>1886</v>
      </c>
      <c r="D206" s="3" t="s">
        <v>2398</v>
      </c>
      <c r="E206" s="28" t="s">
        <v>2399</v>
      </c>
      <c r="F206" s="3" t="s">
        <v>2276</v>
      </c>
      <c r="G206" s="3" t="s">
        <v>1928</v>
      </c>
      <c r="H206" s="3" t="s">
        <v>1950</v>
      </c>
      <c r="I206" s="21">
        <v>8.9563244356202603</v>
      </c>
      <c r="J206" s="21">
        <v>38.635089337677897</v>
      </c>
      <c r="K206" s="21" t="s">
        <v>2276</v>
      </c>
      <c r="L206" s="3">
        <v>1985</v>
      </c>
      <c r="M206" s="3">
        <v>1985</v>
      </c>
      <c r="N206" s="3">
        <v>62</v>
      </c>
      <c r="O206" s="3" t="s">
        <v>67</v>
      </c>
      <c r="P206" s="5" t="s">
        <v>5187</v>
      </c>
      <c r="Q206" s="4" t="s">
        <v>1953</v>
      </c>
    </row>
    <row r="207" spans="1:17" ht="35.5" customHeight="1">
      <c r="A207" s="31">
        <v>29</v>
      </c>
      <c r="B207" s="40" t="s">
        <v>589</v>
      </c>
      <c r="C207" s="3" t="s">
        <v>1887</v>
      </c>
      <c r="D207" s="3" t="s">
        <v>2398</v>
      </c>
      <c r="E207" s="28" t="s">
        <v>2399</v>
      </c>
      <c r="F207" s="3" t="s">
        <v>2276</v>
      </c>
      <c r="G207" s="3" t="s">
        <v>2269</v>
      </c>
      <c r="H207" s="3" t="s">
        <v>595</v>
      </c>
      <c r="I207" s="21">
        <v>8.5819159467874293</v>
      </c>
      <c r="J207" s="21">
        <v>-10.130781904648501</v>
      </c>
      <c r="K207" s="21" t="s">
        <v>2276</v>
      </c>
      <c r="L207" s="3">
        <v>1985</v>
      </c>
      <c r="M207" s="3">
        <v>1985</v>
      </c>
      <c r="N207" s="3">
        <v>40</v>
      </c>
      <c r="O207" s="3" t="s">
        <v>67</v>
      </c>
      <c r="P207" s="5" t="s">
        <v>5187</v>
      </c>
      <c r="Q207" s="4" t="s">
        <v>1953</v>
      </c>
    </row>
    <row r="208" spans="1:17" ht="43.5">
      <c r="A208" s="31">
        <v>29</v>
      </c>
      <c r="B208" s="40" t="s">
        <v>589</v>
      </c>
      <c r="C208" s="3" t="s">
        <v>1888</v>
      </c>
      <c r="D208" s="3" t="s">
        <v>2398</v>
      </c>
      <c r="E208" s="28" t="s">
        <v>2399</v>
      </c>
      <c r="F208" s="3" t="s">
        <v>1929</v>
      </c>
      <c r="G208" s="3" t="s">
        <v>2276</v>
      </c>
      <c r="H208" s="3" t="s">
        <v>595</v>
      </c>
      <c r="I208" s="21">
        <v>9.1926133141272608</v>
      </c>
      <c r="J208" s="21">
        <v>-10.1270234863621</v>
      </c>
      <c r="K208" s="21" t="s">
        <v>2276</v>
      </c>
      <c r="L208" s="3">
        <v>1985</v>
      </c>
      <c r="M208" s="3">
        <v>1985</v>
      </c>
      <c r="N208" s="3">
        <v>10</v>
      </c>
      <c r="O208" s="3" t="s">
        <v>67</v>
      </c>
      <c r="P208" s="5" t="s">
        <v>5187</v>
      </c>
      <c r="Q208" s="4" t="s">
        <v>1953</v>
      </c>
    </row>
    <row r="209" spans="1:17" ht="43.5">
      <c r="A209" s="31">
        <v>29</v>
      </c>
      <c r="B209" s="40" t="s">
        <v>589</v>
      </c>
      <c r="C209" s="3" t="s">
        <v>1889</v>
      </c>
      <c r="D209" s="3" t="s">
        <v>2398</v>
      </c>
      <c r="E209" s="28" t="s">
        <v>2399</v>
      </c>
      <c r="F209" s="3" t="s">
        <v>1930</v>
      </c>
      <c r="G209" s="3" t="s">
        <v>2276</v>
      </c>
      <c r="H209" s="3" t="s">
        <v>595</v>
      </c>
      <c r="I209" s="21">
        <v>10.3780704523846</v>
      </c>
      <c r="J209" s="21">
        <v>-9.3436712934814103</v>
      </c>
      <c r="K209" s="21" t="s">
        <v>2276</v>
      </c>
      <c r="L209" s="3">
        <v>1985</v>
      </c>
      <c r="M209" s="3">
        <v>1985</v>
      </c>
      <c r="N209" s="3">
        <v>20</v>
      </c>
      <c r="O209" s="3" t="s">
        <v>67</v>
      </c>
      <c r="P209" s="5" t="s">
        <v>5187</v>
      </c>
      <c r="Q209" s="4" t="s">
        <v>1953</v>
      </c>
    </row>
    <row r="210" spans="1:17" ht="43.5">
      <c r="A210" s="31">
        <v>29</v>
      </c>
      <c r="B210" s="40" t="s">
        <v>589</v>
      </c>
      <c r="C210" s="3" t="s">
        <v>1890</v>
      </c>
      <c r="D210" s="3" t="s">
        <v>2398</v>
      </c>
      <c r="E210" s="28" t="s">
        <v>2399</v>
      </c>
      <c r="F210" s="3" t="s">
        <v>1931</v>
      </c>
      <c r="G210" s="3" t="s">
        <v>2276</v>
      </c>
      <c r="H210" s="3" t="s">
        <v>595</v>
      </c>
      <c r="I210" s="21">
        <v>9.7581678869289892</v>
      </c>
      <c r="J210" s="21">
        <v>-8.3894311210800598</v>
      </c>
      <c r="K210" s="21" t="s">
        <v>2276</v>
      </c>
      <c r="L210" s="3">
        <v>1985</v>
      </c>
      <c r="M210" s="3">
        <v>1985</v>
      </c>
      <c r="N210" s="3">
        <v>5</v>
      </c>
      <c r="O210" s="3" t="s">
        <v>67</v>
      </c>
      <c r="P210" s="5" t="s">
        <v>5187</v>
      </c>
      <c r="Q210" s="4" t="s">
        <v>1953</v>
      </c>
    </row>
    <row r="211" spans="1:17" ht="43.5">
      <c r="A211" s="31">
        <v>29</v>
      </c>
      <c r="B211" s="40" t="s">
        <v>589</v>
      </c>
      <c r="C211" s="3" t="s">
        <v>1891</v>
      </c>
      <c r="D211" s="3" t="s">
        <v>2398</v>
      </c>
      <c r="E211" s="28" t="s">
        <v>2399</v>
      </c>
      <c r="F211" s="3" t="s">
        <v>1932</v>
      </c>
      <c r="G211" s="3" t="s">
        <v>2276</v>
      </c>
      <c r="H211" s="3" t="s">
        <v>1951</v>
      </c>
      <c r="I211" s="21">
        <v>-1.05326535882621</v>
      </c>
      <c r="J211" s="21">
        <v>34.233128203218499</v>
      </c>
      <c r="K211" s="21" t="s">
        <v>2276</v>
      </c>
      <c r="L211" s="3">
        <v>1985</v>
      </c>
      <c r="M211" s="3">
        <v>1985</v>
      </c>
      <c r="N211" s="3">
        <v>114</v>
      </c>
      <c r="O211" s="3" t="s">
        <v>67</v>
      </c>
      <c r="P211" s="5" t="s">
        <v>5187</v>
      </c>
      <c r="Q211" s="4" t="s">
        <v>1953</v>
      </c>
    </row>
    <row r="212" spans="1:17" ht="43.5">
      <c r="A212" s="31">
        <v>29</v>
      </c>
      <c r="B212" s="40" t="s">
        <v>589</v>
      </c>
      <c r="C212" s="3" t="s">
        <v>1892</v>
      </c>
      <c r="D212" s="3" t="s">
        <v>2398</v>
      </c>
      <c r="E212" s="28" t="s">
        <v>2399</v>
      </c>
      <c r="F212" s="3" t="s">
        <v>2276</v>
      </c>
      <c r="G212" s="3" t="s">
        <v>2270</v>
      </c>
      <c r="H212" s="3" t="s">
        <v>1951</v>
      </c>
      <c r="I212" s="21">
        <v>0.45486420025156998</v>
      </c>
      <c r="J212" s="21">
        <v>34.151681286482699</v>
      </c>
      <c r="K212" s="21" t="s">
        <v>2276</v>
      </c>
      <c r="L212" s="3">
        <v>1985</v>
      </c>
      <c r="M212" s="3">
        <v>1985</v>
      </c>
      <c r="N212" s="3">
        <v>140</v>
      </c>
      <c r="O212" s="3" t="s">
        <v>67</v>
      </c>
      <c r="P212" s="5" t="s">
        <v>5187</v>
      </c>
      <c r="Q212" s="4" t="s">
        <v>1953</v>
      </c>
    </row>
    <row r="213" spans="1:17" ht="43.5">
      <c r="A213" s="31">
        <v>29</v>
      </c>
      <c r="B213" s="40" t="s">
        <v>589</v>
      </c>
      <c r="C213" s="3" t="s">
        <v>1893</v>
      </c>
      <c r="D213" s="3" t="s">
        <v>2398</v>
      </c>
      <c r="E213" s="28" t="s">
        <v>2399</v>
      </c>
      <c r="F213" s="3" t="s">
        <v>1933</v>
      </c>
      <c r="G213" s="3" t="s">
        <v>2276</v>
      </c>
      <c r="H213" s="3" t="s">
        <v>1951</v>
      </c>
      <c r="I213" s="21">
        <v>0.80842829999999999</v>
      </c>
      <c r="J213" s="21">
        <v>34.597132000000002</v>
      </c>
      <c r="K213" s="21" t="s">
        <v>2276</v>
      </c>
      <c r="L213" s="3">
        <v>1985</v>
      </c>
      <c r="M213" s="3">
        <v>1985</v>
      </c>
      <c r="N213" s="3">
        <v>290</v>
      </c>
      <c r="O213" s="3" t="s">
        <v>67</v>
      </c>
      <c r="P213" s="5" t="s">
        <v>5187</v>
      </c>
      <c r="Q213" s="4" t="s">
        <v>1953</v>
      </c>
    </row>
    <row r="214" spans="1:17" ht="43.5">
      <c r="A214" s="31">
        <v>29</v>
      </c>
      <c r="B214" s="40" t="s">
        <v>589</v>
      </c>
      <c r="C214" s="3" t="s">
        <v>1894</v>
      </c>
      <c r="D214" s="3" t="s">
        <v>2398</v>
      </c>
      <c r="E214" s="28" t="s">
        <v>2399</v>
      </c>
      <c r="F214" s="3" t="s">
        <v>1934</v>
      </c>
      <c r="G214" s="3" t="s">
        <v>2276</v>
      </c>
      <c r="H214" s="3" t="s">
        <v>1951</v>
      </c>
      <c r="I214" s="21">
        <v>0.291596674258286</v>
      </c>
      <c r="J214" s="21">
        <v>34.744010615011298</v>
      </c>
      <c r="K214" s="21" t="s">
        <v>2276</v>
      </c>
      <c r="L214" s="3">
        <v>1985</v>
      </c>
      <c r="M214" s="3">
        <v>1985</v>
      </c>
      <c r="N214" s="3">
        <v>294</v>
      </c>
      <c r="O214" s="3" t="s">
        <v>67</v>
      </c>
      <c r="P214" s="5" t="s">
        <v>5187</v>
      </c>
      <c r="Q214" s="4" t="s">
        <v>1953</v>
      </c>
    </row>
    <row r="215" spans="1:17" ht="43.5">
      <c r="A215" s="31">
        <v>29</v>
      </c>
      <c r="B215" s="40" t="s">
        <v>589</v>
      </c>
      <c r="C215" s="3" t="s">
        <v>1895</v>
      </c>
      <c r="D215" s="3" t="s">
        <v>2398</v>
      </c>
      <c r="E215" s="28" t="s">
        <v>2399</v>
      </c>
      <c r="F215" s="3" t="s">
        <v>1935</v>
      </c>
      <c r="G215" s="3" t="s">
        <v>2276</v>
      </c>
      <c r="H215" s="3" t="s">
        <v>1951</v>
      </c>
      <c r="I215" s="21">
        <v>-6.1732799999999997E-2</v>
      </c>
      <c r="J215" s="21">
        <v>34.242159700000002</v>
      </c>
      <c r="K215" s="21" t="s">
        <v>2276</v>
      </c>
      <c r="L215" s="3">
        <v>1985</v>
      </c>
      <c r="M215" s="3">
        <v>1985</v>
      </c>
      <c r="N215" s="3">
        <v>186</v>
      </c>
      <c r="O215" s="3" t="s">
        <v>67</v>
      </c>
      <c r="P215" s="5" t="s">
        <v>5187</v>
      </c>
      <c r="Q215" s="4" t="s">
        <v>1953</v>
      </c>
    </row>
    <row r="216" spans="1:17" ht="43.5">
      <c r="A216" s="31">
        <v>29</v>
      </c>
      <c r="B216" s="40" t="s">
        <v>589</v>
      </c>
      <c r="C216" s="3" t="s">
        <v>1896</v>
      </c>
      <c r="D216" s="3" t="s">
        <v>2398</v>
      </c>
      <c r="E216" s="28" t="s">
        <v>2399</v>
      </c>
      <c r="F216" s="3" t="s">
        <v>1936</v>
      </c>
      <c r="G216" s="3" t="s">
        <v>2276</v>
      </c>
      <c r="H216" s="3" t="s">
        <v>1951</v>
      </c>
      <c r="I216" s="21">
        <v>-0.65604770000000001</v>
      </c>
      <c r="J216" s="21">
        <v>37.723767799999997</v>
      </c>
      <c r="K216" s="21" t="s">
        <v>2276</v>
      </c>
      <c r="L216" s="3">
        <v>1985</v>
      </c>
      <c r="M216" s="3">
        <v>1985</v>
      </c>
      <c r="N216" s="3">
        <v>50</v>
      </c>
      <c r="O216" s="3" t="s">
        <v>67</v>
      </c>
      <c r="P216" s="5" t="s">
        <v>5187</v>
      </c>
      <c r="Q216" s="4" t="s">
        <v>1953</v>
      </c>
    </row>
    <row r="217" spans="1:17" ht="43.5">
      <c r="A217" s="31">
        <v>29</v>
      </c>
      <c r="B217" s="40" t="s">
        <v>589</v>
      </c>
      <c r="C217" s="3" t="s">
        <v>1897</v>
      </c>
      <c r="D217" s="3" t="s">
        <v>2398</v>
      </c>
      <c r="E217" s="28" t="s">
        <v>2399</v>
      </c>
      <c r="F217" s="3" t="s">
        <v>1937</v>
      </c>
      <c r="G217" s="3" t="s">
        <v>2276</v>
      </c>
      <c r="H217" s="3" t="s">
        <v>1951</v>
      </c>
      <c r="I217" s="21">
        <v>-1.49466613675008</v>
      </c>
      <c r="J217" s="21">
        <v>37.309466507023103</v>
      </c>
      <c r="K217" s="21" t="s">
        <v>2276</v>
      </c>
      <c r="L217" s="3">
        <v>1985</v>
      </c>
      <c r="M217" s="3">
        <v>1985</v>
      </c>
      <c r="N217" s="3">
        <v>50</v>
      </c>
      <c r="O217" s="3" t="s">
        <v>67</v>
      </c>
      <c r="P217" s="5" t="s">
        <v>5187</v>
      </c>
      <c r="Q217" s="4" t="s">
        <v>1953</v>
      </c>
    </row>
    <row r="218" spans="1:17" ht="43.5">
      <c r="A218" s="31">
        <v>29</v>
      </c>
      <c r="B218" s="40" t="s">
        <v>589</v>
      </c>
      <c r="C218" s="3" t="s">
        <v>1898</v>
      </c>
      <c r="D218" s="3" t="s">
        <v>2398</v>
      </c>
      <c r="E218" s="28" t="s">
        <v>2399</v>
      </c>
      <c r="F218" s="3" t="s">
        <v>1938</v>
      </c>
      <c r="G218" s="3" t="s">
        <v>2276</v>
      </c>
      <c r="H218" s="3" t="s">
        <v>1952</v>
      </c>
      <c r="I218" s="21">
        <v>10.184846260740899</v>
      </c>
      <c r="J218" s="21">
        <v>10.087467265941401</v>
      </c>
      <c r="K218" s="21" t="s">
        <v>2276</v>
      </c>
      <c r="L218" s="3">
        <v>1985</v>
      </c>
      <c r="M218" s="3">
        <v>1985</v>
      </c>
      <c r="N218" s="3">
        <v>56</v>
      </c>
      <c r="O218" s="3" t="s">
        <v>67</v>
      </c>
      <c r="P218" s="5" t="s">
        <v>5187</v>
      </c>
      <c r="Q218" s="4" t="s">
        <v>1953</v>
      </c>
    </row>
    <row r="219" spans="1:17" ht="43.5">
      <c r="A219" s="31">
        <v>29</v>
      </c>
      <c r="B219" s="40" t="s">
        <v>589</v>
      </c>
      <c r="C219" s="3" t="s">
        <v>1899</v>
      </c>
      <c r="D219" s="3" t="s">
        <v>2398</v>
      </c>
      <c r="E219" s="28" t="s">
        <v>2399</v>
      </c>
      <c r="F219" s="3" t="s">
        <v>1939</v>
      </c>
      <c r="G219" s="3" t="s">
        <v>2276</v>
      </c>
      <c r="H219" s="3" t="s">
        <v>1952</v>
      </c>
      <c r="I219" s="21">
        <v>11.7470698</v>
      </c>
      <c r="J219" s="21">
        <v>8.5247107</v>
      </c>
      <c r="K219" s="21" t="s">
        <v>2276</v>
      </c>
      <c r="L219" s="3">
        <v>1985</v>
      </c>
      <c r="M219" s="3">
        <v>1985</v>
      </c>
      <c r="N219" s="3">
        <v>120</v>
      </c>
      <c r="O219" s="3" t="s">
        <v>67</v>
      </c>
      <c r="P219" s="5" t="s">
        <v>5187</v>
      </c>
      <c r="Q219" s="4" t="s">
        <v>1953</v>
      </c>
    </row>
    <row r="220" spans="1:17" ht="43.5">
      <c r="A220" s="31">
        <v>29</v>
      </c>
      <c r="B220" s="40" t="s">
        <v>589</v>
      </c>
      <c r="C220" s="3" t="s">
        <v>1900</v>
      </c>
      <c r="D220" s="3" t="s">
        <v>2398</v>
      </c>
      <c r="E220" s="28" t="s">
        <v>2399</v>
      </c>
      <c r="F220" s="3" t="s">
        <v>2276</v>
      </c>
      <c r="G220" s="3" t="s">
        <v>1940</v>
      </c>
      <c r="H220" s="3" t="s">
        <v>1952</v>
      </c>
      <c r="I220" s="21">
        <v>10.9346742196129</v>
      </c>
      <c r="J220" s="21">
        <v>6.4864121272305297</v>
      </c>
      <c r="K220" s="21" t="s">
        <v>2276</v>
      </c>
      <c r="L220" s="3">
        <v>1985</v>
      </c>
      <c r="M220" s="3">
        <v>1985</v>
      </c>
      <c r="N220" s="3">
        <v>75</v>
      </c>
      <c r="O220" s="3" t="s">
        <v>67</v>
      </c>
      <c r="P220" s="5" t="s">
        <v>5187</v>
      </c>
      <c r="Q220" s="4" t="s">
        <v>1953</v>
      </c>
    </row>
    <row r="221" spans="1:17" ht="43.5">
      <c r="A221" s="31">
        <v>29</v>
      </c>
      <c r="B221" s="40" t="s">
        <v>589</v>
      </c>
      <c r="C221" s="3" t="s">
        <v>1902</v>
      </c>
      <c r="D221" s="3" t="s">
        <v>2398</v>
      </c>
      <c r="E221" s="28" t="s">
        <v>2399</v>
      </c>
      <c r="F221" s="3" t="s">
        <v>2276</v>
      </c>
      <c r="G221" s="3" t="s">
        <v>1941</v>
      </c>
      <c r="H221" s="3" t="s">
        <v>1952</v>
      </c>
      <c r="I221" s="21">
        <v>8.1573808999999997</v>
      </c>
      <c r="J221" s="21">
        <v>3.6146533999999999</v>
      </c>
      <c r="K221" s="21" t="s">
        <v>2276</v>
      </c>
      <c r="L221" s="3">
        <v>1985</v>
      </c>
      <c r="M221" s="3">
        <v>1985</v>
      </c>
      <c r="N221" s="3">
        <v>75</v>
      </c>
      <c r="O221" s="3" t="s">
        <v>67</v>
      </c>
      <c r="P221" s="5" t="s">
        <v>5187</v>
      </c>
      <c r="Q221" s="4" t="s">
        <v>1953</v>
      </c>
    </row>
    <row r="222" spans="1:17" ht="43.5">
      <c r="A222" s="31">
        <v>29</v>
      </c>
      <c r="B222" s="40" t="s">
        <v>589</v>
      </c>
      <c r="C222" s="3" t="s">
        <v>1901</v>
      </c>
      <c r="D222" s="3" t="s">
        <v>2398</v>
      </c>
      <c r="E222" s="28" t="s">
        <v>2399</v>
      </c>
      <c r="F222" s="3" t="s">
        <v>1942</v>
      </c>
      <c r="G222" s="3" t="s">
        <v>2276</v>
      </c>
      <c r="H222" s="3" t="s">
        <v>385</v>
      </c>
      <c r="I222" s="21">
        <v>-2.58248307797657</v>
      </c>
      <c r="J222" s="21">
        <v>32.933062434046398</v>
      </c>
      <c r="K222" s="21" t="s">
        <v>2276</v>
      </c>
      <c r="L222" s="3">
        <v>1985</v>
      </c>
      <c r="M222" s="3">
        <v>1985</v>
      </c>
      <c r="N222" s="3">
        <v>93</v>
      </c>
      <c r="O222" s="3" t="s">
        <v>67</v>
      </c>
      <c r="P222" s="5" t="s">
        <v>5187</v>
      </c>
      <c r="Q222" s="4" t="s">
        <v>1953</v>
      </c>
    </row>
    <row r="223" spans="1:17" ht="43.5">
      <c r="A223" s="31">
        <v>29</v>
      </c>
      <c r="B223" s="40" t="s">
        <v>589</v>
      </c>
      <c r="C223" s="3" t="s">
        <v>1903</v>
      </c>
      <c r="D223" s="3" t="s">
        <v>2398</v>
      </c>
      <c r="E223" s="28" t="s">
        <v>2399</v>
      </c>
      <c r="F223" s="3" t="s">
        <v>1943</v>
      </c>
      <c r="G223" s="3" t="s">
        <v>2276</v>
      </c>
      <c r="H223" s="3" t="s">
        <v>385</v>
      </c>
      <c r="I223" s="21">
        <v>-2.5477856192488799</v>
      </c>
      <c r="J223" s="21">
        <v>33.131996822341598</v>
      </c>
      <c r="K223" s="21" t="s">
        <v>2276</v>
      </c>
      <c r="L223" s="3">
        <v>1985</v>
      </c>
      <c r="M223" s="3">
        <v>1985</v>
      </c>
      <c r="N223" s="3">
        <v>93</v>
      </c>
      <c r="O223" s="3" t="s">
        <v>67</v>
      </c>
      <c r="P223" s="5" t="s">
        <v>5187</v>
      </c>
      <c r="Q223" s="4" t="s">
        <v>1953</v>
      </c>
    </row>
    <row r="224" spans="1:17" ht="43.5">
      <c r="A224" s="31">
        <v>29</v>
      </c>
      <c r="B224" s="40" t="s">
        <v>589</v>
      </c>
      <c r="C224" s="3" t="s">
        <v>1904</v>
      </c>
      <c r="D224" s="3" t="s">
        <v>2398</v>
      </c>
      <c r="E224" s="28" t="s">
        <v>2399</v>
      </c>
      <c r="F224" s="3" t="s">
        <v>2276</v>
      </c>
      <c r="G224" s="3" t="s">
        <v>2271</v>
      </c>
      <c r="H224" s="3" t="s">
        <v>385</v>
      </c>
      <c r="I224" s="21">
        <v>-2.7583633999999999</v>
      </c>
      <c r="J224" s="21">
        <v>36.263084599999999</v>
      </c>
      <c r="K224" s="21" t="s">
        <v>2276</v>
      </c>
      <c r="L224" s="3">
        <v>1985</v>
      </c>
      <c r="M224" s="3">
        <v>1985</v>
      </c>
      <c r="N224" s="3">
        <v>82</v>
      </c>
      <c r="O224" s="3" t="s">
        <v>67</v>
      </c>
      <c r="P224" s="5" t="s">
        <v>5187</v>
      </c>
      <c r="Q224" s="4" t="s">
        <v>1953</v>
      </c>
    </row>
    <row r="225" spans="1:17" ht="43.5">
      <c r="A225" s="31">
        <v>29</v>
      </c>
      <c r="B225" s="40" t="s">
        <v>589</v>
      </c>
      <c r="C225" s="3" t="s">
        <v>1905</v>
      </c>
      <c r="D225" s="3" t="s">
        <v>2398</v>
      </c>
      <c r="E225" s="28" t="s">
        <v>2399</v>
      </c>
      <c r="F225" s="3" t="s">
        <v>1944</v>
      </c>
      <c r="G225" s="3" t="s">
        <v>2276</v>
      </c>
      <c r="H225" s="3" t="s">
        <v>385</v>
      </c>
      <c r="I225" s="21">
        <v>-6.6839193130463297</v>
      </c>
      <c r="J225" s="21">
        <v>36.9300452709182</v>
      </c>
      <c r="K225" s="21" t="s">
        <v>2276</v>
      </c>
      <c r="L225" s="3">
        <v>1985</v>
      </c>
      <c r="M225" s="3">
        <v>1985</v>
      </c>
      <c r="N225" s="3">
        <v>11</v>
      </c>
      <c r="O225" s="3" t="s">
        <v>67</v>
      </c>
      <c r="P225" s="5" t="s">
        <v>5187</v>
      </c>
      <c r="Q225" s="4" t="s">
        <v>1953</v>
      </c>
    </row>
    <row r="226" spans="1:17" ht="43.5">
      <c r="A226" s="31">
        <v>29</v>
      </c>
      <c r="B226" s="40" t="s">
        <v>589</v>
      </c>
      <c r="C226" s="3" t="s">
        <v>1906</v>
      </c>
      <c r="D226" s="3" t="s">
        <v>2398</v>
      </c>
      <c r="E226" s="28" t="s">
        <v>2399</v>
      </c>
      <c r="F226" s="3" t="s">
        <v>1945</v>
      </c>
      <c r="G226" s="3" t="s">
        <v>2276</v>
      </c>
      <c r="H226" s="3" t="s">
        <v>385</v>
      </c>
      <c r="I226" s="21">
        <v>-7.2303392056484297</v>
      </c>
      <c r="J226" s="21">
        <v>37.137819629899198</v>
      </c>
      <c r="K226" s="21" t="s">
        <v>2276</v>
      </c>
      <c r="L226" s="3">
        <v>1985</v>
      </c>
      <c r="M226" s="3">
        <v>1985</v>
      </c>
      <c r="N226" s="3">
        <v>11</v>
      </c>
      <c r="O226" s="3" t="s">
        <v>67</v>
      </c>
      <c r="P226" s="5" t="s">
        <v>5187</v>
      </c>
      <c r="Q226" s="4" t="s">
        <v>1953</v>
      </c>
    </row>
    <row r="227" spans="1:17" ht="43.5">
      <c r="A227" s="31">
        <v>29</v>
      </c>
      <c r="B227" s="40" t="s">
        <v>589</v>
      </c>
      <c r="C227" s="3" t="s">
        <v>1907</v>
      </c>
      <c r="D227" s="3" t="s">
        <v>2398</v>
      </c>
      <c r="E227" s="28" t="s">
        <v>2399</v>
      </c>
      <c r="F227" s="3" t="s">
        <v>2276</v>
      </c>
      <c r="G227" s="3" t="s">
        <v>2272</v>
      </c>
      <c r="H227" s="3" t="s">
        <v>422</v>
      </c>
      <c r="I227" s="21">
        <v>-12.444365636971501</v>
      </c>
      <c r="J227" s="21">
        <v>31.8403551771199</v>
      </c>
      <c r="K227" s="21" t="s">
        <v>2276</v>
      </c>
      <c r="L227" s="3">
        <v>1985</v>
      </c>
      <c r="M227" s="3">
        <v>1985</v>
      </c>
      <c r="N227" s="3">
        <v>14</v>
      </c>
      <c r="O227" s="3" t="s">
        <v>67</v>
      </c>
      <c r="P227" s="5" t="s">
        <v>5187</v>
      </c>
      <c r="Q227" s="4" t="s">
        <v>1953</v>
      </c>
    </row>
    <row r="228" spans="1:17" ht="43.5">
      <c r="A228" s="31">
        <v>29</v>
      </c>
      <c r="B228" s="40" t="s">
        <v>589</v>
      </c>
      <c r="C228" s="3" t="s">
        <v>1908</v>
      </c>
      <c r="D228" s="3" t="s">
        <v>2398</v>
      </c>
      <c r="E228" s="28" t="s">
        <v>2399</v>
      </c>
      <c r="F228" s="3" t="s">
        <v>1946</v>
      </c>
      <c r="G228" s="3" t="s">
        <v>2276</v>
      </c>
      <c r="H228" s="3" t="s">
        <v>422</v>
      </c>
      <c r="I228" s="21">
        <v>-14.0584127</v>
      </c>
      <c r="J228" s="21">
        <v>32.043968999999997</v>
      </c>
      <c r="K228" s="21" t="s">
        <v>2276</v>
      </c>
      <c r="L228" s="3">
        <v>1985</v>
      </c>
      <c r="M228" s="3">
        <v>1985</v>
      </c>
      <c r="N228" s="3">
        <v>8</v>
      </c>
      <c r="O228" s="3" t="s">
        <v>67</v>
      </c>
      <c r="P228" s="5" t="s">
        <v>5187</v>
      </c>
      <c r="Q228" s="4" t="s">
        <v>1953</v>
      </c>
    </row>
    <row r="229" spans="1:17" ht="43.5">
      <c r="A229" s="31">
        <v>29</v>
      </c>
      <c r="B229" s="40" t="s">
        <v>589</v>
      </c>
      <c r="C229" s="3" t="s">
        <v>1909</v>
      </c>
      <c r="D229" s="3" t="s">
        <v>2398</v>
      </c>
      <c r="E229" s="28" t="s">
        <v>2399</v>
      </c>
      <c r="F229" s="3" t="s">
        <v>1947</v>
      </c>
      <c r="G229" s="3" t="s">
        <v>2276</v>
      </c>
      <c r="H229" s="3" t="s">
        <v>422</v>
      </c>
      <c r="I229" s="21">
        <v>-15.066667000000001</v>
      </c>
      <c r="J229" s="21">
        <v>26.7</v>
      </c>
      <c r="K229" s="21" t="s">
        <v>2276</v>
      </c>
      <c r="L229" s="3">
        <v>1985</v>
      </c>
      <c r="M229" s="3">
        <v>1985</v>
      </c>
      <c r="N229" s="3">
        <v>4</v>
      </c>
      <c r="O229" s="3" t="s">
        <v>67</v>
      </c>
      <c r="P229" s="5" t="s">
        <v>5187</v>
      </c>
      <c r="Q229" s="4" t="s">
        <v>1953</v>
      </c>
    </row>
    <row r="230" spans="1:17" ht="43.5">
      <c r="A230" s="31">
        <v>29</v>
      </c>
      <c r="B230" s="40" t="s">
        <v>589</v>
      </c>
      <c r="C230" s="3" t="s">
        <v>1910</v>
      </c>
      <c r="D230" s="3" t="s">
        <v>2398</v>
      </c>
      <c r="E230" s="28" t="s">
        <v>2399</v>
      </c>
      <c r="F230" s="3" t="s">
        <v>2276</v>
      </c>
      <c r="G230" s="3" t="s">
        <v>2273</v>
      </c>
      <c r="H230" s="3" t="s">
        <v>422</v>
      </c>
      <c r="I230" s="21">
        <v>-13.655516303036601</v>
      </c>
      <c r="J230" s="21">
        <v>29.3866042032402</v>
      </c>
      <c r="K230" s="21" t="s">
        <v>2276</v>
      </c>
      <c r="L230" s="3">
        <v>1985</v>
      </c>
      <c r="M230" s="3">
        <v>1985</v>
      </c>
      <c r="N230" s="3">
        <v>4</v>
      </c>
      <c r="O230" s="3" t="s">
        <v>67</v>
      </c>
      <c r="P230" s="5" t="s">
        <v>5187</v>
      </c>
      <c r="Q230" s="4" t="s">
        <v>1953</v>
      </c>
    </row>
    <row r="231" spans="1:17" ht="33" customHeight="1">
      <c r="A231" s="31">
        <v>29</v>
      </c>
      <c r="B231" s="40" t="s">
        <v>589</v>
      </c>
      <c r="C231" s="3" t="s">
        <v>1911</v>
      </c>
      <c r="D231" s="3"/>
      <c r="E231" s="3" t="s">
        <v>2399</v>
      </c>
      <c r="F231" s="3" t="s">
        <v>2276</v>
      </c>
      <c r="G231" s="3" t="s">
        <v>2274</v>
      </c>
      <c r="H231" s="3" t="s">
        <v>422</v>
      </c>
      <c r="I231" s="21">
        <v>-15.880079042101301</v>
      </c>
      <c r="J231" s="21">
        <v>27.7193537803699</v>
      </c>
      <c r="K231" s="21" t="s">
        <v>2276</v>
      </c>
      <c r="L231" s="3">
        <v>1985</v>
      </c>
      <c r="M231" s="3">
        <v>1985</v>
      </c>
      <c r="N231" s="3">
        <v>18</v>
      </c>
      <c r="O231" s="4" t="s">
        <v>2</v>
      </c>
      <c r="P231" s="5" t="s">
        <v>5187</v>
      </c>
      <c r="Q231" s="4"/>
    </row>
    <row r="232" spans="1:17" ht="29">
      <c r="A232" s="31">
        <v>30</v>
      </c>
      <c r="B232" s="40" t="s">
        <v>604</v>
      </c>
      <c r="C232" s="3" t="s">
        <v>588</v>
      </c>
      <c r="D232" s="3" t="s">
        <v>2416</v>
      </c>
      <c r="E232" s="3" t="s">
        <v>2399</v>
      </c>
      <c r="F232" s="22" t="s">
        <v>612</v>
      </c>
      <c r="G232" s="22" t="s">
        <v>512</v>
      </c>
      <c r="H232" s="3" t="s">
        <v>603</v>
      </c>
      <c r="I232" s="21">
        <v>-18.8333327</v>
      </c>
      <c r="J232" s="21">
        <v>48.433332999999998</v>
      </c>
      <c r="K232" s="21" t="s">
        <v>2276</v>
      </c>
      <c r="L232" s="3">
        <v>1993</v>
      </c>
      <c r="M232" s="3">
        <v>1993</v>
      </c>
      <c r="N232" s="3">
        <v>15</v>
      </c>
      <c r="O232" s="4" t="s">
        <v>611</v>
      </c>
      <c r="P232" s="5" t="s">
        <v>5187</v>
      </c>
      <c r="Q232" s="3"/>
    </row>
    <row r="233" spans="1:17" ht="29">
      <c r="A233" s="31">
        <v>30</v>
      </c>
      <c r="B233" s="40" t="s">
        <v>604</v>
      </c>
      <c r="C233" s="3" t="s">
        <v>592</v>
      </c>
      <c r="D233" s="3" t="s">
        <v>2416</v>
      </c>
      <c r="E233" s="3" t="s">
        <v>2399</v>
      </c>
      <c r="F233" s="22" t="s">
        <v>613</v>
      </c>
      <c r="G233" s="22" t="s">
        <v>512</v>
      </c>
      <c r="H233" s="3" t="s">
        <v>603</v>
      </c>
      <c r="I233" s="21">
        <v>-18.917000000000002</v>
      </c>
      <c r="J233" s="21">
        <v>48.567</v>
      </c>
      <c r="K233" s="21" t="s">
        <v>2276</v>
      </c>
      <c r="L233" s="3">
        <v>1993</v>
      </c>
      <c r="M233" s="3">
        <v>1993</v>
      </c>
      <c r="N233" s="3">
        <v>15</v>
      </c>
      <c r="O233" s="4" t="s">
        <v>611</v>
      </c>
      <c r="P233" s="5" t="s">
        <v>5187</v>
      </c>
      <c r="Q233" s="3"/>
    </row>
    <row r="234" spans="1:17" ht="29">
      <c r="A234" s="31">
        <v>30</v>
      </c>
      <c r="B234" s="40" t="s">
        <v>604</v>
      </c>
      <c r="C234" s="3" t="s">
        <v>594</v>
      </c>
      <c r="D234" s="3" t="s">
        <v>2416</v>
      </c>
      <c r="E234" s="3" t="s">
        <v>2399</v>
      </c>
      <c r="F234" s="22" t="s">
        <v>614</v>
      </c>
      <c r="G234" s="22" t="s">
        <v>512</v>
      </c>
      <c r="H234" s="3" t="s">
        <v>603</v>
      </c>
      <c r="I234" s="21" t="s">
        <v>2</v>
      </c>
      <c r="J234" s="21" t="s">
        <v>2</v>
      </c>
      <c r="K234" s="21" t="s">
        <v>2276</v>
      </c>
      <c r="L234" s="3">
        <v>1993</v>
      </c>
      <c r="M234" s="3">
        <v>1993</v>
      </c>
      <c r="N234" s="3">
        <v>15</v>
      </c>
      <c r="O234" s="4" t="s">
        <v>611</v>
      </c>
      <c r="P234" s="5" t="s">
        <v>5187</v>
      </c>
      <c r="Q234" s="4" t="s">
        <v>617</v>
      </c>
    </row>
    <row r="235" spans="1:17" ht="29">
      <c r="A235" s="31">
        <v>30</v>
      </c>
      <c r="B235" s="40" t="s">
        <v>604</v>
      </c>
      <c r="C235" s="3" t="s">
        <v>597</v>
      </c>
      <c r="D235" s="3" t="s">
        <v>2416</v>
      </c>
      <c r="E235" s="3" t="s">
        <v>2399</v>
      </c>
      <c r="F235" s="22" t="s">
        <v>615</v>
      </c>
      <c r="G235" s="22" t="s">
        <v>512</v>
      </c>
      <c r="H235" s="3" t="s">
        <v>603</v>
      </c>
      <c r="I235" s="21" t="s">
        <v>2</v>
      </c>
      <c r="J235" s="21" t="s">
        <v>2</v>
      </c>
      <c r="K235" s="21" t="s">
        <v>2276</v>
      </c>
      <c r="L235" s="3">
        <v>1993</v>
      </c>
      <c r="M235" s="3">
        <v>1993</v>
      </c>
      <c r="N235" s="3">
        <v>15</v>
      </c>
      <c r="O235" s="4" t="s">
        <v>611</v>
      </c>
      <c r="P235" s="5" t="s">
        <v>5187</v>
      </c>
      <c r="Q235" s="4" t="s">
        <v>617</v>
      </c>
    </row>
    <row r="236" spans="1:17" ht="29">
      <c r="A236" s="31">
        <v>30</v>
      </c>
      <c r="B236" s="40" t="s">
        <v>604</v>
      </c>
      <c r="C236" s="3" t="s">
        <v>600</v>
      </c>
      <c r="D236" s="3" t="s">
        <v>2416</v>
      </c>
      <c r="E236" s="3" t="s">
        <v>2399</v>
      </c>
      <c r="F236" s="22" t="s">
        <v>616</v>
      </c>
      <c r="G236" s="22" t="s">
        <v>512</v>
      </c>
      <c r="H236" s="3" t="s">
        <v>603</v>
      </c>
      <c r="I236" s="21">
        <v>-18.885459600000001</v>
      </c>
      <c r="J236" s="21">
        <v>48.370021999999999</v>
      </c>
      <c r="K236" s="21" t="s">
        <v>2276</v>
      </c>
      <c r="L236" s="3">
        <v>1993</v>
      </c>
      <c r="M236" s="3">
        <v>1993</v>
      </c>
      <c r="N236" s="3">
        <v>15</v>
      </c>
      <c r="O236" s="4" t="s">
        <v>611</v>
      </c>
      <c r="P236" s="5" t="s">
        <v>5187</v>
      </c>
      <c r="Q236" s="3"/>
    </row>
    <row r="237" spans="1:17" ht="34.5" customHeight="1">
      <c r="A237" s="154">
        <v>31</v>
      </c>
      <c r="B237" s="155" t="s">
        <v>3221</v>
      </c>
      <c r="C237" s="22" t="s">
        <v>602</v>
      </c>
      <c r="D237" s="22" t="s">
        <v>2398</v>
      </c>
      <c r="E237" s="3" t="s">
        <v>2399</v>
      </c>
      <c r="F237" s="22" t="s">
        <v>2276</v>
      </c>
      <c r="G237" s="22" t="s">
        <v>2276</v>
      </c>
      <c r="H237" s="28" t="s">
        <v>580</v>
      </c>
      <c r="I237" s="77">
        <v>7.5</v>
      </c>
      <c r="J237" s="77">
        <v>81</v>
      </c>
      <c r="K237" s="77" t="s">
        <v>2276</v>
      </c>
      <c r="L237" s="8">
        <v>1990</v>
      </c>
      <c r="M237" s="8">
        <v>1990</v>
      </c>
      <c r="N237" s="22" t="s">
        <v>2276</v>
      </c>
      <c r="O237" s="22" t="s">
        <v>2</v>
      </c>
      <c r="P237" s="5" t="s">
        <v>5187</v>
      </c>
      <c r="Q237" s="24" t="s">
        <v>3220</v>
      </c>
    </row>
    <row r="238" spans="1:17" ht="30" customHeight="1">
      <c r="A238" s="154">
        <v>32</v>
      </c>
      <c r="B238" s="158" t="s">
        <v>3222</v>
      </c>
      <c r="C238" s="22" t="s">
        <v>622</v>
      </c>
      <c r="D238" s="22" t="s">
        <v>2398</v>
      </c>
      <c r="E238" s="3" t="s">
        <v>2399</v>
      </c>
      <c r="F238" s="22" t="s">
        <v>585</v>
      </c>
      <c r="G238" s="24" t="s">
        <v>583</v>
      </c>
      <c r="H238" s="28" t="s">
        <v>584</v>
      </c>
      <c r="I238" s="77">
        <v>9</v>
      </c>
      <c r="J238" s="77">
        <v>-73</v>
      </c>
      <c r="K238" s="77">
        <v>1500</v>
      </c>
      <c r="L238" s="22">
        <v>1991</v>
      </c>
      <c r="M238" s="22">
        <v>1991</v>
      </c>
      <c r="N238" s="22">
        <v>0.8</v>
      </c>
      <c r="O238" s="22" t="s">
        <v>2</v>
      </c>
      <c r="P238" s="5" t="s">
        <v>5187</v>
      </c>
      <c r="Q238" s="22"/>
    </row>
    <row r="239" spans="1:17" ht="29" customHeight="1">
      <c r="A239" s="31">
        <v>33</v>
      </c>
      <c r="B239" s="40" t="s">
        <v>624</v>
      </c>
      <c r="C239" s="3" t="s">
        <v>623</v>
      </c>
      <c r="D239" s="3" t="s">
        <v>2398</v>
      </c>
      <c r="E239" s="28" t="s">
        <v>2399</v>
      </c>
      <c r="F239" s="3" t="s">
        <v>625</v>
      </c>
      <c r="G239" s="22" t="s">
        <v>626</v>
      </c>
      <c r="H239" s="28" t="s">
        <v>627</v>
      </c>
      <c r="I239" s="21">
        <v>17.121307999999999</v>
      </c>
      <c r="J239" s="21">
        <v>121.0828161</v>
      </c>
      <c r="K239" s="21" t="s">
        <v>2276</v>
      </c>
      <c r="L239" s="3">
        <v>1981</v>
      </c>
      <c r="M239" s="3">
        <v>1983</v>
      </c>
      <c r="N239" s="3" t="s">
        <v>2276</v>
      </c>
      <c r="O239" s="3" t="s">
        <v>183</v>
      </c>
      <c r="P239" s="5" t="s">
        <v>5187</v>
      </c>
      <c r="Q239" s="3"/>
    </row>
    <row r="240" spans="1:17" ht="25.5" customHeight="1">
      <c r="A240" s="31">
        <v>34</v>
      </c>
      <c r="B240" s="40" t="s">
        <v>643</v>
      </c>
      <c r="C240" s="3" t="s">
        <v>642</v>
      </c>
      <c r="D240" s="3" t="s">
        <v>2398</v>
      </c>
      <c r="E240" s="28" t="s">
        <v>2399</v>
      </c>
      <c r="F240" s="3" t="s">
        <v>2276</v>
      </c>
      <c r="G240" s="3" t="s">
        <v>2276</v>
      </c>
      <c r="H240" s="28" t="s">
        <v>644</v>
      </c>
      <c r="I240" s="21">
        <v>0.77375859999999996</v>
      </c>
      <c r="J240" s="21">
        <v>111.5774689</v>
      </c>
      <c r="K240" s="21" t="s">
        <v>2276</v>
      </c>
      <c r="L240" s="3">
        <v>1975</v>
      </c>
      <c r="M240" s="3">
        <v>1975</v>
      </c>
      <c r="N240" s="3" t="s">
        <v>2276</v>
      </c>
      <c r="O240" s="3" t="s">
        <v>2</v>
      </c>
      <c r="P240" s="5" t="s">
        <v>5187</v>
      </c>
      <c r="Q240" s="3"/>
    </row>
    <row r="241" spans="1:17" ht="29" customHeight="1">
      <c r="A241" s="31">
        <v>35</v>
      </c>
      <c r="B241" s="40" t="s">
        <v>648</v>
      </c>
      <c r="C241" s="3" t="s">
        <v>652</v>
      </c>
      <c r="D241" s="3" t="s">
        <v>2398</v>
      </c>
      <c r="E241" s="28" t="s">
        <v>2400</v>
      </c>
      <c r="F241" s="3" t="s">
        <v>649</v>
      </c>
      <c r="G241" s="3" t="s">
        <v>650</v>
      </c>
      <c r="H241" s="28" t="s">
        <v>651</v>
      </c>
      <c r="I241" s="21">
        <v>-1.733333</v>
      </c>
      <c r="J241" s="21">
        <v>-77.483333000000002</v>
      </c>
      <c r="K241" s="21">
        <v>3533</v>
      </c>
      <c r="L241" s="3">
        <v>1999</v>
      </c>
      <c r="M241" s="3">
        <v>2001</v>
      </c>
      <c r="N241" s="3">
        <v>0.27200679999999999</v>
      </c>
      <c r="O241" s="3" t="s">
        <v>183</v>
      </c>
      <c r="P241" s="5" t="s">
        <v>5187</v>
      </c>
      <c r="Q241" s="3"/>
    </row>
    <row r="242" spans="1:17" ht="46.5" customHeight="1">
      <c r="A242" s="31">
        <v>36</v>
      </c>
      <c r="B242" s="40" t="s">
        <v>656</v>
      </c>
      <c r="C242" s="3" t="s">
        <v>655</v>
      </c>
      <c r="D242" s="3" t="s">
        <v>2398</v>
      </c>
      <c r="E242" s="28" t="s">
        <v>2399</v>
      </c>
      <c r="F242" s="39" t="s">
        <v>3216</v>
      </c>
      <c r="G242" s="3" t="s">
        <v>658</v>
      </c>
      <c r="H242" s="28" t="s">
        <v>659</v>
      </c>
      <c r="I242" s="21">
        <v>-4.95</v>
      </c>
      <c r="J242" s="21">
        <v>-73.25</v>
      </c>
      <c r="K242" s="21">
        <v>2.2999999999999998</v>
      </c>
      <c r="L242" s="3">
        <v>1994</v>
      </c>
      <c r="M242" s="3">
        <v>1995</v>
      </c>
      <c r="N242" s="3" t="s">
        <v>2276</v>
      </c>
      <c r="O242" s="3" t="s">
        <v>183</v>
      </c>
      <c r="P242" s="5" t="s">
        <v>5187</v>
      </c>
      <c r="Q242" s="4" t="s">
        <v>2017</v>
      </c>
    </row>
    <row r="243" spans="1:17" ht="47" customHeight="1">
      <c r="A243" s="31">
        <v>37</v>
      </c>
      <c r="B243" s="40" t="s">
        <v>2019</v>
      </c>
      <c r="C243" s="3" t="s">
        <v>661</v>
      </c>
      <c r="D243" s="3" t="s">
        <v>2398</v>
      </c>
      <c r="E243" s="28" t="s">
        <v>2399</v>
      </c>
      <c r="F243" s="3" t="s">
        <v>663</v>
      </c>
      <c r="G243" s="3" t="s">
        <v>662</v>
      </c>
      <c r="H243" s="28" t="s">
        <v>590</v>
      </c>
      <c r="I243" s="21">
        <v>5.6666666000000001</v>
      </c>
      <c r="J243" s="21">
        <v>-7.3333329999999997</v>
      </c>
      <c r="K243" s="21" t="s">
        <v>2276</v>
      </c>
      <c r="L243" s="3">
        <v>1990</v>
      </c>
      <c r="M243" s="3">
        <v>1990</v>
      </c>
      <c r="N243" s="3" t="s">
        <v>2276</v>
      </c>
      <c r="O243" s="3" t="s">
        <v>67</v>
      </c>
      <c r="P243" s="5" t="s">
        <v>5187</v>
      </c>
      <c r="Q243" s="3"/>
    </row>
    <row r="244" spans="1:17" ht="51.5" customHeight="1">
      <c r="A244" s="31">
        <v>38</v>
      </c>
      <c r="B244" s="40" t="s">
        <v>668</v>
      </c>
      <c r="C244" s="3" t="s">
        <v>667</v>
      </c>
      <c r="D244" s="3" t="s">
        <v>2398</v>
      </c>
      <c r="E244" s="28" t="s">
        <v>2399</v>
      </c>
      <c r="F244" s="3" t="s">
        <v>2276</v>
      </c>
      <c r="G244" s="3" t="s">
        <v>670</v>
      </c>
      <c r="H244" s="28" t="s">
        <v>733</v>
      </c>
      <c r="I244" s="21">
        <v>19.8333333</v>
      </c>
      <c r="J244" s="21">
        <v>102.16666666666001</v>
      </c>
      <c r="K244" s="21" t="s">
        <v>2276</v>
      </c>
      <c r="L244" s="3">
        <v>2004</v>
      </c>
      <c r="M244" s="3">
        <v>2004</v>
      </c>
      <c r="N244" s="3" t="s">
        <v>2276</v>
      </c>
      <c r="O244" s="3" t="s">
        <v>67</v>
      </c>
      <c r="P244" s="5" t="s">
        <v>5187</v>
      </c>
      <c r="Q244" s="4" t="s">
        <v>2024</v>
      </c>
    </row>
    <row r="245" spans="1:17" ht="73.5" customHeight="1">
      <c r="A245" s="31">
        <v>39</v>
      </c>
      <c r="B245" s="40" t="s">
        <v>675</v>
      </c>
      <c r="C245" s="3" t="s">
        <v>674</v>
      </c>
      <c r="D245" s="3" t="s">
        <v>2398</v>
      </c>
      <c r="E245" s="28" t="s">
        <v>2399</v>
      </c>
      <c r="F245" s="3" t="s">
        <v>2276</v>
      </c>
      <c r="G245" s="3" t="s">
        <v>676</v>
      </c>
      <c r="H245" s="28" t="s">
        <v>733</v>
      </c>
      <c r="I245" s="21">
        <v>20.07</v>
      </c>
      <c r="J245" s="21">
        <v>102.62</v>
      </c>
      <c r="K245" s="21" t="s">
        <v>2276</v>
      </c>
      <c r="L245" s="3">
        <v>1991</v>
      </c>
      <c r="M245" s="3">
        <v>1992</v>
      </c>
      <c r="N245" s="3" t="s">
        <v>2276</v>
      </c>
      <c r="O245" s="3" t="s">
        <v>183</v>
      </c>
      <c r="P245" s="5" t="s">
        <v>5187</v>
      </c>
      <c r="Q245" s="4" t="s">
        <v>2275</v>
      </c>
    </row>
    <row r="246" spans="1:17" ht="56" customHeight="1">
      <c r="A246" s="31">
        <v>40</v>
      </c>
      <c r="B246" s="40" t="s">
        <v>678</v>
      </c>
      <c r="C246" s="3" t="s">
        <v>677</v>
      </c>
      <c r="D246" s="3" t="s">
        <v>2398</v>
      </c>
      <c r="E246" s="28" t="s">
        <v>2399</v>
      </c>
      <c r="F246" s="3" t="s">
        <v>2276</v>
      </c>
      <c r="G246" s="3" t="s">
        <v>679</v>
      </c>
      <c r="H246" s="28" t="s">
        <v>733</v>
      </c>
      <c r="I246" s="21">
        <v>21.791531500000001</v>
      </c>
      <c r="J246" s="21">
        <v>102.102801</v>
      </c>
      <c r="K246" s="21" t="s">
        <v>2276</v>
      </c>
      <c r="L246" s="3">
        <v>2001</v>
      </c>
      <c r="M246" s="3">
        <v>2002</v>
      </c>
      <c r="N246" s="3">
        <v>8</v>
      </c>
      <c r="O246" s="3" t="s">
        <v>183</v>
      </c>
      <c r="P246" s="5" t="s">
        <v>5187</v>
      </c>
      <c r="Q246" s="4" t="s">
        <v>2277</v>
      </c>
    </row>
    <row r="247" spans="1:17" ht="86" customHeight="1">
      <c r="A247" s="31">
        <v>40</v>
      </c>
      <c r="B247" s="40" t="s">
        <v>678</v>
      </c>
      <c r="C247" s="3" t="s">
        <v>680</v>
      </c>
      <c r="D247" s="3" t="s">
        <v>2398</v>
      </c>
      <c r="E247" s="28" t="s">
        <v>2399</v>
      </c>
      <c r="F247" s="3" t="s">
        <v>2276</v>
      </c>
      <c r="G247" s="3" t="s">
        <v>679</v>
      </c>
      <c r="H247" s="28" t="s">
        <v>733</v>
      </c>
      <c r="I247" s="21">
        <v>21.791531500000001</v>
      </c>
      <c r="J247" s="21">
        <v>102.102801</v>
      </c>
      <c r="K247" s="21" t="s">
        <v>2276</v>
      </c>
      <c r="L247" s="3">
        <v>1996</v>
      </c>
      <c r="M247" s="3">
        <v>1996</v>
      </c>
      <c r="N247" s="3">
        <v>8</v>
      </c>
      <c r="O247" s="3" t="s">
        <v>183</v>
      </c>
      <c r="P247" s="5" t="s">
        <v>5187</v>
      </c>
      <c r="Q247" s="4" t="s">
        <v>2278</v>
      </c>
    </row>
    <row r="248" spans="1:17" ht="82.5" customHeight="1">
      <c r="A248" s="31">
        <v>41</v>
      </c>
      <c r="B248" s="40" t="s">
        <v>687</v>
      </c>
      <c r="C248" s="3" t="s">
        <v>684</v>
      </c>
      <c r="D248" s="3" t="s">
        <v>2398</v>
      </c>
      <c r="E248" s="28" t="s">
        <v>2399</v>
      </c>
      <c r="F248" s="3" t="s">
        <v>2276</v>
      </c>
      <c r="G248" s="3" t="s">
        <v>670</v>
      </c>
      <c r="H248" s="28" t="s">
        <v>733</v>
      </c>
      <c r="I248" s="21">
        <v>20.098929099999999</v>
      </c>
      <c r="J248" s="21">
        <v>102.556566</v>
      </c>
      <c r="K248" s="21" t="s">
        <v>2276</v>
      </c>
      <c r="L248" s="3">
        <v>1991</v>
      </c>
      <c r="M248" s="3">
        <v>1993</v>
      </c>
      <c r="N248" s="3" t="s">
        <v>2276</v>
      </c>
      <c r="O248" s="3" t="s">
        <v>183</v>
      </c>
      <c r="P248" s="5" t="s">
        <v>5187</v>
      </c>
      <c r="Q248" s="4" t="s">
        <v>2041</v>
      </c>
    </row>
    <row r="249" spans="1:17" ht="93.5" customHeight="1">
      <c r="A249" s="31">
        <v>41</v>
      </c>
      <c r="B249" s="40" t="s">
        <v>687</v>
      </c>
      <c r="C249" s="3" t="s">
        <v>685</v>
      </c>
      <c r="D249" s="3" t="s">
        <v>2398</v>
      </c>
      <c r="E249" s="28" t="s">
        <v>2399</v>
      </c>
      <c r="F249" s="3" t="s">
        <v>2276</v>
      </c>
      <c r="G249" s="3" t="s">
        <v>670</v>
      </c>
      <c r="H249" s="28" t="s">
        <v>733</v>
      </c>
      <c r="I249" s="21">
        <v>20.098929099999999</v>
      </c>
      <c r="J249" s="21">
        <v>102.556566</v>
      </c>
      <c r="K249" s="21" t="s">
        <v>2276</v>
      </c>
      <c r="L249" s="3">
        <v>1991</v>
      </c>
      <c r="M249" s="3">
        <v>1993</v>
      </c>
      <c r="N249" s="3" t="s">
        <v>2276</v>
      </c>
      <c r="O249" s="3" t="s">
        <v>183</v>
      </c>
      <c r="P249" s="5" t="s">
        <v>5187</v>
      </c>
      <c r="Q249" s="4" t="s">
        <v>2041</v>
      </c>
    </row>
    <row r="250" spans="1:17" ht="89" customHeight="1">
      <c r="A250" s="31">
        <v>41</v>
      </c>
      <c r="B250" s="40" t="s">
        <v>687</v>
      </c>
      <c r="C250" s="3" t="s">
        <v>686</v>
      </c>
      <c r="D250" s="3" t="s">
        <v>2398</v>
      </c>
      <c r="E250" s="28" t="s">
        <v>2399</v>
      </c>
      <c r="F250" s="3" t="s">
        <v>2276</v>
      </c>
      <c r="G250" s="3" t="s">
        <v>670</v>
      </c>
      <c r="H250" s="28" t="s">
        <v>733</v>
      </c>
      <c r="I250" s="21">
        <v>20.098929099999999</v>
      </c>
      <c r="J250" s="21">
        <v>102.556566</v>
      </c>
      <c r="K250" s="21" t="s">
        <v>2276</v>
      </c>
      <c r="L250" s="3">
        <v>1991</v>
      </c>
      <c r="M250" s="3">
        <v>1993</v>
      </c>
      <c r="N250" s="3" t="s">
        <v>2276</v>
      </c>
      <c r="O250" s="3" t="s">
        <v>183</v>
      </c>
      <c r="P250" s="5" t="s">
        <v>5187</v>
      </c>
      <c r="Q250" s="4" t="s">
        <v>2041</v>
      </c>
    </row>
    <row r="251" spans="1:17" ht="66" customHeight="1">
      <c r="A251" s="31">
        <v>41</v>
      </c>
      <c r="B251" s="40" t="s">
        <v>687</v>
      </c>
      <c r="C251" s="3" t="s">
        <v>694</v>
      </c>
      <c r="D251" s="3" t="s">
        <v>2398</v>
      </c>
      <c r="E251" s="28" t="s">
        <v>2399</v>
      </c>
      <c r="F251" s="3" t="s">
        <v>2276</v>
      </c>
      <c r="G251" s="3" t="s">
        <v>697</v>
      </c>
      <c r="H251" s="28" t="s">
        <v>733</v>
      </c>
      <c r="I251" s="21">
        <v>20.306200400000002</v>
      </c>
      <c r="J251" s="21">
        <v>100.6674939</v>
      </c>
      <c r="K251" s="21" t="s">
        <v>2276</v>
      </c>
      <c r="L251" s="3">
        <v>1991</v>
      </c>
      <c r="M251" s="3">
        <v>1993</v>
      </c>
      <c r="N251" s="3" t="s">
        <v>2276</v>
      </c>
      <c r="O251" s="3" t="s">
        <v>183</v>
      </c>
      <c r="P251" s="5" t="s">
        <v>5187</v>
      </c>
      <c r="Q251" s="4" t="s">
        <v>2041</v>
      </c>
    </row>
    <row r="252" spans="1:17" ht="80" customHeight="1">
      <c r="A252" s="31">
        <v>41</v>
      </c>
      <c r="B252" s="40" t="s">
        <v>687</v>
      </c>
      <c r="C252" s="3" t="s">
        <v>695</v>
      </c>
      <c r="D252" s="3" t="s">
        <v>2398</v>
      </c>
      <c r="E252" s="28" t="s">
        <v>2399</v>
      </c>
      <c r="F252" s="3" t="s">
        <v>2276</v>
      </c>
      <c r="G252" s="3" t="s">
        <v>697</v>
      </c>
      <c r="H252" s="28" t="s">
        <v>733</v>
      </c>
      <c r="I252" s="21">
        <v>20.306200400000002</v>
      </c>
      <c r="J252" s="21">
        <v>100.6674939</v>
      </c>
      <c r="K252" s="21" t="s">
        <v>2276</v>
      </c>
      <c r="L252" s="3">
        <v>1991</v>
      </c>
      <c r="M252" s="3">
        <v>1993</v>
      </c>
      <c r="N252" s="3" t="s">
        <v>2276</v>
      </c>
      <c r="O252" s="3" t="s">
        <v>183</v>
      </c>
      <c r="P252" s="5" t="s">
        <v>5187</v>
      </c>
      <c r="Q252" s="4" t="s">
        <v>2041</v>
      </c>
    </row>
    <row r="253" spans="1:17" ht="73.5" customHeight="1">
      <c r="A253" s="31">
        <v>41</v>
      </c>
      <c r="B253" s="40" t="s">
        <v>687</v>
      </c>
      <c r="C253" s="3" t="s">
        <v>696</v>
      </c>
      <c r="D253" s="3" t="s">
        <v>2398</v>
      </c>
      <c r="E253" s="28" t="s">
        <v>2399</v>
      </c>
      <c r="F253" s="3" t="s">
        <v>2276</v>
      </c>
      <c r="G253" s="3" t="s">
        <v>697</v>
      </c>
      <c r="H253" s="28" t="s">
        <v>733</v>
      </c>
      <c r="I253" s="21">
        <v>20.306200400000002</v>
      </c>
      <c r="J253" s="21">
        <v>100.6674939</v>
      </c>
      <c r="K253" s="21" t="s">
        <v>2276</v>
      </c>
      <c r="L253" s="3">
        <v>1991</v>
      </c>
      <c r="M253" s="3">
        <v>1993</v>
      </c>
      <c r="N253" s="3" t="s">
        <v>2276</v>
      </c>
      <c r="O253" s="3" t="s">
        <v>183</v>
      </c>
      <c r="P253" s="5" t="s">
        <v>5187</v>
      </c>
      <c r="Q253" s="4" t="s">
        <v>2041</v>
      </c>
    </row>
    <row r="254" spans="1:17" ht="73.5" customHeight="1">
      <c r="A254" s="31">
        <v>41</v>
      </c>
      <c r="B254" s="40" t="s">
        <v>687</v>
      </c>
      <c r="C254" s="3" t="s">
        <v>2035</v>
      </c>
      <c r="D254" s="3" t="s">
        <v>2398</v>
      </c>
      <c r="E254" s="28" t="s">
        <v>2399</v>
      </c>
      <c r="F254" s="3" t="s">
        <v>2276</v>
      </c>
      <c r="G254" s="3" t="s">
        <v>704</v>
      </c>
      <c r="H254" s="28" t="s">
        <v>733</v>
      </c>
      <c r="I254" s="21">
        <v>20.515810500000001</v>
      </c>
      <c r="J254" s="21">
        <v>101.540317</v>
      </c>
      <c r="K254" s="21" t="s">
        <v>2276</v>
      </c>
      <c r="L254" s="3">
        <v>1991</v>
      </c>
      <c r="M254" s="3">
        <v>1993</v>
      </c>
      <c r="N254" s="3" t="s">
        <v>2276</v>
      </c>
      <c r="O254" s="3" t="s">
        <v>183</v>
      </c>
      <c r="P254" s="5" t="s">
        <v>5187</v>
      </c>
      <c r="Q254" s="4" t="s">
        <v>2041</v>
      </c>
    </row>
    <row r="255" spans="1:17" ht="73.5" customHeight="1">
      <c r="A255" s="31">
        <v>41</v>
      </c>
      <c r="B255" s="40" t="s">
        <v>687</v>
      </c>
      <c r="C255" s="3" t="s">
        <v>2036</v>
      </c>
      <c r="D255" s="3" t="s">
        <v>2398</v>
      </c>
      <c r="E255" s="28" t="s">
        <v>2399</v>
      </c>
      <c r="F255" s="3" t="s">
        <v>2276</v>
      </c>
      <c r="G255" s="3" t="s">
        <v>704</v>
      </c>
      <c r="H255" s="28" t="s">
        <v>733</v>
      </c>
      <c r="I255" s="21">
        <v>20.515810500000001</v>
      </c>
      <c r="J255" s="21">
        <v>101.540317</v>
      </c>
      <c r="K255" s="21" t="s">
        <v>2276</v>
      </c>
      <c r="L255" s="3">
        <v>1991</v>
      </c>
      <c r="M255" s="3">
        <v>1993</v>
      </c>
      <c r="N255" s="3" t="s">
        <v>2276</v>
      </c>
      <c r="O255" s="3" t="s">
        <v>183</v>
      </c>
      <c r="P255" s="5" t="s">
        <v>5187</v>
      </c>
      <c r="Q255" s="4" t="s">
        <v>2041</v>
      </c>
    </row>
    <row r="256" spans="1:17" ht="80" customHeight="1">
      <c r="A256" s="31">
        <v>41</v>
      </c>
      <c r="B256" s="40" t="s">
        <v>687</v>
      </c>
      <c r="C256" s="3" t="s">
        <v>2037</v>
      </c>
      <c r="D256" s="3" t="s">
        <v>2398</v>
      </c>
      <c r="E256" s="28" t="s">
        <v>2399</v>
      </c>
      <c r="F256" s="3" t="s">
        <v>2276</v>
      </c>
      <c r="G256" s="3" t="s">
        <v>704</v>
      </c>
      <c r="H256" s="28" t="s">
        <v>733</v>
      </c>
      <c r="I256" s="21">
        <v>20.515810500000001</v>
      </c>
      <c r="J256" s="21">
        <v>101.540317</v>
      </c>
      <c r="K256" s="21" t="s">
        <v>2276</v>
      </c>
      <c r="L256" s="3">
        <v>1991</v>
      </c>
      <c r="M256" s="3">
        <v>1993</v>
      </c>
      <c r="N256" s="3" t="s">
        <v>2276</v>
      </c>
      <c r="O256" s="3" t="s">
        <v>183</v>
      </c>
      <c r="P256" s="5" t="s">
        <v>5187</v>
      </c>
      <c r="Q256" s="4" t="s">
        <v>2041</v>
      </c>
    </row>
    <row r="257" spans="1:17" ht="45.5" customHeight="1">
      <c r="A257" s="31">
        <v>42</v>
      </c>
      <c r="B257" s="40" t="s">
        <v>702</v>
      </c>
      <c r="C257" s="3" t="s">
        <v>698</v>
      </c>
      <c r="D257" s="3" t="s">
        <v>2398</v>
      </c>
      <c r="E257" s="28" t="s">
        <v>2399</v>
      </c>
      <c r="F257" s="3" t="s">
        <v>2033</v>
      </c>
      <c r="G257" s="3" t="s">
        <v>670</v>
      </c>
      <c r="H257" s="28" t="s">
        <v>733</v>
      </c>
      <c r="I257" s="21">
        <v>19.839105199999999</v>
      </c>
      <c r="J257" s="21">
        <v>102.33638139999999</v>
      </c>
      <c r="K257" s="21" t="s">
        <v>2276</v>
      </c>
      <c r="L257" s="3">
        <v>2003</v>
      </c>
      <c r="M257" s="3">
        <v>2003</v>
      </c>
      <c r="N257" s="3" t="s">
        <v>2276</v>
      </c>
      <c r="O257" s="3" t="s">
        <v>183</v>
      </c>
      <c r="P257" s="5" t="s">
        <v>5187</v>
      </c>
      <c r="Q257" s="3" t="s">
        <v>2032</v>
      </c>
    </row>
    <row r="258" spans="1:17" ht="46.5" customHeight="1">
      <c r="A258" s="31">
        <v>42</v>
      </c>
      <c r="B258" s="40" t="s">
        <v>702</v>
      </c>
      <c r="C258" s="3" t="s">
        <v>699</v>
      </c>
      <c r="D258" s="3" t="s">
        <v>2398</v>
      </c>
      <c r="E258" s="28" t="s">
        <v>2399</v>
      </c>
      <c r="F258" s="3" t="s">
        <v>703</v>
      </c>
      <c r="G258" s="3" t="s">
        <v>704</v>
      </c>
      <c r="H258" s="28" t="s">
        <v>733</v>
      </c>
      <c r="I258" s="21">
        <v>20.515810500000001</v>
      </c>
      <c r="J258" s="21">
        <v>101.540317</v>
      </c>
      <c r="K258" s="21" t="s">
        <v>2276</v>
      </c>
      <c r="L258" s="3">
        <v>2003</v>
      </c>
      <c r="M258" s="3">
        <v>2003</v>
      </c>
      <c r="N258" s="3" t="s">
        <v>2276</v>
      </c>
      <c r="O258" s="3" t="s">
        <v>183</v>
      </c>
      <c r="P258" s="5" t="s">
        <v>5187</v>
      </c>
      <c r="Q258" s="3" t="s">
        <v>2032</v>
      </c>
    </row>
    <row r="259" spans="1:17" ht="39" customHeight="1">
      <c r="A259" s="31">
        <v>42</v>
      </c>
      <c r="B259" s="40" t="s">
        <v>702</v>
      </c>
      <c r="C259" s="3" t="s">
        <v>700</v>
      </c>
      <c r="D259" s="3" t="s">
        <v>2398</v>
      </c>
      <c r="E259" s="28" t="s">
        <v>2399</v>
      </c>
      <c r="F259" s="3" t="s">
        <v>6088</v>
      </c>
      <c r="G259" s="3" t="s">
        <v>670</v>
      </c>
      <c r="H259" s="28" t="s">
        <v>733</v>
      </c>
      <c r="I259" s="21">
        <v>19.839105199999999</v>
      </c>
      <c r="J259" s="21">
        <v>102.33638139999999</v>
      </c>
      <c r="K259" s="21" t="s">
        <v>2276</v>
      </c>
      <c r="L259" s="3">
        <v>2003</v>
      </c>
      <c r="M259" s="3">
        <v>2003</v>
      </c>
      <c r="N259" s="3" t="s">
        <v>2276</v>
      </c>
      <c r="O259" s="3" t="s">
        <v>183</v>
      </c>
      <c r="P259" s="5" t="s">
        <v>5187</v>
      </c>
      <c r="Q259" s="3" t="s">
        <v>2032</v>
      </c>
    </row>
    <row r="260" spans="1:17" ht="54.5" customHeight="1">
      <c r="A260" s="31">
        <v>42</v>
      </c>
      <c r="B260" s="40" t="s">
        <v>702</v>
      </c>
      <c r="C260" s="3" t="s">
        <v>701</v>
      </c>
      <c r="D260" s="3" t="s">
        <v>2398</v>
      </c>
      <c r="E260" s="28" t="s">
        <v>2399</v>
      </c>
      <c r="F260" s="3" t="s">
        <v>2033</v>
      </c>
      <c r="G260" s="3" t="s">
        <v>670</v>
      </c>
      <c r="H260" s="28" t="s">
        <v>733</v>
      </c>
      <c r="I260" s="21">
        <v>19.839105199999999</v>
      </c>
      <c r="J260" s="21">
        <v>102.33638139999999</v>
      </c>
      <c r="K260" s="21" t="s">
        <v>2276</v>
      </c>
      <c r="L260" s="3">
        <v>1970</v>
      </c>
      <c r="M260" s="3">
        <v>1970</v>
      </c>
      <c r="N260" s="3" t="s">
        <v>2276</v>
      </c>
      <c r="O260" s="3" t="s">
        <v>183</v>
      </c>
      <c r="P260" s="5" t="s">
        <v>5187</v>
      </c>
      <c r="Q260" s="4" t="s">
        <v>2034</v>
      </c>
    </row>
    <row r="261" spans="1:17" ht="51" customHeight="1">
      <c r="A261" s="31">
        <v>42</v>
      </c>
      <c r="B261" s="40" t="s">
        <v>702</v>
      </c>
      <c r="C261" s="11" t="s">
        <v>705</v>
      </c>
      <c r="D261" s="3" t="s">
        <v>2398</v>
      </c>
      <c r="E261" s="28" t="s">
        <v>2399</v>
      </c>
      <c r="F261" s="3" t="s">
        <v>703</v>
      </c>
      <c r="G261" s="3" t="s">
        <v>704</v>
      </c>
      <c r="H261" s="28" t="s">
        <v>733</v>
      </c>
      <c r="I261" s="21">
        <v>20.515810500000001</v>
      </c>
      <c r="J261" s="21">
        <v>101.540317</v>
      </c>
      <c r="K261" s="21" t="s">
        <v>2276</v>
      </c>
      <c r="L261" s="3">
        <v>1970</v>
      </c>
      <c r="M261" s="3">
        <v>1970</v>
      </c>
      <c r="N261" s="3" t="s">
        <v>2276</v>
      </c>
      <c r="O261" s="3" t="s">
        <v>183</v>
      </c>
      <c r="P261" s="5" t="s">
        <v>5187</v>
      </c>
      <c r="Q261" s="4" t="s">
        <v>2034</v>
      </c>
    </row>
    <row r="262" spans="1:17" ht="58.5" customHeight="1">
      <c r="A262" s="31">
        <v>42</v>
      </c>
      <c r="B262" s="40" t="s">
        <v>702</v>
      </c>
      <c r="C262" s="11" t="s">
        <v>706</v>
      </c>
      <c r="D262" s="3" t="s">
        <v>2398</v>
      </c>
      <c r="E262" s="28" t="s">
        <v>2399</v>
      </c>
      <c r="F262" s="3" t="s">
        <v>6088</v>
      </c>
      <c r="G262" s="3" t="s">
        <v>670</v>
      </c>
      <c r="H262" s="28" t="s">
        <v>733</v>
      </c>
      <c r="I262" s="21">
        <v>19.839105199999999</v>
      </c>
      <c r="J262" s="21">
        <v>102.33638139999999</v>
      </c>
      <c r="K262" s="21" t="s">
        <v>2276</v>
      </c>
      <c r="L262" s="3">
        <v>1970</v>
      </c>
      <c r="M262" s="3">
        <v>1970</v>
      </c>
      <c r="N262" s="3" t="s">
        <v>2276</v>
      </c>
      <c r="O262" s="3" t="s">
        <v>183</v>
      </c>
      <c r="P262" s="5" t="s">
        <v>5187</v>
      </c>
      <c r="Q262" s="4" t="s">
        <v>2034</v>
      </c>
    </row>
    <row r="263" spans="1:17" ht="36.5" customHeight="1">
      <c r="A263" s="31">
        <v>43</v>
      </c>
      <c r="B263" s="40" t="s">
        <v>728</v>
      </c>
      <c r="C263" s="11" t="s">
        <v>725</v>
      </c>
      <c r="D263" s="11" t="s">
        <v>2398</v>
      </c>
      <c r="E263" s="28" t="s">
        <v>2399</v>
      </c>
      <c r="F263" s="3" t="s">
        <v>729</v>
      </c>
      <c r="G263" s="3" t="s">
        <v>732</v>
      </c>
      <c r="H263" s="28" t="s">
        <v>733</v>
      </c>
      <c r="I263" s="21">
        <v>19.771062000000001</v>
      </c>
      <c r="J263" s="21">
        <v>102.1790506</v>
      </c>
      <c r="K263" s="21">
        <v>1.5</v>
      </c>
      <c r="L263" s="3">
        <v>2000</v>
      </c>
      <c r="M263" s="3">
        <v>2000</v>
      </c>
      <c r="N263" s="3" t="s">
        <v>2276</v>
      </c>
      <c r="O263" s="3" t="s">
        <v>183</v>
      </c>
      <c r="P263" s="5" t="s">
        <v>5187</v>
      </c>
      <c r="Q263" s="3" t="s">
        <v>2042</v>
      </c>
    </row>
    <row r="264" spans="1:17" ht="36.5" customHeight="1">
      <c r="A264" s="31">
        <v>43</v>
      </c>
      <c r="B264" s="40" t="s">
        <v>728</v>
      </c>
      <c r="C264" s="11" t="s">
        <v>726</v>
      </c>
      <c r="D264" s="11" t="s">
        <v>2398</v>
      </c>
      <c r="E264" s="28" t="s">
        <v>2399</v>
      </c>
      <c r="F264" s="3" t="s">
        <v>730</v>
      </c>
      <c r="G264" s="3" t="s">
        <v>732</v>
      </c>
      <c r="H264" s="28" t="s">
        <v>733</v>
      </c>
      <c r="I264" s="21">
        <v>19.774985399999998</v>
      </c>
      <c r="J264" s="21">
        <v>102.184848</v>
      </c>
      <c r="K264" s="21">
        <v>1.3</v>
      </c>
      <c r="L264" s="3">
        <v>2000</v>
      </c>
      <c r="M264" s="3">
        <v>2000</v>
      </c>
      <c r="N264" s="3" t="s">
        <v>2276</v>
      </c>
      <c r="O264" s="3" t="s">
        <v>183</v>
      </c>
      <c r="P264" s="5" t="s">
        <v>5187</v>
      </c>
      <c r="Q264" s="3" t="s">
        <v>2042</v>
      </c>
    </row>
    <row r="265" spans="1:17" ht="33" customHeight="1">
      <c r="A265" s="31">
        <v>43</v>
      </c>
      <c r="B265" s="40" t="s">
        <v>728</v>
      </c>
      <c r="C265" s="11" t="s">
        <v>727</v>
      </c>
      <c r="D265" s="11" t="s">
        <v>2398</v>
      </c>
      <c r="E265" s="28" t="s">
        <v>2399</v>
      </c>
      <c r="F265" s="3" t="s">
        <v>731</v>
      </c>
      <c r="G265" s="3" t="s">
        <v>732</v>
      </c>
      <c r="H265" s="28" t="s">
        <v>733</v>
      </c>
      <c r="I265" s="21">
        <v>19.695749500000002</v>
      </c>
      <c r="J265" s="21">
        <v>102.1111959</v>
      </c>
      <c r="K265" s="21">
        <v>3.3</v>
      </c>
      <c r="L265" s="3">
        <v>2000</v>
      </c>
      <c r="M265" s="3">
        <v>2000</v>
      </c>
      <c r="N265" s="3" t="s">
        <v>2276</v>
      </c>
      <c r="O265" s="3" t="s">
        <v>183</v>
      </c>
      <c r="P265" s="5" t="s">
        <v>5187</v>
      </c>
      <c r="Q265" s="3" t="s">
        <v>2042</v>
      </c>
    </row>
    <row r="266" spans="1:17" ht="38" customHeight="1">
      <c r="A266" s="31">
        <v>44</v>
      </c>
      <c r="B266" s="40" t="s">
        <v>748</v>
      </c>
      <c r="C266" s="11" t="s">
        <v>747</v>
      </c>
      <c r="D266" s="11" t="s">
        <v>2398</v>
      </c>
      <c r="E266" s="28" t="s">
        <v>2399</v>
      </c>
      <c r="F266" s="11" t="s">
        <v>749</v>
      </c>
      <c r="G266" s="11" t="s">
        <v>670</v>
      </c>
      <c r="H266" s="43" t="s">
        <v>733</v>
      </c>
      <c r="I266" s="21">
        <v>20.939957700000001</v>
      </c>
      <c r="J266" s="21">
        <v>102.7594185</v>
      </c>
      <c r="K266" s="21" t="s">
        <v>2276</v>
      </c>
      <c r="L266" s="11">
        <v>2001</v>
      </c>
      <c r="M266" s="11">
        <v>2001</v>
      </c>
      <c r="N266" s="3" t="s">
        <v>2276</v>
      </c>
      <c r="O266" s="3" t="s">
        <v>183</v>
      </c>
      <c r="P266" s="5" t="s">
        <v>5187</v>
      </c>
      <c r="Q266" s="3"/>
    </row>
    <row r="267" spans="1:17" ht="40" customHeight="1">
      <c r="A267" s="31">
        <v>45</v>
      </c>
      <c r="B267" s="41" t="s">
        <v>766</v>
      </c>
      <c r="C267" s="11" t="s">
        <v>753</v>
      </c>
      <c r="D267" s="11" t="s">
        <v>2398</v>
      </c>
      <c r="E267" s="3" t="s">
        <v>2400</v>
      </c>
      <c r="F267" s="3" t="s">
        <v>758</v>
      </c>
      <c r="G267" s="3" t="s">
        <v>761</v>
      </c>
      <c r="H267" s="43" t="s">
        <v>733</v>
      </c>
      <c r="I267" s="21">
        <v>20.299527999999999</v>
      </c>
      <c r="J267" s="21">
        <v>104.0488866</v>
      </c>
      <c r="K267" s="21" t="s">
        <v>2276</v>
      </c>
      <c r="L267" s="3">
        <v>1999</v>
      </c>
      <c r="M267" s="3">
        <v>1999</v>
      </c>
      <c r="N267" s="3" t="s">
        <v>2276</v>
      </c>
      <c r="O267" s="3" t="s">
        <v>183</v>
      </c>
      <c r="P267" s="5" t="s">
        <v>5187</v>
      </c>
      <c r="Q267" s="3" t="s">
        <v>2045</v>
      </c>
    </row>
    <row r="268" spans="1:17" ht="42.5" customHeight="1">
      <c r="A268" s="31">
        <v>45</v>
      </c>
      <c r="B268" s="41" t="s">
        <v>766</v>
      </c>
      <c r="C268" s="11" t="s">
        <v>756</v>
      </c>
      <c r="D268" s="11" t="s">
        <v>2398</v>
      </c>
      <c r="E268" s="3" t="s">
        <v>2400</v>
      </c>
      <c r="F268" s="11" t="s">
        <v>759</v>
      </c>
      <c r="G268" s="3" t="s">
        <v>761</v>
      </c>
      <c r="H268" s="43" t="s">
        <v>733</v>
      </c>
      <c r="I268" s="21">
        <v>20.299527999999999</v>
      </c>
      <c r="J268" s="21">
        <v>104.0488866</v>
      </c>
      <c r="K268" s="21" t="s">
        <v>2276</v>
      </c>
      <c r="L268" s="3">
        <v>1999</v>
      </c>
      <c r="M268" s="3">
        <v>1999</v>
      </c>
      <c r="N268" s="3" t="s">
        <v>2276</v>
      </c>
      <c r="O268" s="3" t="s">
        <v>183</v>
      </c>
      <c r="P268" s="5" t="s">
        <v>5187</v>
      </c>
      <c r="Q268" s="3" t="s">
        <v>2045</v>
      </c>
    </row>
    <row r="269" spans="1:17" ht="45.5" customHeight="1">
      <c r="A269" s="31">
        <v>45</v>
      </c>
      <c r="B269" s="41" t="s">
        <v>766</v>
      </c>
      <c r="C269" s="11" t="s">
        <v>757</v>
      </c>
      <c r="D269" s="11" t="s">
        <v>2398</v>
      </c>
      <c r="E269" s="3" t="s">
        <v>2400</v>
      </c>
      <c r="F269" s="11" t="s">
        <v>760</v>
      </c>
      <c r="G269" s="3" t="s">
        <v>761</v>
      </c>
      <c r="H269" s="43" t="s">
        <v>733</v>
      </c>
      <c r="I269" s="21">
        <v>20.299527999999999</v>
      </c>
      <c r="J269" s="21">
        <v>104.0488866</v>
      </c>
      <c r="K269" s="21" t="s">
        <v>2276</v>
      </c>
      <c r="L269" s="3">
        <v>1999</v>
      </c>
      <c r="M269" s="3">
        <v>1999</v>
      </c>
      <c r="N269" s="3" t="s">
        <v>2276</v>
      </c>
      <c r="O269" s="3" t="s">
        <v>183</v>
      </c>
      <c r="P269" s="5" t="s">
        <v>5187</v>
      </c>
      <c r="Q269" s="3" t="s">
        <v>2045</v>
      </c>
    </row>
    <row r="270" spans="1:17" ht="42.5" customHeight="1">
      <c r="A270" s="31">
        <v>46</v>
      </c>
      <c r="B270" s="40" t="s">
        <v>767</v>
      </c>
      <c r="C270" s="11" t="s">
        <v>755</v>
      </c>
      <c r="D270" s="11" t="s">
        <v>2398</v>
      </c>
      <c r="E270" s="28" t="s">
        <v>2399</v>
      </c>
      <c r="F270" s="3" t="s">
        <v>768</v>
      </c>
      <c r="G270" s="3" t="s">
        <v>769</v>
      </c>
      <c r="H270" s="3" t="s">
        <v>770</v>
      </c>
      <c r="I270" s="21">
        <v>17.823548899999999</v>
      </c>
      <c r="J270" s="21">
        <v>-101.4426484</v>
      </c>
      <c r="K270" s="21">
        <v>45</v>
      </c>
      <c r="L270" s="23">
        <v>1990</v>
      </c>
      <c r="M270" s="23">
        <v>1994</v>
      </c>
      <c r="N270" s="3">
        <v>15</v>
      </c>
      <c r="O270" s="3" t="s">
        <v>183</v>
      </c>
      <c r="P270" s="5" t="s">
        <v>5187</v>
      </c>
      <c r="Q270" s="4" t="s">
        <v>2219</v>
      </c>
    </row>
    <row r="271" spans="1:17" ht="39" customHeight="1">
      <c r="A271" s="31">
        <v>47</v>
      </c>
      <c r="B271" s="40" t="s">
        <v>775</v>
      </c>
      <c r="C271" s="11" t="s">
        <v>773</v>
      </c>
      <c r="D271" s="11" t="s">
        <v>2398</v>
      </c>
      <c r="E271" s="28" t="s">
        <v>2399</v>
      </c>
      <c r="F271" s="11" t="s">
        <v>776</v>
      </c>
      <c r="G271" s="11" t="s">
        <v>777</v>
      </c>
      <c r="H271" s="3" t="s">
        <v>779</v>
      </c>
      <c r="I271" s="21">
        <v>22.647969499999999</v>
      </c>
      <c r="J271" s="21">
        <v>105.95001860000001</v>
      </c>
      <c r="K271" s="21" t="s">
        <v>2276</v>
      </c>
      <c r="L271" s="3">
        <v>1995</v>
      </c>
      <c r="M271" s="3">
        <v>1995</v>
      </c>
      <c r="N271" s="3">
        <v>72</v>
      </c>
      <c r="O271" s="3" t="s">
        <v>183</v>
      </c>
      <c r="P271" s="5" t="s">
        <v>5187</v>
      </c>
      <c r="Q271" s="3"/>
    </row>
    <row r="272" spans="1:17" ht="38" customHeight="1">
      <c r="A272" s="31">
        <v>47</v>
      </c>
      <c r="B272" s="40" t="s">
        <v>775</v>
      </c>
      <c r="C272" s="11" t="s">
        <v>774</v>
      </c>
      <c r="D272" s="11" t="s">
        <v>2398</v>
      </c>
      <c r="E272" s="28" t="s">
        <v>2399</v>
      </c>
      <c r="F272" s="11" t="s">
        <v>778</v>
      </c>
      <c r="G272" s="11" t="s">
        <v>777</v>
      </c>
      <c r="H272" s="3" t="s">
        <v>779</v>
      </c>
      <c r="I272" s="21">
        <v>22.431302599999999</v>
      </c>
      <c r="J272" s="21">
        <v>106.01732149999999</v>
      </c>
      <c r="K272" s="21" t="s">
        <v>2276</v>
      </c>
      <c r="L272" s="3">
        <v>1995</v>
      </c>
      <c r="M272" s="3">
        <v>1995</v>
      </c>
      <c r="N272" s="3">
        <v>72</v>
      </c>
      <c r="O272" s="3" t="s">
        <v>183</v>
      </c>
      <c r="P272" s="5" t="s">
        <v>5187</v>
      </c>
      <c r="Q272" s="3"/>
    </row>
    <row r="273" spans="1:17" ht="33" customHeight="1">
      <c r="A273" s="31">
        <v>48</v>
      </c>
      <c r="B273" s="40" t="s">
        <v>788</v>
      </c>
      <c r="C273" s="11" t="s">
        <v>784</v>
      </c>
      <c r="D273" s="11" t="s">
        <v>2398</v>
      </c>
      <c r="E273" s="28" t="s">
        <v>2399</v>
      </c>
      <c r="F273" s="11" t="s">
        <v>785</v>
      </c>
      <c r="G273" s="3" t="s">
        <v>1053</v>
      </c>
      <c r="H273" s="11" t="s">
        <v>786</v>
      </c>
      <c r="I273" s="21">
        <v>1.2029251999999999</v>
      </c>
      <c r="J273" s="21">
        <v>112.0567959</v>
      </c>
      <c r="K273" s="21" t="s">
        <v>2276</v>
      </c>
      <c r="L273" s="3">
        <v>1992</v>
      </c>
      <c r="M273" s="3">
        <v>1996</v>
      </c>
      <c r="N273" s="3" t="s">
        <v>2276</v>
      </c>
      <c r="O273" s="3" t="s">
        <v>183</v>
      </c>
      <c r="P273" s="5" t="s">
        <v>5187</v>
      </c>
      <c r="Q273" s="3"/>
    </row>
    <row r="274" spans="1:17" ht="36.5" customHeight="1">
      <c r="A274" s="31">
        <v>48</v>
      </c>
      <c r="B274" s="40" t="s">
        <v>788</v>
      </c>
      <c r="C274" s="3" t="s">
        <v>789</v>
      </c>
      <c r="D274" s="11" t="s">
        <v>2398</v>
      </c>
      <c r="E274" s="28" t="s">
        <v>2399</v>
      </c>
      <c r="F274" s="11" t="s">
        <v>787</v>
      </c>
      <c r="G274" s="3" t="s">
        <v>1053</v>
      </c>
      <c r="H274" s="11" t="s">
        <v>786</v>
      </c>
      <c r="I274" s="21">
        <v>1.1331169999999999</v>
      </c>
      <c r="J274" s="21">
        <v>111.6519503</v>
      </c>
      <c r="K274" s="21" t="s">
        <v>2276</v>
      </c>
      <c r="L274" s="3">
        <v>1995</v>
      </c>
      <c r="M274" s="3">
        <v>1996</v>
      </c>
      <c r="N274" s="3" t="s">
        <v>2276</v>
      </c>
      <c r="O274" s="3" t="s">
        <v>183</v>
      </c>
      <c r="P274" s="5" t="s">
        <v>5187</v>
      </c>
      <c r="Q274" s="3"/>
    </row>
    <row r="275" spans="1:17" ht="67" customHeight="1">
      <c r="A275" s="31">
        <v>49</v>
      </c>
      <c r="B275" s="40" t="s">
        <v>803</v>
      </c>
      <c r="C275" s="11" t="s">
        <v>797</v>
      </c>
      <c r="D275" s="11" t="s">
        <v>2398</v>
      </c>
      <c r="E275" s="28" t="s">
        <v>2399</v>
      </c>
      <c r="F275" s="3" t="s">
        <v>804</v>
      </c>
      <c r="G275" s="3" t="s">
        <v>809</v>
      </c>
      <c r="H275" s="11" t="s">
        <v>786</v>
      </c>
      <c r="I275" s="21">
        <v>5.8859678999999998</v>
      </c>
      <c r="J275" s="21">
        <v>116.231697</v>
      </c>
      <c r="K275" s="21" t="s">
        <v>2276</v>
      </c>
      <c r="L275" s="3">
        <v>1995</v>
      </c>
      <c r="M275" s="3">
        <v>1995</v>
      </c>
      <c r="N275" s="3" t="s">
        <v>2276</v>
      </c>
      <c r="O275" s="3" t="s">
        <v>183</v>
      </c>
      <c r="P275" s="5" t="s">
        <v>5187</v>
      </c>
      <c r="Q275" s="4" t="s">
        <v>2054</v>
      </c>
    </row>
    <row r="276" spans="1:17" ht="62" customHeight="1">
      <c r="A276" s="31">
        <v>49</v>
      </c>
      <c r="B276" s="40" t="s">
        <v>803</v>
      </c>
      <c r="C276" s="11" t="s">
        <v>798</v>
      </c>
      <c r="D276" s="11" t="s">
        <v>2398</v>
      </c>
      <c r="E276" s="28" t="s">
        <v>2399</v>
      </c>
      <c r="F276" s="3" t="s">
        <v>805</v>
      </c>
      <c r="G276" s="3" t="s">
        <v>809</v>
      </c>
      <c r="H276" s="11" t="s">
        <v>786</v>
      </c>
      <c r="I276" s="21">
        <v>5.8859678999999998</v>
      </c>
      <c r="J276" s="21">
        <v>116.231697</v>
      </c>
      <c r="K276" s="21" t="s">
        <v>2276</v>
      </c>
      <c r="L276" s="3">
        <v>1995</v>
      </c>
      <c r="M276" s="3">
        <v>1995</v>
      </c>
      <c r="N276" s="3" t="s">
        <v>2276</v>
      </c>
      <c r="O276" s="3" t="s">
        <v>183</v>
      </c>
      <c r="P276" s="5" t="s">
        <v>5187</v>
      </c>
      <c r="Q276" s="4" t="s">
        <v>2052</v>
      </c>
    </row>
    <row r="277" spans="1:17" ht="62.5" customHeight="1">
      <c r="A277" s="31">
        <v>49</v>
      </c>
      <c r="B277" s="40" t="s">
        <v>803</v>
      </c>
      <c r="C277" s="11" t="s">
        <v>799</v>
      </c>
      <c r="D277" s="11" t="s">
        <v>2398</v>
      </c>
      <c r="E277" s="28" t="s">
        <v>2399</v>
      </c>
      <c r="F277" s="3" t="s">
        <v>806</v>
      </c>
      <c r="G277" s="3" t="s">
        <v>809</v>
      </c>
      <c r="H277" s="11" t="s">
        <v>786</v>
      </c>
      <c r="I277" s="21">
        <v>5.8859678999999998</v>
      </c>
      <c r="J277" s="21">
        <v>116.231697</v>
      </c>
      <c r="K277" s="21" t="s">
        <v>2276</v>
      </c>
      <c r="L277" s="3">
        <v>1995</v>
      </c>
      <c r="M277" s="3">
        <v>1995</v>
      </c>
      <c r="N277" s="3" t="s">
        <v>2276</v>
      </c>
      <c r="O277" s="3" t="s">
        <v>183</v>
      </c>
      <c r="P277" s="5" t="s">
        <v>5187</v>
      </c>
      <c r="Q277" s="4" t="s">
        <v>2052</v>
      </c>
    </row>
    <row r="278" spans="1:17" ht="59.5" customHeight="1">
      <c r="A278" s="31">
        <v>49</v>
      </c>
      <c r="B278" s="40" t="s">
        <v>803</v>
      </c>
      <c r="C278" s="11" t="s">
        <v>800</v>
      </c>
      <c r="D278" s="11" t="s">
        <v>2398</v>
      </c>
      <c r="E278" s="28" t="s">
        <v>2399</v>
      </c>
      <c r="F278" s="3" t="s">
        <v>2053</v>
      </c>
      <c r="G278" s="3" t="s">
        <v>809</v>
      </c>
      <c r="H278" s="11" t="s">
        <v>786</v>
      </c>
      <c r="I278" s="21">
        <v>5.8859678999999998</v>
      </c>
      <c r="J278" s="21">
        <v>116.231697</v>
      </c>
      <c r="K278" s="21" t="s">
        <v>2276</v>
      </c>
      <c r="L278" s="3">
        <v>1995</v>
      </c>
      <c r="M278" s="3">
        <v>1995</v>
      </c>
      <c r="N278" s="3" t="s">
        <v>2276</v>
      </c>
      <c r="O278" s="3" t="s">
        <v>183</v>
      </c>
      <c r="P278" s="5" t="s">
        <v>5187</v>
      </c>
      <c r="Q278" s="4" t="s">
        <v>2052</v>
      </c>
    </row>
    <row r="279" spans="1:17" ht="61.5" customHeight="1">
      <c r="A279" s="31">
        <v>49</v>
      </c>
      <c r="B279" s="40" t="s">
        <v>803</v>
      </c>
      <c r="C279" s="11" t="s">
        <v>801</v>
      </c>
      <c r="D279" s="11" t="s">
        <v>2398</v>
      </c>
      <c r="E279" s="28" t="s">
        <v>2399</v>
      </c>
      <c r="F279" s="3" t="s">
        <v>807</v>
      </c>
      <c r="G279" s="3" t="s">
        <v>809</v>
      </c>
      <c r="H279" s="11" t="s">
        <v>786</v>
      </c>
      <c r="I279" s="21">
        <v>5.8859678999999998</v>
      </c>
      <c r="J279" s="21">
        <v>116.231697</v>
      </c>
      <c r="K279" s="21" t="s">
        <v>2276</v>
      </c>
      <c r="L279" s="3">
        <v>1995</v>
      </c>
      <c r="M279" s="3">
        <v>1995</v>
      </c>
      <c r="N279" s="3" t="s">
        <v>2276</v>
      </c>
      <c r="O279" s="3" t="s">
        <v>183</v>
      </c>
      <c r="P279" s="5" t="s">
        <v>5187</v>
      </c>
      <c r="Q279" s="4" t="s">
        <v>2052</v>
      </c>
    </row>
    <row r="280" spans="1:17" ht="66" customHeight="1">
      <c r="A280" s="31">
        <v>49</v>
      </c>
      <c r="B280" s="40" t="s">
        <v>803</v>
      </c>
      <c r="C280" s="11" t="s">
        <v>802</v>
      </c>
      <c r="D280" s="11" t="s">
        <v>2398</v>
      </c>
      <c r="E280" s="28" t="s">
        <v>2399</v>
      </c>
      <c r="F280" s="3" t="s">
        <v>808</v>
      </c>
      <c r="G280" s="3" t="s">
        <v>809</v>
      </c>
      <c r="H280" s="11" t="s">
        <v>786</v>
      </c>
      <c r="I280" s="21">
        <v>5.8859678999999998</v>
      </c>
      <c r="J280" s="21">
        <v>116.231697</v>
      </c>
      <c r="K280" s="21" t="s">
        <v>2276</v>
      </c>
      <c r="L280" s="3">
        <v>1995</v>
      </c>
      <c r="M280" s="3">
        <v>1995</v>
      </c>
      <c r="N280" s="3" t="s">
        <v>2276</v>
      </c>
      <c r="O280" s="3" t="s">
        <v>183</v>
      </c>
      <c r="P280" s="5" t="s">
        <v>5187</v>
      </c>
      <c r="Q280" s="4" t="s">
        <v>2052</v>
      </c>
    </row>
    <row r="281" spans="1:17" ht="40.5" customHeight="1">
      <c r="A281" s="31">
        <v>50</v>
      </c>
      <c r="B281" s="41" t="s">
        <v>818</v>
      </c>
      <c r="C281" s="11" t="s">
        <v>817</v>
      </c>
      <c r="D281" s="11" t="s">
        <v>2398</v>
      </c>
      <c r="E281" s="28" t="s">
        <v>2399</v>
      </c>
      <c r="F281" s="3" t="s">
        <v>819</v>
      </c>
      <c r="G281" s="3" t="s">
        <v>809</v>
      </c>
      <c r="H281" s="3" t="s">
        <v>786</v>
      </c>
      <c r="I281" s="21">
        <v>5.8859678999999998</v>
      </c>
      <c r="J281" s="21">
        <v>116.231697</v>
      </c>
      <c r="K281" s="21" t="s">
        <v>2276</v>
      </c>
      <c r="L281" s="3">
        <v>1965</v>
      </c>
      <c r="M281" s="3">
        <v>1965</v>
      </c>
      <c r="N281" s="3" t="s">
        <v>2276</v>
      </c>
      <c r="O281" s="3" t="s">
        <v>183</v>
      </c>
      <c r="P281" s="5" t="s">
        <v>5187</v>
      </c>
      <c r="Q281" s="4" t="s">
        <v>2060</v>
      </c>
    </row>
    <row r="282" spans="1:17" ht="28.5" customHeight="1">
      <c r="A282" s="31">
        <v>51</v>
      </c>
      <c r="B282" s="40" t="s">
        <v>821</v>
      </c>
      <c r="C282" s="11" t="s">
        <v>824</v>
      </c>
      <c r="D282" s="11" t="s">
        <v>2398</v>
      </c>
      <c r="E282" s="28" t="s">
        <v>2399</v>
      </c>
      <c r="F282" s="11" t="s">
        <v>822</v>
      </c>
      <c r="G282" s="3" t="s">
        <v>2276</v>
      </c>
      <c r="H282" s="11" t="s">
        <v>823</v>
      </c>
      <c r="I282" s="21">
        <v>15.1933358</v>
      </c>
      <c r="J282" s="21">
        <v>-84.602742500000005</v>
      </c>
      <c r="K282" s="21">
        <v>81.58</v>
      </c>
      <c r="L282" s="3">
        <v>2000</v>
      </c>
      <c r="M282" s="3">
        <v>2001</v>
      </c>
      <c r="N282" s="3" t="s">
        <v>2276</v>
      </c>
      <c r="O282" s="3" t="s">
        <v>183</v>
      </c>
      <c r="P282" s="5" t="s">
        <v>5187</v>
      </c>
      <c r="Q282" s="3" t="s">
        <v>2061</v>
      </c>
    </row>
    <row r="283" spans="1:17" ht="54.5" customHeight="1">
      <c r="A283" s="31">
        <v>52</v>
      </c>
      <c r="B283" s="40" t="s">
        <v>829</v>
      </c>
      <c r="C283" s="11" t="s">
        <v>828</v>
      </c>
      <c r="D283" s="11" t="s">
        <v>2398</v>
      </c>
      <c r="E283" s="28" t="s">
        <v>2399</v>
      </c>
      <c r="F283" s="64" t="s">
        <v>830</v>
      </c>
      <c r="G283" s="11" t="s">
        <v>831</v>
      </c>
      <c r="H283" s="11" t="s">
        <v>770</v>
      </c>
      <c r="I283" s="21">
        <v>20.492525700000002</v>
      </c>
      <c r="J283" s="21">
        <v>-89.070106699999997</v>
      </c>
      <c r="K283" s="21" t="s">
        <v>2276</v>
      </c>
      <c r="L283" s="11">
        <v>1995</v>
      </c>
      <c r="M283" s="11">
        <v>1995</v>
      </c>
      <c r="N283" s="3" t="s">
        <v>2276</v>
      </c>
      <c r="O283" s="3" t="s">
        <v>183</v>
      </c>
      <c r="P283" s="5" t="s">
        <v>5187</v>
      </c>
      <c r="Q283" s="4" t="s">
        <v>2065</v>
      </c>
    </row>
    <row r="284" spans="1:17" ht="34.5" customHeight="1">
      <c r="A284" s="31">
        <v>53</v>
      </c>
      <c r="B284" s="41" t="s">
        <v>837</v>
      </c>
      <c r="C284" s="11" t="s">
        <v>836</v>
      </c>
      <c r="D284" s="11" t="s">
        <v>2398</v>
      </c>
      <c r="E284" s="28" t="s">
        <v>2399</v>
      </c>
      <c r="F284" s="3" t="s">
        <v>838</v>
      </c>
      <c r="G284" s="3" t="s">
        <v>831</v>
      </c>
      <c r="H284" s="11" t="s">
        <v>770</v>
      </c>
      <c r="I284" s="21">
        <v>20.483878499999999</v>
      </c>
      <c r="J284" s="21">
        <v>-88.778742100000002</v>
      </c>
      <c r="K284" s="21" t="s">
        <v>2276</v>
      </c>
      <c r="L284" s="3">
        <v>1990</v>
      </c>
      <c r="M284" s="3">
        <v>1990</v>
      </c>
      <c r="N284" s="3" t="s">
        <v>2276</v>
      </c>
      <c r="O284" s="3" t="s">
        <v>183</v>
      </c>
      <c r="P284" s="5" t="s">
        <v>5187</v>
      </c>
      <c r="Q284" s="3" t="s">
        <v>2032</v>
      </c>
    </row>
    <row r="285" spans="1:17" ht="34" customHeight="1">
      <c r="A285" s="31">
        <v>54</v>
      </c>
      <c r="B285" s="40" t="s">
        <v>842</v>
      </c>
      <c r="C285" s="11" t="s">
        <v>840</v>
      </c>
      <c r="D285" s="11" t="s">
        <v>2398</v>
      </c>
      <c r="E285" s="11" t="s">
        <v>2400</v>
      </c>
      <c r="F285" s="3" t="s">
        <v>848</v>
      </c>
      <c r="G285" s="3" t="s">
        <v>841</v>
      </c>
      <c r="H285" s="11" t="s">
        <v>770</v>
      </c>
      <c r="I285" s="21">
        <v>20.100000000000001</v>
      </c>
      <c r="J285" s="21">
        <v>-88.87</v>
      </c>
      <c r="K285" s="21" t="s">
        <v>2276</v>
      </c>
      <c r="L285" s="3">
        <v>1988</v>
      </c>
      <c r="M285" s="3">
        <v>1988</v>
      </c>
      <c r="N285" s="3" t="s">
        <v>2276</v>
      </c>
      <c r="O285" s="3" t="s">
        <v>183</v>
      </c>
      <c r="P285" s="5" t="s">
        <v>5187</v>
      </c>
      <c r="Q285" s="3"/>
    </row>
    <row r="286" spans="1:17" ht="36.5" customHeight="1">
      <c r="A286" s="31">
        <v>54</v>
      </c>
      <c r="B286" s="40" t="s">
        <v>842</v>
      </c>
      <c r="C286" s="11" t="s">
        <v>843</v>
      </c>
      <c r="D286" s="11" t="s">
        <v>2398</v>
      </c>
      <c r="E286" s="11" t="s">
        <v>2400</v>
      </c>
      <c r="F286" s="3" t="s">
        <v>849</v>
      </c>
      <c r="G286" s="3" t="s">
        <v>841</v>
      </c>
      <c r="H286" s="11" t="s">
        <v>770</v>
      </c>
      <c r="I286" s="21">
        <v>20.166667</v>
      </c>
      <c r="J286" s="21">
        <v>-88.83</v>
      </c>
      <c r="K286" s="21" t="s">
        <v>2276</v>
      </c>
      <c r="L286" s="3">
        <v>1988</v>
      </c>
      <c r="M286" s="3">
        <v>1988</v>
      </c>
      <c r="N286" s="3" t="s">
        <v>2276</v>
      </c>
      <c r="O286" s="3" t="s">
        <v>183</v>
      </c>
      <c r="P286" s="5" t="s">
        <v>5187</v>
      </c>
      <c r="Q286" s="3"/>
    </row>
    <row r="287" spans="1:17" ht="41" customHeight="1">
      <c r="A287" s="31">
        <v>54</v>
      </c>
      <c r="B287" s="40" t="s">
        <v>842</v>
      </c>
      <c r="C287" s="11" t="s">
        <v>844</v>
      </c>
      <c r="D287" s="11" t="s">
        <v>2398</v>
      </c>
      <c r="E287" s="11" t="s">
        <v>2400</v>
      </c>
      <c r="F287" s="3" t="s">
        <v>848</v>
      </c>
      <c r="G287" s="3" t="s">
        <v>841</v>
      </c>
      <c r="H287" s="11" t="s">
        <v>770</v>
      </c>
      <c r="I287" s="21">
        <v>20.100000000000001</v>
      </c>
      <c r="J287" s="21">
        <v>-88.87</v>
      </c>
      <c r="K287" s="21" t="s">
        <v>2276</v>
      </c>
      <c r="L287" s="11">
        <v>1994</v>
      </c>
      <c r="M287" s="11">
        <v>1994</v>
      </c>
      <c r="N287" s="3" t="s">
        <v>2276</v>
      </c>
      <c r="O287" s="3" t="s">
        <v>183</v>
      </c>
      <c r="P287" s="5" t="s">
        <v>5187</v>
      </c>
      <c r="Q287" s="3"/>
    </row>
    <row r="288" spans="1:17" ht="44.5" customHeight="1">
      <c r="A288" s="31">
        <v>54</v>
      </c>
      <c r="B288" s="40" t="s">
        <v>842</v>
      </c>
      <c r="C288" s="11" t="s">
        <v>845</v>
      </c>
      <c r="D288" s="11" t="s">
        <v>2398</v>
      </c>
      <c r="E288" s="11" t="s">
        <v>2400</v>
      </c>
      <c r="F288" s="3" t="s">
        <v>849</v>
      </c>
      <c r="G288" s="3" t="s">
        <v>841</v>
      </c>
      <c r="H288" s="11" t="s">
        <v>770</v>
      </c>
      <c r="I288" s="21">
        <v>20.166667</v>
      </c>
      <c r="J288" s="21">
        <v>-88.83</v>
      </c>
      <c r="K288" s="21" t="s">
        <v>2276</v>
      </c>
      <c r="L288" s="11">
        <v>1994</v>
      </c>
      <c r="M288" s="11">
        <v>1994</v>
      </c>
      <c r="N288" s="3" t="s">
        <v>2276</v>
      </c>
      <c r="O288" s="3" t="s">
        <v>183</v>
      </c>
      <c r="P288" s="5" t="s">
        <v>5187</v>
      </c>
      <c r="Q288" s="3"/>
    </row>
    <row r="289" spans="1:17" ht="43.5" customHeight="1">
      <c r="A289" s="31">
        <v>54</v>
      </c>
      <c r="B289" s="40" t="s">
        <v>842</v>
      </c>
      <c r="C289" s="11" t="s">
        <v>846</v>
      </c>
      <c r="D289" s="11" t="s">
        <v>2398</v>
      </c>
      <c r="E289" s="11" t="s">
        <v>2400</v>
      </c>
      <c r="F289" s="3" t="s">
        <v>848</v>
      </c>
      <c r="G289" s="3" t="s">
        <v>841</v>
      </c>
      <c r="H289" s="11" t="s">
        <v>770</v>
      </c>
      <c r="I289" s="21">
        <v>20.100000000000001</v>
      </c>
      <c r="J289" s="21">
        <v>-88.87</v>
      </c>
      <c r="K289" s="21" t="s">
        <v>2276</v>
      </c>
      <c r="L289" s="11">
        <v>2001</v>
      </c>
      <c r="M289" s="11">
        <v>2001</v>
      </c>
      <c r="N289" s="3" t="s">
        <v>2276</v>
      </c>
      <c r="O289" s="3" t="s">
        <v>183</v>
      </c>
      <c r="P289" s="5" t="s">
        <v>5187</v>
      </c>
      <c r="Q289" s="4" t="s">
        <v>2067</v>
      </c>
    </row>
    <row r="290" spans="1:17" ht="38" customHeight="1">
      <c r="A290" s="31">
        <v>54</v>
      </c>
      <c r="B290" s="40" t="s">
        <v>842</v>
      </c>
      <c r="C290" s="11" t="s">
        <v>847</v>
      </c>
      <c r="D290" s="11" t="s">
        <v>2398</v>
      </c>
      <c r="E290" s="11" t="s">
        <v>2400</v>
      </c>
      <c r="F290" s="3" t="s">
        <v>849</v>
      </c>
      <c r="G290" s="3" t="s">
        <v>841</v>
      </c>
      <c r="H290" s="11" t="s">
        <v>770</v>
      </c>
      <c r="I290" s="21">
        <v>20.166667</v>
      </c>
      <c r="J290" s="21">
        <v>-88.83</v>
      </c>
      <c r="K290" s="21" t="s">
        <v>2276</v>
      </c>
      <c r="L290" s="11">
        <v>2001</v>
      </c>
      <c r="M290" s="11">
        <v>2001</v>
      </c>
      <c r="N290" s="3" t="s">
        <v>2276</v>
      </c>
      <c r="O290" s="3" t="s">
        <v>183</v>
      </c>
      <c r="P290" s="5" t="s">
        <v>5187</v>
      </c>
      <c r="Q290" s="4" t="s">
        <v>2067</v>
      </c>
    </row>
    <row r="291" spans="1:17" ht="34.5" customHeight="1">
      <c r="A291" s="31">
        <v>55</v>
      </c>
      <c r="B291" s="40" t="s">
        <v>858</v>
      </c>
      <c r="C291" s="11" t="s">
        <v>862</v>
      </c>
      <c r="D291" s="11" t="s">
        <v>2398</v>
      </c>
      <c r="E291" s="3" t="s">
        <v>2399</v>
      </c>
      <c r="F291" s="3" t="s">
        <v>859</v>
      </c>
      <c r="G291" s="3" t="s">
        <v>860</v>
      </c>
      <c r="H291" s="3" t="s">
        <v>385</v>
      </c>
      <c r="I291" s="21">
        <v>-5.0809839999999999</v>
      </c>
      <c r="J291" s="21">
        <v>32.073554999999999</v>
      </c>
      <c r="K291" s="21" t="s">
        <v>2276</v>
      </c>
      <c r="L291" s="3">
        <v>2001</v>
      </c>
      <c r="M291" s="3">
        <v>2001</v>
      </c>
      <c r="N291" s="3">
        <v>12</v>
      </c>
      <c r="O291" s="4" t="s">
        <v>861</v>
      </c>
      <c r="P291" s="5" t="s">
        <v>5187</v>
      </c>
      <c r="Q291" s="3"/>
    </row>
    <row r="292" spans="1:17" ht="34.5" customHeight="1">
      <c r="A292" s="31">
        <v>56</v>
      </c>
      <c r="B292" s="40" t="s">
        <v>870</v>
      </c>
      <c r="C292" s="11" t="s">
        <v>869</v>
      </c>
      <c r="D292" s="11" t="s">
        <v>2398</v>
      </c>
      <c r="E292" s="19" t="s">
        <v>2420</v>
      </c>
      <c r="F292" s="11" t="s">
        <v>871</v>
      </c>
      <c r="G292" s="11" t="s">
        <v>872</v>
      </c>
      <c r="H292" s="11" t="s">
        <v>422</v>
      </c>
      <c r="I292" s="21">
        <v>-11.492426116531</v>
      </c>
      <c r="J292" s="21">
        <v>31.285913680023501</v>
      </c>
      <c r="K292" s="21">
        <v>122.1</v>
      </c>
      <c r="L292" s="3">
        <v>2001</v>
      </c>
      <c r="M292" s="3">
        <v>2001</v>
      </c>
      <c r="N292" s="3">
        <v>6.18</v>
      </c>
      <c r="O292" s="3" t="s">
        <v>183</v>
      </c>
      <c r="P292" s="5" t="s">
        <v>5187</v>
      </c>
      <c r="Q292" s="3" t="s">
        <v>2061</v>
      </c>
    </row>
    <row r="293" spans="1:17" ht="34.5" customHeight="1">
      <c r="A293" s="31">
        <v>56</v>
      </c>
      <c r="B293" s="40" t="s">
        <v>870</v>
      </c>
      <c r="C293" s="35" t="s">
        <v>2072</v>
      </c>
      <c r="D293" s="11" t="s">
        <v>2398</v>
      </c>
      <c r="E293" s="19" t="s">
        <v>2420</v>
      </c>
      <c r="F293" s="11" t="s">
        <v>871</v>
      </c>
      <c r="G293" s="11" t="s">
        <v>872</v>
      </c>
      <c r="H293" s="11" t="s">
        <v>422</v>
      </c>
      <c r="I293" s="21">
        <v>-11.509104311079501</v>
      </c>
      <c r="J293" s="21">
        <v>31.3015686574665</v>
      </c>
      <c r="K293" s="21">
        <v>31.9</v>
      </c>
      <c r="L293" s="3">
        <v>2001</v>
      </c>
      <c r="M293" s="3">
        <v>2001</v>
      </c>
      <c r="N293" s="3">
        <v>16.75</v>
      </c>
      <c r="O293" s="3" t="s">
        <v>183</v>
      </c>
      <c r="P293" s="5" t="s">
        <v>5187</v>
      </c>
      <c r="Q293" s="3" t="s">
        <v>2061</v>
      </c>
    </row>
    <row r="294" spans="1:17" ht="34.5" customHeight="1">
      <c r="A294" s="31">
        <v>56</v>
      </c>
      <c r="B294" s="40" t="s">
        <v>870</v>
      </c>
      <c r="C294" s="35" t="s">
        <v>2073</v>
      </c>
      <c r="D294" s="11" t="s">
        <v>2398</v>
      </c>
      <c r="E294" s="19" t="s">
        <v>2420</v>
      </c>
      <c r="F294" s="11" t="s">
        <v>871</v>
      </c>
      <c r="G294" s="11" t="s">
        <v>872</v>
      </c>
      <c r="H294" s="11" t="s">
        <v>422</v>
      </c>
      <c r="I294" s="21">
        <v>-11.5171857028981</v>
      </c>
      <c r="J294" s="21">
        <v>31.326802515288598</v>
      </c>
      <c r="K294" s="21">
        <v>171.5</v>
      </c>
      <c r="L294" s="3">
        <v>2001</v>
      </c>
      <c r="M294" s="3">
        <v>2001</v>
      </c>
      <c r="N294" s="3">
        <v>4.76</v>
      </c>
      <c r="O294" s="3" t="s">
        <v>183</v>
      </c>
      <c r="P294" s="5" t="s">
        <v>5187</v>
      </c>
      <c r="Q294" s="3" t="s">
        <v>2061</v>
      </c>
    </row>
    <row r="295" spans="1:17" ht="34.5" customHeight="1">
      <c r="A295" s="31">
        <v>56</v>
      </c>
      <c r="B295" s="40" t="s">
        <v>870</v>
      </c>
      <c r="C295" s="35" t="s">
        <v>2074</v>
      </c>
      <c r="D295" s="11" t="s">
        <v>2398</v>
      </c>
      <c r="E295" s="19" t="s">
        <v>2420</v>
      </c>
      <c r="F295" s="11" t="s">
        <v>871</v>
      </c>
      <c r="G295" s="11" t="s">
        <v>872</v>
      </c>
      <c r="H295" s="11" t="s">
        <v>422</v>
      </c>
      <c r="I295" s="21">
        <v>-11.5178724717953</v>
      </c>
      <c r="J295" s="21">
        <v>31.284374343124099</v>
      </c>
      <c r="K295" s="21">
        <v>96.5</v>
      </c>
      <c r="L295" s="3">
        <v>2001</v>
      </c>
      <c r="M295" s="3">
        <v>2001</v>
      </c>
      <c r="N295" s="3">
        <v>3.12</v>
      </c>
      <c r="O295" s="3" t="s">
        <v>183</v>
      </c>
      <c r="P295" s="5" t="s">
        <v>5187</v>
      </c>
      <c r="Q295" s="3" t="s">
        <v>2061</v>
      </c>
    </row>
    <row r="296" spans="1:17" ht="34.5" customHeight="1">
      <c r="A296" s="31">
        <v>56</v>
      </c>
      <c r="B296" s="40" t="s">
        <v>870</v>
      </c>
      <c r="C296" s="35" t="s">
        <v>2075</v>
      </c>
      <c r="D296" s="11" t="s">
        <v>2398</v>
      </c>
      <c r="E296" s="19" t="s">
        <v>2420</v>
      </c>
      <c r="F296" s="11" t="s">
        <v>871</v>
      </c>
      <c r="G296" s="11" t="s">
        <v>872</v>
      </c>
      <c r="H296" s="11" t="s">
        <v>422</v>
      </c>
      <c r="I296" s="21">
        <v>-11.5365833543825</v>
      </c>
      <c r="J296" s="21">
        <v>31.226744079397601</v>
      </c>
      <c r="K296" s="21">
        <v>391.5</v>
      </c>
      <c r="L296" s="3">
        <v>2001</v>
      </c>
      <c r="M296" s="3">
        <v>2001</v>
      </c>
      <c r="N296" s="3">
        <v>1.97</v>
      </c>
      <c r="O296" s="3" t="s">
        <v>183</v>
      </c>
      <c r="P296" s="5" t="s">
        <v>5187</v>
      </c>
      <c r="Q296" s="3" t="s">
        <v>2061</v>
      </c>
    </row>
    <row r="297" spans="1:17" ht="34.5" customHeight="1">
      <c r="A297" s="31">
        <v>56</v>
      </c>
      <c r="B297" s="40" t="s">
        <v>870</v>
      </c>
      <c r="C297" s="35" t="s">
        <v>2076</v>
      </c>
      <c r="D297" s="11" t="s">
        <v>2398</v>
      </c>
      <c r="E297" s="19" t="s">
        <v>2420</v>
      </c>
      <c r="F297" s="11" t="s">
        <v>871</v>
      </c>
      <c r="G297" s="11" t="s">
        <v>872</v>
      </c>
      <c r="H297" s="11" t="s">
        <v>422</v>
      </c>
      <c r="I297" s="21">
        <v>-11.567591538915901</v>
      </c>
      <c r="J297" s="21">
        <v>31.2459202094348</v>
      </c>
      <c r="K297" s="21">
        <v>223.8</v>
      </c>
      <c r="L297" s="3">
        <v>2001</v>
      </c>
      <c r="M297" s="3">
        <v>2001</v>
      </c>
      <c r="N297" s="3">
        <v>2.2200000000000002</v>
      </c>
      <c r="O297" s="3" t="s">
        <v>183</v>
      </c>
      <c r="P297" s="5" t="s">
        <v>5187</v>
      </c>
      <c r="Q297" s="3" t="s">
        <v>2061</v>
      </c>
    </row>
    <row r="298" spans="1:17" ht="34.5" customHeight="1">
      <c r="A298" s="31">
        <v>56</v>
      </c>
      <c r="B298" s="40" t="s">
        <v>870</v>
      </c>
      <c r="C298" s="35" t="s">
        <v>2077</v>
      </c>
      <c r="D298" s="11" t="s">
        <v>2398</v>
      </c>
      <c r="E298" s="19" t="s">
        <v>2420</v>
      </c>
      <c r="F298" s="11" t="s">
        <v>871</v>
      </c>
      <c r="G298" s="11" t="s">
        <v>872</v>
      </c>
      <c r="H298" s="11" t="s">
        <v>422</v>
      </c>
      <c r="I298" s="21">
        <v>-11.6107035790767</v>
      </c>
      <c r="J298" s="21">
        <v>31.276519647301399</v>
      </c>
      <c r="K298" s="21">
        <v>60.3</v>
      </c>
      <c r="L298" s="3">
        <v>2001</v>
      </c>
      <c r="M298" s="3">
        <v>2001</v>
      </c>
      <c r="N298" s="3">
        <v>7.66</v>
      </c>
      <c r="O298" s="3" t="s">
        <v>183</v>
      </c>
      <c r="P298" s="5" t="s">
        <v>5187</v>
      </c>
      <c r="Q298" s="3" t="s">
        <v>2061</v>
      </c>
    </row>
    <row r="299" spans="1:17" ht="34.5" customHeight="1">
      <c r="A299" s="31">
        <v>56</v>
      </c>
      <c r="B299" s="40" t="s">
        <v>870</v>
      </c>
      <c r="C299" s="35" t="s">
        <v>2078</v>
      </c>
      <c r="D299" s="11" t="s">
        <v>2398</v>
      </c>
      <c r="E299" s="19" t="s">
        <v>2420</v>
      </c>
      <c r="F299" s="11" t="s">
        <v>871</v>
      </c>
      <c r="G299" s="11" t="s">
        <v>872</v>
      </c>
      <c r="H299" s="11" t="s">
        <v>422</v>
      </c>
      <c r="I299" s="21">
        <v>-11.6314245859738</v>
      </c>
      <c r="J299" s="21">
        <v>31.1827076866306</v>
      </c>
      <c r="K299" s="21">
        <v>127.5</v>
      </c>
      <c r="L299" s="3">
        <v>2001</v>
      </c>
      <c r="M299" s="3">
        <v>2001</v>
      </c>
      <c r="N299" s="3">
        <v>4.1399999999999997</v>
      </c>
      <c r="O299" s="3" t="s">
        <v>183</v>
      </c>
      <c r="P299" s="5" t="s">
        <v>5187</v>
      </c>
      <c r="Q299" s="3" t="s">
        <v>2061</v>
      </c>
    </row>
    <row r="300" spans="1:17" ht="34.5" customHeight="1">
      <c r="A300" s="31">
        <v>56</v>
      </c>
      <c r="B300" s="40" t="s">
        <v>870</v>
      </c>
      <c r="C300" s="35" t="s">
        <v>2079</v>
      </c>
      <c r="D300" s="11" t="s">
        <v>2398</v>
      </c>
      <c r="E300" s="19" t="s">
        <v>2420</v>
      </c>
      <c r="F300" s="11" t="s">
        <v>871</v>
      </c>
      <c r="G300" s="11" t="s">
        <v>872</v>
      </c>
      <c r="H300" s="11" t="s">
        <v>422</v>
      </c>
      <c r="I300" s="21">
        <v>-11.6412059683904</v>
      </c>
      <c r="J300" s="21">
        <v>31.276438086716698</v>
      </c>
      <c r="K300" s="21">
        <v>97.7</v>
      </c>
      <c r="L300" s="3">
        <v>2001</v>
      </c>
      <c r="M300" s="3">
        <v>2001</v>
      </c>
      <c r="N300" s="3">
        <v>5.95</v>
      </c>
      <c r="O300" s="3" t="s">
        <v>183</v>
      </c>
      <c r="P300" s="5" t="s">
        <v>5187</v>
      </c>
      <c r="Q300" s="3" t="s">
        <v>2061</v>
      </c>
    </row>
    <row r="301" spans="1:17" ht="34.5" customHeight="1">
      <c r="A301" s="31">
        <v>56</v>
      </c>
      <c r="B301" s="40" t="s">
        <v>870</v>
      </c>
      <c r="C301" s="35" t="s">
        <v>2080</v>
      </c>
      <c r="D301" s="11" t="s">
        <v>2398</v>
      </c>
      <c r="E301" s="19" t="s">
        <v>2420</v>
      </c>
      <c r="F301" s="11" t="s">
        <v>871</v>
      </c>
      <c r="G301" s="11" t="s">
        <v>872</v>
      </c>
      <c r="H301" s="11" t="s">
        <v>422</v>
      </c>
      <c r="I301" s="21">
        <v>-11.5498172931767</v>
      </c>
      <c r="J301" s="21">
        <v>31.307077777484398</v>
      </c>
      <c r="K301" s="21">
        <v>67.5</v>
      </c>
      <c r="L301" s="3">
        <v>2001</v>
      </c>
      <c r="M301" s="3">
        <v>2001</v>
      </c>
      <c r="N301" s="3">
        <v>21.42</v>
      </c>
      <c r="O301" s="3" t="s">
        <v>183</v>
      </c>
      <c r="P301" s="5" t="s">
        <v>5187</v>
      </c>
      <c r="Q301" s="3" t="s">
        <v>2061</v>
      </c>
    </row>
    <row r="302" spans="1:17" ht="34.5" customHeight="1">
      <c r="A302" s="31">
        <v>56</v>
      </c>
      <c r="B302" s="40" t="s">
        <v>870</v>
      </c>
      <c r="C302" s="35" t="s">
        <v>2081</v>
      </c>
      <c r="D302" s="11" t="s">
        <v>2398</v>
      </c>
      <c r="E302" s="19" t="s">
        <v>2420</v>
      </c>
      <c r="F302" s="11" t="s">
        <v>871</v>
      </c>
      <c r="G302" s="11" t="s">
        <v>872</v>
      </c>
      <c r="H302" s="11" t="s">
        <v>422</v>
      </c>
      <c r="I302" s="21">
        <v>-11.5591986768359</v>
      </c>
      <c r="J302" s="21">
        <v>31.2814082423012</v>
      </c>
      <c r="K302" s="21">
        <v>20.3</v>
      </c>
      <c r="L302" s="3">
        <v>2001</v>
      </c>
      <c r="M302" s="3">
        <v>2001</v>
      </c>
      <c r="N302" s="3">
        <v>11.12</v>
      </c>
      <c r="O302" s="3" t="s">
        <v>183</v>
      </c>
      <c r="P302" s="5" t="s">
        <v>5187</v>
      </c>
      <c r="Q302" s="3" t="s">
        <v>2061</v>
      </c>
    </row>
    <row r="303" spans="1:17" ht="34.5" customHeight="1">
      <c r="A303" s="31">
        <v>56</v>
      </c>
      <c r="B303" s="40" t="s">
        <v>870</v>
      </c>
      <c r="C303" s="35" t="s">
        <v>2082</v>
      </c>
      <c r="D303" s="11" t="s">
        <v>2398</v>
      </c>
      <c r="E303" s="19" t="s">
        <v>2420</v>
      </c>
      <c r="F303" s="11" t="s">
        <v>871</v>
      </c>
      <c r="G303" s="11" t="s">
        <v>872</v>
      </c>
      <c r="H303" s="11" t="s">
        <v>422</v>
      </c>
      <c r="I303" s="21">
        <v>-11.576736592623099</v>
      </c>
      <c r="J303" s="21">
        <v>31.3023795745192</v>
      </c>
      <c r="K303" s="21">
        <v>36</v>
      </c>
      <c r="L303" s="3">
        <v>2001</v>
      </c>
      <c r="M303" s="3">
        <v>2001</v>
      </c>
      <c r="N303" s="3">
        <v>14.27</v>
      </c>
      <c r="O303" s="3" t="s">
        <v>183</v>
      </c>
      <c r="P303" s="5" t="s">
        <v>5187</v>
      </c>
      <c r="Q303" s="3" t="s">
        <v>2061</v>
      </c>
    </row>
    <row r="304" spans="1:17" ht="34.5" customHeight="1">
      <c r="A304" s="31">
        <v>56</v>
      </c>
      <c r="B304" s="40" t="s">
        <v>870</v>
      </c>
      <c r="C304" s="35" t="s">
        <v>2083</v>
      </c>
      <c r="D304" s="11" t="s">
        <v>2398</v>
      </c>
      <c r="E304" s="19" t="s">
        <v>2420</v>
      </c>
      <c r="F304" s="11" t="s">
        <v>871</v>
      </c>
      <c r="G304" s="11" t="s">
        <v>872</v>
      </c>
      <c r="H304" s="11" t="s">
        <v>422</v>
      </c>
      <c r="I304" s="21">
        <v>-11.5230027462087</v>
      </c>
      <c r="J304" s="21">
        <v>31.296715673074999</v>
      </c>
      <c r="K304" s="21">
        <v>60.6</v>
      </c>
      <c r="L304" s="3">
        <v>2001</v>
      </c>
      <c r="M304" s="3">
        <v>2001</v>
      </c>
      <c r="N304" s="3" t="s">
        <v>2276</v>
      </c>
      <c r="O304" s="3" t="s">
        <v>183</v>
      </c>
      <c r="P304" s="5" t="s">
        <v>5187</v>
      </c>
      <c r="Q304" s="3" t="s">
        <v>2061</v>
      </c>
    </row>
    <row r="305" spans="1:17" ht="34.5" customHeight="1">
      <c r="A305" s="31">
        <v>56</v>
      </c>
      <c r="B305" s="40" t="s">
        <v>870</v>
      </c>
      <c r="C305" s="35" t="s">
        <v>2084</v>
      </c>
      <c r="D305" s="11" t="s">
        <v>2398</v>
      </c>
      <c r="E305" s="19" t="s">
        <v>2420</v>
      </c>
      <c r="F305" s="11" t="s">
        <v>871</v>
      </c>
      <c r="G305" s="11" t="s">
        <v>872</v>
      </c>
      <c r="H305" s="11" t="s">
        <v>422</v>
      </c>
      <c r="I305" s="21">
        <v>-11.5293712322225</v>
      </c>
      <c r="J305" s="21">
        <v>31.320875285438099</v>
      </c>
      <c r="K305" s="21">
        <v>90.5</v>
      </c>
      <c r="L305" s="3">
        <v>2001</v>
      </c>
      <c r="M305" s="3">
        <v>2001</v>
      </c>
      <c r="N305" s="3">
        <v>6.27</v>
      </c>
      <c r="O305" s="3" t="s">
        <v>183</v>
      </c>
      <c r="P305" s="5" t="s">
        <v>5187</v>
      </c>
      <c r="Q305" s="3" t="s">
        <v>2061</v>
      </c>
    </row>
    <row r="306" spans="1:17" ht="34.5" customHeight="1">
      <c r="A306" s="31">
        <v>56</v>
      </c>
      <c r="B306" s="40" t="s">
        <v>870</v>
      </c>
      <c r="C306" s="35" t="s">
        <v>2085</v>
      </c>
      <c r="D306" s="11" t="s">
        <v>2398</v>
      </c>
      <c r="E306" s="19" t="s">
        <v>2420</v>
      </c>
      <c r="F306" s="11" t="s">
        <v>871</v>
      </c>
      <c r="G306" s="11" t="s">
        <v>872</v>
      </c>
      <c r="H306" s="11" t="s">
        <v>422</v>
      </c>
      <c r="I306" s="21">
        <v>-11.540749268528399</v>
      </c>
      <c r="J306" s="21">
        <v>31.333471070167398</v>
      </c>
      <c r="K306" s="21">
        <v>196.7</v>
      </c>
      <c r="L306" s="3">
        <v>2001</v>
      </c>
      <c r="M306" s="3">
        <v>2001</v>
      </c>
      <c r="N306" s="3">
        <v>5.67</v>
      </c>
      <c r="O306" s="3" t="s">
        <v>183</v>
      </c>
      <c r="P306" s="5" t="s">
        <v>5187</v>
      </c>
      <c r="Q306" s="3" t="s">
        <v>2061</v>
      </c>
    </row>
    <row r="307" spans="1:17" ht="34.5" customHeight="1">
      <c r="A307" s="31">
        <v>56</v>
      </c>
      <c r="B307" s="40" t="s">
        <v>870</v>
      </c>
      <c r="C307" s="35" t="s">
        <v>2086</v>
      </c>
      <c r="D307" s="11" t="s">
        <v>2398</v>
      </c>
      <c r="E307" s="19" t="s">
        <v>2420</v>
      </c>
      <c r="F307" s="11" t="s">
        <v>871</v>
      </c>
      <c r="G307" s="11" t="s">
        <v>872</v>
      </c>
      <c r="H307" s="11" t="s">
        <v>422</v>
      </c>
      <c r="I307" s="21">
        <v>-11.587525861605</v>
      </c>
      <c r="J307" s="21">
        <v>31.0712386258372</v>
      </c>
      <c r="K307" s="21">
        <v>44.6</v>
      </c>
      <c r="L307" s="3">
        <v>2001</v>
      </c>
      <c r="M307" s="3">
        <v>2001</v>
      </c>
      <c r="N307" s="3">
        <v>15.16</v>
      </c>
      <c r="O307" s="3" t="s">
        <v>183</v>
      </c>
      <c r="P307" s="5" t="s">
        <v>5187</v>
      </c>
      <c r="Q307" s="3" t="s">
        <v>2061</v>
      </c>
    </row>
    <row r="308" spans="1:17" ht="34.5" customHeight="1">
      <c r="A308" s="31">
        <v>56</v>
      </c>
      <c r="B308" s="40" t="s">
        <v>870</v>
      </c>
      <c r="C308" s="35" t="s">
        <v>2087</v>
      </c>
      <c r="D308" s="11" t="s">
        <v>2398</v>
      </c>
      <c r="E308" s="19" t="s">
        <v>2420</v>
      </c>
      <c r="F308" s="11" t="s">
        <v>871</v>
      </c>
      <c r="G308" s="11" t="s">
        <v>872</v>
      </c>
      <c r="H308" s="11" t="s">
        <v>422</v>
      </c>
      <c r="I308" s="21">
        <v>-11.655467105891599</v>
      </c>
      <c r="J308" s="21">
        <v>31.035439906006602</v>
      </c>
      <c r="K308" s="21">
        <v>101.2</v>
      </c>
      <c r="L308" s="3">
        <v>2001</v>
      </c>
      <c r="M308" s="3">
        <v>2001</v>
      </c>
      <c r="N308" s="3">
        <v>4.29</v>
      </c>
      <c r="O308" s="3" t="s">
        <v>183</v>
      </c>
      <c r="P308" s="5" t="s">
        <v>5187</v>
      </c>
      <c r="Q308" s="3" t="s">
        <v>2061</v>
      </c>
    </row>
    <row r="309" spans="1:17" ht="34.5" customHeight="1">
      <c r="A309" s="31">
        <v>56</v>
      </c>
      <c r="B309" s="40" t="s">
        <v>870</v>
      </c>
      <c r="C309" s="35" t="s">
        <v>2088</v>
      </c>
      <c r="D309" s="11" t="s">
        <v>2398</v>
      </c>
      <c r="E309" s="19" t="s">
        <v>2420</v>
      </c>
      <c r="F309" s="11" t="s">
        <v>871</v>
      </c>
      <c r="G309" s="11" t="s">
        <v>872</v>
      </c>
      <c r="H309" s="11" t="s">
        <v>422</v>
      </c>
      <c r="I309" s="21">
        <v>-11.649774296097</v>
      </c>
      <c r="J309" s="21">
        <v>31.109317890522298</v>
      </c>
      <c r="K309" s="21">
        <v>131.30000000000001</v>
      </c>
      <c r="L309" s="3">
        <v>2001</v>
      </c>
      <c r="M309" s="3">
        <v>2001</v>
      </c>
      <c r="N309" s="3">
        <v>3.85</v>
      </c>
      <c r="O309" s="3" t="s">
        <v>183</v>
      </c>
      <c r="P309" s="5" t="s">
        <v>5187</v>
      </c>
      <c r="Q309" s="3" t="s">
        <v>2061</v>
      </c>
    </row>
    <row r="310" spans="1:17" ht="34.5" customHeight="1">
      <c r="A310" s="31">
        <v>56</v>
      </c>
      <c r="B310" s="40" t="s">
        <v>870</v>
      </c>
      <c r="C310" s="35" t="s">
        <v>2089</v>
      </c>
      <c r="D310" s="11" t="s">
        <v>2398</v>
      </c>
      <c r="E310" s="19" t="s">
        <v>2420</v>
      </c>
      <c r="F310" s="11" t="s">
        <v>871</v>
      </c>
      <c r="G310" s="11" t="s">
        <v>872</v>
      </c>
      <c r="H310" s="11" t="s">
        <v>422</v>
      </c>
      <c r="I310" s="21">
        <v>-11.6996520512901</v>
      </c>
      <c r="J310" s="21">
        <v>31.009092747872501</v>
      </c>
      <c r="K310" s="21">
        <v>70.599999999999994</v>
      </c>
      <c r="L310" s="3">
        <v>2001</v>
      </c>
      <c r="M310" s="3">
        <v>2001</v>
      </c>
      <c r="N310" s="3">
        <v>5.49</v>
      </c>
      <c r="O310" s="3" t="s">
        <v>183</v>
      </c>
      <c r="P310" s="5" t="s">
        <v>5187</v>
      </c>
      <c r="Q310" s="3" t="s">
        <v>2061</v>
      </c>
    </row>
    <row r="311" spans="1:17" ht="34.5" customHeight="1">
      <c r="A311" s="31">
        <v>56</v>
      </c>
      <c r="B311" s="40" t="s">
        <v>870</v>
      </c>
      <c r="C311" s="35" t="s">
        <v>2090</v>
      </c>
      <c r="D311" s="11" t="s">
        <v>2398</v>
      </c>
      <c r="E311" s="19" t="s">
        <v>2420</v>
      </c>
      <c r="F311" s="11" t="s">
        <v>871</v>
      </c>
      <c r="G311" s="11" t="s">
        <v>872</v>
      </c>
      <c r="H311" s="11" t="s">
        <v>422</v>
      </c>
      <c r="I311" s="21">
        <v>-11.7286085747076</v>
      </c>
      <c r="J311" s="21">
        <v>31.1645873600234</v>
      </c>
      <c r="K311" s="21">
        <v>318.10000000000002</v>
      </c>
      <c r="L311" s="3">
        <v>2001</v>
      </c>
      <c r="M311" s="3">
        <v>2001</v>
      </c>
      <c r="N311" s="3">
        <v>1.03</v>
      </c>
      <c r="O311" s="3" t="s">
        <v>183</v>
      </c>
      <c r="P311" s="5" t="s">
        <v>5187</v>
      </c>
      <c r="Q311" s="3" t="s">
        <v>2061</v>
      </c>
    </row>
    <row r="312" spans="1:17" ht="34.5" customHeight="1">
      <c r="A312" s="31">
        <v>56</v>
      </c>
      <c r="B312" s="40" t="s">
        <v>870</v>
      </c>
      <c r="C312" s="35" t="s">
        <v>2091</v>
      </c>
      <c r="D312" s="11" t="s">
        <v>2398</v>
      </c>
      <c r="E312" s="19" t="s">
        <v>2420</v>
      </c>
      <c r="F312" s="11" t="s">
        <v>871</v>
      </c>
      <c r="G312" s="11" t="s">
        <v>872</v>
      </c>
      <c r="H312" s="11" t="s">
        <v>422</v>
      </c>
      <c r="I312" s="21">
        <v>-11.7938790289416</v>
      </c>
      <c r="J312" s="21">
        <v>30.9438719880497</v>
      </c>
      <c r="K312" s="21">
        <v>45.3</v>
      </c>
      <c r="L312" s="3">
        <v>2001</v>
      </c>
      <c r="M312" s="3">
        <v>2001</v>
      </c>
      <c r="N312" s="3">
        <v>3.84</v>
      </c>
      <c r="O312" s="3" t="s">
        <v>183</v>
      </c>
      <c r="P312" s="5" t="s">
        <v>5187</v>
      </c>
      <c r="Q312" s="3" t="s">
        <v>2061</v>
      </c>
    </row>
    <row r="313" spans="1:17" ht="34.5" customHeight="1">
      <c r="A313" s="31">
        <v>56</v>
      </c>
      <c r="B313" s="40" t="s">
        <v>870</v>
      </c>
      <c r="C313" s="35" t="s">
        <v>2092</v>
      </c>
      <c r="D313" s="11" t="s">
        <v>2398</v>
      </c>
      <c r="E313" s="19" t="s">
        <v>2420</v>
      </c>
      <c r="F313" s="11" t="s">
        <v>871</v>
      </c>
      <c r="G313" s="11" t="s">
        <v>872</v>
      </c>
      <c r="H313" s="11" t="s">
        <v>422</v>
      </c>
      <c r="I313" s="21">
        <v>-11.7147095623396</v>
      </c>
      <c r="J313" s="21">
        <v>31.272104993970299</v>
      </c>
      <c r="K313" s="21">
        <v>108.7</v>
      </c>
      <c r="L313" s="3">
        <v>2001</v>
      </c>
      <c r="M313" s="3">
        <v>2001</v>
      </c>
      <c r="N313" s="3">
        <v>4.74</v>
      </c>
      <c r="O313" s="3" t="s">
        <v>183</v>
      </c>
      <c r="P313" s="5" t="s">
        <v>5187</v>
      </c>
      <c r="Q313" s="3" t="s">
        <v>2061</v>
      </c>
    </row>
    <row r="314" spans="1:17" ht="34.5" customHeight="1">
      <c r="A314" s="31">
        <v>56</v>
      </c>
      <c r="B314" s="40" t="s">
        <v>870</v>
      </c>
      <c r="C314" s="35" t="s">
        <v>2093</v>
      </c>
      <c r="D314" s="11" t="s">
        <v>2398</v>
      </c>
      <c r="E314" s="19" t="s">
        <v>2420</v>
      </c>
      <c r="F314" s="11" t="s">
        <v>871</v>
      </c>
      <c r="G314" s="11" t="s">
        <v>872</v>
      </c>
      <c r="H314" s="11" t="s">
        <v>422</v>
      </c>
      <c r="I314" s="21">
        <v>-11.776184326327501</v>
      </c>
      <c r="J314" s="21">
        <v>31.242800110637202</v>
      </c>
      <c r="K314" s="21">
        <v>139.9</v>
      </c>
      <c r="L314" s="3">
        <v>2001</v>
      </c>
      <c r="M314" s="3">
        <v>2001</v>
      </c>
      <c r="N314" s="3">
        <v>4.46</v>
      </c>
      <c r="O314" s="3" t="s">
        <v>183</v>
      </c>
      <c r="P314" s="5" t="s">
        <v>5187</v>
      </c>
      <c r="Q314" s="3" t="s">
        <v>2061</v>
      </c>
    </row>
    <row r="315" spans="1:17" ht="34.5" customHeight="1">
      <c r="A315" s="31">
        <v>56</v>
      </c>
      <c r="B315" s="40" t="s">
        <v>870</v>
      </c>
      <c r="C315" s="35" t="s">
        <v>2094</v>
      </c>
      <c r="D315" s="11" t="s">
        <v>2398</v>
      </c>
      <c r="E315" s="19" t="s">
        <v>2420</v>
      </c>
      <c r="F315" s="11" t="s">
        <v>871</v>
      </c>
      <c r="G315" s="11" t="s">
        <v>872</v>
      </c>
      <c r="H315" s="11" t="s">
        <v>422</v>
      </c>
      <c r="I315" s="21">
        <v>-11.7910654021347</v>
      </c>
      <c r="J315" s="21">
        <v>31.268037392952401</v>
      </c>
      <c r="K315" s="21">
        <v>22.7</v>
      </c>
      <c r="L315" s="3">
        <v>2001</v>
      </c>
      <c r="M315" s="3">
        <v>2001</v>
      </c>
      <c r="N315" s="3">
        <v>23.88</v>
      </c>
      <c r="O315" s="3" t="s">
        <v>183</v>
      </c>
      <c r="P315" s="5" t="s">
        <v>5187</v>
      </c>
      <c r="Q315" s="3" t="s">
        <v>2061</v>
      </c>
    </row>
    <row r="316" spans="1:17" ht="34.5" customHeight="1">
      <c r="A316" s="31">
        <v>56</v>
      </c>
      <c r="B316" s="40" t="s">
        <v>870</v>
      </c>
      <c r="C316" s="35" t="s">
        <v>2095</v>
      </c>
      <c r="D316" s="11" t="s">
        <v>2398</v>
      </c>
      <c r="E316" s="19" t="s">
        <v>2420</v>
      </c>
      <c r="F316" s="11" t="s">
        <v>871</v>
      </c>
      <c r="G316" s="11" t="s">
        <v>872</v>
      </c>
      <c r="H316" s="11" t="s">
        <v>422</v>
      </c>
      <c r="I316" s="21">
        <v>-11.841826252264701</v>
      </c>
      <c r="J316" s="21">
        <v>31.214310500460499</v>
      </c>
      <c r="K316" s="21">
        <v>45.1</v>
      </c>
      <c r="L316" s="3">
        <v>2001</v>
      </c>
      <c r="M316" s="3">
        <v>2001</v>
      </c>
      <c r="N316" s="3">
        <v>7.94</v>
      </c>
      <c r="O316" s="3" t="s">
        <v>183</v>
      </c>
      <c r="P316" s="5" t="s">
        <v>5187</v>
      </c>
      <c r="Q316" s="3" t="s">
        <v>2061</v>
      </c>
    </row>
    <row r="317" spans="1:17" ht="34.5" customHeight="1">
      <c r="A317" s="31">
        <v>56</v>
      </c>
      <c r="B317" s="40" t="s">
        <v>870</v>
      </c>
      <c r="C317" s="35" t="s">
        <v>2096</v>
      </c>
      <c r="D317" s="11" t="s">
        <v>2398</v>
      </c>
      <c r="E317" s="19" t="s">
        <v>2420</v>
      </c>
      <c r="F317" s="11" t="s">
        <v>871</v>
      </c>
      <c r="G317" s="11" t="s">
        <v>872</v>
      </c>
      <c r="H317" s="11" t="s">
        <v>422</v>
      </c>
      <c r="I317" s="21">
        <v>-11.880896787207</v>
      </c>
      <c r="J317" s="21">
        <v>31.257529328508699</v>
      </c>
      <c r="K317" s="21">
        <v>44.7</v>
      </c>
      <c r="L317" s="3">
        <v>2001</v>
      </c>
      <c r="M317" s="3">
        <v>2001</v>
      </c>
      <c r="N317" s="3">
        <v>8.81</v>
      </c>
      <c r="O317" s="3" t="s">
        <v>183</v>
      </c>
      <c r="P317" s="5" t="s">
        <v>5187</v>
      </c>
      <c r="Q317" s="3" t="s">
        <v>2061</v>
      </c>
    </row>
    <row r="318" spans="1:17" ht="34.5" customHeight="1">
      <c r="A318" s="31">
        <v>56</v>
      </c>
      <c r="B318" s="40" t="s">
        <v>870</v>
      </c>
      <c r="C318" s="35" t="s">
        <v>2097</v>
      </c>
      <c r="D318" s="11" t="s">
        <v>2398</v>
      </c>
      <c r="E318" s="19" t="s">
        <v>2420</v>
      </c>
      <c r="F318" s="11" t="s">
        <v>871</v>
      </c>
      <c r="G318" s="11" t="s">
        <v>872</v>
      </c>
      <c r="H318" s="11" t="s">
        <v>422</v>
      </c>
      <c r="I318" s="21">
        <v>-11.492426116531</v>
      </c>
      <c r="J318" s="21">
        <v>31.285913680023501</v>
      </c>
      <c r="K318" s="21">
        <v>122.1</v>
      </c>
      <c r="L318" s="38">
        <v>1994</v>
      </c>
      <c r="M318" s="38">
        <v>1994</v>
      </c>
      <c r="N318" s="3">
        <v>2.76</v>
      </c>
      <c r="O318" s="3" t="s">
        <v>183</v>
      </c>
      <c r="P318" s="5" t="s">
        <v>5187</v>
      </c>
      <c r="Q318" s="3" t="s">
        <v>2061</v>
      </c>
    </row>
    <row r="319" spans="1:17" ht="34.5" customHeight="1">
      <c r="A319" s="31">
        <v>56</v>
      </c>
      <c r="B319" s="40" t="s">
        <v>870</v>
      </c>
      <c r="C319" s="35" t="s">
        <v>2098</v>
      </c>
      <c r="D319" s="11" t="s">
        <v>2398</v>
      </c>
      <c r="E319" s="19" t="s">
        <v>2420</v>
      </c>
      <c r="F319" s="11" t="s">
        <v>871</v>
      </c>
      <c r="G319" s="11" t="s">
        <v>872</v>
      </c>
      <c r="H319" s="11" t="s">
        <v>422</v>
      </c>
      <c r="I319" s="21">
        <v>-11.509104311079501</v>
      </c>
      <c r="J319" s="21">
        <v>31.3015686574665</v>
      </c>
      <c r="K319" s="21">
        <v>31.9</v>
      </c>
      <c r="L319" s="38">
        <v>1994</v>
      </c>
      <c r="M319" s="38">
        <v>1994</v>
      </c>
      <c r="N319" s="3">
        <v>6.17</v>
      </c>
      <c r="O319" s="3" t="s">
        <v>183</v>
      </c>
      <c r="P319" s="5" t="s">
        <v>5187</v>
      </c>
      <c r="Q319" s="3" t="s">
        <v>2061</v>
      </c>
    </row>
    <row r="320" spans="1:17" ht="34.5" customHeight="1">
      <c r="A320" s="31">
        <v>56</v>
      </c>
      <c r="B320" s="40" t="s">
        <v>870</v>
      </c>
      <c r="C320" s="35" t="s">
        <v>2099</v>
      </c>
      <c r="D320" s="11" t="s">
        <v>2398</v>
      </c>
      <c r="E320" s="19" t="s">
        <v>2420</v>
      </c>
      <c r="F320" s="11" t="s">
        <v>871</v>
      </c>
      <c r="G320" s="11" t="s">
        <v>872</v>
      </c>
      <c r="H320" s="11" t="s">
        <v>422</v>
      </c>
      <c r="I320" s="21">
        <v>-11.5171857028981</v>
      </c>
      <c r="J320" s="21">
        <v>31.326802515288598</v>
      </c>
      <c r="K320" s="21">
        <v>171.5</v>
      </c>
      <c r="L320" s="38">
        <v>1994</v>
      </c>
      <c r="M320" s="38">
        <v>1994</v>
      </c>
      <c r="N320" s="3">
        <v>4.91</v>
      </c>
      <c r="O320" s="3" t="s">
        <v>183</v>
      </c>
      <c r="P320" s="5" t="s">
        <v>5187</v>
      </c>
      <c r="Q320" s="3" t="s">
        <v>2061</v>
      </c>
    </row>
    <row r="321" spans="1:17" ht="34.5" customHeight="1">
      <c r="A321" s="31">
        <v>56</v>
      </c>
      <c r="B321" s="40" t="s">
        <v>870</v>
      </c>
      <c r="C321" s="35" t="s">
        <v>2100</v>
      </c>
      <c r="D321" s="11" t="s">
        <v>2398</v>
      </c>
      <c r="E321" s="19" t="s">
        <v>2420</v>
      </c>
      <c r="F321" s="11" t="s">
        <v>871</v>
      </c>
      <c r="G321" s="11" t="s">
        <v>872</v>
      </c>
      <c r="H321" s="11" t="s">
        <v>422</v>
      </c>
      <c r="I321" s="21">
        <v>-11.5178724717953</v>
      </c>
      <c r="J321" s="21">
        <v>31.284374343124099</v>
      </c>
      <c r="K321" s="21">
        <v>96.5</v>
      </c>
      <c r="L321" s="38">
        <v>1994</v>
      </c>
      <c r="M321" s="38">
        <v>1994</v>
      </c>
      <c r="N321" s="3">
        <v>3.28</v>
      </c>
      <c r="O321" s="3" t="s">
        <v>183</v>
      </c>
      <c r="P321" s="5" t="s">
        <v>5187</v>
      </c>
      <c r="Q321" s="3" t="s">
        <v>2061</v>
      </c>
    </row>
    <row r="322" spans="1:17" ht="34.5" customHeight="1">
      <c r="A322" s="31">
        <v>56</v>
      </c>
      <c r="B322" s="40" t="s">
        <v>870</v>
      </c>
      <c r="C322" s="35" t="s">
        <v>2101</v>
      </c>
      <c r="D322" s="11" t="s">
        <v>2398</v>
      </c>
      <c r="E322" s="19" t="s">
        <v>2420</v>
      </c>
      <c r="F322" s="11" t="s">
        <v>871</v>
      </c>
      <c r="G322" s="11" t="s">
        <v>872</v>
      </c>
      <c r="H322" s="11" t="s">
        <v>422</v>
      </c>
      <c r="I322" s="21">
        <v>-11.5365833543825</v>
      </c>
      <c r="J322" s="21">
        <v>31.226744079397601</v>
      </c>
      <c r="K322" s="21">
        <v>391.5</v>
      </c>
      <c r="L322" s="38">
        <v>1994</v>
      </c>
      <c r="M322" s="38">
        <v>1994</v>
      </c>
      <c r="N322" s="3">
        <v>1.88</v>
      </c>
      <c r="O322" s="3" t="s">
        <v>183</v>
      </c>
      <c r="P322" s="5" t="s">
        <v>5187</v>
      </c>
      <c r="Q322" s="3" t="s">
        <v>2061</v>
      </c>
    </row>
    <row r="323" spans="1:17" ht="34.5" customHeight="1">
      <c r="A323" s="31">
        <v>56</v>
      </c>
      <c r="B323" s="40" t="s">
        <v>870</v>
      </c>
      <c r="C323" s="35" t="s">
        <v>2102</v>
      </c>
      <c r="D323" s="11" t="s">
        <v>2398</v>
      </c>
      <c r="E323" s="19" t="s">
        <v>2420</v>
      </c>
      <c r="F323" s="11" t="s">
        <v>871</v>
      </c>
      <c r="G323" s="11" t="s">
        <v>872</v>
      </c>
      <c r="H323" s="11" t="s">
        <v>422</v>
      </c>
      <c r="I323" s="21">
        <v>-11.567591538915901</v>
      </c>
      <c r="J323" s="21">
        <v>31.2459202094348</v>
      </c>
      <c r="K323" s="21">
        <v>223.8</v>
      </c>
      <c r="L323" s="38">
        <v>1994</v>
      </c>
      <c r="M323" s="38">
        <v>1994</v>
      </c>
      <c r="N323" s="3">
        <v>1.93</v>
      </c>
      <c r="O323" s="3" t="s">
        <v>183</v>
      </c>
      <c r="P323" s="5" t="s">
        <v>5187</v>
      </c>
      <c r="Q323" s="3" t="s">
        <v>2061</v>
      </c>
    </row>
    <row r="324" spans="1:17" ht="34.5" customHeight="1">
      <c r="A324" s="31">
        <v>56</v>
      </c>
      <c r="B324" s="40" t="s">
        <v>870</v>
      </c>
      <c r="C324" s="35" t="s">
        <v>2103</v>
      </c>
      <c r="D324" s="11" t="s">
        <v>2398</v>
      </c>
      <c r="E324" s="19" t="s">
        <v>2420</v>
      </c>
      <c r="F324" s="11" t="s">
        <v>871</v>
      </c>
      <c r="G324" s="11" t="s">
        <v>872</v>
      </c>
      <c r="H324" s="11" t="s">
        <v>422</v>
      </c>
      <c r="I324" s="21">
        <v>-11.6107035790767</v>
      </c>
      <c r="J324" s="21">
        <v>31.276519647301399</v>
      </c>
      <c r="K324" s="21">
        <v>60.3</v>
      </c>
      <c r="L324" s="38">
        <v>1994</v>
      </c>
      <c r="M324" s="38">
        <v>1994</v>
      </c>
      <c r="N324" s="3">
        <v>6.8</v>
      </c>
      <c r="O324" s="3" t="s">
        <v>183</v>
      </c>
      <c r="P324" s="5" t="s">
        <v>5187</v>
      </c>
      <c r="Q324" s="3" t="s">
        <v>2061</v>
      </c>
    </row>
    <row r="325" spans="1:17" ht="34.5" customHeight="1">
      <c r="A325" s="31">
        <v>56</v>
      </c>
      <c r="B325" s="40" t="s">
        <v>870</v>
      </c>
      <c r="C325" s="35" t="s">
        <v>2104</v>
      </c>
      <c r="D325" s="11" t="s">
        <v>2398</v>
      </c>
      <c r="E325" s="19" t="s">
        <v>2420</v>
      </c>
      <c r="F325" s="11" t="s">
        <v>871</v>
      </c>
      <c r="G325" s="11" t="s">
        <v>872</v>
      </c>
      <c r="H325" s="11" t="s">
        <v>422</v>
      </c>
      <c r="I325" s="21">
        <v>-11.6314245859738</v>
      </c>
      <c r="J325" s="21">
        <v>31.1827076866306</v>
      </c>
      <c r="K325" s="21">
        <v>127.5</v>
      </c>
      <c r="L325" s="38">
        <v>1994</v>
      </c>
      <c r="M325" s="38">
        <v>1994</v>
      </c>
      <c r="N325" s="3">
        <v>3.79</v>
      </c>
      <c r="O325" s="3" t="s">
        <v>183</v>
      </c>
      <c r="P325" s="5" t="s">
        <v>5187</v>
      </c>
      <c r="Q325" s="3" t="s">
        <v>2061</v>
      </c>
    </row>
    <row r="326" spans="1:17" ht="34.5" customHeight="1">
      <c r="A326" s="31">
        <v>56</v>
      </c>
      <c r="B326" s="40" t="s">
        <v>870</v>
      </c>
      <c r="C326" s="35" t="s">
        <v>2105</v>
      </c>
      <c r="D326" s="11" t="s">
        <v>2398</v>
      </c>
      <c r="E326" s="19" t="s">
        <v>2420</v>
      </c>
      <c r="F326" s="11" t="s">
        <v>871</v>
      </c>
      <c r="G326" s="11" t="s">
        <v>872</v>
      </c>
      <c r="H326" s="11" t="s">
        <v>422</v>
      </c>
      <c r="I326" s="21">
        <v>-11.6412059683904</v>
      </c>
      <c r="J326" s="21">
        <v>31.276438086716698</v>
      </c>
      <c r="K326" s="21">
        <v>97.7</v>
      </c>
      <c r="L326" s="38">
        <v>1994</v>
      </c>
      <c r="M326" s="38">
        <v>1994</v>
      </c>
      <c r="N326" s="3">
        <v>5.18</v>
      </c>
      <c r="O326" s="3" t="s">
        <v>183</v>
      </c>
      <c r="P326" s="5" t="s">
        <v>5187</v>
      </c>
      <c r="Q326" s="3" t="s">
        <v>2061</v>
      </c>
    </row>
    <row r="327" spans="1:17" ht="34.5" customHeight="1">
      <c r="A327" s="31">
        <v>56</v>
      </c>
      <c r="B327" s="40" t="s">
        <v>870</v>
      </c>
      <c r="C327" s="35" t="s">
        <v>2106</v>
      </c>
      <c r="D327" s="11" t="s">
        <v>2398</v>
      </c>
      <c r="E327" s="19" t="s">
        <v>2420</v>
      </c>
      <c r="F327" s="11" t="s">
        <v>871</v>
      </c>
      <c r="G327" s="11" t="s">
        <v>872</v>
      </c>
      <c r="H327" s="11" t="s">
        <v>422</v>
      </c>
      <c r="I327" s="21">
        <v>-11.5498172931767</v>
      </c>
      <c r="J327" s="21">
        <v>31.307077777484398</v>
      </c>
      <c r="K327" s="21">
        <v>67.5</v>
      </c>
      <c r="L327" s="38">
        <v>1994</v>
      </c>
      <c r="M327" s="38">
        <v>1994</v>
      </c>
      <c r="N327" s="3">
        <v>9.23</v>
      </c>
      <c r="O327" s="3" t="s">
        <v>183</v>
      </c>
      <c r="P327" s="5" t="s">
        <v>5187</v>
      </c>
      <c r="Q327" s="3" t="s">
        <v>2061</v>
      </c>
    </row>
    <row r="328" spans="1:17" ht="34.5" customHeight="1">
      <c r="A328" s="31">
        <v>56</v>
      </c>
      <c r="B328" s="40" t="s">
        <v>870</v>
      </c>
      <c r="C328" s="35" t="s">
        <v>2107</v>
      </c>
      <c r="D328" s="11" t="s">
        <v>2398</v>
      </c>
      <c r="E328" s="19" t="s">
        <v>2420</v>
      </c>
      <c r="F328" s="11" t="s">
        <v>871</v>
      </c>
      <c r="G328" s="11" t="s">
        <v>872</v>
      </c>
      <c r="H328" s="11" t="s">
        <v>422</v>
      </c>
      <c r="I328" s="21">
        <v>-11.5591986768359</v>
      </c>
      <c r="J328" s="21">
        <v>31.2814082423012</v>
      </c>
      <c r="K328" s="21">
        <v>20.3</v>
      </c>
      <c r="L328" s="38">
        <v>1994</v>
      </c>
      <c r="M328" s="38">
        <v>1994</v>
      </c>
      <c r="N328" s="3">
        <v>14.22</v>
      </c>
      <c r="O328" s="3" t="s">
        <v>183</v>
      </c>
      <c r="P328" s="5" t="s">
        <v>5187</v>
      </c>
      <c r="Q328" s="3" t="s">
        <v>2061</v>
      </c>
    </row>
    <row r="329" spans="1:17" ht="34.5" customHeight="1">
      <c r="A329" s="31">
        <v>56</v>
      </c>
      <c r="B329" s="40" t="s">
        <v>870</v>
      </c>
      <c r="C329" s="35" t="s">
        <v>2108</v>
      </c>
      <c r="D329" s="11" t="s">
        <v>2398</v>
      </c>
      <c r="E329" s="19" t="s">
        <v>2420</v>
      </c>
      <c r="F329" s="11" t="s">
        <v>871</v>
      </c>
      <c r="G329" s="11" t="s">
        <v>872</v>
      </c>
      <c r="H329" s="11" t="s">
        <v>422</v>
      </c>
      <c r="I329" s="21">
        <v>-11.576736592623099</v>
      </c>
      <c r="J329" s="21">
        <v>31.3023795745192</v>
      </c>
      <c r="K329" s="21">
        <v>36</v>
      </c>
      <c r="L329" s="38">
        <v>1994</v>
      </c>
      <c r="M329" s="38">
        <v>1994</v>
      </c>
      <c r="N329" s="3">
        <v>11.58</v>
      </c>
      <c r="O329" s="3" t="s">
        <v>183</v>
      </c>
      <c r="P329" s="5" t="s">
        <v>5187</v>
      </c>
      <c r="Q329" s="3" t="s">
        <v>2061</v>
      </c>
    </row>
    <row r="330" spans="1:17" ht="34.5" customHeight="1">
      <c r="A330" s="31">
        <v>56</v>
      </c>
      <c r="B330" s="40" t="s">
        <v>870</v>
      </c>
      <c r="C330" s="35" t="s">
        <v>2109</v>
      </c>
      <c r="D330" s="11" t="s">
        <v>2398</v>
      </c>
      <c r="E330" s="19" t="s">
        <v>2420</v>
      </c>
      <c r="F330" s="11" t="s">
        <v>871</v>
      </c>
      <c r="G330" s="11" t="s">
        <v>872</v>
      </c>
      <c r="H330" s="11" t="s">
        <v>422</v>
      </c>
      <c r="I330" s="21">
        <v>-11.5230027462087</v>
      </c>
      <c r="J330" s="21">
        <v>31.296715673074999</v>
      </c>
      <c r="K330" s="21">
        <v>60.6</v>
      </c>
      <c r="L330" s="38">
        <v>1994</v>
      </c>
      <c r="M330" s="38">
        <v>1994</v>
      </c>
      <c r="N330" s="3">
        <v>6.38</v>
      </c>
      <c r="O330" s="3" t="s">
        <v>183</v>
      </c>
      <c r="P330" s="5" t="s">
        <v>5187</v>
      </c>
      <c r="Q330" s="3" t="s">
        <v>2061</v>
      </c>
    </row>
    <row r="331" spans="1:17" ht="34.5" customHeight="1">
      <c r="A331" s="31">
        <v>56</v>
      </c>
      <c r="B331" s="40" t="s">
        <v>870</v>
      </c>
      <c r="C331" s="35" t="s">
        <v>2110</v>
      </c>
      <c r="D331" s="11" t="s">
        <v>2398</v>
      </c>
      <c r="E331" s="19" t="s">
        <v>2420</v>
      </c>
      <c r="F331" s="11" t="s">
        <v>871</v>
      </c>
      <c r="G331" s="11" t="s">
        <v>872</v>
      </c>
      <c r="H331" s="11" t="s">
        <v>422</v>
      </c>
      <c r="I331" s="21">
        <v>-11.5293712322225</v>
      </c>
      <c r="J331" s="21">
        <v>31.320875285438099</v>
      </c>
      <c r="K331" s="21">
        <v>90.5</v>
      </c>
      <c r="L331" s="38">
        <v>1994</v>
      </c>
      <c r="M331" s="38">
        <v>1994</v>
      </c>
      <c r="N331" s="3">
        <v>4.97</v>
      </c>
      <c r="O331" s="3" t="s">
        <v>183</v>
      </c>
      <c r="P331" s="5" t="s">
        <v>5187</v>
      </c>
      <c r="Q331" s="3" t="s">
        <v>2061</v>
      </c>
    </row>
    <row r="332" spans="1:17" ht="34.5" customHeight="1">
      <c r="A332" s="31">
        <v>56</v>
      </c>
      <c r="B332" s="40" t="s">
        <v>870</v>
      </c>
      <c r="C332" s="35" t="s">
        <v>2111</v>
      </c>
      <c r="D332" s="11" t="s">
        <v>2398</v>
      </c>
      <c r="E332" s="19" t="s">
        <v>2420</v>
      </c>
      <c r="F332" s="11" t="s">
        <v>871</v>
      </c>
      <c r="G332" s="11" t="s">
        <v>872</v>
      </c>
      <c r="H332" s="11" t="s">
        <v>422</v>
      </c>
      <c r="I332" s="21">
        <v>-11.540749268528399</v>
      </c>
      <c r="J332" s="21">
        <v>31.333471070167398</v>
      </c>
      <c r="K332" s="21">
        <v>196.7</v>
      </c>
      <c r="L332" s="38">
        <v>1994</v>
      </c>
      <c r="M332" s="38">
        <v>1994</v>
      </c>
      <c r="N332" s="3">
        <v>2.4500000000000002</v>
      </c>
      <c r="O332" s="3" t="s">
        <v>183</v>
      </c>
      <c r="P332" s="5" t="s">
        <v>5187</v>
      </c>
      <c r="Q332" s="3" t="s">
        <v>2061</v>
      </c>
    </row>
    <row r="333" spans="1:17" ht="34.5" customHeight="1">
      <c r="A333" s="31">
        <v>56</v>
      </c>
      <c r="B333" s="40" t="s">
        <v>870</v>
      </c>
      <c r="C333" s="35" t="s">
        <v>2112</v>
      </c>
      <c r="D333" s="11" t="s">
        <v>2398</v>
      </c>
      <c r="E333" s="19" t="s">
        <v>2420</v>
      </c>
      <c r="F333" s="11" t="s">
        <v>871</v>
      </c>
      <c r="G333" s="11" t="s">
        <v>872</v>
      </c>
      <c r="H333" s="11" t="s">
        <v>422</v>
      </c>
      <c r="I333" s="21">
        <v>-11.587525861605</v>
      </c>
      <c r="J333" s="21">
        <v>31.0712386258372</v>
      </c>
      <c r="K333" s="21">
        <v>44.6</v>
      </c>
      <c r="L333" s="38">
        <v>1994</v>
      </c>
      <c r="M333" s="38">
        <v>1994</v>
      </c>
      <c r="N333" s="3">
        <v>17.22</v>
      </c>
      <c r="O333" s="3" t="s">
        <v>183</v>
      </c>
      <c r="P333" s="5" t="s">
        <v>5187</v>
      </c>
      <c r="Q333" s="3" t="s">
        <v>2061</v>
      </c>
    </row>
    <row r="334" spans="1:17" ht="34.5" customHeight="1">
      <c r="A334" s="31">
        <v>56</v>
      </c>
      <c r="B334" s="40" t="s">
        <v>870</v>
      </c>
      <c r="C334" s="35" t="s">
        <v>2113</v>
      </c>
      <c r="D334" s="11" t="s">
        <v>2398</v>
      </c>
      <c r="E334" s="19" t="s">
        <v>2420</v>
      </c>
      <c r="F334" s="11" t="s">
        <v>871</v>
      </c>
      <c r="G334" s="11" t="s">
        <v>872</v>
      </c>
      <c r="H334" s="11" t="s">
        <v>422</v>
      </c>
      <c r="I334" s="21">
        <v>-11.655467105891599</v>
      </c>
      <c r="J334" s="21">
        <v>31.035439906006602</v>
      </c>
      <c r="K334" s="21">
        <v>101.2</v>
      </c>
      <c r="L334" s="38">
        <v>1994</v>
      </c>
      <c r="M334" s="38">
        <v>1994</v>
      </c>
      <c r="N334" s="3">
        <v>4.07</v>
      </c>
      <c r="O334" s="3" t="s">
        <v>183</v>
      </c>
      <c r="P334" s="5" t="s">
        <v>5187</v>
      </c>
      <c r="Q334" s="3" t="s">
        <v>2061</v>
      </c>
    </row>
    <row r="335" spans="1:17" ht="34.5" customHeight="1">
      <c r="A335" s="31">
        <v>56</v>
      </c>
      <c r="B335" s="40" t="s">
        <v>870</v>
      </c>
      <c r="C335" s="35" t="s">
        <v>2114</v>
      </c>
      <c r="D335" s="11" t="s">
        <v>2398</v>
      </c>
      <c r="E335" s="19" t="s">
        <v>2420</v>
      </c>
      <c r="F335" s="11" t="s">
        <v>871</v>
      </c>
      <c r="G335" s="11" t="s">
        <v>872</v>
      </c>
      <c r="H335" s="11" t="s">
        <v>422</v>
      </c>
      <c r="I335" s="21">
        <v>-11.649774296097</v>
      </c>
      <c r="J335" s="21">
        <v>31.109317890522298</v>
      </c>
      <c r="K335" s="21">
        <v>131.30000000000001</v>
      </c>
      <c r="L335" s="38">
        <v>1994</v>
      </c>
      <c r="M335" s="38">
        <v>1994</v>
      </c>
      <c r="N335" s="3">
        <v>2.97</v>
      </c>
      <c r="O335" s="3" t="s">
        <v>183</v>
      </c>
      <c r="P335" s="5" t="s">
        <v>5187</v>
      </c>
      <c r="Q335" s="3" t="s">
        <v>2061</v>
      </c>
    </row>
    <row r="336" spans="1:17" ht="34.5" customHeight="1">
      <c r="A336" s="31">
        <v>56</v>
      </c>
      <c r="B336" s="40" t="s">
        <v>870</v>
      </c>
      <c r="C336" s="35" t="s">
        <v>2115</v>
      </c>
      <c r="D336" s="11" t="s">
        <v>2398</v>
      </c>
      <c r="E336" s="19" t="s">
        <v>2420</v>
      </c>
      <c r="F336" s="11" t="s">
        <v>871</v>
      </c>
      <c r="G336" s="11" t="s">
        <v>872</v>
      </c>
      <c r="H336" s="11" t="s">
        <v>422</v>
      </c>
      <c r="I336" s="21">
        <v>-11.6996520512901</v>
      </c>
      <c r="J336" s="21">
        <v>31.009092747872501</v>
      </c>
      <c r="K336" s="21">
        <v>70.599999999999994</v>
      </c>
      <c r="L336" s="38">
        <v>1994</v>
      </c>
      <c r="M336" s="38">
        <v>1994</v>
      </c>
      <c r="N336" s="3">
        <v>7.33</v>
      </c>
      <c r="O336" s="3" t="s">
        <v>183</v>
      </c>
      <c r="P336" s="5" t="s">
        <v>5187</v>
      </c>
      <c r="Q336" s="3" t="s">
        <v>2061</v>
      </c>
    </row>
    <row r="337" spans="1:17" ht="34.5" customHeight="1">
      <c r="A337" s="31">
        <v>56</v>
      </c>
      <c r="B337" s="40" t="s">
        <v>870</v>
      </c>
      <c r="C337" s="35" t="s">
        <v>2116</v>
      </c>
      <c r="D337" s="11" t="s">
        <v>2398</v>
      </c>
      <c r="E337" s="19" t="s">
        <v>2420</v>
      </c>
      <c r="F337" s="11" t="s">
        <v>871</v>
      </c>
      <c r="G337" s="11" t="s">
        <v>872</v>
      </c>
      <c r="H337" s="11" t="s">
        <v>422</v>
      </c>
      <c r="I337" s="21">
        <v>-11.7286085747076</v>
      </c>
      <c r="J337" s="21">
        <v>31.1645873600234</v>
      </c>
      <c r="K337" s="21">
        <v>318.10000000000002</v>
      </c>
      <c r="L337" s="38">
        <v>1994</v>
      </c>
      <c r="M337" s="38">
        <v>1994</v>
      </c>
      <c r="N337" s="3">
        <v>1.04</v>
      </c>
      <c r="O337" s="3" t="s">
        <v>183</v>
      </c>
      <c r="P337" s="5" t="s">
        <v>5187</v>
      </c>
      <c r="Q337" s="3" t="s">
        <v>2061</v>
      </c>
    </row>
    <row r="338" spans="1:17" ht="34.5" customHeight="1">
      <c r="A338" s="31">
        <v>56</v>
      </c>
      <c r="B338" s="40" t="s">
        <v>870</v>
      </c>
      <c r="C338" s="35" t="s">
        <v>2117</v>
      </c>
      <c r="D338" s="11" t="s">
        <v>2398</v>
      </c>
      <c r="E338" s="19" t="s">
        <v>2420</v>
      </c>
      <c r="F338" s="11" t="s">
        <v>871</v>
      </c>
      <c r="G338" s="11" t="s">
        <v>872</v>
      </c>
      <c r="H338" s="11" t="s">
        <v>422</v>
      </c>
      <c r="I338" s="21">
        <v>-11.7938790289416</v>
      </c>
      <c r="J338" s="21">
        <v>30.9438719880497</v>
      </c>
      <c r="K338" s="21">
        <v>45.3</v>
      </c>
      <c r="L338" s="38">
        <v>1994</v>
      </c>
      <c r="M338" s="38">
        <v>1994</v>
      </c>
      <c r="N338" s="3">
        <v>5.03</v>
      </c>
      <c r="O338" s="3" t="s">
        <v>183</v>
      </c>
      <c r="P338" s="5" t="s">
        <v>5187</v>
      </c>
      <c r="Q338" s="3" t="s">
        <v>2061</v>
      </c>
    </row>
    <row r="339" spans="1:17" ht="34.5" customHeight="1">
      <c r="A339" s="31">
        <v>56</v>
      </c>
      <c r="B339" s="40" t="s">
        <v>870</v>
      </c>
      <c r="C339" s="35" t="s">
        <v>2118</v>
      </c>
      <c r="D339" s="11" t="s">
        <v>2398</v>
      </c>
      <c r="E339" s="19" t="s">
        <v>2420</v>
      </c>
      <c r="F339" s="11" t="s">
        <v>871</v>
      </c>
      <c r="G339" s="11" t="s">
        <v>872</v>
      </c>
      <c r="H339" s="11" t="s">
        <v>422</v>
      </c>
      <c r="I339" s="21">
        <v>-11.7147095623396</v>
      </c>
      <c r="J339" s="21">
        <v>31.272104993970299</v>
      </c>
      <c r="K339" s="21">
        <v>108.7</v>
      </c>
      <c r="L339" s="38">
        <v>1994</v>
      </c>
      <c r="M339" s="38">
        <v>1994</v>
      </c>
      <c r="N339" s="3">
        <v>2.0299999999999998</v>
      </c>
      <c r="O339" s="3" t="s">
        <v>183</v>
      </c>
      <c r="P339" s="5" t="s">
        <v>5187</v>
      </c>
      <c r="Q339" s="3" t="s">
        <v>2061</v>
      </c>
    </row>
    <row r="340" spans="1:17" ht="34.5" customHeight="1">
      <c r="A340" s="31">
        <v>56</v>
      </c>
      <c r="B340" s="40" t="s">
        <v>870</v>
      </c>
      <c r="C340" s="35" t="s">
        <v>2119</v>
      </c>
      <c r="D340" s="11" t="s">
        <v>2398</v>
      </c>
      <c r="E340" s="19" t="s">
        <v>2420</v>
      </c>
      <c r="F340" s="11" t="s">
        <v>871</v>
      </c>
      <c r="G340" s="11" t="s">
        <v>872</v>
      </c>
      <c r="H340" s="11" t="s">
        <v>422</v>
      </c>
      <c r="I340" s="21">
        <v>-11.776184326327501</v>
      </c>
      <c r="J340" s="21">
        <v>31.242800110637202</v>
      </c>
      <c r="K340" s="21">
        <v>139.9</v>
      </c>
      <c r="L340" s="38">
        <v>1994</v>
      </c>
      <c r="M340" s="38">
        <v>1994</v>
      </c>
      <c r="N340" s="3">
        <v>2.2799999999999998</v>
      </c>
      <c r="O340" s="3" t="s">
        <v>183</v>
      </c>
      <c r="P340" s="5" t="s">
        <v>5187</v>
      </c>
      <c r="Q340" s="3" t="s">
        <v>2061</v>
      </c>
    </row>
    <row r="341" spans="1:17" ht="34.5" customHeight="1">
      <c r="A341" s="31">
        <v>56</v>
      </c>
      <c r="B341" s="40" t="s">
        <v>870</v>
      </c>
      <c r="C341" s="35" t="s">
        <v>2120</v>
      </c>
      <c r="D341" s="11" t="s">
        <v>2398</v>
      </c>
      <c r="E341" s="19" t="s">
        <v>2420</v>
      </c>
      <c r="F341" s="11" t="s">
        <v>871</v>
      </c>
      <c r="G341" s="11" t="s">
        <v>872</v>
      </c>
      <c r="H341" s="11" t="s">
        <v>422</v>
      </c>
      <c r="I341" s="21">
        <v>-11.7910654021347</v>
      </c>
      <c r="J341" s="21">
        <v>31.268037392952401</v>
      </c>
      <c r="K341" s="21">
        <v>22.7</v>
      </c>
      <c r="L341" s="38">
        <v>1994</v>
      </c>
      <c r="M341" s="38">
        <v>1994</v>
      </c>
      <c r="N341" s="3">
        <v>18.68</v>
      </c>
      <c r="O341" s="3" t="s">
        <v>183</v>
      </c>
      <c r="P341" s="5" t="s">
        <v>5187</v>
      </c>
      <c r="Q341" s="3" t="s">
        <v>2061</v>
      </c>
    </row>
    <row r="342" spans="1:17" ht="34.5" customHeight="1">
      <c r="A342" s="31">
        <v>56</v>
      </c>
      <c r="B342" s="40" t="s">
        <v>870</v>
      </c>
      <c r="C342" s="35" t="s">
        <v>2121</v>
      </c>
      <c r="D342" s="11" t="s">
        <v>2398</v>
      </c>
      <c r="E342" s="19" t="s">
        <v>2420</v>
      </c>
      <c r="F342" s="11" t="s">
        <v>871</v>
      </c>
      <c r="G342" s="11" t="s">
        <v>872</v>
      </c>
      <c r="H342" s="11" t="s">
        <v>422</v>
      </c>
      <c r="I342" s="21">
        <v>-11.841826252264701</v>
      </c>
      <c r="J342" s="21">
        <v>31.214310500460499</v>
      </c>
      <c r="K342" s="21">
        <v>45.1</v>
      </c>
      <c r="L342" s="38">
        <v>1994</v>
      </c>
      <c r="M342" s="38">
        <v>1994</v>
      </c>
      <c r="N342" s="3">
        <v>7.61</v>
      </c>
      <c r="O342" s="3" t="s">
        <v>183</v>
      </c>
      <c r="P342" s="5" t="s">
        <v>5187</v>
      </c>
      <c r="Q342" s="3" t="s">
        <v>2061</v>
      </c>
    </row>
    <row r="343" spans="1:17" ht="34.5" customHeight="1">
      <c r="A343" s="31">
        <v>56</v>
      </c>
      <c r="B343" s="40" t="s">
        <v>870</v>
      </c>
      <c r="C343" s="35" t="s">
        <v>2122</v>
      </c>
      <c r="D343" s="11" t="s">
        <v>2398</v>
      </c>
      <c r="E343" s="19" t="s">
        <v>2420</v>
      </c>
      <c r="F343" s="11" t="s">
        <v>871</v>
      </c>
      <c r="G343" s="11" t="s">
        <v>872</v>
      </c>
      <c r="H343" s="11" t="s">
        <v>422</v>
      </c>
      <c r="I343" s="21">
        <v>-11.880896787207</v>
      </c>
      <c r="J343" s="21">
        <v>31.257529328508699</v>
      </c>
      <c r="K343" s="21">
        <v>44.7</v>
      </c>
      <c r="L343" s="38">
        <v>1994</v>
      </c>
      <c r="M343" s="38">
        <v>1994</v>
      </c>
      <c r="N343" s="3">
        <v>8.66</v>
      </c>
      <c r="O343" s="3" t="s">
        <v>183</v>
      </c>
      <c r="P343" s="5" t="s">
        <v>5187</v>
      </c>
      <c r="Q343" s="3" t="s">
        <v>2061</v>
      </c>
    </row>
    <row r="344" spans="1:17" ht="43.5" customHeight="1">
      <c r="A344" s="31">
        <v>57</v>
      </c>
      <c r="B344" s="54" t="s">
        <v>877</v>
      </c>
      <c r="C344" s="35" t="s">
        <v>876</v>
      </c>
      <c r="D344" s="11" t="s">
        <v>2398</v>
      </c>
      <c r="E344" s="35" t="s">
        <v>2400</v>
      </c>
      <c r="F344" s="3" t="s">
        <v>878</v>
      </c>
      <c r="G344" s="35" t="s">
        <v>872</v>
      </c>
      <c r="H344" s="35" t="s">
        <v>422</v>
      </c>
      <c r="I344" s="73">
        <v>-11.66</v>
      </c>
      <c r="J344" s="73">
        <v>31.1666666666667</v>
      </c>
      <c r="K344" s="73" t="s">
        <v>2276</v>
      </c>
      <c r="L344" s="38">
        <v>1993</v>
      </c>
      <c r="M344" s="38">
        <v>1994</v>
      </c>
      <c r="N344" s="38" t="s">
        <v>2276</v>
      </c>
      <c r="O344" s="38" t="s">
        <v>183</v>
      </c>
      <c r="P344" s="5" t="s">
        <v>5187</v>
      </c>
      <c r="Q344" s="38"/>
    </row>
    <row r="345" spans="1:17" ht="35.5" customHeight="1">
      <c r="A345" s="31">
        <v>58</v>
      </c>
      <c r="B345" s="40" t="s">
        <v>882</v>
      </c>
      <c r="C345" s="11" t="s">
        <v>881</v>
      </c>
      <c r="D345" s="11" t="s">
        <v>2398</v>
      </c>
      <c r="E345" s="3" t="s">
        <v>2399</v>
      </c>
      <c r="F345" s="3" t="s">
        <v>884</v>
      </c>
      <c r="G345" s="3" t="s">
        <v>885</v>
      </c>
      <c r="H345" s="3" t="s">
        <v>770</v>
      </c>
      <c r="I345" s="21">
        <v>19.236110799999999</v>
      </c>
      <c r="J345" s="21">
        <v>-89.314444399999999</v>
      </c>
      <c r="K345" s="21" t="s">
        <v>2276</v>
      </c>
      <c r="L345" s="3">
        <v>2002</v>
      </c>
      <c r="M345" s="3">
        <v>2003</v>
      </c>
      <c r="N345" s="3" t="s">
        <v>2276</v>
      </c>
      <c r="O345" s="38" t="s">
        <v>67</v>
      </c>
      <c r="P345" s="5" t="s">
        <v>5187</v>
      </c>
      <c r="Q345" s="3"/>
    </row>
    <row r="346" spans="1:17" ht="33.5" customHeight="1">
      <c r="A346" s="31">
        <v>59</v>
      </c>
      <c r="B346" s="40" t="s">
        <v>887</v>
      </c>
      <c r="C346" s="11" t="s">
        <v>886</v>
      </c>
      <c r="D346" s="11" t="s">
        <v>2398</v>
      </c>
      <c r="E346" s="3" t="s">
        <v>2399</v>
      </c>
      <c r="F346" s="11" t="s">
        <v>890</v>
      </c>
      <c r="G346" s="3" t="s">
        <v>888</v>
      </c>
      <c r="H346" s="11" t="s">
        <v>889</v>
      </c>
      <c r="I346" s="21">
        <v>9.8000000000000007</v>
      </c>
      <c r="J346" s="21">
        <v>-12.1</v>
      </c>
      <c r="K346" s="21" t="s">
        <v>2276</v>
      </c>
      <c r="L346" s="11">
        <v>1984</v>
      </c>
      <c r="M346" s="11">
        <v>1987</v>
      </c>
      <c r="N346" s="3" t="s">
        <v>2276</v>
      </c>
      <c r="O346" s="38" t="s">
        <v>183</v>
      </c>
      <c r="P346" s="5" t="s">
        <v>5187</v>
      </c>
      <c r="Q346" s="3"/>
    </row>
    <row r="347" spans="1:17" ht="40.5" customHeight="1">
      <c r="A347" s="31">
        <v>60</v>
      </c>
      <c r="B347" s="41" t="s">
        <v>899</v>
      </c>
      <c r="C347" s="11" t="s">
        <v>897</v>
      </c>
      <c r="D347" s="11" t="s">
        <v>2398</v>
      </c>
      <c r="E347" s="3" t="s">
        <v>2399</v>
      </c>
      <c r="F347" s="11" t="s">
        <v>893</v>
      </c>
      <c r="G347" s="11" t="s">
        <v>894</v>
      </c>
      <c r="H347" s="11" t="s">
        <v>895</v>
      </c>
      <c r="I347" s="74">
        <v>-0.4</v>
      </c>
      <c r="J347" s="74">
        <v>110.1</v>
      </c>
      <c r="K347" s="21">
        <v>10</v>
      </c>
      <c r="L347" s="3">
        <v>1990</v>
      </c>
      <c r="M347" s="3">
        <v>1995</v>
      </c>
      <c r="N347" s="3" t="s">
        <v>2276</v>
      </c>
      <c r="O347" s="3" t="s">
        <v>183</v>
      </c>
      <c r="P347" s="5" t="s">
        <v>5187</v>
      </c>
      <c r="Q347" s="3" t="s">
        <v>896</v>
      </c>
    </row>
    <row r="348" spans="1:17" ht="36" customHeight="1">
      <c r="A348" s="31">
        <v>61</v>
      </c>
      <c r="B348" s="40" t="s">
        <v>901</v>
      </c>
      <c r="C348" s="11" t="s">
        <v>900</v>
      </c>
      <c r="D348" s="11" t="s">
        <v>2398</v>
      </c>
      <c r="E348" s="3" t="s">
        <v>2399</v>
      </c>
      <c r="F348" s="3" t="s">
        <v>884</v>
      </c>
      <c r="G348" s="3" t="s">
        <v>885</v>
      </c>
      <c r="H348" s="3" t="s">
        <v>770</v>
      </c>
      <c r="I348" s="21">
        <v>19.236110799999999</v>
      </c>
      <c r="J348" s="21">
        <v>-89.314444399999999</v>
      </c>
      <c r="K348" s="21">
        <v>73.400000000000006</v>
      </c>
      <c r="L348" s="3">
        <v>2000</v>
      </c>
      <c r="M348" s="3">
        <v>2000</v>
      </c>
      <c r="N348" s="3">
        <v>40.599454999999999</v>
      </c>
      <c r="O348" s="3" t="s">
        <v>183</v>
      </c>
      <c r="P348" s="5" t="s">
        <v>5187</v>
      </c>
      <c r="Q348" s="3"/>
    </row>
    <row r="349" spans="1:17" ht="31" customHeight="1">
      <c r="A349" s="31">
        <v>62</v>
      </c>
      <c r="B349" s="40" t="s">
        <v>906</v>
      </c>
      <c r="C349" s="11" t="s">
        <v>905</v>
      </c>
      <c r="D349" s="11" t="s">
        <v>2398</v>
      </c>
      <c r="E349" s="3" t="s">
        <v>2399</v>
      </c>
      <c r="F349" s="11" t="s">
        <v>907</v>
      </c>
      <c r="G349" s="3" t="s">
        <v>2276</v>
      </c>
      <c r="H349" s="3" t="s">
        <v>659</v>
      </c>
      <c r="I349" s="21">
        <v>-7.7889141000000004</v>
      </c>
      <c r="J349" s="21">
        <v>-74.964837000000003</v>
      </c>
      <c r="K349" s="21" t="s">
        <v>2276</v>
      </c>
      <c r="L349" s="3">
        <v>1986</v>
      </c>
      <c r="M349" s="3">
        <v>1986</v>
      </c>
      <c r="N349" s="3" t="s">
        <v>2276</v>
      </c>
      <c r="O349" s="3" t="s">
        <v>183</v>
      </c>
      <c r="P349" s="5" t="s">
        <v>5187</v>
      </c>
      <c r="Q349" s="3" t="s">
        <v>2214</v>
      </c>
    </row>
    <row r="350" spans="1:17" ht="31" customHeight="1">
      <c r="A350" s="31">
        <v>62</v>
      </c>
      <c r="B350" s="40" t="s">
        <v>906</v>
      </c>
      <c r="C350" s="11" t="s">
        <v>908</v>
      </c>
      <c r="D350" s="11" t="s">
        <v>2398</v>
      </c>
      <c r="E350" s="3" t="s">
        <v>2399</v>
      </c>
      <c r="F350" s="11" t="s">
        <v>907</v>
      </c>
      <c r="G350" s="3" t="s">
        <v>2276</v>
      </c>
      <c r="H350" s="3" t="s">
        <v>659</v>
      </c>
      <c r="I350" s="21">
        <v>-7.7889141000000004</v>
      </c>
      <c r="J350" s="21">
        <v>-74.964837000000003</v>
      </c>
      <c r="K350" s="21" t="s">
        <v>2276</v>
      </c>
      <c r="L350" s="3">
        <v>1996</v>
      </c>
      <c r="M350" s="3">
        <v>1996</v>
      </c>
      <c r="N350" s="3" t="s">
        <v>2276</v>
      </c>
      <c r="O350" s="3" t="s">
        <v>183</v>
      </c>
      <c r="P350" s="5" t="s">
        <v>5187</v>
      </c>
      <c r="Q350" s="3" t="s">
        <v>2214</v>
      </c>
    </row>
    <row r="351" spans="1:17" ht="31" customHeight="1">
      <c r="A351" s="31">
        <v>62</v>
      </c>
      <c r="B351" s="40" t="s">
        <v>906</v>
      </c>
      <c r="C351" s="11" t="s">
        <v>919</v>
      </c>
      <c r="D351" s="11" t="s">
        <v>2398</v>
      </c>
      <c r="E351" s="3" t="s">
        <v>2399</v>
      </c>
      <c r="F351" s="11" t="s">
        <v>907</v>
      </c>
      <c r="G351" s="3" t="s">
        <v>2276</v>
      </c>
      <c r="H351" s="3" t="s">
        <v>659</v>
      </c>
      <c r="I351" s="21">
        <v>-7.7889141000000004</v>
      </c>
      <c r="J351" s="21">
        <v>-74.964837000000003</v>
      </c>
      <c r="K351" s="21" t="s">
        <v>2276</v>
      </c>
      <c r="L351" s="3">
        <v>2006</v>
      </c>
      <c r="M351" s="3">
        <v>2006</v>
      </c>
      <c r="N351" s="3" t="s">
        <v>2276</v>
      </c>
      <c r="O351" s="3" t="s">
        <v>183</v>
      </c>
      <c r="P351" s="5" t="s">
        <v>5187</v>
      </c>
      <c r="Q351" s="3" t="s">
        <v>2214</v>
      </c>
    </row>
    <row r="352" spans="1:17" ht="31" customHeight="1">
      <c r="A352" s="31">
        <v>62</v>
      </c>
      <c r="B352" s="40" t="s">
        <v>906</v>
      </c>
      <c r="C352" s="11" t="s">
        <v>920</v>
      </c>
      <c r="D352" s="11" t="s">
        <v>2398</v>
      </c>
      <c r="E352" s="3" t="s">
        <v>2399</v>
      </c>
      <c r="F352" s="11" t="s">
        <v>953</v>
      </c>
      <c r="G352" s="3" t="s">
        <v>2276</v>
      </c>
      <c r="H352" s="3" t="s">
        <v>659</v>
      </c>
      <c r="I352" s="21">
        <v>-7.7889141000000004</v>
      </c>
      <c r="J352" s="21">
        <v>-74.964837000000003</v>
      </c>
      <c r="K352" s="21" t="s">
        <v>2276</v>
      </c>
      <c r="L352" s="3">
        <v>2007</v>
      </c>
      <c r="M352" s="3">
        <v>2007</v>
      </c>
      <c r="N352" s="3" t="s">
        <v>2276</v>
      </c>
      <c r="O352" s="3" t="s">
        <v>183</v>
      </c>
      <c r="P352" s="5" t="s">
        <v>5187</v>
      </c>
      <c r="Q352" s="3" t="s">
        <v>2214</v>
      </c>
    </row>
    <row r="353" spans="1:17" ht="31" customHeight="1">
      <c r="A353" s="31">
        <v>62</v>
      </c>
      <c r="B353" s="40" t="s">
        <v>906</v>
      </c>
      <c r="C353" s="11" t="s">
        <v>921</v>
      </c>
      <c r="D353" s="11" t="s">
        <v>2398</v>
      </c>
      <c r="E353" s="3" t="s">
        <v>2399</v>
      </c>
      <c r="F353" s="11" t="s">
        <v>922</v>
      </c>
      <c r="G353" s="3" t="s">
        <v>2276</v>
      </c>
      <c r="H353" s="3" t="s">
        <v>659</v>
      </c>
      <c r="I353" s="21">
        <v>-8.2927380999999993</v>
      </c>
      <c r="J353" s="21">
        <v>-74.420045299999998</v>
      </c>
      <c r="K353" s="21" t="s">
        <v>2276</v>
      </c>
      <c r="L353" s="3">
        <v>2007</v>
      </c>
      <c r="M353" s="3">
        <v>2007</v>
      </c>
      <c r="N353" s="3" t="s">
        <v>2276</v>
      </c>
      <c r="O353" s="3" t="s">
        <v>183</v>
      </c>
      <c r="P353" s="5" t="s">
        <v>5187</v>
      </c>
      <c r="Q353" s="3" t="s">
        <v>2214</v>
      </c>
    </row>
    <row r="354" spans="1:17" ht="32.5" customHeight="1">
      <c r="A354" s="31">
        <v>63</v>
      </c>
      <c r="B354" s="40" t="s">
        <v>912</v>
      </c>
      <c r="C354" s="11" t="s">
        <v>911</v>
      </c>
      <c r="D354" s="11" t="s">
        <v>2398</v>
      </c>
      <c r="E354" s="3" t="s">
        <v>2400</v>
      </c>
      <c r="F354" s="11" t="s">
        <v>909</v>
      </c>
      <c r="G354" s="3" t="s">
        <v>910</v>
      </c>
      <c r="H354" s="3" t="s">
        <v>121</v>
      </c>
      <c r="I354" s="21">
        <v>-1.3930022</v>
      </c>
      <c r="J354" s="21">
        <v>-48.861753499999999</v>
      </c>
      <c r="K354" s="21">
        <v>3365</v>
      </c>
      <c r="L354" s="11">
        <v>2000</v>
      </c>
      <c r="M354" s="11">
        <v>2000</v>
      </c>
      <c r="N354" s="3">
        <v>5.5</v>
      </c>
      <c r="O354" s="3" t="s">
        <v>67</v>
      </c>
      <c r="P354" s="5" t="s">
        <v>5187</v>
      </c>
      <c r="Q354" s="3"/>
    </row>
    <row r="355" spans="1:17" ht="40" customHeight="1">
      <c r="A355" s="154">
        <v>64</v>
      </c>
      <c r="B355" s="57" t="s">
        <v>5055</v>
      </c>
      <c r="C355" s="23" t="s">
        <v>933</v>
      </c>
      <c r="D355" s="11" t="s">
        <v>2398</v>
      </c>
      <c r="E355" s="3" t="s">
        <v>2400</v>
      </c>
      <c r="F355" s="11" t="s">
        <v>5056</v>
      </c>
      <c r="G355" s="11" t="s">
        <v>3738</v>
      </c>
      <c r="H355" s="11" t="s">
        <v>1950</v>
      </c>
      <c r="I355" s="74">
        <f>6 + 53/60</f>
        <v>6.8833333333333329</v>
      </c>
      <c r="J355" s="74">
        <f>39 + 32/60</f>
        <v>39.533333333333331</v>
      </c>
      <c r="K355" s="74">
        <f>95*40*0.69</f>
        <v>2622</v>
      </c>
      <c r="L355" s="11">
        <v>1968</v>
      </c>
      <c r="M355" s="11">
        <v>2016</v>
      </c>
      <c r="N355" s="11" t="s">
        <v>2276</v>
      </c>
      <c r="O355" s="3" t="s">
        <v>67</v>
      </c>
      <c r="P355" s="5" t="s">
        <v>5187</v>
      </c>
      <c r="Q355" s="11"/>
    </row>
    <row r="356" spans="1:17" ht="40" customHeight="1">
      <c r="A356" s="154">
        <v>64</v>
      </c>
      <c r="B356" s="57" t="s">
        <v>5055</v>
      </c>
      <c r="C356" s="23" t="s">
        <v>5059</v>
      </c>
      <c r="D356" s="11" t="s">
        <v>2398</v>
      </c>
      <c r="E356" s="3" t="s">
        <v>2400</v>
      </c>
      <c r="F356" s="11" t="s">
        <v>5057</v>
      </c>
      <c r="G356" s="11" t="s">
        <v>3738</v>
      </c>
      <c r="H356" s="11" t="s">
        <v>1950</v>
      </c>
      <c r="I356" s="74">
        <f t="shared" ref="I356" si="1">6 + 53/60</f>
        <v>6.8833333333333329</v>
      </c>
      <c r="J356" s="74">
        <f t="shared" ref="J356" si="2">39 + 32/60</f>
        <v>39.533333333333331</v>
      </c>
      <c r="K356" s="74">
        <f>95*40*0.31</f>
        <v>1178</v>
      </c>
      <c r="L356" s="11">
        <v>1968</v>
      </c>
      <c r="M356" s="11">
        <v>2016</v>
      </c>
      <c r="N356" s="11" t="s">
        <v>2276</v>
      </c>
      <c r="O356" s="3" t="s">
        <v>67</v>
      </c>
      <c r="P356" s="5" t="s">
        <v>5187</v>
      </c>
      <c r="Q356" s="11" t="s">
        <v>5058</v>
      </c>
    </row>
    <row r="357" spans="1:17" ht="32.5" customHeight="1">
      <c r="A357" s="31">
        <v>65</v>
      </c>
      <c r="B357" s="40" t="s">
        <v>928</v>
      </c>
      <c r="C357" s="11" t="s">
        <v>927</v>
      </c>
      <c r="D357" s="11" t="s">
        <v>2398</v>
      </c>
      <c r="E357" s="3" t="s">
        <v>2400</v>
      </c>
      <c r="F357" s="3" t="s">
        <v>930</v>
      </c>
      <c r="G357" s="3" t="s">
        <v>2276</v>
      </c>
      <c r="H357" s="3" t="s">
        <v>929</v>
      </c>
      <c r="I357" s="21">
        <v>-2</v>
      </c>
      <c r="J357" s="21">
        <v>-78</v>
      </c>
      <c r="K357" s="21" t="s">
        <v>2276</v>
      </c>
      <c r="L357" s="3">
        <v>1987</v>
      </c>
      <c r="M357" s="3">
        <v>1987</v>
      </c>
      <c r="N357" s="3" t="s">
        <v>2276</v>
      </c>
      <c r="O357" s="3" t="s">
        <v>149</v>
      </c>
      <c r="P357" s="5" t="s">
        <v>5187</v>
      </c>
      <c r="Q357" s="3" t="s">
        <v>2214</v>
      </c>
    </row>
    <row r="358" spans="1:17" ht="31" customHeight="1">
      <c r="A358" s="31">
        <v>65</v>
      </c>
      <c r="B358" s="40" t="s">
        <v>928</v>
      </c>
      <c r="C358" s="11" t="s">
        <v>932</v>
      </c>
      <c r="D358" s="11" t="s">
        <v>2398</v>
      </c>
      <c r="E358" s="3" t="s">
        <v>2400</v>
      </c>
      <c r="F358" s="3" t="s">
        <v>930</v>
      </c>
      <c r="G358" s="3" t="s">
        <v>2276</v>
      </c>
      <c r="H358" s="3" t="s">
        <v>929</v>
      </c>
      <c r="I358" s="21">
        <v>-2</v>
      </c>
      <c r="J358" s="21">
        <v>-78</v>
      </c>
      <c r="K358" s="21" t="s">
        <v>2276</v>
      </c>
      <c r="L358" s="3">
        <v>1997</v>
      </c>
      <c r="M358" s="3">
        <v>1997</v>
      </c>
      <c r="N358" s="3" t="s">
        <v>2276</v>
      </c>
      <c r="O358" s="3" t="s">
        <v>183</v>
      </c>
      <c r="P358" s="5" t="s">
        <v>5187</v>
      </c>
      <c r="Q358" s="3" t="s">
        <v>2214</v>
      </c>
    </row>
    <row r="359" spans="1:17" ht="33" customHeight="1">
      <c r="A359" s="31">
        <v>66</v>
      </c>
      <c r="B359" s="40" t="s">
        <v>939</v>
      </c>
      <c r="C359" s="11" t="s">
        <v>938</v>
      </c>
      <c r="D359" s="11" t="s">
        <v>2398</v>
      </c>
      <c r="E359" s="3" t="s">
        <v>2399</v>
      </c>
      <c r="F359" s="3" t="s">
        <v>940</v>
      </c>
      <c r="G359" s="3" t="s">
        <v>2276</v>
      </c>
      <c r="H359" s="3" t="s">
        <v>584</v>
      </c>
      <c r="I359" s="21">
        <v>5.5308409999999997</v>
      </c>
      <c r="J359" s="21">
        <v>-67.405763300000004</v>
      </c>
      <c r="K359" s="21" t="s">
        <v>2276</v>
      </c>
      <c r="L359" s="3">
        <v>2000</v>
      </c>
      <c r="M359" s="3">
        <v>2000</v>
      </c>
      <c r="N359" s="3" t="s">
        <v>2276</v>
      </c>
      <c r="O359" s="3" t="s">
        <v>183</v>
      </c>
      <c r="P359" s="5" t="s">
        <v>5187</v>
      </c>
      <c r="Q359" s="3" t="s">
        <v>2214</v>
      </c>
    </row>
    <row r="360" spans="1:17" ht="29.5" customHeight="1">
      <c r="A360" s="31">
        <v>67</v>
      </c>
      <c r="B360" s="40" t="s">
        <v>945</v>
      </c>
      <c r="C360" s="11" t="s">
        <v>944</v>
      </c>
      <c r="D360" s="11" t="s">
        <v>2398</v>
      </c>
      <c r="E360" s="3" t="s">
        <v>2400</v>
      </c>
      <c r="F360" s="3" t="s">
        <v>947</v>
      </c>
      <c r="G360" s="3" t="s">
        <v>2276</v>
      </c>
      <c r="H360" s="3" t="s">
        <v>659</v>
      </c>
      <c r="I360" s="21">
        <v>-3.9191615999999998</v>
      </c>
      <c r="J360" s="21">
        <v>-73.166010400000005</v>
      </c>
      <c r="K360" s="21">
        <v>69.48</v>
      </c>
      <c r="L360" s="3">
        <v>1993</v>
      </c>
      <c r="M360" s="3">
        <v>1993</v>
      </c>
      <c r="N360" s="3">
        <v>24.525043199999999</v>
      </c>
      <c r="O360" s="3" t="s">
        <v>149</v>
      </c>
      <c r="P360" s="5" t="s">
        <v>5187</v>
      </c>
      <c r="Q360" s="3" t="s">
        <v>2214</v>
      </c>
    </row>
    <row r="361" spans="1:17" ht="32" customHeight="1">
      <c r="A361" s="31">
        <v>67</v>
      </c>
      <c r="B361" s="40" t="s">
        <v>945</v>
      </c>
      <c r="C361" s="11" t="s">
        <v>946</v>
      </c>
      <c r="D361" s="11" t="s">
        <v>2398</v>
      </c>
      <c r="E361" s="3" t="s">
        <v>2400</v>
      </c>
      <c r="F361" s="3" t="s">
        <v>947</v>
      </c>
      <c r="G361" s="3" t="s">
        <v>2276</v>
      </c>
      <c r="H361" s="3" t="s">
        <v>659</v>
      </c>
      <c r="I361" s="21">
        <v>-3.9191615999999998</v>
      </c>
      <c r="J361" s="21">
        <v>-73.166010400000005</v>
      </c>
      <c r="K361" s="21">
        <v>69.48</v>
      </c>
      <c r="L361" s="3">
        <v>2005</v>
      </c>
      <c r="M361" s="3">
        <v>2005</v>
      </c>
      <c r="N361" s="3">
        <v>22.279792700000002</v>
      </c>
      <c r="O361" s="3" t="s">
        <v>149</v>
      </c>
      <c r="P361" s="5" t="s">
        <v>5187</v>
      </c>
      <c r="Q361" s="3" t="s">
        <v>2214</v>
      </c>
    </row>
    <row r="362" spans="1:17" ht="33.5" customHeight="1">
      <c r="A362" s="31">
        <v>68</v>
      </c>
      <c r="B362" s="40" t="s">
        <v>955</v>
      </c>
      <c r="C362" s="11" t="s">
        <v>954</v>
      </c>
      <c r="D362" s="11" t="s">
        <v>2398</v>
      </c>
      <c r="E362" s="3" t="s">
        <v>2399</v>
      </c>
      <c r="F362" s="3" t="s">
        <v>956</v>
      </c>
      <c r="G362" s="3" t="s">
        <v>2276</v>
      </c>
      <c r="H362" s="3" t="s">
        <v>121</v>
      </c>
      <c r="I362" s="21">
        <v>-4.4984377000000002</v>
      </c>
      <c r="J362" s="21">
        <v>-44.899010099999998</v>
      </c>
      <c r="K362" s="21" t="s">
        <v>2276</v>
      </c>
      <c r="L362" s="3">
        <v>1999</v>
      </c>
      <c r="M362" s="3">
        <v>2001</v>
      </c>
      <c r="N362" s="3" t="s">
        <v>2276</v>
      </c>
      <c r="O362" s="3" t="s">
        <v>183</v>
      </c>
      <c r="P362" s="5" t="s">
        <v>5187</v>
      </c>
      <c r="Q362" s="3" t="s">
        <v>2214</v>
      </c>
    </row>
    <row r="363" spans="1:17" ht="40" customHeight="1">
      <c r="A363" s="31">
        <v>69</v>
      </c>
      <c r="B363" s="40" t="s">
        <v>960</v>
      </c>
      <c r="C363" s="11" t="s">
        <v>959</v>
      </c>
      <c r="D363" s="11" t="s">
        <v>2398</v>
      </c>
      <c r="E363" s="3" t="s">
        <v>2399</v>
      </c>
      <c r="F363" s="3" t="s">
        <v>669</v>
      </c>
      <c r="G363" s="3" t="s">
        <v>670</v>
      </c>
      <c r="H363" s="3" t="s">
        <v>733</v>
      </c>
      <c r="I363" s="21">
        <v>19.8333333</v>
      </c>
      <c r="J363" s="21">
        <v>102.16666666666001</v>
      </c>
      <c r="K363" s="21">
        <v>4.3</v>
      </c>
      <c r="L363" s="3">
        <v>2001</v>
      </c>
      <c r="M363" s="3">
        <v>2003</v>
      </c>
      <c r="N363" s="3">
        <v>116.9767442</v>
      </c>
      <c r="O363" s="3" t="s">
        <v>183</v>
      </c>
      <c r="P363" s="5" t="s">
        <v>5187</v>
      </c>
      <c r="Q363" s="3"/>
    </row>
    <row r="364" spans="1:17" ht="33.5" customHeight="1">
      <c r="A364" s="31">
        <v>69</v>
      </c>
      <c r="B364" s="40" t="s">
        <v>960</v>
      </c>
      <c r="C364" s="11" t="s">
        <v>965</v>
      </c>
      <c r="D364" s="11" t="s">
        <v>2398</v>
      </c>
      <c r="E364" s="3" t="s">
        <v>2399</v>
      </c>
      <c r="F364" s="3" t="s">
        <v>669</v>
      </c>
      <c r="G364" s="3" t="s">
        <v>670</v>
      </c>
      <c r="H364" s="3" t="s">
        <v>733</v>
      </c>
      <c r="I364" s="21">
        <v>19.8333333</v>
      </c>
      <c r="J364" s="21">
        <v>102.16666666666001</v>
      </c>
      <c r="K364" s="21">
        <v>4.3</v>
      </c>
      <c r="L364" s="11">
        <v>1995</v>
      </c>
      <c r="M364" s="11">
        <v>1995</v>
      </c>
      <c r="N364" s="3">
        <v>94.8837209</v>
      </c>
      <c r="O364" s="3" t="s">
        <v>183</v>
      </c>
      <c r="P364" s="5" t="s">
        <v>5187</v>
      </c>
      <c r="Q364" s="3"/>
    </row>
    <row r="365" spans="1:17" ht="43.5">
      <c r="A365" s="31">
        <v>69</v>
      </c>
      <c r="B365" s="40" t="s">
        <v>960</v>
      </c>
      <c r="C365" s="11" t="s">
        <v>966</v>
      </c>
      <c r="D365" s="11" t="s">
        <v>2398</v>
      </c>
      <c r="E365" s="3" t="s">
        <v>2399</v>
      </c>
      <c r="F365" s="3" t="s">
        <v>669</v>
      </c>
      <c r="G365" s="3" t="s">
        <v>670</v>
      </c>
      <c r="H365" s="3" t="s">
        <v>733</v>
      </c>
      <c r="I365" s="21">
        <v>19.8333333</v>
      </c>
      <c r="J365" s="21">
        <v>102.16666666666001</v>
      </c>
      <c r="K365" s="21">
        <v>4.3</v>
      </c>
      <c r="L365" s="11">
        <v>1990</v>
      </c>
      <c r="M365" s="11">
        <v>1990</v>
      </c>
      <c r="N365" s="3">
        <v>81.162790700000002</v>
      </c>
      <c r="O365" s="3" t="s">
        <v>183</v>
      </c>
      <c r="P365" s="5" t="s">
        <v>5187</v>
      </c>
      <c r="Q365" s="4" t="s">
        <v>967</v>
      </c>
    </row>
    <row r="366" spans="1:17" ht="43" customHeight="1">
      <c r="A366" s="31">
        <v>70</v>
      </c>
      <c r="B366" s="40" t="s">
        <v>971</v>
      </c>
      <c r="C366" s="11" t="s">
        <v>975</v>
      </c>
      <c r="D366" s="11" t="s">
        <v>2398</v>
      </c>
      <c r="E366" s="3" t="s">
        <v>2399</v>
      </c>
      <c r="F366" s="11" t="s">
        <v>2276</v>
      </c>
      <c r="G366" s="11" t="s">
        <v>974</v>
      </c>
      <c r="H366" s="11" t="s">
        <v>972</v>
      </c>
      <c r="I366" s="21">
        <v>21.7688749</v>
      </c>
      <c r="J366" s="21">
        <v>92.368007399999996</v>
      </c>
      <c r="K366" s="21" t="s">
        <v>2276</v>
      </c>
      <c r="L366" s="8">
        <v>2002</v>
      </c>
      <c r="M366" s="8">
        <v>2002</v>
      </c>
      <c r="N366" s="3" t="s">
        <v>2276</v>
      </c>
      <c r="O366" s="3" t="s">
        <v>183</v>
      </c>
      <c r="P366" s="5" t="s">
        <v>5187</v>
      </c>
      <c r="Q366" s="9" t="s">
        <v>973</v>
      </c>
    </row>
    <row r="367" spans="1:17" ht="39" customHeight="1">
      <c r="A367" s="31">
        <v>71</v>
      </c>
      <c r="B367" s="40" t="s">
        <v>982</v>
      </c>
      <c r="C367" s="11" t="s">
        <v>977</v>
      </c>
      <c r="D367" s="11" t="s">
        <v>2416</v>
      </c>
      <c r="E367" s="3" t="s">
        <v>2399</v>
      </c>
      <c r="F367" s="11" t="s">
        <v>978</v>
      </c>
      <c r="G367" s="3" t="s">
        <v>2276</v>
      </c>
      <c r="H367" s="11" t="s">
        <v>979</v>
      </c>
      <c r="I367" s="21">
        <v>13.7234768</v>
      </c>
      <c r="J367" s="21">
        <v>107.0623339</v>
      </c>
      <c r="K367" s="21">
        <v>14.3125</v>
      </c>
      <c r="L367" s="11">
        <v>1984</v>
      </c>
      <c r="M367" s="11">
        <v>2007</v>
      </c>
      <c r="N367" s="3">
        <v>32</v>
      </c>
      <c r="O367" s="3" t="s">
        <v>67</v>
      </c>
      <c r="P367" s="5" t="s">
        <v>5187</v>
      </c>
      <c r="Q367" s="3" t="s">
        <v>2214</v>
      </c>
    </row>
    <row r="368" spans="1:17" ht="39" customHeight="1">
      <c r="A368" s="31">
        <v>71</v>
      </c>
      <c r="B368" s="40" t="s">
        <v>982</v>
      </c>
      <c r="C368" s="11" t="s">
        <v>980</v>
      </c>
      <c r="D368" s="11" t="s">
        <v>2416</v>
      </c>
      <c r="E368" s="3" t="s">
        <v>2399</v>
      </c>
      <c r="F368" s="11" t="s">
        <v>983</v>
      </c>
      <c r="G368" s="3" t="s">
        <v>2276</v>
      </c>
      <c r="H368" s="11" t="s">
        <v>979</v>
      </c>
      <c r="I368" s="21">
        <v>13.743923499999999</v>
      </c>
      <c r="J368" s="21">
        <v>107.2633027</v>
      </c>
      <c r="K368" s="21">
        <v>15.975</v>
      </c>
      <c r="L368" s="11">
        <v>1984</v>
      </c>
      <c r="M368" s="11">
        <v>2007</v>
      </c>
      <c r="N368" s="3">
        <v>40</v>
      </c>
      <c r="O368" s="3" t="s">
        <v>67</v>
      </c>
      <c r="P368" s="5" t="s">
        <v>5187</v>
      </c>
      <c r="Q368" s="3" t="s">
        <v>2214</v>
      </c>
    </row>
    <row r="369" spans="1:17" ht="32.5" customHeight="1">
      <c r="A369" s="31">
        <v>71</v>
      </c>
      <c r="B369" s="40" t="s">
        <v>982</v>
      </c>
      <c r="C369" s="11" t="s">
        <v>981</v>
      </c>
      <c r="D369" s="11" t="s">
        <v>2416</v>
      </c>
      <c r="E369" s="3" t="s">
        <v>2399</v>
      </c>
      <c r="F369" s="11" t="s">
        <v>984</v>
      </c>
      <c r="G369" s="3" t="s">
        <v>2276</v>
      </c>
      <c r="H369" s="11" t="s">
        <v>979</v>
      </c>
      <c r="I369" s="21">
        <v>13.8420044</v>
      </c>
      <c r="J369" s="21">
        <v>107.1566967</v>
      </c>
      <c r="K369" s="21">
        <v>26.470590000000001</v>
      </c>
      <c r="L369" s="11">
        <v>1984</v>
      </c>
      <c r="M369" s="11">
        <v>2007</v>
      </c>
      <c r="N369" s="3">
        <v>17</v>
      </c>
      <c r="O369" s="3" t="s">
        <v>67</v>
      </c>
      <c r="P369" s="5" t="s">
        <v>5187</v>
      </c>
      <c r="Q369" s="3" t="s">
        <v>2214</v>
      </c>
    </row>
    <row r="370" spans="1:17" ht="30" customHeight="1">
      <c r="A370" s="31">
        <v>72</v>
      </c>
      <c r="B370" s="40" t="s">
        <v>998</v>
      </c>
      <c r="C370" s="11" t="s">
        <v>989</v>
      </c>
      <c r="D370" s="11" t="s">
        <v>2398</v>
      </c>
      <c r="E370" s="3" t="s">
        <v>2399</v>
      </c>
      <c r="F370" s="3" t="s">
        <v>999</v>
      </c>
      <c r="G370" s="3" t="s">
        <v>1000</v>
      </c>
      <c r="H370" s="3" t="s">
        <v>114</v>
      </c>
      <c r="I370" s="21">
        <v>21.683333333333302</v>
      </c>
      <c r="J370" s="21">
        <v>101.416666666667</v>
      </c>
      <c r="K370" s="21" t="s">
        <v>2276</v>
      </c>
      <c r="L370" s="3">
        <v>1985</v>
      </c>
      <c r="M370" s="3">
        <v>1985</v>
      </c>
      <c r="N370" s="3" t="s">
        <v>2276</v>
      </c>
      <c r="O370" s="3" t="s">
        <v>183</v>
      </c>
      <c r="P370" s="5" t="s">
        <v>5187</v>
      </c>
      <c r="Q370" s="3"/>
    </row>
    <row r="371" spans="1:17" ht="29" customHeight="1">
      <c r="A371" s="31">
        <v>72</v>
      </c>
      <c r="B371" s="40" t="s">
        <v>998</v>
      </c>
      <c r="C371" s="11" t="s">
        <v>990</v>
      </c>
      <c r="D371" s="11" t="s">
        <v>2398</v>
      </c>
      <c r="E371" s="3" t="s">
        <v>2399</v>
      </c>
      <c r="F371" s="3" t="s">
        <v>999</v>
      </c>
      <c r="G371" s="3" t="s">
        <v>1000</v>
      </c>
      <c r="H371" s="3" t="s">
        <v>114</v>
      </c>
      <c r="I371" s="21">
        <v>21.683333333333302</v>
      </c>
      <c r="J371" s="21">
        <v>101.416666666667</v>
      </c>
      <c r="K371" s="21" t="s">
        <v>2276</v>
      </c>
      <c r="L371" s="3">
        <v>1987</v>
      </c>
      <c r="M371" s="3">
        <v>1987</v>
      </c>
      <c r="N371" s="3" t="s">
        <v>2276</v>
      </c>
      <c r="O371" s="3" t="s">
        <v>183</v>
      </c>
      <c r="P371" s="5" t="s">
        <v>5187</v>
      </c>
      <c r="Q371" s="3"/>
    </row>
    <row r="372" spans="1:17" ht="27" customHeight="1">
      <c r="A372" s="31">
        <v>72</v>
      </c>
      <c r="B372" s="40" t="s">
        <v>998</v>
      </c>
      <c r="C372" s="11" t="s">
        <v>991</v>
      </c>
      <c r="D372" s="11" t="s">
        <v>2398</v>
      </c>
      <c r="E372" s="3" t="s">
        <v>2399</v>
      </c>
      <c r="F372" s="3" t="s">
        <v>999</v>
      </c>
      <c r="G372" s="3" t="s">
        <v>1000</v>
      </c>
      <c r="H372" s="3" t="s">
        <v>114</v>
      </c>
      <c r="I372" s="21">
        <v>21.683333333333302</v>
      </c>
      <c r="J372" s="21">
        <v>101.416666666667</v>
      </c>
      <c r="K372" s="21" t="s">
        <v>2276</v>
      </c>
      <c r="L372" s="3">
        <v>1990</v>
      </c>
      <c r="M372" s="3">
        <v>1990</v>
      </c>
      <c r="N372" s="3" t="s">
        <v>2276</v>
      </c>
      <c r="O372" s="3" t="s">
        <v>183</v>
      </c>
      <c r="P372" s="5" t="s">
        <v>5187</v>
      </c>
      <c r="Q372" s="3"/>
    </row>
    <row r="373" spans="1:17" ht="29" customHeight="1">
      <c r="A373" s="31">
        <v>72</v>
      </c>
      <c r="B373" s="40" t="s">
        <v>998</v>
      </c>
      <c r="C373" s="11" t="s">
        <v>992</v>
      </c>
      <c r="D373" s="11" t="s">
        <v>2398</v>
      </c>
      <c r="E373" s="3" t="s">
        <v>2399</v>
      </c>
      <c r="F373" s="3" t="s">
        <v>999</v>
      </c>
      <c r="G373" s="3" t="s">
        <v>1000</v>
      </c>
      <c r="H373" s="3" t="s">
        <v>114</v>
      </c>
      <c r="I373" s="21">
        <v>21.683333333333302</v>
      </c>
      <c r="J373" s="21">
        <v>101.416666666667</v>
      </c>
      <c r="K373" s="21" t="s">
        <v>2276</v>
      </c>
      <c r="L373" s="3">
        <v>1995</v>
      </c>
      <c r="M373" s="3">
        <v>1995</v>
      </c>
      <c r="N373" s="3" t="s">
        <v>2276</v>
      </c>
      <c r="O373" s="3" t="s">
        <v>183</v>
      </c>
      <c r="P373" s="5" t="s">
        <v>5187</v>
      </c>
      <c r="Q373" s="3"/>
    </row>
    <row r="374" spans="1:17" ht="31.5" customHeight="1">
      <c r="A374" s="31">
        <v>72</v>
      </c>
      <c r="B374" s="40" t="s">
        <v>998</v>
      </c>
      <c r="C374" s="11" t="s">
        <v>993</v>
      </c>
      <c r="D374" s="11" t="s">
        <v>2398</v>
      </c>
      <c r="E374" s="3" t="s">
        <v>2399</v>
      </c>
      <c r="F374" s="3" t="s">
        <v>999</v>
      </c>
      <c r="G374" s="3" t="s">
        <v>1000</v>
      </c>
      <c r="H374" s="3" t="s">
        <v>114</v>
      </c>
      <c r="I374" s="21">
        <v>21.683333333333302</v>
      </c>
      <c r="J374" s="21">
        <v>101.416666666667</v>
      </c>
      <c r="K374" s="21" t="s">
        <v>2276</v>
      </c>
      <c r="L374" s="3">
        <v>2000</v>
      </c>
      <c r="M374" s="3">
        <v>2000</v>
      </c>
      <c r="N374" s="3" t="s">
        <v>2276</v>
      </c>
      <c r="O374" s="3" t="s">
        <v>183</v>
      </c>
      <c r="P374" s="5" t="s">
        <v>5187</v>
      </c>
      <c r="Q374" s="3"/>
    </row>
    <row r="375" spans="1:17" ht="26.5" customHeight="1">
      <c r="A375" s="31">
        <v>72</v>
      </c>
      <c r="B375" s="40" t="s">
        <v>998</v>
      </c>
      <c r="C375" s="11" t="s">
        <v>994</v>
      </c>
      <c r="D375" s="11" t="s">
        <v>2398</v>
      </c>
      <c r="E375" s="3" t="s">
        <v>2399</v>
      </c>
      <c r="F375" s="3" t="s">
        <v>1001</v>
      </c>
      <c r="G375" s="3" t="s">
        <v>1000</v>
      </c>
      <c r="H375" s="3" t="s">
        <v>114</v>
      </c>
      <c r="I375" s="21">
        <v>21.983333333333299</v>
      </c>
      <c r="J375" s="21">
        <v>101.15</v>
      </c>
      <c r="K375" s="21">
        <v>2.4724119999999998</v>
      </c>
      <c r="L375" s="3">
        <v>1987</v>
      </c>
      <c r="M375" s="3">
        <v>1987</v>
      </c>
      <c r="N375" s="3">
        <v>1.0313816</v>
      </c>
      <c r="O375" s="3" t="s">
        <v>183</v>
      </c>
      <c r="P375" s="5" t="s">
        <v>5187</v>
      </c>
      <c r="Q375" s="3"/>
    </row>
    <row r="376" spans="1:17" ht="28" customHeight="1">
      <c r="A376" s="31">
        <v>72</v>
      </c>
      <c r="B376" s="40" t="s">
        <v>998</v>
      </c>
      <c r="C376" s="11" t="s">
        <v>996</v>
      </c>
      <c r="D376" s="11" t="s">
        <v>2398</v>
      </c>
      <c r="E376" s="3" t="s">
        <v>2399</v>
      </c>
      <c r="F376" s="3" t="s">
        <v>1001</v>
      </c>
      <c r="G376" s="3" t="s">
        <v>1000</v>
      </c>
      <c r="H376" s="3" t="s">
        <v>114</v>
      </c>
      <c r="I376" s="21">
        <v>21.983333333333299</v>
      </c>
      <c r="J376" s="21">
        <v>101.15</v>
      </c>
      <c r="K376" s="21">
        <v>2.299471</v>
      </c>
      <c r="L376" s="3">
        <v>1990</v>
      </c>
      <c r="M376" s="3">
        <v>1990</v>
      </c>
      <c r="N376" s="3">
        <v>1.1132997</v>
      </c>
      <c r="O376" s="3" t="s">
        <v>183</v>
      </c>
      <c r="P376" s="5" t="s">
        <v>5187</v>
      </c>
      <c r="Q376" s="3"/>
    </row>
    <row r="377" spans="1:17" ht="29" customHeight="1">
      <c r="A377" s="31">
        <v>72</v>
      </c>
      <c r="B377" s="40" t="s">
        <v>998</v>
      </c>
      <c r="C377" s="11" t="s">
        <v>995</v>
      </c>
      <c r="D377" s="11" t="s">
        <v>2398</v>
      </c>
      <c r="E377" s="3" t="s">
        <v>2399</v>
      </c>
      <c r="F377" s="3" t="s">
        <v>1001</v>
      </c>
      <c r="G377" s="3" t="s">
        <v>1000</v>
      </c>
      <c r="H377" s="3" t="s">
        <v>114</v>
      </c>
      <c r="I377" s="21">
        <v>21.983333333333299</v>
      </c>
      <c r="J377" s="21">
        <v>101.15</v>
      </c>
      <c r="K377" s="21">
        <v>2.0112350000000001</v>
      </c>
      <c r="L377" s="3">
        <v>1995</v>
      </c>
      <c r="M377" s="3">
        <v>1995</v>
      </c>
      <c r="N377" s="3">
        <v>1.2877658000000001</v>
      </c>
      <c r="O377" s="3" t="s">
        <v>183</v>
      </c>
      <c r="P377" s="5" t="s">
        <v>5187</v>
      </c>
      <c r="Q377" s="3"/>
    </row>
    <row r="378" spans="1:17" ht="27" customHeight="1">
      <c r="A378" s="31">
        <v>72</v>
      </c>
      <c r="B378" s="40" t="s">
        <v>998</v>
      </c>
      <c r="C378" s="11" t="s">
        <v>997</v>
      </c>
      <c r="D378" s="11" t="s">
        <v>2398</v>
      </c>
      <c r="E378" s="3" t="s">
        <v>2399</v>
      </c>
      <c r="F378" s="3" t="s">
        <v>1001</v>
      </c>
      <c r="G378" s="3" t="s">
        <v>1000</v>
      </c>
      <c r="H378" s="3" t="s">
        <v>114</v>
      </c>
      <c r="I378" s="21">
        <v>21.983333333333299</v>
      </c>
      <c r="J378" s="21">
        <v>101.15</v>
      </c>
      <c r="K378" s="21">
        <v>1.7230000000000001</v>
      </c>
      <c r="L378" s="3">
        <v>2000</v>
      </c>
      <c r="M378" s="3">
        <v>2000</v>
      </c>
      <c r="N378" s="3">
        <v>1.5612303999999999</v>
      </c>
      <c r="O378" s="3" t="s">
        <v>183</v>
      </c>
      <c r="P378" s="5" t="s">
        <v>5187</v>
      </c>
      <c r="Q378" s="3"/>
    </row>
    <row r="379" spans="1:17" ht="28.5" customHeight="1">
      <c r="A379" s="31">
        <v>73</v>
      </c>
      <c r="B379" s="40" t="s">
        <v>1020</v>
      </c>
      <c r="C379" s="11" t="s">
        <v>1016</v>
      </c>
      <c r="D379" s="11" t="s">
        <v>2398</v>
      </c>
      <c r="E379" s="11" t="s">
        <v>2422</v>
      </c>
      <c r="F379" s="11" t="s">
        <v>1017</v>
      </c>
      <c r="G379" s="3" t="s">
        <v>703</v>
      </c>
      <c r="H379" s="3" t="s">
        <v>733</v>
      </c>
      <c r="I379" s="21">
        <v>20.966666666666701</v>
      </c>
      <c r="J379" s="21">
        <v>101.683333333333</v>
      </c>
      <c r="K379" s="21">
        <v>25.97</v>
      </c>
      <c r="L379" s="3">
        <v>2004</v>
      </c>
      <c r="M379" s="3">
        <v>2004</v>
      </c>
      <c r="N379" s="3" t="s">
        <v>2276</v>
      </c>
      <c r="O379" s="3" t="s">
        <v>183</v>
      </c>
      <c r="P379" s="5" t="s">
        <v>5187</v>
      </c>
      <c r="Q379" s="3"/>
    </row>
    <row r="380" spans="1:17" ht="25.5" customHeight="1">
      <c r="A380" s="31">
        <v>73</v>
      </c>
      <c r="B380" s="40" t="s">
        <v>1020</v>
      </c>
      <c r="C380" s="11" t="s">
        <v>1019</v>
      </c>
      <c r="D380" s="11" t="s">
        <v>2398</v>
      </c>
      <c r="E380" s="11" t="s">
        <v>2422</v>
      </c>
      <c r="F380" s="11" t="s">
        <v>1018</v>
      </c>
      <c r="G380" s="3" t="s">
        <v>703</v>
      </c>
      <c r="H380" s="3" t="s">
        <v>733</v>
      </c>
      <c r="I380" s="21">
        <v>20.983333333333299</v>
      </c>
      <c r="J380" s="21">
        <v>101.666666666667</v>
      </c>
      <c r="K380" s="21">
        <v>31.08</v>
      </c>
      <c r="L380" s="3">
        <v>2004</v>
      </c>
      <c r="M380" s="3">
        <v>2004</v>
      </c>
      <c r="N380" s="3" t="s">
        <v>2276</v>
      </c>
      <c r="O380" s="3" t="s">
        <v>183</v>
      </c>
      <c r="P380" s="5" t="s">
        <v>5187</v>
      </c>
      <c r="Q380" s="3"/>
    </row>
    <row r="381" spans="1:17" ht="27" customHeight="1">
      <c r="A381" s="31">
        <v>74</v>
      </c>
      <c r="B381" s="40" t="s">
        <v>1025</v>
      </c>
      <c r="C381" s="11" t="s">
        <v>1023</v>
      </c>
      <c r="D381" s="11" t="s">
        <v>2398</v>
      </c>
      <c r="E381" s="3" t="s">
        <v>2399</v>
      </c>
      <c r="F381" s="3" t="s">
        <v>1026</v>
      </c>
      <c r="G381" s="3" t="s">
        <v>1027</v>
      </c>
      <c r="H381" s="3" t="s">
        <v>627</v>
      </c>
      <c r="I381" s="21">
        <v>9.9743686</v>
      </c>
      <c r="J381" s="21">
        <v>118.6709395</v>
      </c>
      <c r="K381" s="21" t="s">
        <v>2276</v>
      </c>
      <c r="L381" s="3">
        <v>2001</v>
      </c>
      <c r="M381" s="3">
        <v>2004</v>
      </c>
      <c r="N381" s="3" t="s">
        <v>2276</v>
      </c>
      <c r="O381" s="3" t="s">
        <v>183</v>
      </c>
      <c r="P381" s="5" t="s">
        <v>5187</v>
      </c>
      <c r="Q381" s="22" t="s">
        <v>2214</v>
      </c>
    </row>
    <row r="382" spans="1:17" ht="31" customHeight="1">
      <c r="A382" s="31">
        <v>74</v>
      </c>
      <c r="B382" s="40" t="s">
        <v>1025</v>
      </c>
      <c r="C382" s="11" t="s">
        <v>1024</v>
      </c>
      <c r="D382" s="11" t="s">
        <v>2398</v>
      </c>
      <c r="E382" s="3" t="s">
        <v>2399</v>
      </c>
      <c r="F382" s="3" t="s">
        <v>1026</v>
      </c>
      <c r="G382" s="3" t="s">
        <v>1027</v>
      </c>
      <c r="H382" s="3" t="s">
        <v>627</v>
      </c>
      <c r="I382" s="21">
        <v>9.9743686</v>
      </c>
      <c r="J382" s="21">
        <v>118.6709395</v>
      </c>
      <c r="K382" s="21" t="s">
        <v>2276</v>
      </c>
      <c r="L382" s="3">
        <v>2006</v>
      </c>
      <c r="M382" s="3">
        <v>2008</v>
      </c>
      <c r="N382" s="3" t="s">
        <v>2276</v>
      </c>
      <c r="O382" s="3" t="s">
        <v>183</v>
      </c>
      <c r="P382" s="5" t="s">
        <v>5187</v>
      </c>
      <c r="Q382" s="22" t="s">
        <v>2214</v>
      </c>
    </row>
    <row r="383" spans="1:17" ht="37" customHeight="1">
      <c r="A383" s="31">
        <v>75</v>
      </c>
      <c r="B383" s="41" t="s">
        <v>1042</v>
      </c>
      <c r="C383" s="19" t="s">
        <v>1041</v>
      </c>
      <c r="D383" s="11" t="s">
        <v>2398</v>
      </c>
      <c r="E383" s="19" t="s">
        <v>2424</v>
      </c>
      <c r="F383" s="4" t="s">
        <v>1043</v>
      </c>
      <c r="G383" s="4" t="s">
        <v>1050</v>
      </c>
      <c r="H383" s="4" t="s">
        <v>114</v>
      </c>
      <c r="I383" s="75">
        <v>22.5</v>
      </c>
      <c r="J383" s="75">
        <v>100</v>
      </c>
      <c r="K383" s="75" t="s">
        <v>2276</v>
      </c>
      <c r="L383" s="4">
        <v>2003</v>
      </c>
      <c r="M383" s="4">
        <v>2009</v>
      </c>
      <c r="N383" s="4" t="s">
        <v>2276</v>
      </c>
      <c r="O383" s="4" t="s">
        <v>67</v>
      </c>
      <c r="P383" s="5" t="s">
        <v>5187</v>
      </c>
      <c r="Q383" s="4" t="s">
        <v>2425</v>
      </c>
    </row>
    <row r="384" spans="1:17" ht="40.5" customHeight="1">
      <c r="A384" s="31">
        <v>75</v>
      </c>
      <c r="B384" s="41" t="s">
        <v>1042</v>
      </c>
      <c r="C384" s="11" t="s">
        <v>1044</v>
      </c>
      <c r="D384" s="11" t="s">
        <v>2398</v>
      </c>
      <c r="E384" s="19" t="s">
        <v>2424</v>
      </c>
      <c r="F384" s="11" t="s">
        <v>1048</v>
      </c>
      <c r="G384" s="11" t="s">
        <v>1049</v>
      </c>
      <c r="H384" s="11" t="s">
        <v>733</v>
      </c>
      <c r="I384" s="21">
        <v>21.622042199999999</v>
      </c>
      <c r="J384" s="21">
        <v>102.95030850000001</v>
      </c>
      <c r="K384" s="21" t="s">
        <v>2276</v>
      </c>
      <c r="L384" s="11">
        <v>1990</v>
      </c>
      <c r="M384" s="11">
        <v>2009</v>
      </c>
      <c r="N384" s="3" t="s">
        <v>2276</v>
      </c>
      <c r="O384" s="4" t="s">
        <v>67</v>
      </c>
      <c r="P384" s="5" t="s">
        <v>5187</v>
      </c>
      <c r="Q384" s="4" t="s">
        <v>2425</v>
      </c>
    </row>
    <row r="385" spans="1:17" ht="37.5" customHeight="1">
      <c r="A385" s="31">
        <v>75</v>
      </c>
      <c r="B385" s="41" t="s">
        <v>1042</v>
      </c>
      <c r="C385" s="11" t="s">
        <v>1045</v>
      </c>
      <c r="D385" s="11" t="s">
        <v>2398</v>
      </c>
      <c r="E385" s="19" t="s">
        <v>2424</v>
      </c>
      <c r="F385" s="3" t="s">
        <v>2276</v>
      </c>
      <c r="G385" s="11" t="s">
        <v>1051</v>
      </c>
      <c r="H385" s="11" t="s">
        <v>1052</v>
      </c>
      <c r="I385" s="21">
        <v>19.499354400000001</v>
      </c>
      <c r="J385" s="21">
        <v>98.998955899999999</v>
      </c>
      <c r="K385" s="21" t="s">
        <v>2276</v>
      </c>
      <c r="L385" s="11">
        <v>1985</v>
      </c>
      <c r="M385" s="11">
        <v>2009</v>
      </c>
      <c r="N385" s="3" t="s">
        <v>2276</v>
      </c>
      <c r="O385" s="4" t="s">
        <v>67</v>
      </c>
      <c r="P385" s="5" t="s">
        <v>5187</v>
      </c>
      <c r="Q385" s="4" t="s">
        <v>2425</v>
      </c>
    </row>
    <row r="386" spans="1:17" ht="33.5" customHeight="1">
      <c r="A386" s="31">
        <v>75</v>
      </c>
      <c r="B386" s="41" t="s">
        <v>1042</v>
      </c>
      <c r="C386" s="11" t="s">
        <v>1046</v>
      </c>
      <c r="D386" s="11" t="s">
        <v>2398</v>
      </c>
      <c r="E386" s="19" t="s">
        <v>2424</v>
      </c>
      <c r="F386" s="3" t="s">
        <v>2276</v>
      </c>
      <c r="G386" s="11" t="s">
        <v>1053</v>
      </c>
      <c r="H386" s="11" t="s">
        <v>786</v>
      </c>
      <c r="I386" s="21">
        <v>0.25384570000000001</v>
      </c>
      <c r="J386" s="21">
        <v>112.7852096</v>
      </c>
      <c r="K386" s="21" t="s">
        <v>2276</v>
      </c>
      <c r="L386" s="11">
        <v>2000</v>
      </c>
      <c r="M386" s="11">
        <v>2009</v>
      </c>
      <c r="N386" s="3" t="s">
        <v>2276</v>
      </c>
      <c r="O386" s="4" t="s">
        <v>67</v>
      </c>
      <c r="P386" s="5" t="s">
        <v>5187</v>
      </c>
      <c r="Q386" s="4" t="s">
        <v>2425</v>
      </c>
    </row>
    <row r="387" spans="1:17" ht="40.5" customHeight="1">
      <c r="A387" s="31">
        <v>75</v>
      </c>
      <c r="B387" s="41" t="s">
        <v>1042</v>
      </c>
      <c r="C387" s="11" t="s">
        <v>1047</v>
      </c>
      <c r="D387" s="11" t="s">
        <v>2398</v>
      </c>
      <c r="E387" s="19" t="s">
        <v>2424</v>
      </c>
      <c r="F387" s="3" t="s">
        <v>1055</v>
      </c>
      <c r="G387" s="11" t="s">
        <v>1056</v>
      </c>
      <c r="H387" s="11" t="s">
        <v>895</v>
      </c>
      <c r="I387" s="21">
        <v>-0.84087400000000001</v>
      </c>
      <c r="J387" s="21">
        <v>111.92265860000001</v>
      </c>
      <c r="K387" s="21" t="s">
        <v>2276</v>
      </c>
      <c r="L387" s="11">
        <v>1990</v>
      </c>
      <c r="M387" s="11">
        <v>2004</v>
      </c>
      <c r="N387" s="3" t="s">
        <v>2276</v>
      </c>
      <c r="O387" s="4" t="s">
        <v>67</v>
      </c>
      <c r="P387" s="5" t="s">
        <v>5187</v>
      </c>
      <c r="Q387" s="4" t="s">
        <v>2425</v>
      </c>
    </row>
    <row r="388" spans="1:17" ht="40.5" customHeight="1">
      <c r="A388" s="90">
        <v>75</v>
      </c>
      <c r="B388" s="91" t="s">
        <v>1042</v>
      </c>
      <c r="C388" s="12" t="s">
        <v>1054</v>
      </c>
      <c r="D388" s="11" t="s">
        <v>2398</v>
      </c>
      <c r="E388" s="19" t="s">
        <v>2424</v>
      </c>
      <c r="F388" s="12" t="s">
        <v>1057</v>
      </c>
      <c r="G388" s="12" t="s">
        <v>644</v>
      </c>
      <c r="H388" s="12" t="s">
        <v>895</v>
      </c>
      <c r="I388" s="88">
        <v>0.11927500000000001</v>
      </c>
      <c r="J388" s="88">
        <v>110.59729799999999</v>
      </c>
      <c r="K388" s="88" t="s">
        <v>2276</v>
      </c>
      <c r="L388" s="12">
        <v>1990</v>
      </c>
      <c r="M388" s="12">
        <v>2007</v>
      </c>
      <c r="N388" s="12" t="s">
        <v>2276</v>
      </c>
      <c r="O388" s="92" t="s">
        <v>67</v>
      </c>
      <c r="P388" s="5" t="s">
        <v>5187</v>
      </c>
      <c r="Q388" s="4" t="s">
        <v>2425</v>
      </c>
    </row>
    <row r="389" spans="1:17" ht="43" customHeight="1">
      <c r="A389" s="31">
        <v>76</v>
      </c>
      <c r="B389" s="40" t="s">
        <v>1072</v>
      </c>
      <c r="C389" s="11" t="s">
        <v>1071</v>
      </c>
      <c r="D389" s="11" t="s">
        <v>2398</v>
      </c>
      <c r="E389" s="19" t="s">
        <v>2400</v>
      </c>
      <c r="F389" s="4" t="s">
        <v>1073</v>
      </c>
      <c r="G389" s="4" t="s">
        <v>1050</v>
      </c>
      <c r="H389" s="4" t="s">
        <v>114</v>
      </c>
      <c r="I389" s="21">
        <v>21.975999999999999</v>
      </c>
      <c r="J389" s="21">
        <v>100.86199999999999</v>
      </c>
      <c r="K389" s="21" t="s">
        <v>2276</v>
      </c>
      <c r="L389" s="3">
        <v>2007</v>
      </c>
      <c r="M389" s="3">
        <v>2007</v>
      </c>
      <c r="N389" s="3" t="s">
        <v>2276</v>
      </c>
      <c r="O389" s="3" t="s">
        <v>183</v>
      </c>
      <c r="P389" s="5" t="s">
        <v>5187</v>
      </c>
      <c r="Q389" s="4" t="s">
        <v>2290</v>
      </c>
    </row>
    <row r="390" spans="1:17" ht="45.5" customHeight="1">
      <c r="A390" s="31">
        <v>76</v>
      </c>
      <c r="B390" s="40" t="s">
        <v>1072</v>
      </c>
      <c r="C390" s="11" t="s">
        <v>1075</v>
      </c>
      <c r="D390" s="11" t="s">
        <v>2398</v>
      </c>
      <c r="E390" s="19" t="s">
        <v>2400</v>
      </c>
      <c r="F390" s="4" t="s">
        <v>1073</v>
      </c>
      <c r="G390" s="4" t="s">
        <v>1050</v>
      </c>
      <c r="H390" s="4" t="s">
        <v>114</v>
      </c>
      <c r="I390" s="21">
        <v>21.975999999999999</v>
      </c>
      <c r="J390" s="21">
        <v>100.86199999999999</v>
      </c>
      <c r="K390" s="21" t="s">
        <v>2276</v>
      </c>
      <c r="L390" s="3">
        <v>1993</v>
      </c>
      <c r="M390" s="3">
        <v>1993</v>
      </c>
      <c r="N390" s="3" t="s">
        <v>2276</v>
      </c>
      <c r="O390" s="3" t="s">
        <v>183</v>
      </c>
      <c r="P390" s="5" t="s">
        <v>5187</v>
      </c>
      <c r="Q390" s="4" t="s">
        <v>2290</v>
      </c>
    </row>
    <row r="391" spans="1:17" ht="37" customHeight="1">
      <c r="A391" s="31">
        <v>77</v>
      </c>
      <c r="B391" s="40" t="s">
        <v>1099</v>
      </c>
      <c r="C391" s="11" t="s">
        <v>1085</v>
      </c>
      <c r="D391" s="11" t="s">
        <v>2398</v>
      </c>
      <c r="E391" s="19" t="s">
        <v>2424</v>
      </c>
      <c r="F391" s="3" t="s">
        <v>2276</v>
      </c>
      <c r="G391" s="3" t="s">
        <v>2276</v>
      </c>
      <c r="H391" s="3" t="s">
        <v>385</v>
      </c>
      <c r="I391" s="21" t="s">
        <v>2276</v>
      </c>
      <c r="J391" s="21" t="s">
        <v>2276</v>
      </c>
      <c r="K391" s="21" t="s">
        <v>2276</v>
      </c>
      <c r="L391" s="3">
        <v>1975</v>
      </c>
      <c r="M391" s="3">
        <v>2006</v>
      </c>
      <c r="N391" s="3" t="s">
        <v>2276</v>
      </c>
      <c r="O391" s="4" t="s">
        <v>67</v>
      </c>
      <c r="P391" s="5" t="s">
        <v>5187</v>
      </c>
      <c r="Q391" s="3"/>
    </row>
    <row r="392" spans="1:17" ht="33" customHeight="1">
      <c r="A392" s="31">
        <v>78</v>
      </c>
      <c r="B392" s="41" t="s">
        <v>1119</v>
      </c>
      <c r="C392" s="11" t="s">
        <v>1098</v>
      </c>
      <c r="D392" s="11" t="s">
        <v>2398</v>
      </c>
      <c r="E392" s="3" t="s">
        <v>2399</v>
      </c>
      <c r="F392" s="4" t="s">
        <v>1100</v>
      </c>
      <c r="G392" s="3" t="s">
        <v>2276</v>
      </c>
      <c r="H392" s="3" t="s">
        <v>1052</v>
      </c>
      <c r="I392" s="21">
        <v>15.608643199999999</v>
      </c>
      <c r="J392" s="21">
        <v>99.320847999999998</v>
      </c>
      <c r="K392" s="21" t="s">
        <v>2276</v>
      </c>
      <c r="L392" s="3">
        <v>1988</v>
      </c>
      <c r="M392" s="3">
        <v>2000</v>
      </c>
      <c r="N392" s="3" t="s">
        <v>2276</v>
      </c>
      <c r="O392" s="4" t="s">
        <v>67</v>
      </c>
      <c r="P392" s="5" t="s">
        <v>5187</v>
      </c>
      <c r="Q392" s="3"/>
    </row>
    <row r="393" spans="1:17" ht="40" customHeight="1">
      <c r="A393" s="31">
        <v>79</v>
      </c>
      <c r="B393" s="41" t="s">
        <v>2330</v>
      </c>
      <c r="C393" s="23" t="s">
        <v>1117</v>
      </c>
      <c r="D393" s="11" t="s">
        <v>2398</v>
      </c>
      <c r="E393" s="3" t="s">
        <v>2399</v>
      </c>
      <c r="F393" s="22" t="s">
        <v>1120</v>
      </c>
      <c r="G393" s="22" t="s">
        <v>1122</v>
      </c>
      <c r="H393" s="22" t="s">
        <v>895</v>
      </c>
      <c r="I393" s="77">
        <v>-2.7517865000000001</v>
      </c>
      <c r="J393" s="77">
        <v>105.4245785</v>
      </c>
      <c r="K393" s="77">
        <v>280</v>
      </c>
      <c r="L393" s="22">
        <v>2002</v>
      </c>
      <c r="M393" s="22">
        <v>2003</v>
      </c>
      <c r="N393" s="22">
        <v>12</v>
      </c>
      <c r="O393" s="22" t="s">
        <v>67</v>
      </c>
      <c r="P393" s="5" t="s">
        <v>5187</v>
      </c>
      <c r="Q393" s="9"/>
    </row>
    <row r="394" spans="1:17" ht="37" customHeight="1">
      <c r="A394" s="31">
        <v>79</v>
      </c>
      <c r="B394" s="41" t="s">
        <v>2330</v>
      </c>
      <c r="C394" s="23" t="s">
        <v>1118</v>
      </c>
      <c r="D394" s="11" t="s">
        <v>2398</v>
      </c>
      <c r="E394" s="3" t="s">
        <v>2399</v>
      </c>
      <c r="F394" s="22" t="s">
        <v>1121</v>
      </c>
      <c r="G394" s="22" t="s">
        <v>1123</v>
      </c>
      <c r="H394" s="22" t="s">
        <v>895</v>
      </c>
      <c r="I394" s="77">
        <v>-3.9740739999999999</v>
      </c>
      <c r="J394" s="77">
        <v>105.403779</v>
      </c>
      <c r="K394" s="77">
        <f>(69+166)</f>
        <v>235</v>
      </c>
      <c r="L394" s="22">
        <v>2002</v>
      </c>
      <c r="M394" s="22">
        <v>2003</v>
      </c>
      <c r="N394" s="22">
        <v>25</v>
      </c>
      <c r="O394" s="22" t="s">
        <v>67</v>
      </c>
      <c r="P394" s="5" t="s">
        <v>5187</v>
      </c>
      <c r="Q394" s="9"/>
    </row>
    <row r="395" spans="1:17" ht="35.5" customHeight="1">
      <c r="A395" s="31">
        <v>80</v>
      </c>
      <c r="B395" s="40" t="s">
        <v>1124</v>
      </c>
      <c r="C395" s="11" t="s">
        <v>1125</v>
      </c>
      <c r="D395" s="11" t="s">
        <v>2398</v>
      </c>
      <c r="E395" s="3" t="s">
        <v>2399</v>
      </c>
      <c r="F395" s="3" t="s">
        <v>1126</v>
      </c>
      <c r="G395" s="3" t="s">
        <v>2276</v>
      </c>
      <c r="H395" s="3" t="s">
        <v>121</v>
      </c>
      <c r="I395" s="21">
        <v>-7.7858909000000001</v>
      </c>
      <c r="J395" s="21">
        <v>-51.979496300000001</v>
      </c>
      <c r="K395" s="21" t="s">
        <v>2276</v>
      </c>
      <c r="L395" s="3">
        <v>1989</v>
      </c>
      <c r="M395" s="3">
        <v>1989</v>
      </c>
      <c r="N395" s="3" t="s">
        <v>2276</v>
      </c>
      <c r="O395" s="4" t="s">
        <v>67</v>
      </c>
      <c r="P395" s="5" t="s">
        <v>5187</v>
      </c>
      <c r="Q395" s="3"/>
    </row>
    <row r="396" spans="1:17" ht="42" customHeight="1">
      <c r="A396" s="31">
        <v>81</v>
      </c>
      <c r="B396" s="57" t="s">
        <v>1136</v>
      </c>
      <c r="C396" s="23" t="s">
        <v>1135</v>
      </c>
      <c r="D396" s="11" t="s">
        <v>2398</v>
      </c>
      <c r="E396" s="19" t="s">
        <v>2424</v>
      </c>
      <c r="F396" s="23" t="s">
        <v>2276</v>
      </c>
      <c r="G396" s="23" t="s">
        <v>1137</v>
      </c>
      <c r="H396" s="23" t="s">
        <v>121</v>
      </c>
      <c r="I396" s="76" t="s">
        <v>2276</v>
      </c>
      <c r="J396" s="76" t="s">
        <v>2276</v>
      </c>
      <c r="K396" s="76" t="s">
        <v>2276</v>
      </c>
      <c r="L396" s="23">
        <v>1980</v>
      </c>
      <c r="M396" s="23">
        <v>2000</v>
      </c>
      <c r="N396" s="23" t="s">
        <v>2276</v>
      </c>
      <c r="O396" s="23" t="s">
        <v>149</v>
      </c>
      <c r="P396" s="5" t="s">
        <v>5187</v>
      </c>
      <c r="Q396" s="26" t="s">
        <v>1141</v>
      </c>
    </row>
    <row r="397" spans="1:17" ht="45.5" customHeight="1">
      <c r="A397" s="31">
        <v>82</v>
      </c>
      <c r="B397" s="57" t="s">
        <v>1136</v>
      </c>
      <c r="C397" s="23" t="s">
        <v>1142</v>
      </c>
      <c r="D397" s="11" t="s">
        <v>2398</v>
      </c>
      <c r="E397" s="19" t="s">
        <v>2424</v>
      </c>
      <c r="F397" s="22" t="s">
        <v>2276</v>
      </c>
      <c r="G397" s="22" t="s">
        <v>2276</v>
      </c>
      <c r="H397" s="22" t="s">
        <v>1143</v>
      </c>
      <c r="I397" s="77" t="s">
        <v>2276</v>
      </c>
      <c r="J397" s="77" t="s">
        <v>2276</v>
      </c>
      <c r="K397" s="77" t="s">
        <v>2276</v>
      </c>
      <c r="L397" s="22">
        <v>1985</v>
      </c>
      <c r="M397" s="22">
        <v>2000</v>
      </c>
      <c r="N397" s="22" t="s">
        <v>2276</v>
      </c>
      <c r="O397" s="23" t="s">
        <v>149</v>
      </c>
      <c r="P397" s="5" t="s">
        <v>5187</v>
      </c>
      <c r="Q397" s="26" t="s">
        <v>1141</v>
      </c>
    </row>
    <row r="398" spans="1:17" ht="46" customHeight="1">
      <c r="A398" s="31">
        <v>82</v>
      </c>
      <c r="B398" s="57" t="s">
        <v>1136</v>
      </c>
      <c r="C398" s="23" t="s">
        <v>1155</v>
      </c>
      <c r="D398" s="11" t="s">
        <v>2398</v>
      </c>
      <c r="E398" s="19" t="s">
        <v>2424</v>
      </c>
      <c r="F398" s="22" t="s">
        <v>2276</v>
      </c>
      <c r="G398" s="22" t="s">
        <v>2276</v>
      </c>
      <c r="H398" s="23" t="s">
        <v>889</v>
      </c>
      <c r="I398" s="77" t="s">
        <v>2276</v>
      </c>
      <c r="J398" s="77" t="s">
        <v>2276</v>
      </c>
      <c r="K398" s="77" t="s">
        <v>2276</v>
      </c>
      <c r="L398" s="22">
        <v>1991</v>
      </c>
      <c r="M398" s="22">
        <v>2000</v>
      </c>
      <c r="N398" s="22" t="s">
        <v>2276</v>
      </c>
      <c r="O398" s="23" t="s">
        <v>149</v>
      </c>
      <c r="P398" s="5" t="s">
        <v>5187</v>
      </c>
      <c r="Q398" s="26" t="s">
        <v>1141</v>
      </c>
    </row>
    <row r="399" spans="1:17" ht="50" customHeight="1">
      <c r="A399" s="31">
        <v>82</v>
      </c>
      <c r="B399" s="57" t="s">
        <v>1136</v>
      </c>
      <c r="C399" s="23" t="s">
        <v>1159</v>
      </c>
      <c r="D399" s="11" t="s">
        <v>2398</v>
      </c>
      <c r="E399" s="19" t="s">
        <v>2424</v>
      </c>
      <c r="F399" s="22" t="s">
        <v>2276</v>
      </c>
      <c r="G399" s="22" t="s">
        <v>2276</v>
      </c>
      <c r="H399" s="23" t="s">
        <v>1146</v>
      </c>
      <c r="I399" s="77" t="s">
        <v>2276</v>
      </c>
      <c r="J399" s="77" t="s">
        <v>2276</v>
      </c>
      <c r="K399" s="77" t="s">
        <v>2276</v>
      </c>
      <c r="L399" s="22">
        <v>1989</v>
      </c>
      <c r="M399" s="22">
        <v>1997</v>
      </c>
      <c r="N399" s="22" t="s">
        <v>2276</v>
      </c>
      <c r="O399" s="23" t="s">
        <v>149</v>
      </c>
      <c r="P399" s="5" t="s">
        <v>5187</v>
      </c>
      <c r="Q399" s="26" t="s">
        <v>1141</v>
      </c>
    </row>
    <row r="400" spans="1:17" ht="55.5" customHeight="1">
      <c r="A400" s="31">
        <v>83</v>
      </c>
      <c r="B400" s="40" t="s">
        <v>1154</v>
      </c>
      <c r="C400" s="23" t="s">
        <v>1144</v>
      </c>
      <c r="D400" s="11" t="s">
        <v>2398</v>
      </c>
      <c r="E400" s="3" t="s">
        <v>2637</v>
      </c>
      <c r="F400" s="3" t="s">
        <v>2294</v>
      </c>
      <c r="G400" s="3" t="s">
        <v>166</v>
      </c>
      <c r="H400" s="3" t="s">
        <v>121</v>
      </c>
      <c r="I400" s="21">
        <v>-5.4302159999999997</v>
      </c>
      <c r="J400" s="21">
        <v>-49.030130399999997</v>
      </c>
      <c r="K400" s="21" t="s">
        <v>2276</v>
      </c>
      <c r="L400" s="3">
        <v>1997</v>
      </c>
      <c r="M400" s="3">
        <v>1997</v>
      </c>
      <c r="N400" s="3" t="s">
        <v>2276</v>
      </c>
      <c r="O400" s="4" t="s">
        <v>67</v>
      </c>
      <c r="P400" s="5" t="s">
        <v>5187</v>
      </c>
      <c r="Q400" s="4" t="s">
        <v>2429</v>
      </c>
    </row>
    <row r="401" spans="1:17" ht="38" customHeight="1">
      <c r="A401" s="31">
        <v>84</v>
      </c>
      <c r="B401" s="57" t="s">
        <v>1165</v>
      </c>
      <c r="C401" s="23" t="s">
        <v>1145</v>
      </c>
      <c r="D401" s="11" t="s">
        <v>2398</v>
      </c>
      <c r="E401" s="3" t="s">
        <v>2399</v>
      </c>
      <c r="F401" s="3" t="s">
        <v>1577</v>
      </c>
      <c r="G401" s="3" t="s">
        <v>1576</v>
      </c>
      <c r="H401" s="11" t="s">
        <v>121</v>
      </c>
      <c r="I401" s="21">
        <v>2.8227690926962898</v>
      </c>
      <c r="J401" s="21">
        <v>-60.699479422120802</v>
      </c>
      <c r="K401" s="21" t="s">
        <v>2276</v>
      </c>
      <c r="L401" s="3">
        <v>1996</v>
      </c>
      <c r="M401" s="3">
        <v>1997</v>
      </c>
      <c r="N401" s="3" t="s">
        <v>2276</v>
      </c>
      <c r="O401" s="4" t="s">
        <v>67</v>
      </c>
      <c r="P401" s="5" t="s">
        <v>5187</v>
      </c>
      <c r="Q401" s="3"/>
    </row>
    <row r="402" spans="1:17" ht="38" customHeight="1">
      <c r="A402" s="31">
        <v>84</v>
      </c>
      <c r="B402" s="57" t="s">
        <v>1165</v>
      </c>
      <c r="C402" s="23" t="s">
        <v>1503</v>
      </c>
      <c r="D402" s="11" t="s">
        <v>2398</v>
      </c>
      <c r="E402" s="3" t="s">
        <v>2399</v>
      </c>
      <c r="F402" s="3" t="s">
        <v>1578</v>
      </c>
      <c r="G402" s="3" t="s">
        <v>1576</v>
      </c>
      <c r="H402" s="11" t="s">
        <v>121</v>
      </c>
      <c r="I402" s="21">
        <v>-0.15659321164347501</v>
      </c>
      <c r="J402" s="21">
        <v>-50.392857142857203</v>
      </c>
      <c r="K402" s="21" t="s">
        <v>2276</v>
      </c>
      <c r="L402" s="3">
        <v>1996</v>
      </c>
      <c r="M402" s="3">
        <v>1997</v>
      </c>
      <c r="N402" s="3" t="s">
        <v>2276</v>
      </c>
      <c r="O402" s="4" t="s">
        <v>2</v>
      </c>
      <c r="P402" s="5" t="s">
        <v>5187</v>
      </c>
      <c r="Q402" s="3"/>
    </row>
    <row r="403" spans="1:17" ht="38" customHeight="1">
      <c r="A403" s="31">
        <v>84</v>
      </c>
      <c r="B403" s="57" t="s">
        <v>1165</v>
      </c>
      <c r="C403" s="23" t="s">
        <v>1504</v>
      </c>
      <c r="D403" s="11" t="s">
        <v>2398</v>
      </c>
      <c r="E403" s="3" t="s">
        <v>2399</v>
      </c>
      <c r="F403" s="3" t="s">
        <v>1579</v>
      </c>
      <c r="G403" s="3" t="s">
        <v>1576</v>
      </c>
      <c r="H403" s="11" t="s">
        <v>121</v>
      </c>
      <c r="I403" s="21">
        <v>-0.11488087586178</v>
      </c>
      <c r="J403" s="21">
        <v>-51.289595382528397</v>
      </c>
      <c r="K403" s="21" t="s">
        <v>2276</v>
      </c>
      <c r="L403" s="3">
        <v>1996</v>
      </c>
      <c r="M403" s="3">
        <v>1997</v>
      </c>
      <c r="N403" s="3" t="s">
        <v>2276</v>
      </c>
      <c r="O403" s="4" t="s">
        <v>2</v>
      </c>
      <c r="P403" s="5" t="s">
        <v>5187</v>
      </c>
      <c r="Q403" s="3"/>
    </row>
    <row r="404" spans="1:17" ht="38" customHeight="1">
      <c r="A404" s="31">
        <v>84</v>
      </c>
      <c r="B404" s="57" t="s">
        <v>1165</v>
      </c>
      <c r="C404" s="23" t="s">
        <v>1505</v>
      </c>
      <c r="D404" s="11" t="s">
        <v>2398</v>
      </c>
      <c r="E404" s="3" t="s">
        <v>2399</v>
      </c>
      <c r="F404" s="3" t="s">
        <v>1580</v>
      </c>
      <c r="G404" s="3" t="s">
        <v>1576</v>
      </c>
      <c r="H404" s="11" t="s">
        <v>121</v>
      </c>
      <c r="I404" s="21">
        <v>-3.9879770070593699E-2</v>
      </c>
      <c r="J404" s="21">
        <v>-51.172014628807197</v>
      </c>
      <c r="K404" s="21" t="s">
        <v>2276</v>
      </c>
      <c r="L404" s="3">
        <v>1996</v>
      </c>
      <c r="M404" s="3">
        <v>1997</v>
      </c>
      <c r="N404" s="3" t="s">
        <v>2276</v>
      </c>
      <c r="O404" s="4" t="s">
        <v>2</v>
      </c>
      <c r="P404" s="5" t="s">
        <v>5187</v>
      </c>
      <c r="Q404" s="3"/>
    </row>
    <row r="405" spans="1:17" ht="38" customHeight="1">
      <c r="A405" s="31">
        <v>84</v>
      </c>
      <c r="B405" s="57" t="s">
        <v>1165</v>
      </c>
      <c r="C405" s="23" t="s">
        <v>1506</v>
      </c>
      <c r="D405" s="11" t="s">
        <v>2398</v>
      </c>
      <c r="E405" s="3" t="s">
        <v>2399</v>
      </c>
      <c r="F405" s="3" t="s">
        <v>1581</v>
      </c>
      <c r="G405" s="3" t="s">
        <v>1576</v>
      </c>
      <c r="H405" s="11" t="s">
        <v>121</v>
      </c>
      <c r="I405" s="21">
        <v>-1.9412561810791</v>
      </c>
      <c r="J405" s="21">
        <v>-50.811181091372099</v>
      </c>
      <c r="K405" s="21" t="s">
        <v>2276</v>
      </c>
      <c r="L405" s="3">
        <v>1996</v>
      </c>
      <c r="M405" s="3">
        <v>1997</v>
      </c>
      <c r="N405" s="3" t="s">
        <v>2276</v>
      </c>
      <c r="O405" s="4" t="s">
        <v>2</v>
      </c>
      <c r="P405" s="5" t="s">
        <v>5187</v>
      </c>
      <c r="Q405" s="3"/>
    </row>
    <row r="406" spans="1:17" ht="38" customHeight="1">
      <c r="A406" s="31">
        <v>84</v>
      </c>
      <c r="B406" s="57" t="s">
        <v>1165</v>
      </c>
      <c r="C406" s="23" t="s">
        <v>1507</v>
      </c>
      <c r="D406" s="11" t="s">
        <v>2398</v>
      </c>
      <c r="E406" s="3" t="s">
        <v>2399</v>
      </c>
      <c r="F406" s="3" t="s">
        <v>1582</v>
      </c>
      <c r="G406" s="3" t="s">
        <v>1576</v>
      </c>
      <c r="H406" s="11" t="s">
        <v>121</v>
      </c>
      <c r="I406" s="21">
        <v>-1.8035310756504599</v>
      </c>
      <c r="J406" s="21">
        <v>-50.715273008241802</v>
      </c>
      <c r="K406" s="21" t="s">
        <v>2276</v>
      </c>
      <c r="L406" s="3">
        <v>1996</v>
      </c>
      <c r="M406" s="3">
        <v>1997</v>
      </c>
      <c r="N406" s="3" t="s">
        <v>2276</v>
      </c>
      <c r="O406" s="4" t="s">
        <v>2</v>
      </c>
      <c r="P406" s="5" t="s">
        <v>5187</v>
      </c>
      <c r="Q406" s="3"/>
    </row>
    <row r="407" spans="1:17" ht="38" customHeight="1">
      <c r="A407" s="31">
        <v>84</v>
      </c>
      <c r="B407" s="57" t="s">
        <v>1165</v>
      </c>
      <c r="C407" s="23" t="s">
        <v>1508</v>
      </c>
      <c r="D407" s="11" t="s">
        <v>2398</v>
      </c>
      <c r="E407" s="3" t="s">
        <v>2399</v>
      </c>
      <c r="F407" s="3" t="s">
        <v>1583</v>
      </c>
      <c r="G407" s="3" t="s">
        <v>1576</v>
      </c>
      <c r="H407" s="11" t="s">
        <v>121</v>
      </c>
      <c r="I407" s="21">
        <v>-2.0051280172137398</v>
      </c>
      <c r="J407" s="21">
        <v>-49.859546703296701</v>
      </c>
      <c r="K407" s="21" t="s">
        <v>2276</v>
      </c>
      <c r="L407" s="3">
        <v>1996</v>
      </c>
      <c r="M407" s="3">
        <v>1997</v>
      </c>
      <c r="N407" s="3" t="s">
        <v>2276</v>
      </c>
      <c r="O407" s="4" t="s">
        <v>2</v>
      </c>
      <c r="P407" s="5" t="s">
        <v>5187</v>
      </c>
      <c r="Q407" s="3"/>
    </row>
    <row r="408" spans="1:17" ht="38" customHeight="1">
      <c r="A408" s="31">
        <v>84</v>
      </c>
      <c r="B408" s="57" t="s">
        <v>1165</v>
      </c>
      <c r="C408" s="23" t="s">
        <v>1509</v>
      </c>
      <c r="D408" s="11" t="s">
        <v>2398</v>
      </c>
      <c r="E408" s="3" t="s">
        <v>2399</v>
      </c>
      <c r="F408" s="3" t="s">
        <v>1584</v>
      </c>
      <c r="G408" s="3" t="s">
        <v>1576</v>
      </c>
      <c r="H408" s="11" t="s">
        <v>121</v>
      </c>
      <c r="I408" s="21">
        <v>-2.2482691774738002</v>
      </c>
      <c r="J408" s="21">
        <v>-49.5080418152153</v>
      </c>
      <c r="K408" s="21" t="s">
        <v>2276</v>
      </c>
      <c r="L408" s="3">
        <v>1996</v>
      </c>
      <c r="M408" s="3">
        <v>1997</v>
      </c>
      <c r="N408" s="3" t="s">
        <v>2276</v>
      </c>
      <c r="O408" s="4" t="s">
        <v>2</v>
      </c>
      <c r="P408" s="5" t="s">
        <v>5187</v>
      </c>
      <c r="Q408" s="3"/>
    </row>
    <row r="409" spans="1:17" ht="38" customHeight="1">
      <c r="A409" s="31">
        <v>84</v>
      </c>
      <c r="B409" s="57" t="s">
        <v>1165</v>
      </c>
      <c r="C409" s="23" t="s">
        <v>1510</v>
      </c>
      <c r="D409" s="11" t="s">
        <v>2398</v>
      </c>
      <c r="E409" s="3" t="s">
        <v>2399</v>
      </c>
      <c r="F409" s="3" t="s">
        <v>1585</v>
      </c>
      <c r="G409" s="3" t="s">
        <v>1576</v>
      </c>
      <c r="H409" s="11" t="s">
        <v>121</v>
      </c>
      <c r="I409" s="21">
        <v>-2.4372263652139798</v>
      </c>
      <c r="J409" s="21">
        <v>-54.708240186849501</v>
      </c>
      <c r="K409" s="21" t="s">
        <v>2276</v>
      </c>
      <c r="L409" s="3">
        <v>1996</v>
      </c>
      <c r="M409" s="3">
        <v>1997</v>
      </c>
      <c r="N409" s="3" t="s">
        <v>2276</v>
      </c>
      <c r="O409" s="4" t="s">
        <v>2</v>
      </c>
      <c r="P409" s="5" t="s">
        <v>5187</v>
      </c>
      <c r="Q409" s="3"/>
    </row>
    <row r="410" spans="1:17" ht="38" customHeight="1">
      <c r="A410" s="31">
        <v>84</v>
      </c>
      <c r="B410" s="57" t="s">
        <v>1165</v>
      </c>
      <c r="C410" s="23" t="s">
        <v>1511</v>
      </c>
      <c r="D410" s="11" t="s">
        <v>2398</v>
      </c>
      <c r="E410" s="3" t="s">
        <v>2399</v>
      </c>
      <c r="F410" s="3" t="s">
        <v>1586</v>
      </c>
      <c r="G410" s="3" t="s">
        <v>1576</v>
      </c>
      <c r="H410" s="11" t="s">
        <v>121</v>
      </c>
      <c r="I410" s="21">
        <v>-1.2964209572181999</v>
      </c>
      <c r="J410" s="21">
        <v>-47.9187843406593</v>
      </c>
      <c r="K410" s="21" t="s">
        <v>2276</v>
      </c>
      <c r="L410" s="3">
        <v>1996</v>
      </c>
      <c r="M410" s="3">
        <v>1997</v>
      </c>
      <c r="N410" s="3" t="s">
        <v>2276</v>
      </c>
      <c r="O410" s="4" t="s">
        <v>2</v>
      </c>
      <c r="P410" s="5" t="s">
        <v>5187</v>
      </c>
      <c r="Q410" s="3"/>
    </row>
    <row r="411" spans="1:17" ht="38" customHeight="1">
      <c r="A411" s="31">
        <v>84</v>
      </c>
      <c r="B411" s="57" t="s">
        <v>1165</v>
      </c>
      <c r="C411" s="23" t="s">
        <v>1512</v>
      </c>
      <c r="D411" s="11" t="s">
        <v>2398</v>
      </c>
      <c r="E411" s="3" t="s">
        <v>2399</v>
      </c>
      <c r="F411" s="3" t="s">
        <v>1587</v>
      </c>
      <c r="G411" s="3" t="s">
        <v>1576</v>
      </c>
      <c r="H411" s="11" t="s">
        <v>121</v>
      </c>
      <c r="I411" s="21">
        <v>-1.51825892927523</v>
      </c>
      <c r="J411" s="21">
        <v>-48.0370235233516</v>
      </c>
      <c r="K411" s="21" t="s">
        <v>2276</v>
      </c>
      <c r="L411" s="3">
        <v>1996</v>
      </c>
      <c r="M411" s="3">
        <v>1997</v>
      </c>
      <c r="N411" s="3" t="s">
        <v>2276</v>
      </c>
      <c r="O411" s="4" t="s">
        <v>2</v>
      </c>
      <c r="P411" s="5" t="s">
        <v>5187</v>
      </c>
      <c r="Q411" s="3"/>
    </row>
    <row r="412" spans="1:17" ht="38" customHeight="1">
      <c r="A412" s="31">
        <v>84</v>
      </c>
      <c r="B412" s="57" t="s">
        <v>1165</v>
      </c>
      <c r="C412" s="23" t="s">
        <v>1513</v>
      </c>
      <c r="D412" s="11" t="s">
        <v>2398</v>
      </c>
      <c r="E412" s="3" t="s">
        <v>2399</v>
      </c>
      <c r="F412" s="3" t="s">
        <v>1588</v>
      </c>
      <c r="G412" s="3" t="s">
        <v>1576</v>
      </c>
      <c r="H412" s="11" t="s">
        <v>121</v>
      </c>
      <c r="I412" s="21">
        <v>-1.20171867626732</v>
      </c>
      <c r="J412" s="21">
        <v>-47.180006507799398</v>
      </c>
      <c r="K412" s="21" t="s">
        <v>2276</v>
      </c>
      <c r="L412" s="3">
        <v>1996</v>
      </c>
      <c r="M412" s="3">
        <v>1997</v>
      </c>
      <c r="N412" s="3" t="s">
        <v>2276</v>
      </c>
      <c r="O412" s="4" t="s">
        <v>2</v>
      </c>
      <c r="P412" s="5" t="s">
        <v>5187</v>
      </c>
      <c r="Q412" s="3"/>
    </row>
    <row r="413" spans="1:17" ht="38" customHeight="1">
      <c r="A413" s="31">
        <v>84</v>
      </c>
      <c r="B413" s="57" t="s">
        <v>1165</v>
      </c>
      <c r="C413" s="23" t="s">
        <v>1514</v>
      </c>
      <c r="D413" s="11" t="s">
        <v>2398</v>
      </c>
      <c r="E413" s="3" t="s">
        <v>2399</v>
      </c>
      <c r="F413" s="3" t="s">
        <v>1589</v>
      </c>
      <c r="G413" s="3" t="s">
        <v>1576</v>
      </c>
      <c r="H413" s="11" t="s">
        <v>121</v>
      </c>
      <c r="I413" s="21">
        <v>-3.0054872830583501</v>
      </c>
      <c r="J413" s="21">
        <v>-47.376126520306698</v>
      </c>
      <c r="K413" s="21" t="s">
        <v>2276</v>
      </c>
      <c r="L413" s="3">
        <v>1996</v>
      </c>
      <c r="M413" s="3">
        <v>1997</v>
      </c>
      <c r="N413" s="3" t="s">
        <v>2276</v>
      </c>
      <c r="O413" s="4" t="s">
        <v>2</v>
      </c>
      <c r="P413" s="5" t="s">
        <v>5187</v>
      </c>
      <c r="Q413" s="3"/>
    </row>
    <row r="414" spans="1:17" ht="38" customHeight="1">
      <c r="A414" s="31">
        <v>84</v>
      </c>
      <c r="B414" s="57" t="s">
        <v>1165</v>
      </c>
      <c r="C414" s="23" t="s">
        <v>1515</v>
      </c>
      <c r="D414" s="11" t="s">
        <v>2398</v>
      </c>
      <c r="E414" s="3" t="s">
        <v>2399</v>
      </c>
      <c r="F414" s="3" t="s">
        <v>1590</v>
      </c>
      <c r="G414" s="3" t="s">
        <v>1576</v>
      </c>
      <c r="H414" s="11" t="s">
        <v>121</v>
      </c>
      <c r="I414" s="21">
        <v>-2.9382717004654499</v>
      </c>
      <c r="J414" s="21">
        <v>-48.950892857142897</v>
      </c>
      <c r="K414" s="21" t="s">
        <v>2276</v>
      </c>
      <c r="L414" s="3">
        <v>1996</v>
      </c>
      <c r="M414" s="3">
        <v>1997</v>
      </c>
      <c r="N414" s="3" t="s">
        <v>2276</v>
      </c>
      <c r="O414" s="4" t="s">
        <v>2</v>
      </c>
      <c r="P414" s="5" t="s">
        <v>5187</v>
      </c>
      <c r="Q414" s="3"/>
    </row>
    <row r="415" spans="1:17" ht="38" customHeight="1">
      <c r="A415" s="31">
        <v>84</v>
      </c>
      <c r="B415" s="57" t="s">
        <v>1165</v>
      </c>
      <c r="C415" s="23" t="s">
        <v>1516</v>
      </c>
      <c r="D415" s="11" t="s">
        <v>2398</v>
      </c>
      <c r="E415" s="3" t="s">
        <v>2399</v>
      </c>
      <c r="F415" s="3" t="s">
        <v>1591</v>
      </c>
      <c r="G415" s="3" t="s">
        <v>1576</v>
      </c>
      <c r="H415" s="11" t="s">
        <v>121</v>
      </c>
      <c r="I415" s="21">
        <v>-3.76600100718727</v>
      </c>
      <c r="J415" s="21">
        <v>-49.677712912087898</v>
      </c>
      <c r="K415" s="21" t="s">
        <v>2276</v>
      </c>
      <c r="L415" s="3">
        <v>1996</v>
      </c>
      <c r="M415" s="3">
        <v>1997</v>
      </c>
      <c r="N415" s="3" t="s">
        <v>2276</v>
      </c>
      <c r="O415" s="4" t="s">
        <v>2</v>
      </c>
      <c r="P415" s="5" t="s">
        <v>5187</v>
      </c>
      <c r="Q415" s="3"/>
    </row>
    <row r="416" spans="1:17" ht="38" customHeight="1">
      <c r="A416" s="31">
        <v>84</v>
      </c>
      <c r="B416" s="57" t="s">
        <v>1165</v>
      </c>
      <c r="C416" s="23" t="s">
        <v>1517</v>
      </c>
      <c r="D416" s="11" t="s">
        <v>2398</v>
      </c>
      <c r="E416" s="3" t="s">
        <v>2399</v>
      </c>
      <c r="F416" s="3" t="s">
        <v>1592</v>
      </c>
      <c r="G416" s="3" t="s">
        <v>1576</v>
      </c>
      <c r="H416" s="11" t="s">
        <v>121</v>
      </c>
      <c r="I416" s="21">
        <v>-3.8440359757502902</v>
      </c>
      <c r="J416" s="21">
        <v>-49.098394758982998</v>
      </c>
      <c r="K416" s="21" t="s">
        <v>2276</v>
      </c>
      <c r="L416" s="3">
        <v>1996</v>
      </c>
      <c r="M416" s="3">
        <v>1997</v>
      </c>
      <c r="N416" s="3" t="s">
        <v>2276</v>
      </c>
      <c r="O416" s="4" t="s">
        <v>2</v>
      </c>
      <c r="P416" s="5" t="s">
        <v>5187</v>
      </c>
      <c r="Q416" s="3"/>
    </row>
    <row r="417" spans="1:17" ht="38" customHeight="1">
      <c r="A417" s="31">
        <v>84</v>
      </c>
      <c r="B417" s="57" t="s">
        <v>1165</v>
      </c>
      <c r="C417" s="23" t="s">
        <v>1518</v>
      </c>
      <c r="D417" s="11" t="s">
        <v>2398</v>
      </c>
      <c r="E417" s="3" t="s">
        <v>2399</v>
      </c>
      <c r="F417" s="3" t="s">
        <v>1593</v>
      </c>
      <c r="G417" s="3" t="s">
        <v>1576</v>
      </c>
      <c r="H417" s="11" t="s">
        <v>121</v>
      </c>
      <c r="I417" s="21">
        <v>-4.4430925275499202</v>
      </c>
      <c r="J417" s="21">
        <v>-49.115378511022598</v>
      </c>
      <c r="K417" s="21" t="s">
        <v>2276</v>
      </c>
      <c r="L417" s="3">
        <v>1996</v>
      </c>
      <c r="M417" s="3">
        <v>1997</v>
      </c>
      <c r="N417" s="3" t="s">
        <v>2276</v>
      </c>
      <c r="O417" s="4" t="s">
        <v>2</v>
      </c>
      <c r="P417" s="5" t="s">
        <v>5187</v>
      </c>
      <c r="Q417" s="3"/>
    </row>
    <row r="418" spans="1:17" ht="38" customHeight="1">
      <c r="A418" s="31">
        <v>84</v>
      </c>
      <c r="B418" s="57" t="s">
        <v>1165</v>
      </c>
      <c r="C418" s="23" t="s">
        <v>1519</v>
      </c>
      <c r="D418" s="11" t="s">
        <v>2398</v>
      </c>
      <c r="E418" s="3" t="s">
        <v>2399</v>
      </c>
      <c r="F418" s="3" t="s">
        <v>1594</v>
      </c>
      <c r="G418" s="3" t="s">
        <v>1576</v>
      </c>
      <c r="H418" s="11" t="s">
        <v>121</v>
      </c>
      <c r="I418" s="21">
        <v>-4.1483536922172499</v>
      </c>
      <c r="J418" s="21">
        <v>-50.221285398199598</v>
      </c>
      <c r="K418" s="21" t="s">
        <v>2276</v>
      </c>
      <c r="L418" s="3">
        <v>1996</v>
      </c>
      <c r="M418" s="3">
        <v>1997</v>
      </c>
      <c r="N418" s="3" t="s">
        <v>2276</v>
      </c>
      <c r="O418" s="4" t="s">
        <v>2</v>
      </c>
      <c r="P418" s="5" t="s">
        <v>5187</v>
      </c>
      <c r="Q418" s="3"/>
    </row>
    <row r="419" spans="1:17" ht="38" customHeight="1">
      <c r="A419" s="31">
        <v>84</v>
      </c>
      <c r="B419" s="57" t="s">
        <v>1165</v>
      </c>
      <c r="C419" s="23" t="s">
        <v>1520</v>
      </c>
      <c r="D419" s="11" t="s">
        <v>2398</v>
      </c>
      <c r="E419" s="3" t="s">
        <v>2399</v>
      </c>
      <c r="F419" s="3" t="s">
        <v>1595</v>
      </c>
      <c r="G419" s="3" t="s">
        <v>1576</v>
      </c>
      <c r="H419" s="11" t="s">
        <v>121</v>
      </c>
      <c r="I419" s="21">
        <v>-5.1314749053399398</v>
      </c>
      <c r="J419" s="21">
        <v>-49.331363271381399</v>
      </c>
      <c r="K419" s="21" t="s">
        <v>2276</v>
      </c>
      <c r="L419" s="3">
        <v>1996</v>
      </c>
      <c r="M419" s="3">
        <v>1997</v>
      </c>
      <c r="N419" s="3" t="s">
        <v>2276</v>
      </c>
      <c r="O419" s="4" t="s">
        <v>2</v>
      </c>
      <c r="P419" s="5" t="s">
        <v>5187</v>
      </c>
      <c r="Q419" s="3"/>
    </row>
    <row r="420" spans="1:17" ht="38" customHeight="1">
      <c r="A420" s="31">
        <v>84</v>
      </c>
      <c r="B420" s="57" t="s">
        <v>1165</v>
      </c>
      <c r="C420" s="23" t="s">
        <v>1521</v>
      </c>
      <c r="D420" s="11" t="s">
        <v>2398</v>
      </c>
      <c r="E420" s="3" t="s">
        <v>2399</v>
      </c>
      <c r="F420" s="3" t="s">
        <v>1596</v>
      </c>
      <c r="G420" s="3" t="s">
        <v>1576</v>
      </c>
      <c r="H420" s="11" t="s">
        <v>121</v>
      </c>
      <c r="I420" s="21">
        <v>-5.3671920713892503</v>
      </c>
      <c r="J420" s="21">
        <v>-49.1262086808891</v>
      </c>
      <c r="K420" s="21" t="s">
        <v>2276</v>
      </c>
      <c r="L420" s="3">
        <v>1996</v>
      </c>
      <c r="M420" s="3">
        <v>1997</v>
      </c>
      <c r="N420" s="3" t="s">
        <v>2276</v>
      </c>
      <c r="O420" s="4" t="s">
        <v>2</v>
      </c>
      <c r="P420" s="5" t="s">
        <v>5187</v>
      </c>
      <c r="Q420" s="3"/>
    </row>
    <row r="421" spans="1:17" ht="38" customHeight="1">
      <c r="A421" s="31">
        <v>84</v>
      </c>
      <c r="B421" s="57" t="s">
        <v>1165</v>
      </c>
      <c r="C421" s="23" t="s">
        <v>1522</v>
      </c>
      <c r="D421" s="11" t="s">
        <v>2398</v>
      </c>
      <c r="E421" s="3" t="s">
        <v>2399</v>
      </c>
      <c r="F421" s="3" t="s">
        <v>1597</v>
      </c>
      <c r="G421" s="3" t="s">
        <v>1576</v>
      </c>
      <c r="H421" s="11" t="s">
        <v>121</v>
      </c>
      <c r="I421" s="21">
        <v>-4.78912783814493</v>
      </c>
      <c r="J421" s="21">
        <v>-48.077477224964703</v>
      </c>
      <c r="K421" s="21" t="s">
        <v>2276</v>
      </c>
      <c r="L421" s="3">
        <v>1996</v>
      </c>
      <c r="M421" s="3">
        <v>1997</v>
      </c>
      <c r="N421" s="3" t="s">
        <v>2276</v>
      </c>
      <c r="O421" s="4" t="s">
        <v>2</v>
      </c>
      <c r="P421" s="5" t="s">
        <v>5187</v>
      </c>
      <c r="Q421" s="3"/>
    </row>
    <row r="422" spans="1:17" ht="38" customHeight="1">
      <c r="A422" s="31">
        <v>84</v>
      </c>
      <c r="B422" s="57" t="s">
        <v>1165</v>
      </c>
      <c r="C422" s="23" t="s">
        <v>1523</v>
      </c>
      <c r="D422" s="11" t="s">
        <v>2398</v>
      </c>
      <c r="E422" s="3" t="s">
        <v>2399</v>
      </c>
      <c r="F422" s="3" t="s">
        <v>1598</v>
      </c>
      <c r="G422" s="3" t="s">
        <v>1576</v>
      </c>
      <c r="H422" s="11" t="s">
        <v>121</v>
      </c>
      <c r="I422" s="21">
        <v>-4.3009790901881901</v>
      </c>
      <c r="J422" s="21">
        <v>-47.5524868857675</v>
      </c>
      <c r="K422" s="21" t="s">
        <v>2276</v>
      </c>
      <c r="L422" s="3">
        <v>1996</v>
      </c>
      <c r="M422" s="3">
        <v>1997</v>
      </c>
      <c r="N422" s="3" t="s">
        <v>2276</v>
      </c>
      <c r="O422" s="4" t="s">
        <v>2</v>
      </c>
      <c r="P422" s="5" t="s">
        <v>5187</v>
      </c>
      <c r="Q422" s="3"/>
    </row>
    <row r="423" spans="1:17" ht="38" customHeight="1">
      <c r="A423" s="31">
        <v>84</v>
      </c>
      <c r="B423" s="57" t="s">
        <v>1165</v>
      </c>
      <c r="C423" s="23" t="s">
        <v>1524</v>
      </c>
      <c r="D423" s="11" t="s">
        <v>2398</v>
      </c>
      <c r="E423" s="3" t="s">
        <v>2399</v>
      </c>
      <c r="F423" s="3" t="s">
        <v>1599</v>
      </c>
      <c r="G423" s="3" t="s">
        <v>1576</v>
      </c>
      <c r="H423" s="11" t="s">
        <v>121</v>
      </c>
      <c r="I423" s="21">
        <v>-4.9366265977531496</v>
      </c>
      <c r="J423" s="21">
        <v>-47.492951126108203</v>
      </c>
      <c r="K423" s="21" t="s">
        <v>2276</v>
      </c>
      <c r="L423" s="3">
        <v>1996</v>
      </c>
      <c r="M423" s="3">
        <v>1997</v>
      </c>
      <c r="N423" s="3" t="s">
        <v>2276</v>
      </c>
      <c r="O423" s="4" t="s">
        <v>2</v>
      </c>
      <c r="P423" s="5" t="s">
        <v>5187</v>
      </c>
      <c r="Q423" s="3"/>
    </row>
    <row r="424" spans="1:17" ht="38" customHeight="1">
      <c r="A424" s="31">
        <v>84</v>
      </c>
      <c r="B424" s="57" t="s">
        <v>1165</v>
      </c>
      <c r="C424" s="23" t="s">
        <v>1525</v>
      </c>
      <c r="D424" s="11" t="s">
        <v>2398</v>
      </c>
      <c r="E424" s="3" t="s">
        <v>2399</v>
      </c>
      <c r="F424" s="3" t="s">
        <v>1600</v>
      </c>
      <c r="G424" s="3" t="s">
        <v>1576</v>
      </c>
      <c r="H424" s="11" t="s">
        <v>121</v>
      </c>
      <c r="I424" s="21">
        <v>-5.5088508851075</v>
      </c>
      <c r="J424" s="21">
        <v>-47.498421433914402</v>
      </c>
      <c r="K424" s="21" t="s">
        <v>2276</v>
      </c>
      <c r="L424" s="3">
        <v>1996</v>
      </c>
      <c r="M424" s="3">
        <v>1997</v>
      </c>
      <c r="N424" s="3" t="s">
        <v>2276</v>
      </c>
      <c r="O424" s="4" t="s">
        <v>2</v>
      </c>
      <c r="P424" s="5" t="s">
        <v>5187</v>
      </c>
      <c r="Q424" s="3"/>
    </row>
    <row r="425" spans="1:17" ht="38" customHeight="1">
      <c r="A425" s="31">
        <v>84</v>
      </c>
      <c r="B425" s="57" t="s">
        <v>1165</v>
      </c>
      <c r="C425" s="23" t="s">
        <v>1526</v>
      </c>
      <c r="D425" s="11" t="s">
        <v>2398</v>
      </c>
      <c r="E425" s="3" t="s">
        <v>2399</v>
      </c>
      <c r="F425" s="3" t="s">
        <v>1601</v>
      </c>
      <c r="G425" s="3" t="s">
        <v>1576</v>
      </c>
      <c r="H425" s="11" t="s">
        <v>121</v>
      </c>
      <c r="I425" s="21">
        <v>-7.1997800630427999</v>
      </c>
      <c r="J425" s="21">
        <v>-48.207763697865303</v>
      </c>
      <c r="K425" s="21" t="s">
        <v>2276</v>
      </c>
      <c r="L425" s="3">
        <v>1996</v>
      </c>
      <c r="M425" s="3">
        <v>1997</v>
      </c>
      <c r="N425" s="3" t="s">
        <v>2276</v>
      </c>
      <c r="O425" s="4" t="s">
        <v>2</v>
      </c>
      <c r="P425" s="5" t="s">
        <v>5187</v>
      </c>
      <c r="Q425" s="3"/>
    </row>
    <row r="426" spans="1:17" ht="38" customHeight="1">
      <c r="A426" s="31">
        <v>84</v>
      </c>
      <c r="B426" s="57" t="s">
        <v>1165</v>
      </c>
      <c r="C426" s="23" t="s">
        <v>1527</v>
      </c>
      <c r="D426" s="11" t="s">
        <v>2398</v>
      </c>
      <c r="E426" s="3" t="s">
        <v>2399</v>
      </c>
      <c r="F426" s="3" t="s">
        <v>1602</v>
      </c>
      <c r="G426" s="3" t="s">
        <v>1576</v>
      </c>
      <c r="H426" s="11" t="s">
        <v>121</v>
      </c>
      <c r="I426" s="21">
        <v>-8.0390507431143892</v>
      </c>
      <c r="J426" s="21">
        <v>-50.032178260396499</v>
      </c>
      <c r="K426" s="21" t="s">
        <v>2276</v>
      </c>
      <c r="L426" s="3">
        <v>1996</v>
      </c>
      <c r="M426" s="3">
        <v>1997</v>
      </c>
      <c r="N426" s="3" t="s">
        <v>2276</v>
      </c>
      <c r="O426" s="4" t="s">
        <v>2</v>
      </c>
      <c r="P426" s="5" t="s">
        <v>5187</v>
      </c>
      <c r="Q426" s="3"/>
    </row>
    <row r="427" spans="1:17" ht="38" customHeight="1">
      <c r="A427" s="31">
        <v>84</v>
      </c>
      <c r="B427" s="57" t="s">
        <v>1165</v>
      </c>
      <c r="C427" s="23" t="s">
        <v>1528</v>
      </c>
      <c r="D427" s="11" t="s">
        <v>2398</v>
      </c>
      <c r="E427" s="3" t="s">
        <v>2399</v>
      </c>
      <c r="F427" s="3" t="s">
        <v>1603</v>
      </c>
      <c r="G427" s="3" t="s">
        <v>1576</v>
      </c>
      <c r="H427" s="11" t="s">
        <v>121</v>
      </c>
      <c r="I427" s="21">
        <v>-3.7237356457542101</v>
      </c>
      <c r="J427" s="21">
        <v>-53.740427137350999</v>
      </c>
      <c r="K427" s="21" t="s">
        <v>2276</v>
      </c>
      <c r="L427" s="3">
        <v>1996</v>
      </c>
      <c r="M427" s="3">
        <v>1997</v>
      </c>
      <c r="N427" s="3" t="s">
        <v>2276</v>
      </c>
      <c r="O427" s="4" t="s">
        <v>2</v>
      </c>
      <c r="P427" s="5" t="s">
        <v>5187</v>
      </c>
      <c r="Q427" s="3"/>
    </row>
    <row r="428" spans="1:17" ht="38" customHeight="1">
      <c r="A428" s="31">
        <v>84</v>
      </c>
      <c r="B428" s="57" t="s">
        <v>1165</v>
      </c>
      <c r="C428" s="23" t="s">
        <v>1529</v>
      </c>
      <c r="D428" s="11" t="s">
        <v>2398</v>
      </c>
      <c r="E428" s="3" t="s">
        <v>2399</v>
      </c>
      <c r="F428" s="3" t="s">
        <v>1604</v>
      </c>
      <c r="G428" s="3" t="s">
        <v>1576</v>
      </c>
      <c r="H428" s="11" t="s">
        <v>121</v>
      </c>
      <c r="I428" s="21">
        <v>-3.2038159402087598</v>
      </c>
      <c r="J428" s="21">
        <v>-52.220773663445001</v>
      </c>
      <c r="K428" s="21" t="s">
        <v>2276</v>
      </c>
      <c r="L428" s="3">
        <v>1996</v>
      </c>
      <c r="M428" s="3">
        <v>1997</v>
      </c>
      <c r="N428" s="3" t="s">
        <v>2276</v>
      </c>
      <c r="O428" s="4" t="s">
        <v>2</v>
      </c>
      <c r="P428" s="5" t="s">
        <v>5187</v>
      </c>
      <c r="Q428" s="3"/>
    </row>
    <row r="429" spans="1:17" ht="38" customHeight="1">
      <c r="A429" s="31">
        <v>84</v>
      </c>
      <c r="B429" s="57" t="s">
        <v>1165</v>
      </c>
      <c r="C429" s="23" t="s">
        <v>1530</v>
      </c>
      <c r="D429" s="11" t="s">
        <v>2398</v>
      </c>
      <c r="E429" s="3" t="s">
        <v>2399</v>
      </c>
      <c r="F429" s="3" t="s">
        <v>1605</v>
      </c>
      <c r="G429" s="3" t="s">
        <v>1576</v>
      </c>
      <c r="H429" s="11" t="s">
        <v>121</v>
      </c>
      <c r="I429" s="21">
        <v>-3.0807614927548701</v>
      </c>
      <c r="J429" s="21">
        <v>-60.005573770002499</v>
      </c>
      <c r="K429" s="21" t="s">
        <v>2276</v>
      </c>
      <c r="L429" s="3">
        <v>1996</v>
      </c>
      <c r="M429" s="3">
        <v>1997</v>
      </c>
      <c r="N429" s="3" t="s">
        <v>2276</v>
      </c>
      <c r="O429" s="4" t="s">
        <v>2</v>
      </c>
      <c r="P429" s="5" t="s">
        <v>5187</v>
      </c>
      <c r="Q429" s="3"/>
    </row>
    <row r="430" spans="1:17" ht="38" customHeight="1">
      <c r="A430" s="31">
        <v>84</v>
      </c>
      <c r="B430" s="57" t="s">
        <v>1165</v>
      </c>
      <c r="C430" s="23" t="s">
        <v>1531</v>
      </c>
      <c r="D430" s="11" t="s">
        <v>2398</v>
      </c>
      <c r="E430" s="3" t="s">
        <v>2399</v>
      </c>
      <c r="F430" s="3" t="s">
        <v>1606</v>
      </c>
      <c r="G430" s="3" t="s">
        <v>1576</v>
      </c>
      <c r="H430" s="11" t="s">
        <v>121</v>
      </c>
      <c r="I430" s="21">
        <v>-3.1271254676765499</v>
      </c>
      <c r="J430" s="21">
        <v>-58.435247861486097</v>
      </c>
      <c r="K430" s="21" t="s">
        <v>2276</v>
      </c>
      <c r="L430" s="3">
        <v>1996</v>
      </c>
      <c r="M430" s="3">
        <v>1997</v>
      </c>
      <c r="N430" s="3" t="s">
        <v>2276</v>
      </c>
      <c r="O430" s="4" t="s">
        <v>2</v>
      </c>
      <c r="P430" s="5" t="s">
        <v>5187</v>
      </c>
      <c r="Q430" s="3"/>
    </row>
    <row r="431" spans="1:17" ht="38" customHeight="1">
      <c r="A431" s="31">
        <v>84</v>
      </c>
      <c r="B431" s="57" t="s">
        <v>1165</v>
      </c>
      <c r="C431" s="23" t="s">
        <v>1532</v>
      </c>
      <c r="D431" s="11" t="s">
        <v>2398</v>
      </c>
      <c r="E431" s="3" t="s">
        <v>2399</v>
      </c>
      <c r="F431" s="3" t="s">
        <v>1607</v>
      </c>
      <c r="G431" s="3" t="s">
        <v>1576</v>
      </c>
      <c r="H431" s="11" t="s">
        <v>121</v>
      </c>
      <c r="I431" s="21">
        <v>-5.0200964012498401</v>
      </c>
      <c r="J431" s="21">
        <v>-56.183806147974103</v>
      </c>
      <c r="K431" s="21" t="s">
        <v>2276</v>
      </c>
      <c r="L431" s="3">
        <v>1996</v>
      </c>
      <c r="M431" s="3">
        <v>1997</v>
      </c>
      <c r="N431" s="3" t="s">
        <v>2276</v>
      </c>
      <c r="O431" s="4" t="s">
        <v>2</v>
      </c>
      <c r="P431" s="5" t="s">
        <v>5187</v>
      </c>
      <c r="Q431" s="3"/>
    </row>
    <row r="432" spans="1:17" ht="38" customHeight="1">
      <c r="A432" s="31">
        <v>84</v>
      </c>
      <c r="B432" s="57" t="s">
        <v>1165</v>
      </c>
      <c r="C432" s="23" t="s">
        <v>1533</v>
      </c>
      <c r="D432" s="11" t="s">
        <v>2398</v>
      </c>
      <c r="E432" s="3" t="s">
        <v>2399</v>
      </c>
      <c r="F432" s="3" t="s">
        <v>1608</v>
      </c>
      <c r="G432" s="3" t="s">
        <v>1576</v>
      </c>
      <c r="H432" s="11" t="s">
        <v>121</v>
      </c>
      <c r="I432" s="21">
        <v>-7.0570183231481796</v>
      </c>
      <c r="J432" s="21">
        <v>-55.408612759063502</v>
      </c>
      <c r="K432" s="21" t="s">
        <v>2276</v>
      </c>
      <c r="L432" s="3">
        <v>1996</v>
      </c>
      <c r="M432" s="3">
        <v>1997</v>
      </c>
      <c r="N432" s="3" t="s">
        <v>2276</v>
      </c>
      <c r="O432" s="4" t="s">
        <v>2</v>
      </c>
      <c r="P432" s="5" t="s">
        <v>5187</v>
      </c>
      <c r="Q432" s="3"/>
    </row>
    <row r="433" spans="1:17" ht="38" customHeight="1">
      <c r="A433" s="31">
        <v>84</v>
      </c>
      <c r="B433" s="57" t="s">
        <v>1165</v>
      </c>
      <c r="C433" s="23" t="s">
        <v>1534</v>
      </c>
      <c r="D433" s="11" t="s">
        <v>2398</v>
      </c>
      <c r="E433" s="3" t="s">
        <v>2399</v>
      </c>
      <c r="F433" s="3" t="s">
        <v>1609</v>
      </c>
      <c r="G433" s="3" t="s">
        <v>1576</v>
      </c>
      <c r="H433" s="11" t="s">
        <v>121</v>
      </c>
      <c r="I433" s="21">
        <v>-7.5156206407053601</v>
      </c>
      <c r="J433" s="21">
        <v>-63.029073241371201</v>
      </c>
      <c r="K433" s="21" t="s">
        <v>2276</v>
      </c>
      <c r="L433" s="3">
        <v>1996</v>
      </c>
      <c r="M433" s="3">
        <v>1997</v>
      </c>
      <c r="N433" s="3" t="s">
        <v>2276</v>
      </c>
      <c r="O433" s="4" t="s">
        <v>2</v>
      </c>
      <c r="P433" s="5" t="s">
        <v>5187</v>
      </c>
      <c r="Q433" s="3"/>
    </row>
    <row r="434" spans="1:17" ht="38" customHeight="1">
      <c r="A434" s="31">
        <v>84</v>
      </c>
      <c r="B434" s="57" t="s">
        <v>1165</v>
      </c>
      <c r="C434" s="23" t="s">
        <v>1535</v>
      </c>
      <c r="D434" s="11" t="s">
        <v>2398</v>
      </c>
      <c r="E434" s="3" t="s">
        <v>2399</v>
      </c>
      <c r="F434" s="3" t="s">
        <v>1610</v>
      </c>
      <c r="G434" s="3" t="s">
        <v>1576</v>
      </c>
      <c r="H434" s="11" t="s">
        <v>121</v>
      </c>
      <c r="I434" s="21">
        <v>-10.153283488015999</v>
      </c>
      <c r="J434" s="21">
        <v>-67.738495570591397</v>
      </c>
      <c r="K434" s="21" t="s">
        <v>2276</v>
      </c>
      <c r="L434" s="3">
        <v>1996</v>
      </c>
      <c r="M434" s="3">
        <v>1997</v>
      </c>
      <c r="N434" s="3" t="s">
        <v>2276</v>
      </c>
      <c r="O434" s="4" t="s">
        <v>2</v>
      </c>
      <c r="P434" s="5" t="s">
        <v>5187</v>
      </c>
      <c r="Q434" s="3"/>
    </row>
    <row r="435" spans="1:17" ht="38" customHeight="1">
      <c r="A435" s="31">
        <v>84</v>
      </c>
      <c r="B435" s="57" t="s">
        <v>1165</v>
      </c>
      <c r="C435" s="23" t="s">
        <v>1536</v>
      </c>
      <c r="D435" s="11" t="s">
        <v>2398</v>
      </c>
      <c r="E435" s="3" t="s">
        <v>2399</v>
      </c>
      <c r="F435" s="3" t="s">
        <v>1611</v>
      </c>
      <c r="G435" s="3" t="s">
        <v>1576</v>
      </c>
      <c r="H435" s="11" t="s">
        <v>121</v>
      </c>
      <c r="I435" s="21">
        <v>-10.805865805514401</v>
      </c>
      <c r="J435" s="21">
        <v>-65.310293347799202</v>
      </c>
      <c r="K435" s="21" t="s">
        <v>2276</v>
      </c>
      <c r="L435" s="3">
        <v>1996</v>
      </c>
      <c r="M435" s="3">
        <v>1997</v>
      </c>
      <c r="N435" s="3" t="s">
        <v>2276</v>
      </c>
      <c r="O435" s="4" t="s">
        <v>2</v>
      </c>
      <c r="P435" s="5" t="s">
        <v>5187</v>
      </c>
      <c r="Q435" s="3"/>
    </row>
    <row r="436" spans="1:17" ht="38" customHeight="1">
      <c r="A436" s="31">
        <v>84</v>
      </c>
      <c r="B436" s="57" t="s">
        <v>1165</v>
      </c>
      <c r="C436" s="23" t="s">
        <v>1537</v>
      </c>
      <c r="D436" s="11" t="s">
        <v>2398</v>
      </c>
      <c r="E436" s="3" t="s">
        <v>2399</v>
      </c>
      <c r="F436" s="3" t="s">
        <v>1612</v>
      </c>
      <c r="G436" s="3" t="s">
        <v>1576</v>
      </c>
      <c r="H436" s="11" t="s">
        <v>121</v>
      </c>
      <c r="I436" s="21">
        <v>-14.5368254301712</v>
      </c>
      <c r="J436" s="21">
        <v>-59.537453425076599</v>
      </c>
      <c r="K436" s="21" t="s">
        <v>2276</v>
      </c>
      <c r="L436" s="3">
        <v>1996</v>
      </c>
      <c r="M436" s="3">
        <v>1997</v>
      </c>
      <c r="N436" s="3" t="s">
        <v>2276</v>
      </c>
      <c r="O436" s="4" t="s">
        <v>2</v>
      </c>
      <c r="P436" s="5" t="s">
        <v>5187</v>
      </c>
      <c r="Q436" s="3"/>
    </row>
    <row r="437" spans="1:17" ht="38" customHeight="1">
      <c r="A437" s="31">
        <v>84</v>
      </c>
      <c r="B437" s="57" t="s">
        <v>1165</v>
      </c>
      <c r="C437" s="23" t="s">
        <v>1538</v>
      </c>
      <c r="D437" s="11" t="s">
        <v>2398</v>
      </c>
      <c r="E437" s="3" t="s">
        <v>2399</v>
      </c>
      <c r="F437" s="3" t="s">
        <v>1613</v>
      </c>
      <c r="G437" s="3" t="s">
        <v>1576</v>
      </c>
      <c r="H437" s="11" t="s">
        <v>121</v>
      </c>
      <c r="I437" s="21">
        <v>-11.4258469281459</v>
      </c>
      <c r="J437" s="21">
        <v>-58.769399713254003</v>
      </c>
      <c r="K437" s="21" t="s">
        <v>2276</v>
      </c>
      <c r="L437" s="3">
        <v>1996</v>
      </c>
      <c r="M437" s="3">
        <v>1997</v>
      </c>
      <c r="N437" s="3" t="s">
        <v>2276</v>
      </c>
      <c r="O437" s="4" t="s">
        <v>2</v>
      </c>
      <c r="P437" s="5" t="s">
        <v>5187</v>
      </c>
      <c r="Q437" s="3"/>
    </row>
    <row r="438" spans="1:17" ht="38" customHeight="1">
      <c r="A438" s="31">
        <v>84</v>
      </c>
      <c r="B438" s="57" t="s">
        <v>1165</v>
      </c>
      <c r="C438" s="23" t="s">
        <v>1539</v>
      </c>
      <c r="D438" s="11" t="s">
        <v>2398</v>
      </c>
      <c r="E438" s="3" t="s">
        <v>2399</v>
      </c>
      <c r="F438" s="3" t="s">
        <v>1614</v>
      </c>
      <c r="G438" s="3" t="s">
        <v>1576</v>
      </c>
      <c r="H438" s="11" t="s">
        <v>121</v>
      </c>
      <c r="I438" s="21">
        <v>-10.395011634998401</v>
      </c>
      <c r="J438" s="21">
        <v>-57.7149674224775</v>
      </c>
      <c r="K438" s="21" t="s">
        <v>2276</v>
      </c>
      <c r="L438" s="3">
        <v>1996</v>
      </c>
      <c r="M438" s="3">
        <v>1997</v>
      </c>
      <c r="N438" s="3" t="s">
        <v>2276</v>
      </c>
      <c r="O438" s="4" t="s">
        <v>2</v>
      </c>
      <c r="P438" s="5" t="s">
        <v>5187</v>
      </c>
      <c r="Q438" s="3"/>
    </row>
    <row r="439" spans="1:17" ht="38" customHeight="1">
      <c r="A439" s="31">
        <v>84</v>
      </c>
      <c r="B439" s="57" t="s">
        <v>1165</v>
      </c>
      <c r="C439" s="23" t="s">
        <v>1540</v>
      </c>
      <c r="D439" s="11" t="s">
        <v>2398</v>
      </c>
      <c r="E439" s="3" t="s">
        <v>2399</v>
      </c>
      <c r="F439" s="3" t="s">
        <v>1615</v>
      </c>
      <c r="G439" s="3" t="s">
        <v>1576</v>
      </c>
      <c r="H439" s="11" t="s">
        <v>121</v>
      </c>
      <c r="I439" s="21">
        <v>-10.334680208078399</v>
      </c>
      <c r="J439" s="21">
        <v>-58.492365181673598</v>
      </c>
      <c r="K439" s="21" t="s">
        <v>2276</v>
      </c>
      <c r="L439" s="3">
        <v>1996</v>
      </c>
      <c r="M439" s="3">
        <v>1997</v>
      </c>
      <c r="N439" s="3" t="s">
        <v>2276</v>
      </c>
      <c r="O439" s="4" t="s">
        <v>2</v>
      </c>
      <c r="P439" s="5" t="s">
        <v>5187</v>
      </c>
      <c r="Q439" s="3"/>
    </row>
    <row r="440" spans="1:17" ht="38" customHeight="1">
      <c r="A440" s="31">
        <v>84</v>
      </c>
      <c r="B440" s="57" t="s">
        <v>1165</v>
      </c>
      <c r="C440" s="23" t="s">
        <v>1541</v>
      </c>
      <c r="D440" s="11" t="s">
        <v>2398</v>
      </c>
      <c r="E440" s="3" t="s">
        <v>2399</v>
      </c>
      <c r="F440" s="3" t="s">
        <v>1616</v>
      </c>
      <c r="G440" s="3" t="s">
        <v>1576</v>
      </c>
      <c r="H440" s="11" t="s">
        <v>121</v>
      </c>
      <c r="I440" s="21">
        <v>-10.3186462375398</v>
      </c>
      <c r="J440" s="21">
        <v>-59.347625680520501</v>
      </c>
      <c r="K440" s="21" t="s">
        <v>2276</v>
      </c>
      <c r="L440" s="3">
        <v>1996</v>
      </c>
      <c r="M440" s="3">
        <v>1997</v>
      </c>
      <c r="N440" s="3" t="s">
        <v>2276</v>
      </c>
      <c r="O440" s="4" t="s">
        <v>2</v>
      </c>
      <c r="P440" s="5" t="s">
        <v>5187</v>
      </c>
      <c r="Q440" s="3"/>
    </row>
    <row r="441" spans="1:17" ht="38" customHeight="1">
      <c r="A441" s="31">
        <v>84</v>
      </c>
      <c r="B441" s="57" t="s">
        <v>1165</v>
      </c>
      <c r="C441" s="23" t="s">
        <v>1542</v>
      </c>
      <c r="D441" s="11" t="s">
        <v>2398</v>
      </c>
      <c r="E441" s="3" t="s">
        <v>2399</v>
      </c>
      <c r="F441" s="3" t="s">
        <v>1617</v>
      </c>
      <c r="G441" s="3" t="s">
        <v>1576</v>
      </c>
      <c r="H441" s="11" t="s">
        <v>121</v>
      </c>
      <c r="I441" s="21">
        <v>-9.8403113973094403</v>
      </c>
      <c r="J441" s="21">
        <v>-56.069971871366597</v>
      </c>
      <c r="K441" s="21" t="s">
        <v>2276</v>
      </c>
      <c r="L441" s="3">
        <v>1996</v>
      </c>
      <c r="M441" s="3">
        <v>1997</v>
      </c>
      <c r="N441" s="3" t="s">
        <v>2276</v>
      </c>
      <c r="O441" s="4" t="s">
        <v>2</v>
      </c>
      <c r="P441" s="5" t="s">
        <v>5187</v>
      </c>
      <c r="Q441" s="3"/>
    </row>
    <row r="442" spans="1:17" ht="38" customHeight="1">
      <c r="A442" s="31">
        <v>84</v>
      </c>
      <c r="B442" s="57" t="s">
        <v>1165</v>
      </c>
      <c r="C442" s="23" t="s">
        <v>1543</v>
      </c>
      <c r="D442" s="11" t="s">
        <v>2398</v>
      </c>
      <c r="E442" s="3" t="s">
        <v>2399</v>
      </c>
      <c r="F442" s="3" t="s">
        <v>1618</v>
      </c>
      <c r="G442" s="3" t="s">
        <v>1576</v>
      </c>
      <c r="H442" s="11" t="s">
        <v>121</v>
      </c>
      <c r="I442" s="21">
        <v>-9.9480615800158905</v>
      </c>
      <c r="J442" s="21">
        <v>-54.909098553009102</v>
      </c>
      <c r="K442" s="21" t="s">
        <v>2276</v>
      </c>
      <c r="L442" s="3">
        <v>1996</v>
      </c>
      <c r="M442" s="3">
        <v>1997</v>
      </c>
      <c r="N442" s="3" t="s">
        <v>2276</v>
      </c>
      <c r="O442" s="4" t="s">
        <v>2</v>
      </c>
      <c r="P442" s="5" t="s">
        <v>5187</v>
      </c>
      <c r="Q442" s="3"/>
    </row>
    <row r="443" spans="1:17" ht="38" customHeight="1">
      <c r="A443" s="31">
        <v>84</v>
      </c>
      <c r="B443" s="57" t="s">
        <v>1165</v>
      </c>
      <c r="C443" s="23" t="s">
        <v>1544</v>
      </c>
      <c r="D443" s="11" t="s">
        <v>2398</v>
      </c>
      <c r="E443" s="3" t="s">
        <v>2399</v>
      </c>
      <c r="F443" s="3" t="s">
        <v>1619</v>
      </c>
      <c r="G443" s="3" t="s">
        <v>1576</v>
      </c>
      <c r="H443" s="11" t="s">
        <v>121</v>
      </c>
      <c r="I443" s="21">
        <v>-10.2287312756744</v>
      </c>
      <c r="J443" s="21">
        <v>-54.985097013777199</v>
      </c>
      <c r="K443" s="21" t="s">
        <v>2276</v>
      </c>
      <c r="L443" s="3">
        <v>1996</v>
      </c>
      <c r="M443" s="3">
        <v>1997</v>
      </c>
      <c r="N443" s="3" t="s">
        <v>2276</v>
      </c>
      <c r="O443" s="4" t="s">
        <v>2</v>
      </c>
      <c r="P443" s="5" t="s">
        <v>5187</v>
      </c>
      <c r="Q443" s="3"/>
    </row>
    <row r="444" spans="1:17" ht="38" customHeight="1">
      <c r="A444" s="31">
        <v>84</v>
      </c>
      <c r="B444" s="57" t="s">
        <v>1165</v>
      </c>
      <c r="C444" s="23" t="s">
        <v>1545</v>
      </c>
      <c r="D444" s="11" t="s">
        <v>2398</v>
      </c>
      <c r="E444" s="3" t="s">
        <v>2399</v>
      </c>
      <c r="F444" s="3" t="s">
        <v>1620</v>
      </c>
      <c r="G444" s="3" t="s">
        <v>1576</v>
      </c>
      <c r="H444" s="11" t="s">
        <v>121</v>
      </c>
      <c r="I444" s="21">
        <v>-13.8243217062452</v>
      </c>
      <c r="J444" s="21">
        <v>-56.081663107690602</v>
      </c>
      <c r="K444" s="21" t="s">
        <v>2276</v>
      </c>
      <c r="L444" s="3">
        <v>1996</v>
      </c>
      <c r="M444" s="3">
        <v>1997</v>
      </c>
      <c r="N444" s="3" t="s">
        <v>2276</v>
      </c>
      <c r="O444" s="4" t="s">
        <v>2</v>
      </c>
      <c r="P444" s="5" t="s">
        <v>5187</v>
      </c>
      <c r="Q444" s="3"/>
    </row>
    <row r="445" spans="1:17" ht="38" customHeight="1">
      <c r="A445" s="31">
        <v>84</v>
      </c>
      <c r="B445" s="57" t="s">
        <v>1165</v>
      </c>
      <c r="C445" s="23" t="s">
        <v>1546</v>
      </c>
      <c r="D445" s="11" t="s">
        <v>2398</v>
      </c>
      <c r="E445" s="3" t="s">
        <v>2399</v>
      </c>
      <c r="F445" s="3" t="s">
        <v>1621</v>
      </c>
      <c r="G445" s="3" t="s">
        <v>1576</v>
      </c>
      <c r="H445" s="11" t="s">
        <v>121</v>
      </c>
      <c r="I445" s="21">
        <v>-12.5441722567155</v>
      </c>
      <c r="J445" s="21">
        <v>-55.722527472527503</v>
      </c>
      <c r="K445" s="21" t="s">
        <v>2276</v>
      </c>
      <c r="L445" s="3">
        <v>1996</v>
      </c>
      <c r="M445" s="3">
        <v>1997</v>
      </c>
      <c r="N445" s="3" t="s">
        <v>2276</v>
      </c>
      <c r="O445" s="4" t="s">
        <v>2</v>
      </c>
      <c r="P445" s="5" t="s">
        <v>5187</v>
      </c>
      <c r="Q445" s="3"/>
    </row>
    <row r="446" spans="1:17" ht="38" customHeight="1">
      <c r="A446" s="31">
        <v>84</v>
      </c>
      <c r="B446" s="57" t="s">
        <v>1165</v>
      </c>
      <c r="C446" s="23" t="s">
        <v>1547</v>
      </c>
      <c r="D446" s="11" t="s">
        <v>2398</v>
      </c>
      <c r="E446" s="3" t="s">
        <v>2399</v>
      </c>
      <c r="F446" s="3" t="s">
        <v>1622</v>
      </c>
      <c r="G446" s="3" t="s">
        <v>1576</v>
      </c>
      <c r="H446" s="11" t="s">
        <v>121</v>
      </c>
      <c r="I446" s="21">
        <v>-12.2866038164908</v>
      </c>
      <c r="J446" s="21">
        <v>-55.296703296703299</v>
      </c>
      <c r="K446" s="21" t="s">
        <v>2276</v>
      </c>
      <c r="L446" s="3">
        <v>1996</v>
      </c>
      <c r="M446" s="3">
        <v>1997</v>
      </c>
      <c r="N446" s="3" t="s">
        <v>2276</v>
      </c>
      <c r="O446" s="4" t="s">
        <v>2</v>
      </c>
      <c r="P446" s="5" t="s">
        <v>5187</v>
      </c>
      <c r="Q446" s="3"/>
    </row>
    <row r="447" spans="1:17" ht="38" customHeight="1">
      <c r="A447" s="31">
        <v>84</v>
      </c>
      <c r="B447" s="57" t="s">
        <v>1165</v>
      </c>
      <c r="C447" s="23" t="s">
        <v>1548</v>
      </c>
      <c r="D447" s="11" t="s">
        <v>2398</v>
      </c>
      <c r="E447" s="3" t="s">
        <v>2399</v>
      </c>
      <c r="F447" s="3" t="s">
        <v>1623</v>
      </c>
      <c r="G447" s="3" t="s">
        <v>1576</v>
      </c>
      <c r="H447" s="11" t="s">
        <v>121</v>
      </c>
      <c r="I447" s="21">
        <v>-12.371160660934899</v>
      </c>
      <c r="J447" s="21">
        <v>-54.931403700166797</v>
      </c>
      <c r="K447" s="21" t="s">
        <v>2276</v>
      </c>
      <c r="L447" s="3">
        <v>1996</v>
      </c>
      <c r="M447" s="3">
        <v>1997</v>
      </c>
      <c r="N447" s="3" t="s">
        <v>2276</v>
      </c>
      <c r="O447" s="4" t="s">
        <v>2</v>
      </c>
      <c r="P447" s="5" t="s">
        <v>5187</v>
      </c>
      <c r="Q447" s="3"/>
    </row>
    <row r="448" spans="1:17" ht="38" customHeight="1">
      <c r="A448" s="31">
        <v>84</v>
      </c>
      <c r="B448" s="57" t="s">
        <v>1165</v>
      </c>
      <c r="C448" s="23" t="s">
        <v>1549</v>
      </c>
      <c r="D448" s="11" t="s">
        <v>2398</v>
      </c>
      <c r="E448" s="3" t="s">
        <v>2399</v>
      </c>
      <c r="F448" s="3" t="s">
        <v>1624</v>
      </c>
      <c r="G448" s="3" t="s">
        <v>1576</v>
      </c>
      <c r="H448" s="11" t="s">
        <v>121</v>
      </c>
      <c r="I448" s="21">
        <v>-11.8499455484011</v>
      </c>
      <c r="J448" s="21">
        <v>-55.514951993756299</v>
      </c>
      <c r="K448" s="21" t="s">
        <v>2276</v>
      </c>
      <c r="L448" s="3">
        <v>1996</v>
      </c>
      <c r="M448" s="3">
        <v>1997</v>
      </c>
      <c r="N448" s="3" t="s">
        <v>2276</v>
      </c>
      <c r="O448" s="4" t="s">
        <v>2</v>
      </c>
      <c r="P448" s="5" t="s">
        <v>5187</v>
      </c>
      <c r="Q448" s="3"/>
    </row>
    <row r="449" spans="1:17" ht="38" customHeight="1">
      <c r="A449" s="31">
        <v>84</v>
      </c>
      <c r="B449" s="57" t="s">
        <v>1165</v>
      </c>
      <c r="C449" s="23" t="s">
        <v>1550</v>
      </c>
      <c r="D449" s="11" t="s">
        <v>2398</v>
      </c>
      <c r="E449" s="3" t="s">
        <v>2399</v>
      </c>
      <c r="F449" s="3" t="s">
        <v>1625</v>
      </c>
      <c r="G449" s="3" t="s">
        <v>1576</v>
      </c>
      <c r="H449" s="11" t="s">
        <v>121</v>
      </c>
      <c r="I449" s="21">
        <v>-11.967018425737599</v>
      </c>
      <c r="J449" s="21">
        <v>-55.279947465830404</v>
      </c>
      <c r="K449" s="21" t="s">
        <v>2276</v>
      </c>
      <c r="L449" s="3">
        <v>1996</v>
      </c>
      <c r="M449" s="3">
        <v>1997</v>
      </c>
      <c r="N449" s="3" t="s">
        <v>2276</v>
      </c>
      <c r="O449" s="4" t="s">
        <v>2</v>
      </c>
      <c r="P449" s="5" t="s">
        <v>5187</v>
      </c>
      <c r="Q449" s="3"/>
    </row>
    <row r="450" spans="1:17" ht="38" customHeight="1">
      <c r="A450" s="31">
        <v>84</v>
      </c>
      <c r="B450" s="57" t="s">
        <v>1165</v>
      </c>
      <c r="C450" s="23" t="s">
        <v>1551</v>
      </c>
      <c r="D450" s="11" t="s">
        <v>2398</v>
      </c>
      <c r="E450" s="3" t="s">
        <v>2399</v>
      </c>
      <c r="F450" s="3" t="s">
        <v>1626</v>
      </c>
      <c r="G450" s="3" t="s">
        <v>1576</v>
      </c>
      <c r="H450" s="11" t="s">
        <v>121</v>
      </c>
      <c r="I450" s="21">
        <v>-11.508886844151199</v>
      </c>
      <c r="J450" s="21">
        <v>-54.879636974837297</v>
      </c>
      <c r="K450" s="21" t="s">
        <v>2276</v>
      </c>
      <c r="L450" s="3">
        <v>1996</v>
      </c>
      <c r="M450" s="3">
        <v>1997</v>
      </c>
      <c r="N450" s="3" t="s">
        <v>2276</v>
      </c>
      <c r="O450" s="4" t="s">
        <v>2</v>
      </c>
      <c r="P450" s="5" t="s">
        <v>5187</v>
      </c>
      <c r="Q450" s="3"/>
    </row>
    <row r="451" spans="1:17" ht="38" customHeight="1">
      <c r="A451" s="31">
        <v>84</v>
      </c>
      <c r="B451" s="57" t="s">
        <v>1165</v>
      </c>
      <c r="C451" s="23" t="s">
        <v>1552</v>
      </c>
      <c r="D451" s="11" t="s">
        <v>2398</v>
      </c>
      <c r="E451" s="3" t="s">
        <v>2399</v>
      </c>
      <c r="F451" s="3" t="s">
        <v>1627</v>
      </c>
      <c r="G451" s="3" t="s">
        <v>1576</v>
      </c>
      <c r="H451" s="11" t="s">
        <v>121</v>
      </c>
      <c r="I451" s="21">
        <v>-11.534666501908699</v>
      </c>
      <c r="J451" s="21">
        <v>-54.366420145238401</v>
      </c>
      <c r="K451" s="21" t="s">
        <v>2276</v>
      </c>
      <c r="L451" s="3">
        <v>1996</v>
      </c>
      <c r="M451" s="3">
        <v>1997</v>
      </c>
      <c r="N451" s="3" t="s">
        <v>2276</v>
      </c>
      <c r="O451" s="4" t="s">
        <v>2</v>
      </c>
      <c r="P451" s="5" t="s">
        <v>5187</v>
      </c>
      <c r="Q451" s="3"/>
    </row>
    <row r="452" spans="1:17" ht="38" customHeight="1">
      <c r="A452" s="31">
        <v>84</v>
      </c>
      <c r="B452" s="57" t="s">
        <v>1165</v>
      </c>
      <c r="C452" s="23" t="s">
        <v>1553</v>
      </c>
      <c r="D452" s="11" t="s">
        <v>2398</v>
      </c>
      <c r="E452" s="3" t="s">
        <v>2399</v>
      </c>
      <c r="F452" s="3" t="s">
        <v>1628</v>
      </c>
      <c r="G452" s="3" t="s">
        <v>1576</v>
      </c>
      <c r="H452" s="11" t="s">
        <v>121</v>
      </c>
      <c r="I452" s="21">
        <v>-11.083237396686201</v>
      </c>
      <c r="J452" s="21">
        <v>-54.519847149218599</v>
      </c>
      <c r="K452" s="21" t="s">
        <v>2276</v>
      </c>
      <c r="L452" s="3">
        <v>1996</v>
      </c>
      <c r="M452" s="3">
        <v>1997</v>
      </c>
      <c r="N452" s="3" t="s">
        <v>2276</v>
      </c>
      <c r="O452" s="4" t="s">
        <v>2</v>
      </c>
      <c r="P452" s="5" t="s">
        <v>5187</v>
      </c>
      <c r="Q452" s="3"/>
    </row>
    <row r="453" spans="1:17" ht="38" customHeight="1">
      <c r="A453" s="31">
        <v>84</v>
      </c>
      <c r="B453" s="57" t="s">
        <v>1165</v>
      </c>
      <c r="C453" s="23" t="s">
        <v>1554</v>
      </c>
      <c r="D453" s="11" t="s">
        <v>2398</v>
      </c>
      <c r="E453" s="3" t="s">
        <v>2399</v>
      </c>
      <c r="F453" s="3" t="s">
        <v>1629</v>
      </c>
      <c r="G453" s="3" t="s">
        <v>1576</v>
      </c>
      <c r="H453" s="11" t="s">
        <v>121</v>
      </c>
      <c r="I453" s="21">
        <v>-11.2535189439607</v>
      </c>
      <c r="J453" s="21">
        <v>-57.508241758241702</v>
      </c>
      <c r="K453" s="21" t="s">
        <v>2276</v>
      </c>
      <c r="L453" s="3">
        <v>1996</v>
      </c>
      <c r="M453" s="3">
        <v>1997</v>
      </c>
      <c r="N453" s="3" t="s">
        <v>2276</v>
      </c>
      <c r="O453" s="4" t="s">
        <v>2</v>
      </c>
      <c r="P453" s="5" t="s">
        <v>5187</v>
      </c>
      <c r="Q453" s="3"/>
    </row>
    <row r="454" spans="1:17" ht="38" customHeight="1">
      <c r="A454" s="31">
        <v>84</v>
      </c>
      <c r="B454" s="57" t="s">
        <v>1165</v>
      </c>
      <c r="C454" s="23" t="s">
        <v>1555</v>
      </c>
      <c r="D454" s="11" t="s">
        <v>2398</v>
      </c>
      <c r="E454" s="3" t="s">
        <v>2399</v>
      </c>
      <c r="F454" s="3" t="s">
        <v>1630</v>
      </c>
      <c r="G454" s="3" t="s">
        <v>1576</v>
      </c>
      <c r="H454" s="11" t="s">
        <v>121</v>
      </c>
      <c r="I454" s="21">
        <v>-11.5347490058889</v>
      </c>
      <c r="J454" s="21">
        <v>-57.409394552064498</v>
      </c>
      <c r="K454" s="21" t="s">
        <v>2276</v>
      </c>
      <c r="L454" s="3">
        <v>1996</v>
      </c>
      <c r="M454" s="3">
        <v>1997</v>
      </c>
      <c r="N454" s="3" t="s">
        <v>2276</v>
      </c>
      <c r="O454" s="4" t="s">
        <v>2</v>
      </c>
      <c r="P454" s="5" t="s">
        <v>5187</v>
      </c>
      <c r="Q454" s="3"/>
    </row>
    <row r="455" spans="1:17" ht="38" customHeight="1">
      <c r="A455" s="31">
        <v>84</v>
      </c>
      <c r="B455" s="57" t="s">
        <v>1165</v>
      </c>
      <c r="C455" s="23" t="s">
        <v>1556</v>
      </c>
      <c r="D455" s="11" t="s">
        <v>2398</v>
      </c>
      <c r="E455" s="3" t="s">
        <v>2399</v>
      </c>
      <c r="F455" s="3" t="s">
        <v>1631</v>
      </c>
      <c r="G455" s="3" t="s">
        <v>1576</v>
      </c>
      <c r="H455" s="11" t="s">
        <v>121</v>
      </c>
      <c r="I455" s="21">
        <v>-11.3082271339758</v>
      </c>
      <c r="J455" s="21">
        <v>-56.819521869638699</v>
      </c>
      <c r="K455" s="21" t="s">
        <v>2276</v>
      </c>
      <c r="L455" s="3">
        <v>1996</v>
      </c>
      <c r="M455" s="3">
        <v>1997</v>
      </c>
      <c r="N455" s="3" t="s">
        <v>2276</v>
      </c>
      <c r="O455" s="4" t="s">
        <v>2</v>
      </c>
      <c r="P455" s="5" t="s">
        <v>5187</v>
      </c>
      <c r="Q455" s="3"/>
    </row>
    <row r="456" spans="1:17" ht="38" customHeight="1">
      <c r="A456" s="31">
        <v>84</v>
      </c>
      <c r="B456" s="57" t="s">
        <v>1165</v>
      </c>
      <c r="C456" s="23" t="s">
        <v>1557</v>
      </c>
      <c r="D456" s="11" t="s">
        <v>2398</v>
      </c>
      <c r="E456" s="3" t="s">
        <v>2399</v>
      </c>
      <c r="F456" s="3" t="s">
        <v>1632</v>
      </c>
      <c r="G456" s="3" t="s">
        <v>1576</v>
      </c>
      <c r="H456" s="11" t="s">
        <v>121</v>
      </c>
      <c r="I456" s="21">
        <v>-12.121016598174499</v>
      </c>
      <c r="J456" s="21">
        <v>-58.005782511000803</v>
      </c>
      <c r="K456" s="21" t="s">
        <v>2276</v>
      </c>
      <c r="L456" s="3">
        <v>1996</v>
      </c>
      <c r="M456" s="3">
        <v>1997</v>
      </c>
      <c r="N456" s="3" t="s">
        <v>2276</v>
      </c>
      <c r="O456" s="4" t="s">
        <v>2</v>
      </c>
      <c r="P456" s="5" t="s">
        <v>5187</v>
      </c>
      <c r="Q456" s="3"/>
    </row>
    <row r="457" spans="1:17" ht="38" customHeight="1">
      <c r="A457" s="31">
        <v>84</v>
      </c>
      <c r="B457" s="57" t="s">
        <v>1165</v>
      </c>
      <c r="C457" s="23" t="s">
        <v>1558</v>
      </c>
      <c r="D457" s="11" t="s">
        <v>2398</v>
      </c>
      <c r="E457" s="3" t="s">
        <v>2399</v>
      </c>
      <c r="F457" s="3" t="s">
        <v>1633</v>
      </c>
      <c r="G457" s="3" t="s">
        <v>1576</v>
      </c>
      <c r="H457" s="11" t="s">
        <v>121</v>
      </c>
      <c r="I457" s="21">
        <v>-13.666464327188899</v>
      </c>
      <c r="J457" s="21">
        <v>-59.788376924492098</v>
      </c>
      <c r="K457" s="21" t="s">
        <v>2276</v>
      </c>
      <c r="L457" s="3">
        <v>1996</v>
      </c>
      <c r="M457" s="3">
        <v>1997</v>
      </c>
      <c r="N457" s="3" t="s">
        <v>2276</v>
      </c>
      <c r="O457" s="4" t="s">
        <v>2</v>
      </c>
      <c r="P457" s="5" t="s">
        <v>5187</v>
      </c>
      <c r="Q457" s="3"/>
    </row>
    <row r="458" spans="1:17" ht="38" customHeight="1">
      <c r="A458" s="31">
        <v>84</v>
      </c>
      <c r="B458" s="57" t="s">
        <v>1165</v>
      </c>
      <c r="C458" s="23" t="s">
        <v>1559</v>
      </c>
      <c r="D458" s="11" t="s">
        <v>2398</v>
      </c>
      <c r="E458" s="3" t="s">
        <v>2399</v>
      </c>
      <c r="F458" s="3" t="s">
        <v>1634</v>
      </c>
      <c r="G458" s="3" t="s">
        <v>1576</v>
      </c>
      <c r="H458" s="11" t="s">
        <v>121</v>
      </c>
      <c r="I458" s="21">
        <v>-11.4370183263364</v>
      </c>
      <c r="J458" s="21">
        <v>-61.457417582417598</v>
      </c>
      <c r="K458" s="21" t="s">
        <v>2276</v>
      </c>
      <c r="L458" s="3">
        <v>1996</v>
      </c>
      <c r="M458" s="3">
        <v>1997</v>
      </c>
      <c r="N458" s="3" t="s">
        <v>2276</v>
      </c>
      <c r="O458" s="4" t="s">
        <v>2</v>
      </c>
      <c r="P458" s="5" t="s">
        <v>5187</v>
      </c>
      <c r="Q458" s="3"/>
    </row>
    <row r="459" spans="1:17" ht="38" customHeight="1">
      <c r="A459" s="31">
        <v>84</v>
      </c>
      <c r="B459" s="57" t="s">
        <v>1165</v>
      </c>
      <c r="C459" s="23" t="s">
        <v>1560</v>
      </c>
      <c r="D459" s="11" t="s">
        <v>2398</v>
      </c>
      <c r="E459" s="3" t="s">
        <v>2399</v>
      </c>
      <c r="F459" s="3" t="s">
        <v>1635</v>
      </c>
      <c r="G459" s="3" t="s">
        <v>1576</v>
      </c>
      <c r="H459" s="11" t="s">
        <v>121</v>
      </c>
      <c r="I459" s="21">
        <v>-11.688514592825999</v>
      </c>
      <c r="J459" s="21">
        <v>-61.174479962291997</v>
      </c>
      <c r="K459" s="21" t="s">
        <v>2276</v>
      </c>
      <c r="L459" s="3">
        <v>1996</v>
      </c>
      <c r="M459" s="3">
        <v>1997</v>
      </c>
      <c r="N459" s="3" t="s">
        <v>2276</v>
      </c>
      <c r="O459" s="4" t="s">
        <v>2</v>
      </c>
      <c r="P459" s="5" t="s">
        <v>5187</v>
      </c>
      <c r="Q459" s="3"/>
    </row>
    <row r="460" spans="1:17" ht="38" customHeight="1">
      <c r="A460" s="31">
        <v>84</v>
      </c>
      <c r="B460" s="57" t="s">
        <v>1165</v>
      </c>
      <c r="C460" s="23" t="s">
        <v>1561</v>
      </c>
      <c r="D460" s="11" t="s">
        <v>2398</v>
      </c>
      <c r="E460" s="3" t="s">
        <v>2399</v>
      </c>
      <c r="F460" s="3" t="s">
        <v>1636</v>
      </c>
      <c r="G460" s="3" t="s">
        <v>1576</v>
      </c>
      <c r="H460" s="11" t="s">
        <v>121</v>
      </c>
      <c r="I460" s="21">
        <v>-11.536509059139901</v>
      </c>
      <c r="J460" s="21">
        <v>-61.016344035099102</v>
      </c>
      <c r="K460" s="21" t="s">
        <v>2276</v>
      </c>
      <c r="L460" s="3">
        <v>1996</v>
      </c>
      <c r="M460" s="3">
        <v>1997</v>
      </c>
      <c r="N460" s="3" t="s">
        <v>2276</v>
      </c>
      <c r="O460" s="4" t="s">
        <v>2</v>
      </c>
      <c r="P460" s="5" t="s">
        <v>5187</v>
      </c>
      <c r="Q460" s="3"/>
    </row>
    <row r="461" spans="1:17" ht="38" customHeight="1">
      <c r="A461" s="31">
        <v>84</v>
      </c>
      <c r="B461" s="57" t="s">
        <v>1165</v>
      </c>
      <c r="C461" s="23" t="s">
        <v>1562</v>
      </c>
      <c r="D461" s="11" t="s">
        <v>2398</v>
      </c>
      <c r="E461" s="3" t="s">
        <v>2399</v>
      </c>
      <c r="F461" s="3" t="s">
        <v>1637</v>
      </c>
      <c r="G461" s="3" t="s">
        <v>1576</v>
      </c>
      <c r="H461" s="11" t="s">
        <v>121</v>
      </c>
      <c r="I461" s="21">
        <v>-11.928844176496099</v>
      </c>
      <c r="J461" s="21">
        <v>-61.995793269230802</v>
      </c>
      <c r="K461" s="21" t="s">
        <v>2276</v>
      </c>
      <c r="L461" s="3">
        <v>1996</v>
      </c>
      <c r="M461" s="3">
        <v>1997</v>
      </c>
      <c r="N461" s="3" t="s">
        <v>2276</v>
      </c>
      <c r="O461" s="4" t="s">
        <v>2</v>
      </c>
      <c r="P461" s="5" t="s">
        <v>5187</v>
      </c>
      <c r="Q461" s="3"/>
    </row>
    <row r="462" spans="1:17" ht="38" customHeight="1">
      <c r="A462" s="31">
        <v>84</v>
      </c>
      <c r="B462" s="57" t="s">
        <v>1165</v>
      </c>
      <c r="C462" s="23" t="s">
        <v>1563</v>
      </c>
      <c r="D462" s="11" t="s">
        <v>2398</v>
      </c>
      <c r="E462" s="3" t="s">
        <v>2399</v>
      </c>
      <c r="F462" s="3" t="s">
        <v>1638</v>
      </c>
      <c r="G462" s="3" t="s">
        <v>1576</v>
      </c>
      <c r="H462" s="11" t="s">
        <v>121</v>
      </c>
      <c r="I462" s="21">
        <v>-11.7254594230468</v>
      </c>
      <c r="J462" s="21">
        <v>-62.145384874044197</v>
      </c>
      <c r="K462" s="21" t="s">
        <v>2276</v>
      </c>
      <c r="L462" s="3">
        <v>1996</v>
      </c>
      <c r="M462" s="3">
        <v>1997</v>
      </c>
      <c r="N462" s="3" t="s">
        <v>2276</v>
      </c>
      <c r="O462" s="4" t="s">
        <v>2</v>
      </c>
      <c r="P462" s="5" t="s">
        <v>5187</v>
      </c>
      <c r="Q462" s="3"/>
    </row>
    <row r="463" spans="1:17" ht="38" customHeight="1">
      <c r="A463" s="31">
        <v>84</v>
      </c>
      <c r="B463" s="57" t="s">
        <v>1165</v>
      </c>
      <c r="C463" s="23" t="s">
        <v>1564</v>
      </c>
      <c r="D463" s="11" t="s">
        <v>2398</v>
      </c>
      <c r="E463" s="3" t="s">
        <v>2399</v>
      </c>
      <c r="F463" s="3" t="s">
        <v>1639</v>
      </c>
      <c r="G463" s="3" t="s">
        <v>1576</v>
      </c>
      <c r="H463" s="11" t="s">
        <v>121</v>
      </c>
      <c r="I463" s="21">
        <v>-12.060184630483599</v>
      </c>
      <c r="J463" s="21">
        <v>-63.569282280219802</v>
      </c>
      <c r="K463" s="21" t="s">
        <v>2276</v>
      </c>
      <c r="L463" s="3">
        <v>1996</v>
      </c>
      <c r="M463" s="3">
        <v>1997</v>
      </c>
      <c r="N463" s="3" t="s">
        <v>2276</v>
      </c>
      <c r="O463" s="4" t="s">
        <v>2</v>
      </c>
      <c r="P463" s="5" t="s">
        <v>5187</v>
      </c>
      <c r="Q463" s="3"/>
    </row>
    <row r="464" spans="1:17" ht="38" customHeight="1">
      <c r="A464" s="31">
        <v>84</v>
      </c>
      <c r="B464" s="57" t="s">
        <v>1165</v>
      </c>
      <c r="C464" s="23" t="s">
        <v>1565</v>
      </c>
      <c r="D464" s="11" t="s">
        <v>2398</v>
      </c>
      <c r="E464" s="3" t="s">
        <v>2399</v>
      </c>
      <c r="F464" s="3" t="s">
        <v>1640</v>
      </c>
      <c r="G464" s="3" t="s">
        <v>1576</v>
      </c>
      <c r="H464" s="11" t="s">
        <v>121</v>
      </c>
      <c r="I464" s="21">
        <v>-10.8643374228556</v>
      </c>
      <c r="J464" s="21">
        <v>-61.926796093733898</v>
      </c>
      <c r="K464" s="21" t="s">
        <v>2276</v>
      </c>
      <c r="L464" s="3">
        <v>1996</v>
      </c>
      <c r="M464" s="3">
        <v>1997</v>
      </c>
      <c r="N464" s="3" t="s">
        <v>2276</v>
      </c>
      <c r="O464" s="4" t="s">
        <v>2</v>
      </c>
      <c r="P464" s="5" t="s">
        <v>5187</v>
      </c>
      <c r="Q464" s="3"/>
    </row>
    <row r="465" spans="1:17" ht="38" customHeight="1">
      <c r="A465" s="31">
        <v>84</v>
      </c>
      <c r="B465" s="57" t="s">
        <v>1165</v>
      </c>
      <c r="C465" s="23" t="s">
        <v>1566</v>
      </c>
      <c r="D465" s="11" t="s">
        <v>2398</v>
      </c>
      <c r="E465" s="3" t="s">
        <v>2399</v>
      </c>
      <c r="F465" s="3" t="s">
        <v>1641</v>
      </c>
      <c r="G465" s="3" t="s">
        <v>1576</v>
      </c>
      <c r="H465" s="11" t="s">
        <v>121</v>
      </c>
      <c r="I465" s="21">
        <v>-10.7118410944519</v>
      </c>
      <c r="J465" s="21">
        <v>-62.258541993893701</v>
      </c>
      <c r="K465" s="21" t="s">
        <v>2276</v>
      </c>
      <c r="L465" s="3">
        <v>1996</v>
      </c>
      <c r="M465" s="3">
        <v>1997</v>
      </c>
      <c r="N465" s="3" t="s">
        <v>2276</v>
      </c>
      <c r="O465" s="4" t="s">
        <v>2</v>
      </c>
      <c r="P465" s="5" t="s">
        <v>5187</v>
      </c>
      <c r="Q465" s="3"/>
    </row>
    <row r="466" spans="1:17" ht="38" customHeight="1">
      <c r="A466" s="31">
        <v>84</v>
      </c>
      <c r="B466" s="57" t="s">
        <v>1165</v>
      </c>
      <c r="C466" s="23" t="s">
        <v>1567</v>
      </c>
      <c r="D466" s="11" t="s">
        <v>2398</v>
      </c>
      <c r="E466" s="3" t="s">
        <v>2399</v>
      </c>
      <c r="F466" s="3" t="s">
        <v>1642</v>
      </c>
      <c r="G466" s="3" t="s">
        <v>1576</v>
      </c>
      <c r="H466" s="11" t="s">
        <v>121</v>
      </c>
      <c r="I466" s="21">
        <v>-10.4347370683873</v>
      </c>
      <c r="J466" s="21">
        <v>-62.485636021078498</v>
      </c>
      <c r="K466" s="21" t="s">
        <v>2276</v>
      </c>
      <c r="L466" s="3">
        <v>1996</v>
      </c>
      <c r="M466" s="3">
        <v>1997</v>
      </c>
      <c r="N466" s="3" t="s">
        <v>2276</v>
      </c>
      <c r="O466" s="4" t="s">
        <v>2</v>
      </c>
      <c r="P466" s="5" t="s">
        <v>5187</v>
      </c>
      <c r="Q466" s="3"/>
    </row>
    <row r="467" spans="1:17" ht="38" customHeight="1">
      <c r="A467" s="31">
        <v>84</v>
      </c>
      <c r="B467" s="57" t="s">
        <v>1165</v>
      </c>
      <c r="C467" s="23" t="s">
        <v>1568</v>
      </c>
      <c r="D467" s="11" t="s">
        <v>2398</v>
      </c>
      <c r="E467" s="3" t="s">
        <v>2399</v>
      </c>
      <c r="F467" s="3" t="s">
        <v>1643</v>
      </c>
      <c r="G467" s="3" t="s">
        <v>1576</v>
      </c>
      <c r="H467" s="11" t="s">
        <v>121</v>
      </c>
      <c r="I467" s="21">
        <v>-9.42700109758424</v>
      </c>
      <c r="J467" s="21">
        <v>-62.000726902612399</v>
      </c>
      <c r="K467" s="21" t="s">
        <v>2276</v>
      </c>
      <c r="L467" s="3">
        <v>1996</v>
      </c>
      <c r="M467" s="3">
        <v>1997</v>
      </c>
      <c r="N467" s="3" t="s">
        <v>2276</v>
      </c>
      <c r="O467" s="4" t="s">
        <v>2</v>
      </c>
      <c r="P467" s="5" t="s">
        <v>5187</v>
      </c>
      <c r="Q467" s="3"/>
    </row>
    <row r="468" spans="1:17" ht="38" customHeight="1">
      <c r="A468" s="31">
        <v>84</v>
      </c>
      <c r="B468" s="57" t="s">
        <v>1165</v>
      </c>
      <c r="C468" s="23" t="s">
        <v>1569</v>
      </c>
      <c r="D468" s="11" t="s">
        <v>2398</v>
      </c>
      <c r="E468" s="3" t="s">
        <v>2399</v>
      </c>
      <c r="F468" s="3" t="s">
        <v>1644</v>
      </c>
      <c r="G468" s="3" t="s">
        <v>1576</v>
      </c>
      <c r="H468" s="11" t="s">
        <v>121</v>
      </c>
      <c r="I468" s="21">
        <v>-9.35831408612008</v>
      </c>
      <c r="J468" s="21">
        <v>-62.586886696230998</v>
      </c>
      <c r="K468" s="21" t="s">
        <v>2276</v>
      </c>
      <c r="L468" s="3">
        <v>1996</v>
      </c>
      <c r="M468" s="3">
        <v>1997</v>
      </c>
      <c r="N468" s="3" t="s">
        <v>2276</v>
      </c>
      <c r="O468" s="4" t="s">
        <v>2</v>
      </c>
      <c r="P468" s="5" t="s">
        <v>5187</v>
      </c>
      <c r="Q468" s="3"/>
    </row>
    <row r="469" spans="1:17" ht="38" customHeight="1">
      <c r="A469" s="31">
        <v>84</v>
      </c>
      <c r="B469" s="57" t="s">
        <v>1165</v>
      </c>
      <c r="C469" s="23" t="s">
        <v>1570</v>
      </c>
      <c r="D469" s="11" t="s">
        <v>2398</v>
      </c>
      <c r="E469" s="3" t="s">
        <v>2399</v>
      </c>
      <c r="F469" s="3" t="s">
        <v>1645</v>
      </c>
      <c r="G469" s="3" t="s">
        <v>1576</v>
      </c>
      <c r="H469" s="11" t="s">
        <v>121</v>
      </c>
      <c r="I469" s="21">
        <v>-8.7662178967217592</v>
      </c>
      <c r="J469" s="21">
        <v>-63.8712222292083</v>
      </c>
      <c r="K469" s="21" t="s">
        <v>2276</v>
      </c>
      <c r="L469" s="3">
        <v>1996</v>
      </c>
      <c r="M469" s="3">
        <v>1997</v>
      </c>
      <c r="N469" s="3" t="s">
        <v>2276</v>
      </c>
      <c r="O469" s="4" t="s">
        <v>2</v>
      </c>
      <c r="P469" s="5" t="s">
        <v>5187</v>
      </c>
      <c r="Q469" s="3"/>
    </row>
    <row r="470" spans="1:17" ht="38" customHeight="1">
      <c r="A470" s="31">
        <v>84</v>
      </c>
      <c r="B470" s="57" t="s">
        <v>1165</v>
      </c>
      <c r="C470" s="23" t="s">
        <v>1571</v>
      </c>
      <c r="D470" s="11" t="s">
        <v>2398</v>
      </c>
      <c r="E470" s="3" t="s">
        <v>2399</v>
      </c>
      <c r="F470" s="3" t="s">
        <v>1646</v>
      </c>
      <c r="G470" s="3" t="s">
        <v>1576</v>
      </c>
      <c r="H470" s="11" t="s">
        <v>121</v>
      </c>
      <c r="I470" s="21">
        <v>-9.9059775731374309</v>
      </c>
      <c r="J470" s="21">
        <v>-63.032967032967001</v>
      </c>
      <c r="K470" s="21" t="s">
        <v>2276</v>
      </c>
      <c r="L470" s="3">
        <v>1996</v>
      </c>
      <c r="M470" s="3">
        <v>1997</v>
      </c>
      <c r="N470" s="3" t="s">
        <v>2276</v>
      </c>
      <c r="O470" s="4" t="s">
        <v>2</v>
      </c>
      <c r="P470" s="5" t="s">
        <v>5187</v>
      </c>
      <c r="Q470" s="3"/>
    </row>
    <row r="471" spans="1:17" ht="38" customHeight="1">
      <c r="A471" s="31">
        <v>84</v>
      </c>
      <c r="B471" s="57" t="s">
        <v>1165</v>
      </c>
      <c r="C471" s="23" t="s">
        <v>1572</v>
      </c>
      <c r="D471" s="11" t="s">
        <v>2398</v>
      </c>
      <c r="E471" s="3" t="s">
        <v>2399</v>
      </c>
      <c r="F471" s="3" t="s">
        <v>1647</v>
      </c>
      <c r="G471" s="3" t="s">
        <v>1576</v>
      </c>
      <c r="H471" s="11" t="s">
        <v>121</v>
      </c>
      <c r="I471" s="21">
        <v>-10.2626495294784</v>
      </c>
      <c r="J471" s="21">
        <v>-63.299886099591298</v>
      </c>
      <c r="K471" s="21" t="s">
        <v>2276</v>
      </c>
      <c r="L471" s="3">
        <v>1996</v>
      </c>
      <c r="M471" s="3">
        <v>1997</v>
      </c>
      <c r="N471" s="3" t="s">
        <v>2276</v>
      </c>
      <c r="O471" s="4" t="s">
        <v>2</v>
      </c>
      <c r="P471" s="5" t="s">
        <v>5187</v>
      </c>
      <c r="Q471" s="3"/>
    </row>
    <row r="472" spans="1:17" ht="38" customHeight="1">
      <c r="A472" s="31">
        <v>84</v>
      </c>
      <c r="B472" s="57" t="s">
        <v>1165</v>
      </c>
      <c r="C472" s="23" t="s">
        <v>1573</v>
      </c>
      <c r="D472" s="11" t="s">
        <v>2398</v>
      </c>
      <c r="E472" s="3" t="s">
        <v>2399</v>
      </c>
      <c r="F472" s="3" t="s">
        <v>1648</v>
      </c>
      <c r="G472" s="3" t="s">
        <v>1576</v>
      </c>
      <c r="H472" s="11" t="s">
        <v>121</v>
      </c>
      <c r="I472" s="21">
        <v>-9.7814503515399096</v>
      </c>
      <c r="J472" s="21">
        <v>-63.554567782134598</v>
      </c>
      <c r="K472" s="21" t="s">
        <v>2276</v>
      </c>
      <c r="L472" s="3">
        <v>1996</v>
      </c>
      <c r="M472" s="3">
        <v>1997</v>
      </c>
      <c r="N472" s="3" t="s">
        <v>2276</v>
      </c>
      <c r="O472" s="4" t="s">
        <v>2</v>
      </c>
      <c r="P472" s="5" t="s">
        <v>5187</v>
      </c>
      <c r="Q472" s="3"/>
    </row>
    <row r="473" spans="1:17" ht="38" customHeight="1">
      <c r="A473" s="31">
        <v>84</v>
      </c>
      <c r="B473" s="57" t="s">
        <v>1165</v>
      </c>
      <c r="C473" s="23" t="s">
        <v>1574</v>
      </c>
      <c r="D473" s="11" t="s">
        <v>2398</v>
      </c>
      <c r="E473" s="3" t="s">
        <v>2399</v>
      </c>
      <c r="F473" s="3" t="s">
        <v>1649</v>
      </c>
      <c r="G473" s="3" t="s">
        <v>1576</v>
      </c>
      <c r="H473" s="11" t="s">
        <v>121</v>
      </c>
      <c r="I473" s="21">
        <v>-9.7205866148294096</v>
      </c>
      <c r="J473" s="21">
        <v>-63.318810096153797</v>
      </c>
      <c r="K473" s="21" t="s">
        <v>2276</v>
      </c>
      <c r="L473" s="3">
        <v>1996</v>
      </c>
      <c r="M473" s="3">
        <v>1997</v>
      </c>
      <c r="N473" s="3" t="s">
        <v>2276</v>
      </c>
      <c r="O473" s="4" t="s">
        <v>2</v>
      </c>
      <c r="P473" s="5" t="s">
        <v>5187</v>
      </c>
      <c r="Q473" s="3"/>
    </row>
    <row r="474" spans="1:17" ht="38" customHeight="1">
      <c r="A474" s="31">
        <v>84</v>
      </c>
      <c r="B474" s="57" t="s">
        <v>1165</v>
      </c>
      <c r="C474" s="23" t="s">
        <v>1575</v>
      </c>
      <c r="D474" s="11" t="s">
        <v>2398</v>
      </c>
      <c r="E474" s="3" t="s">
        <v>2399</v>
      </c>
      <c r="F474" s="3" t="s">
        <v>1650</v>
      </c>
      <c r="G474" s="3" t="s">
        <v>1576</v>
      </c>
      <c r="H474" s="11" t="s">
        <v>121</v>
      </c>
      <c r="I474" s="21">
        <v>-10.5708117428132</v>
      </c>
      <c r="J474" s="21">
        <v>-63.621314225063301</v>
      </c>
      <c r="K474" s="21" t="s">
        <v>2276</v>
      </c>
      <c r="L474" s="3">
        <v>1996</v>
      </c>
      <c r="M474" s="3">
        <v>1997</v>
      </c>
      <c r="N474" s="3" t="s">
        <v>2276</v>
      </c>
      <c r="O474" s="4" t="s">
        <v>2</v>
      </c>
      <c r="P474" s="5" t="s">
        <v>5187</v>
      </c>
      <c r="Q474" s="3"/>
    </row>
    <row r="475" spans="1:17" ht="43" customHeight="1">
      <c r="A475" s="31">
        <v>85</v>
      </c>
      <c r="B475" s="57" t="s">
        <v>1166</v>
      </c>
      <c r="C475" s="23" t="s">
        <v>1153</v>
      </c>
      <c r="D475" s="11" t="s">
        <v>2398</v>
      </c>
      <c r="E475" s="3" t="s">
        <v>2399</v>
      </c>
      <c r="F475" s="4" t="s">
        <v>1167</v>
      </c>
      <c r="G475" s="3" t="s">
        <v>1168</v>
      </c>
      <c r="H475" s="3" t="s">
        <v>895</v>
      </c>
      <c r="I475" s="21">
        <v>-0.77628699999999995</v>
      </c>
      <c r="J475" s="21">
        <v>100.48071729999999</v>
      </c>
      <c r="K475" s="21" t="s">
        <v>2276</v>
      </c>
      <c r="L475" s="3">
        <v>2000</v>
      </c>
      <c r="M475" s="3">
        <v>2000</v>
      </c>
      <c r="N475" s="3" t="s">
        <v>2276</v>
      </c>
      <c r="O475" s="4" t="s">
        <v>67</v>
      </c>
      <c r="P475" s="5" t="s">
        <v>5187</v>
      </c>
      <c r="Q475" s="3" t="s">
        <v>2295</v>
      </c>
    </row>
    <row r="476" spans="1:17" ht="42" customHeight="1">
      <c r="A476" s="31">
        <v>85</v>
      </c>
      <c r="B476" s="57" t="s">
        <v>1166</v>
      </c>
      <c r="C476" s="23" t="s">
        <v>1169</v>
      </c>
      <c r="D476" s="11" t="s">
        <v>2398</v>
      </c>
      <c r="E476" s="3" t="s">
        <v>2399</v>
      </c>
      <c r="F476" s="4" t="s">
        <v>1170</v>
      </c>
      <c r="G476" s="3" t="s">
        <v>1168</v>
      </c>
      <c r="H476" s="3" t="s">
        <v>895</v>
      </c>
      <c r="I476" s="21">
        <v>3.7843939</v>
      </c>
      <c r="J476" s="21">
        <v>97.258130300000005</v>
      </c>
      <c r="K476" s="21" t="s">
        <v>2276</v>
      </c>
      <c r="L476" s="3">
        <v>2000</v>
      </c>
      <c r="M476" s="3">
        <v>2000</v>
      </c>
      <c r="N476" s="3" t="s">
        <v>2276</v>
      </c>
      <c r="O476" s="4" t="s">
        <v>67</v>
      </c>
      <c r="P476" s="5" t="s">
        <v>5187</v>
      </c>
      <c r="Q476" s="3" t="s">
        <v>2295</v>
      </c>
    </row>
    <row r="477" spans="1:17" ht="43" customHeight="1">
      <c r="A477" s="31">
        <v>85</v>
      </c>
      <c r="B477" s="57" t="s">
        <v>1166</v>
      </c>
      <c r="C477" s="23" t="s">
        <v>1171</v>
      </c>
      <c r="D477" s="11" t="s">
        <v>2398</v>
      </c>
      <c r="E477" s="3" t="s">
        <v>2399</v>
      </c>
      <c r="F477" s="3" t="s">
        <v>1173</v>
      </c>
      <c r="G477" s="3" t="s">
        <v>1172</v>
      </c>
      <c r="H477" s="3" t="s">
        <v>895</v>
      </c>
      <c r="I477" s="21">
        <v>2.582303</v>
      </c>
      <c r="J477" s="21">
        <v>115.6859664</v>
      </c>
      <c r="K477" s="21" t="s">
        <v>2276</v>
      </c>
      <c r="L477" s="3">
        <v>2000</v>
      </c>
      <c r="M477" s="3">
        <v>2000</v>
      </c>
      <c r="N477" s="3" t="s">
        <v>2276</v>
      </c>
      <c r="O477" s="4" t="s">
        <v>67</v>
      </c>
      <c r="P477" s="5" t="s">
        <v>5187</v>
      </c>
      <c r="Q477" s="3" t="s">
        <v>2295</v>
      </c>
    </row>
    <row r="478" spans="1:17" ht="50" customHeight="1">
      <c r="A478" s="31">
        <v>86</v>
      </c>
      <c r="B478" s="40" t="s">
        <v>1179</v>
      </c>
      <c r="C478" s="23" t="s">
        <v>1178</v>
      </c>
      <c r="D478" s="11" t="s">
        <v>2398</v>
      </c>
      <c r="E478" s="3" t="s">
        <v>2637</v>
      </c>
      <c r="F478" s="3" t="s">
        <v>2276</v>
      </c>
      <c r="G478" s="11" t="s">
        <v>1180</v>
      </c>
      <c r="H478" s="11" t="s">
        <v>121</v>
      </c>
      <c r="I478" s="21">
        <v>1.8444187999999999</v>
      </c>
      <c r="J478" s="21">
        <v>-61.8580629</v>
      </c>
      <c r="K478" s="21" t="s">
        <v>2276</v>
      </c>
      <c r="L478" s="11">
        <v>1998</v>
      </c>
      <c r="M478" s="11">
        <v>1999</v>
      </c>
      <c r="N478" s="3" t="s">
        <v>2276</v>
      </c>
      <c r="O478" s="3" t="s">
        <v>67</v>
      </c>
      <c r="P478" s="5" t="s">
        <v>5187</v>
      </c>
      <c r="Q478" s="4" t="s">
        <v>1181</v>
      </c>
    </row>
    <row r="479" spans="1:17" ht="62" customHeight="1">
      <c r="A479" s="31">
        <v>87</v>
      </c>
      <c r="B479" s="40" t="s">
        <v>1192</v>
      </c>
      <c r="C479" s="23" t="s">
        <v>1191</v>
      </c>
      <c r="D479" s="11" t="s">
        <v>2398</v>
      </c>
      <c r="E479" s="3" t="s">
        <v>2637</v>
      </c>
      <c r="F479" s="3" t="s">
        <v>1193</v>
      </c>
      <c r="G479" s="3" t="s">
        <v>1194</v>
      </c>
      <c r="H479" s="3" t="s">
        <v>779</v>
      </c>
      <c r="I479" s="21">
        <v>20.876207600000001</v>
      </c>
      <c r="J479" s="21">
        <v>105.2410666</v>
      </c>
      <c r="K479" s="21">
        <v>7.5</v>
      </c>
      <c r="L479" s="3">
        <v>1988</v>
      </c>
      <c r="M479" s="3">
        <v>1994</v>
      </c>
      <c r="N479" s="3">
        <v>52</v>
      </c>
      <c r="O479" s="3" t="s">
        <v>183</v>
      </c>
      <c r="P479" s="5" t="s">
        <v>5187</v>
      </c>
      <c r="Q479" s="3" t="s">
        <v>2423</v>
      </c>
    </row>
    <row r="480" spans="1:17" ht="49" customHeight="1">
      <c r="A480" s="31">
        <v>87</v>
      </c>
      <c r="B480" s="40" t="s">
        <v>1192</v>
      </c>
      <c r="C480" s="23" t="s">
        <v>1195</v>
      </c>
      <c r="D480" s="11" t="s">
        <v>2398</v>
      </c>
      <c r="E480" s="3" t="s">
        <v>2637</v>
      </c>
      <c r="F480" s="3" t="s">
        <v>1193</v>
      </c>
      <c r="G480" s="3" t="s">
        <v>1194</v>
      </c>
      <c r="H480" s="3" t="s">
        <v>779</v>
      </c>
      <c r="I480" s="21">
        <v>20.876207600000001</v>
      </c>
      <c r="J480" s="21">
        <v>105.2410666</v>
      </c>
      <c r="K480" s="21">
        <v>7.5</v>
      </c>
      <c r="L480" s="3">
        <v>1995</v>
      </c>
      <c r="M480" s="3">
        <v>1999</v>
      </c>
      <c r="N480" s="3">
        <v>58</v>
      </c>
      <c r="O480" s="3" t="s">
        <v>183</v>
      </c>
      <c r="P480" s="5" t="s">
        <v>5187</v>
      </c>
      <c r="Q480" s="3" t="s">
        <v>2423</v>
      </c>
    </row>
    <row r="481" spans="1:17" ht="38" customHeight="1">
      <c r="A481" s="31">
        <v>87</v>
      </c>
      <c r="B481" s="40" t="s">
        <v>1192</v>
      </c>
      <c r="C481" s="23" t="s">
        <v>1196</v>
      </c>
      <c r="D481" s="11" t="s">
        <v>2398</v>
      </c>
      <c r="E481" s="3" t="s">
        <v>2637</v>
      </c>
      <c r="F481" s="3" t="s">
        <v>1193</v>
      </c>
      <c r="G481" s="3" t="s">
        <v>1194</v>
      </c>
      <c r="H481" s="3" t="s">
        <v>779</v>
      </c>
      <c r="I481" s="21">
        <v>20.876207600000001</v>
      </c>
      <c r="J481" s="21">
        <v>105.2410666</v>
      </c>
      <c r="K481" s="21">
        <v>7.5</v>
      </c>
      <c r="L481" s="3">
        <v>2000</v>
      </c>
      <c r="M481" s="3">
        <v>2003</v>
      </c>
      <c r="N481" s="3">
        <v>64</v>
      </c>
      <c r="O481" s="3" t="s">
        <v>183</v>
      </c>
      <c r="P481" s="5" t="s">
        <v>5187</v>
      </c>
      <c r="Q481" s="3" t="s">
        <v>2423</v>
      </c>
    </row>
    <row r="482" spans="1:17" ht="26" customHeight="1">
      <c r="A482" s="31">
        <v>88</v>
      </c>
      <c r="B482" s="40" t="s">
        <v>1226</v>
      </c>
      <c r="C482" s="23" t="s">
        <v>1205</v>
      </c>
      <c r="D482" s="11" t="s">
        <v>2398</v>
      </c>
      <c r="E482" s="3" t="s">
        <v>2399</v>
      </c>
      <c r="F482" s="3" t="s">
        <v>1224</v>
      </c>
      <c r="G482" s="3" t="s">
        <v>1225</v>
      </c>
      <c r="H482" s="3" t="s">
        <v>114</v>
      </c>
      <c r="I482" s="21">
        <v>27.871398599999999</v>
      </c>
      <c r="J482" s="21">
        <v>98.339702000000003</v>
      </c>
      <c r="K482" s="21" t="s">
        <v>2276</v>
      </c>
      <c r="L482" s="3">
        <v>2002</v>
      </c>
      <c r="M482" s="3">
        <v>2002</v>
      </c>
      <c r="N482" s="3" t="s">
        <v>2276</v>
      </c>
      <c r="O482" s="3" t="s">
        <v>67</v>
      </c>
      <c r="P482" s="5" t="s">
        <v>5187</v>
      </c>
      <c r="Q482" s="3"/>
    </row>
    <row r="483" spans="1:17" ht="27" customHeight="1">
      <c r="A483" s="31">
        <v>88</v>
      </c>
      <c r="B483" s="40" t="s">
        <v>1226</v>
      </c>
      <c r="C483" s="23" t="s">
        <v>1206</v>
      </c>
      <c r="D483" s="11" t="s">
        <v>2398</v>
      </c>
      <c r="E483" s="3" t="s">
        <v>2399</v>
      </c>
      <c r="F483" s="3" t="s">
        <v>1224</v>
      </c>
      <c r="G483" s="3" t="s">
        <v>1225</v>
      </c>
      <c r="H483" s="3" t="s">
        <v>114</v>
      </c>
      <c r="I483" s="21">
        <v>27.871398599999999</v>
      </c>
      <c r="J483" s="21">
        <v>98.339702000000003</v>
      </c>
      <c r="K483" s="21" t="s">
        <v>2276</v>
      </c>
      <c r="L483" s="3">
        <v>2009</v>
      </c>
      <c r="M483" s="3">
        <v>2009</v>
      </c>
      <c r="N483" s="3" t="s">
        <v>2276</v>
      </c>
      <c r="O483" s="3" t="s">
        <v>67</v>
      </c>
      <c r="P483" s="5" t="s">
        <v>5187</v>
      </c>
      <c r="Q483" s="3"/>
    </row>
    <row r="484" spans="1:17" ht="29" customHeight="1">
      <c r="A484" s="31">
        <v>88</v>
      </c>
      <c r="B484" s="40" t="s">
        <v>1226</v>
      </c>
      <c r="C484" s="23" t="s">
        <v>1207</v>
      </c>
      <c r="D484" s="11" t="s">
        <v>2398</v>
      </c>
      <c r="E484" s="3" t="s">
        <v>2399</v>
      </c>
      <c r="F484" s="3" t="s">
        <v>1223</v>
      </c>
      <c r="G484" s="3" t="s">
        <v>1225</v>
      </c>
      <c r="H484" s="3" t="s">
        <v>114</v>
      </c>
      <c r="I484" s="21">
        <v>28.108406200000001</v>
      </c>
      <c r="J484" s="21">
        <v>98.322796199999999</v>
      </c>
      <c r="K484" s="21" t="s">
        <v>2276</v>
      </c>
      <c r="L484" s="3">
        <v>2002</v>
      </c>
      <c r="M484" s="3">
        <v>2002</v>
      </c>
      <c r="N484" s="3" t="s">
        <v>2276</v>
      </c>
      <c r="O484" s="3" t="s">
        <v>67</v>
      </c>
      <c r="P484" s="5" t="s">
        <v>5187</v>
      </c>
      <c r="Q484" s="3"/>
    </row>
    <row r="485" spans="1:17" ht="30" customHeight="1">
      <c r="A485" s="31">
        <v>88</v>
      </c>
      <c r="B485" s="40" t="s">
        <v>1226</v>
      </c>
      <c r="C485" s="23" t="s">
        <v>1208</v>
      </c>
      <c r="D485" s="11" t="s">
        <v>2398</v>
      </c>
      <c r="E485" s="3" t="s">
        <v>2399</v>
      </c>
      <c r="F485" s="3" t="s">
        <v>1223</v>
      </c>
      <c r="G485" s="3" t="s">
        <v>1225</v>
      </c>
      <c r="H485" s="3" t="s">
        <v>114</v>
      </c>
      <c r="I485" s="21">
        <v>28.108406200000001</v>
      </c>
      <c r="J485" s="21">
        <v>98.322796199999999</v>
      </c>
      <c r="K485" s="21" t="s">
        <v>2276</v>
      </c>
      <c r="L485" s="3">
        <v>2009</v>
      </c>
      <c r="M485" s="3">
        <v>2009</v>
      </c>
      <c r="N485" s="3" t="s">
        <v>2276</v>
      </c>
      <c r="O485" s="3" t="s">
        <v>67</v>
      </c>
      <c r="P485" s="5" t="s">
        <v>5187</v>
      </c>
      <c r="Q485" s="3"/>
    </row>
    <row r="486" spans="1:17" ht="38" customHeight="1">
      <c r="A486" s="31">
        <v>89</v>
      </c>
      <c r="B486" s="40" t="s">
        <v>1229</v>
      </c>
      <c r="C486" s="23" t="s">
        <v>1232</v>
      </c>
      <c r="D486" s="11" t="s">
        <v>2398</v>
      </c>
      <c r="E486" s="3" t="s">
        <v>2399</v>
      </c>
      <c r="F486" s="3" t="s">
        <v>1230</v>
      </c>
      <c r="G486" s="3" t="s">
        <v>1231</v>
      </c>
      <c r="H486" s="3" t="s">
        <v>385</v>
      </c>
      <c r="I486" s="21">
        <v>-3.0032768999999999</v>
      </c>
      <c r="J486" s="21">
        <v>36.699071000000004</v>
      </c>
      <c r="K486" s="21" t="s">
        <v>2276</v>
      </c>
      <c r="L486" s="3">
        <v>2018</v>
      </c>
      <c r="M486" s="3">
        <v>2018</v>
      </c>
      <c r="N486" s="3" t="s">
        <v>2276</v>
      </c>
      <c r="O486" s="3" t="s">
        <v>67</v>
      </c>
      <c r="P486" s="5" t="s">
        <v>5187</v>
      </c>
      <c r="Q486" s="3"/>
    </row>
    <row r="487" spans="1:17" ht="59" customHeight="1">
      <c r="A487" s="31">
        <v>89</v>
      </c>
      <c r="B487" s="40" t="s">
        <v>1229</v>
      </c>
      <c r="C487" s="23" t="s">
        <v>1240</v>
      </c>
      <c r="D487" s="11" t="s">
        <v>2398</v>
      </c>
      <c r="E487" s="3" t="s">
        <v>2399</v>
      </c>
      <c r="F487" s="3" t="s">
        <v>2276</v>
      </c>
      <c r="G487" s="3" t="s">
        <v>1238</v>
      </c>
      <c r="H487" s="3" t="s">
        <v>1239</v>
      </c>
      <c r="I487" s="21">
        <v>-10.8</v>
      </c>
      <c r="J487" s="21">
        <v>33.799999999999997</v>
      </c>
      <c r="K487" s="21" t="s">
        <v>2276</v>
      </c>
      <c r="L487" s="3">
        <v>2018</v>
      </c>
      <c r="M487" s="3">
        <v>2018</v>
      </c>
      <c r="N487" s="3" t="s">
        <v>2276</v>
      </c>
      <c r="O487" s="3" t="s">
        <v>67</v>
      </c>
      <c r="P487" s="5" t="s">
        <v>5187</v>
      </c>
      <c r="Q487" s="3"/>
    </row>
    <row r="488" spans="1:17" ht="43.5" customHeight="1">
      <c r="A488" s="106">
        <v>90</v>
      </c>
      <c r="B488" s="40" t="s">
        <v>2445</v>
      </c>
      <c r="C488" s="3" t="s">
        <v>2446</v>
      </c>
      <c r="D488" s="3" t="s">
        <v>2398</v>
      </c>
      <c r="E488" s="3" t="s">
        <v>2399</v>
      </c>
      <c r="F488" s="3" t="s">
        <v>2447</v>
      </c>
      <c r="G488" s="3" t="s">
        <v>2448</v>
      </c>
      <c r="H488" s="3" t="s">
        <v>88</v>
      </c>
      <c r="I488" s="21">
        <v>23.5034329</v>
      </c>
      <c r="J488" s="74">
        <v>92.417972500000005</v>
      </c>
      <c r="K488" s="21" t="s">
        <v>2276</v>
      </c>
      <c r="L488" s="3">
        <v>2010</v>
      </c>
      <c r="M488" s="3">
        <v>2010</v>
      </c>
      <c r="N488" s="3" t="s">
        <v>2276</v>
      </c>
      <c r="O488" s="3" t="s">
        <v>67</v>
      </c>
      <c r="P488" s="5" t="s">
        <v>5187</v>
      </c>
      <c r="Q488" s="3"/>
    </row>
    <row r="489" spans="1:17" ht="38.5" customHeight="1">
      <c r="A489" s="106">
        <v>90</v>
      </c>
      <c r="B489" s="40" t="s">
        <v>2445</v>
      </c>
      <c r="C489" s="3" t="s">
        <v>2449</v>
      </c>
      <c r="D489" s="3" t="s">
        <v>2398</v>
      </c>
      <c r="E489" s="3" t="s">
        <v>2637</v>
      </c>
      <c r="F489" s="3" t="s">
        <v>2451</v>
      </c>
      <c r="G489" s="3" t="s">
        <v>2448</v>
      </c>
      <c r="H489" s="3" t="s">
        <v>88</v>
      </c>
      <c r="I489" s="21">
        <v>22.974637099999999</v>
      </c>
      <c r="J489" s="74">
        <v>92.750520499999993</v>
      </c>
      <c r="K489" s="21" t="s">
        <v>2276</v>
      </c>
      <c r="L489" s="3">
        <v>2010</v>
      </c>
      <c r="M489" s="3">
        <v>2010</v>
      </c>
      <c r="N489" s="3" t="s">
        <v>2276</v>
      </c>
      <c r="O489" s="3" t="s">
        <v>67</v>
      </c>
      <c r="P489" s="5" t="s">
        <v>5187</v>
      </c>
      <c r="Q489" s="4" t="s">
        <v>2452</v>
      </c>
    </row>
    <row r="490" spans="1:17" ht="27" customHeight="1">
      <c r="A490" s="106">
        <v>91</v>
      </c>
      <c r="B490" s="40" t="s">
        <v>2465</v>
      </c>
      <c r="C490" s="3" t="s">
        <v>2466</v>
      </c>
      <c r="D490" s="3" t="s">
        <v>2398</v>
      </c>
      <c r="E490" s="3" t="s">
        <v>2399</v>
      </c>
      <c r="F490" s="3" t="s">
        <v>2482</v>
      </c>
      <c r="G490" s="3" t="s">
        <v>2448</v>
      </c>
      <c r="H490" s="3" t="s">
        <v>88</v>
      </c>
      <c r="I490" s="21">
        <v>24.294976299999998</v>
      </c>
      <c r="J490" s="21">
        <v>92.640020500000006</v>
      </c>
      <c r="K490" s="21" t="s">
        <v>2276</v>
      </c>
      <c r="L490" s="3">
        <v>2018</v>
      </c>
      <c r="M490" s="3">
        <v>2018</v>
      </c>
      <c r="N490" s="3" t="s">
        <v>2276</v>
      </c>
      <c r="O490" s="3" t="s">
        <v>183</v>
      </c>
      <c r="P490" s="5" t="s">
        <v>5187</v>
      </c>
      <c r="Q490" s="4" t="s">
        <v>2498</v>
      </c>
    </row>
    <row r="491" spans="1:17" ht="32" customHeight="1">
      <c r="A491" s="106">
        <v>91</v>
      </c>
      <c r="B491" s="40" t="s">
        <v>2465</v>
      </c>
      <c r="C491" s="3" t="s">
        <v>2467</v>
      </c>
      <c r="D491" s="3" t="s">
        <v>2398</v>
      </c>
      <c r="E491" s="3" t="s">
        <v>2399</v>
      </c>
      <c r="F491" s="3" t="s">
        <v>2483</v>
      </c>
      <c r="G491" s="3" t="s">
        <v>2448</v>
      </c>
      <c r="H491" s="3" t="s">
        <v>88</v>
      </c>
      <c r="I491" s="21">
        <v>23.980968900000001</v>
      </c>
      <c r="J491" s="21">
        <v>92.718894399999996</v>
      </c>
      <c r="K491" s="21" t="s">
        <v>2276</v>
      </c>
      <c r="L491" s="3">
        <v>2018</v>
      </c>
      <c r="M491" s="3">
        <v>2018</v>
      </c>
      <c r="N491" s="3" t="s">
        <v>2276</v>
      </c>
      <c r="O491" s="3" t="s">
        <v>183</v>
      </c>
      <c r="P491" s="5" t="s">
        <v>5187</v>
      </c>
      <c r="Q491" s="4" t="s">
        <v>2498</v>
      </c>
    </row>
    <row r="492" spans="1:17" ht="29">
      <c r="A492" s="106">
        <v>91</v>
      </c>
      <c r="B492" s="40" t="s">
        <v>2465</v>
      </c>
      <c r="C492" s="3" t="s">
        <v>2468</v>
      </c>
      <c r="D492" s="3" t="s">
        <v>2398</v>
      </c>
      <c r="E492" s="3" t="s">
        <v>2399</v>
      </c>
      <c r="F492" s="3" t="s">
        <v>2484</v>
      </c>
      <c r="G492" s="3" t="s">
        <v>2448</v>
      </c>
      <c r="H492" s="3" t="s">
        <v>88</v>
      </c>
      <c r="I492" s="21">
        <v>23.900757599999999</v>
      </c>
      <c r="J492" s="21">
        <v>92.921340799999996</v>
      </c>
      <c r="K492" s="21" t="s">
        <v>2276</v>
      </c>
      <c r="L492" s="3">
        <v>2018</v>
      </c>
      <c r="M492" s="3">
        <v>2018</v>
      </c>
      <c r="N492" s="3" t="s">
        <v>2276</v>
      </c>
      <c r="O492" s="3" t="s">
        <v>183</v>
      </c>
      <c r="P492" s="5" t="s">
        <v>5187</v>
      </c>
      <c r="Q492" s="4" t="s">
        <v>2498</v>
      </c>
    </row>
    <row r="493" spans="1:17" ht="29">
      <c r="A493" s="106">
        <v>91</v>
      </c>
      <c r="B493" s="40" t="s">
        <v>2465</v>
      </c>
      <c r="C493" s="3" t="s">
        <v>2469</v>
      </c>
      <c r="D493" s="3" t="s">
        <v>2398</v>
      </c>
      <c r="E493" s="3" t="s">
        <v>2399</v>
      </c>
      <c r="F493" s="3" t="s">
        <v>2485</v>
      </c>
      <c r="G493" s="3" t="s">
        <v>2448</v>
      </c>
      <c r="H493" s="3" t="s">
        <v>88</v>
      </c>
      <c r="I493" s="21">
        <v>23.867775000000002</v>
      </c>
      <c r="J493" s="21">
        <v>92.422106499999998</v>
      </c>
      <c r="K493" s="21" t="s">
        <v>2276</v>
      </c>
      <c r="L493" s="3">
        <v>2018</v>
      </c>
      <c r="M493" s="3">
        <v>2018</v>
      </c>
      <c r="N493" s="3" t="s">
        <v>2276</v>
      </c>
      <c r="O493" s="3" t="s">
        <v>183</v>
      </c>
      <c r="P493" s="5" t="s">
        <v>5187</v>
      </c>
      <c r="Q493" s="4" t="s">
        <v>2498</v>
      </c>
    </row>
    <row r="494" spans="1:17" ht="29">
      <c r="A494" s="106">
        <v>91</v>
      </c>
      <c r="B494" s="40" t="s">
        <v>2465</v>
      </c>
      <c r="C494" s="3" t="s">
        <v>2470</v>
      </c>
      <c r="D494" s="3" t="s">
        <v>2398</v>
      </c>
      <c r="E494" s="3" t="s">
        <v>2399</v>
      </c>
      <c r="F494" s="3" t="s">
        <v>2486</v>
      </c>
      <c r="G494" s="3" t="s">
        <v>2448</v>
      </c>
      <c r="H494" s="3" t="s">
        <v>88</v>
      </c>
      <c r="I494" s="21">
        <v>23.7703384</v>
      </c>
      <c r="J494" s="21">
        <v>92.520412100000001</v>
      </c>
      <c r="K494" s="21" t="s">
        <v>2276</v>
      </c>
      <c r="L494" s="3">
        <v>2018</v>
      </c>
      <c r="M494" s="3">
        <v>2018</v>
      </c>
      <c r="N494" s="3" t="s">
        <v>2276</v>
      </c>
      <c r="O494" s="3" t="s">
        <v>183</v>
      </c>
      <c r="P494" s="5" t="s">
        <v>5187</v>
      </c>
      <c r="Q494" s="4" t="s">
        <v>2498</v>
      </c>
    </row>
    <row r="495" spans="1:17" ht="29">
      <c r="A495" s="106">
        <v>91</v>
      </c>
      <c r="B495" s="40" t="s">
        <v>2465</v>
      </c>
      <c r="C495" s="3" t="s">
        <v>2471</v>
      </c>
      <c r="D495" s="3" t="s">
        <v>2398</v>
      </c>
      <c r="E495" s="3" t="s">
        <v>2399</v>
      </c>
      <c r="F495" s="3" t="s">
        <v>2487</v>
      </c>
      <c r="G495" s="3" t="s">
        <v>2448</v>
      </c>
      <c r="H495" s="3" t="s">
        <v>88</v>
      </c>
      <c r="I495" s="21">
        <v>23.724429900000001</v>
      </c>
      <c r="J495" s="21">
        <v>93.304273100000003</v>
      </c>
      <c r="K495" s="21" t="s">
        <v>2276</v>
      </c>
      <c r="L495" s="3">
        <v>2018</v>
      </c>
      <c r="M495" s="3">
        <v>2018</v>
      </c>
      <c r="N495" s="3" t="s">
        <v>2276</v>
      </c>
      <c r="O495" s="3" t="s">
        <v>183</v>
      </c>
      <c r="P495" s="5" t="s">
        <v>5187</v>
      </c>
      <c r="Q495" s="4" t="s">
        <v>2498</v>
      </c>
    </row>
    <row r="496" spans="1:17" ht="29">
      <c r="A496" s="106">
        <v>91</v>
      </c>
      <c r="B496" s="40" t="s">
        <v>2465</v>
      </c>
      <c r="C496" s="3" t="s">
        <v>2472</v>
      </c>
      <c r="D496" s="3" t="s">
        <v>2398</v>
      </c>
      <c r="E496" s="3" t="s">
        <v>2399</v>
      </c>
      <c r="F496" s="3" t="s">
        <v>2488</v>
      </c>
      <c r="G496" s="3" t="s">
        <v>2448</v>
      </c>
      <c r="H496" s="3" t="s">
        <v>88</v>
      </c>
      <c r="I496" s="21">
        <v>23.505746200000001</v>
      </c>
      <c r="J496" s="21">
        <v>93.243906600000003</v>
      </c>
      <c r="K496" s="21" t="s">
        <v>2276</v>
      </c>
      <c r="L496" s="3">
        <v>2018</v>
      </c>
      <c r="M496" s="3">
        <v>2018</v>
      </c>
      <c r="N496" s="3" t="s">
        <v>2276</v>
      </c>
      <c r="O496" s="3" t="s">
        <v>183</v>
      </c>
      <c r="P496" s="5" t="s">
        <v>5187</v>
      </c>
      <c r="Q496" s="4" t="s">
        <v>2498</v>
      </c>
    </row>
    <row r="497" spans="1:17" ht="29">
      <c r="A497" s="106">
        <v>91</v>
      </c>
      <c r="B497" s="40" t="s">
        <v>2465</v>
      </c>
      <c r="C497" s="3" t="s">
        <v>2473</v>
      </c>
      <c r="D497" s="3" t="s">
        <v>2398</v>
      </c>
      <c r="E497" s="3" t="s">
        <v>2399</v>
      </c>
      <c r="F497" s="3" t="s">
        <v>2489</v>
      </c>
      <c r="G497" s="3" t="s">
        <v>2448</v>
      </c>
      <c r="H497" s="3" t="s">
        <v>88</v>
      </c>
      <c r="I497" s="21">
        <v>23.470427399999998</v>
      </c>
      <c r="J497" s="21">
        <v>92.717029699999998</v>
      </c>
      <c r="K497" s="21" t="s">
        <v>2276</v>
      </c>
      <c r="L497" s="3">
        <v>2018</v>
      </c>
      <c r="M497" s="3">
        <v>2018</v>
      </c>
      <c r="N497" s="3" t="s">
        <v>2276</v>
      </c>
      <c r="O497" s="3" t="s">
        <v>183</v>
      </c>
      <c r="P497" s="5" t="s">
        <v>5187</v>
      </c>
      <c r="Q497" s="4" t="s">
        <v>2498</v>
      </c>
    </row>
    <row r="498" spans="1:17" ht="29">
      <c r="A498" s="106">
        <v>91</v>
      </c>
      <c r="B498" s="40" t="s">
        <v>2465</v>
      </c>
      <c r="C498" s="3" t="s">
        <v>2474</v>
      </c>
      <c r="D498" s="3" t="s">
        <v>2398</v>
      </c>
      <c r="E498" s="3" t="s">
        <v>2399</v>
      </c>
      <c r="F498" s="3" t="s">
        <v>2490</v>
      </c>
      <c r="G498" s="3" t="s">
        <v>2448</v>
      </c>
      <c r="H498" s="3" t="s">
        <v>88</v>
      </c>
      <c r="I498" s="21">
        <v>23.361906000000001</v>
      </c>
      <c r="J498" s="21">
        <v>92.921965</v>
      </c>
      <c r="K498" s="21" t="s">
        <v>2276</v>
      </c>
      <c r="L498" s="3">
        <v>2018</v>
      </c>
      <c r="M498" s="3">
        <v>2018</v>
      </c>
      <c r="N498" s="3" t="s">
        <v>2276</v>
      </c>
      <c r="O498" s="3" t="s">
        <v>183</v>
      </c>
      <c r="P498" s="5" t="s">
        <v>5187</v>
      </c>
      <c r="Q498" s="4" t="s">
        <v>2498</v>
      </c>
    </row>
    <row r="499" spans="1:17" ht="29">
      <c r="A499" s="106">
        <v>91</v>
      </c>
      <c r="B499" s="40" t="s">
        <v>2465</v>
      </c>
      <c r="C499" s="3" t="s">
        <v>2475</v>
      </c>
      <c r="D499" s="3" t="s">
        <v>2398</v>
      </c>
      <c r="E499" s="3" t="s">
        <v>2399</v>
      </c>
      <c r="F499" s="3" t="s">
        <v>2491</v>
      </c>
      <c r="G499" s="3" t="s">
        <v>2448</v>
      </c>
      <c r="H499" s="3" t="s">
        <v>88</v>
      </c>
      <c r="I499" s="21">
        <v>23.1713755</v>
      </c>
      <c r="J499" s="21">
        <v>92.9897445</v>
      </c>
      <c r="K499" s="21" t="s">
        <v>2276</v>
      </c>
      <c r="L499" s="3">
        <v>2018</v>
      </c>
      <c r="M499" s="3">
        <v>2018</v>
      </c>
      <c r="N499" s="3" t="s">
        <v>2276</v>
      </c>
      <c r="O499" s="3" t="s">
        <v>183</v>
      </c>
      <c r="P499" s="5" t="s">
        <v>5187</v>
      </c>
      <c r="Q499" s="4" t="s">
        <v>2498</v>
      </c>
    </row>
    <row r="500" spans="1:17" ht="29">
      <c r="A500" s="106">
        <v>91</v>
      </c>
      <c r="B500" s="40" t="s">
        <v>2465</v>
      </c>
      <c r="C500" s="3" t="s">
        <v>2476</v>
      </c>
      <c r="D500" s="3" t="s">
        <v>2398</v>
      </c>
      <c r="E500" s="3" t="s">
        <v>2399</v>
      </c>
      <c r="F500" s="3" t="s">
        <v>2492</v>
      </c>
      <c r="G500" s="3" t="s">
        <v>2448</v>
      </c>
      <c r="H500" s="3" t="s">
        <v>88</v>
      </c>
      <c r="I500" s="21">
        <v>23.112962799999998</v>
      </c>
      <c r="J500" s="21">
        <v>92.744386000000006</v>
      </c>
      <c r="K500" s="21" t="s">
        <v>2276</v>
      </c>
      <c r="L500" s="3">
        <v>2018</v>
      </c>
      <c r="M500" s="3">
        <v>2018</v>
      </c>
      <c r="N500" s="3" t="s">
        <v>2276</v>
      </c>
      <c r="O500" s="3" t="s">
        <v>183</v>
      </c>
      <c r="P500" s="5" t="s">
        <v>5187</v>
      </c>
      <c r="Q500" s="4" t="s">
        <v>2498</v>
      </c>
    </row>
    <row r="501" spans="1:17" ht="29">
      <c r="A501" s="106">
        <v>91</v>
      </c>
      <c r="B501" s="40" t="s">
        <v>2465</v>
      </c>
      <c r="C501" s="3" t="s">
        <v>2477</v>
      </c>
      <c r="D501" s="3" t="s">
        <v>2398</v>
      </c>
      <c r="E501" s="3" t="s">
        <v>2399</v>
      </c>
      <c r="F501" s="3" t="s">
        <v>2493</v>
      </c>
      <c r="G501" s="3" t="s">
        <v>2448</v>
      </c>
      <c r="H501" s="3" t="s">
        <v>88</v>
      </c>
      <c r="I501" s="21">
        <v>23.020536199999999</v>
      </c>
      <c r="J501" s="21">
        <v>92.921340799999996</v>
      </c>
      <c r="K501" s="21" t="s">
        <v>2276</v>
      </c>
      <c r="L501" s="3">
        <v>2018</v>
      </c>
      <c r="M501" s="3">
        <v>2018</v>
      </c>
      <c r="N501" s="3" t="s">
        <v>2276</v>
      </c>
      <c r="O501" s="3" t="s">
        <v>183</v>
      </c>
      <c r="P501" s="5" t="s">
        <v>5187</v>
      </c>
      <c r="Q501" s="4" t="s">
        <v>2498</v>
      </c>
    </row>
    <row r="502" spans="1:17" ht="29">
      <c r="A502" s="106">
        <v>91</v>
      </c>
      <c r="B502" s="40" t="s">
        <v>2465</v>
      </c>
      <c r="C502" s="3" t="s">
        <v>2478</v>
      </c>
      <c r="D502" s="3" t="s">
        <v>2398</v>
      </c>
      <c r="E502" s="3" t="s">
        <v>2399</v>
      </c>
      <c r="F502" s="3" t="s">
        <v>2494</v>
      </c>
      <c r="G502" s="3" t="s">
        <v>2448</v>
      </c>
      <c r="H502" s="3" t="s">
        <v>88</v>
      </c>
      <c r="I502" s="21">
        <v>22.5989322</v>
      </c>
      <c r="J502" s="21">
        <v>93.026329000000004</v>
      </c>
      <c r="K502" s="21" t="s">
        <v>2276</v>
      </c>
      <c r="L502" s="3">
        <v>2018</v>
      </c>
      <c r="M502" s="3">
        <v>2018</v>
      </c>
      <c r="N502" s="3" t="s">
        <v>2276</v>
      </c>
      <c r="O502" s="3" t="s">
        <v>183</v>
      </c>
      <c r="P502" s="5" t="s">
        <v>5187</v>
      </c>
      <c r="Q502" s="4" t="s">
        <v>2498</v>
      </c>
    </row>
    <row r="503" spans="1:17" ht="29">
      <c r="A503" s="106">
        <v>91</v>
      </c>
      <c r="B503" s="40" t="s">
        <v>2465</v>
      </c>
      <c r="C503" s="3" t="s">
        <v>2479</v>
      </c>
      <c r="D503" s="3" t="s">
        <v>2398</v>
      </c>
      <c r="E503" s="3" t="s">
        <v>2399</v>
      </c>
      <c r="F503" s="3" t="s">
        <v>2495</v>
      </c>
      <c r="G503" s="3" t="s">
        <v>2448</v>
      </c>
      <c r="H503" s="3" t="s">
        <v>88</v>
      </c>
      <c r="I503" s="21">
        <v>22.524369400000001</v>
      </c>
      <c r="J503" s="21">
        <v>93.033837000000005</v>
      </c>
      <c r="K503" s="21" t="s">
        <v>2276</v>
      </c>
      <c r="L503" s="3">
        <v>2018</v>
      </c>
      <c r="M503" s="3">
        <v>2018</v>
      </c>
      <c r="N503" s="3" t="s">
        <v>2276</v>
      </c>
      <c r="O503" s="3" t="s">
        <v>183</v>
      </c>
      <c r="P503" s="5" t="s">
        <v>5187</v>
      </c>
      <c r="Q503" s="4" t="s">
        <v>2498</v>
      </c>
    </row>
    <row r="504" spans="1:17" ht="29">
      <c r="A504" s="106">
        <v>91</v>
      </c>
      <c r="B504" s="40" t="s">
        <v>2465</v>
      </c>
      <c r="C504" s="3" t="s">
        <v>2480</v>
      </c>
      <c r="D504" s="3" t="s">
        <v>2398</v>
      </c>
      <c r="E504" s="3" t="s">
        <v>2399</v>
      </c>
      <c r="F504" s="3" t="s">
        <v>2496</v>
      </c>
      <c r="G504" s="3" t="s">
        <v>2448</v>
      </c>
      <c r="H504" s="3" t="s">
        <v>88</v>
      </c>
      <c r="I504" s="21">
        <v>22.4066279</v>
      </c>
      <c r="J504" s="21">
        <v>92.899185299999999</v>
      </c>
      <c r="K504" s="21" t="s">
        <v>2276</v>
      </c>
      <c r="L504" s="3">
        <v>2018</v>
      </c>
      <c r="M504" s="3">
        <v>2018</v>
      </c>
      <c r="N504" s="3" t="s">
        <v>2276</v>
      </c>
      <c r="O504" s="3" t="s">
        <v>183</v>
      </c>
      <c r="P504" s="5" t="s">
        <v>5187</v>
      </c>
      <c r="Q504" s="4" t="s">
        <v>2498</v>
      </c>
    </row>
    <row r="505" spans="1:17" ht="29">
      <c r="A505" s="106">
        <v>91</v>
      </c>
      <c r="B505" s="40" t="s">
        <v>2465</v>
      </c>
      <c r="C505" s="3" t="s">
        <v>2481</v>
      </c>
      <c r="D505" s="3" t="s">
        <v>2398</v>
      </c>
      <c r="E505" s="3" t="s">
        <v>2399</v>
      </c>
      <c r="F505" s="3" t="s">
        <v>2497</v>
      </c>
      <c r="G505" s="3" t="s">
        <v>2448</v>
      </c>
      <c r="H505" s="3" t="s">
        <v>88</v>
      </c>
      <c r="I505" s="21">
        <v>22.3687322</v>
      </c>
      <c r="J505" s="21">
        <v>93.038217099999997</v>
      </c>
      <c r="K505" s="21" t="s">
        <v>2276</v>
      </c>
      <c r="L505" s="3">
        <v>2018</v>
      </c>
      <c r="M505" s="3">
        <v>2018</v>
      </c>
      <c r="N505" s="3" t="s">
        <v>2276</v>
      </c>
      <c r="O505" s="3" t="s">
        <v>183</v>
      </c>
      <c r="P505" s="5" t="s">
        <v>5187</v>
      </c>
      <c r="Q505" s="4" t="s">
        <v>2498</v>
      </c>
    </row>
    <row r="506" spans="1:17" ht="81.5" customHeight="1">
      <c r="A506" s="106">
        <v>92</v>
      </c>
      <c r="B506" s="40" t="s">
        <v>2517</v>
      </c>
      <c r="C506" s="3" t="s">
        <v>2518</v>
      </c>
      <c r="D506" s="3" t="s">
        <v>2398</v>
      </c>
      <c r="E506" s="3" t="s">
        <v>2405</v>
      </c>
      <c r="F506" s="3" t="s">
        <v>2521</v>
      </c>
      <c r="G506" s="3"/>
      <c r="H506" s="3" t="s">
        <v>2519</v>
      </c>
      <c r="I506" s="21">
        <v>0.57427340000000004</v>
      </c>
      <c r="J506" s="21">
        <v>25.164243800000001</v>
      </c>
      <c r="K506" s="21">
        <v>46779</v>
      </c>
      <c r="L506" s="3">
        <v>2000</v>
      </c>
      <c r="M506" s="3">
        <v>2015</v>
      </c>
      <c r="N506" s="3" t="s">
        <v>2276</v>
      </c>
      <c r="O506" s="3" t="s">
        <v>149</v>
      </c>
      <c r="P506" s="5" t="s">
        <v>5187</v>
      </c>
      <c r="Q506" s="4" t="s">
        <v>2533</v>
      </c>
    </row>
    <row r="507" spans="1:17" ht="78.5" customHeight="1">
      <c r="A507" s="106">
        <v>92</v>
      </c>
      <c r="B507" s="40" t="s">
        <v>2517</v>
      </c>
      <c r="C507" s="3" t="s">
        <v>2520</v>
      </c>
      <c r="D507" s="3" t="s">
        <v>2398</v>
      </c>
      <c r="E507" s="3" t="s">
        <v>2405</v>
      </c>
      <c r="F507" s="3" t="s">
        <v>2522</v>
      </c>
      <c r="G507" s="3"/>
      <c r="H507" s="3" t="s">
        <v>2519</v>
      </c>
      <c r="I507" s="21">
        <v>0.57427340000000004</v>
      </c>
      <c r="J507" s="21">
        <v>25.164243800000001</v>
      </c>
      <c r="K507" s="21">
        <v>25428</v>
      </c>
      <c r="L507" s="3">
        <v>2000</v>
      </c>
      <c r="M507" s="3">
        <v>2015</v>
      </c>
      <c r="N507" s="3" t="s">
        <v>2276</v>
      </c>
      <c r="O507" s="3" t="s">
        <v>149</v>
      </c>
      <c r="P507" s="5" t="s">
        <v>5187</v>
      </c>
      <c r="Q507" s="4" t="s">
        <v>2533</v>
      </c>
    </row>
    <row r="508" spans="1:17" ht="85.5" customHeight="1">
      <c r="A508" s="106">
        <v>93</v>
      </c>
      <c r="B508" s="40" t="s">
        <v>2530</v>
      </c>
      <c r="C508" s="11" t="s">
        <v>2531</v>
      </c>
      <c r="D508" s="3" t="s">
        <v>2398</v>
      </c>
      <c r="E508" s="3" t="s">
        <v>2405</v>
      </c>
      <c r="F508" s="113"/>
      <c r="G508" s="3"/>
      <c r="H508" s="3" t="s">
        <v>2519</v>
      </c>
      <c r="I508" s="21">
        <v>-4.0335159999999997</v>
      </c>
      <c r="J508" s="21">
        <v>21.730005999999999</v>
      </c>
      <c r="K508" s="114">
        <v>2345000</v>
      </c>
      <c r="L508" s="3">
        <v>2000</v>
      </c>
      <c r="M508" s="3">
        <v>2010</v>
      </c>
      <c r="N508" s="3" t="s">
        <v>2276</v>
      </c>
      <c r="O508" s="3" t="s">
        <v>149</v>
      </c>
      <c r="P508" s="5" t="s">
        <v>5187</v>
      </c>
      <c r="Q508" s="4" t="s">
        <v>2537</v>
      </c>
    </row>
    <row r="509" spans="1:17" ht="68.5" customHeight="1">
      <c r="A509" s="106">
        <v>94</v>
      </c>
      <c r="B509" s="40" t="s">
        <v>2539</v>
      </c>
      <c r="C509" s="11" t="s">
        <v>2540</v>
      </c>
      <c r="D509" s="3" t="s">
        <v>2398</v>
      </c>
      <c r="E509" s="3" t="s">
        <v>2399</v>
      </c>
      <c r="F509" s="3" t="s">
        <v>2541</v>
      </c>
      <c r="G509" s="3"/>
      <c r="H509" s="3" t="s">
        <v>2519</v>
      </c>
      <c r="I509" s="21">
        <v>1.6710695</v>
      </c>
      <c r="J509" s="21">
        <v>28.487357500000002</v>
      </c>
      <c r="K509" s="21">
        <f>1390000/100</f>
        <v>13900</v>
      </c>
      <c r="L509" s="3">
        <v>1989</v>
      </c>
      <c r="M509" s="3">
        <v>1996</v>
      </c>
      <c r="N509" s="3" t="s">
        <v>2276</v>
      </c>
      <c r="O509" s="3" t="s">
        <v>2546</v>
      </c>
      <c r="P509" s="5" t="s">
        <v>5187</v>
      </c>
      <c r="Q509" s="4" t="s">
        <v>2543</v>
      </c>
    </row>
    <row r="510" spans="1:17" ht="44.5" customHeight="1">
      <c r="A510" s="106">
        <v>95</v>
      </c>
      <c r="B510" s="40" t="s">
        <v>2549</v>
      </c>
      <c r="C510" s="11" t="s">
        <v>2550</v>
      </c>
      <c r="D510" s="3" t="s">
        <v>2398</v>
      </c>
      <c r="E510" s="3" t="s">
        <v>2399</v>
      </c>
      <c r="F510" s="11" t="s">
        <v>2551</v>
      </c>
      <c r="G510" s="11" t="s">
        <v>2552</v>
      </c>
      <c r="H510" s="11" t="s">
        <v>88</v>
      </c>
      <c r="I510" s="21">
        <v>25.5188424</v>
      </c>
      <c r="J510" s="21">
        <v>91.769229699999997</v>
      </c>
      <c r="K510" s="3" t="s">
        <v>2276</v>
      </c>
      <c r="L510" s="3">
        <v>2002</v>
      </c>
      <c r="M510" s="3">
        <v>2002</v>
      </c>
      <c r="N510" s="3" t="s">
        <v>2276</v>
      </c>
      <c r="O510" s="3" t="s">
        <v>67</v>
      </c>
      <c r="P510" s="5" t="s">
        <v>5187</v>
      </c>
      <c r="Q510" s="3"/>
    </row>
    <row r="511" spans="1:17" ht="40" customHeight="1">
      <c r="A511" s="106">
        <v>95</v>
      </c>
      <c r="B511" s="40" t="s">
        <v>2549</v>
      </c>
      <c r="C511" s="11" t="s">
        <v>2557</v>
      </c>
      <c r="D511" s="3" t="s">
        <v>2398</v>
      </c>
      <c r="E511" s="3" t="s">
        <v>2399</v>
      </c>
      <c r="F511" s="11" t="s">
        <v>2551</v>
      </c>
      <c r="G511" s="11" t="s">
        <v>2552</v>
      </c>
      <c r="H511" s="11" t="s">
        <v>88</v>
      </c>
      <c r="I511" s="21">
        <v>25.5188424</v>
      </c>
      <c r="J511" s="21">
        <v>91.769229699999997</v>
      </c>
      <c r="K511" s="3" t="s">
        <v>2276</v>
      </c>
      <c r="L511" s="3">
        <v>1977</v>
      </c>
      <c r="M511" s="3">
        <v>1997</v>
      </c>
      <c r="N511" s="3" t="s">
        <v>2276</v>
      </c>
      <c r="O511" s="3" t="s">
        <v>67</v>
      </c>
      <c r="P511" s="5" t="s">
        <v>5187</v>
      </c>
      <c r="Q511" s="3"/>
    </row>
    <row r="512" spans="1:17" ht="33.5" customHeight="1">
      <c r="A512" s="106">
        <v>96</v>
      </c>
      <c r="B512" s="40" t="s">
        <v>2564</v>
      </c>
      <c r="C512" s="11" t="s">
        <v>2563</v>
      </c>
      <c r="D512" s="3" t="s">
        <v>2398</v>
      </c>
      <c r="E512" s="3" t="s">
        <v>2399</v>
      </c>
      <c r="F512" s="3" t="s">
        <v>2568</v>
      </c>
      <c r="G512" s="11" t="s">
        <v>2552</v>
      </c>
      <c r="H512" s="11" t="s">
        <v>88</v>
      </c>
      <c r="I512" s="21">
        <v>25.4886783</v>
      </c>
      <c r="J512" s="21">
        <v>91.923077399999997</v>
      </c>
      <c r="K512" s="21">
        <v>4</v>
      </c>
      <c r="L512" s="3">
        <v>2015</v>
      </c>
      <c r="M512" s="3">
        <v>2015</v>
      </c>
      <c r="N512" s="3">
        <v>400</v>
      </c>
      <c r="O512" s="3" t="s">
        <v>2599</v>
      </c>
      <c r="P512" s="5" t="s">
        <v>5187</v>
      </c>
      <c r="Q512" s="3" t="s">
        <v>2569</v>
      </c>
    </row>
    <row r="513" spans="1:17" ht="50" customHeight="1">
      <c r="A513" s="106">
        <v>97</v>
      </c>
      <c r="B513" s="40" t="s">
        <v>2575</v>
      </c>
      <c r="C513" s="3" t="s">
        <v>2574</v>
      </c>
      <c r="D513" s="3" t="s">
        <v>2398</v>
      </c>
      <c r="E513" s="3" t="s">
        <v>2399</v>
      </c>
      <c r="F513" s="3" t="s">
        <v>2577</v>
      </c>
      <c r="G513" s="3" t="s">
        <v>2597</v>
      </c>
      <c r="H513" s="3" t="s">
        <v>121</v>
      </c>
      <c r="I513" s="21">
        <v>-23.0974059422356</v>
      </c>
      <c r="J513" s="21">
        <v>-44.775559402084099</v>
      </c>
      <c r="K513" s="3" t="s">
        <v>2276</v>
      </c>
      <c r="L513" s="3">
        <v>2010</v>
      </c>
      <c r="M513" s="3">
        <v>2010</v>
      </c>
      <c r="N513" s="3" t="s">
        <v>2276</v>
      </c>
      <c r="O513" s="3" t="s">
        <v>2599</v>
      </c>
      <c r="P513" s="5" t="s">
        <v>5187</v>
      </c>
      <c r="Q513" s="3" t="s">
        <v>2569</v>
      </c>
    </row>
    <row r="514" spans="1:17" ht="44.5" customHeight="1">
      <c r="A514" s="106">
        <v>97</v>
      </c>
      <c r="B514" s="40" t="s">
        <v>2575</v>
      </c>
      <c r="C514" s="11" t="s">
        <v>2576</v>
      </c>
      <c r="D514" s="3" t="s">
        <v>2398</v>
      </c>
      <c r="E514" s="3" t="s">
        <v>2399</v>
      </c>
      <c r="F514" s="3" t="s">
        <v>2578</v>
      </c>
      <c r="G514" s="3" t="s">
        <v>2597</v>
      </c>
      <c r="H514" s="3" t="s">
        <v>121</v>
      </c>
      <c r="I514" s="21">
        <v>-23.143267046426601</v>
      </c>
      <c r="J514" s="21">
        <v>-44.7834975358017</v>
      </c>
      <c r="K514" s="3" t="s">
        <v>2276</v>
      </c>
      <c r="L514" s="3">
        <v>2010</v>
      </c>
      <c r="M514" s="3">
        <v>2010</v>
      </c>
      <c r="N514" s="3" t="s">
        <v>2276</v>
      </c>
      <c r="O514" s="3" t="s">
        <v>2599</v>
      </c>
      <c r="P514" s="5" t="s">
        <v>5187</v>
      </c>
      <c r="Q514" s="3" t="s">
        <v>2569</v>
      </c>
    </row>
    <row r="515" spans="1:17">
      <c r="A515" s="106">
        <v>97</v>
      </c>
      <c r="B515" s="40" t="s">
        <v>2575</v>
      </c>
      <c r="C515" s="3" t="s">
        <v>2588</v>
      </c>
      <c r="D515" s="3" t="s">
        <v>2398</v>
      </c>
      <c r="E515" s="3" t="s">
        <v>2399</v>
      </c>
      <c r="F515" s="3" t="s">
        <v>2579</v>
      </c>
      <c r="G515" s="3" t="s">
        <v>2597</v>
      </c>
      <c r="H515" s="3" t="s">
        <v>121</v>
      </c>
      <c r="I515" s="21">
        <v>-23.159083315672699</v>
      </c>
      <c r="J515" s="21">
        <v>-44.690054086538503</v>
      </c>
      <c r="K515" s="3" t="s">
        <v>2276</v>
      </c>
      <c r="L515" s="3">
        <v>2010</v>
      </c>
      <c r="M515" s="3">
        <v>2010</v>
      </c>
      <c r="N515" s="3" t="s">
        <v>2276</v>
      </c>
      <c r="O515" s="3" t="s">
        <v>2599</v>
      </c>
      <c r="P515" s="5" t="s">
        <v>5187</v>
      </c>
      <c r="Q515" s="3" t="s">
        <v>2569</v>
      </c>
    </row>
    <row r="516" spans="1:17">
      <c r="A516" s="106">
        <v>97</v>
      </c>
      <c r="B516" s="40" t="s">
        <v>2575</v>
      </c>
      <c r="C516" s="11" t="s">
        <v>2589</v>
      </c>
      <c r="D516" s="3" t="s">
        <v>2398</v>
      </c>
      <c r="E516" s="3" t="s">
        <v>2399</v>
      </c>
      <c r="F516" s="3" t="s">
        <v>2580</v>
      </c>
      <c r="G516" s="3" t="s">
        <v>2597</v>
      </c>
      <c r="H516" s="3" t="s">
        <v>121</v>
      </c>
      <c r="I516" s="21">
        <v>-23.347563699999998</v>
      </c>
      <c r="J516" s="21">
        <v>-44.606878299999998</v>
      </c>
      <c r="K516" s="3" t="s">
        <v>2276</v>
      </c>
      <c r="L516" s="3">
        <v>2010</v>
      </c>
      <c r="M516" s="3">
        <v>2010</v>
      </c>
      <c r="N516" s="3" t="s">
        <v>2276</v>
      </c>
      <c r="O516" s="3" t="s">
        <v>2599</v>
      </c>
      <c r="P516" s="5" t="s">
        <v>5187</v>
      </c>
      <c r="Q516" s="3" t="s">
        <v>2569</v>
      </c>
    </row>
    <row r="517" spans="1:17">
      <c r="A517" s="106">
        <v>97</v>
      </c>
      <c r="B517" s="40" t="s">
        <v>2575</v>
      </c>
      <c r="C517" s="3" t="s">
        <v>2590</v>
      </c>
      <c r="D517" s="3" t="s">
        <v>2398</v>
      </c>
      <c r="E517" s="3" t="s">
        <v>2399</v>
      </c>
      <c r="F517" s="3" t="s">
        <v>2581</v>
      </c>
      <c r="G517" s="3" t="s">
        <v>2597</v>
      </c>
      <c r="H517" s="3" t="s">
        <v>121</v>
      </c>
      <c r="I517" s="21">
        <v>-23.333858142425299</v>
      </c>
      <c r="J517" s="21">
        <v>-44.681611158873302</v>
      </c>
      <c r="K517" s="3" t="s">
        <v>2276</v>
      </c>
      <c r="L517" s="3">
        <v>2010</v>
      </c>
      <c r="M517" s="3">
        <v>2010</v>
      </c>
      <c r="N517" s="3" t="s">
        <v>2276</v>
      </c>
      <c r="O517" s="3" t="s">
        <v>2599</v>
      </c>
      <c r="P517" s="5" t="s">
        <v>5187</v>
      </c>
      <c r="Q517" s="3" t="s">
        <v>2569</v>
      </c>
    </row>
    <row r="518" spans="1:17">
      <c r="A518" s="106">
        <v>97</v>
      </c>
      <c r="B518" s="40" t="s">
        <v>2575</v>
      </c>
      <c r="C518" s="11" t="s">
        <v>2591</v>
      </c>
      <c r="D518" s="3" t="s">
        <v>2398</v>
      </c>
      <c r="E518" s="3" t="s">
        <v>2399</v>
      </c>
      <c r="F518" s="3" t="s">
        <v>2582</v>
      </c>
      <c r="G518" s="3" t="s">
        <v>2597</v>
      </c>
      <c r="H518" s="3" t="s">
        <v>121</v>
      </c>
      <c r="I518" s="21">
        <v>-23.347223385198099</v>
      </c>
      <c r="J518" s="21">
        <v>-44.725984510521798</v>
      </c>
      <c r="K518" s="3" t="s">
        <v>2276</v>
      </c>
      <c r="L518" s="3">
        <v>2010</v>
      </c>
      <c r="M518" s="3">
        <v>2010</v>
      </c>
      <c r="N518" s="3" t="s">
        <v>2276</v>
      </c>
      <c r="O518" s="3" t="s">
        <v>2599</v>
      </c>
      <c r="P518" s="5" t="s">
        <v>5187</v>
      </c>
      <c r="Q518" s="3" t="s">
        <v>2569</v>
      </c>
    </row>
    <row r="519" spans="1:17">
      <c r="A519" s="106">
        <v>97</v>
      </c>
      <c r="B519" s="40" t="s">
        <v>2575</v>
      </c>
      <c r="C519" s="3" t="s">
        <v>2592</v>
      </c>
      <c r="D519" s="3" t="s">
        <v>2398</v>
      </c>
      <c r="E519" s="3" t="s">
        <v>2399</v>
      </c>
      <c r="F519" s="3" t="s">
        <v>2583</v>
      </c>
      <c r="G519" s="3" t="s">
        <v>2598</v>
      </c>
      <c r="H519" s="3" t="s">
        <v>121</v>
      </c>
      <c r="I519" s="21">
        <v>-25.4826185698094</v>
      </c>
      <c r="J519" s="21">
        <v>-48.667356189123403</v>
      </c>
      <c r="K519" s="3" t="s">
        <v>2276</v>
      </c>
      <c r="L519" s="3">
        <v>2009</v>
      </c>
      <c r="M519" s="3">
        <v>2010</v>
      </c>
      <c r="N519" s="3" t="s">
        <v>2276</v>
      </c>
      <c r="O519" s="3" t="s">
        <v>2599</v>
      </c>
      <c r="P519" s="5" t="s">
        <v>5187</v>
      </c>
      <c r="Q519" s="3" t="s">
        <v>2569</v>
      </c>
    </row>
    <row r="520" spans="1:17">
      <c r="A520" s="106">
        <v>97</v>
      </c>
      <c r="B520" s="40" t="s">
        <v>2575</v>
      </c>
      <c r="C520" s="11" t="s">
        <v>2593</v>
      </c>
      <c r="D520" s="3" t="s">
        <v>2398</v>
      </c>
      <c r="E520" s="3" t="s">
        <v>2399</v>
      </c>
      <c r="F520" s="3" t="s">
        <v>2584</v>
      </c>
      <c r="G520" s="3" t="s">
        <v>2598</v>
      </c>
      <c r="H520" s="3" t="s">
        <v>121</v>
      </c>
      <c r="I520" s="21">
        <v>-28.286353495216002</v>
      </c>
      <c r="J520" s="21">
        <v>-48.917064133498101</v>
      </c>
      <c r="K520" s="3" t="s">
        <v>2276</v>
      </c>
      <c r="L520" s="3">
        <v>2009</v>
      </c>
      <c r="M520" s="3">
        <v>2010</v>
      </c>
      <c r="N520" s="3" t="s">
        <v>2276</v>
      </c>
      <c r="O520" s="3" t="s">
        <v>2599</v>
      </c>
      <c r="P520" s="5" t="s">
        <v>5187</v>
      </c>
      <c r="Q520" s="3" t="s">
        <v>2569</v>
      </c>
    </row>
    <row r="521" spans="1:17">
      <c r="A521" s="106">
        <v>97</v>
      </c>
      <c r="B521" s="40" t="s">
        <v>2575</v>
      </c>
      <c r="C521" s="3" t="s">
        <v>2594</v>
      </c>
      <c r="D521" s="3" t="s">
        <v>2398</v>
      </c>
      <c r="E521" s="3" t="s">
        <v>2399</v>
      </c>
      <c r="F521" s="3" t="s">
        <v>2585</v>
      </c>
      <c r="G521" s="3" t="s">
        <v>2598</v>
      </c>
      <c r="H521" s="3" t="s">
        <v>121</v>
      </c>
      <c r="I521" s="21">
        <v>-26.453789514667498</v>
      </c>
      <c r="J521" s="21">
        <v>-48.699178050726701</v>
      </c>
      <c r="K521" s="3" t="s">
        <v>2276</v>
      </c>
      <c r="L521" s="3">
        <v>2009</v>
      </c>
      <c r="M521" s="3">
        <v>2010</v>
      </c>
      <c r="N521" s="3" t="s">
        <v>2276</v>
      </c>
      <c r="O521" s="3" t="s">
        <v>2599</v>
      </c>
      <c r="P521" s="5" t="s">
        <v>5187</v>
      </c>
      <c r="Q521" s="3" t="s">
        <v>2569</v>
      </c>
    </row>
    <row r="522" spans="1:17">
      <c r="A522" s="106">
        <v>97</v>
      </c>
      <c r="B522" s="40" t="s">
        <v>2575</v>
      </c>
      <c r="C522" s="11" t="s">
        <v>2595</v>
      </c>
      <c r="D522" s="3" t="s">
        <v>2398</v>
      </c>
      <c r="E522" s="3" t="s">
        <v>2399</v>
      </c>
      <c r="F522" s="3" t="s">
        <v>2586</v>
      </c>
      <c r="G522" s="3" t="s">
        <v>2598</v>
      </c>
      <c r="H522" s="3" t="s">
        <v>121</v>
      </c>
      <c r="I522" s="21">
        <v>-28.4157535236101</v>
      </c>
      <c r="J522" s="21">
        <v>-48.786403142983403</v>
      </c>
      <c r="K522" s="3" t="s">
        <v>2276</v>
      </c>
      <c r="L522" s="3">
        <v>2009</v>
      </c>
      <c r="M522" s="3">
        <v>2010</v>
      </c>
      <c r="N522" s="3" t="s">
        <v>2276</v>
      </c>
      <c r="O522" s="3" t="s">
        <v>2599</v>
      </c>
      <c r="P522" s="5" t="s">
        <v>5187</v>
      </c>
      <c r="Q522" s="3" t="s">
        <v>2569</v>
      </c>
    </row>
    <row r="523" spans="1:17">
      <c r="A523" s="106">
        <v>97</v>
      </c>
      <c r="B523" s="40" t="s">
        <v>2575</v>
      </c>
      <c r="C523" s="3" t="s">
        <v>2596</v>
      </c>
      <c r="D523" s="3" t="s">
        <v>2398</v>
      </c>
      <c r="E523" s="3" t="s">
        <v>2399</v>
      </c>
      <c r="F523" s="3" t="s">
        <v>2587</v>
      </c>
      <c r="G523" s="3" t="s">
        <v>2598</v>
      </c>
      <c r="H523" s="3" t="s">
        <v>121</v>
      </c>
      <c r="I523" s="21">
        <v>-28.350406100560299</v>
      </c>
      <c r="J523" s="21">
        <v>-48.967841292206799</v>
      </c>
      <c r="K523" s="3" t="s">
        <v>2276</v>
      </c>
      <c r="L523" s="3">
        <v>2009</v>
      </c>
      <c r="M523" s="3">
        <v>2010</v>
      </c>
      <c r="N523" s="3" t="s">
        <v>2276</v>
      </c>
      <c r="O523" s="3" t="s">
        <v>2599</v>
      </c>
      <c r="P523" s="5" t="s">
        <v>5187</v>
      </c>
      <c r="Q523" s="3" t="s">
        <v>2569</v>
      </c>
    </row>
    <row r="524" spans="1:17" ht="37" customHeight="1">
      <c r="A524" s="106">
        <v>98</v>
      </c>
      <c r="B524" s="40" t="s">
        <v>2623</v>
      </c>
      <c r="C524" s="11" t="s">
        <v>2624</v>
      </c>
      <c r="D524" s="3" t="s">
        <v>2398</v>
      </c>
      <c r="E524" s="3" t="s">
        <v>2422</v>
      </c>
      <c r="F524" s="3" t="s">
        <v>2626</v>
      </c>
      <c r="G524" s="3" t="s">
        <v>2299</v>
      </c>
      <c r="H524" s="3" t="s">
        <v>895</v>
      </c>
      <c r="I524" s="21">
        <v>1.6850102</v>
      </c>
      <c r="J524" s="21">
        <v>117.10465499999999</v>
      </c>
      <c r="K524" s="3" t="s">
        <v>2276</v>
      </c>
      <c r="L524" s="3">
        <v>2003</v>
      </c>
      <c r="M524" s="3">
        <v>2012</v>
      </c>
      <c r="N524" s="3" t="s">
        <v>2276</v>
      </c>
      <c r="O524" s="3" t="s">
        <v>67</v>
      </c>
      <c r="P524" s="5" t="s">
        <v>5187</v>
      </c>
      <c r="Q524" s="3" t="s">
        <v>2569</v>
      </c>
    </row>
    <row r="525" spans="1:17" ht="42.5" customHeight="1">
      <c r="A525" s="106">
        <v>98</v>
      </c>
      <c r="B525" s="40" t="s">
        <v>2623</v>
      </c>
      <c r="C525" s="11" t="s">
        <v>2625</v>
      </c>
      <c r="D525" s="3" t="s">
        <v>2398</v>
      </c>
      <c r="E525" s="3" t="s">
        <v>2422</v>
      </c>
      <c r="F525" s="3" t="s">
        <v>2626</v>
      </c>
      <c r="G525" s="3" t="s">
        <v>2299</v>
      </c>
      <c r="H525" s="3" t="s">
        <v>895</v>
      </c>
      <c r="I525" s="21">
        <v>1.6850102</v>
      </c>
      <c r="J525" s="21">
        <v>117.10465499999999</v>
      </c>
      <c r="K525" s="3" t="s">
        <v>2276</v>
      </c>
      <c r="L525" s="3">
        <v>2013</v>
      </c>
      <c r="M525" s="3">
        <v>2015</v>
      </c>
      <c r="N525" s="3" t="s">
        <v>2276</v>
      </c>
      <c r="O525" s="3" t="s">
        <v>67</v>
      </c>
      <c r="P525" s="5" t="s">
        <v>5187</v>
      </c>
      <c r="Q525" s="3" t="s">
        <v>2569</v>
      </c>
    </row>
    <row r="526" spans="1:17" ht="42.5" customHeight="1">
      <c r="A526" s="106">
        <v>98</v>
      </c>
      <c r="B526" s="40" t="s">
        <v>2623</v>
      </c>
      <c r="C526" s="11" t="s">
        <v>2678</v>
      </c>
      <c r="D526" s="3" t="s">
        <v>2398</v>
      </c>
      <c r="E526" s="3" t="s">
        <v>2422</v>
      </c>
      <c r="F526" s="3" t="s">
        <v>2627</v>
      </c>
      <c r="G526" s="3" t="s">
        <v>2299</v>
      </c>
      <c r="H526" s="3" t="s">
        <v>895</v>
      </c>
      <c r="I526" s="21">
        <v>1.9464336</v>
      </c>
      <c r="J526" s="21">
        <v>116.83876100000001</v>
      </c>
      <c r="K526" s="3" t="s">
        <v>2276</v>
      </c>
      <c r="L526" s="3">
        <v>2003</v>
      </c>
      <c r="M526" s="3">
        <v>2012</v>
      </c>
      <c r="N526" s="3" t="s">
        <v>2276</v>
      </c>
      <c r="O526" s="3" t="s">
        <v>67</v>
      </c>
      <c r="P526" s="5" t="s">
        <v>5187</v>
      </c>
      <c r="Q526" s="3" t="s">
        <v>2569</v>
      </c>
    </row>
    <row r="527" spans="1:17" ht="42" customHeight="1">
      <c r="A527" s="106">
        <v>98</v>
      </c>
      <c r="B527" s="40" t="s">
        <v>2623</v>
      </c>
      <c r="C527" s="11" t="s">
        <v>2682</v>
      </c>
      <c r="D527" s="3" t="s">
        <v>2398</v>
      </c>
      <c r="E527" s="3" t="s">
        <v>2422</v>
      </c>
      <c r="F527" s="3" t="s">
        <v>2627</v>
      </c>
      <c r="G527" s="3" t="s">
        <v>2299</v>
      </c>
      <c r="H527" s="3" t="s">
        <v>895</v>
      </c>
      <c r="I527" s="21">
        <v>1.9464336</v>
      </c>
      <c r="J527" s="21">
        <v>116.83876100000001</v>
      </c>
      <c r="K527" s="3" t="s">
        <v>2276</v>
      </c>
      <c r="L527" s="3">
        <v>2013</v>
      </c>
      <c r="M527" s="3">
        <v>2015</v>
      </c>
      <c r="N527" s="3" t="s">
        <v>2276</v>
      </c>
      <c r="O527" s="3" t="s">
        <v>67</v>
      </c>
      <c r="P527" s="5" t="s">
        <v>5187</v>
      </c>
      <c r="Q527" s="3" t="s">
        <v>2569</v>
      </c>
    </row>
    <row r="528" spans="1:17" ht="41" customHeight="1">
      <c r="A528" s="106">
        <v>99</v>
      </c>
      <c r="B528" s="40" t="s">
        <v>2706</v>
      </c>
      <c r="C528" s="11" t="s">
        <v>2707</v>
      </c>
      <c r="D528" s="3" t="s">
        <v>2398</v>
      </c>
      <c r="E528" s="11" t="s">
        <v>2399</v>
      </c>
      <c r="F528" s="144" t="s">
        <v>2717</v>
      </c>
      <c r="G528" s="3" t="s">
        <v>2710</v>
      </c>
      <c r="H528" s="3" t="s">
        <v>121</v>
      </c>
      <c r="I528" s="21">
        <v>-2.1441834000000002</v>
      </c>
      <c r="J528" s="21">
        <v>-64.999331999999995</v>
      </c>
      <c r="K528" s="21">
        <v>34740</v>
      </c>
      <c r="L528" s="3">
        <v>2012</v>
      </c>
      <c r="M528" s="3">
        <v>2014</v>
      </c>
      <c r="N528" s="21">
        <f>(11532+3860)/K528</f>
        <v>0.44306275187104205</v>
      </c>
      <c r="O528" s="3" t="s">
        <v>67</v>
      </c>
      <c r="P528" s="5" t="s">
        <v>5187</v>
      </c>
      <c r="Q528" s="4" t="s">
        <v>2713</v>
      </c>
    </row>
    <row r="529" spans="1:17" ht="41" customHeight="1">
      <c r="A529" s="106">
        <v>99</v>
      </c>
      <c r="B529" s="40" t="s">
        <v>2706</v>
      </c>
      <c r="C529" s="11" t="s">
        <v>2708</v>
      </c>
      <c r="D529" s="3" t="s">
        <v>2398</v>
      </c>
      <c r="E529" s="11" t="s">
        <v>2399</v>
      </c>
      <c r="F529" s="144" t="s">
        <v>2718</v>
      </c>
      <c r="G529" s="3" t="s">
        <v>2711</v>
      </c>
      <c r="H529" s="3" t="s">
        <v>121</v>
      </c>
      <c r="I529" s="21">
        <v>-4.0921206000000003</v>
      </c>
      <c r="J529" s="21">
        <v>-55.367818100000001</v>
      </c>
      <c r="K529" s="21">
        <v>6775.1</v>
      </c>
      <c r="L529" s="3">
        <v>2010</v>
      </c>
      <c r="M529" s="3">
        <v>2010</v>
      </c>
      <c r="N529" s="3" t="s">
        <v>2276</v>
      </c>
      <c r="O529" s="3" t="s">
        <v>67</v>
      </c>
      <c r="P529" s="5" t="s">
        <v>5187</v>
      </c>
      <c r="Q529" s="4" t="s">
        <v>2714</v>
      </c>
    </row>
    <row r="530" spans="1:17" ht="41" customHeight="1">
      <c r="A530" s="106">
        <v>99</v>
      </c>
      <c r="B530" s="40" t="s">
        <v>2706</v>
      </c>
      <c r="C530" s="11" t="s">
        <v>2709</v>
      </c>
      <c r="D530" s="3" t="s">
        <v>2398</v>
      </c>
      <c r="E530" s="11" t="s">
        <v>2399</v>
      </c>
      <c r="F530" s="144" t="s">
        <v>2719</v>
      </c>
      <c r="G530" s="3" t="s">
        <v>2712</v>
      </c>
      <c r="H530" s="3" t="s">
        <v>121</v>
      </c>
      <c r="I530" s="21">
        <v>-3.1968033999999999</v>
      </c>
      <c r="J530" s="21">
        <v>-47.3195111</v>
      </c>
      <c r="K530" s="21">
        <v>19342</v>
      </c>
      <c r="L530" s="3">
        <v>2012</v>
      </c>
      <c r="M530" s="3">
        <v>2013</v>
      </c>
      <c r="N530" s="21">
        <f>91000/K530</f>
        <v>4.7047875090476685</v>
      </c>
      <c r="O530" s="3" t="s">
        <v>67</v>
      </c>
      <c r="P530" s="5" t="s">
        <v>5187</v>
      </c>
      <c r="Q530" s="4" t="s">
        <v>2715</v>
      </c>
    </row>
    <row r="531" spans="1:17" ht="41" customHeight="1">
      <c r="A531" s="106">
        <v>99</v>
      </c>
      <c r="B531" s="40" t="s">
        <v>2706</v>
      </c>
      <c r="C531" s="11" t="s">
        <v>2724</v>
      </c>
      <c r="D531" s="3" t="s">
        <v>2398</v>
      </c>
      <c r="E531" s="11" t="s">
        <v>2399</v>
      </c>
      <c r="F531" s="144" t="s">
        <v>2719</v>
      </c>
      <c r="G531" s="3" t="s">
        <v>2712</v>
      </c>
      <c r="H531" s="3" t="s">
        <v>121</v>
      </c>
      <c r="I531" s="21">
        <v>-3.1968033999999999</v>
      </c>
      <c r="J531" s="21">
        <v>-47.3195111</v>
      </c>
      <c r="K531" s="21">
        <v>19342</v>
      </c>
      <c r="L531" s="3">
        <v>2015</v>
      </c>
      <c r="M531" s="3">
        <v>2015</v>
      </c>
      <c r="N531" s="21">
        <f>91000/K531</f>
        <v>4.7047875090476685</v>
      </c>
      <c r="O531" s="3" t="s">
        <v>67</v>
      </c>
      <c r="P531" s="5" t="s">
        <v>5187</v>
      </c>
      <c r="Q531" s="4" t="s">
        <v>2715</v>
      </c>
    </row>
    <row r="532" spans="1:17" ht="42.5" customHeight="1">
      <c r="A532" s="106">
        <v>100</v>
      </c>
      <c r="B532" s="40" t="s">
        <v>2705</v>
      </c>
      <c r="C532" s="3" t="s">
        <v>2746</v>
      </c>
      <c r="D532" s="3" t="s">
        <v>2398</v>
      </c>
      <c r="E532" s="11" t="s">
        <v>2399</v>
      </c>
      <c r="F532" s="4" t="s">
        <v>2748</v>
      </c>
      <c r="G532" s="3" t="s">
        <v>2276</v>
      </c>
      <c r="H532" s="3" t="s">
        <v>121</v>
      </c>
      <c r="I532" s="21">
        <f>-2 - 0.733333333333333</f>
        <v>-2.7333333333333329</v>
      </c>
      <c r="J532" s="21">
        <f>-55 - (41/60)</f>
        <v>-55.68333333333333</v>
      </c>
      <c r="K532" s="21" t="s">
        <v>2276</v>
      </c>
      <c r="L532" s="3">
        <v>1997</v>
      </c>
      <c r="M532" s="3">
        <v>1998</v>
      </c>
      <c r="N532" s="3" t="s">
        <v>2276</v>
      </c>
      <c r="O532" s="3" t="s">
        <v>67</v>
      </c>
      <c r="P532" s="5" t="s">
        <v>5187</v>
      </c>
      <c r="Q532" s="3"/>
    </row>
    <row r="533" spans="1:17" ht="38" customHeight="1">
      <c r="A533" s="106">
        <v>101</v>
      </c>
      <c r="B533" s="40" t="s">
        <v>2750</v>
      </c>
      <c r="C533" s="3" t="s">
        <v>2751</v>
      </c>
      <c r="D533" s="3" t="s">
        <v>2398</v>
      </c>
      <c r="E533" s="11" t="s">
        <v>2399</v>
      </c>
      <c r="F533" s="3" t="s">
        <v>2752</v>
      </c>
      <c r="G533" s="3" t="s">
        <v>2276</v>
      </c>
      <c r="H533" s="3" t="s">
        <v>2753</v>
      </c>
      <c r="I533" s="21">
        <v>-11.293819600000001</v>
      </c>
      <c r="J533" s="21">
        <v>159.7935248</v>
      </c>
      <c r="K533" s="21">
        <v>25</v>
      </c>
      <c r="L533" s="3">
        <v>2006</v>
      </c>
      <c r="M533" s="3">
        <v>2007</v>
      </c>
      <c r="N533" s="3">
        <f>860/K533</f>
        <v>34.4</v>
      </c>
      <c r="O533" s="3" t="s">
        <v>67</v>
      </c>
      <c r="P533" s="5" t="s">
        <v>5187</v>
      </c>
      <c r="Q533" s="3" t="s">
        <v>2754</v>
      </c>
    </row>
    <row r="534" spans="1:17" ht="39" customHeight="1">
      <c r="A534" s="106">
        <v>101</v>
      </c>
      <c r="B534" s="41" t="s">
        <v>2755</v>
      </c>
      <c r="C534" s="3" t="s">
        <v>2756</v>
      </c>
      <c r="D534" s="3" t="s">
        <v>2398</v>
      </c>
      <c r="E534" s="11" t="s">
        <v>2399</v>
      </c>
      <c r="F534" s="3" t="s">
        <v>2752</v>
      </c>
      <c r="G534" s="3" t="s">
        <v>2276</v>
      </c>
      <c r="H534" s="3" t="s">
        <v>2753</v>
      </c>
      <c r="I534" s="21">
        <v>-11.293819600000001</v>
      </c>
      <c r="J534" s="21">
        <v>159.7935248</v>
      </c>
      <c r="K534" s="21">
        <v>25</v>
      </c>
      <c r="L534" s="3">
        <v>1965</v>
      </c>
      <c r="M534" s="3">
        <v>1966</v>
      </c>
      <c r="N534" s="3">
        <f>860/K534</f>
        <v>34.4</v>
      </c>
      <c r="O534" s="3" t="s">
        <v>67</v>
      </c>
      <c r="P534" s="5" t="s">
        <v>5187</v>
      </c>
      <c r="Q534" s="3" t="s">
        <v>2754</v>
      </c>
    </row>
    <row r="535" spans="1:17" ht="46" customHeight="1">
      <c r="A535" s="106">
        <v>102</v>
      </c>
      <c r="B535" s="40" t="s">
        <v>2762</v>
      </c>
      <c r="C535" s="3" t="s">
        <v>2763</v>
      </c>
      <c r="D535" s="3" t="s">
        <v>2398</v>
      </c>
      <c r="E535" s="11" t="s">
        <v>2399</v>
      </c>
      <c r="F535" s="144" t="s">
        <v>2765</v>
      </c>
      <c r="G535" s="3" t="s">
        <v>2764</v>
      </c>
      <c r="H535" s="3" t="s">
        <v>422</v>
      </c>
      <c r="I535" s="21">
        <f>-14-(0.133333333333333)</f>
        <v>-14.133333333333333</v>
      </c>
      <c r="J535" s="21">
        <f>31 + (43/60)</f>
        <v>31.716666666666665</v>
      </c>
      <c r="K535" s="21">
        <v>1.1160000000000001</v>
      </c>
      <c r="L535" s="3">
        <v>2008</v>
      </c>
      <c r="M535" s="3">
        <v>2008</v>
      </c>
      <c r="N535" s="21" t="s">
        <v>2276</v>
      </c>
      <c r="O535" s="3" t="s">
        <v>67</v>
      </c>
      <c r="P535" s="5" t="s">
        <v>5187</v>
      </c>
      <c r="Q535" s="3"/>
    </row>
    <row r="536" spans="1:17" ht="46" customHeight="1">
      <c r="A536" s="106">
        <v>103</v>
      </c>
      <c r="B536" s="40" t="s">
        <v>2768</v>
      </c>
      <c r="C536" s="3" t="s">
        <v>2769</v>
      </c>
      <c r="D536" s="11" t="s">
        <v>2416</v>
      </c>
      <c r="E536" s="11" t="s">
        <v>2420</v>
      </c>
      <c r="F536" s="3" t="s">
        <v>2777</v>
      </c>
      <c r="G536" s="3" t="s">
        <v>2782</v>
      </c>
      <c r="H536" s="3" t="s">
        <v>580</v>
      </c>
      <c r="I536" s="21">
        <v>6.9071277999999996</v>
      </c>
      <c r="J536" s="21">
        <v>81.554174399999994</v>
      </c>
      <c r="K536" s="3" t="s">
        <v>2276</v>
      </c>
      <c r="L536" s="3">
        <v>2011</v>
      </c>
      <c r="M536" s="3">
        <v>2012</v>
      </c>
      <c r="N536" s="21" t="s">
        <v>2276</v>
      </c>
      <c r="O536" s="3" t="s">
        <v>67</v>
      </c>
      <c r="P536" s="5" t="s">
        <v>5187</v>
      </c>
      <c r="Q536" s="4" t="s">
        <v>2790</v>
      </c>
    </row>
    <row r="537" spans="1:17" ht="43.5">
      <c r="A537" s="106">
        <v>103</v>
      </c>
      <c r="B537" s="40" t="s">
        <v>2768</v>
      </c>
      <c r="C537" s="3" t="s">
        <v>2773</v>
      </c>
      <c r="D537" s="11" t="s">
        <v>2416</v>
      </c>
      <c r="E537" s="11" t="s">
        <v>2420</v>
      </c>
      <c r="F537" s="3" t="s">
        <v>2778</v>
      </c>
      <c r="G537" s="3" t="s">
        <v>2782</v>
      </c>
      <c r="H537" s="3" t="s">
        <v>580</v>
      </c>
      <c r="I537" s="21">
        <v>6.4404225000000004</v>
      </c>
      <c r="J537" s="21">
        <v>81.133262299999998</v>
      </c>
      <c r="K537" s="3" t="s">
        <v>2276</v>
      </c>
      <c r="L537" s="3">
        <v>2011</v>
      </c>
      <c r="M537" s="3">
        <v>2012</v>
      </c>
      <c r="N537" s="21" t="s">
        <v>2276</v>
      </c>
      <c r="O537" s="3" t="s">
        <v>67</v>
      </c>
      <c r="P537" s="5" t="s">
        <v>5187</v>
      </c>
      <c r="Q537" s="4" t="s">
        <v>2790</v>
      </c>
    </row>
    <row r="538" spans="1:17" ht="43.5">
      <c r="A538" s="106">
        <v>103</v>
      </c>
      <c r="B538" s="40" t="s">
        <v>2768</v>
      </c>
      <c r="C538" s="3" t="s">
        <v>2774</v>
      </c>
      <c r="D538" s="11" t="s">
        <v>2416</v>
      </c>
      <c r="E538" s="11" t="s">
        <v>2420</v>
      </c>
      <c r="F538" s="3" t="s">
        <v>2779</v>
      </c>
      <c r="G538" s="3" t="s">
        <v>2782</v>
      </c>
      <c r="H538" s="3" t="s">
        <v>580</v>
      </c>
      <c r="I538" s="21">
        <v>6.7578582000000003</v>
      </c>
      <c r="J538" s="21">
        <v>81.239112000000006</v>
      </c>
      <c r="K538" s="3" t="s">
        <v>2276</v>
      </c>
      <c r="L538" s="3">
        <v>2011</v>
      </c>
      <c r="M538" s="3">
        <v>2012</v>
      </c>
      <c r="N538" s="21" t="s">
        <v>2276</v>
      </c>
      <c r="O538" s="3" t="s">
        <v>67</v>
      </c>
      <c r="P538" s="5" t="s">
        <v>5187</v>
      </c>
      <c r="Q538" s="4" t="s">
        <v>2790</v>
      </c>
    </row>
    <row r="539" spans="1:17" ht="43.5">
      <c r="A539" s="106">
        <v>103</v>
      </c>
      <c r="B539" s="40" t="s">
        <v>2768</v>
      </c>
      <c r="C539" s="3" t="s">
        <v>2775</v>
      </c>
      <c r="D539" s="11" t="s">
        <v>2416</v>
      </c>
      <c r="E539" s="11" t="s">
        <v>2420</v>
      </c>
      <c r="F539" s="3" t="s">
        <v>2780</v>
      </c>
      <c r="G539" s="3" t="s">
        <v>2782</v>
      </c>
      <c r="H539" s="3" t="s">
        <v>580</v>
      </c>
      <c r="I539" s="21">
        <v>6.4144278999999997</v>
      </c>
      <c r="J539" s="21">
        <v>81.327332100000007</v>
      </c>
      <c r="K539" s="3" t="s">
        <v>2276</v>
      </c>
      <c r="L539" s="3">
        <v>2011</v>
      </c>
      <c r="M539" s="3">
        <v>2012</v>
      </c>
      <c r="N539" s="21" t="s">
        <v>2276</v>
      </c>
      <c r="O539" s="3" t="s">
        <v>67</v>
      </c>
      <c r="P539" s="5" t="s">
        <v>5187</v>
      </c>
      <c r="Q539" s="4" t="s">
        <v>2790</v>
      </c>
    </row>
    <row r="540" spans="1:17" ht="43.5">
      <c r="A540" s="106">
        <v>103</v>
      </c>
      <c r="B540" s="40" t="s">
        <v>2768</v>
      </c>
      <c r="C540" s="3" t="s">
        <v>2776</v>
      </c>
      <c r="D540" s="11" t="s">
        <v>2416</v>
      </c>
      <c r="E540" s="11" t="s">
        <v>2420</v>
      </c>
      <c r="F540" s="3" t="s">
        <v>2781</v>
      </c>
      <c r="G540" s="3" t="s">
        <v>2782</v>
      </c>
      <c r="H540" s="3" t="s">
        <v>580</v>
      </c>
      <c r="I540" s="21">
        <v>6.3369369999999998</v>
      </c>
      <c r="J540" s="21">
        <v>80.9184774</v>
      </c>
      <c r="K540" s="3" t="s">
        <v>2276</v>
      </c>
      <c r="L540" s="3">
        <v>2011</v>
      </c>
      <c r="M540" s="3">
        <v>2012</v>
      </c>
      <c r="N540" s="21" t="s">
        <v>2276</v>
      </c>
      <c r="O540" s="3" t="s">
        <v>67</v>
      </c>
      <c r="P540" s="5" t="s">
        <v>5187</v>
      </c>
      <c r="Q540" s="4" t="s">
        <v>2790</v>
      </c>
    </row>
    <row r="541" spans="1:17" ht="35.5" customHeight="1">
      <c r="A541" s="106">
        <v>104</v>
      </c>
      <c r="B541" s="40" t="s">
        <v>2795</v>
      </c>
      <c r="C541" s="11" t="s">
        <v>2796</v>
      </c>
      <c r="D541" s="11" t="s">
        <v>2398</v>
      </c>
      <c r="E541" s="11" t="s">
        <v>2400</v>
      </c>
      <c r="F541" s="3" t="s">
        <v>2276</v>
      </c>
      <c r="G541" s="3" t="s">
        <v>2797</v>
      </c>
      <c r="H541" s="3" t="s">
        <v>1950</v>
      </c>
      <c r="I541" s="21">
        <v>4.95</v>
      </c>
      <c r="J541" s="21">
        <f>AVERAGE((7+(44/60)), (38  + (36/60)))</f>
        <v>23.166666666666668</v>
      </c>
      <c r="K541" s="21">
        <v>5426</v>
      </c>
      <c r="L541" s="3">
        <v>1987</v>
      </c>
      <c r="M541" s="3">
        <v>1987</v>
      </c>
      <c r="N541" s="21">
        <f>300000/K541</f>
        <v>55.289347585698486</v>
      </c>
      <c r="O541" s="3" t="s">
        <v>67</v>
      </c>
      <c r="P541" s="5" t="s">
        <v>5187</v>
      </c>
      <c r="Q541" s="3" t="s">
        <v>2798</v>
      </c>
    </row>
    <row r="542" spans="1:17" ht="32" customHeight="1">
      <c r="A542" s="106">
        <v>104</v>
      </c>
      <c r="B542" s="40" t="s">
        <v>2795</v>
      </c>
      <c r="C542" s="11" t="s">
        <v>2799</v>
      </c>
      <c r="D542" s="11" t="s">
        <v>2398</v>
      </c>
      <c r="E542" s="11" t="s">
        <v>2400</v>
      </c>
      <c r="F542" s="3" t="s">
        <v>2276</v>
      </c>
      <c r="G542" s="3" t="s">
        <v>2797</v>
      </c>
      <c r="H542" s="3" t="s">
        <v>1950</v>
      </c>
      <c r="I542" s="21">
        <v>4.95</v>
      </c>
      <c r="J542" s="21">
        <f t="shared" ref="J542:J543" si="3">AVERAGE((7+(44/60)), (38  + (36/60)))</f>
        <v>23.166666666666668</v>
      </c>
      <c r="K542" s="21">
        <v>5426</v>
      </c>
      <c r="L542" s="3">
        <v>1995</v>
      </c>
      <c r="M542" s="3">
        <v>1995</v>
      </c>
      <c r="N542" s="21">
        <f>400000/K542</f>
        <v>73.719130114264658</v>
      </c>
      <c r="O542" s="3" t="s">
        <v>67</v>
      </c>
      <c r="P542" s="5" t="s">
        <v>5187</v>
      </c>
      <c r="Q542" s="3" t="s">
        <v>2798</v>
      </c>
    </row>
    <row r="543" spans="1:17" ht="30" customHeight="1">
      <c r="A543" s="106">
        <v>104</v>
      </c>
      <c r="B543" s="40" t="s">
        <v>2795</v>
      </c>
      <c r="C543" s="11" t="s">
        <v>2800</v>
      </c>
      <c r="D543" s="11" t="s">
        <v>2398</v>
      </c>
      <c r="E543" s="11" t="s">
        <v>2400</v>
      </c>
      <c r="F543" s="3" t="s">
        <v>2276</v>
      </c>
      <c r="G543" s="3" t="s">
        <v>2797</v>
      </c>
      <c r="H543" s="3" t="s">
        <v>1950</v>
      </c>
      <c r="I543" s="21">
        <v>4.95</v>
      </c>
      <c r="J543" s="21">
        <f t="shared" si="3"/>
        <v>23.166666666666668</v>
      </c>
      <c r="K543" s="21">
        <v>5426</v>
      </c>
      <c r="L543" s="3">
        <v>2003</v>
      </c>
      <c r="M543" s="3">
        <v>2003</v>
      </c>
      <c r="N543" s="21">
        <f>500000/K543</f>
        <v>92.148912642830808</v>
      </c>
      <c r="O543" s="3" t="s">
        <v>67</v>
      </c>
      <c r="P543" s="5" t="s">
        <v>5187</v>
      </c>
      <c r="Q543" s="3" t="s">
        <v>2798</v>
      </c>
    </row>
    <row r="544" spans="1:17" ht="42.5" customHeight="1">
      <c r="A544" s="106">
        <v>105</v>
      </c>
      <c r="B544" s="40" t="s">
        <v>2815</v>
      </c>
      <c r="C544" s="11" t="s">
        <v>2810</v>
      </c>
      <c r="D544" s="11" t="s">
        <v>2398</v>
      </c>
      <c r="E544" s="11" t="s">
        <v>2399</v>
      </c>
      <c r="F544" s="3" t="s">
        <v>2816</v>
      </c>
      <c r="G544" s="3" t="s">
        <v>2797</v>
      </c>
      <c r="H544" s="3" t="s">
        <v>1950</v>
      </c>
      <c r="I544" s="21">
        <v>4.9708218000000004</v>
      </c>
      <c r="J544" s="21">
        <v>38.218069399999997</v>
      </c>
      <c r="K544" s="3" t="s">
        <v>2276</v>
      </c>
      <c r="L544" s="3">
        <v>2001</v>
      </c>
      <c r="M544" s="3">
        <v>2001</v>
      </c>
      <c r="N544" s="3" t="s">
        <v>2276</v>
      </c>
      <c r="O544" s="3" t="s">
        <v>67</v>
      </c>
      <c r="P544" s="5" t="s">
        <v>5187</v>
      </c>
      <c r="Q544" s="3" t="s">
        <v>2214</v>
      </c>
    </row>
    <row r="545" spans="1:17" ht="45.5" customHeight="1">
      <c r="A545" s="106">
        <v>105</v>
      </c>
      <c r="B545" s="40" t="s">
        <v>2815</v>
      </c>
      <c r="C545" s="11" t="s">
        <v>2811</v>
      </c>
      <c r="D545" s="11" t="s">
        <v>2398</v>
      </c>
      <c r="E545" s="11" t="s">
        <v>2399</v>
      </c>
      <c r="F545" s="3" t="s">
        <v>2817</v>
      </c>
      <c r="G545" s="3" t="s">
        <v>2797</v>
      </c>
      <c r="H545" s="3" t="s">
        <v>1950</v>
      </c>
      <c r="I545" s="21">
        <v>4.8764811999999997</v>
      </c>
      <c r="J545" s="21">
        <v>38.588563100000002</v>
      </c>
      <c r="K545" s="3" t="s">
        <v>2276</v>
      </c>
      <c r="L545" s="3">
        <v>2001</v>
      </c>
      <c r="M545" s="3">
        <v>2001</v>
      </c>
      <c r="N545" s="3" t="s">
        <v>2276</v>
      </c>
      <c r="O545" s="3" t="s">
        <v>67</v>
      </c>
      <c r="P545" s="5" t="s">
        <v>5187</v>
      </c>
      <c r="Q545" s="3" t="s">
        <v>2214</v>
      </c>
    </row>
    <row r="546" spans="1:17" ht="35.5" customHeight="1">
      <c r="A546" s="106">
        <v>105</v>
      </c>
      <c r="B546" s="40" t="s">
        <v>2815</v>
      </c>
      <c r="C546" s="11" t="s">
        <v>2812</v>
      </c>
      <c r="D546" s="11" t="s">
        <v>2398</v>
      </c>
      <c r="E546" s="11" t="s">
        <v>2399</v>
      </c>
      <c r="F546" s="3" t="s">
        <v>2818</v>
      </c>
      <c r="G546" s="3" t="s">
        <v>2797</v>
      </c>
      <c r="H546" s="3" t="s">
        <v>1950</v>
      </c>
      <c r="I546" s="21">
        <v>4.8590485000000001</v>
      </c>
      <c r="J546" s="21">
        <v>39.156598199999998</v>
      </c>
      <c r="K546" s="3" t="s">
        <v>2276</v>
      </c>
      <c r="L546" s="3">
        <v>2001</v>
      </c>
      <c r="M546" s="3">
        <v>2001</v>
      </c>
      <c r="N546" s="3" t="s">
        <v>2276</v>
      </c>
      <c r="O546" s="3" t="s">
        <v>67</v>
      </c>
      <c r="P546" s="5" t="s">
        <v>5187</v>
      </c>
      <c r="Q546" s="3" t="s">
        <v>2214</v>
      </c>
    </row>
    <row r="547" spans="1:17" ht="34.5" customHeight="1">
      <c r="A547" s="106">
        <v>105</v>
      </c>
      <c r="B547" s="40" t="s">
        <v>2815</v>
      </c>
      <c r="C547" s="11" t="s">
        <v>2813</v>
      </c>
      <c r="D547" s="11" t="s">
        <v>2398</v>
      </c>
      <c r="E547" s="11" t="s">
        <v>2399</v>
      </c>
      <c r="F547" s="3" t="s">
        <v>2819</v>
      </c>
      <c r="G547" s="3" t="s">
        <v>2797</v>
      </c>
      <c r="H547" s="3" t="s">
        <v>1950</v>
      </c>
      <c r="I547" s="21">
        <v>4.3661963000000004</v>
      </c>
      <c r="J547" s="21">
        <v>38.277742799999999</v>
      </c>
      <c r="K547" s="3" t="s">
        <v>2276</v>
      </c>
      <c r="L547" s="3">
        <v>2001</v>
      </c>
      <c r="M547" s="3">
        <v>2001</v>
      </c>
      <c r="N547" s="3" t="s">
        <v>2276</v>
      </c>
      <c r="O547" s="3" t="s">
        <v>67</v>
      </c>
      <c r="P547" s="5" t="s">
        <v>5187</v>
      </c>
      <c r="Q547" s="3" t="s">
        <v>2214</v>
      </c>
    </row>
    <row r="548" spans="1:17" ht="37" customHeight="1">
      <c r="A548" s="106">
        <v>105</v>
      </c>
      <c r="B548" s="40" t="s">
        <v>2815</v>
      </c>
      <c r="C548" s="11" t="s">
        <v>2814</v>
      </c>
      <c r="D548" s="11" t="s">
        <v>2398</v>
      </c>
      <c r="E548" s="11" t="s">
        <v>2399</v>
      </c>
      <c r="F548" s="3" t="s">
        <v>2820</v>
      </c>
      <c r="G548" s="3" t="s">
        <v>2797</v>
      </c>
      <c r="H548" s="3" t="s">
        <v>1950</v>
      </c>
      <c r="I548" s="21">
        <v>3.9142096999999998</v>
      </c>
      <c r="J548" s="21">
        <v>38.508583199999997</v>
      </c>
      <c r="K548" s="3" t="s">
        <v>2276</v>
      </c>
      <c r="L548" s="3">
        <v>2001</v>
      </c>
      <c r="M548" s="3">
        <v>2001</v>
      </c>
      <c r="N548" s="3" t="s">
        <v>2276</v>
      </c>
      <c r="O548" s="3" t="s">
        <v>67</v>
      </c>
      <c r="P548" s="5" t="s">
        <v>5187</v>
      </c>
      <c r="Q548" s="3" t="s">
        <v>2214</v>
      </c>
    </row>
    <row r="549" spans="1:17" ht="48" customHeight="1">
      <c r="A549" s="106">
        <v>105</v>
      </c>
      <c r="B549" s="40" t="s">
        <v>2815</v>
      </c>
      <c r="C549" s="11" t="s">
        <v>2821</v>
      </c>
      <c r="D549" s="11" t="s">
        <v>2398</v>
      </c>
      <c r="E549" s="11" t="s">
        <v>2399</v>
      </c>
      <c r="F549" s="3" t="s">
        <v>2276</v>
      </c>
      <c r="G549" s="3" t="s">
        <v>2797</v>
      </c>
      <c r="H549" s="3" t="s">
        <v>1950</v>
      </c>
      <c r="I549" s="21">
        <f>AVERAGE(I544:I548)</f>
        <v>4.5973515000000003</v>
      </c>
      <c r="J549" s="21">
        <f>AVERAGE(J544:J548)</f>
        <v>38.549911340000001</v>
      </c>
      <c r="K549" s="3" t="s">
        <v>2276</v>
      </c>
      <c r="L549" s="3">
        <v>1970</v>
      </c>
      <c r="M549" s="3">
        <v>1975</v>
      </c>
      <c r="N549" s="3" t="s">
        <v>2276</v>
      </c>
      <c r="O549" s="3" t="s">
        <v>67</v>
      </c>
      <c r="P549" s="5" t="s">
        <v>5187</v>
      </c>
      <c r="Q549" s="4" t="s">
        <v>2838</v>
      </c>
    </row>
    <row r="550" spans="1:17" ht="42.5" customHeight="1">
      <c r="A550" s="106">
        <v>106</v>
      </c>
      <c r="B550" s="40" t="s">
        <v>2841</v>
      </c>
      <c r="C550" s="11" t="s">
        <v>2839</v>
      </c>
      <c r="D550" s="11" t="s">
        <v>2398</v>
      </c>
      <c r="E550" s="11" t="s">
        <v>2400</v>
      </c>
      <c r="F550" s="3" t="s">
        <v>2843</v>
      </c>
      <c r="G550" s="3" t="s">
        <v>2276</v>
      </c>
      <c r="H550" s="3" t="s">
        <v>2842</v>
      </c>
      <c r="I550" s="21">
        <v>-7.1583851000000003</v>
      </c>
      <c r="J550" s="21">
        <v>146.91341019999999</v>
      </c>
      <c r="K550" s="3" t="s">
        <v>2276</v>
      </c>
      <c r="L550" s="3">
        <v>1999</v>
      </c>
      <c r="M550" s="3">
        <v>1999</v>
      </c>
      <c r="N550" s="3" t="s">
        <v>2276</v>
      </c>
      <c r="O550" s="3" t="s">
        <v>67</v>
      </c>
      <c r="P550" s="5" t="s">
        <v>5187</v>
      </c>
      <c r="Q550" s="3" t="s">
        <v>2214</v>
      </c>
    </row>
    <row r="551" spans="1:17" ht="46.5" customHeight="1">
      <c r="A551" s="106">
        <v>106</v>
      </c>
      <c r="B551" s="40" t="s">
        <v>2841</v>
      </c>
      <c r="C551" s="11" t="s">
        <v>2840</v>
      </c>
      <c r="D551" s="11" t="s">
        <v>2398</v>
      </c>
      <c r="E551" s="11" t="s">
        <v>2400</v>
      </c>
      <c r="F551" s="3" t="s">
        <v>2843</v>
      </c>
      <c r="G551" s="3" t="s">
        <v>2276</v>
      </c>
      <c r="H551" s="3" t="s">
        <v>2842</v>
      </c>
      <c r="I551" s="21">
        <v>-7.1583851000000003</v>
      </c>
      <c r="J551" s="21">
        <v>146.91341019999999</v>
      </c>
      <c r="K551" s="3" t="s">
        <v>2276</v>
      </c>
      <c r="L551" s="3">
        <v>2011</v>
      </c>
      <c r="M551" s="3">
        <v>2011</v>
      </c>
      <c r="N551" s="3" t="s">
        <v>2276</v>
      </c>
      <c r="O551" s="3" t="s">
        <v>67</v>
      </c>
      <c r="P551" s="5" t="s">
        <v>5187</v>
      </c>
      <c r="Q551" s="3" t="s">
        <v>2214</v>
      </c>
    </row>
    <row r="552" spans="1:17" ht="47" customHeight="1">
      <c r="A552" s="106">
        <v>107</v>
      </c>
      <c r="B552" s="40" t="s">
        <v>2849</v>
      </c>
      <c r="C552" s="3" t="s">
        <v>2848</v>
      </c>
      <c r="D552" s="11" t="s">
        <v>2398</v>
      </c>
      <c r="E552" s="11" t="s">
        <v>2399</v>
      </c>
      <c r="F552" s="3" t="s">
        <v>2276</v>
      </c>
      <c r="G552" s="3" t="s">
        <v>2850</v>
      </c>
      <c r="H552" s="3" t="s">
        <v>1143</v>
      </c>
      <c r="I552" s="21">
        <v>6.75</v>
      </c>
      <c r="J552" s="21">
        <f>-2 -(0.05)</f>
        <v>-2.0499999999999998</v>
      </c>
      <c r="K552" s="149">
        <v>2411</v>
      </c>
      <c r="L552" s="8">
        <v>2010</v>
      </c>
      <c r="M552" s="8">
        <v>2010</v>
      </c>
      <c r="N552" s="21">
        <f>139174/K552</f>
        <v>57.724595603484033</v>
      </c>
      <c r="O552" s="3" t="s">
        <v>67</v>
      </c>
      <c r="P552" s="5" t="s">
        <v>5187</v>
      </c>
      <c r="Q552" s="4" t="s">
        <v>2851</v>
      </c>
    </row>
    <row r="553" spans="1:17" ht="44.5" customHeight="1">
      <c r="A553" s="106">
        <v>108</v>
      </c>
      <c r="B553" s="40" t="s">
        <v>2862</v>
      </c>
      <c r="C553" s="3" t="s">
        <v>2863</v>
      </c>
      <c r="D553" s="3" t="s">
        <v>2398</v>
      </c>
      <c r="E553" s="3" t="s">
        <v>2637</v>
      </c>
      <c r="F553" s="3" t="s">
        <v>2864</v>
      </c>
      <c r="G553" s="3" t="s">
        <v>2865</v>
      </c>
      <c r="H553" s="3" t="s">
        <v>895</v>
      </c>
      <c r="I553" s="21">
        <v>0.66639459999999995</v>
      </c>
      <c r="J553" s="21">
        <v>100.14809409999999</v>
      </c>
      <c r="K553" s="3" t="s">
        <v>2276</v>
      </c>
      <c r="L553" s="3">
        <v>2002</v>
      </c>
      <c r="M553" s="3">
        <v>2002</v>
      </c>
      <c r="N553" s="3">
        <v>66</v>
      </c>
      <c r="O553" s="3" t="s">
        <v>2642</v>
      </c>
      <c r="P553" s="5" t="s">
        <v>5187</v>
      </c>
      <c r="Q553" s="4" t="s">
        <v>2798</v>
      </c>
    </row>
    <row r="554" spans="1:17" ht="55.5" customHeight="1">
      <c r="A554" s="106">
        <v>108</v>
      </c>
      <c r="B554" s="40" t="s">
        <v>2862</v>
      </c>
      <c r="C554" s="3" t="s">
        <v>2870</v>
      </c>
      <c r="D554" s="3" t="s">
        <v>2398</v>
      </c>
      <c r="E554" s="3" t="s">
        <v>2637</v>
      </c>
      <c r="F554" s="3" t="s">
        <v>2864</v>
      </c>
      <c r="G554" s="3" t="s">
        <v>2865</v>
      </c>
      <c r="H554" s="3" t="s">
        <v>895</v>
      </c>
      <c r="I554" s="21">
        <v>0.66639459999999995</v>
      </c>
      <c r="J554" s="21">
        <v>100.14809409999999</v>
      </c>
      <c r="K554" s="3" t="s">
        <v>2276</v>
      </c>
      <c r="L554" s="3">
        <v>1945</v>
      </c>
      <c r="M554" s="3">
        <v>1965</v>
      </c>
      <c r="N554" s="3" t="s">
        <v>2276</v>
      </c>
      <c r="O554" s="3" t="s">
        <v>2642</v>
      </c>
      <c r="P554" s="5" t="s">
        <v>5187</v>
      </c>
      <c r="Q554" s="4" t="s">
        <v>2869</v>
      </c>
    </row>
    <row r="555" spans="1:17" ht="40" customHeight="1">
      <c r="A555" s="106">
        <v>109</v>
      </c>
      <c r="B555" s="40" t="s">
        <v>2880</v>
      </c>
      <c r="C555" s="3" t="s">
        <v>2881</v>
      </c>
      <c r="D555" s="3" t="s">
        <v>2398</v>
      </c>
      <c r="E555" s="3" t="s">
        <v>2399</v>
      </c>
      <c r="F555" s="3" t="s">
        <v>2276</v>
      </c>
      <c r="G555" s="3" t="s">
        <v>2882</v>
      </c>
      <c r="H555" s="3" t="s">
        <v>88</v>
      </c>
      <c r="I555" s="21">
        <f>AVERAGE(26 + (22/60), 28 + (8/60))</f>
        <v>27.25</v>
      </c>
      <c r="J555" s="21">
        <f>AVERAGE(89 + (36/60), 97 + (19/60))</f>
        <v>93.458333333333329</v>
      </c>
      <c r="K555" s="3" t="s">
        <v>2276</v>
      </c>
      <c r="L555" s="22">
        <v>2010</v>
      </c>
      <c r="M555" s="22">
        <v>2015</v>
      </c>
      <c r="N555" s="3" t="s">
        <v>2276</v>
      </c>
      <c r="O555" s="3" t="s">
        <v>2642</v>
      </c>
      <c r="P555" s="5" t="s">
        <v>5187</v>
      </c>
      <c r="Q555" s="4" t="s">
        <v>3017</v>
      </c>
    </row>
    <row r="556" spans="1:17" ht="34" customHeight="1">
      <c r="A556" s="106">
        <v>110</v>
      </c>
      <c r="B556" s="40" t="s">
        <v>2885</v>
      </c>
      <c r="C556" s="11" t="s">
        <v>2886</v>
      </c>
      <c r="D556" s="3" t="s">
        <v>2398</v>
      </c>
      <c r="E556" s="3" t="s">
        <v>2399</v>
      </c>
      <c r="F556" s="3" t="s">
        <v>2890</v>
      </c>
      <c r="G556" s="3" t="s">
        <v>2276</v>
      </c>
      <c r="H556" s="3" t="s">
        <v>2889</v>
      </c>
      <c r="I556" s="21">
        <v>16.478462</v>
      </c>
      <c r="J556" s="21">
        <v>-88.611639800000006</v>
      </c>
      <c r="K556" s="3" t="s">
        <v>2276</v>
      </c>
      <c r="L556" s="3">
        <v>2016</v>
      </c>
      <c r="M556" s="3">
        <v>2018</v>
      </c>
      <c r="N556" s="3" t="s">
        <v>2276</v>
      </c>
      <c r="O556" s="3" t="s">
        <v>67</v>
      </c>
      <c r="P556" s="5" t="s">
        <v>5187</v>
      </c>
      <c r="Q556" s="3" t="s">
        <v>2893</v>
      </c>
    </row>
    <row r="557" spans="1:17" ht="33.5" customHeight="1">
      <c r="A557" s="106">
        <v>110</v>
      </c>
      <c r="B557" s="40" t="s">
        <v>2885</v>
      </c>
      <c r="C557" s="11" t="s">
        <v>2887</v>
      </c>
      <c r="D557" s="3" t="s">
        <v>2398</v>
      </c>
      <c r="E557" s="3" t="s">
        <v>2399</v>
      </c>
      <c r="F557" s="3" t="s">
        <v>2891</v>
      </c>
      <c r="G557" s="3" t="s">
        <v>2276</v>
      </c>
      <c r="H557" s="3" t="s">
        <v>2889</v>
      </c>
      <c r="I557" s="21">
        <f>16 + (31/60)</f>
        <v>16.516666666666666</v>
      </c>
      <c r="J557" s="21">
        <f>-88 - (0.633333333333333)</f>
        <v>-88.63333333333334</v>
      </c>
      <c r="K557" s="3" t="s">
        <v>2276</v>
      </c>
      <c r="L557" s="3">
        <v>2016</v>
      </c>
      <c r="M557" s="3">
        <v>2018</v>
      </c>
      <c r="N557" s="3" t="s">
        <v>2276</v>
      </c>
      <c r="O557" s="3" t="s">
        <v>67</v>
      </c>
      <c r="P557" s="5" t="s">
        <v>5187</v>
      </c>
      <c r="Q557" s="3" t="s">
        <v>2893</v>
      </c>
    </row>
    <row r="558" spans="1:17" ht="35.5" customHeight="1">
      <c r="A558" s="106">
        <v>110</v>
      </c>
      <c r="B558" s="40" t="s">
        <v>2885</v>
      </c>
      <c r="C558" s="11" t="s">
        <v>2888</v>
      </c>
      <c r="D558" s="3" t="s">
        <v>2398</v>
      </c>
      <c r="E558" s="3" t="s">
        <v>2399</v>
      </c>
      <c r="F558" s="3" t="s">
        <v>2892</v>
      </c>
      <c r="G558" s="3" t="s">
        <v>2276</v>
      </c>
      <c r="H558" s="3" t="s">
        <v>2889</v>
      </c>
      <c r="I558" s="21">
        <v>16.510779200000002</v>
      </c>
      <c r="J558" s="21">
        <v>-88.546886499999999</v>
      </c>
      <c r="K558" s="3" t="s">
        <v>2276</v>
      </c>
      <c r="L558" s="3">
        <v>2016</v>
      </c>
      <c r="M558" s="3">
        <v>2018</v>
      </c>
      <c r="N558" s="3" t="s">
        <v>2276</v>
      </c>
      <c r="O558" s="3" t="s">
        <v>67</v>
      </c>
      <c r="P558" s="5" t="s">
        <v>5187</v>
      </c>
      <c r="Q558" s="3" t="s">
        <v>2893</v>
      </c>
    </row>
    <row r="559" spans="1:17" ht="41.5" customHeight="1">
      <c r="A559" s="106">
        <v>110</v>
      </c>
      <c r="B559" s="40" t="s">
        <v>2885</v>
      </c>
      <c r="C559" s="11" t="s">
        <v>2924</v>
      </c>
      <c r="D559" s="3" t="s">
        <v>2398</v>
      </c>
      <c r="E559" s="3" t="s">
        <v>2399</v>
      </c>
      <c r="F559" s="11" t="s">
        <v>2925</v>
      </c>
      <c r="G559" s="3" t="s">
        <v>2276</v>
      </c>
      <c r="H559" s="11" t="s">
        <v>2926</v>
      </c>
      <c r="I559" s="21">
        <v>16.330165900000001</v>
      </c>
      <c r="J559" s="21">
        <v>-88.602237799999997</v>
      </c>
      <c r="K559" s="150">
        <v>152.5</v>
      </c>
      <c r="L559" s="3">
        <v>2016</v>
      </c>
      <c r="M559" s="3">
        <v>2018</v>
      </c>
      <c r="N559" s="3" t="s">
        <v>2276</v>
      </c>
      <c r="O559" s="3" t="s">
        <v>67</v>
      </c>
      <c r="P559" s="5" t="s">
        <v>5187</v>
      </c>
      <c r="Q559" s="3" t="s">
        <v>2927</v>
      </c>
    </row>
    <row r="560" spans="1:17" ht="50.5" customHeight="1">
      <c r="A560" s="106">
        <v>111</v>
      </c>
      <c r="B560" s="40" t="s">
        <v>2933</v>
      </c>
      <c r="C560" s="11" t="s">
        <v>2934</v>
      </c>
      <c r="D560" s="3" t="s">
        <v>2398</v>
      </c>
      <c r="E560" s="3" t="s">
        <v>2399</v>
      </c>
      <c r="F560" s="39" t="s">
        <v>657</v>
      </c>
      <c r="G560" s="3" t="s">
        <v>658</v>
      </c>
      <c r="H560" s="28" t="s">
        <v>659</v>
      </c>
      <c r="I560" s="21">
        <v>-4.95</v>
      </c>
      <c r="J560" s="21">
        <v>-73.25</v>
      </c>
      <c r="K560" s="21">
        <f>866/100</f>
        <v>8.66</v>
      </c>
      <c r="L560" s="3">
        <v>1990</v>
      </c>
      <c r="M560" s="3">
        <v>2000</v>
      </c>
      <c r="N560" s="21">
        <f>365.5/K560</f>
        <v>42.20554272517321</v>
      </c>
      <c r="O560" s="3" t="s">
        <v>2642</v>
      </c>
      <c r="P560" s="5" t="s">
        <v>5187</v>
      </c>
      <c r="Q560" s="4" t="s">
        <v>2935</v>
      </c>
    </row>
    <row r="561" spans="1:17" ht="53" customHeight="1">
      <c r="A561" s="106">
        <v>111</v>
      </c>
      <c r="B561" s="40" t="s">
        <v>2933</v>
      </c>
      <c r="C561" s="11" t="s">
        <v>2936</v>
      </c>
      <c r="D561" s="3" t="s">
        <v>2398</v>
      </c>
      <c r="E561" s="3" t="s">
        <v>2399</v>
      </c>
      <c r="F561" s="39" t="s">
        <v>657</v>
      </c>
      <c r="G561" s="3" t="s">
        <v>658</v>
      </c>
      <c r="H561" s="28" t="s">
        <v>659</v>
      </c>
      <c r="I561" s="21">
        <v>-4.95</v>
      </c>
      <c r="J561" s="21">
        <v>-73.25</v>
      </c>
      <c r="K561" s="21">
        <f>866/100</f>
        <v>8.66</v>
      </c>
      <c r="L561" s="11">
        <v>2000</v>
      </c>
      <c r="M561" s="11">
        <v>2014</v>
      </c>
      <c r="N561" s="21">
        <f>348/K561</f>
        <v>40.184757505773675</v>
      </c>
      <c r="O561" s="3" t="s">
        <v>2642</v>
      </c>
      <c r="P561" s="5" t="s">
        <v>5187</v>
      </c>
      <c r="Q561" s="4" t="s">
        <v>2935</v>
      </c>
    </row>
    <row r="562" spans="1:17" ht="50" customHeight="1">
      <c r="A562" s="106">
        <v>112</v>
      </c>
      <c r="B562" s="40" t="s">
        <v>2943</v>
      </c>
      <c r="C562" s="3" t="s">
        <v>2944</v>
      </c>
      <c r="D562" s="3" t="s">
        <v>2398</v>
      </c>
      <c r="E562" s="3" t="s">
        <v>2399</v>
      </c>
      <c r="F562" s="3" t="s">
        <v>2946</v>
      </c>
      <c r="G562" s="3" t="s">
        <v>2945</v>
      </c>
      <c r="H562" s="3" t="s">
        <v>659</v>
      </c>
      <c r="I562" s="21">
        <v>9.6613299999999995</v>
      </c>
      <c r="J562" s="21">
        <v>118.4720116</v>
      </c>
      <c r="K562" s="21">
        <f>350/N562</f>
        <v>4.666666666666667</v>
      </c>
      <c r="L562" s="3">
        <v>1980</v>
      </c>
      <c r="M562" s="3">
        <v>1991</v>
      </c>
      <c r="N562" s="3">
        <v>75</v>
      </c>
      <c r="O562" s="3" t="s">
        <v>2642</v>
      </c>
      <c r="P562" s="5" t="s">
        <v>5187</v>
      </c>
      <c r="Q562" s="3"/>
    </row>
    <row r="563" spans="1:17" ht="44.5" customHeight="1">
      <c r="A563" s="106">
        <v>113</v>
      </c>
      <c r="B563" s="40" t="s">
        <v>2953</v>
      </c>
      <c r="C563" s="11" t="s">
        <v>2954</v>
      </c>
      <c r="D563" s="3" t="s">
        <v>2398</v>
      </c>
      <c r="E563" s="3" t="s">
        <v>2399</v>
      </c>
      <c r="F563" s="3" t="s">
        <v>2955</v>
      </c>
      <c r="G563" s="3" t="s">
        <v>2956</v>
      </c>
      <c r="H563" s="3" t="s">
        <v>121</v>
      </c>
      <c r="I563" s="21">
        <v>-8.3902674000000008</v>
      </c>
      <c r="J563" s="21">
        <v>-47.768381599999998</v>
      </c>
      <c r="K563" s="21">
        <v>3200</v>
      </c>
      <c r="L563" s="8">
        <v>2002</v>
      </c>
      <c r="M563" s="8">
        <v>2002</v>
      </c>
      <c r="N563" s="3">
        <f>200/K563</f>
        <v>6.25E-2</v>
      </c>
      <c r="O563" s="3" t="s">
        <v>67</v>
      </c>
      <c r="P563" s="5" t="s">
        <v>5187</v>
      </c>
      <c r="Q563" s="3" t="s">
        <v>2987</v>
      </c>
    </row>
    <row r="564" spans="1:17" ht="40" customHeight="1">
      <c r="A564" s="106">
        <v>114</v>
      </c>
      <c r="B564" s="40" t="s">
        <v>3799</v>
      </c>
      <c r="C564" s="3" t="s">
        <v>2988</v>
      </c>
      <c r="D564" s="3" t="s">
        <v>2398</v>
      </c>
      <c r="E564" s="3" t="s">
        <v>2400</v>
      </c>
      <c r="F564" s="3" t="s">
        <v>2276</v>
      </c>
      <c r="G564" s="3" t="s">
        <v>2986</v>
      </c>
      <c r="H564" s="3" t="s">
        <v>2985</v>
      </c>
      <c r="I564" s="21">
        <v>14</v>
      </c>
      <c r="J564" s="21">
        <v>-13</v>
      </c>
      <c r="K564" s="21">
        <f>2000000/100</f>
        <v>20000</v>
      </c>
      <c r="L564" s="3">
        <v>1998</v>
      </c>
      <c r="M564" s="3">
        <v>1998</v>
      </c>
      <c r="N564" s="3" t="s">
        <v>2276</v>
      </c>
      <c r="O564" s="3" t="s">
        <v>67</v>
      </c>
      <c r="P564" s="5" t="s">
        <v>5187</v>
      </c>
      <c r="Q564" s="3"/>
    </row>
    <row r="565" spans="1:17" ht="40" customHeight="1">
      <c r="A565" s="106">
        <v>115</v>
      </c>
      <c r="B565" s="40" t="s">
        <v>3018</v>
      </c>
      <c r="C565" s="3" t="s">
        <v>2995</v>
      </c>
      <c r="D565" s="3" t="s">
        <v>2398</v>
      </c>
      <c r="E565" s="3" t="s">
        <v>2399</v>
      </c>
      <c r="F565" s="3" t="s">
        <v>2276</v>
      </c>
      <c r="G565" s="3" t="s">
        <v>3019</v>
      </c>
      <c r="H565" s="3" t="s">
        <v>121</v>
      </c>
      <c r="I565" s="21">
        <v>-15.7879989</v>
      </c>
      <c r="J565" s="21">
        <v>-47.751701799999999</v>
      </c>
      <c r="K565" s="21">
        <v>5814</v>
      </c>
      <c r="L565" s="8">
        <v>1995</v>
      </c>
      <c r="M565" s="8">
        <v>1995</v>
      </c>
      <c r="N565" s="3" t="s">
        <v>2276</v>
      </c>
      <c r="O565" s="3" t="s">
        <v>67</v>
      </c>
      <c r="P565" s="5" t="s">
        <v>5187</v>
      </c>
      <c r="Q565" s="4" t="s">
        <v>3020</v>
      </c>
    </row>
    <row r="566" spans="1:17" ht="34.5" customHeight="1">
      <c r="A566" s="106">
        <v>116</v>
      </c>
      <c r="B566" s="40" t="s">
        <v>3039</v>
      </c>
      <c r="C566" s="11" t="s">
        <v>3037</v>
      </c>
      <c r="D566" s="11" t="s">
        <v>2398</v>
      </c>
      <c r="E566" s="3" t="s">
        <v>2399</v>
      </c>
      <c r="F566" s="3" t="s">
        <v>3038</v>
      </c>
      <c r="G566" s="3" t="s">
        <v>2276</v>
      </c>
      <c r="H566" s="3" t="s">
        <v>1949</v>
      </c>
      <c r="I566" s="21">
        <f>12+(13/60)</f>
        <v>12.216666666666667</v>
      </c>
      <c r="J566" s="21">
        <f>-2-(42/60)</f>
        <v>-2.7</v>
      </c>
      <c r="K566" s="21">
        <f>30000/100</f>
        <v>300</v>
      </c>
      <c r="L566" s="3">
        <v>1992</v>
      </c>
      <c r="M566" s="3">
        <v>2003</v>
      </c>
      <c r="N566" s="3" t="s">
        <v>2276</v>
      </c>
      <c r="O566" s="3" t="s">
        <v>67</v>
      </c>
      <c r="P566" s="5" t="s">
        <v>5187</v>
      </c>
      <c r="Q566" s="3"/>
    </row>
    <row r="567" spans="1:17" ht="35" customHeight="1">
      <c r="A567" s="106">
        <v>117</v>
      </c>
      <c r="B567" s="40" t="s">
        <v>3043</v>
      </c>
      <c r="C567" s="11" t="s">
        <v>3044</v>
      </c>
      <c r="D567" s="11" t="s">
        <v>2398</v>
      </c>
      <c r="E567" s="3" t="s">
        <v>2399</v>
      </c>
      <c r="F567" s="113" t="s">
        <v>3061</v>
      </c>
      <c r="G567" s="3" t="s">
        <v>3047</v>
      </c>
      <c r="H567" s="3" t="s">
        <v>121</v>
      </c>
      <c r="I567" s="21">
        <v>-10.285575</v>
      </c>
      <c r="J567" s="21">
        <v>-46.764769000000001</v>
      </c>
      <c r="K567" s="21">
        <f>1580-K569</f>
        <v>495.85365853658527</v>
      </c>
      <c r="L567" s="3">
        <v>2014</v>
      </c>
      <c r="M567" s="3">
        <v>2015</v>
      </c>
      <c r="N567" s="3" t="s">
        <v>2276</v>
      </c>
      <c r="O567" s="3" t="s">
        <v>67</v>
      </c>
      <c r="P567" s="5" t="s">
        <v>5187</v>
      </c>
      <c r="Q567" s="3" t="s">
        <v>3048</v>
      </c>
    </row>
    <row r="568" spans="1:17" ht="37" customHeight="1">
      <c r="A568" s="106">
        <v>117</v>
      </c>
      <c r="B568" s="40" t="s">
        <v>3043</v>
      </c>
      <c r="C568" s="11" t="s">
        <v>3045</v>
      </c>
      <c r="D568" s="11" t="s">
        <v>2398</v>
      </c>
      <c r="E568" s="3" t="s">
        <v>2399</v>
      </c>
      <c r="F568" s="113" t="s">
        <v>3061</v>
      </c>
      <c r="G568" s="4" t="s">
        <v>3046</v>
      </c>
      <c r="H568" s="3" t="s">
        <v>121</v>
      </c>
      <c r="I568" s="21">
        <v>-10.8193436</v>
      </c>
      <c r="J568" s="21">
        <v>-46.520679000000001</v>
      </c>
      <c r="K568" s="21" t="s">
        <v>2276</v>
      </c>
      <c r="L568" s="3">
        <v>2014</v>
      </c>
      <c r="M568" s="3">
        <v>2015</v>
      </c>
      <c r="N568" s="3" t="s">
        <v>2276</v>
      </c>
      <c r="O568" s="3" t="s">
        <v>67</v>
      </c>
      <c r="P568" s="5" t="s">
        <v>5187</v>
      </c>
      <c r="Q568" s="3" t="s">
        <v>3048</v>
      </c>
    </row>
    <row r="569" spans="1:17" ht="37.5" customHeight="1">
      <c r="A569" s="106">
        <v>117</v>
      </c>
      <c r="B569" s="40" t="s">
        <v>3043</v>
      </c>
      <c r="C569" s="11" t="s">
        <v>3062</v>
      </c>
      <c r="D569" s="11" t="s">
        <v>2398</v>
      </c>
      <c r="E569" s="3" t="s">
        <v>2399</v>
      </c>
      <c r="F569" s="113" t="s">
        <v>3064</v>
      </c>
      <c r="G569" s="3" t="s">
        <v>3047</v>
      </c>
      <c r="H569" s="3" t="s">
        <v>121</v>
      </c>
      <c r="I569" s="21">
        <v>-10.285575</v>
      </c>
      <c r="J569" s="21">
        <v>-46.764769000000001</v>
      </c>
      <c r="K569" s="21">
        <f>('Reported burning'!T974/('Reported burning'!X974/100)) / 100</f>
        <v>1084.1463414634147</v>
      </c>
      <c r="L569" s="3">
        <v>2014</v>
      </c>
      <c r="M569" s="3">
        <v>2015</v>
      </c>
      <c r="N569" s="3" t="s">
        <v>2276</v>
      </c>
      <c r="O569" s="3" t="s">
        <v>67</v>
      </c>
      <c r="P569" s="5" t="s">
        <v>5187</v>
      </c>
      <c r="Q569" s="3" t="s">
        <v>3048</v>
      </c>
    </row>
    <row r="570" spans="1:17" ht="36" customHeight="1">
      <c r="A570" s="106">
        <v>117</v>
      </c>
      <c r="B570" s="40" t="s">
        <v>3043</v>
      </c>
      <c r="C570" s="11" t="s">
        <v>3063</v>
      </c>
      <c r="D570" s="11" t="s">
        <v>2398</v>
      </c>
      <c r="E570" s="3" t="s">
        <v>2399</v>
      </c>
      <c r="F570" s="113" t="s">
        <v>3064</v>
      </c>
      <c r="G570" s="4" t="s">
        <v>3046</v>
      </c>
      <c r="H570" s="3" t="s">
        <v>121</v>
      </c>
      <c r="I570" s="21">
        <v>-10.8193436</v>
      </c>
      <c r="J570" s="21">
        <v>-46.520679000000001</v>
      </c>
      <c r="K570" s="21" t="s">
        <v>2276</v>
      </c>
      <c r="L570" s="3">
        <v>2014</v>
      </c>
      <c r="M570" s="3">
        <v>2015</v>
      </c>
      <c r="N570" s="3" t="s">
        <v>2276</v>
      </c>
      <c r="O570" s="3" t="s">
        <v>67</v>
      </c>
      <c r="P570" s="5" t="s">
        <v>5187</v>
      </c>
      <c r="Q570" s="3" t="s">
        <v>3048</v>
      </c>
    </row>
    <row r="571" spans="1:17" ht="36" customHeight="1">
      <c r="A571" s="106">
        <v>118</v>
      </c>
      <c r="B571" s="40" t="s">
        <v>5037</v>
      </c>
      <c r="C571" s="11" t="s">
        <v>5040</v>
      </c>
      <c r="D571" s="11" t="s">
        <v>2398</v>
      </c>
      <c r="E571" s="3" t="s">
        <v>2399</v>
      </c>
      <c r="F571" s="113" t="s">
        <v>5038</v>
      </c>
      <c r="G571" s="4" t="s">
        <v>5039</v>
      </c>
      <c r="H571" s="3" t="s">
        <v>121</v>
      </c>
      <c r="I571">
        <f>-10-(22/60)</f>
        <v>-10.366666666666667</v>
      </c>
      <c r="J571" s="21">
        <f>-46-(46/60)</f>
        <v>-46.766666666666666</v>
      </c>
      <c r="K571" s="21">
        <v>8710</v>
      </c>
      <c r="L571" s="3">
        <v>2014</v>
      </c>
      <c r="M571" s="3">
        <v>2015</v>
      </c>
      <c r="N571" s="3" t="s">
        <v>2276</v>
      </c>
      <c r="O571" s="3" t="s">
        <v>67</v>
      </c>
      <c r="P571" s="5" t="s">
        <v>5187</v>
      </c>
      <c r="Q571" s="4" t="s">
        <v>5041</v>
      </c>
    </row>
    <row r="572" spans="1:17" ht="40" customHeight="1">
      <c r="A572" s="106">
        <v>118</v>
      </c>
      <c r="B572" s="40" t="s">
        <v>3099</v>
      </c>
      <c r="C572" s="3" t="s">
        <v>3097</v>
      </c>
      <c r="D572" s="11" t="s">
        <v>2398</v>
      </c>
      <c r="E572" s="3" t="s">
        <v>2399</v>
      </c>
      <c r="F572" s="3" t="s">
        <v>3111</v>
      </c>
      <c r="G572" s="3" t="s">
        <v>3104</v>
      </c>
      <c r="H572" s="3" t="s">
        <v>3110</v>
      </c>
      <c r="I572" s="21">
        <v>-15.6900526</v>
      </c>
      <c r="J572" s="21">
        <v>167.1700716</v>
      </c>
      <c r="K572" s="21" t="s">
        <v>2276</v>
      </c>
      <c r="L572" s="3">
        <v>2007</v>
      </c>
      <c r="M572" s="3">
        <v>2011</v>
      </c>
      <c r="N572" s="3" t="s">
        <v>2276</v>
      </c>
      <c r="O572" s="3" t="s">
        <v>2642</v>
      </c>
      <c r="P572" s="5" t="s">
        <v>5187</v>
      </c>
      <c r="Q572" s="4" t="s">
        <v>3117</v>
      </c>
    </row>
    <row r="573" spans="1:17" ht="39" customHeight="1">
      <c r="A573" s="106">
        <v>118</v>
      </c>
      <c r="B573" s="40" t="s">
        <v>3099</v>
      </c>
      <c r="C573" s="3" t="s">
        <v>3098</v>
      </c>
      <c r="D573" s="11" t="s">
        <v>2398</v>
      </c>
      <c r="E573" s="3" t="s">
        <v>2399</v>
      </c>
      <c r="F573" s="3" t="s">
        <v>3113</v>
      </c>
      <c r="G573" s="3" t="s">
        <v>3105</v>
      </c>
      <c r="H573" s="3" t="s">
        <v>3110</v>
      </c>
      <c r="I573" s="21">
        <v>-15.1561577</v>
      </c>
      <c r="J573" s="21">
        <v>166.9007095</v>
      </c>
      <c r="K573" s="21" t="s">
        <v>2276</v>
      </c>
      <c r="L573" s="3">
        <v>2007</v>
      </c>
      <c r="M573" s="3">
        <v>2011</v>
      </c>
      <c r="N573" s="3" t="s">
        <v>2276</v>
      </c>
      <c r="O573" s="3" t="s">
        <v>2642</v>
      </c>
      <c r="P573" s="5" t="s">
        <v>5187</v>
      </c>
      <c r="Q573" s="4" t="s">
        <v>3117</v>
      </c>
    </row>
    <row r="574" spans="1:17" ht="40" customHeight="1">
      <c r="A574" s="106">
        <v>118</v>
      </c>
      <c r="B574" s="40" t="s">
        <v>3099</v>
      </c>
      <c r="C574" s="3" t="s">
        <v>3100</v>
      </c>
      <c r="D574" s="11" t="s">
        <v>2398</v>
      </c>
      <c r="E574" s="3" t="s">
        <v>2399</v>
      </c>
      <c r="F574" s="3" t="s">
        <v>3112</v>
      </c>
      <c r="G574" s="3" t="s">
        <v>3106</v>
      </c>
      <c r="H574" s="3" t="s">
        <v>3110</v>
      </c>
      <c r="I574" s="21">
        <v>-16.233180699999998</v>
      </c>
      <c r="J574" s="21">
        <v>167.49609950000001</v>
      </c>
      <c r="K574" s="21" t="s">
        <v>2276</v>
      </c>
      <c r="L574" s="3">
        <v>2007</v>
      </c>
      <c r="M574" s="3">
        <v>2011</v>
      </c>
      <c r="N574" s="3" t="s">
        <v>2276</v>
      </c>
      <c r="O574" s="3" t="s">
        <v>2642</v>
      </c>
      <c r="P574" s="5" t="s">
        <v>5187</v>
      </c>
      <c r="Q574" s="4" t="s">
        <v>3117</v>
      </c>
    </row>
    <row r="575" spans="1:17" ht="34.5" customHeight="1">
      <c r="A575" s="106">
        <v>118</v>
      </c>
      <c r="B575" s="40" t="s">
        <v>3099</v>
      </c>
      <c r="C575" s="3" t="s">
        <v>3101</v>
      </c>
      <c r="D575" s="11" t="s">
        <v>2398</v>
      </c>
      <c r="E575" s="3" t="s">
        <v>2399</v>
      </c>
      <c r="F575" s="3" t="s">
        <v>3114</v>
      </c>
      <c r="G575" s="3" t="s">
        <v>3107</v>
      </c>
      <c r="H575" s="3" t="s">
        <v>3110</v>
      </c>
      <c r="I575" s="21">
        <v>-15.375091299999999</v>
      </c>
      <c r="J575" s="21">
        <v>167.8320837</v>
      </c>
      <c r="K575" s="21" t="s">
        <v>2276</v>
      </c>
      <c r="L575" s="3">
        <v>2007</v>
      </c>
      <c r="M575" s="3">
        <v>2011</v>
      </c>
      <c r="N575" s="3" t="s">
        <v>2276</v>
      </c>
      <c r="O575" s="3" t="s">
        <v>2642</v>
      </c>
      <c r="P575" s="5" t="s">
        <v>5187</v>
      </c>
      <c r="Q575" s="4" t="s">
        <v>3117</v>
      </c>
    </row>
    <row r="576" spans="1:17" ht="42.5" customHeight="1">
      <c r="A576" s="106">
        <v>118</v>
      </c>
      <c r="B576" s="40" t="s">
        <v>3099</v>
      </c>
      <c r="C576" s="3" t="s">
        <v>3102</v>
      </c>
      <c r="D576" s="11" t="s">
        <v>2398</v>
      </c>
      <c r="E576" s="3" t="s">
        <v>2399</v>
      </c>
      <c r="F576" s="3" t="s">
        <v>3115</v>
      </c>
      <c r="G576" s="3" t="s">
        <v>3108</v>
      </c>
      <c r="H576" s="3" t="s">
        <v>3110</v>
      </c>
      <c r="I576" s="21">
        <v>-19.4858689</v>
      </c>
      <c r="J576" s="21">
        <v>169.3635601</v>
      </c>
      <c r="K576" s="21" t="s">
        <v>2276</v>
      </c>
      <c r="L576" s="3">
        <v>2007</v>
      </c>
      <c r="M576" s="3">
        <v>2011</v>
      </c>
      <c r="N576" s="3" t="s">
        <v>2276</v>
      </c>
      <c r="O576" s="3" t="s">
        <v>2642</v>
      </c>
      <c r="P576" s="5" t="s">
        <v>5187</v>
      </c>
      <c r="Q576" s="4" t="s">
        <v>3117</v>
      </c>
    </row>
    <row r="577" spans="1:17" ht="38" customHeight="1">
      <c r="A577" s="106">
        <v>118</v>
      </c>
      <c r="B577" s="40" t="s">
        <v>3099</v>
      </c>
      <c r="C577" s="3" t="s">
        <v>3103</v>
      </c>
      <c r="D577" s="11" t="s">
        <v>2398</v>
      </c>
      <c r="E577" s="3" t="s">
        <v>2399</v>
      </c>
      <c r="F577" s="3" t="s">
        <v>3116</v>
      </c>
      <c r="G577" s="3" t="s">
        <v>3109</v>
      </c>
      <c r="H577" s="3" t="s">
        <v>3110</v>
      </c>
      <c r="I577" s="21">
        <v>-15.7326221</v>
      </c>
      <c r="J577" s="21">
        <v>168.19587709999999</v>
      </c>
      <c r="K577" s="21" t="s">
        <v>2276</v>
      </c>
      <c r="L577" s="3">
        <v>2007</v>
      </c>
      <c r="M577" s="3">
        <v>2011</v>
      </c>
      <c r="N577" s="3" t="s">
        <v>2276</v>
      </c>
      <c r="O577" s="3" t="s">
        <v>2642</v>
      </c>
      <c r="P577" s="5" t="s">
        <v>5187</v>
      </c>
      <c r="Q577" s="4" t="s">
        <v>3117</v>
      </c>
    </row>
    <row r="578" spans="1:17" ht="29" customHeight="1">
      <c r="A578" s="106">
        <v>119</v>
      </c>
      <c r="B578" s="40" t="s">
        <v>3128</v>
      </c>
      <c r="C578" s="11" t="s">
        <v>3129</v>
      </c>
      <c r="D578" s="11" t="s">
        <v>2398</v>
      </c>
      <c r="E578" s="3" t="s">
        <v>2399</v>
      </c>
      <c r="F578" s="3" t="s">
        <v>3134</v>
      </c>
      <c r="G578" s="3" t="s">
        <v>2276</v>
      </c>
      <c r="H578" s="3" t="s">
        <v>3133</v>
      </c>
      <c r="I578" s="21">
        <v>3.9310513</v>
      </c>
      <c r="J578" s="21">
        <v>-58.765934899999998</v>
      </c>
      <c r="K578" s="21" t="s">
        <v>2276</v>
      </c>
      <c r="L578" s="3">
        <v>2015</v>
      </c>
      <c r="M578" s="3">
        <v>2015</v>
      </c>
      <c r="N578" s="3" t="s">
        <v>2276</v>
      </c>
      <c r="O578" s="3" t="s">
        <v>67</v>
      </c>
      <c r="P578" s="5" t="s">
        <v>5187</v>
      </c>
      <c r="Q578" s="3" t="s">
        <v>2214</v>
      </c>
    </row>
    <row r="579" spans="1:17" ht="30" customHeight="1">
      <c r="A579" s="106">
        <v>119</v>
      </c>
      <c r="B579" s="40" t="s">
        <v>3128</v>
      </c>
      <c r="C579" s="11" t="s">
        <v>3130</v>
      </c>
      <c r="D579" s="11" t="s">
        <v>2398</v>
      </c>
      <c r="E579" s="3" t="s">
        <v>2399</v>
      </c>
      <c r="F579" s="3" t="s">
        <v>3135</v>
      </c>
      <c r="G579" s="3" t="s">
        <v>2276</v>
      </c>
      <c r="H579" s="3" t="s">
        <v>3133</v>
      </c>
      <c r="I579" s="21">
        <v>4.4318368000000001</v>
      </c>
      <c r="J579" s="21">
        <v>-58.627468399999998</v>
      </c>
      <c r="K579" s="21" t="s">
        <v>2276</v>
      </c>
      <c r="L579" s="3">
        <v>2015</v>
      </c>
      <c r="M579" s="3">
        <v>2015</v>
      </c>
      <c r="N579" s="3" t="s">
        <v>2276</v>
      </c>
      <c r="O579" s="3" t="s">
        <v>67</v>
      </c>
      <c r="P579" s="5" t="s">
        <v>5187</v>
      </c>
      <c r="Q579" s="3" t="s">
        <v>2214</v>
      </c>
    </row>
    <row r="580" spans="1:17" ht="32" customHeight="1">
      <c r="A580" s="106">
        <v>119</v>
      </c>
      <c r="B580" s="40" t="s">
        <v>3128</v>
      </c>
      <c r="C580" s="11" t="s">
        <v>3131</v>
      </c>
      <c r="D580" s="11" t="s">
        <v>2398</v>
      </c>
      <c r="E580" s="3" t="s">
        <v>2399</v>
      </c>
      <c r="F580" s="3" t="s">
        <v>3136</v>
      </c>
      <c r="G580" s="3" t="s">
        <v>2276</v>
      </c>
      <c r="H580" s="3" t="s">
        <v>121</v>
      </c>
      <c r="I580" s="21">
        <v>4.3228954999999996</v>
      </c>
      <c r="J580" s="21">
        <v>-60.324549400000002</v>
      </c>
      <c r="K580" s="21" t="s">
        <v>2276</v>
      </c>
      <c r="L580" s="3">
        <v>2015</v>
      </c>
      <c r="M580" s="3">
        <v>2015</v>
      </c>
      <c r="N580" s="3" t="s">
        <v>2276</v>
      </c>
      <c r="O580" s="3" t="s">
        <v>67</v>
      </c>
      <c r="P580" s="5" t="s">
        <v>5187</v>
      </c>
      <c r="Q580" s="3" t="s">
        <v>2214</v>
      </c>
    </row>
    <row r="581" spans="1:17" ht="31.5" customHeight="1">
      <c r="A581" s="106">
        <v>119</v>
      </c>
      <c r="B581" s="40" t="s">
        <v>3128</v>
      </c>
      <c r="C581" s="11" t="s">
        <v>3132</v>
      </c>
      <c r="D581" s="11" t="s">
        <v>2398</v>
      </c>
      <c r="E581" s="3" t="s">
        <v>2399</v>
      </c>
      <c r="F581" s="3" t="s">
        <v>3137</v>
      </c>
      <c r="G581" s="3" t="s">
        <v>2276</v>
      </c>
      <c r="H581" s="3" t="s">
        <v>584</v>
      </c>
      <c r="I581" s="21">
        <v>5.5</v>
      </c>
      <c r="J581" s="21">
        <v>-62</v>
      </c>
      <c r="K581" s="21" t="s">
        <v>2276</v>
      </c>
      <c r="L581" s="3">
        <v>2015</v>
      </c>
      <c r="M581" s="3">
        <v>2015</v>
      </c>
      <c r="N581" s="3" t="s">
        <v>2276</v>
      </c>
      <c r="O581" s="3" t="s">
        <v>67</v>
      </c>
      <c r="P581" s="5" t="s">
        <v>5187</v>
      </c>
      <c r="Q581" s="3" t="s">
        <v>2214</v>
      </c>
    </row>
    <row r="582" spans="1:17" ht="38" customHeight="1">
      <c r="A582" s="106">
        <v>120</v>
      </c>
      <c r="B582" s="40" t="s">
        <v>3223</v>
      </c>
      <c r="C582" s="11" t="s">
        <v>3224</v>
      </c>
      <c r="D582" s="11" t="s">
        <v>2398</v>
      </c>
      <c r="E582" s="3" t="s">
        <v>2399</v>
      </c>
      <c r="F582" s="11" t="s">
        <v>3225</v>
      </c>
      <c r="G582" s="11" t="s">
        <v>2299</v>
      </c>
      <c r="H582" s="11" t="s">
        <v>895</v>
      </c>
      <c r="I582" s="21">
        <f>0 - (11/60)</f>
        <v>-0.18333333333333332</v>
      </c>
      <c r="J582" s="21">
        <f>115 + (33.5/60)</f>
        <v>115.55833333333334</v>
      </c>
      <c r="K582" s="21">
        <f>13800/100</f>
        <v>138</v>
      </c>
      <c r="L582" s="3">
        <v>2013</v>
      </c>
      <c r="M582" s="3">
        <v>2013</v>
      </c>
      <c r="N582" s="3" t="s">
        <v>2276</v>
      </c>
      <c r="O582" s="3" t="s">
        <v>67</v>
      </c>
      <c r="P582" s="5" t="s">
        <v>5187</v>
      </c>
      <c r="Q582" s="3"/>
    </row>
    <row r="583" spans="1:17" ht="43.5" customHeight="1">
      <c r="A583" s="106">
        <v>120</v>
      </c>
      <c r="B583" s="41" t="s">
        <v>3231</v>
      </c>
      <c r="C583" s="11" t="s">
        <v>3230</v>
      </c>
      <c r="D583" s="11" t="s">
        <v>2398</v>
      </c>
      <c r="E583" s="3" t="s">
        <v>2399</v>
      </c>
      <c r="F583" s="11" t="s">
        <v>3225</v>
      </c>
      <c r="G583" s="11" t="s">
        <v>2299</v>
      </c>
      <c r="H583" s="11" t="s">
        <v>895</v>
      </c>
      <c r="I583" s="21">
        <f>0 - (11/60)</f>
        <v>-0.18333333333333332</v>
      </c>
      <c r="J583" s="21">
        <f>115 + (33.5/60)</f>
        <v>115.55833333333334</v>
      </c>
      <c r="K583" s="21">
        <f>13800/100</f>
        <v>138</v>
      </c>
      <c r="L583" s="8">
        <v>1990</v>
      </c>
      <c r="M583" s="8">
        <v>1990</v>
      </c>
      <c r="N583" s="3" t="s">
        <v>2276</v>
      </c>
      <c r="O583" s="3" t="s">
        <v>67</v>
      </c>
      <c r="P583" s="5" t="s">
        <v>5187</v>
      </c>
      <c r="Q583" s="4" t="s">
        <v>3232</v>
      </c>
    </row>
    <row r="584" spans="1:17" ht="38" customHeight="1">
      <c r="A584" s="106">
        <v>121</v>
      </c>
      <c r="B584" s="40" t="s">
        <v>3239</v>
      </c>
      <c r="C584" s="11" t="s">
        <v>3238</v>
      </c>
      <c r="D584" s="11" t="s">
        <v>2398</v>
      </c>
      <c r="E584" s="3" t="s">
        <v>2399</v>
      </c>
      <c r="F584" s="3" t="s">
        <v>3243</v>
      </c>
      <c r="G584" s="3" t="s">
        <v>3240</v>
      </c>
      <c r="H584" s="3" t="s">
        <v>770</v>
      </c>
      <c r="I584" s="21">
        <v>18.892454699999998</v>
      </c>
      <c r="J584" s="21">
        <v>-89.380381</v>
      </c>
      <c r="K584" s="21" t="s">
        <v>2276</v>
      </c>
      <c r="L584" s="3">
        <v>1997</v>
      </c>
      <c r="M584" s="3">
        <v>2003</v>
      </c>
      <c r="N584" s="3" t="s">
        <v>2276</v>
      </c>
      <c r="O584" s="3" t="s">
        <v>67</v>
      </c>
      <c r="P584" s="5" t="s">
        <v>5187</v>
      </c>
      <c r="Q584" s="3"/>
    </row>
    <row r="585" spans="1:17" ht="32.5" customHeight="1">
      <c r="A585" s="106">
        <v>121</v>
      </c>
      <c r="B585" s="40" t="s">
        <v>3239</v>
      </c>
      <c r="C585" s="11" t="s">
        <v>3241</v>
      </c>
      <c r="D585" s="11" t="s">
        <v>2398</v>
      </c>
      <c r="E585" s="3" t="s">
        <v>2399</v>
      </c>
      <c r="F585" s="3" t="s">
        <v>3244</v>
      </c>
      <c r="G585" s="3" t="s">
        <v>3240</v>
      </c>
      <c r="H585" s="3" t="s">
        <v>770</v>
      </c>
      <c r="I585" s="21">
        <v>18.354931199999999</v>
      </c>
      <c r="J585" s="21">
        <v>-89.538063699999995</v>
      </c>
      <c r="K585" s="21" t="s">
        <v>2276</v>
      </c>
      <c r="L585" s="3">
        <v>1997</v>
      </c>
      <c r="M585" s="3">
        <v>2003</v>
      </c>
      <c r="N585" s="3" t="s">
        <v>2276</v>
      </c>
      <c r="O585" s="3" t="s">
        <v>67</v>
      </c>
      <c r="P585" s="5" t="s">
        <v>5187</v>
      </c>
      <c r="Q585" s="3"/>
    </row>
    <row r="586" spans="1:17" ht="37" customHeight="1">
      <c r="A586" s="106">
        <v>121</v>
      </c>
      <c r="B586" s="40" t="s">
        <v>3239</v>
      </c>
      <c r="C586" s="11" t="s">
        <v>3242</v>
      </c>
      <c r="D586" s="11" t="s">
        <v>2398</v>
      </c>
      <c r="E586" s="3" t="s">
        <v>2399</v>
      </c>
      <c r="F586" s="3" t="s">
        <v>3245</v>
      </c>
      <c r="G586" s="3" t="s">
        <v>3240</v>
      </c>
      <c r="H586" s="3" t="s">
        <v>770</v>
      </c>
      <c r="I586" s="21">
        <v>18.297375899999999</v>
      </c>
      <c r="J586" s="21">
        <v>-88.653923800000001</v>
      </c>
      <c r="K586" s="21" t="s">
        <v>2276</v>
      </c>
      <c r="L586" s="3">
        <v>1997</v>
      </c>
      <c r="M586" s="3">
        <v>2003</v>
      </c>
      <c r="N586" s="3" t="s">
        <v>2276</v>
      </c>
      <c r="O586" s="3" t="s">
        <v>67</v>
      </c>
      <c r="P586" s="5" t="s">
        <v>5187</v>
      </c>
      <c r="Q586" s="3"/>
    </row>
    <row r="587" spans="1:17" ht="35.5" customHeight="1">
      <c r="A587" s="106">
        <v>121</v>
      </c>
      <c r="B587" s="40" t="s">
        <v>3239</v>
      </c>
      <c r="C587" s="11" t="s">
        <v>3246</v>
      </c>
      <c r="D587" s="11" t="s">
        <v>2398</v>
      </c>
      <c r="E587" s="3" t="s">
        <v>2399</v>
      </c>
      <c r="F587" s="3" t="s">
        <v>3249</v>
      </c>
      <c r="G587" s="3" t="s">
        <v>3240</v>
      </c>
      <c r="H587" s="3" t="s">
        <v>770</v>
      </c>
      <c r="I587" s="21">
        <v>18.724161500000001</v>
      </c>
      <c r="J587" s="21">
        <v>-89.130375299999997</v>
      </c>
      <c r="K587" s="21" t="s">
        <v>2276</v>
      </c>
      <c r="L587" s="3">
        <v>1997</v>
      </c>
      <c r="M587" s="3">
        <v>2003</v>
      </c>
      <c r="N587" s="3" t="s">
        <v>2276</v>
      </c>
      <c r="O587" s="3" t="s">
        <v>67</v>
      </c>
      <c r="P587" s="5" t="s">
        <v>5187</v>
      </c>
      <c r="Q587" s="3"/>
    </row>
    <row r="588" spans="1:17" ht="39" customHeight="1">
      <c r="A588" s="106">
        <v>121</v>
      </c>
      <c r="B588" s="40" t="s">
        <v>3239</v>
      </c>
      <c r="C588" s="11" t="s">
        <v>3247</v>
      </c>
      <c r="D588" s="11" t="s">
        <v>2398</v>
      </c>
      <c r="E588" s="3" t="s">
        <v>2399</v>
      </c>
      <c r="F588" s="144" t="s">
        <v>3250</v>
      </c>
      <c r="G588" s="3" t="s">
        <v>3240</v>
      </c>
      <c r="H588" s="3" t="s">
        <v>770</v>
      </c>
      <c r="I588" s="21">
        <f>AVERAGE(I584:I587, I589:I593, I595:I597)</f>
        <v>18.259933675000003</v>
      </c>
      <c r="J588" s="21">
        <f>AVERAGE(J584:J587, J589:J593, J595:J597)</f>
        <v>-90.020224825</v>
      </c>
      <c r="K588" s="21" t="s">
        <v>2276</v>
      </c>
      <c r="L588" s="3">
        <v>1997</v>
      </c>
      <c r="M588" s="3">
        <v>2003</v>
      </c>
      <c r="N588" s="3" t="s">
        <v>2276</v>
      </c>
      <c r="O588" s="3" t="s">
        <v>67</v>
      </c>
      <c r="P588" s="5" t="s">
        <v>5187</v>
      </c>
      <c r="Q588" s="4" t="s">
        <v>3268</v>
      </c>
    </row>
    <row r="589" spans="1:17" ht="34.5" customHeight="1">
      <c r="A589" s="106">
        <v>121</v>
      </c>
      <c r="B589" s="40" t="s">
        <v>3239</v>
      </c>
      <c r="C589" s="11" t="s">
        <v>3248</v>
      </c>
      <c r="D589" s="11" t="s">
        <v>2398</v>
      </c>
      <c r="E589" s="3" t="s">
        <v>2399</v>
      </c>
      <c r="F589" s="3" t="s">
        <v>3251</v>
      </c>
      <c r="G589" s="3" t="s">
        <v>3240</v>
      </c>
      <c r="H589" s="3" t="s">
        <v>770</v>
      </c>
      <c r="I589" s="21">
        <v>18.4583491</v>
      </c>
      <c r="J589" s="21">
        <v>-88.929538800000003</v>
      </c>
      <c r="K589" s="21" t="s">
        <v>2276</v>
      </c>
      <c r="L589" s="3">
        <v>1997</v>
      </c>
      <c r="M589" s="3">
        <v>2003</v>
      </c>
      <c r="N589" s="3" t="s">
        <v>2276</v>
      </c>
      <c r="O589" s="3" t="s">
        <v>67</v>
      </c>
      <c r="P589" s="5" t="s">
        <v>5187</v>
      </c>
      <c r="Q589" s="4"/>
    </row>
    <row r="590" spans="1:17" ht="33.5" customHeight="1">
      <c r="A590" s="106">
        <v>121</v>
      </c>
      <c r="B590" s="40" t="s">
        <v>3239</v>
      </c>
      <c r="C590" s="11" t="s">
        <v>3252</v>
      </c>
      <c r="D590" s="11" t="s">
        <v>2398</v>
      </c>
      <c r="E590" s="3" t="s">
        <v>2399</v>
      </c>
      <c r="F590" s="3" t="s">
        <v>3255</v>
      </c>
      <c r="G590" s="3" t="s">
        <v>3240</v>
      </c>
      <c r="H590" s="3" t="s">
        <v>770</v>
      </c>
      <c r="I590" s="21">
        <v>18.0716663</v>
      </c>
      <c r="J590" s="21">
        <v>-91.244444400000006</v>
      </c>
      <c r="K590" s="21" t="s">
        <v>2276</v>
      </c>
      <c r="L590" s="3">
        <v>1997</v>
      </c>
      <c r="M590" s="3">
        <v>2003</v>
      </c>
      <c r="N590" s="3" t="s">
        <v>2276</v>
      </c>
      <c r="O590" s="3" t="s">
        <v>67</v>
      </c>
      <c r="P590" s="5" t="s">
        <v>5187</v>
      </c>
      <c r="Q590" s="4"/>
    </row>
    <row r="591" spans="1:17" ht="28" customHeight="1">
      <c r="A591" s="106">
        <v>121</v>
      </c>
      <c r="B591" s="40" t="s">
        <v>3239</v>
      </c>
      <c r="C591" s="11" t="s">
        <v>3253</v>
      </c>
      <c r="D591" s="11" t="s">
        <v>2398</v>
      </c>
      <c r="E591" s="3" t="s">
        <v>2399</v>
      </c>
      <c r="F591" s="3" t="s">
        <v>3256</v>
      </c>
      <c r="G591" s="3" t="s">
        <v>3240</v>
      </c>
      <c r="H591" s="3" t="s">
        <v>770</v>
      </c>
      <c r="I591" s="21">
        <v>17.7542899</v>
      </c>
      <c r="J591" s="21">
        <v>-91.823419099999995</v>
      </c>
      <c r="K591" s="21" t="s">
        <v>2276</v>
      </c>
      <c r="L591" s="3">
        <v>1997</v>
      </c>
      <c r="M591" s="3">
        <v>2003</v>
      </c>
      <c r="N591" s="3" t="s">
        <v>2276</v>
      </c>
      <c r="O591" s="3" t="s">
        <v>67</v>
      </c>
      <c r="P591" s="5" t="s">
        <v>5187</v>
      </c>
      <c r="Q591" s="4"/>
    </row>
    <row r="592" spans="1:17" ht="35.5" customHeight="1">
      <c r="A592" s="106">
        <v>121</v>
      </c>
      <c r="B592" s="40" t="s">
        <v>3239</v>
      </c>
      <c r="C592" s="11" t="s">
        <v>3254</v>
      </c>
      <c r="D592" s="11" t="s">
        <v>2398</v>
      </c>
      <c r="E592" s="3" t="s">
        <v>2399</v>
      </c>
      <c r="F592" s="3" t="s">
        <v>3257</v>
      </c>
      <c r="G592" s="3" t="s">
        <v>3240</v>
      </c>
      <c r="H592" s="3" t="s">
        <v>770</v>
      </c>
      <c r="I592" s="21">
        <v>17.8246407</v>
      </c>
      <c r="J592" s="21">
        <v>-89.278543999999997</v>
      </c>
      <c r="K592" s="21" t="s">
        <v>2276</v>
      </c>
      <c r="L592" s="3">
        <v>1997</v>
      </c>
      <c r="M592" s="3">
        <v>2003</v>
      </c>
      <c r="N592" s="3" t="s">
        <v>2276</v>
      </c>
      <c r="O592" s="3" t="s">
        <v>67</v>
      </c>
      <c r="P592" s="5" t="s">
        <v>5187</v>
      </c>
      <c r="Q592" s="4"/>
    </row>
    <row r="593" spans="1:17" ht="32.5" customHeight="1">
      <c r="A593" s="106">
        <v>121</v>
      </c>
      <c r="B593" s="40" t="s">
        <v>3239</v>
      </c>
      <c r="C593" s="11" t="s">
        <v>3258</v>
      </c>
      <c r="D593" s="11" t="s">
        <v>2398</v>
      </c>
      <c r="E593" s="3" t="s">
        <v>2399</v>
      </c>
      <c r="F593" s="3" t="s">
        <v>3261</v>
      </c>
      <c r="G593" s="3" t="s">
        <v>3240</v>
      </c>
      <c r="H593" s="3" t="s">
        <v>770</v>
      </c>
      <c r="I593" s="21">
        <v>18.481388500000001</v>
      </c>
      <c r="J593" s="21">
        <v>-90.208333300000007</v>
      </c>
      <c r="K593" s="21" t="s">
        <v>2276</v>
      </c>
      <c r="L593" s="3">
        <v>1997</v>
      </c>
      <c r="M593" s="3">
        <v>2003</v>
      </c>
      <c r="N593" s="3" t="s">
        <v>2276</v>
      </c>
      <c r="O593" s="3" t="s">
        <v>67</v>
      </c>
      <c r="P593" s="5" t="s">
        <v>5187</v>
      </c>
      <c r="Q593" s="4"/>
    </row>
    <row r="594" spans="1:17" ht="36.5" customHeight="1">
      <c r="A594" s="106">
        <v>121</v>
      </c>
      <c r="B594" s="40" t="s">
        <v>3239</v>
      </c>
      <c r="C594" s="11" t="s">
        <v>3259</v>
      </c>
      <c r="D594" s="11" t="s">
        <v>2398</v>
      </c>
      <c r="E594" s="3" t="s">
        <v>2399</v>
      </c>
      <c r="F594" s="144" t="s">
        <v>3262</v>
      </c>
      <c r="G594" s="3" t="s">
        <v>3240</v>
      </c>
      <c r="H594" s="3" t="s">
        <v>770</v>
      </c>
      <c r="I594" s="21">
        <v>18.259933675000003</v>
      </c>
      <c r="J594" s="21">
        <v>-90.020224825</v>
      </c>
      <c r="K594" s="21" t="s">
        <v>2276</v>
      </c>
      <c r="L594" s="3">
        <v>1997</v>
      </c>
      <c r="M594" s="3">
        <v>2003</v>
      </c>
      <c r="N594" s="3" t="s">
        <v>2276</v>
      </c>
      <c r="O594" s="3" t="s">
        <v>67</v>
      </c>
      <c r="P594" s="5" t="s">
        <v>5187</v>
      </c>
      <c r="Q594" s="4" t="s">
        <v>3268</v>
      </c>
    </row>
    <row r="595" spans="1:17" ht="34.5" customHeight="1">
      <c r="A595" s="106">
        <v>121</v>
      </c>
      <c r="B595" s="40" t="s">
        <v>3239</v>
      </c>
      <c r="C595" s="11" t="s">
        <v>3260</v>
      </c>
      <c r="D595" s="11" t="s">
        <v>2398</v>
      </c>
      <c r="E595" s="3" t="s">
        <v>2399</v>
      </c>
      <c r="F595" s="3" t="s">
        <v>3263</v>
      </c>
      <c r="G595" s="3" t="s">
        <v>3240</v>
      </c>
      <c r="H595" s="3" t="s">
        <v>770</v>
      </c>
      <c r="I595" s="21">
        <v>17.9226797</v>
      </c>
      <c r="J595" s="21">
        <v>-89.227179000000007</v>
      </c>
      <c r="K595" s="21" t="s">
        <v>2276</v>
      </c>
      <c r="L595" s="3">
        <v>1997</v>
      </c>
      <c r="M595" s="3">
        <v>2003</v>
      </c>
      <c r="N595" s="3" t="s">
        <v>2276</v>
      </c>
      <c r="O595" s="3" t="s">
        <v>67</v>
      </c>
      <c r="P595" s="5" t="s">
        <v>5187</v>
      </c>
      <c r="Q595" s="3"/>
    </row>
    <row r="596" spans="1:17" ht="32" customHeight="1">
      <c r="A596" s="106">
        <v>121</v>
      </c>
      <c r="B596" s="40" t="s">
        <v>3239</v>
      </c>
      <c r="C596" s="11" t="s">
        <v>3264</v>
      </c>
      <c r="D596" s="11" t="s">
        <v>2398</v>
      </c>
      <c r="E596" s="3" t="s">
        <v>2399</v>
      </c>
      <c r="F596" s="3" t="s">
        <v>3266</v>
      </c>
      <c r="G596" s="3" t="s">
        <v>3240</v>
      </c>
      <c r="H596" s="3" t="s">
        <v>770</v>
      </c>
      <c r="I596" s="21">
        <v>18.020896700000002</v>
      </c>
      <c r="J596" s="21">
        <v>-93.382742100000002</v>
      </c>
      <c r="K596" s="21" t="s">
        <v>2276</v>
      </c>
      <c r="L596" s="3">
        <v>1997</v>
      </c>
      <c r="M596" s="3">
        <v>2003</v>
      </c>
      <c r="N596" s="3" t="s">
        <v>2276</v>
      </c>
      <c r="O596" s="3" t="s">
        <v>67</v>
      </c>
      <c r="P596" s="5" t="s">
        <v>5187</v>
      </c>
      <c r="Q596" s="3"/>
    </row>
    <row r="597" spans="1:17" ht="32.5" customHeight="1">
      <c r="A597" s="106">
        <v>121</v>
      </c>
      <c r="B597" s="40" t="s">
        <v>3239</v>
      </c>
      <c r="C597" s="11" t="s">
        <v>3265</v>
      </c>
      <c r="D597" s="11" t="s">
        <v>2398</v>
      </c>
      <c r="E597" s="3" t="s">
        <v>2399</v>
      </c>
      <c r="F597" s="3" t="s">
        <v>3267</v>
      </c>
      <c r="G597" s="3" t="s">
        <v>3240</v>
      </c>
      <c r="H597" s="3" t="s">
        <v>770</v>
      </c>
      <c r="I597" s="21">
        <v>18.316369900000002</v>
      </c>
      <c r="J597" s="21">
        <v>-89.445753400000001</v>
      </c>
      <c r="K597" s="21" t="s">
        <v>2276</v>
      </c>
      <c r="L597" s="3">
        <v>1997</v>
      </c>
      <c r="M597" s="3">
        <v>2003</v>
      </c>
      <c r="N597" s="3" t="s">
        <v>2276</v>
      </c>
      <c r="O597" s="3" t="s">
        <v>67</v>
      </c>
      <c r="P597" s="5" t="s">
        <v>5187</v>
      </c>
      <c r="Q597" s="3"/>
    </row>
    <row r="598" spans="1:17" ht="31.5" customHeight="1">
      <c r="A598" s="106">
        <v>122</v>
      </c>
      <c r="B598" s="40" t="s">
        <v>3285</v>
      </c>
      <c r="C598" s="11" t="s">
        <v>3286</v>
      </c>
      <c r="D598" s="11" t="s">
        <v>2398</v>
      </c>
      <c r="E598" s="3" t="s">
        <v>2399</v>
      </c>
      <c r="F598" s="4" t="s">
        <v>3288</v>
      </c>
      <c r="G598" s="3" t="s">
        <v>165</v>
      </c>
      <c r="H598" s="3" t="s">
        <v>121</v>
      </c>
      <c r="I598" s="21">
        <v>-13.3238237</v>
      </c>
      <c r="J598" s="21">
        <v>-51.679792200000001</v>
      </c>
      <c r="K598" s="157">
        <f>328966/100</f>
        <v>3289.66</v>
      </c>
      <c r="L598" s="3">
        <v>2001</v>
      </c>
      <c r="M598" s="3">
        <v>2002</v>
      </c>
      <c r="N598" s="3" t="s">
        <v>2276</v>
      </c>
      <c r="O598" s="3" t="s">
        <v>67</v>
      </c>
      <c r="P598" s="5" t="s">
        <v>5187</v>
      </c>
      <c r="Q598" s="3"/>
    </row>
    <row r="599" spans="1:17" ht="31" customHeight="1">
      <c r="A599" s="106">
        <v>122</v>
      </c>
      <c r="B599" s="40" t="s">
        <v>3285</v>
      </c>
      <c r="C599" s="11" t="s">
        <v>3287</v>
      </c>
      <c r="D599" s="11" t="s">
        <v>2398</v>
      </c>
      <c r="E599" s="3" t="s">
        <v>2399</v>
      </c>
      <c r="F599" s="3" t="s">
        <v>3289</v>
      </c>
      <c r="G599" s="3" t="s">
        <v>165</v>
      </c>
      <c r="H599" s="3" t="s">
        <v>121</v>
      </c>
      <c r="I599" s="159">
        <v>-14.3885811</v>
      </c>
      <c r="J599" s="159">
        <v>-52.014338700000003</v>
      </c>
      <c r="K599" s="157">
        <f>218515/100</f>
        <v>2185.15</v>
      </c>
      <c r="L599" s="3">
        <v>2001</v>
      </c>
      <c r="M599" s="3">
        <v>2002</v>
      </c>
      <c r="N599" s="3" t="s">
        <v>2276</v>
      </c>
      <c r="O599" s="3" t="s">
        <v>67</v>
      </c>
      <c r="P599" s="5" t="s">
        <v>5187</v>
      </c>
      <c r="Q599" s="3"/>
    </row>
    <row r="600" spans="1:17" ht="28" customHeight="1">
      <c r="A600" s="106">
        <v>123</v>
      </c>
      <c r="B600" s="40" t="s">
        <v>3296</v>
      </c>
      <c r="C600" s="11" t="s">
        <v>3297</v>
      </c>
      <c r="D600" s="11" t="s">
        <v>2398</v>
      </c>
      <c r="E600" s="3" t="s">
        <v>2399</v>
      </c>
      <c r="F600" s="3" t="s">
        <v>3299</v>
      </c>
      <c r="G600" s="3" t="s">
        <v>3298</v>
      </c>
      <c r="H600" s="3" t="s">
        <v>1950</v>
      </c>
      <c r="I600" s="159">
        <v>5.7156862000000004</v>
      </c>
      <c r="J600" s="159">
        <v>36.471662000000002</v>
      </c>
      <c r="K600" s="21">
        <f>40*40</f>
        <v>1600</v>
      </c>
      <c r="L600" s="3">
        <v>2008</v>
      </c>
      <c r="M600" s="3">
        <v>2008</v>
      </c>
      <c r="N600" s="3">
        <f>10000/K600</f>
        <v>6.25</v>
      </c>
      <c r="O600" s="3" t="s">
        <v>67</v>
      </c>
      <c r="P600" s="5" t="s">
        <v>5187</v>
      </c>
      <c r="Q600" s="4" t="s">
        <v>3304</v>
      </c>
    </row>
    <row r="601" spans="1:17" ht="32.5" customHeight="1">
      <c r="A601" s="106">
        <v>123</v>
      </c>
      <c r="B601" s="40" t="s">
        <v>3296</v>
      </c>
      <c r="C601" s="3" t="s">
        <v>3302</v>
      </c>
      <c r="D601" s="11" t="s">
        <v>2398</v>
      </c>
      <c r="E601" s="3" t="s">
        <v>2399</v>
      </c>
      <c r="F601" s="11" t="s">
        <v>3300</v>
      </c>
      <c r="G601" s="3" t="s">
        <v>3298</v>
      </c>
      <c r="H601" s="3" t="s">
        <v>1950</v>
      </c>
      <c r="I601" s="159">
        <v>5.8939000000000004</v>
      </c>
      <c r="J601" s="159">
        <v>36.153799999999997</v>
      </c>
      <c r="K601" s="21">
        <f t="shared" ref="K601:K605" si="4">40*40</f>
        <v>1600</v>
      </c>
      <c r="L601" s="3">
        <v>2008</v>
      </c>
      <c r="M601" s="3">
        <v>2008</v>
      </c>
      <c r="N601" s="3">
        <f t="shared" ref="N601:N602" si="5">10000/K601</f>
        <v>6.25</v>
      </c>
      <c r="O601" s="3" t="s">
        <v>67</v>
      </c>
      <c r="P601" s="5" t="s">
        <v>5187</v>
      </c>
      <c r="Q601" s="4" t="s">
        <v>3304</v>
      </c>
    </row>
    <row r="602" spans="1:17" ht="35.5" customHeight="1">
      <c r="A602" s="106">
        <v>123</v>
      </c>
      <c r="B602" s="40" t="s">
        <v>3296</v>
      </c>
      <c r="C602" s="3" t="s">
        <v>3303</v>
      </c>
      <c r="D602" s="11" t="s">
        <v>2398</v>
      </c>
      <c r="E602" s="3" t="s">
        <v>2399</v>
      </c>
      <c r="F602" s="11" t="s">
        <v>3301</v>
      </c>
      <c r="G602" s="3" t="s">
        <v>3298</v>
      </c>
      <c r="H602" s="3" t="s">
        <v>1950</v>
      </c>
      <c r="I602" s="159">
        <f>5+(35/60)</f>
        <v>5.583333333333333</v>
      </c>
      <c r="J602" s="159">
        <f>35 + (56/60)</f>
        <v>35.93333333333333</v>
      </c>
      <c r="K602" s="21">
        <f t="shared" si="4"/>
        <v>1600</v>
      </c>
      <c r="L602" s="3">
        <v>2008</v>
      </c>
      <c r="M602" s="3">
        <v>2008</v>
      </c>
      <c r="N602" s="3">
        <f t="shared" si="5"/>
        <v>6.25</v>
      </c>
      <c r="O602" s="3" t="s">
        <v>67</v>
      </c>
      <c r="P602" s="5" t="s">
        <v>5187</v>
      </c>
      <c r="Q602" s="4" t="s">
        <v>3304</v>
      </c>
    </row>
    <row r="603" spans="1:17" ht="36.5" customHeight="1">
      <c r="A603" s="106">
        <v>123</v>
      </c>
      <c r="B603" s="40" t="s">
        <v>3296</v>
      </c>
      <c r="C603" s="11" t="s">
        <v>3305</v>
      </c>
      <c r="D603" s="11" t="s">
        <v>2398</v>
      </c>
      <c r="E603" s="3" t="s">
        <v>2399</v>
      </c>
      <c r="F603" s="3" t="s">
        <v>3299</v>
      </c>
      <c r="G603" s="3" t="s">
        <v>3298</v>
      </c>
      <c r="H603" s="3" t="s">
        <v>1950</v>
      </c>
      <c r="I603" s="159">
        <v>5.7156862000000004</v>
      </c>
      <c r="J603" s="159">
        <v>36.471662000000002</v>
      </c>
      <c r="K603" s="21">
        <f>40*40</f>
        <v>1600</v>
      </c>
      <c r="L603" s="3">
        <v>1968</v>
      </c>
      <c r="M603" s="3">
        <v>1970</v>
      </c>
      <c r="N603" s="3">
        <f>6000/K603</f>
        <v>3.75</v>
      </c>
      <c r="O603" s="3" t="s">
        <v>67</v>
      </c>
      <c r="P603" s="5" t="s">
        <v>5187</v>
      </c>
      <c r="Q603" s="4" t="s">
        <v>3304</v>
      </c>
    </row>
    <row r="604" spans="1:17" ht="33.5" customHeight="1">
      <c r="A604" s="106">
        <v>123</v>
      </c>
      <c r="B604" s="40" t="s">
        <v>3296</v>
      </c>
      <c r="C604" s="3" t="s">
        <v>3306</v>
      </c>
      <c r="D604" s="11" t="s">
        <v>2398</v>
      </c>
      <c r="E604" s="3" t="s">
        <v>2399</v>
      </c>
      <c r="F604" s="11" t="s">
        <v>3300</v>
      </c>
      <c r="G604" s="3" t="s">
        <v>3298</v>
      </c>
      <c r="H604" s="3" t="s">
        <v>1950</v>
      </c>
      <c r="I604" s="159">
        <v>5.8939000000000004</v>
      </c>
      <c r="J604" s="159">
        <v>36.153799999999997</v>
      </c>
      <c r="K604" s="21">
        <f t="shared" si="4"/>
        <v>1600</v>
      </c>
      <c r="L604" s="3">
        <v>1968</v>
      </c>
      <c r="M604" s="3">
        <v>1970</v>
      </c>
      <c r="N604" s="3">
        <f t="shared" ref="N604:N605" si="6">6000/K604</f>
        <v>3.75</v>
      </c>
      <c r="O604" s="3" t="s">
        <v>67</v>
      </c>
      <c r="P604" s="5" t="s">
        <v>5187</v>
      </c>
      <c r="Q604" s="4" t="s">
        <v>3304</v>
      </c>
    </row>
    <row r="605" spans="1:17" ht="32" customHeight="1">
      <c r="A605" s="106">
        <v>123</v>
      </c>
      <c r="B605" s="40" t="s">
        <v>3296</v>
      </c>
      <c r="C605" s="3" t="s">
        <v>3307</v>
      </c>
      <c r="D605" s="11" t="s">
        <v>2398</v>
      </c>
      <c r="E605" s="3" t="s">
        <v>2399</v>
      </c>
      <c r="F605" s="11" t="s">
        <v>3301</v>
      </c>
      <c r="G605" s="3" t="s">
        <v>3298</v>
      </c>
      <c r="H605" s="3" t="s">
        <v>1950</v>
      </c>
      <c r="I605" s="159">
        <f>5+(35/60)</f>
        <v>5.583333333333333</v>
      </c>
      <c r="J605" s="159">
        <f>35 + (56/60)</f>
        <v>35.93333333333333</v>
      </c>
      <c r="K605" s="21">
        <f t="shared" si="4"/>
        <v>1600</v>
      </c>
      <c r="L605" s="3">
        <v>1968</v>
      </c>
      <c r="M605" s="3">
        <v>1970</v>
      </c>
      <c r="N605" s="3">
        <f t="shared" si="6"/>
        <v>3.75</v>
      </c>
      <c r="O605" s="3" t="s">
        <v>67</v>
      </c>
      <c r="P605" s="5" t="s">
        <v>5187</v>
      </c>
      <c r="Q605" s="4" t="s">
        <v>3304</v>
      </c>
    </row>
    <row r="606" spans="1:17" ht="29" customHeight="1">
      <c r="A606" s="106">
        <v>124</v>
      </c>
      <c r="B606" s="40" t="s">
        <v>3336</v>
      </c>
      <c r="C606" s="3" t="s">
        <v>3315</v>
      </c>
      <c r="D606" s="3" t="s">
        <v>2416</v>
      </c>
      <c r="E606" s="3" t="s">
        <v>2399</v>
      </c>
      <c r="F606" s="3" t="s">
        <v>3337</v>
      </c>
      <c r="G606" s="3" t="s">
        <v>3338</v>
      </c>
      <c r="H606" s="3" t="s">
        <v>603</v>
      </c>
      <c r="I606" s="21">
        <v>-17.5157697</v>
      </c>
      <c r="J606" s="21">
        <v>48.429371000000003</v>
      </c>
      <c r="K606" s="21">
        <f>9850/100</f>
        <v>98.5</v>
      </c>
      <c r="L606" s="11">
        <v>2007</v>
      </c>
      <c r="M606" s="11">
        <v>2007</v>
      </c>
      <c r="N606" s="21" t="s">
        <v>2276</v>
      </c>
      <c r="O606" s="3" t="s">
        <v>67</v>
      </c>
      <c r="P606" s="5" t="s">
        <v>5187</v>
      </c>
      <c r="Q606" s="3"/>
    </row>
    <row r="607" spans="1:17" ht="37" customHeight="1">
      <c r="A607" s="106">
        <v>125</v>
      </c>
      <c r="B607" s="40" t="s">
        <v>3351</v>
      </c>
      <c r="C607" s="11" t="s">
        <v>3352</v>
      </c>
      <c r="D607" s="3" t="s">
        <v>2416</v>
      </c>
      <c r="E607" s="3" t="s">
        <v>2399</v>
      </c>
      <c r="F607" s="3" t="s">
        <v>3353</v>
      </c>
      <c r="G607" s="3" t="s">
        <v>3338</v>
      </c>
      <c r="H607" s="3" t="s">
        <v>603</v>
      </c>
      <c r="I607" s="21">
        <v>-17.350000000000001</v>
      </c>
      <c r="J607" s="21">
        <v>48.4</v>
      </c>
      <c r="K607" s="21">
        <f>(23000+81500)/100</f>
        <v>1045</v>
      </c>
      <c r="L607" s="3">
        <v>2000</v>
      </c>
      <c r="M607" s="3">
        <v>2000</v>
      </c>
      <c r="N607" s="21" t="s">
        <v>2276</v>
      </c>
      <c r="O607" s="3" t="s">
        <v>67</v>
      </c>
      <c r="P607" s="5" t="s">
        <v>5187</v>
      </c>
      <c r="Q607" s="3" t="s">
        <v>2214</v>
      </c>
    </row>
    <row r="608" spans="1:17" ht="39" customHeight="1">
      <c r="A608" s="106">
        <v>126</v>
      </c>
      <c r="B608" s="40" t="s">
        <v>3363</v>
      </c>
      <c r="C608" s="3" t="s">
        <v>3364</v>
      </c>
      <c r="D608" s="3" t="s">
        <v>2398</v>
      </c>
      <c r="E608" s="3" t="s">
        <v>2399</v>
      </c>
      <c r="F608" s="3" t="s">
        <v>3365</v>
      </c>
      <c r="G608" s="3" t="s">
        <v>2276</v>
      </c>
      <c r="H608" s="3" t="s">
        <v>181</v>
      </c>
      <c r="I608" s="21">
        <v>8.3047433000000002</v>
      </c>
      <c r="J608" s="21">
        <v>13.7923908</v>
      </c>
      <c r="K608" s="21">
        <v>1800</v>
      </c>
      <c r="L608" s="3">
        <v>2004</v>
      </c>
      <c r="M608" s="3">
        <v>2004</v>
      </c>
      <c r="N608" s="21" t="s">
        <v>2276</v>
      </c>
      <c r="O608" s="3" t="s">
        <v>67</v>
      </c>
      <c r="P608" s="5" t="s">
        <v>5187</v>
      </c>
      <c r="Q608" s="3"/>
    </row>
    <row r="609" spans="1:17" ht="32" customHeight="1">
      <c r="A609" s="106">
        <v>127</v>
      </c>
      <c r="B609" s="40" t="s">
        <v>3369</v>
      </c>
      <c r="C609" s="3" t="s">
        <v>3370</v>
      </c>
      <c r="D609" s="3" t="s">
        <v>2398</v>
      </c>
      <c r="E609" s="3" t="s">
        <v>2399</v>
      </c>
      <c r="F609" s="3" t="s">
        <v>3372</v>
      </c>
      <c r="G609" s="11" t="s">
        <v>3368</v>
      </c>
      <c r="H609" s="3" t="s">
        <v>1950</v>
      </c>
      <c r="I609" s="21">
        <v>9.0598636999999993</v>
      </c>
      <c r="J609" s="21">
        <v>40.002817700000001</v>
      </c>
      <c r="K609" s="21">
        <v>1080</v>
      </c>
      <c r="L609" s="8">
        <v>2000</v>
      </c>
      <c r="M609" s="8">
        <v>2000</v>
      </c>
      <c r="N609" s="21">
        <f>21442/K609</f>
        <v>19.853703703703705</v>
      </c>
      <c r="O609" s="3" t="s">
        <v>67</v>
      </c>
      <c r="P609" s="5" t="s">
        <v>5187</v>
      </c>
      <c r="Q609" s="4" t="s">
        <v>3385</v>
      </c>
    </row>
    <row r="610" spans="1:17" ht="36.5" customHeight="1">
      <c r="A610" s="106">
        <v>127</v>
      </c>
      <c r="B610" s="40" t="s">
        <v>3369</v>
      </c>
      <c r="C610" s="3" t="s">
        <v>3371</v>
      </c>
      <c r="D610" s="3" t="s">
        <v>2398</v>
      </c>
      <c r="E610" s="3" t="s">
        <v>2399</v>
      </c>
      <c r="F610" s="3" t="s">
        <v>3373</v>
      </c>
      <c r="G610" s="11" t="s">
        <v>3368</v>
      </c>
      <c r="H610" s="3" t="s">
        <v>1950</v>
      </c>
      <c r="I610" s="21">
        <v>8.9253792999999995</v>
      </c>
      <c r="J610" s="21">
        <v>39.949866499999999</v>
      </c>
      <c r="K610" s="21">
        <v>1169</v>
      </c>
      <c r="L610" s="8">
        <v>2000</v>
      </c>
      <c r="M610" s="8">
        <v>2000</v>
      </c>
      <c r="N610" s="21">
        <f>74932/K610</f>
        <v>64.099230111206154</v>
      </c>
      <c r="O610" s="3" t="s">
        <v>67</v>
      </c>
      <c r="P610" s="5" t="s">
        <v>5187</v>
      </c>
      <c r="Q610" s="4" t="s">
        <v>3385</v>
      </c>
    </row>
    <row r="611" spans="1:17" ht="32" customHeight="1">
      <c r="A611" s="106">
        <v>128</v>
      </c>
      <c r="B611" s="40" t="s">
        <v>3377</v>
      </c>
      <c r="C611" s="3" t="s">
        <v>3378</v>
      </c>
      <c r="D611" s="3" t="s">
        <v>2398</v>
      </c>
      <c r="E611" s="3" t="s">
        <v>2399</v>
      </c>
      <c r="F611" s="3" t="s">
        <v>3380</v>
      </c>
      <c r="G611" s="3" t="s">
        <v>3384</v>
      </c>
      <c r="H611" s="3" t="s">
        <v>1950</v>
      </c>
      <c r="I611" s="21">
        <v>4.7214292000000002</v>
      </c>
      <c r="J611" s="21">
        <v>38.765087100000002</v>
      </c>
      <c r="K611" s="21" t="s">
        <v>2276</v>
      </c>
      <c r="L611" s="3">
        <v>2002</v>
      </c>
      <c r="M611" s="3">
        <v>2003</v>
      </c>
      <c r="N611" s="21" t="s">
        <v>2276</v>
      </c>
      <c r="O611" s="3" t="s">
        <v>67</v>
      </c>
      <c r="P611" s="5" t="s">
        <v>5187</v>
      </c>
      <c r="Q611" s="3"/>
    </row>
    <row r="612" spans="1:17" ht="31" customHeight="1">
      <c r="A612" s="106">
        <v>128</v>
      </c>
      <c r="B612" s="40" t="s">
        <v>3377</v>
      </c>
      <c r="C612" s="3" t="s">
        <v>3379</v>
      </c>
      <c r="D612" s="3" t="s">
        <v>2398</v>
      </c>
      <c r="E612" s="3" t="s">
        <v>2399</v>
      </c>
      <c r="F612" s="3" t="s">
        <v>3381</v>
      </c>
      <c r="G612" s="3" t="s">
        <v>3384</v>
      </c>
      <c r="H612" s="3" t="s">
        <v>1950</v>
      </c>
      <c r="I612" s="21">
        <v>4.9833328999999997</v>
      </c>
      <c r="J612" s="21">
        <v>37.1</v>
      </c>
      <c r="K612" s="21" t="s">
        <v>2276</v>
      </c>
      <c r="L612" s="3">
        <v>2002</v>
      </c>
      <c r="M612" s="3">
        <v>2003</v>
      </c>
      <c r="N612" s="21" t="s">
        <v>2276</v>
      </c>
      <c r="O612" s="3" t="s">
        <v>67</v>
      </c>
      <c r="P612" s="5" t="s">
        <v>5187</v>
      </c>
      <c r="Q612" s="3"/>
    </row>
    <row r="613" spans="1:17" ht="29" customHeight="1">
      <c r="A613" s="106">
        <v>128</v>
      </c>
      <c r="B613" s="40" t="s">
        <v>3377</v>
      </c>
      <c r="C613" s="3" t="s">
        <v>3383</v>
      </c>
      <c r="D613" s="3" t="s">
        <v>2398</v>
      </c>
      <c r="E613" s="3" t="s">
        <v>2399</v>
      </c>
      <c r="F613" s="11" t="s">
        <v>3382</v>
      </c>
      <c r="G613" s="3" t="s">
        <v>3384</v>
      </c>
      <c r="H613" s="3" t="s">
        <v>1950</v>
      </c>
      <c r="I613" s="21">
        <v>4.8933847000000004</v>
      </c>
      <c r="J613" s="21">
        <v>38.1082678</v>
      </c>
      <c r="K613" s="21" t="s">
        <v>2276</v>
      </c>
      <c r="L613" s="3">
        <v>2002</v>
      </c>
      <c r="M613" s="3">
        <v>2003</v>
      </c>
      <c r="N613" s="21" t="s">
        <v>2276</v>
      </c>
      <c r="O613" s="3" t="s">
        <v>67</v>
      </c>
      <c r="P613" s="5" t="s">
        <v>5187</v>
      </c>
      <c r="Q613" s="3"/>
    </row>
    <row r="614" spans="1:17" ht="33" customHeight="1">
      <c r="A614" s="106">
        <v>129</v>
      </c>
      <c r="B614" s="40" t="s">
        <v>3403</v>
      </c>
      <c r="C614" s="3" t="s">
        <v>3386</v>
      </c>
      <c r="D614" s="3" t="s">
        <v>2398</v>
      </c>
      <c r="E614" s="3" t="s">
        <v>2399</v>
      </c>
      <c r="F614" s="3" t="s">
        <v>3404</v>
      </c>
      <c r="G614" s="3" t="s">
        <v>3405</v>
      </c>
      <c r="H614" s="3" t="s">
        <v>1950</v>
      </c>
      <c r="I614" s="21">
        <f>4 +(48.6/60)</f>
        <v>4.8100000000000005</v>
      </c>
      <c r="J614" s="21">
        <f>38+(19.1/60)</f>
        <v>38.318333333333335</v>
      </c>
      <c r="K614" s="21" t="s">
        <v>2276</v>
      </c>
      <c r="L614" s="3">
        <v>1970</v>
      </c>
      <c r="M614" s="3">
        <v>1979</v>
      </c>
      <c r="N614" s="21" t="s">
        <v>2276</v>
      </c>
      <c r="O614" s="3" t="s">
        <v>67</v>
      </c>
      <c r="P614" s="5" t="s">
        <v>5187</v>
      </c>
      <c r="Q614" s="4" t="s">
        <v>3406</v>
      </c>
    </row>
    <row r="615" spans="1:17" ht="33.5" customHeight="1">
      <c r="A615" s="106">
        <v>129</v>
      </c>
      <c r="B615" s="40" t="s">
        <v>3403</v>
      </c>
      <c r="C615" s="3" t="s">
        <v>3387</v>
      </c>
      <c r="D615" s="3" t="s">
        <v>2398</v>
      </c>
      <c r="E615" s="3" t="s">
        <v>2399</v>
      </c>
      <c r="F615" s="3" t="s">
        <v>3404</v>
      </c>
      <c r="G615" s="3" t="s">
        <v>3405</v>
      </c>
      <c r="H615" s="3" t="s">
        <v>1950</v>
      </c>
      <c r="I615" s="21">
        <f>4 +(48.6/60)</f>
        <v>4.8100000000000005</v>
      </c>
      <c r="J615" s="21">
        <f>38+(19.1/60)</f>
        <v>38.318333333333335</v>
      </c>
      <c r="K615" s="21" t="s">
        <v>2276</v>
      </c>
      <c r="L615" s="3">
        <v>1980</v>
      </c>
      <c r="M615" s="3">
        <v>1989</v>
      </c>
      <c r="N615" s="21" t="s">
        <v>2276</v>
      </c>
      <c r="O615" s="3" t="s">
        <v>67</v>
      </c>
      <c r="P615" s="5" t="s">
        <v>5187</v>
      </c>
      <c r="Q615" s="4" t="s">
        <v>3406</v>
      </c>
    </row>
    <row r="616" spans="1:17" ht="32" customHeight="1">
      <c r="A616" s="106">
        <v>129</v>
      </c>
      <c r="B616" s="40" t="s">
        <v>3403</v>
      </c>
      <c r="C616" s="3" t="s">
        <v>3388</v>
      </c>
      <c r="D616" s="3" t="s">
        <v>2398</v>
      </c>
      <c r="E616" s="3" t="s">
        <v>2399</v>
      </c>
      <c r="F616" s="3" t="s">
        <v>3404</v>
      </c>
      <c r="G616" s="3" t="s">
        <v>3405</v>
      </c>
      <c r="H616" s="3" t="s">
        <v>1950</v>
      </c>
      <c r="I616" s="21">
        <f>4 +(48.6/60)</f>
        <v>4.8100000000000005</v>
      </c>
      <c r="J616" s="21">
        <f>38+(19.1/60)</f>
        <v>38.318333333333335</v>
      </c>
      <c r="K616" s="21" t="s">
        <v>2276</v>
      </c>
      <c r="L616" s="3">
        <v>2003</v>
      </c>
      <c r="M616" s="3">
        <v>2003</v>
      </c>
      <c r="N616" s="21" t="s">
        <v>2276</v>
      </c>
      <c r="O616" s="3" t="s">
        <v>67</v>
      </c>
      <c r="P616" s="5" t="s">
        <v>5187</v>
      </c>
      <c r="Q616" s="4" t="s">
        <v>3406</v>
      </c>
    </row>
    <row r="617" spans="1:17" ht="39" customHeight="1">
      <c r="A617" s="106">
        <v>130</v>
      </c>
      <c r="B617" s="40" t="s">
        <v>3412</v>
      </c>
      <c r="C617" s="11" t="s">
        <v>3413</v>
      </c>
      <c r="D617" s="3" t="s">
        <v>2398</v>
      </c>
      <c r="E617" s="3" t="s">
        <v>2399</v>
      </c>
      <c r="F617" s="3" t="s">
        <v>3420</v>
      </c>
      <c r="G617" s="3" t="s">
        <v>3415</v>
      </c>
      <c r="H617" s="3" t="s">
        <v>3414</v>
      </c>
      <c r="I617" s="21">
        <v>-22.8202973</v>
      </c>
      <c r="J617" s="21">
        <v>122.12676570000001</v>
      </c>
      <c r="K617" s="21" t="s">
        <v>2276</v>
      </c>
      <c r="L617" s="3">
        <v>2000</v>
      </c>
      <c r="M617" s="3">
        <v>2001</v>
      </c>
      <c r="N617" s="21" t="s">
        <v>2276</v>
      </c>
      <c r="O617" s="3" t="s">
        <v>67</v>
      </c>
      <c r="P617" s="5" t="s">
        <v>5187</v>
      </c>
      <c r="Q617" s="3" t="s">
        <v>2214</v>
      </c>
    </row>
    <row r="618" spans="1:17" ht="39" customHeight="1">
      <c r="A618" s="106">
        <v>131</v>
      </c>
      <c r="B618" s="40" t="s">
        <v>3425</v>
      </c>
      <c r="C618" s="11" t="s">
        <v>3426</v>
      </c>
      <c r="D618" s="3" t="s">
        <v>2398</v>
      </c>
      <c r="E618" s="3" t="s">
        <v>2400</v>
      </c>
      <c r="F618" s="4" t="s">
        <v>3427</v>
      </c>
      <c r="G618" s="3" t="s">
        <v>3415</v>
      </c>
      <c r="H618" s="3" t="s">
        <v>3414</v>
      </c>
      <c r="I618" s="21">
        <f>-22-(58/2/60)</f>
        <v>-22.483333333333334</v>
      </c>
      <c r="J618" s="21">
        <f>AVERAGE(127.5, 128+5/6)</f>
        <v>128.16666666666669</v>
      </c>
      <c r="K618" s="21">
        <f>241210/100</f>
        <v>2412.1</v>
      </c>
      <c r="L618" s="3">
        <v>1953</v>
      </c>
      <c r="M618" s="3">
        <v>2000</v>
      </c>
      <c r="N618" s="21" t="s">
        <v>2276</v>
      </c>
      <c r="O618" s="3" t="s">
        <v>67</v>
      </c>
      <c r="P618" s="5" t="s">
        <v>5187</v>
      </c>
      <c r="Q618" s="3" t="s">
        <v>3428</v>
      </c>
    </row>
    <row r="619" spans="1:17" ht="40.5" customHeight="1">
      <c r="A619" s="106">
        <v>132</v>
      </c>
      <c r="B619" s="40" t="s">
        <v>3444</v>
      </c>
      <c r="C619" s="11" t="s">
        <v>3445</v>
      </c>
      <c r="D619" s="3" t="s">
        <v>2398</v>
      </c>
      <c r="E619" s="3" t="s">
        <v>2399</v>
      </c>
      <c r="F619" s="4" t="s">
        <v>3458</v>
      </c>
      <c r="G619" s="3" t="s">
        <v>3459</v>
      </c>
      <c r="H619" s="3" t="s">
        <v>3414</v>
      </c>
      <c r="I619" s="21">
        <v>-13.1</v>
      </c>
      <c r="J619" s="21">
        <f>132 +(25/60)</f>
        <v>132.41666666666666</v>
      </c>
      <c r="K619" s="21" t="s">
        <v>2276</v>
      </c>
      <c r="L619" s="3">
        <v>1981</v>
      </c>
      <c r="M619" s="3">
        <v>1993</v>
      </c>
      <c r="N619" s="21" t="s">
        <v>2276</v>
      </c>
      <c r="O619" s="3" t="s">
        <v>67</v>
      </c>
      <c r="P619" s="5" t="s">
        <v>5187</v>
      </c>
      <c r="Q619" s="3" t="s">
        <v>3446</v>
      </c>
    </row>
    <row r="620" spans="1:17" ht="43" customHeight="1">
      <c r="A620" s="106">
        <v>133</v>
      </c>
      <c r="B620" s="40" t="s">
        <v>3461</v>
      </c>
      <c r="C620" s="3" t="s">
        <v>3460</v>
      </c>
      <c r="D620" s="3" t="s">
        <v>2398</v>
      </c>
      <c r="E620" s="3" t="s">
        <v>2399</v>
      </c>
      <c r="F620" s="3" t="s">
        <v>3462</v>
      </c>
      <c r="G620" s="3" t="s">
        <v>2276</v>
      </c>
      <c r="H620" s="3" t="s">
        <v>603</v>
      </c>
      <c r="I620" s="88">
        <f>-16-(0.266666666666667)</f>
        <v>-16.266666666666666</v>
      </c>
      <c r="J620" s="88">
        <f>46 +( 55/60)</f>
        <v>46.916666666666664</v>
      </c>
      <c r="K620" s="21" t="s">
        <v>2276</v>
      </c>
      <c r="L620" s="3">
        <v>1997</v>
      </c>
      <c r="M620" s="3">
        <v>1997</v>
      </c>
      <c r="N620" s="21" t="s">
        <v>2276</v>
      </c>
      <c r="O620" s="3" t="s">
        <v>67</v>
      </c>
      <c r="P620" s="5" t="s">
        <v>5187</v>
      </c>
      <c r="Q620" s="3"/>
    </row>
    <row r="621" spans="1:17" ht="44" customHeight="1">
      <c r="A621" s="106">
        <v>134</v>
      </c>
      <c r="B621" s="40" t="s">
        <v>3487</v>
      </c>
      <c r="C621" s="3" t="s">
        <v>3491</v>
      </c>
      <c r="D621" s="3" t="s">
        <v>2398</v>
      </c>
      <c r="E621" s="3" t="s">
        <v>2637</v>
      </c>
      <c r="F621" s="3" t="s">
        <v>3488</v>
      </c>
      <c r="G621" s="3" t="s">
        <v>3489</v>
      </c>
      <c r="H621" s="3" t="s">
        <v>3490</v>
      </c>
      <c r="I621" s="88">
        <v>-18.755756000000002</v>
      </c>
      <c r="J621" s="88">
        <v>31.550623000000002</v>
      </c>
      <c r="K621" s="21" t="s">
        <v>2276</v>
      </c>
      <c r="L621" s="3">
        <v>2009</v>
      </c>
      <c r="M621" s="3">
        <v>2014</v>
      </c>
      <c r="N621" s="21" t="s">
        <v>2276</v>
      </c>
      <c r="O621" s="3" t="s">
        <v>67</v>
      </c>
      <c r="P621" s="5" t="s">
        <v>5187</v>
      </c>
      <c r="Q621" s="3"/>
    </row>
    <row r="622" spans="1:17" ht="45.5" customHeight="1">
      <c r="A622" s="106">
        <v>134</v>
      </c>
      <c r="B622" s="40" t="s">
        <v>3487</v>
      </c>
      <c r="C622" s="3" t="s">
        <v>3492</v>
      </c>
      <c r="D622" s="3" t="s">
        <v>2398</v>
      </c>
      <c r="E622" s="3" t="s">
        <v>2636</v>
      </c>
      <c r="F622" s="3" t="s">
        <v>2276</v>
      </c>
      <c r="G622" s="3" t="s">
        <v>2276</v>
      </c>
      <c r="H622" s="3" t="s">
        <v>3490</v>
      </c>
      <c r="I622" s="21">
        <v>-19.0156153</v>
      </c>
      <c r="J622" s="21">
        <v>29.152802000000001</v>
      </c>
      <c r="K622" s="21">
        <v>390757</v>
      </c>
      <c r="L622" s="3">
        <v>1960</v>
      </c>
      <c r="M622" s="3">
        <v>1999</v>
      </c>
      <c r="N622" s="21" t="s">
        <v>2276</v>
      </c>
      <c r="O622" s="3" t="s">
        <v>67</v>
      </c>
      <c r="P622" s="5" t="s">
        <v>5187</v>
      </c>
      <c r="Q622" s="3" t="s">
        <v>3493</v>
      </c>
    </row>
    <row r="623" spans="1:17" ht="55.5" customHeight="1">
      <c r="A623" s="106">
        <v>135</v>
      </c>
      <c r="B623" s="40" t="s">
        <v>3529</v>
      </c>
      <c r="C623" s="11" t="s">
        <v>3530</v>
      </c>
      <c r="D623" s="3" t="s">
        <v>2398</v>
      </c>
      <c r="E623" s="11" t="s">
        <v>2399</v>
      </c>
      <c r="F623" s="3" t="s">
        <v>1230</v>
      </c>
      <c r="G623" s="3" t="s">
        <v>3531</v>
      </c>
      <c r="H623" s="3" t="s">
        <v>385</v>
      </c>
      <c r="I623" s="21">
        <v>-3</v>
      </c>
      <c r="J623" s="21">
        <f>36 +(42/60)</f>
        <v>36.700000000000003</v>
      </c>
      <c r="K623" s="21">
        <v>2000</v>
      </c>
      <c r="L623" s="3">
        <v>1990</v>
      </c>
      <c r="M623" s="3">
        <v>1990</v>
      </c>
      <c r="N623" s="21">
        <f>(600+((2000-600)/(28)*13))/K623</f>
        <v>0.625</v>
      </c>
      <c r="O623" s="3" t="s">
        <v>67</v>
      </c>
      <c r="P623" s="5" t="s">
        <v>5187</v>
      </c>
      <c r="Q623" s="4" t="s">
        <v>3552</v>
      </c>
    </row>
    <row r="624" spans="1:17" ht="44.5" customHeight="1">
      <c r="A624" s="106">
        <v>135</v>
      </c>
      <c r="B624" s="40" t="s">
        <v>3529</v>
      </c>
      <c r="C624" s="11" t="s">
        <v>3532</v>
      </c>
      <c r="D624" s="3" t="s">
        <v>2398</v>
      </c>
      <c r="E624" s="11" t="s">
        <v>2399</v>
      </c>
      <c r="F624" s="3" t="s">
        <v>1230</v>
      </c>
      <c r="G624" s="3" t="s">
        <v>3531</v>
      </c>
      <c r="H624" s="3" t="s">
        <v>385</v>
      </c>
      <c r="I624" s="21">
        <v>-3</v>
      </c>
      <c r="J624" s="21">
        <f>36 +(42/60)</f>
        <v>36.700000000000003</v>
      </c>
      <c r="K624" s="21">
        <v>2000</v>
      </c>
      <c r="L624" s="3">
        <v>2005</v>
      </c>
      <c r="M624" s="3">
        <v>2005</v>
      </c>
      <c r="N624" s="3">
        <f>3000/K623</f>
        <v>1.5</v>
      </c>
      <c r="O624" s="3" t="s">
        <v>67</v>
      </c>
      <c r="P624" s="5" t="s">
        <v>5187</v>
      </c>
      <c r="Q624" s="3"/>
    </row>
    <row r="625" spans="1:17" ht="42.5" customHeight="1">
      <c r="A625" s="106">
        <v>136</v>
      </c>
      <c r="B625" s="40" t="s">
        <v>3578</v>
      </c>
      <c r="C625" s="3" t="s">
        <v>3577</v>
      </c>
      <c r="D625" s="3" t="s">
        <v>2398</v>
      </c>
      <c r="E625" s="3" t="s">
        <v>2636</v>
      </c>
      <c r="F625" s="3" t="s">
        <v>2276</v>
      </c>
      <c r="G625" s="3" t="s">
        <v>2276</v>
      </c>
      <c r="H625" s="3" t="s">
        <v>3576</v>
      </c>
      <c r="I625" s="21">
        <v>1.3681551000000001</v>
      </c>
      <c r="J625" s="21">
        <v>32.303241</v>
      </c>
      <c r="K625" s="21">
        <v>241037</v>
      </c>
      <c r="L625" s="3">
        <v>1974</v>
      </c>
      <c r="M625" s="3">
        <v>2018</v>
      </c>
      <c r="N625" s="21" t="s">
        <v>2276</v>
      </c>
      <c r="O625" s="3" t="s">
        <v>67</v>
      </c>
      <c r="P625" s="5" t="s">
        <v>5187</v>
      </c>
      <c r="Q625" s="3" t="s">
        <v>3579</v>
      </c>
    </row>
    <row r="626" spans="1:17" ht="55" customHeight="1">
      <c r="A626" s="106">
        <v>137</v>
      </c>
      <c r="B626" s="40" t="s">
        <v>3585</v>
      </c>
      <c r="C626" s="3" t="s">
        <v>3586</v>
      </c>
      <c r="D626" s="3" t="s">
        <v>2398</v>
      </c>
      <c r="E626" s="11" t="s">
        <v>2400</v>
      </c>
      <c r="F626" s="3" t="s">
        <v>3587</v>
      </c>
      <c r="G626" s="3" t="s">
        <v>3588</v>
      </c>
      <c r="H626" s="3" t="s">
        <v>1950</v>
      </c>
      <c r="I626" s="21">
        <v>4.0409151000000003</v>
      </c>
      <c r="J626" s="21">
        <v>38.317003300000003</v>
      </c>
      <c r="K626" s="21">
        <f>735.9/5</f>
        <v>147.18</v>
      </c>
      <c r="L626" s="3">
        <v>2011</v>
      </c>
      <c r="M626" s="3">
        <v>2011</v>
      </c>
      <c r="N626" s="21" t="s">
        <v>2276</v>
      </c>
      <c r="O626" s="3" t="s">
        <v>67</v>
      </c>
      <c r="P626" s="5" t="s">
        <v>5187</v>
      </c>
      <c r="Q626" s="3" t="s">
        <v>2214</v>
      </c>
    </row>
    <row r="627" spans="1:17" ht="55" customHeight="1">
      <c r="A627" s="106">
        <v>137</v>
      </c>
      <c r="B627" s="40" t="s">
        <v>3585</v>
      </c>
      <c r="C627" s="3" t="s">
        <v>3589</v>
      </c>
      <c r="D627" s="3" t="s">
        <v>2398</v>
      </c>
      <c r="E627" s="11" t="s">
        <v>2400</v>
      </c>
      <c r="F627" s="3" t="s">
        <v>3595</v>
      </c>
      <c r="G627" s="3" t="s">
        <v>3597</v>
      </c>
      <c r="H627" s="3" t="s">
        <v>1950</v>
      </c>
      <c r="I627" s="21">
        <v>4.8607559</v>
      </c>
      <c r="J627" s="21">
        <v>38.277996799999997</v>
      </c>
      <c r="K627" s="21">
        <f t="shared" ref="K627:K630" si="7">735.9/5</f>
        <v>147.18</v>
      </c>
      <c r="L627" s="3">
        <v>2011</v>
      </c>
      <c r="M627" s="3">
        <v>2011</v>
      </c>
      <c r="N627" s="21" t="s">
        <v>2276</v>
      </c>
      <c r="O627" s="3" t="s">
        <v>67</v>
      </c>
      <c r="P627" s="5" t="s">
        <v>5187</v>
      </c>
      <c r="Q627" s="3" t="s">
        <v>2214</v>
      </c>
    </row>
    <row r="628" spans="1:17" ht="55" customHeight="1">
      <c r="A628" s="106">
        <v>137</v>
      </c>
      <c r="B628" s="40" t="s">
        <v>3585</v>
      </c>
      <c r="C628" s="3" t="s">
        <v>3590</v>
      </c>
      <c r="D628" s="3" t="s">
        <v>2398</v>
      </c>
      <c r="E628" s="11" t="s">
        <v>2400</v>
      </c>
      <c r="F628" s="3" t="s">
        <v>3596</v>
      </c>
      <c r="G628" s="3" t="s">
        <v>3597</v>
      </c>
      <c r="H628" s="3" t="s">
        <v>1950</v>
      </c>
      <c r="I628" s="21">
        <v>3.9800346000000002</v>
      </c>
      <c r="J628" s="21">
        <v>38.356403499999999</v>
      </c>
      <c r="K628" s="21">
        <f t="shared" si="7"/>
        <v>147.18</v>
      </c>
      <c r="L628" s="3">
        <v>2011</v>
      </c>
      <c r="M628" s="3">
        <v>2011</v>
      </c>
      <c r="N628" s="21" t="s">
        <v>2276</v>
      </c>
      <c r="O628" s="3" t="s">
        <v>67</v>
      </c>
      <c r="P628" s="5" t="s">
        <v>5187</v>
      </c>
      <c r="Q628" s="3" t="s">
        <v>2214</v>
      </c>
    </row>
    <row r="629" spans="1:17" ht="55" customHeight="1">
      <c r="A629" s="106">
        <v>137</v>
      </c>
      <c r="B629" s="40" t="s">
        <v>3585</v>
      </c>
      <c r="C629" s="3" t="s">
        <v>3591</v>
      </c>
      <c r="D629" s="3" t="s">
        <v>2398</v>
      </c>
      <c r="E629" s="11" t="s">
        <v>2400</v>
      </c>
      <c r="F629" s="3" t="s">
        <v>3594</v>
      </c>
      <c r="G629" s="3" t="s">
        <v>3597</v>
      </c>
      <c r="H629" s="3" t="s">
        <v>1950</v>
      </c>
      <c r="I629" s="21">
        <v>4.0891713999999997</v>
      </c>
      <c r="J629" s="21">
        <v>38.695056600000001</v>
      </c>
      <c r="K629" s="21">
        <f t="shared" si="7"/>
        <v>147.18</v>
      </c>
      <c r="L629" s="3">
        <v>2011</v>
      </c>
      <c r="M629" s="3">
        <v>2011</v>
      </c>
      <c r="N629" s="21" t="s">
        <v>2276</v>
      </c>
      <c r="O629" s="3" t="s">
        <v>67</v>
      </c>
      <c r="P629" s="5" t="s">
        <v>5187</v>
      </c>
      <c r="Q629" s="3" t="s">
        <v>2214</v>
      </c>
    </row>
    <row r="630" spans="1:17" ht="55" customHeight="1">
      <c r="A630" s="106">
        <v>137</v>
      </c>
      <c r="B630" s="40" t="s">
        <v>3585</v>
      </c>
      <c r="C630" s="3" t="s">
        <v>3592</v>
      </c>
      <c r="D630" s="3" t="s">
        <v>2398</v>
      </c>
      <c r="E630" s="11" t="s">
        <v>2400</v>
      </c>
      <c r="F630" s="3" t="s">
        <v>3593</v>
      </c>
      <c r="G630" s="3" t="s">
        <v>3597</v>
      </c>
      <c r="H630" s="3" t="s">
        <v>1950</v>
      </c>
      <c r="I630" s="21">
        <v>4.1980908000000001</v>
      </c>
      <c r="J630" s="21">
        <v>38.3916483</v>
      </c>
      <c r="K630" s="21">
        <f t="shared" si="7"/>
        <v>147.18</v>
      </c>
      <c r="L630" s="3">
        <v>2011</v>
      </c>
      <c r="M630" s="3">
        <v>2011</v>
      </c>
      <c r="N630" s="21" t="s">
        <v>2276</v>
      </c>
      <c r="O630" s="3" t="s">
        <v>67</v>
      </c>
      <c r="P630" s="5" t="s">
        <v>5187</v>
      </c>
      <c r="Q630" s="3" t="s">
        <v>2214</v>
      </c>
    </row>
    <row r="631" spans="1:17" ht="49" customHeight="1">
      <c r="A631" s="106">
        <v>138</v>
      </c>
      <c r="B631" s="40" t="s">
        <v>3613</v>
      </c>
      <c r="C631" s="11" t="s">
        <v>3614</v>
      </c>
      <c r="D631" s="3" t="s">
        <v>2398</v>
      </c>
      <c r="E631" s="3" t="s">
        <v>2399</v>
      </c>
      <c r="F631" s="3" t="s">
        <v>3615</v>
      </c>
      <c r="G631" s="3" t="s">
        <v>3621</v>
      </c>
      <c r="H631" s="3" t="s">
        <v>3616</v>
      </c>
      <c r="I631" s="21">
        <v>-37</v>
      </c>
      <c r="J631" s="21">
        <v>-71</v>
      </c>
      <c r="K631" s="21" t="s">
        <v>2276</v>
      </c>
      <c r="L631" s="3">
        <v>2011</v>
      </c>
      <c r="M631" s="3">
        <v>2011</v>
      </c>
      <c r="N631" s="21" t="s">
        <v>2276</v>
      </c>
      <c r="O631" s="3" t="s">
        <v>67</v>
      </c>
      <c r="P631" s="5" t="s">
        <v>5187</v>
      </c>
      <c r="Q631" s="3" t="s">
        <v>2214</v>
      </c>
    </row>
    <row r="632" spans="1:17" ht="37" customHeight="1">
      <c r="A632" s="106">
        <v>139</v>
      </c>
      <c r="B632" s="40" t="s">
        <v>3624</v>
      </c>
      <c r="C632" s="11" t="s">
        <v>3625</v>
      </c>
      <c r="D632" s="3" t="s">
        <v>2398</v>
      </c>
      <c r="E632" s="3" t="s">
        <v>2637</v>
      </c>
      <c r="F632" s="4" t="s">
        <v>3631</v>
      </c>
      <c r="G632" s="3" t="s">
        <v>3632</v>
      </c>
      <c r="H632" s="3" t="s">
        <v>121</v>
      </c>
      <c r="I632" s="21">
        <v>-7.1178698000000002</v>
      </c>
      <c r="J632" s="21">
        <v>-47.203155600000002</v>
      </c>
      <c r="K632" s="21">
        <f>1500</f>
        <v>1500</v>
      </c>
      <c r="L632" s="3">
        <v>2012</v>
      </c>
      <c r="M632" s="3">
        <v>2017</v>
      </c>
      <c r="N632" s="21" t="s">
        <v>2276</v>
      </c>
      <c r="O632" s="3" t="s">
        <v>67</v>
      </c>
      <c r="P632" s="5" t="s">
        <v>5187</v>
      </c>
      <c r="Q632" s="3"/>
    </row>
    <row r="633" spans="1:17" ht="37" customHeight="1">
      <c r="A633" s="106">
        <v>139</v>
      </c>
      <c r="B633" s="40" t="s">
        <v>3624</v>
      </c>
      <c r="C633" s="11" t="s">
        <v>3626</v>
      </c>
      <c r="D633" s="3" t="s">
        <v>2398</v>
      </c>
      <c r="E633" s="3" t="s">
        <v>2637</v>
      </c>
      <c r="F633" s="3" t="s">
        <v>3633</v>
      </c>
      <c r="G633" s="3" t="s">
        <v>2956</v>
      </c>
      <c r="H633" s="3" t="s">
        <v>121</v>
      </c>
      <c r="I633" s="21">
        <v>-10.285575</v>
      </c>
      <c r="J633" s="21">
        <v>-46.764769000000001</v>
      </c>
      <c r="K633" s="21">
        <f>1500</f>
        <v>1500</v>
      </c>
      <c r="L633" s="3">
        <v>2012</v>
      </c>
      <c r="M633" s="3">
        <v>2017</v>
      </c>
      <c r="N633" s="21" t="s">
        <v>2276</v>
      </c>
      <c r="O633" s="3" t="s">
        <v>67</v>
      </c>
      <c r="P633" s="5" t="s">
        <v>5187</v>
      </c>
      <c r="Q633" s="3"/>
    </row>
    <row r="634" spans="1:17" ht="37" customHeight="1">
      <c r="A634" s="106">
        <v>139</v>
      </c>
      <c r="B634" s="40" t="s">
        <v>3624</v>
      </c>
      <c r="C634" s="11" t="s">
        <v>3629</v>
      </c>
      <c r="D634" s="3" t="s">
        <v>2398</v>
      </c>
      <c r="E634" s="3" t="s">
        <v>2637</v>
      </c>
      <c r="F634" s="4" t="s">
        <v>3634</v>
      </c>
      <c r="G634" s="3" t="s">
        <v>2956</v>
      </c>
      <c r="H634" s="3" t="s">
        <v>121</v>
      </c>
      <c r="I634" s="21">
        <v>-10.8193436</v>
      </c>
      <c r="J634" s="21">
        <v>-46.520679000000001</v>
      </c>
      <c r="K634" s="21">
        <f>1500</f>
        <v>1500</v>
      </c>
      <c r="L634" s="3">
        <v>2012</v>
      </c>
      <c r="M634" s="3">
        <v>2017</v>
      </c>
      <c r="N634" s="21" t="s">
        <v>2276</v>
      </c>
      <c r="O634" s="3" t="s">
        <v>67</v>
      </c>
      <c r="P634" s="5" t="s">
        <v>5187</v>
      </c>
      <c r="Q634" s="3"/>
    </row>
    <row r="635" spans="1:17" ht="36.5" customHeight="1">
      <c r="A635" s="106">
        <v>139</v>
      </c>
      <c r="B635" s="40" t="s">
        <v>3624</v>
      </c>
      <c r="C635" s="11" t="s">
        <v>3630</v>
      </c>
      <c r="D635" s="3" t="s">
        <v>2398</v>
      </c>
      <c r="E635" s="3" t="s">
        <v>2637</v>
      </c>
      <c r="F635" s="3" t="s">
        <v>3627</v>
      </c>
      <c r="G635" s="3" t="s">
        <v>3628</v>
      </c>
      <c r="H635" s="3" t="s">
        <v>584</v>
      </c>
      <c r="I635" s="21">
        <v>5.203373</v>
      </c>
      <c r="J635" s="21">
        <v>-61.754542000000001</v>
      </c>
      <c r="K635" s="21">
        <v>18000</v>
      </c>
      <c r="L635" s="3">
        <v>1998</v>
      </c>
      <c r="M635" s="3">
        <v>2017</v>
      </c>
      <c r="N635" s="21" t="s">
        <v>2276</v>
      </c>
      <c r="O635" s="3" t="s">
        <v>67</v>
      </c>
      <c r="P635" s="5" t="s">
        <v>5187</v>
      </c>
      <c r="Q635" s="3"/>
    </row>
    <row r="636" spans="1:17" ht="42" customHeight="1">
      <c r="A636" s="106">
        <v>140</v>
      </c>
      <c r="B636" s="40" t="s">
        <v>3663</v>
      </c>
      <c r="C636" s="3" t="s">
        <v>3664</v>
      </c>
      <c r="D636" s="11" t="s">
        <v>2398</v>
      </c>
      <c r="E636" s="3" t="s">
        <v>3665</v>
      </c>
      <c r="F636" s="3" t="s">
        <v>2276</v>
      </c>
      <c r="G636" s="3" t="s">
        <v>2276</v>
      </c>
      <c r="H636" s="3" t="s">
        <v>3490</v>
      </c>
      <c r="I636" s="21">
        <v>-19.0156153</v>
      </c>
      <c r="J636" s="21">
        <v>29.152802000000001</v>
      </c>
      <c r="K636" s="21">
        <v>390757</v>
      </c>
      <c r="L636" s="3">
        <v>2000</v>
      </c>
      <c r="M636" s="3">
        <v>2012</v>
      </c>
      <c r="N636" s="21" t="s">
        <v>2276</v>
      </c>
      <c r="O636" s="3" t="s">
        <v>67</v>
      </c>
      <c r="P636" s="5" t="s">
        <v>5187</v>
      </c>
      <c r="Q636" s="3"/>
    </row>
    <row r="637" spans="1:17" ht="35.5" customHeight="1">
      <c r="A637" s="106">
        <v>140</v>
      </c>
      <c r="B637" s="40" t="s">
        <v>3663</v>
      </c>
      <c r="C637" s="3" t="s">
        <v>3666</v>
      </c>
      <c r="D637" s="11" t="s">
        <v>2398</v>
      </c>
      <c r="E637" s="3" t="s">
        <v>2636</v>
      </c>
      <c r="F637" s="3" t="s">
        <v>2276</v>
      </c>
      <c r="G637" s="3" t="s">
        <v>2276</v>
      </c>
      <c r="H637" s="3" t="s">
        <v>3490</v>
      </c>
      <c r="I637" s="21">
        <v>-19.0156153</v>
      </c>
      <c r="J637" s="21">
        <v>29.152802000000001</v>
      </c>
      <c r="K637" s="21">
        <v>390757</v>
      </c>
      <c r="L637" s="3">
        <v>1960</v>
      </c>
      <c r="M637" s="3">
        <v>1999</v>
      </c>
      <c r="N637" s="21" t="s">
        <v>2276</v>
      </c>
      <c r="O637" s="3" t="s">
        <v>67</v>
      </c>
      <c r="P637" s="5" t="s">
        <v>5187</v>
      </c>
      <c r="Q637" s="3"/>
    </row>
    <row r="638" spans="1:17" ht="38" customHeight="1">
      <c r="A638" s="106">
        <v>141</v>
      </c>
      <c r="B638" s="40" t="s">
        <v>3699</v>
      </c>
      <c r="C638" s="11" t="s">
        <v>3700</v>
      </c>
      <c r="D638" s="11" t="s">
        <v>2398</v>
      </c>
      <c r="E638" s="3" t="s">
        <v>2399</v>
      </c>
      <c r="F638" s="3" t="s">
        <v>3703</v>
      </c>
      <c r="G638" s="3" t="s">
        <v>3704</v>
      </c>
      <c r="H638" s="3" t="s">
        <v>3702</v>
      </c>
      <c r="I638" s="21">
        <v>47.25</v>
      </c>
      <c r="J638" s="21">
        <f>84 + (55/60)</f>
        <v>84.916666666666671</v>
      </c>
      <c r="K638" s="21">
        <v>10500</v>
      </c>
      <c r="L638" s="3">
        <v>2010</v>
      </c>
      <c r="M638" s="3">
        <v>2011</v>
      </c>
      <c r="N638" s="21">
        <f>36800/K638</f>
        <v>3.5047619047619047</v>
      </c>
      <c r="O638" s="3" t="s">
        <v>67</v>
      </c>
      <c r="P638" s="5" t="s">
        <v>5187</v>
      </c>
      <c r="Q638" s="3"/>
    </row>
    <row r="639" spans="1:17" ht="36.5" customHeight="1">
      <c r="A639" s="106">
        <v>141</v>
      </c>
      <c r="B639" s="40" t="s">
        <v>3699</v>
      </c>
      <c r="C639" s="11" t="s">
        <v>3701</v>
      </c>
      <c r="D639" s="11" t="s">
        <v>2398</v>
      </c>
      <c r="E639" s="3" t="s">
        <v>2399</v>
      </c>
      <c r="F639" s="3" t="s">
        <v>3705</v>
      </c>
      <c r="G639" s="3" t="s">
        <v>3706</v>
      </c>
      <c r="H639" s="3" t="s">
        <v>3702</v>
      </c>
      <c r="I639" s="21">
        <f>49 + 16/60</f>
        <v>49.266666666666666</v>
      </c>
      <c r="J639" s="21">
        <f>AVERAGE(85+53/60, 86+8/60)</f>
        <v>86.00833333333334</v>
      </c>
      <c r="K639" s="21">
        <v>13167</v>
      </c>
      <c r="L639" s="3">
        <v>2010</v>
      </c>
      <c r="M639" s="3">
        <v>2011</v>
      </c>
      <c r="N639" s="21">
        <f>30000/K639</f>
        <v>2.2784233310549098</v>
      </c>
      <c r="O639" s="3" t="s">
        <v>67</v>
      </c>
      <c r="P639" s="5" t="s">
        <v>5187</v>
      </c>
      <c r="Q639" s="3"/>
    </row>
    <row r="640" spans="1:17" ht="38" customHeight="1">
      <c r="A640" s="106">
        <v>142</v>
      </c>
      <c r="B640" s="40" t="s">
        <v>3715</v>
      </c>
      <c r="C640" s="11" t="s">
        <v>3716</v>
      </c>
      <c r="D640" s="11" t="s">
        <v>2398</v>
      </c>
      <c r="E640" s="3" t="s">
        <v>2400</v>
      </c>
      <c r="F640" s="3" t="s">
        <v>3717</v>
      </c>
      <c r="G640" s="3" t="s">
        <v>2276</v>
      </c>
      <c r="H640" s="3" t="s">
        <v>3718</v>
      </c>
      <c r="I640" s="21">
        <v>-18</v>
      </c>
      <c r="J640" s="21">
        <v>22.5</v>
      </c>
      <c r="K640" s="21">
        <v>4055.31</v>
      </c>
      <c r="L640" s="3">
        <v>2000</v>
      </c>
      <c r="M640" s="3">
        <v>2015</v>
      </c>
      <c r="N640" s="21" t="s">
        <v>2276</v>
      </c>
      <c r="O640" s="3" t="s">
        <v>67</v>
      </c>
      <c r="P640" s="5" t="s">
        <v>5187</v>
      </c>
      <c r="Q640" s="3" t="s">
        <v>3719</v>
      </c>
    </row>
    <row r="641" spans="1:17" ht="40" customHeight="1">
      <c r="A641" s="106">
        <v>143</v>
      </c>
      <c r="B641" s="40" t="s">
        <v>5034</v>
      </c>
      <c r="C641" s="11" t="s">
        <v>3737</v>
      </c>
      <c r="D641" s="11" t="s">
        <v>2398</v>
      </c>
      <c r="E641" s="3" t="s">
        <v>2399</v>
      </c>
      <c r="F641" s="3" t="s">
        <v>3738</v>
      </c>
      <c r="G641" s="3" t="s">
        <v>3739</v>
      </c>
      <c r="H641" s="3" t="s">
        <v>1950</v>
      </c>
      <c r="I641" s="21">
        <f>6+49/60</f>
        <v>6.8166666666666664</v>
      </c>
      <c r="J641" s="21">
        <f>39+15/60</f>
        <v>39.25</v>
      </c>
      <c r="K641" s="75">
        <f>50*25</f>
        <v>1250</v>
      </c>
      <c r="L641" s="95">
        <v>2005</v>
      </c>
      <c r="M641" s="3">
        <v>2008</v>
      </c>
      <c r="N641" s="21" t="s">
        <v>2276</v>
      </c>
      <c r="O641" s="3" t="s">
        <v>67</v>
      </c>
      <c r="P641" s="5" t="s">
        <v>5187</v>
      </c>
      <c r="Q641" s="3"/>
    </row>
    <row r="642" spans="1:17" ht="34.5" customHeight="1">
      <c r="A642" s="106">
        <v>144</v>
      </c>
      <c r="B642" s="40" t="s">
        <v>3751</v>
      </c>
      <c r="C642" s="3" t="s">
        <v>3752</v>
      </c>
      <c r="D642" s="11" t="s">
        <v>2398</v>
      </c>
      <c r="E642" s="3" t="s">
        <v>2399</v>
      </c>
      <c r="F642" s="3" t="s">
        <v>3753</v>
      </c>
      <c r="G642" s="3" t="s">
        <v>3754</v>
      </c>
      <c r="H642" s="3" t="s">
        <v>603</v>
      </c>
      <c r="I642" s="21">
        <v>-24.970725399999999</v>
      </c>
      <c r="J642" s="21">
        <v>44.309004700000003</v>
      </c>
      <c r="K642" s="21" t="s">
        <v>2276</v>
      </c>
      <c r="L642" s="3">
        <v>1997</v>
      </c>
      <c r="M642" s="3">
        <v>1997</v>
      </c>
      <c r="N642" s="3">
        <v>12</v>
      </c>
      <c r="O642" s="3" t="s">
        <v>67</v>
      </c>
      <c r="P642" s="5" t="s">
        <v>5187</v>
      </c>
      <c r="Q642" s="3"/>
    </row>
    <row r="643" spans="1:17" ht="34.5" customHeight="1">
      <c r="A643" s="106">
        <v>144</v>
      </c>
      <c r="B643" s="40" t="s">
        <v>3751</v>
      </c>
      <c r="C643" s="3" t="s">
        <v>3758</v>
      </c>
      <c r="D643" s="11" t="s">
        <v>2398</v>
      </c>
      <c r="E643" s="3" t="s">
        <v>2399</v>
      </c>
      <c r="F643" s="3" t="s">
        <v>3759</v>
      </c>
      <c r="G643" s="3" t="s">
        <v>3754</v>
      </c>
      <c r="H643" s="3" t="s">
        <v>603</v>
      </c>
      <c r="I643" s="21">
        <v>-24.358923000000001</v>
      </c>
      <c r="J643" s="21">
        <v>44.552897600000001</v>
      </c>
      <c r="K643" s="21" t="s">
        <v>2276</v>
      </c>
      <c r="L643" s="3">
        <v>1997</v>
      </c>
      <c r="M643" s="3">
        <v>1997</v>
      </c>
      <c r="N643" s="3">
        <v>12</v>
      </c>
      <c r="O643" s="3" t="s">
        <v>67</v>
      </c>
      <c r="P643" s="5" t="s">
        <v>5187</v>
      </c>
      <c r="Q643" s="3"/>
    </row>
    <row r="644" spans="1:17" ht="36.5" customHeight="1">
      <c r="A644" s="106">
        <v>145</v>
      </c>
      <c r="B644" s="40" t="s">
        <v>3768</v>
      </c>
      <c r="C644" s="3" t="s">
        <v>3769</v>
      </c>
      <c r="D644" s="11" t="s">
        <v>2398</v>
      </c>
      <c r="E644" s="3" t="s">
        <v>2399</v>
      </c>
      <c r="F644" s="3" t="s">
        <v>3772</v>
      </c>
      <c r="G644" s="3" t="s">
        <v>3771</v>
      </c>
      <c r="H644" s="3" t="s">
        <v>3770</v>
      </c>
      <c r="I644" s="21">
        <v>-31.304893799999999</v>
      </c>
      <c r="J644" s="21">
        <v>30.2599901</v>
      </c>
      <c r="K644" s="21" t="s">
        <v>2276</v>
      </c>
      <c r="L644" s="163">
        <v>1995</v>
      </c>
      <c r="M644" s="163">
        <v>1995</v>
      </c>
      <c r="N644" s="21" t="s">
        <v>2276</v>
      </c>
      <c r="O644" s="3" t="s">
        <v>67</v>
      </c>
      <c r="P644" s="5" t="s">
        <v>5187</v>
      </c>
      <c r="Q644" s="3"/>
    </row>
    <row r="645" spans="1:17" ht="41" customHeight="1">
      <c r="A645" s="106">
        <v>146</v>
      </c>
      <c r="B645" s="40" t="s">
        <v>3782</v>
      </c>
      <c r="C645" s="11" t="s">
        <v>3783</v>
      </c>
      <c r="D645" s="11" t="s">
        <v>2398</v>
      </c>
      <c r="E645" s="3" t="s">
        <v>2399</v>
      </c>
      <c r="F645" s="11" t="s">
        <v>3785</v>
      </c>
      <c r="G645" s="11" t="s">
        <v>3784</v>
      </c>
      <c r="H645" s="3" t="s">
        <v>3770</v>
      </c>
      <c r="I645" s="21">
        <f>-31-(17/60)</f>
        <v>-31.283333333333335</v>
      </c>
      <c r="J645" s="21">
        <f>29 + 59.5/60</f>
        <v>29.991666666666667</v>
      </c>
      <c r="K645" s="21" t="s">
        <v>2276</v>
      </c>
      <c r="L645" s="3">
        <v>1996</v>
      </c>
      <c r="M645" s="3">
        <v>2003</v>
      </c>
      <c r="N645" s="21" t="s">
        <v>2276</v>
      </c>
      <c r="O645" s="3" t="s">
        <v>67</v>
      </c>
      <c r="P645" s="5" t="s">
        <v>5187</v>
      </c>
      <c r="Q645" s="3"/>
    </row>
    <row r="646" spans="1:17" ht="38.5" customHeight="1">
      <c r="A646" s="106">
        <v>147</v>
      </c>
      <c r="B646" s="40" t="s">
        <v>3796</v>
      </c>
      <c r="C646" s="11" t="s">
        <v>3797</v>
      </c>
      <c r="D646" s="11" t="s">
        <v>2398</v>
      </c>
      <c r="E646" s="3" t="s">
        <v>2400</v>
      </c>
      <c r="F646" s="3" t="s">
        <v>2276</v>
      </c>
      <c r="G646" s="3" t="s">
        <v>3800</v>
      </c>
      <c r="H646" s="3" t="s">
        <v>3798</v>
      </c>
      <c r="I646" s="21">
        <v>12.204695299999999</v>
      </c>
      <c r="J646" s="21">
        <v>-8.2842389000000001</v>
      </c>
      <c r="K646" s="21">
        <v>6720</v>
      </c>
      <c r="L646" s="3">
        <v>1998</v>
      </c>
      <c r="M646" s="3">
        <v>1999</v>
      </c>
      <c r="N646" s="21" t="s">
        <v>2276</v>
      </c>
      <c r="O646" s="3" t="s">
        <v>67</v>
      </c>
      <c r="P646" s="5" t="s">
        <v>5187</v>
      </c>
      <c r="Q646" s="3"/>
    </row>
    <row r="647" spans="1:17" ht="42" customHeight="1">
      <c r="A647" s="106">
        <v>148</v>
      </c>
      <c r="B647" s="40" t="s">
        <v>3815</v>
      </c>
      <c r="C647" s="11" t="s">
        <v>3816</v>
      </c>
      <c r="D647" s="11" t="s">
        <v>2398</v>
      </c>
      <c r="E647" s="3" t="s">
        <v>2400</v>
      </c>
      <c r="F647" s="3" t="s">
        <v>3817</v>
      </c>
      <c r="G647" s="3" t="s">
        <v>2276</v>
      </c>
      <c r="H647" s="11" t="s">
        <v>3798</v>
      </c>
      <c r="I647" s="21">
        <v>11.2862917</v>
      </c>
      <c r="J647" s="21">
        <v>-8.7761057000000005</v>
      </c>
      <c r="K647" s="21">
        <f>175*175</f>
        <v>30625</v>
      </c>
      <c r="L647" s="11">
        <v>1999</v>
      </c>
      <c r="M647" s="11">
        <v>2011</v>
      </c>
      <c r="N647" s="21" t="s">
        <v>2276</v>
      </c>
      <c r="O647" s="3" t="s">
        <v>67</v>
      </c>
      <c r="P647" s="5" t="s">
        <v>5187</v>
      </c>
      <c r="Q647" s="3"/>
    </row>
    <row r="648" spans="1:17" ht="41.5" customHeight="1">
      <c r="A648" s="106">
        <v>149</v>
      </c>
      <c r="B648" s="40" t="s">
        <v>3831</v>
      </c>
      <c r="C648" s="3" t="s">
        <v>3832</v>
      </c>
      <c r="D648" s="3" t="s">
        <v>2398</v>
      </c>
      <c r="E648" s="3" t="s">
        <v>2399</v>
      </c>
      <c r="F648" s="3" t="s">
        <v>3834</v>
      </c>
      <c r="G648" s="3" t="s">
        <v>3833</v>
      </c>
      <c r="H648" s="3" t="s">
        <v>1950</v>
      </c>
      <c r="I648" s="21">
        <v>11.75</v>
      </c>
      <c r="J648" s="21">
        <v>39.75</v>
      </c>
      <c r="K648" s="21" t="s">
        <v>2276</v>
      </c>
      <c r="L648" s="3">
        <v>2013</v>
      </c>
      <c r="M648" s="3">
        <v>2014</v>
      </c>
      <c r="N648" s="3">
        <v>37</v>
      </c>
      <c r="O648" s="3" t="s">
        <v>67</v>
      </c>
      <c r="P648" s="5" t="s">
        <v>5187</v>
      </c>
      <c r="Q648" s="3"/>
    </row>
    <row r="649" spans="1:17" ht="36" customHeight="1">
      <c r="A649" s="106">
        <v>149</v>
      </c>
      <c r="B649" s="40" t="s">
        <v>3831</v>
      </c>
      <c r="C649" s="3" t="s">
        <v>3835</v>
      </c>
      <c r="D649" s="3" t="s">
        <v>2398</v>
      </c>
      <c r="E649" s="3" t="s">
        <v>2399</v>
      </c>
      <c r="F649" s="3" t="s">
        <v>3836</v>
      </c>
      <c r="G649" s="3" t="s">
        <v>3833</v>
      </c>
      <c r="H649" s="3" t="s">
        <v>1950</v>
      </c>
      <c r="I649" s="21">
        <v>12</v>
      </c>
      <c r="J649" s="21">
        <v>40.4</v>
      </c>
      <c r="K649" s="21" t="s">
        <v>2276</v>
      </c>
      <c r="L649" s="3">
        <v>2013</v>
      </c>
      <c r="M649" s="3">
        <v>2014</v>
      </c>
      <c r="N649" s="3">
        <v>12</v>
      </c>
      <c r="O649" s="3" t="s">
        <v>67</v>
      </c>
      <c r="P649" s="5" t="s">
        <v>5187</v>
      </c>
      <c r="Q649" s="3"/>
    </row>
    <row r="650" spans="1:17" ht="47.5" customHeight="1">
      <c r="A650" s="106">
        <v>150</v>
      </c>
      <c r="B650" s="40" t="s">
        <v>3840</v>
      </c>
      <c r="C650" s="11" t="s">
        <v>3841</v>
      </c>
      <c r="D650" s="11" t="s">
        <v>2398</v>
      </c>
      <c r="E650" s="11" t="s">
        <v>2399</v>
      </c>
      <c r="F650" s="144" t="s">
        <v>3842</v>
      </c>
      <c r="G650" s="3" t="s">
        <v>3843</v>
      </c>
      <c r="H650" s="3" t="s">
        <v>3718</v>
      </c>
      <c r="I650" s="21">
        <v>-20.291195299999998</v>
      </c>
      <c r="J650" s="21">
        <v>19.796045500000002</v>
      </c>
      <c r="K650" s="21">
        <v>4500</v>
      </c>
      <c r="L650" s="3">
        <v>2002</v>
      </c>
      <c r="M650" s="3">
        <v>2002</v>
      </c>
      <c r="N650" s="21" t="s">
        <v>2276</v>
      </c>
      <c r="O650" s="3" t="s">
        <v>67</v>
      </c>
      <c r="P650" s="5" t="s">
        <v>5187</v>
      </c>
      <c r="Q650" s="4" t="s">
        <v>3844</v>
      </c>
    </row>
    <row r="651" spans="1:17" ht="55" customHeight="1">
      <c r="A651" s="106">
        <v>151</v>
      </c>
      <c r="B651" s="40" t="s">
        <v>3849</v>
      </c>
      <c r="C651" s="11" t="s">
        <v>3850</v>
      </c>
      <c r="D651" s="11" t="s">
        <v>2398</v>
      </c>
      <c r="E651" s="11" t="s">
        <v>2399</v>
      </c>
      <c r="F651" s="4" t="s">
        <v>3851</v>
      </c>
      <c r="G651" s="3" t="s">
        <v>3852</v>
      </c>
      <c r="H651" s="3" t="s">
        <v>88</v>
      </c>
      <c r="I651" s="21">
        <f>11 + AVERAGE(32, 43)/60</f>
        <v>11.625</v>
      </c>
      <c r="J651" s="21">
        <f>76 + AVERAGE(22, 45) / 60</f>
        <v>76.558333333333337</v>
      </c>
      <c r="K651" s="21">
        <v>321</v>
      </c>
      <c r="L651" s="8">
        <v>1991</v>
      </c>
      <c r="M651" s="8">
        <v>1991</v>
      </c>
      <c r="N651" s="21" t="s">
        <v>2276</v>
      </c>
      <c r="O651" s="3" t="s">
        <v>67</v>
      </c>
      <c r="P651" s="5" t="s">
        <v>5187</v>
      </c>
      <c r="Q651" s="4" t="s">
        <v>3853</v>
      </c>
    </row>
    <row r="652" spans="1:17" ht="65.5" customHeight="1">
      <c r="A652" s="106">
        <v>152</v>
      </c>
      <c r="B652" s="40" t="s">
        <v>3860</v>
      </c>
      <c r="C652" s="11" t="s">
        <v>3861</v>
      </c>
      <c r="D652" s="11" t="s">
        <v>2398</v>
      </c>
      <c r="E652" s="11" t="s">
        <v>2420</v>
      </c>
      <c r="F652" s="3" t="s">
        <v>3862</v>
      </c>
      <c r="G652" s="3" t="s">
        <v>3628</v>
      </c>
      <c r="H652" s="3" t="s">
        <v>584</v>
      </c>
      <c r="I652" s="21">
        <v>4.9754106</v>
      </c>
      <c r="J652" s="21">
        <v>-61.151833799999999</v>
      </c>
      <c r="K652" s="21">
        <v>3600</v>
      </c>
      <c r="L652" s="3">
        <v>1992</v>
      </c>
      <c r="M652" s="3">
        <v>2004</v>
      </c>
      <c r="N652" s="21" t="s">
        <v>2276</v>
      </c>
      <c r="O652" s="3" t="s">
        <v>67</v>
      </c>
      <c r="P652" s="5" t="s">
        <v>5187</v>
      </c>
      <c r="Q652" s="4" t="s">
        <v>3863</v>
      </c>
    </row>
    <row r="653" spans="1:17" ht="47.5" customHeight="1">
      <c r="A653" s="106">
        <v>153</v>
      </c>
      <c r="B653" s="40" t="s">
        <v>3891</v>
      </c>
      <c r="C653" s="11" t="s">
        <v>3892</v>
      </c>
      <c r="D653" s="11" t="s">
        <v>2398</v>
      </c>
      <c r="E653" s="11" t="s">
        <v>2399</v>
      </c>
      <c r="F653" s="3" t="s">
        <v>2276</v>
      </c>
      <c r="G653" s="3" t="s">
        <v>3894</v>
      </c>
      <c r="H653" s="3" t="s">
        <v>3798</v>
      </c>
      <c r="I653" s="21">
        <f>11+16/60</f>
        <v>11.266666666666667</v>
      </c>
      <c r="J653" s="21">
        <f>-7 - 21/60</f>
        <v>-7.35</v>
      </c>
      <c r="K653" s="21" t="s">
        <v>2276</v>
      </c>
      <c r="L653" s="3">
        <v>2014</v>
      </c>
      <c r="M653" s="3">
        <v>2014</v>
      </c>
      <c r="N653" s="21" t="s">
        <v>2276</v>
      </c>
      <c r="O653" s="3" t="s">
        <v>67</v>
      </c>
      <c r="P653" s="5" t="s">
        <v>5187</v>
      </c>
      <c r="Q653" s="3"/>
    </row>
    <row r="654" spans="1:17" ht="47" customHeight="1">
      <c r="A654" s="106">
        <v>153</v>
      </c>
      <c r="B654" s="40" t="s">
        <v>3891</v>
      </c>
      <c r="C654" s="11" t="s">
        <v>3893</v>
      </c>
      <c r="D654" s="11" t="s">
        <v>2398</v>
      </c>
      <c r="E654" s="11" t="s">
        <v>2399</v>
      </c>
      <c r="F654" s="3" t="s">
        <v>2276</v>
      </c>
      <c r="G654" s="3" t="s">
        <v>3895</v>
      </c>
      <c r="H654" s="3" t="s">
        <v>3798</v>
      </c>
      <c r="I654" s="21">
        <f>12 + 38/60</f>
        <v>12.633333333333333</v>
      </c>
      <c r="J654" s="21">
        <f>-5-1/60</f>
        <v>-5.0166666666666666</v>
      </c>
      <c r="K654" s="21" t="s">
        <v>2276</v>
      </c>
      <c r="L654" s="3">
        <v>2014</v>
      </c>
      <c r="M654" s="3">
        <v>2014</v>
      </c>
      <c r="N654" s="21" t="s">
        <v>2276</v>
      </c>
      <c r="O654" s="3" t="s">
        <v>67</v>
      </c>
      <c r="P654" s="5" t="s">
        <v>5187</v>
      </c>
      <c r="Q654" s="3"/>
    </row>
    <row r="655" spans="1:17" ht="41.5" customHeight="1">
      <c r="A655" s="106">
        <v>154</v>
      </c>
      <c r="B655" s="40" t="s">
        <v>3900</v>
      </c>
      <c r="C655" s="3" t="s">
        <v>3901</v>
      </c>
      <c r="D655" s="11" t="s">
        <v>2398</v>
      </c>
      <c r="E655" s="11" t="s">
        <v>2399</v>
      </c>
      <c r="F655" s="3" t="s">
        <v>2276</v>
      </c>
      <c r="G655" s="3" t="s">
        <v>3902</v>
      </c>
      <c r="H655" s="3" t="s">
        <v>1143</v>
      </c>
      <c r="I655" s="21">
        <v>10.793835700000001</v>
      </c>
      <c r="J655" s="21">
        <v>-0.20930380000000001</v>
      </c>
      <c r="K655" s="21" t="s">
        <v>2276</v>
      </c>
      <c r="L655" s="3">
        <v>2012</v>
      </c>
      <c r="M655" s="3">
        <v>2014</v>
      </c>
      <c r="N655" s="21" t="s">
        <v>2276</v>
      </c>
      <c r="O655" s="3" t="s">
        <v>67</v>
      </c>
      <c r="P655" s="5" t="s">
        <v>5187</v>
      </c>
      <c r="Q655" s="3"/>
    </row>
    <row r="656" spans="1:17" ht="41.5" customHeight="1">
      <c r="A656" s="106">
        <v>154</v>
      </c>
      <c r="B656" s="40" t="s">
        <v>3900</v>
      </c>
      <c r="C656" s="3" t="s">
        <v>3907</v>
      </c>
      <c r="D656" s="11" t="s">
        <v>2398</v>
      </c>
      <c r="E656" s="11" t="s">
        <v>2399</v>
      </c>
      <c r="F656" s="3" t="s">
        <v>2276</v>
      </c>
      <c r="G656" s="11" t="s">
        <v>3903</v>
      </c>
      <c r="H656" s="3" t="s">
        <v>1143</v>
      </c>
      <c r="I656" s="21">
        <v>10.940053900000001</v>
      </c>
      <c r="J656" s="21">
        <v>-0.48181069999999998</v>
      </c>
      <c r="K656" s="21" t="s">
        <v>2276</v>
      </c>
      <c r="L656" s="3">
        <v>2012</v>
      </c>
      <c r="M656" s="3">
        <v>2014</v>
      </c>
      <c r="N656" s="21" t="s">
        <v>2276</v>
      </c>
      <c r="O656" s="3" t="s">
        <v>67</v>
      </c>
      <c r="P656" s="5" t="s">
        <v>5187</v>
      </c>
      <c r="Q656" s="3"/>
    </row>
    <row r="657" spans="1:17" ht="41.5" customHeight="1">
      <c r="A657" s="106">
        <v>154</v>
      </c>
      <c r="B657" s="40" t="s">
        <v>3900</v>
      </c>
      <c r="C657" s="3" t="s">
        <v>3909</v>
      </c>
      <c r="D657" s="11" t="s">
        <v>2398</v>
      </c>
      <c r="E657" s="11" t="s">
        <v>2399</v>
      </c>
      <c r="F657" s="3" t="s">
        <v>2276</v>
      </c>
      <c r="G657" s="11" t="s">
        <v>3904</v>
      </c>
      <c r="H657" s="3" t="s">
        <v>1143</v>
      </c>
      <c r="I657" s="21">
        <v>10.4290115</v>
      </c>
      <c r="J657" s="21">
        <v>-0.39070129999999997</v>
      </c>
      <c r="K657" s="21" t="s">
        <v>2276</v>
      </c>
      <c r="L657" s="3">
        <v>2012</v>
      </c>
      <c r="M657" s="3">
        <v>2014</v>
      </c>
      <c r="N657" s="21" t="s">
        <v>2276</v>
      </c>
      <c r="O657" s="3" t="s">
        <v>67</v>
      </c>
      <c r="P657" s="5" t="s">
        <v>5187</v>
      </c>
      <c r="Q657" s="3"/>
    </row>
    <row r="658" spans="1:17" ht="41.5" customHeight="1">
      <c r="A658" s="106">
        <v>154</v>
      </c>
      <c r="B658" s="40" t="s">
        <v>3900</v>
      </c>
      <c r="C658" s="3" t="s">
        <v>3908</v>
      </c>
      <c r="D658" s="11" t="s">
        <v>2398</v>
      </c>
      <c r="E658" s="11" t="s">
        <v>2399</v>
      </c>
      <c r="F658" s="3" t="s">
        <v>2276</v>
      </c>
      <c r="G658" s="11" t="s">
        <v>3905</v>
      </c>
      <c r="H658" s="3" t="s">
        <v>1143</v>
      </c>
      <c r="I658" s="21">
        <v>9.9246359000000002</v>
      </c>
      <c r="J658" s="21">
        <v>-0.43144850000000001</v>
      </c>
      <c r="K658" s="21" t="s">
        <v>2276</v>
      </c>
      <c r="L658" s="3">
        <v>2012</v>
      </c>
      <c r="M658" s="3">
        <v>2014</v>
      </c>
      <c r="N658" s="21" t="s">
        <v>2276</v>
      </c>
      <c r="O658" s="3" t="s">
        <v>67</v>
      </c>
      <c r="P658" s="5" t="s">
        <v>5187</v>
      </c>
      <c r="Q658" s="3"/>
    </row>
    <row r="659" spans="1:17" ht="41.5" customHeight="1">
      <c r="A659" s="106">
        <v>154</v>
      </c>
      <c r="B659" s="40" t="s">
        <v>3900</v>
      </c>
      <c r="C659" s="3" t="s">
        <v>3910</v>
      </c>
      <c r="D659" s="11" t="s">
        <v>2398</v>
      </c>
      <c r="E659" s="11" t="s">
        <v>2399</v>
      </c>
      <c r="F659" s="3" t="s">
        <v>2276</v>
      </c>
      <c r="G659" s="11" t="s">
        <v>3906</v>
      </c>
      <c r="H659" s="3" t="s">
        <v>1143</v>
      </c>
      <c r="I659" s="21">
        <v>8.9420306000000007</v>
      </c>
      <c r="J659" s="21">
        <v>1.7106300000000001E-2</v>
      </c>
      <c r="K659" s="21" t="s">
        <v>2276</v>
      </c>
      <c r="L659" s="3">
        <v>2012</v>
      </c>
      <c r="M659" s="3">
        <v>2014</v>
      </c>
      <c r="N659" s="21" t="s">
        <v>2276</v>
      </c>
      <c r="O659" s="3" t="s">
        <v>67</v>
      </c>
      <c r="P659" s="5" t="s">
        <v>5187</v>
      </c>
      <c r="Q659" s="3"/>
    </row>
    <row r="660" spans="1:17" ht="41.5" customHeight="1">
      <c r="A660" s="106">
        <v>154</v>
      </c>
      <c r="B660" s="40" t="s">
        <v>3900</v>
      </c>
      <c r="C660" s="3" t="s">
        <v>3911</v>
      </c>
      <c r="D660" s="11" t="s">
        <v>2398</v>
      </c>
      <c r="E660" s="11" t="s">
        <v>2399</v>
      </c>
      <c r="F660" s="3" t="s">
        <v>2276</v>
      </c>
      <c r="G660" s="11" t="s">
        <v>3912</v>
      </c>
      <c r="H660" s="3" t="s">
        <v>1143</v>
      </c>
      <c r="I660" s="21">
        <v>8.9269064</v>
      </c>
      <c r="J660" s="21">
        <v>-1.3932036999999999</v>
      </c>
      <c r="K660" s="21" t="s">
        <v>2276</v>
      </c>
      <c r="L660" s="3">
        <v>2012</v>
      </c>
      <c r="M660" s="3">
        <v>2014</v>
      </c>
      <c r="N660" s="21" t="s">
        <v>2276</v>
      </c>
      <c r="O660" s="3" t="s">
        <v>67</v>
      </c>
      <c r="P660" s="5" t="s">
        <v>5187</v>
      </c>
      <c r="Q660" s="3"/>
    </row>
    <row r="661" spans="1:17" ht="31" customHeight="1">
      <c r="A661" s="106">
        <v>155</v>
      </c>
      <c r="B661" s="40" t="s">
        <v>3946</v>
      </c>
      <c r="C661" s="11" t="s">
        <v>3921</v>
      </c>
      <c r="D661" s="11" t="s">
        <v>2398</v>
      </c>
      <c r="E661" s="11" t="s">
        <v>2399</v>
      </c>
      <c r="F661" s="33" t="s">
        <v>2276</v>
      </c>
      <c r="G661" s="11" t="s">
        <v>3934</v>
      </c>
      <c r="H661" s="11" t="s">
        <v>3933</v>
      </c>
      <c r="I661" s="21">
        <v>13.349641399999999</v>
      </c>
      <c r="J661" s="21">
        <v>-16.019096399999999</v>
      </c>
      <c r="K661" s="21" t="s">
        <v>2276</v>
      </c>
      <c r="L661" s="22">
        <v>2008</v>
      </c>
      <c r="M661" s="22">
        <v>2009</v>
      </c>
      <c r="N661" s="21" t="s">
        <v>2276</v>
      </c>
      <c r="O661" s="3" t="s">
        <v>67</v>
      </c>
      <c r="P661" s="5" t="s">
        <v>5187</v>
      </c>
      <c r="Q661" s="24" t="s">
        <v>4382</v>
      </c>
    </row>
    <row r="662" spans="1:17" ht="31" customHeight="1">
      <c r="A662" s="106">
        <v>155</v>
      </c>
      <c r="B662" s="40" t="s">
        <v>3946</v>
      </c>
      <c r="C662" s="11" t="s">
        <v>3922</v>
      </c>
      <c r="D662" s="11" t="s">
        <v>2398</v>
      </c>
      <c r="E662" s="11" t="s">
        <v>2399</v>
      </c>
      <c r="F662" s="3" t="s">
        <v>2276</v>
      </c>
      <c r="G662" s="11" t="s">
        <v>3935</v>
      </c>
      <c r="H662" s="11" t="s">
        <v>3933</v>
      </c>
      <c r="I662" s="21">
        <v>13.7160305</v>
      </c>
      <c r="J662" s="21">
        <v>-15.100198600000001</v>
      </c>
      <c r="K662" s="21" t="s">
        <v>2276</v>
      </c>
      <c r="L662" s="22">
        <v>2008</v>
      </c>
      <c r="M662" s="22">
        <v>2009</v>
      </c>
      <c r="N662" s="21" t="s">
        <v>2276</v>
      </c>
      <c r="O662" s="3" t="s">
        <v>67</v>
      </c>
      <c r="P662" s="5" t="s">
        <v>5187</v>
      </c>
      <c r="Q662" s="24" t="s">
        <v>4382</v>
      </c>
    </row>
    <row r="663" spans="1:17" ht="31" customHeight="1">
      <c r="A663" s="106">
        <v>155</v>
      </c>
      <c r="B663" s="40" t="s">
        <v>3946</v>
      </c>
      <c r="C663" s="11" t="s">
        <v>3923</v>
      </c>
      <c r="D663" s="11" t="s">
        <v>2398</v>
      </c>
      <c r="E663" s="11" t="s">
        <v>2399</v>
      </c>
      <c r="F663" s="33" t="s">
        <v>2276</v>
      </c>
      <c r="G663" s="11" t="s">
        <v>4412</v>
      </c>
      <c r="H663" s="11" t="s">
        <v>3933</v>
      </c>
      <c r="I663" s="21">
        <v>13.5721112</v>
      </c>
      <c r="J663" s="21">
        <v>-15.2698559</v>
      </c>
      <c r="K663" s="21" t="s">
        <v>2276</v>
      </c>
      <c r="L663" s="22">
        <v>2008</v>
      </c>
      <c r="M663" s="22">
        <v>2009</v>
      </c>
      <c r="N663" s="21" t="s">
        <v>2276</v>
      </c>
      <c r="O663" s="3" t="s">
        <v>67</v>
      </c>
      <c r="P663" s="5" t="s">
        <v>5187</v>
      </c>
      <c r="Q663" s="24" t="s">
        <v>4382</v>
      </c>
    </row>
    <row r="664" spans="1:17" ht="31" customHeight="1">
      <c r="A664" s="106">
        <v>155</v>
      </c>
      <c r="B664" s="40" t="s">
        <v>3946</v>
      </c>
      <c r="C664" s="11" t="s">
        <v>3924</v>
      </c>
      <c r="D664" s="11" t="s">
        <v>2398</v>
      </c>
      <c r="E664" s="11" t="s">
        <v>2399</v>
      </c>
      <c r="F664" s="3" t="s">
        <v>2276</v>
      </c>
      <c r="G664" s="11" t="s">
        <v>3936</v>
      </c>
      <c r="H664" s="11" t="s">
        <v>2985</v>
      </c>
      <c r="I664" s="21">
        <v>12.7896705</v>
      </c>
      <c r="J664" s="21">
        <v>-16.310594500000001</v>
      </c>
      <c r="K664" s="21" t="s">
        <v>2276</v>
      </c>
      <c r="L664" s="22">
        <v>2008</v>
      </c>
      <c r="M664" s="22">
        <v>2009</v>
      </c>
      <c r="N664" s="21" t="s">
        <v>2276</v>
      </c>
      <c r="O664" s="3" t="s">
        <v>67</v>
      </c>
      <c r="P664" s="5" t="s">
        <v>5187</v>
      </c>
      <c r="Q664" s="24" t="s">
        <v>4382</v>
      </c>
    </row>
    <row r="665" spans="1:17" ht="31" customHeight="1">
      <c r="A665" s="106">
        <v>155</v>
      </c>
      <c r="B665" s="40" t="s">
        <v>3946</v>
      </c>
      <c r="C665" s="11" t="s">
        <v>3925</v>
      </c>
      <c r="D665" s="11" t="s">
        <v>2398</v>
      </c>
      <c r="E665" s="11" t="s">
        <v>2399</v>
      </c>
      <c r="F665" s="33" t="s">
        <v>2276</v>
      </c>
      <c r="G665" s="3" t="s">
        <v>3937</v>
      </c>
      <c r="H665" s="11" t="s">
        <v>2985</v>
      </c>
      <c r="I665" s="21">
        <v>12.7486046</v>
      </c>
      <c r="J665" s="21">
        <v>-14.159317</v>
      </c>
      <c r="K665" s="21" t="s">
        <v>2276</v>
      </c>
      <c r="L665" s="22">
        <v>2008</v>
      </c>
      <c r="M665" s="22">
        <v>2009</v>
      </c>
      <c r="N665" s="21" t="s">
        <v>2276</v>
      </c>
      <c r="O665" s="3" t="s">
        <v>67</v>
      </c>
      <c r="P665" s="5" t="s">
        <v>5187</v>
      </c>
      <c r="Q665" s="24" t="s">
        <v>4382</v>
      </c>
    </row>
    <row r="666" spans="1:17" ht="31" customHeight="1">
      <c r="A666" s="106">
        <v>155</v>
      </c>
      <c r="B666" s="40" t="s">
        <v>3946</v>
      </c>
      <c r="C666" s="11" t="s">
        <v>3926</v>
      </c>
      <c r="D666" s="11" t="s">
        <v>2398</v>
      </c>
      <c r="E666" s="11" t="s">
        <v>2399</v>
      </c>
      <c r="F666" s="3" t="s">
        <v>2276</v>
      </c>
      <c r="G666" s="3" t="s">
        <v>3938</v>
      </c>
      <c r="H666" s="11" t="s">
        <v>2985</v>
      </c>
      <c r="I666" s="21">
        <v>12.5380691</v>
      </c>
      <c r="J666" s="21">
        <v>-12.310642</v>
      </c>
      <c r="K666" s="21" t="s">
        <v>2276</v>
      </c>
      <c r="L666" s="22">
        <v>2008</v>
      </c>
      <c r="M666" s="22">
        <v>2009</v>
      </c>
      <c r="N666" s="21" t="s">
        <v>2276</v>
      </c>
      <c r="O666" s="3" t="s">
        <v>67</v>
      </c>
      <c r="P666" s="5" t="s">
        <v>5187</v>
      </c>
      <c r="Q666" s="24" t="s">
        <v>4382</v>
      </c>
    </row>
    <row r="667" spans="1:17" ht="31" customHeight="1">
      <c r="A667" s="106">
        <v>155</v>
      </c>
      <c r="B667" s="40" t="s">
        <v>3946</v>
      </c>
      <c r="C667" s="11" t="s">
        <v>3927</v>
      </c>
      <c r="D667" s="11" t="s">
        <v>2398</v>
      </c>
      <c r="E667" s="11" t="s">
        <v>2399</v>
      </c>
      <c r="F667" s="33" t="s">
        <v>2276</v>
      </c>
      <c r="G667" s="3" t="s">
        <v>3939</v>
      </c>
      <c r="H667" s="3" t="s">
        <v>3798</v>
      </c>
      <c r="I667" s="21">
        <v>12.586008100000001</v>
      </c>
      <c r="J667" s="21">
        <v>-9.8033237</v>
      </c>
      <c r="K667" s="21" t="s">
        <v>2276</v>
      </c>
      <c r="L667" s="22">
        <v>2008</v>
      </c>
      <c r="M667" s="22">
        <v>2009</v>
      </c>
      <c r="N667" s="21" t="s">
        <v>2276</v>
      </c>
      <c r="O667" s="3" t="s">
        <v>67</v>
      </c>
      <c r="P667" s="5" t="s">
        <v>5187</v>
      </c>
      <c r="Q667" s="24" t="s">
        <v>4382</v>
      </c>
    </row>
    <row r="668" spans="1:17" ht="31" customHeight="1">
      <c r="A668" s="106">
        <v>155</v>
      </c>
      <c r="B668" s="40" t="s">
        <v>3946</v>
      </c>
      <c r="C668" s="11" t="s">
        <v>3928</v>
      </c>
      <c r="D668" s="11" t="s">
        <v>2398</v>
      </c>
      <c r="E668" s="11" t="s">
        <v>2399</v>
      </c>
      <c r="F668" s="3" t="s">
        <v>2276</v>
      </c>
      <c r="G668" s="3" t="s">
        <v>3940</v>
      </c>
      <c r="H668" s="3" t="s">
        <v>3798</v>
      </c>
      <c r="I668" s="21">
        <v>10.527438</v>
      </c>
      <c r="J668" s="21">
        <v>-6.9035045999999998</v>
      </c>
      <c r="K668" s="21" t="s">
        <v>2276</v>
      </c>
      <c r="L668" s="22">
        <v>2008</v>
      </c>
      <c r="M668" s="22">
        <v>2009</v>
      </c>
      <c r="N668" s="21" t="s">
        <v>2276</v>
      </c>
      <c r="O668" s="3" t="s">
        <v>67</v>
      </c>
      <c r="P668" s="5" t="s">
        <v>5187</v>
      </c>
      <c r="Q668" s="24" t="s">
        <v>4382</v>
      </c>
    </row>
    <row r="669" spans="1:17" ht="31" customHeight="1">
      <c r="A669" s="106">
        <v>155</v>
      </c>
      <c r="B669" s="40" t="s">
        <v>3946</v>
      </c>
      <c r="C669" s="11" t="s">
        <v>3929</v>
      </c>
      <c r="D669" s="11" t="s">
        <v>2398</v>
      </c>
      <c r="E669" s="11" t="s">
        <v>2399</v>
      </c>
      <c r="F669" s="33" t="s">
        <v>2276</v>
      </c>
      <c r="G669" s="3" t="s">
        <v>3941</v>
      </c>
      <c r="H669" s="3" t="s">
        <v>3798</v>
      </c>
      <c r="I669" s="21">
        <v>10.4564567</v>
      </c>
      <c r="J669" s="21">
        <v>-7.4489020999999997</v>
      </c>
      <c r="K669" s="21" t="s">
        <v>2276</v>
      </c>
      <c r="L669" s="22">
        <v>2008</v>
      </c>
      <c r="M669" s="22">
        <v>2009</v>
      </c>
      <c r="N669" s="21" t="s">
        <v>2276</v>
      </c>
      <c r="O669" s="3" t="s">
        <v>67</v>
      </c>
      <c r="P669" s="5" t="s">
        <v>5187</v>
      </c>
      <c r="Q669" s="24" t="s">
        <v>4382</v>
      </c>
    </row>
    <row r="670" spans="1:17" ht="30" customHeight="1">
      <c r="A670" s="106">
        <v>155</v>
      </c>
      <c r="B670" s="40" t="s">
        <v>3946</v>
      </c>
      <c r="C670" s="11" t="s">
        <v>3930</v>
      </c>
      <c r="D670" s="11" t="s">
        <v>2398</v>
      </c>
      <c r="E670" s="11" t="s">
        <v>2399</v>
      </c>
      <c r="F670" s="3" t="s">
        <v>2276</v>
      </c>
      <c r="G670" s="3" t="s">
        <v>3942</v>
      </c>
      <c r="H670" s="3" t="s">
        <v>3944</v>
      </c>
      <c r="I670" s="21">
        <v>11.7544994</v>
      </c>
      <c r="J670" s="21">
        <v>-13.204300399999999</v>
      </c>
      <c r="K670" s="21" t="s">
        <v>2276</v>
      </c>
      <c r="L670" s="22">
        <v>2008</v>
      </c>
      <c r="M670" s="22">
        <v>2009</v>
      </c>
      <c r="N670" s="21" t="s">
        <v>2276</v>
      </c>
      <c r="O670" s="3" t="s">
        <v>67</v>
      </c>
      <c r="P670" s="5" t="s">
        <v>5187</v>
      </c>
      <c r="Q670" s="24" t="s">
        <v>4382</v>
      </c>
    </row>
    <row r="671" spans="1:17" ht="30" customHeight="1">
      <c r="A671" s="106">
        <v>155</v>
      </c>
      <c r="B671" s="40" t="s">
        <v>3946</v>
      </c>
      <c r="C671" s="11" t="s">
        <v>3931</v>
      </c>
      <c r="D671" s="11" t="s">
        <v>2398</v>
      </c>
      <c r="E671" s="11" t="s">
        <v>2399</v>
      </c>
      <c r="F671" s="33" t="s">
        <v>2276</v>
      </c>
      <c r="G671" s="3" t="s">
        <v>3943</v>
      </c>
      <c r="H671" s="3" t="s">
        <v>3944</v>
      </c>
      <c r="I671" s="21">
        <v>11.291210700000001</v>
      </c>
      <c r="J671" s="21">
        <v>-10.711305100000001</v>
      </c>
      <c r="K671" s="21" t="s">
        <v>2276</v>
      </c>
      <c r="L671" s="22">
        <v>2008</v>
      </c>
      <c r="M671" s="22">
        <v>2009</v>
      </c>
      <c r="N671" s="21" t="s">
        <v>2276</v>
      </c>
      <c r="O671" s="3" t="s">
        <v>67</v>
      </c>
      <c r="P671" s="5" t="s">
        <v>5187</v>
      </c>
      <c r="Q671" s="24" t="s">
        <v>4382</v>
      </c>
    </row>
    <row r="672" spans="1:17" ht="34.5" customHeight="1">
      <c r="A672" s="106">
        <v>155</v>
      </c>
      <c r="B672" s="40" t="s">
        <v>3946</v>
      </c>
      <c r="C672" s="11" t="s">
        <v>3932</v>
      </c>
      <c r="D672" s="11" t="s">
        <v>2398</v>
      </c>
      <c r="E672" s="11" t="s">
        <v>2399</v>
      </c>
      <c r="F672" s="3" t="s">
        <v>2276</v>
      </c>
      <c r="G672" s="3" t="s">
        <v>3945</v>
      </c>
      <c r="H672" s="3" t="s">
        <v>3944</v>
      </c>
      <c r="I672" s="21">
        <v>8.8076275000000006</v>
      </c>
      <c r="J672" s="21">
        <v>-8.3084334999999996</v>
      </c>
      <c r="K672" s="21" t="s">
        <v>2276</v>
      </c>
      <c r="L672" s="22">
        <v>2008</v>
      </c>
      <c r="M672" s="22">
        <v>2009</v>
      </c>
      <c r="N672" s="21" t="s">
        <v>2276</v>
      </c>
      <c r="O672" s="3" t="s">
        <v>67</v>
      </c>
      <c r="P672" s="5" t="s">
        <v>5187</v>
      </c>
      <c r="Q672" s="24" t="s">
        <v>4382</v>
      </c>
    </row>
    <row r="673" spans="1:17" ht="35" customHeight="1">
      <c r="A673" s="106">
        <v>156</v>
      </c>
      <c r="B673" s="40" t="s">
        <v>3965</v>
      </c>
      <c r="C673" s="11" t="s">
        <v>3966</v>
      </c>
      <c r="D673" s="11" t="s">
        <v>2398</v>
      </c>
      <c r="E673" s="11" t="s">
        <v>2422</v>
      </c>
      <c r="F673" s="3" t="s">
        <v>2276</v>
      </c>
      <c r="G673" s="3" t="s">
        <v>3970</v>
      </c>
      <c r="H673" s="3" t="s">
        <v>385</v>
      </c>
      <c r="I673" s="21">
        <v>-3.7622458999999999</v>
      </c>
      <c r="J673" s="21">
        <v>32.958203500000003</v>
      </c>
      <c r="K673" s="21" t="s">
        <v>2276</v>
      </c>
      <c r="L673" s="3">
        <v>1962</v>
      </c>
      <c r="M673" s="3">
        <v>2000</v>
      </c>
      <c r="N673" s="21">
        <v>42</v>
      </c>
      <c r="O673" s="3" t="s">
        <v>67</v>
      </c>
      <c r="P673" s="5" t="s">
        <v>5187</v>
      </c>
      <c r="Q673" s="3" t="s">
        <v>3971</v>
      </c>
    </row>
    <row r="674" spans="1:17" ht="39.5" customHeight="1">
      <c r="A674" s="106">
        <v>156</v>
      </c>
      <c r="B674" s="40" t="s">
        <v>3965</v>
      </c>
      <c r="C674" s="11" t="s">
        <v>3967</v>
      </c>
      <c r="D674" s="11" t="s">
        <v>2398</v>
      </c>
      <c r="E674" s="11" t="s">
        <v>2422</v>
      </c>
      <c r="F674" s="3" t="s">
        <v>3968</v>
      </c>
      <c r="G674" s="3" t="s">
        <v>3969</v>
      </c>
      <c r="H674" s="3" t="s">
        <v>1951</v>
      </c>
      <c r="I674" s="21">
        <v>3.2100271</v>
      </c>
      <c r="J674" s="21">
        <v>35.347988600000001</v>
      </c>
      <c r="K674" s="21" t="s">
        <v>2276</v>
      </c>
      <c r="L674" s="3">
        <v>1962</v>
      </c>
      <c r="M674" s="3">
        <v>1981</v>
      </c>
      <c r="N674" s="21" t="s">
        <v>2276</v>
      </c>
      <c r="O674" s="3" t="s">
        <v>67</v>
      </c>
      <c r="P674" s="5" t="s">
        <v>5187</v>
      </c>
      <c r="Q674" s="3" t="s">
        <v>3971</v>
      </c>
    </row>
    <row r="675" spans="1:17" ht="35.5" customHeight="1">
      <c r="A675" s="106">
        <v>156</v>
      </c>
      <c r="B675" s="40" t="s">
        <v>3965</v>
      </c>
      <c r="C675" s="11" t="s">
        <v>3972</v>
      </c>
      <c r="D675" s="11" t="s">
        <v>2398</v>
      </c>
      <c r="E675" s="11" t="s">
        <v>2422</v>
      </c>
      <c r="F675" s="3" t="s">
        <v>3968</v>
      </c>
      <c r="G675" s="3" t="s">
        <v>3969</v>
      </c>
      <c r="H675" s="3" t="s">
        <v>1951</v>
      </c>
      <c r="I675" s="21">
        <v>3.2100271</v>
      </c>
      <c r="J675" s="21">
        <v>35.347988600000001</v>
      </c>
      <c r="K675" s="21" t="s">
        <v>2276</v>
      </c>
      <c r="L675" s="3">
        <v>1982</v>
      </c>
      <c r="M675" s="3">
        <v>2000</v>
      </c>
      <c r="N675" s="21" t="s">
        <v>2276</v>
      </c>
      <c r="O675" s="3" t="s">
        <v>67</v>
      </c>
      <c r="P675" s="5" t="s">
        <v>5187</v>
      </c>
      <c r="Q675" s="3" t="s">
        <v>3971</v>
      </c>
    </row>
    <row r="676" spans="1:17" ht="47" customHeight="1">
      <c r="A676" s="106">
        <v>157</v>
      </c>
      <c r="B676" s="40" t="s">
        <v>3988</v>
      </c>
      <c r="C676" s="11" t="s">
        <v>3989</v>
      </c>
      <c r="D676" s="11" t="s">
        <v>2398</v>
      </c>
      <c r="E676" s="11" t="s">
        <v>2399</v>
      </c>
      <c r="F676" s="3" t="s">
        <v>3992</v>
      </c>
      <c r="G676" s="3" t="s">
        <v>3991</v>
      </c>
      <c r="H676" s="11" t="s">
        <v>1950</v>
      </c>
      <c r="I676" s="21">
        <v>5.5543749</v>
      </c>
      <c r="J676" s="21">
        <v>39.390632600000004</v>
      </c>
      <c r="K676" s="21" t="s">
        <v>2276</v>
      </c>
      <c r="L676" s="167" t="s">
        <v>2276</v>
      </c>
      <c r="M676" s="167" t="s">
        <v>2276</v>
      </c>
      <c r="N676" s="21" t="s">
        <v>2276</v>
      </c>
      <c r="O676" s="3" t="s">
        <v>67</v>
      </c>
      <c r="P676" s="5" t="s">
        <v>5187</v>
      </c>
      <c r="Q676" s="165" t="s">
        <v>3996</v>
      </c>
    </row>
    <row r="677" spans="1:17" ht="46.5" customHeight="1">
      <c r="A677" s="106">
        <v>157</v>
      </c>
      <c r="B677" s="40" t="s">
        <v>3988</v>
      </c>
      <c r="C677" s="11" t="s">
        <v>3990</v>
      </c>
      <c r="D677" s="11" t="s">
        <v>2398</v>
      </c>
      <c r="E677" s="11" t="s">
        <v>2399</v>
      </c>
      <c r="F677" s="3" t="s">
        <v>3993</v>
      </c>
      <c r="G677" s="3" t="s">
        <v>3991</v>
      </c>
      <c r="H677" s="11" t="s">
        <v>1950</v>
      </c>
      <c r="I677" s="21">
        <v>4.7750095999999997</v>
      </c>
      <c r="J677" s="21">
        <v>39.5168842</v>
      </c>
      <c r="K677" s="21" t="s">
        <v>2276</v>
      </c>
      <c r="L677" s="167" t="s">
        <v>2276</v>
      </c>
      <c r="M677" s="167" t="s">
        <v>2276</v>
      </c>
      <c r="N677" s="21" t="s">
        <v>2276</v>
      </c>
      <c r="O677" s="3" t="s">
        <v>67</v>
      </c>
      <c r="P677" s="5" t="s">
        <v>5187</v>
      </c>
      <c r="Q677" s="165" t="s">
        <v>3996</v>
      </c>
    </row>
    <row r="678" spans="1:17" ht="47" customHeight="1">
      <c r="A678" s="106">
        <v>157</v>
      </c>
      <c r="B678" s="40" t="s">
        <v>3988</v>
      </c>
      <c r="C678" s="11" t="s">
        <v>3995</v>
      </c>
      <c r="D678" s="11" t="s">
        <v>2398</v>
      </c>
      <c r="E678" s="11" t="s">
        <v>2399</v>
      </c>
      <c r="F678" s="3" t="s">
        <v>3994</v>
      </c>
      <c r="G678" s="3" t="s">
        <v>3991</v>
      </c>
      <c r="H678" s="11" t="s">
        <v>1950</v>
      </c>
      <c r="I678" s="21">
        <v>6.6468730000000003</v>
      </c>
      <c r="J678" s="21">
        <v>39.360786500000003</v>
      </c>
      <c r="K678" s="21" t="s">
        <v>2276</v>
      </c>
      <c r="L678" s="167" t="s">
        <v>2276</v>
      </c>
      <c r="M678" s="167" t="s">
        <v>2276</v>
      </c>
      <c r="N678" s="21" t="s">
        <v>2276</v>
      </c>
      <c r="O678" s="3" t="s">
        <v>67</v>
      </c>
      <c r="P678" s="5" t="s">
        <v>5187</v>
      </c>
      <c r="Q678" s="165" t="s">
        <v>3996</v>
      </c>
    </row>
    <row r="679" spans="1:17" ht="47" customHeight="1">
      <c r="A679" s="106">
        <v>158</v>
      </c>
      <c r="B679" s="40" t="s">
        <v>4016</v>
      </c>
      <c r="C679" s="11" t="s">
        <v>4015</v>
      </c>
      <c r="D679" s="11" t="s">
        <v>2398</v>
      </c>
      <c r="E679" s="11" t="s">
        <v>2399</v>
      </c>
      <c r="F679" s="3" t="s">
        <v>2276</v>
      </c>
      <c r="G679" s="3" t="s">
        <v>4017</v>
      </c>
      <c r="H679" s="3" t="s">
        <v>181</v>
      </c>
      <c r="I679" s="21">
        <f>AVERAGE(7.48, 7.23)</f>
        <v>7.3550000000000004</v>
      </c>
      <c r="J679" s="21">
        <f>AVERAGE(11.97, 12.23)</f>
        <v>12.100000000000001</v>
      </c>
      <c r="K679" s="21">
        <v>600</v>
      </c>
      <c r="L679" s="3">
        <v>2004</v>
      </c>
      <c r="M679" s="3">
        <v>2004</v>
      </c>
      <c r="N679" s="21" t="s">
        <v>2276</v>
      </c>
      <c r="O679" s="3" t="s">
        <v>67</v>
      </c>
      <c r="P679" s="5" t="s">
        <v>5187</v>
      </c>
      <c r="Q679" s="4" t="s">
        <v>4018</v>
      </c>
    </row>
    <row r="680" spans="1:17" ht="32" customHeight="1">
      <c r="A680" s="106">
        <v>159</v>
      </c>
      <c r="B680" s="40" t="s">
        <v>4027</v>
      </c>
      <c r="C680" s="11" t="s">
        <v>4028</v>
      </c>
      <c r="D680" s="11" t="s">
        <v>2398</v>
      </c>
      <c r="E680" s="11" t="s">
        <v>2399</v>
      </c>
      <c r="F680" s="3" t="s">
        <v>4033</v>
      </c>
      <c r="G680" s="3" t="s">
        <v>4037</v>
      </c>
      <c r="H680" s="11" t="s">
        <v>4032</v>
      </c>
      <c r="I680" s="21">
        <v>47.786200800000003</v>
      </c>
      <c r="J680" s="21">
        <v>112.11603650000001</v>
      </c>
      <c r="K680" s="21" t="s">
        <v>2276</v>
      </c>
      <c r="L680" s="3">
        <v>1994</v>
      </c>
      <c r="M680" s="3">
        <v>1995</v>
      </c>
      <c r="N680" s="21" t="s">
        <v>2276</v>
      </c>
      <c r="O680" s="3" t="s">
        <v>2641</v>
      </c>
      <c r="P680" s="5" t="s">
        <v>5187</v>
      </c>
      <c r="Q680" s="3"/>
    </row>
    <row r="681" spans="1:17" ht="32" customHeight="1">
      <c r="A681" s="106">
        <v>159</v>
      </c>
      <c r="B681" s="40" t="s">
        <v>4027</v>
      </c>
      <c r="C681" s="11" t="s">
        <v>4029</v>
      </c>
      <c r="D681" s="11" t="s">
        <v>2398</v>
      </c>
      <c r="E681" s="11" t="s">
        <v>2399</v>
      </c>
      <c r="F681" s="3" t="s">
        <v>4034</v>
      </c>
      <c r="G681" s="3" t="s">
        <v>4037</v>
      </c>
      <c r="H681" s="11" t="s">
        <v>4032</v>
      </c>
      <c r="I681" s="21">
        <v>47.021670499999999</v>
      </c>
      <c r="J681" s="21">
        <v>112.5286084</v>
      </c>
      <c r="K681" s="21" t="s">
        <v>2276</v>
      </c>
      <c r="L681" s="3">
        <v>1994</v>
      </c>
      <c r="M681" s="3">
        <v>1995</v>
      </c>
      <c r="N681" s="21" t="s">
        <v>2276</v>
      </c>
      <c r="O681" s="3" t="s">
        <v>2641</v>
      </c>
      <c r="P681" s="5" t="s">
        <v>5187</v>
      </c>
      <c r="Q681" s="3"/>
    </row>
    <row r="682" spans="1:17" ht="32" customHeight="1">
      <c r="A682" s="106">
        <v>159</v>
      </c>
      <c r="B682" s="40" t="s">
        <v>4027</v>
      </c>
      <c r="C682" s="11" t="s">
        <v>4030</v>
      </c>
      <c r="D682" s="11" t="s">
        <v>2398</v>
      </c>
      <c r="E682" s="11" t="s">
        <v>2399</v>
      </c>
      <c r="F682" s="3" t="s">
        <v>4035</v>
      </c>
      <c r="G682" s="3" t="s">
        <v>4038</v>
      </c>
      <c r="H682" s="11" t="s">
        <v>4032</v>
      </c>
      <c r="I682" s="21">
        <v>48.014630699999998</v>
      </c>
      <c r="J682" s="21">
        <v>100.05073350000001</v>
      </c>
      <c r="K682" s="21" t="s">
        <v>2276</v>
      </c>
      <c r="L682" s="3">
        <v>1993</v>
      </c>
      <c r="M682" s="3">
        <v>1993</v>
      </c>
      <c r="N682" s="21" t="s">
        <v>2276</v>
      </c>
      <c r="O682" s="3" t="s">
        <v>2641</v>
      </c>
      <c r="P682" s="5" t="s">
        <v>5187</v>
      </c>
      <c r="Q682" s="3"/>
    </row>
    <row r="683" spans="1:17" ht="32" customHeight="1">
      <c r="A683" s="106">
        <v>159</v>
      </c>
      <c r="B683" s="40" t="s">
        <v>4027</v>
      </c>
      <c r="C683" s="11" t="s">
        <v>4031</v>
      </c>
      <c r="D683" s="11" t="s">
        <v>2398</v>
      </c>
      <c r="E683" s="11" t="s">
        <v>2399</v>
      </c>
      <c r="F683" s="3" t="s">
        <v>4036</v>
      </c>
      <c r="G683" s="3" t="s">
        <v>4038</v>
      </c>
      <c r="H683" s="11" t="s">
        <v>4032</v>
      </c>
      <c r="I683" s="21">
        <v>47.596265099999997</v>
      </c>
      <c r="J683" s="21">
        <v>101.20940210000001</v>
      </c>
      <c r="K683" s="21" t="s">
        <v>2276</v>
      </c>
      <c r="L683" s="3">
        <v>1995</v>
      </c>
      <c r="M683" s="3">
        <v>1995</v>
      </c>
      <c r="N683" s="21" t="s">
        <v>2276</v>
      </c>
      <c r="O683" s="3" t="s">
        <v>2641</v>
      </c>
      <c r="P683" s="5" t="s">
        <v>5187</v>
      </c>
      <c r="Q683" s="3"/>
    </row>
    <row r="684" spans="1:17" ht="30" customHeight="1">
      <c r="A684" s="106">
        <v>160</v>
      </c>
      <c r="B684" s="40" t="s">
        <v>4050</v>
      </c>
      <c r="C684" s="11" t="s">
        <v>4048</v>
      </c>
      <c r="D684" s="11" t="s">
        <v>2398</v>
      </c>
      <c r="E684" s="11" t="s">
        <v>2636</v>
      </c>
      <c r="F684" s="3" t="s">
        <v>2276</v>
      </c>
      <c r="G684" s="3" t="s">
        <v>4052</v>
      </c>
      <c r="H684" s="3" t="s">
        <v>4051</v>
      </c>
      <c r="I684" s="21">
        <v>37.429386700000002</v>
      </c>
      <c r="J684" s="21">
        <v>22.388074499999998</v>
      </c>
      <c r="K684" s="21" t="s">
        <v>2276</v>
      </c>
      <c r="L684" s="3">
        <v>1992</v>
      </c>
      <c r="M684" s="3">
        <v>2011</v>
      </c>
      <c r="N684" s="21" t="s">
        <v>2276</v>
      </c>
      <c r="O684" s="3" t="s">
        <v>67</v>
      </c>
      <c r="P684" s="5" t="s">
        <v>5187</v>
      </c>
      <c r="Q684" s="3"/>
    </row>
    <row r="685" spans="1:17" ht="30" customHeight="1">
      <c r="A685" s="106">
        <v>160</v>
      </c>
      <c r="B685" s="40" t="s">
        <v>4050</v>
      </c>
      <c r="C685" s="11" t="s">
        <v>4059</v>
      </c>
      <c r="D685" s="11" t="s">
        <v>2398</v>
      </c>
      <c r="E685" s="11" t="s">
        <v>2636</v>
      </c>
      <c r="F685" s="3" t="s">
        <v>2276</v>
      </c>
      <c r="G685" s="11" t="s">
        <v>4053</v>
      </c>
      <c r="H685" s="3" t="s">
        <v>4051</v>
      </c>
      <c r="I685" s="21">
        <v>37.85</v>
      </c>
      <c r="J685" s="21">
        <v>24.9</v>
      </c>
      <c r="K685" s="21" t="s">
        <v>2276</v>
      </c>
      <c r="L685" s="3">
        <v>1992</v>
      </c>
      <c r="M685" s="3">
        <v>2011</v>
      </c>
      <c r="N685" s="21" t="s">
        <v>2276</v>
      </c>
      <c r="O685" s="3" t="s">
        <v>67</v>
      </c>
      <c r="P685" s="5" t="s">
        <v>5187</v>
      </c>
      <c r="Q685" s="3"/>
    </row>
    <row r="686" spans="1:17" ht="30" customHeight="1">
      <c r="A686" s="106">
        <v>160</v>
      </c>
      <c r="B686" s="40" t="s">
        <v>4050</v>
      </c>
      <c r="C686" s="11" t="s">
        <v>4060</v>
      </c>
      <c r="D686" s="11" t="s">
        <v>2398</v>
      </c>
      <c r="E686" s="11" t="s">
        <v>2636</v>
      </c>
      <c r="F686" s="3" t="s">
        <v>2276</v>
      </c>
      <c r="G686" s="11" t="s">
        <v>4054</v>
      </c>
      <c r="H686" s="3" t="s">
        <v>4051</v>
      </c>
      <c r="I686" s="21">
        <v>38.7352116</v>
      </c>
      <c r="J686" s="21">
        <v>21.3725807</v>
      </c>
      <c r="K686" s="21" t="s">
        <v>2276</v>
      </c>
      <c r="L686" s="3">
        <v>1992</v>
      </c>
      <c r="M686" s="3">
        <v>2011</v>
      </c>
      <c r="N686" s="21" t="s">
        <v>2276</v>
      </c>
      <c r="O686" s="3" t="s">
        <v>67</v>
      </c>
      <c r="P686" s="5" t="s">
        <v>5187</v>
      </c>
      <c r="Q686" s="3"/>
    </row>
    <row r="687" spans="1:17" ht="30" customHeight="1">
      <c r="A687" s="106">
        <v>160</v>
      </c>
      <c r="B687" s="40" t="s">
        <v>4050</v>
      </c>
      <c r="C687" s="11" t="s">
        <v>4061</v>
      </c>
      <c r="D687" s="11" t="s">
        <v>2398</v>
      </c>
      <c r="E687" s="11" t="s">
        <v>2636</v>
      </c>
      <c r="F687" s="3" t="s">
        <v>2276</v>
      </c>
      <c r="G687" s="11" t="s">
        <v>4055</v>
      </c>
      <c r="H687" s="3" t="s">
        <v>4051</v>
      </c>
      <c r="I687" s="21">
        <v>39.6605031</v>
      </c>
      <c r="J687" s="21">
        <v>20.719313199999998</v>
      </c>
      <c r="K687" s="21" t="s">
        <v>2276</v>
      </c>
      <c r="L687" s="3">
        <v>1992</v>
      </c>
      <c r="M687" s="3">
        <v>2011</v>
      </c>
      <c r="N687" s="21" t="s">
        <v>2276</v>
      </c>
      <c r="O687" s="3" t="s">
        <v>67</v>
      </c>
      <c r="P687" s="5" t="s">
        <v>5187</v>
      </c>
      <c r="Q687" s="3"/>
    </row>
    <row r="688" spans="1:17" ht="30" customHeight="1">
      <c r="A688" s="106">
        <v>160</v>
      </c>
      <c r="B688" s="40" t="s">
        <v>4050</v>
      </c>
      <c r="C688" s="11" t="s">
        <v>4062</v>
      </c>
      <c r="D688" s="11" t="s">
        <v>2398</v>
      </c>
      <c r="E688" s="11" t="s">
        <v>2636</v>
      </c>
      <c r="F688" s="3" t="s">
        <v>2276</v>
      </c>
      <c r="G688" s="11" t="s">
        <v>4056</v>
      </c>
      <c r="H688" s="3" t="s">
        <v>4051</v>
      </c>
      <c r="I688" s="21">
        <v>40.789708400000002</v>
      </c>
      <c r="J688" s="21">
        <v>23.705434799999999</v>
      </c>
      <c r="K688" s="21" t="s">
        <v>2276</v>
      </c>
      <c r="L688" s="3">
        <v>1992</v>
      </c>
      <c r="M688" s="3">
        <v>2011</v>
      </c>
      <c r="N688" s="21" t="s">
        <v>2276</v>
      </c>
      <c r="O688" s="3" t="s">
        <v>67</v>
      </c>
      <c r="P688" s="5" t="s">
        <v>5187</v>
      </c>
      <c r="Q688" s="3"/>
    </row>
    <row r="689" spans="1:17" ht="30" customHeight="1">
      <c r="A689" s="106">
        <v>160</v>
      </c>
      <c r="B689" s="40" t="s">
        <v>4050</v>
      </c>
      <c r="C689" s="11" t="s">
        <v>4063</v>
      </c>
      <c r="D689" s="11" t="s">
        <v>2398</v>
      </c>
      <c r="E689" s="11" t="s">
        <v>2636</v>
      </c>
      <c r="F689" s="3" t="s">
        <v>2276</v>
      </c>
      <c r="G689" s="11" t="s">
        <v>4057</v>
      </c>
      <c r="H689" s="3" t="s">
        <v>4051</v>
      </c>
      <c r="I689" s="21">
        <v>37.078574699999997</v>
      </c>
      <c r="J689" s="21">
        <v>21.970439299999999</v>
      </c>
      <c r="K689" s="21" t="s">
        <v>2276</v>
      </c>
      <c r="L689" s="3">
        <v>1992</v>
      </c>
      <c r="M689" s="3">
        <v>2011</v>
      </c>
      <c r="N689" s="21" t="s">
        <v>2276</v>
      </c>
      <c r="O689" s="3" t="s">
        <v>67</v>
      </c>
      <c r="P689" s="5" t="s">
        <v>5187</v>
      </c>
      <c r="Q689" s="3"/>
    </row>
    <row r="690" spans="1:17" ht="30" customHeight="1">
      <c r="A690" s="106">
        <v>160</v>
      </c>
      <c r="B690" s="40" t="s">
        <v>4050</v>
      </c>
      <c r="C690" s="11" t="s">
        <v>4064</v>
      </c>
      <c r="D690" s="11" t="s">
        <v>2398</v>
      </c>
      <c r="E690" s="11" t="s">
        <v>2636</v>
      </c>
      <c r="F690" s="3" t="s">
        <v>2276</v>
      </c>
      <c r="G690" s="11" t="s">
        <v>4058</v>
      </c>
      <c r="H690" s="3" t="s">
        <v>4051</v>
      </c>
      <c r="I690" s="21">
        <v>39.582922799999999</v>
      </c>
      <c r="J690" s="21">
        <v>22.726840299999999</v>
      </c>
      <c r="K690" s="21" t="s">
        <v>2276</v>
      </c>
      <c r="L690" s="3">
        <v>1992</v>
      </c>
      <c r="M690" s="3">
        <v>2011</v>
      </c>
      <c r="N690" s="21" t="s">
        <v>2276</v>
      </c>
      <c r="O690" s="3" t="s">
        <v>67</v>
      </c>
      <c r="P690" s="5" t="s">
        <v>5187</v>
      </c>
      <c r="Q690" s="3"/>
    </row>
    <row r="691" spans="1:17" ht="53.5" customHeight="1">
      <c r="A691" s="106">
        <v>161</v>
      </c>
      <c r="B691" s="40" t="s">
        <v>4085</v>
      </c>
      <c r="C691" s="11" t="s">
        <v>4086</v>
      </c>
      <c r="D691" s="11" t="s">
        <v>2398</v>
      </c>
      <c r="E691" s="3" t="s">
        <v>2399</v>
      </c>
      <c r="F691" s="3" t="s">
        <v>2276</v>
      </c>
      <c r="G691" s="3" t="s">
        <v>4087</v>
      </c>
      <c r="H691" s="3" t="s">
        <v>4032</v>
      </c>
      <c r="I691" s="21">
        <v>49</v>
      </c>
      <c r="J691" s="21">
        <v>105</v>
      </c>
      <c r="K691" s="21">
        <f>900*400</f>
        <v>360000</v>
      </c>
      <c r="L691" s="95">
        <v>1982</v>
      </c>
      <c r="M691" s="3">
        <v>2020</v>
      </c>
      <c r="N691" s="21" t="s">
        <v>2276</v>
      </c>
      <c r="O691" s="3" t="s">
        <v>67</v>
      </c>
      <c r="P691" s="5" t="s">
        <v>5187</v>
      </c>
      <c r="Q691" s="4" t="s">
        <v>4088</v>
      </c>
    </row>
    <row r="692" spans="1:17" ht="55.5" customHeight="1">
      <c r="A692" s="106">
        <v>162</v>
      </c>
      <c r="B692" s="40" t="s">
        <v>4107</v>
      </c>
      <c r="C692" s="11" t="s">
        <v>4108</v>
      </c>
      <c r="D692" s="11" t="s">
        <v>2398</v>
      </c>
      <c r="E692" s="3" t="s">
        <v>2414</v>
      </c>
      <c r="F692" s="144" t="s">
        <v>4115</v>
      </c>
      <c r="G692" s="3" t="s">
        <v>4111</v>
      </c>
      <c r="H692" s="3" t="s">
        <v>4112</v>
      </c>
      <c r="I692" s="21">
        <v>38.209899499999999</v>
      </c>
      <c r="J692" s="21">
        <v>-96.467848599999996</v>
      </c>
      <c r="K692" s="21" t="s">
        <v>2276</v>
      </c>
      <c r="L692" s="95">
        <v>1880</v>
      </c>
      <c r="M692" s="11">
        <v>1990</v>
      </c>
      <c r="N692" s="21" t="s">
        <v>2276</v>
      </c>
      <c r="O692" s="3" t="s">
        <v>67</v>
      </c>
      <c r="P692" s="5" t="s">
        <v>5187</v>
      </c>
      <c r="Q692" s="4" t="s">
        <v>4116</v>
      </c>
    </row>
    <row r="693" spans="1:17" ht="52.5" customHeight="1">
      <c r="A693" s="106">
        <v>162</v>
      </c>
      <c r="B693" s="40" t="s">
        <v>4107</v>
      </c>
      <c r="C693" s="11" t="s">
        <v>4109</v>
      </c>
      <c r="D693" s="11" t="s">
        <v>2398</v>
      </c>
      <c r="E693" s="3" t="s">
        <v>2414</v>
      </c>
      <c r="F693" s="144" t="s">
        <v>4114</v>
      </c>
      <c r="G693" s="3" t="s">
        <v>4113</v>
      </c>
      <c r="H693" s="3" t="s">
        <v>4110</v>
      </c>
      <c r="I693" s="21">
        <v>-45.481157699999997</v>
      </c>
      <c r="J693" s="21">
        <v>170.21678069999999</v>
      </c>
      <c r="K693" s="21" t="s">
        <v>2276</v>
      </c>
      <c r="L693" s="95">
        <v>1865</v>
      </c>
      <c r="M693" s="11">
        <v>1990</v>
      </c>
      <c r="N693" s="21" t="s">
        <v>2276</v>
      </c>
      <c r="O693" s="3" t="s">
        <v>67</v>
      </c>
      <c r="P693" s="5" t="s">
        <v>5187</v>
      </c>
      <c r="Q693" s="4" t="s">
        <v>4116</v>
      </c>
    </row>
    <row r="694" spans="1:17" ht="47.5" customHeight="1">
      <c r="A694" s="106">
        <v>163</v>
      </c>
      <c r="B694" s="40" t="s">
        <v>4130</v>
      </c>
      <c r="C694" s="11" t="s">
        <v>4129</v>
      </c>
      <c r="D694" s="11" t="s">
        <v>2398</v>
      </c>
      <c r="E694" s="3" t="s">
        <v>2399</v>
      </c>
      <c r="F694" s="3" t="s">
        <v>4131</v>
      </c>
      <c r="G694" s="3" t="s">
        <v>4132</v>
      </c>
      <c r="H694" s="3" t="s">
        <v>4112</v>
      </c>
      <c r="I694" s="21">
        <v>38.645959099999999</v>
      </c>
      <c r="J694" s="21">
        <v>-120.8445846</v>
      </c>
      <c r="K694" s="21" t="s">
        <v>2276</v>
      </c>
      <c r="L694" s="3">
        <v>2001</v>
      </c>
      <c r="M694" s="3">
        <v>2002</v>
      </c>
      <c r="N694" s="21" t="s">
        <v>2276</v>
      </c>
      <c r="O694" s="3" t="s">
        <v>67</v>
      </c>
      <c r="P694" s="5" t="s">
        <v>5187</v>
      </c>
      <c r="Q694" s="3"/>
    </row>
    <row r="695" spans="1:17" ht="48" customHeight="1">
      <c r="A695" s="106">
        <v>164</v>
      </c>
      <c r="B695" s="40" t="s">
        <v>4137</v>
      </c>
      <c r="C695" s="3" t="s">
        <v>4138</v>
      </c>
      <c r="D695" s="11" t="s">
        <v>2398</v>
      </c>
      <c r="E695" s="3" t="s">
        <v>2399</v>
      </c>
      <c r="F695" s="3" t="s">
        <v>4139</v>
      </c>
      <c r="G695" s="3" t="s">
        <v>4140</v>
      </c>
      <c r="H695" s="3" t="s">
        <v>88</v>
      </c>
      <c r="I695" s="21">
        <f>AVERAGE(29 + 48/60, 29+23/60)</f>
        <v>29.591666666666669</v>
      </c>
      <c r="J695" s="21">
        <f>AVERAGE(78 + 39/60, 79+9/60)</f>
        <v>78.900000000000006</v>
      </c>
      <c r="K695" s="21">
        <v>1288.32</v>
      </c>
      <c r="L695" s="165">
        <v>2014</v>
      </c>
      <c r="M695" s="165">
        <v>2014</v>
      </c>
      <c r="N695" s="21" t="s">
        <v>2276</v>
      </c>
      <c r="O695" s="3" t="s">
        <v>67</v>
      </c>
      <c r="P695" s="5" t="s">
        <v>5187</v>
      </c>
      <c r="Q695" s="166" t="s">
        <v>4141</v>
      </c>
    </row>
    <row r="696" spans="1:17" ht="29" customHeight="1">
      <c r="A696" s="106">
        <v>165</v>
      </c>
      <c r="B696" s="40" t="s">
        <v>4148</v>
      </c>
      <c r="C696" s="11" t="s">
        <v>4146</v>
      </c>
      <c r="D696" s="11" t="s">
        <v>2398</v>
      </c>
      <c r="E696" s="3" t="s">
        <v>2399</v>
      </c>
      <c r="F696" s="3" t="s">
        <v>4149</v>
      </c>
      <c r="G696" s="3" t="s">
        <v>4150</v>
      </c>
      <c r="H696" s="3" t="s">
        <v>1951</v>
      </c>
      <c r="I696" s="21">
        <v>-2.3948835000000002</v>
      </c>
      <c r="J696" s="21">
        <v>37.9732038</v>
      </c>
      <c r="K696" s="21" t="s">
        <v>2276</v>
      </c>
      <c r="L696" s="3">
        <v>2012</v>
      </c>
      <c r="M696" s="3">
        <v>2012</v>
      </c>
      <c r="N696" s="21" t="s">
        <v>2276</v>
      </c>
      <c r="O696" s="3" t="s">
        <v>67</v>
      </c>
      <c r="P696" s="5" t="s">
        <v>5187</v>
      </c>
      <c r="Q696" s="3"/>
    </row>
    <row r="697" spans="1:17" ht="29" customHeight="1">
      <c r="A697" s="106">
        <v>165</v>
      </c>
      <c r="B697" s="40" t="s">
        <v>4148</v>
      </c>
      <c r="C697" s="11" t="s">
        <v>4147</v>
      </c>
      <c r="D697" s="11" t="s">
        <v>2398</v>
      </c>
      <c r="E697" s="3" t="s">
        <v>2399</v>
      </c>
      <c r="F697" s="3" t="s">
        <v>4151</v>
      </c>
      <c r="G697" s="3" t="s">
        <v>4152</v>
      </c>
      <c r="H697" s="3" t="s">
        <v>1951</v>
      </c>
      <c r="I697" s="21">
        <v>-2.9064418000000001</v>
      </c>
      <c r="J697" s="21">
        <v>37.545422799999997</v>
      </c>
      <c r="K697" s="21">
        <v>2427</v>
      </c>
      <c r="L697" s="3">
        <v>2012</v>
      </c>
      <c r="M697" s="3">
        <v>2012</v>
      </c>
      <c r="N697" s="21">
        <f>15000/K697</f>
        <v>6.1804697156983934</v>
      </c>
      <c r="O697" s="3" t="s">
        <v>67</v>
      </c>
      <c r="P697" s="5" t="s">
        <v>5187</v>
      </c>
      <c r="Q697" s="3"/>
    </row>
    <row r="698" spans="1:17" ht="35.5" customHeight="1">
      <c r="A698" s="106">
        <v>166</v>
      </c>
      <c r="B698" s="40" t="s">
        <v>4196</v>
      </c>
      <c r="C698" s="11" t="s">
        <v>4197</v>
      </c>
      <c r="D698" s="11" t="s">
        <v>2398</v>
      </c>
      <c r="E698" s="3" t="s">
        <v>2400</v>
      </c>
      <c r="F698" s="3" t="s">
        <v>4198</v>
      </c>
      <c r="G698" s="3" t="s">
        <v>4199</v>
      </c>
      <c r="H698" s="3" t="s">
        <v>3616</v>
      </c>
      <c r="I698" s="21">
        <v>-27.9045177</v>
      </c>
      <c r="J698" s="21">
        <v>-58.683236200000003</v>
      </c>
      <c r="K698" s="21">
        <f>191976/100</f>
        <v>1919.76</v>
      </c>
      <c r="L698" s="3">
        <v>2000</v>
      </c>
      <c r="M698" s="3">
        <v>2005</v>
      </c>
      <c r="N698" s="21" t="s">
        <v>2276</v>
      </c>
      <c r="O698" s="3" t="s">
        <v>67</v>
      </c>
      <c r="P698" s="5" t="s">
        <v>5187</v>
      </c>
      <c r="Q698" s="3"/>
    </row>
    <row r="699" spans="1:17" ht="32.5" customHeight="1">
      <c r="A699" s="106">
        <v>167</v>
      </c>
      <c r="B699" s="40" t="s">
        <v>4209</v>
      </c>
      <c r="C699" s="11" t="s">
        <v>4210</v>
      </c>
      <c r="D699" s="11" t="s">
        <v>2398</v>
      </c>
      <c r="E699" s="3" t="s">
        <v>2637</v>
      </c>
      <c r="F699" s="3" t="s">
        <v>4211</v>
      </c>
      <c r="G699" s="3" t="s">
        <v>4212</v>
      </c>
      <c r="H699" s="3" t="s">
        <v>1950</v>
      </c>
      <c r="I699" s="21">
        <f>4 + 5/6</f>
        <v>4.833333333333333</v>
      </c>
      <c r="J699" s="21">
        <f>37 + 39.5/60</f>
        <v>37.658333333333331</v>
      </c>
      <c r="K699" s="21" t="s">
        <v>2276</v>
      </c>
      <c r="L699" s="3">
        <v>2011</v>
      </c>
      <c r="M699" s="3">
        <v>2012</v>
      </c>
      <c r="N699" s="21" t="s">
        <v>2276</v>
      </c>
      <c r="O699" s="3" t="s">
        <v>67</v>
      </c>
      <c r="P699" s="5" t="s">
        <v>5187</v>
      </c>
      <c r="Q699" s="3"/>
    </row>
    <row r="700" spans="1:17" ht="43" customHeight="1">
      <c r="A700" s="106">
        <v>168</v>
      </c>
      <c r="B700" s="40" t="s">
        <v>4219</v>
      </c>
      <c r="C700" s="3" t="s">
        <v>4220</v>
      </c>
      <c r="D700" s="11" t="s">
        <v>2398</v>
      </c>
      <c r="E700" s="3" t="s">
        <v>2399</v>
      </c>
      <c r="F700" s="3" t="s">
        <v>4222</v>
      </c>
      <c r="G700" s="3" t="s">
        <v>2276</v>
      </c>
      <c r="H700" s="3" t="s">
        <v>422</v>
      </c>
      <c r="I700" s="21">
        <v>-12.5464509</v>
      </c>
      <c r="J700" s="21">
        <v>30.215519</v>
      </c>
      <c r="K700" s="21">
        <v>390</v>
      </c>
      <c r="L700" s="3">
        <v>2004</v>
      </c>
      <c r="M700" s="3">
        <v>2004</v>
      </c>
      <c r="N700" s="21" t="s">
        <v>2276</v>
      </c>
      <c r="O700" s="3" t="s">
        <v>67</v>
      </c>
      <c r="P700" s="5" t="s">
        <v>5187</v>
      </c>
      <c r="Q700" s="3"/>
    </row>
    <row r="701" spans="1:17" ht="44" customHeight="1">
      <c r="A701" s="106">
        <v>168</v>
      </c>
      <c r="B701" s="40" t="s">
        <v>4219</v>
      </c>
      <c r="C701" s="3" t="s">
        <v>4221</v>
      </c>
      <c r="D701" s="11" t="s">
        <v>2398</v>
      </c>
      <c r="E701" s="3" t="s">
        <v>2399</v>
      </c>
      <c r="F701" s="4" t="s">
        <v>4223</v>
      </c>
      <c r="G701" s="3" t="s">
        <v>2276</v>
      </c>
      <c r="H701" s="3" t="s">
        <v>422</v>
      </c>
      <c r="I701" s="21">
        <v>-12.6814923</v>
      </c>
      <c r="J701" s="21">
        <v>30.155905600000001</v>
      </c>
      <c r="K701" s="21">
        <f>4280-K700</f>
        <v>3890</v>
      </c>
      <c r="L701" s="3">
        <v>2004</v>
      </c>
      <c r="M701" s="3">
        <v>2004</v>
      </c>
      <c r="N701" s="21" t="s">
        <v>2276</v>
      </c>
      <c r="O701" s="3" t="s">
        <v>67</v>
      </c>
      <c r="P701" s="5" t="s">
        <v>5187</v>
      </c>
      <c r="Q701" s="3"/>
    </row>
    <row r="702" spans="1:17" ht="37" customHeight="1">
      <c r="A702" s="106">
        <v>169</v>
      </c>
      <c r="B702" s="40" t="s">
        <v>4255</v>
      </c>
      <c r="C702" s="3" t="s">
        <v>4256</v>
      </c>
      <c r="D702" s="11" t="s">
        <v>2398</v>
      </c>
      <c r="E702" s="3" t="s">
        <v>2422</v>
      </c>
      <c r="F702" s="3" t="s">
        <v>4258</v>
      </c>
      <c r="G702" s="3" t="s">
        <v>2276</v>
      </c>
      <c r="H702" s="3" t="s">
        <v>4261</v>
      </c>
      <c r="I702" s="21">
        <f>36+25/60</f>
        <v>36.416666666666664</v>
      </c>
      <c r="J702" s="21">
        <f>4 + 6/60</f>
        <v>4.0999999999999996</v>
      </c>
      <c r="K702" s="21">
        <f>5784/100</f>
        <v>57.84</v>
      </c>
      <c r="L702" s="3">
        <v>2010</v>
      </c>
      <c r="M702" s="3">
        <v>2010</v>
      </c>
      <c r="N702" s="21">
        <f>9488/K702</f>
        <v>164.03872752420469</v>
      </c>
      <c r="O702" s="3" t="s">
        <v>67</v>
      </c>
      <c r="P702" s="5" t="s">
        <v>5187</v>
      </c>
      <c r="Q702" s="41" t="s">
        <v>6087</v>
      </c>
    </row>
    <row r="703" spans="1:17" ht="34.5" customHeight="1">
      <c r="A703" s="106">
        <v>169</v>
      </c>
      <c r="B703" s="40" t="s">
        <v>4255</v>
      </c>
      <c r="C703" s="3" t="s">
        <v>4257</v>
      </c>
      <c r="D703" s="11" t="s">
        <v>2398</v>
      </c>
      <c r="E703" s="3" t="s">
        <v>2422</v>
      </c>
      <c r="F703" s="3" t="s">
        <v>4259</v>
      </c>
      <c r="G703" s="3" t="s">
        <v>2276</v>
      </c>
      <c r="H703" s="3" t="s">
        <v>4261</v>
      </c>
      <c r="I703" s="21">
        <f>36+25/60</f>
        <v>36.416666666666664</v>
      </c>
      <c r="J703" s="21">
        <f>4 + 6/60</f>
        <v>4.0999999999999996</v>
      </c>
      <c r="K703" s="21">
        <f>5677/100</f>
        <v>56.77</v>
      </c>
      <c r="L703" s="3">
        <v>2010</v>
      </c>
      <c r="M703" s="3">
        <v>2010</v>
      </c>
      <c r="N703" s="21">
        <f>17322/K703</f>
        <v>305.12594680288885</v>
      </c>
      <c r="O703" s="3" t="s">
        <v>67</v>
      </c>
      <c r="P703" s="5" t="s">
        <v>5187</v>
      </c>
      <c r="Q703" s="41" t="s">
        <v>6087</v>
      </c>
    </row>
    <row r="704" spans="1:17" ht="33.5" customHeight="1">
      <c r="A704" s="106">
        <v>169</v>
      </c>
      <c r="B704" s="40" t="s">
        <v>4255</v>
      </c>
      <c r="C704" s="11" t="s">
        <v>4065</v>
      </c>
      <c r="D704" s="11" t="s">
        <v>2398</v>
      </c>
      <c r="E704" s="3" t="s">
        <v>2422</v>
      </c>
      <c r="F704" s="3" t="s">
        <v>4260</v>
      </c>
      <c r="G704" s="3" t="s">
        <v>2276</v>
      </c>
      <c r="H704" s="3" t="s">
        <v>4261</v>
      </c>
      <c r="I704" s="21">
        <f>36+25/60</f>
        <v>36.416666666666664</v>
      </c>
      <c r="J704" s="21">
        <f>AVERAGE(3 + 55/60, 4+1/6)</f>
        <v>4.041666666666667</v>
      </c>
      <c r="K704" s="21">
        <f>8900/100</f>
        <v>89</v>
      </c>
      <c r="L704" s="3">
        <v>2010</v>
      </c>
      <c r="M704" s="3">
        <v>2010</v>
      </c>
      <c r="N704" s="21">
        <f>18371/K704</f>
        <v>206.41573033707866</v>
      </c>
      <c r="O704" s="3" t="s">
        <v>67</v>
      </c>
      <c r="P704" s="5" t="s">
        <v>5187</v>
      </c>
      <c r="Q704" s="41" t="s">
        <v>6087</v>
      </c>
    </row>
    <row r="705" spans="1:17" ht="49" customHeight="1">
      <c r="A705" s="106">
        <v>170</v>
      </c>
      <c r="B705" s="40" t="s">
        <v>4315</v>
      </c>
      <c r="C705" s="11" t="s">
        <v>4313</v>
      </c>
      <c r="D705" s="11" t="s">
        <v>2398</v>
      </c>
      <c r="E705" s="3" t="s">
        <v>2399</v>
      </c>
      <c r="F705" s="3" t="s">
        <v>2276</v>
      </c>
      <c r="G705" s="3" t="s">
        <v>4316</v>
      </c>
      <c r="H705" s="11" t="s">
        <v>4314</v>
      </c>
      <c r="I705" s="21">
        <v>37.333351</v>
      </c>
      <c r="J705" s="21">
        <v>-4.5765007000000004</v>
      </c>
      <c r="K705" s="21">
        <v>82678</v>
      </c>
      <c r="L705" s="3">
        <v>2003</v>
      </c>
      <c r="M705" s="3">
        <v>2009</v>
      </c>
      <c r="N705" s="21" t="s">
        <v>2276</v>
      </c>
      <c r="O705" s="3" t="s">
        <v>67</v>
      </c>
      <c r="P705" s="5" t="s">
        <v>5187</v>
      </c>
      <c r="Q705" s="4" t="s">
        <v>4331</v>
      </c>
    </row>
    <row r="706" spans="1:17" ht="39" customHeight="1">
      <c r="A706" s="170">
        <v>170</v>
      </c>
      <c r="B706" s="54" t="s">
        <v>4315</v>
      </c>
      <c r="C706" s="35" t="s">
        <v>4317</v>
      </c>
      <c r="D706" s="35" t="s">
        <v>2398</v>
      </c>
      <c r="E706" s="38" t="s">
        <v>2399</v>
      </c>
      <c r="F706" s="38" t="s">
        <v>4327</v>
      </c>
      <c r="G706" s="38" t="s">
        <v>4316</v>
      </c>
      <c r="H706" s="35" t="s">
        <v>4314</v>
      </c>
      <c r="I706" s="14">
        <v>36.688008000000004</v>
      </c>
      <c r="J706" s="14">
        <v>-5.7051084000000003</v>
      </c>
      <c r="K706" s="73">
        <f>23.46/10</f>
        <v>2.3460000000000001</v>
      </c>
      <c r="L706" s="38">
        <v>2003</v>
      </c>
      <c r="M706" s="38">
        <v>2009</v>
      </c>
      <c r="N706" s="73" t="s">
        <v>2276</v>
      </c>
      <c r="O706" s="38" t="s">
        <v>67</v>
      </c>
      <c r="P706" s="5" t="s">
        <v>5187</v>
      </c>
      <c r="Q706" s="168" t="s">
        <v>4328</v>
      </c>
    </row>
    <row r="707" spans="1:17" ht="39" customHeight="1">
      <c r="A707" s="106">
        <v>170</v>
      </c>
      <c r="B707" s="40" t="s">
        <v>4315</v>
      </c>
      <c r="C707" s="11" t="s">
        <v>4318</v>
      </c>
      <c r="D707" s="35" t="s">
        <v>2398</v>
      </c>
      <c r="E707" s="38" t="s">
        <v>2399</v>
      </c>
      <c r="F707" s="38" t="s">
        <v>4327</v>
      </c>
      <c r="G707" s="38" t="s">
        <v>4316</v>
      </c>
      <c r="H707" s="35" t="s">
        <v>4314</v>
      </c>
      <c r="I707" s="21">
        <v>37.498520499999998</v>
      </c>
      <c r="J707" s="21">
        <v>-7.0745521</v>
      </c>
      <c r="K707" s="73">
        <f t="shared" ref="K707:K715" si="8">23.46/10</f>
        <v>2.3460000000000001</v>
      </c>
      <c r="L707" s="38">
        <v>2003</v>
      </c>
      <c r="M707" s="38">
        <v>2009</v>
      </c>
      <c r="N707" s="73" t="s">
        <v>2276</v>
      </c>
      <c r="O707" s="38" t="s">
        <v>67</v>
      </c>
      <c r="P707" s="5" t="s">
        <v>5187</v>
      </c>
      <c r="Q707" s="168" t="s">
        <v>4328</v>
      </c>
    </row>
    <row r="708" spans="1:17" ht="39" customHeight="1">
      <c r="A708" s="106">
        <v>170</v>
      </c>
      <c r="B708" s="40" t="s">
        <v>4315</v>
      </c>
      <c r="C708" s="11" t="s">
        <v>4319</v>
      </c>
      <c r="D708" s="35" t="s">
        <v>2398</v>
      </c>
      <c r="E708" s="38" t="s">
        <v>2399</v>
      </c>
      <c r="F708" s="38" t="s">
        <v>4327</v>
      </c>
      <c r="G708" s="38" t="s">
        <v>4316</v>
      </c>
      <c r="H708" s="35" t="s">
        <v>4314</v>
      </c>
      <c r="I708" s="21">
        <v>38.043869299999997</v>
      </c>
      <c r="J708" s="21">
        <v>-5.1794403999999998</v>
      </c>
      <c r="K708" s="73">
        <f t="shared" si="8"/>
        <v>2.3460000000000001</v>
      </c>
      <c r="L708" s="38">
        <v>2003</v>
      </c>
      <c r="M708" s="38">
        <v>2009</v>
      </c>
      <c r="N708" s="73" t="s">
        <v>2276</v>
      </c>
      <c r="O708" s="38" t="s">
        <v>67</v>
      </c>
      <c r="P708" s="5" t="s">
        <v>5187</v>
      </c>
      <c r="Q708" s="168" t="s">
        <v>4328</v>
      </c>
    </row>
    <row r="709" spans="1:17" ht="39" customHeight="1">
      <c r="A709" s="106">
        <v>170</v>
      </c>
      <c r="B709" s="40" t="s">
        <v>4315</v>
      </c>
      <c r="C709" s="11" t="s">
        <v>4320</v>
      </c>
      <c r="D709" s="35" t="s">
        <v>2398</v>
      </c>
      <c r="E709" s="38" t="s">
        <v>2399</v>
      </c>
      <c r="F709" s="38" t="s">
        <v>4327</v>
      </c>
      <c r="G709" s="38" t="s">
        <v>4316</v>
      </c>
      <c r="H709" s="35" t="s">
        <v>4314</v>
      </c>
      <c r="I709" s="21">
        <f>38+27/60</f>
        <v>38.450000000000003</v>
      </c>
      <c r="J709" s="21">
        <f>-2-36/60</f>
        <v>-2.6</v>
      </c>
      <c r="K709" s="73">
        <f t="shared" si="8"/>
        <v>2.3460000000000001</v>
      </c>
      <c r="L709" s="38">
        <v>2003</v>
      </c>
      <c r="M709" s="38">
        <v>2009</v>
      </c>
      <c r="N709" s="73" t="s">
        <v>2276</v>
      </c>
      <c r="O709" s="38" t="s">
        <v>67</v>
      </c>
      <c r="P709" s="5" t="s">
        <v>5187</v>
      </c>
      <c r="Q709" s="168" t="s">
        <v>4328</v>
      </c>
    </row>
    <row r="710" spans="1:17" ht="39" customHeight="1">
      <c r="A710" s="106">
        <v>170</v>
      </c>
      <c r="B710" s="40" t="s">
        <v>4315</v>
      </c>
      <c r="C710" s="11" t="s">
        <v>4321</v>
      </c>
      <c r="D710" s="35" t="s">
        <v>2398</v>
      </c>
      <c r="E710" s="38" t="s">
        <v>2399</v>
      </c>
      <c r="F710" s="38" t="s">
        <v>4327</v>
      </c>
      <c r="G710" s="38" t="s">
        <v>4316</v>
      </c>
      <c r="H710" s="35" t="s">
        <v>4314</v>
      </c>
      <c r="I710" s="21">
        <f>38 + 29/60</f>
        <v>38.483333333333334</v>
      </c>
      <c r="J710" s="21">
        <f>-2-49/60</f>
        <v>-2.8166666666666664</v>
      </c>
      <c r="K710" s="73">
        <f t="shared" si="8"/>
        <v>2.3460000000000001</v>
      </c>
      <c r="L710" s="38">
        <v>2003</v>
      </c>
      <c r="M710" s="38">
        <v>2009</v>
      </c>
      <c r="N710" s="73" t="s">
        <v>2276</v>
      </c>
      <c r="O710" s="38" t="s">
        <v>67</v>
      </c>
      <c r="P710" s="5" t="s">
        <v>5187</v>
      </c>
      <c r="Q710" s="168" t="s">
        <v>4328</v>
      </c>
    </row>
    <row r="711" spans="1:17" ht="39" customHeight="1">
      <c r="A711" s="106">
        <v>170</v>
      </c>
      <c r="B711" s="40" t="s">
        <v>4315</v>
      </c>
      <c r="C711" s="11" t="s">
        <v>4322</v>
      </c>
      <c r="D711" s="35" t="s">
        <v>2398</v>
      </c>
      <c r="E711" s="38" t="s">
        <v>2399</v>
      </c>
      <c r="F711" s="38" t="s">
        <v>4327</v>
      </c>
      <c r="G711" s="38" t="s">
        <v>4316</v>
      </c>
      <c r="H711" s="35" t="s">
        <v>4314</v>
      </c>
      <c r="I711" s="21">
        <v>37.8344892</v>
      </c>
      <c r="J711" s="21">
        <v>-2.9360164000000002</v>
      </c>
      <c r="K711" s="73">
        <f t="shared" si="8"/>
        <v>2.3460000000000001</v>
      </c>
      <c r="L711" s="38">
        <v>2003</v>
      </c>
      <c r="M711" s="38">
        <v>2009</v>
      </c>
      <c r="N711" s="73" t="s">
        <v>2276</v>
      </c>
      <c r="O711" s="38" t="s">
        <v>67</v>
      </c>
      <c r="P711" s="5" t="s">
        <v>5187</v>
      </c>
      <c r="Q711" s="168" t="s">
        <v>4328</v>
      </c>
    </row>
    <row r="712" spans="1:17" ht="39" customHeight="1">
      <c r="A712" s="106">
        <v>170</v>
      </c>
      <c r="B712" s="40" t="s">
        <v>4315</v>
      </c>
      <c r="C712" s="11" t="s">
        <v>4323</v>
      </c>
      <c r="D712" s="35" t="s">
        <v>2398</v>
      </c>
      <c r="E712" s="38" t="s">
        <v>2399</v>
      </c>
      <c r="F712" s="38" t="s">
        <v>4327</v>
      </c>
      <c r="G712" s="38" t="s">
        <v>4316</v>
      </c>
      <c r="H712" s="35" t="s">
        <v>4314</v>
      </c>
      <c r="I712" s="21">
        <v>37.064624000000002</v>
      </c>
      <c r="J712" s="21">
        <v>-3.3127602</v>
      </c>
      <c r="K712" s="73">
        <f t="shared" si="8"/>
        <v>2.3460000000000001</v>
      </c>
      <c r="L712" s="38">
        <v>2003</v>
      </c>
      <c r="M712" s="38">
        <v>2009</v>
      </c>
      <c r="N712" s="73" t="s">
        <v>2276</v>
      </c>
      <c r="O712" s="38" t="s">
        <v>67</v>
      </c>
      <c r="P712" s="5" t="s">
        <v>5187</v>
      </c>
      <c r="Q712" s="168" t="s">
        <v>4328</v>
      </c>
    </row>
    <row r="713" spans="1:17" ht="39" customHeight="1">
      <c r="A713" s="106">
        <v>170</v>
      </c>
      <c r="B713" s="40" t="s">
        <v>4315</v>
      </c>
      <c r="C713" s="11" t="s">
        <v>4324</v>
      </c>
      <c r="D713" s="11" t="s">
        <v>2398</v>
      </c>
      <c r="E713" s="3" t="s">
        <v>2399</v>
      </c>
      <c r="F713" s="3" t="s">
        <v>4327</v>
      </c>
      <c r="G713" s="3" t="s">
        <v>4316</v>
      </c>
      <c r="H713" s="11" t="s">
        <v>4314</v>
      </c>
      <c r="I713" s="21">
        <v>36.5959547</v>
      </c>
      <c r="J713" s="21">
        <v>-4.4345077000000002</v>
      </c>
      <c r="K713" s="21">
        <f t="shared" si="8"/>
        <v>2.3460000000000001</v>
      </c>
      <c r="L713" s="3">
        <v>2003</v>
      </c>
      <c r="M713" s="3">
        <v>2009</v>
      </c>
      <c r="N713" s="21" t="s">
        <v>2276</v>
      </c>
      <c r="O713" s="3" t="s">
        <v>67</v>
      </c>
      <c r="P713" s="5" t="s">
        <v>5187</v>
      </c>
      <c r="Q713" s="4" t="s">
        <v>4328</v>
      </c>
    </row>
    <row r="714" spans="1:17" ht="39" customHeight="1">
      <c r="A714" s="106">
        <v>170</v>
      </c>
      <c r="B714" s="40" t="s">
        <v>4315</v>
      </c>
      <c r="C714" s="11" t="s">
        <v>4325</v>
      </c>
      <c r="D714" s="11" t="s">
        <v>2398</v>
      </c>
      <c r="E714" s="3" t="s">
        <v>2399</v>
      </c>
      <c r="F714" s="3" t="s">
        <v>4327</v>
      </c>
      <c r="G714" s="3" t="s">
        <v>4316</v>
      </c>
      <c r="H714" s="11" t="s">
        <v>4314</v>
      </c>
      <c r="I714" s="21">
        <v>36.694679700000002</v>
      </c>
      <c r="J714" s="21">
        <v>-4.5031409</v>
      </c>
      <c r="K714" s="21">
        <f t="shared" si="8"/>
        <v>2.3460000000000001</v>
      </c>
      <c r="L714" s="3">
        <v>2003</v>
      </c>
      <c r="M714" s="3">
        <v>2009</v>
      </c>
      <c r="N714" s="21" t="s">
        <v>2276</v>
      </c>
      <c r="O714" s="3" t="s">
        <v>67</v>
      </c>
      <c r="P714" s="5" t="s">
        <v>5187</v>
      </c>
      <c r="Q714" s="4" t="s">
        <v>4328</v>
      </c>
    </row>
    <row r="715" spans="1:17" ht="39" customHeight="1">
      <c r="A715" s="106">
        <v>170</v>
      </c>
      <c r="B715" s="40" t="s">
        <v>4315</v>
      </c>
      <c r="C715" s="11" t="s">
        <v>4326</v>
      </c>
      <c r="D715" s="11" t="s">
        <v>2398</v>
      </c>
      <c r="E715" s="3" t="s">
        <v>2399</v>
      </c>
      <c r="F715" s="3" t="s">
        <v>4327</v>
      </c>
      <c r="G715" s="3" t="s">
        <v>4316</v>
      </c>
      <c r="H715" s="11" t="s">
        <v>4314</v>
      </c>
      <c r="I715" s="21">
        <v>36.750232599999997</v>
      </c>
      <c r="J715" s="21">
        <v>-4.8053749000000003</v>
      </c>
      <c r="K715" s="21">
        <f t="shared" si="8"/>
        <v>2.3460000000000001</v>
      </c>
      <c r="L715" s="3">
        <v>2003</v>
      </c>
      <c r="M715" s="3">
        <v>2009</v>
      </c>
      <c r="N715" s="21" t="s">
        <v>2276</v>
      </c>
      <c r="O715" s="3" t="s">
        <v>67</v>
      </c>
      <c r="P715" s="5" t="s">
        <v>5187</v>
      </c>
      <c r="Q715" s="4" t="s">
        <v>4328</v>
      </c>
    </row>
    <row r="716" spans="1:17" ht="55.5" customHeight="1">
      <c r="A716" s="31">
        <v>171</v>
      </c>
      <c r="B716" s="40" t="s">
        <v>4359</v>
      </c>
      <c r="C716" s="3" t="s">
        <v>4360</v>
      </c>
      <c r="D716" s="11" t="s">
        <v>2398</v>
      </c>
      <c r="E716" s="3" t="s">
        <v>2422</v>
      </c>
      <c r="F716" s="11" t="s">
        <v>4358</v>
      </c>
      <c r="G716" s="11" t="s">
        <v>3621</v>
      </c>
      <c r="H716" s="11" t="s">
        <v>3616</v>
      </c>
      <c r="I716" s="21">
        <v>-42.974161500000001</v>
      </c>
      <c r="J716" s="21">
        <v>-71.591682199999994</v>
      </c>
      <c r="K716" s="21">
        <v>2596</v>
      </c>
      <c r="L716" s="11">
        <v>1937</v>
      </c>
      <c r="M716" s="11">
        <v>1937</v>
      </c>
      <c r="N716" s="21" t="s">
        <v>2276</v>
      </c>
      <c r="O716" s="3" t="s">
        <v>67</v>
      </c>
      <c r="P716" s="5" t="s">
        <v>5187</v>
      </c>
      <c r="Q716" s="4" t="s">
        <v>4381</v>
      </c>
    </row>
    <row r="717" spans="1:17" ht="41" customHeight="1">
      <c r="A717" s="31">
        <v>171</v>
      </c>
      <c r="B717" s="40" t="s">
        <v>4359</v>
      </c>
      <c r="C717" s="3" t="s">
        <v>4362</v>
      </c>
      <c r="D717" s="11" t="s">
        <v>2398</v>
      </c>
      <c r="E717" s="3" t="s">
        <v>2399</v>
      </c>
      <c r="F717" s="11" t="s">
        <v>4358</v>
      </c>
      <c r="G717" s="11" t="s">
        <v>3621</v>
      </c>
      <c r="H717" s="11" t="s">
        <v>3616</v>
      </c>
      <c r="I717" s="21">
        <v>-42.974161500000001</v>
      </c>
      <c r="J717" s="21">
        <v>-71.591682199999994</v>
      </c>
      <c r="K717" s="21">
        <v>2596</v>
      </c>
      <c r="L717" s="11">
        <v>2016</v>
      </c>
      <c r="M717" s="11">
        <v>2017</v>
      </c>
      <c r="N717" s="21">
        <f>320/K717</f>
        <v>0.12326656394453005</v>
      </c>
      <c r="O717" s="3" t="s">
        <v>67</v>
      </c>
      <c r="P717" s="5" t="s">
        <v>5187</v>
      </c>
      <c r="Q717" s="3" t="s">
        <v>4361</v>
      </c>
    </row>
    <row r="718" spans="1:17" ht="35.5" customHeight="1">
      <c r="A718" s="171">
        <v>172</v>
      </c>
      <c r="B718" s="61" t="s">
        <v>4388</v>
      </c>
      <c r="C718" s="23" t="s">
        <v>4387</v>
      </c>
      <c r="D718" s="22" t="s">
        <v>2416</v>
      </c>
      <c r="E718" s="22" t="s">
        <v>2400</v>
      </c>
      <c r="F718" s="3" t="s">
        <v>2276</v>
      </c>
      <c r="G718" s="23" t="s">
        <v>3934</v>
      </c>
      <c r="H718" s="23" t="s">
        <v>3933</v>
      </c>
      <c r="I718" s="77">
        <v>13.349641399999999</v>
      </c>
      <c r="J718" s="77">
        <v>-16.019096399999999</v>
      </c>
      <c r="K718" s="21" t="s">
        <v>2276</v>
      </c>
      <c r="L718" s="22">
        <v>2008</v>
      </c>
      <c r="M718" s="22">
        <v>2009</v>
      </c>
      <c r="N718" s="77" t="s">
        <v>2276</v>
      </c>
      <c r="O718" s="3" t="s">
        <v>67</v>
      </c>
      <c r="P718" s="5" t="s">
        <v>5187</v>
      </c>
      <c r="Q718" s="24" t="s">
        <v>4394</v>
      </c>
    </row>
    <row r="719" spans="1:17" ht="35.5" customHeight="1">
      <c r="A719" s="171">
        <v>172</v>
      </c>
      <c r="B719" s="61" t="s">
        <v>4388</v>
      </c>
      <c r="C719" s="23" t="s">
        <v>4389</v>
      </c>
      <c r="D719" s="22" t="s">
        <v>2416</v>
      </c>
      <c r="E719" s="22" t="s">
        <v>2400</v>
      </c>
      <c r="F719" s="33" t="s">
        <v>2276</v>
      </c>
      <c r="G719" s="23" t="s">
        <v>3935</v>
      </c>
      <c r="H719" s="23" t="s">
        <v>3933</v>
      </c>
      <c r="I719" s="77">
        <v>13.7160305</v>
      </c>
      <c r="J719" s="77">
        <v>-15.100198600000001</v>
      </c>
      <c r="K719" s="21" t="s">
        <v>2276</v>
      </c>
      <c r="L719" s="22">
        <v>2008</v>
      </c>
      <c r="M719" s="22">
        <v>2009</v>
      </c>
      <c r="N719" s="77" t="s">
        <v>2276</v>
      </c>
      <c r="O719" s="3" t="s">
        <v>67</v>
      </c>
      <c r="P719" s="5" t="s">
        <v>5187</v>
      </c>
      <c r="Q719" s="24" t="s">
        <v>4394</v>
      </c>
    </row>
    <row r="720" spans="1:17" ht="35.5" customHeight="1">
      <c r="A720" s="171">
        <v>172</v>
      </c>
      <c r="B720" s="61" t="s">
        <v>4388</v>
      </c>
      <c r="C720" s="23" t="s">
        <v>4390</v>
      </c>
      <c r="D720" s="22" t="s">
        <v>2416</v>
      </c>
      <c r="E720" s="22" t="s">
        <v>2400</v>
      </c>
      <c r="F720" s="3" t="s">
        <v>2276</v>
      </c>
      <c r="G720" s="23" t="s">
        <v>4412</v>
      </c>
      <c r="H720" s="23" t="s">
        <v>3933</v>
      </c>
      <c r="I720" s="77">
        <v>13.5721112</v>
      </c>
      <c r="J720" s="77">
        <v>-15.2698559</v>
      </c>
      <c r="K720" s="21" t="s">
        <v>2276</v>
      </c>
      <c r="L720" s="22">
        <v>2008</v>
      </c>
      <c r="M720" s="22">
        <v>2009</v>
      </c>
      <c r="N720" s="77" t="s">
        <v>2276</v>
      </c>
      <c r="O720" s="3" t="s">
        <v>67</v>
      </c>
      <c r="P720" s="5" t="s">
        <v>5187</v>
      </c>
      <c r="Q720" s="24" t="s">
        <v>4394</v>
      </c>
    </row>
    <row r="721" spans="1:17" ht="35.5" customHeight="1">
      <c r="A721" s="171">
        <v>172</v>
      </c>
      <c r="B721" s="61" t="s">
        <v>4388</v>
      </c>
      <c r="C721" s="23" t="s">
        <v>4391</v>
      </c>
      <c r="D721" s="22" t="s">
        <v>2416</v>
      </c>
      <c r="E721" s="22" t="s">
        <v>2400</v>
      </c>
      <c r="F721" s="3" t="s">
        <v>2276</v>
      </c>
      <c r="G721" s="3" t="s">
        <v>3942</v>
      </c>
      <c r="H721" s="3" t="s">
        <v>3944</v>
      </c>
      <c r="I721" s="21">
        <v>11.7544994</v>
      </c>
      <c r="J721" s="21">
        <v>-13.204300399999999</v>
      </c>
      <c r="K721" s="21">
        <v>11350</v>
      </c>
      <c r="L721" s="22">
        <v>2008</v>
      </c>
      <c r="M721" s="22">
        <v>2009</v>
      </c>
      <c r="N721" s="77">
        <v>13</v>
      </c>
      <c r="O721" s="3" t="s">
        <v>67</v>
      </c>
      <c r="P721" s="5" t="s">
        <v>5187</v>
      </c>
      <c r="Q721" s="24" t="s">
        <v>4394</v>
      </c>
    </row>
    <row r="722" spans="1:17" ht="35.5" customHeight="1">
      <c r="A722" s="171">
        <v>172</v>
      </c>
      <c r="B722" s="61" t="s">
        <v>4388</v>
      </c>
      <c r="C722" s="23" t="s">
        <v>4392</v>
      </c>
      <c r="D722" s="22" t="s">
        <v>2416</v>
      </c>
      <c r="E722" s="22" t="s">
        <v>2400</v>
      </c>
      <c r="F722" s="33" t="s">
        <v>2276</v>
      </c>
      <c r="G722" s="3" t="s">
        <v>3943</v>
      </c>
      <c r="H722" s="3" t="s">
        <v>3944</v>
      </c>
      <c r="I722" s="21">
        <v>11.291210700000001</v>
      </c>
      <c r="J722" s="21">
        <v>-10.711305100000001</v>
      </c>
      <c r="K722" s="21">
        <v>3474</v>
      </c>
      <c r="L722" s="22">
        <v>2008</v>
      </c>
      <c r="M722" s="22">
        <v>2009</v>
      </c>
      <c r="N722" s="77" t="s">
        <v>2276</v>
      </c>
      <c r="O722" s="3" t="s">
        <v>67</v>
      </c>
      <c r="P722" s="5" t="s">
        <v>5187</v>
      </c>
      <c r="Q722" s="24" t="s">
        <v>4394</v>
      </c>
    </row>
    <row r="723" spans="1:17" ht="35.5" customHeight="1">
      <c r="A723" s="171">
        <v>172</v>
      </c>
      <c r="B723" s="61" t="s">
        <v>4388</v>
      </c>
      <c r="C723" s="23" t="s">
        <v>4393</v>
      </c>
      <c r="D723" s="22" t="s">
        <v>2416</v>
      </c>
      <c r="E723" s="22" t="s">
        <v>2400</v>
      </c>
      <c r="F723" s="3" t="s">
        <v>2276</v>
      </c>
      <c r="G723" s="3" t="s">
        <v>3945</v>
      </c>
      <c r="H723" s="3" t="s">
        <v>3944</v>
      </c>
      <c r="I723" s="21">
        <v>8.8076275000000006</v>
      </c>
      <c r="J723" s="21">
        <v>-8.3084334999999996</v>
      </c>
      <c r="K723" s="21">
        <v>3129.69</v>
      </c>
      <c r="L723" s="22">
        <v>2008</v>
      </c>
      <c r="M723" s="22">
        <v>2009</v>
      </c>
      <c r="N723" s="77" t="s">
        <v>2276</v>
      </c>
      <c r="O723" s="3" t="s">
        <v>67</v>
      </c>
      <c r="P723" s="5" t="s">
        <v>5187</v>
      </c>
      <c r="Q723" s="24" t="s">
        <v>4394</v>
      </c>
    </row>
    <row r="724" spans="1:17" ht="41" customHeight="1">
      <c r="A724" s="171">
        <v>173</v>
      </c>
      <c r="B724" s="40" t="s">
        <v>4419</v>
      </c>
      <c r="C724" s="23" t="s">
        <v>4418</v>
      </c>
      <c r="D724" s="3" t="s">
        <v>2398</v>
      </c>
      <c r="E724" s="3" t="s">
        <v>2637</v>
      </c>
      <c r="F724" s="3" t="s">
        <v>2276</v>
      </c>
      <c r="G724" s="3" t="s">
        <v>4423</v>
      </c>
      <c r="H724" s="3" t="s">
        <v>4420</v>
      </c>
      <c r="I724" s="21">
        <v>35.279265500000001</v>
      </c>
      <c r="J724" s="21">
        <v>63.872084999999998</v>
      </c>
      <c r="K724" s="77" t="s">
        <v>2276</v>
      </c>
      <c r="L724" s="95">
        <v>2006</v>
      </c>
      <c r="M724" s="172">
        <v>2006</v>
      </c>
      <c r="N724" s="77" t="s">
        <v>2276</v>
      </c>
      <c r="O724" s="3" t="s">
        <v>67</v>
      </c>
      <c r="P724" s="5" t="s">
        <v>5187</v>
      </c>
      <c r="Q724" s="3"/>
    </row>
    <row r="725" spans="1:17" ht="38" customHeight="1">
      <c r="A725" s="171">
        <v>173</v>
      </c>
      <c r="B725" s="40" t="s">
        <v>4419</v>
      </c>
      <c r="C725" s="23" t="s">
        <v>4421</v>
      </c>
      <c r="D725" s="3" t="s">
        <v>2398</v>
      </c>
      <c r="E725" s="3" t="s">
        <v>2637</v>
      </c>
      <c r="F725" s="3" t="s">
        <v>4424</v>
      </c>
      <c r="G725" s="3" t="s">
        <v>2276</v>
      </c>
      <c r="H725" s="11" t="s">
        <v>4422</v>
      </c>
      <c r="I725" s="21">
        <v>35.866898399999997</v>
      </c>
      <c r="J725" s="21">
        <v>61.665154600000001</v>
      </c>
      <c r="K725" s="77" t="s">
        <v>2276</v>
      </c>
      <c r="L725" s="95">
        <v>2006</v>
      </c>
      <c r="M725" s="172">
        <v>2006</v>
      </c>
      <c r="N725" s="77" t="s">
        <v>2276</v>
      </c>
      <c r="O725" s="3" t="s">
        <v>67</v>
      </c>
      <c r="P725" s="5" t="s">
        <v>5187</v>
      </c>
      <c r="Q725" s="3"/>
    </row>
    <row r="726" spans="1:17" ht="50" customHeight="1">
      <c r="A726" s="171">
        <v>174</v>
      </c>
      <c r="B726" s="40" t="s">
        <v>4435</v>
      </c>
      <c r="C726" s="23" t="s">
        <v>4436</v>
      </c>
      <c r="D726" s="3" t="s">
        <v>2398</v>
      </c>
      <c r="E726" s="3" t="s">
        <v>2399</v>
      </c>
      <c r="F726" s="3" t="s">
        <v>4437</v>
      </c>
      <c r="G726" s="3" t="s">
        <v>3771</v>
      </c>
      <c r="H726" s="3" t="s">
        <v>3770</v>
      </c>
      <c r="I726" s="21">
        <v>-33.5</v>
      </c>
      <c r="J726" s="21">
        <v>25.332999999999998</v>
      </c>
      <c r="K726" s="21" t="s">
        <v>2276</v>
      </c>
      <c r="L726" s="95">
        <v>2001</v>
      </c>
      <c r="M726" s="172">
        <v>2002</v>
      </c>
      <c r="N726" s="77" t="s">
        <v>2276</v>
      </c>
      <c r="O726" s="3" t="s">
        <v>67</v>
      </c>
      <c r="P726" s="5" t="s">
        <v>5187</v>
      </c>
      <c r="Q726" s="3"/>
    </row>
    <row r="727" spans="1:17" ht="44.5" customHeight="1">
      <c r="A727" s="171">
        <v>175</v>
      </c>
      <c r="B727" s="40" t="s">
        <v>4447</v>
      </c>
      <c r="C727" s="23" t="s">
        <v>4448</v>
      </c>
      <c r="D727" s="3" t="s">
        <v>2398</v>
      </c>
      <c r="E727" s="3" t="s">
        <v>2636</v>
      </c>
      <c r="F727" s="3" t="s">
        <v>4449</v>
      </c>
      <c r="G727" s="3" t="s">
        <v>4450</v>
      </c>
      <c r="H727" s="3" t="s">
        <v>770</v>
      </c>
      <c r="I727" s="21">
        <v>16.594422600000001</v>
      </c>
      <c r="J727" s="21">
        <v>-92.363898300000002</v>
      </c>
      <c r="K727" s="21" t="s">
        <v>2276</v>
      </c>
      <c r="L727" s="172">
        <v>1990</v>
      </c>
      <c r="M727" s="172">
        <v>1990</v>
      </c>
      <c r="N727" s="77" t="s">
        <v>2276</v>
      </c>
      <c r="O727" s="3" t="s">
        <v>67</v>
      </c>
      <c r="P727" s="5" t="s">
        <v>5187</v>
      </c>
      <c r="Q727" s="4" t="s">
        <v>4455</v>
      </c>
    </row>
    <row r="728" spans="1:17" ht="43.5" customHeight="1">
      <c r="A728" s="171">
        <v>175</v>
      </c>
      <c r="B728" s="40" t="s">
        <v>4447</v>
      </c>
      <c r="C728" s="23" t="s">
        <v>4451</v>
      </c>
      <c r="D728" s="3" t="s">
        <v>2398</v>
      </c>
      <c r="E728" s="3" t="s">
        <v>2637</v>
      </c>
      <c r="F728" s="3" t="s">
        <v>4452</v>
      </c>
      <c r="G728" s="3" t="s">
        <v>4450</v>
      </c>
      <c r="H728" s="3" t="s">
        <v>770</v>
      </c>
      <c r="I728" s="21">
        <v>16.594422600000001</v>
      </c>
      <c r="J728" s="21">
        <v>-92.363898300000002</v>
      </c>
      <c r="K728" s="21" t="s">
        <v>2276</v>
      </c>
      <c r="L728" s="172">
        <v>2010</v>
      </c>
      <c r="M728" s="172">
        <v>2010</v>
      </c>
      <c r="N728" s="77" t="s">
        <v>2276</v>
      </c>
      <c r="O728" s="3" t="s">
        <v>67</v>
      </c>
      <c r="P728" s="5" t="s">
        <v>5187</v>
      </c>
      <c r="Q728" s="4" t="s">
        <v>4456</v>
      </c>
    </row>
    <row r="729" spans="1:17" ht="52" customHeight="1">
      <c r="A729" s="171">
        <v>175</v>
      </c>
      <c r="B729" s="41" t="s">
        <v>4454</v>
      </c>
      <c r="C729" s="23" t="s">
        <v>4453</v>
      </c>
      <c r="D729" s="3" t="s">
        <v>2398</v>
      </c>
      <c r="E729" s="3" t="s">
        <v>2637</v>
      </c>
      <c r="F729" s="3" t="s">
        <v>4452</v>
      </c>
      <c r="G729" s="3" t="s">
        <v>4450</v>
      </c>
      <c r="H729" s="3" t="s">
        <v>770</v>
      </c>
      <c r="I729" s="21">
        <v>20.597460399999999</v>
      </c>
      <c r="J729" s="21">
        <v>-88.162852200000003</v>
      </c>
      <c r="K729" s="21" t="s">
        <v>2276</v>
      </c>
      <c r="L729" s="172">
        <v>1990</v>
      </c>
      <c r="M729" s="172">
        <v>1990</v>
      </c>
      <c r="N729" s="77" t="s">
        <v>2276</v>
      </c>
      <c r="O729" s="3" t="s">
        <v>67</v>
      </c>
      <c r="P729" s="5" t="s">
        <v>5187</v>
      </c>
      <c r="Q729" s="3"/>
    </row>
    <row r="730" spans="1:17" ht="58.5" customHeight="1">
      <c r="A730" s="171">
        <v>176</v>
      </c>
      <c r="B730" s="40" t="s">
        <v>4472</v>
      </c>
      <c r="C730" s="3" t="s">
        <v>4473</v>
      </c>
      <c r="D730" s="3" t="s">
        <v>2398</v>
      </c>
      <c r="E730" s="3" t="s">
        <v>2399</v>
      </c>
      <c r="F730" s="3" t="s">
        <v>4474</v>
      </c>
      <c r="G730" s="3" t="s">
        <v>3969</v>
      </c>
      <c r="H730" s="3" t="s">
        <v>1951</v>
      </c>
      <c r="I730" s="21">
        <f>3 + 7/60</f>
        <v>3.1166666666666667</v>
      </c>
      <c r="J730" s="21">
        <f>35+35/60</f>
        <v>35.583333333333336</v>
      </c>
      <c r="K730" s="21">
        <v>840</v>
      </c>
      <c r="L730" s="3">
        <v>1987</v>
      </c>
      <c r="M730" s="3">
        <v>1987</v>
      </c>
      <c r="N730" s="77" t="s">
        <v>2276</v>
      </c>
      <c r="O730" s="3" t="s">
        <v>67</v>
      </c>
      <c r="P730" s="5" t="s">
        <v>5187</v>
      </c>
      <c r="Q730" s="3"/>
    </row>
    <row r="731" spans="1:17" ht="49" customHeight="1">
      <c r="A731" s="171">
        <v>177</v>
      </c>
      <c r="B731" s="40" t="s">
        <v>4484</v>
      </c>
      <c r="C731" s="3" t="s">
        <v>4485</v>
      </c>
      <c r="D731" s="3" t="s">
        <v>2398</v>
      </c>
      <c r="E731" s="4" t="s">
        <v>2639</v>
      </c>
      <c r="F731" s="3" t="s">
        <v>4486</v>
      </c>
      <c r="G731" s="3" t="s">
        <v>2276</v>
      </c>
      <c r="H731" s="3" t="s">
        <v>1951</v>
      </c>
      <c r="I731" s="21">
        <v>-1.25</v>
      </c>
      <c r="J731" s="21">
        <v>35.25</v>
      </c>
      <c r="K731" s="21">
        <v>2250</v>
      </c>
      <c r="L731" s="3">
        <v>1950</v>
      </c>
      <c r="M731" s="3">
        <v>1966</v>
      </c>
      <c r="N731" s="77">
        <f>202/K731</f>
        <v>8.9777777777777776E-2</v>
      </c>
      <c r="O731" s="3" t="s">
        <v>67</v>
      </c>
      <c r="P731" s="5" t="s">
        <v>5187</v>
      </c>
      <c r="Q731" s="3"/>
    </row>
    <row r="732" spans="1:17" ht="49" customHeight="1">
      <c r="A732" s="171">
        <v>177</v>
      </c>
      <c r="B732" s="40" t="s">
        <v>4484</v>
      </c>
      <c r="C732" s="3" t="s">
        <v>4487</v>
      </c>
      <c r="D732" s="3" t="s">
        <v>2398</v>
      </c>
      <c r="E732" s="4" t="s">
        <v>2639</v>
      </c>
      <c r="F732" s="3" t="s">
        <v>4486</v>
      </c>
      <c r="G732" s="3" t="s">
        <v>2276</v>
      </c>
      <c r="H732" s="3" t="s">
        <v>1951</v>
      </c>
      <c r="I732" s="21">
        <v>-1.25</v>
      </c>
      <c r="J732" s="21">
        <v>35.25</v>
      </c>
      <c r="K732" s="21">
        <v>2250</v>
      </c>
      <c r="L732" s="174">
        <v>1967</v>
      </c>
      <c r="M732" s="174">
        <v>1982</v>
      </c>
      <c r="N732" s="77">
        <f>1283/K732</f>
        <v>0.57022222222222219</v>
      </c>
      <c r="O732" s="3" t="s">
        <v>67</v>
      </c>
      <c r="P732" s="5" t="s">
        <v>5187</v>
      </c>
      <c r="Q732" s="3"/>
    </row>
    <row r="733" spans="1:17" ht="49" customHeight="1">
      <c r="A733" s="171">
        <v>177</v>
      </c>
      <c r="B733" s="40" t="s">
        <v>4484</v>
      </c>
      <c r="C733" s="3" t="s">
        <v>4488</v>
      </c>
      <c r="D733" s="3" t="s">
        <v>2398</v>
      </c>
      <c r="E733" s="4" t="s">
        <v>2639</v>
      </c>
      <c r="F733" s="3" t="s">
        <v>4486</v>
      </c>
      <c r="G733" s="3" t="s">
        <v>2276</v>
      </c>
      <c r="H733" s="3" t="s">
        <v>1951</v>
      </c>
      <c r="I733" s="21">
        <v>-1.25</v>
      </c>
      <c r="J733" s="21">
        <v>35.25</v>
      </c>
      <c r="K733" s="21">
        <v>2250</v>
      </c>
      <c r="L733" s="174">
        <v>1983</v>
      </c>
      <c r="M733" s="174">
        <v>1998</v>
      </c>
      <c r="N733" s="77">
        <f>4151/K733</f>
        <v>1.8448888888888888</v>
      </c>
      <c r="O733" s="3" t="s">
        <v>67</v>
      </c>
      <c r="P733" s="5" t="s">
        <v>5187</v>
      </c>
      <c r="Q733" s="3"/>
    </row>
    <row r="734" spans="1:17" ht="49" customHeight="1">
      <c r="A734" s="171">
        <v>177</v>
      </c>
      <c r="B734" s="40" t="s">
        <v>4484</v>
      </c>
      <c r="C734" s="3" t="s">
        <v>4489</v>
      </c>
      <c r="D734" s="3" t="s">
        <v>2398</v>
      </c>
      <c r="E734" s="4" t="s">
        <v>2639</v>
      </c>
      <c r="F734" s="3" t="s">
        <v>4486</v>
      </c>
      <c r="G734" s="3" t="s">
        <v>2276</v>
      </c>
      <c r="H734" s="3" t="s">
        <v>1951</v>
      </c>
      <c r="I734" s="21">
        <v>-1.25</v>
      </c>
      <c r="J734" s="21">
        <v>35.25</v>
      </c>
      <c r="K734" s="21">
        <v>2250</v>
      </c>
      <c r="L734" s="174">
        <v>1999</v>
      </c>
      <c r="M734" s="174">
        <v>2000</v>
      </c>
      <c r="N734" s="77">
        <f>8428/K734</f>
        <v>3.7457777777777777</v>
      </c>
      <c r="O734" s="3" t="s">
        <v>67</v>
      </c>
      <c r="P734" s="5" t="s">
        <v>5187</v>
      </c>
      <c r="Q734" s="3"/>
    </row>
    <row r="735" spans="1:17" ht="50" customHeight="1">
      <c r="A735" s="171">
        <v>178</v>
      </c>
      <c r="B735" s="40" t="s">
        <v>4501</v>
      </c>
      <c r="C735" s="11" t="s">
        <v>4502</v>
      </c>
      <c r="D735" s="3" t="s">
        <v>2398</v>
      </c>
      <c r="E735" s="3" t="s">
        <v>2399</v>
      </c>
      <c r="F735" s="3" t="s">
        <v>4505</v>
      </c>
      <c r="G735" s="3" t="s">
        <v>2276</v>
      </c>
      <c r="H735" s="3" t="s">
        <v>1951</v>
      </c>
      <c r="I735" s="21">
        <f>17/60</f>
        <v>0.28333333333333333</v>
      </c>
      <c r="J735" s="21">
        <f>37+53/60</f>
        <v>37.883333333333333</v>
      </c>
      <c r="K735" s="21" t="s">
        <v>2276</v>
      </c>
      <c r="L735" s="3">
        <v>1984</v>
      </c>
      <c r="M735" s="3">
        <v>2004</v>
      </c>
      <c r="N735" s="21" t="s">
        <v>2276</v>
      </c>
      <c r="O735" s="3" t="s">
        <v>67</v>
      </c>
      <c r="P735" s="5" t="s">
        <v>5187</v>
      </c>
      <c r="Q735" s="3" t="s">
        <v>4507</v>
      </c>
    </row>
    <row r="736" spans="1:17" ht="45" customHeight="1">
      <c r="A736" s="171">
        <v>178</v>
      </c>
      <c r="B736" s="40" t="s">
        <v>4501</v>
      </c>
      <c r="C736" s="11" t="s">
        <v>4506</v>
      </c>
      <c r="D736" s="3" t="s">
        <v>2398</v>
      </c>
      <c r="E736" s="3" t="s">
        <v>2399</v>
      </c>
      <c r="F736" s="3" t="s">
        <v>4505</v>
      </c>
      <c r="G736" s="3" t="s">
        <v>2276</v>
      </c>
      <c r="H736" s="3" t="s">
        <v>1951</v>
      </c>
      <c r="I736" s="21">
        <f>17/60</f>
        <v>0.28333333333333333</v>
      </c>
      <c r="J736" s="21">
        <f>37+53/60</f>
        <v>37.883333333333333</v>
      </c>
      <c r="K736" s="21" t="s">
        <v>2276</v>
      </c>
      <c r="L736" s="3">
        <v>2004</v>
      </c>
      <c r="M736" s="3">
        <v>2006</v>
      </c>
      <c r="N736" s="21" t="s">
        <v>2276</v>
      </c>
      <c r="O736" s="3" t="s">
        <v>67</v>
      </c>
      <c r="P736" s="5" t="s">
        <v>5187</v>
      </c>
      <c r="Q736" s="3"/>
    </row>
    <row r="737" spans="1:17" ht="43" customHeight="1">
      <c r="A737" s="171">
        <v>179</v>
      </c>
      <c r="B737" s="40" t="s">
        <v>4517</v>
      </c>
      <c r="C737" s="3" t="s">
        <v>4518</v>
      </c>
      <c r="D737" s="3" t="s">
        <v>2398</v>
      </c>
      <c r="E737" s="3" t="s">
        <v>2399</v>
      </c>
      <c r="F737" s="3" t="s">
        <v>4523</v>
      </c>
      <c r="G737" s="11" t="s">
        <v>4514</v>
      </c>
      <c r="H737" s="11" t="s">
        <v>4515</v>
      </c>
      <c r="I737" s="21">
        <f>-26 - 16.5/60</f>
        <v>-26.274999999999999</v>
      </c>
      <c r="J737" s="21">
        <f>31 + 53.5/60</f>
        <v>31.891666666666666</v>
      </c>
      <c r="K737" s="21">
        <v>124</v>
      </c>
      <c r="L737" s="3">
        <v>1967</v>
      </c>
      <c r="M737" s="3">
        <v>1997</v>
      </c>
      <c r="N737" s="21" t="s">
        <v>2276</v>
      </c>
      <c r="O737" s="3" t="s">
        <v>67</v>
      </c>
      <c r="P737" s="5" t="s">
        <v>5187</v>
      </c>
      <c r="Q737" s="3"/>
    </row>
    <row r="738" spans="1:17" ht="43" customHeight="1">
      <c r="A738" s="171">
        <v>179</v>
      </c>
      <c r="B738" s="40" t="s">
        <v>4517</v>
      </c>
      <c r="C738" s="3" t="s">
        <v>4519</v>
      </c>
      <c r="D738" s="3" t="s">
        <v>2398</v>
      </c>
      <c r="E738" s="3" t="s">
        <v>2399</v>
      </c>
      <c r="F738" s="3" t="s">
        <v>4524</v>
      </c>
      <c r="G738" s="11" t="s">
        <v>4514</v>
      </c>
      <c r="H738" s="11" t="s">
        <v>4515</v>
      </c>
      <c r="I738" s="21">
        <f t="shared" ref="I738:I741" si="9">-26 - 16.5/60</f>
        <v>-26.274999999999999</v>
      </c>
      <c r="J738" s="21">
        <f t="shared" ref="J738:J741" si="10">31 + 53.5/60</f>
        <v>31.891666666666666</v>
      </c>
      <c r="K738" s="21">
        <v>39</v>
      </c>
      <c r="L738" s="3">
        <v>1967</v>
      </c>
      <c r="M738" s="3">
        <v>1997</v>
      </c>
      <c r="N738" s="21" t="s">
        <v>2276</v>
      </c>
      <c r="O738" s="3" t="s">
        <v>67</v>
      </c>
      <c r="P738" s="5" t="s">
        <v>5187</v>
      </c>
      <c r="Q738" s="3"/>
    </row>
    <row r="739" spans="1:17" ht="43" customHeight="1">
      <c r="A739" s="171">
        <v>179</v>
      </c>
      <c r="B739" s="40" t="s">
        <v>4517</v>
      </c>
      <c r="C739" s="3" t="s">
        <v>4520</v>
      </c>
      <c r="D739" s="3" t="s">
        <v>2398</v>
      </c>
      <c r="E739" s="3" t="s">
        <v>2399</v>
      </c>
      <c r="F739" s="4" t="s">
        <v>4525</v>
      </c>
      <c r="G739" s="11" t="s">
        <v>4514</v>
      </c>
      <c r="H739" s="11" t="s">
        <v>4515</v>
      </c>
      <c r="I739" s="21">
        <f t="shared" si="9"/>
        <v>-26.274999999999999</v>
      </c>
      <c r="J739" s="21">
        <f t="shared" si="10"/>
        <v>31.891666666666666</v>
      </c>
      <c r="K739" s="21">
        <v>15</v>
      </c>
      <c r="L739" s="3">
        <v>1967</v>
      </c>
      <c r="M739" s="3">
        <v>1997</v>
      </c>
      <c r="N739" s="21" t="s">
        <v>2276</v>
      </c>
      <c r="O739" s="3" t="s">
        <v>67</v>
      </c>
      <c r="P739" s="5" t="s">
        <v>5187</v>
      </c>
      <c r="Q739" s="3"/>
    </row>
    <row r="740" spans="1:17" ht="43" customHeight="1">
      <c r="A740" s="171">
        <v>179</v>
      </c>
      <c r="B740" s="40" t="s">
        <v>4517</v>
      </c>
      <c r="C740" s="3" t="s">
        <v>4521</v>
      </c>
      <c r="D740" s="3" t="s">
        <v>2398</v>
      </c>
      <c r="E740" s="3" t="s">
        <v>2399</v>
      </c>
      <c r="F740" s="4" t="s">
        <v>4526</v>
      </c>
      <c r="G740" s="11" t="s">
        <v>4514</v>
      </c>
      <c r="H740" s="11" t="s">
        <v>4515</v>
      </c>
      <c r="I740" s="21">
        <f t="shared" si="9"/>
        <v>-26.274999999999999</v>
      </c>
      <c r="J740" s="21">
        <f t="shared" si="10"/>
        <v>31.891666666666666</v>
      </c>
      <c r="K740" s="21">
        <v>38</v>
      </c>
      <c r="L740" s="3">
        <v>1967</v>
      </c>
      <c r="M740" s="3">
        <v>1997</v>
      </c>
      <c r="N740" s="21" t="s">
        <v>2276</v>
      </c>
      <c r="O740" s="3" t="s">
        <v>67</v>
      </c>
      <c r="P740" s="5" t="s">
        <v>5187</v>
      </c>
      <c r="Q740" s="3"/>
    </row>
    <row r="741" spans="1:17" ht="43" customHeight="1">
      <c r="A741" s="171">
        <v>179</v>
      </c>
      <c r="B741" s="40" t="s">
        <v>4517</v>
      </c>
      <c r="C741" s="3" t="s">
        <v>4522</v>
      </c>
      <c r="D741" s="3" t="s">
        <v>2398</v>
      </c>
      <c r="E741" s="3" t="s">
        <v>2399</v>
      </c>
      <c r="F741" s="3" t="s">
        <v>4527</v>
      </c>
      <c r="G741" s="11" t="s">
        <v>4514</v>
      </c>
      <c r="H741" s="11" t="s">
        <v>4515</v>
      </c>
      <c r="I741" s="21">
        <f t="shared" si="9"/>
        <v>-26.274999999999999</v>
      </c>
      <c r="J741" s="21">
        <f t="shared" si="10"/>
        <v>31.891666666666666</v>
      </c>
      <c r="K741" s="21">
        <v>0.5</v>
      </c>
      <c r="L741" s="3">
        <v>1967</v>
      </c>
      <c r="M741" s="3">
        <v>1997</v>
      </c>
      <c r="N741" s="21" t="s">
        <v>2276</v>
      </c>
      <c r="O741" s="3" t="s">
        <v>67</v>
      </c>
      <c r="P741" s="5" t="s">
        <v>5187</v>
      </c>
      <c r="Q741" s="3"/>
    </row>
    <row r="742" spans="1:17" ht="43.5" customHeight="1">
      <c r="A742" s="171">
        <v>180</v>
      </c>
      <c r="B742" s="40" t="s">
        <v>4542</v>
      </c>
      <c r="C742" s="11" t="s">
        <v>4543</v>
      </c>
      <c r="D742" s="3" t="s">
        <v>2398</v>
      </c>
      <c r="E742" s="3" t="s">
        <v>2637</v>
      </c>
      <c r="F742" s="3" t="s">
        <v>4544</v>
      </c>
      <c r="G742" s="3" t="s">
        <v>4545</v>
      </c>
      <c r="H742" s="3" t="s">
        <v>1948</v>
      </c>
      <c r="I742" s="21">
        <v>-19.3195555</v>
      </c>
      <c r="J742" s="21">
        <v>23.007431</v>
      </c>
      <c r="K742" s="21" t="s">
        <v>2276</v>
      </c>
      <c r="L742" s="3">
        <v>2006</v>
      </c>
      <c r="M742" s="3">
        <v>2006</v>
      </c>
      <c r="N742" s="21" t="s">
        <v>2276</v>
      </c>
      <c r="O742" s="3" t="s">
        <v>67</v>
      </c>
      <c r="P742" s="5" t="s">
        <v>5187</v>
      </c>
      <c r="Q742" s="3"/>
    </row>
    <row r="743" spans="1:17" ht="44.5" customHeight="1">
      <c r="A743" s="171">
        <v>180</v>
      </c>
      <c r="B743" s="40" t="s">
        <v>4542</v>
      </c>
      <c r="C743" s="11" t="s">
        <v>4546</v>
      </c>
      <c r="D743" s="3" t="s">
        <v>2398</v>
      </c>
      <c r="E743" s="3" t="s">
        <v>2637</v>
      </c>
      <c r="F743" s="3" t="s">
        <v>4548</v>
      </c>
      <c r="G743" s="3" t="s">
        <v>4547</v>
      </c>
      <c r="H743" s="3" t="s">
        <v>422</v>
      </c>
      <c r="I743" s="21">
        <v>-16.747628200000001</v>
      </c>
      <c r="J743" s="21">
        <v>24.087938900000001</v>
      </c>
      <c r="K743" s="21" t="s">
        <v>2276</v>
      </c>
      <c r="L743" s="11">
        <v>2010</v>
      </c>
      <c r="M743" s="11">
        <v>2010</v>
      </c>
      <c r="N743" s="21" t="s">
        <v>2276</v>
      </c>
      <c r="O743" s="3" t="s">
        <v>67</v>
      </c>
      <c r="P743" s="5" t="s">
        <v>5187</v>
      </c>
      <c r="Q743" s="3"/>
    </row>
    <row r="744" spans="1:17" ht="43" customHeight="1">
      <c r="A744" s="171">
        <v>180</v>
      </c>
      <c r="B744" s="40" t="s">
        <v>4542</v>
      </c>
      <c r="C744" s="11" t="s">
        <v>4571</v>
      </c>
      <c r="D744" s="3" t="s">
        <v>2398</v>
      </c>
      <c r="E744" s="3" t="s">
        <v>2637</v>
      </c>
      <c r="F744" s="3" t="s">
        <v>4572</v>
      </c>
      <c r="G744" s="3" t="s">
        <v>4573</v>
      </c>
      <c r="H744" s="3" t="s">
        <v>3770</v>
      </c>
      <c r="I744" s="21">
        <v>-27.808495600000001</v>
      </c>
      <c r="J744" s="21">
        <v>32.346019499999997</v>
      </c>
      <c r="K744" s="21">
        <v>170</v>
      </c>
      <c r="L744" s="11">
        <v>2004</v>
      </c>
      <c r="M744" s="11">
        <v>2010</v>
      </c>
      <c r="N744" s="21" t="s">
        <v>2276</v>
      </c>
      <c r="O744" s="3" t="s">
        <v>67</v>
      </c>
      <c r="P744" s="5" t="s">
        <v>5187</v>
      </c>
      <c r="Q744" s="3"/>
    </row>
    <row r="745" spans="1:17" ht="42.5" customHeight="1">
      <c r="A745" s="171">
        <v>180</v>
      </c>
      <c r="B745" s="40" t="s">
        <v>4542</v>
      </c>
      <c r="C745" s="11" t="s">
        <v>4582</v>
      </c>
      <c r="D745" s="3" t="s">
        <v>2398</v>
      </c>
      <c r="E745" s="3" t="s">
        <v>2399</v>
      </c>
      <c r="F745" s="3" t="s">
        <v>4581</v>
      </c>
      <c r="G745" s="3" t="s">
        <v>2276</v>
      </c>
      <c r="H745" s="3" t="s">
        <v>385</v>
      </c>
      <c r="I745" s="21">
        <v>-3.2261674999999999</v>
      </c>
      <c r="J745" s="21">
        <v>35.446659500000003</v>
      </c>
      <c r="K745" s="21">
        <v>170</v>
      </c>
      <c r="L745" s="11">
        <v>1995</v>
      </c>
      <c r="M745" s="11">
        <v>2003</v>
      </c>
      <c r="N745" s="21" t="s">
        <v>2276</v>
      </c>
      <c r="O745" s="3" t="s">
        <v>67</v>
      </c>
      <c r="P745" s="5" t="s">
        <v>5187</v>
      </c>
      <c r="Q745" s="3"/>
    </row>
    <row r="746" spans="1:17" ht="42.5" customHeight="1">
      <c r="A746" s="171">
        <v>180</v>
      </c>
      <c r="B746" s="40" t="s">
        <v>4542</v>
      </c>
      <c r="C746" s="11" t="s">
        <v>4585</v>
      </c>
      <c r="D746" s="3" t="s">
        <v>2398</v>
      </c>
      <c r="E746" s="3" t="s">
        <v>2636</v>
      </c>
      <c r="F746" s="3" t="s">
        <v>4587</v>
      </c>
      <c r="G746" s="3" t="s">
        <v>2276</v>
      </c>
      <c r="H746" s="3" t="s">
        <v>3770</v>
      </c>
      <c r="I746" s="21">
        <v>-23.988384799999999</v>
      </c>
      <c r="J746" s="21">
        <v>31.554740200000001</v>
      </c>
      <c r="K746" s="21">
        <v>170</v>
      </c>
      <c r="L746" s="11">
        <v>2010</v>
      </c>
      <c r="M746" s="11">
        <v>2010</v>
      </c>
      <c r="N746" s="21" t="s">
        <v>2276</v>
      </c>
      <c r="O746" s="3" t="s">
        <v>67</v>
      </c>
      <c r="P746" s="5" t="s">
        <v>5187</v>
      </c>
      <c r="Q746" s="3"/>
    </row>
    <row r="747" spans="1:17" ht="42" customHeight="1">
      <c r="A747" s="171">
        <v>180</v>
      </c>
      <c r="B747" s="40" t="s">
        <v>4542</v>
      </c>
      <c r="C747" s="11" t="s">
        <v>4586</v>
      </c>
      <c r="D747" s="3" t="s">
        <v>2398</v>
      </c>
      <c r="E747" s="3" t="s">
        <v>2636</v>
      </c>
      <c r="F747" s="3" t="s">
        <v>4588</v>
      </c>
      <c r="G747" s="3" t="s">
        <v>2276</v>
      </c>
      <c r="H747" s="3" t="s">
        <v>3770</v>
      </c>
      <c r="I747" s="21">
        <v>-25.244948900000001</v>
      </c>
      <c r="J747" s="21">
        <v>27.0891302</v>
      </c>
      <c r="K747" s="21">
        <v>170</v>
      </c>
      <c r="L747" s="11">
        <v>2010</v>
      </c>
      <c r="M747" s="11">
        <v>2010</v>
      </c>
      <c r="N747" s="21" t="s">
        <v>2276</v>
      </c>
      <c r="O747" s="3" t="s">
        <v>67</v>
      </c>
      <c r="P747" s="5" t="s">
        <v>5187</v>
      </c>
      <c r="Q747" s="3"/>
    </row>
    <row r="748" spans="1:17" ht="57" customHeight="1">
      <c r="A748" s="171">
        <v>181</v>
      </c>
      <c r="B748" s="41" t="s">
        <v>4600</v>
      </c>
      <c r="C748" s="11" t="s">
        <v>4597</v>
      </c>
      <c r="D748" s="3" t="s">
        <v>2398</v>
      </c>
      <c r="E748" s="3" t="s">
        <v>2399</v>
      </c>
      <c r="F748" s="3" t="s">
        <v>4598</v>
      </c>
      <c r="G748" s="3" t="s">
        <v>2276</v>
      </c>
      <c r="H748" s="3" t="s">
        <v>3718</v>
      </c>
      <c r="I748" s="21">
        <v>-18.855590899999999</v>
      </c>
      <c r="J748" s="21">
        <v>16.329319699999999</v>
      </c>
      <c r="K748" s="21">
        <v>22720</v>
      </c>
      <c r="L748" s="3">
        <v>1981</v>
      </c>
      <c r="M748" s="3">
        <v>1997</v>
      </c>
      <c r="N748" s="21" t="s">
        <v>2276</v>
      </c>
      <c r="O748" s="3" t="s">
        <v>67</v>
      </c>
      <c r="P748" s="5" t="s">
        <v>5187</v>
      </c>
      <c r="Q748" s="3"/>
    </row>
    <row r="749" spans="1:17" ht="41" customHeight="1">
      <c r="A749" s="171">
        <v>181</v>
      </c>
      <c r="B749" s="41" t="s">
        <v>4599</v>
      </c>
      <c r="C749" s="11" t="s">
        <v>4601</v>
      </c>
      <c r="D749" s="3" t="s">
        <v>2398</v>
      </c>
      <c r="E749" s="3" t="s">
        <v>2399</v>
      </c>
      <c r="F749" s="3" t="s">
        <v>4604</v>
      </c>
      <c r="G749" s="3" t="s">
        <v>2276</v>
      </c>
      <c r="H749" s="3" t="s">
        <v>3414</v>
      </c>
      <c r="I749" s="21">
        <v>-25.312678600000002</v>
      </c>
      <c r="J749" s="21">
        <v>131.02235709999999</v>
      </c>
      <c r="K749" s="21" t="s">
        <v>2276</v>
      </c>
      <c r="L749" s="3">
        <v>2001</v>
      </c>
      <c r="M749" s="3">
        <v>2001</v>
      </c>
      <c r="N749" s="21" t="s">
        <v>2276</v>
      </c>
      <c r="O749" s="3" t="s">
        <v>67</v>
      </c>
      <c r="P749" s="5" t="s">
        <v>5187</v>
      </c>
      <c r="Q749" s="3"/>
    </row>
    <row r="750" spans="1:17" ht="37" customHeight="1">
      <c r="A750" s="171">
        <v>181</v>
      </c>
      <c r="B750" s="41" t="s">
        <v>4599</v>
      </c>
      <c r="C750" s="11" t="s">
        <v>4602</v>
      </c>
      <c r="D750" s="3" t="s">
        <v>2398</v>
      </c>
      <c r="E750" s="3" t="s">
        <v>2399</v>
      </c>
      <c r="F750" s="3" t="s">
        <v>4605</v>
      </c>
      <c r="G750" s="3" t="s">
        <v>2276</v>
      </c>
      <c r="H750" s="3" t="s">
        <v>3414</v>
      </c>
      <c r="I750" s="21">
        <v>-13.092293099999999</v>
      </c>
      <c r="J750" s="21">
        <v>132.39376580000001</v>
      </c>
      <c r="K750" s="21" t="s">
        <v>2276</v>
      </c>
      <c r="L750" s="3">
        <v>2001</v>
      </c>
      <c r="M750" s="3">
        <v>2001</v>
      </c>
      <c r="N750" s="21" t="s">
        <v>2276</v>
      </c>
      <c r="O750" s="3" t="s">
        <v>67</v>
      </c>
      <c r="P750" s="5" t="s">
        <v>5187</v>
      </c>
      <c r="Q750" s="3"/>
    </row>
    <row r="751" spans="1:17" ht="41" customHeight="1">
      <c r="A751" s="171">
        <v>181</v>
      </c>
      <c r="B751" s="41" t="s">
        <v>4599</v>
      </c>
      <c r="C751" s="11" t="s">
        <v>4603</v>
      </c>
      <c r="D751" s="3" t="s">
        <v>2398</v>
      </c>
      <c r="E751" s="3" t="s">
        <v>2399</v>
      </c>
      <c r="F751" s="3" t="s">
        <v>4588</v>
      </c>
      <c r="G751" s="3" t="s">
        <v>2276</v>
      </c>
      <c r="H751" s="3" t="s">
        <v>3770</v>
      </c>
      <c r="I751" s="21">
        <v>-25.244948900000001</v>
      </c>
      <c r="J751" s="21">
        <v>27.0891302</v>
      </c>
      <c r="K751" s="21">
        <f>50000/100</f>
        <v>500</v>
      </c>
      <c r="L751" s="3">
        <v>2001</v>
      </c>
      <c r="M751" s="3">
        <v>2001</v>
      </c>
      <c r="N751" s="21" t="s">
        <v>2276</v>
      </c>
      <c r="O751" s="3" t="s">
        <v>67</v>
      </c>
      <c r="P751" s="5" t="s">
        <v>5187</v>
      </c>
      <c r="Q751" s="3"/>
    </row>
    <row r="752" spans="1:17" ht="43" customHeight="1">
      <c r="A752" s="171">
        <v>182</v>
      </c>
      <c r="B752" s="40" t="s">
        <v>4625</v>
      </c>
      <c r="C752" s="11" t="s">
        <v>4620</v>
      </c>
      <c r="D752" s="3" t="s">
        <v>2398</v>
      </c>
      <c r="E752" s="3" t="s">
        <v>2399</v>
      </c>
      <c r="F752" s="3" t="s">
        <v>4626</v>
      </c>
      <c r="G752" s="3" t="s">
        <v>2276</v>
      </c>
      <c r="H752" s="3" t="s">
        <v>1948</v>
      </c>
      <c r="I752" s="21">
        <v>-26</v>
      </c>
      <c r="J752" s="21">
        <v>22.4</v>
      </c>
      <c r="K752" s="21" t="s">
        <v>2276</v>
      </c>
      <c r="L752" s="165">
        <v>2004</v>
      </c>
      <c r="M752" s="165">
        <v>2004</v>
      </c>
      <c r="N752" s="21" t="s">
        <v>2276</v>
      </c>
      <c r="O752" s="3" t="s">
        <v>67</v>
      </c>
      <c r="P752" s="5" t="s">
        <v>5187</v>
      </c>
      <c r="Q752" s="4" t="s">
        <v>4627</v>
      </c>
    </row>
    <row r="753" spans="1:17" ht="44.5" customHeight="1">
      <c r="A753" s="171">
        <v>182</v>
      </c>
      <c r="B753" s="40" t="s">
        <v>4625</v>
      </c>
      <c r="C753" s="11" t="s">
        <v>4621</v>
      </c>
      <c r="D753" s="3" t="s">
        <v>2398</v>
      </c>
      <c r="E753" s="3" t="s">
        <v>2399</v>
      </c>
      <c r="F753" s="3" t="s">
        <v>4623</v>
      </c>
      <c r="G753" s="3" t="s">
        <v>2276</v>
      </c>
      <c r="H753" s="3" t="s">
        <v>1948</v>
      </c>
      <c r="I753" s="21">
        <v>-21</v>
      </c>
      <c r="J753" s="21">
        <v>24.75</v>
      </c>
      <c r="K753" s="21" t="s">
        <v>2276</v>
      </c>
      <c r="L753" s="165">
        <v>2004</v>
      </c>
      <c r="M753" s="165">
        <v>2004</v>
      </c>
      <c r="N753" s="21" t="s">
        <v>2276</v>
      </c>
      <c r="O753" s="3" t="s">
        <v>67</v>
      </c>
      <c r="P753" s="5" t="s">
        <v>5187</v>
      </c>
      <c r="Q753" s="4" t="s">
        <v>4627</v>
      </c>
    </row>
    <row r="754" spans="1:17" ht="43.5" customHeight="1">
      <c r="A754" s="171">
        <v>182</v>
      </c>
      <c r="B754" s="40" t="s">
        <v>4625</v>
      </c>
      <c r="C754" s="11" t="s">
        <v>4622</v>
      </c>
      <c r="D754" s="3" t="s">
        <v>2398</v>
      </c>
      <c r="E754" s="3" t="s">
        <v>2399</v>
      </c>
      <c r="F754" s="3" t="s">
        <v>4624</v>
      </c>
      <c r="G754" s="3" t="s">
        <v>2276</v>
      </c>
      <c r="H754" s="3" t="s">
        <v>1948</v>
      </c>
      <c r="I754" s="21">
        <v>-24.5992307</v>
      </c>
      <c r="J754" s="21">
        <v>26.0002967</v>
      </c>
      <c r="K754" s="21" t="s">
        <v>2276</v>
      </c>
      <c r="L754" s="165">
        <v>2004</v>
      </c>
      <c r="M754" s="165">
        <v>2004</v>
      </c>
      <c r="N754" s="21" t="s">
        <v>2276</v>
      </c>
      <c r="O754" s="3" t="s">
        <v>67</v>
      </c>
      <c r="P754" s="5" t="s">
        <v>5187</v>
      </c>
      <c r="Q754" s="4" t="s">
        <v>4627</v>
      </c>
    </row>
    <row r="755" spans="1:17" ht="42" customHeight="1">
      <c r="A755" s="171">
        <v>183</v>
      </c>
      <c r="B755" s="40" t="s">
        <v>4642</v>
      </c>
      <c r="C755" s="11" t="s">
        <v>4643</v>
      </c>
      <c r="D755" s="3" t="s">
        <v>2398</v>
      </c>
      <c r="E755" s="3" t="s">
        <v>2399</v>
      </c>
      <c r="F755" s="11" t="s">
        <v>4645</v>
      </c>
      <c r="G755" s="11" t="s">
        <v>4646</v>
      </c>
      <c r="H755" s="11" t="s">
        <v>4647</v>
      </c>
      <c r="I755" s="21">
        <f>31 + 2/6</f>
        <v>31.333333333333332</v>
      </c>
      <c r="J755" s="21">
        <f>34 + 5.5/6</f>
        <v>34.916666666666664</v>
      </c>
      <c r="K755" s="21">
        <v>30</v>
      </c>
      <c r="L755" s="23">
        <v>1997</v>
      </c>
      <c r="M755" s="23">
        <v>1999</v>
      </c>
      <c r="N755" s="21" t="s">
        <v>2276</v>
      </c>
      <c r="O755" s="3" t="s">
        <v>67</v>
      </c>
      <c r="P755" s="5" t="s">
        <v>5187</v>
      </c>
      <c r="Q755" s="19" t="s">
        <v>4649</v>
      </c>
    </row>
    <row r="756" spans="1:17" ht="49" customHeight="1">
      <c r="A756" s="171">
        <v>183</v>
      </c>
      <c r="B756" s="40" t="s">
        <v>4642</v>
      </c>
      <c r="C756" s="11" t="s">
        <v>4644</v>
      </c>
      <c r="D756" s="3" t="s">
        <v>2398</v>
      </c>
      <c r="E756" s="3" t="s">
        <v>2399</v>
      </c>
      <c r="F756" s="11" t="s">
        <v>4645</v>
      </c>
      <c r="G756" s="11" t="s">
        <v>4646</v>
      </c>
      <c r="H756" s="11" t="s">
        <v>4648</v>
      </c>
      <c r="I756" s="21">
        <f>31 + 2/6</f>
        <v>31.333333333333332</v>
      </c>
      <c r="J756" s="21">
        <f>34 + 5.5/6</f>
        <v>34.916666666666664</v>
      </c>
      <c r="K756" s="21">
        <v>30</v>
      </c>
      <c r="L756" s="23">
        <v>1997</v>
      </c>
      <c r="M756" s="23">
        <v>1999</v>
      </c>
      <c r="N756" s="21" t="s">
        <v>2276</v>
      </c>
      <c r="O756" s="3" t="s">
        <v>67</v>
      </c>
      <c r="P756" s="5" t="s">
        <v>5187</v>
      </c>
      <c r="Q756" s="19" t="s">
        <v>4649</v>
      </c>
    </row>
    <row r="757" spans="1:17" ht="41" customHeight="1">
      <c r="A757" s="171">
        <v>184</v>
      </c>
      <c r="B757" s="40" t="s">
        <v>4660</v>
      </c>
      <c r="C757" s="11" t="s">
        <v>4661</v>
      </c>
      <c r="D757" s="3" t="s">
        <v>2398</v>
      </c>
      <c r="E757" s="3" t="s">
        <v>2399</v>
      </c>
      <c r="F757" s="3" t="s">
        <v>4662</v>
      </c>
      <c r="G757" s="3" t="s">
        <v>3588</v>
      </c>
      <c r="H757" s="3" t="s">
        <v>1950</v>
      </c>
      <c r="I757" s="21">
        <f>4.75</f>
        <v>4.75</v>
      </c>
      <c r="J757" s="21">
        <f>38.25</f>
        <v>38.25</v>
      </c>
      <c r="K757" s="21" t="s">
        <v>2276</v>
      </c>
      <c r="L757" s="3">
        <v>2009</v>
      </c>
      <c r="M757" s="3">
        <v>2009</v>
      </c>
      <c r="N757" s="21" t="s">
        <v>2276</v>
      </c>
      <c r="O757" s="3" t="s">
        <v>67</v>
      </c>
      <c r="P757" s="5" t="s">
        <v>5187</v>
      </c>
      <c r="Q757" s="19" t="s">
        <v>4663</v>
      </c>
    </row>
    <row r="758" spans="1:17" ht="42.5" customHeight="1">
      <c r="A758" s="171">
        <v>185</v>
      </c>
      <c r="B758" s="40" t="s">
        <v>4680</v>
      </c>
      <c r="C758" s="11" t="s">
        <v>4671</v>
      </c>
      <c r="D758" s="3" t="s">
        <v>2398</v>
      </c>
      <c r="E758" s="3" t="s">
        <v>2399</v>
      </c>
      <c r="F758" s="3" t="s">
        <v>4676</v>
      </c>
      <c r="G758" s="11" t="s">
        <v>4675</v>
      </c>
      <c r="H758" s="11" t="s">
        <v>1951</v>
      </c>
      <c r="I758" s="21">
        <v>-1.5670063000000001</v>
      </c>
      <c r="J758" s="21">
        <v>35.417772599999999</v>
      </c>
      <c r="K758" s="21">
        <v>629.15</v>
      </c>
      <c r="L758" s="3">
        <v>1998</v>
      </c>
      <c r="M758" s="3">
        <v>1999</v>
      </c>
      <c r="N758" s="21" t="s">
        <v>2276</v>
      </c>
      <c r="O758" s="3" t="s">
        <v>2641</v>
      </c>
      <c r="P758" s="5" t="s">
        <v>5187</v>
      </c>
      <c r="Q758" s="4" t="s">
        <v>4705</v>
      </c>
    </row>
    <row r="759" spans="1:17" ht="42.5" customHeight="1">
      <c r="A759" s="171">
        <v>185</v>
      </c>
      <c r="B759" s="40" t="s">
        <v>4680</v>
      </c>
      <c r="C759" s="11" t="s">
        <v>4672</v>
      </c>
      <c r="D759" s="3" t="s">
        <v>2398</v>
      </c>
      <c r="E759" s="3" t="s">
        <v>2399</v>
      </c>
      <c r="F759" s="3" t="s">
        <v>4677</v>
      </c>
      <c r="G759" s="11" t="s">
        <v>4675</v>
      </c>
      <c r="H759" s="11" t="s">
        <v>1951</v>
      </c>
      <c r="I759" s="21">
        <v>-1.4423280999999999</v>
      </c>
      <c r="J759" s="21">
        <v>35.243078300000001</v>
      </c>
      <c r="K759" s="21">
        <v>876.75</v>
      </c>
      <c r="L759" s="3">
        <v>1998</v>
      </c>
      <c r="M759" s="3">
        <v>1999</v>
      </c>
      <c r="N759" s="21" t="s">
        <v>2276</v>
      </c>
      <c r="O759" s="3" t="s">
        <v>2641</v>
      </c>
      <c r="P759" s="5" t="s">
        <v>5187</v>
      </c>
      <c r="Q759" s="4" t="s">
        <v>4705</v>
      </c>
    </row>
    <row r="760" spans="1:17" ht="42.5" customHeight="1">
      <c r="A760" s="171">
        <v>185</v>
      </c>
      <c r="B760" s="40" t="s">
        <v>4680</v>
      </c>
      <c r="C760" s="11" t="s">
        <v>4673</v>
      </c>
      <c r="D760" s="3" t="s">
        <v>2398</v>
      </c>
      <c r="E760" s="3" t="s">
        <v>2399</v>
      </c>
      <c r="F760" s="3" t="s">
        <v>4678</v>
      </c>
      <c r="G760" s="11" t="s">
        <v>4675</v>
      </c>
      <c r="H760" s="11" t="s">
        <v>1951</v>
      </c>
      <c r="I760" s="21">
        <v>-1.1029850000000001</v>
      </c>
      <c r="J760" s="21">
        <v>35.389451999999999</v>
      </c>
      <c r="K760" s="21">
        <v>495</v>
      </c>
      <c r="L760" s="3">
        <v>1998</v>
      </c>
      <c r="M760" s="3">
        <v>1999</v>
      </c>
      <c r="N760" s="21" t="s">
        <v>2276</v>
      </c>
      <c r="O760" s="3" t="s">
        <v>2641</v>
      </c>
      <c r="P760" s="5" t="s">
        <v>5187</v>
      </c>
      <c r="Q760" s="4" t="s">
        <v>4705</v>
      </c>
    </row>
    <row r="761" spans="1:17" ht="42.5" customHeight="1">
      <c r="A761" s="171">
        <v>185</v>
      </c>
      <c r="B761" s="40" t="s">
        <v>4680</v>
      </c>
      <c r="C761" s="11" t="s">
        <v>4674</v>
      </c>
      <c r="D761" s="3" t="s">
        <v>2398</v>
      </c>
      <c r="E761" s="3" t="s">
        <v>2399</v>
      </c>
      <c r="F761" s="3" t="s">
        <v>4679</v>
      </c>
      <c r="G761" s="11" t="s">
        <v>4675</v>
      </c>
      <c r="H761" s="11" t="s">
        <v>1951</v>
      </c>
      <c r="I761" s="21">
        <v>-0.8221676</v>
      </c>
      <c r="J761" s="21">
        <v>35.398656699999997</v>
      </c>
      <c r="K761" s="21" t="s">
        <v>2276</v>
      </c>
      <c r="L761" s="3">
        <v>1998</v>
      </c>
      <c r="M761" s="3">
        <v>1999</v>
      </c>
      <c r="N761" s="21" t="s">
        <v>2276</v>
      </c>
      <c r="O761" s="3" t="s">
        <v>2641</v>
      </c>
      <c r="P761" s="5" t="s">
        <v>5187</v>
      </c>
      <c r="Q761" s="4" t="s">
        <v>4705</v>
      </c>
    </row>
    <row r="762" spans="1:17" ht="43.5" customHeight="1">
      <c r="A762" s="171">
        <v>186</v>
      </c>
      <c r="B762" s="40" t="s">
        <v>4694</v>
      </c>
      <c r="C762" s="11" t="s">
        <v>4695</v>
      </c>
      <c r="D762" s="3" t="s">
        <v>2398</v>
      </c>
      <c r="E762" s="3" t="s">
        <v>2399</v>
      </c>
      <c r="F762" s="3" t="s">
        <v>4700</v>
      </c>
      <c r="G762" s="3" t="s">
        <v>2276</v>
      </c>
      <c r="H762" s="3" t="s">
        <v>4698</v>
      </c>
      <c r="I762" s="21">
        <v>12.040833299999999</v>
      </c>
      <c r="J762" s="21">
        <v>3.0341667000000001</v>
      </c>
      <c r="K762" s="21">
        <f>10000/3</f>
        <v>3333.3333333333335</v>
      </c>
      <c r="L762" s="3">
        <v>2002</v>
      </c>
      <c r="M762" s="3">
        <v>2002</v>
      </c>
      <c r="N762" s="21" t="s">
        <v>2276</v>
      </c>
      <c r="O762" s="3" t="s">
        <v>67</v>
      </c>
      <c r="P762" s="5" t="s">
        <v>5187</v>
      </c>
      <c r="Q762" s="4" t="s">
        <v>4701</v>
      </c>
    </row>
    <row r="763" spans="1:17" ht="41.5" customHeight="1">
      <c r="A763" s="171">
        <v>186</v>
      </c>
      <c r="B763" s="40" t="s">
        <v>4694</v>
      </c>
      <c r="C763" s="11" t="s">
        <v>4696</v>
      </c>
      <c r="D763" s="3" t="s">
        <v>2398</v>
      </c>
      <c r="E763" s="3" t="s">
        <v>2399</v>
      </c>
      <c r="F763" s="3" t="s">
        <v>4700</v>
      </c>
      <c r="G763" s="3" t="s">
        <v>2276</v>
      </c>
      <c r="H763" s="3" t="s">
        <v>1949</v>
      </c>
      <c r="I763" s="21">
        <v>11.9146827</v>
      </c>
      <c r="J763" s="21">
        <v>2.1957206999999999</v>
      </c>
      <c r="K763" s="21">
        <f t="shared" ref="K763:K764" si="11">10000/3</f>
        <v>3333.3333333333335</v>
      </c>
      <c r="L763" s="3">
        <v>2002</v>
      </c>
      <c r="M763" s="3">
        <v>2002</v>
      </c>
      <c r="N763" s="21" t="s">
        <v>2276</v>
      </c>
      <c r="O763" s="3" t="s">
        <v>67</v>
      </c>
      <c r="P763" s="5" t="s">
        <v>5187</v>
      </c>
      <c r="Q763" s="4" t="s">
        <v>4701</v>
      </c>
    </row>
    <row r="764" spans="1:17" ht="41.5" customHeight="1">
      <c r="A764" s="171">
        <v>186</v>
      </c>
      <c r="B764" s="40" t="s">
        <v>4694</v>
      </c>
      <c r="C764" s="11" t="s">
        <v>4697</v>
      </c>
      <c r="D764" s="3" t="s">
        <v>2398</v>
      </c>
      <c r="E764" s="3" t="s">
        <v>2399</v>
      </c>
      <c r="F764" s="3" t="s">
        <v>4700</v>
      </c>
      <c r="G764" s="3" t="s">
        <v>2276</v>
      </c>
      <c r="H764" s="3" t="s">
        <v>4699</v>
      </c>
      <c r="I764" s="21">
        <v>12.0621489</v>
      </c>
      <c r="J764" s="21">
        <v>2.4321755999999999</v>
      </c>
      <c r="K764" s="21">
        <f t="shared" si="11"/>
        <v>3333.3333333333335</v>
      </c>
      <c r="L764" s="3">
        <v>2002</v>
      </c>
      <c r="M764" s="3">
        <v>2002</v>
      </c>
      <c r="N764" s="21" t="s">
        <v>2276</v>
      </c>
      <c r="O764" s="3" t="s">
        <v>67</v>
      </c>
      <c r="P764" s="5" t="s">
        <v>5187</v>
      </c>
      <c r="Q764" s="4" t="s">
        <v>4701</v>
      </c>
    </row>
    <row r="765" spans="1:17" ht="42.5" customHeight="1">
      <c r="A765" s="171">
        <v>187</v>
      </c>
      <c r="B765" s="40" t="s">
        <v>4715</v>
      </c>
      <c r="C765" s="11" t="s">
        <v>4716</v>
      </c>
      <c r="D765" s="3" t="s">
        <v>2398</v>
      </c>
      <c r="E765" s="3" t="s">
        <v>2400</v>
      </c>
      <c r="F765" s="3" t="s">
        <v>2276</v>
      </c>
      <c r="G765" s="3" t="s">
        <v>4718</v>
      </c>
      <c r="H765" s="3" t="s">
        <v>4717</v>
      </c>
      <c r="I765" s="21">
        <v>14.3130237</v>
      </c>
      <c r="J765" s="21">
        <v>33.456600700000003</v>
      </c>
      <c r="K765" s="21" t="s">
        <v>2276</v>
      </c>
      <c r="L765" s="3">
        <v>2000</v>
      </c>
      <c r="M765" s="3">
        <v>2007</v>
      </c>
      <c r="N765" s="21" t="s">
        <v>2276</v>
      </c>
      <c r="O765" s="3" t="s">
        <v>67</v>
      </c>
      <c r="P765" s="5" t="s">
        <v>5187</v>
      </c>
      <c r="Q765" s="3" t="s">
        <v>4719</v>
      </c>
    </row>
    <row r="766" spans="1:17" ht="43" customHeight="1">
      <c r="A766" s="171">
        <v>187</v>
      </c>
      <c r="B766" s="40" t="s">
        <v>4720</v>
      </c>
      <c r="C766" s="11" t="s">
        <v>4721</v>
      </c>
      <c r="D766" s="3" t="s">
        <v>2398</v>
      </c>
      <c r="E766" s="3" t="s">
        <v>2399</v>
      </c>
      <c r="F766" s="3" t="s">
        <v>2276</v>
      </c>
      <c r="G766" s="3" t="s">
        <v>4722</v>
      </c>
      <c r="H766" s="3" t="s">
        <v>4717</v>
      </c>
      <c r="I766" s="21">
        <v>13.26074</v>
      </c>
      <c r="J766" s="21">
        <v>32.8455297</v>
      </c>
      <c r="K766" s="21" t="s">
        <v>2276</v>
      </c>
      <c r="L766" s="3">
        <v>2000</v>
      </c>
      <c r="M766" s="3">
        <v>2007</v>
      </c>
      <c r="N766" s="21" t="s">
        <v>2276</v>
      </c>
      <c r="O766" s="3" t="s">
        <v>67</v>
      </c>
      <c r="P766" s="5" t="s">
        <v>5187</v>
      </c>
      <c r="Q766" s="3" t="s">
        <v>4719</v>
      </c>
    </row>
    <row r="767" spans="1:17" ht="39.5" customHeight="1">
      <c r="A767" s="171">
        <v>188</v>
      </c>
      <c r="B767" s="40" t="s">
        <v>4737</v>
      </c>
      <c r="C767" s="11" t="s">
        <v>4734</v>
      </c>
      <c r="D767" s="3" t="s">
        <v>2398</v>
      </c>
      <c r="E767" s="3" t="s">
        <v>2399</v>
      </c>
      <c r="F767" s="11" t="s">
        <v>4736</v>
      </c>
      <c r="G767" s="3" t="s">
        <v>2276</v>
      </c>
      <c r="H767" s="11" t="s">
        <v>4733</v>
      </c>
      <c r="I767" s="21">
        <v>37</v>
      </c>
      <c r="J767" s="21">
        <v>32.75</v>
      </c>
      <c r="K767" s="21" t="s">
        <v>2276</v>
      </c>
      <c r="L767" s="11">
        <v>2015</v>
      </c>
      <c r="M767" s="11">
        <v>2015</v>
      </c>
      <c r="N767" s="21" t="s">
        <v>2276</v>
      </c>
      <c r="O767" s="3" t="s">
        <v>67</v>
      </c>
      <c r="P767" s="5" t="s">
        <v>5187</v>
      </c>
      <c r="Q767" s="3" t="s">
        <v>4719</v>
      </c>
    </row>
    <row r="768" spans="1:17" ht="39.5" customHeight="1">
      <c r="A768" s="171">
        <v>188</v>
      </c>
      <c r="B768" s="40" t="s">
        <v>4737</v>
      </c>
      <c r="C768" s="11" t="s">
        <v>4735</v>
      </c>
      <c r="D768" s="3" t="s">
        <v>2398</v>
      </c>
      <c r="E768" s="3" t="s">
        <v>2399</v>
      </c>
      <c r="F768" s="11" t="s">
        <v>4736</v>
      </c>
      <c r="G768" s="3" t="s">
        <v>2276</v>
      </c>
      <c r="H768" s="11" t="s">
        <v>4733</v>
      </c>
      <c r="I768" s="21">
        <v>37.158519300000002</v>
      </c>
      <c r="J768" s="21">
        <v>31.889355299999998</v>
      </c>
      <c r="K768" s="21" t="s">
        <v>2276</v>
      </c>
      <c r="L768" s="11">
        <v>2015</v>
      </c>
      <c r="M768" s="11">
        <v>2015</v>
      </c>
      <c r="N768" s="21" t="s">
        <v>2276</v>
      </c>
      <c r="O768" s="3" t="s">
        <v>67</v>
      </c>
      <c r="P768" s="5" t="s">
        <v>5187</v>
      </c>
      <c r="Q768" s="3" t="s">
        <v>4719</v>
      </c>
    </row>
    <row r="769" spans="1:17" s="122" customFormat="1" ht="49.5" customHeight="1">
      <c r="A769" s="171">
        <v>189</v>
      </c>
      <c r="B769" s="40" t="s">
        <v>4743</v>
      </c>
      <c r="C769" s="11" t="s">
        <v>4742</v>
      </c>
      <c r="D769" s="3" t="s">
        <v>2398</v>
      </c>
      <c r="E769" s="3" t="s">
        <v>2400</v>
      </c>
      <c r="F769" s="11" t="s">
        <v>4744</v>
      </c>
      <c r="G769" s="11" t="s">
        <v>4573</v>
      </c>
      <c r="H769" s="11" t="s">
        <v>3770</v>
      </c>
      <c r="I769" s="21">
        <v>-27.901354300000001</v>
      </c>
      <c r="J769" s="21">
        <v>32.256438199999998</v>
      </c>
      <c r="K769" s="21">
        <v>900</v>
      </c>
      <c r="L769" s="3">
        <v>2000</v>
      </c>
      <c r="M769" s="3">
        <v>2000</v>
      </c>
      <c r="N769" s="21" t="s">
        <v>2276</v>
      </c>
      <c r="O769" s="3" t="s">
        <v>67</v>
      </c>
      <c r="P769" s="5" t="s">
        <v>5187</v>
      </c>
      <c r="Q769" s="3" t="s">
        <v>4719</v>
      </c>
    </row>
    <row r="770" spans="1:17" s="122" customFormat="1" ht="49.5" customHeight="1">
      <c r="A770" s="171">
        <v>189</v>
      </c>
      <c r="B770" s="40" t="s">
        <v>4743</v>
      </c>
      <c r="C770" s="11" t="s">
        <v>4747</v>
      </c>
      <c r="D770" s="3" t="s">
        <v>2398</v>
      </c>
      <c r="E770" s="3" t="s">
        <v>2400</v>
      </c>
      <c r="F770" s="11" t="s">
        <v>4745</v>
      </c>
      <c r="G770" s="11" t="s">
        <v>4573</v>
      </c>
      <c r="H770" s="11" t="s">
        <v>3770</v>
      </c>
      <c r="I770" s="21">
        <v>-27.901354300000001</v>
      </c>
      <c r="J770" s="21">
        <v>32.256438199999998</v>
      </c>
      <c r="K770" s="21" t="s">
        <v>2276</v>
      </c>
      <c r="L770" s="3">
        <v>2000</v>
      </c>
      <c r="M770" s="3">
        <v>2000</v>
      </c>
      <c r="N770" s="21">
        <v>151</v>
      </c>
      <c r="O770" s="3" t="s">
        <v>67</v>
      </c>
      <c r="P770" s="5" t="s">
        <v>5187</v>
      </c>
      <c r="Q770" s="3" t="s">
        <v>4719</v>
      </c>
    </row>
    <row r="771" spans="1:17" s="122" customFormat="1" ht="49.5" customHeight="1">
      <c r="A771" s="171">
        <v>189</v>
      </c>
      <c r="B771" s="40" t="s">
        <v>4743</v>
      </c>
      <c r="C771" s="11" t="s">
        <v>4748</v>
      </c>
      <c r="D771" s="3" t="s">
        <v>2398</v>
      </c>
      <c r="E771" s="3" t="s">
        <v>2400</v>
      </c>
      <c r="F771" s="11" t="s">
        <v>4746</v>
      </c>
      <c r="G771" s="11" t="s">
        <v>4573</v>
      </c>
      <c r="H771" s="11" t="s">
        <v>3770</v>
      </c>
      <c r="I771" s="21">
        <v>-27.901354300000001</v>
      </c>
      <c r="J771" s="21">
        <v>32.256438199999998</v>
      </c>
      <c r="K771" s="21" t="s">
        <v>2276</v>
      </c>
      <c r="L771" s="3">
        <v>2000</v>
      </c>
      <c r="M771" s="3">
        <v>2000</v>
      </c>
      <c r="N771" s="21">
        <v>1</v>
      </c>
      <c r="O771" s="3" t="s">
        <v>67</v>
      </c>
      <c r="P771" s="5" t="s">
        <v>5187</v>
      </c>
      <c r="Q771" s="4" t="s">
        <v>4767</v>
      </c>
    </row>
    <row r="772" spans="1:17" ht="42" customHeight="1">
      <c r="A772" s="171">
        <v>190</v>
      </c>
      <c r="B772" s="40" t="s">
        <v>4768</v>
      </c>
      <c r="C772" s="3" t="s">
        <v>4773</v>
      </c>
      <c r="D772" s="3" t="s">
        <v>2398</v>
      </c>
      <c r="E772" s="3" t="s">
        <v>2399</v>
      </c>
      <c r="F772" s="11" t="s">
        <v>4772</v>
      </c>
      <c r="G772" s="11" t="s">
        <v>4573</v>
      </c>
      <c r="H772" s="11" t="s">
        <v>3770</v>
      </c>
      <c r="I772" s="21">
        <v>-28.042000000000002</v>
      </c>
      <c r="J772" s="21">
        <v>32.041960000000003</v>
      </c>
      <c r="K772" s="21">
        <v>25</v>
      </c>
      <c r="L772" s="3">
        <v>1955</v>
      </c>
      <c r="M772" s="3">
        <v>2000</v>
      </c>
      <c r="N772" s="21" t="s">
        <v>2276</v>
      </c>
      <c r="O772" s="3" t="s">
        <v>67</v>
      </c>
      <c r="P772" s="5" t="s">
        <v>5187</v>
      </c>
      <c r="Q772" s="3"/>
    </row>
    <row r="773" spans="1:17" ht="39" customHeight="1">
      <c r="A773" s="171">
        <v>191</v>
      </c>
      <c r="B773" s="40" t="s">
        <v>4776</v>
      </c>
      <c r="C773" s="11" t="s">
        <v>4777</v>
      </c>
      <c r="D773" s="3" t="s">
        <v>2398</v>
      </c>
      <c r="E773" s="3" t="s">
        <v>2637</v>
      </c>
      <c r="F773" s="3" t="s">
        <v>4779</v>
      </c>
      <c r="G773" s="3" t="s">
        <v>4778</v>
      </c>
      <c r="H773" s="3" t="s">
        <v>1951</v>
      </c>
      <c r="I773" s="21">
        <v>0.93876939999999998</v>
      </c>
      <c r="J773" s="21">
        <v>36.035071299999998</v>
      </c>
      <c r="K773" s="21">
        <v>436</v>
      </c>
      <c r="L773" s="95">
        <v>2014</v>
      </c>
      <c r="M773" s="3">
        <v>2015</v>
      </c>
      <c r="N773" s="21">
        <v>27</v>
      </c>
      <c r="O773" s="3" t="s">
        <v>67</v>
      </c>
      <c r="P773" s="5" t="s">
        <v>5187</v>
      </c>
      <c r="Q773" s="3"/>
    </row>
    <row r="774" spans="1:17" ht="66.5" customHeight="1">
      <c r="A774" s="171">
        <v>191</v>
      </c>
      <c r="B774" s="40" t="s">
        <v>4776</v>
      </c>
      <c r="C774" s="11" t="s">
        <v>4781</v>
      </c>
      <c r="D774" s="3" t="s">
        <v>2398</v>
      </c>
      <c r="E774" s="3" t="s">
        <v>2637</v>
      </c>
      <c r="F774" s="3" t="s">
        <v>4779</v>
      </c>
      <c r="G774" s="3" t="s">
        <v>4778</v>
      </c>
      <c r="H774" s="3" t="s">
        <v>1951</v>
      </c>
      <c r="I774" s="21">
        <v>0.93876939999999998</v>
      </c>
      <c r="J774" s="21">
        <v>36.035071299999998</v>
      </c>
      <c r="K774" s="21">
        <v>436</v>
      </c>
      <c r="L774" s="95">
        <v>1975</v>
      </c>
      <c r="M774" s="3">
        <v>1990</v>
      </c>
      <c r="N774" s="21" t="s">
        <v>2276</v>
      </c>
      <c r="O774" s="3" t="s">
        <v>67</v>
      </c>
      <c r="P774" s="5" t="s">
        <v>5187</v>
      </c>
      <c r="Q774" s="19" t="s">
        <v>4782</v>
      </c>
    </row>
    <row r="775" spans="1:17" ht="72.5" customHeight="1">
      <c r="A775" s="171">
        <v>192</v>
      </c>
      <c r="B775" s="40" t="s">
        <v>4790</v>
      </c>
      <c r="C775" s="11" t="s">
        <v>4791</v>
      </c>
      <c r="D775" s="3" t="s">
        <v>2398</v>
      </c>
      <c r="E775" s="3" t="s">
        <v>2422</v>
      </c>
      <c r="F775" s="3" t="s">
        <v>4792</v>
      </c>
      <c r="G775" s="3" t="s">
        <v>4778</v>
      </c>
      <c r="H775" s="3" t="s">
        <v>1951</v>
      </c>
      <c r="I775" s="21">
        <v>0.93876939999999998</v>
      </c>
      <c r="J775" s="21">
        <v>36.035071299999998</v>
      </c>
      <c r="K775" s="21" t="s">
        <v>2276</v>
      </c>
      <c r="L775" s="95">
        <v>1950</v>
      </c>
      <c r="M775" s="3">
        <v>2000</v>
      </c>
      <c r="N775" s="21" t="s">
        <v>2276</v>
      </c>
      <c r="O775" s="3" t="s">
        <v>67</v>
      </c>
      <c r="P775" s="5" t="s">
        <v>5187</v>
      </c>
      <c r="Q775" s="19" t="s">
        <v>4782</v>
      </c>
    </row>
    <row r="776" spans="1:17" ht="58" customHeight="1">
      <c r="A776" s="171">
        <v>192</v>
      </c>
      <c r="B776" s="40" t="s">
        <v>4790</v>
      </c>
      <c r="C776" s="11" t="s">
        <v>4793</v>
      </c>
      <c r="D776" s="3" t="s">
        <v>2398</v>
      </c>
      <c r="E776" s="3" t="s">
        <v>2422</v>
      </c>
      <c r="F776" s="3" t="s">
        <v>4792</v>
      </c>
      <c r="G776" s="3" t="s">
        <v>4778</v>
      </c>
      <c r="H776" s="3" t="s">
        <v>1951</v>
      </c>
      <c r="I776" s="21">
        <v>0.71382299999999999</v>
      </c>
      <c r="J776" s="21">
        <v>36.003399799999997</v>
      </c>
      <c r="K776" s="21" t="s">
        <v>2276</v>
      </c>
      <c r="L776" s="94">
        <v>2000</v>
      </c>
      <c r="M776" s="11">
        <v>2015</v>
      </c>
      <c r="N776" s="21" t="s">
        <v>2276</v>
      </c>
      <c r="O776" s="3" t="s">
        <v>67</v>
      </c>
      <c r="P776" s="5" t="s">
        <v>5187</v>
      </c>
      <c r="Q776" s="3"/>
    </row>
    <row r="777" spans="1:17" ht="43" customHeight="1">
      <c r="A777" s="171">
        <v>193</v>
      </c>
      <c r="B777" s="40" t="s">
        <v>4798</v>
      </c>
      <c r="C777" s="11" t="s">
        <v>4799</v>
      </c>
      <c r="D777" s="11" t="s">
        <v>2398</v>
      </c>
      <c r="E777" s="3" t="s">
        <v>2422</v>
      </c>
      <c r="F777" s="3" t="s">
        <v>4801</v>
      </c>
      <c r="G777" s="3" t="s">
        <v>2276</v>
      </c>
      <c r="H777" s="3" t="s">
        <v>4032</v>
      </c>
      <c r="I777" s="21">
        <v>48</v>
      </c>
      <c r="J777" s="21">
        <v>107.5</v>
      </c>
      <c r="K777" s="21">
        <v>8735</v>
      </c>
      <c r="L777" s="95">
        <v>1924</v>
      </c>
      <c r="M777" s="3">
        <v>1990</v>
      </c>
      <c r="N777" s="21" t="s">
        <v>2276</v>
      </c>
      <c r="O777" s="3" t="s">
        <v>67</v>
      </c>
      <c r="P777" s="5" t="s">
        <v>5187</v>
      </c>
      <c r="Q777" s="4" t="s">
        <v>4800</v>
      </c>
    </row>
    <row r="778" spans="1:17" ht="40" customHeight="1">
      <c r="A778" s="171">
        <v>193</v>
      </c>
      <c r="B778" s="40" t="s">
        <v>4798</v>
      </c>
      <c r="C778" s="11" t="s">
        <v>4802</v>
      </c>
      <c r="D778" s="11" t="s">
        <v>2398</v>
      </c>
      <c r="E778" s="3" t="s">
        <v>2422</v>
      </c>
      <c r="F778" s="3" t="s">
        <v>4801</v>
      </c>
      <c r="G778" s="3" t="s">
        <v>2276</v>
      </c>
      <c r="H778" s="3" t="s">
        <v>4032</v>
      </c>
      <c r="I778" s="21">
        <v>48</v>
      </c>
      <c r="J778" s="21">
        <v>107.5</v>
      </c>
      <c r="K778" s="21">
        <v>8735</v>
      </c>
      <c r="L778" s="94">
        <v>1990</v>
      </c>
      <c r="M778" s="11">
        <v>2009</v>
      </c>
      <c r="N778" s="21">
        <f>1221000/K778</f>
        <v>139.78248425872926</v>
      </c>
      <c r="O778" s="3" t="s">
        <v>67</v>
      </c>
      <c r="P778" s="5" t="s">
        <v>5187</v>
      </c>
      <c r="Q778" s="4" t="s">
        <v>4800</v>
      </c>
    </row>
    <row r="779" spans="1:17" ht="45" customHeight="1">
      <c r="A779" s="171">
        <v>193</v>
      </c>
      <c r="B779" s="40" t="s">
        <v>4798</v>
      </c>
      <c r="C779" s="11" t="s">
        <v>4803</v>
      </c>
      <c r="D779" s="11" t="s">
        <v>2398</v>
      </c>
      <c r="E779" s="3" t="s">
        <v>2399</v>
      </c>
      <c r="F779" s="64" t="s">
        <v>4806</v>
      </c>
      <c r="G779" s="3" t="s">
        <v>4809</v>
      </c>
      <c r="H779" s="3" t="s">
        <v>4032</v>
      </c>
      <c r="I779" s="21">
        <v>48</v>
      </c>
      <c r="J779" s="21">
        <v>107</v>
      </c>
      <c r="K779" s="21">
        <v>2</v>
      </c>
      <c r="L779" s="94">
        <v>1990</v>
      </c>
      <c r="M779" s="11">
        <v>2009</v>
      </c>
      <c r="N779" s="21" t="s">
        <v>2276</v>
      </c>
      <c r="O779" s="3" t="s">
        <v>67</v>
      </c>
      <c r="P779" s="5" t="s">
        <v>5187</v>
      </c>
      <c r="Q779" s="3" t="s">
        <v>2214</v>
      </c>
    </row>
    <row r="780" spans="1:17" ht="45" customHeight="1">
      <c r="A780" s="171">
        <v>193</v>
      </c>
      <c r="B780" s="40" t="s">
        <v>4798</v>
      </c>
      <c r="C780" s="11" t="s">
        <v>4804</v>
      </c>
      <c r="D780" s="11" t="s">
        <v>2398</v>
      </c>
      <c r="E780" s="3" t="s">
        <v>2399</v>
      </c>
      <c r="F780" s="64" t="s">
        <v>4807</v>
      </c>
      <c r="G780" s="3" t="s">
        <v>2276</v>
      </c>
      <c r="H780" s="3" t="s">
        <v>4032</v>
      </c>
      <c r="I780" s="21">
        <v>48</v>
      </c>
      <c r="J780" s="21">
        <v>107.5</v>
      </c>
      <c r="K780" s="21">
        <v>2</v>
      </c>
      <c r="L780" s="94">
        <v>1990</v>
      </c>
      <c r="M780" s="11">
        <v>2009</v>
      </c>
      <c r="N780" s="21" t="s">
        <v>2276</v>
      </c>
      <c r="O780" s="3" t="s">
        <v>67</v>
      </c>
      <c r="P780" s="5" t="s">
        <v>5187</v>
      </c>
      <c r="Q780" s="3" t="s">
        <v>2214</v>
      </c>
    </row>
    <row r="781" spans="1:17" ht="45" customHeight="1">
      <c r="A781" s="171">
        <v>193</v>
      </c>
      <c r="B781" s="40" t="s">
        <v>4798</v>
      </c>
      <c r="C781" s="11" t="s">
        <v>4805</v>
      </c>
      <c r="D781" s="11" t="s">
        <v>2398</v>
      </c>
      <c r="E781" s="3" t="s">
        <v>2399</v>
      </c>
      <c r="F781" s="64" t="s">
        <v>4808</v>
      </c>
      <c r="G781" s="3" t="s">
        <v>2276</v>
      </c>
      <c r="H781" s="3" t="s">
        <v>4032</v>
      </c>
      <c r="I781" s="21">
        <v>48.2</v>
      </c>
      <c r="J781" s="21">
        <v>108</v>
      </c>
      <c r="K781" s="21">
        <v>3.6</v>
      </c>
      <c r="L781" s="94">
        <v>1990</v>
      </c>
      <c r="M781" s="11">
        <v>2009</v>
      </c>
      <c r="N781" s="21" t="s">
        <v>2276</v>
      </c>
      <c r="O781" s="3" t="s">
        <v>67</v>
      </c>
      <c r="P781" s="5" t="s">
        <v>5187</v>
      </c>
      <c r="Q781" s="3" t="s">
        <v>2214</v>
      </c>
    </row>
    <row r="782" spans="1:17" ht="51" customHeight="1">
      <c r="A782" s="171">
        <v>194</v>
      </c>
      <c r="B782" s="40" t="s">
        <v>4841</v>
      </c>
      <c r="C782" s="11" t="s">
        <v>4833</v>
      </c>
      <c r="D782" s="11" t="s">
        <v>2398</v>
      </c>
      <c r="E782" s="11" t="s">
        <v>2399</v>
      </c>
      <c r="F782" s="3" t="s">
        <v>2276</v>
      </c>
      <c r="G782" s="3" t="s">
        <v>4316</v>
      </c>
      <c r="H782" s="3" t="s">
        <v>4314</v>
      </c>
      <c r="I782" s="21">
        <v>37.328295199999999</v>
      </c>
      <c r="J782" s="21">
        <v>-4.5042868</v>
      </c>
      <c r="K782" s="21">
        <f>6000/100</f>
        <v>60</v>
      </c>
      <c r="L782" s="3">
        <v>2010</v>
      </c>
      <c r="M782" s="3">
        <v>2018</v>
      </c>
      <c r="N782" s="21" t="s">
        <v>2276</v>
      </c>
      <c r="O782" s="3" t="s">
        <v>67</v>
      </c>
      <c r="P782" s="5" t="s">
        <v>5187</v>
      </c>
      <c r="Q782" s="4" t="s">
        <v>4842</v>
      </c>
    </row>
    <row r="783" spans="1:17" ht="55" customHeight="1">
      <c r="A783" s="171">
        <v>195</v>
      </c>
      <c r="B783" s="57" t="s">
        <v>4849</v>
      </c>
      <c r="C783" s="11" t="s">
        <v>4848</v>
      </c>
      <c r="D783" s="11" t="s">
        <v>2398</v>
      </c>
      <c r="E783" s="11" t="s">
        <v>4847</v>
      </c>
      <c r="F783" s="3" t="s">
        <v>2276</v>
      </c>
      <c r="G783" s="23" t="s">
        <v>4316</v>
      </c>
      <c r="H783" s="23" t="s">
        <v>4314</v>
      </c>
      <c r="I783" s="21">
        <f>AVERAGE(I784:I807)</f>
        <v>-4.3734684538849988</v>
      </c>
      <c r="J783" s="21">
        <f>AVERAGE(J784:J807)</f>
        <v>37.298506191515123</v>
      </c>
      <c r="K783" s="76">
        <f>1549</f>
        <v>1549</v>
      </c>
      <c r="L783" s="23">
        <v>1988</v>
      </c>
      <c r="M783" s="11">
        <v>2000</v>
      </c>
      <c r="N783" s="74" t="s">
        <v>2276</v>
      </c>
      <c r="O783" s="11" t="s">
        <v>67</v>
      </c>
      <c r="P783" s="5" t="s">
        <v>5187</v>
      </c>
      <c r="Q783" s="19" t="s">
        <v>4888</v>
      </c>
    </row>
    <row r="784" spans="1:17" ht="55" customHeight="1">
      <c r="A784" s="171">
        <v>195</v>
      </c>
      <c r="B784" s="57" t="s">
        <v>4849</v>
      </c>
      <c r="C784" s="11" t="s">
        <v>4850</v>
      </c>
      <c r="D784" s="11" t="s">
        <v>2398</v>
      </c>
      <c r="E784" s="11" t="s">
        <v>4847</v>
      </c>
      <c r="F784" s="179" t="s">
        <v>4874</v>
      </c>
      <c r="G784" s="23" t="s">
        <v>4316</v>
      </c>
      <c r="H784" s="23" t="s">
        <v>4314</v>
      </c>
      <c r="I784" s="21">
        <v>-2.1917559999999998</v>
      </c>
      <c r="J784" s="21">
        <v>36.722192</v>
      </c>
      <c r="K784" s="180">
        <f>45663/100</f>
        <v>456.63</v>
      </c>
      <c r="L784" s="23">
        <v>1988</v>
      </c>
      <c r="M784" s="11">
        <v>2000</v>
      </c>
      <c r="N784" s="74" t="s">
        <v>2276</v>
      </c>
      <c r="O784" s="11" t="s">
        <v>67</v>
      </c>
      <c r="P784" s="5" t="s">
        <v>5187</v>
      </c>
      <c r="Q784" s="19"/>
    </row>
    <row r="785" spans="1:17" ht="55" customHeight="1">
      <c r="A785" s="171">
        <v>195</v>
      </c>
      <c r="B785" s="57" t="s">
        <v>4849</v>
      </c>
      <c r="C785" s="11" t="s">
        <v>4851</v>
      </c>
      <c r="D785" s="11" t="s">
        <v>2398</v>
      </c>
      <c r="E785" s="11" t="s">
        <v>4847</v>
      </c>
      <c r="F785" s="179" t="s">
        <v>4875</v>
      </c>
      <c r="G785" s="23" t="s">
        <v>4316</v>
      </c>
      <c r="H785" s="23" t="s">
        <v>4314</v>
      </c>
      <c r="I785" s="21">
        <v>-2.0469151000000001</v>
      </c>
      <c r="J785" s="21">
        <v>37.769821</v>
      </c>
      <c r="K785" s="76">
        <f>22670/100</f>
        <v>226.7</v>
      </c>
      <c r="L785" s="23">
        <v>1988</v>
      </c>
      <c r="M785" s="11">
        <v>2000</v>
      </c>
      <c r="N785" s="74" t="s">
        <v>2276</v>
      </c>
      <c r="O785" s="11" t="s">
        <v>67</v>
      </c>
      <c r="P785" s="5" t="s">
        <v>5187</v>
      </c>
      <c r="Q785" s="19"/>
    </row>
    <row r="786" spans="1:17" ht="55" customHeight="1">
      <c r="A786" s="171">
        <v>195</v>
      </c>
      <c r="B786" s="57" t="s">
        <v>4849</v>
      </c>
      <c r="C786" s="11" t="s">
        <v>4852</v>
      </c>
      <c r="D786" s="11" t="s">
        <v>2398</v>
      </c>
      <c r="E786" s="11" t="s">
        <v>4847</v>
      </c>
      <c r="F786" s="23" t="s">
        <v>4876</v>
      </c>
      <c r="G786" s="23" t="s">
        <v>4316</v>
      </c>
      <c r="H786" s="23" t="s">
        <v>4314</v>
      </c>
      <c r="I786" s="21">
        <v>-5.3672516000000003</v>
      </c>
      <c r="J786" s="21">
        <v>36.759118000000001</v>
      </c>
      <c r="K786" s="76">
        <f>51695/100</f>
        <v>516.95000000000005</v>
      </c>
      <c r="L786" s="23">
        <v>1988</v>
      </c>
      <c r="M786" s="11">
        <v>2000</v>
      </c>
      <c r="N786" s="74" t="s">
        <v>2276</v>
      </c>
      <c r="O786" s="11" t="s">
        <v>67</v>
      </c>
      <c r="P786" s="5" t="s">
        <v>5187</v>
      </c>
      <c r="Q786" s="19"/>
    </row>
    <row r="787" spans="1:17" ht="55" customHeight="1">
      <c r="A787" s="171">
        <v>195</v>
      </c>
      <c r="B787" s="57" t="s">
        <v>4849</v>
      </c>
      <c r="C787" s="11" t="s">
        <v>4853</v>
      </c>
      <c r="D787" s="11" t="s">
        <v>2398</v>
      </c>
      <c r="E787" s="11" t="s">
        <v>4847</v>
      </c>
      <c r="F787" s="23" t="s">
        <v>4877</v>
      </c>
      <c r="G787" s="23" t="s">
        <v>4316</v>
      </c>
      <c r="H787" s="23" t="s">
        <v>4314</v>
      </c>
      <c r="I787" s="21">
        <v>-6.1727332932400003</v>
      </c>
      <c r="J787" s="21">
        <v>36.418017296363203</v>
      </c>
      <c r="K787" s="76">
        <f>10522/100</f>
        <v>105.22</v>
      </c>
      <c r="L787" s="23">
        <v>1988</v>
      </c>
      <c r="M787" s="11">
        <v>2000</v>
      </c>
      <c r="N787" s="74" t="s">
        <v>2276</v>
      </c>
      <c r="O787" s="11" t="s">
        <v>67</v>
      </c>
      <c r="P787" s="5" t="s">
        <v>5187</v>
      </c>
      <c r="Q787" s="19"/>
    </row>
    <row r="788" spans="1:17" ht="55" customHeight="1">
      <c r="A788" s="171">
        <v>195</v>
      </c>
      <c r="B788" s="57" t="s">
        <v>4849</v>
      </c>
      <c r="C788" s="11" t="s">
        <v>4854</v>
      </c>
      <c r="D788" s="11" t="s">
        <v>2398</v>
      </c>
      <c r="E788" s="11" t="s">
        <v>4847</v>
      </c>
      <c r="F788" s="23" t="s">
        <v>4878</v>
      </c>
      <c r="G788" s="23" t="s">
        <v>4316</v>
      </c>
      <c r="H788" s="23" t="s">
        <v>4314</v>
      </c>
      <c r="I788" s="21">
        <v>-5.6037464999999997</v>
      </c>
      <c r="J788" s="21">
        <v>36.3485941</v>
      </c>
      <c r="K788" s="76">
        <f>167767/100</f>
        <v>1677.67</v>
      </c>
      <c r="L788" s="23">
        <v>1988</v>
      </c>
      <c r="M788" s="11">
        <v>2000</v>
      </c>
      <c r="N788" s="74" t="s">
        <v>2276</v>
      </c>
      <c r="O788" s="11" t="s">
        <v>67</v>
      </c>
      <c r="P788" s="5" t="s">
        <v>5187</v>
      </c>
      <c r="Q788" s="19"/>
    </row>
    <row r="789" spans="1:17" ht="55" customHeight="1">
      <c r="A789" s="171">
        <v>195</v>
      </c>
      <c r="B789" s="57" t="s">
        <v>4849</v>
      </c>
      <c r="C789" s="11" t="s">
        <v>4855</v>
      </c>
      <c r="D789" s="11" t="s">
        <v>2398</v>
      </c>
      <c r="E789" s="11" t="s">
        <v>4847</v>
      </c>
      <c r="F789" s="23" t="s">
        <v>4879</v>
      </c>
      <c r="G789" s="23" t="s">
        <v>4316</v>
      </c>
      <c r="H789" s="23" t="s">
        <v>4314</v>
      </c>
      <c r="I789" s="21">
        <v>-5.9487895999999996</v>
      </c>
      <c r="J789" s="21">
        <v>36.186901400000004</v>
      </c>
      <c r="K789" s="76">
        <f>4863/100</f>
        <v>48.63</v>
      </c>
      <c r="L789" s="23">
        <v>1988</v>
      </c>
      <c r="M789" s="11">
        <v>2000</v>
      </c>
      <c r="N789" s="74" t="s">
        <v>2276</v>
      </c>
      <c r="O789" s="11" t="s">
        <v>67</v>
      </c>
      <c r="P789" s="5" t="s">
        <v>5187</v>
      </c>
      <c r="Q789" s="19"/>
    </row>
    <row r="790" spans="1:17" ht="55" customHeight="1">
      <c r="A790" s="171">
        <v>195</v>
      </c>
      <c r="B790" s="57" t="s">
        <v>4849</v>
      </c>
      <c r="C790" s="11" t="s">
        <v>4856</v>
      </c>
      <c r="D790" s="11" t="s">
        <v>2398</v>
      </c>
      <c r="E790" s="11" t="s">
        <v>4847</v>
      </c>
      <c r="F790" s="23" t="s">
        <v>4880</v>
      </c>
      <c r="G790" s="23" t="s">
        <v>4316</v>
      </c>
      <c r="H790" s="23" t="s">
        <v>4314</v>
      </c>
      <c r="I790" s="21">
        <v>-5.5894766999999996</v>
      </c>
      <c r="J790" s="21">
        <v>36.013178799999999</v>
      </c>
      <c r="K790" s="76">
        <f>18931/100</f>
        <v>189.31</v>
      </c>
      <c r="L790" s="23">
        <v>1988</v>
      </c>
      <c r="M790" s="11">
        <v>2000</v>
      </c>
      <c r="N790" s="74" t="s">
        <v>2276</v>
      </c>
      <c r="O790" s="11" t="s">
        <v>67</v>
      </c>
      <c r="P790" s="5" t="s">
        <v>5187</v>
      </c>
      <c r="Q790" s="19"/>
    </row>
    <row r="791" spans="1:17" ht="55" customHeight="1">
      <c r="A791" s="171">
        <v>195</v>
      </c>
      <c r="B791" s="57" t="s">
        <v>4849</v>
      </c>
      <c r="C791" s="11" t="s">
        <v>4857</v>
      </c>
      <c r="D791" s="11" t="s">
        <v>2398</v>
      </c>
      <c r="E791" s="11" t="s">
        <v>4847</v>
      </c>
      <c r="F791" s="11" t="s">
        <v>4881</v>
      </c>
      <c r="G791" s="11" t="s">
        <v>4316</v>
      </c>
      <c r="H791" s="11" t="s">
        <v>4314</v>
      </c>
      <c r="I791" s="21">
        <v>-4.2739966999999996</v>
      </c>
      <c r="J791" s="21">
        <v>38.198005999999999</v>
      </c>
      <c r="K791" s="74">
        <f>38449/100</f>
        <v>384.49</v>
      </c>
      <c r="L791" s="11">
        <v>1988</v>
      </c>
      <c r="M791" s="11">
        <v>2000</v>
      </c>
      <c r="N791" s="74" t="s">
        <v>2276</v>
      </c>
      <c r="O791" s="11" t="s">
        <v>67</v>
      </c>
      <c r="P791" s="5" t="s">
        <v>5187</v>
      </c>
      <c r="Q791" s="19"/>
    </row>
    <row r="792" spans="1:17" ht="55" customHeight="1">
      <c r="A792" s="171">
        <v>195</v>
      </c>
      <c r="B792" s="57" t="s">
        <v>4849</v>
      </c>
      <c r="C792" s="11" t="s">
        <v>4858</v>
      </c>
      <c r="D792" s="11" t="s">
        <v>2398</v>
      </c>
      <c r="E792" s="11" t="s">
        <v>4847</v>
      </c>
      <c r="F792" s="11" t="s">
        <v>4882</v>
      </c>
      <c r="G792" s="11" t="s">
        <v>4316</v>
      </c>
      <c r="H792" s="11" t="s">
        <v>4314</v>
      </c>
      <c r="I792" s="21">
        <v>-5.2688879999999996</v>
      </c>
      <c r="J792" s="21">
        <v>37.9029746</v>
      </c>
      <c r="K792" s="74">
        <f>60042/100</f>
        <v>600.41999999999996</v>
      </c>
      <c r="L792" s="11">
        <v>1988</v>
      </c>
      <c r="M792" s="11">
        <v>2000</v>
      </c>
      <c r="N792" s="74" t="s">
        <v>2276</v>
      </c>
      <c r="O792" s="11" t="s">
        <v>67</v>
      </c>
      <c r="P792" s="5" t="s">
        <v>5187</v>
      </c>
      <c r="Q792" s="19"/>
    </row>
    <row r="793" spans="1:17" ht="55" customHeight="1">
      <c r="A793" s="171">
        <v>195</v>
      </c>
      <c r="B793" s="57" t="s">
        <v>4849</v>
      </c>
      <c r="C793" s="11" t="s">
        <v>4859</v>
      </c>
      <c r="D793" s="11" t="s">
        <v>2398</v>
      </c>
      <c r="E793" s="11" t="s">
        <v>4847</v>
      </c>
      <c r="F793" s="11" t="s">
        <v>4883</v>
      </c>
      <c r="G793" s="11" t="s">
        <v>4316</v>
      </c>
      <c r="H793" s="11" t="s">
        <v>4314</v>
      </c>
      <c r="I793" s="21">
        <v>-4.3359635000000001</v>
      </c>
      <c r="J793" s="21">
        <v>37.452826100000003</v>
      </c>
      <c r="K793" s="74">
        <f>32056/100</f>
        <v>320.56</v>
      </c>
      <c r="L793" s="11">
        <v>1988</v>
      </c>
      <c r="M793" s="11">
        <v>2000</v>
      </c>
      <c r="N793" s="74" t="s">
        <v>2276</v>
      </c>
      <c r="O793" s="11" t="s">
        <v>67</v>
      </c>
      <c r="P793" s="5" t="s">
        <v>5187</v>
      </c>
      <c r="Q793" s="19"/>
    </row>
    <row r="794" spans="1:17" ht="55" customHeight="1">
      <c r="A794" s="171">
        <v>195</v>
      </c>
      <c r="B794" s="57" t="s">
        <v>4849</v>
      </c>
      <c r="C794" s="11" t="s">
        <v>4860</v>
      </c>
      <c r="D794" s="11" t="s">
        <v>2398</v>
      </c>
      <c r="E794" s="11" t="s">
        <v>4847</v>
      </c>
      <c r="F794" s="11" t="s">
        <v>4884</v>
      </c>
      <c r="G794" s="11" t="s">
        <v>4316</v>
      </c>
      <c r="H794" s="11" t="s">
        <v>4314</v>
      </c>
      <c r="I794" s="21">
        <v>-3.1620577999999999</v>
      </c>
      <c r="J794" s="21">
        <v>37.092430700000001</v>
      </c>
      <c r="K794" s="74">
        <f>86208/100</f>
        <v>862.08</v>
      </c>
      <c r="L794" s="11">
        <v>1988</v>
      </c>
      <c r="M794" s="11">
        <v>2000</v>
      </c>
      <c r="N794" s="74" t="s">
        <v>2276</v>
      </c>
      <c r="O794" s="11" t="s">
        <v>67</v>
      </c>
      <c r="P794" s="5" t="s">
        <v>5187</v>
      </c>
      <c r="Q794" s="19"/>
    </row>
    <row r="795" spans="1:17" ht="55" customHeight="1">
      <c r="A795" s="171">
        <v>195</v>
      </c>
      <c r="B795" s="57" t="s">
        <v>4849</v>
      </c>
      <c r="C795" s="11" t="s">
        <v>4861</v>
      </c>
      <c r="D795" s="11" t="s">
        <v>2398</v>
      </c>
      <c r="E795" s="11" t="s">
        <v>4847</v>
      </c>
      <c r="F795" s="11" t="s">
        <v>4885</v>
      </c>
      <c r="G795" s="11" t="s">
        <v>4316</v>
      </c>
      <c r="H795" s="11" t="s">
        <v>4314</v>
      </c>
      <c r="I795" s="21">
        <v>-2.7488888999999999</v>
      </c>
      <c r="J795" s="21">
        <v>37.252222199999999</v>
      </c>
      <c r="K795" s="74">
        <f>53649/100</f>
        <v>536.49</v>
      </c>
      <c r="L795" s="11">
        <v>1988</v>
      </c>
      <c r="M795" s="11">
        <v>2000</v>
      </c>
      <c r="N795" s="74" t="s">
        <v>2276</v>
      </c>
      <c r="O795" s="11" t="s">
        <v>67</v>
      </c>
      <c r="P795" s="5" t="s">
        <v>5187</v>
      </c>
      <c r="Q795" s="19"/>
    </row>
    <row r="796" spans="1:17" ht="55" customHeight="1">
      <c r="A796" s="171">
        <v>195</v>
      </c>
      <c r="B796" s="57" t="s">
        <v>4849</v>
      </c>
      <c r="C796" s="11" t="s">
        <v>4862</v>
      </c>
      <c r="D796" s="11" t="s">
        <v>2398</v>
      </c>
      <c r="E796" s="11" t="s">
        <v>4847</v>
      </c>
      <c r="F796" s="11" t="s">
        <v>4886</v>
      </c>
      <c r="G796" s="11" t="s">
        <v>4316</v>
      </c>
      <c r="H796" s="11" t="s">
        <v>4314</v>
      </c>
      <c r="I796" s="21">
        <v>-2.7580700999999999</v>
      </c>
      <c r="J796" s="21">
        <v>37.882684699999999</v>
      </c>
      <c r="K796" s="74">
        <f>12300/100</f>
        <v>123</v>
      </c>
      <c r="L796" s="11">
        <v>1988</v>
      </c>
      <c r="M796" s="11">
        <v>2000</v>
      </c>
      <c r="N796" s="74" t="s">
        <v>2276</v>
      </c>
      <c r="O796" s="11" t="s">
        <v>67</v>
      </c>
      <c r="P796" s="5" t="s">
        <v>5187</v>
      </c>
      <c r="Q796" s="19"/>
    </row>
    <row r="797" spans="1:17" ht="55" customHeight="1">
      <c r="A797" s="171">
        <v>195</v>
      </c>
      <c r="B797" s="57" t="s">
        <v>4849</v>
      </c>
      <c r="C797" s="11" t="s">
        <v>4863</v>
      </c>
      <c r="D797" s="11" t="s">
        <v>2398</v>
      </c>
      <c r="E797" s="11" t="s">
        <v>4847</v>
      </c>
      <c r="F797" s="11" t="s">
        <v>4887</v>
      </c>
      <c r="G797" s="11" t="s">
        <v>4316</v>
      </c>
      <c r="H797" s="11" t="s">
        <v>4314</v>
      </c>
      <c r="I797" s="21">
        <v>-3.4884496</v>
      </c>
      <c r="J797" s="21">
        <v>37.253073399999998</v>
      </c>
      <c r="K797" s="74">
        <f>12128/100</f>
        <v>121.28</v>
      </c>
      <c r="L797" s="11">
        <v>1988</v>
      </c>
      <c r="M797" s="11">
        <v>2000</v>
      </c>
      <c r="N797" s="74" t="s">
        <v>2276</v>
      </c>
      <c r="O797" s="11" t="s">
        <v>67</v>
      </c>
      <c r="P797" s="5" t="s">
        <v>5187</v>
      </c>
      <c r="Q797" s="19"/>
    </row>
    <row r="798" spans="1:17" ht="55" customHeight="1">
      <c r="A798" s="171">
        <v>195</v>
      </c>
      <c r="B798" s="57" t="s">
        <v>4849</v>
      </c>
      <c r="C798" s="11" t="s">
        <v>4864</v>
      </c>
      <c r="D798" s="11" t="s">
        <v>2398</v>
      </c>
      <c r="E798" s="11" t="s">
        <v>4847</v>
      </c>
      <c r="F798" s="11" t="s">
        <v>4889</v>
      </c>
      <c r="G798" s="11" t="s">
        <v>4316</v>
      </c>
      <c r="H798" s="11" t="s">
        <v>4314</v>
      </c>
      <c r="I798" s="21">
        <v>-6.4344466999999996</v>
      </c>
      <c r="J798" s="21">
        <v>37.0427289</v>
      </c>
      <c r="K798" s="74">
        <v>1300</v>
      </c>
      <c r="L798" s="11">
        <v>1988</v>
      </c>
      <c r="M798" s="11">
        <v>2000</v>
      </c>
      <c r="N798" s="74" t="s">
        <v>2276</v>
      </c>
      <c r="O798" s="11" t="s">
        <v>67</v>
      </c>
      <c r="P798" s="5" t="s">
        <v>5187</v>
      </c>
      <c r="Q798" s="19"/>
    </row>
    <row r="799" spans="1:17" ht="55" customHeight="1">
      <c r="A799" s="171">
        <v>195</v>
      </c>
      <c r="B799" s="57" t="s">
        <v>4849</v>
      </c>
      <c r="C799" s="11" t="s">
        <v>4865</v>
      </c>
      <c r="D799" s="11" t="s">
        <v>2398</v>
      </c>
      <c r="E799" s="11" t="s">
        <v>4847</v>
      </c>
      <c r="F799" s="11" t="s">
        <v>4890</v>
      </c>
      <c r="G799" s="11" t="s">
        <v>4316</v>
      </c>
      <c r="H799" s="11" t="s">
        <v>4314</v>
      </c>
      <c r="I799" s="21">
        <v>-6.8333332999999996</v>
      </c>
      <c r="J799" s="21">
        <v>37.933333300000001</v>
      </c>
      <c r="K799" s="74">
        <f>184000/100</f>
        <v>1840</v>
      </c>
      <c r="L799" s="11">
        <v>1988</v>
      </c>
      <c r="M799" s="11">
        <v>2000</v>
      </c>
      <c r="N799" s="74" t="s">
        <v>2276</v>
      </c>
      <c r="O799" s="11" t="s">
        <v>67</v>
      </c>
      <c r="P799" s="5" t="s">
        <v>5187</v>
      </c>
      <c r="Q799" s="19"/>
    </row>
    <row r="800" spans="1:17" ht="55" customHeight="1">
      <c r="A800" s="171">
        <v>195</v>
      </c>
      <c r="B800" s="57" t="s">
        <v>4849</v>
      </c>
      <c r="C800" s="11" t="s">
        <v>4866</v>
      </c>
      <c r="D800" s="11" t="s">
        <v>2398</v>
      </c>
      <c r="E800" s="11" t="s">
        <v>4847</v>
      </c>
      <c r="F800" s="11" t="s">
        <v>4891</v>
      </c>
      <c r="G800" s="11" t="s">
        <v>4316</v>
      </c>
      <c r="H800" s="11" t="s">
        <v>4314</v>
      </c>
      <c r="I800" s="21">
        <v>-3.561026</v>
      </c>
      <c r="J800" s="21">
        <v>38.410043199999997</v>
      </c>
      <c r="K800" s="74">
        <f>7649/100</f>
        <v>76.489999999999995</v>
      </c>
      <c r="L800" s="11">
        <v>1988</v>
      </c>
      <c r="M800" s="11">
        <v>2000</v>
      </c>
      <c r="N800" s="74" t="s">
        <v>2276</v>
      </c>
      <c r="O800" s="11" t="s">
        <v>67</v>
      </c>
      <c r="P800" s="5" t="s">
        <v>5187</v>
      </c>
      <c r="Q800" s="19"/>
    </row>
    <row r="801" spans="1:17" ht="55" customHeight="1">
      <c r="A801" s="171">
        <v>195</v>
      </c>
      <c r="B801" s="57" t="s">
        <v>4849</v>
      </c>
      <c r="C801" s="11" t="s">
        <v>4867</v>
      </c>
      <c r="D801" s="11" t="s">
        <v>2398</v>
      </c>
      <c r="E801" s="11" t="s">
        <v>4847</v>
      </c>
      <c r="F801" s="11" t="s">
        <v>4892</v>
      </c>
      <c r="G801" s="11" t="s">
        <v>4316</v>
      </c>
      <c r="H801" s="11" t="s">
        <v>4314</v>
      </c>
      <c r="I801" s="21">
        <v>-4.0286780000000002</v>
      </c>
      <c r="J801" s="21">
        <v>38.2897569</v>
      </c>
      <c r="K801" s="74">
        <f>74774/100</f>
        <v>747.74</v>
      </c>
      <c r="L801" s="11">
        <v>1988</v>
      </c>
      <c r="M801" s="11">
        <v>2000</v>
      </c>
      <c r="N801" s="74" t="s">
        <v>2276</v>
      </c>
      <c r="O801" s="11" t="s">
        <v>67</v>
      </c>
      <c r="P801" s="5" t="s">
        <v>5187</v>
      </c>
      <c r="Q801" s="19"/>
    </row>
    <row r="802" spans="1:17" ht="55" customHeight="1">
      <c r="A802" s="171">
        <v>195</v>
      </c>
      <c r="B802" s="57" t="s">
        <v>4849</v>
      </c>
      <c r="C802" s="11" t="s">
        <v>4868</v>
      </c>
      <c r="D802" s="11" t="s">
        <v>2398</v>
      </c>
      <c r="E802" s="11" t="s">
        <v>4847</v>
      </c>
      <c r="F802" s="19" t="s">
        <v>4893</v>
      </c>
      <c r="G802" s="11" t="s">
        <v>4316</v>
      </c>
      <c r="H802" s="11" t="s">
        <v>4314</v>
      </c>
      <c r="I802" s="21">
        <v>-2.7381671999999999</v>
      </c>
      <c r="J802" s="21">
        <v>38.158175999999997</v>
      </c>
      <c r="K802" s="74">
        <f>209920/100</f>
        <v>2099.1999999999998</v>
      </c>
      <c r="L802" s="11">
        <v>1988</v>
      </c>
      <c r="M802" s="11">
        <v>2000</v>
      </c>
      <c r="N802" s="74" t="s">
        <v>2276</v>
      </c>
      <c r="O802" s="11" t="s">
        <v>67</v>
      </c>
      <c r="P802" s="5" t="s">
        <v>5187</v>
      </c>
      <c r="Q802" s="19"/>
    </row>
    <row r="803" spans="1:17" ht="55" customHeight="1">
      <c r="A803" s="171">
        <v>195</v>
      </c>
      <c r="B803" s="57" t="s">
        <v>4849</v>
      </c>
      <c r="C803" s="11" t="s">
        <v>4869</v>
      </c>
      <c r="D803" s="11" t="s">
        <v>2398</v>
      </c>
      <c r="E803" s="11" t="s">
        <v>4847</v>
      </c>
      <c r="F803" s="11" t="s">
        <v>4894</v>
      </c>
      <c r="G803" s="11" t="s">
        <v>4316</v>
      </c>
      <c r="H803" s="11" t="s">
        <v>4314</v>
      </c>
      <c r="I803" s="21">
        <v>-3.4291667000000001</v>
      </c>
      <c r="J803" s="21">
        <v>37.745833300000001</v>
      </c>
      <c r="K803" s="74">
        <f>19000/100</f>
        <v>190</v>
      </c>
      <c r="L803" s="11">
        <v>1988</v>
      </c>
      <c r="M803" s="11">
        <v>2000</v>
      </c>
      <c r="N803" s="74" t="s">
        <v>2276</v>
      </c>
      <c r="O803" s="11" t="s">
        <v>67</v>
      </c>
      <c r="P803" s="5" t="s">
        <v>5187</v>
      </c>
      <c r="Q803" s="19"/>
    </row>
    <row r="804" spans="1:17" ht="55" customHeight="1">
      <c r="A804" s="171">
        <v>195</v>
      </c>
      <c r="B804" s="57" t="s">
        <v>4849</v>
      </c>
      <c r="C804" s="11" t="s">
        <v>4870</v>
      </c>
      <c r="D804" s="11" t="s">
        <v>2398</v>
      </c>
      <c r="E804" s="11" t="s">
        <v>4847</v>
      </c>
      <c r="F804" s="11" t="s">
        <v>4895</v>
      </c>
      <c r="G804" s="11" t="s">
        <v>4316</v>
      </c>
      <c r="H804" s="11" t="s">
        <v>4314</v>
      </c>
      <c r="I804" s="21">
        <v>-4.3667907000000001</v>
      </c>
      <c r="J804" s="21">
        <v>36.841895800000003</v>
      </c>
      <c r="K804" s="74">
        <f>4996/100</f>
        <v>49.96</v>
      </c>
      <c r="L804" s="11">
        <v>1988</v>
      </c>
      <c r="M804" s="11">
        <v>2000</v>
      </c>
      <c r="N804" s="74" t="s">
        <v>2276</v>
      </c>
      <c r="O804" s="11" t="s">
        <v>67</v>
      </c>
      <c r="P804" s="5" t="s">
        <v>5187</v>
      </c>
      <c r="Q804" s="19"/>
    </row>
    <row r="805" spans="1:17" ht="55" customHeight="1">
      <c r="A805" s="171">
        <v>195</v>
      </c>
      <c r="B805" s="57" t="s">
        <v>4849</v>
      </c>
      <c r="C805" s="11" t="s">
        <v>4871</v>
      </c>
      <c r="D805" s="11" t="s">
        <v>2398</v>
      </c>
      <c r="E805" s="11" t="s">
        <v>4847</v>
      </c>
      <c r="F805" s="19" t="s">
        <v>4896</v>
      </c>
      <c r="G805" s="11" t="s">
        <v>4316</v>
      </c>
      <c r="H805" s="11" t="s">
        <v>4314</v>
      </c>
      <c r="I805" s="21">
        <v>-3.8652695000000001</v>
      </c>
      <c r="J805" s="21">
        <v>36.847572800000002</v>
      </c>
      <c r="K805" s="74">
        <f>40663/100</f>
        <v>406.63</v>
      </c>
      <c r="L805" s="11">
        <v>1988</v>
      </c>
      <c r="M805" s="11">
        <v>2000</v>
      </c>
      <c r="N805" s="74" t="s">
        <v>2276</v>
      </c>
      <c r="O805" s="11" t="s">
        <v>67</v>
      </c>
      <c r="P805" s="5" t="s">
        <v>5187</v>
      </c>
      <c r="Q805" s="19"/>
    </row>
    <row r="806" spans="1:17" ht="55" customHeight="1">
      <c r="A806" s="171">
        <v>195</v>
      </c>
      <c r="B806" s="57" t="s">
        <v>4849</v>
      </c>
      <c r="C806" s="11" t="s">
        <v>4872</v>
      </c>
      <c r="D806" s="11" t="s">
        <v>2398</v>
      </c>
      <c r="E806" s="11" t="s">
        <v>4847</v>
      </c>
      <c r="F806" s="11" t="s">
        <v>4897</v>
      </c>
      <c r="G806" s="11" t="s">
        <v>4316</v>
      </c>
      <c r="H806" s="11" t="s">
        <v>4314</v>
      </c>
      <c r="I806" s="21">
        <v>-4.9350928999999999</v>
      </c>
      <c r="J806" s="21">
        <v>36.722982799999997</v>
      </c>
      <c r="K806" s="74">
        <f>18530/100</f>
        <v>185.3</v>
      </c>
      <c r="L806" s="11">
        <v>1988</v>
      </c>
      <c r="M806" s="11">
        <v>2000</v>
      </c>
      <c r="N806" s="74" t="s">
        <v>2276</v>
      </c>
      <c r="O806" s="11" t="s">
        <v>67</v>
      </c>
      <c r="P806" s="5" t="s">
        <v>5187</v>
      </c>
      <c r="Q806" s="19"/>
    </row>
    <row r="807" spans="1:17" ht="55" customHeight="1">
      <c r="A807" s="171">
        <v>195</v>
      </c>
      <c r="B807" s="57" t="s">
        <v>4849</v>
      </c>
      <c r="C807" s="11" t="s">
        <v>4873</v>
      </c>
      <c r="D807" s="11" t="s">
        <v>2398</v>
      </c>
      <c r="E807" s="11" t="s">
        <v>4847</v>
      </c>
      <c r="F807" s="11" t="s">
        <v>4898</v>
      </c>
      <c r="G807" s="11" t="s">
        <v>4316</v>
      </c>
      <c r="H807" s="11" t="s">
        <v>4314</v>
      </c>
      <c r="I807" s="21">
        <v>-5.8142885</v>
      </c>
      <c r="J807" s="21">
        <v>37.919785300000001</v>
      </c>
      <c r="K807" s="74">
        <f>177484/100</f>
        <v>1774.84</v>
      </c>
      <c r="L807" s="11">
        <v>1988</v>
      </c>
      <c r="M807" s="11">
        <v>2000</v>
      </c>
      <c r="N807" s="74" t="s">
        <v>2276</v>
      </c>
      <c r="O807" s="11" t="s">
        <v>67</v>
      </c>
      <c r="P807" s="5" t="s">
        <v>5187</v>
      </c>
      <c r="Q807" s="19"/>
    </row>
    <row r="808" spans="1:17" ht="43.5" customHeight="1">
      <c r="A808" s="171">
        <v>196</v>
      </c>
      <c r="B808" s="40" t="s">
        <v>4924</v>
      </c>
      <c r="C808" s="11" t="s">
        <v>4925</v>
      </c>
      <c r="D808" s="11" t="s">
        <v>2398</v>
      </c>
      <c r="E808" s="11" t="s">
        <v>2399</v>
      </c>
      <c r="F808" s="3" t="s">
        <v>4928</v>
      </c>
      <c r="G808" s="3" t="s">
        <v>4927</v>
      </c>
      <c r="H808" s="3" t="s">
        <v>4926</v>
      </c>
      <c r="I808" s="21">
        <v>31.64686</v>
      </c>
      <c r="J808" s="21">
        <v>-6.4636088000000003</v>
      </c>
      <c r="K808" s="21" t="s">
        <v>2276</v>
      </c>
      <c r="L808" s="3">
        <v>2004</v>
      </c>
      <c r="M808" s="3">
        <v>2009</v>
      </c>
      <c r="N808" s="21" t="s">
        <v>2276</v>
      </c>
      <c r="O808" s="3" t="s">
        <v>2641</v>
      </c>
      <c r="P808" s="5" t="s">
        <v>5187</v>
      </c>
      <c r="Q808" s="3" t="s">
        <v>4930</v>
      </c>
    </row>
    <row r="809" spans="1:17" ht="41.5" customHeight="1">
      <c r="A809" s="171">
        <v>196</v>
      </c>
      <c r="B809" s="40" t="s">
        <v>4924</v>
      </c>
      <c r="C809" s="11" t="s">
        <v>4929</v>
      </c>
      <c r="D809" s="11" t="s">
        <v>2398</v>
      </c>
      <c r="E809" s="11" t="s">
        <v>2399</v>
      </c>
      <c r="F809" s="3" t="s">
        <v>4932</v>
      </c>
      <c r="G809" s="3" t="s">
        <v>4931</v>
      </c>
      <c r="H809" s="3" t="s">
        <v>4926</v>
      </c>
      <c r="I809" s="21">
        <v>31.213474099999999</v>
      </c>
      <c r="J809" s="21">
        <v>-9.5471030999999993</v>
      </c>
      <c r="K809" s="21" t="s">
        <v>2276</v>
      </c>
      <c r="L809" s="3">
        <v>2004</v>
      </c>
      <c r="M809" s="3">
        <v>2009</v>
      </c>
      <c r="N809" s="21" t="s">
        <v>2276</v>
      </c>
      <c r="O809" s="3" t="s">
        <v>2641</v>
      </c>
      <c r="P809" s="5" t="s">
        <v>5187</v>
      </c>
      <c r="Q809" s="3" t="s">
        <v>4930</v>
      </c>
    </row>
    <row r="810" spans="1:17" ht="39" customHeight="1">
      <c r="A810" s="171">
        <v>197</v>
      </c>
      <c r="B810" s="40" t="s">
        <v>4958</v>
      </c>
      <c r="C810" s="11" t="s">
        <v>4939</v>
      </c>
      <c r="D810" s="11" t="s">
        <v>2398</v>
      </c>
      <c r="E810" s="11" t="s">
        <v>4847</v>
      </c>
      <c r="F810" s="3" t="s">
        <v>2276</v>
      </c>
      <c r="G810" s="3" t="s">
        <v>4941</v>
      </c>
      <c r="H810" s="3" t="s">
        <v>4942</v>
      </c>
      <c r="I810" s="21">
        <v>40.061622800000002</v>
      </c>
      <c r="J810" s="21">
        <v>8.9789212000000003</v>
      </c>
      <c r="K810" s="21">
        <f>2346169/100</f>
        <v>23461.69</v>
      </c>
      <c r="L810" s="11">
        <v>2000</v>
      </c>
      <c r="M810" s="11">
        <v>2004</v>
      </c>
      <c r="N810" s="21" t="s">
        <v>2276</v>
      </c>
      <c r="O810" s="11" t="s">
        <v>67</v>
      </c>
      <c r="P810" s="5" t="s">
        <v>5187</v>
      </c>
      <c r="Q810" s="3" t="s">
        <v>4940</v>
      </c>
    </row>
    <row r="811" spans="1:17" ht="31.5" customHeight="1">
      <c r="A811" s="171">
        <v>198</v>
      </c>
      <c r="B811" s="40" t="s">
        <v>4959</v>
      </c>
      <c r="C811" s="11" t="s">
        <v>4960</v>
      </c>
      <c r="D811" s="3" t="s">
        <v>2633</v>
      </c>
      <c r="E811" s="3" t="s">
        <v>2636</v>
      </c>
      <c r="F811" s="3" t="s">
        <v>2276</v>
      </c>
      <c r="G811" s="3" t="s">
        <v>4961</v>
      </c>
      <c r="H811" s="3" t="s">
        <v>1950</v>
      </c>
      <c r="I811" s="21">
        <v>7.5135350000000001</v>
      </c>
      <c r="J811" s="21">
        <v>44.339283000000002</v>
      </c>
      <c r="K811" s="21" t="s">
        <v>2276</v>
      </c>
      <c r="L811" s="3">
        <v>2002</v>
      </c>
      <c r="M811" s="3">
        <v>2009</v>
      </c>
      <c r="N811" s="21" t="s">
        <v>2276</v>
      </c>
      <c r="O811" s="11" t="s">
        <v>67</v>
      </c>
      <c r="P811" s="5" t="s">
        <v>5187</v>
      </c>
      <c r="Q811" s="3"/>
    </row>
    <row r="812" spans="1:17" ht="36.5" customHeight="1">
      <c r="A812" s="171">
        <v>198</v>
      </c>
      <c r="B812" s="40" t="s">
        <v>4959</v>
      </c>
      <c r="C812" s="11" t="s">
        <v>4964</v>
      </c>
      <c r="D812" s="3" t="s">
        <v>2633</v>
      </c>
      <c r="E812" s="3" t="s">
        <v>2636</v>
      </c>
      <c r="F812" s="3" t="s">
        <v>2276</v>
      </c>
      <c r="G812" s="3" t="s">
        <v>4965</v>
      </c>
      <c r="H812" s="3" t="s">
        <v>1950</v>
      </c>
      <c r="I812" s="21">
        <v>4.8210772999999998</v>
      </c>
      <c r="J812" s="21">
        <v>39.848957800000001</v>
      </c>
      <c r="K812" s="21" t="s">
        <v>2276</v>
      </c>
      <c r="L812" s="3">
        <v>2002</v>
      </c>
      <c r="M812" s="3">
        <v>2009</v>
      </c>
      <c r="N812" s="21" t="s">
        <v>2276</v>
      </c>
      <c r="O812" s="11" t="s">
        <v>67</v>
      </c>
      <c r="P812" s="5" t="s">
        <v>5187</v>
      </c>
      <c r="Q812" s="3" t="s">
        <v>4663</v>
      </c>
    </row>
    <row r="813" spans="1:17" ht="41.5" customHeight="1">
      <c r="A813" s="171">
        <v>198</v>
      </c>
      <c r="B813" s="40" t="s">
        <v>4959</v>
      </c>
      <c r="C813" s="11" t="s">
        <v>4970</v>
      </c>
      <c r="D813" s="3" t="s">
        <v>2633</v>
      </c>
      <c r="E813" s="3" t="s">
        <v>2636</v>
      </c>
      <c r="F813" s="3" t="s">
        <v>2276</v>
      </c>
      <c r="G813" s="11" t="s">
        <v>4969</v>
      </c>
      <c r="H813" s="11" t="s">
        <v>3576</v>
      </c>
      <c r="I813" s="21">
        <v>2.8156618999999998</v>
      </c>
      <c r="J813" s="21">
        <v>34.278856599999997</v>
      </c>
      <c r="K813" s="21" t="s">
        <v>2276</v>
      </c>
      <c r="L813" s="3">
        <v>2001</v>
      </c>
      <c r="M813" s="3">
        <v>2011</v>
      </c>
      <c r="N813" s="21" t="s">
        <v>2276</v>
      </c>
      <c r="O813" s="11" t="s">
        <v>67</v>
      </c>
      <c r="P813" s="5" t="s">
        <v>5187</v>
      </c>
      <c r="Q813" s="3"/>
    </row>
    <row r="814" spans="1:17" ht="40.5" customHeight="1">
      <c r="A814" s="171">
        <v>198</v>
      </c>
      <c r="B814" s="40" t="s">
        <v>4959</v>
      </c>
      <c r="C814" s="11" t="s">
        <v>4972</v>
      </c>
      <c r="D814" s="3" t="s">
        <v>2633</v>
      </c>
      <c r="E814" s="3" t="s">
        <v>2636</v>
      </c>
      <c r="F814" s="3" t="s">
        <v>2276</v>
      </c>
      <c r="G814" s="3" t="s">
        <v>4974</v>
      </c>
      <c r="H814" s="11" t="s">
        <v>4973</v>
      </c>
      <c r="I814" s="21">
        <v>9.2034134000000005</v>
      </c>
      <c r="J814" s="21">
        <v>29.936733499999999</v>
      </c>
      <c r="K814" s="21" t="s">
        <v>2276</v>
      </c>
      <c r="L814" s="11">
        <v>2002</v>
      </c>
      <c r="M814" s="11">
        <v>2013</v>
      </c>
      <c r="N814" s="21" t="s">
        <v>2276</v>
      </c>
      <c r="O814" s="11" t="s">
        <v>67</v>
      </c>
      <c r="P814" s="5" t="s">
        <v>5187</v>
      </c>
      <c r="Q814" s="3"/>
    </row>
    <row r="815" spans="1:17" ht="42" customHeight="1">
      <c r="A815" s="171">
        <v>198</v>
      </c>
      <c r="B815" s="40" t="s">
        <v>4959</v>
      </c>
      <c r="C815" s="11" t="s">
        <v>4976</v>
      </c>
      <c r="D815" s="3" t="s">
        <v>2633</v>
      </c>
      <c r="E815" s="3" t="s">
        <v>2636</v>
      </c>
      <c r="F815" s="3" t="s">
        <v>2276</v>
      </c>
      <c r="G815" s="3" t="s">
        <v>4974</v>
      </c>
      <c r="H815" s="11" t="s">
        <v>4973</v>
      </c>
      <c r="I815" s="21">
        <v>10.6282593</v>
      </c>
      <c r="J815" s="21">
        <v>41.107728299999998</v>
      </c>
      <c r="K815" s="21" t="s">
        <v>2276</v>
      </c>
      <c r="L815" s="11">
        <v>2002</v>
      </c>
      <c r="M815" s="11">
        <v>2013</v>
      </c>
      <c r="N815" s="21" t="s">
        <v>2276</v>
      </c>
      <c r="O815" s="11" t="s">
        <v>67</v>
      </c>
      <c r="P815" s="5" t="s">
        <v>5187</v>
      </c>
      <c r="Q815" s="3"/>
    </row>
    <row r="816" spans="1:17" ht="48.5" customHeight="1">
      <c r="A816" s="171">
        <v>199</v>
      </c>
      <c r="B816" s="40" t="s">
        <v>4979</v>
      </c>
      <c r="C816" s="11" t="s">
        <v>4977</v>
      </c>
      <c r="D816" s="3" t="s">
        <v>2398</v>
      </c>
      <c r="E816" s="3" t="s">
        <v>2422</v>
      </c>
      <c r="F816" s="11" t="s">
        <v>4981</v>
      </c>
      <c r="G816" s="11" t="s">
        <v>4980</v>
      </c>
      <c r="H816" s="11" t="s">
        <v>1948</v>
      </c>
      <c r="I816" s="21">
        <v>-25.25</v>
      </c>
      <c r="J816" s="21">
        <v>21.75</v>
      </c>
      <c r="K816" s="21" t="s">
        <v>2276</v>
      </c>
      <c r="L816" s="3">
        <v>1976</v>
      </c>
      <c r="M816" s="165">
        <v>2004</v>
      </c>
      <c r="N816" s="21" t="s">
        <v>2276</v>
      </c>
      <c r="O816" s="11" t="s">
        <v>67</v>
      </c>
      <c r="P816" s="5" t="s">
        <v>5187</v>
      </c>
      <c r="Q816" s="4" t="s">
        <v>4982</v>
      </c>
    </row>
    <row r="817" spans="1:17" ht="43" customHeight="1">
      <c r="A817" s="171">
        <v>200</v>
      </c>
      <c r="B817" s="41" t="s">
        <v>4993</v>
      </c>
      <c r="C817" s="11" t="s">
        <v>4994</v>
      </c>
      <c r="D817" s="3" t="s">
        <v>2416</v>
      </c>
      <c r="E817" s="3" t="s">
        <v>2399</v>
      </c>
      <c r="F817" s="64" t="s">
        <v>4995</v>
      </c>
      <c r="G817" s="3" t="s">
        <v>2276</v>
      </c>
      <c r="H817" s="11" t="s">
        <v>3718</v>
      </c>
      <c r="I817" s="21">
        <v>-20.514149499999998</v>
      </c>
      <c r="J817" s="21">
        <v>20</v>
      </c>
      <c r="K817" s="21" t="s">
        <v>2276</v>
      </c>
      <c r="L817" s="11">
        <v>1994</v>
      </c>
      <c r="M817" s="11">
        <v>1994</v>
      </c>
      <c r="N817" s="21" t="s">
        <v>2276</v>
      </c>
      <c r="O817" s="11" t="s">
        <v>67</v>
      </c>
      <c r="P817" s="5" t="s">
        <v>5187</v>
      </c>
      <c r="Q817" s="4" t="s">
        <v>4996</v>
      </c>
    </row>
    <row r="818" spans="1:17" ht="35.5" customHeight="1">
      <c r="A818" s="171">
        <v>201</v>
      </c>
      <c r="B818" s="40" t="s">
        <v>5087</v>
      </c>
      <c r="C818" s="11" t="s">
        <v>5088</v>
      </c>
      <c r="D818" s="3" t="s">
        <v>2398</v>
      </c>
      <c r="E818" s="3" t="s">
        <v>2399</v>
      </c>
      <c r="F818" s="3" t="s">
        <v>5089</v>
      </c>
      <c r="G818" s="3" t="s">
        <v>5090</v>
      </c>
      <c r="H818" s="11" t="s">
        <v>5091</v>
      </c>
      <c r="I818" s="21">
        <f>66+37/69</f>
        <v>66.536231884057969</v>
      </c>
      <c r="J818" s="21">
        <f>19+50/60</f>
        <v>19.833333333333332</v>
      </c>
      <c r="K818" s="21">
        <v>19334</v>
      </c>
      <c r="L818" s="11">
        <v>2018</v>
      </c>
      <c r="M818" s="11">
        <v>2018</v>
      </c>
      <c r="N818" s="21" t="s">
        <v>2276</v>
      </c>
      <c r="O818" s="11" t="s">
        <v>67</v>
      </c>
      <c r="P818" s="11" t="s">
        <v>5188</v>
      </c>
      <c r="Q818" s="4" t="s">
        <v>5092</v>
      </c>
    </row>
    <row r="819" spans="1:17" ht="43.5" customHeight="1">
      <c r="A819" s="171">
        <v>202</v>
      </c>
      <c r="B819" s="40" t="s">
        <v>5099</v>
      </c>
      <c r="C819" s="11" t="s">
        <v>5100</v>
      </c>
      <c r="D819" s="3" t="s">
        <v>2398</v>
      </c>
      <c r="E819" s="3" t="s">
        <v>2399</v>
      </c>
      <c r="F819" s="3" t="s">
        <v>2276</v>
      </c>
      <c r="G819" s="11" t="s">
        <v>5101</v>
      </c>
      <c r="H819" s="11" t="s">
        <v>1952</v>
      </c>
      <c r="I819" s="21">
        <v>7.8402092000000003</v>
      </c>
      <c r="J819" s="21">
        <v>3.9292001000000001</v>
      </c>
      <c r="K819" s="21">
        <v>28454</v>
      </c>
      <c r="L819" s="11">
        <v>2014</v>
      </c>
      <c r="M819" s="11">
        <v>2014</v>
      </c>
      <c r="N819" s="21" t="s">
        <v>2276</v>
      </c>
      <c r="O819" s="11" t="s">
        <v>67</v>
      </c>
      <c r="P819" s="11" t="s">
        <v>5188</v>
      </c>
      <c r="Q819" s="3"/>
    </row>
    <row r="820" spans="1:17" ht="43.5" customHeight="1">
      <c r="A820" s="171">
        <v>202</v>
      </c>
      <c r="B820" s="40" t="s">
        <v>5099</v>
      </c>
      <c r="C820" s="11" t="s">
        <v>5104</v>
      </c>
      <c r="D820" s="3" t="s">
        <v>2398</v>
      </c>
      <c r="E820" s="3" t="s">
        <v>2399</v>
      </c>
      <c r="F820" s="3" t="s">
        <v>2276</v>
      </c>
      <c r="G820" s="11" t="s">
        <v>5102</v>
      </c>
      <c r="H820" s="11" t="s">
        <v>1952</v>
      </c>
      <c r="I820" s="21">
        <v>7.538119</v>
      </c>
      <c r="J820" s="21">
        <v>4.5552811000000002</v>
      </c>
      <c r="K820" s="21">
        <v>9251</v>
      </c>
      <c r="L820" s="11">
        <v>2014</v>
      </c>
      <c r="M820" s="11">
        <v>2014</v>
      </c>
      <c r="N820" s="21" t="s">
        <v>2276</v>
      </c>
      <c r="O820" s="11" t="s">
        <v>67</v>
      </c>
      <c r="P820" s="11" t="s">
        <v>5188</v>
      </c>
      <c r="Q820" s="3"/>
    </row>
    <row r="821" spans="1:17" ht="43.5" customHeight="1">
      <c r="A821" s="171">
        <v>202</v>
      </c>
      <c r="B821" s="40" t="s">
        <v>5099</v>
      </c>
      <c r="C821" s="11" t="s">
        <v>5105</v>
      </c>
      <c r="D821" s="3" t="s">
        <v>2398</v>
      </c>
      <c r="E821" s="3" t="s">
        <v>2399</v>
      </c>
      <c r="F821" s="3" t="s">
        <v>2276</v>
      </c>
      <c r="G821" s="11" t="s">
        <v>5103</v>
      </c>
      <c r="H821" s="11" t="s">
        <v>1952</v>
      </c>
      <c r="I821" s="21">
        <v>7.1165304999999996</v>
      </c>
      <c r="J821" s="21">
        <v>3.6499621000000002</v>
      </c>
      <c r="K821" s="21">
        <v>16980</v>
      </c>
      <c r="L821" s="11">
        <v>2014</v>
      </c>
      <c r="M821" s="11">
        <v>2014</v>
      </c>
      <c r="N821" s="21" t="s">
        <v>2276</v>
      </c>
      <c r="O821" s="11" t="s">
        <v>67</v>
      </c>
      <c r="P821" s="11" t="s">
        <v>5188</v>
      </c>
      <c r="Q821" s="3"/>
    </row>
    <row r="822" spans="1:17" ht="43.5" customHeight="1">
      <c r="A822" s="171">
        <v>203</v>
      </c>
      <c r="B822" s="40" t="s">
        <v>5108</v>
      </c>
      <c r="C822" s="3" t="s">
        <v>5109</v>
      </c>
      <c r="D822" s="3" t="s">
        <v>2398</v>
      </c>
      <c r="E822" s="3" t="s">
        <v>2399</v>
      </c>
      <c r="F822" s="3" t="s">
        <v>2276</v>
      </c>
      <c r="G822" s="3" t="s">
        <v>5107</v>
      </c>
      <c r="H822" s="11" t="s">
        <v>1952</v>
      </c>
      <c r="I822" s="21">
        <v>9</v>
      </c>
      <c r="J822" s="21">
        <v>12.5</v>
      </c>
      <c r="K822" s="21">
        <v>7282.2</v>
      </c>
      <c r="L822" s="3">
        <v>2015</v>
      </c>
      <c r="M822" s="3">
        <v>2015</v>
      </c>
      <c r="N822" s="21" t="s">
        <v>2276</v>
      </c>
      <c r="O822" s="11" t="s">
        <v>67</v>
      </c>
      <c r="P822" s="11" t="s">
        <v>5188</v>
      </c>
      <c r="Q822" s="3"/>
    </row>
    <row r="823" spans="1:17" ht="43" customHeight="1">
      <c r="A823" s="171">
        <v>204</v>
      </c>
      <c r="B823" s="40" t="s">
        <v>5116</v>
      </c>
      <c r="C823" s="11" t="s">
        <v>5117</v>
      </c>
      <c r="D823" s="3" t="s">
        <v>2398</v>
      </c>
      <c r="E823" s="3" t="s">
        <v>2399</v>
      </c>
      <c r="F823" s="11" t="s">
        <v>5118</v>
      </c>
      <c r="G823" s="11" t="s">
        <v>5119</v>
      </c>
      <c r="H823" s="11" t="s">
        <v>1952</v>
      </c>
      <c r="I823" s="21">
        <f>AVERAGE(9 + 11/60, 9+39/60)</f>
        <v>9.4166666666666679</v>
      </c>
      <c r="J823" s="21">
        <f>AVERAGE(12 + 11/60, 12 + 49/60)</f>
        <v>12.5</v>
      </c>
      <c r="K823" s="21" t="s">
        <v>2276</v>
      </c>
      <c r="L823" s="11">
        <v>2016</v>
      </c>
      <c r="M823" s="11">
        <v>2016</v>
      </c>
      <c r="N823" s="21" t="s">
        <v>2276</v>
      </c>
      <c r="O823" s="11" t="s">
        <v>67</v>
      </c>
      <c r="P823" s="11" t="s">
        <v>5188</v>
      </c>
      <c r="Q823" s="3"/>
    </row>
    <row r="824" spans="1:17" ht="57" customHeight="1">
      <c r="A824" s="171">
        <v>205</v>
      </c>
      <c r="B824" s="40" t="s">
        <v>5122</v>
      </c>
      <c r="C824" s="11" t="s">
        <v>5123</v>
      </c>
      <c r="D824" s="3" t="s">
        <v>2398</v>
      </c>
      <c r="E824" s="3" t="s">
        <v>2422</v>
      </c>
      <c r="F824" s="64" t="s">
        <v>5134</v>
      </c>
      <c r="G824" s="3" t="s">
        <v>5133</v>
      </c>
      <c r="H824" s="11" t="s">
        <v>3414</v>
      </c>
      <c r="I824" s="184">
        <v>-16.347667699999999</v>
      </c>
      <c r="J824" s="21">
        <v>132.70656389999999</v>
      </c>
      <c r="K824" s="21">
        <v>26000</v>
      </c>
      <c r="L824" s="3">
        <v>1996</v>
      </c>
      <c r="M824" s="3">
        <v>2005</v>
      </c>
      <c r="N824" s="21" t="s">
        <v>2276</v>
      </c>
      <c r="O824" s="11" t="s">
        <v>67</v>
      </c>
      <c r="P824" s="11" t="s">
        <v>5188</v>
      </c>
      <c r="Q824" s="4" t="s">
        <v>5139</v>
      </c>
    </row>
    <row r="825" spans="1:17" ht="57" customHeight="1">
      <c r="A825" s="171">
        <v>205</v>
      </c>
      <c r="B825" s="40" t="s">
        <v>5122</v>
      </c>
      <c r="C825" s="11" t="s">
        <v>5124</v>
      </c>
      <c r="D825" s="3" t="s">
        <v>2398</v>
      </c>
      <c r="E825" s="3" t="s">
        <v>2422</v>
      </c>
      <c r="F825" s="64" t="s">
        <v>5135</v>
      </c>
      <c r="G825" s="3" t="s">
        <v>5133</v>
      </c>
      <c r="H825" s="11" t="s">
        <v>3414</v>
      </c>
      <c r="I825" s="21">
        <v>-15.2194482</v>
      </c>
      <c r="J825" s="21">
        <v>131.77928410000001</v>
      </c>
      <c r="K825" s="21">
        <v>28000</v>
      </c>
      <c r="L825" s="3">
        <v>1995</v>
      </c>
      <c r="M825" s="3">
        <v>2004</v>
      </c>
      <c r="N825" s="21" t="s">
        <v>2276</v>
      </c>
      <c r="O825" s="11" t="s">
        <v>67</v>
      </c>
      <c r="P825" s="11" t="s">
        <v>5188</v>
      </c>
      <c r="Q825" s="4" t="s">
        <v>5139</v>
      </c>
    </row>
    <row r="826" spans="1:17" ht="57" customHeight="1">
      <c r="A826" s="171">
        <v>205</v>
      </c>
      <c r="B826" s="40" t="s">
        <v>5122</v>
      </c>
      <c r="C826" s="11" t="s">
        <v>5125</v>
      </c>
      <c r="D826" s="3" t="s">
        <v>2398</v>
      </c>
      <c r="E826" s="3" t="s">
        <v>2422</v>
      </c>
      <c r="F826" s="64" t="s">
        <v>5136</v>
      </c>
      <c r="G826" s="3" t="s">
        <v>5133</v>
      </c>
      <c r="H826" s="11" t="s">
        <v>3414</v>
      </c>
      <c r="I826" s="21">
        <v>-13.6592447</v>
      </c>
      <c r="J826" s="21">
        <v>134.8716282</v>
      </c>
      <c r="K826" s="21">
        <v>11000</v>
      </c>
      <c r="L826" s="3">
        <v>2006</v>
      </c>
      <c r="M826" s="3">
        <v>2015</v>
      </c>
      <c r="N826" s="21" t="s">
        <v>2276</v>
      </c>
      <c r="O826" s="11" t="s">
        <v>67</v>
      </c>
      <c r="P826" s="11" t="s">
        <v>5188</v>
      </c>
      <c r="Q826" s="4" t="s">
        <v>5139</v>
      </c>
    </row>
    <row r="827" spans="1:17" ht="57" customHeight="1">
      <c r="A827" s="171">
        <v>205</v>
      </c>
      <c r="B827" s="40" t="s">
        <v>5122</v>
      </c>
      <c r="C827" s="11" t="s">
        <v>5126</v>
      </c>
      <c r="D827" s="3" t="s">
        <v>2398</v>
      </c>
      <c r="E827" s="3" t="s">
        <v>2422</v>
      </c>
      <c r="F827" s="64" t="s">
        <v>5137</v>
      </c>
      <c r="G827" s="3" t="s">
        <v>5133</v>
      </c>
      <c r="H827" s="11" t="s">
        <v>3414</v>
      </c>
      <c r="I827" s="21">
        <v>-14.2296459</v>
      </c>
      <c r="J827" s="21">
        <v>135.27392330000001</v>
      </c>
      <c r="K827" s="21">
        <v>5000</v>
      </c>
      <c r="L827" s="3">
        <v>2000</v>
      </c>
      <c r="M827" s="3">
        <v>2014</v>
      </c>
      <c r="N827" s="21" t="s">
        <v>2276</v>
      </c>
      <c r="O827" s="11" t="s">
        <v>67</v>
      </c>
      <c r="P827" s="11" t="s">
        <v>5188</v>
      </c>
      <c r="Q827" s="4" t="s">
        <v>5139</v>
      </c>
    </row>
    <row r="828" spans="1:17" ht="57" customHeight="1">
      <c r="A828" s="171">
        <v>205</v>
      </c>
      <c r="B828" s="40" t="s">
        <v>5122</v>
      </c>
      <c r="C828" s="11" t="s">
        <v>5127</v>
      </c>
      <c r="D828" s="3" t="s">
        <v>2398</v>
      </c>
      <c r="E828" s="3" t="s">
        <v>2422</v>
      </c>
      <c r="F828" s="64" t="s">
        <v>5138</v>
      </c>
      <c r="G828" s="3" t="s">
        <v>5133</v>
      </c>
      <c r="H828" s="11" t="s">
        <v>3414</v>
      </c>
      <c r="I828" s="21">
        <v>-14.658561600000001</v>
      </c>
      <c r="J828" s="21">
        <v>134.6898109</v>
      </c>
      <c r="K828" s="21">
        <v>10000</v>
      </c>
      <c r="L828" s="3">
        <v>2000</v>
      </c>
      <c r="M828" s="3">
        <v>2015</v>
      </c>
      <c r="N828" s="21" t="s">
        <v>2276</v>
      </c>
      <c r="O828" s="11" t="s">
        <v>67</v>
      </c>
      <c r="P828" s="11" t="s">
        <v>5188</v>
      </c>
      <c r="Q828" s="4" t="s">
        <v>5139</v>
      </c>
    </row>
    <row r="829" spans="1:17" ht="57" customHeight="1">
      <c r="A829" s="171">
        <v>205</v>
      </c>
      <c r="B829" s="40" t="s">
        <v>5122</v>
      </c>
      <c r="C829" s="11" t="s">
        <v>5128</v>
      </c>
      <c r="D829" s="3" t="s">
        <v>2398</v>
      </c>
      <c r="E829" s="3" t="s">
        <v>2422</v>
      </c>
      <c r="F829" s="64" t="s">
        <v>5134</v>
      </c>
      <c r="G829" s="3" t="s">
        <v>5133</v>
      </c>
      <c r="H829" s="11" t="s">
        <v>3414</v>
      </c>
      <c r="I829" s="184">
        <v>-16.347667699999999</v>
      </c>
      <c r="J829" s="21">
        <v>132.70656389999999</v>
      </c>
      <c r="K829" s="21">
        <v>26000</v>
      </c>
      <c r="L829" s="3">
        <v>2015</v>
      </c>
      <c r="M829" s="3">
        <v>2017</v>
      </c>
      <c r="N829" s="21" t="s">
        <v>2276</v>
      </c>
      <c r="O829" s="11" t="s">
        <v>67</v>
      </c>
      <c r="P829" s="11" t="s">
        <v>5188</v>
      </c>
      <c r="Q829" s="4" t="s">
        <v>5139</v>
      </c>
    </row>
    <row r="830" spans="1:17" ht="57" customHeight="1">
      <c r="A830" s="171">
        <v>205</v>
      </c>
      <c r="B830" s="40" t="s">
        <v>5122</v>
      </c>
      <c r="C830" s="11" t="s">
        <v>5129</v>
      </c>
      <c r="D830" s="3" t="s">
        <v>2398</v>
      </c>
      <c r="E830" s="3" t="s">
        <v>2422</v>
      </c>
      <c r="F830" s="64" t="s">
        <v>5135</v>
      </c>
      <c r="G830" s="3" t="s">
        <v>5133</v>
      </c>
      <c r="H830" s="11" t="s">
        <v>3414</v>
      </c>
      <c r="I830" s="21">
        <v>-15.2194482</v>
      </c>
      <c r="J830" s="21">
        <v>131.77928410000001</v>
      </c>
      <c r="K830" s="21">
        <v>28000</v>
      </c>
      <c r="L830" s="3">
        <v>2015</v>
      </c>
      <c r="M830" s="3">
        <v>2017</v>
      </c>
      <c r="N830" s="21" t="s">
        <v>2276</v>
      </c>
      <c r="O830" s="11" t="s">
        <v>67</v>
      </c>
      <c r="P830" s="11" t="s">
        <v>5188</v>
      </c>
      <c r="Q830" s="4" t="s">
        <v>5139</v>
      </c>
    </row>
    <row r="831" spans="1:17" ht="57" customHeight="1">
      <c r="A831" s="171">
        <v>205</v>
      </c>
      <c r="B831" s="40" t="s">
        <v>5122</v>
      </c>
      <c r="C831" s="11" t="s">
        <v>5130</v>
      </c>
      <c r="D831" s="3" t="s">
        <v>2398</v>
      </c>
      <c r="E831" s="3" t="s">
        <v>2422</v>
      </c>
      <c r="F831" s="64" t="s">
        <v>5136</v>
      </c>
      <c r="G831" s="3" t="s">
        <v>5133</v>
      </c>
      <c r="H831" s="11" t="s">
        <v>3414</v>
      </c>
      <c r="I831" s="21">
        <v>-13.6592447</v>
      </c>
      <c r="J831" s="21">
        <v>134.8716282</v>
      </c>
      <c r="K831" s="21">
        <v>11000</v>
      </c>
      <c r="L831" s="3">
        <v>2016</v>
      </c>
      <c r="M831" s="3">
        <v>2017</v>
      </c>
      <c r="N831" s="21" t="s">
        <v>2276</v>
      </c>
      <c r="O831" s="11" t="s">
        <v>67</v>
      </c>
      <c r="P831" s="11" t="s">
        <v>5188</v>
      </c>
      <c r="Q831" s="4" t="s">
        <v>5139</v>
      </c>
    </row>
    <row r="832" spans="1:17" ht="57" customHeight="1">
      <c r="A832" s="171">
        <v>205</v>
      </c>
      <c r="B832" s="40" t="s">
        <v>5122</v>
      </c>
      <c r="C832" s="11" t="s">
        <v>5131</v>
      </c>
      <c r="D832" s="3" t="s">
        <v>2398</v>
      </c>
      <c r="E832" s="3" t="s">
        <v>2422</v>
      </c>
      <c r="F832" s="64" t="s">
        <v>5137</v>
      </c>
      <c r="G832" s="3" t="s">
        <v>5133</v>
      </c>
      <c r="H832" s="11" t="s">
        <v>3414</v>
      </c>
      <c r="I832" s="21">
        <v>-14.2296459</v>
      </c>
      <c r="J832" s="21">
        <v>135.27392330000001</v>
      </c>
      <c r="K832" s="21">
        <v>5000</v>
      </c>
      <c r="L832" s="3">
        <v>2015</v>
      </c>
      <c r="M832" s="3">
        <v>2017</v>
      </c>
      <c r="N832" s="21" t="s">
        <v>2276</v>
      </c>
      <c r="O832" s="11" t="s">
        <v>67</v>
      </c>
      <c r="P832" s="11" t="s">
        <v>5188</v>
      </c>
      <c r="Q832" s="4" t="s">
        <v>5139</v>
      </c>
    </row>
    <row r="833" spans="1:17" ht="57" customHeight="1">
      <c r="A833" s="171">
        <v>205</v>
      </c>
      <c r="B833" s="40" t="s">
        <v>5122</v>
      </c>
      <c r="C833" s="11" t="s">
        <v>5132</v>
      </c>
      <c r="D833" s="3" t="s">
        <v>2398</v>
      </c>
      <c r="E833" s="3" t="s">
        <v>2422</v>
      </c>
      <c r="F833" s="64" t="s">
        <v>5138</v>
      </c>
      <c r="G833" s="3" t="s">
        <v>5133</v>
      </c>
      <c r="H833" s="11" t="s">
        <v>3414</v>
      </c>
      <c r="I833" s="21">
        <v>-14.658561600000001</v>
      </c>
      <c r="J833" s="21">
        <v>134.6898109</v>
      </c>
      <c r="K833" s="21">
        <v>10000</v>
      </c>
      <c r="L833" s="3">
        <v>2016</v>
      </c>
      <c r="M833" s="3">
        <v>2017</v>
      </c>
      <c r="N833" s="21" t="s">
        <v>2276</v>
      </c>
      <c r="O833" s="11" t="s">
        <v>67</v>
      </c>
      <c r="P833" s="11" t="s">
        <v>5188</v>
      </c>
      <c r="Q833" s="4" t="s">
        <v>5139</v>
      </c>
    </row>
    <row r="834" spans="1:17" ht="40" customHeight="1">
      <c r="A834" s="171">
        <v>206</v>
      </c>
      <c r="B834" s="40" t="s">
        <v>5189</v>
      </c>
      <c r="C834" s="11" t="s">
        <v>5190</v>
      </c>
      <c r="D834" s="3" t="s">
        <v>2398</v>
      </c>
      <c r="E834" s="3" t="s">
        <v>2400</v>
      </c>
      <c r="F834" s="3" t="s">
        <v>5191</v>
      </c>
      <c r="G834" s="3" t="s">
        <v>1056</v>
      </c>
      <c r="H834" s="3" t="s">
        <v>895</v>
      </c>
      <c r="I834" s="21">
        <f>-2 - 2/6</f>
        <v>-2.3333333333333335</v>
      </c>
      <c r="J834" s="21">
        <f>114 + 3/6</f>
        <v>114.5</v>
      </c>
      <c r="K834" s="21">
        <f>48191/100</f>
        <v>481.91</v>
      </c>
      <c r="L834" s="3">
        <v>2014</v>
      </c>
      <c r="M834" s="3">
        <v>2016</v>
      </c>
      <c r="N834" s="21" t="s">
        <v>2276</v>
      </c>
      <c r="O834" s="11" t="s">
        <v>67</v>
      </c>
      <c r="P834" s="11" t="s">
        <v>5188</v>
      </c>
      <c r="Q834" s="3"/>
    </row>
    <row r="835" spans="1:17" ht="38.5" customHeight="1">
      <c r="A835" s="171">
        <v>207</v>
      </c>
      <c r="B835" s="40" t="s">
        <v>5208</v>
      </c>
      <c r="C835" s="11" t="s">
        <v>5209</v>
      </c>
      <c r="D835" s="11" t="s">
        <v>2398</v>
      </c>
      <c r="E835" s="11" t="s">
        <v>2399</v>
      </c>
      <c r="F835" s="64" t="s">
        <v>5210</v>
      </c>
      <c r="G835" s="11" t="s">
        <v>5212</v>
      </c>
      <c r="H835" s="11" t="s">
        <v>5211</v>
      </c>
      <c r="I835" s="21">
        <v>36.923876499999999</v>
      </c>
      <c r="J835" s="21">
        <v>139.06780000000001</v>
      </c>
      <c r="K835" s="21">
        <f>9.7/100</f>
        <v>9.6999999999999989E-2</v>
      </c>
      <c r="L835" s="3">
        <v>2015</v>
      </c>
      <c r="M835" s="3">
        <v>2016</v>
      </c>
      <c r="N835" s="21" t="s">
        <v>2276</v>
      </c>
      <c r="O835" s="11" t="s">
        <v>67</v>
      </c>
      <c r="P835" s="11" t="s">
        <v>5188</v>
      </c>
      <c r="Q835" s="3"/>
    </row>
    <row r="836" spans="1:17" ht="48" customHeight="1">
      <c r="A836" s="171">
        <v>208</v>
      </c>
      <c r="B836" s="40" t="s">
        <v>5222</v>
      </c>
      <c r="C836" s="23" t="s">
        <v>5223</v>
      </c>
      <c r="D836" s="23" t="s">
        <v>2398</v>
      </c>
      <c r="E836" s="23" t="s">
        <v>2399</v>
      </c>
      <c r="F836" s="23" t="s">
        <v>5226</v>
      </c>
      <c r="G836" s="23" t="s">
        <v>5225</v>
      </c>
      <c r="H836" s="23" t="s">
        <v>5224</v>
      </c>
      <c r="I836" s="77">
        <f>28 + 5.5/60</f>
        <v>28.091666666666665</v>
      </c>
      <c r="J836" s="77">
        <f xml:space="preserve"> 85 + 23.4/60</f>
        <v>85.39</v>
      </c>
      <c r="K836" s="77">
        <v>1</v>
      </c>
      <c r="L836" s="22">
        <v>2011</v>
      </c>
      <c r="M836" s="22">
        <v>2011</v>
      </c>
      <c r="N836" s="77" t="s">
        <v>2276</v>
      </c>
      <c r="O836" s="23" t="s">
        <v>67</v>
      </c>
      <c r="P836" s="23" t="s">
        <v>5188</v>
      </c>
      <c r="Q836" s="22"/>
    </row>
    <row r="837" spans="1:17" ht="43.5" customHeight="1">
      <c r="A837" s="171">
        <v>209</v>
      </c>
      <c r="B837" s="40" t="s">
        <v>5233</v>
      </c>
      <c r="C837" s="23" t="s">
        <v>5234</v>
      </c>
      <c r="D837" s="3" t="s">
        <v>2416</v>
      </c>
      <c r="E837" s="23" t="s">
        <v>2399</v>
      </c>
      <c r="F837" s="3" t="s">
        <v>5243</v>
      </c>
      <c r="G837" s="3" t="s">
        <v>5248</v>
      </c>
      <c r="H837" s="3" t="s">
        <v>5224</v>
      </c>
      <c r="I837" s="21">
        <v>28.679242299999999</v>
      </c>
      <c r="J837" s="21">
        <v>80.505154899999994</v>
      </c>
      <c r="K837" s="21">
        <f>1594/100</f>
        <v>15.94</v>
      </c>
      <c r="L837" s="3">
        <v>2004</v>
      </c>
      <c r="M837" s="3">
        <v>2004</v>
      </c>
      <c r="N837" s="77" t="s">
        <v>2276</v>
      </c>
      <c r="O837" s="23" t="s">
        <v>67</v>
      </c>
      <c r="P837" s="23" t="s">
        <v>5188</v>
      </c>
      <c r="Q837" s="3"/>
    </row>
    <row r="838" spans="1:17" ht="28.5" customHeight="1">
      <c r="A838" s="171">
        <v>209</v>
      </c>
      <c r="B838" s="40" t="s">
        <v>5233</v>
      </c>
      <c r="C838" s="23" t="s">
        <v>5236</v>
      </c>
      <c r="D838" s="3" t="s">
        <v>2416</v>
      </c>
      <c r="E838" s="23" t="s">
        <v>2399</v>
      </c>
      <c r="F838" s="11" t="s">
        <v>5244</v>
      </c>
      <c r="G838" s="3" t="s">
        <v>5248</v>
      </c>
      <c r="H838" s="3" t="s">
        <v>5224</v>
      </c>
      <c r="I838" s="21">
        <v>28.467973099999998</v>
      </c>
      <c r="J838" s="21">
        <v>81.010586700000005</v>
      </c>
      <c r="K838" s="21">
        <f>8261/100</f>
        <v>82.61</v>
      </c>
      <c r="L838" s="3">
        <v>2004</v>
      </c>
      <c r="M838" s="3">
        <v>2004</v>
      </c>
      <c r="N838" s="77" t="s">
        <v>2276</v>
      </c>
      <c r="O838" s="23" t="s">
        <v>67</v>
      </c>
      <c r="P838" s="3" t="s">
        <v>5187</v>
      </c>
      <c r="Q838" s="3"/>
    </row>
    <row r="839" spans="1:17" ht="28.5" customHeight="1">
      <c r="A839" s="171">
        <v>209</v>
      </c>
      <c r="B839" s="40" t="s">
        <v>5233</v>
      </c>
      <c r="C839" s="23" t="s">
        <v>5237</v>
      </c>
      <c r="D839" s="3" t="s">
        <v>2416</v>
      </c>
      <c r="E839" s="23" t="s">
        <v>2399</v>
      </c>
      <c r="F839" s="11" t="s">
        <v>5245</v>
      </c>
      <c r="G839" s="3" t="s">
        <v>5248</v>
      </c>
      <c r="H839" s="3" t="s">
        <v>5224</v>
      </c>
      <c r="I839" s="21">
        <v>28.096767799999999</v>
      </c>
      <c r="J839" s="21">
        <v>81.2960128</v>
      </c>
      <c r="K839" s="21">
        <f>1422/100</f>
        <v>14.22</v>
      </c>
      <c r="L839" s="3">
        <v>2004</v>
      </c>
      <c r="M839" s="3">
        <v>2004</v>
      </c>
      <c r="N839" s="77" t="s">
        <v>2276</v>
      </c>
      <c r="O839" s="23" t="s">
        <v>67</v>
      </c>
      <c r="P839" s="3" t="s">
        <v>5187</v>
      </c>
      <c r="Q839" s="3"/>
    </row>
    <row r="840" spans="1:17" ht="28.5" customHeight="1">
      <c r="A840" s="171">
        <v>209</v>
      </c>
      <c r="B840" s="40" t="s">
        <v>5233</v>
      </c>
      <c r="C840" s="23" t="s">
        <v>5238</v>
      </c>
      <c r="D840" s="3" t="s">
        <v>2416</v>
      </c>
      <c r="E840" s="23" t="s">
        <v>2399</v>
      </c>
      <c r="F840" s="11" t="s">
        <v>5246</v>
      </c>
      <c r="G840" s="3" t="s">
        <v>5248</v>
      </c>
      <c r="H840" s="3" t="s">
        <v>5224</v>
      </c>
      <c r="I840" s="21">
        <v>27.994374799999999</v>
      </c>
      <c r="J840" s="21">
        <v>81.512683600000003</v>
      </c>
      <c r="K840" s="21">
        <f>2665/100</f>
        <v>26.65</v>
      </c>
      <c r="L840" s="3">
        <v>2004</v>
      </c>
      <c r="M840" s="3">
        <v>2004</v>
      </c>
      <c r="N840" s="77" t="s">
        <v>2276</v>
      </c>
      <c r="O840" s="23" t="s">
        <v>67</v>
      </c>
      <c r="P840" s="3" t="s">
        <v>5187</v>
      </c>
      <c r="Q840" s="3"/>
    </row>
    <row r="841" spans="1:17" ht="28.5" customHeight="1">
      <c r="A841" s="171">
        <v>209</v>
      </c>
      <c r="B841" s="40" t="s">
        <v>5233</v>
      </c>
      <c r="C841" s="23" t="s">
        <v>5239</v>
      </c>
      <c r="D841" s="3" t="s">
        <v>2416</v>
      </c>
      <c r="E841" s="23" t="s">
        <v>2399</v>
      </c>
      <c r="F841" s="11" t="s">
        <v>5247</v>
      </c>
      <c r="G841" s="3" t="s">
        <v>5248</v>
      </c>
      <c r="H841" s="3" t="s">
        <v>5224</v>
      </c>
      <c r="I841" s="21">
        <v>27.466681099999999</v>
      </c>
      <c r="J841" s="21">
        <v>83.241941299999993</v>
      </c>
      <c r="K841" s="21">
        <f>889/100</f>
        <v>8.89</v>
      </c>
      <c r="L841" s="3">
        <v>2004</v>
      </c>
      <c r="M841" s="3">
        <v>2004</v>
      </c>
      <c r="N841" s="77" t="s">
        <v>2276</v>
      </c>
      <c r="O841" s="23" t="s">
        <v>67</v>
      </c>
      <c r="P841" s="3" t="s">
        <v>5187</v>
      </c>
      <c r="Q841" s="3"/>
    </row>
    <row r="842" spans="1:17" ht="28.5" customHeight="1">
      <c r="A842" s="171">
        <v>209</v>
      </c>
      <c r="B842" s="40" t="s">
        <v>5233</v>
      </c>
      <c r="C842" s="23" t="s">
        <v>5240</v>
      </c>
      <c r="D842" s="3" t="s">
        <v>2416</v>
      </c>
      <c r="E842" s="23" t="s">
        <v>2399</v>
      </c>
      <c r="F842" s="11" t="s">
        <v>5235</v>
      </c>
      <c r="G842" s="3" t="s">
        <v>5248</v>
      </c>
      <c r="H842" s="3" t="s">
        <v>5224</v>
      </c>
      <c r="I842" s="21">
        <v>27.0329312</v>
      </c>
      <c r="J842" s="21">
        <v>84.400949499999996</v>
      </c>
      <c r="K842" s="21">
        <f>4751/100</f>
        <v>47.51</v>
      </c>
      <c r="L842" s="3">
        <v>2004</v>
      </c>
      <c r="M842" s="3">
        <v>2004</v>
      </c>
      <c r="N842" s="77" t="s">
        <v>2276</v>
      </c>
      <c r="O842" s="23" t="s">
        <v>67</v>
      </c>
      <c r="P842" s="3" t="s">
        <v>5187</v>
      </c>
      <c r="Q842" s="3"/>
    </row>
    <row r="843" spans="1:17" ht="28.5" customHeight="1">
      <c r="A843" s="171">
        <v>209</v>
      </c>
      <c r="B843" s="40" t="s">
        <v>5233</v>
      </c>
      <c r="C843" s="23" t="s">
        <v>5241</v>
      </c>
      <c r="D843" s="3" t="s">
        <v>2416</v>
      </c>
      <c r="E843" s="23" t="s">
        <v>2399</v>
      </c>
      <c r="F843" s="11" t="s">
        <v>5242</v>
      </c>
      <c r="G843" s="3" t="s">
        <v>5248</v>
      </c>
      <c r="H843" s="3" t="s">
        <v>5224</v>
      </c>
      <c r="I843" s="21">
        <v>27.549236799999999</v>
      </c>
      <c r="J843" s="21">
        <v>82.814955299999994</v>
      </c>
      <c r="K843" s="21">
        <f>817/100</f>
        <v>8.17</v>
      </c>
      <c r="L843" s="3">
        <v>2004</v>
      </c>
      <c r="M843" s="3">
        <v>2004</v>
      </c>
      <c r="N843" s="77" t="s">
        <v>2276</v>
      </c>
      <c r="O843" s="23" t="s">
        <v>67</v>
      </c>
      <c r="P843" s="3" t="s">
        <v>5187</v>
      </c>
      <c r="Q843" s="3"/>
    </row>
    <row r="844" spans="1:17" ht="33.5" customHeight="1">
      <c r="A844" s="171">
        <v>210</v>
      </c>
      <c r="B844" s="40" t="s">
        <v>5342</v>
      </c>
      <c r="C844" s="23" t="s">
        <v>5337</v>
      </c>
      <c r="D844" s="11" t="s">
        <v>2398</v>
      </c>
      <c r="E844" s="11" t="s">
        <v>2400</v>
      </c>
      <c r="F844" s="3" t="s">
        <v>5344</v>
      </c>
      <c r="G844" s="11" t="s">
        <v>5341</v>
      </c>
      <c r="H844" s="11" t="s">
        <v>895</v>
      </c>
      <c r="I844" s="21">
        <v>0.38180150000000002</v>
      </c>
      <c r="J844" s="21">
        <v>101.83745260000001</v>
      </c>
      <c r="K844" s="21">
        <f>(9113+32981+23994+48531+160231+4563)/100</f>
        <v>2794.13</v>
      </c>
      <c r="L844" s="3">
        <v>2013</v>
      </c>
      <c r="M844" s="3">
        <v>2015</v>
      </c>
      <c r="N844" s="77" t="s">
        <v>2276</v>
      </c>
      <c r="O844" s="23" t="s">
        <v>67</v>
      </c>
      <c r="P844" s="23" t="s">
        <v>5188</v>
      </c>
      <c r="Q844" s="3"/>
    </row>
    <row r="845" spans="1:17" ht="33.5" customHeight="1">
      <c r="A845" s="171">
        <v>210</v>
      </c>
      <c r="B845" s="40" t="s">
        <v>5342</v>
      </c>
      <c r="C845" s="23" t="s">
        <v>5338</v>
      </c>
      <c r="D845" s="11" t="s">
        <v>2398</v>
      </c>
      <c r="E845" s="11" t="s">
        <v>2400</v>
      </c>
      <c r="F845" s="3" t="s">
        <v>5344</v>
      </c>
      <c r="G845" s="11" t="s">
        <v>5341</v>
      </c>
      <c r="H845" s="11" t="s">
        <v>895</v>
      </c>
      <c r="I845" s="21">
        <v>0.38180150000000002</v>
      </c>
      <c r="J845" s="21">
        <v>101.83745260000001</v>
      </c>
      <c r="K845" s="21">
        <f>(9113+32981+23994+48531+160231+4563)/100</f>
        <v>2794.13</v>
      </c>
      <c r="L845" s="3">
        <v>2016</v>
      </c>
      <c r="M845" s="3">
        <v>2017</v>
      </c>
      <c r="N845" s="77" t="s">
        <v>2276</v>
      </c>
      <c r="O845" s="23" t="s">
        <v>67</v>
      </c>
      <c r="P845" s="23" t="s">
        <v>5188</v>
      </c>
      <c r="Q845" s="3"/>
    </row>
    <row r="846" spans="1:17" ht="33.5" customHeight="1">
      <c r="A846" s="171">
        <v>210</v>
      </c>
      <c r="B846" s="40" t="s">
        <v>5342</v>
      </c>
      <c r="C846" s="23" t="s">
        <v>5339</v>
      </c>
      <c r="D846" s="11" t="s">
        <v>2398</v>
      </c>
      <c r="E846" s="11" t="s">
        <v>2400</v>
      </c>
      <c r="F846" s="3" t="s">
        <v>5343</v>
      </c>
      <c r="G846" s="11" t="s">
        <v>5341</v>
      </c>
      <c r="H846" s="11" t="s">
        <v>895</v>
      </c>
      <c r="I846" s="21">
        <v>0.38180150000000002</v>
      </c>
      <c r="J846" s="21">
        <v>101.83745260000001</v>
      </c>
      <c r="K846" s="21">
        <f>(3844+7119+43538+31444+26238+75281)/100</f>
        <v>1874.64</v>
      </c>
      <c r="L846" s="3">
        <v>2013</v>
      </c>
      <c r="M846" s="3">
        <v>2015</v>
      </c>
      <c r="N846" s="77" t="s">
        <v>2276</v>
      </c>
      <c r="O846" s="23" t="s">
        <v>67</v>
      </c>
      <c r="P846" s="23" t="s">
        <v>5188</v>
      </c>
      <c r="Q846" s="3"/>
    </row>
    <row r="847" spans="1:17" ht="33.5" customHeight="1">
      <c r="A847" s="171">
        <v>210</v>
      </c>
      <c r="B847" s="40" t="s">
        <v>5342</v>
      </c>
      <c r="C847" s="23" t="s">
        <v>5340</v>
      </c>
      <c r="D847" s="11" t="s">
        <v>2398</v>
      </c>
      <c r="E847" s="11" t="s">
        <v>2400</v>
      </c>
      <c r="F847" s="3" t="s">
        <v>5343</v>
      </c>
      <c r="G847" s="11" t="s">
        <v>5341</v>
      </c>
      <c r="H847" s="11" t="s">
        <v>895</v>
      </c>
      <c r="I847" s="21">
        <v>0.38180150000000002</v>
      </c>
      <c r="J847" s="21">
        <v>101.83745260000001</v>
      </c>
      <c r="K847" s="21">
        <f>(3844+7119+43538+31444+26238+75281)/100</f>
        <v>1874.64</v>
      </c>
      <c r="L847" s="3">
        <v>2016</v>
      </c>
      <c r="M847" s="3">
        <v>2017</v>
      </c>
      <c r="N847" s="77" t="s">
        <v>2276</v>
      </c>
      <c r="O847" s="23" t="s">
        <v>67</v>
      </c>
      <c r="P847" s="23" t="s">
        <v>5188</v>
      </c>
      <c r="Q847" s="3"/>
    </row>
    <row r="848" spans="1:17" ht="28" customHeight="1">
      <c r="A848" s="171">
        <v>211</v>
      </c>
      <c r="B848" s="40" t="s">
        <v>5362</v>
      </c>
      <c r="C848" s="23" t="s">
        <v>5361</v>
      </c>
      <c r="D848" s="11" t="s">
        <v>2398</v>
      </c>
      <c r="E848" s="23" t="s">
        <v>2399</v>
      </c>
      <c r="F848" s="3" t="s">
        <v>5363</v>
      </c>
      <c r="G848" s="3" t="s">
        <v>5364</v>
      </c>
      <c r="H848" s="11" t="s">
        <v>1952</v>
      </c>
      <c r="I848" s="21">
        <v>5.2789324999999998</v>
      </c>
      <c r="J848" s="21">
        <f>7 + 3/6</f>
        <v>7.5</v>
      </c>
      <c r="K848" s="21">
        <v>83.5</v>
      </c>
      <c r="L848" s="3">
        <v>2018</v>
      </c>
      <c r="M848" s="3">
        <v>2018</v>
      </c>
      <c r="N848" s="77" t="s">
        <v>2276</v>
      </c>
      <c r="O848" s="23" t="s">
        <v>67</v>
      </c>
      <c r="P848" s="23" t="s">
        <v>5188</v>
      </c>
      <c r="Q848" s="3"/>
    </row>
    <row r="849" spans="1:17" ht="32.5" customHeight="1">
      <c r="A849" s="171">
        <v>212</v>
      </c>
      <c r="B849" s="40" t="s">
        <v>5369</v>
      </c>
      <c r="C849" s="23" t="s">
        <v>5370</v>
      </c>
      <c r="D849" s="11" t="s">
        <v>2398</v>
      </c>
      <c r="E849" s="23" t="s">
        <v>2399</v>
      </c>
      <c r="F849" s="11" t="s">
        <v>5371</v>
      </c>
      <c r="G849" s="11" t="s">
        <v>5372</v>
      </c>
      <c r="H849" s="11" t="s">
        <v>5373</v>
      </c>
      <c r="I849" s="21">
        <v>50.223177</v>
      </c>
      <c r="J849" s="21">
        <v>-121.5703489</v>
      </c>
      <c r="K849" s="77" t="s">
        <v>2276</v>
      </c>
      <c r="L849" s="3">
        <v>2013</v>
      </c>
      <c r="M849" s="3">
        <v>2013</v>
      </c>
      <c r="N849" s="77" t="s">
        <v>2276</v>
      </c>
      <c r="O849" s="23" t="s">
        <v>67</v>
      </c>
      <c r="P849" s="23" t="s">
        <v>5188</v>
      </c>
      <c r="Q849" s="3"/>
    </row>
    <row r="850" spans="1:17" ht="54.5" customHeight="1">
      <c r="A850" s="171">
        <v>213</v>
      </c>
      <c r="B850" s="40" t="s">
        <v>5382</v>
      </c>
      <c r="C850" s="3" t="s">
        <v>5385</v>
      </c>
      <c r="D850" s="11" t="s">
        <v>2398</v>
      </c>
      <c r="E850" s="23" t="s">
        <v>2399</v>
      </c>
      <c r="F850" s="19" t="s">
        <v>5383</v>
      </c>
      <c r="G850" s="11" t="s">
        <v>5384</v>
      </c>
      <c r="H850" s="11" t="s">
        <v>3414</v>
      </c>
      <c r="I850" s="21">
        <v>-30.2251966</v>
      </c>
      <c r="J850" s="21">
        <v>151.5917676</v>
      </c>
      <c r="K850" s="77" t="s">
        <v>2276</v>
      </c>
      <c r="L850" s="3">
        <v>2015</v>
      </c>
      <c r="M850" s="3">
        <v>2015</v>
      </c>
      <c r="N850" s="77" t="s">
        <v>2276</v>
      </c>
      <c r="O850" s="23" t="s">
        <v>67</v>
      </c>
      <c r="P850" s="23" t="s">
        <v>5188</v>
      </c>
      <c r="Q850" s="4" t="s">
        <v>5386</v>
      </c>
    </row>
    <row r="851" spans="1:17" ht="40" customHeight="1">
      <c r="A851" s="171">
        <v>214</v>
      </c>
      <c r="B851" s="40" t="s">
        <v>5402</v>
      </c>
      <c r="C851" s="11" t="s">
        <v>5403</v>
      </c>
      <c r="D851" s="11" t="s">
        <v>2398</v>
      </c>
      <c r="E851" s="23" t="s">
        <v>2422</v>
      </c>
      <c r="F851" s="3" t="s">
        <v>5133</v>
      </c>
      <c r="G851" s="3" t="s">
        <v>5404</v>
      </c>
      <c r="H851" s="11" t="s">
        <v>3414</v>
      </c>
      <c r="I851" s="21">
        <v>-14.790237400000001</v>
      </c>
      <c r="J851" s="21">
        <v>132.4698094</v>
      </c>
      <c r="K851" s="77" t="s">
        <v>2276</v>
      </c>
      <c r="L851" s="11">
        <v>1999</v>
      </c>
      <c r="M851" s="11">
        <v>2018</v>
      </c>
      <c r="N851" s="77" t="s">
        <v>2276</v>
      </c>
      <c r="O851" s="23" t="s">
        <v>67</v>
      </c>
      <c r="P851" s="23" t="s">
        <v>5188</v>
      </c>
      <c r="Q851" s="3" t="s">
        <v>5405</v>
      </c>
    </row>
    <row r="852" spans="1:17" ht="32" customHeight="1">
      <c r="A852" s="171">
        <v>215</v>
      </c>
      <c r="B852" s="40" t="s">
        <v>5413</v>
      </c>
      <c r="C852" s="11" t="s">
        <v>5414</v>
      </c>
      <c r="D852" s="11" t="s">
        <v>2398</v>
      </c>
      <c r="E852" s="23" t="s">
        <v>2399</v>
      </c>
      <c r="F852" s="3" t="s">
        <v>5415</v>
      </c>
      <c r="G852" s="3" t="s">
        <v>4132</v>
      </c>
      <c r="H852" s="3" t="s">
        <v>4112</v>
      </c>
      <c r="I852" s="21">
        <v>41.75</v>
      </c>
      <c r="J852" s="21">
        <v>-123.5</v>
      </c>
      <c r="K852" s="21">
        <f>1919+2728</f>
        <v>4647</v>
      </c>
      <c r="L852" s="3">
        <v>2008</v>
      </c>
      <c r="M852" s="3">
        <v>2009</v>
      </c>
      <c r="N852" s="77" t="s">
        <v>2276</v>
      </c>
      <c r="O852" s="23" t="s">
        <v>67</v>
      </c>
      <c r="P852" s="23" t="s">
        <v>5188</v>
      </c>
      <c r="Q852" s="3" t="s">
        <v>2214</v>
      </c>
    </row>
    <row r="853" spans="1:17" ht="36.5" customHeight="1">
      <c r="A853" s="171">
        <v>216</v>
      </c>
      <c r="B853" s="40" t="s">
        <v>5420</v>
      </c>
      <c r="C853" s="11" t="s">
        <v>5421</v>
      </c>
      <c r="D853" s="11" t="s">
        <v>2398</v>
      </c>
      <c r="E853" s="23" t="s">
        <v>2399</v>
      </c>
      <c r="F853" s="11" t="s">
        <v>5422</v>
      </c>
      <c r="G853" s="3" t="s">
        <v>5133</v>
      </c>
      <c r="H853" s="11" t="s">
        <v>3414</v>
      </c>
      <c r="I853" s="21">
        <v>-14.7184116</v>
      </c>
      <c r="J853" s="21">
        <v>135.06096249999999</v>
      </c>
      <c r="K853" s="21">
        <v>19170</v>
      </c>
      <c r="L853" s="3">
        <v>2016</v>
      </c>
      <c r="M853" s="3">
        <v>2019</v>
      </c>
      <c r="N853" s="77" t="s">
        <v>2276</v>
      </c>
      <c r="O853" s="23" t="s">
        <v>67</v>
      </c>
      <c r="P853" s="23" t="s">
        <v>5188</v>
      </c>
      <c r="Q853" s="3" t="s">
        <v>2214</v>
      </c>
    </row>
    <row r="854" spans="1:17" ht="37.5" customHeight="1">
      <c r="A854" s="171">
        <v>217</v>
      </c>
      <c r="B854" s="40" t="s">
        <v>5428</v>
      </c>
      <c r="C854" s="11" t="s">
        <v>5427</v>
      </c>
      <c r="D854" s="11" t="s">
        <v>2398</v>
      </c>
      <c r="E854" s="23" t="s">
        <v>2637</v>
      </c>
      <c r="F854" s="3" t="s">
        <v>5429</v>
      </c>
      <c r="G854" s="3" t="s">
        <v>4132</v>
      </c>
      <c r="H854" s="3" t="s">
        <v>4112</v>
      </c>
      <c r="I854" s="21">
        <v>37.804652300000001</v>
      </c>
      <c r="J854" s="21">
        <v>-118.93180700000001</v>
      </c>
      <c r="K854" s="21" t="s">
        <v>2276</v>
      </c>
      <c r="L854" s="3">
        <v>2016</v>
      </c>
      <c r="M854" s="3">
        <v>2017</v>
      </c>
      <c r="N854" s="77" t="s">
        <v>2276</v>
      </c>
      <c r="O854" s="23" t="s">
        <v>67</v>
      </c>
      <c r="P854" s="23" t="s">
        <v>5188</v>
      </c>
      <c r="Q854" s="3" t="s">
        <v>2214</v>
      </c>
    </row>
    <row r="855" spans="1:17" ht="38" customHeight="1">
      <c r="A855" s="171">
        <v>218</v>
      </c>
      <c r="B855" s="40" t="s">
        <v>5438</v>
      </c>
      <c r="C855" s="11" t="s">
        <v>5440</v>
      </c>
      <c r="D855" s="11" t="s">
        <v>2398</v>
      </c>
      <c r="E855" s="3" t="s">
        <v>2400</v>
      </c>
      <c r="F855" s="144" t="s">
        <v>5442</v>
      </c>
      <c r="G855" s="3" t="s">
        <v>5447</v>
      </c>
      <c r="H855" s="11" t="s">
        <v>5441</v>
      </c>
      <c r="I855" s="21">
        <f>12+5/60</f>
        <v>12.083333333333334</v>
      </c>
      <c r="J855" s="21">
        <v>-14.885611900000001</v>
      </c>
      <c r="K855" s="21" t="s">
        <v>2276</v>
      </c>
      <c r="L855" s="3">
        <v>2008</v>
      </c>
      <c r="M855" s="3">
        <v>2015</v>
      </c>
      <c r="N855" s="21">
        <f>AVERAGE(33.6, 22.5)</f>
        <v>28.05</v>
      </c>
      <c r="O855" s="23" t="s">
        <v>67</v>
      </c>
      <c r="P855" s="23" t="s">
        <v>5188</v>
      </c>
      <c r="Q855" s="3"/>
    </row>
    <row r="856" spans="1:17" ht="38" customHeight="1">
      <c r="A856" s="171">
        <v>218</v>
      </c>
      <c r="B856" s="40" t="s">
        <v>5438</v>
      </c>
      <c r="C856" s="11" t="s">
        <v>5443</v>
      </c>
      <c r="D856" s="11" t="s">
        <v>2398</v>
      </c>
      <c r="E856" s="3" t="s">
        <v>2400</v>
      </c>
      <c r="F856" s="144" t="s">
        <v>5452</v>
      </c>
      <c r="G856" s="3" t="s">
        <v>5448</v>
      </c>
      <c r="H856" s="11" t="s">
        <v>5441</v>
      </c>
      <c r="I856" s="21">
        <f>12+15/60</f>
        <v>12.25</v>
      </c>
      <c r="J856" s="21">
        <f>-15-25/60</f>
        <v>-15.416666666666666</v>
      </c>
      <c r="K856" s="21" t="s">
        <v>2276</v>
      </c>
      <c r="L856" s="3">
        <v>2008</v>
      </c>
      <c r="M856" s="3">
        <v>2015</v>
      </c>
      <c r="N856" s="77">
        <v>39.799999999999997</v>
      </c>
      <c r="O856" s="23" t="s">
        <v>67</v>
      </c>
      <c r="P856" s="23" t="s">
        <v>5188</v>
      </c>
      <c r="Q856" s="3"/>
    </row>
    <row r="857" spans="1:17" ht="38" customHeight="1">
      <c r="A857" s="171">
        <v>218</v>
      </c>
      <c r="B857" s="40" t="s">
        <v>5438</v>
      </c>
      <c r="C857" s="11" t="s">
        <v>5444</v>
      </c>
      <c r="D857" s="11" t="s">
        <v>2398</v>
      </c>
      <c r="E857" s="3" t="s">
        <v>2400</v>
      </c>
      <c r="F857" s="144" t="s">
        <v>5453</v>
      </c>
      <c r="G857" s="3" t="s">
        <v>5449</v>
      </c>
      <c r="H857" s="11" t="s">
        <v>5441</v>
      </c>
      <c r="I857" s="21">
        <f>12+16/60</f>
        <v>12.266666666666667</v>
      </c>
      <c r="J857" s="21">
        <f>-16</f>
        <v>-16</v>
      </c>
      <c r="K857" s="21" t="s">
        <v>2276</v>
      </c>
      <c r="L857" s="3">
        <v>2008</v>
      </c>
      <c r="M857" s="3">
        <v>2015</v>
      </c>
      <c r="N857" s="77">
        <f>AVERAGE(35.8, 110.9)</f>
        <v>73.349999999999994</v>
      </c>
      <c r="O857" s="23" t="s">
        <v>67</v>
      </c>
      <c r="P857" s="23" t="s">
        <v>5188</v>
      </c>
      <c r="Q857" s="3"/>
    </row>
    <row r="858" spans="1:17" ht="38" customHeight="1">
      <c r="A858" s="171">
        <v>218</v>
      </c>
      <c r="B858" s="40" t="s">
        <v>5438</v>
      </c>
      <c r="C858" s="11" t="s">
        <v>5446</v>
      </c>
      <c r="D858" s="11" t="s">
        <v>2398</v>
      </c>
      <c r="E858" s="3" t="s">
        <v>2400</v>
      </c>
      <c r="F858" s="144" t="s">
        <v>5454</v>
      </c>
      <c r="G858" s="3" t="s">
        <v>5450</v>
      </c>
      <c r="H858" s="11" t="s">
        <v>5441</v>
      </c>
      <c r="I858" s="21">
        <f>11+45/60</f>
        <v>11.75</v>
      </c>
      <c r="J858" s="21">
        <f>-15-3/60</f>
        <v>-15.05</v>
      </c>
      <c r="K858" s="21" t="s">
        <v>2276</v>
      </c>
      <c r="L858" s="3">
        <v>2008</v>
      </c>
      <c r="M858" s="3">
        <v>2015</v>
      </c>
      <c r="N858" s="77">
        <v>19.399999999999999</v>
      </c>
      <c r="O858" s="23" t="s">
        <v>67</v>
      </c>
      <c r="P858" s="23" t="s">
        <v>5188</v>
      </c>
      <c r="Q858" s="3"/>
    </row>
    <row r="859" spans="1:17" ht="38" customHeight="1">
      <c r="A859" s="171">
        <v>218</v>
      </c>
      <c r="B859" s="40" t="s">
        <v>5438</v>
      </c>
      <c r="C859" s="11" t="s">
        <v>5445</v>
      </c>
      <c r="D859" s="11" t="s">
        <v>2398</v>
      </c>
      <c r="E859" s="3" t="s">
        <v>2400</v>
      </c>
      <c r="F859" s="144" t="s">
        <v>5455</v>
      </c>
      <c r="G859" s="3" t="s">
        <v>5451</v>
      </c>
      <c r="H859" s="11" t="s">
        <v>5441</v>
      </c>
      <c r="I859" s="21">
        <f>11+26/60</f>
        <v>11.433333333333334</v>
      </c>
      <c r="J859" s="21">
        <f>-15-13/60</f>
        <v>-15.216666666666667</v>
      </c>
      <c r="K859" s="21" t="s">
        <v>2276</v>
      </c>
      <c r="L859" s="3">
        <v>2008</v>
      </c>
      <c r="M859" s="3">
        <v>2015</v>
      </c>
      <c r="N859" s="77">
        <v>22</v>
      </c>
      <c r="O859" s="23" t="s">
        <v>67</v>
      </c>
      <c r="P859" s="23" t="s">
        <v>5188</v>
      </c>
      <c r="Q859" s="3"/>
    </row>
    <row r="860" spans="1:17" ht="39.5" customHeight="1">
      <c r="A860" s="171">
        <v>219</v>
      </c>
      <c r="B860" s="40" t="s">
        <v>5528</v>
      </c>
      <c r="C860" s="11" t="s">
        <v>5527</v>
      </c>
      <c r="D860" s="11" t="s">
        <v>2398</v>
      </c>
      <c r="E860" s="23" t="s">
        <v>2399</v>
      </c>
      <c r="F860" s="3" t="s">
        <v>5529</v>
      </c>
      <c r="G860" s="3" t="s">
        <v>5533</v>
      </c>
      <c r="H860" s="11" t="s">
        <v>1143</v>
      </c>
      <c r="I860" s="21">
        <v>10.4290115</v>
      </c>
      <c r="J860" s="21">
        <v>-0.39070129999999997</v>
      </c>
      <c r="K860" s="21" t="s">
        <v>2276</v>
      </c>
      <c r="L860" s="3">
        <v>2010</v>
      </c>
      <c r="M860" s="3">
        <v>2010</v>
      </c>
      <c r="N860" s="21" t="s">
        <v>2276</v>
      </c>
      <c r="O860" s="23" t="s">
        <v>67</v>
      </c>
      <c r="P860" s="23" t="s">
        <v>5188</v>
      </c>
      <c r="Q860" s="3" t="s">
        <v>5549</v>
      </c>
    </row>
    <row r="861" spans="1:17" ht="39.5" customHeight="1">
      <c r="A861" s="171">
        <v>219</v>
      </c>
      <c r="B861" s="40" t="s">
        <v>5528</v>
      </c>
      <c r="C861" s="11" t="s">
        <v>5539</v>
      </c>
      <c r="D861" s="11" t="s">
        <v>2398</v>
      </c>
      <c r="E861" s="23" t="s">
        <v>2399</v>
      </c>
      <c r="F861" s="23" t="s">
        <v>5530</v>
      </c>
      <c r="G861" s="11" t="s">
        <v>5532</v>
      </c>
      <c r="H861" s="11" t="s">
        <v>1143</v>
      </c>
      <c r="I861" s="21">
        <v>7.3825552999999999</v>
      </c>
      <c r="J861" s="21">
        <v>-1.3594508000000001</v>
      </c>
      <c r="K861" s="21" t="s">
        <v>2276</v>
      </c>
      <c r="L861" s="3">
        <v>2010</v>
      </c>
      <c r="M861" s="3">
        <v>2010</v>
      </c>
      <c r="N861" s="21" t="s">
        <v>2276</v>
      </c>
      <c r="O861" s="23" t="s">
        <v>67</v>
      </c>
      <c r="P861" s="23" t="s">
        <v>5188</v>
      </c>
      <c r="Q861" s="3" t="s">
        <v>5549</v>
      </c>
    </row>
    <row r="862" spans="1:17" ht="39.5" customHeight="1">
      <c r="A862" s="171">
        <v>219</v>
      </c>
      <c r="B862" s="40" t="s">
        <v>5528</v>
      </c>
      <c r="C862" s="11" t="s">
        <v>5540</v>
      </c>
      <c r="D862" s="11" t="s">
        <v>2398</v>
      </c>
      <c r="E862" s="23" t="s">
        <v>2399</v>
      </c>
      <c r="F862" s="23" t="s">
        <v>5531</v>
      </c>
      <c r="G862" s="11" t="s">
        <v>5532</v>
      </c>
      <c r="H862" s="11" t="s">
        <v>1143</v>
      </c>
      <c r="I862" s="21">
        <v>7.1337909000000002</v>
      </c>
      <c r="J862" s="21">
        <v>-0.83461759999999996</v>
      </c>
      <c r="K862" s="21" t="s">
        <v>2276</v>
      </c>
      <c r="L862" s="3">
        <v>2010</v>
      </c>
      <c r="M862" s="3">
        <v>2010</v>
      </c>
      <c r="N862" s="21" t="s">
        <v>2276</v>
      </c>
      <c r="O862" s="23" t="s">
        <v>67</v>
      </c>
      <c r="P862" s="23" t="s">
        <v>5188</v>
      </c>
      <c r="Q862" s="3" t="s">
        <v>5549</v>
      </c>
    </row>
    <row r="863" spans="1:17" ht="39.5" customHeight="1">
      <c r="A863" s="171">
        <v>219</v>
      </c>
      <c r="B863" s="40" t="s">
        <v>5528</v>
      </c>
      <c r="C863" s="11" t="s">
        <v>5541</v>
      </c>
      <c r="D863" s="11" t="s">
        <v>2398</v>
      </c>
      <c r="E863" s="23" t="s">
        <v>2399</v>
      </c>
      <c r="F863" s="23" t="s">
        <v>5535</v>
      </c>
      <c r="G863" s="11" t="s">
        <v>5534</v>
      </c>
      <c r="H863" s="11" t="s">
        <v>1143</v>
      </c>
      <c r="I863" s="21">
        <v>7.5659910000000004</v>
      </c>
      <c r="J863" s="21">
        <v>-1.7061424000000001</v>
      </c>
      <c r="K863" s="21" t="s">
        <v>2276</v>
      </c>
      <c r="L863" s="3">
        <v>2010</v>
      </c>
      <c r="M863" s="3">
        <v>2010</v>
      </c>
      <c r="N863" s="21" t="s">
        <v>2276</v>
      </c>
      <c r="O863" s="23" t="s">
        <v>67</v>
      </c>
      <c r="P863" s="23" t="s">
        <v>5188</v>
      </c>
      <c r="Q863" s="3" t="s">
        <v>5549</v>
      </c>
    </row>
    <row r="864" spans="1:17" ht="39.5" customHeight="1">
      <c r="A864" s="171">
        <v>219</v>
      </c>
      <c r="B864" s="40" t="s">
        <v>5528</v>
      </c>
      <c r="C864" s="11" t="s">
        <v>5542</v>
      </c>
      <c r="D864" s="11" t="s">
        <v>2398</v>
      </c>
      <c r="E864" s="23" t="s">
        <v>2399</v>
      </c>
      <c r="F864" s="23" t="s">
        <v>5536</v>
      </c>
      <c r="G864" s="11" t="s">
        <v>5534</v>
      </c>
      <c r="H864" s="11" t="s">
        <v>1143</v>
      </c>
      <c r="I864" s="21">
        <v>7.7532189000000002</v>
      </c>
      <c r="J864" s="21">
        <v>-0.98370559999999996</v>
      </c>
      <c r="K864" s="21" t="s">
        <v>2276</v>
      </c>
      <c r="L864" s="3">
        <v>2010</v>
      </c>
      <c r="M864" s="3">
        <v>2010</v>
      </c>
      <c r="N864" s="21" t="s">
        <v>2276</v>
      </c>
      <c r="O864" s="23" t="s">
        <v>67</v>
      </c>
      <c r="P864" s="23" t="s">
        <v>5188</v>
      </c>
      <c r="Q864" s="3" t="s">
        <v>5549</v>
      </c>
    </row>
    <row r="865" spans="1:17" ht="39.5" customHeight="1">
      <c r="A865" s="171">
        <v>219</v>
      </c>
      <c r="B865" s="40" t="s">
        <v>5528</v>
      </c>
      <c r="C865" s="11" t="s">
        <v>5543</v>
      </c>
      <c r="D865" s="11" t="s">
        <v>2398</v>
      </c>
      <c r="E865" s="23" t="s">
        <v>2399</v>
      </c>
      <c r="F865" s="23" t="s">
        <v>5537</v>
      </c>
      <c r="G865" s="11" t="s">
        <v>5538</v>
      </c>
      <c r="H865" s="11" t="s">
        <v>1143</v>
      </c>
      <c r="I865" s="21">
        <v>6.4999998999999997</v>
      </c>
      <c r="J865" s="21">
        <v>-0.5</v>
      </c>
      <c r="K865" s="21" t="s">
        <v>2276</v>
      </c>
      <c r="L865" s="3">
        <v>2010</v>
      </c>
      <c r="M865" s="3">
        <v>2010</v>
      </c>
      <c r="N865" s="21" t="s">
        <v>2276</v>
      </c>
      <c r="O865" s="23" t="s">
        <v>67</v>
      </c>
      <c r="P865" s="23" t="s">
        <v>5188</v>
      </c>
      <c r="Q865" s="3" t="s">
        <v>5549</v>
      </c>
    </row>
    <row r="866" spans="1:17" ht="39.5" customHeight="1">
      <c r="A866" s="171">
        <v>219</v>
      </c>
      <c r="B866" s="40" t="s">
        <v>5528</v>
      </c>
      <c r="C866" s="11" t="s">
        <v>5547</v>
      </c>
      <c r="D866" s="11" t="s">
        <v>2398</v>
      </c>
      <c r="E866" s="23" t="s">
        <v>2399</v>
      </c>
      <c r="F866" s="23" t="s">
        <v>5544</v>
      </c>
      <c r="G866" s="11" t="s">
        <v>5546</v>
      </c>
      <c r="H866" s="11" t="s">
        <v>1143</v>
      </c>
      <c r="I866" s="21">
        <v>6.1678239000000001</v>
      </c>
      <c r="J866" s="21">
        <v>0.38658140000000002</v>
      </c>
      <c r="K866" s="21" t="s">
        <v>2276</v>
      </c>
      <c r="L866" s="3">
        <v>2010</v>
      </c>
      <c r="M866" s="3">
        <v>2010</v>
      </c>
      <c r="N866" s="21" t="s">
        <v>2276</v>
      </c>
      <c r="O866" s="23" t="s">
        <v>67</v>
      </c>
      <c r="P866" s="23" t="s">
        <v>5188</v>
      </c>
      <c r="Q866" s="3" t="s">
        <v>5549</v>
      </c>
    </row>
    <row r="867" spans="1:17" ht="39.5" customHeight="1">
      <c r="A867" s="171">
        <v>219</v>
      </c>
      <c r="B867" s="40" t="s">
        <v>5528</v>
      </c>
      <c r="C867" s="11" t="s">
        <v>5548</v>
      </c>
      <c r="D867" s="11" t="s">
        <v>2398</v>
      </c>
      <c r="E867" s="23" t="s">
        <v>2399</v>
      </c>
      <c r="F867" s="23" t="s">
        <v>5545</v>
      </c>
      <c r="G867" s="11" t="s">
        <v>5546</v>
      </c>
      <c r="H867" s="11" t="s">
        <v>1143</v>
      </c>
      <c r="I867" s="21">
        <v>6.1760519</v>
      </c>
      <c r="J867" s="21">
        <v>1.0313089</v>
      </c>
      <c r="K867" s="21" t="s">
        <v>2276</v>
      </c>
      <c r="L867" s="3">
        <v>2010</v>
      </c>
      <c r="M867" s="3">
        <v>2010</v>
      </c>
      <c r="N867" s="21" t="s">
        <v>2276</v>
      </c>
      <c r="O867" s="23" t="s">
        <v>67</v>
      </c>
      <c r="P867" s="23" t="s">
        <v>5188</v>
      </c>
      <c r="Q867" s="3" t="s">
        <v>5549</v>
      </c>
    </row>
    <row r="868" spans="1:17" ht="30" customHeight="1">
      <c r="A868" s="171">
        <v>220</v>
      </c>
      <c r="B868" s="40" t="s">
        <v>5577</v>
      </c>
      <c r="C868" s="11" t="s">
        <v>5578</v>
      </c>
      <c r="D868" s="11" t="s">
        <v>2398</v>
      </c>
      <c r="E868" s="23" t="s">
        <v>2400</v>
      </c>
      <c r="F868" s="3" t="s">
        <v>5579</v>
      </c>
      <c r="G868" s="3" t="s">
        <v>5580</v>
      </c>
      <c r="H868" s="11" t="s">
        <v>5581</v>
      </c>
      <c r="I868" s="21">
        <v>16</v>
      </c>
      <c r="J868" s="21">
        <v>121</v>
      </c>
      <c r="K868" s="21">
        <f>70531/100</f>
        <v>705.31</v>
      </c>
      <c r="L868" s="11">
        <v>2002</v>
      </c>
      <c r="M868" s="11">
        <v>2014</v>
      </c>
      <c r="N868" s="21" t="s">
        <v>2276</v>
      </c>
      <c r="O868" s="23" t="s">
        <v>67</v>
      </c>
      <c r="P868" s="23" t="s">
        <v>5188</v>
      </c>
      <c r="Q868" s="3"/>
    </row>
    <row r="869" spans="1:17" ht="39" customHeight="1">
      <c r="A869" s="171">
        <v>221</v>
      </c>
      <c r="B869" s="40" t="s">
        <v>5589</v>
      </c>
      <c r="C869" s="11" t="s">
        <v>5590</v>
      </c>
      <c r="D869" s="11" t="s">
        <v>2398</v>
      </c>
      <c r="E869" s="23" t="s">
        <v>2399</v>
      </c>
      <c r="F869" s="186" t="s">
        <v>5591</v>
      </c>
      <c r="G869" s="11" t="s">
        <v>644</v>
      </c>
      <c r="H869" s="11" t="s">
        <v>895</v>
      </c>
      <c r="I869" s="21">
        <v>0.83457400000000004</v>
      </c>
      <c r="J869" s="21">
        <v>112.86569249999999</v>
      </c>
      <c r="K869" s="21" t="s">
        <v>2276</v>
      </c>
      <c r="L869" s="3">
        <v>2017</v>
      </c>
      <c r="M869" s="3">
        <v>2017</v>
      </c>
      <c r="N869" s="21" t="s">
        <v>2276</v>
      </c>
      <c r="O869" s="23" t="s">
        <v>67</v>
      </c>
      <c r="P869" s="3" t="s">
        <v>5187</v>
      </c>
      <c r="Q869" s="4" t="s">
        <v>5592</v>
      </c>
    </row>
    <row r="870" spans="1:17" ht="33.5" customHeight="1">
      <c r="A870" s="171">
        <v>222</v>
      </c>
      <c r="B870" s="40" t="s">
        <v>5598</v>
      </c>
      <c r="C870" s="11" t="s">
        <v>5599</v>
      </c>
      <c r="D870" s="11" t="s">
        <v>2398</v>
      </c>
      <c r="E870" s="23" t="s">
        <v>2399</v>
      </c>
      <c r="F870" s="11" t="s">
        <v>2712</v>
      </c>
      <c r="G870" s="11" t="s">
        <v>166</v>
      </c>
      <c r="H870" s="11" t="s">
        <v>121</v>
      </c>
      <c r="I870" s="21">
        <v>-2.9940028999999999</v>
      </c>
      <c r="J870" s="21">
        <v>-47.358630699999999</v>
      </c>
      <c r="K870" s="21" t="s">
        <v>2276</v>
      </c>
      <c r="L870" s="3">
        <v>2015</v>
      </c>
      <c r="M870" s="3">
        <v>2015</v>
      </c>
      <c r="N870" s="21" t="s">
        <v>2276</v>
      </c>
      <c r="O870" s="23" t="s">
        <v>67</v>
      </c>
      <c r="P870" s="3" t="s">
        <v>5187</v>
      </c>
      <c r="Q870" s="3" t="s">
        <v>5602</v>
      </c>
    </row>
    <row r="871" spans="1:17" ht="32" customHeight="1">
      <c r="A871" s="171">
        <v>222</v>
      </c>
      <c r="B871" s="40" t="s">
        <v>5598</v>
      </c>
      <c r="C871" s="11" t="s">
        <v>5600</v>
      </c>
      <c r="D871" s="11" t="s">
        <v>2398</v>
      </c>
      <c r="E871" s="23" t="s">
        <v>2399</v>
      </c>
      <c r="F871" s="11" t="s">
        <v>5601</v>
      </c>
      <c r="G871" s="11" t="s">
        <v>166</v>
      </c>
      <c r="H871" s="11" t="s">
        <v>121</v>
      </c>
      <c r="I871" s="21">
        <v>-2.5596822000000001</v>
      </c>
      <c r="J871" s="21">
        <v>-47.496251100000002</v>
      </c>
      <c r="K871" s="21" t="s">
        <v>2276</v>
      </c>
      <c r="L871" s="3">
        <v>2015</v>
      </c>
      <c r="M871" s="3">
        <v>2015</v>
      </c>
      <c r="N871" s="21" t="s">
        <v>2276</v>
      </c>
      <c r="O871" s="23" t="s">
        <v>67</v>
      </c>
      <c r="P871" s="3" t="s">
        <v>5187</v>
      </c>
      <c r="Q871" s="3" t="s">
        <v>5602</v>
      </c>
    </row>
    <row r="872" spans="1:17" ht="38" customHeight="1">
      <c r="A872" s="171">
        <v>223</v>
      </c>
      <c r="B872" s="40" t="s">
        <v>5626</v>
      </c>
      <c r="C872" s="11" t="s">
        <v>5625</v>
      </c>
      <c r="D872" s="11" t="s">
        <v>2398</v>
      </c>
      <c r="E872" s="23" t="s">
        <v>2399</v>
      </c>
      <c r="F872" s="11" t="s">
        <v>2712</v>
      </c>
      <c r="G872" s="11" t="s">
        <v>166</v>
      </c>
      <c r="H872" s="11" t="s">
        <v>121</v>
      </c>
      <c r="I872" s="21">
        <v>-2.9940028999999999</v>
      </c>
      <c r="J872" s="21">
        <v>-47.358630699999999</v>
      </c>
      <c r="K872" s="21" t="s">
        <v>2276</v>
      </c>
      <c r="L872" s="3">
        <v>2015</v>
      </c>
      <c r="M872" s="3">
        <v>2015</v>
      </c>
      <c r="N872" s="21" t="s">
        <v>2276</v>
      </c>
      <c r="O872" s="23" t="s">
        <v>67</v>
      </c>
      <c r="P872" s="23" t="s">
        <v>5188</v>
      </c>
      <c r="Q872" s="3"/>
    </row>
    <row r="873" spans="1:17" ht="28" customHeight="1">
      <c r="A873" s="171">
        <v>223</v>
      </c>
      <c r="B873" s="40" t="s">
        <v>5626</v>
      </c>
      <c r="C873" s="11" t="s">
        <v>5629</v>
      </c>
      <c r="D873" s="11" t="s">
        <v>2398</v>
      </c>
      <c r="E873" s="23" t="s">
        <v>2399</v>
      </c>
      <c r="F873" s="11" t="s">
        <v>5601</v>
      </c>
      <c r="G873" s="11" t="s">
        <v>166</v>
      </c>
      <c r="H873" s="11" t="s">
        <v>121</v>
      </c>
      <c r="I873" s="21">
        <v>-2.5596822000000001</v>
      </c>
      <c r="J873" s="21">
        <v>-47.496251100000002</v>
      </c>
      <c r="K873" s="21" t="s">
        <v>2276</v>
      </c>
      <c r="L873" s="3">
        <v>2015</v>
      </c>
      <c r="M873" s="3">
        <v>2015</v>
      </c>
      <c r="N873" s="21" t="s">
        <v>2276</v>
      </c>
      <c r="O873" s="23" t="s">
        <v>67</v>
      </c>
      <c r="P873" s="23" t="s">
        <v>5188</v>
      </c>
      <c r="Q873" s="3"/>
    </row>
    <row r="874" spans="1:17" ht="28" customHeight="1">
      <c r="A874" s="171">
        <v>223</v>
      </c>
      <c r="B874" s="40" t="s">
        <v>5626</v>
      </c>
      <c r="C874" s="11" t="s">
        <v>5630</v>
      </c>
      <c r="D874" s="11" t="s">
        <v>2398</v>
      </c>
      <c r="E874" s="23" t="s">
        <v>2399</v>
      </c>
      <c r="F874" s="11" t="s">
        <v>5627</v>
      </c>
      <c r="G874" s="11" t="s">
        <v>166</v>
      </c>
      <c r="H874" s="11" t="s">
        <v>121</v>
      </c>
      <c r="I874" s="21">
        <v>-1.9281064999999999</v>
      </c>
      <c r="J874" s="21">
        <v>-47.778332800000001</v>
      </c>
      <c r="K874" s="21" t="s">
        <v>2276</v>
      </c>
      <c r="L874" s="3">
        <v>2015</v>
      </c>
      <c r="M874" s="3">
        <v>2015</v>
      </c>
      <c r="N874" s="21" t="s">
        <v>2276</v>
      </c>
      <c r="O874" s="23" t="s">
        <v>67</v>
      </c>
      <c r="P874" s="23" t="s">
        <v>5188</v>
      </c>
      <c r="Q874" s="3"/>
    </row>
    <row r="875" spans="1:17" ht="28" customHeight="1">
      <c r="A875" s="171">
        <v>223</v>
      </c>
      <c r="B875" s="40" t="s">
        <v>5626</v>
      </c>
      <c r="C875" s="11" t="s">
        <v>5631</v>
      </c>
      <c r="D875" s="11" t="s">
        <v>2398</v>
      </c>
      <c r="E875" s="23" t="s">
        <v>2399</v>
      </c>
      <c r="F875" s="11" t="s">
        <v>5628</v>
      </c>
      <c r="G875" s="11" t="s">
        <v>166</v>
      </c>
      <c r="H875" s="11" t="s">
        <v>121</v>
      </c>
      <c r="I875" s="21">
        <v>-1.7721188999999999</v>
      </c>
      <c r="J875" s="21">
        <v>-47.446589600000003</v>
      </c>
      <c r="K875" s="21" t="s">
        <v>2276</v>
      </c>
      <c r="L875" s="3">
        <v>2015</v>
      </c>
      <c r="M875" s="3">
        <v>2015</v>
      </c>
      <c r="N875" s="21" t="s">
        <v>2276</v>
      </c>
      <c r="O875" s="23" t="s">
        <v>67</v>
      </c>
      <c r="P875" s="23" t="s">
        <v>5188</v>
      </c>
      <c r="Q875" s="3"/>
    </row>
    <row r="876" spans="1:17" ht="29" customHeight="1">
      <c r="A876" s="171">
        <v>224</v>
      </c>
      <c r="B876" s="40" t="s">
        <v>5648</v>
      </c>
      <c r="C876" s="11" t="s">
        <v>5649</v>
      </c>
      <c r="D876" s="11" t="s">
        <v>2398</v>
      </c>
      <c r="E876" s="23" t="s">
        <v>2399</v>
      </c>
      <c r="F876" s="3" t="s">
        <v>5651</v>
      </c>
      <c r="G876" s="3" t="s">
        <v>5650</v>
      </c>
      <c r="H876" s="3" t="s">
        <v>895</v>
      </c>
      <c r="I876" s="21">
        <v>1.6675759000000001</v>
      </c>
      <c r="J876" s="21">
        <v>101.41145899999999</v>
      </c>
      <c r="K876" s="21" t="s">
        <v>2276</v>
      </c>
      <c r="L876" s="3">
        <v>2015</v>
      </c>
      <c r="M876" s="3">
        <v>2015</v>
      </c>
      <c r="N876" s="21" t="s">
        <v>2276</v>
      </c>
      <c r="O876" s="23" t="s">
        <v>67</v>
      </c>
      <c r="P876" s="3" t="s">
        <v>5187</v>
      </c>
      <c r="Q876" s="3"/>
    </row>
    <row r="877" spans="1:17" ht="54" customHeight="1">
      <c r="A877" s="171">
        <v>225</v>
      </c>
      <c r="B877" s="40" t="s">
        <v>5660</v>
      </c>
      <c r="C877" s="11" t="s">
        <v>5661</v>
      </c>
      <c r="D877" s="11" t="s">
        <v>2398</v>
      </c>
      <c r="E877" s="23" t="s">
        <v>2422</v>
      </c>
      <c r="F877" s="4" t="s">
        <v>5662</v>
      </c>
      <c r="G877" s="3" t="s">
        <v>5663</v>
      </c>
      <c r="H877" s="11" t="s">
        <v>3414</v>
      </c>
      <c r="I877" s="21">
        <v>-36.997885799999999</v>
      </c>
      <c r="J877" s="21">
        <v>144.5640659</v>
      </c>
      <c r="K877" s="21" t="s">
        <v>2276</v>
      </c>
      <c r="L877" s="11">
        <v>2016</v>
      </c>
      <c r="M877" s="11">
        <v>2018</v>
      </c>
      <c r="N877" s="21" t="s">
        <v>2276</v>
      </c>
      <c r="O877" s="23" t="s">
        <v>67</v>
      </c>
      <c r="P877" s="23" t="s">
        <v>5188</v>
      </c>
      <c r="Q877" s="3"/>
    </row>
    <row r="878" spans="1:17" ht="38" customHeight="1">
      <c r="A878" s="171">
        <v>226</v>
      </c>
      <c r="B878" s="40" t="s">
        <v>5675</v>
      </c>
      <c r="C878" s="11" t="s">
        <v>5676</v>
      </c>
      <c r="D878" s="11" t="s">
        <v>2398</v>
      </c>
      <c r="E878" s="23" t="s">
        <v>2399</v>
      </c>
      <c r="F878" s="3" t="s">
        <v>5678</v>
      </c>
      <c r="G878" s="3" t="s">
        <v>5677</v>
      </c>
      <c r="H878" s="3" t="s">
        <v>4112</v>
      </c>
      <c r="I878" s="21">
        <v>48.659928499999999</v>
      </c>
      <c r="J878" s="21">
        <v>-117.62298989999999</v>
      </c>
      <c r="K878" s="21" t="s">
        <v>2276</v>
      </c>
      <c r="L878" s="3">
        <v>2015</v>
      </c>
      <c r="M878" s="3">
        <v>2015</v>
      </c>
      <c r="N878" s="21" t="s">
        <v>2276</v>
      </c>
      <c r="O878" s="23" t="s">
        <v>67</v>
      </c>
      <c r="P878" s="23" t="s">
        <v>5188</v>
      </c>
      <c r="Q878" s="3"/>
    </row>
    <row r="879" spans="1:17" ht="37" customHeight="1">
      <c r="A879" s="171">
        <v>227</v>
      </c>
      <c r="B879" s="40" t="s">
        <v>5683</v>
      </c>
      <c r="C879" s="11" t="s">
        <v>5684</v>
      </c>
      <c r="D879" s="11" t="s">
        <v>2398</v>
      </c>
      <c r="E879" s="23" t="s">
        <v>2399</v>
      </c>
      <c r="F879" s="3" t="s">
        <v>5685</v>
      </c>
      <c r="G879" s="3" t="s">
        <v>5384</v>
      </c>
      <c r="H879" s="3" t="s">
        <v>3414</v>
      </c>
      <c r="I879" s="21">
        <v>-33.688485700000001</v>
      </c>
      <c r="J879" s="21">
        <v>150.6532861</v>
      </c>
      <c r="K879" s="21" t="s">
        <v>2276</v>
      </c>
      <c r="L879" s="3">
        <v>2014</v>
      </c>
      <c r="M879" s="3">
        <v>2017</v>
      </c>
      <c r="N879" s="21" t="s">
        <v>2276</v>
      </c>
      <c r="O879" s="23" t="s">
        <v>67</v>
      </c>
      <c r="P879" s="23" t="s">
        <v>5188</v>
      </c>
      <c r="Q879" s="3"/>
    </row>
    <row r="880" spans="1:17" ht="37.5" customHeight="1">
      <c r="A880" s="171">
        <v>228</v>
      </c>
      <c r="B880" s="40" t="s">
        <v>5692</v>
      </c>
      <c r="C880" s="11" t="s">
        <v>5693</v>
      </c>
      <c r="D880" s="11" t="s">
        <v>2398</v>
      </c>
      <c r="E880" s="23" t="s">
        <v>2399</v>
      </c>
      <c r="F880" s="3" t="s">
        <v>5695</v>
      </c>
      <c r="G880" s="3" t="s">
        <v>5696</v>
      </c>
      <c r="H880" s="3" t="s">
        <v>5694</v>
      </c>
      <c r="I880" s="21">
        <f>-17</f>
        <v>-17</v>
      </c>
      <c r="J880" s="21">
        <f>-61</f>
        <v>-61</v>
      </c>
      <c r="K880" s="21" t="s">
        <v>2276</v>
      </c>
      <c r="L880" s="3">
        <v>2013</v>
      </c>
      <c r="M880" s="3">
        <v>2013</v>
      </c>
      <c r="N880" s="21" t="s">
        <v>2276</v>
      </c>
      <c r="O880" s="23" t="s">
        <v>67</v>
      </c>
      <c r="P880" s="23" t="s">
        <v>5188</v>
      </c>
      <c r="Q880" s="3"/>
    </row>
    <row r="881" spans="1:17" ht="36.5" customHeight="1">
      <c r="A881" s="171">
        <v>229</v>
      </c>
      <c r="B881" s="40" t="s">
        <v>5716</v>
      </c>
      <c r="C881" s="11" t="s">
        <v>5715</v>
      </c>
      <c r="D881" s="11" t="s">
        <v>2398</v>
      </c>
      <c r="E881" s="23" t="s">
        <v>2399</v>
      </c>
      <c r="F881" s="4" t="s">
        <v>5714</v>
      </c>
      <c r="G881" s="11" t="s">
        <v>3852</v>
      </c>
      <c r="H881" s="11" t="s">
        <v>88</v>
      </c>
      <c r="I881" s="21">
        <v>11.9269962</v>
      </c>
      <c r="J881" s="21">
        <v>77.0878479</v>
      </c>
      <c r="K881" s="21">
        <v>575</v>
      </c>
      <c r="L881" s="3">
        <v>2016</v>
      </c>
      <c r="M881" s="3">
        <v>2016</v>
      </c>
      <c r="N881" s="21" t="s">
        <v>2276</v>
      </c>
      <c r="O881" s="23" t="s">
        <v>67</v>
      </c>
      <c r="P881" s="23" t="s">
        <v>5188</v>
      </c>
      <c r="Q881" s="3"/>
    </row>
    <row r="882" spans="1:17" ht="46.5" customHeight="1">
      <c r="A882" s="171">
        <v>230</v>
      </c>
      <c r="B882" s="40" t="s">
        <v>5722</v>
      </c>
      <c r="C882" s="11" t="s">
        <v>5723</v>
      </c>
      <c r="D882" s="11" t="s">
        <v>2398</v>
      </c>
      <c r="E882" s="23" t="s">
        <v>2399</v>
      </c>
      <c r="F882" s="3" t="s">
        <v>5724</v>
      </c>
      <c r="G882" s="3" t="s">
        <v>5725</v>
      </c>
      <c r="H882" s="11" t="s">
        <v>5224</v>
      </c>
      <c r="I882" s="21">
        <v>27.013861299999999</v>
      </c>
      <c r="J882" s="21">
        <v>87.821574299999995</v>
      </c>
      <c r="K882" s="21" t="s">
        <v>2276</v>
      </c>
      <c r="L882" s="3">
        <v>2015</v>
      </c>
      <c r="M882" s="3">
        <v>2015</v>
      </c>
      <c r="N882" s="21" t="s">
        <v>2276</v>
      </c>
      <c r="O882" s="23" t="s">
        <v>67</v>
      </c>
      <c r="P882" s="23" t="s">
        <v>5188</v>
      </c>
      <c r="Q882" s="3"/>
    </row>
    <row r="883" spans="1:17" ht="26.5" customHeight="1">
      <c r="A883" s="171">
        <v>230</v>
      </c>
      <c r="B883" s="40" t="s">
        <v>5722</v>
      </c>
      <c r="C883" s="11" t="s">
        <v>5726</v>
      </c>
      <c r="D883" s="11" t="s">
        <v>2398</v>
      </c>
      <c r="E883" s="23" t="s">
        <v>2399</v>
      </c>
      <c r="F883" s="3" t="s">
        <v>5730</v>
      </c>
      <c r="G883" s="3" t="s">
        <v>5725</v>
      </c>
      <c r="H883" s="11" t="s">
        <v>5224</v>
      </c>
      <c r="I883" s="21">
        <v>26.9892015</v>
      </c>
      <c r="J883" s="21">
        <v>87.993020999999999</v>
      </c>
      <c r="K883" s="21" t="s">
        <v>2276</v>
      </c>
      <c r="L883" s="3">
        <v>2015</v>
      </c>
      <c r="M883" s="3">
        <v>2015</v>
      </c>
      <c r="N883" s="21" t="s">
        <v>2276</v>
      </c>
      <c r="O883" s="23" t="s">
        <v>67</v>
      </c>
      <c r="P883" s="23" t="s">
        <v>5188</v>
      </c>
      <c r="Q883" s="3"/>
    </row>
    <row r="884" spans="1:17" ht="34.5" customHeight="1">
      <c r="A884" s="171">
        <v>230</v>
      </c>
      <c r="B884" s="40" t="s">
        <v>5722</v>
      </c>
      <c r="C884" s="11" t="s">
        <v>5727</v>
      </c>
      <c r="D884" s="11" t="s">
        <v>2398</v>
      </c>
      <c r="E884" s="23" t="s">
        <v>2399</v>
      </c>
      <c r="F884" s="3" t="s">
        <v>5731</v>
      </c>
      <c r="G884" s="3" t="s">
        <v>5725</v>
      </c>
      <c r="H884" s="11" t="s">
        <v>5224</v>
      </c>
      <c r="I884" s="21">
        <v>26.946999999999999</v>
      </c>
      <c r="J884" s="21">
        <v>88.025744000000003</v>
      </c>
      <c r="K884" s="21" t="s">
        <v>2276</v>
      </c>
      <c r="L884" s="3">
        <v>2015</v>
      </c>
      <c r="M884" s="3">
        <v>2015</v>
      </c>
      <c r="N884" s="21" t="s">
        <v>2276</v>
      </c>
      <c r="O884" s="23" t="s">
        <v>67</v>
      </c>
      <c r="P884" s="23" t="s">
        <v>5188</v>
      </c>
      <c r="Q884" s="3"/>
    </row>
    <row r="885" spans="1:17" ht="30" customHeight="1">
      <c r="A885" s="171">
        <v>230</v>
      </c>
      <c r="B885" s="40" t="s">
        <v>5722</v>
      </c>
      <c r="C885" s="11" t="s">
        <v>5728</v>
      </c>
      <c r="D885" s="11" t="s">
        <v>2398</v>
      </c>
      <c r="E885" s="23" t="s">
        <v>2399</v>
      </c>
      <c r="F885" s="3" t="s">
        <v>5729</v>
      </c>
      <c r="G885" s="3" t="s">
        <v>5725</v>
      </c>
      <c r="H885" s="11" t="s">
        <v>5224</v>
      </c>
      <c r="I885" s="21">
        <v>26.803654000000002</v>
      </c>
      <c r="J885" s="21">
        <v>88.150799300000003</v>
      </c>
      <c r="K885" s="21" t="s">
        <v>2276</v>
      </c>
      <c r="L885" s="3">
        <v>2015</v>
      </c>
      <c r="M885" s="3">
        <v>2015</v>
      </c>
      <c r="N885" s="21" t="s">
        <v>2276</v>
      </c>
      <c r="O885" s="23" t="s">
        <v>67</v>
      </c>
      <c r="P885" s="23" t="s">
        <v>5188</v>
      </c>
      <c r="Q885" s="3"/>
    </row>
    <row r="886" spans="1:17" ht="41" customHeight="1">
      <c r="A886" s="171">
        <v>231</v>
      </c>
      <c r="B886" s="40" t="s">
        <v>5738</v>
      </c>
      <c r="C886" s="11" t="s">
        <v>5739</v>
      </c>
      <c r="D886" s="11" t="s">
        <v>2398</v>
      </c>
      <c r="E886" s="23" t="s">
        <v>2399</v>
      </c>
      <c r="F886" s="3" t="s">
        <v>4258</v>
      </c>
      <c r="G886" s="3" t="s">
        <v>5740</v>
      </c>
      <c r="H886" s="11" t="s">
        <v>4261</v>
      </c>
      <c r="I886" s="21">
        <v>36.843739599999999</v>
      </c>
      <c r="J886" s="21">
        <v>4.1303998999999996</v>
      </c>
      <c r="K886" s="21" t="s">
        <v>2276</v>
      </c>
      <c r="L886" s="3">
        <v>2016</v>
      </c>
      <c r="M886" s="3">
        <v>2016</v>
      </c>
      <c r="N886" s="21">
        <v>168</v>
      </c>
      <c r="O886" s="23" t="s">
        <v>67</v>
      </c>
      <c r="P886" s="3" t="s">
        <v>5187</v>
      </c>
      <c r="Q886" s="3"/>
    </row>
    <row r="887" spans="1:17" ht="41" customHeight="1">
      <c r="A887" s="171">
        <v>231</v>
      </c>
      <c r="B887" s="40" t="s">
        <v>5738</v>
      </c>
      <c r="C887" s="11" t="s">
        <v>5743</v>
      </c>
      <c r="D887" s="11" t="s">
        <v>2398</v>
      </c>
      <c r="E887" s="23" t="s">
        <v>2399</v>
      </c>
      <c r="F887" s="3" t="s">
        <v>5741</v>
      </c>
      <c r="G887" s="3" t="s">
        <v>5740</v>
      </c>
      <c r="H887" s="11" t="s">
        <v>4261</v>
      </c>
      <c r="I887" s="21">
        <v>36.863439800000002</v>
      </c>
      <c r="J887" s="21">
        <v>4.1354508000000001</v>
      </c>
      <c r="K887" s="21" t="s">
        <v>2276</v>
      </c>
      <c r="L887" s="3">
        <v>2016</v>
      </c>
      <c r="M887" s="3">
        <v>2016</v>
      </c>
      <c r="N887" s="21">
        <v>287</v>
      </c>
      <c r="O887" s="23" t="s">
        <v>67</v>
      </c>
      <c r="P887" s="3" t="s">
        <v>5187</v>
      </c>
      <c r="Q887" s="3"/>
    </row>
    <row r="888" spans="1:17" ht="41" customHeight="1">
      <c r="A888" s="171">
        <v>231</v>
      </c>
      <c r="B888" s="40" t="s">
        <v>5738</v>
      </c>
      <c r="C888" s="11" t="s">
        <v>5744</v>
      </c>
      <c r="D888" s="11" t="s">
        <v>2398</v>
      </c>
      <c r="E888" s="23" t="s">
        <v>2399</v>
      </c>
      <c r="F888" s="3" t="s">
        <v>5742</v>
      </c>
      <c r="G888" s="3" t="s">
        <v>5740</v>
      </c>
      <c r="H888" s="11" t="s">
        <v>4261</v>
      </c>
      <c r="I888" s="21">
        <v>36.8561865</v>
      </c>
      <c r="J888" s="21">
        <v>3.9943854000000001</v>
      </c>
      <c r="K888" s="21" t="s">
        <v>2276</v>
      </c>
      <c r="L888" s="3">
        <v>2016</v>
      </c>
      <c r="M888" s="3">
        <v>2016</v>
      </c>
      <c r="N888" s="21">
        <v>213</v>
      </c>
      <c r="O888" s="23" t="s">
        <v>67</v>
      </c>
      <c r="P888" s="3" t="s">
        <v>5187</v>
      </c>
      <c r="Q888" s="3"/>
    </row>
    <row r="889" spans="1:17" ht="34.5" customHeight="1">
      <c r="A889" s="171">
        <v>232</v>
      </c>
      <c r="B889" s="40" t="s">
        <v>5778</v>
      </c>
      <c r="C889" s="11" t="s">
        <v>5779</v>
      </c>
      <c r="D889" s="11" t="s">
        <v>2398</v>
      </c>
      <c r="E889" s="3" t="s">
        <v>2637</v>
      </c>
      <c r="F889" s="11" t="s">
        <v>2276</v>
      </c>
      <c r="G889" s="11" t="s">
        <v>5781</v>
      </c>
      <c r="H889" s="11" t="s">
        <v>4112</v>
      </c>
      <c r="I889" s="21">
        <v>61.308075500000001</v>
      </c>
      <c r="J889" s="21">
        <v>-158.81583240000001</v>
      </c>
      <c r="K889" s="21">
        <v>1718000</v>
      </c>
      <c r="L889" s="3">
        <v>1950</v>
      </c>
      <c r="M889" s="3">
        <v>2004</v>
      </c>
      <c r="N889" s="21" t="s">
        <v>2276</v>
      </c>
      <c r="O889" s="23" t="s">
        <v>67</v>
      </c>
      <c r="P889" s="3" t="s">
        <v>5187</v>
      </c>
      <c r="Q889" s="3"/>
    </row>
    <row r="890" spans="1:17" ht="29.5" customHeight="1">
      <c r="A890" s="171">
        <v>232</v>
      </c>
      <c r="B890" s="40" t="s">
        <v>5778</v>
      </c>
      <c r="C890" s="11" t="s">
        <v>5780</v>
      </c>
      <c r="D890" s="11" t="s">
        <v>2398</v>
      </c>
      <c r="E890" s="3" t="s">
        <v>2637</v>
      </c>
      <c r="F890" s="11" t="s">
        <v>5782</v>
      </c>
      <c r="G890" s="11" t="s">
        <v>5781</v>
      </c>
      <c r="H890" s="11" t="s">
        <v>4112</v>
      </c>
      <c r="I890" s="21">
        <v>66.333347200000006</v>
      </c>
      <c r="J890" s="21">
        <v>-146.00054710000001</v>
      </c>
      <c r="K890" s="21" t="s">
        <v>2276</v>
      </c>
      <c r="L890" s="3">
        <v>1950</v>
      </c>
      <c r="M890" s="3">
        <v>2004</v>
      </c>
      <c r="N890" s="21" t="s">
        <v>2276</v>
      </c>
      <c r="O890" s="23" t="s">
        <v>67</v>
      </c>
      <c r="P890" s="3" t="s">
        <v>5187</v>
      </c>
      <c r="Q890" s="3"/>
    </row>
    <row r="891" spans="1:17" ht="37" customHeight="1">
      <c r="A891" s="171">
        <v>233</v>
      </c>
      <c r="B891" s="40" t="s">
        <v>5796</v>
      </c>
      <c r="C891" s="11" t="s">
        <v>5797</v>
      </c>
      <c r="D891" s="11" t="s">
        <v>2398</v>
      </c>
      <c r="E891" s="3" t="s">
        <v>2422</v>
      </c>
      <c r="F891" s="11" t="s">
        <v>2276</v>
      </c>
      <c r="G891" s="11" t="s">
        <v>5799</v>
      </c>
      <c r="H891" s="11" t="s">
        <v>5798</v>
      </c>
      <c r="I891" s="21">
        <v>44.427912599999999</v>
      </c>
      <c r="J891" s="21">
        <v>16.9487752</v>
      </c>
      <c r="K891" s="21">
        <v>12158</v>
      </c>
      <c r="L891" s="3">
        <v>2011</v>
      </c>
      <c r="M891" s="3">
        <v>2013</v>
      </c>
      <c r="N891" s="21" t="s">
        <v>2276</v>
      </c>
      <c r="O891" s="23" t="s">
        <v>67</v>
      </c>
      <c r="P891" s="23" t="s">
        <v>5188</v>
      </c>
      <c r="Q891" s="3"/>
    </row>
    <row r="892" spans="1:17" ht="36.5" customHeight="1">
      <c r="A892" s="171">
        <v>234</v>
      </c>
      <c r="B892" s="40" t="s">
        <v>5815</v>
      </c>
      <c r="C892" s="11" t="s">
        <v>5816</v>
      </c>
      <c r="D892" s="11" t="s">
        <v>2398</v>
      </c>
      <c r="E892" s="3" t="s">
        <v>2399</v>
      </c>
      <c r="F892" s="3" t="s">
        <v>5819</v>
      </c>
      <c r="G892" s="3" t="s">
        <v>2448</v>
      </c>
      <c r="H892" s="11" t="s">
        <v>88</v>
      </c>
      <c r="I892" s="21">
        <v>24.1760254</v>
      </c>
      <c r="J892" s="21">
        <v>92.710449199999999</v>
      </c>
      <c r="K892" s="21">
        <v>1386</v>
      </c>
      <c r="L892" s="11">
        <v>2016</v>
      </c>
      <c r="M892" s="11">
        <v>2016</v>
      </c>
      <c r="N892" s="21" t="s">
        <v>2276</v>
      </c>
      <c r="O892" s="23" t="s">
        <v>67</v>
      </c>
      <c r="P892" s="23" t="s">
        <v>5188</v>
      </c>
      <c r="Q892" s="3"/>
    </row>
    <row r="893" spans="1:17" ht="34.5" customHeight="1">
      <c r="A893" s="171">
        <v>234</v>
      </c>
      <c r="B893" s="40" t="s">
        <v>5815</v>
      </c>
      <c r="C893" s="11" t="s">
        <v>5817</v>
      </c>
      <c r="D893" s="11" t="s">
        <v>2398</v>
      </c>
      <c r="E893" s="3" t="s">
        <v>2399</v>
      </c>
      <c r="F893" s="3" t="s">
        <v>5818</v>
      </c>
      <c r="G893" s="3" t="s">
        <v>2448</v>
      </c>
      <c r="H893" s="11" t="s">
        <v>88</v>
      </c>
      <c r="I893" s="21">
        <v>22.366528500000001</v>
      </c>
      <c r="J893" s="21">
        <v>92.729449500000001</v>
      </c>
      <c r="K893" s="21" t="s">
        <v>2276</v>
      </c>
      <c r="L893" s="11">
        <v>2016</v>
      </c>
      <c r="M893" s="11">
        <v>2016</v>
      </c>
      <c r="N893" s="21" t="s">
        <v>2276</v>
      </c>
      <c r="O893" s="23" t="s">
        <v>67</v>
      </c>
      <c r="P893" s="23" t="s">
        <v>5188</v>
      </c>
      <c r="Q893" s="3"/>
    </row>
    <row r="894" spans="1:17" ht="34.5" customHeight="1">
      <c r="A894" s="171">
        <v>235</v>
      </c>
      <c r="B894" s="40" t="s">
        <v>5827</v>
      </c>
      <c r="C894" s="11" t="s">
        <v>5828</v>
      </c>
      <c r="D894" s="11" t="s">
        <v>2398</v>
      </c>
      <c r="E894" s="3" t="s">
        <v>2399</v>
      </c>
      <c r="F894" s="3" t="s">
        <v>5829</v>
      </c>
      <c r="G894" s="3" t="s">
        <v>5831</v>
      </c>
      <c r="H894" s="11" t="s">
        <v>5830</v>
      </c>
      <c r="I894" s="21">
        <f>21 + 9/60</f>
        <v>21.15</v>
      </c>
      <c r="J894" s="21">
        <f>96 + 29/60</f>
        <v>96.483333333333334</v>
      </c>
      <c r="K894" s="21">
        <f>265724/100</f>
        <v>2657.24</v>
      </c>
      <c r="L894" s="11">
        <v>2016</v>
      </c>
      <c r="M894" s="11">
        <v>2016</v>
      </c>
      <c r="N894" s="21">
        <f>80700/K894</f>
        <v>30.369857446071865</v>
      </c>
      <c r="O894" s="23" t="s">
        <v>67</v>
      </c>
      <c r="P894" s="23" t="s">
        <v>5188</v>
      </c>
      <c r="Q894" s="3"/>
    </row>
    <row r="895" spans="1:17" ht="56.5" customHeight="1">
      <c r="A895" s="188">
        <v>236</v>
      </c>
      <c r="B895" s="41" t="s">
        <v>5836</v>
      </c>
      <c r="C895" s="19" t="s">
        <v>5837</v>
      </c>
      <c r="D895" s="19" t="s">
        <v>2398</v>
      </c>
      <c r="E895" s="4" t="s">
        <v>4847</v>
      </c>
      <c r="F895" s="24" t="s">
        <v>5838</v>
      </c>
      <c r="G895" s="4" t="s">
        <v>5839</v>
      </c>
      <c r="H895" s="19" t="s">
        <v>4314</v>
      </c>
      <c r="I895" s="75">
        <v>43.208880299999997</v>
      </c>
      <c r="J895" s="75">
        <v>-4.3576147000000001</v>
      </c>
      <c r="K895" s="75" t="s">
        <v>2276</v>
      </c>
      <c r="L895" s="19">
        <v>1900</v>
      </c>
      <c r="M895" s="19">
        <v>2018</v>
      </c>
      <c r="N895" s="75" t="s">
        <v>2276</v>
      </c>
      <c r="O895" s="26" t="s">
        <v>67</v>
      </c>
      <c r="P895" s="26" t="s">
        <v>5840</v>
      </c>
      <c r="Q895" s="26" t="s">
        <v>5841</v>
      </c>
    </row>
    <row r="896" spans="1:17" ht="56.5" customHeight="1">
      <c r="A896" s="188">
        <v>237</v>
      </c>
      <c r="B896" s="41" t="s">
        <v>5847</v>
      </c>
      <c r="C896" s="19" t="s">
        <v>5844</v>
      </c>
      <c r="D896" s="19" t="s">
        <v>2398</v>
      </c>
      <c r="E896" s="4" t="s">
        <v>2405</v>
      </c>
      <c r="F896" s="24" t="s">
        <v>5848</v>
      </c>
      <c r="G896" s="11" t="s">
        <v>2276</v>
      </c>
      <c r="H896" s="19" t="s">
        <v>1951</v>
      </c>
      <c r="I896" s="75">
        <v>-0.15213840000000001</v>
      </c>
      <c r="J896" s="75">
        <v>37.308407899999999</v>
      </c>
      <c r="K896" s="75" t="s">
        <v>2276</v>
      </c>
      <c r="L896" s="19">
        <v>2000</v>
      </c>
      <c r="M896" s="19">
        <v>2015</v>
      </c>
      <c r="N896" s="75" t="s">
        <v>2276</v>
      </c>
      <c r="O896" s="26" t="s">
        <v>67</v>
      </c>
      <c r="P896" s="3" t="s">
        <v>5187</v>
      </c>
      <c r="Q896" s="26"/>
    </row>
    <row r="897" spans="1:17" ht="56.5" customHeight="1">
      <c r="A897" s="188">
        <v>238</v>
      </c>
      <c r="B897" s="41" t="s">
        <v>5855</v>
      </c>
      <c r="C897" s="19" t="s">
        <v>5849</v>
      </c>
      <c r="D897" s="19" t="s">
        <v>2398</v>
      </c>
      <c r="E897" s="4" t="s">
        <v>2399</v>
      </c>
      <c r="F897" s="24" t="s">
        <v>5868</v>
      </c>
      <c r="G897" s="11" t="s">
        <v>2276</v>
      </c>
      <c r="H897" s="19" t="s">
        <v>3576</v>
      </c>
      <c r="I897" s="75">
        <v>1.1496248</v>
      </c>
      <c r="J897" s="75">
        <v>34.547538799999998</v>
      </c>
      <c r="K897" s="75">
        <v>44.7</v>
      </c>
      <c r="L897" s="19">
        <v>1997</v>
      </c>
      <c r="M897" s="19">
        <v>1999</v>
      </c>
      <c r="N897" s="75" t="s">
        <v>2276</v>
      </c>
      <c r="O897" s="26" t="s">
        <v>67</v>
      </c>
      <c r="P897" s="3" t="s">
        <v>5187</v>
      </c>
      <c r="Q897" s="26"/>
    </row>
    <row r="898" spans="1:17" ht="56.5" customHeight="1">
      <c r="A898" s="188">
        <v>239</v>
      </c>
      <c r="B898" s="41" t="s">
        <v>5870</v>
      </c>
      <c r="C898" s="19" t="s">
        <v>5854</v>
      </c>
      <c r="D898" s="19" t="s">
        <v>2398</v>
      </c>
      <c r="E898" s="4" t="s">
        <v>2399</v>
      </c>
      <c r="F898" s="24" t="s">
        <v>5867</v>
      </c>
      <c r="G898" s="11" t="s">
        <v>2276</v>
      </c>
      <c r="H898" s="19" t="s">
        <v>1950</v>
      </c>
      <c r="I898" s="75">
        <v>13</v>
      </c>
      <c r="J898" s="75">
        <v>38</v>
      </c>
      <c r="K898" s="11" t="s">
        <v>2276</v>
      </c>
      <c r="L898" s="19">
        <v>1997</v>
      </c>
      <c r="M898" s="19">
        <v>1999</v>
      </c>
      <c r="N898" s="75" t="s">
        <v>2276</v>
      </c>
      <c r="O898" s="26" t="s">
        <v>67</v>
      </c>
      <c r="P898" s="3" t="s">
        <v>5187</v>
      </c>
      <c r="Q898" s="26"/>
    </row>
    <row r="899" spans="1:17" ht="56.5" customHeight="1">
      <c r="A899" s="188">
        <v>239</v>
      </c>
      <c r="B899" s="41" t="s">
        <v>5870</v>
      </c>
      <c r="C899" s="19" t="s">
        <v>5859</v>
      </c>
      <c r="D899" s="19" t="s">
        <v>2398</v>
      </c>
      <c r="E899" s="4" t="s">
        <v>2399</v>
      </c>
      <c r="F899" s="24" t="s">
        <v>3738</v>
      </c>
      <c r="G899" s="11" t="s">
        <v>2276</v>
      </c>
      <c r="H899" s="19" t="s">
        <v>1950</v>
      </c>
      <c r="I899" s="75">
        <f>6 + 45/60</f>
        <v>6.75</v>
      </c>
      <c r="J899" s="75">
        <f>39.75</f>
        <v>39.75</v>
      </c>
      <c r="K899" s="11" t="s">
        <v>2276</v>
      </c>
      <c r="L899" s="19">
        <v>1997</v>
      </c>
      <c r="M899" s="19">
        <v>1999</v>
      </c>
      <c r="N899" s="75" t="s">
        <v>2276</v>
      </c>
      <c r="O899" s="26" t="s">
        <v>67</v>
      </c>
      <c r="P899" s="3" t="s">
        <v>5187</v>
      </c>
      <c r="Q899" s="26"/>
    </row>
    <row r="900" spans="1:17" ht="56.5" customHeight="1">
      <c r="A900" s="188">
        <v>239</v>
      </c>
      <c r="B900" s="41" t="s">
        <v>5870</v>
      </c>
      <c r="C900" s="19" t="s">
        <v>5860</v>
      </c>
      <c r="D900" s="19" t="s">
        <v>2398</v>
      </c>
      <c r="E900" s="4" t="s">
        <v>2399</v>
      </c>
      <c r="F900" s="24" t="s">
        <v>5868</v>
      </c>
      <c r="G900" s="11" t="s">
        <v>2276</v>
      </c>
      <c r="H900" s="19" t="s">
        <v>3576</v>
      </c>
      <c r="I900" s="75">
        <v>1</v>
      </c>
      <c r="J900" s="75">
        <f>34.5</f>
        <v>34.5</v>
      </c>
      <c r="K900" s="11" t="s">
        <v>2276</v>
      </c>
      <c r="L900" s="19">
        <v>1997</v>
      </c>
      <c r="M900" s="19">
        <v>1999</v>
      </c>
      <c r="N900" s="75" t="s">
        <v>2276</v>
      </c>
      <c r="O900" s="26" t="s">
        <v>67</v>
      </c>
      <c r="P900" s="3" t="s">
        <v>5187</v>
      </c>
      <c r="Q900" s="26"/>
    </row>
    <row r="901" spans="1:17" ht="56.5" customHeight="1">
      <c r="A901" s="188">
        <v>239</v>
      </c>
      <c r="B901" s="41" t="s">
        <v>5870</v>
      </c>
      <c r="C901" s="19" t="s">
        <v>5861</v>
      </c>
      <c r="D901" s="19" t="s">
        <v>2398</v>
      </c>
      <c r="E901" s="4" t="s">
        <v>2399</v>
      </c>
      <c r="F901" s="24" t="s">
        <v>5869</v>
      </c>
      <c r="G901" s="11" t="s">
        <v>2276</v>
      </c>
      <c r="H901" s="19" t="s">
        <v>3576</v>
      </c>
      <c r="I901" s="75">
        <f>0 + 1/6</f>
        <v>0.16666666666666666</v>
      </c>
      <c r="J901" s="75">
        <v>30</v>
      </c>
      <c r="K901" s="11" t="s">
        <v>2276</v>
      </c>
      <c r="L901" s="19">
        <v>1997</v>
      </c>
      <c r="M901" s="19">
        <v>1999</v>
      </c>
      <c r="N901" s="75" t="s">
        <v>2276</v>
      </c>
      <c r="O901" s="26" t="s">
        <v>67</v>
      </c>
      <c r="P901" s="3" t="s">
        <v>5187</v>
      </c>
      <c r="Q901" s="26"/>
    </row>
    <row r="902" spans="1:17" ht="56.5" customHeight="1">
      <c r="A902" s="188">
        <v>240</v>
      </c>
      <c r="B902" s="41" t="s">
        <v>5876</v>
      </c>
      <c r="C902" s="19" t="s">
        <v>5862</v>
      </c>
      <c r="D902" s="19" t="s">
        <v>2398</v>
      </c>
      <c r="E902" s="4" t="s">
        <v>2399</v>
      </c>
      <c r="F902" s="24" t="s">
        <v>5877</v>
      </c>
      <c r="G902" s="11" t="s">
        <v>5878</v>
      </c>
      <c r="H902" s="19" t="s">
        <v>4110</v>
      </c>
      <c r="I902" s="75">
        <v>-34.884701900000003</v>
      </c>
      <c r="J902" s="75">
        <v>173.37160499999999</v>
      </c>
      <c r="K902" s="11">
        <f>5530/100</f>
        <v>55.3</v>
      </c>
      <c r="L902" s="19">
        <v>2015</v>
      </c>
      <c r="M902" s="19">
        <v>2015</v>
      </c>
      <c r="N902" s="75" t="s">
        <v>2276</v>
      </c>
      <c r="O902" s="26" t="s">
        <v>67</v>
      </c>
      <c r="P902" s="23" t="s">
        <v>5188</v>
      </c>
      <c r="Q902" s="26"/>
    </row>
    <row r="903" spans="1:17" ht="56.5" customHeight="1">
      <c r="A903" s="188">
        <v>240</v>
      </c>
      <c r="B903" s="41" t="s">
        <v>5876</v>
      </c>
      <c r="C903" s="19" t="s">
        <v>5879</v>
      </c>
      <c r="D903" s="19" t="s">
        <v>2398</v>
      </c>
      <c r="E903" s="4" t="s">
        <v>4847</v>
      </c>
      <c r="F903" s="11" t="s">
        <v>2276</v>
      </c>
      <c r="G903" s="11" t="s">
        <v>5880</v>
      </c>
      <c r="H903" s="19" t="s">
        <v>4110</v>
      </c>
      <c r="I903" s="75">
        <v>-34.911798400000002</v>
      </c>
      <c r="J903" s="75">
        <v>173.18610369999999</v>
      </c>
      <c r="K903" s="11">
        <v>7324</v>
      </c>
      <c r="L903" s="19">
        <v>2009</v>
      </c>
      <c r="M903" s="19">
        <v>2013</v>
      </c>
      <c r="N903" s="75">
        <f>110000/K903</f>
        <v>15.019115237575095</v>
      </c>
      <c r="O903" s="26" t="s">
        <v>67</v>
      </c>
      <c r="P903" s="23" t="s">
        <v>5188</v>
      </c>
      <c r="Q903" s="26"/>
    </row>
    <row r="904" spans="1:17" ht="56.5" customHeight="1">
      <c r="A904" s="188">
        <v>241</v>
      </c>
      <c r="B904" s="190" t="s">
        <v>5895</v>
      </c>
      <c r="C904" s="26" t="s">
        <v>5875</v>
      </c>
      <c r="D904" s="26" t="s">
        <v>2398</v>
      </c>
      <c r="E904" s="24" t="s">
        <v>2399</v>
      </c>
      <c r="F904" s="26" t="s">
        <v>5896</v>
      </c>
      <c r="G904" s="26" t="s">
        <v>5897</v>
      </c>
      <c r="H904" s="26" t="s">
        <v>4112</v>
      </c>
      <c r="I904" s="189">
        <f>40+39/60</f>
        <v>40.65</v>
      </c>
      <c r="J904" s="191">
        <f>-94.15</f>
        <v>-94.15</v>
      </c>
      <c r="K904" s="26">
        <f>28350/100</f>
        <v>283.5</v>
      </c>
      <c r="L904" s="26">
        <v>2014</v>
      </c>
      <c r="M904" s="26">
        <v>2014</v>
      </c>
      <c r="N904" s="87" t="s">
        <v>2276</v>
      </c>
      <c r="O904" s="26" t="s">
        <v>67</v>
      </c>
      <c r="P904" s="26" t="s">
        <v>5898</v>
      </c>
      <c r="Q904" s="26"/>
    </row>
    <row r="905" spans="1:17" ht="44" customHeight="1">
      <c r="A905" s="188">
        <v>242</v>
      </c>
      <c r="B905" s="190" t="s">
        <v>5906</v>
      </c>
      <c r="C905" s="26" t="s">
        <v>5899</v>
      </c>
      <c r="D905" s="26" t="s">
        <v>2398</v>
      </c>
      <c r="E905" s="24" t="s">
        <v>2399</v>
      </c>
      <c r="F905" s="26" t="s">
        <v>5896</v>
      </c>
      <c r="G905" s="26" t="s">
        <v>5897</v>
      </c>
      <c r="H905" s="26" t="s">
        <v>4112</v>
      </c>
      <c r="I905" s="189">
        <f>40+39/60</f>
        <v>40.65</v>
      </c>
      <c r="J905" s="191">
        <f>-94.15</f>
        <v>-94.15</v>
      </c>
      <c r="K905" s="26">
        <f>28350/100</f>
        <v>283.5</v>
      </c>
      <c r="L905" s="26">
        <v>2008</v>
      </c>
      <c r="M905" s="26">
        <v>2008</v>
      </c>
      <c r="N905" s="87" t="s">
        <v>2276</v>
      </c>
      <c r="O905" s="26" t="s">
        <v>67</v>
      </c>
      <c r="P905" s="26" t="s">
        <v>5187</v>
      </c>
      <c r="Q905" s="26" t="s">
        <v>5907</v>
      </c>
    </row>
    <row r="906" spans="1:17" ht="40.5" customHeight="1">
      <c r="A906" s="171">
        <v>243</v>
      </c>
      <c r="B906" s="40" t="s">
        <v>5843</v>
      </c>
      <c r="C906" s="11" t="s">
        <v>5909</v>
      </c>
      <c r="D906" s="11" t="s">
        <v>2398</v>
      </c>
      <c r="E906" s="3" t="s">
        <v>2399</v>
      </c>
      <c r="F906" s="3" t="s">
        <v>5845</v>
      </c>
      <c r="G906" s="11" t="s">
        <v>5846</v>
      </c>
      <c r="H906" s="11" t="s">
        <v>1951</v>
      </c>
      <c r="I906" s="21">
        <v>-9.7846900000000001E-2</v>
      </c>
      <c r="J906" s="21">
        <v>37.1231461</v>
      </c>
      <c r="K906" s="3">
        <f>14978/100</f>
        <v>149.78</v>
      </c>
      <c r="L906" s="3">
        <v>2015</v>
      </c>
      <c r="M906" s="3">
        <v>2016</v>
      </c>
      <c r="N906" s="87" t="s">
        <v>2276</v>
      </c>
      <c r="O906" s="26" t="s">
        <v>67</v>
      </c>
      <c r="P906" s="23" t="s">
        <v>5188</v>
      </c>
      <c r="Q906" s="3"/>
    </row>
    <row r="907" spans="1:17" ht="40.5" customHeight="1">
      <c r="A907" s="188">
        <v>244</v>
      </c>
      <c r="B907" s="40" t="s">
        <v>5931</v>
      </c>
      <c r="C907" s="26" t="s">
        <v>5932</v>
      </c>
      <c r="D907" s="11" t="s">
        <v>2398</v>
      </c>
      <c r="E907" s="3" t="s">
        <v>2399</v>
      </c>
      <c r="F907" s="3" t="s">
        <v>3628</v>
      </c>
      <c r="G907" s="3" t="s">
        <v>3627</v>
      </c>
      <c r="H907" s="3" t="s">
        <v>584</v>
      </c>
      <c r="I907" s="21">
        <v>5.5</v>
      </c>
      <c r="J907" s="21">
        <v>-62</v>
      </c>
      <c r="K907" s="21">
        <v>30000</v>
      </c>
      <c r="L907" s="3">
        <v>2007</v>
      </c>
      <c r="M907" s="3">
        <v>2018</v>
      </c>
      <c r="N907" s="87" t="s">
        <v>2276</v>
      </c>
      <c r="O907" s="26" t="s">
        <v>67</v>
      </c>
      <c r="P907" s="23" t="s">
        <v>5188</v>
      </c>
      <c r="Q907" s="3"/>
    </row>
    <row r="908" spans="1:17" ht="33.5" customHeight="1">
      <c r="A908" s="188">
        <v>245</v>
      </c>
      <c r="B908" s="40" t="s">
        <v>5948</v>
      </c>
      <c r="C908" s="26" t="s">
        <v>5949</v>
      </c>
      <c r="D908" s="11" t="s">
        <v>2398</v>
      </c>
      <c r="E908" s="3" t="s">
        <v>2399</v>
      </c>
      <c r="F908" s="3" t="s">
        <v>5950</v>
      </c>
      <c r="G908" s="3" t="s">
        <v>5951</v>
      </c>
      <c r="H908" s="3" t="s">
        <v>895</v>
      </c>
      <c r="I908" s="21">
        <v>-3.7574264999999998</v>
      </c>
      <c r="J908" s="21">
        <v>114.619467</v>
      </c>
      <c r="K908" s="21" t="s">
        <v>2276</v>
      </c>
      <c r="L908" s="3">
        <v>2013</v>
      </c>
      <c r="M908" s="3">
        <v>2015</v>
      </c>
      <c r="N908" s="87" t="s">
        <v>2276</v>
      </c>
      <c r="O908" s="26" t="s">
        <v>67</v>
      </c>
      <c r="P908" s="23" t="s">
        <v>5188</v>
      </c>
      <c r="Q908" s="3"/>
    </row>
    <row r="909" spans="1:17" ht="30" customHeight="1">
      <c r="A909" s="188">
        <v>245</v>
      </c>
      <c r="B909" s="40" t="s">
        <v>5948</v>
      </c>
      <c r="C909" s="26" t="s">
        <v>5953</v>
      </c>
      <c r="D909" s="11" t="s">
        <v>2398</v>
      </c>
      <c r="E909" s="3" t="s">
        <v>2399</v>
      </c>
      <c r="F909" s="3" t="s">
        <v>5952</v>
      </c>
      <c r="G909" s="3" t="s">
        <v>5951</v>
      </c>
      <c r="H909" s="3" t="s">
        <v>895</v>
      </c>
      <c r="I909" s="21">
        <v>-3.728971</v>
      </c>
      <c r="J909" s="21">
        <v>114.68717599999999</v>
      </c>
      <c r="K909" s="21" t="s">
        <v>2276</v>
      </c>
      <c r="L909" s="3">
        <v>2013</v>
      </c>
      <c r="M909" s="3">
        <v>2015</v>
      </c>
      <c r="N909" s="87" t="s">
        <v>2276</v>
      </c>
      <c r="O909" s="26" t="s">
        <v>67</v>
      </c>
      <c r="P909" s="23" t="s">
        <v>5188</v>
      </c>
      <c r="Q909" s="3"/>
    </row>
    <row r="910" spans="1:17" ht="31.5" customHeight="1">
      <c r="A910" s="188">
        <v>246</v>
      </c>
      <c r="B910" s="40" t="s">
        <v>5958</v>
      </c>
      <c r="C910" s="26" t="s">
        <v>5956</v>
      </c>
      <c r="D910" s="11" t="s">
        <v>2398</v>
      </c>
      <c r="E910" s="3" t="s">
        <v>2399</v>
      </c>
      <c r="F910" s="11" t="s">
        <v>5959</v>
      </c>
      <c r="G910" s="11" t="s">
        <v>4132</v>
      </c>
      <c r="H910" s="11" t="s">
        <v>4112</v>
      </c>
      <c r="I910" s="21">
        <v>37.224465100000003</v>
      </c>
      <c r="J910" s="21">
        <v>-119.50581029999999</v>
      </c>
      <c r="K910" s="21" t="s">
        <v>2276</v>
      </c>
      <c r="L910" s="3">
        <v>2013</v>
      </c>
      <c r="M910" s="3">
        <v>2015</v>
      </c>
      <c r="N910" s="87" t="s">
        <v>2276</v>
      </c>
      <c r="O910" s="26" t="s">
        <v>67</v>
      </c>
      <c r="P910" s="23" t="s">
        <v>5188</v>
      </c>
      <c r="Q910" s="3"/>
    </row>
    <row r="911" spans="1:17" ht="36.5" customHeight="1">
      <c r="A911" s="188">
        <v>247</v>
      </c>
      <c r="B911" s="40" t="s">
        <v>5968</v>
      </c>
      <c r="C911" s="26" t="s">
        <v>5969</v>
      </c>
      <c r="D911" s="11" t="s">
        <v>2398</v>
      </c>
      <c r="E911" s="3" t="s">
        <v>2399</v>
      </c>
      <c r="F911" s="11" t="s">
        <v>5650</v>
      </c>
      <c r="G911" s="11" t="s">
        <v>1172</v>
      </c>
      <c r="H911" s="3" t="s">
        <v>895</v>
      </c>
      <c r="I911" s="21">
        <v>1.5</v>
      </c>
      <c r="J911" s="21">
        <v>101.25</v>
      </c>
      <c r="K911" s="21" t="s">
        <v>2276</v>
      </c>
      <c r="L911" s="3">
        <v>2015</v>
      </c>
      <c r="M911" s="3">
        <v>2015</v>
      </c>
      <c r="N911" s="87" t="s">
        <v>2276</v>
      </c>
      <c r="O911" s="26" t="s">
        <v>67</v>
      </c>
      <c r="P911" s="23" t="s">
        <v>5188</v>
      </c>
      <c r="Q911" s="3"/>
    </row>
    <row r="912" spans="1:17" ht="35.5" customHeight="1">
      <c r="A912" s="188">
        <v>248</v>
      </c>
      <c r="B912" s="40" t="s">
        <v>5981</v>
      </c>
      <c r="C912" s="26" t="s">
        <v>5982</v>
      </c>
      <c r="D912" s="11" t="s">
        <v>2398</v>
      </c>
      <c r="E912" s="3" t="s">
        <v>2399</v>
      </c>
      <c r="F912" s="3" t="s">
        <v>5984</v>
      </c>
      <c r="G912" s="3" t="s">
        <v>5986</v>
      </c>
      <c r="H912" s="3" t="s">
        <v>5211</v>
      </c>
      <c r="I912" s="21">
        <v>38.498441700000001</v>
      </c>
      <c r="J912" s="21">
        <v>139.6896936</v>
      </c>
      <c r="K912" s="21" t="s">
        <v>2276</v>
      </c>
      <c r="L912" s="3">
        <v>2013</v>
      </c>
      <c r="M912" s="3">
        <v>2013</v>
      </c>
      <c r="N912" s="87" t="s">
        <v>2276</v>
      </c>
      <c r="O912" s="26" t="s">
        <v>67</v>
      </c>
      <c r="P912" s="23" t="s">
        <v>5188</v>
      </c>
      <c r="Q912" s="3"/>
    </row>
    <row r="913" spans="1:17" ht="42" customHeight="1">
      <c r="A913" s="188">
        <v>248</v>
      </c>
      <c r="B913" s="40" t="s">
        <v>5981</v>
      </c>
      <c r="C913" s="26" t="s">
        <v>5982</v>
      </c>
      <c r="D913" s="11" t="s">
        <v>2398</v>
      </c>
      <c r="E913" s="3" t="s">
        <v>2399</v>
      </c>
      <c r="F913" s="3" t="s">
        <v>5985</v>
      </c>
      <c r="G913" s="3" t="s">
        <v>5983</v>
      </c>
      <c r="H913" s="3" t="s">
        <v>5211</v>
      </c>
      <c r="I913" s="21">
        <v>38.475431999999998</v>
      </c>
      <c r="J913" s="21">
        <v>139.62194270000001</v>
      </c>
      <c r="K913" s="21" t="s">
        <v>2276</v>
      </c>
      <c r="L913" s="3">
        <v>2013</v>
      </c>
      <c r="M913" s="3">
        <v>2013</v>
      </c>
      <c r="N913" s="87" t="s">
        <v>2276</v>
      </c>
      <c r="O913" s="26" t="s">
        <v>67</v>
      </c>
      <c r="P913" s="23" t="s">
        <v>5188</v>
      </c>
      <c r="Q913" s="3"/>
    </row>
    <row r="914" spans="1:17" ht="42" customHeight="1">
      <c r="A914" s="188">
        <v>249</v>
      </c>
      <c r="B914" s="40" t="s">
        <v>5995</v>
      </c>
      <c r="C914" s="26" t="s">
        <v>5994</v>
      </c>
      <c r="D914" s="11" t="s">
        <v>2398</v>
      </c>
      <c r="E914" s="3" t="s">
        <v>2400</v>
      </c>
      <c r="F914" s="144" t="s">
        <v>5996</v>
      </c>
      <c r="G914" s="3" t="s">
        <v>5999</v>
      </c>
      <c r="H914" s="3" t="s">
        <v>3414</v>
      </c>
      <c r="I914" s="21">
        <f>-21 - 55/60</f>
        <v>-21.916666666666668</v>
      </c>
      <c r="J914" s="21">
        <f>122 +26/60</f>
        <v>122.43333333333334</v>
      </c>
      <c r="K914" s="21" t="s">
        <v>2276</v>
      </c>
      <c r="L914" s="3">
        <v>2000</v>
      </c>
      <c r="M914" s="3">
        <v>2010</v>
      </c>
      <c r="N914" s="87" t="s">
        <v>2276</v>
      </c>
      <c r="O914" s="26" t="s">
        <v>67</v>
      </c>
      <c r="P914" s="23" t="s">
        <v>5187</v>
      </c>
      <c r="Q914" s="3"/>
    </row>
    <row r="915" spans="1:17" ht="42" customHeight="1">
      <c r="A915" s="188">
        <v>249</v>
      </c>
      <c r="B915" s="40" t="s">
        <v>5995</v>
      </c>
      <c r="C915" s="26" t="s">
        <v>5998</v>
      </c>
      <c r="D915" s="11" t="s">
        <v>2398</v>
      </c>
      <c r="E915" s="3" t="s">
        <v>2400</v>
      </c>
      <c r="F915" s="144" t="s">
        <v>5997</v>
      </c>
      <c r="G915" s="3" t="s">
        <v>5999</v>
      </c>
      <c r="H915" s="3" t="s">
        <v>3414</v>
      </c>
      <c r="I915" s="21">
        <f>-21 - 55/60</f>
        <v>-21.916666666666668</v>
      </c>
      <c r="J915" s="21">
        <f>122 +26/60</f>
        <v>122.43333333333334</v>
      </c>
      <c r="K915" s="21" t="s">
        <v>2276</v>
      </c>
      <c r="L915" s="3">
        <v>2000</v>
      </c>
      <c r="M915" s="3">
        <v>2010</v>
      </c>
      <c r="N915" s="87" t="s">
        <v>2276</v>
      </c>
      <c r="O915" s="26" t="s">
        <v>67</v>
      </c>
      <c r="P915" s="23" t="s">
        <v>5187</v>
      </c>
      <c r="Q915" s="3"/>
    </row>
    <row r="916" spans="1:17" ht="40" customHeight="1">
      <c r="A916" s="188">
        <v>250</v>
      </c>
      <c r="B916" s="40" t="s">
        <v>6010</v>
      </c>
      <c r="C916" s="26" t="s">
        <v>6000</v>
      </c>
      <c r="D916" s="11" t="s">
        <v>2398</v>
      </c>
      <c r="E916" s="3" t="s">
        <v>2399</v>
      </c>
      <c r="F916" s="22" t="s">
        <v>6011</v>
      </c>
      <c r="G916" s="3" t="s">
        <v>2276</v>
      </c>
      <c r="H916" s="3" t="s">
        <v>5694</v>
      </c>
      <c r="I916" s="21">
        <v>-16.769966799999999</v>
      </c>
      <c r="J916" s="21">
        <v>-61.810863099999999</v>
      </c>
      <c r="K916" s="21" t="s">
        <v>2276</v>
      </c>
      <c r="L916" s="11">
        <v>2003</v>
      </c>
      <c r="M916" s="11">
        <v>2003</v>
      </c>
      <c r="N916" s="87" t="s">
        <v>2276</v>
      </c>
      <c r="O916" s="26" t="s">
        <v>67</v>
      </c>
      <c r="P916" s="23" t="s">
        <v>5187</v>
      </c>
      <c r="Q916" s="3"/>
    </row>
    <row r="917" spans="1:17" ht="45.5" customHeight="1">
      <c r="A917" s="188">
        <v>251</v>
      </c>
      <c r="B917" s="40" t="s">
        <v>6017</v>
      </c>
      <c r="C917" s="26" t="s">
        <v>6018</v>
      </c>
      <c r="D917" s="11" t="s">
        <v>2398</v>
      </c>
      <c r="E917" s="3" t="s">
        <v>2399</v>
      </c>
      <c r="F917" s="11" t="s">
        <v>6019</v>
      </c>
      <c r="G917" s="11" t="s">
        <v>4132</v>
      </c>
      <c r="H917" s="11" t="s">
        <v>4112</v>
      </c>
      <c r="I917" s="21">
        <v>41.609751299999999</v>
      </c>
      <c r="J917" s="21">
        <v>-123.2715446</v>
      </c>
      <c r="K917" s="21" t="s">
        <v>2276</v>
      </c>
      <c r="L917" s="11">
        <v>1990</v>
      </c>
      <c r="M917" s="11">
        <v>2014</v>
      </c>
      <c r="N917" s="87" t="s">
        <v>2276</v>
      </c>
      <c r="O917" s="26" t="s">
        <v>67</v>
      </c>
      <c r="P917" s="23" t="s">
        <v>5188</v>
      </c>
      <c r="Q917" s="23" t="s">
        <v>6020</v>
      </c>
    </row>
    <row r="918" spans="1:17" ht="39" customHeight="1">
      <c r="A918" s="188">
        <v>252</v>
      </c>
      <c r="B918" s="40" t="s">
        <v>6031</v>
      </c>
      <c r="C918" s="26" t="s">
        <v>6032</v>
      </c>
      <c r="D918" s="11" t="s">
        <v>2398</v>
      </c>
      <c r="E918" s="3" t="s">
        <v>2399</v>
      </c>
      <c r="F918" s="3" t="s">
        <v>6033</v>
      </c>
      <c r="G918" s="3" t="s">
        <v>6034</v>
      </c>
      <c r="H918" s="11" t="s">
        <v>5211</v>
      </c>
      <c r="I918" s="21">
        <v>32.898505900000004</v>
      </c>
      <c r="J918" s="21">
        <v>131.08747539999999</v>
      </c>
      <c r="K918" s="21">
        <v>76.7</v>
      </c>
      <c r="L918" s="11">
        <v>2014</v>
      </c>
      <c r="M918" s="11">
        <v>2014</v>
      </c>
      <c r="N918" s="87" t="s">
        <v>2276</v>
      </c>
      <c r="O918" s="26" t="s">
        <v>67</v>
      </c>
      <c r="P918" s="23" t="s">
        <v>5187</v>
      </c>
      <c r="Q918" s="3"/>
    </row>
    <row r="919" spans="1:17" ht="37.5" customHeight="1">
      <c r="A919" s="188">
        <v>253</v>
      </c>
      <c r="B919" s="40" t="s">
        <v>6038</v>
      </c>
      <c r="C919" s="26" t="s">
        <v>6039</v>
      </c>
      <c r="D919" s="11" t="s">
        <v>2398</v>
      </c>
      <c r="E919" s="3" t="s">
        <v>2399</v>
      </c>
      <c r="F919" s="3" t="s">
        <v>6040</v>
      </c>
      <c r="G919" s="3" t="s">
        <v>6041</v>
      </c>
      <c r="H919" s="11" t="s">
        <v>5211</v>
      </c>
      <c r="I919" s="21">
        <f>35 +56/60</f>
        <v>35.93333333333333</v>
      </c>
      <c r="J919" s="21">
        <f>137 + 36/60</f>
        <v>137.6</v>
      </c>
      <c r="K919" s="21">
        <f>SUM(910, 1050, 950, 1250, 1140, 1350, 110, 220, 2300, 990, 1800, 990, 1080, 460, 410) / (1000^2)</f>
        <v>1.5010000000000001E-2</v>
      </c>
      <c r="L919" s="11">
        <v>2010</v>
      </c>
      <c r="M919" s="11">
        <v>2011</v>
      </c>
      <c r="N919" s="87" t="s">
        <v>2276</v>
      </c>
      <c r="O919" s="26" t="s">
        <v>67</v>
      </c>
      <c r="P919" s="23" t="s">
        <v>5188</v>
      </c>
      <c r="Q919" s="3"/>
    </row>
    <row r="920" spans="1:17" ht="45.5" customHeight="1">
      <c r="A920" s="188">
        <v>254</v>
      </c>
      <c r="B920" s="40" t="s">
        <v>6051</v>
      </c>
      <c r="C920" s="26" t="s">
        <v>6048</v>
      </c>
      <c r="D920" s="11" t="s">
        <v>2398</v>
      </c>
      <c r="E920" s="3" t="s">
        <v>2399</v>
      </c>
      <c r="F920" s="11" t="s">
        <v>6049</v>
      </c>
      <c r="G920" s="11" t="s">
        <v>6050</v>
      </c>
      <c r="H920" s="11" t="s">
        <v>770</v>
      </c>
      <c r="I920" s="21">
        <v>18.488329199999999</v>
      </c>
      <c r="J920" s="21">
        <v>-89.685020600000001</v>
      </c>
      <c r="K920" s="21" t="s">
        <v>2276</v>
      </c>
      <c r="L920" s="11">
        <v>2012</v>
      </c>
      <c r="M920" s="11">
        <v>2012</v>
      </c>
      <c r="N920" s="87" t="s">
        <v>2276</v>
      </c>
      <c r="O920" s="26" t="s">
        <v>67</v>
      </c>
      <c r="P920" s="23" t="s">
        <v>5188</v>
      </c>
      <c r="Q920" s="3"/>
    </row>
    <row r="921" spans="1:17" ht="43.5" customHeight="1">
      <c r="A921" s="31">
        <v>255</v>
      </c>
      <c r="B921" s="40" t="s">
        <v>6060</v>
      </c>
      <c r="C921" s="3" t="s">
        <v>6061</v>
      </c>
      <c r="D921" s="11" t="s">
        <v>2398</v>
      </c>
      <c r="E921" s="3" t="s">
        <v>2399</v>
      </c>
      <c r="F921" s="3" t="s">
        <v>910</v>
      </c>
      <c r="G921" s="3" t="s">
        <v>166</v>
      </c>
      <c r="H921" s="3" t="s">
        <v>121</v>
      </c>
      <c r="I921" s="21">
        <v>-0.95485589999999998</v>
      </c>
      <c r="J921" s="21">
        <v>-49.588692999999999</v>
      </c>
      <c r="K921" s="21">
        <v>23000</v>
      </c>
      <c r="L921" s="3">
        <v>1993</v>
      </c>
      <c r="M921" s="3">
        <v>1993</v>
      </c>
      <c r="N921" s="87" t="s">
        <v>2276</v>
      </c>
      <c r="O921" s="26" t="s">
        <v>67</v>
      </c>
      <c r="P921" s="3" t="s">
        <v>5187</v>
      </c>
      <c r="Q921" s="3"/>
    </row>
    <row r="922" spans="1:17" ht="43.5" customHeight="1">
      <c r="A922" s="31">
        <v>255</v>
      </c>
      <c r="B922" s="40" t="s">
        <v>6060</v>
      </c>
      <c r="C922" s="26" t="s">
        <v>6062</v>
      </c>
      <c r="D922" s="11" t="s">
        <v>2398</v>
      </c>
      <c r="E922" s="3" t="s">
        <v>2399</v>
      </c>
      <c r="F922" s="3" t="s">
        <v>6064</v>
      </c>
      <c r="G922" s="3" t="s">
        <v>166</v>
      </c>
      <c r="H922" s="3" t="s">
        <v>121</v>
      </c>
      <c r="I922" s="21">
        <v>-2.3106019</v>
      </c>
      <c r="J922" s="21">
        <v>-54.831132400000001</v>
      </c>
      <c r="K922" s="21" t="s">
        <v>2276</v>
      </c>
      <c r="L922" s="3">
        <v>1993</v>
      </c>
      <c r="M922" s="3">
        <v>1993</v>
      </c>
      <c r="N922" s="87" t="s">
        <v>2276</v>
      </c>
      <c r="O922" s="26" t="s">
        <v>67</v>
      </c>
      <c r="P922" s="3" t="s">
        <v>5187</v>
      </c>
      <c r="Q922" s="3"/>
    </row>
    <row r="923" spans="1:17" ht="43.5" customHeight="1">
      <c r="A923" s="31">
        <v>255</v>
      </c>
      <c r="B923" s="40" t="s">
        <v>6060</v>
      </c>
      <c r="C923" s="26" t="s">
        <v>6063</v>
      </c>
      <c r="D923" s="11" t="s">
        <v>2398</v>
      </c>
      <c r="E923" s="3" t="s">
        <v>2399</v>
      </c>
      <c r="F923" s="3" t="s">
        <v>6065</v>
      </c>
      <c r="G923" s="3" t="s">
        <v>166</v>
      </c>
      <c r="H923" s="3" t="s">
        <v>121</v>
      </c>
      <c r="I923" s="21">
        <v>-9.3710164999999996</v>
      </c>
      <c r="J923" s="21">
        <v>-50.332479900000003</v>
      </c>
      <c r="K923" s="21" t="s">
        <v>2276</v>
      </c>
      <c r="L923" s="3">
        <v>1993</v>
      </c>
      <c r="M923" s="3">
        <v>1993</v>
      </c>
      <c r="N923" s="87" t="s">
        <v>2276</v>
      </c>
      <c r="O923" s="26" t="s">
        <v>67</v>
      </c>
      <c r="P923" s="3" t="s">
        <v>5187</v>
      </c>
      <c r="Q923" s="3"/>
    </row>
    <row r="924" spans="1:17" ht="70.5" customHeight="1">
      <c r="A924" s="106">
        <v>256</v>
      </c>
      <c r="B924" s="40" t="s">
        <v>6074</v>
      </c>
      <c r="C924" s="26" t="s">
        <v>6075</v>
      </c>
      <c r="D924" s="11" t="s">
        <v>2398</v>
      </c>
      <c r="E924" s="11" t="s">
        <v>4847</v>
      </c>
      <c r="F924" s="3" t="s">
        <v>2276</v>
      </c>
      <c r="G924" s="11" t="s">
        <v>6076</v>
      </c>
      <c r="H924" s="11" t="s">
        <v>6077</v>
      </c>
      <c r="I924" s="21">
        <f>AVERAGE(30 +42/60, 34.5)</f>
        <v>32.6</v>
      </c>
      <c r="J924" s="21">
        <f>AVERAGE(49 + 36/60, 55)</f>
        <v>52.3</v>
      </c>
      <c r="K924" s="21">
        <v>106175</v>
      </c>
      <c r="L924" s="3">
        <v>2008</v>
      </c>
      <c r="M924" s="3">
        <v>2011</v>
      </c>
      <c r="N924" s="87" t="s">
        <v>2276</v>
      </c>
      <c r="O924" s="26" t="s">
        <v>67</v>
      </c>
      <c r="P924" s="3" t="s">
        <v>5187</v>
      </c>
      <c r="Q924" s="4" t="s">
        <v>6081</v>
      </c>
    </row>
    <row r="925" spans="1:17" ht="40" customHeight="1">
      <c r="A925" s="106">
        <v>257</v>
      </c>
      <c r="B925" s="40" t="s">
        <v>6085</v>
      </c>
      <c r="C925" s="26" t="s">
        <v>6083</v>
      </c>
      <c r="D925" s="11" t="s">
        <v>2398</v>
      </c>
      <c r="E925" s="3" t="s">
        <v>2422</v>
      </c>
      <c r="F925" s="3" t="s">
        <v>6974</v>
      </c>
      <c r="G925" s="3" t="s">
        <v>6976</v>
      </c>
      <c r="H925" s="3" t="s">
        <v>6086</v>
      </c>
      <c r="I925" s="21">
        <v>9.1499997999999998</v>
      </c>
      <c r="J925" s="21">
        <v>-6.483333</v>
      </c>
      <c r="K925" s="21" t="s">
        <v>2276</v>
      </c>
      <c r="L925" s="3">
        <v>1985</v>
      </c>
      <c r="M925" s="3">
        <v>1995</v>
      </c>
      <c r="N925" s="3">
        <v>16</v>
      </c>
      <c r="O925" s="26" t="s">
        <v>67</v>
      </c>
      <c r="P925" s="204" t="s">
        <v>5187</v>
      </c>
      <c r="Q925" s="3" t="s">
        <v>6978</v>
      </c>
    </row>
    <row r="926" spans="1:17" ht="43.5" customHeight="1">
      <c r="A926" s="106">
        <v>257</v>
      </c>
      <c r="B926" s="40" t="s">
        <v>6085</v>
      </c>
      <c r="C926" s="26" t="s">
        <v>6084</v>
      </c>
      <c r="D926" s="11" t="s">
        <v>2398</v>
      </c>
      <c r="E926" s="204" t="s">
        <v>2422</v>
      </c>
      <c r="F926" s="3" t="s">
        <v>6975</v>
      </c>
      <c r="G926" s="3" t="s">
        <v>6977</v>
      </c>
      <c r="H926" s="3" t="s">
        <v>6086</v>
      </c>
      <c r="I926" s="21">
        <v>9.3744738000000005</v>
      </c>
      <c r="J926" s="21">
        <v>-5.6494460000000002</v>
      </c>
      <c r="K926" s="21" t="s">
        <v>2276</v>
      </c>
      <c r="L926" s="204">
        <v>1985</v>
      </c>
      <c r="M926" s="3">
        <v>1995</v>
      </c>
      <c r="N926" s="3">
        <v>73</v>
      </c>
      <c r="O926" s="26" t="s">
        <v>67</v>
      </c>
      <c r="P926" s="204" t="s">
        <v>5187</v>
      </c>
      <c r="Q926" s="204" t="s">
        <v>6978</v>
      </c>
    </row>
    <row r="927" spans="1:17" ht="45.5" customHeight="1">
      <c r="A927" s="193">
        <v>258</v>
      </c>
      <c r="B927" s="41" t="s">
        <v>6106</v>
      </c>
      <c r="C927" s="4" t="s">
        <v>6148</v>
      </c>
      <c r="D927" s="4" t="s">
        <v>2398</v>
      </c>
      <c r="E927" s="4" t="s">
        <v>2422</v>
      </c>
      <c r="F927" s="4" t="s">
        <v>6107</v>
      </c>
      <c r="G927" s="4" t="s">
        <v>4132</v>
      </c>
      <c r="H927" s="4" t="s">
        <v>4112</v>
      </c>
      <c r="I927" s="82">
        <v>38.837499999999999</v>
      </c>
      <c r="J927" s="74">
        <v>-120.89579999999999</v>
      </c>
      <c r="K927" s="75" t="s">
        <v>2276</v>
      </c>
      <c r="L927" s="4">
        <v>2007</v>
      </c>
      <c r="M927" s="4">
        <v>2015</v>
      </c>
      <c r="N927" s="75" t="s">
        <v>2276</v>
      </c>
      <c r="O927" s="4" t="s">
        <v>67</v>
      </c>
      <c r="P927" s="3" t="s">
        <v>6187</v>
      </c>
      <c r="Q927" s="4"/>
    </row>
    <row r="928" spans="1:17" ht="45.5" customHeight="1">
      <c r="A928" s="193">
        <v>258</v>
      </c>
      <c r="B928" s="41" t="s">
        <v>6106</v>
      </c>
      <c r="C928" s="4" t="s">
        <v>6149</v>
      </c>
      <c r="D928" s="4" t="s">
        <v>2398</v>
      </c>
      <c r="E928" s="4" t="s">
        <v>2422</v>
      </c>
      <c r="F928" s="4" t="s">
        <v>6108</v>
      </c>
      <c r="G928" s="4" t="s">
        <v>4132</v>
      </c>
      <c r="H928" s="4" t="s">
        <v>4112</v>
      </c>
      <c r="I928" s="82">
        <v>34.959200000000003</v>
      </c>
      <c r="J928" s="74">
        <v>-116.699</v>
      </c>
      <c r="K928" s="75">
        <v>146347</v>
      </c>
      <c r="L928" s="4">
        <v>2003</v>
      </c>
      <c r="M928" s="4">
        <v>2018</v>
      </c>
      <c r="N928" s="75">
        <f>23860000/K928</f>
        <v>163.03716509392061</v>
      </c>
      <c r="O928" s="4" t="s">
        <v>67</v>
      </c>
      <c r="P928" s="3" t="s">
        <v>6187</v>
      </c>
      <c r="Q928" s="4" t="s">
        <v>6109</v>
      </c>
    </row>
    <row r="929" spans="1:17" s="203" customFormat="1" ht="45.5" customHeight="1">
      <c r="A929" s="193">
        <v>258</v>
      </c>
      <c r="B929" s="41" t="s">
        <v>6106</v>
      </c>
      <c r="C929" s="4" t="s">
        <v>6639</v>
      </c>
      <c r="D929" s="4" t="s">
        <v>2398</v>
      </c>
      <c r="E929" s="11" t="s">
        <v>4847</v>
      </c>
      <c r="F929" s="4" t="s">
        <v>6642</v>
      </c>
      <c r="G929" s="4" t="s">
        <v>4132</v>
      </c>
      <c r="H929" s="4" t="s">
        <v>4112</v>
      </c>
      <c r="I929" s="82">
        <v>36.490676200000003</v>
      </c>
      <c r="J929" s="74">
        <v>-118.8255468</v>
      </c>
      <c r="K929" s="75">
        <f>3500</f>
        <v>3500</v>
      </c>
      <c r="L929" s="4">
        <v>1960</v>
      </c>
      <c r="M929" s="4">
        <v>2017</v>
      </c>
      <c r="N929" s="75" t="s">
        <v>2276</v>
      </c>
      <c r="O929" s="4" t="s">
        <v>67</v>
      </c>
      <c r="P929" s="204" t="s">
        <v>5187</v>
      </c>
      <c r="Q929" s="4"/>
    </row>
    <row r="930" spans="1:17" s="203" customFormat="1" ht="45.5" customHeight="1">
      <c r="A930" s="193">
        <v>258</v>
      </c>
      <c r="B930" s="41" t="s">
        <v>6106</v>
      </c>
      <c r="C930" s="4" t="s">
        <v>6640</v>
      </c>
      <c r="D930" s="4" t="s">
        <v>2398</v>
      </c>
      <c r="E930" s="11" t="s">
        <v>4847</v>
      </c>
      <c r="F930" s="4" t="s">
        <v>6643</v>
      </c>
      <c r="G930" s="4" t="s">
        <v>4132</v>
      </c>
      <c r="H930" s="4" t="s">
        <v>4112</v>
      </c>
      <c r="I930" s="82">
        <v>37.853309000000003</v>
      </c>
      <c r="J930" s="74">
        <v>-119.55110999999999</v>
      </c>
      <c r="K930" s="75">
        <v>3027</v>
      </c>
      <c r="L930" s="4">
        <v>1960</v>
      </c>
      <c r="M930" s="4">
        <v>2017</v>
      </c>
      <c r="N930" s="75" t="s">
        <v>2276</v>
      </c>
      <c r="O930" s="4" t="s">
        <v>67</v>
      </c>
      <c r="P930" s="204" t="s">
        <v>5187</v>
      </c>
      <c r="Q930" s="4"/>
    </row>
    <row r="931" spans="1:17" s="203" customFormat="1" ht="45.5" customHeight="1">
      <c r="A931" s="193">
        <v>258</v>
      </c>
      <c r="B931" s="41" t="s">
        <v>6106</v>
      </c>
      <c r="C931" s="4" t="s">
        <v>6641</v>
      </c>
      <c r="D931" s="4" t="s">
        <v>2398</v>
      </c>
      <c r="E931" s="11" t="s">
        <v>4847</v>
      </c>
      <c r="F931" s="4" t="s">
        <v>6644</v>
      </c>
      <c r="G931" s="4" t="s">
        <v>4132</v>
      </c>
      <c r="H931" s="4" t="s">
        <v>4112</v>
      </c>
      <c r="I931" s="82">
        <v>40.496962500000002</v>
      </c>
      <c r="J931" s="74">
        <v>-121.4102163</v>
      </c>
      <c r="K931" s="75">
        <v>430.8</v>
      </c>
      <c r="L931" s="4">
        <v>1960</v>
      </c>
      <c r="M931" s="4">
        <v>2017</v>
      </c>
      <c r="N931" s="75" t="s">
        <v>2276</v>
      </c>
      <c r="O931" s="4" t="s">
        <v>67</v>
      </c>
      <c r="P931" s="204" t="s">
        <v>5187</v>
      </c>
      <c r="Q931" s="4"/>
    </row>
    <row r="932" spans="1:17" ht="45.5" customHeight="1">
      <c r="A932" s="193">
        <v>259</v>
      </c>
      <c r="B932" s="41" t="s">
        <v>6110</v>
      </c>
      <c r="C932" s="4" t="s">
        <v>6150</v>
      </c>
      <c r="D932" s="4" t="s">
        <v>2398</v>
      </c>
      <c r="E932" s="11" t="s">
        <v>4847</v>
      </c>
      <c r="F932" s="4" t="s">
        <v>2276</v>
      </c>
      <c r="G932" s="4" t="s">
        <v>6111</v>
      </c>
      <c r="H932" s="4" t="s">
        <v>4051</v>
      </c>
      <c r="I932" s="74">
        <v>37.264158100000003</v>
      </c>
      <c r="J932" s="74">
        <v>22.496772700000001</v>
      </c>
      <c r="K932" s="75">
        <v>21549</v>
      </c>
      <c r="L932" s="4">
        <v>2000</v>
      </c>
      <c r="M932" s="4">
        <v>2007</v>
      </c>
      <c r="N932" s="75">
        <f t="shared" ref="N932" si="12">638942/21549</f>
        <v>29.650656642999675</v>
      </c>
      <c r="O932" s="4" t="s">
        <v>67</v>
      </c>
      <c r="P932" s="3" t="s">
        <v>6187</v>
      </c>
      <c r="Q932" s="4"/>
    </row>
    <row r="933" spans="1:17" ht="45.5" customHeight="1">
      <c r="A933" s="193">
        <v>260</v>
      </c>
      <c r="B933" s="41" t="s">
        <v>6665</v>
      </c>
      <c r="C933" s="4" t="s">
        <v>6151</v>
      </c>
      <c r="D933" s="4" t="s">
        <v>2398</v>
      </c>
      <c r="E933" s="11" t="s">
        <v>4847</v>
      </c>
      <c r="F933" s="4" t="s">
        <v>2276</v>
      </c>
      <c r="G933" s="4" t="s">
        <v>2276</v>
      </c>
      <c r="H933" s="4" t="s">
        <v>6112</v>
      </c>
      <c r="I933" s="74">
        <v>39.811516699999999</v>
      </c>
      <c r="J933" s="74">
        <v>-7.4631071000000002</v>
      </c>
      <c r="K933" s="75">
        <v>92212</v>
      </c>
      <c r="L933" s="4">
        <v>2003</v>
      </c>
      <c r="M933" s="4">
        <v>2005</v>
      </c>
      <c r="N933" s="75" t="s">
        <v>2276</v>
      </c>
      <c r="O933" s="4" t="s">
        <v>67</v>
      </c>
      <c r="P933" s="3" t="s">
        <v>6187</v>
      </c>
      <c r="Q933" s="4" t="s">
        <v>6666</v>
      </c>
    </row>
    <row r="934" spans="1:17" ht="45.5" customHeight="1">
      <c r="A934" s="193">
        <v>260</v>
      </c>
      <c r="B934" s="41" t="s">
        <v>6665</v>
      </c>
      <c r="C934" s="4" t="s">
        <v>6152</v>
      </c>
      <c r="D934" s="4" t="s">
        <v>2398</v>
      </c>
      <c r="E934" s="11" t="s">
        <v>4847</v>
      </c>
      <c r="F934" s="4" t="s">
        <v>6113</v>
      </c>
      <c r="G934" s="4" t="s">
        <v>2276</v>
      </c>
      <c r="H934" s="4" t="s">
        <v>4314</v>
      </c>
      <c r="I934" s="74">
        <v>42.799928600000001</v>
      </c>
      <c r="J934" s="74">
        <v>-8.0177344000000002</v>
      </c>
      <c r="K934" s="75">
        <v>29574</v>
      </c>
      <c r="L934" s="4">
        <v>2006</v>
      </c>
      <c r="M934" s="4">
        <v>2006</v>
      </c>
      <c r="N934" s="75">
        <v>91</v>
      </c>
      <c r="O934" s="4" t="s">
        <v>67</v>
      </c>
      <c r="P934" s="3" t="s">
        <v>6187</v>
      </c>
      <c r="Q934" s="4" t="s">
        <v>6114</v>
      </c>
    </row>
    <row r="935" spans="1:17" s="203" customFormat="1" ht="45.5" customHeight="1">
      <c r="A935" s="193">
        <v>260</v>
      </c>
      <c r="B935" s="41" t="s">
        <v>6665</v>
      </c>
      <c r="C935" s="4" t="s">
        <v>6153</v>
      </c>
      <c r="D935" s="4" t="s">
        <v>2398</v>
      </c>
      <c r="E935" s="11" t="s">
        <v>4847</v>
      </c>
      <c r="F935" s="4" t="s">
        <v>2276</v>
      </c>
      <c r="G935" s="4" t="s">
        <v>2276</v>
      </c>
      <c r="H935" s="4" t="s">
        <v>4314</v>
      </c>
      <c r="I935" s="74">
        <v>40.208500000000001</v>
      </c>
      <c r="J935" s="74">
        <v>-3.7130000000000001</v>
      </c>
      <c r="K935" s="75">
        <v>505990</v>
      </c>
      <c r="L935" s="4">
        <v>2006</v>
      </c>
      <c r="M935" s="4">
        <v>2006</v>
      </c>
      <c r="N935" s="75" t="s">
        <v>2276</v>
      </c>
      <c r="O935" s="4" t="s">
        <v>67</v>
      </c>
      <c r="P935" s="204" t="s">
        <v>6187</v>
      </c>
      <c r="Q935" s="4"/>
    </row>
    <row r="936" spans="1:17" ht="45.5" customHeight="1">
      <c r="A936" s="193">
        <v>260</v>
      </c>
      <c r="B936" s="41" t="s">
        <v>6665</v>
      </c>
      <c r="C936" s="4" t="s">
        <v>6675</v>
      </c>
      <c r="D936" s="4" t="s">
        <v>2398</v>
      </c>
      <c r="E936" s="11" t="s">
        <v>4847</v>
      </c>
      <c r="F936" s="4" t="s">
        <v>2276</v>
      </c>
      <c r="G936" s="4" t="s">
        <v>6111</v>
      </c>
      <c r="H936" s="4" t="s">
        <v>4051</v>
      </c>
      <c r="I936" s="74">
        <v>37.264158100000003</v>
      </c>
      <c r="J936" s="74">
        <v>22.496772700000001</v>
      </c>
      <c r="K936" s="75">
        <v>21549</v>
      </c>
      <c r="L936" s="4">
        <v>2007</v>
      </c>
      <c r="M936" s="4">
        <v>2007</v>
      </c>
      <c r="N936" s="75">
        <f t="shared" ref="N936" si="13">638942/21549</f>
        <v>29.650656642999675</v>
      </c>
      <c r="O936" s="4" t="s">
        <v>67</v>
      </c>
      <c r="P936" s="3" t="s">
        <v>6187</v>
      </c>
      <c r="Q936" s="4" t="s">
        <v>6679</v>
      </c>
    </row>
    <row r="937" spans="1:17" ht="45.5" customHeight="1">
      <c r="A937" s="193">
        <v>261</v>
      </c>
      <c r="B937" s="41" t="s">
        <v>6115</v>
      </c>
      <c r="C937" s="4" t="s">
        <v>6154</v>
      </c>
      <c r="D937" s="4" t="s">
        <v>2398</v>
      </c>
      <c r="E937" s="11" t="s">
        <v>4847</v>
      </c>
      <c r="F937" s="4" t="s">
        <v>2276</v>
      </c>
      <c r="G937" s="4" t="s">
        <v>6681</v>
      </c>
      <c r="H937" s="4" t="s">
        <v>6116</v>
      </c>
      <c r="I937" s="74">
        <f>43+24/60</f>
        <v>43.4</v>
      </c>
      <c r="J937" s="74">
        <f>5+22/60</f>
        <v>5.3666666666666663</v>
      </c>
      <c r="K937" s="75">
        <v>1680</v>
      </c>
      <c r="L937" s="4">
        <v>1990</v>
      </c>
      <c r="M937" s="4">
        <v>2007</v>
      </c>
      <c r="N937" s="75">
        <v>420</v>
      </c>
      <c r="O937" s="4" t="s">
        <v>67</v>
      </c>
      <c r="P937" s="3" t="s">
        <v>6187</v>
      </c>
      <c r="Q937" s="4" t="s">
        <v>6117</v>
      </c>
    </row>
    <row r="938" spans="1:17" ht="45.5" customHeight="1">
      <c r="A938" s="193">
        <v>261</v>
      </c>
      <c r="B938" s="41" t="s">
        <v>6115</v>
      </c>
      <c r="C938" s="4" t="s">
        <v>6155</v>
      </c>
      <c r="D938" s="4" t="s">
        <v>2398</v>
      </c>
      <c r="E938" s="11" t="s">
        <v>4847</v>
      </c>
      <c r="F938" s="4" t="s">
        <v>2276</v>
      </c>
      <c r="G938" s="4" t="s">
        <v>6681</v>
      </c>
      <c r="H938" s="4" t="s">
        <v>6116</v>
      </c>
      <c r="I938" s="74">
        <f t="shared" ref="I938:I942" si="14">43+24/60</f>
        <v>43.4</v>
      </c>
      <c r="J938" s="74">
        <f t="shared" ref="J938:J942" si="15">5+22/60</f>
        <v>5.3666666666666663</v>
      </c>
      <c r="K938" s="75">
        <v>1680</v>
      </c>
      <c r="L938" s="4">
        <v>1990</v>
      </c>
      <c r="M938" s="4">
        <v>2007</v>
      </c>
      <c r="N938" s="75">
        <v>420</v>
      </c>
      <c r="O938" s="4" t="s">
        <v>67</v>
      </c>
      <c r="P938" s="3" t="s">
        <v>6187</v>
      </c>
      <c r="Q938" s="4" t="s">
        <v>6118</v>
      </c>
    </row>
    <row r="939" spans="1:17" ht="45.5" customHeight="1">
      <c r="A939" s="193">
        <v>261</v>
      </c>
      <c r="B939" s="41" t="s">
        <v>6115</v>
      </c>
      <c r="C939" s="4" t="s">
        <v>6156</v>
      </c>
      <c r="D939" s="4" t="s">
        <v>2398</v>
      </c>
      <c r="E939" s="11" t="s">
        <v>4847</v>
      </c>
      <c r="F939" s="4" t="s">
        <v>2276</v>
      </c>
      <c r="G939" s="4" t="s">
        <v>6681</v>
      </c>
      <c r="H939" s="4" t="s">
        <v>6116</v>
      </c>
      <c r="I939" s="74">
        <f t="shared" si="14"/>
        <v>43.4</v>
      </c>
      <c r="J939" s="74">
        <f t="shared" si="15"/>
        <v>5.3666666666666663</v>
      </c>
      <c r="K939" s="75">
        <v>1680</v>
      </c>
      <c r="L939" s="4">
        <v>1990</v>
      </c>
      <c r="M939" s="4">
        <v>2007</v>
      </c>
      <c r="N939" s="75">
        <v>420</v>
      </c>
      <c r="O939" s="4" t="s">
        <v>67</v>
      </c>
      <c r="P939" s="3" t="s">
        <v>6187</v>
      </c>
      <c r="Q939" s="4" t="s">
        <v>6119</v>
      </c>
    </row>
    <row r="940" spans="1:17" ht="45.5" customHeight="1">
      <c r="A940" s="193">
        <v>261</v>
      </c>
      <c r="B940" s="41" t="s">
        <v>6115</v>
      </c>
      <c r="C940" s="4" t="s">
        <v>6157</v>
      </c>
      <c r="D940" s="4" t="s">
        <v>2398</v>
      </c>
      <c r="E940" s="11" t="s">
        <v>4847</v>
      </c>
      <c r="F940" s="4" t="s">
        <v>2276</v>
      </c>
      <c r="G940" s="4" t="s">
        <v>6681</v>
      </c>
      <c r="H940" s="4" t="s">
        <v>6116</v>
      </c>
      <c r="I940" s="74">
        <f t="shared" si="14"/>
        <v>43.4</v>
      </c>
      <c r="J940" s="74">
        <f t="shared" si="15"/>
        <v>5.3666666666666663</v>
      </c>
      <c r="K940" s="75">
        <v>1680</v>
      </c>
      <c r="L940" s="4">
        <v>1990</v>
      </c>
      <c r="M940" s="4">
        <v>2007</v>
      </c>
      <c r="N940" s="75">
        <v>420</v>
      </c>
      <c r="O940" s="4" t="s">
        <v>67</v>
      </c>
      <c r="P940" s="3" t="s">
        <v>6187</v>
      </c>
      <c r="Q940" s="4" t="s">
        <v>6120</v>
      </c>
    </row>
    <row r="941" spans="1:17" ht="45.5" customHeight="1">
      <c r="A941" s="193">
        <v>261</v>
      </c>
      <c r="B941" s="41" t="s">
        <v>6121</v>
      </c>
      <c r="C941" s="4" t="s">
        <v>6158</v>
      </c>
      <c r="D941" s="4" t="s">
        <v>2398</v>
      </c>
      <c r="E941" s="11" t="s">
        <v>4847</v>
      </c>
      <c r="F941" s="4" t="s">
        <v>2276</v>
      </c>
      <c r="G941" s="4" t="s">
        <v>6681</v>
      </c>
      <c r="H941" s="4" t="s">
        <v>6116</v>
      </c>
      <c r="I941" s="74">
        <f t="shared" si="14"/>
        <v>43.4</v>
      </c>
      <c r="J941" s="74">
        <f t="shared" si="15"/>
        <v>5.3666666666666663</v>
      </c>
      <c r="K941" s="75">
        <v>1680</v>
      </c>
      <c r="L941" s="4">
        <v>1990</v>
      </c>
      <c r="M941" s="4">
        <v>2007</v>
      </c>
      <c r="N941" s="75">
        <v>420</v>
      </c>
      <c r="O941" s="4" t="s">
        <v>67</v>
      </c>
      <c r="P941" s="3" t="s">
        <v>6187</v>
      </c>
      <c r="Q941" s="4" t="s">
        <v>6122</v>
      </c>
    </row>
    <row r="942" spans="1:17" ht="45.5" customHeight="1">
      <c r="A942" s="193">
        <v>261</v>
      </c>
      <c r="B942" s="41" t="s">
        <v>6115</v>
      </c>
      <c r="C942" s="4" t="s">
        <v>6159</v>
      </c>
      <c r="D942" s="4" t="s">
        <v>2398</v>
      </c>
      <c r="E942" s="11" t="s">
        <v>4847</v>
      </c>
      <c r="F942" s="4" t="s">
        <v>2276</v>
      </c>
      <c r="G942" s="4" t="s">
        <v>6681</v>
      </c>
      <c r="H942" s="4" t="s">
        <v>6116</v>
      </c>
      <c r="I942" s="74">
        <f t="shared" si="14"/>
        <v>43.4</v>
      </c>
      <c r="J942" s="74">
        <f t="shared" si="15"/>
        <v>5.3666666666666663</v>
      </c>
      <c r="K942" s="75">
        <v>1680</v>
      </c>
      <c r="L942" s="4">
        <v>1990</v>
      </c>
      <c r="M942" s="4">
        <v>2007</v>
      </c>
      <c r="N942" s="75">
        <v>420</v>
      </c>
      <c r="O942" s="4" t="s">
        <v>67</v>
      </c>
      <c r="P942" s="3" t="s">
        <v>6187</v>
      </c>
      <c r="Q942" s="4" t="s">
        <v>6123</v>
      </c>
    </row>
    <row r="943" spans="1:17" ht="45.5" customHeight="1">
      <c r="A943" s="193">
        <v>262</v>
      </c>
      <c r="B943" s="41" t="s">
        <v>6124</v>
      </c>
      <c r="C943" s="4" t="s">
        <v>6160</v>
      </c>
      <c r="D943" s="4" t="s">
        <v>2398</v>
      </c>
      <c r="E943" s="4" t="s">
        <v>2399</v>
      </c>
      <c r="F943" s="4" t="s">
        <v>6125</v>
      </c>
      <c r="G943" s="4" t="s">
        <v>6126</v>
      </c>
      <c r="H943" s="4" t="s">
        <v>4942</v>
      </c>
      <c r="I943" s="74">
        <v>46.273333333333298</v>
      </c>
      <c r="J943" s="74">
        <v>7.8220000000000001</v>
      </c>
      <c r="K943" s="75">
        <v>257</v>
      </c>
      <c r="L943" s="4">
        <v>2005</v>
      </c>
      <c r="M943" s="4">
        <v>2009</v>
      </c>
      <c r="N943" s="75" t="s">
        <v>2276</v>
      </c>
      <c r="O943" s="4" t="s">
        <v>67</v>
      </c>
      <c r="P943" s="3" t="s">
        <v>6187</v>
      </c>
      <c r="Q943" s="4"/>
    </row>
    <row r="944" spans="1:17" ht="45.5" customHeight="1">
      <c r="A944" s="193">
        <v>263</v>
      </c>
      <c r="B944" s="41" t="s">
        <v>6127</v>
      </c>
      <c r="C944" s="4" t="s">
        <v>6161</v>
      </c>
      <c r="D944" s="4" t="s">
        <v>2398</v>
      </c>
      <c r="E944" s="11" t="s">
        <v>4847</v>
      </c>
      <c r="F944" s="4" t="s">
        <v>6128</v>
      </c>
      <c r="G944" s="4" t="s">
        <v>6113</v>
      </c>
      <c r="H944" s="4" t="s">
        <v>4314</v>
      </c>
      <c r="I944" s="74">
        <v>43.126083700000002</v>
      </c>
      <c r="J944" s="74">
        <v>-7.0688597</v>
      </c>
      <c r="K944" s="75">
        <f>139153/0.856/100</f>
        <v>1625.6191588785048</v>
      </c>
      <c r="L944" s="4">
        <v>1991</v>
      </c>
      <c r="M944" s="4">
        <v>2008</v>
      </c>
      <c r="N944" s="75" t="s">
        <v>2276</v>
      </c>
      <c r="O944" s="4" t="s">
        <v>67</v>
      </c>
      <c r="P944" s="3" t="s">
        <v>6187</v>
      </c>
      <c r="Q944" s="4"/>
    </row>
    <row r="945" spans="1:17" ht="45.5" customHeight="1">
      <c r="A945" s="193">
        <v>264</v>
      </c>
      <c r="B945" s="41" t="s">
        <v>6129</v>
      </c>
      <c r="C945" s="4" t="s">
        <v>6162</v>
      </c>
      <c r="D945" s="4" t="s">
        <v>2398</v>
      </c>
      <c r="E945" s="11" t="s">
        <v>2422</v>
      </c>
      <c r="F945" s="4" t="s">
        <v>2276</v>
      </c>
      <c r="G945" s="4" t="s">
        <v>6113</v>
      </c>
      <c r="H945" s="4" t="s">
        <v>4314</v>
      </c>
      <c r="I945" s="74">
        <v>42.799928600000001</v>
      </c>
      <c r="J945" s="74">
        <v>-8.0177344000000002</v>
      </c>
      <c r="K945" s="75">
        <v>29574</v>
      </c>
      <c r="L945" s="4">
        <v>2006</v>
      </c>
      <c r="M945" s="4">
        <v>2016</v>
      </c>
      <c r="N945" s="75">
        <v>92</v>
      </c>
      <c r="O945" s="4" t="s">
        <v>67</v>
      </c>
      <c r="P945" s="3" t="s">
        <v>6187</v>
      </c>
      <c r="Q945" s="4"/>
    </row>
    <row r="946" spans="1:17" ht="45.5" customHeight="1">
      <c r="A946" s="193">
        <v>265</v>
      </c>
      <c r="B946" s="41" t="s">
        <v>6130</v>
      </c>
      <c r="C946" s="4" t="s">
        <v>6163</v>
      </c>
      <c r="D946" s="4" t="s">
        <v>2398</v>
      </c>
      <c r="E946" s="4" t="s">
        <v>2422</v>
      </c>
      <c r="F946" s="4" t="s">
        <v>2276</v>
      </c>
      <c r="G946" s="4" t="s">
        <v>4941</v>
      </c>
      <c r="H946" s="4" t="s">
        <v>4942</v>
      </c>
      <c r="I946" s="74">
        <v>40.201500000000003</v>
      </c>
      <c r="J946" s="74">
        <v>9.0214999999999996</v>
      </c>
      <c r="K946" s="75">
        <v>24100</v>
      </c>
      <c r="L946" s="4">
        <v>1990</v>
      </c>
      <c r="M946" s="4">
        <v>2015</v>
      </c>
      <c r="N946" s="75">
        <f>1650000/K946</f>
        <v>68.46473029045643</v>
      </c>
      <c r="O946" s="4" t="s">
        <v>67</v>
      </c>
      <c r="P946" s="3" t="s">
        <v>6187</v>
      </c>
      <c r="Q946" s="4"/>
    </row>
    <row r="947" spans="1:17" ht="45.5" customHeight="1">
      <c r="A947" s="193">
        <v>265</v>
      </c>
      <c r="B947" s="41" t="s">
        <v>6130</v>
      </c>
      <c r="C947" s="4" t="s">
        <v>6164</v>
      </c>
      <c r="D947" s="4" t="s">
        <v>2398</v>
      </c>
      <c r="E947" s="4" t="s">
        <v>2422</v>
      </c>
      <c r="F947" s="4" t="s">
        <v>2276</v>
      </c>
      <c r="G947" s="4" t="s">
        <v>6131</v>
      </c>
      <c r="H947" s="4" t="s">
        <v>6116</v>
      </c>
      <c r="I947" s="74">
        <v>42.066000000000003</v>
      </c>
      <c r="J947" s="74">
        <v>9.0214999999999996</v>
      </c>
      <c r="K947" s="75">
        <v>8700</v>
      </c>
      <c r="L947" s="4">
        <v>1990</v>
      </c>
      <c r="M947" s="4">
        <v>2015</v>
      </c>
      <c r="N947" s="75">
        <f>330000/K947</f>
        <v>37.931034482758619</v>
      </c>
      <c r="O947" s="4" t="s">
        <v>67</v>
      </c>
      <c r="P947" s="3" t="s">
        <v>6187</v>
      </c>
      <c r="Q947" s="4"/>
    </row>
    <row r="948" spans="1:17" ht="45.5" customHeight="1">
      <c r="A948" s="193">
        <v>265</v>
      </c>
      <c r="B948" s="41" t="s">
        <v>6130</v>
      </c>
      <c r="C948" s="4" t="s">
        <v>6165</v>
      </c>
      <c r="D948" s="4" t="s">
        <v>2398</v>
      </c>
      <c r="E948" s="4" t="s">
        <v>2422</v>
      </c>
      <c r="F948" s="4" t="s">
        <v>2276</v>
      </c>
      <c r="G948" s="4" t="s">
        <v>6132</v>
      </c>
      <c r="H948" s="4" t="s">
        <v>4314</v>
      </c>
      <c r="I948" s="74">
        <v>41.985333333333301</v>
      </c>
      <c r="J948" s="74">
        <v>1.8681666666666701</v>
      </c>
      <c r="K948" s="75">
        <v>32100</v>
      </c>
      <c r="L948" s="4">
        <v>1990</v>
      </c>
      <c r="M948" s="4">
        <v>2015</v>
      </c>
      <c r="N948" s="75">
        <f>7500000/K948</f>
        <v>233.64485981308411</v>
      </c>
      <c r="O948" s="4" t="s">
        <v>67</v>
      </c>
      <c r="P948" s="3" t="s">
        <v>6187</v>
      </c>
      <c r="Q948" s="4"/>
    </row>
    <row r="949" spans="1:17" s="203" customFormat="1" ht="45.5" customHeight="1">
      <c r="A949" s="213">
        <v>266</v>
      </c>
      <c r="B949" s="214" t="s">
        <v>6799</v>
      </c>
      <c r="C949" s="19" t="s">
        <v>6166</v>
      </c>
      <c r="D949" s="4" t="s">
        <v>2398</v>
      </c>
      <c r="E949" s="4" t="s">
        <v>6801</v>
      </c>
      <c r="F949" s="4" t="s">
        <v>2276</v>
      </c>
      <c r="G949" s="19" t="s">
        <v>6800</v>
      </c>
      <c r="H949" s="19" t="s">
        <v>6112</v>
      </c>
      <c r="I949" s="74">
        <f>41+53/60</f>
        <v>41.883333333333333</v>
      </c>
      <c r="J949" s="74">
        <f>-8-33/60</f>
        <v>-8.5500000000000007</v>
      </c>
      <c r="K949" s="82">
        <f>3697/100</f>
        <v>36.97</v>
      </c>
      <c r="L949" s="19">
        <v>1980</v>
      </c>
      <c r="M949" s="19">
        <v>1996</v>
      </c>
      <c r="N949" s="75">
        <v>113</v>
      </c>
      <c r="O949" s="4" t="s">
        <v>67</v>
      </c>
      <c r="P949" s="11" t="s">
        <v>5187</v>
      </c>
      <c r="Q949" s="19"/>
    </row>
    <row r="950" spans="1:17" s="203" customFormat="1" ht="45.5" customHeight="1">
      <c r="A950" s="213">
        <v>266</v>
      </c>
      <c r="B950" s="214" t="s">
        <v>6799</v>
      </c>
      <c r="C950" s="19" t="s">
        <v>6167</v>
      </c>
      <c r="D950" s="4" t="s">
        <v>2398</v>
      </c>
      <c r="E950" s="4" t="s">
        <v>4847</v>
      </c>
      <c r="F950" s="4" t="s">
        <v>2276</v>
      </c>
      <c r="G950" s="19" t="s">
        <v>6800</v>
      </c>
      <c r="H950" s="19" t="s">
        <v>6112</v>
      </c>
      <c r="I950" s="74">
        <f>41+53/60</f>
        <v>41.883333333333333</v>
      </c>
      <c r="J950" s="74">
        <f>-8-33/60</f>
        <v>-8.5500000000000007</v>
      </c>
      <c r="K950" s="82">
        <v>2200</v>
      </c>
      <c r="L950" s="19">
        <v>1988</v>
      </c>
      <c r="M950" s="19">
        <v>1995</v>
      </c>
      <c r="N950" s="75">
        <v>113</v>
      </c>
      <c r="O950" s="4" t="s">
        <v>67</v>
      </c>
      <c r="P950" s="11" t="s">
        <v>5187</v>
      </c>
      <c r="Q950" s="19"/>
    </row>
    <row r="951" spans="1:17" ht="45.5" customHeight="1">
      <c r="A951" s="193">
        <v>267</v>
      </c>
      <c r="B951" s="41" t="s">
        <v>6133</v>
      </c>
      <c r="C951" s="4" t="s">
        <v>6168</v>
      </c>
      <c r="D951" s="4" t="s">
        <v>2398</v>
      </c>
      <c r="E951" s="4" t="s">
        <v>2422</v>
      </c>
      <c r="F951" s="4" t="s">
        <v>6134</v>
      </c>
      <c r="G951" s="4" t="s">
        <v>2276</v>
      </c>
      <c r="H951" s="4" t="s">
        <v>4314</v>
      </c>
      <c r="I951" s="82">
        <v>43.362000000000002</v>
      </c>
      <c r="J951" s="74">
        <v>-8.6858333333333295</v>
      </c>
      <c r="K951" s="75">
        <v>37.83</v>
      </c>
      <c r="L951" s="4">
        <v>2006</v>
      </c>
      <c r="M951" s="4">
        <v>2007</v>
      </c>
      <c r="N951" s="75" t="s">
        <v>2276</v>
      </c>
      <c r="O951" s="4" t="s">
        <v>67</v>
      </c>
      <c r="P951" s="204" t="s">
        <v>6187</v>
      </c>
      <c r="Q951" s="4"/>
    </row>
    <row r="952" spans="1:17" ht="45.5" customHeight="1">
      <c r="A952" s="193">
        <v>267</v>
      </c>
      <c r="B952" s="41" t="s">
        <v>6133</v>
      </c>
      <c r="C952" s="4" t="s">
        <v>6169</v>
      </c>
      <c r="D952" s="4" t="s">
        <v>2398</v>
      </c>
      <c r="E952" s="4" t="s">
        <v>2422</v>
      </c>
      <c r="F952" s="4" t="s">
        <v>6135</v>
      </c>
      <c r="G952" s="4" t="s">
        <v>2276</v>
      </c>
      <c r="H952" s="4" t="s">
        <v>4314</v>
      </c>
      <c r="I952" s="82">
        <v>43.009</v>
      </c>
      <c r="J952" s="74">
        <v>-7.9279999999999999</v>
      </c>
      <c r="K952" s="75">
        <v>329.8</v>
      </c>
      <c r="L952" s="4">
        <v>2006</v>
      </c>
      <c r="M952" s="4">
        <v>2007</v>
      </c>
      <c r="N952" s="75" t="s">
        <v>2276</v>
      </c>
      <c r="O952" s="4" t="s">
        <v>67</v>
      </c>
      <c r="P952" s="204" t="s">
        <v>6187</v>
      </c>
      <c r="Q952" s="4"/>
    </row>
    <row r="953" spans="1:17" ht="45.5" customHeight="1">
      <c r="A953" s="193">
        <v>267</v>
      </c>
      <c r="B953" s="41" t="s">
        <v>6133</v>
      </c>
      <c r="C953" s="4" t="s">
        <v>6170</v>
      </c>
      <c r="D953" s="4" t="s">
        <v>2398</v>
      </c>
      <c r="E953" s="4" t="s">
        <v>2422</v>
      </c>
      <c r="F953" s="4" t="s">
        <v>6136</v>
      </c>
      <c r="G953" s="4" t="s">
        <v>2276</v>
      </c>
      <c r="H953" s="4" t="s">
        <v>4314</v>
      </c>
      <c r="I953" s="82">
        <v>42.335000000000001</v>
      </c>
      <c r="J953" s="74">
        <v>-7.8639000000000001</v>
      </c>
      <c r="K953" s="75">
        <v>85.2</v>
      </c>
      <c r="L953" s="4">
        <v>2006</v>
      </c>
      <c r="M953" s="4">
        <v>2007</v>
      </c>
      <c r="N953" s="75" t="s">
        <v>2276</v>
      </c>
      <c r="O953" s="4" t="s">
        <v>67</v>
      </c>
      <c r="P953" s="204" t="s">
        <v>6187</v>
      </c>
      <c r="Q953" s="4"/>
    </row>
    <row r="954" spans="1:17" ht="45.5" customHeight="1">
      <c r="A954" s="193">
        <v>267</v>
      </c>
      <c r="B954" s="41" t="s">
        <v>6133</v>
      </c>
      <c r="C954" s="4" t="s">
        <v>6171</v>
      </c>
      <c r="D954" s="4" t="s">
        <v>2398</v>
      </c>
      <c r="E954" s="4" t="s">
        <v>2422</v>
      </c>
      <c r="F954" s="4" t="s">
        <v>6137</v>
      </c>
      <c r="G954" s="4" t="s">
        <v>2276</v>
      </c>
      <c r="H954" s="4" t="s">
        <v>4314</v>
      </c>
      <c r="I954" s="82">
        <v>42.429000000000002</v>
      </c>
      <c r="J954" s="74">
        <v>-8.6446000000000005</v>
      </c>
      <c r="K954" s="75">
        <v>118.2</v>
      </c>
      <c r="L954" s="4">
        <v>2006</v>
      </c>
      <c r="M954" s="4">
        <v>2007</v>
      </c>
      <c r="N954" s="75" t="s">
        <v>2276</v>
      </c>
      <c r="O954" s="4" t="s">
        <v>67</v>
      </c>
      <c r="P954" s="204" t="s">
        <v>6187</v>
      </c>
      <c r="Q954" s="4"/>
    </row>
    <row r="955" spans="1:17" ht="45.5" customHeight="1">
      <c r="A955" s="193">
        <v>267</v>
      </c>
      <c r="B955" s="41" t="s">
        <v>6133</v>
      </c>
      <c r="C955" s="4" t="s">
        <v>6172</v>
      </c>
      <c r="D955" s="4" t="s">
        <v>2398</v>
      </c>
      <c r="E955" s="4" t="s">
        <v>2422</v>
      </c>
      <c r="F955" s="4" t="s">
        <v>6138</v>
      </c>
      <c r="G955" s="4" t="s">
        <v>2276</v>
      </c>
      <c r="H955" s="4" t="s">
        <v>4314</v>
      </c>
      <c r="I955" s="82">
        <v>43.360999999999997</v>
      </c>
      <c r="J955" s="74">
        <v>-5.8593000000000002</v>
      </c>
      <c r="K955" s="75">
        <v>10604</v>
      </c>
      <c r="L955" s="4">
        <v>2006</v>
      </c>
      <c r="M955" s="4">
        <v>2007</v>
      </c>
      <c r="N955" s="75" t="s">
        <v>2276</v>
      </c>
      <c r="O955" s="4" t="s">
        <v>67</v>
      </c>
      <c r="P955" s="204" t="s">
        <v>6187</v>
      </c>
      <c r="Q955" s="4"/>
    </row>
    <row r="956" spans="1:17" ht="45.5" customHeight="1">
      <c r="A956" s="193">
        <v>267</v>
      </c>
      <c r="B956" s="41" t="s">
        <v>6133</v>
      </c>
      <c r="C956" s="4" t="s">
        <v>6173</v>
      </c>
      <c r="D956" s="4" t="s">
        <v>2398</v>
      </c>
      <c r="E956" s="4" t="s">
        <v>2422</v>
      </c>
      <c r="F956" s="4" t="s">
        <v>6139</v>
      </c>
      <c r="G956" s="4" t="s">
        <v>2276</v>
      </c>
      <c r="H956" s="4" t="s">
        <v>4314</v>
      </c>
      <c r="I956" s="82">
        <v>43.182000000000002</v>
      </c>
      <c r="J956" s="74">
        <v>-3.9878</v>
      </c>
      <c r="K956" s="75">
        <v>5321</v>
      </c>
      <c r="L956" s="4">
        <v>2006</v>
      </c>
      <c r="M956" s="4">
        <v>2007</v>
      </c>
      <c r="N956" s="75" t="s">
        <v>2276</v>
      </c>
      <c r="O956" s="4" t="s">
        <v>67</v>
      </c>
      <c r="P956" s="204" t="s">
        <v>6187</v>
      </c>
      <c r="Q956" s="4"/>
    </row>
    <row r="957" spans="1:17" ht="45.5" customHeight="1">
      <c r="A957" s="193">
        <v>267</v>
      </c>
      <c r="B957" s="41" t="s">
        <v>6133</v>
      </c>
      <c r="C957" s="4" t="s">
        <v>6174</v>
      </c>
      <c r="D957" s="4" t="s">
        <v>2398</v>
      </c>
      <c r="E957" s="4" t="s">
        <v>2422</v>
      </c>
      <c r="F957" s="4" t="s">
        <v>6140</v>
      </c>
      <c r="G957" s="4" t="s">
        <v>2276</v>
      </c>
      <c r="H957" s="4" t="s">
        <v>4314</v>
      </c>
      <c r="I957" s="82">
        <v>42.597999999999999</v>
      </c>
      <c r="J957" s="74">
        <v>-5.9451666666666698</v>
      </c>
      <c r="K957" s="75">
        <v>39.03</v>
      </c>
      <c r="L957" s="4">
        <v>2006</v>
      </c>
      <c r="M957" s="4">
        <v>2007</v>
      </c>
      <c r="N957" s="75" t="s">
        <v>2276</v>
      </c>
      <c r="O957" s="4" t="s">
        <v>67</v>
      </c>
      <c r="P957" s="204" t="s">
        <v>6187</v>
      </c>
      <c r="Q957" s="4"/>
    </row>
    <row r="958" spans="1:17" ht="45.5" customHeight="1">
      <c r="A958" s="193">
        <v>267</v>
      </c>
      <c r="B958" s="41" t="s">
        <v>6133</v>
      </c>
      <c r="C958" s="4" t="s">
        <v>6175</v>
      </c>
      <c r="D958" s="4" t="s">
        <v>2398</v>
      </c>
      <c r="E958" s="4" t="s">
        <v>2422</v>
      </c>
      <c r="F958" s="4" t="s">
        <v>6141</v>
      </c>
      <c r="G958" s="4" t="s">
        <v>2276</v>
      </c>
      <c r="H958" s="4" t="s">
        <v>4314</v>
      </c>
      <c r="I958" s="82">
        <v>41.503</v>
      </c>
      <c r="J958" s="74">
        <v>-5.7468000000000004</v>
      </c>
      <c r="K958" s="75">
        <v>149.30000000000001</v>
      </c>
      <c r="L958" s="4">
        <v>2006</v>
      </c>
      <c r="M958" s="4">
        <v>2007</v>
      </c>
      <c r="N958" s="75" t="s">
        <v>2276</v>
      </c>
      <c r="O958" s="4" t="s">
        <v>67</v>
      </c>
      <c r="P958" s="204" t="s">
        <v>6187</v>
      </c>
      <c r="Q958" s="4"/>
    </row>
    <row r="959" spans="1:17" ht="45.5" customHeight="1">
      <c r="A959" s="193">
        <v>267</v>
      </c>
      <c r="B959" s="41" t="s">
        <v>6133</v>
      </c>
      <c r="C959" s="4" t="s">
        <v>6176</v>
      </c>
      <c r="D959" s="4" t="s">
        <v>2398</v>
      </c>
      <c r="E959" s="4" t="s">
        <v>2422</v>
      </c>
      <c r="F959" s="4" t="s">
        <v>6142</v>
      </c>
      <c r="G959" s="4" t="s">
        <v>2276</v>
      </c>
      <c r="H959" s="4" t="s">
        <v>4314</v>
      </c>
      <c r="I959" s="82">
        <v>40.655999999999999</v>
      </c>
      <c r="J959" s="74">
        <v>-4.6811999999999996</v>
      </c>
      <c r="K959" s="75">
        <v>231.9</v>
      </c>
      <c r="L959" s="4">
        <v>2006</v>
      </c>
      <c r="M959" s="4">
        <v>2007</v>
      </c>
      <c r="N959" s="75" t="s">
        <v>2276</v>
      </c>
      <c r="O959" s="4" t="s">
        <v>67</v>
      </c>
      <c r="P959" s="204" t="s">
        <v>6187</v>
      </c>
      <c r="Q959" s="4"/>
    </row>
    <row r="960" spans="1:17" ht="45.5" customHeight="1">
      <c r="A960" s="193">
        <v>267</v>
      </c>
      <c r="B960" s="41" t="s">
        <v>6133</v>
      </c>
      <c r="C960" s="4" t="s">
        <v>6177</v>
      </c>
      <c r="D960" s="4" t="s">
        <v>2398</v>
      </c>
      <c r="E960" s="4" t="s">
        <v>2422</v>
      </c>
      <c r="F960" s="4" t="s">
        <v>6143</v>
      </c>
      <c r="G960" s="4" t="s">
        <v>2276</v>
      </c>
      <c r="H960" s="4" t="s">
        <v>4314</v>
      </c>
      <c r="I960" s="82">
        <v>42.695</v>
      </c>
      <c r="J960" s="74">
        <v>-1.6760999999999999</v>
      </c>
      <c r="K960" s="75">
        <v>10391</v>
      </c>
      <c r="L960" s="4">
        <v>2006</v>
      </c>
      <c r="M960" s="4">
        <v>2007</v>
      </c>
      <c r="N960" s="75" t="s">
        <v>2276</v>
      </c>
      <c r="O960" s="4" t="s">
        <v>67</v>
      </c>
      <c r="P960" s="204" t="s">
        <v>6187</v>
      </c>
      <c r="Q960" s="4"/>
    </row>
    <row r="961" spans="1:17" ht="45.5" customHeight="1">
      <c r="A961" s="193">
        <v>267</v>
      </c>
      <c r="B961" s="41" t="s">
        <v>6133</v>
      </c>
      <c r="C961" s="4" t="s">
        <v>6178</v>
      </c>
      <c r="D961" s="4" t="s">
        <v>2398</v>
      </c>
      <c r="E961" s="4" t="s">
        <v>2422</v>
      </c>
      <c r="F961" s="4" t="s">
        <v>6144</v>
      </c>
      <c r="G961" s="4" t="s">
        <v>2276</v>
      </c>
      <c r="H961" s="4" t="s">
        <v>4314</v>
      </c>
      <c r="I961" s="82">
        <v>42.131</v>
      </c>
      <c r="J961" s="74">
        <v>0.67966666666666697</v>
      </c>
      <c r="K961" s="75">
        <v>161</v>
      </c>
      <c r="L961" s="4">
        <v>2006</v>
      </c>
      <c r="M961" s="4">
        <v>2007</v>
      </c>
      <c r="N961" s="75" t="s">
        <v>2276</v>
      </c>
      <c r="O961" s="4" t="s">
        <v>67</v>
      </c>
      <c r="P961" s="204" t="s">
        <v>6187</v>
      </c>
      <c r="Q961" s="4"/>
    </row>
    <row r="962" spans="1:17" ht="45.5" customHeight="1">
      <c r="A962" s="193">
        <v>267</v>
      </c>
      <c r="B962" s="41" t="s">
        <v>6133</v>
      </c>
      <c r="C962" s="4" t="s">
        <v>6179</v>
      </c>
      <c r="D962" s="4" t="s">
        <v>2398</v>
      </c>
      <c r="E962" s="4" t="s">
        <v>2422</v>
      </c>
      <c r="F962" s="4" t="s">
        <v>6145</v>
      </c>
      <c r="G962" s="4" t="s">
        <v>2276</v>
      </c>
      <c r="H962" s="4" t="s">
        <v>4314</v>
      </c>
      <c r="I962" s="82">
        <v>39.475000000000001</v>
      </c>
      <c r="J962" s="74">
        <v>-6.6206666666666703</v>
      </c>
      <c r="K962" s="75">
        <v>1750</v>
      </c>
      <c r="L962" s="4">
        <v>2006</v>
      </c>
      <c r="M962" s="4">
        <v>2007</v>
      </c>
      <c r="N962" s="75" t="s">
        <v>2276</v>
      </c>
      <c r="O962" s="4" t="s">
        <v>67</v>
      </c>
      <c r="P962" s="204" t="s">
        <v>6187</v>
      </c>
      <c r="Q962" s="4"/>
    </row>
    <row r="963" spans="1:17" s="203" customFormat="1" ht="45.5" customHeight="1">
      <c r="A963" s="213">
        <v>268</v>
      </c>
      <c r="B963" s="214" t="s">
        <v>6806</v>
      </c>
      <c r="C963" s="19" t="s">
        <v>6180</v>
      </c>
      <c r="D963" s="4" t="s">
        <v>2398</v>
      </c>
      <c r="E963" s="4" t="s">
        <v>2400</v>
      </c>
      <c r="F963" s="19" t="s">
        <v>6808</v>
      </c>
      <c r="G963" s="4" t="s">
        <v>2276</v>
      </c>
      <c r="H963" s="19" t="s">
        <v>6807</v>
      </c>
      <c r="I963" s="82">
        <v>46.091164999999997</v>
      </c>
      <c r="J963" s="74">
        <v>15.9262975</v>
      </c>
      <c r="K963" s="82">
        <v>1224</v>
      </c>
      <c r="L963" s="19">
        <v>1991</v>
      </c>
      <c r="M963" s="19">
        <v>2011</v>
      </c>
      <c r="N963" s="75">
        <f>133000/K963</f>
        <v>108.66013071895425</v>
      </c>
      <c r="O963" s="4" t="s">
        <v>67</v>
      </c>
      <c r="P963" s="204" t="s">
        <v>5187</v>
      </c>
      <c r="Q963" s="19"/>
    </row>
    <row r="964" spans="1:17" ht="45.5" customHeight="1">
      <c r="A964" s="213">
        <v>269</v>
      </c>
      <c r="B964" s="214" t="s">
        <v>6809</v>
      </c>
      <c r="C964" s="19" t="s">
        <v>6181</v>
      </c>
      <c r="D964" s="19" t="s">
        <v>2398</v>
      </c>
      <c r="E964" s="11" t="s">
        <v>2636</v>
      </c>
      <c r="F964" s="19" t="s">
        <v>6810</v>
      </c>
      <c r="G964" s="4" t="s">
        <v>2276</v>
      </c>
      <c r="H964" s="19" t="s">
        <v>4051</v>
      </c>
      <c r="I964" s="21">
        <v>38.683346999999998</v>
      </c>
      <c r="J964" s="21">
        <v>22.023790300000002</v>
      </c>
      <c r="K964" s="82">
        <f>56000/100</f>
        <v>560</v>
      </c>
      <c r="L964" s="19">
        <v>2000</v>
      </c>
      <c r="M964" s="19">
        <v>2000</v>
      </c>
      <c r="N964" s="82">
        <v>8</v>
      </c>
      <c r="O964" s="4" t="s">
        <v>67</v>
      </c>
      <c r="P964" s="204" t="s">
        <v>5187</v>
      </c>
      <c r="Q964" s="19"/>
    </row>
    <row r="965" spans="1:17" s="203" customFormat="1" ht="45.5" customHeight="1">
      <c r="A965" s="213">
        <v>269</v>
      </c>
      <c r="B965" s="214" t="s">
        <v>6809</v>
      </c>
      <c r="C965" s="19" t="s">
        <v>6811</v>
      </c>
      <c r="D965" s="19" t="s">
        <v>2398</v>
      </c>
      <c r="E965" s="11" t="s">
        <v>2636</v>
      </c>
      <c r="F965" s="19" t="s">
        <v>6834</v>
      </c>
      <c r="G965" s="4" t="s">
        <v>2276</v>
      </c>
      <c r="H965" s="19" t="s">
        <v>4051</v>
      </c>
      <c r="I965" s="21">
        <v>35.25</v>
      </c>
      <c r="J965" s="21">
        <v>25.15</v>
      </c>
      <c r="K965" s="82">
        <f>45000/100</f>
        <v>450</v>
      </c>
      <c r="L965" s="19">
        <v>2000</v>
      </c>
      <c r="M965" s="19">
        <v>2000</v>
      </c>
      <c r="N965" s="82">
        <v>59</v>
      </c>
      <c r="O965" s="4" t="s">
        <v>67</v>
      </c>
      <c r="P965" s="204" t="s">
        <v>5187</v>
      </c>
      <c r="Q965" s="19"/>
    </row>
    <row r="966" spans="1:17" s="203" customFormat="1" ht="45.5" customHeight="1">
      <c r="A966" s="213">
        <v>269</v>
      </c>
      <c r="B966" s="214" t="s">
        <v>6809</v>
      </c>
      <c r="C966" s="19" t="s">
        <v>6812</v>
      </c>
      <c r="D966" s="19" t="s">
        <v>2398</v>
      </c>
      <c r="E966" s="11" t="s">
        <v>2636</v>
      </c>
      <c r="F966" s="19" t="s">
        <v>6835</v>
      </c>
      <c r="G966" s="4" t="s">
        <v>6836</v>
      </c>
      <c r="H966" s="19" t="s">
        <v>6116</v>
      </c>
      <c r="I966" s="21">
        <v>42.882364872224102</v>
      </c>
      <c r="J966" s="21">
        <v>2.59374381836796</v>
      </c>
      <c r="K966" s="82">
        <f>250000/100</f>
        <v>2500</v>
      </c>
      <c r="L966" s="19">
        <v>2000</v>
      </c>
      <c r="M966" s="19">
        <v>2000</v>
      </c>
      <c r="N966" s="82">
        <v>13</v>
      </c>
      <c r="O966" s="4" t="s">
        <v>67</v>
      </c>
      <c r="P966" s="204" t="s">
        <v>5187</v>
      </c>
      <c r="Q966" s="19"/>
    </row>
    <row r="967" spans="1:17" s="203" customFormat="1" ht="45.5" customHeight="1">
      <c r="A967" s="213">
        <v>269</v>
      </c>
      <c r="B967" s="214" t="s">
        <v>6809</v>
      </c>
      <c r="C967" s="19" t="s">
        <v>6813</v>
      </c>
      <c r="D967" s="19" t="s">
        <v>2398</v>
      </c>
      <c r="E967" s="11" t="s">
        <v>2636</v>
      </c>
      <c r="F967" s="19" t="s">
        <v>6837</v>
      </c>
      <c r="G967" s="4" t="s">
        <v>2276</v>
      </c>
      <c r="H967" s="4" t="s">
        <v>4942</v>
      </c>
      <c r="I967" s="21">
        <v>42.192011899999997</v>
      </c>
      <c r="J967" s="21">
        <v>13.728916699999999</v>
      </c>
      <c r="K967" s="82">
        <f>190000/100</f>
        <v>1900</v>
      </c>
      <c r="L967" s="19">
        <v>2000</v>
      </c>
      <c r="M967" s="19">
        <v>2000</v>
      </c>
      <c r="N967" s="82">
        <v>30</v>
      </c>
      <c r="O967" s="4" t="s">
        <v>67</v>
      </c>
      <c r="P967" s="204" t="s">
        <v>5187</v>
      </c>
      <c r="Q967" s="19"/>
    </row>
    <row r="968" spans="1:17" s="203" customFormat="1" ht="45.5" customHeight="1">
      <c r="A968" s="213">
        <v>269</v>
      </c>
      <c r="B968" s="214" t="s">
        <v>6809</v>
      </c>
      <c r="C968" s="19" t="s">
        <v>6814</v>
      </c>
      <c r="D968" s="19" t="s">
        <v>2398</v>
      </c>
      <c r="E968" s="11" t="s">
        <v>2636</v>
      </c>
      <c r="F968" s="19" t="s">
        <v>6838</v>
      </c>
      <c r="G968" s="4" t="s">
        <v>2276</v>
      </c>
      <c r="H968" s="4" t="s">
        <v>4942</v>
      </c>
      <c r="I968" s="21">
        <v>40.643076600000001</v>
      </c>
      <c r="J968" s="21">
        <v>15.9699878</v>
      </c>
      <c r="K968" s="82">
        <f>201000/100</f>
        <v>2010</v>
      </c>
      <c r="L968" s="19">
        <v>2000</v>
      </c>
      <c r="M968" s="19">
        <v>2000</v>
      </c>
      <c r="N968" s="82">
        <v>54</v>
      </c>
      <c r="O968" s="4" t="s">
        <v>67</v>
      </c>
      <c r="P968" s="204" t="s">
        <v>5187</v>
      </c>
      <c r="Q968" s="19"/>
    </row>
    <row r="969" spans="1:17" s="203" customFormat="1" ht="45.5" customHeight="1">
      <c r="A969" s="213">
        <v>269</v>
      </c>
      <c r="B969" s="214" t="s">
        <v>6809</v>
      </c>
      <c r="C969" s="19" t="s">
        <v>6815</v>
      </c>
      <c r="D969" s="19" t="s">
        <v>2398</v>
      </c>
      <c r="E969" s="11" t="s">
        <v>2636</v>
      </c>
      <c r="F969" s="19" t="s">
        <v>6839</v>
      </c>
      <c r="G969" s="4" t="s">
        <v>2276</v>
      </c>
      <c r="H969" s="19" t="s">
        <v>4314</v>
      </c>
      <c r="I969" s="21">
        <v>37.083300100000002</v>
      </c>
      <c r="J969" s="21">
        <v>-3.0666983999999999</v>
      </c>
      <c r="K969" s="82">
        <f>70000/100</f>
        <v>700</v>
      </c>
      <c r="L969" s="19">
        <v>2000</v>
      </c>
      <c r="M969" s="19">
        <v>2000</v>
      </c>
      <c r="N969" s="82">
        <v>65</v>
      </c>
      <c r="O969" s="4" t="s">
        <v>67</v>
      </c>
      <c r="P969" s="204" t="s">
        <v>5187</v>
      </c>
      <c r="Q969" s="19"/>
    </row>
    <row r="970" spans="1:17" s="203" customFormat="1" ht="45.5" customHeight="1">
      <c r="A970" s="213">
        <v>269</v>
      </c>
      <c r="B970" s="214" t="s">
        <v>6809</v>
      </c>
      <c r="C970" s="19" t="s">
        <v>6816</v>
      </c>
      <c r="D970" s="19" t="s">
        <v>2398</v>
      </c>
      <c r="E970" s="11" t="s">
        <v>2636</v>
      </c>
      <c r="F970" s="19" t="s">
        <v>6840</v>
      </c>
      <c r="G970" s="4" t="s">
        <v>2276</v>
      </c>
      <c r="H970" s="19" t="s">
        <v>6112</v>
      </c>
      <c r="I970" s="21">
        <v>41.486120300000003</v>
      </c>
      <c r="J970" s="21">
        <v>-7.1787644000000004</v>
      </c>
      <c r="K970" s="82">
        <f>340000/100</f>
        <v>3400</v>
      </c>
      <c r="L970" s="19">
        <v>2000</v>
      </c>
      <c r="M970" s="19">
        <v>2000</v>
      </c>
      <c r="N970" s="82">
        <v>27</v>
      </c>
      <c r="O970" s="4" t="s">
        <v>67</v>
      </c>
      <c r="P970" s="204" t="s">
        <v>5187</v>
      </c>
      <c r="Q970" s="19"/>
    </row>
    <row r="971" spans="1:17" s="203" customFormat="1" ht="45.5" customHeight="1">
      <c r="A971" s="213">
        <v>269</v>
      </c>
      <c r="B971" s="214" t="s">
        <v>6809</v>
      </c>
      <c r="C971" s="19" t="s">
        <v>6817</v>
      </c>
      <c r="D971" s="19" t="s">
        <v>2398</v>
      </c>
      <c r="E971" s="11" t="s">
        <v>2636</v>
      </c>
      <c r="F971" s="19" t="s">
        <v>6841</v>
      </c>
      <c r="G971" s="4" t="s">
        <v>2276</v>
      </c>
      <c r="H971" s="19" t="s">
        <v>5091</v>
      </c>
      <c r="I971" s="21">
        <v>64.201952800000001</v>
      </c>
      <c r="J971" s="21">
        <v>19.718870200000001</v>
      </c>
      <c r="K971" s="82">
        <f>265000/100</f>
        <v>2650</v>
      </c>
      <c r="L971" s="19">
        <v>2000</v>
      </c>
      <c r="M971" s="19">
        <v>2000</v>
      </c>
      <c r="N971" s="82">
        <v>2</v>
      </c>
      <c r="O971" s="4" t="s">
        <v>67</v>
      </c>
      <c r="P971" s="204" t="s">
        <v>5187</v>
      </c>
      <c r="Q971" s="19"/>
    </row>
    <row r="972" spans="1:17" s="203" customFormat="1" ht="45.5" customHeight="1">
      <c r="A972" s="213">
        <v>269</v>
      </c>
      <c r="B972" s="214" t="s">
        <v>6809</v>
      </c>
      <c r="C972" s="19" t="s">
        <v>6818</v>
      </c>
      <c r="D972" s="19" t="s">
        <v>2398</v>
      </c>
      <c r="E972" s="11" t="s">
        <v>2636</v>
      </c>
      <c r="F972" s="19" t="s">
        <v>6842</v>
      </c>
      <c r="G972" s="4" t="s">
        <v>2276</v>
      </c>
      <c r="H972" s="19" t="s">
        <v>6843</v>
      </c>
      <c r="I972" s="21">
        <v>63.064316499999997</v>
      </c>
      <c r="J972" s="21">
        <v>28.322957899999999</v>
      </c>
      <c r="K972" s="82">
        <f>1999000/100</f>
        <v>19990</v>
      </c>
      <c r="L972" s="19">
        <v>2000</v>
      </c>
      <c r="M972" s="19">
        <v>2000</v>
      </c>
      <c r="N972" s="82">
        <v>14</v>
      </c>
      <c r="O972" s="4" t="s">
        <v>67</v>
      </c>
      <c r="P972" s="204" t="s">
        <v>5187</v>
      </c>
      <c r="Q972" s="19"/>
    </row>
    <row r="973" spans="1:17" s="203" customFormat="1" ht="45.5" customHeight="1">
      <c r="A973" s="213">
        <v>269</v>
      </c>
      <c r="B973" s="214" t="s">
        <v>6809</v>
      </c>
      <c r="C973" s="19" t="s">
        <v>6819</v>
      </c>
      <c r="D973" s="19" t="s">
        <v>2398</v>
      </c>
      <c r="E973" s="11" t="s">
        <v>2636</v>
      </c>
      <c r="F973" s="19" t="s">
        <v>6844</v>
      </c>
      <c r="G973" s="4" t="s">
        <v>2276</v>
      </c>
      <c r="H973" s="19" t="s">
        <v>6845</v>
      </c>
      <c r="I973" s="21">
        <v>47.075139200000002</v>
      </c>
      <c r="J973" s="21">
        <v>10.6642951</v>
      </c>
      <c r="K973" s="82">
        <f>335000/100</f>
        <v>3350</v>
      </c>
      <c r="L973" s="19">
        <v>2000</v>
      </c>
      <c r="M973" s="19">
        <v>2000</v>
      </c>
      <c r="N973" s="82">
        <v>26</v>
      </c>
      <c r="O973" s="4" t="s">
        <v>67</v>
      </c>
      <c r="P973" s="204" t="s">
        <v>5187</v>
      </c>
      <c r="Q973" s="19"/>
    </row>
    <row r="974" spans="1:17" s="203" customFormat="1" ht="45.5" customHeight="1">
      <c r="A974" s="213">
        <v>269</v>
      </c>
      <c r="B974" s="214" t="s">
        <v>6809</v>
      </c>
      <c r="C974" s="19" t="s">
        <v>6820</v>
      </c>
      <c r="D974" s="19" t="s">
        <v>2398</v>
      </c>
      <c r="E974" s="11" t="s">
        <v>2636</v>
      </c>
      <c r="F974" s="19" t="s">
        <v>6846</v>
      </c>
      <c r="G974" s="4" t="s">
        <v>2276</v>
      </c>
      <c r="H974" s="19" t="s">
        <v>6853</v>
      </c>
      <c r="I974" s="21">
        <v>46.2840104</v>
      </c>
      <c r="J974" s="21">
        <v>13.8594144</v>
      </c>
      <c r="K974" s="82">
        <f>84000/100</f>
        <v>840</v>
      </c>
      <c r="L974" s="19">
        <v>2000</v>
      </c>
      <c r="M974" s="19">
        <v>2000</v>
      </c>
      <c r="N974" s="82">
        <v>22</v>
      </c>
      <c r="O974" s="4" t="s">
        <v>67</v>
      </c>
      <c r="P974" s="204" t="s">
        <v>5187</v>
      </c>
      <c r="Q974" s="19"/>
    </row>
    <row r="975" spans="1:17" s="203" customFormat="1" ht="45.5" customHeight="1">
      <c r="A975" s="213">
        <v>269</v>
      </c>
      <c r="B975" s="214" t="s">
        <v>6809</v>
      </c>
      <c r="C975" s="19" t="s">
        <v>6821</v>
      </c>
      <c r="D975" s="19" t="s">
        <v>2398</v>
      </c>
      <c r="E975" s="11" t="s">
        <v>2636</v>
      </c>
      <c r="F975" s="19" t="s">
        <v>6863</v>
      </c>
      <c r="G975" s="4" t="s">
        <v>6864</v>
      </c>
      <c r="H975" s="19" t="s">
        <v>4942</v>
      </c>
      <c r="I975" s="21">
        <v>46.1666667</v>
      </c>
      <c r="J975" s="21">
        <v>11.25</v>
      </c>
      <c r="K975" s="82">
        <f>15000/100</f>
        <v>150</v>
      </c>
      <c r="L975" s="19">
        <v>2000</v>
      </c>
      <c r="M975" s="19">
        <v>2000</v>
      </c>
      <c r="N975" s="82">
        <v>69</v>
      </c>
      <c r="O975" s="4" t="s">
        <v>67</v>
      </c>
      <c r="P975" s="204" t="s">
        <v>5187</v>
      </c>
      <c r="Q975" s="19"/>
    </row>
    <row r="976" spans="1:17" s="203" customFormat="1" ht="45.5" customHeight="1">
      <c r="A976" s="213">
        <v>269</v>
      </c>
      <c r="B976" s="214" t="s">
        <v>6809</v>
      </c>
      <c r="C976" s="19" t="s">
        <v>6822</v>
      </c>
      <c r="D976" s="19" t="s">
        <v>2398</v>
      </c>
      <c r="E976" s="11" t="s">
        <v>2636</v>
      </c>
      <c r="F976" s="19" t="s">
        <v>6847</v>
      </c>
      <c r="G976" s="4" t="s">
        <v>2276</v>
      </c>
      <c r="H976" s="19" t="s">
        <v>6849</v>
      </c>
      <c r="I976" s="21">
        <v>47.3161925</v>
      </c>
      <c r="J976" s="21">
        <v>9.4316572999999995</v>
      </c>
      <c r="K976" s="82">
        <f>24000/100</f>
        <v>240</v>
      </c>
      <c r="L976" s="19">
        <v>2000</v>
      </c>
      <c r="M976" s="19">
        <v>2000</v>
      </c>
      <c r="N976" s="82">
        <v>224</v>
      </c>
      <c r="O976" s="4" t="s">
        <v>67</v>
      </c>
      <c r="P976" s="204" t="s">
        <v>5187</v>
      </c>
      <c r="Q976" s="19"/>
    </row>
    <row r="977" spans="1:17" s="203" customFormat="1" ht="45.5" customHeight="1">
      <c r="A977" s="213">
        <v>269</v>
      </c>
      <c r="B977" s="214" t="s">
        <v>6809</v>
      </c>
      <c r="C977" s="19" t="s">
        <v>6823</v>
      </c>
      <c r="D977" s="19" t="s">
        <v>2398</v>
      </c>
      <c r="E977" s="11" t="s">
        <v>2636</v>
      </c>
      <c r="F977" s="19" t="s">
        <v>6848</v>
      </c>
      <c r="G977" s="4" t="s">
        <v>2276</v>
      </c>
      <c r="H977" s="19" t="s">
        <v>6850</v>
      </c>
      <c r="I977" s="21">
        <v>47.539197100000003</v>
      </c>
      <c r="J977" s="21">
        <v>10.284401600000001</v>
      </c>
      <c r="K977" s="82">
        <f>153000/100</f>
        <v>1530</v>
      </c>
      <c r="L977" s="19">
        <v>2000</v>
      </c>
      <c r="M977" s="19">
        <v>2000</v>
      </c>
      <c r="N977" s="82">
        <v>94</v>
      </c>
      <c r="O977" s="4" t="s">
        <v>67</v>
      </c>
      <c r="P977" s="204" t="s">
        <v>5187</v>
      </c>
      <c r="Q977" s="19"/>
    </row>
    <row r="978" spans="1:17" s="203" customFormat="1" ht="45.5" customHeight="1">
      <c r="A978" s="213">
        <v>269</v>
      </c>
      <c r="B978" s="214" t="s">
        <v>6809</v>
      </c>
      <c r="C978" s="19" t="s">
        <v>6824</v>
      </c>
      <c r="D978" s="19" t="s">
        <v>2398</v>
      </c>
      <c r="E978" s="11" t="s">
        <v>2636</v>
      </c>
      <c r="F978" s="19" t="s">
        <v>6852</v>
      </c>
      <c r="G978" s="4" t="s">
        <v>6851</v>
      </c>
      <c r="H978" s="19" t="s">
        <v>6116</v>
      </c>
      <c r="I978" s="21">
        <v>45.717104900000002</v>
      </c>
      <c r="J978" s="21">
        <v>6.5742919999999998</v>
      </c>
      <c r="K978" s="82">
        <f>3890</f>
        <v>3890</v>
      </c>
      <c r="L978" s="19">
        <v>2000</v>
      </c>
      <c r="M978" s="19">
        <v>2000</v>
      </c>
      <c r="N978" s="82">
        <v>22</v>
      </c>
      <c r="O978" s="4" t="s">
        <v>67</v>
      </c>
      <c r="P978" s="204" t="s">
        <v>5187</v>
      </c>
      <c r="Q978" s="19"/>
    </row>
    <row r="979" spans="1:17" s="203" customFormat="1" ht="45.5" customHeight="1">
      <c r="A979" s="213">
        <v>269</v>
      </c>
      <c r="B979" s="214" t="s">
        <v>6809</v>
      </c>
      <c r="C979" s="19" t="s">
        <v>6825</v>
      </c>
      <c r="D979" s="19" t="s">
        <v>2398</v>
      </c>
      <c r="E979" s="11" t="s">
        <v>2636</v>
      </c>
      <c r="F979" s="19" t="s">
        <v>6854</v>
      </c>
      <c r="G979" s="4" t="s">
        <v>2276</v>
      </c>
      <c r="H979" s="19" t="s">
        <v>4942</v>
      </c>
      <c r="I979" s="21">
        <v>45.738887800000001</v>
      </c>
      <c r="J979" s="21">
        <v>7.4261866000000003</v>
      </c>
      <c r="K979" s="82">
        <v>3260</v>
      </c>
      <c r="L979" s="19">
        <v>2000</v>
      </c>
      <c r="M979" s="19">
        <v>2000</v>
      </c>
      <c r="N979" s="82">
        <v>36</v>
      </c>
      <c r="O979" s="4" t="s">
        <v>67</v>
      </c>
      <c r="P979" s="204" t="s">
        <v>5187</v>
      </c>
      <c r="Q979" s="19"/>
    </row>
    <row r="980" spans="1:17" s="203" customFormat="1" ht="45.5" customHeight="1">
      <c r="A980" s="213">
        <v>269</v>
      </c>
      <c r="B980" s="214" t="s">
        <v>6809</v>
      </c>
      <c r="C980" s="19" t="s">
        <v>6826</v>
      </c>
      <c r="D980" s="19" t="s">
        <v>2398</v>
      </c>
      <c r="E980" s="11" t="s">
        <v>2636</v>
      </c>
      <c r="F980" s="19" t="s">
        <v>6855</v>
      </c>
      <c r="G980" s="4" t="s">
        <v>2276</v>
      </c>
      <c r="H980" s="19" t="s">
        <v>6849</v>
      </c>
      <c r="I980" s="21">
        <v>46.190461399999997</v>
      </c>
      <c r="J980" s="21">
        <v>7.5449225999999996</v>
      </c>
      <c r="K980" s="82">
        <v>5220</v>
      </c>
      <c r="L980" s="19">
        <v>2000</v>
      </c>
      <c r="M980" s="19">
        <v>2000</v>
      </c>
      <c r="N980" s="82">
        <v>52</v>
      </c>
      <c r="O980" s="4" t="s">
        <v>67</v>
      </c>
      <c r="P980" s="204" t="s">
        <v>5187</v>
      </c>
      <c r="Q980" s="19"/>
    </row>
    <row r="981" spans="1:17" s="203" customFormat="1" ht="45.5" customHeight="1">
      <c r="A981" s="213">
        <v>269</v>
      </c>
      <c r="B981" s="214" t="s">
        <v>6809</v>
      </c>
      <c r="C981" s="19" t="s">
        <v>6827</v>
      </c>
      <c r="D981" s="19" t="s">
        <v>2398</v>
      </c>
      <c r="E981" s="11" t="s">
        <v>2636</v>
      </c>
      <c r="F981" s="19" t="s">
        <v>6865</v>
      </c>
      <c r="G981" s="4" t="s">
        <v>6866</v>
      </c>
      <c r="H981" s="19" t="s">
        <v>6116</v>
      </c>
      <c r="I981" s="21">
        <v>44.967608599999998</v>
      </c>
      <c r="J981" s="21">
        <v>5.5300643000000003</v>
      </c>
      <c r="K981" s="82">
        <v>1770</v>
      </c>
      <c r="L981" s="19">
        <v>2000</v>
      </c>
      <c r="M981" s="19">
        <v>2000</v>
      </c>
      <c r="N981" s="82">
        <v>17</v>
      </c>
      <c r="O981" s="4" t="s">
        <v>67</v>
      </c>
      <c r="P981" s="204" t="s">
        <v>5187</v>
      </c>
      <c r="Q981" s="19"/>
    </row>
    <row r="982" spans="1:17" s="203" customFormat="1" ht="45.5" customHeight="1">
      <c r="A982" s="213">
        <v>269</v>
      </c>
      <c r="B982" s="214" t="s">
        <v>6809</v>
      </c>
      <c r="C982" s="19" t="s">
        <v>6828</v>
      </c>
      <c r="D982" s="19" t="s">
        <v>2398</v>
      </c>
      <c r="E982" s="11" t="s">
        <v>2636</v>
      </c>
      <c r="F982" s="19" t="s">
        <v>6856</v>
      </c>
      <c r="G982" s="4" t="s">
        <v>2276</v>
      </c>
      <c r="H982" s="19" t="s">
        <v>6116</v>
      </c>
      <c r="I982" s="21">
        <v>46.374850000000002</v>
      </c>
      <c r="J982" s="21">
        <v>5.9737280000000004</v>
      </c>
      <c r="K982" s="82">
        <v>4300</v>
      </c>
      <c r="L982" s="19">
        <v>2000</v>
      </c>
      <c r="M982" s="19">
        <v>2000</v>
      </c>
      <c r="N982" s="82">
        <v>35</v>
      </c>
      <c r="O982" s="4" t="s">
        <v>67</v>
      </c>
      <c r="P982" s="204" t="s">
        <v>5187</v>
      </c>
      <c r="Q982" s="19"/>
    </row>
    <row r="983" spans="1:17" s="203" customFormat="1" ht="45.5" customHeight="1">
      <c r="A983" s="213">
        <v>269</v>
      </c>
      <c r="B983" s="214" t="s">
        <v>6809</v>
      </c>
      <c r="C983" s="19" t="s">
        <v>6829</v>
      </c>
      <c r="D983" s="19" t="s">
        <v>2398</v>
      </c>
      <c r="E983" s="11" t="s">
        <v>2636</v>
      </c>
      <c r="F983" s="19" t="s">
        <v>6858</v>
      </c>
      <c r="G983" s="4" t="s">
        <v>6857</v>
      </c>
      <c r="H983" s="19" t="s">
        <v>4314</v>
      </c>
      <c r="I983" s="21">
        <v>43.187215500000001</v>
      </c>
      <c r="J983" s="21">
        <v>-4.8215240000000001</v>
      </c>
      <c r="K983" s="82">
        <v>1800</v>
      </c>
      <c r="L983" s="19">
        <v>2000</v>
      </c>
      <c r="M983" s="19">
        <v>2000</v>
      </c>
      <c r="N983" s="82">
        <v>10</v>
      </c>
      <c r="O983" s="4" t="s">
        <v>67</v>
      </c>
      <c r="P983" s="204" t="s">
        <v>5187</v>
      </c>
      <c r="Q983" s="19"/>
    </row>
    <row r="984" spans="1:17" s="203" customFormat="1" ht="45.5" customHeight="1">
      <c r="A984" s="213">
        <v>269</v>
      </c>
      <c r="B984" s="214" t="s">
        <v>6809</v>
      </c>
      <c r="C984" s="19" t="s">
        <v>6830</v>
      </c>
      <c r="D984" s="19" t="s">
        <v>2398</v>
      </c>
      <c r="E984" s="11" t="s">
        <v>2636</v>
      </c>
      <c r="F984" s="19" t="s">
        <v>6859</v>
      </c>
      <c r="G984" s="4" t="s">
        <v>2276</v>
      </c>
      <c r="H984" s="19" t="s">
        <v>6116</v>
      </c>
      <c r="I984" s="21">
        <v>43.244912800000002</v>
      </c>
      <c r="J984" s="21">
        <v>-1.2891036</v>
      </c>
      <c r="K984" s="82">
        <v>2480</v>
      </c>
      <c r="L984" s="19">
        <v>2000</v>
      </c>
      <c r="M984" s="19">
        <v>2000</v>
      </c>
      <c r="N984" s="82">
        <v>100</v>
      </c>
      <c r="O984" s="4" t="s">
        <v>67</v>
      </c>
      <c r="P984" s="204" t="s">
        <v>5187</v>
      </c>
      <c r="Q984" s="19"/>
    </row>
    <row r="985" spans="1:17" s="203" customFormat="1" ht="45.5" customHeight="1">
      <c r="A985" s="213">
        <v>269</v>
      </c>
      <c r="B985" s="214" t="s">
        <v>6809</v>
      </c>
      <c r="C985" s="19" t="s">
        <v>6831</v>
      </c>
      <c r="D985" s="19" t="s">
        <v>2398</v>
      </c>
      <c r="E985" s="11" t="s">
        <v>2636</v>
      </c>
      <c r="F985" s="19" t="s">
        <v>6860</v>
      </c>
      <c r="G985" s="4" t="s">
        <v>2276</v>
      </c>
      <c r="H985" s="19" t="s">
        <v>4314</v>
      </c>
      <c r="I985" s="21">
        <v>42.95</v>
      </c>
      <c r="J985" s="21">
        <v>-2.3166669999999998</v>
      </c>
      <c r="K985" s="82">
        <v>1660</v>
      </c>
      <c r="L985" s="19">
        <v>2000</v>
      </c>
      <c r="M985" s="19">
        <v>2000</v>
      </c>
      <c r="N985" s="82">
        <v>13</v>
      </c>
      <c r="O985" s="4" t="s">
        <v>67</v>
      </c>
      <c r="P985" s="204" t="s">
        <v>5187</v>
      </c>
      <c r="Q985" s="19"/>
    </row>
    <row r="986" spans="1:17" s="203" customFormat="1" ht="45.5" customHeight="1">
      <c r="A986" s="213">
        <v>269</v>
      </c>
      <c r="B986" s="214" t="s">
        <v>6809</v>
      </c>
      <c r="C986" s="19" t="s">
        <v>6832</v>
      </c>
      <c r="D986" s="19" t="s">
        <v>2398</v>
      </c>
      <c r="E986" s="11" t="s">
        <v>2636</v>
      </c>
      <c r="F986" s="19" t="s">
        <v>6861</v>
      </c>
      <c r="G986" s="4" t="s">
        <v>2276</v>
      </c>
      <c r="H986" s="19" t="s">
        <v>6116</v>
      </c>
      <c r="I986" s="21">
        <v>42.840257893276302</v>
      </c>
      <c r="J986" s="21">
        <v>1.3032658975710401</v>
      </c>
      <c r="K986" s="82">
        <v>1200</v>
      </c>
      <c r="L986" s="19">
        <v>2000</v>
      </c>
      <c r="M986" s="19">
        <v>2000</v>
      </c>
      <c r="N986" s="82">
        <v>15</v>
      </c>
      <c r="O986" s="4" t="s">
        <v>67</v>
      </c>
      <c r="P986" s="204" t="s">
        <v>5187</v>
      </c>
      <c r="Q986" s="19"/>
    </row>
    <row r="987" spans="1:17" s="203" customFormat="1" ht="45.5" customHeight="1">
      <c r="A987" s="213">
        <v>269</v>
      </c>
      <c r="B987" s="214" t="s">
        <v>6809</v>
      </c>
      <c r="C987" s="19" t="s">
        <v>6833</v>
      </c>
      <c r="D987" s="19" t="s">
        <v>2398</v>
      </c>
      <c r="E987" s="11" t="s">
        <v>2636</v>
      </c>
      <c r="F987" s="19" t="s">
        <v>6862</v>
      </c>
      <c r="G987" s="4" t="s">
        <v>2276</v>
      </c>
      <c r="H987" s="19" t="s">
        <v>4314</v>
      </c>
      <c r="I987" s="21">
        <v>42.525766405594503</v>
      </c>
      <c r="J987" s="21">
        <v>1.08426298991359</v>
      </c>
      <c r="K987" s="82">
        <v>1120</v>
      </c>
      <c r="L987" s="19">
        <v>2000</v>
      </c>
      <c r="M987" s="19">
        <v>2000</v>
      </c>
      <c r="N987" s="82">
        <v>3</v>
      </c>
      <c r="O987" s="4" t="s">
        <v>67</v>
      </c>
      <c r="P987" s="204" t="s">
        <v>5187</v>
      </c>
      <c r="Q987" s="19"/>
    </row>
    <row r="988" spans="1:17" ht="45.5" customHeight="1">
      <c r="A988" s="193">
        <v>270</v>
      </c>
      <c r="B988" s="41" t="s">
        <v>6146</v>
      </c>
      <c r="C988" s="4" t="s">
        <v>6182</v>
      </c>
      <c r="D988" s="4" t="s">
        <v>2398</v>
      </c>
      <c r="E988" s="11" t="s">
        <v>4847</v>
      </c>
      <c r="F988" s="4" t="s">
        <v>2276</v>
      </c>
      <c r="G988" s="4" t="s">
        <v>4941</v>
      </c>
      <c r="H988" s="4" t="s">
        <v>4942</v>
      </c>
      <c r="I988" s="74">
        <v>40.201500000000003</v>
      </c>
      <c r="J988" s="74">
        <v>9.0214999999999996</v>
      </c>
      <c r="K988" s="75">
        <v>24100</v>
      </c>
      <c r="L988" s="4">
        <v>2006</v>
      </c>
      <c r="M988" s="4">
        <v>2010</v>
      </c>
      <c r="N988" s="75">
        <f>1650000/K988</f>
        <v>68.46473029045643</v>
      </c>
      <c r="O988" s="4" t="s">
        <v>67</v>
      </c>
      <c r="P988" s="204" t="s">
        <v>6187</v>
      </c>
      <c r="Q988" s="4"/>
    </row>
    <row r="989" spans="1:17" ht="45.5" customHeight="1">
      <c r="A989" s="193">
        <v>271</v>
      </c>
      <c r="B989" s="41" t="s">
        <v>6147</v>
      </c>
      <c r="C989" s="4" t="s">
        <v>6183</v>
      </c>
      <c r="D989" s="4" t="s">
        <v>2398</v>
      </c>
      <c r="E989" s="11" t="s">
        <v>4847</v>
      </c>
      <c r="F989" s="4" t="s">
        <v>2276</v>
      </c>
      <c r="G989" s="4" t="s">
        <v>2276</v>
      </c>
      <c r="H989" s="4" t="s">
        <v>6112</v>
      </c>
      <c r="I989" s="74">
        <v>39.666499999999999</v>
      </c>
      <c r="J989" s="74">
        <v>-8.3741666666666692</v>
      </c>
      <c r="K989" s="75">
        <v>89000</v>
      </c>
      <c r="L989" s="4">
        <v>2007</v>
      </c>
      <c r="M989" s="4">
        <v>2014</v>
      </c>
      <c r="N989" s="75" t="s">
        <v>2276</v>
      </c>
      <c r="O989" s="4" t="s">
        <v>67</v>
      </c>
      <c r="P989" s="3" t="s">
        <v>6187</v>
      </c>
      <c r="Q989" s="4"/>
    </row>
    <row r="990" spans="1:17" ht="71" customHeight="1">
      <c r="A990" s="213">
        <v>272</v>
      </c>
      <c r="B990" s="214" t="s">
        <v>6899</v>
      </c>
      <c r="C990" s="19" t="s">
        <v>6184</v>
      </c>
      <c r="D990" s="19" t="s">
        <v>2398</v>
      </c>
      <c r="E990" s="11" t="s">
        <v>4847</v>
      </c>
      <c r="F990" s="4" t="s">
        <v>2276</v>
      </c>
      <c r="G990" s="4" t="s">
        <v>6113</v>
      </c>
      <c r="H990" s="4" t="s">
        <v>4314</v>
      </c>
      <c r="I990" s="74">
        <v>42.799928600000001</v>
      </c>
      <c r="J990" s="74">
        <v>-8.0177344000000002</v>
      </c>
      <c r="K990" s="75">
        <f>SUM(K991:K996)</f>
        <v>29109</v>
      </c>
      <c r="L990" s="4">
        <v>1988</v>
      </c>
      <c r="M990" s="4">
        <v>2006</v>
      </c>
      <c r="N990" s="75" t="s">
        <v>2276</v>
      </c>
      <c r="O990" s="4" t="s">
        <v>67</v>
      </c>
      <c r="P990" s="204" t="s">
        <v>5187</v>
      </c>
      <c r="Q990" s="19" t="s">
        <v>6900</v>
      </c>
    </row>
    <row r="991" spans="1:17" s="203" customFormat="1" ht="71" customHeight="1">
      <c r="A991" s="213">
        <v>272</v>
      </c>
      <c r="B991" s="214" t="s">
        <v>6899</v>
      </c>
      <c r="C991" s="19" t="s">
        <v>6185</v>
      </c>
      <c r="D991" s="19" t="s">
        <v>2398</v>
      </c>
      <c r="E991" s="11" t="s">
        <v>4847</v>
      </c>
      <c r="F991" s="4" t="s">
        <v>2276</v>
      </c>
      <c r="G991" s="4" t="s">
        <v>6113</v>
      </c>
      <c r="H991" s="4" t="s">
        <v>4314</v>
      </c>
      <c r="I991" s="74">
        <v>42.799928600000001</v>
      </c>
      <c r="J991" s="74">
        <v>-8.0177344000000002</v>
      </c>
      <c r="K991" s="75">
        <f>36*9300/100</f>
        <v>3348</v>
      </c>
      <c r="L991" s="4">
        <v>1988</v>
      </c>
      <c r="M991" s="4">
        <v>2006</v>
      </c>
      <c r="N991" s="75" t="s">
        <v>2276</v>
      </c>
      <c r="O991" s="4" t="s">
        <v>67</v>
      </c>
      <c r="P991" s="204" t="s">
        <v>5187</v>
      </c>
      <c r="Q991" s="19" t="s">
        <v>6916</v>
      </c>
    </row>
    <row r="992" spans="1:17" s="203" customFormat="1" ht="71" customHeight="1">
      <c r="A992" s="213">
        <v>272</v>
      </c>
      <c r="B992" s="214" t="s">
        <v>6899</v>
      </c>
      <c r="C992" s="19" t="s">
        <v>6186</v>
      </c>
      <c r="D992" s="19" t="s">
        <v>2398</v>
      </c>
      <c r="E992" s="11" t="s">
        <v>4847</v>
      </c>
      <c r="F992" s="4" t="s">
        <v>2276</v>
      </c>
      <c r="G992" s="4" t="s">
        <v>6113</v>
      </c>
      <c r="H992" s="4" t="s">
        <v>4314</v>
      </c>
      <c r="I992" s="74">
        <v>42.799928600000001</v>
      </c>
      <c r="J992" s="74">
        <v>-8.0177344000000002</v>
      </c>
      <c r="K992" s="75">
        <f>37*9300/100</f>
        <v>3441</v>
      </c>
      <c r="L992" s="4">
        <v>1988</v>
      </c>
      <c r="M992" s="4">
        <v>2006</v>
      </c>
      <c r="N992" s="75" t="s">
        <v>2276</v>
      </c>
      <c r="O992" s="4" t="s">
        <v>67</v>
      </c>
      <c r="P992" s="204" t="s">
        <v>5187</v>
      </c>
      <c r="Q992" s="19" t="s">
        <v>6916</v>
      </c>
    </row>
    <row r="993" spans="1:17" s="203" customFormat="1" ht="71" customHeight="1">
      <c r="A993" s="213">
        <v>272</v>
      </c>
      <c r="B993" s="214" t="s">
        <v>6899</v>
      </c>
      <c r="C993" s="19" t="s">
        <v>6901</v>
      </c>
      <c r="D993" s="19" t="s">
        <v>2398</v>
      </c>
      <c r="E993" s="11" t="s">
        <v>4847</v>
      </c>
      <c r="F993" s="4" t="s">
        <v>2276</v>
      </c>
      <c r="G993" s="4" t="s">
        <v>6113</v>
      </c>
      <c r="H993" s="4" t="s">
        <v>4314</v>
      </c>
      <c r="I993" s="74">
        <v>42.799928600000001</v>
      </c>
      <c r="J993" s="74">
        <v>-8.0177344000000002</v>
      </c>
      <c r="K993" s="75">
        <f>92*9300/100</f>
        <v>8556</v>
      </c>
      <c r="L993" s="4">
        <v>1988</v>
      </c>
      <c r="M993" s="4">
        <v>2006</v>
      </c>
      <c r="N993" s="75" t="s">
        <v>2276</v>
      </c>
      <c r="O993" s="4" t="s">
        <v>67</v>
      </c>
      <c r="P993" s="204" t="s">
        <v>5187</v>
      </c>
      <c r="Q993" s="19" t="s">
        <v>6916</v>
      </c>
    </row>
    <row r="994" spans="1:17" s="203" customFormat="1" ht="71" customHeight="1">
      <c r="A994" s="213">
        <v>272</v>
      </c>
      <c r="B994" s="214" t="s">
        <v>6899</v>
      </c>
      <c r="C994" s="19" t="s">
        <v>6902</v>
      </c>
      <c r="D994" s="19" t="s">
        <v>2398</v>
      </c>
      <c r="E994" s="11" t="s">
        <v>4847</v>
      </c>
      <c r="F994" s="4" t="s">
        <v>2276</v>
      </c>
      <c r="G994" s="4" t="s">
        <v>6113</v>
      </c>
      <c r="H994" s="4" t="s">
        <v>4314</v>
      </c>
      <c r="I994" s="74">
        <v>42.799928600000001</v>
      </c>
      <c r="J994" s="74">
        <v>-8.0177344000000002</v>
      </c>
      <c r="K994" s="75">
        <f>110*9300/100</f>
        <v>10230</v>
      </c>
      <c r="L994" s="4">
        <v>1988</v>
      </c>
      <c r="M994" s="4">
        <v>2006</v>
      </c>
      <c r="N994" s="75" t="s">
        <v>2276</v>
      </c>
      <c r="O994" s="4" t="s">
        <v>67</v>
      </c>
      <c r="P994" s="204" t="s">
        <v>5187</v>
      </c>
      <c r="Q994" s="19" t="s">
        <v>6916</v>
      </c>
    </row>
    <row r="995" spans="1:17" s="203" customFormat="1" ht="71" customHeight="1">
      <c r="A995" s="213">
        <v>272</v>
      </c>
      <c r="B995" s="214" t="s">
        <v>6899</v>
      </c>
      <c r="C995" s="19" t="s">
        <v>6903</v>
      </c>
      <c r="D995" s="19" t="s">
        <v>2398</v>
      </c>
      <c r="E995" s="11" t="s">
        <v>4847</v>
      </c>
      <c r="F995" s="4" t="s">
        <v>2276</v>
      </c>
      <c r="G995" s="4" t="s">
        <v>6113</v>
      </c>
      <c r="H995" s="4" t="s">
        <v>4314</v>
      </c>
      <c r="I995" s="74">
        <v>42.799928600000001</v>
      </c>
      <c r="J995" s="74">
        <v>-8.0177344000000002</v>
      </c>
      <c r="K995" s="75">
        <f>17*9300/100</f>
        <v>1581</v>
      </c>
      <c r="L995" s="4">
        <v>1988</v>
      </c>
      <c r="M995" s="4">
        <v>2006</v>
      </c>
      <c r="N995" s="75" t="s">
        <v>2276</v>
      </c>
      <c r="O995" s="4" t="s">
        <v>67</v>
      </c>
      <c r="P995" s="204" t="s">
        <v>5187</v>
      </c>
      <c r="Q995" s="19" t="s">
        <v>6916</v>
      </c>
    </row>
    <row r="996" spans="1:17" s="203" customFormat="1" ht="71" customHeight="1">
      <c r="A996" s="213">
        <v>272</v>
      </c>
      <c r="B996" s="214" t="s">
        <v>6899</v>
      </c>
      <c r="C996" s="19" t="s">
        <v>6928</v>
      </c>
      <c r="D996" s="19" t="s">
        <v>2398</v>
      </c>
      <c r="E996" s="11" t="s">
        <v>4847</v>
      </c>
      <c r="F996" s="4" t="s">
        <v>2276</v>
      </c>
      <c r="G996" s="4" t="s">
        <v>6113</v>
      </c>
      <c r="H996" s="4" t="s">
        <v>4314</v>
      </c>
      <c r="I996" s="74">
        <v>42.799928600000001</v>
      </c>
      <c r="J996" s="74">
        <v>-8.0177344000000002</v>
      </c>
      <c r="K996" s="75">
        <f>21*9300/100</f>
        <v>1953</v>
      </c>
      <c r="L996" s="4">
        <v>1988</v>
      </c>
      <c r="M996" s="4">
        <v>2006</v>
      </c>
      <c r="N996" s="75" t="s">
        <v>2276</v>
      </c>
      <c r="O996" s="4" t="s">
        <v>67</v>
      </c>
      <c r="P996" s="204" t="s">
        <v>5187</v>
      </c>
      <c r="Q996" s="19" t="s">
        <v>6916</v>
      </c>
    </row>
    <row r="997" spans="1:17" ht="71" customHeight="1">
      <c r="A997" s="31">
        <v>273</v>
      </c>
      <c r="B997" s="40" t="s">
        <v>6265</v>
      </c>
      <c r="C997" s="3" t="s">
        <v>6364</v>
      </c>
      <c r="D997" s="3" t="s">
        <v>2398</v>
      </c>
      <c r="E997" s="3" t="s">
        <v>2399</v>
      </c>
      <c r="F997" s="3" t="s">
        <v>1282</v>
      </c>
      <c r="G997" s="3" t="s">
        <v>87</v>
      </c>
      <c r="H997" s="3" t="s">
        <v>88</v>
      </c>
      <c r="I997" s="21">
        <v>31.633979</v>
      </c>
      <c r="J997" s="21">
        <v>74.872264000000001</v>
      </c>
      <c r="K997" s="75" t="s">
        <v>2276</v>
      </c>
      <c r="L997" s="3">
        <v>2010</v>
      </c>
      <c r="M997" s="3">
        <v>2010</v>
      </c>
      <c r="N997" s="75" t="s">
        <v>2276</v>
      </c>
      <c r="O997" s="3" t="s">
        <v>67</v>
      </c>
      <c r="P997" s="3" t="s">
        <v>6325</v>
      </c>
      <c r="Q997" s="4" t="s">
        <v>6266</v>
      </c>
    </row>
    <row r="998" spans="1:17" ht="71" customHeight="1">
      <c r="A998" s="31">
        <v>273</v>
      </c>
      <c r="B998" s="40" t="s">
        <v>6265</v>
      </c>
      <c r="C998" s="3" t="s">
        <v>6365</v>
      </c>
      <c r="D998" s="3" t="s">
        <v>2398</v>
      </c>
      <c r="E998" s="3" t="s">
        <v>2399</v>
      </c>
      <c r="F998" s="3" t="s">
        <v>1290</v>
      </c>
      <c r="G998" s="3" t="s">
        <v>87</v>
      </c>
      <c r="H998" s="3" t="s">
        <v>88</v>
      </c>
      <c r="I998" s="21">
        <v>30.900964999999999</v>
      </c>
      <c r="J998" s="21">
        <v>75.857275999999999</v>
      </c>
      <c r="K998" s="75" t="s">
        <v>2276</v>
      </c>
      <c r="L998" s="3">
        <v>2010</v>
      </c>
      <c r="M998" s="3">
        <v>2010</v>
      </c>
      <c r="N998" s="75" t="s">
        <v>2276</v>
      </c>
      <c r="O998" s="3" t="s">
        <v>67</v>
      </c>
      <c r="P998" s="3" t="s">
        <v>6325</v>
      </c>
      <c r="Q998" s="4" t="s">
        <v>6267</v>
      </c>
    </row>
    <row r="999" spans="1:17" ht="71" customHeight="1">
      <c r="A999" s="31">
        <v>273</v>
      </c>
      <c r="B999" s="40" t="s">
        <v>6265</v>
      </c>
      <c r="C999" s="3" t="s">
        <v>6366</v>
      </c>
      <c r="D999" s="3" t="s">
        <v>2398</v>
      </c>
      <c r="E999" s="3" t="s">
        <v>2399</v>
      </c>
      <c r="F999" s="3" t="s">
        <v>1292</v>
      </c>
      <c r="G999" s="3" t="s">
        <v>87</v>
      </c>
      <c r="H999" s="3" t="s">
        <v>88</v>
      </c>
      <c r="I999" s="21">
        <v>30.245795999999999</v>
      </c>
      <c r="J999" s="21">
        <v>74.842072000000002</v>
      </c>
      <c r="K999" s="75" t="s">
        <v>2276</v>
      </c>
      <c r="L999" s="3">
        <v>2010</v>
      </c>
      <c r="M999" s="3">
        <v>2010</v>
      </c>
      <c r="N999" s="75" t="s">
        <v>2276</v>
      </c>
      <c r="O999" s="3" t="s">
        <v>67</v>
      </c>
      <c r="P999" s="3" t="s">
        <v>6325</v>
      </c>
      <c r="Q999" s="4" t="s">
        <v>6268</v>
      </c>
    </row>
    <row r="1000" spans="1:17" ht="71" customHeight="1">
      <c r="A1000" s="31">
        <v>274</v>
      </c>
      <c r="B1000" s="40" t="s">
        <v>6269</v>
      </c>
      <c r="C1000" s="31" t="s">
        <v>6367</v>
      </c>
      <c r="D1000" s="3" t="s">
        <v>2398</v>
      </c>
      <c r="E1000" s="3" t="s">
        <v>2399</v>
      </c>
      <c r="F1000" s="75" t="s">
        <v>2276</v>
      </c>
      <c r="G1000" s="3" t="s">
        <v>6270</v>
      </c>
      <c r="H1000" s="3" t="s">
        <v>88</v>
      </c>
      <c r="I1000" s="75">
        <f>AVERAGE(I39,I8)</f>
        <v>30.226188616332699</v>
      </c>
      <c r="J1000" s="75">
        <f>AVERAGE(J39,J8)</f>
        <v>75.750873684034303</v>
      </c>
      <c r="K1000" s="75" t="s">
        <v>2276</v>
      </c>
      <c r="L1000" s="3">
        <v>2007</v>
      </c>
      <c r="M1000" s="3">
        <v>2008</v>
      </c>
      <c r="N1000" s="75" t="s">
        <v>2276</v>
      </c>
      <c r="O1000" s="3" t="s">
        <v>67</v>
      </c>
      <c r="P1000" s="3" t="s">
        <v>6325</v>
      </c>
      <c r="Q1000" s="4" t="s">
        <v>6326</v>
      </c>
    </row>
    <row r="1001" spans="1:17" ht="71" customHeight="1">
      <c r="A1001" s="31">
        <v>275</v>
      </c>
      <c r="B1001" s="40" t="s">
        <v>6271</v>
      </c>
      <c r="C1001" s="3" t="s">
        <v>6327</v>
      </c>
      <c r="D1001" s="3" t="s">
        <v>2398</v>
      </c>
      <c r="E1001" s="3" t="s">
        <v>2399</v>
      </c>
      <c r="F1001" s="3" t="s">
        <v>1291</v>
      </c>
      <c r="G1001" s="3" t="s">
        <v>87</v>
      </c>
      <c r="H1001" s="3" t="s">
        <v>88</v>
      </c>
      <c r="I1001" s="201">
        <v>30.339780999999999</v>
      </c>
      <c r="J1001" s="201">
        <v>76.386880000000005</v>
      </c>
      <c r="K1001" s="75" t="s">
        <v>2276</v>
      </c>
      <c r="L1001" s="3">
        <v>2005</v>
      </c>
      <c r="M1001" s="3">
        <v>2005</v>
      </c>
      <c r="N1001" s="75" t="s">
        <v>2276</v>
      </c>
      <c r="O1001" s="3" t="s">
        <v>67</v>
      </c>
      <c r="P1001" s="3" t="s">
        <v>6325</v>
      </c>
      <c r="Q1001" s="4" t="s">
        <v>6272</v>
      </c>
    </row>
    <row r="1002" spans="1:17" ht="58">
      <c r="A1002" s="31">
        <v>275</v>
      </c>
      <c r="B1002" s="40" t="s">
        <v>6271</v>
      </c>
      <c r="C1002" s="3" t="s">
        <v>6328</v>
      </c>
      <c r="D1002" s="3" t="s">
        <v>2398</v>
      </c>
      <c r="E1002" s="3" t="s">
        <v>2399</v>
      </c>
      <c r="F1002" s="3" t="s">
        <v>6273</v>
      </c>
      <c r="G1002" s="3" t="s">
        <v>90</v>
      </c>
      <c r="H1002" s="3" t="s">
        <v>88</v>
      </c>
      <c r="I1002" s="201">
        <v>29.969512000000002</v>
      </c>
      <c r="J1002" s="201">
        <v>76.878281999999999</v>
      </c>
      <c r="K1002" s="75" t="s">
        <v>2276</v>
      </c>
      <c r="L1002" s="3">
        <v>2005</v>
      </c>
      <c r="M1002" s="3">
        <v>2005</v>
      </c>
      <c r="N1002" s="75" t="s">
        <v>2276</v>
      </c>
      <c r="O1002" s="3" t="s">
        <v>67</v>
      </c>
      <c r="P1002" s="3" t="s">
        <v>6325</v>
      </c>
      <c r="Q1002" s="4" t="s">
        <v>6272</v>
      </c>
    </row>
    <row r="1003" spans="1:17" ht="58">
      <c r="A1003" s="31">
        <v>275</v>
      </c>
      <c r="B1003" s="40" t="s">
        <v>6271</v>
      </c>
      <c r="C1003" s="3" t="s">
        <v>6329</v>
      </c>
      <c r="D1003" s="3" t="s">
        <v>2398</v>
      </c>
      <c r="E1003" s="3" t="s">
        <v>2399</v>
      </c>
      <c r="F1003" s="3" t="s">
        <v>6274</v>
      </c>
      <c r="G1003" s="3" t="s">
        <v>90</v>
      </c>
      <c r="H1003" s="3" t="s">
        <v>88</v>
      </c>
      <c r="I1003" s="201">
        <v>29.149187999999999</v>
      </c>
      <c r="J1003" s="201">
        <v>75.721653000000003</v>
      </c>
      <c r="K1003" s="75" t="s">
        <v>2276</v>
      </c>
      <c r="L1003" s="3">
        <v>2005</v>
      </c>
      <c r="M1003" s="3">
        <v>2005</v>
      </c>
      <c r="N1003" s="75" t="s">
        <v>2276</v>
      </c>
      <c r="O1003" s="3" t="s">
        <v>67</v>
      </c>
      <c r="P1003" s="3" t="s">
        <v>6325</v>
      </c>
      <c r="Q1003" s="4" t="s">
        <v>6272</v>
      </c>
    </row>
    <row r="1004" spans="1:17" ht="58">
      <c r="A1004" s="31">
        <v>275</v>
      </c>
      <c r="B1004" s="40" t="s">
        <v>6275</v>
      </c>
      <c r="C1004" s="3" t="s">
        <v>6330</v>
      </c>
      <c r="D1004" s="3" t="s">
        <v>2398</v>
      </c>
      <c r="E1004" s="3" t="s">
        <v>2399</v>
      </c>
      <c r="F1004" s="3" t="s">
        <v>6276</v>
      </c>
      <c r="G1004" s="3" t="s">
        <v>6277</v>
      </c>
      <c r="H1004" s="3" t="s">
        <v>88</v>
      </c>
      <c r="I1004" s="201">
        <v>28.984462000000001</v>
      </c>
      <c r="J1004" s="201">
        <v>77.706413999999995</v>
      </c>
      <c r="K1004" s="75" t="s">
        <v>2276</v>
      </c>
      <c r="L1004" s="3">
        <v>2005</v>
      </c>
      <c r="M1004" s="3">
        <v>2005</v>
      </c>
      <c r="N1004" s="75" t="s">
        <v>2276</v>
      </c>
      <c r="O1004" s="3" t="s">
        <v>67</v>
      </c>
      <c r="P1004" s="3" t="s">
        <v>6325</v>
      </c>
      <c r="Q1004" s="4" t="s">
        <v>6272</v>
      </c>
    </row>
    <row r="1005" spans="1:17" ht="58">
      <c r="A1005" s="31">
        <v>275</v>
      </c>
      <c r="B1005" s="40" t="s">
        <v>6275</v>
      </c>
      <c r="C1005" s="3" t="s">
        <v>6331</v>
      </c>
      <c r="D1005" s="3" t="s">
        <v>2398</v>
      </c>
      <c r="E1005" s="3" t="s">
        <v>2399</v>
      </c>
      <c r="F1005" s="3" t="s">
        <v>6278</v>
      </c>
      <c r="G1005" s="3" t="s">
        <v>6277</v>
      </c>
      <c r="H1005" s="3" t="s">
        <v>88</v>
      </c>
      <c r="I1005" s="201">
        <v>26.449922999999998</v>
      </c>
      <c r="J1005" s="201">
        <v>80.331873999999999</v>
      </c>
      <c r="K1005" s="75" t="s">
        <v>2276</v>
      </c>
      <c r="L1005" s="3">
        <v>2005</v>
      </c>
      <c r="M1005" s="3">
        <v>2005</v>
      </c>
      <c r="N1005" s="75" t="s">
        <v>2276</v>
      </c>
      <c r="O1005" s="3" t="s">
        <v>67</v>
      </c>
      <c r="P1005" s="3" t="s">
        <v>6325</v>
      </c>
      <c r="Q1005" s="4" t="s">
        <v>6272</v>
      </c>
    </row>
    <row r="1006" spans="1:17" ht="58">
      <c r="A1006" s="31">
        <v>275</v>
      </c>
      <c r="B1006" s="40" t="s">
        <v>6275</v>
      </c>
      <c r="C1006" s="3" t="s">
        <v>6332</v>
      </c>
      <c r="D1006" s="3" t="s">
        <v>2398</v>
      </c>
      <c r="E1006" s="3" t="s">
        <v>2399</v>
      </c>
      <c r="F1006" s="3" t="s">
        <v>6279</v>
      </c>
      <c r="G1006" s="3" t="s">
        <v>6277</v>
      </c>
      <c r="H1006" s="3" t="s">
        <v>88</v>
      </c>
      <c r="I1006" s="201">
        <v>26.772974999999999</v>
      </c>
      <c r="J1006" s="201">
        <v>82.145792999999998</v>
      </c>
      <c r="K1006" s="75" t="s">
        <v>2276</v>
      </c>
      <c r="L1006" s="3">
        <v>2005</v>
      </c>
      <c r="M1006" s="3">
        <v>2005</v>
      </c>
      <c r="N1006" s="75" t="s">
        <v>2276</v>
      </c>
      <c r="O1006" s="3" t="s">
        <v>67</v>
      </c>
      <c r="P1006" s="3" t="s">
        <v>6325</v>
      </c>
      <c r="Q1006" s="4" t="s">
        <v>6272</v>
      </c>
    </row>
    <row r="1007" spans="1:17" ht="58">
      <c r="A1007" s="31">
        <v>275</v>
      </c>
      <c r="B1007" s="40" t="s">
        <v>6280</v>
      </c>
      <c r="C1007" s="3" t="s">
        <v>6333</v>
      </c>
      <c r="D1007" s="3" t="s">
        <v>2398</v>
      </c>
      <c r="E1007" s="3" t="s">
        <v>2399</v>
      </c>
      <c r="F1007" s="3" t="s">
        <v>6281</v>
      </c>
      <c r="G1007" s="3" t="s">
        <v>6282</v>
      </c>
      <c r="H1007" s="3" t="s">
        <v>88</v>
      </c>
      <c r="I1007" s="201">
        <v>25.466155000000001</v>
      </c>
      <c r="J1007" s="201">
        <v>84.522219000000007</v>
      </c>
      <c r="K1007" s="75" t="s">
        <v>2276</v>
      </c>
      <c r="L1007" s="3">
        <v>2005</v>
      </c>
      <c r="M1007" s="3">
        <v>2005</v>
      </c>
      <c r="N1007" s="75" t="s">
        <v>2276</v>
      </c>
      <c r="O1007" s="3" t="s">
        <v>67</v>
      </c>
      <c r="P1007" s="3" t="s">
        <v>6325</v>
      </c>
      <c r="Q1007" s="4" t="s">
        <v>6272</v>
      </c>
    </row>
    <row r="1008" spans="1:17" ht="58">
      <c r="A1008" s="31">
        <v>275</v>
      </c>
      <c r="B1008" s="40" t="s">
        <v>6280</v>
      </c>
      <c r="C1008" s="3" t="s">
        <v>6334</v>
      </c>
      <c r="D1008" s="3" t="s">
        <v>2398</v>
      </c>
      <c r="E1008" s="3" t="s">
        <v>2399</v>
      </c>
      <c r="F1008" s="3" t="s">
        <v>6283</v>
      </c>
      <c r="G1008" s="3" t="s">
        <v>6282</v>
      </c>
      <c r="H1008" s="3" t="s">
        <v>88</v>
      </c>
      <c r="I1008" s="201">
        <v>25.856027000000001</v>
      </c>
      <c r="J1008" s="201">
        <v>85.786822999999998</v>
      </c>
      <c r="K1008" s="75" t="s">
        <v>2276</v>
      </c>
      <c r="L1008" s="3">
        <v>2005</v>
      </c>
      <c r="M1008" s="3">
        <v>2005</v>
      </c>
      <c r="N1008" s="75" t="s">
        <v>2276</v>
      </c>
      <c r="O1008" s="3" t="s">
        <v>67</v>
      </c>
      <c r="P1008" s="3" t="s">
        <v>6325</v>
      </c>
      <c r="Q1008" s="4" t="s">
        <v>6272</v>
      </c>
    </row>
    <row r="1009" spans="1:17" ht="58">
      <c r="A1009" s="31">
        <v>275</v>
      </c>
      <c r="B1009" s="40" t="s">
        <v>6280</v>
      </c>
      <c r="C1009" s="3" t="s">
        <v>6335</v>
      </c>
      <c r="D1009" s="3" t="s">
        <v>2398</v>
      </c>
      <c r="E1009" s="3" t="s">
        <v>2399</v>
      </c>
      <c r="F1009" s="3" t="s">
        <v>6284</v>
      </c>
      <c r="G1009" s="3" t="s">
        <v>6282</v>
      </c>
      <c r="H1009" s="3" t="s">
        <v>88</v>
      </c>
      <c r="I1009" s="201">
        <v>25.418164000000001</v>
      </c>
      <c r="J1009" s="201">
        <v>86.127154000000004</v>
      </c>
      <c r="K1009" s="75" t="s">
        <v>2276</v>
      </c>
      <c r="L1009" s="3">
        <v>2005</v>
      </c>
      <c r="M1009" s="3">
        <v>2005</v>
      </c>
      <c r="N1009" s="75" t="s">
        <v>2276</v>
      </c>
      <c r="O1009" s="3" t="s">
        <v>67</v>
      </c>
      <c r="P1009" s="3" t="s">
        <v>6325</v>
      </c>
      <c r="Q1009" s="4" t="s">
        <v>6272</v>
      </c>
    </row>
    <row r="1010" spans="1:17" ht="58">
      <c r="A1010" s="31">
        <v>275</v>
      </c>
      <c r="B1010" s="40" t="s">
        <v>6285</v>
      </c>
      <c r="C1010" s="3" t="s">
        <v>6336</v>
      </c>
      <c r="D1010" s="3" t="s">
        <v>2398</v>
      </c>
      <c r="E1010" s="3" t="s">
        <v>2399</v>
      </c>
      <c r="F1010" s="3" t="s">
        <v>6286</v>
      </c>
      <c r="G1010" s="3" t="s">
        <v>6287</v>
      </c>
      <c r="H1010" s="3" t="s">
        <v>88</v>
      </c>
      <c r="I1010" s="201">
        <v>25.178577000000001</v>
      </c>
      <c r="J1010" s="201">
        <v>88.246117999999996</v>
      </c>
      <c r="K1010" s="75" t="s">
        <v>2276</v>
      </c>
      <c r="L1010" s="3">
        <v>2005</v>
      </c>
      <c r="M1010" s="3">
        <v>2005</v>
      </c>
      <c r="N1010" s="75" t="s">
        <v>2276</v>
      </c>
      <c r="O1010" s="3" t="s">
        <v>67</v>
      </c>
      <c r="P1010" s="3" t="s">
        <v>6325</v>
      </c>
      <c r="Q1010" s="4" t="s">
        <v>6272</v>
      </c>
    </row>
    <row r="1011" spans="1:17" ht="58">
      <c r="A1011" s="31">
        <v>275</v>
      </c>
      <c r="B1011" s="40" t="s">
        <v>6285</v>
      </c>
      <c r="C1011" s="3" t="s">
        <v>6337</v>
      </c>
      <c r="D1011" s="3" t="s">
        <v>2398</v>
      </c>
      <c r="E1011" s="3" t="s">
        <v>2399</v>
      </c>
      <c r="F1011" s="3" t="s">
        <v>6288</v>
      </c>
      <c r="G1011" s="3" t="s">
        <v>6287</v>
      </c>
      <c r="H1011" s="3" t="s">
        <v>88</v>
      </c>
      <c r="I1011" s="201">
        <v>24.617218000000001</v>
      </c>
      <c r="J1011" s="201">
        <v>88.303489999999996</v>
      </c>
      <c r="K1011" s="75" t="s">
        <v>2276</v>
      </c>
      <c r="L1011" s="3">
        <v>2005</v>
      </c>
      <c r="M1011" s="3">
        <v>2005</v>
      </c>
      <c r="N1011" s="75" t="s">
        <v>2276</v>
      </c>
      <c r="O1011" s="3" t="s">
        <v>67</v>
      </c>
      <c r="P1011" s="3" t="s">
        <v>6325</v>
      </c>
      <c r="Q1011" s="4" t="s">
        <v>6272</v>
      </c>
    </row>
    <row r="1012" spans="1:17" ht="58">
      <c r="A1012" s="31">
        <v>275</v>
      </c>
      <c r="B1012" s="40" t="s">
        <v>6285</v>
      </c>
      <c r="C1012" s="3" t="s">
        <v>6338</v>
      </c>
      <c r="D1012" s="3" t="s">
        <v>2398</v>
      </c>
      <c r="E1012" s="3" t="s">
        <v>2399</v>
      </c>
      <c r="F1012" s="3" t="s">
        <v>6289</v>
      </c>
      <c r="G1012" s="3" t="s">
        <v>6287</v>
      </c>
      <c r="H1012" s="3" t="s">
        <v>88</v>
      </c>
      <c r="I1012" s="201">
        <v>22.425661000000002</v>
      </c>
      <c r="J1012" s="201">
        <v>87.319882000000007</v>
      </c>
      <c r="K1012" s="75" t="s">
        <v>2276</v>
      </c>
      <c r="L1012" s="3">
        <v>2005</v>
      </c>
      <c r="M1012" s="3">
        <v>2005</v>
      </c>
      <c r="N1012" s="75" t="s">
        <v>2276</v>
      </c>
      <c r="O1012" s="3" t="s">
        <v>67</v>
      </c>
      <c r="P1012" s="3" t="s">
        <v>6325</v>
      </c>
      <c r="Q1012" s="4" t="s">
        <v>6272</v>
      </c>
    </row>
    <row r="1013" spans="1:17" ht="51" customHeight="1">
      <c r="A1013" s="31">
        <v>276</v>
      </c>
      <c r="B1013" s="41" t="s">
        <v>6290</v>
      </c>
      <c r="C1013" s="3" t="s">
        <v>6339</v>
      </c>
      <c r="D1013" s="3" t="s">
        <v>2398</v>
      </c>
      <c r="E1013" s="3" t="s">
        <v>2422</v>
      </c>
      <c r="F1013" s="3" t="s">
        <v>6291</v>
      </c>
      <c r="G1013" s="3" t="s">
        <v>6292</v>
      </c>
      <c r="H1013" s="3" t="s">
        <v>1052</v>
      </c>
      <c r="I1013" s="201">
        <v>18.788343999999999</v>
      </c>
      <c r="J1013" s="201">
        <v>98.985301000000007</v>
      </c>
      <c r="K1013" s="75" t="s">
        <v>2276</v>
      </c>
      <c r="L1013" s="3">
        <v>2019</v>
      </c>
      <c r="M1013" s="3">
        <v>2019</v>
      </c>
      <c r="N1013" s="75" t="s">
        <v>2276</v>
      </c>
      <c r="O1013" s="3" t="s">
        <v>67</v>
      </c>
      <c r="P1013" s="3" t="s">
        <v>6325</v>
      </c>
      <c r="Q1013" s="4" t="s">
        <v>6293</v>
      </c>
    </row>
    <row r="1014" spans="1:17" ht="87">
      <c r="A1014" s="31">
        <v>277</v>
      </c>
      <c r="B1014" s="40" t="s">
        <v>8597</v>
      </c>
      <c r="C1014" s="3" t="s">
        <v>6340</v>
      </c>
      <c r="D1014" s="3" t="s">
        <v>2398</v>
      </c>
      <c r="E1014" s="3" t="s">
        <v>2422</v>
      </c>
      <c r="F1014" s="3" t="s">
        <v>6294</v>
      </c>
      <c r="G1014" s="3" t="s">
        <v>6295</v>
      </c>
      <c r="H1014" s="3" t="s">
        <v>114</v>
      </c>
      <c r="I1014" s="201">
        <v>31.370037</v>
      </c>
      <c r="J1014" s="201">
        <v>119.54579699999999</v>
      </c>
      <c r="K1014" s="75" t="s">
        <v>2276</v>
      </c>
      <c r="L1014" s="3">
        <v>2016</v>
      </c>
      <c r="M1014" s="3">
        <v>2016</v>
      </c>
      <c r="N1014" s="75" t="s">
        <v>2276</v>
      </c>
      <c r="O1014" s="3" t="s">
        <v>67</v>
      </c>
      <c r="P1014" s="3" t="s">
        <v>6325</v>
      </c>
      <c r="Q1014" s="4" t="s">
        <v>6296</v>
      </c>
    </row>
    <row r="1015" spans="1:17" ht="115.5" customHeight="1">
      <c r="A1015" s="31">
        <v>277</v>
      </c>
      <c r="B1015" s="40" t="s">
        <v>8597</v>
      </c>
      <c r="C1015" s="3" t="s">
        <v>6504</v>
      </c>
      <c r="D1015" s="3" t="s">
        <v>2398</v>
      </c>
      <c r="E1015" s="3" t="s">
        <v>2422</v>
      </c>
      <c r="F1015" s="3" t="s">
        <v>6297</v>
      </c>
      <c r="G1015" s="3" t="s">
        <v>6295</v>
      </c>
      <c r="H1015" s="3" t="s">
        <v>114</v>
      </c>
      <c r="I1015" s="201">
        <v>31.654971</v>
      </c>
      <c r="J1015" s="201">
        <v>120.753182</v>
      </c>
      <c r="K1015" s="75" t="s">
        <v>2276</v>
      </c>
      <c r="L1015" s="3">
        <v>2016</v>
      </c>
      <c r="M1015" s="3">
        <v>2016</v>
      </c>
      <c r="N1015" s="75" t="s">
        <v>2276</v>
      </c>
      <c r="O1015" s="3" t="s">
        <v>67</v>
      </c>
      <c r="P1015" s="3" t="s">
        <v>6325</v>
      </c>
      <c r="Q1015" s="4" t="s">
        <v>6296</v>
      </c>
    </row>
    <row r="1016" spans="1:17" ht="112" customHeight="1">
      <c r="A1016" s="31">
        <v>277</v>
      </c>
      <c r="B1016" s="40" t="s">
        <v>8597</v>
      </c>
      <c r="C1016" s="3" t="s">
        <v>6341</v>
      </c>
      <c r="D1016" s="3" t="s">
        <v>2398</v>
      </c>
      <c r="E1016" s="3" t="s">
        <v>2422</v>
      </c>
      <c r="F1016" s="3" t="s">
        <v>6298</v>
      </c>
      <c r="G1016" s="3" t="s">
        <v>6295</v>
      </c>
      <c r="H1016" s="3" t="s">
        <v>114</v>
      </c>
      <c r="I1016" s="201">
        <v>32.910459000000003</v>
      </c>
      <c r="J1016" s="201">
        <v>119.85254</v>
      </c>
      <c r="K1016" s="75" t="s">
        <v>2276</v>
      </c>
      <c r="L1016" s="3">
        <v>2016</v>
      </c>
      <c r="M1016" s="3">
        <v>2016</v>
      </c>
      <c r="N1016" s="75" t="s">
        <v>2276</v>
      </c>
      <c r="O1016" s="3" t="s">
        <v>67</v>
      </c>
      <c r="P1016" s="3" t="s">
        <v>6325</v>
      </c>
      <c r="Q1016" s="4" t="s">
        <v>6299</v>
      </c>
    </row>
    <row r="1017" spans="1:17" ht="87">
      <c r="A1017" s="31">
        <v>277</v>
      </c>
      <c r="B1017" s="40" t="s">
        <v>8597</v>
      </c>
      <c r="C1017" s="3" t="s">
        <v>6342</v>
      </c>
      <c r="D1017" s="3" t="s">
        <v>2398</v>
      </c>
      <c r="E1017" s="3" t="s">
        <v>2422</v>
      </c>
      <c r="F1017" s="3" t="s">
        <v>6300</v>
      </c>
      <c r="G1017" s="3" t="s">
        <v>6295</v>
      </c>
      <c r="H1017" s="3" t="s">
        <v>114</v>
      </c>
      <c r="I1017" s="201">
        <v>33.238593999999999</v>
      </c>
      <c r="J1017" s="201">
        <v>119.353319</v>
      </c>
      <c r="K1017" s="75" t="s">
        <v>2276</v>
      </c>
      <c r="L1017" s="3">
        <v>2016</v>
      </c>
      <c r="M1017" s="3">
        <v>2016</v>
      </c>
      <c r="N1017" s="75" t="s">
        <v>2276</v>
      </c>
      <c r="O1017" s="3" t="s">
        <v>67</v>
      </c>
      <c r="P1017" s="3" t="s">
        <v>6325</v>
      </c>
      <c r="Q1017" s="4" t="s">
        <v>6299</v>
      </c>
    </row>
    <row r="1018" spans="1:17" ht="87">
      <c r="A1018" s="31">
        <v>277</v>
      </c>
      <c r="B1018" s="40" t="s">
        <v>8597</v>
      </c>
      <c r="C1018" s="3" t="s">
        <v>6343</v>
      </c>
      <c r="D1018" s="3" t="s">
        <v>2398</v>
      </c>
      <c r="E1018" s="3" t="s">
        <v>2422</v>
      </c>
      <c r="F1018" s="3" t="s">
        <v>6301</v>
      </c>
      <c r="G1018" s="3" t="s">
        <v>6295</v>
      </c>
      <c r="H1018" s="3" t="s">
        <v>114</v>
      </c>
      <c r="I1018" s="201">
        <v>34.369579999999999</v>
      </c>
      <c r="J1018" s="201">
        <v>118.35453699999999</v>
      </c>
      <c r="K1018" s="75" t="s">
        <v>2276</v>
      </c>
      <c r="L1018" s="3">
        <v>2016</v>
      </c>
      <c r="M1018" s="3">
        <v>2016</v>
      </c>
      <c r="N1018" s="75" t="s">
        <v>2276</v>
      </c>
      <c r="O1018" s="3" t="s">
        <v>67</v>
      </c>
      <c r="P1018" s="3" t="s">
        <v>6325</v>
      </c>
      <c r="Q1018" s="4" t="s">
        <v>6302</v>
      </c>
    </row>
    <row r="1019" spans="1:17" ht="117" customHeight="1">
      <c r="A1019" s="31">
        <v>277</v>
      </c>
      <c r="B1019" s="40" t="s">
        <v>8597</v>
      </c>
      <c r="C1019" s="3" t="s">
        <v>6344</v>
      </c>
      <c r="D1019" s="3" t="s">
        <v>2398</v>
      </c>
      <c r="E1019" s="3" t="s">
        <v>2422</v>
      </c>
      <c r="F1019" s="3" t="s">
        <v>6303</v>
      </c>
      <c r="G1019" s="3" t="s">
        <v>6295</v>
      </c>
      <c r="H1019" s="3" t="s">
        <v>114</v>
      </c>
      <c r="I1019" s="201">
        <v>34.190972000000002</v>
      </c>
      <c r="J1019" s="201">
        <v>119.58672900000001</v>
      </c>
      <c r="K1019" s="75" t="s">
        <v>2276</v>
      </c>
      <c r="L1019" s="3">
        <v>2016</v>
      </c>
      <c r="M1019" s="3">
        <v>2016</v>
      </c>
      <c r="N1019" s="75" t="s">
        <v>2276</v>
      </c>
      <c r="O1019" s="3" t="s">
        <v>67</v>
      </c>
      <c r="P1019" s="3" t="s">
        <v>6325</v>
      </c>
      <c r="Q1019" s="4" t="s">
        <v>6302</v>
      </c>
    </row>
    <row r="1020" spans="1:17" ht="57.5" customHeight="1">
      <c r="A1020" s="31">
        <v>278</v>
      </c>
      <c r="B1020" s="41" t="s">
        <v>6304</v>
      </c>
      <c r="C1020" s="3" t="s">
        <v>8401</v>
      </c>
      <c r="D1020" s="3" t="s">
        <v>2398</v>
      </c>
      <c r="E1020" s="3" t="s">
        <v>2399</v>
      </c>
      <c r="F1020" s="3" t="s">
        <v>6305</v>
      </c>
      <c r="G1020" s="3" t="s">
        <v>87</v>
      </c>
      <c r="H1020" s="3" t="s">
        <v>6306</v>
      </c>
      <c r="I1020" s="201">
        <v>32.187691999999998</v>
      </c>
      <c r="J1020" s="201">
        <v>74.194452999999996</v>
      </c>
      <c r="K1020" s="75" t="s">
        <v>2276</v>
      </c>
      <c r="L1020" s="3">
        <v>2010</v>
      </c>
      <c r="M1020" s="3">
        <v>2010</v>
      </c>
      <c r="N1020" s="75" t="s">
        <v>2276</v>
      </c>
      <c r="O1020" s="3" t="s">
        <v>67</v>
      </c>
      <c r="P1020" s="3" t="s">
        <v>6325</v>
      </c>
      <c r="Q1020" s="4"/>
    </row>
    <row r="1021" spans="1:17" ht="88" customHeight="1">
      <c r="A1021" s="31">
        <v>278</v>
      </c>
      <c r="B1021" s="41" t="s">
        <v>6304</v>
      </c>
      <c r="C1021" s="3" t="s">
        <v>8402</v>
      </c>
      <c r="D1021" s="3" t="s">
        <v>2398</v>
      </c>
      <c r="E1021" s="3" t="s">
        <v>2399</v>
      </c>
      <c r="F1021" s="3" t="s">
        <v>6307</v>
      </c>
      <c r="G1021" s="3" t="s">
        <v>87</v>
      </c>
      <c r="H1021" s="3" t="s">
        <v>6306</v>
      </c>
      <c r="I1021" s="201">
        <v>32.494498999999998</v>
      </c>
      <c r="J1021" s="201">
        <v>74.522891999999999</v>
      </c>
      <c r="K1021" s="75" t="s">
        <v>2276</v>
      </c>
      <c r="L1021" s="3">
        <v>2010</v>
      </c>
      <c r="M1021" s="3">
        <v>2010</v>
      </c>
      <c r="N1021" s="75" t="s">
        <v>2276</v>
      </c>
      <c r="O1021" s="3" t="s">
        <v>67</v>
      </c>
      <c r="P1021" s="3" t="s">
        <v>6325</v>
      </c>
      <c r="Q1021" s="4"/>
    </row>
    <row r="1022" spans="1:17" ht="31" customHeight="1">
      <c r="A1022" s="31">
        <v>279</v>
      </c>
      <c r="B1022" s="40" t="s">
        <v>6308</v>
      </c>
      <c r="C1022" s="3" t="s">
        <v>6345</v>
      </c>
      <c r="D1022" s="3" t="s">
        <v>2398</v>
      </c>
      <c r="E1022" s="3" t="s">
        <v>2422</v>
      </c>
      <c r="F1022" s="3" t="s">
        <v>6309</v>
      </c>
      <c r="G1022" s="75" t="s">
        <v>2276</v>
      </c>
      <c r="H1022" s="3" t="s">
        <v>3490</v>
      </c>
      <c r="I1022" s="201">
        <v>-17.850000000000001</v>
      </c>
      <c r="J1022" s="201">
        <v>31.566666999999999</v>
      </c>
      <c r="K1022" s="75" t="s">
        <v>2276</v>
      </c>
      <c r="L1022" s="3">
        <v>2009</v>
      </c>
      <c r="M1022" s="3">
        <v>2010</v>
      </c>
      <c r="N1022" s="3">
        <v>104</v>
      </c>
      <c r="O1022" s="3" t="s">
        <v>67</v>
      </c>
      <c r="P1022" s="3" t="s">
        <v>6325</v>
      </c>
      <c r="Q1022" s="4"/>
    </row>
    <row r="1023" spans="1:17" ht="31" customHeight="1">
      <c r="A1023" s="31">
        <v>279</v>
      </c>
      <c r="B1023" s="40" t="s">
        <v>6308</v>
      </c>
      <c r="C1023" s="3" t="s">
        <v>6346</v>
      </c>
      <c r="D1023" s="3" t="s">
        <v>2398</v>
      </c>
      <c r="E1023" s="3" t="s">
        <v>2422</v>
      </c>
      <c r="F1023" s="3" t="s">
        <v>6310</v>
      </c>
      <c r="G1023" s="75" t="s">
        <v>2276</v>
      </c>
      <c r="H1023" s="3" t="s">
        <v>6353</v>
      </c>
      <c r="I1023" s="21">
        <v>-18.833333</v>
      </c>
      <c r="J1023" s="21">
        <v>33.183332999999998</v>
      </c>
      <c r="K1023" s="75" t="s">
        <v>2276</v>
      </c>
      <c r="L1023" s="3">
        <v>2009</v>
      </c>
      <c r="M1023" s="3">
        <v>2010</v>
      </c>
      <c r="N1023" s="3">
        <v>22</v>
      </c>
      <c r="O1023" s="3" t="s">
        <v>67</v>
      </c>
      <c r="P1023" s="3" t="s">
        <v>6325</v>
      </c>
      <c r="Q1023" s="4"/>
    </row>
    <row r="1024" spans="1:17" ht="31" customHeight="1">
      <c r="A1024" s="31">
        <v>279</v>
      </c>
      <c r="B1024" s="40" t="s">
        <v>6308</v>
      </c>
      <c r="C1024" s="3" t="s">
        <v>6347</v>
      </c>
      <c r="D1024" s="3" t="s">
        <v>2398</v>
      </c>
      <c r="E1024" s="3" t="s">
        <v>2422</v>
      </c>
      <c r="F1024" s="3" t="s">
        <v>6311</v>
      </c>
      <c r="G1024" s="75" t="s">
        <v>2276</v>
      </c>
      <c r="H1024" s="3" t="s">
        <v>6353</v>
      </c>
      <c r="I1024" s="21">
        <v>-18.766667000000002</v>
      </c>
      <c r="J1024" s="21">
        <v>34.333333000000003</v>
      </c>
      <c r="K1024" s="75" t="s">
        <v>2276</v>
      </c>
      <c r="L1024" s="3">
        <v>2009</v>
      </c>
      <c r="M1024" s="3">
        <v>2010</v>
      </c>
      <c r="N1024" s="3">
        <v>25</v>
      </c>
      <c r="O1024" s="3" t="s">
        <v>67</v>
      </c>
      <c r="P1024" s="3" t="s">
        <v>6325</v>
      </c>
      <c r="Q1024" s="4"/>
    </row>
    <row r="1025" spans="1:17" ht="32.5" customHeight="1">
      <c r="A1025" s="31">
        <v>280</v>
      </c>
      <c r="B1025" s="40" t="s">
        <v>6312</v>
      </c>
      <c r="C1025" s="3" t="s">
        <v>6348</v>
      </c>
      <c r="D1025" s="3" t="s">
        <v>2398</v>
      </c>
      <c r="E1025" s="3" t="s">
        <v>2399</v>
      </c>
      <c r="F1025" s="3" t="s">
        <v>6313</v>
      </c>
      <c r="G1025" s="3" t="s">
        <v>6314</v>
      </c>
      <c r="H1025" s="3" t="s">
        <v>779</v>
      </c>
      <c r="I1025" s="201">
        <v>20.26408</v>
      </c>
      <c r="J1025" s="201">
        <v>106.05813999999999</v>
      </c>
      <c r="K1025" s="75" t="s">
        <v>2276</v>
      </c>
      <c r="L1025" s="3">
        <v>2015</v>
      </c>
      <c r="M1025" s="3">
        <v>2015</v>
      </c>
      <c r="N1025" s="75" t="s">
        <v>2276</v>
      </c>
      <c r="O1025" s="3" t="s">
        <v>67</v>
      </c>
      <c r="P1025" s="3" t="s">
        <v>6325</v>
      </c>
      <c r="Q1025" s="4"/>
    </row>
    <row r="1026" spans="1:17" ht="32.5" customHeight="1">
      <c r="A1026" s="31">
        <v>280</v>
      </c>
      <c r="B1026" s="40" t="s">
        <v>6312</v>
      </c>
      <c r="C1026" s="3" t="s">
        <v>6349</v>
      </c>
      <c r="D1026" s="3" t="s">
        <v>2398</v>
      </c>
      <c r="E1026" s="3" t="s">
        <v>2399</v>
      </c>
      <c r="F1026" s="3" t="s">
        <v>6315</v>
      </c>
      <c r="G1026" s="3" t="s">
        <v>6316</v>
      </c>
      <c r="H1026" s="3" t="s">
        <v>779</v>
      </c>
      <c r="I1026" s="201">
        <v>21.342251000000001</v>
      </c>
      <c r="J1026" s="201">
        <v>106.014059</v>
      </c>
      <c r="K1026" s="75" t="s">
        <v>2276</v>
      </c>
      <c r="L1026" s="3">
        <v>2015</v>
      </c>
      <c r="M1026" s="3">
        <v>2015</v>
      </c>
      <c r="N1026" s="75" t="s">
        <v>2276</v>
      </c>
      <c r="O1026" s="3" t="s">
        <v>67</v>
      </c>
      <c r="P1026" s="3" t="s">
        <v>6325</v>
      </c>
      <c r="Q1026" s="4"/>
    </row>
    <row r="1027" spans="1:17" ht="32.5" customHeight="1">
      <c r="A1027" s="31">
        <v>280</v>
      </c>
      <c r="B1027" s="40" t="s">
        <v>6312</v>
      </c>
      <c r="C1027" s="3" t="s">
        <v>6350</v>
      </c>
      <c r="D1027" s="3" t="s">
        <v>2398</v>
      </c>
      <c r="E1027" s="3" t="s">
        <v>2399</v>
      </c>
      <c r="F1027" s="3" t="s">
        <v>6317</v>
      </c>
      <c r="G1027" s="3" t="s">
        <v>6318</v>
      </c>
      <c r="H1027" s="3" t="s">
        <v>779</v>
      </c>
      <c r="I1027" s="201">
        <v>21.868908999999999</v>
      </c>
      <c r="J1027" s="201">
        <v>104.18146900000001</v>
      </c>
      <c r="K1027" s="75" t="s">
        <v>2276</v>
      </c>
      <c r="L1027" s="3">
        <v>2015</v>
      </c>
      <c r="M1027" s="3">
        <v>2015</v>
      </c>
      <c r="N1027" s="75" t="s">
        <v>2276</v>
      </c>
      <c r="O1027" s="3" t="s">
        <v>67</v>
      </c>
      <c r="P1027" s="3" t="s">
        <v>6325</v>
      </c>
      <c r="Q1027" s="4"/>
    </row>
    <row r="1028" spans="1:17" ht="45.5" customHeight="1">
      <c r="A1028" s="96">
        <v>281</v>
      </c>
      <c r="B1028" s="230"/>
      <c r="C1028" s="44"/>
      <c r="D1028" s="44"/>
      <c r="E1028" s="44"/>
      <c r="F1028" s="44"/>
      <c r="G1028" s="44"/>
      <c r="H1028" s="44"/>
      <c r="I1028" s="231"/>
      <c r="J1028" s="231"/>
      <c r="K1028" s="227"/>
      <c r="L1028" s="44"/>
      <c r="M1028" s="44"/>
      <c r="N1028" s="228"/>
      <c r="O1028" s="44"/>
      <c r="P1028" s="44"/>
      <c r="Q1028" s="58"/>
    </row>
    <row r="1029" spans="1:17" ht="32.5" customHeight="1">
      <c r="A1029" s="31">
        <v>282</v>
      </c>
      <c r="B1029" s="40" t="s">
        <v>6319</v>
      </c>
      <c r="C1029" s="3" t="s">
        <v>6351</v>
      </c>
      <c r="D1029" s="3" t="s">
        <v>2398</v>
      </c>
      <c r="E1029" s="3" t="s">
        <v>2399</v>
      </c>
      <c r="F1029" s="3" t="s">
        <v>6320</v>
      </c>
      <c r="G1029" s="3" t="s">
        <v>6321</v>
      </c>
      <c r="H1029" s="3" t="s">
        <v>895</v>
      </c>
      <c r="I1029" s="201">
        <v>-8.7302070000000001</v>
      </c>
      <c r="J1029" s="201">
        <v>115.545165</v>
      </c>
      <c r="K1029" s="75" t="s">
        <v>2276</v>
      </c>
      <c r="L1029" s="3">
        <v>2017</v>
      </c>
      <c r="M1029" s="3">
        <v>2017</v>
      </c>
      <c r="N1029" s="75" t="s">
        <v>2276</v>
      </c>
      <c r="O1029" s="3" t="s">
        <v>67</v>
      </c>
      <c r="P1029" s="3" t="s">
        <v>6325</v>
      </c>
      <c r="Q1029" s="4"/>
    </row>
    <row r="1030" spans="1:17" ht="32.5" customHeight="1">
      <c r="A1030" s="31">
        <v>283</v>
      </c>
      <c r="B1030" s="40" t="s">
        <v>6322</v>
      </c>
      <c r="C1030" s="3" t="s">
        <v>6352</v>
      </c>
      <c r="D1030" s="3" t="s">
        <v>2398</v>
      </c>
      <c r="E1030" s="3" t="s">
        <v>2422</v>
      </c>
      <c r="F1030" s="75" t="s">
        <v>2276</v>
      </c>
      <c r="G1030" s="3" t="s">
        <v>6323</v>
      </c>
      <c r="H1030" s="3" t="s">
        <v>6324</v>
      </c>
      <c r="I1030" s="201">
        <v>51.79363</v>
      </c>
      <c r="J1030" s="201">
        <v>82.67586</v>
      </c>
      <c r="K1030" s="21">
        <v>86000</v>
      </c>
      <c r="L1030" s="3">
        <v>2013</v>
      </c>
      <c r="M1030" s="3">
        <v>2014</v>
      </c>
      <c r="N1030" s="75" t="s">
        <v>2276</v>
      </c>
      <c r="O1030" s="3" t="s">
        <v>67</v>
      </c>
      <c r="P1030" s="3" t="s">
        <v>6325</v>
      </c>
      <c r="Q1030" s="4"/>
    </row>
    <row r="1031" spans="1:17" ht="43" customHeight="1">
      <c r="A1031" s="188">
        <v>284</v>
      </c>
      <c r="B1031" s="206" t="s">
        <v>6368</v>
      </c>
      <c r="C1031" s="26" t="s">
        <v>6401</v>
      </c>
      <c r="D1031" s="26" t="s">
        <v>2633</v>
      </c>
      <c r="E1031" s="26" t="s">
        <v>2636</v>
      </c>
      <c r="F1031" s="26" t="s">
        <v>6369</v>
      </c>
      <c r="G1031" s="75" t="s">
        <v>2276</v>
      </c>
      <c r="H1031" s="26" t="s">
        <v>3414</v>
      </c>
      <c r="I1031" s="26">
        <v>-33.200000000000003</v>
      </c>
      <c r="J1031" s="26">
        <v>117.4</v>
      </c>
      <c r="K1031" s="26">
        <v>25000</v>
      </c>
      <c r="L1031" s="26">
        <v>1962</v>
      </c>
      <c r="M1031" s="26">
        <v>1990</v>
      </c>
      <c r="N1031" s="75" t="s">
        <v>2276</v>
      </c>
      <c r="O1031" s="26" t="s">
        <v>67</v>
      </c>
      <c r="P1031" s="19" t="s">
        <v>6400</v>
      </c>
      <c r="Q1031" s="26" t="s">
        <v>7860</v>
      </c>
    </row>
    <row r="1032" spans="1:17" ht="42" customHeight="1">
      <c r="A1032" s="188">
        <v>284</v>
      </c>
      <c r="B1032" s="207" t="s">
        <v>6368</v>
      </c>
      <c r="C1032" s="26" t="s">
        <v>6402</v>
      </c>
      <c r="D1032" s="26" t="s">
        <v>2633</v>
      </c>
      <c r="E1032" s="26" t="s">
        <v>2636</v>
      </c>
      <c r="F1032" s="26" t="s">
        <v>6369</v>
      </c>
      <c r="G1032" s="75" t="s">
        <v>2276</v>
      </c>
      <c r="H1032" s="26" t="s">
        <v>3414</v>
      </c>
      <c r="I1032" s="26">
        <v>-33.200000000000003</v>
      </c>
      <c r="J1032" s="26">
        <v>117.4</v>
      </c>
      <c r="K1032" s="26">
        <v>25000</v>
      </c>
      <c r="L1032" s="26">
        <v>1991</v>
      </c>
      <c r="M1032" s="26">
        <v>2012</v>
      </c>
      <c r="N1032" s="75" t="s">
        <v>2276</v>
      </c>
      <c r="O1032" s="26" t="s">
        <v>67</v>
      </c>
      <c r="P1032" s="19" t="s">
        <v>6400</v>
      </c>
      <c r="Q1032" s="26" t="s">
        <v>7860</v>
      </c>
    </row>
    <row r="1033" spans="1:17" ht="87">
      <c r="A1033" s="188">
        <v>285</v>
      </c>
      <c r="B1033" s="207" t="s">
        <v>6370</v>
      </c>
      <c r="C1033" s="26" t="s">
        <v>6403</v>
      </c>
      <c r="D1033" s="26" t="s">
        <v>2398</v>
      </c>
      <c r="E1033" s="26" t="s">
        <v>4847</v>
      </c>
      <c r="F1033" s="26" t="s">
        <v>6371</v>
      </c>
      <c r="G1033" s="26" t="s">
        <v>5781</v>
      </c>
      <c r="H1033" s="26" t="s">
        <v>4112</v>
      </c>
      <c r="I1033" s="26">
        <v>64.83</v>
      </c>
      <c r="J1033" s="26">
        <v>-147.72</v>
      </c>
      <c r="K1033" s="26">
        <v>79</v>
      </c>
      <c r="L1033" s="26">
        <v>1988</v>
      </c>
      <c r="M1033" s="26">
        <v>2016</v>
      </c>
      <c r="N1033" s="208">
        <v>379.74683544303798</v>
      </c>
      <c r="O1033" s="26" t="s">
        <v>67</v>
      </c>
      <c r="P1033" s="19" t="s">
        <v>6400</v>
      </c>
      <c r="Q1033" s="26" t="s">
        <v>6372</v>
      </c>
    </row>
    <row r="1034" spans="1:17" ht="130.5">
      <c r="A1034" s="188">
        <v>285</v>
      </c>
      <c r="B1034" s="207" t="s">
        <v>6370</v>
      </c>
      <c r="C1034" s="26" t="s">
        <v>6404</v>
      </c>
      <c r="D1034" s="26" t="s">
        <v>2398</v>
      </c>
      <c r="E1034" s="26" t="s">
        <v>4847</v>
      </c>
      <c r="F1034" s="75" t="s">
        <v>2276</v>
      </c>
      <c r="G1034" s="26" t="s">
        <v>5781</v>
      </c>
      <c r="H1034" s="26" t="s">
        <v>4112</v>
      </c>
      <c r="I1034" s="26">
        <v>65.5</v>
      </c>
      <c r="J1034" s="26">
        <v>-149.30000000000001</v>
      </c>
      <c r="K1034" s="26">
        <v>455000</v>
      </c>
      <c r="L1034" s="26">
        <v>1988</v>
      </c>
      <c r="M1034" s="26">
        <v>2016</v>
      </c>
      <c r="N1034" s="208">
        <v>0.25934065934065897</v>
      </c>
      <c r="O1034" s="4" t="s">
        <v>67</v>
      </c>
      <c r="P1034" s="19" t="s">
        <v>6400</v>
      </c>
      <c r="Q1034" s="26" t="s">
        <v>6373</v>
      </c>
    </row>
    <row r="1035" spans="1:17" ht="30" customHeight="1">
      <c r="A1035" s="193">
        <v>286</v>
      </c>
      <c r="B1035" s="207" t="s">
        <v>6374</v>
      </c>
      <c r="C1035" s="4" t="s">
        <v>6405</v>
      </c>
      <c r="D1035" s="4" t="s">
        <v>2416</v>
      </c>
      <c r="E1035" s="4" t="s">
        <v>2636</v>
      </c>
      <c r="F1035" s="4" t="s">
        <v>4032</v>
      </c>
      <c r="G1035" s="75" t="s">
        <v>2276</v>
      </c>
      <c r="H1035" s="4" t="s">
        <v>4032</v>
      </c>
      <c r="I1035" s="58"/>
      <c r="J1035" s="58"/>
      <c r="K1035" s="58"/>
      <c r="L1035" s="4">
        <v>2007</v>
      </c>
      <c r="M1035" s="4">
        <v>2007</v>
      </c>
      <c r="N1035" s="75" t="s">
        <v>2276</v>
      </c>
      <c r="O1035" s="4" t="s">
        <v>67</v>
      </c>
      <c r="P1035" s="19" t="s">
        <v>6400</v>
      </c>
      <c r="Q1035" s="4"/>
    </row>
    <row r="1036" spans="1:17" ht="30" customHeight="1">
      <c r="A1036" s="193">
        <v>286</v>
      </c>
      <c r="B1036" s="207" t="s">
        <v>6374</v>
      </c>
      <c r="C1036" s="4" t="s">
        <v>6406</v>
      </c>
      <c r="D1036" s="4" t="s">
        <v>2416</v>
      </c>
      <c r="E1036" s="4" t="s">
        <v>2636</v>
      </c>
      <c r="F1036" s="4" t="s">
        <v>4032</v>
      </c>
      <c r="G1036" s="75" t="s">
        <v>2276</v>
      </c>
      <c r="H1036" s="4" t="s">
        <v>4032</v>
      </c>
      <c r="I1036" s="58"/>
      <c r="J1036" s="58"/>
      <c r="K1036" s="58"/>
      <c r="L1036" s="4">
        <v>2007</v>
      </c>
      <c r="M1036" s="4">
        <v>2007</v>
      </c>
      <c r="N1036" s="75" t="s">
        <v>2276</v>
      </c>
      <c r="O1036" s="4" t="s">
        <v>67</v>
      </c>
      <c r="P1036" s="19" t="s">
        <v>6400</v>
      </c>
      <c r="Q1036" s="4"/>
    </row>
    <row r="1037" spans="1:17" ht="30" customHeight="1">
      <c r="A1037" s="193">
        <v>286</v>
      </c>
      <c r="B1037" s="207" t="s">
        <v>6374</v>
      </c>
      <c r="C1037" s="4" t="s">
        <v>6407</v>
      </c>
      <c r="D1037" s="4" t="s">
        <v>2416</v>
      </c>
      <c r="E1037" s="4" t="s">
        <v>2636</v>
      </c>
      <c r="F1037" s="4" t="s">
        <v>4032</v>
      </c>
      <c r="G1037" s="75" t="s">
        <v>2276</v>
      </c>
      <c r="H1037" s="4" t="s">
        <v>4032</v>
      </c>
      <c r="I1037" s="58"/>
      <c r="J1037" s="58"/>
      <c r="K1037" s="58"/>
      <c r="L1037" s="4">
        <v>2007</v>
      </c>
      <c r="M1037" s="4">
        <v>2007</v>
      </c>
      <c r="N1037" s="75" t="s">
        <v>2276</v>
      </c>
      <c r="O1037" s="4" t="s">
        <v>67</v>
      </c>
      <c r="P1037" s="19" t="s">
        <v>6400</v>
      </c>
      <c r="Q1037" s="4"/>
    </row>
    <row r="1038" spans="1:17" ht="30" customHeight="1">
      <c r="A1038" s="193">
        <v>287</v>
      </c>
      <c r="B1038" s="41" t="s">
        <v>6375</v>
      </c>
      <c r="C1038" s="4" t="s">
        <v>6408</v>
      </c>
      <c r="D1038" s="4" t="s">
        <v>2398</v>
      </c>
      <c r="E1038" s="26" t="s">
        <v>4847</v>
      </c>
      <c r="F1038" s="4" t="s">
        <v>6376</v>
      </c>
      <c r="G1038" s="4" t="s">
        <v>4132</v>
      </c>
      <c r="H1038" s="4" t="s">
        <v>4112</v>
      </c>
      <c r="I1038" s="75">
        <v>34.4</v>
      </c>
      <c r="J1038" s="75">
        <v>-118.3</v>
      </c>
      <c r="K1038" s="209">
        <v>264</v>
      </c>
      <c r="L1038" s="4">
        <v>1980</v>
      </c>
      <c r="M1038" s="4">
        <v>2007</v>
      </c>
      <c r="N1038" s="75" t="s">
        <v>2276</v>
      </c>
      <c r="O1038" s="4" t="s">
        <v>67</v>
      </c>
      <c r="P1038" s="19" t="s">
        <v>6400</v>
      </c>
      <c r="Q1038" s="4"/>
    </row>
    <row r="1039" spans="1:17" ht="30" customHeight="1">
      <c r="A1039" s="193">
        <v>287</v>
      </c>
      <c r="B1039" s="207" t="s">
        <v>6375</v>
      </c>
      <c r="C1039" s="4" t="s">
        <v>6409</v>
      </c>
      <c r="D1039" s="4" t="s">
        <v>2398</v>
      </c>
      <c r="E1039" s="26" t="s">
        <v>4847</v>
      </c>
      <c r="F1039" s="4" t="s">
        <v>6377</v>
      </c>
      <c r="G1039" s="4" t="s">
        <v>4132</v>
      </c>
      <c r="H1039" s="4" t="s">
        <v>4112</v>
      </c>
      <c r="I1039" s="75">
        <v>34.799999999999997</v>
      </c>
      <c r="J1039" s="75">
        <v>-119.6</v>
      </c>
      <c r="K1039" s="209">
        <v>615</v>
      </c>
      <c r="L1039" s="4">
        <v>1980</v>
      </c>
      <c r="M1039" s="4">
        <v>2007</v>
      </c>
      <c r="N1039" s="75" t="s">
        <v>2276</v>
      </c>
      <c r="O1039" s="4" t="s">
        <v>67</v>
      </c>
      <c r="P1039" s="19" t="s">
        <v>6400</v>
      </c>
      <c r="Q1039" s="4"/>
    </row>
    <row r="1040" spans="1:17" ht="30" customHeight="1">
      <c r="A1040" s="193">
        <v>287</v>
      </c>
      <c r="B1040" s="207" t="s">
        <v>6375</v>
      </c>
      <c r="C1040" s="4" t="s">
        <v>6410</v>
      </c>
      <c r="D1040" s="4" t="s">
        <v>2398</v>
      </c>
      <c r="E1040" s="26" t="s">
        <v>4847</v>
      </c>
      <c r="F1040" s="4" t="s">
        <v>6378</v>
      </c>
      <c r="G1040" s="4" t="s">
        <v>4132</v>
      </c>
      <c r="H1040" s="4" t="s">
        <v>4112</v>
      </c>
      <c r="I1040" s="75">
        <v>33.69</v>
      </c>
      <c r="J1040" s="75">
        <v>-116.6</v>
      </c>
      <c r="K1040" s="209">
        <v>305</v>
      </c>
      <c r="L1040" s="4">
        <v>1980</v>
      </c>
      <c r="M1040" s="4">
        <v>2007</v>
      </c>
      <c r="N1040" s="75" t="s">
        <v>2276</v>
      </c>
      <c r="O1040" s="4" t="s">
        <v>67</v>
      </c>
      <c r="P1040" s="19" t="s">
        <v>6400</v>
      </c>
      <c r="Q1040" s="4"/>
    </row>
    <row r="1041" spans="1:17" ht="30" customHeight="1">
      <c r="A1041" s="193">
        <v>287</v>
      </c>
      <c r="B1041" s="207" t="s">
        <v>6375</v>
      </c>
      <c r="C1041" s="4" t="s">
        <v>6411</v>
      </c>
      <c r="D1041" s="4" t="s">
        <v>2398</v>
      </c>
      <c r="E1041" s="26" t="s">
        <v>4847</v>
      </c>
      <c r="F1041" s="4" t="s">
        <v>6379</v>
      </c>
      <c r="G1041" s="4" t="s">
        <v>4132</v>
      </c>
      <c r="H1041" s="4" t="s">
        <v>4112</v>
      </c>
      <c r="I1041" s="75">
        <v>32.9</v>
      </c>
      <c r="J1041" s="75">
        <v>-116.5</v>
      </c>
      <c r="K1041" s="209">
        <v>211</v>
      </c>
      <c r="L1041" s="4">
        <v>1980</v>
      </c>
      <c r="M1041" s="4">
        <v>2007</v>
      </c>
      <c r="N1041" s="75" t="s">
        <v>2276</v>
      </c>
      <c r="O1041" s="4" t="s">
        <v>67</v>
      </c>
      <c r="P1041" s="19" t="s">
        <v>6400</v>
      </c>
      <c r="Q1041" s="4"/>
    </row>
    <row r="1042" spans="1:17" ht="72.5">
      <c r="A1042" s="193">
        <v>288</v>
      </c>
      <c r="B1042" s="206" t="s">
        <v>6380</v>
      </c>
      <c r="C1042" s="4" t="s">
        <v>6412</v>
      </c>
      <c r="D1042" s="4" t="s">
        <v>2398</v>
      </c>
      <c r="E1042" s="4" t="s">
        <v>2636</v>
      </c>
      <c r="F1042" s="4" t="s">
        <v>6381</v>
      </c>
      <c r="G1042" s="4" t="s">
        <v>6382</v>
      </c>
      <c r="H1042" s="4" t="s">
        <v>4112</v>
      </c>
      <c r="I1042" s="75">
        <v>43.2</v>
      </c>
      <c r="J1042" s="75">
        <v>-121.6</v>
      </c>
      <c r="K1042" s="209">
        <v>15578</v>
      </c>
      <c r="L1042" s="4">
        <v>1905</v>
      </c>
      <c r="M1042" s="4">
        <v>1924</v>
      </c>
      <c r="N1042" s="75" t="s">
        <v>2276</v>
      </c>
      <c r="O1042" s="4" t="s">
        <v>67</v>
      </c>
      <c r="P1042" s="19" t="s">
        <v>6400</v>
      </c>
      <c r="Q1042" s="4" t="s">
        <v>6383</v>
      </c>
    </row>
    <row r="1043" spans="1:17" ht="72.5">
      <c r="A1043" s="193">
        <v>288</v>
      </c>
      <c r="B1043" s="206" t="s">
        <v>6380</v>
      </c>
      <c r="C1043" s="4" t="s">
        <v>6413</v>
      </c>
      <c r="D1043" s="4" t="s">
        <v>2398</v>
      </c>
      <c r="E1043" s="4" t="s">
        <v>2636</v>
      </c>
      <c r="F1043" s="4" t="s">
        <v>6381</v>
      </c>
      <c r="G1043" s="4" t="s">
        <v>6382</v>
      </c>
      <c r="H1043" s="4" t="s">
        <v>4112</v>
      </c>
      <c r="I1043" s="75">
        <v>43.2</v>
      </c>
      <c r="J1043" s="75">
        <v>-121.6</v>
      </c>
      <c r="K1043" s="209">
        <v>15578</v>
      </c>
      <c r="L1043" s="4">
        <v>1925</v>
      </c>
      <c r="M1043" s="4">
        <v>1975</v>
      </c>
      <c r="N1043" s="75" t="s">
        <v>2276</v>
      </c>
      <c r="O1043" s="4" t="s">
        <v>67</v>
      </c>
      <c r="P1043" s="19" t="s">
        <v>6400</v>
      </c>
      <c r="Q1043" s="4" t="s">
        <v>6383</v>
      </c>
    </row>
    <row r="1044" spans="1:17" ht="72.5">
      <c r="A1044" s="193">
        <v>288</v>
      </c>
      <c r="B1044" s="206" t="s">
        <v>6380</v>
      </c>
      <c r="C1044" s="4" t="s">
        <v>6414</v>
      </c>
      <c r="D1044" s="4" t="s">
        <v>2398</v>
      </c>
      <c r="E1044" s="4" t="s">
        <v>2636</v>
      </c>
      <c r="F1044" s="4" t="s">
        <v>6381</v>
      </c>
      <c r="G1044" s="4" t="s">
        <v>6382</v>
      </c>
      <c r="H1044" s="4" t="s">
        <v>4112</v>
      </c>
      <c r="I1044" s="75">
        <v>43.2</v>
      </c>
      <c r="J1044" s="75">
        <v>-121.6</v>
      </c>
      <c r="K1044" s="209">
        <v>15578</v>
      </c>
      <c r="L1044" s="4">
        <v>1976</v>
      </c>
      <c r="M1044" s="4">
        <v>1995</v>
      </c>
      <c r="N1044" s="75" t="s">
        <v>2276</v>
      </c>
      <c r="O1044" s="4" t="s">
        <v>67</v>
      </c>
      <c r="P1044" s="19" t="s">
        <v>6400</v>
      </c>
      <c r="Q1044" s="4" t="s">
        <v>6383</v>
      </c>
    </row>
    <row r="1045" spans="1:17" ht="73.5" customHeight="1">
      <c r="A1045" s="193">
        <v>288</v>
      </c>
      <c r="B1045" s="206" t="s">
        <v>6380</v>
      </c>
      <c r="C1045" s="4" t="s">
        <v>6415</v>
      </c>
      <c r="D1045" s="4" t="s">
        <v>2398</v>
      </c>
      <c r="E1045" s="4" t="s">
        <v>2636</v>
      </c>
      <c r="F1045" s="4" t="s">
        <v>6381</v>
      </c>
      <c r="G1045" s="4" t="s">
        <v>6382</v>
      </c>
      <c r="H1045" s="4" t="s">
        <v>4112</v>
      </c>
      <c r="I1045" s="75">
        <v>43.2</v>
      </c>
      <c r="J1045" s="75">
        <v>-121.6</v>
      </c>
      <c r="K1045" s="209">
        <v>15578</v>
      </c>
      <c r="L1045" s="4">
        <v>1995</v>
      </c>
      <c r="M1045" s="4">
        <v>2010</v>
      </c>
      <c r="N1045" s="75" t="s">
        <v>2276</v>
      </c>
      <c r="O1045" s="4" t="s">
        <v>67</v>
      </c>
      <c r="P1045" s="19" t="s">
        <v>6400</v>
      </c>
      <c r="Q1045" s="4" t="s">
        <v>6383</v>
      </c>
    </row>
    <row r="1046" spans="1:17" ht="73.5" customHeight="1">
      <c r="A1046" s="193">
        <v>288</v>
      </c>
      <c r="B1046" s="206" t="s">
        <v>6380</v>
      </c>
      <c r="C1046" s="4" t="s">
        <v>6416</v>
      </c>
      <c r="D1046" s="4" t="s">
        <v>2398</v>
      </c>
      <c r="E1046" s="4" t="s">
        <v>2636</v>
      </c>
      <c r="F1046" s="4" t="s">
        <v>6381</v>
      </c>
      <c r="G1046" s="4" t="s">
        <v>6382</v>
      </c>
      <c r="H1046" s="4" t="s">
        <v>4112</v>
      </c>
      <c r="I1046" s="75">
        <v>42.8</v>
      </c>
      <c r="J1046" s="75">
        <v>-121.3</v>
      </c>
      <c r="K1046" s="75" t="s">
        <v>2276</v>
      </c>
      <c r="L1046" s="4">
        <v>1911</v>
      </c>
      <c r="M1046" s="4">
        <v>1924</v>
      </c>
      <c r="N1046" s="75" t="s">
        <v>2276</v>
      </c>
      <c r="O1046" s="4" t="s">
        <v>67</v>
      </c>
      <c r="P1046" s="19" t="s">
        <v>6400</v>
      </c>
      <c r="Q1046" s="4"/>
    </row>
    <row r="1047" spans="1:17" ht="73.5" customHeight="1">
      <c r="A1047" s="193">
        <v>288</v>
      </c>
      <c r="B1047" s="206" t="s">
        <v>6380</v>
      </c>
      <c r="C1047" s="4" t="s">
        <v>6417</v>
      </c>
      <c r="D1047" s="4" t="s">
        <v>2398</v>
      </c>
      <c r="E1047" s="4" t="s">
        <v>2636</v>
      </c>
      <c r="F1047" s="4" t="s">
        <v>6381</v>
      </c>
      <c r="G1047" s="4" t="s">
        <v>6382</v>
      </c>
      <c r="H1047" s="4" t="s">
        <v>4112</v>
      </c>
      <c r="I1047" s="75">
        <v>42.8</v>
      </c>
      <c r="J1047" s="75">
        <v>-121.3</v>
      </c>
      <c r="K1047" s="75" t="s">
        <v>2276</v>
      </c>
      <c r="L1047" s="4">
        <v>1925</v>
      </c>
      <c r="M1047" s="4">
        <v>1997</v>
      </c>
      <c r="N1047" s="75" t="s">
        <v>2276</v>
      </c>
      <c r="O1047" s="4" t="s">
        <v>67</v>
      </c>
      <c r="P1047" s="19" t="s">
        <v>6400</v>
      </c>
      <c r="Q1047" s="4"/>
    </row>
    <row r="1048" spans="1:17" ht="73.5" customHeight="1">
      <c r="A1048" s="193">
        <v>288</v>
      </c>
      <c r="B1048" s="206" t="s">
        <v>6380</v>
      </c>
      <c r="C1048" s="4" t="s">
        <v>6566</v>
      </c>
      <c r="D1048" s="4" t="s">
        <v>2398</v>
      </c>
      <c r="E1048" s="4" t="s">
        <v>2636</v>
      </c>
      <c r="F1048" s="4" t="s">
        <v>6381</v>
      </c>
      <c r="G1048" s="4" t="s">
        <v>6382</v>
      </c>
      <c r="H1048" s="4" t="s">
        <v>4112</v>
      </c>
      <c r="I1048" s="75">
        <v>42.8</v>
      </c>
      <c r="J1048" s="75">
        <v>-121.3</v>
      </c>
      <c r="K1048" s="75" t="s">
        <v>2276</v>
      </c>
      <c r="L1048" s="4">
        <v>1998</v>
      </c>
      <c r="M1048" s="4">
        <v>2010</v>
      </c>
      <c r="N1048" s="75" t="s">
        <v>2276</v>
      </c>
      <c r="O1048" s="4" t="s">
        <v>67</v>
      </c>
      <c r="P1048" s="19" t="s">
        <v>6400</v>
      </c>
      <c r="Q1048" s="4"/>
    </row>
    <row r="1049" spans="1:17" ht="43.5">
      <c r="A1049" s="193">
        <v>288</v>
      </c>
      <c r="B1049" s="206" t="s">
        <v>6380</v>
      </c>
      <c r="C1049" s="4" t="s">
        <v>6419</v>
      </c>
      <c r="D1049" s="4" t="s">
        <v>2398</v>
      </c>
      <c r="E1049" s="4" t="s">
        <v>2636</v>
      </c>
      <c r="F1049" s="4" t="s">
        <v>6384</v>
      </c>
      <c r="G1049" s="4" t="s">
        <v>6382</v>
      </c>
      <c r="H1049" s="4" t="s">
        <v>4112</v>
      </c>
      <c r="I1049" s="75">
        <v>44.8</v>
      </c>
      <c r="J1049" s="75">
        <v>-121.4</v>
      </c>
      <c r="K1049" s="209">
        <v>2640</v>
      </c>
      <c r="L1049" s="4">
        <v>1910</v>
      </c>
      <c r="M1049" s="4">
        <v>1924</v>
      </c>
      <c r="N1049" s="75" t="s">
        <v>2276</v>
      </c>
      <c r="O1049" s="4" t="s">
        <v>67</v>
      </c>
      <c r="P1049" s="19" t="s">
        <v>6400</v>
      </c>
      <c r="Q1049" s="4" t="s">
        <v>6385</v>
      </c>
    </row>
    <row r="1050" spans="1:17" ht="43.5">
      <c r="A1050" s="193">
        <v>288</v>
      </c>
      <c r="B1050" s="206" t="s">
        <v>6380</v>
      </c>
      <c r="C1050" s="4" t="s">
        <v>6420</v>
      </c>
      <c r="D1050" s="4" t="s">
        <v>2398</v>
      </c>
      <c r="E1050" s="4" t="s">
        <v>2636</v>
      </c>
      <c r="F1050" s="4" t="s">
        <v>6384</v>
      </c>
      <c r="G1050" s="4" t="s">
        <v>6382</v>
      </c>
      <c r="H1050" s="4" t="s">
        <v>4112</v>
      </c>
      <c r="I1050" s="75">
        <v>44.8</v>
      </c>
      <c r="J1050" s="75">
        <v>-121.4</v>
      </c>
      <c r="K1050" s="209">
        <v>2640</v>
      </c>
      <c r="L1050" s="4">
        <v>1925</v>
      </c>
      <c r="M1050" s="4">
        <v>1975</v>
      </c>
      <c r="N1050" s="75" t="s">
        <v>2276</v>
      </c>
      <c r="O1050" s="4" t="s">
        <v>67</v>
      </c>
      <c r="P1050" s="19" t="s">
        <v>6400</v>
      </c>
      <c r="Q1050" s="4" t="s">
        <v>6385</v>
      </c>
    </row>
    <row r="1051" spans="1:17" ht="43.5">
      <c r="A1051" s="193">
        <v>288</v>
      </c>
      <c r="B1051" s="206" t="s">
        <v>6380</v>
      </c>
      <c r="C1051" s="4" t="s">
        <v>6421</v>
      </c>
      <c r="D1051" s="4" t="s">
        <v>2398</v>
      </c>
      <c r="E1051" s="4" t="s">
        <v>2636</v>
      </c>
      <c r="F1051" s="4" t="s">
        <v>6384</v>
      </c>
      <c r="G1051" s="4" t="s">
        <v>6382</v>
      </c>
      <c r="H1051" s="4" t="s">
        <v>4112</v>
      </c>
      <c r="I1051" s="75">
        <v>44.8</v>
      </c>
      <c r="J1051" s="75">
        <v>-121.4</v>
      </c>
      <c r="K1051" s="209">
        <v>2640</v>
      </c>
      <c r="L1051" s="4">
        <v>1976</v>
      </c>
      <c r="M1051" s="4">
        <v>1995</v>
      </c>
      <c r="N1051" s="75" t="s">
        <v>2276</v>
      </c>
      <c r="O1051" s="4" t="s">
        <v>67</v>
      </c>
      <c r="P1051" s="19" t="s">
        <v>6400</v>
      </c>
      <c r="Q1051" s="4" t="s">
        <v>6385</v>
      </c>
    </row>
    <row r="1052" spans="1:17" ht="43.5">
      <c r="A1052" s="193">
        <v>288</v>
      </c>
      <c r="B1052" s="206" t="s">
        <v>6380</v>
      </c>
      <c r="C1052" s="4" t="s">
        <v>6422</v>
      </c>
      <c r="D1052" s="4" t="s">
        <v>2398</v>
      </c>
      <c r="E1052" s="4" t="s">
        <v>2636</v>
      </c>
      <c r="F1052" s="4" t="s">
        <v>6384</v>
      </c>
      <c r="G1052" s="4" t="s">
        <v>6382</v>
      </c>
      <c r="H1052" s="4" t="s">
        <v>4112</v>
      </c>
      <c r="I1052" s="75">
        <v>44.8</v>
      </c>
      <c r="J1052" s="75">
        <v>-121.4</v>
      </c>
      <c r="K1052" s="209">
        <v>2640</v>
      </c>
      <c r="L1052" s="4">
        <v>1996</v>
      </c>
      <c r="M1052" s="4">
        <v>2010</v>
      </c>
      <c r="N1052" s="75" t="s">
        <v>2276</v>
      </c>
      <c r="O1052" s="4" t="s">
        <v>67</v>
      </c>
      <c r="P1052" s="19" t="s">
        <v>6400</v>
      </c>
      <c r="Q1052" s="4" t="s">
        <v>6385</v>
      </c>
    </row>
    <row r="1053" spans="1:17" ht="41.5" customHeight="1">
      <c r="A1053" s="193">
        <v>289</v>
      </c>
      <c r="B1053" s="207" t="s">
        <v>6386</v>
      </c>
      <c r="C1053" s="4" t="s">
        <v>6423</v>
      </c>
      <c r="D1053" s="4" t="s">
        <v>2398</v>
      </c>
      <c r="E1053" s="4" t="s">
        <v>2636</v>
      </c>
      <c r="F1053" s="4" t="s">
        <v>6387</v>
      </c>
      <c r="G1053" s="4" t="s">
        <v>6388</v>
      </c>
      <c r="H1053" s="4" t="s">
        <v>5373</v>
      </c>
      <c r="I1053" s="75">
        <v>60</v>
      </c>
      <c r="J1053" s="75">
        <v>-112.1</v>
      </c>
      <c r="K1053" s="209">
        <v>43000</v>
      </c>
      <c r="L1053" s="4">
        <v>1970</v>
      </c>
      <c r="M1053" s="4">
        <v>2015</v>
      </c>
      <c r="N1053" s="75" t="s">
        <v>2276</v>
      </c>
      <c r="O1053" s="4" t="s">
        <v>67</v>
      </c>
      <c r="P1053" s="19" t="s">
        <v>6400</v>
      </c>
      <c r="Q1053" s="4"/>
    </row>
    <row r="1054" spans="1:17" ht="58">
      <c r="A1054" s="193">
        <v>289</v>
      </c>
      <c r="B1054" s="206" t="s">
        <v>6386</v>
      </c>
      <c r="C1054" s="4" t="s">
        <v>6424</v>
      </c>
      <c r="D1054" s="4" t="s">
        <v>2398</v>
      </c>
      <c r="E1054" s="4" t="s">
        <v>2636</v>
      </c>
      <c r="F1054" s="4" t="s">
        <v>6389</v>
      </c>
      <c r="G1054" s="4" t="s">
        <v>6388</v>
      </c>
      <c r="H1054" s="4" t="s">
        <v>5373</v>
      </c>
      <c r="I1054" s="75">
        <v>57.2</v>
      </c>
      <c r="J1054" s="75">
        <v>-111.5</v>
      </c>
      <c r="K1054" s="209">
        <v>79000</v>
      </c>
      <c r="L1054" s="4">
        <v>1970</v>
      </c>
      <c r="M1054" s="4">
        <v>2015</v>
      </c>
      <c r="N1054" s="4">
        <v>1.3</v>
      </c>
      <c r="O1054" s="4" t="s">
        <v>67</v>
      </c>
      <c r="P1054" s="19" t="s">
        <v>6400</v>
      </c>
      <c r="Q1054" s="4" t="s">
        <v>6390</v>
      </c>
    </row>
    <row r="1055" spans="1:17" ht="112.5" customHeight="1">
      <c r="A1055" s="193">
        <v>290</v>
      </c>
      <c r="B1055" s="58" t="s">
        <v>6391</v>
      </c>
      <c r="C1055" s="4" t="s">
        <v>6425</v>
      </c>
      <c r="D1055" s="4" t="s">
        <v>2416</v>
      </c>
      <c r="E1055" s="4" t="s">
        <v>2636</v>
      </c>
      <c r="F1055" s="4" t="s">
        <v>6392</v>
      </c>
      <c r="G1055" s="75" t="s">
        <v>2276</v>
      </c>
      <c r="H1055" s="4" t="s">
        <v>3490</v>
      </c>
      <c r="I1055" s="75">
        <v>-18.440000000000001</v>
      </c>
      <c r="J1055" s="75">
        <v>27.26</v>
      </c>
      <c r="K1055" s="209">
        <v>6387</v>
      </c>
      <c r="L1055" s="4">
        <v>1989</v>
      </c>
      <c r="M1055" s="4">
        <v>2007</v>
      </c>
      <c r="N1055" s="211">
        <v>3.0056779077770099</v>
      </c>
      <c r="O1055" s="4" t="s">
        <v>67</v>
      </c>
      <c r="P1055" s="19" t="s">
        <v>6400</v>
      </c>
      <c r="Q1055" s="4" t="s">
        <v>6393</v>
      </c>
    </row>
    <row r="1056" spans="1:17" ht="29" customHeight="1">
      <c r="A1056" s="193">
        <v>291</v>
      </c>
      <c r="B1056" s="207" t="s">
        <v>6394</v>
      </c>
      <c r="C1056" s="4" t="s">
        <v>6426</v>
      </c>
      <c r="D1056" s="4" t="s">
        <v>2398</v>
      </c>
      <c r="E1056" s="4" t="s">
        <v>2636</v>
      </c>
      <c r="F1056" s="4" t="s">
        <v>6395</v>
      </c>
      <c r="G1056" s="4" t="s">
        <v>6396</v>
      </c>
      <c r="H1056" s="4" t="s">
        <v>6397</v>
      </c>
      <c r="I1056" s="75">
        <v>65.17</v>
      </c>
      <c r="J1056" s="75">
        <v>18.75</v>
      </c>
      <c r="K1056" s="209">
        <v>598</v>
      </c>
      <c r="L1056" s="4">
        <v>1921</v>
      </c>
      <c r="M1056" s="4">
        <v>1970</v>
      </c>
      <c r="N1056" s="75" t="s">
        <v>2276</v>
      </c>
      <c r="O1056" s="4" t="s">
        <v>67</v>
      </c>
      <c r="P1056" s="19" t="s">
        <v>6400</v>
      </c>
      <c r="Q1056" s="4"/>
    </row>
    <row r="1057" spans="1:17" ht="32" customHeight="1">
      <c r="A1057" s="193">
        <v>292</v>
      </c>
      <c r="B1057" s="207" t="s">
        <v>6398</v>
      </c>
      <c r="C1057" s="4" t="s">
        <v>6427</v>
      </c>
      <c r="D1057" s="4" t="s">
        <v>2398</v>
      </c>
      <c r="E1057" s="4" t="s">
        <v>4847</v>
      </c>
      <c r="F1057" s="75" t="s">
        <v>2276</v>
      </c>
      <c r="G1057" s="75" t="s">
        <v>2276</v>
      </c>
      <c r="H1057" s="4" t="s">
        <v>6397</v>
      </c>
      <c r="I1057" s="75">
        <v>59.2</v>
      </c>
      <c r="J1057" s="75">
        <v>18.5</v>
      </c>
      <c r="K1057" s="209">
        <v>305360</v>
      </c>
      <c r="L1057" s="4">
        <v>2011</v>
      </c>
      <c r="M1057" s="4">
        <v>2015</v>
      </c>
      <c r="N1057" s="75" t="s">
        <v>2276</v>
      </c>
      <c r="O1057" s="4" t="s">
        <v>67</v>
      </c>
      <c r="P1057" s="19" t="s">
        <v>6400</v>
      </c>
      <c r="Q1057" s="4" t="s">
        <v>6399</v>
      </c>
    </row>
    <row r="1058" spans="1:17" ht="33.5" customHeight="1">
      <c r="A1058" s="213">
        <v>293</v>
      </c>
      <c r="B1058" s="40" t="s">
        <v>6988</v>
      </c>
      <c r="C1058" s="19" t="s">
        <v>6989</v>
      </c>
      <c r="D1058" s="4" t="s">
        <v>2398</v>
      </c>
      <c r="E1058" s="204" t="s">
        <v>2399</v>
      </c>
      <c r="F1058" s="19" t="s">
        <v>6990</v>
      </c>
      <c r="G1058" s="19" t="s">
        <v>6991</v>
      </c>
      <c r="H1058" s="19" t="s">
        <v>7294</v>
      </c>
      <c r="I1058" s="21">
        <f>48 + 23/60</f>
        <v>48.383333333333333</v>
      </c>
      <c r="J1058" s="21">
        <f>21 + 21.7/60</f>
        <v>21.361666666666668</v>
      </c>
      <c r="K1058" s="21">
        <v>1</v>
      </c>
      <c r="L1058" s="19">
        <v>2006</v>
      </c>
      <c r="M1058" s="19">
        <v>2007</v>
      </c>
      <c r="N1058" s="75" t="s">
        <v>2276</v>
      </c>
      <c r="O1058" s="4" t="s">
        <v>67</v>
      </c>
      <c r="P1058" s="19" t="s">
        <v>5187</v>
      </c>
      <c r="Q1058" s="204"/>
    </row>
    <row r="1059" spans="1:17" ht="38" customHeight="1">
      <c r="A1059" s="213">
        <v>294</v>
      </c>
      <c r="B1059" s="40" t="s">
        <v>6996</v>
      </c>
      <c r="C1059" s="19" t="s">
        <v>6997</v>
      </c>
      <c r="D1059" s="4" t="s">
        <v>2398</v>
      </c>
      <c r="E1059" s="204" t="s">
        <v>2400</v>
      </c>
      <c r="F1059" s="204" t="s">
        <v>6998</v>
      </c>
      <c r="G1059" s="82" t="s">
        <v>166</v>
      </c>
      <c r="H1059" s="19" t="s">
        <v>121</v>
      </c>
      <c r="I1059" s="21">
        <v>-7.9078809999999997</v>
      </c>
      <c r="J1059" s="21">
        <v>-55.433556799999998</v>
      </c>
      <c r="K1059" s="21">
        <f>185*185</f>
        <v>34225</v>
      </c>
      <c r="L1059" s="19">
        <v>2013</v>
      </c>
      <c r="M1059" s="19">
        <v>2014</v>
      </c>
      <c r="N1059" s="75" t="s">
        <v>2276</v>
      </c>
      <c r="O1059" s="4" t="s">
        <v>67</v>
      </c>
      <c r="P1059" s="19" t="s">
        <v>5187</v>
      </c>
      <c r="Q1059" s="4" t="s">
        <v>7009</v>
      </c>
    </row>
    <row r="1060" spans="1:17" ht="42.5" customHeight="1">
      <c r="A1060" s="213">
        <v>295</v>
      </c>
      <c r="B1060" s="40" t="s">
        <v>7007</v>
      </c>
      <c r="C1060" s="19" t="s">
        <v>7008</v>
      </c>
      <c r="D1060" s="4" t="s">
        <v>2398</v>
      </c>
      <c r="E1060" s="204" t="s">
        <v>2400</v>
      </c>
      <c r="F1060" s="75" t="s">
        <v>2276</v>
      </c>
      <c r="G1060" s="204" t="s">
        <v>165</v>
      </c>
      <c r="H1060" s="19" t="s">
        <v>121</v>
      </c>
      <c r="I1060" s="21">
        <f>AVERAGE(-9 - 15/60, -10-40/60)</f>
        <v>-9.9583333333333321</v>
      </c>
      <c r="J1060" s="21">
        <f>AVERAGE(-62 - 50/60, -60)</f>
        <v>-61.416666666666671</v>
      </c>
      <c r="K1060" s="21">
        <f>185*185</f>
        <v>34225</v>
      </c>
      <c r="L1060" s="204">
        <v>2005</v>
      </c>
      <c r="M1060" s="204">
        <v>2005</v>
      </c>
      <c r="N1060" s="75" t="s">
        <v>2276</v>
      </c>
      <c r="O1060" s="4" t="s">
        <v>67</v>
      </c>
      <c r="P1060" s="19" t="s">
        <v>5187</v>
      </c>
      <c r="Q1060" s="19" t="s">
        <v>7010</v>
      </c>
    </row>
    <row r="1061" spans="1:17" ht="37.5" customHeight="1">
      <c r="A1061" s="213">
        <v>296</v>
      </c>
      <c r="B1061" s="40" t="s">
        <v>7017</v>
      </c>
      <c r="C1061" s="19" t="s">
        <v>7018</v>
      </c>
      <c r="D1061" s="4" t="s">
        <v>2398</v>
      </c>
      <c r="E1061" s="204" t="s">
        <v>2405</v>
      </c>
      <c r="F1061" s="75" t="s">
        <v>2276</v>
      </c>
      <c r="G1061" s="204" t="s">
        <v>165</v>
      </c>
      <c r="H1061" s="19" t="s">
        <v>121</v>
      </c>
      <c r="I1061" s="21">
        <v>-12.6955445</v>
      </c>
      <c r="J1061" s="21">
        <v>-55.928997299999999</v>
      </c>
      <c r="K1061" s="21">
        <v>903357</v>
      </c>
      <c r="L1061" s="204">
        <v>2001</v>
      </c>
      <c r="M1061" s="204">
        <v>2004</v>
      </c>
      <c r="N1061" s="75" t="s">
        <v>2276</v>
      </c>
      <c r="O1061" s="204" t="s">
        <v>149</v>
      </c>
      <c r="P1061" s="19" t="s">
        <v>5187</v>
      </c>
      <c r="Q1061" s="204"/>
    </row>
    <row r="1062" spans="1:17" ht="39" customHeight="1">
      <c r="A1062" s="213">
        <v>297</v>
      </c>
      <c r="B1062" s="40" t="s">
        <v>7023</v>
      </c>
      <c r="C1062" s="19" t="s">
        <v>7024</v>
      </c>
      <c r="D1062" s="4" t="s">
        <v>2398</v>
      </c>
      <c r="E1062" s="204" t="s">
        <v>2637</v>
      </c>
      <c r="F1062" s="204" t="s">
        <v>7026</v>
      </c>
      <c r="G1062" s="204" t="s">
        <v>7025</v>
      </c>
      <c r="H1062" s="19" t="s">
        <v>4112</v>
      </c>
      <c r="I1062" s="21">
        <v>40.752764800000001</v>
      </c>
      <c r="J1062" s="21">
        <v>-104.0032815</v>
      </c>
      <c r="K1062" s="21">
        <f>60900/100</f>
        <v>609</v>
      </c>
      <c r="L1062" s="19">
        <v>2007</v>
      </c>
      <c r="M1062" s="19">
        <v>2010</v>
      </c>
      <c r="N1062" s="75" t="s">
        <v>2276</v>
      </c>
      <c r="O1062" s="4" t="s">
        <v>67</v>
      </c>
      <c r="P1062" s="19" t="s">
        <v>5187</v>
      </c>
      <c r="Q1062" s="4" t="s">
        <v>7028</v>
      </c>
    </row>
    <row r="1063" spans="1:17" ht="41.5" customHeight="1">
      <c r="A1063" s="213">
        <v>298</v>
      </c>
      <c r="B1063" s="40" t="s">
        <v>7035</v>
      </c>
      <c r="C1063" s="204" t="s">
        <v>7034</v>
      </c>
      <c r="D1063" s="4" t="s">
        <v>2398</v>
      </c>
      <c r="E1063" s="204" t="s">
        <v>2399</v>
      </c>
      <c r="F1063" s="204" t="s">
        <v>7033</v>
      </c>
      <c r="G1063" s="75" t="s">
        <v>2276</v>
      </c>
      <c r="H1063" s="204" t="s">
        <v>3616</v>
      </c>
      <c r="I1063" s="21">
        <v>-31.682602500000002</v>
      </c>
      <c r="J1063" s="21">
        <v>-64.837188999999995</v>
      </c>
      <c r="K1063" s="21">
        <f>200*16/(1000^2)</f>
        <v>3.2000000000000002E-3</v>
      </c>
      <c r="L1063" s="19">
        <v>2009</v>
      </c>
      <c r="M1063" s="19">
        <v>2009</v>
      </c>
      <c r="N1063" s="75" t="s">
        <v>2276</v>
      </c>
      <c r="O1063" s="4" t="s">
        <v>67</v>
      </c>
      <c r="P1063" s="19" t="s">
        <v>5187</v>
      </c>
      <c r="Q1063" s="204"/>
    </row>
    <row r="1064" spans="1:17" ht="38" customHeight="1">
      <c r="A1064" s="213">
        <v>299</v>
      </c>
      <c r="B1064" s="40" t="s">
        <v>7039</v>
      </c>
      <c r="C1064" s="19" t="s">
        <v>7040</v>
      </c>
      <c r="D1064" s="19" t="s">
        <v>2398</v>
      </c>
      <c r="E1064" s="204" t="s">
        <v>2422</v>
      </c>
      <c r="F1064" s="11" t="s">
        <v>7042</v>
      </c>
      <c r="G1064" s="11" t="s">
        <v>7041</v>
      </c>
      <c r="H1064" s="19" t="s">
        <v>4112</v>
      </c>
      <c r="I1064" s="21">
        <f>43 + 10 /60</f>
        <v>43.166666666666664</v>
      </c>
      <c r="J1064" s="21">
        <f>-116-48/60</f>
        <v>-116.8</v>
      </c>
      <c r="K1064" s="21">
        <f>324/100</f>
        <v>3.24</v>
      </c>
      <c r="L1064" s="19">
        <v>2004</v>
      </c>
      <c r="M1064" s="19">
        <v>2010</v>
      </c>
      <c r="N1064" s="75" t="s">
        <v>2276</v>
      </c>
      <c r="O1064" s="4" t="s">
        <v>67</v>
      </c>
      <c r="P1064" s="19" t="s">
        <v>5187</v>
      </c>
      <c r="Q1064" s="204"/>
    </row>
    <row r="1065" spans="1:17" ht="36.5" customHeight="1">
      <c r="A1065" s="213">
        <v>300</v>
      </c>
      <c r="B1065" s="57" t="s">
        <v>7046</v>
      </c>
      <c r="C1065" s="19" t="s">
        <v>7047</v>
      </c>
      <c r="D1065" s="19" t="s">
        <v>2398</v>
      </c>
      <c r="E1065" s="11" t="s">
        <v>2636</v>
      </c>
      <c r="F1065" s="82" t="s">
        <v>2276</v>
      </c>
      <c r="G1065" s="11" t="s">
        <v>7045</v>
      </c>
      <c r="H1065" s="19" t="s">
        <v>3414</v>
      </c>
      <c r="I1065" s="74">
        <v>-17.377790600000001</v>
      </c>
      <c r="J1065" s="74">
        <v>123.9260275</v>
      </c>
      <c r="K1065" s="74">
        <v>423517</v>
      </c>
      <c r="L1065" s="11">
        <v>1980</v>
      </c>
      <c r="M1065" s="11">
        <v>1997</v>
      </c>
      <c r="N1065" s="82" t="s">
        <v>2276</v>
      </c>
      <c r="O1065" s="19" t="s">
        <v>67</v>
      </c>
      <c r="P1065" s="19" t="s">
        <v>5187</v>
      </c>
      <c r="Q1065" s="11"/>
    </row>
    <row r="1066" spans="1:17" ht="44.5" customHeight="1">
      <c r="A1066" s="213">
        <v>301</v>
      </c>
      <c r="B1066" s="40" t="s">
        <v>7059</v>
      </c>
      <c r="C1066" s="19" t="s">
        <v>7060</v>
      </c>
      <c r="D1066" s="19" t="s">
        <v>2398</v>
      </c>
      <c r="E1066" s="204" t="s">
        <v>2422</v>
      </c>
      <c r="F1066" s="4" t="s">
        <v>7064</v>
      </c>
      <c r="G1066" s="204" t="s">
        <v>7067</v>
      </c>
      <c r="H1066" s="204" t="s">
        <v>121</v>
      </c>
      <c r="I1066" s="21">
        <v>-16</v>
      </c>
      <c r="J1066" s="21">
        <v>-42</v>
      </c>
      <c r="K1066" s="21">
        <v>609</v>
      </c>
      <c r="L1066" s="204">
        <v>2014</v>
      </c>
      <c r="M1066" s="204">
        <v>2014</v>
      </c>
      <c r="N1066" s="82" t="s">
        <v>2276</v>
      </c>
      <c r="O1066" s="19" t="s">
        <v>67</v>
      </c>
      <c r="P1066" s="19" t="s">
        <v>5187</v>
      </c>
      <c r="Q1066" s="4" t="s">
        <v>7063</v>
      </c>
    </row>
    <row r="1067" spans="1:17" ht="44.5" customHeight="1">
      <c r="A1067" s="213">
        <v>301</v>
      </c>
      <c r="B1067" s="40" t="s">
        <v>7059</v>
      </c>
      <c r="C1067" s="19" t="s">
        <v>7061</v>
      </c>
      <c r="D1067" s="19" t="s">
        <v>2398</v>
      </c>
      <c r="E1067" s="204" t="s">
        <v>2422</v>
      </c>
      <c r="F1067" s="4" t="s">
        <v>7065</v>
      </c>
      <c r="G1067" s="204" t="s">
        <v>7066</v>
      </c>
      <c r="H1067" s="204" t="s">
        <v>121</v>
      </c>
      <c r="I1067" s="21">
        <v>-15.823395100000001</v>
      </c>
      <c r="J1067" s="21">
        <v>-43.322687899999998</v>
      </c>
      <c r="K1067" s="21">
        <v>1761</v>
      </c>
      <c r="L1067" s="204">
        <v>2014</v>
      </c>
      <c r="M1067" s="204">
        <v>2014</v>
      </c>
      <c r="N1067" s="82" t="s">
        <v>2276</v>
      </c>
      <c r="O1067" s="19" t="s">
        <v>67</v>
      </c>
      <c r="P1067" s="19" t="s">
        <v>5187</v>
      </c>
      <c r="Q1067" s="4" t="s">
        <v>7063</v>
      </c>
    </row>
    <row r="1068" spans="1:17" ht="44.5" customHeight="1">
      <c r="A1068" s="213">
        <v>301</v>
      </c>
      <c r="B1068" s="40" t="s">
        <v>7059</v>
      </c>
      <c r="C1068" s="204" t="s">
        <v>7062</v>
      </c>
      <c r="D1068" s="19" t="s">
        <v>2398</v>
      </c>
      <c r="E1068" s="204" t="s">
        <v>2422</v>
      </c>
      <c r="F1068" s="4" t="s">
        <v>3046</v>
      </c>
      <c r="G1068" s="204" t="s">
        <v>2956</v>
      </c>
      <c r="H1068" s="204" t="s">
        <v>121</v>
      </c>
      <c r="I1068" s="21">
        <v>-14.578281</v>
      </c>
      <c r="J1068" s="21">
        <v>-38.866053600000001</v>
      </c>
      <c r="K1068" s="21">
        <v>7070</v>
      </c>
      <c r="L1068" s="204">
        <v>2014</v>
      </c>
      <c r="M1068" s="204">
        <v>2014</v>
      </c>
      <c r="N1068" s="82" t="s">
        <v>2276</v>
      </c>
      <c r="O1068" s="19" t="s">
        <v>67</v>
      </c>
      <c r="P1068" s="19" t="s">
        <v>5187</v>
      </c>
      <c r="Q1068" s="4" t="s">
        <v>7063</v>
      </c>
    </row>
    <row r="1069" spans="1:17" ht="36.5" customHeight="1">
      <c r="A1069" s="213">
        <v>302</v>
      </c>
      <c r="B1069" s="40" t="s">
        <v>7081</v>
      </c>
      <c r="C1069" s="204" t="s">
        <v>7080</v>
      </c>
      <c r="D1069" s="19" t="s">
        <v>2398</v>
      </c>
      <c r="E1069" s="204" t="s">
        <v>2399</v>
      </c>
      <c r="F1069" s="204" t="s">
        <v>7082</v>
      </c>
      <c r="G1069" s="204" t="s">
        <v>7083</v>
      </c>
      <c r="H1069" s="11" t="s">
        <v>6116</v>
      </c>
      <c r="I1069" s="21">
        <f>42 + 36/60</f>
        <v>42.6</v>
      </c>
      <c r="J1069" s="21">
        <f>1/60</f>
        <v>1.6666666666666666E-2</v>
      </c>
      <c r="K1069" s="21">
        <f>3.6/100</f>
        <v>3.6000000000000004E-2</v>
      </c>
      <c r="L1069" s="11">
        <v>2015</v>
      </c>
      <c r="M1069" s="11">
        <v>2015</v>
      </c>
      <c r="N1069" s="82" t="s">
        <v>2276</v>
      </c>
      <c r="O1069" s="19" t="s">
        <v>67</v>
      </c>
      <c r="P1069" s="19" t="s">
        <v>5187</v>
      </c>
      <c r="Q1069" s="204"/>
    </row>
    <row r="1070" spans="1:17" ht="39.5" customHeight="1">
      <c r="A1070" s="213">
        <v>303</v>
      </c>
      <c r="B1070" s="40" t="s">
        <v>7094</v>
      </c>
      <c r="C1070" s="19" t="s">
        <v>7095</v>
      </c>
      <c r="D1070" s="204" t="s">
        <v>2398</v>
      </c>
      <c r="E1070" s="204" t="s">
        <v>2422</v>
      </c>
      <c r="F1070" s="204" t="s">
        <v>7097</v>
      </c>
      <c r="G1070" s="204" t="s">
        <v>7096</v>
      </c>
      <c r="H1070" s="204" t="s">
        <v>4314</v>
      </c>
      <c r="I1070" s="21">
        <v>43.224080006857598</v>
      </c>
      <c r="J1070" s="21">
        <v>-7.6646931826081497</v>
      </c>
      <c r="K1070" s="21">
        <f>30000/0.6</f>
        <v>50000</v>
      </c>
      <c r="L1070" s="204">
        <v>2005</v>
      </c>
      <c r="M1070" s="204">
        <v>2009</v>
      </c>
      <c r="N1070" s="82" t="s">
        <v>2276</v>
      </c>
      <c r="O1070" s="19" t="s">
        <v>67</v>
      </c>
      <c r="P1070" s="19" t="s">
        <v>5187</v>
      </c>
      <c r="Q1070" s="19" t="s">
        <v>7114</v>
      </c>
    </row>
    <row r="1071" spans="1:17" ht="39.5" customHeight="1">
      <c r="A1071" s="213">
        <v>303</v>
      </c>
      <c r="B1071" s="40" t="s">
        <v>7094</v>
      </c>
      <c r="C1071" s="19" t="s">
        <v>7115</v>
      </c>
      <c r="D1071" s="204" t="s">
        <v>2398</v>
      </c>
      <c r="E1071" s="204" t="s">
        <v>2422</v>
      </c>
      <c r="F1071" s="204" t="s">
        <v>7098</v>
      </c>
      <c r="G1071" s="204" t="s">
        <v>7096</v>
      </c>
      <c r="H1071" s="204" t="s">
        <v>4314</v>
      </c>
      <c r="I1071" s="21">
        <v>43.284344685012499</v>
      </c>
      <c r="J1071" s="21">
        <v>-5.2442031536895302</v>
      </c>
      <c r="K1071" s="21">
        <v>6000</v>
      </c>
      <c r="L1071" s="204">
        <v>2005</v>
      </c>
      <c r="M1071" s="204">
        <v>2009</v>
      </c>
      <c r="N1071" s="82" t="s">
        <v>2276</v>
      </c>
      <c r="O1071" s="19" t="s">
        <v>67</v>
      </c>
      <c r="P1071" s="19" t="s">
        <v>5187</v>
      </c>
      <c r="Q1071" s="19" t="s">
        <v>7114</v>
      </c>
    </row>
    <row r="1072" spans="1:17" ht="39.5" customHeight="1">
      <c r="A1072" s="213">
        <v>303</v>
      </c>
      <c r="B1072" s="40" t="s">
        <v>7094</v>
      </c>
      <c r="C1072" s="19" t="s">
        <v>7116</v>
      </c>
      <c r="D1072" s="204" t="s">
        <v>2398</v>
      </c>
      <c r="E1072" s="204" t="s">
        <v>2422</v>
      </c>
      <c r="F1072" s="204" t="s">
        <v>7099</v>
      </c>
      <c r="G1072" s="204" t="s">
        <v>7096</v>
      </c>
      <c r="H1072" s="204" t="s">
        <v>4314</v>
      </c>
      <c r="I1072" s="21">
        <v>43.112988378599098</v>
      </c>
      <c r="J1072" s="21">
        <v>-2.7109157073804502</v>
      </c>
      <c r="K1072" s="21">
        <v>3000</v>
      </c>
      <c r="L1072" s="204">
        <v>2005</v>
      </c>
      <c r="M1072" s="204">
        <v>2009</v>
      </c>
      <c r="N1072" s="82" t="s">
        <v>2276</v>
      </c>
      <c r="O1072" s="19" t="s">
        <v>67</v>
      </c>
      <c r="P1072" s="19" t="s">
        <v>5187</v>
      </c>
      <c r="Q1072" s="19" t="s">
        <v>7114</v>
      </c>
    </row>
    <row r="1073" spans="1:17" ht="39.5" customHeight="1">
      <c r="A1073" s="213">
        <v>303</v>
      </c>
      <c r="B1073" s="40" t="s">
        <v>7094</v>
      </c>
      <c r="C1073" s="19" t="s">
        <v>7117</v>
      </c>
      <c r="D1073" s="204" t="s">
        <v>2398</v>
      </c>
      <c r="E1073" s="204" t="s">
        <v>2422</v>
      </c>
      <c r="F1073" s="11" t="s">
        <v>6143</v>
      </c>
      <c r="G1073" s="11" t="s">
        <v>7102</v>
      </c>
      <c r="H1073" s="204" t="s">
        <v>4314</v>
      </c>
      <c r="I1073" s="21">
        <v>42.858794319360598</v>
      </c>
      <c r="J1073" s="21">
        <v>-1.2826979314387601</v>
      </c>
      <c r="K1073" s="21">
        <v>1000</v>
      </c>
      <c r="L1073" s="204">
        <v>2005</v>
      </c>
      <c r="M1073" s="204">
        <v>2009</v>
      </c>
      <c r="N1073" s="82" t="s">
        <v>2276</v>
      </c>
      <c r="O1073" s="19" t="s">
        <v>67</v>
      </c>
      <c r="P1073" s="19" t="s">
        <v>5187</v>
      </c>
      <c r="Q1073" s="19" t="s">
        <v>7114</v>
      </c>
    </row>
    <row r="1074" spans="1:17" ht="39.5" customHeight="1">
      <c r="A1074" s="213">
        <v>303</v>
      </c>
      <c r="B1074" s="40" t="s">
        <v>7094</v>
      </c>
      <c r="C1074" s="19" t="s">
        <v>7118</v>
      </c>
      <c r="D1074" s="204" t="s">
        <v>2398</v>
      </c>
      <c r="E1074" s="204" t="s">
        <v>2422</v>
      </c>
      <c r="F1074" s="11" t="s">
        <v>7100</v>
      </c>
      <c r="G1074" s="11" t="s">
        <v>7102</v>
      </c>
      <c r="H1074" s="204" t="s">
        <v>4314</v>
      </c>
      <c r="I1074" s="21">
        <v>42.234142612692601</v>
      </c>
      <c r="J1074" s="21">
        <v>0.64997402018690098</v>
      </c>
      <c r="K1074" s="21">
        <v>6000</v>
      </c>
      <c r="L1074" s="204">
        <v>2005</v>
      </c>
      <c r="M1074" s="204">
        <v>2009</v>
      </c>
      <c r="N1074" s="82" t="s">
        <v>2276</v>
      </c>
      <c r="O1074" s="19" t="s">
        <v>67</v>
      </c>
      <c r="P1074" s="19" t="s">
        <v>5187</v>
      </c>
      <c r="Q1074" s="19" t="s">
        <v>7114</v>
      </c>
    </row>
    <row r="1075" spans="1:17" ht="39.5" customHeight="1">
      <c r="A1075" s="213">
        <v>303</v>
      </c>
      <c r="B1075" s="40" t="s">
        <v>7094</v>
      </c>
      <c r="C1075" s="19" t="s">
        <v>7119</v>
      </c>
      <c r="D1075" s="204" t="s">
        <v>2398</v>
      </c>
      <c r="E1075" s="204" t="s">
        <v>2422</v>
      </c>
      <c r="F1075" s="11" t="s">
        <v>7101</v>
      </c>
      <c r="G1075" s="11" t="s">
        <v>7102</v>
      </c>
      <c r="H1075" s="204" t="s">
        <v>4314</v>
      </c>
      <c r="I1075" s="21">
        <v>42.085069503480803</v>
      </c>
      <c r="J1075" s="21">
        <v>2.5175000198392001</v>
      </c>
      <c r="K1075" s="21">
        <v>2000</v>
      </c>
      <c r="L1075" s="204">
        <v>2005</v>
      </c>
      <c r="M1075" s="204">
        <v>2009</v>
      </c>
      <c r="N1075" s="82" t="s">
        <v>2276</v>
      </c>
      <c r="O1075" s="19" t="s">
        <v>67</v>
      </c>
      <c r="P1075" s="19" t="s">
        <v>5187</v>
      </c>
      <c r="Q1075" s="19" t="s">
        <v>7114</v>
      </c>
    </row>
    <row r="1076" spans="1:17" ht="39.5" customHeight="1">
      <c r="A1076" s="213">
        <v>303</v>
      </c>
      <c r="B1076" s="40" t="s">
        <v>7094</v>
      </c>
      <c r="C1076" s="19" t="s">
        <v>7120</v>
      </c>
      <c r="D1076" s="204" t="s">
        <v>2398</v>
      </c>
      <c r="E1076" s="204" t="s">
        <v>2422</v>
      </c>
      <c r="F1076" s="19" t="s">
        <v>7103</v>
      </c>
      <c r="G1076" s="204" t="s">
        <v>7111</v>
      </c>
      <c r="H1076" s="204" t="s">
        <v>4314</v>
      </c>
      <c r="I1076" s="21">
        <v>42.241385118929301</v>
      </c>
      <c r="J1076" s="21">
        <v>-2.1373345217399802</v>
      </c>
      <c r="K1076" s="21">
        <v>5000</v>
      </c>
      <c r="L1076" s="204">
        <v>2005</v>
      </c>
      <c r="M1076" s="204">
        <v>2009</v>
      </c>
      <c r="N1076" s="82" t="s">
        <v>2276</v>
      </c>
      <c r="O1076" s="19" t="s">
        <v>67</v>
      </c>
      <c r="P1076" s="19" t="s">
        <v>5187</v>
      </c>
      <c r="Q1076" s="19" t="s">
        <v>7114</v>
      </c>
    </row>
    <row r="1077" spans="1:17" ht="39.5" customHeight="1">
      <c r="A1077" s="213">
        <v>303</v>
      </c>
      <c r="B1077" s="40" t="s">
        <v>7094</v>
      </c>
      <c r="C1077" s="19" t="s">
        <v>7121</v>
      </c>
      <c r="D1077" s="204" t="s">
        <v>2398</v>
      </c>
      <c r="E1077" s="204" t="s">
        <v>2422</v>
      </c>
      <c r="F1077" s="19" t="s">
        <v>7104</v>
      </c>
      <c r="G1077" s="204" t="s">
        <v>7111</v>
      </c>
      <c r="H1077" s="204" t="s">
        <v>4314</v>
      </c>
      <c r="I1077" s="21">
        <v>40.725552574195703</v>
      </c>
      <c r="J1077" s="21">
        <v>-0.79917194337321795</v>
      </c>
      <c r="K1077" s="21">
        <v>5000</v>
      </c>
      <c r="L1077" s="204">
        <v>2005</v>
      </c>
      <c r="M1077" s="204">
        <v>2009</v>
      </c>
      <c r="N1077" s="82" t="s">
        <v>2276</v>
      </c>
      <c r="O1077" s="19" t="s">
        <v>67</v>
      </c>
      <c r="P1077" s="19" t="s">
        <v>5187</v>
      </c>
      <c r="Q1077" s="19" t="s">
        <v>7114</v>
      </c>
    </row>
    <row r="1078" spans="1:17" ht="39.5" customHeight="1">
      <c r="A1078" s="213">
        <v>303</v>
      </c>
      <c r="B1078" s="40" t="s">
        <v>7094</v>
      </c>
      <c r="C1078" s="19" t="s">
        <v>7122</v>
      </c>
      <c r="D1078" s="204" t="s">
        <v>2398</v>
      </c>
      <c r="E1078" s="204" t="s">
        <v>2422</v>
      </c>
      <c r="F1078" s="19" t="s">
        <v>7105</v>
      </c>
      <c r="G1078" s="204" t="s">
        <v>7111</v>
      </c>
      <c r="H1078" s="204" t="s">
        <v>4314</v>
      </c>
      <c r="I1078" s="21">
        <v>41.287346905146002</v>
      </c>
      <c r="J1078" s="21">
        <v>-3.77436906436238</v>
      </c>
      <c r="K1078" s="21">
        <v>15000</v>
      </c>
      <c r="L1078" s="204">
        <v>2005</v>
      </c>
      <c r="M1078" s="204">
        <v>2009</v>
      </c>
      <c r="N1078" s="82" t="s">
        <v>2276</v>
      </c>
      <c r="O1078" s="19" t="s">
        <v>67</v>
      </c>
      <c r="P1078" s="19" t="s">
        <v>5187</v>
      </c>
      <c r="Q1078" s="19" t="s">
        <v>7114</v>
      </c>
    </row>
    <row r="1079" spans="1:17" ht="39.5" customHeight="1">
      <c r="A1079" s="213">
        <v>303</v>
      </c>
      <c r="B1079" s="40" t="s">
        <v>7094</v>
      </c>
      <c r="C1079" s="19" t="s">
        <v>7123</v>
      </c>
      <c r="D1079" s="204" t="s">
        <v>2398</v>
      </c>
      <c r="E1079" s="204" t="s">
        <v>2422</v>
      </c>
      <c r="F1079" s="19" t="s">
        <v>7106</v>
      </c>
      <c r="G1079" s="204" t="s">
        <v>7111</v>
      </c>
      <c r="H1079" s="204" t="s">
        <v>4314</v>
      </c>
      <c r="I1079" s="21">
        <v>38.289214885243503</v>
      </c>
      <c r="J1079" s="21">
        <v>-2.04728771963822</v>
      </c>
      <c r="K1079" s="21">
        <v>2000</v>
      </c>
      <c r="L1079" s="204">
        <v>2005</v>
      </c>
      <c r="M1079" s="204">
        <v>2009</v>
      </c>
      <c r="N1079" s="82" t="s">
        <v>2276</v>
      </c>
      <c r="O1079" s="19" t="s">
        <v>67</v>
      </c>
      <c r="P1079" s="19" t="s">
        <v>5187</v>
      </c>
      <c r="Q1079" s="19" t="s">
        <v>7114</v>
      </c>
    </row>
    <row r="1080" spans="1:17" ht="39.5" customHeight="1">
      <c r="A1080" s="213">
        <v>303</v>
      </c>
      <c r="B1080" s="40" t="s">
        <v>7094</v>
      </c>
      <c r="C1080" s="19" t="s">
        <v>7124</v>
      </c>
      <c r="D1080" s="204" t="s">
        <v>2398</v>
      </c>
      <c r="E1080" s="204" t="s">
        <v>2422</v>
      </c>
      <c r="F1080" s="217" t="s">
        <v>7107</v>
      </c>
      <c r="G1080" s="204" t="s">
        <v>7111</v>
      </c>
      <c r="H1080" s="204" t="s">
        <v>4314</v>
      </c>
      <c r="I1080" s="21">
        <v>38.834407895083402</v>
      </c>
      <c r="J1080" s="21">
        <v>-4.7570266709673099</v>
      </c>
      <c r="K1080" s="21">
        <v>10000</v>
      </c>
      <c r="L1080" s="204">
        <v>2005</v>
      </c>
      <c r="M1080" s="204">
        <v>2009</v>
      </c>
      <c r="N1080" s="82" t="s">
        <v>2276</v>
      </c>
      <c r="O1080" s="19" t="s">
        <v>67</v>
      </c>
      <c r="P1080" s="19" t="s">
        <v>5187</v>
      </c>
      <c r="Q1080" s="19" t="s">
        <v>7114</v>
      </c>
    </row>
    <row r="1081" spans="1:17" ht="39.5" customHeight="1">
      <c r="A1081" s="213">
        <v>303</v>
      </c>
      <c r="B1081" s="40" t="s">
        <v>7094</v>
      </c>
      <c r="C1081" s="19" t="s">
        <v>7125</v>
      </c>
      <c r="D1081" s="204" t="s">
        <v>2398</v>
      </c>
      <c r="E1081" s="204" t="s">
        <v>2422</v>
      </c>
      <c r="F1081" s="19" t="s">
        <v>7108</v>
      </c>
      <c r="G1081" s="204" t="s">
        <v>7111</v>
      </c>
      <c r="H1081" s="204" t="s">
        <v>4314</v>
      </c>
      <c r="I1081" s="21">
        <v>37.248316172262001</v>
      </c>
      <c r="J1081" s="21">
        <v>-3.8211603556102798</v>
      </c>
      <c r="K1081" s="21">
        <v>5000</v>
      </c>
      <c r="L1081" s="204">
        <v>2005</v>
      </c>
      <c r="M1081" s="204">
        <v>2009</v>
      </c>
      <c r="N1081" s="82" t="s">
        <v>2276</v>
      </c>
      <c r="O1081" s="19" t="s">
        <v>67</v>
      </c>
      <c r="P1081" s="19" t="s">
        <v>5187</v>
      </c>
      <c r="Q1081" s="19" t="s">
        <v>7114</v>
      </c>
    </row>
    <row r="1082" spans="1:17" ht="39.5" customHeight="1">
      <c r="A1082" s="213">
        <v>303</v>
      </c>
      <c r="B1082" s="40" t="s">
        <v>7094</v>
      </c>
      <c r="C1082" s="19" t="s">
        <v>7126</v>
      </c>
      <c r="D1082" s="204" t="s">
        <v>2398</v>
      </c>
      <c r="E1082" s="204" t="s">
        <v>2422</v>
      </c>
      <c r="F1082" s="204" t="s">
        <v>7109</v>
      </c>
      <c r="G1082" s="204" t="s">
        <v>7112</v>
      </c>
      <c r="H1082" s="204" t="s">
        <v>4314</v>
      </c>
      <c r="I1082" s="21">
        <v>39.833258874736103</v>
      </c>
      <c r="J1082" s="21">
        <v>-5.7127010622592902</v>
      </c>
      <c r="K1082" s="21">
        <v>40000</v>
      </c>
      <c r="L1082" s="204">
        <v>2005</v>
      </c>
      <c r="M1082" s="204">
        <v>2009</v>
      </c>
      <c r="N1082" s="82" t="s">
        <v>2276</v>
      </c>
      <c r="O1082" s="19" t="s">
        <v>67</v>
      </c>
      <c r="P1082" s="19" t="s">
        <v>5187</v>
      </c>
      <c r="Q1082" s="19" t="s">
        <v>7114</v>
      </c>
    </row>
    <row r="1083" spans="1:17" ht="39.5" customHeight="1">
      <c r="A1083" s="213">
        <v>303</v>
      </c>
      <c r="B1083" s="40" t="s">
        <v>7094</v>
      </c>
      <c r="C1083" s="19" t="s">
        <v>7127</v>
      </c>
      <c r="D1083" s="204" t="s">
        <v>2398</v>
      </c>
      <c r="E1083" s="204" t="s">
        <v>2422</v>
      </c>
      <c r="F1083" s="144" t="s">
        <v>7110</v>
      </c>
      <c r="G1083" s="204" t="s">
        <v>7112</v>
      </c>
      <c r="H1083" s="204" t="s">
        <v>4314</v>
      </c>
      <c r="I1083" s="21">
        <v>38.4622130523667</v>
      </c>
      <c r="J1083" s="21">
        <v>-4.7575626327340501</v>
      </c>
      <c r="K1083" s="21">
        <v>6800</v>
      </c>
      <c r="L1083" s="204">
        <v>2005</v>
      </c>
      <c r="M1083" s="204">
        <v>2009</v>
      </c>
      <c r="N1083" s="82" t="s">
        <v>2276</v>
      </c>
      <c r="O1083" s="19" t="s">
        <v>67</v>
      </c>
      <c r="P1083" s="19" t="s">
        <v>5187</v>
      </c>
      <c r="Q1083" s="19" t="s">
        <v>7114</v>
      </c>
    </row>
    <row r="1084" spans="1:17" ht="39.5" customHeight="1">
      <c r="A1084" s="213">
        <v>303</v>
      </c>
      <c r="B1084" s="40" t="s">
        <v>7094</v>
      </c>
      <c r="C1084" s="19" t="s">
        <v>7128</v>
      </c>
      <c r="D1084" s="204" t="s">
        <v>2398</v>
      </c>
      <c r="E1084" s="204" t="s">
        <v>2422</v>
      </c>
      <c r="F1084" s="144" t="s">
        <v>7113</v>
      </c>
      <c r="G1084" s="204" t="s">
        <v>7112</v>
      </c>
      <c r="H1084" s="204" t="s">
        <v>4314</v>
      </c>
      <c r="I1084" s="21">
        <v>39.780001987619499</v>
      </c>
      <c r="J1084" s="21">
        <v>-2.98873263352833</v>
      </c>
      <c r="K1084" s="21">
        <v>35000</v>
      </c>
      <c r="L1084" s="204">
        <v>2005</v>
      </c>
      <c r="M1084" s="204">
        <v>2009</v>
      </c>
      <c r="N1084" s="82" t="s">
        <v>2276</v>
      </c>
      <c r="O1084" s="19" t="s">
        <v>67</v>
      </c>
      <c r="P1084" s="19" t="s">
        <v>5187</v>
      </c>
      <c r="Q1084" s="19" t="s">
        <v>7114</v>
      </c>
    </row>
    <row r="1085" spans="1:17" ht="39.5" customHeight="1">
      <c r="A1085" s="213">
        <v>303</v>
      </c>
      <c r="B1085" s="40" t="s">
        <v>7094</v>
      </c>
      <c r="C1085" s="19" t="s">
        <v>7129</v>
      </c>
      <c r="D1085" s="204" t="s">
        <v>2398</v>
      </c>
      <c r="E1085" s="204" t="s">
        <v>2422</v>
      </c>
      <c r="F1085" s="144" t="s">
        <v>7113</v>
      </c>
      <c r="G1085" s="204" t="s">
        <v>7112</v>
      </c>
      <c r="H1085" s="204" t="s">
        <v>4314</v>
      </c>
      <c r="I1085" s="21">
        <v>42.098985381613502</v>
      </c>
      <c r="J1085" s="21">
        <v>-5.6201001304150999</v>
      </c>
      <c r="K1085" s="21">
        <v>35000</v>
      </c>
      <c r="L1085" s="204">
        <v>2005</v>
      </c>
      <c r="M1085" s="204">
        <v>2009</v>
      </c>
      <c r="N1085" s="82" t="s">
        <v>2276</v>
      </c>
      <c r="O1085" s="19" t="s">
        <v>67</v>
      </c>
      <c r="P1085" s="19" t="s">
        <v>5187</v>
      </c>
      <c r="Q1085" s="19" t="s">
        <v>7114</v>
      </c>
    </row>
    <row r="1086" spans="1:17" ht="39.5" customHeight="1">
      <c r="A1086" s="213">
        <v>303</v>
      </c>
      <c r="B1086" s="40" t="s">
        <v>7094</v>
      </c>
      <c r="C1086" s="19" t="s">
        <v>7130</v>
      </c>
      <c r="D1086" s="204" t="s">
        <v>2398</v>
      </c>
      <c r="E1086" s="204" t="s">
        <v>2422</v>
      </c>
      <c r="F1086" s="22" t="s">
        <v>7144</v>
      </c>
      <c r="G1086" s="204" t="s">
        <v>5533</v>
      </c>
      <c r="H1086" s="204" t="s">
        <v>4942</v>
      </c>
      <c r="I1086" s="21">
        <v>44.786053241569597</v>
      </c>
      <c r="J1086" s="21">
        <v>7.1427774572134703</v>
      </c>
      <c r="K1086" s="21">
        <v>8300</v>
      </c>
      <c r="L1086" s="204">
        <v>2005</v>
      </c>
      <c r="M1086" s="204">
        <v>2009</v>
      </c>
      <c r="N1086" s="82" t="s">
        <v>2276</v>
      </c>
      <c r="O1086" s="19" t="s">
        <v>67</v>
      </c>
      <c r="P1086" s="19" t="s">
        <v>5187</v>
      </c>
      <c r="Q1086" s="19" t="s">
        <v>7114</v>
      </c>
    </row>
    <row r="1087" spans="1:17" ht="39.5" customHeight="1">
      <c r="A1087" s="213">
        <v>303</v>
      </c>
      <c r="B1087" s="40" t="s">
        <v>7094</v>
      </c>
      <c r="C1087" s="19" t="s">
        <v>7131</v>
      </c>
      <c r="D1087" s="204" t="s">
        <v>2398</v>
      </c>
      <c r="E1087" s="204" t="s">
        <v>2422</v>
      </c>
      <c r="F1087" s="22" t="s">
        <v>7145</v>
      </c>
      <c r="G1087" s="204" t="s">
        <v>5533</v>
      </c>
      <c r="H1087" s="204" t="s">
        <v>4942</v>
      </c>
      <c r="I1087" s="21">
        <v>46.053994108297701</v>
      </c>
      <c r="J1087" s="21">
        <v>8.6489329923080298</v>
      </c>
      <c r="K1087" s="21">
        <v>1400</v>
      </c>
      <c r="L1087" s="204">
        <v>2005</v>
      </c>
      <c r="M1087" s="204">
        <v>2009</v>
      </c>
      <c r="N1087" s="82" t="s">
        <v>2276</v>
      </c>
      <c r="O1087" s="19" t="s">
        <v>67</v>
      </c>
      <c r="P1087" s="19" t="s">
        <v>5187</v>
      </c>
      <c r="Q1087" s="19" t="s">
        <v>7114</v>
      </c>
    </row>
    <row r="1088" spans="1:17" ht="39.5" customHeight="1">
      <c r="A1088" s="213">
        <v>303</v>
      </c>
      <c r="B1088" s="40" t="s">
        <v>7094</v>
      </c>
      <c r="C1088" s="19" t="s">
        <v>7132</v>
      </c>
      <c r="D1088" s="204" t="s">
        <v>2398</v>
      </c>
      <c r="E1088" s="204" t="s">
        <v>2422</v>
      </c>
      <c r="F1088" s="22" t="s">
        <v>7146</v>
      </c>
      <c r="G1088" s="204" t="s">
        <v>5533</v>
      </c>
      <c r="H1088" s="204" t="s">
        <v>4942</v>
      </c>
      <c r="I1088" s="21">
        <v>46.0567127888919</v>
      </c>
      <c r="J1088" s="21">
        <v>10.163238582957501</v>
      </c>
      <c r="K1088" s="21">
        <v>1800</v>
      </c>
      <c r="L1088" s="204">
        <v>2005</v>
      </c>
      <c r="M1088" s="204">
        <v>2009</v>
      </c>
      <c r="N1088" s="82" t="s">
        <v>2276</v>
      </c>
      <c r="O1088" s="19" t="s">
        <v>67</v>
      </c>
      <c r="P1088" s="19" t="s">
        <v>5187</v>
      </c>
      <c r="Q1088" s="19" t="s">
        <v>7114</v>
      </c>
    </row>
    <row r="1089" spans="1:17" ht="39.5" customHeight="1">
      <c r="A1089" s="213">
        <v>303</v>
      </c>
      <c r="B1089" s="40" t="s">
        <v>7094</v>
      </c>
      <c r="C1089" s="19" t="s">
        <v>7133</v>
      </c>
      <c r="D1089" s="204" t="s">
        <v>2398</v>
      </c>
      <c r="E1089" s="204" t="s">
        <v>2422</v>
      </c>
      <c r="F1089" s="22" t="s">
        <v>7148</v>
      </c>
      <c r="G1089" s="204" t="s">
        <v>7147</v>
      </c>
      <c r="H1089" s="204" t="s">
        <v>4942</v>
      </c>
      <c r="I1089" s="21">
        <v>43.695919295380001</v>
      </c>
      <c r="J1089" s="21">
        <v>11.3329112261598</v>
      </c>
      <c r="K1089" s="21">
        <v>300</v>
      </c>
      <c r="L1089" s="204">
        <v>2005</v>
      </c>
      <c r="M1089" s="204">
        <v>2009</v>
      </c>
      <c r="N1089" s="82" t="s">
        <v>2276</v>
      </c>
      <c r="O1089" s="19" t="s">
        <v>67</v>
      </c>
      <c r="P1089" s="19" t="s">
        <v>5187</v>
      </c>
      <c r="Q1089" s="19" t="s">
        <v>7114</v>
      </c>
    </row>
    <row r="1090" spans="1:17" ht="39.5" customHeight="1">
      <c r="A1090" s="213">
        <v>303</v>
      </c>
      <c r="B1090" s="40" t="s">
        <v>7094</v>
      </c>
      <c r="C1090" s="19" t="s">
        <v>7134</v>
      </c>
      <c r="D1090" s="204" t="s">
        <v>2398</v>
      </c>
      <c r="E1090" s="204" t="s">
        <v>2422</v>
      </c>
      <c r="F1090" s="22" t="s">
        <v>7149</v>
      </c>
      <c r="G1090" s="204" t="s">
        <v>7147</v>
      </c>
      <c r="H1090" s="204" t="s">
        <v>4942</v>
      </c>
      <c r="I1090" s="21">
        <v>42.296414171528497</v>
      </c>
      <c r="J1090" s="21">
        <v>13.5080453900122</v>
      </c>
      <c r="K1090" s="21">
        <v>4000</v>
      </c>
      <c r="L1090" s="204">
        <v>2005</v>
      </c>
      <c r="M1090" s="204">
        <v>2009</v>
      </c>
      <c r="N1090" s="82" t="s">
        <v>2276</v>
      </c>
      <c r="O1090" s="19" t="s">
        <v>67</v>
      </c>
      <c r="P1090" s="19" t="s">
        <v>5187</v>
      </c>
      <c r="Q1090" s="19" t="s">
        <v>7114</v>
      </c>
    </row>
    <row r="1091" spans="1:17" ht="39.5" customHeight="1">
      <c r="A1091" s="213">
        <v>303</v>
      </c>
      <c r="B1091" s="40" t="s">
        <v>7094</v>
      </c>
      <c r="C1091" s="19" t="s">
        <v>7135</v>
      </c>
      <c r="D1091" s="204" t="s">
        <v>2398</v>
      </c>
      <c r="E1091" s="204" t="s">
        <v>2422</v>
      </c>
      <c r="F1091" s="22" t="s">
        <v>7150</v>
      </c>
      <c r="G1091" s="204" t="s">
        <v>7147</v>
      </c>
      <c r="H1091" s="204" t="s">
        <v>4942</v>
      </c>
      <c r="I1091" s="21">
        <v>42.252270368624501</v>
      </c>
      <c r="J1091" s="21">
        <v>11.8991803749865</v>
      </c>
      <c r="K1091" s="21">
        <v>500</v>
      </c>
      <c r="L1091" s="204">
        <v>2005</v>
      </c>
      <c r="M1091" s="204">
        <v>2009</v>
      </c>
      <c r="N1091" s="82" t="s">
        <v>2276</v>
      </c>
      <c r="O1091" s="19" t="s">
        <v>67</v>
      </c>
      <c r="P1091" s="19" t="s">
        <v>5187</v>
      </c>
      <c r="Q1091" s="19" t="s">
        <v>7114</v>
      </c>
    </row>
    <row r="1092" spans="1:17" ht="39.5" customHeight="1">
      <c r="A1092" s="213">
        <v>303</v>
      </c>
      <c r="B1092" s="40" t="s">
        <v>7094</v>
      </c>
      <c r="C1092" s="19" t="s">
        <v>7136</v>
      </c>
      <c r="D1092" s="204" t="s">
        <v>2398</v>
      </c>
      <c r="E1092" s="204" t="s">
        <v>2422</v>
      </c>
      <c r="F1092" s="22" t="s">
        <v>7151</v>
      </c>
      <c r="G1092" s="204" t="s">
        <v>7155</v>
      </c>
      <c r="H1092" s="204" t="s">
        <v>4942</v>
      </c>
      <c r="I1092" s="21">
        <v>41.592197485742602</v>
      </c>
      <c r="J1092" s="21">
        <v>15.322983447961599</v>
      </c>
      <c r="K1092" s="21">
        <v>2700</v>
      </c>
      <c r="L1092" s="204">
        <v>2005</v>
      </c>
      <c r="M1092" s="204">
        <v>2009</v>
      </c>
      <c r="N1092" s="82" t="s">
        <v>2276</v>
      </c>
      <c r="O1092" s="19" t="s">
        <v>67</v>
      </c>
      <c r="P1092" s="19" t="s">
        <v>5187</v>
      </c>
      <c r="Q1092" s="19" t="s">
        <v>7114</v>
      </c>
    </row>
    <row r="1093" spans="1:17" ht="39.5" customHeight="1">
      <c r="A1093" s="213">
        <v>303</v>
      </c>
      <c r="B1093" s="40" t="s">
        <v>7094</v>
      </c>
      <c r="C1093" s="19" t="s">
        <v>7137</v>
      </c>
      <c r="D1093" s="204" t="s">
        <v>2398</v>
      </c>
      <c r="E1093" s="204" t="s">
        <v>2422</v>
      </c>
      <c r="F1093" s="22" t="s">
        <v>7152</v>
      </c>
      <c r="G1093" s="204" t="s">
        <v>7155</v>
      </c>
      <c r="H1093" s="204" t="s">
        <v>4942</v>
      </c>
      <c r="I1093" s="21">
        <v>40.451649627680801</v>
      </c>
      <c r="J1093" s="21">
        <v>15.926151719880901</v>
      </c>
      <c r="K1093" s="21">
        <v>2000</v>
      </c>
      <c r="L1093" s="204">
        <v>2005</v>
      </c>
      <c r="M1093" s="204">
        <v>2009</v>
      </c>
      <c r="N1093" s="82" t="s">
        <v>2276</v>
      </c>
      <c r="O1093" s="19" t="s">
        <v>67</v>
      </c>
      <c r="P1093" s="19" t="s">
        <v>5187</v>
      </c>
      <c r="Q1093" s="19" t="s">
        <v>7114</v>
      </c>
    </row>
    <row r="1094" spans="1:17" ht="39.5" customHeight="1">
      <c r="A1094" s="213">
        <v>303</v>
      </c>
      <c r="B1094" s="40" t="s">
        <v>7094</v>
      </c>
      <c r="C1094" s="19" t="s">
        <v>7138</v>
      </c>
      <c r="D1094" s="204" t="s">
        <v>2398</v>
      </c>
      <c r="E1094" s="204" t="s">
        <v>2422</v>
      </c>
      <c r="F1094" s="22" t="s">
        <v>7153</v>
      </c>
      <c r="G1094" s="204" t="s">
        <v>7155</v>
      </c>
      <c r="H1094" s="204" t="s">
        <v>4942</v>
      </c>
      <c r="I1094" s="21">
        <v>39.027568398980598</v>
      </c>
      <c r="J1094" s="21">
        <v>16.491825716735399</v>
      </c>
      <c r="K1094" s="21">
        <v>1000</v>
      </c>
      <c r="L1094" s="204">
        <v>2005</v>
      </c>
      <c r="M1094" s="204">
        <v>2009</v>
      </c>
      <c r="N1094" s="82" t="s">
        <v>2276</v>
      </c>
      <c r="O1094" s="19" t="s">
        <v>67</v>
      </c>
      <c r="P1094" s="19" t="s">
        <v>5187</v>
      </c>
      <c r="Q1094" s="19" t="s">
        <v>7114</v>
      </c>
    </row>
    <row r="1095" spans="1:17" ht="39.5" customHeight="1">
      <c r="A1095" s="213">
        <v>303</v>
      </c>
      <c r="B1095" s="40" t="s">
        <v>7094</v>
      </c>
      <c r="C1095" s="19" t="s">
        <v>7139</v>
      </c>
      <c r="D1095" s="204" t="s">
        <v>2398</v>
      </c>
      <c r="E1095" s="204" t="s">
        <v>2422</v>
      </c>
      <c r="F1095" s="22" t="s">
        <v>7154</v>
      </c>
      <c r="G1095" s="204" t="s">
        <v>7155</v>
      </c>
      <c r="H1095" s="204" t="s">
        <v>4942</v>
      </c>
      <c r="I1095" s="21">
        <v>37.508857539689302</v>
      </c>
      <c r="J1095" s="21">
        <v>15.0851648351648</v>
      </c>
      <c r="K1095" s="21">
        <v>1500</v>
      </c>
      <c r="L1095" s="204">
        <v>2005</v>
      </c>
      <c r="M1095" s="204">
        <v>2009</v>
      </c>
      <c r="N1095" s="82" t="s">
        <v>2276</v>
      </c>
      <c r="O1095" s="19" t="s">
        <v>67</v>
      </c>
      <c r="P1095" s="19" t="s">
        <v>5187</v>
      </c>
      <c r="Q1095" s="19" t="s">
        <v>7114</v>
      </c>
    </row>
    <row r="1096" spans="1:17" ht="39.5" customHeight="1">
      <c r="A1096" s="213">
        <v>303</v>
      </c>
      <c r="B1096" s="40" t="s">
        <v>7094</v>
      </c>
      <c r="C1096" s="19" t="s">
        <v>7140</v>
      </c>
      <c r="D1096" s="204" t="s">
        <v>2398</v>
      </c>
      <c r="E1096" s="204" t="s">
        <v>2422</v>
      </c>
      <c r="F1096" s="22" t="s">
        <v>7156</v>
      </c>
      <c r="G1096" s="204" t="s">
        <v>4941</v>
      </c>
      <c r="H1096" s="204" t="s">
        <v>4942</v>
      </c>
      <c r="I1096" s="21">
        <v>41.063880014190403</v>
      </c>
      <c r="J1096" s="21">
        <v>9.2319210841608896</v>
      </c>
      <c r="K1096" s="21">
        <v>5500</v>
      </c>
      <c r="L1096" s="204">
        <v>2005</v>
      </c>
      <c r="M1096" s="204">
        <v>2009</v>
      </c>
      <c r="N1096" s="82" t="s">
        <v>2276</v>
      </c>
      <c r="O1096" s="19" t="s">
        <v>67</v>
      </c>
      <c r="P1096" s="19" t="s">
        <v>5187</v>
      </c>
      <c r="Q1096" s="19" t="s">
        <v>7114</v>
      </c>
    </row>
    <row r="1097" spans="1:17" ht="39.5" customHeight="1">
      <c r="A1097" s="213">
        <v>303</v>
      </c>
      <c r="B1097" s="40" t="s">
        <v>7094</v>
      </c>
      <c r="C1097" s="19" t="s">
        <v>7141</v>
      </c>
      <c r="D1097" s="204" t="s">
        <v>2398</v>
      </c>
      <c r="E1097" s="204" t="s">
        <v>2422</v>
      </c>
      <c r="F1097" s="22" t="s">
        <v>7157</v>
      </c>
      <c r="G1097" s="204" t="s">
        <v>4941</v>
      </c>
      <c r="H1097" s="204" t="s">
        <v>4942</v>
      </c>
      <c r="I1097" s="21">
        <v>40.654010026409502</v>
      </c>
      <c r="J1097" s="21">
        <v>8.7077413036274898</v>
      </c>
      <c r="K1097" s="21">
        <v>4000</v>
      </c>
      <c r="L1097" s="204">
        <v>2005</v>
      </c>
      <c r="M1097" s="204">
        <v>2009</v>
      </c>
      <c r="N1097" s="82" t="s">
        <v>2276</v>
      </c>
      <c r="O1097" s="19" t="s">
        <v>67</v>
      </c>
      <c r="P1097" s="19" t="s">
        <v>5187</v>
      </c>
      <c r="Q1097" s="19" t="s">
        <v>7114</v>
      </c>
    </row>
    <row r="1098" spans="1:17" ht="39.5" customHeight="1">
      <c r="A1098" s="213">
        <v>303</v>
      </c>
      <c r="B1098" s="40" t="s">
        <v>7094</v>
      </c>
      <c r="C1098" s="19" t="s">
        <v>7142</v>
      </c>
      <c r="D1098" s="204" t="s">
        <v>2398</v>
      </c>
      <c r="E1098" s="204" t="s">
        <v>2422</v>
      </c>
      <c r="F1098" s="22" t="s">
        <v>7158</v>
      </c>
      <c r="G1098" s="204" t="s">
        <v>4941</v>
      </c>
      <c r="H1098" s="204" t="s">
        <v>4942</v>
      </c>
      <c r="I1098" s="21">
        <v>40.267469975680399</v>
      </c>
      <c r="J1098" s="21">
        <v>9.0302474336965002</v>
      </c>
      <c r="K1098" s="21">
        <v>6000</v>
      </c>
      <c r="L1098" s="204">
        <v>2005</v>
      </c>
      <c r="M1098" s="204">
        <v>2009</v>
      </c>
      <c r="N1098" s="82" t="s">
        <v>2276</v>
      </c>
      <c r="O1098" s="19" t="s">
        <v>67</v>
      </c>
      <c r="P1098" s="19" t="s">
        <v>5187</v>
      </c>
      <c r="Q1098" s="19" t="s">
        <v>7114</v>
      </c>
    </row>
    <row r="1099" spans="1:17" ht="39.5" customHeight="1">
      <c r="A1099" s="213">
        <v>303</v>
      </c>
      <c r="B1099" s="40" t="s">
        <v>7094</v>
      </c>
      <c r="C1099" s="19" t="s">
        <v>7143</v>
      </c>
      <c r="D1099" s="204" t="s">
        <v>2398</v>
      </c>
      <c r="E1099" s="204" t="s">
        <v>2422</v>
      </c>
      <c r="F1099" s="22" t="s">
        <v>7159</v>
      </c>
      <c r="G1099" s="204" t="s">
        <v>4941</v>
      </c>
      <c r="H1099" s="204" t="s">
        <v>4942</v>
      </c>
      <c r="I1099" s="21">
        <v>39.7970204936885</v>
      </c>
      <c r="J1099" s="21">
        <v>9.3422291275959708</v>
      </c>
      <c r="K1099" s="21">
        <v>3500</v>
      </c>
      <c r="L1099" s="204">
        <v>2005</v>
      </c>
      <c r="M1099" s="204">
        <v>2009</v>
      </c>
      <c r="N1099" s="82" t="s">
        <v>2276</v>
      </c>
      <c r="O1099" s="19" t="s">
        <v>67</v>
      </c>
      <c r="P1099" s="19" t="s">
        <v>5187</v>
      </c>
      <c r="Q1099" s="19" t="s">
        <v>7114</v>
      </c>
    </row>
    <row r="1100" spans="1:17" ht="38" customHeight="1">
      <c r="A1100" s="213">
        <v>303</v>
      </c>
      <c r="B1100" s="40" t="s">
        <v>7094</v>
      </c>
      <c r="C1100" s="19" t="s">
        <v>7164</v>
      </c>
      <c r="D1100" s="204" t="s">
        <v>2398</v>
      </c>
      <c r="E1100" s="204" t="s">
        <v>2422</v>
      </c>
      <c r="F1100" s="26" t="s">
        <v>7160</v>
      </c>
      <c r="G1100" s="19" t="s">
        <v>7163</v>
      </c>
      <c r="H1100" s="19" t="s">
        <v>4051</v>
      </c>
      <c r="I1100" s="21">
        <v>40.085513711450503</v>
      </c>
      <c r="J1100" s="21">
        <v>20.971935568767599</v>
      </c>
      <c r="K1100" s="21">
        <v>1900</v>
      </c>
      <c r="L1100" s="204">
        <v>2005</v>
      </c>
      <c r="M1100" s="204">
        <v>2009</v>
      </c>
      <c r="N1100" s="82" t="s">
        <v>2276</v>
      </c>
      <c r="O1100" s="19" t="s">
        <v>67</v>
      </c>
      <c r="P1100" s="19" t="s">
        <v>5187</v>
      </c>
      <c r="Q1100" s="19" t="s">
        <v>7114</v>
      </c>
    </row>
    <row r="1101" spans="1:17" ht="38" customHeight="1">
      <c r="A1101" s="213">
        <v>303</v>
      </c>
      <c r="B1101" s="40" t="s">
        <v>7094</v>
      </c>
      <c r="C1101" s="19" t="s">
        <v>7165</v>
      </c>
      <c r="D1101" s="204" t="s">
        <v>2398</v>
      </c>
      <c r="E1101" s="204" t="s">
        <v>2422</v>
      </c>
      <c r="F1101" s="26" t="s">
        <v>7161</v>
      </c>
      <c r="G1101" s="19" t="s">
        <v>7163</v>
      </c>
      <c r="H1101" s="19" t="s">
        <v>4051</v>
      </c>
      <c r="I1101" s="21">
        <v>38.659634194312801</v>
      </c>
      <c r="J1101" s="21">
        <v>22.089581260848298</v>
      </c>
      <c r="K1101" s="21">
        <v>4200</v>
      </c>
      <c r="L1101" s="204">
        <v>2005</v>
      </c>
      <c r="M1101" s="204">
        <v>2009</v>
      </c>
      <c r="N1101" s="82" t="s">
        <v>2276</v>
      </c>
      <c r="O1101" s="19" t="s">
        <v>67</v>
      </c>
      <c r="P1101" s="19" t="s">
        <v>5187</v>
      </c>
      <c r="Q1101" s="19" t="s">
        <v>7114</v>
      </c>
    </row>
    <row r="1102" spans="1:17" ht="37" customHeight="1">
      <c r="A1102" s="213">
        <v>303</v>
      </c>
      <c r="B1102" s="40" t="s">
        <v>7094</v>
      </c>
      <c r="C1102" s="19" t="s">
        <v>7166</v>
      </c>
      <c r="D1102" s="204" t="s">
        <v>2398</v>
      </c>
      <c r="E1102" s="204" t="s">
        <v>2422</v>
      </c>
      <c r="F1102" s="26" t="s">
        <v>7162</v>
      </c>
      <c r="G1102" s="19" t="s">
        <v>7163</v>
      </c>
      <c r="H1102" s="19" t="s">
        <v>4051</v>
      </c>
      <c r="I1102" s="21">
        <v>38.013518653611399</v>
      </c>
      <c r="J1102" s="21">
        <v>22.1881458257579</v>
      </c>
      <c r="K1102" s="21">
        <v>1950</v>
      </c>
      <c r="L1102" s="204">
        <v>2005</v>
      </c>
      <c r="M1102" s="204">
        <v>2009</v>
      </c>
      <c r="N1102" s="82" t="s">
        <v>2276</v>
      </c>
      <c r="O1102" s="19" t="s">
        <v>67</v>
      </c>
      <c r="P1102" s="19" t="s">
        <v>5187</v>
      </c>
      <c r="Q1102" s="19" t="s">
        <v>7114</v>
      </c>
    </row>
    <row r="1103" spans="1:17" ht="37" customHeight="1">
      <c r="A1103" s="213">
        <v>303</v>
      </c>
      <c r="B1103" s="40" t="s">
        <v>7094</v>
      </c>
      <c r="C1103" s="19" t="s">
        <v>7167</v>
      </c>
      <c r="D1103" s="204" t="s">
        <v>2398</v>
      </c>
      <c r="E1103" s="204" t="s">
        <v>2422</v>
      </c>
      <c r="F1103" s="26" t="s">
        <v>7174</v>
      </c>
      <c r="G1103" s="19" t="s">
        <v>7176</v>
      </c>
      <c r="H1103" s="19" t="s">
        <v>4051</v>
      </c>
      <c r="I1103" s="21">
        <v>41.107411606433203</v>
      </c>
      <c r="J1103" s="21">
        <v>25.991871947202799</v>
      </c>
      <c r="K1103" s="21">
        <v>2200</v>
      </c>
      <c r="L1103" s="204">
        <v>2005</v>
      </c>
      <c r="M1103" s="204">
        <v>2009</v>
      </c>
      <c r="N1103" s="82" t="s">
        <v>2276</v>
      </c>
      <c r="O1103" s="19" t="s">
        <v>67</v>
      </c>
      <c r="P1103" s="19" t="s">
        <v>5187</v>
      </c>
      <c r="Q1103" s="19" t="s">
        <v>7114</v>
      </c>
    </row>
    <row r="1104" spans="1:17" ht="37" customHeight="1">
      <c r="A1104" s="213">
        <v>303</v>
      </c>
      <c r="B1104" s="40" t="s">
        <v>7094</v>
      </c>
      <c r="C1104" s="19" t="s">
        <v>7168</v>
      </c>
      <c r="D1104" s="204" t="s">
        <v>2398</v>
      </c>
      <c r="E1104" s="204" t="s">
        <v>2422</v>
      </c>
      <c r="F1104" s="26" t="s">
        <v>7175</v>
      </c>
      <c r="G1104" s="19" t="s">
        <v>7176</v>
      </c>
      <c r="H1104" s="19" t="s">
        <v>4051</v>
      </c>
      <c r="I1104" s="21">
        <v>40.418877644649598</v>
      </c>
      <c r="J1104" s="21">
        <v>23.430402030291901</v>
      </c>
      <c r="K1104" s="21">
        <v>9100</v>
      </c>
      <c r="L1104" s="204">
        <v>2005</v>
      </c>
      <c r="M1104" s="204">
        <v>2009</v>
      </c>
      <c r="N1104" s="82" t="s">
        <v>2276</v>
      </c>
      <c r="O1104" s="19" t="s">
        <v>67</v>
      </c>
      <c r="P1104" s="19" t="s">
        <v>5187</v>
      </c>
      <c r="Q1104" s="19" t="s">
        <v>7114</v>
      </c>
    </row>
    <row r="1105" spans="1:17" ht="37" customHeight="1">
      <c r="A1105" s="213">
        <v>303</v>
      </c>
      <c r="B1105" s="40" t="s">
        <v>7094</v>
      </c>
      <c r="C1105" s="19" t="s">
        <v>7169</v>
      </c>
      <c r="D1105" s="204" t="s">
        <v>2398</v>
      </c>
      <c r="E1105" s="204" t="s">
        <v>2422</v>
      </c>
      <c r="F1105" s="26" t="s">
        <v>7177</v>
      </c>
      <c r="G1105" s="19" t="s">
        <v>7182</v>
      </c>
      <c r="H1105" s="19" t="s">
        <v>4051</v>
      </c>
      <c r="I1105" s="21">
        <v>39.4300930193764</v>
      </c>
      <c r="J1105" s="21">
        <v>20.567054172226999</v>
      </c>
      <c r="K1105" s="21">
        <v>1600</v>
      </c>
      <c r="L1105" s="204">
        <v>2005</v>
      </c>
      <c r="M1105" s="204">
        <v>2009</v>
      </c>
      <c r="N1105" s="82" t="s">
        <v>2276</v>
      </c>
      <c r="O1105" s="19" t="s">
        <v>67</v>
      </c>
      <c r="P1105" s="19" t="s">
        <v>5187</v>
      </c>
      <c r="Q1105" s="19" t="s">
        <v>7114</v>
      </c>
    </row>
    <row r="1106" spans="1:17" ht="37" customHeight="1">
      <c r="A1106" s="213">
        <v>303</v>
      </c>
      <c r="B1106" s="40" t="s">
        <v>7094</v>
      </c>
      <c r="C1106" s="19" t="s">
        <v>7170</v>
      </c>
      <c r="D1106" s="204" t="s">
        <v>2398</v>
      </c>
      <c r="E1106" s="204" t="s">
        <v>2422</v>
      </c>
      <c r="F1106" s="26" t="s">
        <v>7178</v>
      </c>
      <c r="G1106" s="19" t="s">
        <v>7182</v>
      </c>
      <c r="H1106" s="19" t="s">
        <v>4051</v>
      </c>
      <c r="I1106" s="21">
        <v>39.559435364507401</v>
      </c>
      <c r="J1106" s="21">
        <v>22.699804553495301</v>
      </c>
      <c r="K1106" s="21">
        <v>3200</v>
      </c>
      <c r="L1106" s="204">
        <v>2005</v>
      </c>
      <c r="M1106" s="204">
        <v>2009</v>
      </c>
      <c r="N1106" s="82" t="s">
        <v>2276</v>
      </c>
      <c r="O1106" s="19" t="s">
        <v>67</v>
      </c>
      <c r="P1106" s="19" t="s">
        <v>5187</v>
      </c>
      <c r="Q1106" s="19" t="s">
        <v>7114</v>
      </c>
    </row>
    <row r="1107" spans="1:17" ht="37" customHeight="1">
      <c r="A1107" s="213">
        <v>303</v>
      </c>
      <c r="B1107" s="40" t="s">
        <v>7094</v>
      </c>
      <c r="C1107" s="19" t="s">
        <v>7171</v>
      </c>
      <c r="D1107" s="204" t="s">
        <v>2398</v>
      </c>
      <c r="E1107" s="204" t="s">
        <v>2422</v>
      </c>
      <c r="F1107" s="26" t="s">
        <v>7179</v>
      </c>
      <c r="G1107" s="19" t="s">
        <v>7182</v>
      </c>
      <c r="H1107" s="19" t="s">
        <v>4051</v>
      </c>
      <c r="I1107" s="21">
        <v>36.9211155759075</v>
      </c>
      <c r="J1107" s="21">
        <v>22.7194960924956</v>
      </c>
      <c r="K1107" s="21">
        <v>2800</v>
      </c>
      <c r="L1107" s="204">
        <v>2005</v>
      </c>
      <c r="M1107" s="204">
        <v>2009</v>
      </c>
      <c r="N1107" s="82" t="s">
        <v>2276</v>
      </c>
      <c r="O1107" s="19" t="s">
        <v>67</v>
      </c>
      <c r="P1107" s="19" t="s">
        <v>5187</v>
      </c>
      <c r="Q1107" s="19" t="s">
        <v>7114</v>
      </c>
    </row>
    <row r="1108" spans="1:17" ht="37" customHeight="1">
      <c r="A1108" s="213">
        <v>303</v>
      </c>
      <c r="B1108" s="40" t="s">
        <v>7094</v>
      </c>
      <c r="C1108" s="19" t="s">
        <v>7172</v>
      </c>
      <c r="D1108" s="204" t="s">
        <v>2398</v>
      </c>
      <c r="E1108" s="204" t="s">
        <v>2422</v>
      </c>
      <c r="F1108" s="26" t="s">
        <v>7180</v>
      </c>
      <c r="G1108" s="19" t="s">
        <v>7183</v>
      </c>
      <c r="H1108" s="19" t="s">
        <v>4051</v>
      </c>
      <c r="I1108" s="21">
        <v>35.158553279364199</v>
      </c>
      <c r="J1108" s="21">
        <v>25.113693557542099</v>
      </c>
      <c r="K1108" s="21">
        <v>1850</v>
      </c>
      <c r="L1108" s="204">
        <v>2005</v>
      </c>
      <c r="M1108" s="204">
        <v>2009</v>
      </c>
      <c r="N1108" s="82" t="s">
        <v>2276</v>
      </c>
      <c r="O1108" s="19" t="s">
        <v>67</v>
      </c>
      <c r="P1108" s="19" t="s">
        <v>5187</v>
      </c>
      <c r="Q1108" s="19" t="s">
        <v>7114</v>
      </c>
    </row>
    <row r="1109" spans="1:17" ht="37" customHeight="1">
      <c r="A1109" s="213">
        <v>303</v>
      </c>
      <c r="B1109" s="40" t="s">
        <v>7094</v>
      </c>
      <c r="C1109" s="19" t="s">
        <v>7173</v>
      </c>
      <c r="D1109" s="204" t="s">
        <v>2398</v>
      </c>
      <c r="E1109" s="204" t="s">
        <v>2422</v>
      </c>
      <c r="F1109" s="26" t="s">
        <v>7181</v>
      </c>
      <c r="G1109" s="19" t="s">
        <v>2276</v>
      </c>
      <c r="H1109" s="19" t="s">
        <v>4051</v>
      </c>
      <c r="I1109" s="21">
        <v>36.2265334255857</v>
      </c>
      <c r="J1109" s="21">
        <v>27.992578827783099</v>
      </c>
      <c r="K1109" s="21">
        <v>1250</v>
      </c>
      <c r="L1109" s="204">
        <v>2005</v>
      </c>
      <c r="M1109" s="204">
        <v>2009</v>
      </c>
      <c r="N1109" s="82" t="s">
        <v>2276</v>
      </c>
      <c r="O1109" s="19" t="s">
        <v>67</v>
      </c>
      <c r="P1109" s="19" t="s">
        <v>5187</v>
      </c>
      <c r="Q1109" s="19" t="s">
        <v>7114</v>
      </c>
    </row>
    <row r="1110" spans="1:17" ht="35.5" customHeight="1">
      <c r="A1110" s="213">
        <v>304</v>
      </c>
      <c r="B1110" s="40" t="s">
        <v>7233</v>
      </c>
      <c r="C1110" s="19" t="s">
        <v>7234</v>
      </c>
      <c r="D1110" s="204" t="s">
        <v>2398</v>
      </c>
      <c r="E1110" s="204" t="s">
        <v>2636</v>
      </c>
      <c r="F1110" s="19" t="s">
        <v>2276</v>
      </c>
      <c r="G1110" s="19" t="s">
        <v>2276</v>
      </c>
      <c r="H1110" s="217" t="s">
        <v>7239</v>
      </c>
      <c r="I1110" s="21">
        <v>45</v>
      </c>
      <c r="J1110" s="21">
        <v>7</v>
      </c>
      <c r="K1110" s="21">
        <f>92212 + 505990 + 301338 + 643801</f>
        <v>1543341</v>
      </c>
      <c r="L1110" s="11">
        <v>2010</v>
      </c>
      <c r="M1110" s="11">
        <v>2010</v>
      </c>
      <c r="N1110" s="82" t="s">
        <v>2276</v>
      </c>
      <c r="O1110" s="19" t="s">
        <v>67</v>
      </c>
      <c r="P1110" s="19" t="s">
        <v>5187</v>
      </c>
      <c r="Q1110" s="204" t="s">
        <v>7240</v>
      </c>
    </row>
    <row r="1111" spans="1:17" ht="35.5" customHeight="1">
      <c r="A1111" s="213">
        <v>304</v>
      </c>
      <c r="B1111" s="40" t="s">
        <v>7233</v>
      </c>
      <c r="C1111" s="19" t="s">
        <v>7235</v>
      </c>
      <c r="D1111" s="204" t="s">
        <v>2398</v>
      </c>
      <c r="E1111" s="204" t="s">
        <v>2636</v>
      </c>
      <c r="F1111" s="19" t="s">
        <v>2276</v>
      </c>
      <c r="G1111" s="19" t="s">
        <v>2276</v>
      </c>
      <c r="H1111" s="19" t="s">
        <v>4051</v>
      </c>
      <c r="I1111" s="21">
        <v>38.145839199999998</v>
      </c>
      <c r="J1111" s="21">
        <v>24.481300000000001</v>
      </c>
      <c r="K1111" s="21">
        <v>131957</v>
      </c>
      <c r="L1111" s="11">
        <v>2010</v>
      </c>
      <c r="M1111" s="11">
        <v>2010</v>
      </c>
      <c r="N1111" s="82" t="s">
        <v>2276</v>
      </c>
      <c r="O1111" s="19" t="s">
        <v>67</v>
      </c>
      <c r="P1111" s="19" t="s">
        <v>5187</v>
      </c>
      <c r="Q1111" s="204"/>
    </row>
    <row r="1112" spans="1:17" ht="35.5" customHeight="1">
      <c r="A1112" s="213">
        <v>304</v>
      </c>
      <c r="B1112" s="40" t="s">
        <v>7233</v>
      </c>
      <c r="C1112" s="19" t="s">
        <v>7236</v>
      </c>
      <c r="D1112" s="204" t="s">
        <v>2398</v>
      </c>
      <c r="E1112" s="204" t="s">
        <v>2636</v>
      </c>
      <c r="F1112" s="19" t="s">
        <v>2276</v>
      </c>
      <c r="G1112" s="204" t="s">
        <v>7246</v>
      </c>
      <c r="H1112" s="19" t="s">
        <v>6116</v>
      </c>
      <c r="I1112" s="21">
        <v>42.625776999999999</v>
      </c>
      <c r="J1112" s="21">
        <v>2.4497341000000001</v>
      </c>
      <c r="K1112" s="21">
        <v>4116</v>
      </c>
      <c r="L1112" s="11">
        <v>2008</v>
      </c>
      <c r="M1112" s="11">
        <v>2008</v>
      </c>
      <c r="N1112" s="82" t="s">
        <v>2276</v>
      </c>
      <c r="O1112" s="19" t="s">
        <v>67</v>
      </c>
      <c r="P1112" s="19" t="s">
        <v>5187</v>
      </c>
      <c r="Q1112" s="204" t="s">
        <v>5907</v>
      </c>
    </row>
    <row r="1113" spans="1:17" s="203" customFormat="1" ht="35.5" customHeight="1">
      <c r="A1113" s="213">
        <v>304</v>
      </c>
      <c r="B1113" s="40" t="s">
        <v>7233</v>
      </c>
      <c r="C1113" s="19" t="s">
        <v>7237</v>
      </c>
      <c r="D1113" s="204" t="s">
        <v>2398</v>
      </c>
      <c r="E1113" s="204" t="s">
        <v>2636</v>
      </c>
      <c r="F1113" s="19" t="s">
        <v>2276</v>
      </c>
      <c r="G1113" s="204" t="s">
        <v>7247</v>
      </c>
      <c r="H1113" s="19" t="s">
        <v>6116</v>
      </c>
      <c r="I1113" s="21">
        <v>43.187128000000001</v>
      </c>
      <c r="J1113" s="21">
        <v>-0.88125909999999996</v>
      </c>
      <c r="K1113" s="21">
        <v>7645</v>
      </c>
      <c r="L1113" s="11">
        <v>2008</v>
      </c>
      <c r="M1113" s="11">
        <v>2008</v>
      </c>
      <c r="N1113" s="82" t="s">
        <v>2276</v>
      </c>
      <c r="O1113" s="19" t="s">
        <v>67</v>
      </c>
      <c r="P1113" s="19" t="s">
        <v>5187</v>
      </c>
      <c r="Q1113" s="204" t="s">
        <v>5907</v>
      </c>
    </row>
    <row r="1114" spans="1:17" ht="36.5" customHeight="1">
      <c r="A1114" s="213">
        <v>304</v>
      </c>
      <c r="B1114" s="40" t="s">
        <v>7233</v>
      </c>
      <c r="C1114" s="19" t="s">
        <v>7238</v>
      </c>
      <c r="D1114" s="204" t="s">
        <v>2398</v>
      </c>
      <c r="E1114" s="204" t="s">
        <v>2636</v>
      </c>
      <c r="F1114" s="19" t="s">
        <v>2276</v>
      </c>
      <c r="G1114" s="204" t="s">
        <v>7248</v>
      </c>
      <c r="H1114" s="19" t="s">
        <v>6116</v>
      </c>
      <c r="I1114" s="21">
        <v>43.143320000000003</v>
      </c>
      <c r="J1114" s="21">
        <v>0.1594796</v>
      </c>
      <c r="K1114" s="21">
        <v>4464</v>
      </c>
      <c r="L1114" s="11">
        <v>2008</v>
      </c>
      <c r="M1114" s="11">
        <v>2008</v>
      </c>
      <c r="N1114" s="82" t="s">
        <v>2276</v>
      </c>
      <c r="O1114" s="19" t="s">
        <v>67</v>
      </c>
      <c r="P1114" s="19" t="s">
        <v>5187</v>
      </c>
      <c r="Q1114" s="204" t="s">
        <v>5907</v>
      </c>
    </row>
    <row r="1115" spans="1:17" ht="41" customHeight="1">
      <c r="A1115" s="213">
        <v>305</v>
      </c>
      <c r="B1115" s="40" t="s">
        <v>7267</v>
      </c>
      <c r="C1115" s="19" t="s">
        <v>7268</v>
      </c>
      <c r="D1115" s="204" t="s">
        <v>2633</v>
      </c>
      <c r="E1115" s="204" t="s">
        <v>4847</v>
      </c>
      <c r="F1115" s="19" t="s">
        <v>2276</v>
      </c>
      <c r="G1115" s="204" t="s">
        <v>7269</v>
      </c>
      <c r="H1115" s="19" t="s">
        <v>6116</v>
      </c>
      <c r="I1115" s="21">
        <v>48.089397499999997</v>
      </c>
      <c r="J1115" s="21">
        <v>-3.0784566</v>
      </c>
      <c r="K1115" s="21">
        <v>27208</v>
      </c>
      <c r="L1115" s="204">
        <v>2001</v>
      </c>
      <c r="M1115" s="204">
        <v>2015</v>
      </c>
      <c r="N1115" s="82" t="s">
        <v>2276</v>
      </c>
      <c r="O1115" s="19" t="s">
        <v>67</v>
      </c>
      <c r="P1115" s="19" t="s">
        <v>5187</v>
      </c>
      <c r="Q1115" s="204"/>
    </row>
    <row r="1116" spans="1:17" ht="41" customHeight="1">
      <c r="A1116" s="213">
        <v>305</v>
      </c>
      <c r="B1116" s="40" t="s">
        <v>7267</v>
      </c>
      <c r="C1116" s="19" t="s">
        <v>7281</v>
      </c>
      <c r="D1116" s="204" t="s">
        <v>2633</v>
      </c>
      <c r="E1116" s="204" t="s">
        <v>4847</v>
      </c>
      <c r="F1116" s="19" t="s">
        <v>2276</v>
      </c>
      <c r="G1116" s="11" t="s">
        <v>7270</v>
      </c>
      <c r="H1116" s="19" t="s">
        <v>6116</v>
      </c>
      <c r="I1116" s="21">
        <v>49.1259905</v>
      </c>
      <c r="J1116" s="21">
        <v>-7.5941999999999996E-2</v>
      </c>
      <c r="K1116" s="21">
        <v>29906</v>
      </c>
      <c r="L1116" s="204">
        <v>2001</v>
      </c>
      <c r="M1116" s="204">
        <v>2015</v>
      </c>
      <c r="N1116" s="82" t="s">
        <v>2276</v>
      </c>
      <c r="O1116" s="19" t="s">
        <v>67</v>
      </c>
      <c r="P1116" s="19" t="s">
        <v>5187</v>
      </c>
      <c r="Q1116" s="204"/>
    </row>
    <row r="1117" spans="1:17" ht="41" customHeight="1">
      <c r="A1117" s="213">
        <v>305</v>
      </c>
      <c r="B1117" s="40" t="s">
        <v>7267</v>
      </c>
      <c r="C1117" s="19" t="s">
        <v>7282</v>
      </c>
      <c r="D1117" s="204" t="s">
        <v>2633</v>
      </c>
      <c r="E1117" s="204" t="s">
        <v>4847</v>
      </c>
      <c r="F1117" s="19" t="s">
        <v>2276</v>
      </c>
      <c r="G1117" s="11" t="s">
        <v>7271</v>
      </c>
      <c r="H1117" s="19" t="s">
        <v>6116</v>
      </c>
      <c r="I1117" s="21">
        <v>50.529025500000003</v>
      </c>
      <c r="J1117" s="21">
        <v>2.8936380000000002</v>
      </c>
      <c r="K1117" s="21">
        <v>31813</v>
      </c>
      <c r="L1117" s="204">
        <v>2001</v>
      </c>
      <c r="M1117" s="204">
        <v>2015</v>
      </c>
      <c r="N1117" s="82" t="s">
        <v>2276</v>
      </c>
      <c r="O1117" s="19" t="s">
        <v>67</v>
      </c>
      <c r="P1117" s="19" t="s">
        <v>5187</v>
      </c>
      <c r="Q1117" s="204"/>
    </row>
    <row r="1118" spans="1:17" ht="41" customHeight="1">
      <c r="A1118" s="213">
        <v>305</v>
      </c>
      <c r="B1118" s="40" t="s">
        <v>7267</v>
      </c>
      <c r="C1118" s="19" t="s">
        <v>7283</v>
      </c>
      <c r="D1118" s="204" t="s">
        <v>2633</v>
      </c>
      <c r="E1118" s="204" t="s">
        <v>4847</v>
      </c>
      <c r="F1118" s="19" t="s">
        <v>2276</v>
      </c>
      <c r="G1118" s="11" t="s">
        <v>7272</v>
      </c>
      <c r="H1118" s="19" t="s">
        <v>6116</v>
      </c>
      <c r="I1118" s="21">
        <v>48.680792599999997</v>
      </c>
      <c r="J1118" s="21">
        <v>2.5025884999999999</v>
      </c>
      <c r="K1118" s="21">
        <v>12012</v>
      </c>
      <c r="L1118" s="204">
        <v>2001</v>
      </c>
      <c r="M1118" s="204">
        <v>2015</v>
      </c>
      <c r="N1118" s="82" t="s">
        <v>2276</v>
      </c>
      <c r="O1118" s="19" t="s">
        <v>67</v>
      </c>
      <c r="P1118" s="19" t="s">
        <v>5187</v>
      </c>
      <c r="Q1118" s="204"/>
    </row>
    <row r="1119" spans="1:17" ht="41" customHeight="1">
      <c r="A1119" s="213">
        <v>305</v>
      </c>
      <c r="B1119" s="40" t="s">
        <v>7267</v>
      </c>
      <c r="C1119" s="19" t="s">
        <v>7284</v>
      </c>
      <c r="D1119" s="204" t="s">
        <v>2633</v>
      </c>
      <c r="E1119" s="204" t="s">
        <v>4847</v>
      </c>
      <c r="F1119" s="19" t="s">
        <v>2276</v>
      </c>
      <c r="G1119" s="19" t="s">
        <v>7273</v>
      </c>
      <c r="H1119" s="19" t="s">
        <v>6116</v>
      </c>
      <c r="I1119" s="21">
        <v>48.872864</v>
      </c>
      <c r="J1119" s="21">
        <v>4.6373455000000003</v>
      </c>
      <c r="K1119" s="21">
        <v>57433</v>
      </c>
      <c r="L1119" s="204">
        <v>2001</v>
      </c>
      <c r="M1119" s="204">
        <v>2015</v>
      </c>
      <c r="N1119" s="82" t="s">
        <v>2276</v>
      </c>
      <c r="O1119" s="19" t="s">
        <v>67</v>
      </c>
      <c r="P1119" s="19" t="s">
        <v>5187</v>
      </c>
      <c r="Q1119" s="204"/>
    </row>
    <row r="1120" spans="1:17" ht="41" customHeight="1">
      <c r="A1120" s="213">
        <v>305</v>
      </c>
      <c r="B1120" s="40" t="s">
        <v>7267</v>
      </c>
      <c r="C1120" s="19" t="s">
        <v>7285</v>
      </c>
      <c r="D1120" s="204" t="s">
        <v>2633</v>
      </c>
      <c r="E1120" s="204" t="s">
        <v>4847</v>
      </c>
      <c r="F1120" s="19" t="s">
        <v>2276</v>
      </c>
      <c r="G1120" s="19" t="s">
        <v>7274</v>
      </c>
      <c r="H1120" s="19" t="s">
        <v>6116</v>
      </c>
      <c r="I1120" s="21">
        <v>47.417262000000001</v>
      </c>
      <c r="J1120" s="21">
        <v>-0.82148509999999997</v>
      </c>
      <c r="K1120" s="21">
        <v>32082</v>
      </c>
      <c r="L1120" s="204">
        <v>2001</v>
      </c>
      <c r="M1120" s="204">
        <v>2015</v>
      </c>
      <c r="N1120" s="82" t="s">
        <v>2276</v>
      </c>
      <c r="O1120" s="19" t="s">
        <v>67</v>
      </c>
      <c r="P1120" s="19" t="s">
        <v>5187</v>
      </c>
      <c r="Q1120" s="204"/>
    </row>
    <row r="1121" spans="1:17" ht="41" customHeight="1">
      <c r="A1121" s="213">
        <v>305</v>
      </c>
      <c r="B1121" s="40" t="s">
        <v>7267</v>
      </c>
      <c r="C1121" s="19" t="s">
        <v>7286</v>
      </c>
      <c r="D1121" s="204" t="s">
        <v>2633</v>
      </c>
      <c r="E1121" s="204" t="s">
        <v>4847</v>
      </c>
      <c r="F1121" s="19" t="s">
        <v>2276</v>
      </c>
      <c r="G1121" s="19" t="s">
        <v>7275</v>
      </c>
      <c r="H1121" s="19" t="s">
        <v>6116</v>
      </c>
      <c r="I1121" s="21">
        <v>47.643967500000002</v>
      </c>
      <c r="J1121" s="21">
        <v>1.5905734</v>
      </c>
      <c r="K1121" s="21">
        <v>39151</v>
      </c>
      <c r="L1121" s="204">
        <v>2001</v>
      </c>
      <c r="M1121" s="204">
        <v>2015</v>
      </c>
      <c r="N1121" s="82" t="s">
        <v>2276</v>
      </c>
      <c r="O1121" s="19" t="s">
        <v>67</v>
      </c>
      <c r="P1121" s="19" t="s">
        <v>5187</v>
      </c>
      <c r="Q1121" s="204"/>
    </row>
    <row r="1122" spans="1:17" ht="41" customHeight="1">
      <c r="A1122" s="213">
        <v>305</v>
      </c>
      <c r="B1122" s="40" t="s">
        <v>7267</v>
      </c>
      <c r="C1122" s="19" t="s">
        <v>7287</v>
      </c>
      <c r="D1122" s="204" t="s">
        <v>2633</v>
      </c>
      <c r="E1122" s="204" t="s">
        <v>4847</v>
      </c>
      <c r="F1122" s="19" t="s">
        <v>2276</v>
      </c>
      <c r="G1122" s="19" t="s">
        <v>7276</v>
      </c>
      <c r="H1122" s="19" t="s">
        <v>6116</v>
      </c>
      <c r="I1122" s="21">
        <v>47.278065499999997</v>
      </c>
      <c r="J1122" s="21">
        <v>4.9941358999999999</v>
      </c>
      <c r="K1122" s="21">
        <v>47784</v>
      </c>
      <c r="L1122" s="204">
        <v>2001</v>
      </c>
      <c r="M1122" s="204">
        <v>2015</v>
      </c>
      <c r="N1122" s="82" t="s">
        <v>2276</v>
      </c>
      <c r="O1122" s="19" t="s">
        <v>67</v>
      </c>
      <c r="P1122" s="19" t="s">
        <v>5187</v>
      </c>
      <c r="Q1122" s="204"/>
    </row>
    <row r="1123" spans="1:17" ht="41" customHeight="1">
      <c r="A1123" s="213">
        <v>305</v>
      </c>
      <c r="B1123" s="40" t="s">
        <v>7267</v>
      </c>
      <c r="C1123" s="19" t="s">
        <v>7288</v>
      </c>
      <c r="D1123" s="204" t="s">
        <v>2633</v>
      </c>
      <c r="E1123" s="204" t="s">
        <v>4847</v>
      </c>
      <c r="F1123" s="19" t="s">
        <v>2276</v>
      </c>
      <c r="G1123" s="19" t="s">
        <v>7277</v>
      </c>
      <c r="H1123" s="19" t="s">
        <v>6116</v>
      </c>
      <c r="I1123" s="21">
        <v>44.976760499999997</v>
      </c>
      <c r="J1123" s="21">
        <v>0.40948400000000001</v>
      </c>
      <c r="K1123" s="21">
        <v>84061</v>
      </c>
      <c r="L1123" s="204">
        <v>2001</v>
      </c>
      <c r="M1123" s="204">
        <v>2015</v>
      </c>
      <c r="N1123" s="82" t="s">
        <v>2276</v>
      </c>
      <c r="O1123" s="19" t="s">
        <v>67</v>
      </c>
      <c r="P1123" s="19" t="s">
        <v>5187</v>
      </c>
      <c r="Q1123" s="204"/>
    </row>
    <row r="1124" spans="1:17" ht="41" customHeight="1">
      <c r="A1124" s="213">
        <v>305</v>
      </c>
      <c r="B1124" s="40" t="s">
        <v>7267</v>
      </c>
      <c r="C1124" s="19" t="s">
        <v>7289</v>
      </c>
      <c r="D1124" s="204" t="s">
        <v>2633</v>
      </c>
      <c r="E1124" s="204" t="s">
        <v>4847</v>
      </c>
      <c r="F1124" s="19" t="s">
        <v>2276</v>
      </c>
      <c r="G1124" s="11" t="s">
        <v>7278</v>
      </c>
      <c r="H1124" s="19" t="s">
        <v>6116</v>
      </c>
      <c r="I1124" s="21">
        <v>45.459893000000001</v>
      </c>
      <c r="J1124" s="21">
        <v>4.6242241000000002</v>
      </c>
      <c r="K1124" s="21">
        <v>69711</v>
      </c>
      <c r="L1124" s="204">
        <v>2001</v>
      </c>
      <c r="M1124" s="204">
        <v>2015</v>
      </c>
      <c r="N1124" s="82" t="s">
        <v>2276</v>
      </c>
      <c r="O1124" s="19" t="s">
        <v>67</v>
      </c>
      <c r="P1124" s="19" t="s">
        <v>5187</v>
      </c>
      <c r="Q1124" s="204"/>
    </row>
    <row r="1125" spans="1:17" ht="41" customHeight="1">
      <c r="A1125" s="213">
        <v>305</v>
      </c>
      <c r="B1125" s="40" t="s">
        <v>7267</v>
      </c>
      <c r="C1125" s="19" t="s">
        <v>7290</v>
      </c>
      <c r="D1125" s="204" t="s">
        <v>2633</v>
      </c>
      <c r="E1125" s="204" t="s">
        <v>4847</v>
      </c>
      <c r="F1125" s="19" t="s">
        <v>2276</v>
      </c>
      <c r="G1125" s="19" t="s">
        <v>7279</v>
      </c>
      <c r="H1125" s="19" t="s">
        <v>6116</v>
      </c>
      <c r="I1125" s="21">
        <v>43.689849000000002</v>
      </c>
      <c r="J1125" s="21">
        <v>2.2592024999999998</v>
      </c>
      <c r="K1125" s="21">
        <v>72724</v>
      </c>
      <c r="L1125" s="204">
        <v>2001</v>
      </c>
      <c r="M1125" s="204">
        <v>2015</v>
      </c>
      <c r="N1125" s="82" t="s">
        <v>2276</v>
      </c>
      <c r="O1125" s="19" t="s">
        <v>67</v>
      </c>
      <c r="P1125" s="19" t="s">
        <v>5187</v>
      </c>
      <c r="Q1125" s="204"/>
    </row>
    <row r="1126" spans="1:17" ht="41" customHeight="1">
      <c r="A1126" s="213">
        <v>305</v>
      </c>
      <c r="B1126" s="40" t="s">
        <v>7267</v>
      </c>
      <c r="C1126" s="19" t="s">
        <v>7291</v>
      </c>
      <c r="D1126" s="204" t="s">
        <v>2633</v>
      </c>
      <c r="E1126" s="204" t="s">
        <v>4847</v>
      </c>
      <c r="F1126" s="19" t="s">
        <v>2276</v>
      </c>
      <c r="G1126" s="11" t="s">
        <v>7280</v>
      </c>
      <c r="H1126" s="19" t="s">
        <v>6116</v>
      </c>
      <c r="I1126" s="21">
        <v>44.054424599999997</v>
      </c>
      <c r="J1126" s="21">
        <v>5.9745999999999997</v>
      </c>
      <c r="K1126" s="21">
        <v>31400</v>
      </c>
      <c r="L1126" s="204">
        <v>2001</v>
      </c>
      <c r="M1126" s="204">
        <v>2015</v>
      </c>
      <c r="N1126" s="82" t="s">
        <v>2276</v>
      </c>
      <c r="O1126" s="19" t="s">
        <v>67</v>
      </c>
      <c r="P1126" s="19" t="s">
        <v>5187</v>
      </c>
      <c r="Q1126" s="204"/>
    </row>
    <row r="1127" spans="1:17" ht="41" customHeight="1">
      <c r="A1127" s="213">
        <v>305</v>
      </c>
      <c r="B1127" s="40" t="s">
        <v>7267</v>
      </c>
      <c r="C1127" s="19" t="s">
        <v>7292</v>
      </c>
      <c r="D1127" s="204" t="s">
        <v>2633</v>
      </c>
      <c r="E1127" s="204" t="s">
        <v>4847</v>
      </c>
      <c r="F1127" s="19" t="s">
        <v>2276</v>
      </c>
      <c r="G1127" s="11" t="s">
        <v>6131</v>
      </c>
      <c r="H1127" s="19" t="s">
        <v>6116</v>
      </c>
      <c r="I1127" s="21">
        <v>42.180610600000001</v>
      </c>
      <c r="J1127" s="21">
        <v>9.0473865</v>
      </c>
      <c r="K1127" s="21">
        <v>8722</v>
      </c>
      <c r="L1127" s="204">
        <v>2001</v>
      </c>
      <c r="M1127" s="204">
        <v>2015</v>
      </c>
      <c r="N1127" s="82" t="s">
        <v>2276</v>
      </c>
      <c r="O1127" s="19" t="s">
        <v>67</v>
      </c>
      <c r="P1127" s="19" t="s">
        <v>5187</v>
      </c>
      <c r="Q1127" s="204"/>
    </row>
    <row r="1128" spans="1:17" ht="41" customHeight="1">
      <c r="A1128" s="213">
        <v>305</v>
      </c>
      <c r="B1128" s="40" t="s">
        <v>7267</v>
      </c>
      <c r="C1128" s="19" t="s">
        <v>7293</v>
      </c>
      <c r="D1128" s="204" t="s">
        <v>2633</v>
      </c>
      <c r="E1128" s="204" t="s">
        <v>4847</v>
      </c>
      <c r="F1128" s="19" t="s">
        <v>2276</v>
      </c>
      <c r="G1128" s="11" t="s">
        <v>7396</v>
      </c>
      <c r="H1128" s="19" t="s">
        <v>6112</v>
      </c>
      <c r="I1128" s="21">
        <v>38.904713999999998</v>
      </c>
      <c r="J1128" s="21">
        <v>-9.2215173999999998</v>
      </c>
      <c r="K1128" s="21">
        <v>2800</v>
      </c>
      <c r="L1128" s="204">
        <v>2006</v>
      </c>
      <c r="M1128" s="204">
        <v>2015</v>
      </c>
      <c r="N1128" s="82" t="s">
        <v>2276</v>
      </c>
      <c r="O1128" s="19" t="s">
        <v>67</v>
      </c>
      <c r="P1128" s="19" t="s">
        <v>5187</v>
      </c>
      <c r="Q1128" s="204"/>
    </row>
    <row r="1129" spans="1:17" ht="24.5" customHeight="1">
      <c r="A1129" s="213">
        <v>305</v>
      </c>
      <c r="B1129" s="40" t="s">
        <v>7267</v>
      </c>
      <c r="C1129" s="19" t="s">
        <v>7379</v>
      </c>
      <c r="D1129" s="204" t="s">
        <v>2633</v>
      </c>
      <c r="E1129" s="204" t="s">
        <v>4847</v>
      </c>
      <c r="F1129" s="19" t="s">
        <v>2276</v>
      </c>
      <c r="G1129" s="11" t="s">
        <v>7397</v>
      </c>
      <c r="H1129" s="19" t="s">
        <v>6112</v>
      </c>
      <c r="I1129" s="21">
        <v>39.5852772</v>
      </c>
      <c r="J1129" s="21">
        <v>-8.8504941000000006</v>
      </c>
      <c r="K1129" s="21">
        <v>3515</v>
      </c>
      <c r="L1129" s="204">
        <v>2006</v>
      </c>
      <c r="M1129" s="204">
        <v>2015</v>
      </c>
      <c r="N1129" s="82" t="s">
        <v>2276</v>
      </c>
      <c r="O1129" s="19" t="s">
        <v>67</v>
      </c>
      <c r="P1129" s="19" t="s">
        <v>5187</v>
      </c>
      <c r="Q1129" s="204"/>
    </row>
    <row r="1130" spans="1:17" ht="24.5" customHeight="1">
      <c r="A1130" s="213">
        <v>305</v>
      </c>
      <c r="B1130" s="40" t="s">
        <v>7267</v>
      </c>
      <c r="C1130" s="19" t="s">
        <v>7380</v>
      </c>
      <c r="D1130" s="204" t="s">
        <v>2633</v>
      </c>
      <c r="E1130" s="204" t="s">
        <v>4847</v>
      </c>
      <c r="F1130" s="19" t="s">
        <v>2276</v>
      </c>
      <c r="G1130" s="11" t="s">
        <v>6064</v>
      </c>
      <c r="H1130" s="19" t="s">
        <v>6112</v>
      </c>
      <c r="I1130" s="21">
        <v>39.225619500000001</v>
      </c>
      <c r="J1130" s="21">
        <v>-8.7137516999999995</v>
      </c>
      <c r="K1130" s="21">
        <v>6747</v>
      </c>
      <c r="L1130" s="204">
        <v>2006</v>
      </c>
      <c r="M1130" s="204">
        <v>2015</v>
      </c>
      <c r="N1130" s="82" t="s">
        <v>2276</v>
      </c>
      <c r="O1130" s="19" t="s">
        <v>67</v>
      </c>
      <c r="P1130" s="19" t="s">
        <v>5187</v>
      </c>
      <c r="Q1130" s="204"/>
    </row>
    <row r="1131" spans="1:17" ht="24.5" customHeight="1">
      <c r="A1131" s="213">
        <v>305</v>
      </c>
      <c r="B1131" s="40" t="s">
        <v>7267</v>
      </c>
      <c r="C1131" s="19" t="s">
        <v>7381</v>
      </c>
      <c r="D1131" s="204" t="s">
        <v>2633</v>
      </c>
      <c r="E1131" s="204" t="s">
        <v>4847</v>
      </c>
      <c r="F1131" s="19" t="s">
        <v>2276</v>
      </c>
      <c r="G1131" s="11" t="s">
        <v>7398</v>
      </c>
      <c r="H1131" s="19" t="s">
        <v>6112</v>
      </c>
      <c r="I1131" s="21">
        <v>38.483753100000001</v>
      </c>
      <c r="J1131" s="21">
        <v>-8.9134197999999998</v>
      </c>
      <c r="K1131" s="21">
        <v>5064</v>
      </c>
      <c r="L1131" s="204">
        <v>2006</v>
      </c>
      <c r="M1131" s="204">
        <v>2015</v>
      </c>
      <c r="N1131" s="82" t="s">
        <v>2276</v>
      </c>
      <c r="O1131" s="19" t="s">
        <v>67</v>
      </c>
      <c r="P1131" s="19" t="s">
        <v>5187</v>
      </c>
      <c r="Q1131" s="204"/>
    </row>
    <row r="1132" spans="1:17" ht="24.5" customHeight="1">
      <c r="A1132" s="213">
        <v>305</v>
      </c>
      <c r="B1132" s="40" t="s">
        <v>7267</v>
      </c>
      <c r="C1132" s="19" t="s">
        <v>7382</v>
      </c>
      <c r="D1132" s="204" t="s">
        <v>2633</v>
      </c>
      <c r="E1132" s="204" t="s">
        <v>4847</v>
      </c>
      <c r="F1132" s="19" t="s">
        <v>2276</v>
      </c>
      <c r="G1132" s="11" t="s">
        <v>7399</v>
      </c>
      <c r="H1132" s="19" t="s">
        <v>6112</v>
      </c>
      <c r="I1132" s="21">
        <v>37.987447299999999</v>
      </c>
      <c r="J1132" s="21">
        <v>-7.9819201</v>
      </c>
      <c r="K1132" s="21">
        <v>10225</v>
      </c>
      <c r="L1132" s="204">
        <v>2006</v>
      </c>
      <c r="M1132" s="204">
        <v>2015</v>
      </c>
      <c r="N1132" s="82" t="s">
        <v>2276</v>
      </c>
      <c r="O1132" s="19" t="s">
        <v>67</v>
      </c>
      <c r="P1132" s="19" t="s">
        <v>5187</v>
      </c>
      <c r="Q1132" s="204"/>
    </row>
    <row r="1133" spans="1:17" ht="24.5" customHeight="1">
      <c r="A1133" s="213">
        <v>305</v>
      </c>
      <c r="B1133" s="40" t="s">
        <v>7267</v>
      </c>
      <c r="C1133" s="19" t="s">
        <v>7383</v>
      </c>
      <c r="D1133" s="204" t="s">
        <v>2633</v>
      </c>
      <c r="E1133" s="204" t="s">
        <v>4847</v>
      </c>
      <c r="F1133" s="19" t="s">
        <v>2276</v>
      </c>
      <c r="G1133" s="11" t="s">
        <v>7400</v>
      </c>
      <c r="H1133" s="19" t="s">
        <v>6112</v>
      </c>
      <c r="I1133" s="21">
        <v>37.192814900000002</v>
      </c>
      <c r="J1133" s="21">
        <v>-7.9900900000000004</v>
      </c>
      <c r="K1133" s="21">
        <v>4997</v>
      </c>
      <c r="L1133" s="204">
        <v>2006</v>
      </c>
      <c r="M1133" s="204">
        <v>2015</v>
      </c>
      <c r="N1133" s="82" t="s">
        <v>2276</v>
      </c>
      <c r="O1133" s="19" t="s">
        <v>67</v>
      </c>
      <c r="P1133" s="19" t="s">
        <v>5187</v>
      </c>
      <c r="Q1133" s="204"/>
    </row>
    <row r="1134" spans="1:17" ht="24.5" customHeight="1">
      <c r="A1134" s="213">
        <v>305</v>
      </c>
      <c r="B1134" s="40" t="s">
        <v>7267</v>
      </c>
      <c r="C1134" s="19" t="s">
        <v>7384</v>
      </c>
      <c r="D1134" s="204" t="s">
        <v>2633</v>
      </c>
      <c r="E1134" s="204" t="s">
        <v>4847</v>
      </c>
      <c r="F1134" s="19" t="s">
        <v>2276</v>
      </c>
      <c r="G1134" s="11" t="s">
        <v>7401</v>
      </c>
      <c r="H1134" s="19" t="s">
        <v>6112</v>
      </c>
      <c r="I1134" s="21">
        <v>38.4956976</v>
      </c>
      <c r="J1134" s="21">
        <v>-7.9816108999999997</v>
      </c>
      <c r="K1134" s="21">
        <v>7393</v>
      </c>
      <c r="L1134" s="204">
        <v>2006</v>
      </c>
      <c r="M1134" s="204">
        <v>2015</v>
      </c>
      <c r="N1134" s="82" t="s">
        <v>2276</v>
      </c>
      <c r="O1134" s="19" t="s">
        <v>67</v>
      </c>
      <c r="P1134" s="19" t="s">
        <v>5187</v>
      </c>
      <c r="Q1134" s="204"/>
    </row>
    <row r="1135" spans="1:17" ht="24.5" customHeight="1">
      <c r="A1135" s="213">
        <v>305</v>
      </c>
      <c r="B1135" s="40" t="s">
        <v>7267</v>
      </c>
      <c r="C1135" s="19" t="s">
        <v>7385</v>
      </c>
      <c r="D1135" s="204" t="s">
        <v>2633</v>
      </c>
      <c r="E1135" s="204" t="s">
        <v>4847</v>
      </c>
      <c r="F1135" s="19" t="s">
        <v>2276</v>
      </c>
      <c r="G1135" s="11" t="s">
        <v>7402</v>
      </c>
      <c r="H1135" s="19" t="s">
        <v>6112</v>
      </c>
      <c r="I1135" s="21">
        <v>39.248371200000001</v>
      </c>
      <c r="J1135" s="21">
        <v>-7.4527700000000001</v>
      </c>
      <c r="K1135" s="21">
        <v>6065</v>
      </c>
      <c r="L1135" s="204">
        <v>2006</v>
      </c>
      <c r="M1135" s="204">
        <v>2015</v>
      </c>
      <c r="N1135" s="82" t="s">
        <v>2276</v>
      </c>
      <c r="O1135" s="19" t="s">
        <v>67</v>
      </c>
      <c r="P1135" s="19" t="s">
        <v>5187</v>
      </c>
      <c r="Q1135" s="204"/>
    </row>
    <row r="1136" spans="1:17" ht="24.5" customHeight="1">
      <c r="A1136" s="213">
        <v>305</v>
      </c>
      <c r="B1136" s="40" t="s">
        <v>7267</v>
      </c>
      <c r="C1136" s="19" t="s">
        <v>7386</v>
      </c>
      <c r="D1136" s="204" t="s">
        <v>2633</v>
      </c>
      <c r="E1136" s="204" t="s">
        <v>4847</v>
      </c>
      <c r="F1136" s="19" t="s">
        <v>2276</v>
      </c>
      <c r="G1136" s="11" t="s">
        <v>7403</v>
      </c>
      <c r="H1136" s="19" t="s">
        <v>6112</v>
      </c>
      <c r="I1136" s="21">
        <v>39.775269299999998</v>
      </c>
      <c r="J1136" s="21">
        <v>-7.5083846999999997</v>
      </c>
      <c r="K1136" s="21">
        <v>6675</v>
      </c>
      <c r="L1136" s="204">
        <v>2006</v>
      </c>
      <c r="M1136" s="204">
        <v>2015</v>
      </c>
      <c r="N1136" s="82" t="s">
        <v>2276</v>
      </c>
      <c r="O1136" s="19" t="s">
        <v>67</v>
      </c>
      <c r="P1136" s="19" t="s">
        <v>5187</v>
      </c>
      <c r="Q1136" s="204"/>
    </row>
    <row r="1137" spans="1:19" ht="24.5" customHeight="1">
      <c r="A1137" s="213">
        <v>305</v>
      </c>
      <c r="B1137" s="40" t="s">
        <v>7267</v>
      </c>
      <c r="C1137" s="19" t="s">
        <v>7387</v>
      </c>
      <c r="D1137" s="204" t="s">
        <v>2633</v>
      </c>
      <c r="E1137" s="204" t="s">
        <v>4847</v>
      </c>
      <c r="F1137" s="19" t="s">
        <v>2276</v>
      </c>
      <c r="G1137" s="11" t="s">
        <v>7404</v>
      </c>
      <c r="H1137" s="19" t="s">
        <v>6112</v>
      </c>
      <c r="I1137" s="21">
        <v>40.504301400000003</v>
      </c>
      <c r="J1137" s="21">
        <v>-7.2940021000000002</v>
      </c>
      <c r="K1137" s="21">
        <v>5518</v>
      </c>
      <c r="L1137" s="204">
        <v>2006</v>
      </c>
      <c r="M1137" s="204">
        <v>2015</v>
      </c>
      <c r="N1137" s="82" t="s">
        <v>2276</v>
      </c>
      <c r="O1137" s="19" t="s">
        <v>67</v>
      </c>
      <c r="P1137" s="19" t="s">
        <v>5187</v>
      </c>
      <c r="Q1137" s="204"/>
    </row>
    <row r="1138" spans="1:19" ht="24.5" customHeight="1">
      <c r="A1138" s="213">
        <v>305</v>
      </c>
      <c r="B1138" s="40" t="s">
        <v>7267</v>
      </c>
      <c r="C1138" s="19" t="s">
        <v>7388</v>
      </c>
      <c r="D1138" s="204" t="s">
        <v>2633</v>
      </c>
      <c r="E1138" s="204" t="s">
        <v>4847</v>
      </c>
      <c r="F1138" s="19" t="s">
        <v>2276</v>
      </c>
      <c r="G1138" s="11" t="s">
        <v>7405</v>
      </c>
      <c r="H1138" s="19" t="s">
        <v>6112</v>
      </c>
      <c r="I1138" s="21">
        <v>40.205450800000001</v>
      </c>
      <c r="J1138" s="21">
        <v>-8.3994599999999995</v>
      </c>
      <c r="K1138" s="21">
        <v>3947</v>
      </c>
      <c r="L1138" s="204">
        <v>2006</v>
      </c>
      <c r="M1138" s="204">
        <v>2015</v>
      </c>
      <c r="N1138" s="82" t="s">
        <v>2276</v>
      </c>
      <c r="O1138" s="19" t="s">
        <v>67</v>
      </c>
      <c r="P1138" s="19" t="s">
        <v>5187</v>
      </c>
      <c r="Q1138" s="204"/>
    </row>
    <row r="1139" spans="1:19" ht="24.5" customHeight="1">
      <c r="A1139" s="213">
        <v>305</v>
      </c>
      <c r="B1139" s="40" t="s">
        <v>7267</v>
      </c>
      <c r="C1139" s="19" t="s">
        <v>7389</v>
      </c>
      <c r="D1139" s="204" t="s">
        <v>2633</v>
      </c>
      <c r="E1139" s="204" t="s">
        <v>4847</v>
      </c>
      <c r="F1139" s="19" t="s">
        <v>2276</v>
      </c>
      <c r="G1139" s="11" t="s">
        <v>7406</v>
      </c>
      <c r="H1139" s="19" t="s">
        <v>6112</v>
      </c>
      <c r="I1139" s="21">
        <v>40.604104200000002</v>
      </c>
      <c r="J1139" s="21">
        <v>-8.6561692000000008</v>
      </c>
      <c r="K1139" s="21">
        <v>2808</v>
      </c>
      <c r="L1139" s="204">
        <v>2006</v>
      </c>
      <c r="M1139" s="204">
        <v>2015</v>
      </c>
      <c r="N1139" s="82" t="s">
        <v>2276</v>
      </c>
      <c r="O1139" s="19" t="s">
        <v>67</v>
      </c>
      <c r="P1139" s="19" t="s">
        <v>5187</v>
      </c>
      <c r="Q1139" s="204"/>
    </row>
    <row r="1140" spans="1:19" ht="24.5" customHeight="1">
      <c r="A1140" s="213">
        <v>305</v>
      </c>
      <c r="B1140" s="40" t="s">
        <v>7267</v>
      </c>
      <c r="C1140" s="19" t="s">
        <v>7390</v>
      </c>
      <c r="D1140" s="204" t="s">
        <v>2633</v>
      </c>
      <c r="E1140" s="204" t="s">
        <v>4847</v>
      </c>
      <c r="F1140" s="19" t="s">
        <v>2276</v>
      </c>
      <c r="G1140" s="11" t="s">
        <v>7407</v>
      </c>
      <c r="H1140" s="19" t="s">
        <v>6112</v>
      </c>
      <c r="I1140" s="21">
        <v>40.722348599999997</v>
      </c>
      <c r="J1140" s="21">
        <v>-7.9160269000000003</v>
      </c>
      <c r="K1140" s="21">
        <v>5007</v>
      </c>
      <c r="L1140" s="204">
        <v>2006</v>
      </c>
      <c r="M1140" s="204">
        <v>2015</v>
      </c>
      <c r="N1140" s="82" t="s">
        <v>2276</v>
      </c>
      <c r="O1140" s="19" t="s">
        <v>67</v>
      </c>
      <c r="P1140" s="19" t="s">
        <v>5187</v>
      </c>
      <c r="Q1140" s="204"/>
    </row>
    <row r="1141" spans="1:19" ht="24.5" customHeight="1">
      <c r="A1141" s="213">
        <v>305</v>
      </c>
      <c r="B1141" s="40" t="s">
        <v>7267</v>
      </c>
      <c r="C1141" s="19" t="s">
        <v>7391</v>
      </c>
      <c r="D1141" s="204" t="s">
        <v>2633</v>
      </c>
      <c r="E1141" s="204" t="s">
        <v>4847</v>
      </c>
      <c r="F1141" s="19" t="s">
        <v>2276</v>
      </c>
      <c r="G1141" s="11" t="s">
        <v>7408</v>
      </c>
      <c r="H1141" s="19" t="s">
        <v>6112</v>
      </c>
      <c r="I1141" s="21">
        <v>41.803516199999997</v>
      </c>
      <c r="J1141" s="21">
        <v>-6.7776588000000002</v>
      </c>
      <c r="K1141" s="21">
        <v>1174</v>
      </c>
      <c r="L1141" s="204">
        <v>2006</v>
      </c>
      <c r="M1141" s="204">
        <v>2015</v>
      </c>
      <c r="N1141" s="82" t="s">
        <v>2276</v>
      </c>
      <c r="O1141" s="19" t="s">
        <v>67</v>
      </c>
      <c r="P1141" s="19" t="s">
        <v>5187</v>
      </c>
      <c r="Q1141" s="204"/>
    </row>
    <row r="1142" spans="1:19" ht="24.5" customHeight="1">
      <c r="A1142" s="213">
        <v>305</v>
      </c>
      <c r="B1142" s="40" t="s">
        <v>7267</v>
      </c>
      <c r="C1142" s="19" t="s">
        <v>7392</v>
      </c>
      <c r="D1142" s="204" t="s">
        <v>2633</v>
      </c>
      <c r="E1142" s="204" t="s">
        <v>4847</v>
      </c>
      <c r="F1142" s="19" t="s">
        <v>2276</v>
      </c>
      <c r="G1142" s="11" t="s">
        <v>7409</v>
      </c>
      <c r="H1142" s="19" t="s">
        <v>6112</v>
      </c>
      <c r="I1142" s="21">
        <v>41.285986999999999</v>
      </c>
      <c r="J1142" s="21">
        <v>-7.7582407</v>
      </c>
      <c r="K1142" s="21">
        <v>4328</v>
      </c>
      <c r="L1142" s="204">
        <v>2006</v>
      </c>
      <c r="M1142" s="204">
        <v>2015</v>
      </c>
      <c r="N1142" s="82" t="s">
        <v>2276</v>
      </c>
      <c r="O1142" s="19" t="s">
        <v>67</v>
      </c>
      <c r="P1142" s="19" t="s">
        <v>5187</v>
      </c>
      <c r="Q1142" s="204"/>
    </row>
    <row r="1143" spans="1:19" ht="24.5" customHeight="1">
      <c r="A1143" s="213">
        <v>305</v>
      </c>
      <c r="B1143" s="40" t="s">
        <v>7267</v>
      </c>
      <c r="C1143" s="19" t="s">
        <v>7393</v>
      </c>
      <c r="D1143" s="204" t="s">
        <v>2633</v>
      </c>
      <c r="E1143" s="204" t="s">
        <v>4847</v>
      </c>
      <c r="F1143" s="19" t="s">
        <v>2276</v>
      </c>
      <c r="G1143" s="11" t="s">
        <v>7410</v>
      </c>
      <c r="H1143" s="19" t="s">
        <v>6112</v>
      </c>
      <c r="I1143" s="21">
        <v>41.119094799999999</v>
      </c>
      <c r="J1143" s="21">
        <v>-8.6013084000000006</v>
      </c>
      <c r="K1143" s="21">
        <v>2395</v>
      </c>
      <c r="L1143" s="204">
        <v>2006</v>
      </c>
      <c r="M1143" s="204">
        <v>2015</v>
      </c>
      <c r="N1143" s="82" t="s">
        <v>2276</v>
      </c>
      <c r="O1143" s="19" t="s">
        <v>67</v>
      </c>
      <c r="P1143" s="19" t="s">
        <v>5187</v>
      </c>
      <c r="Q1143" s="204"/>
      <c r="R1143" s="122"/>
      <c r="S1143" s="122"/>
    </row>
    <row r="1144" spans="1:19" ht="24.5" customHeight="1">
      <c r="A1144" s="213">
        <v>305</v>
      </c>
      <c r="B1144" s="40" t="s">
        <v>7267</v>
      </c>
      <c r="C1144" s="19" t="s">
        <v>7394</v>
      </c>
      <c r="D1144" s="204" t="s">
        <v>2633</v>
      </c>
      <c r="E1144" s="204" t="s">
        <v>4847</v>
      </c>
      <c r="F1144" s="19" t="s">
        <v>2276</v>
      </c>
      <c r="G1144" s="11" t="s">
        <v>7412</v>
      </c>
      <c r="H1144" s="19" t="s">
        <v>6112</v>
      </c>
      <c r="I1144" s="21">
        <v>41.482525099999997</v>
      </c>
      <c r="J1144" s="21">
        <v>-8.4239523999999992</v>
      </c>
      <c r="K1144" s="21">
        <v>2673</v>
      </c>
      <c r="L1144" s="204">
        <v>2006</v>
      </c>
      <c r="M1144" s="204">
        <v>2015</v>
      </c>
      <c r="N1144" s="82" t="s">
        <v>2276</v>
      </c>
      <c r="O1144" s="19" t="s">
        <v>67</v>
      </c>
      <c r="P1144" s="19" t="s">
        <v>5187</v>
      </c>
      <c r="Q1144" s="204"/>
      <c r="R1144" s="122"/>
      <c r="S1144" s="122"/>
    </row>
    <row r="1145" spans="1:19" ht="29" customHeight="1">
      <c r="A1145" s="213">
        <v>305</v>
      </c>
      <c r="B1145" s="40" t="s">
        <v>7267</v>
      </c>
      <c r="C1145" s="19" t="s">
        <v>7395</v>
      </c>
      <c r="D1145" s="204" t="s">
        <v>2633</v>
      </c>
      <c r="E1145" s="204" t="s">
        <v>4847</v>
      </c>
      <c r="F1145" s="19" t="s">
        <v>2276</v>
      </c>
      <c r="G1145" s="11" t="s">
        <v>7411</v>
      </c>
      <c r="H1145" s="19" t="s">
        <v>6112</v>
      </c>
      <c r="I1145" s="21">
        <v>41.6912345</v>
      </c>
      <c r="J1145" s="21">
        <v>-8.8434313000000007</v>
      </c>
      <c r="K1145" s="21">
        <v>2255</v>
      </c>
      <c r="L1145" s="204">
        <v>2006</v>
      </c>
      <c r="M1145" s="204">
        <v>2015</v>
      </c>
      <c r="N1145" s="82" t="s">
        <v>2276</v>
      </c>
      <c r="O1145" s="19" t="s">
        <v>67</v>
      </c>
      <c r="P1145" s="19" t="s">
        <v>5187</v>
      </c>
      <c r="Q1145" s="204"/>
      <c r="R1145" s="122"/>
      <c r="S1145" s="122"/>
    </row>
    <row r="1146" spans="1:19" ht="30" customHeight="1">
      <c r="A1146" s="213">
        <v>305</v>
      </c>
      <c r="B1146" s="40" t="s">
        <v>7267</v>
      </c>
      <c r="C1146" s="19" t="s">
        <v>7594</v>
      </c>
      <c r="D1146" s="204" t="s">
        <v>2633</v>
      </c>
      <c r="E1146" s="204" t="s">
        <v>4847</v>
      </c>
      <c r="F1146" s="19" t="s">
        <v>2276</v>
      </c>
      <c r="G1146" s="11" t="s">
        <v>6132</v>
      </c>
      <c r="H1146" s="19" t="s">
        <v>4314</v>
      </c>
      <c r="I1146" s="21">
        <v>41.107962100000002</v>
      </c>
      <c r="J1146" s="21">
        <v>3.3815396</v>
      </c>
      <c r="K1146" s="21">
        <v>23108</v>
      </c>
      <c r="L1146" s="11">
        <v>1998</v>
      </c>
      <c r="M1146" s="11">
        <v>2015</v>
      </c>
      <c r="N1146" s="82" t="s">
        <v>2276</v>
      </c>
      <c r="O1146" s="19" t="s">
        <v>67</v>
      </c>
      <c r="P1146" s="19" t="s">
        <v>5187</v>
      </c>
      <c r="Q1146" s="204"/>
      <c r="R1146" s="122"/>
      <c r="S1146" s="122"/>
    </row>
    <row r="1147" spans="1:19" ht="32.5" customHeight="1">
      <c r="A1147" s="213">
        <v>305</v>
      </c>
      <c r="B1147" s="40" t="s">
        <v>7267</v>
      </c>
      <c r="C1147" s="19" t="s">
        <v>7616</v>
      </c>
      <c r="D1147" s="204" t="s">
        <v>2633</v>
      </c>
      <c r="E1147" s="204" t="s">
        <v>2414</v>
      </c>
      <c r="F1147" s="19" t="s">
        <v>2276</v>
      </c>
      <c r="G1147" s="19" t="s">
        <v>2276</v>
      </c>
      <c r="H1147" s="19" t="s">
        <v>4942</v>
      </c>
      <c r="I1147" s="21">
        <v>41.853488200000001</v>
      </c>
      <c r="J1147" s="82">
        <v>12.556582799999999</v>
      </c>
      <c r="K1147" s="21">
        <v>301338</v>
      </c>
      <c r="L1147" s="11">
        <v>2015</v>
      </c>
      <c r="M1147" s="11">
        <v>2015</v>
      </c>
      <c r="N1147" s="82" t="s">
        <v>2276</v>
      </c>
      <c r="O1147" s="19" t="s">
        <v>67</v>
      </c>
      <c r="P1147" s="19" t="s">
        <v>5187</v>
      </c>
      <c r="Q1147" s="204" t="s">
        <v>7613</v>
      </c>
      <c r="R1147" s="122"/>
      <c r="S1147" s="122"/>
    </row>
    <row r="1148" spans="1:19" ht="27" customHeight="1">
      <c r="A1148" s="213">
        <v>305</v>
      </c>
      <c r="B1148" s="40" t="s">
        <v>7267</v>
      </c>
      <c r="C1148" s="19" t="s">
        <v>7619</v>
      </c>
      <c r="D1148" s="204" t="s">
        <v>2633</v>
      </c>
      <c r="E1148" s="204" t="s">
        <v>4847</v>
      </c>
      <c r="F1148" s="19" t="s">
        <v>2276</v>
      </c>
      <c r="G1148" s="19" t="s">
        <v>2276</v>
      </c>
      <c r="H1148" s="19" t="s">
        <v>6112</v>
      </c>
      <c r="I1148" s="21">
        <v>39.394639099999999</v>
      </c>
      <c r="J1148" s="82">
        <v>-8.0152952000000006</v>
      </c>
      <c r="K1148" s="21">
        <v>92212</v>
      </c>
      <c r="L1148" s="11">
        <v>2015</v>
      </c>
      <c r="M1148" s="11">
        <v>2015</v>
      </c>
      <c r="N1148" s="82" t="s">
        <v>2276</v>
      </c>
      <c r="O1148" s="19" t="s">
        <v>67</v>
      </c>
      <c r="P1148" s="19" t="s">
        <v>5187</v>
      </c>
      <c r="Q1148" s="204"/>
      <c r="R1148" s="122"/>
      <c r="S1148" s="122"/>
    </row>
    <row r="1149" spans="1:19" ht="34.5" customHeight="1">
      <c r="A1149" s="213">
        <v>305</v>
      </c>
      <c r="B1149" s="40" t="s">
        <v>7267</v>
      </c>
      <c r="C1149" s="19" t="s">
        <v>7620</v>
      </c>
      <c r="D1149" s="204" t="s">
        <v>2633</v>
      </c>
      <c r="E1149" s="204" t="s">
        <v>4847</v>
      </c>
      <c r="F1149" s="19" t="s">
        <v>2276</v>
      </c>
      <c r="G1149" s="19" t="s">
        <v>2276</v>
      </c>
      <c r="H1149" s="19" t="s">
        <v>6116</v>
      </c>
      <c r="I1149" s="21">
        <v>42.188513700000001</v>
      </c>
      <c r="J1149" s="82">
        <v>1.7829904999999999</v>
      </c>
      <c r="K1149" s="21">
        <v>643801</v>
      </c>
      <c r="L1149" s="11">
        <v>2015</v>
      </c>
      <c r="M1149" s="11">
        <v>2015</v>
      </c>
      <c r="N1149" s="82" t="s">
        <v>2276</v>
      </c>
      <c r="O1149" s="19" t="s">
        <v>67</v>
      </c>
      <c r="P1149" s="19" t="s">
        <v>5187</v>
      </c>
      <c r="Q1149" s="4" t="s">
        <v>7624</v>
      </c>
      <c r="R1149" s="122"/>
      <c r="S1149" s="122"/>
    </row>
    <row r="1150" spans="1:19" ht="43.5" customHeight="1">
      <c r="A1150" s="219">
        <v>306</v>
      </c>
      <c r="B1150" s="54" t="s">
        <v>7642</v>
      </c>
      <c r="C1150" s="55" t="s">
        <v>7643</v>
      </c>
      <c r="D1150" s="38" t="s">
        <v>2398</v>
      </c>
      <c r="E1150" s="38" t="s">
        <v>4847</v>
      </c>
      <c r="F1150" s="55" t="s">
        <v>2276</v>
      </c>
      <c r="G1150" s="55" t="s">
        <v>7777</v>
      </c>
      <c r="H1150" s="151" t="s">
        <v>4112</v>
      </c>
      <c r="I1150" s="21">
        <f>AVERAGE(I1151:I1217)</f>
        <v>39.367126656542631</v>
      </c>
      <c r="J1150" s="21">
        <f>AVERAGE(J1151:J1217)</f>
        <v>-99.183510622322359</v>
      </c>
      <c r="K1150" s="21">
        <v>76639417</v>
      </c>
      <c r="L1150" s="204">
        <v>1999</v>
      </c>
      <c r="M1150" s="204">
        <v>2012</v>
      </c>
      <c r="N1150" s="220" t="s">
        <v>2276</v>
      </c>
      <c r="O1150" s="55" t="s">
        <v>67</v>
      </c>
      <c r="P1150" s="55" t="s">
        <v>5187</v>
      </c>
      <c r="Q1150" s="168" t="s">
        <v>7775</v>
      </c>
      <c r="R1150" s="122"/>
      <c r="S1150" s="122"/>
    </row>
    <row r="1151" spans="1:19" ht="33.5" customHeight="1">
      <c r="A1151" s="213">
        <v>306</v>
      </c>
      <c r="B1151" s="40" t="s">
        <v>7642</v>
      </c>
      <c r="C1151" s="19" t="s">
        <v>7644</v>
      </c>
      <c r="D1151" s="204" t="s">
        <v>2398</v>
      </c>
      <c r="E1151" s="204" t="s">
        <v>4847</v>
      </c>
      <c r="F1151" s="55" t="s">
        <v>2276</v>
      </c>
      <c r="G1151" s="4" t="s">
        <v>7693</v>
      </c>
      <c r="H1151" s="49" t="s">
        <v>4112</v>
      </c>
      <c r="I1151" s="21">
        <v>47.7869335358087</v>
      </c>
      <c r="J1151" s="21">
        <v>-122.285198413692</v>
      </c>
      <c r="K1151" s="177">
        <f>38582*2.59</f>
        <v>99927.37999999999</v>
      </c>
      <c r="L1151" s="204">
        <v>1999</v>
      </c>
      <c r="M1151" s="204">
        <v>2012</v>
      </c>
      <c r="N1151" s="82" t="s">
        <v>2276</v>
      </c>
      <c r="O1151" s="19" t="s">
        <v>67</v>
      </c>
      <c r="P1151" s="19" t="s">
        <v>5187</v>
      </c>
      <c r="Q1151" s="204"/>
      <c r="R1151" s="122"/>
      <c r="S1151" s="122"/>
    </row>
    <row r="1152" spans="1:19" ht="33.5" customHeight="1">
      <c r="A1152" s="213">
        <v>306</v>
      </c>
      <c r="B1152" s="40" t="s">
        <v>7642</v>
      </c>
      <c r="C1152" s="19" t="s">
        <v>7645</v>
      </c>
      <c r="D1152" s="204" t="s">
        <v>2398</v>
      </c>
      <c r="E1152" s="204" t="s">
        <v>4847</v>
      </c>
      <c r="F1152" s="55" t="s">
        <v>2276</v>
      </c>
      <c r="G1152" s="4" t="s">
        <v>7694</v>
      </c>
      <c r="H1152" s="49" t="s">
        <v>4112</v>
      </c>
      <c r="I1152" s="21">
        <v>44.397995621549498</v>
      </c>
      <c r="J1152" s="21">
        <v>-123.641350034013</v>
      </c>
      <c r="K1152" s="177">
        <f>19272*2.59</f>
        <v>49914.479999999996</v>
      </c>
      <c r="L1152" s="204">
        <v>1999</v>
      </c>
      <c r="M1152" s="204">
        <v>2012</v>
      </c>
      <c r="N1152" s="82" t="s">
        <v>2276</v>
      </c>
      <c r="O1152" s="19" t="s">
        <v>67</v>
      </c>
      <c r="P1152" s="19" t="s">
        <v>5187</v>
      </c>
      <c r="Q1152" s="204"/>
    </row>
    <row r="1153" spans="1:17" ht="33.5" customHeight="1">
      <c r="A1153" s="213">
        <v>306</v>
      </c>
      <c r="B1153" s="40" t="s">
        <v>7642</v>
      </c>
      <c r="C1153" s="19" t="s">
        <v>7646</v>
      </c>
      <c r="D1153" s="204" t="s">
        <v>2398</v>
      </c>
      <c r="E1153" s="204" t="s">
        <v>4847</v>
      </c>
      <c r="F1153" s="55" t="s">
        <v>2276</v>
      </c>
      <c r="G1153" s="4" t="s">
        <v>7695</v>
      </c>
      <c r="H1153" s="49" t="s">
        <v>4112</v>
      </c>
      <c r="I1153" s="21">
        <v>40.502439589961597</v>
      </c>
      <c r="J1153" s="21">
        <v>-123.605461937556</v>
      </c>
      <c r="K1153" s="177">
        <f>22017*2.59</f>
        <v>57024.03</v>
      </c>
      <c r="L1153" s="204">
        <v>1999</v>
      </c>
      <c r="M1153" s="204">
        <v>2012</v>
      </c>
      <c r="N1153" s="82" t="s">
        <v>2276</v>
      </c>
      <c r="O1153" s="19" t="s">
        <v>67</v>
      </c>
      <c r="P1153" s="19" t="s">
        <v>5187</v>
      </c>
      <c r="Q1153" s="204"/>
    </row>
    <row r="1154" spans="1:17" ht="33.5" customHeight="1">
      <c r="A1154" s="213">
        <v>306</v>
      </c>
      <c r="B1154" s="40" t="s">
        <v>7642</v>
      </c>
      <c r="C1154" s="19" t="s">
        <v>7647</v>
      </c>
      <c r="D1154" s="204" t="s">
        <v>2398</v>
      </c>
      <c r="E1154" s="204" t="s">
        <v>4847</v>
      </c>
      <c r="F1154" s="55" t="s">
        <v>2276</v>
      </c>
      <c r="G1154" s="4" t="s">
        <v>7696</v>
      </c>
      <c r="H1154" s="49" t="s">
        <v>4112</v>
      </c>
      <c r="I1154" s="21">
        <v>35.639111938700403</v>
      </c>
      <c r="J1154" s="21">
        <v>-120.645239735288</v>
      </c>
      <c r="K1154" s="177">
        <f>37534*2.59</f>
        <v>97213.06</v>
      </c>
      <c r="L1154" s="204">
        <v>1999</v>
      </c>
      <c r="M1154" s="204">
        <v>2012</v>
      </c>
      <c r="N1154" s="82" t="s">
        <v>2276</v>
      </c>
      <c r="O1154" s="19" t="s">
        <v>67</v>
      </c>
      <c r="P1154" s="19" t="s">
        <v>5187</v>
      </c>
      <c r="Q1154" s="204"/>
    </row>
    <row r="1155" spans="1:17" ht="33.5" customHeight="1">
      <c r="A1155" s="213">
        <v>306</v>
      </c>
      <c r="B1155" s="40" t="s">
        <v>7642</v>
      </c>
      <c r="C1155" s="19" t="s">
        <v>7648</v>
      </c>
      <c r="D1155" s="204" t="s">
        <v>2398</v>
      </c>
      <c r="E1155" s="204" t="s">
        <v>4847</v>
      </c>
      <c r="F1155" s="55" t="s">
        <v>2276</v>
      </c>
      <c r="G1155" s="4" t="s">
        <v>7697</v>
      </c>
      <c r="H1155" s="49" t="s">
        <v>4112</v>
      </c>
      <c r="I1155" s="21">
        <v>38.065074395604398</v>
      </c>
      <c r="J1155" s="21">
        <v>-121.371517705549</v>
      </c>
      <c r="K1155" s="177">
        <f>21578*2.59</f>
        <v>55887.02</v>
      </c>
      <c r="L1155" s="204">
        <v>1999</v>
      </c>
      <c r="M1155" s="204">
        <v>2012</v>
      </c>
      <c r="N1155" s="82" t="s">
        <v>2276</v>
      </c>
      <c r="O1155" s="19" t="s">
        <v>67</v>
      </c>
      <c r="P1155" s="19" t="s">
        <v>5187</v>
      </c>
      <c r="Q1155" s="204"/>
    </row>
    <row r="1156" spans="1:17" ht="33.5" customHeight="1">
      <c r="A1156" s="213">
        <v>306</v>
      </c>
      <c r="B1156" s="40" t="s">
        <v>7642</v>
      </c>
      <c r="C1156" s="19" t="s">
        <v>7649</v>
      </c>
      <c r="D1156" s="204" t="s">
        <v>2398</v>
      </c>
      <c r="E1156" s="204" t="s">
        <v>4847</v>
      </c>
      <c r="F1156" s="55" t="s">
        <v>2276</v>
      </c>
      <c r="G1156" s="4" t="s">
        <v>7698</v>
      </c>
      <c r="H1156" s="49" t="s">
        <v>4112</v>
      </c>
      <c r="I1156" s="21">
        <v>38.108652343767197</v>
      </c>
      <c r="J1156" s="21">
        <v>-119.651464632684</v>
      </c>
      <c r="K1156" s="177">
        <f>31844*2.59</f>
        <v>82475.959999999992</v>
      </c>
      <c r="L1156" s="204">
        <v>1999</v>
      </c>
      <c r="M1156" s="204">
        <v>2012</v>
      </c>
      <c r="N1156" s="82" t="s">
        <v>2276</v>
      </c>
      <c r="O1156" s="19" t="s">
        <v>67</v>
      </c>
      <c r="P1156" s="19" t="s">
        <v>5187</v>
      </c>
      <c r="Q1156" s="204"/>
    </row>
    <row r="1157" spans="1:17" ht="33.5" customHeight="1">
      <c r="A1157" s="213">
        <v>306</v>
      </c>
      <c r="B1157" s="40" t="s">
        <v>7642</v>
      </c>
      <c r="C1157" s="19" t="s">
        <v>7650</v>
      </c>
      <c r="D1157" s="204" t="s">
        <v>2398</v>
      </c>
      <c r="E1157" s="204" t="s">
        <v>4847</v>
      </c>
      <c r="F1157" s="55" t="s">
        <v>2276</v>
      </c>
      <c r="G1157" s="4" t="s">
        <v>7699</v>
      </c>
      <c r="H1157" s="49" t="s">
        <v>4112</v>
      </c>
      <c r="I1157" s="21">
        <v>42.580196486606901</v>
      </c>
      <c r="J1157" s="21">
        <v>-121.091545963549</v>
      </c>
      <c r="K1157" s="177">
        <f>36273*2.59</f>
        <v>93947.069999999992</v>
      </c>
      <c r="L1157" s="204">
        <v>1999</v>
      </c>
      <c r="M1157" s="204">
        <v>2012</v>
      </c>
      <c r="N1157" s="82" t="s">
        <v>2276</v>
      </c>
      <c r="O1157" s="19" t="s">
        <v>67</v>
      </c>
      <c r="P1157" s="19" t="s">
        <v>5187</v>
      </c>
      <c r="Q1157" s="204"/>
    </row>
    <row r="1158" spans="1:17" ht="33.5" customHeight="1">
      <c r="A1158" s="213">
        <v>306</v>
      </c>
      <c r="B1158" s="40" t="s">
        <v>7642</v>
      </c>
      <c r="C1158" s="19" t="s">
        <v>7651</v>
      </c>
      <c r="D1158" s="204" t="s">
        <v>2398</v>
      </c>
      <c r="E1158" s="204" t="s">
        <v>4847</v>
      </c>
      <c r="F1158" s="55" t="s">
        <v>2276</v>
      </c>
      <c r="G1158" s="4" t="s">
        <v>7700</v>
      </c>
      <c r="H1158" s="49" t="s">
        <v>4112</v>
      </c>
      <c r="I1158" s="21">
        <v>47.137212913483502</v>
      </c>
      <c r="J1158" s="21">
        <v>-119.12339678678801</v>
      </c>
      <c r="K1158" s="177">
        <f>29672*2.59</f>
        <v>76850.48</v>
      </c>
      <c r="L1158" s="204">
        <v>1999</v>
      </c>
      <c r="M1158" s="204">
        <v>2012</v>
      </c>
      <c r="N1158" s="82" t="s">
        <v>2276</v>
      </c>
      <c r="O1158" s="19" t="s">
        <v>67</v>
      </c>
      <c r="P1158" s="19" t="s">
        <v>5187</v>
      </c>
      <c r="Q1158" s="204"/>
    </row>
    <row r="1159" spans="1:17" ht="33.5" customHeight="1">
      <c r="A1159" s="213">
        <v>306</v>
      </c>
      <c r="B1159" s="40" t="s">
        <v>7642</v>
      </c>
      <c r="C1159" s="19" t="s">
        <v>7652</v>
      </c>
      <c r="D1159" s="204" t="s">
        <v>2398</v>
      </c>
      <c r="E1159" s="204" t="s">
        <v>4847</v>
      </c>
      <c r="F1159" s="55" t="s">
        <v>2276</v>
      </c>
      <c r="G1159" s="4" t="s">
        <v>7701</v>
      </c>
      <c r="H1159" s="49" t="s">
        <v>4112</v>
      </c>
      <c r="I1159" s="21">
        <v>43.131390572728598</v>
      </c>
      <c r="J1159" s="21">
        <v>-119.101839947522</v>
      </c>
      <c r="K1159" s="177">
        <f>56521*2.59</f>
        <v>146389.38999999998</v>
      </c>
      <c r="L1159" s="204">
        <v>1999</v>
      </c>
      <c r="M1159" s="204">
        <v>2012</v>
      </c>
      <c r="N1159" s="82" t="s">
        <v>2276</v>
      </c>
      <c r="O1159" s="19" t="s">
        <v>67</v>
      </c>
      <c r="P1159" s="19" t="s">
        <v>5187</v>
      </c>
      <c r="Q1159" s="204"/>
    </row>
    <row r="1160" spans="1:17" ht="33.5" customHeight="1">
      <c r="A1160" s="213">
        <v>306</v>
      </c>
      <c r="B1160" s="40" t="s">
        <v>7642</v>
      </c>
      <c r="C1160" s="19" t="s">
        <v>7653</v>
      </c>
      <c r="D1160" s="204" t="s">
        <v>2398</v>
      </c>
      <c r="E1160" s="204" t="s">
        <v>4847</v>
      </c>
      <c r="F1160" s="55" t="s">
        <v>2276</v>
      </c>
      <c r="G1160" s="4" t="s">
        <v>7702</v>
      </c>
      <c r="H1160" s="49" t="s">
        <v>4112</v>
      </c>
      <c r="I1160" s="21">
        <v>46.1089151046585</v>
      </c>
      <c r="J1160" s="21">
        <v>-114.849915390029</v>
      </c>
      <c r="K1160" s="177">
        <f>55755*2.59</f>
        <v>144405.44999999998</v>
      </c>
      <c r="L1160" s="204">
        <v>1999</v>
      </c>
      <c r="M1160" s="204">
        <v>2012</v>
      </c>
      <c r="N1160" s="82" t="s">
        <v>2276</v>
      </c>
      <c r="O1160" s="19" t="s">
        <v>67</v>
      </c>
      <c r="P1160" s="19" t="s">
        <v>5187</v>
      </c>
      <c r="Q1160" s="204"/>
    </row>
    <row r="1161" spans="1:17" ht="33.5" customHeight="1">
      <c r="A1161" s="213">
        <v>306</v>
      </c>
      <c r="B1161" s="40" t="s">
        <v>7642</v>
      </c>
      <c r="C1161" s="19" t="s">
        <v>7654</v>
      </c>
      <c r="D1161" s="204" t="s">
        <v>2398</v>
      </c>
      <c r="E1161" s="204" t="s">
        <v>4847</v>
      </c>
      <c r="F1161" s="55" t="s">
        <v>2276</v>
      </c>
      <c r="G1161" s="4" t="s">
        <v>7703</v>
      </c>
      <c r="H1161" s="49" t="s">
        <v>4112</v>
      </c>
      <c r="I1161" s="21">
        <v>39.598703150473803</v>
      </c>
      <c r="J1161" s="21">
        <v>-118.707682193636</v>
      </c>
      <c r="K1161" s="177">
        <f>72390*2.59</f>
        <v>187490.09999999998</v>
      </c>
      <c r="L1161" s="204">
        <v>1999</v>
      </c>
      <c r="M1161" s="204">
        <v>2012</v>
      </c>
      <c r="N1161" s="82" t="s">
        <v>2276</v>
      </c>
      <c r="O1161" s="19" t="s">
        <v>67</v>
      </c>
      <c r="P1161" s="19" t="s">
        <v>5187</v>
      </c>
      <c r="Q1161" s="204"/>
    </row>
    <row r="1162" spans="1:17" ht="33.5" customHeight="1">
      <c r="A1162" s="213">
        <v>306</v>
      </c>
      <c r="B1162" s="40" t="s">
        <v>7642</v>
      </c>
      <c r="C1162" s="19" t="s">
        <v>7655</v>
      </c>
      <c r="D1162" s="204" t="s">
        <v>2398</v>
      </c>
      <c r="E1162" s="204" t="s">
        <v>4847</v>
      </c>
      <c r="F1162" s="55" t="s">
        <v>2276</v>
      </c>
      <c r="G1162" s="4" t="s">
        <v>7704</v>
      </c>
      <c r="H1162" s="49" t="s">
        <v>4112</v>
      </c>
      <c r="I1162" s="21">
        <v>34.778412371848503</v>
      </c>
      <c r="J1162" s="21">
        <v>-116.631018494207</v>
      </c>
      <c r="K1162" s="177">
        <f>54803*2.59</f>
        <v>141939.76999999999</v>
      </c>
      <c r="L1162" s="204">
        <v>1999</v>
      </c>
      <c r="M1162" s="204">
        <v>2012</v>
      </c>
      <c r="N1162" s="82" t="s">
        <v>2276</v>
      </c>
      <c r="O1162" s="19" t="s">
        <v>67</v>
      </c>
      <c r="P1162" s="19" t="s">
        <v>5187</v>
      </c>
      <c r="Q1162" s="204"/>
    </row>
    <row r="1163" spans="1:17" ht="33.5" customHeight="1">
      <c r="A1163" s="213">
        <v>306</v>
      </c>
      <c r="B1163" s="40" t="s">
        <v>7642</v>
      </c>
      <c r="C1163" s="19" t="s">
        <v>7656</v>
      </c>
      <c r="D1163" s="204" t="s">
        <v>2398</v>
      </c>
      <c r="E1163" s="204" t="s">
        <v>4847</v>
      </c>
      <c r="F1163" s="55" t="s">
        <v>2276</v>
      </c>
      <c r="G1163" s="4" t="s">
        <v>7705</v>
      </c>
      <c r="H1163" s="49" t="s">
        <v>4112</v>
      </c>
      <c r="I1163" s="21">
        <v>32.655688180959601</v>
      </c>
      <c r="J1163" s="21">
        <v>-112.56350898674</v>
      </c>
      <c r="K1163" s="177">
        <f>36272.59</f>
        <v>36272.589999999997</v>
      </c>
      <c r="L1163" s="204">
        <v>1999</v>
      </c>
      <c r="M1163" s="204">
        <v>2012</v>
      </c>
      <c r="N1163" s="82" t="s">
        <v>2276</v>
      </c>
      <c r="O1163" s="19" t="s">
        <v>67</v>
      </c>
      <c r="P1163" s="19" t="s">
        <v>5187</v>
      </c>
      <c r="Q1163" s="204"/>
    </row>
    <row r="1164" spans="1:17" ht="33.5" customHeight="1">
      <c r="A1164" s="213">
        <v>306</v>
      </c>
      <c r="B1164" s="40" t="s">
        <v>7642</v>
      </c>
      <c r="C1164" s="19" t="s">
        <v>7657</v>
      </c>
      <c r="D1164" s="204" t="s">
        <v>2398</v>
      </c>
      <c r="E1164" s="204" t="s">
        <v>4847</v>
      </c>
      <c r="F1164" s="55" t="s">
        <v>2276</v>
      </c>
      <c r="G1164" s="4" t="s">
        <v>7706</v>
      </c>
      <c r="H1164" s="49" t="s">
        <v>4112</v>
      </c>
      <c r="I1164" s="21">
        <v>34.304956570755401</v>
      </c>
      <c r="J1164" s="21">
        <v>-110.871419047996</v>
      </c>
      <c r="K1164" s="177">
        <f>41772*2.59</f>
        <v>108189.48</v>
      </c>
      <c r="L1164" s="204">
        <v>1999</v>
      </c>
      <c r="M1164" s="204">
        <v>2012</v>
      </c>
      <c r="N1164" s="82" t="s">
        <v>2276</v>
      </c>
      <c r="O1164" s="19" t="s">
        <v>67</v>
      </c>
      <c r="P1164" s="19" t="s">
        <v>5187</v>
      </c>
      <c r="Q1164" s="204"/>
    </row>
    <row r="1165" spans="1:17" ht="33.5" customHeight="1">
      <c r="A1165" s="213">
        <v>306</v>
      </c>
      <c r="B1165" s="40" t="s">
        <v>7642</v>
      </c>
      <c r="C1165" s="19" t="s">
        <v>7658</v>
      </c>
      <c r="D1165" s="204" t="s">
        <v>2398</v>
      </c>
      <c r="E1165" s="204" t="s">
        <v>4847</v>
      </c>
      <c r="F1165" s="55" t="s">
        <v>2276</v>
      </c>
      <c r="G1165" s="4" t="s">
        <v>7707</v>
      </c>
      <c r="H1165" s="49" t="s">
        <v>4112</v>
      </c>
      <c r="I1165" s="21">
        <v>38.116662745959303</v>
      </c>
      <c r="J1165" s="21">
        <v>-112.022872420586</v>
      </c>
      <c r="K1165" s="177">
        <f>24057*2.59</f>
        <v>62307.63</v>
      </c>
      <c r="L1165" s="204">
        <v>1999</v>
      </c>
      <c r="M1165" s="204">
        <v>2012</v>
      </c>
      <c r="N1165" s="82" t="s">
        <v>2276</v>
      </c>
      <c r="O1165" s="19" t="s">
        <v>67</v>
      </c>
      <c r="P1165" s="19" t="s">
        <v>5187</v>
      </c>
      <c r="Q1165" s="204"/>
    </row>
    <row r="1166" spans="1:17" ht="33.5" customHeight="1">
      <c r="A1166" s="213">
        <v>306</v>
      </c>
      <c r="B1166" s="40" t="s">
        <v>7642</v>
      </c>
      <c r="C1166" s="19" t="s">
        <v>7659</v>
      </c>
      <c r="D1166" s="204" t="s">
        <v>2398</v>
      </c>
      <c r="E1166" s="204" t="s">
        <v>4847</v>
      </c>
      <c r="F1166" s="55" t="s">
        <v>2276</v>
      </c>
      <c r="G1166" s="4" t="s">
        <v>7708</v>
      </c>
      <c r="H1166" s="49" t="s">
        <v>4112</v>
      </c>
      <c r="I1166" s="21">
        <v>38.642097255574001</v>
      </c>
      <c r="J1166" s="21">
        <v>-113.81286692193</v>
      </c>
      <c r="K1166" s="177">
        <f>46910*2.59</f>
        <v>121496.9</v>
      </c>
      <c r="L1166" s="204">
        <v>1999</v>
      </c>
      <c r="M1166" s="204">
        <v>2012</v>
      </c>
      <c r="N1166" s="82" t="s">
        <v>2276</v>
      </c>
      <c r="O1166" s="19" t="s">
        <v>67</v>
      </c>
      <c r="P1166" s="19" t="s">
        <v>5187</v>
      </c>
      <c r="Q1166" s="204"/>
    </row>
    <row r="1167" spans="1:17" ht="33.5" customHeight="1">
      <c r="A1167" s="213">
        <v>306</v>
      </c>
      <c r="B1167" s="40" t="s">
        <v>7642</v>
      </c>
      <c r="C1167" s="19" t="s">
        <v>7660</v>
      </c>
      <c r="D1167" s="204" t="s">
        <v>2398</v>
      </c>
      <c r="E1167" s="204" t="s">
        <v>4847</v>
      </c>
      <c r="F1167" s="55" t="s">
        <v>2276</v>
      </c>
      <c r="G1167" s="4" t="s">
        <v>7709</v>
      </c>
      <c r="H1167" s="49" t="s">
        <v>4112</v>
      </c>
      <c r="I1167" s="21">
        <v>42.851093097746599</v>
      </c>
      <c r="J1167" s="21">
        <v>-113.39894400295999</v>
      </c>
      <c r="K1167" s="177">
        <f>36340*2.59</f>
        <v>94120.599999999991</v>
      </c>
      <c r="L1167" s="204">
        <v>1999</v>
      </c>
      <c r="M1167" s="204">
        <v>2012</v>
      </c>
      <c r="N1167" s="82" t="s">
        <v>2276</v>
      </c>
      <c r="O1167" s="19" t="s">
        <v>67</v>
      </c>
      <c r="P1167" s="19" t="s">
        <v>5187</v>
      </c>
      <c r="Q1167" s="204"/>
    </row>
    <row r="1168" spans="1:17" ht="33.5" customHeight="1">
      <c r="A1168" s="213">
        <v>306</v>
      </c>
      <c r="B1168" s="40" t="s">
        <v>7642</v>
      </c>
      <c r="C1168" s="19" t="s">
        <v>7661</v>
      </c>
      <c r="D1168" s="204" t="s">
        <v>2398</v>
      </c>
      <c r="E1168" s="204" t="s">
        <v>4847</v>
      </c>
      <c r="F1168" s="55" t="s">
        <v>2276</v>
      </c>
      <c r="G1168" s="4" t="s">
        <v>7710</v>
      </c>
      <c r="H1168" s="49" t="s">
        <v>4112</v>
      </c>
      <c r="I1168" s="21">
        <v>47.609854099917698</v>
      </c>
      <c r="J1168" s="21">
        <v>-113.35386703704199</v>
      </c>
      <c r="K1168" s="177">
        <f>41826*2.59</f>
        <v>108329.34</v>
      </c>
      <c r="L1168" s="204">
        <v>1999</v>
      </c>
      <c r="M1168" s="204">
        <v>2012</v>
      </c>
      <c r="N1168" s="82" t="s">
        <v>2276</v>
      </c>
      <c r="O1168" s="19" t="s">
        <v>67</v>
      </c>
      <c r="P1168" s="19" t="s">
        <v>5187</v>
      </c>
      <c r="Q1168" s="204"/>
    </row>
    <row r="1169" spans="1:17" ht="33.5" customHeight="1">
      <c r="A1169" s="213">
        <v>306</v>
      </c>
      <c r="B1169" s="40" t="s">
        <v>7642</v>
      </c>
      <c r="C1169" s="19" t="s">
        <v>7662</v>
      </c>
      <c r="D1169" s="204" t="s">
        <v>2398</v>
      </c>
      <c r="E1169" s="204" t="s">
        <v>4847</v>
      </c>
      <c r="F1169" s="55" t="s">
        <v>2276</v>
      </c>
      <c r="G1169" s="4" t="s">
        <v>7711</v>
      </c>
      <c r="H1169" s="49" t="s">
        <v>4112</v>
      </c>
      <c r="I1169" s="21">
        <v>47.868535860708398</v>
      </c>
      <c r="J1169" s="21">
        <v>-110.44733622938099</v>
      </c>
      <c r="K1169" s="177">
        <f>51769*2.59</f>
        <v>134081.71</v>
      </c>
      <c r="L1169" s="204">
        <v>1999</v>
      </c>
      <c r="M1169" s="204">
        <v>2012</v>
      </c>
      <c r="N1169" s="82" t="s">
        <v>2276</v>
      </c>
      <c r="O1169" s="19" t="s">
        <v>67</v>
      </c>
      <c r="P1169" s="19" t="s">
        <v>5187</v>
      </c>
      <c r="Q1169" s="204"/>
    </row>
    <row r="1170" spans="1:17" ht="33.5" customHeight="1">
      <c r="A1170" s="213">
        <v>306</v>
      </c>
      <c r="B1170" s="40" t="s">
        <v>7642</v>
      </c>
      <c r="C1170" s="19" t="s">
        <v>7663</v>
      </c>
      <c r="D1170" s="204" t="s">
        <v>2398</v>
      </c>
      <c r="E1170" s="204" t="s">
        <v>4847</v>
      </c>
      <c r="F1170" s="55" t="s">
        <v>2276</v>
      </c>
      <c r="G1170" s="4" t="s">
        <v>7712</v>
      </c>
      <c r="H1170" s="49" t="s">
        <v>4112</v>
      </c>
      <c r="I1170" s="21">
        <v>45.852431391876401</v>
      </c>
      <c r="J1170" s="21">
        <v>-112.035966654558</v>
      </c>
      <c r="K1170" s="177">
        <f>28983*2.59</f>
        <v>75065.97</v>
      </c>
      <c r="L1170" s="204">
        <v>1999</v>
      </c>
      <c r="M1170" s="204">
        <v>2012</v>
      </c>
      <c r="N1170" s="82" t="s">
        <v>2276</v>
      </c>
      <c r="O1170" s="19" t="s">
        <v>67</v>
      </c>
      <c r="P1170" s="19" t="s">
        <v>5187</v>
      </c>
      <c r="Q1170" s="204"/>
    </row>
    <row r="1171" spans="1:17" ht="33.5" customHeight="1">
      <c r="A1171" s="213">
        <v>306</v>
      </c>
      <c r="B1171" s="40" t="s">
        <v>7642</v>
      </c>
      <c r="C1171" s="19" t="s">
        <v>7664</v>
      </c>
      <c r="D1171" s="204" t="s">
        <v>2398</v>
      </c>
      <c r="E1171" s="204" t="s">
        <v>4847</v>
      </c>
      <c r="F1171" s="55" t="s">
        <v>2276</v>
      </c>
      <c r="G1171" s="4" t="s">
        <v>7713</v>
      </c>
      <c r="H1171" s="49" t="s">
        <v>4112</v>
      </c>
      <c r="I1171" s="21">
        <v>43.206435650051901</v>
      </c>
      <c r="J1171" s="21">
        <v>-108.169905326551</v>
      </c>
      <c r="K1171" s="177">
        <f>63661*2.59</f>
        <v>164881.99</v>
      </c>
      <c r="L1171" s="204">
        <v>1999</v>
      </c>
      <c r="M1171" s="204">
        <v>2012</v>
      </c>
      <c r="N1171" s="82" t="s">
        <v>2276</v>
      </c>
      <c r="O1171" s="19" t="s">
        <v>67</v>
      </c>
      <c r="P1171" s="19" t="s">
        <v>5187</v>
      </c>
      <c r="Q1171" s="204"/>
    </row>
    <row r="1172" spans="1:17" ht="33.5" customHeight="1">
      <c r="A1172" s="213">
        <v>306</v>
      </c>
      <c r="B1172" s="40" t="s">
        <v>7642</v>
      </c>
      <c r="C1172" s="19" t="s">
        <v>7665</v>
      </c>
      <c r="D1172" s="204" t="s">
        <v>2398</v>
      </c>
      <c r="E1172" s="204" t="s">
        <v>4847</v>
      </c>
      <c r="F1172" s="55" t="s">
        <v>2276</v>
      </c>
      <c r="G1172" s="4" t="s">
        <v>7714</v>
      </c>
      <c r="H1172" s="49" t="s">
        <v>4112</v>
      </c>
      <c r="I1172" s="21">
        <v>37.713571538518302</v>
      </c>
      <c r="J1172" s="21">
        <v>-110.01507313037899</v>
      </c>
      <c r="K1172" s="177">
        <f>47563*2.59</f>
        <v>123188.17</v>
      </c>
      <c r="L1172" s="204">
        <v>1999</v>
      </c>
      <c r="M1172" s="204">
        <v>2012</v>
      </c>
      <c r="N1172" s="82" t="s">
        <v>2276</v>
      </c>
      <c r="O1172" s="19" t="s">
        <v>67</v>
      </c>
      <c r="P1172" s="19" t="s">
        <v>5187</v>
      </c>
      <c r="Q1172" s="204"/>
    </row>
    <row r="1173" spans="1:17" ht="33.5" customHeight="1">
      <c r="A1173" s="213">
        <v>306</v>
      </c>
      <c r="B1173" s="40" t="s">
        <v>7642</v>
      </c>
      <c r="C1173" s="19" t="s">
        <v>7666</v>
      </c>
      <c r="D1173" s="204" t="s">
        <v>2398</v>
      </c>
      <c r="E1173" s="204" t="s">
        <v>4847</v>
      </c>
      <c r="F1173" s="55" t="s">
        <v>2276</v>
      </c>
      <c r="G1173" s="4" t="s">
        <v>7715</v>
      </c>
      <c r="H1173" s="49" t="s">
        <v>4112</v>
      </c>
      <c r="I1173" s="21">
        <v>35.818702662931202</v>
      </c>
      <c r="J1173" s="21">
        <v>-108.083646782667</v>
      </c>
      <c r="K1173" s="177">
        <f>51678*2.59</f>
        <v>133846.01999999999</v>
      </c>
      <c r="L1173" s="204">
        <v>1999</v>
      </c>
      <c r="M1173" s="204">
        <v>2012</v>
      </c>
      <c r="N1173" s="82" t="s">
        <v>2276</v>
      </c>
      <c r="O1173" s="19" t="s">
        <v>67</v>
      </c>
      <c r="P1173" s="19" t="s">
        <v>5187</v>
      </c>
      <c r="Q1173" s="204"/>
    </row>
    <row r="1174" spans="1:17" ht="33.5" customHeight="1">
      <c r="A1174" s="213">
        <v>306</v>
      </c>
      <c r="B1174" s="40" t="s">
        <v>7642</v>
      </c>
      <c r="C1174" s="19" t="s">
        <v>7667</v>
      </c>
      <c r="D1174" s="204" t="s">
        <v>2398</v>
      </c>
      <c r="E1174" s="204" t="s">
        <v>4847</v>
      </c>
      <c r="F1174" s="55" t="s">
        <v>2276</v>
      </c>
      <c r="G1174" s="4" t="s">
        <v>7716</v>
      </c>
      <c r="H1174" s="49" t="s">
        <v>4112</v>
      </c>
      <c r="I1174" s="21">
        <v>33.107345082338703</v>
      </c>
      <c r="J1174" s="21">
        <v>-106.83959031604</v>
      </c>
      <c r="K1174" s="177">
        <f>42492*2.59</f>
        <v>110054.28</v>
      </c>
      <c r="L1174" s="204">
        <v>1999</v>
      </c>
      <c r="M1174" s="204">
        <v>2012</v>
      </c>
      <c r="N1174" s="82" t="s">
        <v>2276</v>
      </c>
      <c r="O1174" s="19" t="s">
        <v>67</v>
      </c>
      <c r="P1174" s="19" t="s">
        <v>5187</v>
      </c>
      <c r="Q1174" s="204"/>
    </row>
    <row r="1175" spans="1:17" ht="33.5" customHeight="1">
      <c r="A1175" s="213">
        <v>306</v>
      </c>
      <c r="B1175" s="40" t="s">
        <v>7642</v>
      </c>
      <c r="C1175" s="19" t="s">
        <v>7668</v>
      </c>
      <c r="D1175" s="204" t="s">
        <v>2398</v>
      </c>
      <c r="E1175" s="204" t="s">
        <v>4847</v>
      </c>
      <c r="F1175" s="55" t="s">
        <v>2276</v>
      </c>
      <c r="G1175" s="4" t="s">
        <v>7717</v>
      </c>
      <c r="H1175" s="49" t="s">
        <v>4112</v>
      </c>
      <c r="I1175" s="21">
        <v>30.989107591917101</v>
      </c>
      <c r="J1175" s="21">
        <v>-103.635016640502</v>
      </c>
      <c r="K1175" s="177">
        <f>58697*2.59</f>
        <v>152025.22999999998</v>
      </c>
      <c r="L1175" s="204">
        <v>1999</v>
      </c>
      <c r="M1175" s="204">
        <v>2012</v>
      </c>
      <c r="N1175" s="82" t="s">
        <v>2276</v>
      </c>
      <c r="O1175" s="19" t="s">
        <v>67</v>
      </c>
      <c r="P1175" s="19" t="s">
        <v>5187</v>
      </c>
      <c r="Q1175" s="204"/>
    </row>
    <row r="1176" spans="1:17" ht="33.5" customHeight="1">
      <c r="A1176" s="213">
        <v>306</v>
      </c>
      <c r="B1176" s="40" t="s">
        <v>7642</v>
      </c>
      <c r="C1176" s="19" t="s">
        <v>7669</v>
      </c>
      <c r="D1176" s="204" t="s">
        <v>2398</v>
      </c>
      <c r="E1176" s="204" t="s">
        <v>4847</v>
      </c>
      <c r="F1176" s="55" t="s">
        <v>2276</v>
      </c>
      <c r="G1176" s="4" t="s">
        <v>7718</v>
      </c>
      <c r="H1176" s="49" t="s">
        <v>4112</v>
      </c>
      <c r="I1176" s="21">
        <v>35.247173149011502</v>
      </c>
      <c r="J1176" s="21">
        <v>-104.18999713305401</v>
      </c>
      <c r="K1176" s="177">
        <f>52755*2.59</f>
        <v>136635.44999999998</v>
      </c>
      <c r="L1176" s="204">
        <v>1999</v>
      </c>
      <c r="M1176" s="204">
        <v>2012</v>
      </c>
      <c r="N1176" s="82" t="s">
        <v>2276</v>
      </c>
      <c r="O1176" s="19" t="s">
        <v>67</v>
      </c>
      <c r="P1176" s="19" t="s">
        <v>5187</v>
      </c>
      <c r="Q1176" s="204"/>
    </row>
    <row r="1177" spans="1:17" ht="33.5" customHeight="1">
      <c r="A1177" s="213">
        <v>306</v>
      </c>
      <c r="B1177" s="40" t="s">
        <v>7642</v>
      </c>
      <c r="C1177" s="19" t="s">
        <v>7670</v>
      </c>
      <c r="D1177" s="204" t="s">
        <v>2398</v>
      </c>
      <c r="E1177" s="204" t="s">
        <v>4847</v>
      </c>
      <c r="F1177" s="55" t="s">
        <v>2276</v>
      </c>
      <c r="G1177" s="4" t="s">
        <v>7719</v>
      </c>
      <c r="H1177" s="49" t="s">
        <v>4112</v>
      </c>
      <c r="I1177" s="21">
        <v>38.9332271398968</v>
      </c>
      <c r="J1177" s="21">
        <v>-106.837067504185</v>
      </c>
      <c r="K1177" s="177">
        <f>53311*2.59</f>
        <v>138075.49</v>
      </c>
      <c r="L1177" s="204">
        <v>1999</v>
      </c>
      <c r="M1177" s="204">
        <v>2012</v>
      </c>
      <c r="N1177" s="82" t="s">
        <v>2276</v>
      </c>
      <c r="O1177" s="19" t="s">
        <v>67</v>
      </c>
      <c r="P1177" s="19" t="s">
        <v>5187</v>
      </c>
      <c r="Q1177" s="204"/>
    </row>
    <row r="1178" spans="1:17" ht="33.5" customHeight="1">
      <c r="A1178" s="213">
        <v>306</v>
      </c>
      <c r="B1178" s="40" t="s">
        <v>7642</v>
      </c>
      <c r="C1178" s="19" t="s">
        <v>7671</v>
      </c>
      <c r="D1178" s="204" t="s">
        <v>2398</v>
      </c>
      <c r="E1178" s="204" t="s">
        <v>4847</v>
      </c>
      <c r="F1178" s="55" t="s">
        <v>2276</v>
      </c>
      <c r="G1178" s="4" t="s">
        <v>7720</v>
      </c>
      <c r="H1178" s="49" t="s">
        <v>4112</v>
      </c>
      <c r="I1178" s="21">
        <v>44.540726286926599</v>
      </c>
      <c r="J1178" s="21">
        <v>-104.44072834635099</v>
      </c>
      <c r="K1178" s="177">
        <f>63661*2.59</f>
        <v>164881.99</v>
      </c>
      <c r="L1178" s="204">
        <v>1999</v>
      </c>
      <c r="M1178" s="204">
        <v>2012</v>
      </c>
      <c r="N1178" s="82" t="s">
        <v>2276</v>
      </c>
      <c r="O1178" s="19" t="s">
        <v>67</v>
      </c>
      <c r="P1178" s="19" t="s">
        <v>5187</v>
      </c>
      <c r="Q1178" s="204"/>
    </row>
    <row r="1179" spans="1:17" ht="33.5" customHeight="1">
      <c r="A1179" s="213">
        <v>306</v>
      </c>
      <c r="B1179" s="40" t="s">
        <v>7642</v>
      </c>
      <c r="C1179" s="19" t="s">
        <v>7672</v>
      </c>
      <c r="D1179" s="204" t="s">
        <v>2398</v>
      </c>
      <c r="E1179" s="204" t="s">
        <v>4847</v>
      </c>
      <c r="F1179" s="55" t="s">
        <v>2276</v>
      </c>
      <c r="G1179" s="4" t="s">
        <v>7721</v>
      </c>
      <c r="H1179" s="49" t="s">
        <v>4112</v>
      </c>
      <c r="I1179" s="21">
        <v>46.671839833881499</v>
      </c>
      <c r="J1179" s="21">
        <v>-102.684632776583</v>
      </c>
      <c r="K1179" s="177">
        <f>54498*2.59</f>
        <v>141149.81999999998</v>
      </c>
      <c r="L1179" s="204">
        <v>1999</v>
      </c>
      <c r="M1179" s="204">
        <v>2012</v>
      </c>
      <c r="N1179" s="82" t="s">
        <v>2276</v>
      </c>
      <c r="O1179" s="19" t="s">
        <v>67</v>
      </c>
      <c r="P1179" s="19" t="s">
        <v>5187</v>
      </c>
      <c r="Q1179" s="204"/>
    </row>
    <row r="1180" spans="1:17" ht="33.5" customHeight="1">
      <c r="A1180" s="213">
        <v>306</v>
      </c>
      <c r="B1180" s="40" t="s">
        <v>7642</v>
      </c>
      <c r="C1180" s="19" t="s">
        <v>7673</v>
      </c>
      <c r="D1180" s="204" t="s">
        <v>2398</v>
      </c>
      <c r="E1180" s="204" t="s">
        <v>4847</v>
      </c>
      <c r="F1180" s="55" t="s">
        <v>2276</v>
      </c>
      <c r="G1180" s="4" t="s">
        <v>7722</v>
      </c>
      <c r="H1180" s="49" t="s">
        <v>4112</v>
      </c>
      <c r="I1180" s="21">
        <v>43.625167760556103</v>
      </c>
      <c r="J1180" s="21">
        <v>-101.60632953459</v>
      </c>
      <c r="K1180" s="177">
        <f>59130*2.59</f>
        <v>153146.69999999998</v>
      </c>
      <c r="L1180" s="204">
        <v>1999</v>
      </c>
      <c r="M1180" s="204">
        <v>2012</v>
      </c>
      <c r="N1180" s="82" t="s">
        <v>2276</v>
      </c>
      <c r="O1180" s="19" t="s">
        <v>67</v>
      </c>
      <c r="P1180" s="19" t="s">
        <v>5187</v>
      </c>
      <c r="Q1180" s="204"/>
    </row>
    <row r="1181" spans="1:17" ht="33.5" customHeight="1">
      <c r="A1181" s="213">
        <v>306</v>
      </c>
      <c r="B1181" s="40" t="s">
        <v>7642</v>
      </c>
      <c r="C1181" s="19" t="s">
        <v>7593</v>
      </c>
      <c r="D1181" s="204" t="s">
        <v>2398</v>
      </c>
      <c r="E1181" s="204" t="s">
        <v>4847</v>
      </c>
      <c r="F1181" s="55" t="s">
        <v>2276</v>
      </c>
      <c r="G1181" s="4" t="s">
        <v>7723</v>
      </c>
      <c r="H1181" s="49" t="s">
        <v>4112</v>
      </c>
      <c r="I1181" s="21">
        <v>39.9925754</v>
      </c>
      <c r="J1181" s="21">
        <v>-99.766092</v>
      </c>
      <c r="K1181" s="177">
        <f>61107*2.59</f>
        <v>158267.13</v>
      </c>
      <c r="L1181" s="204">
        <v>1999</v>
      </c>
      <c r="M1181" s="204">
        <v>2012</v>
      </c>
      <c r="N1181" s="82" t="s">
        <v>2276</v>
      </c>
      <c r="O1181" s="19" t="s">
        <v>67</v>
      </c>
      <c r="P1181" s="19" t="s">
        <v>5187</v>
      </c>
      <c r="Q1181" s="204"/>
    </row>
    <row r="1182" spans="1:17" ht="33.5" customHeight="1">
      <c r="A1182" s="213">
        <v>306</v>
      </c>
      <c r="B1182" s="40" t="s">
        <v>7642</v>
      </c>
      <c r="C1182" s="19" t="s">
        <v>7614</v>
      </c>
      <c r="D1182" s="204" t="s">
        <v>2398</v>
      </c>
      <c r="E1182" s="204" t="s">
        <v>4847</v>
      </c>
      <c r="F1182" s="55" t="s">
        <v>2276</v>
      </c>
      <c r="G1182" s="4" t="s">
        <v>7724</v>
      </c>
      <c r="H1182" s="49" t="s">
        <v>4112</v>
      </c>
      <c r="I1182" s="21">
        <v>42.205696818515001</v>
      </c>
      <c r="J1182" s="21">
        <v>-103.325854285636</v>
      </c>
      <c r="K1182" s="177">
        <f>59537*2.59</f>
        <v>154200.82999999999</v>
      </c>
      <c r="L1182" s="204">
        <v>1999</v>
      </c>
      <c r="M1182" s="204">
        <v>2012</v>
      </c>
      <c r="N1182" s="82" t="s">
        <v>2276</v>
      </c>
      <c r="O1182" s="19" t="s">
        <v>67</v>
      </c>
      <c r="P1182" s="19" t="s">
        <v>5187</v>
      </c>
      <c r="Q1182" s="204"/>
    </row>
    <row r="1183" spans="1:17" ht="33.5" customHeight="1">
      <c r="A1183" s="213">
        <v>306</v>
      </c>
      <c r="B1183" s="40" t="s">
        <v>7642</v>
      </c>
      <c r="C1183" s="19" t="s">
        <v>7674</v>
      </c>
      <c r="D1183" s="204" t="s">
        <v>2398</v>
      </c>
      <c r="E1183" s="204" t="s">
        <v>4847</v>
      </c>
      <c r="F1183" s="55" t="s">
        <v>2276</v>
      </c>
      <c r="G1183" s="4" t="s">
        <v>7725</v>
      </c>
      <c r="H1183" s="49" t="s">
        <v>4112</v>
      </c>
      <c r="I1183" s="21">
        <v>37.284089343177598</v>
      </c>
      <c r="J1183" s="21">
        <v>-102.08163027409699</v>
      </c>
      <c r="K1183" s="177">
        <f>68161*2.59</f>
        <v>176536.99</v>
      </c>
      <c r="L1183" s="204">
        <v>1999</v>
      </c>
      <c r="M1183" s="204">
        <v>2012</v>
      </c>
      <c r="N1183" s="82" t="s">
        <v>2276</v>
      </c>
      <c r="O1183" s="19" t="s">
        <v>67</v>
      </c>
      <c r="P1183" s="19" t="s">
        <v>5187</v>
      </c>
      <c r="Q1183" s="204"/>
    </row>
    <row r="1184" spans="1:17" ht="33.5" customHeight="1">
      <c r="A1184" s="213">
        <v>306</v>
      </c>
      <c r="B1184" s="40" t="s">
        <v>7642</v>
      </c>
      <c r="C1184" s="19" t="s">
        <v>7675</v>
      </c>
      <c r="D1184" s="204" t="s">
        <v>2398</v>
      </c>
      <c r="E1184" s="204" t="s">
        <v>4847</v>
      </c>
      <c r="F1184" s="55" t="s">
        <v>2276</v>
      </c>
      <c r="G1184" s="4" t="s">
        <v>7726</v>
      </c>
      <c r="H1184" s="49" t="s">
        <v>4112</v>
      </c>
      <c r="I1184" s="21">
        <v>32.855131508091098</v>
      </c>
      <c r="J1184" s="21">
        <v>-99.620925031185294</v>
      </c>
      <c r="K1184" s="177">
        <f>61986*2.59</f>
        <v>160543.74</v>
      </c>
      <c r="L1184" s="204">
        <v>1999</v>
      </c>
      <c r="M1184" s="204">
        <v>2012</v>
      </c>
      <c r="N1184" s="82" t="s">
        <v>2276</v>
      </c>
      <c r="O1184" s="19" t="s">
        <v>67</v>
      </c>
      <c r="P1184" s="19" t="s">
        <v>5187</v>
      </c>
      <c r="Q1184" s="204"/>
    </row>
    <row r="1185" spans="1:17" ht="33.5" customHeight="1">
      <c r="A1185" s="213">
        <v>306</v>
      </c>
      <c r="B1185" s="40" t="s">
        <v>7642</v>
      </c>
      <c r="C1185" s="19" t="s">
        <v>7676</v>
      </c>
      <c r="D1185" s="204" t="s">
        <v>2398</v>
      </c>
      <c r="E1185" s="204" t="s">
        <v>4847</v>
      </c>
      <c r="F1185" s="55" t="s">
        <v>2276</v>
      </c>
      <c r="G1185" s="4" t="s">
        <v>7727</v>
      </c>
      <c r="H1185" s="19" t="s">
        <v>4112</v>
      </c>
      <c r="I1185" s="21">
        <v>28.824622636610201</v>
      </c>
      <c r="J1185" s="21">
        <v>-98.428523414803294</v>
      </c>
      <c r="K1185" s="177">
        <f>55188*2.59</f>
        <v>142936.91999999998</v>
      </c>
      <c r="L1185" s="204">
        <v>1999</v>
      </c>
      <c r="M1185" s="204">
        <v>2012</v>
      </c>
      <c r="N1185" s="82" t="s">
        <v>2276</v>
      </c>
      <c r="O1185" s="19" t="s">
        <v>67</v>
      </c>
      <c r="P1185" s="19" t="s">
        <v>5187</v>
      </c>
      <c r="Q1185" s="204"/>
    </row>
    <row r="1186" spans="1:17" ht="33.5" customHeight="1">
      <c r="A1186" s="213">
        <v>306</v>
      </c>
      <c r="B1186" s="40" t="s">
        <v>7642</v>
      </c>
      <c r="C1186" s="19" t="s">
        <v>7677</v>
      </c>
      <c r="D1186" s="204" t="s">
        <v>2398</v>
      </c>
      <c r="E1186" s="204" t="s">
        <v>4847</v>
      </c>
      <c r="F1186" s="55" t="s">
        <v>2276</v>
      </c>
      <c r="G1186" s="4" t="s">
        <v>7728</v>
      </c>
      <c r="H1186" s="19" t="s">
        <v>4112</v>
      </c>
      <c r="I1186" s="21">
        <v>31.163752012795001</v>
      </c>
      <c r="J1186" s="21">
        <v>-93.276679100962198</v>
      </c>
      <c r="K1186" s="177">
        <f>66683*2.59</f>
        <v>172708.97</v>
      </c>
      <c r="L1186" s="204">
        <v>1999</v>
      </c>
      <c r="M1186" s="204">
        <v>2012</v>
      </c>
      <c r="N1186" s="82" t="s">
        <v>2276</v>
      </c>
      <c r="O1186" s="19" t="s">
        <v>67</v>
      </c>
      <c r="P1186" s="19" t="s">
        <v>5187</v>
      </c>
      <c r="Q1186" s="204"/>
    </row>
    <row r="1187" spans="1:17" ht="33.5" customHeight="1">
      <c r="A1187" s="213">
        <v>306</v>
      </c>
      <c r="B1187" s="40" t="s">
        <v>7642</v>
      </c>
      <c r="C1187" s="19" t="s">
        <v>7678</v>
      </c>
      <c r="D1187" s="204" t="s">
        <v>2398</v>
      </c>
      <c r="E1187" s="204" t="s">
        <v>4847</v>
      </c>
      <c r="F1187" s="55" t="s">
        <v>2276</v>
      </c>
      <c r="G1187" s="4" t="s">
        <v>7729</v>
      </c>
      <c r="H1187" s="19" t="s">
        <v>4112</v>
      </c>
      <c r="I1187" s="21">
        <v>42.187305416271798</v>
      </c>
      <c r="J1187" s="21">
        <v>-99.304241951448404</v>
      </c>
      <c r="K1187" s="177">
        <f>73609*2.59</f>
        <v>190647.31</v>
      </c>
      <c r="L1187" s="204">
        <v>1999</v>
      </c>
      <c r="M1187" s="204">
        <v>2012</v>
      </c>
      <c r="N1187" s="82" t="s">
        <v>2276</v>
      </c>
      <c r="O1187" s="19" t="s">
        <v>67</v>
      </c>
      <c r="P1187" s="19" t="s">
        <v>5187</v>
      </c>
      <c r="Q1187" s="204"/>
    </row>
    <row r="1188" spans="1:17" ht="33.5" customHeight="1">
      <c r="A1188" s="213">
        <v>306</v>
      </c>
      <c r="B1188" s="40" t="s">
        <v>7642</v>
      </c>
      <c r="C1188" s="19" t="s">
        <v>7679</v>
      </c>
      <c r="D1188" s="204" t="s">
        <v>2398</v>
      </c>
      <c r="E1188" s="204" t="s">
        <v>4847</v>
      </c>
      <c r="F1188" s="55" t="s">
        <v>2276</v>
      </c>
      <c r="G1188" s="4" t="s">
        <v>7730</v>
      </c>
      <c r="H1188" s="19" t="s">
        <v>4112</v>
      </c>
      <c r="I1188" s="21">
        <v>44.533791593375298</v>
      </c>
      <c r="J1188" s="21">
        <v>-98.314577308112504</v>
      </c>
      <c r="K1188" s="177">
        <f>61354*2.59</f>
        <v>158906.85999999999</v>
      </c>
      <c r="L1188" s="204">
        <v>1999</v>
      </c>
      <c r="M1188" s="204">
        <v>2012</v>
      </c>
      <c r="N1188" s="82" t="s">
        <v>2276</v>
      </c>
      <c r="O1188" s="19" t="s">
        <v>67</v>
      </c>
      <c r="P1188" s="19" t="s">
        <v>5187</v>
      </c>
      <c r="Q1188" s="204"/>
    </row>
    <row r="1189" spans="1:17" ht="33.5" customHeight="1">
      <c r="A1189" s="213">
        <v>306</v>
      </c>
      <c r="B1189" s="40" t="s">
        <v>7642</v>
      </c>
      <c r="C1189" s="19" t="s">
        <v>7680</v>
      </c>
      <c r="D1189" s="204" t="s">
        <v>2398</v>
      </c>
      <c r="E1189" s="204" t="s">
        <v>4847</v>
      </c>
      <c r="F1189" s="55" t="s">
        <v>2276</v>
      </c>
      <c r="G1189" s="4" t="s">
        <v>7731</v>
      </c>
      <c r="H1189" s="19" t="s">
        <v>4112</v>
      </c>
      <c r="I1189" s="21">
        <v>46.671839833881499</v>
      </c>
      <c r="J1189" s="21">
        <v>-102.684632776583</v>
      </c>
      <c r="K1189" s="177">
        <f>49627*2.59</f>
        <v>128533.93</v>
      </c>
      <c r="L1189" s="204">
        <v>1999</v>
      </c>
      <c r="M1189" s="204">
        <v>2012</v>
      </c>
      <c r="N1189" s="82" t="s">
        <v>2276</v>
      </c>
      <c r="O1189" s="19" t="s">
        <v>67</v>
      </c>
      <c r="P1189" s="19" t="s">
        <v>5187</v>
      </c>
      <c r="Q1189" s="204"/>
    </row>
    <row r="1190" spans="1:17" ht="33.5" customHeight="1">
      <c r="A1190" s="213">
        <v>306</v>
      </c>
      <c r="B1190" s="40" t="s">
        <v>7642</v>
      </c>
      <c r="C1190" s="19" t="s">
        <v>7681</v>
      </c>
      <c r="D1190" s="204" t="s">
        <v>2398</v>
      </c>
      <c r="E1190" s="204" t="s">
        <v>4847</v>
      </c>
      <c r="F1190" s="55" t="s">
        <v>2276</v>
      </c>
      <c r="G1190" s="4" t="s">
        <v>7732</v>
      </c>
      <c r="H1190" s="19" t="s">
        <v>4112</v>
      </c>
      <c r="I1190" s="21">
        <v>47.220488584149997</v>
      </c>
      <c r="J1190" s="21">
        <v>-93.839292376980396</v>
      </c>
      <c r="K1190" s="177">
        <f>67110*2.59</f>
        <v>173814.9</v>
      </c>
      <c r="L1190" s="204">
        <v>1999</v>
      </c>
      <c r="M1190" s="204">
        <v>2012</v>
      </c>
      <c r="N1190" s="82" t="s">
        <v>2276</v>
      </c>
      <c r="O1190" s="19" t="s">
        <v>67</v>
      </c>
      <c r="P1190" s="19" t="s">
        <v>5187</v>
      </c>
      <c r="Q1190" s="204"/>
    </row>
    <row r="1191" spans="1:17" ht="33.5" customHeight="1">
      <c r="A1191" s="213">
        <v>306</v>
      </c>
      <c r="B1191" s="40" t="s">
        <v>7642</v>
      </c>
      <c r="C1191" s="19" t="s">
        <v>7682</v>
      </c>
      <c r="D1191" s="204" t="s">
        <v>2398</v>
      </c>
      <c r="E1191" s="204" t="s">
        <v>4847</v>
      </c>
      <c r="F1191" s="55" t="s">
        <v>2276</v>
      </c>
      <c r="G1191" s="4" t="s">
        <v>7733</v>
      </c>
      <c r="H1191" s="19" t="s">
        <v>4112</v>
      </c>
      <c r="I1191" s="21">
        <v>44.360199600110299</v>
      </c>
      <c r="J1191" s="21">
        <v>-94.420444631741702</v>
      </c>
      <c r="K1191" s="177">
        <f>50668*2.59</f>
        <v>131230.12</v>
      </c>
      <c r="L1191" s="204">
        <v>1999</v>
      </c>
      <c r="M1191" s="204">
        <v>2012</v>
      </c>
      <c r="N1191" s="82" t="s">
        <v>2276</v>
      </c>
      <c r="O1191" s="19" t="s">
        <v>67</v>
      </c>
      <c r="P1191" s="19" t="s">
        <v>5187</v>
      </c>
      <c r="Q1191" s="204"/>
    </row>
    <row r="1192" spans="1:17" ht="33.5" customHeight="1">
      <c r="A1192" s="213">
        <v>306</v>
      </c>
      <c r="B1192" s="40" t="s">
        <v>7642</v>
      </c>
      <c r="C1192" s="19" t="s">
        <v>7683</v>
      </c>
      <c r="D1192" s="204" t="s">
        <v>2398</v>
      </c>
      <c r="E1192" s="204" t="s">
        <v>4847</v>
      </c>
      <c r="F1192" s="55" t="s">
        <v>2276</v>
      </c>
      <c r="G1192" s="4" t="s">
        <v>7734</v>
      </c>
      <c r="H1192" s="19" t="s">
        <v>4112</v>
      </c>
      <c r="I1192" s="21">
        <v>42.284887811369003</v>
      </c>
      <c r="J1192" s="21">
        <v>-95.161682605095294</v>
      </c>
      <c r="K1192" s="177">
        <f>54629*2.59</f>
        <v>141489.10999999999</v>
      </c>
      <c r="L1192" s="204">
        <v>1999</v>
      </c>
      <c r="M1192" s="204">
        <v>2012</v>
      </c>
      <c r="N1192" s="82" t="s">
        <v>2276</v>
      </c>
      <c r="O1192" s="19" t="s">
        <v>67</v>
      </c>
      <c r="P1192" s="19" t="s">
        <v>5187</v>
      </c>
      <c r="Q1192" s="204"/>
    </row>
    <row r="1193" spans="1:17" ht="33.5" customHeight="1">
      <c r="A1193" s="213">
        <v>306</v>
      </c>
      <c r="B1193" s="40" t="s">
        <v>7642</v>
      </c>
      <c r="C1193" s="19" t="s">
        <v>7684</v>
      </c>
      <c r="D1193" s="204" t="s">
        <v>2398</v>
      </c>
      <c r="E1193" s="204" t="s">
        <v>4847</v>
      </c>
      <c r="F1193" s="55" t="s">
        <v>2276</v>
      </c>
      <c r="G1193" s="4" t="s">
        <v>7735</v>
      </c>
      <c r="H1193" s="19" t="s">
        <v>4112</v>
      </c>
      <c r="I1193" s="21">
        <v>38.003177753884998</v>
      </c>
      <c r="J1193" s="21">
        <v>-93.010125455351798</v>
      </c>
      <c r="K1193" s="177">
        <f>78784*2.59</f>
        <v>204050.56</v>
      </c>
      <c r="L1193" s="204">
        <v>1999</v>
      </c>
      <c r="M1193" s="204">
        <v>2012</v>
      </c>
      <c r="N1193" s="82" t="s">
        <v>2276</v>
      </c>
      <c r="O1193" s="19" t="s">
        <v>67</v>
      </c>
      <c r="P1193" s="19" t="s">
        <v>5187</v>
      </c>
      <c r="Q1193" s="204"/>
    </row>
    <row r="1194" spans="1:17" ht="33.5" customHeight="1">
      <c r="A1194" s="213">
        <v>306</v>
      </c>
      <c r="B1194" s="40" t="s">
        <v>7642</v>
      </c>
      <c r="C1194" s="19" t="s">
        <v>7685</v>
      </c>
      <c r="D1194" s="204" t="s">
        <v>2398</v>
      </c>
      <c r="E1194" s="204" t="s">
        <v>4847</v>
      </c>
      <c r="F1194" s="55" t="s">
        <v>2276</v>
      </c>
      <c r="G1194" s="4" t="s">
        <v>7736</v>
      </c>
      <c r="H1194" s="19" t="s">
        <v>4112</v>
      </c>
      <c r="I1194" s="21">
        <v>36.049821159957503</v>
      </c>
      <c r="J1194" s="21">
        <v>-90.223916009599193</v>
      </c>
      <c r="K1194" s="177">
        <f>31986*2.59</f>
        <v>82843.739999999991</v>
      </c>
      <c r="L1194" s="204">
        <v>1999</v>
      </c>
      <c r="M1194" s="204">
        <v>2012</v>
      </c>
      <c r="N1194" s="82" t="s">
        <v>2276</v>
      </c>
      <c r="O1194" s="19" t="s">
        <v>67</v>
      </c>
      <c r="P1194" s="19" t="s">
        <v>5187</v>
      </c>
      <c r="Q1194" s="204"/>
    </row>
    <row r="1195" spans="1:17" ht="33.5" customHeight="1">
      <c r="A1195" s="213">
        <v>306</v>
      </c>
      <c r="B1195" s="40" t="s">
        <v>7642</v>
      </c>
      <c r="C1195" s="19" t="s">
        <v>7686</v>
      </c>
      <c r="D1195" s="204" t="s">
        <v>2398</v>
      </c>
      <c r="E1195" s="204" t="s">
        <v>4847</v>
      </c>
      <c r="F1195" s="55" t="s">
        <v>2276</v>
      </c>
      <c r="G1195" s="4" t="s">
        <v>7737</v>
      </c>
      <c r="H1195" s="19" t="s">
        <v>4112</v>
      </c>
      <c r="I1195" s="21">
        <v>35.057128011129301</v>
      </c>
      <c r="J1195" s="21">
        <v>-86.979701945874993</v>
      </c>
      <c r="K1195" s="177">
        <f>49731*2.59</f>
        <v>128803.29</v>
      </c>
      <c r="L1195" s="204">
        <v>1999</v>
      </c>
      <c r="M1195" s="204">
        <v>2012</v>
      </c>
      <c r="N1195" s="82" t="s">
        <v>2276</v>
      </c>
      <c r="O1195" s="19" t="s">
        <v>67</v>
      </c>
      <c r="P1195" s="19" t="s">
        <v>5187</v>
      </c>
      <c r="Q1195" s="204"/>
    </row>
    <row r="1196" spans="1:17" ht="33.5" customHeight="1">
      <c r="A1196" s="213">
        <v>306</v>
      </c>
      <c r="B1196" s="40" t="s">
        <v>7642</v>
      </c>
      <c r="C1196" s="19" t="s">
        <v>7687</v>
      </c>
      <c r="D1196" s="204" t="s">
        <v>2398</v>
      </c>
      <c r="E1196" s="204" t="s">
        <v>4847</v>
      </c>
      <c r="F1196" s="55" t="s">
        <v>2276</v>
      </c>
      <c r="G1196" s="4" t="s">
        <v>7738</v>
      </c>
      <c r="H1196" s="19" t="s">
        <v>4112</v>
      </c>
      <c r="I1196" s="21">
        <v>37.666463615541602</v>
      </c>
      <c r="J1196" s="21">
        <v>-86.373834783277402</v>
      </c>
      <c r="K1196" s="177">
        <f>56603*2.59</f>
        <v>146601.76999999999</v>
      </c>
      <c r="L1196" s="204">
        <v>1999</v>
      </c>
      <c r="M1196" s="204">
        <v>2012</v>
      </c>
      <c r="N1196" s="82" t="s">
        <v>2276</v>
      </c>
      <c r="O1196" s="19" t="s">
        <v>67</v>
      </c>
      <c r="P1196" s="19" t="s">
        <v>5187</v>
      </c>
      <c r="Q1196" s="204"/>
    </row>
    <row r="1197" spans="1:17" ht="33.5" customHeight="1">
      <c r="A1197" s="213">
        <v>306</v>
      </c>
      <c r="B1197" s="40" t="s">
        <v>7642</v>
      </c>
      <c r="C1197" s="19" t="s">
        <v>7688</v>
      </c>
      <c r="D1197" s="204" t="s">
        <v>2398</v>
      </c>
      <c r="E1197" s="204" t="s">
        <v>4847</v>
      </c>
      <c r="F1197" s="55" t="s">
        <v>2276</v>
      </c>
      <c r="G1197" s="4" t="s">
        <v>7739</v>
      </c>
      <c r="H1197" s="19" t="s">
        <v>4112</v>
      </c>
      <c r="I1197" s="21">
        <v>36.044827473319401</v>
      </c>
      <c r="J1197" s="21">
        <v>-84.545718817056795</v>
      </c>
      <c r="K1197" s="177">
        <f>30630*2.59</f>
        <v>79331.7</v>
      </c>
      <c r="L1197" s="204">
        <v>1999</v>
      </c>
      <c r="M1197" s="204">
        <v>2012</v>
      </c>
      <c r="N1197" s="82" t="s">
        <v>2276</v>
      </c>
      <c r="O1197" s="19" t="s">
        <v>67</v>
      </c>
      <c r="P1197" s="19" t="s">
        <v>5187</v>
      </c>
      <c r="Q1197" s="204"/>
    </row>
    <row r="1198" spans="1:17" ht="33.5" customHeight="1">
      <c r="A1198" s="213">
        <v>306</v>
      </c>
      <c r="B1198" s="40" t="s">
        <v>7642</v>
      </c>
      <c r="C1198" s="19" t="s">
        <v>7689</v>
      </c>
      <c r="D1198" s="204" t="s">
        <v>2398</v>
      </c>
      <c r="E1198" s="204" t="s">
        <v>4847</v>
      </c>
      <c r="F1198" s="55" t="s">
        <v>2276</v>
      </c>
      <c r="G1198" s="4" t="s">
        <v>7740</v>
      </c>
      <c r="H1198" s="19" t="s">
        <v>4112</v>
      </c>
      <c r="I1198" s="21">
        <v>39.459519709421897</v>
      </c>
      <c r="J1198" s="21">
        <v>-88.857692444792804</v>
      </c>
      <c r="K1198" s="177">
        <f>63717*2.59</f>
        <v>165027.03</v>
      </c>
      <c r="L1198" s="204">
        <v>1999</v>
      </c>
      <c r="M1198" s="204">
        <v>2012</v>
      </c>
      <c r="N1198" s="82" t="s">
        <v>2276</v>
      </c>
      <c r="O1198" s="19" t="s">
        <v>67</v>
      </c>
      <c r="P1198" s="19" t="s">
        <v>5187</v>
      </c>
      <c r="Q1198" s="204"/>
    </row>
    <row r="1199" spans="1:17" ht="33.5" customHeight="1">
      <c r="A1199" s="213">
        <v>306</v>
      </c>
      <c r="B1199" s="40" t="s">
        <v>7642</v>
      </c>
      <c r="C1199" s="19" t="s">
        <v>7690</v>
      </c>
      <c r="D1199" s="204" t="s">
        <v>2398</v>
      </c>
      <c r="E1199" s="204" t="s">
        <v>4847</v>
      </c>
      <c r="F1199" s="55" t="s">
        <v>2276</v>
      </c>
      <c r="G1199" s="4" t="s">
        <v>7741</v>
      </c>
      <c r="H1199" s="19" t="s">
        <v>4112</v>
      </c>
      <c r="I1199" s="21">
        <v>43.311559075366397</v>
      </c>
      <c r="J1199" s="21">
        <v>-88.998633579664499</v>
      </c>
      <c r="K1199" s="177">
        <f>54569*2.59</f>
        <v>141333.71</v>
      </c>
      <c r="L1199" s="204">
        <v>1999</v>
      </c>
      <c r="M1199" s="204">
        <v>2012</v>
      </c>
      <c r="N1199" s="82" t="s">
        <v>2276</v>
      </c>
      <c r="O1199" s="19" t="s">
        <v>67</v>
      </c>
      <c r="P1199" s="19" t="s">
        <v>5187</v>
      </c>
      <c r="Q1199" s="204"/>
    </row>
    <row r="1200" spans="1:17" ht="33.5" customHeight="1">
      <c r="A1200" s="213">
        <v>306</v>
      </c>
      <c r="B1200" s="40" t="s">
        <v>7642</v>
      </c>
      <c r="C1200" s="19" t="s">
        <v>7691</v>
      </c>
      <c r="D1200" s="204" t="s">
        <v>2398</v>
      </c>
      <c r="E1200" s="204" t="s">
        <v>4847</v>
      </c>
      <c r="F1200" s="55" t="s">
        <v>2276</v>
      </c>
      <c r="G1200" s="4" t="s">
        <v>7742</v>
      </c>
      <c r="H1200" s="19" t="s">
        <v>4112</v>
      </c>
      <c r="I1200" s="21">
        <v>43.450687997823501</v>
      </c>
      <c r="J1200" s="21">
        <v>-84.906601542547705</v>
      </c>
      <c r="K1200" s="177">
        <f>94488*2.59</f>
        <v>244723.91999999998</v>
      </c>
      <c r="L1200" s="204">
        <v>1999</v>
      </c>
      <c r="M1200" s="204">
        <v>2012</v>
      </c>
      <c r="N1200" s="82" t="s">
        <v>2276</v>
      </c>
      <c r="O1200" s="19" t="s">
        <v>67</v>
      </c>
      <c r="P1200" s="19" t="s">
        <v>5187</v>
      </c>
      <c r="Q1200" s="204"/>
    </row>
    <row r="1201" spans="1:17" ht="33.5" customHeight="1">
      <c r="A1201" s="213">
        <v>306</v>
      </c>
      <c r="B1201" s="40" t="s">
        <v>7642</v>
      </c>
      <c r="C1201" s="19" t="s">
        <v>7692</v>
      </c>
      <c r="D1201" s="204" t="s">
        <v>2398</v>
      </c>
      <c r="E1201" s="204" t="s">
        <v>4847</v>
      </c>
      <c r="F1201" s="55" t="s">
        <v>2276</v>
      </c>
      <c r="G1201" s="4" t="s">
        <v>7743</v>
      </c>
      <c r="H1201" s="19" t="s">
        <v>4112</v>
      </c>
      <c r="I1201" s="21">
        <v>41.147854922698897</v>
      </c>
      <c r="J1201" s="21">
        <v>-85.320788018156804</v>
      </c>
      <c r="K1201" s="177">
        <f>33581*2.59</f>
        <v>86974.79</v>
      </c>
      <c r="L1201" s="204">
        <v>1999</v>
      </c>
      <c r="M1201" s="204">
        <v>2012</v>
      </c>
      <c r="N1201" s="82" t="s">
        <v>2276</v>
      </c>
      <c r="O1201" s="19" t="s">
        <v>67</v>
      </c>
      <c r="P1201" s="19" t="s">
        <v>5187</v>
      </c>
      <c r="Q1201" s="204"/>
    </row>
    <row r="1202" spans="1:17" ht="33.5" customHeight="1">
      <c r="A1202" s="213">
        <v>306</v>
      </c>
      <c r="B1202" s="40" t="s">
        <v>7642</v>
      </c>
      <c r="C1202" s="19" t="s">
        <v>7760</v>
      </c>
      <c r="D1202" s="204" t="s">
        <v>2398</v>
      </c>
      <c r="E1202" s="204" t="s">
        <v>4847</v>
      </c>
      <c r="F1202" s="55" t="s">
        <v>2276</v>
      </c>
      <c r="G1202" s="19" t="s">
        <v>7744</v>
      </c>
      <c r="H1202" s="19" t="s">
        <v>4112</v>
      </c>
      <c r="I1202" s="21">
        <v>38.445142935993097</v>
      </c>
      <c r="J1202" s="21">
        <v>-82.620243787525496</v>
      </c>
      <c r="K1202" s="177">
        <f>30636*2.59</f>
        <v>79347.239999999991</v>
      </c>
      <c r="L1202" s="204">
        <v>1999</v>
      </c>
      <c r="M1202" s="204">
        <v>2012</v>
      </c>
      <c r="N1202" s="82" t="s">
        <v>2276</v>
      </c>
      <c r="O1202" s="19" t="s">
        <v>67</v>
      </c>
      <c r="P1202" s="19" t="s">
        <v>5187</v>
      </c>
      <c r="Q1202" s="204"/>
    </row>
    <row r="1203" spans="1:17" ht="33.5" customHeight="1">
      <c r="A1203" s="213">
        <v>306</v>
      </c>
      <c r="B1203" s="40" t="s">
        <v>7642</v>
      </c>
      <c r="C1203" s="19" t="s">
        <v>7761</v>
      </c>
      <c r="D1203" s="204" t="s">
        <v>2398</v>
      </c>
      <c r="E1203" s="204" t="s">
        <v>4847</v>
      </c>
      <c r="F1203" s="55" t="s">
        <v>2276</v>
      </c>
      <c r="G1203" s="19" t="s">
        <v>7745</v>
      </c>
      <c r="H1203" s="19" t="s">
        <v>4112</v>
      </c>
      <c r="I1203" s="21">
        <v>31.7116845524944</v>
      </c>
      <c r="J1203" s="21">
        <v>-83.058017697435801</v>
      </c>
      <c r="K1203" s="177">
        <f>31561*2.59</f>
        <v>81742.989999999991</v>
      </c>
      <c r="L1203" s="204">
        <v>1999</v>
      </c>
      <c r="M1203" s="204">
        <v>2012</v>
      </c>
      <c r="N1203" s="82" t="s">
        <v>2276</v>
      </c>
      <c r="O1203" s="19" t="s">
        <v>67</v>
      </c>
      <c r="P1203" s="19" t="s">
        <v>5187</v>
      </c>
      <c r="Q1203" s="204"/>
    </row>
    <row r="1204" spans="1:17" ht="33.5" customHeight="1">
      <c r="A1204" s="213">
        <v>306</v>
      </c>
      <c r="B1204" s="40" t="s">
        <v>7642</v>
      </c>
      <c r="C1204" s="19" t="s">
        <v>7762</v>
      </c>
      <c r="D1204" s="204" t="s">
        <v>2398</v>
      </c>
      <c r="E1204" s="204" t="s">
        <v>4847</v>
      </c>
      <c r="F1204" s="55" t="s">
        <v>2276</v>
      </c>
      <c r="G1204" s="19" t="s">
        <v>7746</v>
      </c>
      <c r="H1204" s="19" t="s">
        <v>4112</v>
      </c>
      <c r="I1204" s="21">
        <v>27.750560631019699</v>
      </c>
      <c r="J1204" s="21">
        <v>-81.600274725274701</v>
      </c>
      <c r="K1204" s="177">
        <f>58267*2.59</f>
        <v>150911.53</v>
      </c>
      <c r="L1204" s="204">
        <v>1999</v>
      </c>
      <c r="M1204" s="204">
        <v>2012</v>
      </c>
      <c r="N1204" s="82" t="s">
        <v>2276</v>
      </c>
      <c r="O1204" s="19" t="s">
        <v>67</v>
      </c>
      <c r="P1204" s="19" t="s">
        <v>5187</v>
      </c>
      <c r="Q1204" s="204"/>
    </row>
    <row r="1205" spans="1:17" ht="33.5" customHeight="1">
      <c r="A1205" s="213">
        <v>306</v>
      </c>
      <c r="B1205" s="40" t="s">
        <v>7642</v>
      </c>
      <c r="C1205" s="19" t="s">
        <v>7763</v>
      </c>
      <c r="D1205" s="204" t="s">
        <v>2398</v>
      </c>
      <c r="E1205" s="204" t="s">
        <v>4847</v>
      </c>
      <c r="F1205" s="55" t="s">
        <v>2276</v>
      </c>
      <c r="G1205" s="19" t="s">
        <v>7747</v>
      </c>
      <c r="H1205" s="19" t="s">
        <v>4112</v>
      </c>
      <c r="I1205" s="21">
        <v>34.614429858070899</v>
      </c>
      <c r="J1205" s="21">
        <v>-83.772809150547104</v>
      </c>
      <c r="K1205" s="177">
        <f>35738*2.59</f>
        <v>92561.42</v>
      </c>
      <c r="L1205" s="204">
        <v>1999</v>
      </c>
      <c r="M1205" s="204">
        <v>2012</v>
      </c>
      <c r="N1205" s="82" t="s">
        <v>2276</v>
      </c>
      <c r="O1205" s="19" t="s">
        <v>67</v>
      </c>
      <c r="P1205" s="19" t="s">
        <v>5187</v>
      </c>
      <c r="Q1205" s="204"/>
    </row>
    <row r="1206" spans="1:17" ht="33.5" customHeight="1">
      <c r="A1206" s="213">
        <v>306</v>
      </c>
      <c r="B1206" s="40" t="s">
        <v>7642</v>
      </c>
      <c r="C1206" s="19" t="s">
        <v>7764</v>
      </c>
      <c r="D1206" s="204" t="s">
        <v>2398</v>
      </c>
      <c r="E1206" s="204" t="s">
        <v>4847</v>
      </c>
      <c r="F1206" s="55" t="s">
        <v>2276</v>
      </c>
      <c r="G1206" s="19" t="s">
        <v>7748</v>
      </c>
      <c r="H1206" s="19" t="s">
        <v>4112</v>
      </c>
      <c r="I1206" s="21">
        <v>36.948149094892102</v>
      </c>
      <c r="J1206" s="21">
        <v>-81.914653280610096</v>
      </c>
      <c r="K1206" s="177">
        <f>21787*2.59</f>
        <v>56428.329999999994</v>
      </c>
      <c r="L1206" s="204">
        <v>1999</v>
      </c>
      <c r="M1206" s="204">
        <v>2012</v>
      </c>
      <c r="N1206" s="82" t="s">
        <v>2276</v>
      </c>
      <c r="O1206" s="19" t="s">
        <v>67</v>
      </c>
      <c r="P1206" s="19" t="s">
        <v>5187</v>
      </c>
      <c r="Q1206" s="204"/>
    </row>
    <row r="1207" spans="1:17" ht="33.5" customHeight="1">
      <c r="A1207" s="213">
        <v>306</v>
      </c>
      <c r="B1207" s="40" t="s">
        <v>7642</v>
      </c>
      <c r="C1207" s="19" t="s">
        <v>7765</v>
      </c>
      <c r="D1207" s="204" t="s">
        <v>2398</v>
      </c>
      <c r="E1207" s="204" t="s">
        <v>4847</v>
      </c>
      <c r="F1207" s="55" t="s">
        <v>2276</v>
      </c>
      <c r="G1207" s="19" t="s">
        <v>7749</v>
      </c>
      <c r="H1207" s="19" t="s">
        <v>4112</v>
      </c>
      <c r="I1207" s="21">
        <v>34.483602729501897</v>
      </c>
      <c r="J1207" s="21">
        <v>-78.661113330768003</v>
      </c>
      <c r="K1207" s="177">
        <f>43890*2.59</f>
        <v>113675.09999999999</v>
      </c>
      <c r="L1207" s="204">
        <v>1999</v>
      </c>
      <c r="M1207" s="204">
        <v>2012</v>
      </c>
      <c r="N1207" s="82" t="s">
        <v>2276</v>
      </c>
      <c r="O1207" s="19" t="s">
        <v>67</v>
      </c>
      <c r="P1207" s="19" t="s">
        <v>5187</v>
      </c>
      <c r="Q1207" s="204"/>
    </row>
    <row r="1208" spans="1:17" ht="33.5" customHeight="1">
      <c r="A1208" s="213">
        <v>306</v>
      </c>
      <c r="B1208" s="40" t="s">
        <v>7642</v>
      </c>
      <c r="C1208" s="19" t="s">
        <v>7766</v>
      </c>
      <c r="D1208" s="204" t="s">
        <v>2398</v>
      </c>
      <c r="E1208" s="204" t="s">
        <v>4847</v>
      </c>
      <c r="F1208" s="55" t="s">
        <v>2276</v>
      </c>
      <c r="G1208" s="19" t="s">
        <v>7750</v>
      </c>
      <c r="H1208" s="19" t="s">
        <v>4112</v>
      </c>
      <c r="I1208" s="21">
        <v>35.905457239366797</v>
      </c>
      <c r="J1208" s="21">
        <v>-79.856345378835996</v>
      </c>
      <c r="K1208" s="177">
        <f>29647*2.59</f>
        <v>76785.73</v>
      </c>
      <c r="L1208" s="204">
        <v>1999</v>
      </c>
      <c r="M1208" s="204">
        <v>2012</v>
      </c>
      <c r="N1208" s="82" t="s">
        <v>2276</v>
      </c>
      <c r="O1208" s="19" t="s">
        <v>67</v>
      </c>
      <c r="P1208" s="19" t="s">
        <v>5187</v>
      </c>
      <c r="Q1208" s="204"/>
    </row>
    <row r="1209" spans="1:17" ht="33.5" customHeight="1">
      <c r="A1209" s="213">
        <v>306</v>
      </c>
      <c r="B1209" s="40" t="s">
        <v>7642</v>
      </c>
      <c r="C1209" s="19" t="s">
        <v>7670</v>
      </c>
      <c r="D1209" s="204" t="s">
        <v>2398</v>
      </c>
      <c r="E1209" s="204" t="s">
        <v>4847</v>
      </c>
      <c r="F1209" s="55" t="s">
        <v>2276</v>
      </c>
      <c r="G1209" s="19" t="s">
        <v>7751</v>
      </c>
      <c r="H1209" s="19" t="s">
        <v>4112</v>
      </c>
      <c r="I1209" s="21">
        <v>36.309703949427401</v>
      </c>
      <c r="J1209" s="21">
        <v>-77.1232874334695</v>
      </c>
      <c r="K1209" s="177">
        <f>42995*2.59</f>
        <v>111357.04999999999</v>
      </c>
      <c r="L1209" s="204">
        <v>1999</v>
      </c>
      <c r="M1209" s="204">
        <v>2012</v>
      </c>
      <c r="N1209" s="82" t="s">
        <v>2276</v>
      </c>
      <c r="O1209" s="19" t="s">
        <v>67</v>
      </c>
      <c r="P1209" s="19" t="s">
        <v>5187</v>
      </c>
      <c r="Q1209" s="204"/>
    </row>
    <row r="1210" spans="1:17" ht="33.5" customHeight="1">
      <c r="A1210" s="213">
        <v>306</v>
      </c>
      <c r="B1210" s="40" t="s">
        <v>7642</v>
      </c>
      <c r="C1210" s="19" t="s">
        <v>7767</v>
      </c>
      <c r="D1210" s="204" t="s">
        <v>2398</v>
      </c>
      <c r="E1210" s="204" t="s">
        <v>4847</v>
      </c>
      <c r="F1210" s="55" t="s">
        <v>2276</v>
      </c>
      <c r="G1210" s="19" t="s">
        <v>7752</v>
      </c>
      <c r="H1210" s="19" t="s">
        <v>4112</v>
      </c>
      <c r="I1210" s="21">
        <v>38.575051857117401</v>
      </c>
      <c r="J1210" s="21">
        <v>-78.980699691661499</v>
      </c>
      <c r="K1210" s="177">
        <f>42950*2.59</f>
        <v>111240.5</v>
      </c>
      <c r="L1210" s="204">
        <v>1999</v>
      </c>
      <c r="M1210" s="204">
        <v>2012</v>
      </c>
      <c r="N1210" s="82" t="s">
        <v>2276</v>
      </c>
      <c r="O1210" s="19" t="s">
        <v>67</v>
      </c>
      <c r="P1210" s="19" t="s">
        <v>5187</v>
      </c>
      <c r="Q1210" s="204"/>
    </row>
    <row r="1211" spans="1:17" ht="33.5" customHeight="1">
      <c r="A1211" s="213">
        <v>306</v>
      </c>
      <c r="B1211" s="40" t="s">
        <v>7642</v>
      </c>
      <c r="C1211" s="19" t="s">
        <v>7768</v>
      </c>
      <c r="D1211" s="204" t="s">
        <v>2398</v>
      </c>
      <c r="E1211" s="204" t="s">
        <v>4847</v>
      </c>
      <c r="F1211" s="55" t="s">
        <v>2276</v>
      </c>
      <c r="G1211" s="19" t="s">
        <v>7753</v>
      </c>
      <c r="H1211" s="19" t="s">
        <v>4112</v>
      </c>
      <c r="I1211" s="21">
        <v>41.0545528779572</v>
      </c>
      <c r="J1211" s="21">
        <v>-80.493087619978894</v>
      </c>
      <c r="K1211" s="177">
        <f t="shared" ref="K1211" si="16">36039*2.59</f>
        <v>93341.01</v>
      </c>
      <c r="L1211" s="204">
        <v>1999</v>
      </c>
      <c r="M1211" s="204">
        <v>2012</v>
      </c>
      <c r="N1211" s="82" t="s">
        <v>2276</v>
      </c>
      <c r="O1211" s="19" t="s">
        <v>67</v>
      </c>
      <c r="P1211" s="19" t="s">
        <v>5187</v>
      </c>
      <c r="Q1211" s="204"/>
    </row>
    <row r="1212" spans="1:17" ht="33.5" customHeight="1">
      <c r="A1212" s="213">
        <v>306</v>
      </c>
      <c r="B1212" s="40" t="s">
        <v>7642</v>
      </c>
      <c r="C1212" s="19" t="s">
        <v>7769</v>
      </c>
      <c r="D1212" s="204" t="s">
        <v>2398</v>
      </c>
      <c r="E1212" s="204" t="s">
        <v>4847</v>
      </c>
      <c r="F1212" s="55" t="s">
        <v>2276</v>
      </c>
      <c r="G1212" s="19" t="s">
        <v>7754</v>
      </c>
      <c r="H1212" s="19" t="s">
        <v>4112</v>
      </c>
      <c r="I1212" s="21">
        <v>42.829542305141601</v>
      </c>
      <c r="J1212" s="21">
        <v>-77.173195377135798</v>
      </c>
      <c r="K1212" s="177">
        <f>34501*2.59</f>
        <v>89357.59</v>
      </c>
      <c r="L1212" s="204">
        <v>1999</v>
      </c>
      <c r="M1212" s="204">
        <v>2012</v>
      </c>
      <c r="N1212" s="82" t="s">
        <v>2276</v>
      </c>
      <c r="O1212" s="19" t="s">
        <v>67</v>
      </c>
      <c r="P1212" s="19" t="s">
        <v>5187</v>
      </c>
      <c r="Q1212" s="204"/>
    </row>
    <row r="1213" spans="1:17" ht="33.5" customHeight="1">
      <c r="A1213" s="213">
        <v>306</v>
      </c>
      <c r="B1213" s="40" t="s">
        <v>7642</v>
      </c>
      <c r="C1213" s="19" t="s">
        <v>7770</v>
      </c>
      <c r="D1213" s="204" t="s">
        <v>2398</v>
      </c>
      <c r="E1213" s="204" t="s">
        <v>4847</v>
      </c>
      <c r="F1213" s="55" t="s">
        <v>2276</v>
      </c>
      <c r="G1213" s="19" t="s">
        <v>7755</v>
      </c>
      <c r="H1213" s="19" t="s">
        <v>4112</v>
      </c>
      <c r="I1213" s="21">
        <v>44.193558318032501</v>
      </c>
      <c r="J1213" s="21">
        <v>-74.267952012763999</v>
      </c>
      <c r="K1213" s="177">
        <f>31128*2.59</f>
        <v>80621.51999999999</v>
      </c>
      <c r="L1213" s="204">
        <v>1999</v>
      </c>
      <c r="M1213" s="204">
        <v>2012</v>
      </c>
      <c r="N1213" s="82" t="s">
        <v>2276</v>
      </c>
      <c r="O1213" s="19" t="s">
        <v>67</v>
      </c>
      <c r="P1213" s="19" t="s">
        <v>5187</v>
      </c>
      <c r="Q1213" s="204"/>
    </row>
    <row r="1214" spans="1:17" ht="35.5" customHeight="1">
      <c r="A1214" s="213">
        <v>306</v>
      </c>
      <c r="B1214" s="40" t="s">
        <v>7642</v>
      </c>
      <c r="C1214" s="19" t="s">
        <v>7771</v>
      </c>
      <c r="D1214" s="204" t="s">
        <v>2398</v>
      </c>
      <c r="E1214" s="204" t="s">
        <v>4847</v>
      </c>
      <c r="F1214" s="55" t="s">
        <v>2276</v>
      </c>
      <c r="G1214" s="19" t="s">
        <v>7756</v>
      </c>
      <c r="H1214" s="19" t="s">
        <v>4112</v>
      </c>
      <c r="I1214" s="21">
        <v>42.800472916888303</v>
      </c>
      <c r="J1214" s="21">
        <v>-72.131080067870798</v>
      </c>
      <c r="K1214" s="177">
        <f>32173*2.59</f>
        <v>83328.069999999992</v>
      </c>
      <c r="L1214" s="204">
        <v>1999</v>
      </c>
      <c r="M1214" s="204">
        <v>2012</v>
      </c>
      <c r="N1214" s="82" t="s">
        <v>2276</v>
      </c>
      <c r="O1214" s="19" t="s">
        <v>67</v>
      </c>
      <c r="P1214" s="19" t="s">
        <v>5187</v>
      </c>
      <c r="Q1214" s="204"/>
    </row>
    <row r="1215" spans="1:17" ht="33.5" customHeight="1">
      <c r="A1215" s="213">
        <v>306</v>
      </c>
      <c r="B1215" s="40" t="s">
        <v>7642</v>
      </c>
      <c r="C1215" s="19" t="s">
        <v>7772</v>
      </c>
      <c r="D1215" s="204" t="s">
        <v>2398</v>
      </c>
      <c r="E1215" s="204" t="s">
        <v>4847</v>
      </c>
      <c r="F1215" s="55" t="s">
        <v>2276</v>
      </c>
      <c r="G1215" s="19" t="s">
        <v>7757</v>
      </c>
      <c r="H1215" s="19" t="s">
        <v>4112</v>
      </c>
      <c r="I1215" s="21">
        <v>45.238111256543803</v>
      </c>
      <c r="J1215" s="21">
        <v>-69.332592584839105</v>
      </c>
      <c r="K1215" s="177">
        <f>46834*2.59</f>
        <v>121300.06</v>
      </c>
      <c r="L1215" s="204">
        <v>1999</v>
      </c>
      <c r="M1215" s="204">
        <v>2012</v>
      </c>
      <c r="N1215" s="82" t="s">
        <v>2276</v>
      </c>
      <c r="O1215" s="19" t="s">
        <v>67</v>
      </c>
      <c r="P1215" s="19" t="s">
        <v>5187</v>
      </c>
      <c r="Q1215" s="204"/>
    </row>
    <row r="1216" spans="1:17" ht="33.5" customHeight="1">
      <c r="A1216" s="213">
        <v>306</v>
      </c>
      <c r="B1216" s="40" t="s">
        <v>7642</v>
      </c>
      <c r="C1216" s="19" t="s">
        <v>7773</v>
      </c>
      <c r="D1216" s="204" t="s">
        <v>2398</v>
      </c>
      <c r="E1216" s="204" t="s">
        <v>4847</v>
      </c>
      <c r="F1216" s="55" t="s">
        <v>2276</v>
      </c>
      <c r="G1216" s="19" t="s">
        <v>7758</v>
      </c>
      <c r="H1216" s="19" t="s">
        <v>4112</v>
      </c>
      <c r="I1216" s="21">
        <v>30.186731609114901</v>
      </c>
      <c r="J1216" s="21">
        <v>-91.862188789326197</v>
      </c>
      <c r="K1216" s="177">
        <f>20900*2.59</f>
        <v>54131</v>
      </c>
      <c r="L1216" s="204">
        <v>1999</v>
      </c>
      <c r="M1216" s="204">
        <v>2012</v>
      </c>
      <c r="N1216" s="82" t="s">
        <v>2276</v>
      </c>
      <c r="O1216" s="19" t="s">
        <v>67</v>
      </c>
      <c r="P1216" s="19" t="s">
        <v>5187</v>
      </c>
      <c r="Q1216" s="204"/>
    </row>
    <row r="1217" spans="1:17" ht="33.5" customHeight="1">
      <c r="A1217" s="213">
        <v>306</v>
      </c>
      <c r="B1217" s="40" t="s">
        <v>7642</v>
      </c>
      <c r="C1217" s="19" t="s">
        <v>7774</v>
      </c>
      <c r="D1217" s="204" t="s">
        <v>2398</v>
      </c>
      <c r="E1217" s="204" t="s">
        <v>4847</v>
      </c>
      <c r="F1217" s="19" t="s">
        <v>2276</v>
      </c>
      <c r="G1217" s="19" t="s">
        <v>7759</v>
      </c>
      <c r="H1217" s="19" t="s">
        <v>4112</v>
      </c>
      <c r="I1217" s="21">
        <v>31.185659654585798</v>
      </c>
      <c r="J1217" s="21">
        <v>-87.291682387980302</v>
      </c>
      <c r="K1217" s="177">
        <f>41209*2.59</f>
        <v>106731.31</v>
      </c>
      <c r="L1217" s="204">
        <v>1999</v>
      </c>
      <c r="M1217" s="204">
        <v>2012</v>
      </c>
      <c r="N1217" s="82" t="s">
        <v>2276</v>
      </c>
      <c r="O1217" s="19" t="s">
        <v>67</v>
      </c>
      <c r="P1217" s="19" t="s">
        <v>5187</v>
      </c>
      <c r="Q1217" s="204"/>
    </row>
    <row r="1218" spans="1:17" ht="40" customHeight="1">
      <c r="A1218" s="225">
        <v>307</v>
      </c>
      <c r="B1218" s="226" t="s">
        <v>7851</v>
      </c>
      <c r="C1218" s="58" t="s">
        <v>7852</v>
      </c>
      <c r="D1218" s="44" t="s">
        <v>2398</v>
      </c>
      <c r="E1218" s="44" t="s">
        <v>2636</v>
      </c>
      <c r="F1218" s="58" t="s">
        <v>2276</v>
      </c>
      <c r="G1218" s="44" t="s">
        <v>7853</v>
      </c>
      <c r="H1218" s="44" t="s">
        <v>6397</v>
      </c>
      <c r="I1218" s="227">
        <v>63.071013000000001</v>
      </c>
      <c r="J1218" s="227">
        <v>17.071424100000002</v>
      </c>
      <c r="K1218" s="227">
        <v>21683.8</v>
      </c>
      <c r="L1218" s="44">
        <v>1993</v>
      </c>
      <c r="M1218" s="44">
        <v>2006</v>
      </c>
      <c r="N1218" s="228" t="s">
        <v>2276</v>
      </c>
      <c r="O1218" s="58" t="s">
        <v>67</v>
      </c>
      <c r="P1218" s="58" t="s">
        <v>5187</v>
      </c>
      <c r="Q1218" s="44"/>
    </row>
    <row r="1219" spans="1:17" ht="36.5" customHeight="1">
      <c r="A1219" s="225">
        <v>307</v>
      </c>
      <c r="B1219" s="226" t="s">
        <v>7851</v>
      </c>
      <c r="C1219" s="58" t="s">
        <v>7855</v>
      </c>
      <c r="D1219" s="44" t="s">
        <v>2398</v>
      </c>
      <c r="E1219" s="44" t="s">
        <v>2399</v>
      </c>
      <c r="F1219" s="58" t="s">
        <v>7854</v>
      </c>
      <c r="G1219" s="44" t="s">
        <v>7853</v>
      </c>
      <c r="H1219" s="44" t="s">
        <v>6397</v>
      </c>
      <c r="I1219" s="227">
        <v>62.437196900000004</v>
      </c>
      <c r="J1219" s="227">
        <v>15.9621072</v>
      </c>
      <c r="K1219" s="227" t="s">
        <v>2276</v>
      </c>
      <c r="L1219" s="44">
        <v>2002</v>
      </c>
      <c r="M1219" s="44">
        <v>2006</v>
      </c>
      <c r="N1219" s="228" t="s">
        <v>2276</v>
      </c>
      <c r="O1219" s="58" t="s">
        <v>67</v>
      </c>
      <c r="P1219" s="58" t="s">
        <v>5187</v>
      </c>
      <c r="Q1219" s="44"/>
    </row>
    <row r="1220" spans="1:17" ht="33.5" customHeight="1">
      <c r="A1220" s="213">
        <v>308</v>
      </c>
      <c r="B1220" s="40" t="s">
        <v>7872</v>
      </c>
      <c r="C1220" s="19" t="s">
        <v>7873</v>
      </c>
      <c r="D1220" s="11" t="s">
        <v>2398</v>
      </c>
      <c r="E1220" s="11" t="s">
        <v>2399</v>
      </c>
      <c r="F1220" s="19" t="s">
        <v>7874</v>
      </c>
      <c r="G1220" s="19" t="s">
        <v>166</v>
      </c>
      <c r="H1220" s="19" t="s">
        <v>121</v>
      </c>
      <c r="I1220" s="21">
        <v>-2.6536445999999998</v>
      </c>
      <c r="J1220" s="21">
        <v>-54.9198971</v>
      </c>
      <c r="K1220" s="21">
        <v>4398.3999999999996</v>
      </c>
      <c r="L1220" s="11">
        <v>1995</v>
      </c>
      <c r="M1220" s="11">
        <v>1996</v>
      </c>
      <c r="N1220" s="82" t="s">
        <v>2276</v>
      </c>
      <c r="O1220" s="19" t="s">
        <v>67</v>
      </c>
      <c r="P1220" s="19" t="s">
        <v>5187</v>
      </c>
      <c r="Q1220" s="204"/>
    </row>
    <row r="1221" spans="1:17" ht="37" customHeight="1">
      <c r="A1221" s="213">
        <v>309</v>
      </c>
      <c r="B1221" s="40" t="s">
        <v>7885</v>
      </c>
      <c r="C1221" s="19" t="s">
        <v>7886</v>
      </c>
      <c r="D1221" s="11" t="s">
        <v>2398</v>
      </c>
      <c r="E1221" s="11" t="s">
        <v>2399</v>
      </c>
      <c r="F1221" s="4" t="s">
        <v>7887</v>
      </c>
      <c r="G1221" s="204" t="s">
        <v>7888</v>
      </c>
      <c r="H1221" s="19" t="s">
        <v>134</v>
      </c>
      <c r="I1221" s="21">
        <f>4+48/60</f>
        <v>4.8</v>
      </c>
      <c r="J1221" s="21">
        <f>-75-24/60</f>
        <v>-75.400000000000006</v>
      </c>
      <c r="K1221" s="82" t="s">
        <v>2276</v>
      </c>
      <c r="L1221" s="11">
        <v>1992</v>
      </c>
      <c r="M1221" s="11">
        <v>1992</v>
      </c>
      <c r="N1221" s="82" t="s">
        <v>2276</v>
      </c>
      <c r="O1221" s="19" t="s">
        <v>67</v>
      </c>
      <c r="P1221" s="19" t="s">
        <v>5187</v>
      </c>
      <c r="Q1221" s="40" t="s">
        <v>7889</v>
      </c>
    </row>
    <row r="1222" spans="1:17" ht="32" customHeight="1">
      <c r="A1222" s="213">
        <v>310</v>
      </c>
      <c r="B1222" s="40" t="s">
        <v>7896</v>
      </c>
      <c r="C1222" s="19" t="s">
        <v>7895</v>
      </c>
      <c r="D1222" s="11" t="s">
        <v>2398</v>
      </c>
      <c r="E1222" s="11" t="s">
        <v>2420</v>
      </c>
      <c r="F1222" s="204" t="s">
        <v>7902</v>
      </c>
      <c r="G1222" s="204" t="s">
        <v>7897</v>
      </c>
      <c r="H1222" s="204" t="s">
        <v>3616</v>
      </c>
      <c r="I1222" s="21">
        <v>-41.121901399999999</v>
      </c>
      <c r="J1222" s="21">
        <v>-71.404353599999993</v>
      </c>
      <c r="K1222" s="82" t="s">
        <v>2276</v>
      </c>
      <c r="L1222" s="204">
        <v>1940</v>
      </c>
      <c r="M1222" s="204">
        <v>2002</v>
      </c>
      <c r="N1222" s="82" t="s">
        <v>2276</v>
      </c>
      <c r="O1222" s="19" t="s">
        <v>67</v>
      </c>
      <c r="P1222" s="19" t="s">
        <v>5187</v>
      </c>
      <c r="Q1222" s="204"/>
    </row>
    <row r="1223" spans="1:17" ht="34.5" customHeight="1">
      <c r="A1223" s="213">
        <v>310</v>
      </c>
      <c r="B1223" s="40" t="s">
        <v>7896</v>
      </c>
      <c r="C1223" s="19" t="s">
        <v>7901</v>
      </c>
      <c r="D1223" s="11" t="s">
        <v>2398</v>
      </c>
      <c r="E1223" s="11" t="s">
        <v>2420</v>
      </c>
      <c r="F1223" s="19" t="s">
        <v>7900</v>
      </c>
      <c r="G1223" s="204" t="s">
        <v>7897</v>
      </c>
      <c r="H1223" s="204" t="s">
        <v>3616</v>
      </c>
      <c r="I1223" s="21">
        <v>-41.218642199999998</v>
      </c>
      <c r="J1223" s="21">
        <v>-71.302989400000001</v>
      </c>
      <c r="K1223" s="82" t="s">
        <v>2276</v>
      </c>
      <c r="L1223" s="204">
        <v>1940</v>
      </c>
      <c r="M1223" s="204">
        <v>2002</v>
      </c>
      <c r="N1223" s="82" t="s">
        <v>2276</v>
      </c>
      <c r="O1223" s="19" t="s">
        <v>67</v>
      </c>
      <c r="P1223" s="19" t="s">
        <v>5187</v>
      </c>
      <c r="Q1223" s="204"/>
    </row>
    <row r="1224" spans="1:17" ht="32" customHeight="1">
      <c r="A1224" s="219">
        <v>311</v>
      </c>
      <c r="B1224" s="54" t="s">
        <v>7906</v>
      </c>
      <c r="C1224" s="55" t="s">
        <v>7907</v>
      </c>
      <c r="D1224" s="38" t="s">
        <v>2398</v>
      </c>
      <c r="E1224" s="204" t="s">
        <v>2399</v>
      </c>
      <c r="F1224" s="204" t="s">
        <v>7917</v>
      </c>
      <c r="G1224" s="55" t="s">
        <v>7908</v>
      </c>
      <c r="H1224" s="35" t="s">
        <v>3770</v>
      </c>
      <c r="I1224" s="73">
        <f>-25-25/60</f>
        <v>-25.416666666666668</v>
      </c>
      <c r="J1224" s="73">
        <f>30+10/60</f>
        <v>30.166666666666668</v>
      </c>
      <c r="K1224" s="220" t="s">
        <v>2276</v>
      </c>
      <c r="L1224" s="33">
        <v>2007</v>
      </c>
      <c r="M1224" s="33">
        <v>2009</v>
      </c>
      <c r="N1224" s="220" t="s">
        <v>2276</v>
      </c>
      <c r="O1224" s="55" t="s">
        <v>67</v>
      </c>
      <c r="P1224" s="55" t="s">
        <v>5187</v>
      </c>
      <c r="Q1224" s="38"/>
    </row>
    <row r="1225" spans="1:17" ht="32" customHeight="1">
      <c r="A1225" s="213">
        <v>311</v>
      </c>
      <c r="B1225" s="40" t="s">
        <v>7906</v>
      </c>
      <c r="C1225" s="19" t="s">
        <v>7910</v>
      </c>
      <c r="D1225" s="204" t="s">
        <v>2398</v>
      </c>
      <c r="E1225" s="204" t="s">
        <v>2399</v>
      </c>
      <c r="F1225" s="204" t="s">
        <v>7917</v>
      </c>
      <c r="G1225" s="19" t="s">
        <v>7908</v>
      </c>
      <c r="H1225" s="11" t="s">
        <v>3770</v>
      </c>
      <c r="I1225" s="21">
        <f t="shared" ref="I1225:I1231" si="17">-25-25/60</f>
        <v>-25.416666666666668</v>
      </c>
      <c r="J1225" s="21">
        <f t="shared" ref="J1225:J1231" si="18">30+10/60</f>
        <v>30.166666666666668</v>
      </c>
      <c r="K1225" s="82" t="s">
        <v>2276</v>
      </c>
      <c r="L1225" s="11">
        <v>2007</v>
      </c>
      <c r="M1225" s="11">
        <v>2009</v>
      </c>
      <c r="N1225" s="82" t="s">
        <v>2276</v>
      </c>
      <c r="O1225" s="19" t="s">
        <v>67</v>
      </c>
      <c r="P1225" s="19" t="s">
        <v>5187</v>
      </c>
      <c r="Q1225" s="204"/>
    </row>
    <row r="1226" spans="1:17" ht="32" customHeight="1">
      <c r="A1226" s="213">
        <v>311</v>
      </c>
      <c r="B1226" s="40" t="s">
        <v>7906</v>
      </c>
      <c r="C1226" s="19" t="s">
        <v>7911</v>
      </c>
      <c r="D1226" s="204" t="s">
        <v>2398</v>
      </c>
      <c r="E1226" s="204" t="s">
        <v>2399</v>
      </c>
      <c r="F1226" s="204" t="s">
        <v>7917</v>
      </c>
      <c r="G1226" s="19" t="s">
        <v>7908</v>
      </c>
      <c r="H1226" s="11" t="s">
        <v>3770</v>
      </c>
      <c r="I1226" s="21">
        <f t="shared" si="17"/>
        <v>-25.416666666666668</v>
      </c>
      <c r="J1226" s="21">
        <f t="shared" si="18"/>
        <v>30.166666666666668</v>
      </c>
      <c r="K1226" s="82" t="s">
        <v>2276</v>
      </c>
      <c r="L1226" s="11">
        <v>2007</v>
      </c>
      <c r="M1226" s="11">
        <v>2009</v>
      </c>
      <c r="N1226" s="82" t="s">
        <v>2276</v>
      </c>
      <c r="O1226" s="19" t="s">
        <v>67</v>
      </c>
      <c r="P1226" s="19" t="s">
        <v>5187</v>
      </c>
      <c r="Q1226" s="204"/>
    </row>
    <row r="1227" spans="1:17" ht="32" customHeight="1">
      <c r="A1227" s="213">
        <v>311</v>
      </c>
      <c r="B1227" s="40" t="s">
        <v>7906</v>
      </c>
      <c r="C1227" s="19" t="s">
        <v>7912</v>
      </c>
      <c r="D1227" s="204" t="s">
        <v>2398</v>
      </c>
      <c r="E1227" s="204" t="s">
        <v>2399</v>
      </c>
      <c r="F1227" s="204" t="s">
        <v>7917</v>
      </c>
      <c r="G1227" s="19" t="s">
        <v>7908</v>
      </c>
      <c r="H1227" s="11" t="s">
        <v>3770</v>
      </c>
      <c r="I1227" s="21">
        <f t="shared" si="17"/>
        <v>-25.416666666666668</v>
      </c>
      <c r="J1227" s="21">
        <f t="shared" si="18"/>
        <v>30.166666666666668</v>
      </c>
      <c r="K1227" s="82" t="s">
        <v>2276</v>
      </c>
      <c r="L1227" s="11">
        <v>2007</v>
      </c>
      <c r="M1227" s="11">
        <v>2009</v>
      </c>
      <c r="N1227" s="82" t="s">
        <v>2276</v>
      </c>
      <c r="O1227" s="19" t="s">
        <v>67</v>
      </c>
      <c r="P1227" s="19" t="s">
        <v>5187</v>
      </c>
      <c r="Q1227" s="204"/>
    </row>
    <row r="1228" spans="1:17" ht="32" customHeight="1">
      <c r="A1228" s="213">
        <v>311</v>
      </c>
      <c r="B1228" s="40" t="s">
        <v>7906</v>
      </c>
      <c r="C1228" s="19" t="s">
        <v>7913</v>
      </c>
      <c r="D1228" s="204" t="s">
        <v>2398</v>
      </c>
      <c r="E1228" s="204" t="s">
        <v>2399</v>
      </c>
      <c r="F1228" s="19" t="s">
        <v>7909</v>
      </c>
      <c r="G1228" s="19" t="s">
        <v>7908</v>
      </c>
      <c r="H1228" s="11" t="s">
        <v>3770</v>
      </c>
      <c r="I1228" s="21">
        <f t="shared" si="17"/>
        <v>-25.416666666666668</v>
      </c>
      <c r="J1228" s="21">
        <f t="shared" si="18"/>
        <v>30.166666666666668</v>
      </c>
      <c r="K1228" s="82" t="s">
        <v>2276</v>
      </c>
      <c r="L1228" s="11">
        <v>2007</v>
      </c>
      <c r="M1228" s="11">
        <v>2009</v>
      </c>
      <c r="N1228" s="82" t="s">
        <v>2276</v>
      </c>
      <c r="O1228" s="19" t="s">
        <v>67</v>
      </c>
      <c r="P1228" s="19" t="s">
        <v>5187</v>
      </c>
      <c r="Q1228" s="204"/>
    </row>
    <row r="1229" spans="1:17" ht="32" customHeight="1">
      <c r="A1229" s="213">
        <v>311</v>
      </c>
      <c r="B1229" s="40" t="s">
        <v>7906</v>
      </c>
      <c r="C1229" s="19" t="s">
        <v>7914</v>
      </c>
      <c r="D1229" s="204" t="s">
        <v>2398</v>
      </c>
      <c r="E1229" s="204" t="s">
        <v>2399</v>
      </c>
      <c r="F1229" s="19" t="s">
        <v>7909</v>
      </c>
      <c r="G1229" s="19" t="s">
        <v>7908</v>
      </c>
      <c r="H1229" s="11" t="s">
        <v>3770</v>
      </c>
      <c r="I1229" s="21">
        <f t="shared" si="17"/>
        <v>-25.416666666666668</v>
      </c>
      <c r="J1229" s="21">
        <f t="shared" si="18"/>
        <v>30.166666666666668</v>
      </c>
      <c r="K1229" s="82" t="s">
        <v>2276</v>
      </c>
      <c r="L1229" s="11">
        <v>2007</v>
      </c>
      <c r="M1229" s="11">
        <v>2009</v>
      </c>
      <c r="N1229" s="82" t="s">
        <v>2276</v>
      </c>
      <c r="O1229" s="19" t="s">
        <v>67</v>
      </c>
      <c r="P1229" s="19" t="s">
        <v>5187</v>
      </c>
      <c r="Q1229" s="204"/>
    </row>
    <row r="1230" spans="1:17" ht="32" customHeight="1">
      <c r="A1230" s="213">
        <v>311</v>
      </c>
      <c r="B1230" s="40" t="s">
        <v>7906</v>
      </c>
      <c r="C1230" s="19" t="s">
        <v>7915</v>
      </c>
      <c r="D1230" s="204" t="s">
        <v>2398</v>
      </c>
      <c r="E1230" s="204" t="s">
        <v>2399</v>
      </c>
      <c r="F1230" s="19" t="s">
        <v>7909</v>
      </c>
      <c r="G1230" s="19" t="s">
        <v>7908</v>
      </c>
      <c r="H1230" s="11" t="s">
        <v>3770</v>
      </c>
      <c r="I1230" s="21">
        <f t="shared" si="17"/>
        <v>-25.416666666666668</v>
      </c>
      <c r="J1230" s="21">
        <f t="shared" si="18"/>
        <v>30.166666666666668</v>
      </c>
      <c r="K1230" s="82" t="s">
        <v>2276</v>
      </c>
      <c r="L1230" s="11">
        <v>2007</v>
      </c>
      <c r="M1230" s="11">
        <v>2009</v>
      </c>
      <c r="N1230" s="82" t="s">
        <v>2276</v>
      </c>
      <c r="O1230" s="19" t="s">
        <v>67</v>
      </c>
      <c r="P1230" s="19" t="s">
        <v>5187</v>
      </c>
      <c r="Q1230" s="204"/>
    </row>
    <row r="1231" spans="1:17" ht="32" customHeight="1">
      <c r="A1231" s="213">
        <v>311</v>
      </c>
      <c r="B1231" s="40" t="s">
        <v>7906</v>
      </c>
      <c r="C1231" s="19" t="s">
        <v>7916</v>
      </c>
      <c r="D1231" s="204" t="s">
        <v>2398</v>
      </c>
      <c r="E1231" s="204" t="s">
        <v>2399</v>
      </c>
      <c r="F1231" s="19" t="s">
        <v>7909</v>
      </c>
      <c r="G1231" s="19" t="s">
        <v>7908</v>
      </c>
      <c r="H1231" s="11" t="s">
        <v>3770</v>
      </c>
      <c r="I1231" s="21">
        <f t="shared" si="17"/>
        <v>-25.416666666666668</v>
      </c>
      <c r="J1231" s="21">
        <f t="shared" si="18"/>
        <v>30.166666666666668</v>
      </c>
      <c r="K1231" s="82" t="s">
        <v>2276</v>
      </c>
      <c r="L1231" s="11">
        <v>2007</v>
      </c>
      <c r="M1231" s="11">
        <v>2009</v>
      </c>
      <c r="N1231" s="82" t="s">
        <v>2276</v>
      </c>
      <c r="O1231" s="19" t="s">
        <v>67</v>
      </c>
      <c r="P1231" s="19" t="s">
        <v>5187</v>
      </c>
      <c r="Q1231" s="204"/>
    </row>
    <row r="1232" spans="1:17" ht="32.5" customHeight="1">
      <c r="A1232" s="31">
        <v>312</v>
      </c>
      <c r="B1232" s="40" t="s">
        <v>7933</v>
      </c>
      <c r="C1232" s="204" t="s">
        <v>7930</v>
      </c>
      <c r="D1232" s="204" t="s">
        <v>2398</v>
      </c>
      <c r="E1232" s="204" t="s">
        <v>2422</v>
      </c>
      <c r="F1232" s="19" t="s">
        <v>7932</v>
      </c>
      <c r="G1232" s="4" t="s">
        <v>7931</v>
      </c>
      <c r="H1232" s="11" t="s">
        <v>88</v>
      </c>
      <c r="I1232" s="21">
        <f>8+37.5/60</f>
        <v>8.625</v>
      </c>
      <c r="J1232" s="21">
        <f>77 + 27.5/60</f>
        <v>77.458333333333329</v>
      </c>
      <c r="K1232" s="21">
        <v>60</v>
      </c>
      <c r="L1232" s="204">
        <v>1978</v>
      </c>
      <c r="M1232" s="204">
        <v>1999</v>
      </c>
      <c r="N1232" s="82" t="s">
        <v>2276</v>
      </c>
      <c r="O1232" s="19" t="s">
        <v>67</v>
      </c>
      <c r="P1232" s="19" t="s">
        <v>5187</v>
      </c>
      <c r="Q1232" s="204"/>
    </row>
    <row r="1233" spans="1:17" ht="47.5" customHeight="1">
      <c r="A1233" s="213">
        <v>313</v>
      </c>
      <c r="B1233" s="40" t="s">
        <v>7944</v>
      </c>
      <c r="C1233" s="19" t="s">
        <v>7939</v>
      </c>
      <c r="D1233" s="204" t="s">
        <v>2398</v>
      </c>
      <c r="E1233" s="204" t="s">
        <v>2405</v>
      </c>
      <c r="F1233" s="204" t="s">
        <v>7951</v>
      </c>
      <c r="G1233" s="204" t="s">
        <v>7956</v>
      </c>
      <c r="H1233" s="204" t="s">
        <v>6324</v>
      </c>
      <c r="I1233" s="21">
        <v>51.761150399999998</v>
      </c>
      <c r="J1233" s="21">
        <v>50.8381112</v>
      </c>
      <c r="K1233" s="21">
        <v>623.70000000000005</v>
      </c>
      <c r="L1233" s="204">
        <v>1984</v>
      </c>
      <c r="M1233" s="204">
        <v>1991</v>
      </c>
      <c r="N1233" s="82" t="s">
        <v>2276</v>
      </c>
      <c r="O1233" s="19" t="s">
        <v>67</v>
      </c>
      <c r="P1233" s="19" t="s">
        <v>5187</v>
      </c>
      <c r="Q1233" s="4" t="s">
        <v>7974</v>
      </c>
    </row>
    <row r="1234" spans="1:17" ht="47.5" customHeight="1">
      <c r="A1234" s="213">
        <v>313</v>
      </c>
      <c r="B1234" s="40" t="s">
        <v>7944</v>
      </c>
      <c r="C1234" s="19" t="s">
        <v>7940</v>
      </c>
      <c r="D1234" s="204" t="s">
        <v>2398</v>
      </c>
      <c r="E1234" s="204" t="s">
        <v>2405</v>
      </c>
      <c r="F1234" s="204" t="s">
        <v>7952</v>
      </c>
      <c r="G1234" s="204" t="s">
        <v>7956</v>
      </c>
      <c r="H1234" s="204" t="s">
        <v>6324</v>
      </c>
      <c r="I1234" s="21">
        <v>51.194652699999999</v>
      </c>
      <c r="J1234" s="21">
        <v>56.697021100000001</v>
      </c>
      <c r="K1234" s="21">
        <v>1203.9000000000001</v>
      </c>
      <c r="L1234" s="204">
        <v>1984</v>
      </c>
      <c r="M1234" s="204">
        <v>1991</v>
      </c>
      <c r="N1234" s="82" t="s">
        <v>2276</v>
      </c>
      <c r="O1234" s="19" t="s">
        <v>67</v>
      </c>
      <c r="P1234" s="19" t="s">
        <v>5187</v>
      </c>
      <c r="Q1234" s="4" t="s">
        <v>7974</v>
      </c>
    </row>
    <row r="1235" spans="1:17" ht="47.5" customHeight="1">
      <c r="A1235" s="213">
        <v>313</v>
      </c>
      <c r="B1235" s="40" t="s">
        <v>7944</v>
      </c>
      <c r="C1235" s="19" t="s">
        <v>7941</v>
      </c>
      <c r="D1235" s="204" t="s">
        <v>2398</v>
      </c>
      <c r="E1235" s="204" t="s">
        <v>2405</v>
      </c>
      <c r="F1235" s="204" t="s">
        <v>7954</v>
      </c>
      <c r="G1235" s="204" t="s">
        <v>7956</v>
      </c>
      <c r="H1235" s="204" t="s">
        <v>6324</v>
      </c>
      <c r="I1235" s="21">
        <v>50.7574933</v>
      </c>
      <c r="J1235" s="21">
        <v>57.497679699999999</v>
      </c>
      <c r="K1235" s="21">
        <v>736.6</v>
      </c>
      <c r="L1235" s="204">
        <v>1984</v>
      </c>
      <c r="M1235" s="204">
        <v>1991</v>
      </c>
      <c r="N1235" s="82" t="s">
        <v>2276</v>
      </c>
      <c r="O1235" s="19" t="s">
        <v>67</v>
      </c>
      <c r="P1235" s="19" t="s">
        <v>5187</v>
      </c>
      <c r="Q1235" s="4" t="s">
        <v>7974</v>
      </c>
    </row>
    <row r="1236" spans="1:17" ht="47.5" customHeight="1">
      <c r="A1236" s="213">
        <v>313</v>
      </c>
      <c r="B1236" s="40" t="s">
        <v>7944</v>
      </c>
      <c r="C1236" s="19" t="s">
        <v>7942</v>
      </c>
      <c r="D1236" s="204" t="s">
        <v>2398</v>
      </c>
      <c r="E1236" s="204" t="s">
        <v>2405</v>
      </c>
      <c r="F1236" s="204" t="s">
        <v>7953</v>
      </c>
      <c r="G1236" s="204" t="s">
        <v>7956</v>
      </c>
      <c r="H1236" s="204" t="s">
        <v>6324</v>
      </c>
      <c r="I1236" s="21">
        <v>50.923503199999999</v>
      </c>
      <c r="J1236" s="21">
        <v>55.386643200000002</v>
      </c>
      <c r="K1236" s="21">
        <v>1216.2</v>
      </c>
      <c r="L1236" s="204">
        <v>1984</v>
      </c>
      <c r="M1236" s="204">
        <v>1991</v>
      </c>
      <c r="N1236" s="82" t="s">
        <v>2276</v>
      </c>
      <c r="O1236" s="19" t="s">
        <v>67</v>
      </c>
      <c r="P1236" s="19" t="s">
        <v>5187</v>
      </c>
      <c r="Q1236" s="4" t="s">
        <v>7974</v>
      </c>
    </row>
    <row r="1237" spans="1:17" ht="47.5" customHeight="1">
      <c r="A1237" s="213">
        <v>313</v>
      </c>
      <c r="B1237" s="40" t="s">
        <v>7944</v>
      </c>
      <c r="C1237" s="19" t="s">
        <v>7943</v>
      </c>
      <c r="D1237" s="204" t="s">
        <v>2398</v>
      </c>
      <c r="E1237" s="204" t="s">
        <v>2405</v>
      </c>
      <c r="F1237" s="204" t="s">
        <v>7955</v>
      </c>
      <c r="G1237" s="204" t="s">
        <v>7956</v>
      </c>
      <c r="H1237" s="204" t="s">
        <v>6324</v>
      </c>
      <c r="I1237" s="21">
        <v>50.550775899999998</v>
      </c>
      <c r="J1237" s="21">
        <v>60.494869000000001</v>
      </c>
      <c r="K1237" s="21">
        <v>1316</v>
      </c>
      <c r="L1237" s="204">
        <v>1984</v>
      </c>
      <c r="M1237" s="204">
        <v>1991</v>
      </c>
      <c r="N1237" s="82" t="s">
        <v>2276</v>
      </c>
      <c r="O1237" s="19" t="s">
        <v>67</v>
      </c>
      <c r="P1237" s="19" t="s">
        <v>5187</v>
      </c>
      <c r="Q1237" s="4" t="s">
        <v>7974</v>
      </c>
    </row>
    <row r="1238" spans="1:17" ht="47.5" customHeight="1">
      <c r="A1238" s="213">
        <v>313</v>
      </c>
      <c r="B1238" s="40" t="s">
        <v>7944</v>
      </c>
      <c r="C1238" s="19" t="s">
        <v>7946</v>
      </c>
      <c r="D1238" s="204" t="s">
        <v>2398</v>
      </c>
      <c r="E1238" s="204" t="s">
        <v>2405</v>
      </c>
      <c r="F1238" s="204" t="s">
        <v>7951</v>
      </c>
      <c r="G1238" s="204" t="s">
        <v>7956</v>
      </c>
      <c r="H1238" s="204" t="s">
        <v>6324</v>
      </c>
      <c r="I1238" s="21">
        <v>51.761150399999998</v>
      </c>
      <c r="J1238" s="21">
        <v>50.8381112</v>
      </c>
      <c r="K1238" s="21">
        <v>623.70000000000005</v>
      </c>
      <c r="L1238" s="204">
        <v>1992</v>
      </c>
      <c r="M1238" s="204">
        <v>2015</v>
      </c>
      <c r="N1238" s="82" t="s">
        <v>2276</v>
      </c>
      <c r="O1238" s="19" t="s">
        <v>67</v>
      </c>
      <c r="P1238" s="19" t="s">
        <v>5187</v>
      </c>
      <c r="Q1238" s="4" t="s">
        <v>7974</v>
      </c>
    </row>
    <row r="1239" spans="1:17" ht="47.5" customHeight="1">
      <c r="A1239" s="213">
        <v>313</v>
      </c>
      <c r="B1239" s="40" t="s">
        <v>7944</v>
      </c>
      <c r="C1239" s="19" t="s">
        <v>7947</v>
      </c>
      <c r="D1239" s="204" t="s">
        <v>2398</v>
      </c>
      <c r="E1239" s="204" t="s">
        <v>2405</v>
      </c>
      <c r="F1239" s="204" t="s">
        <v>7952</v>
      </c>
      <c r="G1239" s="204" t="s">
        <v>7956</v>
      </c>
      <c r="H1239" s="204" t="s">
        <v>6324</v>
      </c>
      <c r="I1239" s="21">
        <v>51.194652699999999</v>
      </c>
      <c r="J1239" s="21">
        <v>56.697021100000001</v>
      </c>
      <c r="K1239" s="21">
        <v>1203.9000000000001</v>
      </c>
      <c r="L1239" s="204">
        <v>1992</v>
      </c>
      <c r="M1239" s="204">
        <v>2015</v>
      </c>
      <c r="N1239" s="82" t="s">
        <v>2276</v>
      </c>
      <c r="O1239" s="19" t="s">
        <v>67</v>
      </c>
      <c r="P1239" s="19" t="s">
        <v>5187</v>
      </c>
      <c r="Q1239" s="4" t="s">
        <v>7974</v>
      </c>
    </row>
    <row r="1240" spans="1:17" ht="47.5" customHeight="1">
      <c r="A1240" s="213">
        <v>313</v>
      </c>
      <c r="B1240" s="40" t="s">
        <v>7944</v>
      </c>
      <c r="C1240" s="19" t="s">
        <v>7948</v>
      </c>
      <c r="D1240" s="204" t="s">
        <v>2398</v>
      </c>
      <c r="E1240" s="204" t="s">
        <v>2405</v>
      </c>
      <c r="F1240" s="204" t="s">
        <v>7954</v>
      </c>
      <c r="G1240" s="204" t="s">
        <v>7956</v>
      </c>
      <c r="H1240" s="204" t="s">
        <v>6324</v>
      </c>
      <c r="I1240" s="21">
        <v>50.7574933</v>
      </c>
      <c r="J1240" s="21">
        <v>57.497679699999999</v>
      </c>
      <c r="K1240" s="21">
        <v>736.6</v>
      </c>
      <c r="L1240" s="204">
        <v>1992</v>
      </c>
      <c r="M1240" s="204">
        <v>2015</v>
      </c>
      <c r="N1240" s="82" t="s">
        <v>2276</v>
      </c>
      <c r="O1240" s="19" t="s">
        <v>67</v>
      </c>
      <c r="P1240" s="19" t="s">
        <v>5187</v>
      </c>
      <c r="Q1240" s="4" t="s">
        <v>7974</v>
      </c>
    </row>
    <row r="1241" spans="1:17" ht="47.5" customHeight="1">
      <c r="A1241" s="213">
        <v>313</v>
      </c>
      <c r="B1241" s="40" t="s">
        <v>7944</v>
      </c>
      <c r="C1241" s="19" t="s">
        <v>7949</v>
      </c>
      <c r="D1241" s="204" t="s">
        <v>2398</v>
      </c>
      <c r="E1241" s="204" t="s">
        <v>2405</v>
      </c>
      <c r="F1241" s="204" t="s">
        <v>7953</v>
      </c>
      <c r="G1241" s="204" t="s">
        <v>7956</v>
      </c>
      <c r="H1241" s="204" t="s">
        <v>6324</v>
      </c>
      <c r="I1241" s="21">
        <v>50.923503199999999</v>
      </c>
      <c r="J1241" s="21">
        <v>55.386643200000002</v>
      </c>
      <c r="K1241" s="21">
        <v>1216.2</v>
      </c>
      <c r="L1241" s="204">
        <v>1992</v>
      </c>
      <c r="M1241" s="204">
        <v>2015</v>
      </c>
      <c r="N1241" s="82" t="s">
        <v>2276</v>
      </c>
      <c r="O1241" s="19" t="s">
        <v>67</v>
      </c>
      <c r="P1241" s="19" t="s">
        <v>5187</v>
      </c>
      <c r="Q1241" s="4" t="s">
        <v>7974</v>
      </c>
    </row>
    <row r="1242" spans="1:17" ht="47.5" customHeight="1">
      <c r="A1242" s="213">
        <v>313</v>
      </c>
      <c r="B1242" s="40" t="s">
        <v>7944</v>
      </c>
      <c r="C1242" s="19" t="s">
        <v>7950</v>
      </c>
      <c r="D1242" s="204" t="s">
        <v>2398</v>
      </c>
      <c r="E1242" s="204" t="s">
        <v>2405</v>
      </c>
      <c r="F1242" s="204" t="s">
        <v>7955</v>
      </c>
      <c r="G1242" s="204" t="s">
        <v>7956</v>
      </c>
      <c r="H1242" s="204" t="s">
        <v>6324</v>
      </c>
      <c r="I1242" s="21">
        <v>50.550775899999998</v>
      </c>
      <c r="J1242" s="21">
        <v>60.494869000000001</v>
      </c>
      <c r="K1242" s="21">
        <v>1316</v>
      </c>
      <c r="L1242" s="204">
        <v>1992</v>
      </c>
      <c r="M1242" s="204">
        <v>2015</v>
      </c>
      <c r="N1242" s="82" t="s">
        <v>2276</v>
      </c>
      <c r="O1242" s="19" t="s">
        <v>67</v>
      </c>
      <c r="P1242" s="19" t="s">
        <v>5187</v>
      </c>
      <c r="Q1242" s="4" t="s">
        <v>7974</v>
      </c>
    </row>
    <row r="1243" spans="1:17" ht="49.5" customHeight="1">
      <c r="A1243" s="213">
        <v>314</v>
      </c>
      <c r="B1243" s="40" t="s">
        <v>7975</v>
      </c>
      <c r="C1243" s="19" t="s">
        <v>7976</v>
      </c>
      <c r="D1243" s="204" t="s">
        <v>2398</v>
      </c>
      <c r="E1243" s="204" t="s">
        <v>2405</v>
      </c>
      <c r="F1243" s="11" t="s">
        <v>2276</v>
      </c>
      <c r="G1243" s="11" t="s">
        <v>7978</v>
      </c>
      <c r="H1243" s="11" t="s">
        <v>7979</v>
      </c>
      <c r="I1243" s="21">
        <v>49.209090799999998</v>
      </c>
      <c r="J1243" s="21">
        <v>66.233013</v>
      </c>
      <c r="K1243" s="21">
        <v>540000</v>
      </c>
      <c r="L1243" s="204">
        <v>1990</v>
      </c>
      <c r="M1243" s="204">
        <v>1990</v>
      </c>
      <c r="N1243" s="82" t="s">
        <v>2276</v>
      </c>
      <c r="O1243" s="19" t="s">
        <v>67</v>
      </c>
      <c r="P1243" s="19" t="s">
        <v>5187</v>
      </c>
      <c r="Q1243" s="19" t="s">
        <v>7974</v>
      </c>
    </row>
    <row r="1244" spans="1:17" ht="53" customHeight="1">
      <c r="A1244" s="213">
        <v>314</v>
      </c>
      <c r="B1244" s="40" t="s">
        <v>7975</v>
      </c>
      <c r="C1244" s="19" t="s">
        <v>7977</v>
      </c>
      <c r="D1244" s="204" t="s">
        <v>2398</v>
      </c>
      <c r="E1244" s="204" t="s">
        <v>2405</v>
      </c>
      <c r="F1244" s="11" t="s">
        <v>2276</v>
      </c>
      <c r="G1244" s="11" t="s">
        <v>7978</v>
      </c>
      <c r="H1244" s="11" t="s">
        <v>7979</v>
      </c>
      <c r="I1244" s="21">
        <v>49.209090799999998</v>
      </c>
      <c r="J1244" s="21">
        <v>66.233013</v>
      </c>
      <c r="K1244" s="21">
        <v>540000</v>
      </c>
      <c r="L1244" s="204">
        <v>2010</v>
      </c>
      <c r="M1244" s="204">
        <v>2015</v>
      </c>
      <c r="N1244" s="82" t="s">
        <v>2276</v>
      </c>
      <c r="O1244" s="19" t="s">
        <v>67</v>
      </c>
      <c r="P1244" s="19" t="s">
        <v>5187</v>
      </c>
      <c r="Q1244" s="19" t="s">
        <v>7974</v>
      </c>
    </row>
    <row r="1245" spans="1:17" ht="39" customHeight="1">
      <c r="A1245" s="213">
        <v>315</v>
      </c>
      <c r="B1245" s="40" t="s">
        <v>7990</v>
      </c>
      <c r="C1245" s="19" t="s">
        <v>7991</v>
      </c>
      <c r="D1245" s="204" t="s">
        <v>2398</v>
      </c>
      <c r="E1245" s="204" t="s">
        <v>4847</v>
      </c>
      <c r="F1245" s="11" t="s">
        <v>2276</v>
      </c>
      <c r="G1245" s="11" t="s">
        <v>7992</v>
      </c>
      <c r="H1245" s="11" t="s">
        <v>4112</v>
      </c>
      <c r="I1245" s="21">
        <v>31.168934</v>
      </c>
      <c r="J1245" s="21">
        <v>-100.0768425</v>
      </c>
      <c r="K1245" s="21">
        <v>695662</v>
      </c>
      <c r="L1245" s="11">
        <v>1989</v>
      </c>
      <c r="M1245" s="11">
        <v>1989</v>
      </c>
      <c r="N1245" s="82" t="s">
        <v>2276</v>
      </c>
      <c r="O1245" s="19" t="s">
        <v>67</v>
      </c>
      <c r="P1245" s="19" t="s">
        <v>5187</v>
      </c>
      <c r="Q1245" s="204"/>
    </row>
    <row r="1246" spans="1:17" ht="40" customHeight="1">
      <c r="A1246" s="213">
        <v>316</v>
      </c>
      <c r="B1246" s="40" t="s">
        <v>7999</v>
      </c>
      <c r="C1246" s="19" t="s">
        <v>8000</v>
      </c>
      <c r="D1246" s="204" t="s">
        <v>2398</v>
      </c>
      <c r="E1246" s="204" t="s">
        <v>2399</v>
      </c>
      <c r="F1246" s="11" t="s">
        <v>8004</v>
      </c>
      <c r="G1246" s="11" t="s">
        <v>8002</v>
      </c>
      <c r="H1246" s="11" t="s">
        <v>4112</v>
      </c>
      <c r="I1246" s="21">
        <v>41.059414599999997</v>
      </c>
      <c r="J1246" s="21">
        <v>-115.52958649999999</v>
      </c>
      <c r="K1246" s="11" t="s">
        <v>2276</v>
      </c>
      <c r="L1246" s="204">
        <v>2006</v>
      </c>
      <c r="M1246" s="204">
        <v>2006</v>
      </c>
      <c r="N1246" s="82" t="s">
        <v>2276</v>
      </c>
      <c r="O1246" s="19" t="s">
        <v>67</v>
      </c>
      <c r="P1246" s="19" t="s">
        <v>5187</v>
      </c>
      <c r="Q1246" s="204"/>
    </row>
    <row r="1247" spans="1:17" ht="40" customHeight="1">
      <c r="A1247" s="213">
        <v>316</v>
      </c>
      <c r="B1247" s="40" t="s">
        <v>7999</v>
      </c>
      <c r="C1247" s="19" t="s">
        <v>8006</v>
      </c>
      <c r="D1247" s="204" t="s">
        <v>2398</v>
      </c>
      <c r="E1247" s="204" t="s">
        <v>2399</v>
      </c>
      <c r="F1247" s="11" t="s">
        <v>8001</v>
      </c>
      <c r="G1247" s="11" t="s">
        <v>6382</v>
      </c>
      <c r="H1247" s="11" t="s">
        <v>4112</v>
      </c>
      <c r="I1247" s="21">
        <v>42.805290999999997</v>
      </c>
      <c r="J1247" s="21">
        <v>-120.35529459999999</v>
      </c>
      <c r="K1247" s="11" t="s">
        <v>2276</v>
      </c>
      <c r="L1247" s="204">
        <v>2006</v>
      </c>
      <c r="M1247" s="204">
        <v>2006</v>
      </c>
      <c r="N1247" s="82" t="s">
        <v>2276</v>
      </c>
      <c r="O1247" s="19" t="s">
        <v>67</v>
      </c>
      <c r="P1247" s="19" t="s">
        <v>5187</v>
      </c>
      <c r="Q1247" s="204"/>
    </row>
    <row r="1248" spans="1:17" ht="40" customHeight="1">
      <c r="A1248" s="213">
        <v>316</v>
      </c>
      <c r="B1248" s="40" t="s">
        <v>7999</v>
      </c>
      <c r="C1248" s="19" t="s">
        <v>8007</v>
      </c>
      <c r="D1248" s="204" t="s">
        <v>2398</v>
      </c>
      <c r="E1248" s="204" t="s">
        <v>2399</v>
      </c>
      <c r="F1248" s="11" t="s">
        <v>8005</v>
      </c>
      <c r="G1248" s="11" t="s">
        <v>8003</v>
      </c>
      <c r="H1248" s="11" t="s">
        <v>4112</v>
      </c>
      <c r="I1248" s="21">
        <v>39.064330499999997</v>
      </c>
      <c r="J1248" s="21">
        <v>-113.032141</v>
      </c>
      <c r="K1248" s="11" t="s">
        <v>2276</v>
      </c>
      <c r="L1248" s="204">
        <v>2006</v>
      </c>
      <c r="M1248" s="204">
        <v>2006</v>
      </c>
      <c r="N1248" s="82" t="s">
        <v>2276</v>
      </c>
      <c r="O1248" s="19" t="s">
        <v>67</v>
      </c>
      <c r="P1248" s="19" t="s">
        <v>5187</v>
      </c>
      <c r="Q1248" s="204"/>
    </row>
    <row r="1249" spans="1:17" ht="35.5" customHeight="1">
      <c r="A1249" s="219">
        <v>317</v>
      </c>
      <c r="B1249" s="54" t="s">
        <v>8012</v>
      </c>
      <c r="C1249" s="55" t="s">
        <v>8013</v>
      </c>
      <c r="D1249" s="38" t="s">
        <v>2398</v>
      </c>
      <c r="E1249" s="38" t="s">
        <v>2399</v>
      </c>
      <c r="F1249" s="11" t="s">
        <v>2276</v>
      </c>
      <c r="G1249" s="204" t="s">
        <v>8014</v>
      </c>
      <c r="H1249" s="38" t="s">
        <v>4051</v>
      </c>
      <c r="I1249" s="73">
        <v>38.365554500000002</v>
      </c>
      <c r="J1249" s="73">
        <v>23.090027500000001</v>
      </c>
      <c r="K1249" s="73">
        <f>295200/100</f>
        <v>2952</v>
      </c>
      <c r="L1249" s="38">
        <v>2008</v>
      </c>
      <c r="M1249" s="38">
        <v>2008</v>
      </c>
      <c r="N1249" s="220">
        <f>123913/K1249</f>
        <v>41.975948509485093</v>
      </c>
      <c r="O1249" s="55" t="s">
        <v>67</v>
      </c>
      <c r="P1249" s="55" t="s">
        <v>5187</v>
      </c>
      <c r="Q1249" s="38"/>
    </row>
    <row r="1250" spans="1:17" ht="42" customHeight="1">
      <c r="A1250" s="213">
        <v>318</v>
      </c>
      <c r="B1250" s="40" t="s">
        <v>8018</v>
      </c>
      <c r="C1250" s="19" t="s">
        <v>8019</v>
      </c>
      <c r="D1250" s="204" t="s">
        <v>2398</v>
      </c>
      <c r="E1250" s="204" t="s">
        <v>2399</v>
      </c>
      <c r="F1250" s="204" t="s">
        <v>8022</v>
      </c>
      <c r="G1250" s="204" t="s">
        <v>8021</v>
      </c>
      <c r="H1250" s="11" t="s">
        <v>121</v>
      </c>
      <c r="I1250" s="21">
        <v>-28.203432500000002</v>
      </c>
      <c r="J1250" s="21">
        <v>-49.524720600000002</v>
      </c>
      <c r="K1250" s="21">
        <f>(49300-12000)/100</f>
        <v>373</v>
      </c>
      <c r="L1250" s="204">
        <v>2016</v>
      </c>
      <c r="M1250" s="204">
        <v>2016</v>
      </c>
      <c r="N1250" s="82" t="s">
        <v>2276</v>
      </c>
      <c r="O1250" s="55" t="s">
        <v>67</v>
      </c>
      <c r="P1250" s="55" t="s">
        <v>5187</v>
      </c>
      <c r="Q1250" s="204"/>
    </row>
    <row r="1251" spans="1:17" ht="38" customHeight="1">
      <c r="A1251" s="213">
        <v>318</v>
      </c>
      <c r="B1251" s="40" t="s">
        <v>8018</v>
      </c>
      <c r="C1251" s="19" t="s">
        <v>8020</v>
      </c>
      <c r="D1251" s="204" t="s">
        <v>2398</v>
      </c>
      <c r="E1251" s="204" t="s">
        <v>2399</v>
      </c>
      <c r="F1251" s="204" t="s">
        <v>8022</v>
      </c>
      <c r="G1251" s="204" t="s">
        <v>8021</v>
      </c>
      <c r="H1251" s="11" t="s">
        <v>121</v>
      </c>
      <c r="I1251" s="21">
        <v>-28.203432500000002</v>
      </c>
      <c r="J1251" s="21">
        <v>-49.524720600000002</v>
      </c>
      <c r="K1251" s="21">
        <f>12000/100</f>
        <v>120</v>
      </c>
      <c r="L1251" s="204">
        <v>2016</v>
      </c>
      <c r="M1251" s="204">
        <v>2016</v>
      </c>
      <c r="N1251" s="82" t="s">
        <v>2276</v>
      </c>
      <c r="O1251" s="55" t="s">
        <v>67</v>
      </c>
      <c r="P1251" s="55" t="s">
        <v>5187</v>
      </c>
      <c r="Q1251" s="204"/>
    </row>
    <row r="1252" spans="1:17" ht="32" customHeight="1">
      <c r="A1252" s="213">
        <v>319</v>
      </c>
      <c r="B1252" s="40" t="s">
        <v>8029</v>
      </c>
      <c r="C1252" s="19" t="s">
        <v>8030</v>
      </c>
      <c r="D1252" s="204" t="s">
        <v>2398</v>
      </c>
      <c r="E1252" s="204" t="s">
        <v>2399</v>
      </c>
      <c r="F1252" s="11" t="s">
        <v>8031</v>
      </c>
      <c r="G1252" s="11" t="s">
        <v>2276</v>
      </c>
      <c r="H1252" s="11" t="s">
        <v>121</v>
      </c>
      <c r="I1252" s="21">
        <v>-13.3238237</v>
      </c>
      <c r="J1252" s="21">
        <v>-51.679792200000001</v>
      </c>
      <c r="K1252" s="74" t="s">
        <v>2276</v>
      </c>
      <c r="L1252" s="11">
        <v>2005</v>
      </c>
      <c r="M1252" s="11">
        <v>2005</v>
      </c>
      <c r="N1252" s="82" t="s">
        <v>2276</v>
      </c>
      <c r="O1252" s="19" t="s">
        <v>67</v>
      </c>
      <c r="P1252" s="19" t="s">
        <v>5187</v>
      </c>
      <c r="Q1252" s="204" t="s">
        <v>4663</v>
      </c>
    </row>
    <row r="1253" spans="1:17" ht="32" customHeight="1">
      <c r="A1253" s="213">
        <v>320</v>
      </c>
      <c r="B1253" s="40" t="s">
        <v>8037</v>
      </c>
      <c r="C1253" s="19" t="s">
        <v>8038</v>
      </c>
      <c r="D1253" s="204" t="s">
        <v>2398</v>
      </c>
      <c r="E1253" s="204" t="s">
        <v>2636</v>
      </c>
      <c r="F1253" s="11" t="s">
        <v>2276</v>
      </c>
      <c r="G1253" s="204" t="s">
        <v>8039</v>
      </c>
      <c r="H1253" s="204" t="s">
        <v>4112</v>
      </c>
      <c r="I1253" s="21">
        <v>41.500819499999999</v>
      </c>
      <c r="J1253" s="21">
        <v>-99.680902000000003</v>
      </c>
      <c r="K1253" s="74" t="s">
        <v>2276</v>
      </c>
      <c r="L1253" s="204">
        <v>2013</v>
      </c>
      <c r="M1253" s="204">
        <v>2013</v>
      </c>
      <c r="N1253" s="82" t="s">
        <v>2276</v>
      </c>
      <c r="O1253" s="19" t="s">
        <v>67</v>
      </c>
      <c r="P1253" s="19" t="s">
        <v>5187</v>
      </c>
      <c r="Q1253" s="204"/>
    </row>
    <row r="1254" spans="1:17" ht="35.5" customHeight="1">
      <c r="A1254" s="213">
        <v>320</v>
      </c>
      <c r="B1254" s="40" t="s">
        <v>8037</v>
      </c>
      <c r="C1254" s="19" t="s">
        <v>8040</v>
      </c>
      <c r="D1254" s="204" t="s">
        <v>2398</v>
      </c>
      <c r="E1254" s="204" t="s">
        <v>2636</v>
      </c>
      <c r="F1254" s="11" t="s">
        <v>2276</v>
      </c>
      <c r="G1254" s="204" t="s">
        <v>8054</v>
      </c>
      <c r="H1254" s="204" t="s">
        <v>4112</v>
      </c>
      <c r="I1254" s="21">
        <v>33.341137000000003</v>
      </c>
      <c r="J1254" s="21">
        <v>-93.667402699999997</v>
      </c>
      <c r="K1254" s="74" t="s">
        <v>2276</v>
      </c>
      <c r="L1254" s="204">
        <v>2013</v>
      </c>
      <c r="M1254" s="204">
        <v>2013</v>
      </c>
      <c r="N1254" s="82" t="s">
        <v>2276</v>
      </c>
      <c r="O1254" s="19" t="s">
        <v>67</v>
      </c>
      <c r="P1254" s="19" t="s">
        <v>5187</v>
      </c>
      <c r="Q1254" s="204"/>
    </row>
    <row r="1255" spans="1:17" ht="32" customHeight="1">
      <c r="A1255" s="213">
        <v>321</v>
      </c>
      <c r="B1255" s="40" t="s">
        <v>8055</v>
      </c>
      <c r="C1255" s="19" t="s">
        <v>8056</v>
      </c>
      <c r="D1255" s="204" t="s">
        <v>2398</v>
      </c>
      <c r="E1255" s="204" t="s">
        <v>2399</v>
      </c>
      <c r="F1255" s="204" t="s">
        <v>2712</v>
      </c>
      <c r="G1255" s="204" t="s">
        <v>166</v>
      </c>
      <c r="H1255" s="204" t="s">
        <v>121</v>
      </c>
      <c r="I1255" s="21">
        <v>-2.8860166</v>
      </c>
      <c r="J1255" s="21">
        <v>-47.151278699999999</v>
      </c>
      <c r="K1255" s="74">
        <f>'Land use'!I1255*30/100</f>
        <v>1870.3422053231939</v>
      </c>
      <c r="L1255" s="204">
        <v>1965</v>
      </c>
      <c r="M1255" s="204">
        <v>1985</v>
      </c>
      <c r="N1255" s="82" t="s">
        <v>2276</v>
      </c>
      <c r="O1255" s="19" t="s">
        <v>67</v>
      </c>
      <c r="P1255" s="19" t="s">
        <v>5187</v>
      </c>
      <c r="Q1255" s="204"/>
    </row>
    <row r="1256" spans="1:17" ht="30.5" customHeight="1">
      <c r="A1256" s="213">
        <v>322</v>
      </c>
      <c r="B1256" s="40" t="s">
        <v>8062</v>
      </c>
      <c r="C1256" s="19" t="s">
        <v>8063</v>
      </c>
      <c r="D1256" s="204" t="s">
        <v>2398</v>
      </c>
      <c r="E1256" s="204" t="s">
        <v>2399</v>
      </c>
      <c r="F1256" s="11" t="s">
        <v>2276</v>
      </c>
      <c r="G1256" s="11" t="s">
        <v>2276</v>
      </c>
      <c r="H1256" s="204" t="s">
        <v>4112</v>
      </c>
      <c r="I1256" s="21">
        <v>37.6</v>
      </c>
      <c r="J1256" s="21">
        <v>-95.665000000000006</v>
      </c>
      <c r="K1256" s="74" t="s">
        <v>2276</v>
      </c>
      <c r="L1256" s="204">
        <v>2003</v>
      </c>
      <c r="M1256" s="204">
        <v>2003</v>
      </c>
      <c r="N1256" s="82" t="s">
        <v>2276</v>
      </c>
      <c r="O1256" s="19" t="s">
        <v>67</v>
      </c>
      <c r="P1256" s="19" t="s">
        <v>5187</v>
      </c>
      <c r="Q1256" s="204" t="s">
        <v>8064</v>
      </c>
    </row>
    <row r="1257" spans="1:17" ht="34.5" customHeight="1">
      <c r="A1257" s="213">
        <v>323</v>
      </c>
      <c r="B1257" s="40" t="s">
        <v>8071</v>
      </c>
      <c r="C1257" s="19" t="s">
        <v>8069</v>
      </c>
      <c r="D1257" s="204" t="s">
        <v>2398</v>
      </c>
      <c r="E1257" s="204" t="s">
        <v>2399</v>
      </c>
      <c r="F1257" s="11" t="s">
        <v>2276</v>
      </c>
      <c r="G1257" s="11" t="s">
        <v>8070</v>
      </c>
      <c r="H1257" s="11" t="s">
        <v>929</v>
      </c>
      <c r="I1257" s="21">
        <v>-1.7226115</v>
      </c>
      <c r="J1257" s="21">
        <v>-78.578197799999998</v>
      </c>
      <c r="K1257" s="74" t="s">
        <v>2276</v>
      </c>
      <c r="L1257" s="204">
        <v>2011</v>
      </c>
      <c r="M1257" s="204">
        <v>2011</v>
      </c>
      <c r="N1257" s="82" t="s">
        <v>2276</v>
      </c>
      <c r="O1257" s="19" t="s">
        <v>67</v>
      </c>
      <c r="P1257" s="19" t="s">
        <v>5187</v>
      </c>
      <c r="Q1257" s="204"/>
    </row>
    <row r="1258" spans="1:17" ht="36.5" customHeight="1">
      <c r="A1258" s="213">
        <v>324</v>
      </c>
      <c r="B1258" s="40" t="s">
        <v>8075</v>
      </c>
      <c r="C1258" s="19" t="s">
        <v>8076</v>
      </c>
      <c r="D1258" s="204" t="s">
        <v>2398</v>
      </c>
      <c r="E1258" s="204" t="s">
        <v>2422</v>
      </c>
      <c r="F1258" s="11" t="s">
        <v>2276</v>
      </c>
      <c r="G1258" s="204" t="s">
        <v>7102</v>
      </c>
      <c r="H1258" s="204" t="s">
        <v>6116</v>
      </c>
      <c r="I1258" s="21">
        <v>42.986513199999997</v>
      </c>
      <c r="J1258" s="21">
        <v>-0.81194359999999999</v>
      </c>
      <c r="K1258" s="21">
        <v>125</v>
      </c>
      <c r="L1258" s="204">
        <v>1965</v>
      </c>
      <c r="M1258" s="204">
        <v>2010</v>
      </c>
      <c r="N1258" s="82" t="s">
        <v>2276</v>
      </c>
      <c r="O1258" s="19" t="s">
        <v>67</v>
      </c>
      <c r="P1258" s="19" t="s">
        <v>5187</v>
      </c>
      <c r="Q1258" s="204"/>
    </row>
    <row r="1259" spans="1:17" s="203" customFormat="1" ht="36.5" customHeight="1">
      <c r="A1259" s="213">
        <v>325</v>
      </c>
      <c r="B1259" s="40" t="s">
        <v>8081</v>
      </c>
      <c r="C1259" s="19" t="s">
        <v>8082</v>
      </c>
      <c r="D1259" s="204" t="s">
        <v>2398</v>
      </c>
      <c r="E1259" s="204" t="s">
        <v>2399</v>
      </c>
      <c r="F1259" s="11" t="s">
        <v>8084</v>
      </c>
      <c r="G1259" s="11" t="s">
        <v>8083</v>
      </c>
      <c r="H1259" s="11" t="s">
        <v>5224</v>
      </c>
      <c r="I1259" s="21">
        <v>28.250747499999999</v>
      </c>
      <c r="J1259" s="21">
        <v>84.658917200000005</v>
      </c>
      <c r="K1259" s="21" t="s">
        <v>2276</v>
      </c>
      <c r="L1259" s="11">
        <v>1970</v>
      </c>
      <c r="M1259" s="11">
        <v>1970</v>
      </c>
      <c r="N1259" s="82" t="s">
        <v>2276</v>
      </c>
      <c r="O1259" s="19" t="s">
        <v>67</v>
      </c>
      <c r="P1259" s="19" t="s">
        <v>5187</v>
      </c>
      <c r="Q1259" s="204" t="s">
        <v>8086</v>
      </c>
    </row>
    <row r="1260" spans="1:17" ht="38" customHeight="1">
      <c r="A1260" s="213">
        <v>325</v>
      </c>
      <c r="B1260" s="40" t="s">
        <v>8081</v>
      </c>
      <c r="C1260" s="19" t="s">
        <v>8085</v>
      </c>
      <c r="D1260" s="204" t="s">
        <v>2398</v>
      </c>
      <c r="E1260" s="204" t="s">
        <v>2399</v>
      </c>
      <c r="F1260" s="11" t="s">
        <v>8084</v>
      </c>
      <c r="G1260" s="11" t="s">
        <v>8083</v>
      </c>
      <c r="H1260" s="11" t="s">
        <v>5224</v>
      </c>
      <c r="I1260" s="21">
        <v>28.250747499999999</v>
      </c>
      <c r="J1260" s="21">
        <v>84.658917200000005</v>
      </c>
      <c r="K1260" s="21" t="s">
        <v>2276</v>
      </c>
      <c r="L1260" s="11">
        <v>2009</v>
      </c>
      <c r="M1260" s="11">
        <v>2009</v>
      </c>
      <c r="N1260" s="82" t="s">
        <v>2276</v>
      </c>
      <c r="O1260" s="19" t="s">
        <v>67</v>
      </c>
      <c r="P1260" s="19" t="s">
        <v>5187</v>
      </c>
      <c r="Q1260" s="204"/>
    </row>
    <row r="1261" spans="1:17" ht="40.5" customHeight="1">
      <c r="A1261" s="213">
        <v>326</v>
      </c>
      <c r="B1261" s="40" t="s">
        <v>8097</v>
      </c>
      <c r="C1261" s="19" t="s">
        <v>8095</v>
      </c>
      <c r="D1261" s="204" t="s">
        <v>2398</v>
      </c>
      <c r="E1261" s="204" t="s">
        <v>2399</v>
      </c>
      <c r="F1261" s="11" t="s">
        <v>8098</v>
      </c>
      <c r="G1261" s="11" t="s">
        <v>2276</v>
      </c>
      <c r="H1261" s="11" t="s">
        <v>8099</v>
      </c>
      <c r="I1261" s="21">
        <f>46+37/60</f>
        <v>46.616666666666667</v>
      </c>
      <c r="J1261" s="21">
        <f>25+57/60</f>
        <v>25.95</v>
      </c>
      <c r="K1261" s="21">
        <v>60</v>
      </c>
      <c r="L1261" s="11">
        <v>2010</v>
      </c>
      <c r="M1261" s="11">
        <v>2010</v>
      </c>
      <c r="N1261" s="82" t="s">
        <v>2276</v>
      </c>
      <c r="O1261" s="19" t="s">
        <v>67</v>
      </c>
      <c r="P1261" s="19" t="s">
        <v>5187</v>
      </c>
      <c r="Q1261" s="4" t="s">
        <v>8100</v>
      </c>
    </row>
    <row r="1262" spans="1:17" ht="36" customHeight="1">
      <c r="A1262" s="213">
        <v>327</v>
      </c>
      <c r="B1262" s="40" t="s">
        <v>8106</v>
      </c>
      <c r="C1262" s="19" t="s">
        <v>8104</v>
      </c>
      <c r="D1262" s="204" t="s">
        <v>2398</v>
      </c>
      <c r="E1262" s="204" t="s">
        <v>2399</v>
      </c>
      <c r="F1262" s="204" t="s">
        <v>8105</v>
      </c>
      <c r="G1262" s="11" t="s">
        <v>2276</v>
      </c>
      <c r="H1262" s="204" t="s">
        <v>4942</v>
      </c>
      <c r="I1262" s="21">
        <f>45+13/60</f>
        <v>45.216666666666669</v>
      </c>
      <c r="J1262" s="21">
        <f>7+41/60</f>
        <v>7.6833333333333336</v>
      </c>
      <c r="K1262" s="21">
        <f>2635/100</f>
        <v>26.35</v>
      </c>
      <c r="L1262" s="204">
        <v>1999</v>
      </c>
      <c r="M1262" s="204">
        <v>2006</v>
      </c>
      <c r="N1262" s="82" t="s">
        <v>2276</v>
      </c>
      <c r="O1262" s="19" t="s">
        <v>67</v>
      </c>
      <c r="P1262" s="19" t="s">
        <v>5187</v>
      </c>
      <c r="Q1262" s="204"/>
    </row>
    <row r="1263" spans="1:17" ht="33" customHeight="1">
      <c r="A1263" s="213">
        <v>328</v>
      </c>
      <c r="B1263" s="40" t="s">
        <v>8114</v>
      </c>
      <c r="C1263" s="19" t="s">
        <v>8115</v>
      </c>
      <c r="D1263" s="204" t="s">
        <v>2398</v>
      </c>
      <c r="E1263" s="204" t="s">
        <v>4847</v>
      </c>
      <c r="F1263" s="4" t="s">
        <v>8116</v>
      </c>
      <c r="G1263" s="11" t="s">
        <v>2276</v>
      </c>
      <c r="H1263" s="204" t="s">
        <v>4942</v>
      </c>
      <c r="I1263" s="21">
        <v>40.335790000000003</v>
      </c>
      <c r="J1263" s="21">
        <v>15.651869</v>
      </c>
      <c r="K1263" s="21">
        <f>71838/100</f>
        <v>718.38</v>
      </c>
      <c r="L1263" s="204">
        <v>2004</v>
      </c>
      <c r="M1263" s="204">
        <v>2004</v>
      </c>
      <c r="N1263" s="82" t="s">
        <v>2276</v>
      </c>
      <c r="O1263" s="19" t="s">
        <v>67</v>
      </c>
      <c r="P1263" s="19" t="s">
        <v>5187</v>
      </c>
      <c r="Q1263" s="4" t="s">
        <v>8121</v>
      </c>
    </row>
    <row r="1264" spans="1:17" ht="33" customHeight="1">
      <c r="A1264" s="213">
        <v>328</v>
      </c>
      <c r="B1264" s="40" t="s">
        <v>8114</v>
      </c>
      <c r="C1264" s="19" t="s">
        <v>8115</v>
      </c>
      <c r="D1264" s="204" t="s">
        <v>2398</v>
      </c>
      <c r="E1264" s="204" t="s">
        <v>4847</v>
      </c>
      <c r="F1264" s="204" t="s">
        <v>8117</v>
      </c>
      <c r="G1264" s="204" t="s">
        <v>8118</v>
      </c>
      <c r="H1264" s="204" t="s">
        <v>4942</v>
      </c>
      <c r="I1264" s="21">
        <v>41.781708100000003</v>
      </c>
      <c r="J1264" s="21">
        <v>15.851642099999999</v>
      </c>
      <c r="K1264" s="21">
        <f>262000/100</f>
        <v>2620</v>
      </c>
      <c r="L1264" s="204">
        <v>2001</v>
      </c>
      <c r="M1264" s="204">
        <v>2001</v>
      </c>
      <c r="N1264" s="82" t="s">
        <v>2276</v>
      </c>
      <c r="O1264" s="19" t="s">
        <v>67</v>
      </c>
      <c r="P1264" s="19" t="s">
        <v>5187</v>
      </c>
      <c r="Q1264" s="4" t="s">
        <v>8121</v>
      </c>
    </row>
    <row r="1265" spans="1:17" ht="33" customHeight="1">
      <c r="A1265" s="213">
        <v>328</v>
      </c>
      <c r="B1265" s="40" t="s">
        <v>8114</v>
      </c>
      <c r="C1265" s="19" t="s">
        <v>8115</v>
      </c>
      <c r="D1265" s="204" t="s">
        <v>2398</v>
      </c>
      <c r="E1265" s="204" t="s">
        <v>4847</v>
      </c>
      <c r="F1265" s="204" t="s">
        <v>8119</v>
      </c>
      <c r="G1265" s="204" t="s">
        <v>7151</v>
      </c>
      <c r="H1265" s="204" t="s">
        <v>4942</v>
      </c>
      <c r="I1265" s="21">
        <v>41.1113772</v>
      </c>
      <c r="J1265" s="21">
        <v>16.882080200000001</v>
      </c>
      <c r="K1265" s="21">
        <f>513831/100</f>
        <v>5138.3100000000004</v>
      </c>
      <c r="L1265" s="204">
        <v>2001</v>
      </c>
      <c r="M1265" s="204">
        <v>2001</v>
      </c>
      <c r="N1265" s="82" t="s">
        <v>2276</v>
      </c>
      <c r="O1265" s="19" t="s">
        <v>67</v>
      </c>
      <c r="P1265" s="19" t="s">
        <v>5187</v>
      </c>
      <c r="Q1265" s="4" t="s">
        <v>8121</v>
      </c>
    </row>
    <row r="1266" spans="1:17" ht="33" customHeight="1">
      <c r="A1266" s="213">
        <v>328</v>
      </c>
      <c r="B1266" s="40" t="s">
        <v>8114</v>
      </c>
      <c r="C1266" s="19" t="s">
        <v>8115</v>
      </c>
      <c r="D1266" s="204" t="s">
        <v>2398</v>
      </c>
      <c r="E1266" s="204" t="s">
        <v>4847</v>
      </c>
      <c r="F1266" s="11" t="s">
        <v>2276</v>
      </c>
      <c r="G1266" s="204" t="s">
        <v>8120</v>
      </c>
      <c r="H1266" s="204" t="s">
        <v>4942</v>
      </c>
      <c r="I1266" s="21">
        <v>40.517362499999997</v>
      </c>
      <c r="J1266" s="21">
        <v>16.1010794</v>
      </c>
      <c r="K1266" s="21">
        <f>999461/100</f>
        <v>9994.61</v>
      </c>
      <c r="L1266" s="204">
        <v>2003</v>
      </c>
      <c r="M1266" s="204">
        <v>2003</v>
      </c>
      <c r="N1266" s="82" t="s">
        <v>2276</v>
      </c>
      <c r="O1266" s="19" t="s">
        <v>67</v>
      </c>
      <c r="P1266" s="19" t="s">
        <v>5187</v>
      </c>
      <c r="Q1266" s="4" t="s">
        <v>8121</v>
      </c>
    </row>
    <row r="1267" spans="1:17" ht="33.5" customHeight="1">
      <c r="A1267" s="213">
        <v>329</v>
      </c>
      <c r="B1267" s="40" t="s">
        <v>8157</v>
      </c>
      <c r="C1267" s="19" t="s">
        <v>8158</v>
      </c>
      <c r="D1267" s="204" t="s">
        <v>2398</v>
      </c>
      <c r="E1267" s="204" t="s">
        <v>2400</v>
      </c>
      <c r="F1267" s="204" t="s">
        <v>5999</v>
      </c>
      <c r="G1267" s="204" t="s">
        <v>8159</v>
      </c>
      <c r="H1267" s="204" t="s">
        <v>3414</v>
      </c>
      <c r="I1267" s="21">
        <v>-23.0248937</v>
      </c>
      <c r="J1267" s="21">
        <v>122.2501329</v>
      </c>
      <c r="K1267" s="82" t="s">
        <v>2276</v>
      </c>
      <c r="L1267" s="204">
        <v>2002</v>
      </c>
      <c r="M1267" s="204">
        <v>2002</v>
      </c>
      <c r="N1267" s="82" t="s">
        <v>2276</v>
      </c>
      <c r="O1267" s="19" t="s">
        <v>67</v>
      </c>
      <c r="P1267" s="19" t="s">
        <v>5187</v>
      </c>
      <c r="Q1267" s="204"/>
    </row>
    <row r="1268" spans="1:17" ht="34.5" customHeight="1">
      <c r="A1268" s="213">
        <v>330</v>
      </c>
      <c r="B1268" s="40" t="s">
        <v>8166</v>
      </c>
      <c r="C1268" s="19" t="s">
        <v>8167</v>
      </c>
      <c r="D1268" s="11" t="s">
        <v>2398</v>
      </c>
      <c r="E1268" s="204" t="s">
        <v>2400</v>
      </c>
      <c r="F1268" s="204" t="s">
        <v>8169</v>
      </c>
      <c r="G1268" s="11" t="s">
        <v>2276</v>
      </c>
      <c r="H1268" s="204" t="s">
        <v>3798</v>
      </c>
      <c r="I1268" s="21">
        <v>10.3746457</v>
      </c>
      <c r="J1268" s="21">
        <v>-7.5191796000000002</v>
      </c>
      <c r="K1268" s="21">
        <v>33670</v>
      </c>
      <c r="L1268" s="204">
        <v>1999</v>
      </c>
      <c r="M1268" s="204">
        <v>2011</v>
      </c>
      <c r="N1268" s="82" t="s">
        <v>2276</v>
      </c>
      <c r="O1268" s="19" t="s">
        <v>67</v>
      </c>
      <c r="P1268" s="19" t="s">
        <v>5187</v>
      </c>
      <c r="Q1268" s="4" t="s">
        <v>8170</v>
      </c>
    </row>
    <row r="1269" spans="1:17" ht="32.5" customHeight="1">
      <c r="A1269" s="213">
        <v>330</v>
      </c>
      <c r="B1269" s="40" t="s">
        <v>8166</v>
      </c>
      <c r="C1269" s="19" t="s">
        <v>8168</v>
      </c>
      <c r="D1269" s="11" t="s">
        <v>2398</v>
      </c>
      <c r="E1269" s="204" t="s">
        <v>2400</v>
      </c>
      <c r="F1269" s="204" t="s">
        <v>8169</v>
      </c>
      <c r="G1269" s="11" t="s">
        <v>2276</v>
      </c>
      <c r="H1269" s="204" t="s">
        <v>1949</v>
      </c>
      <c r="I1269" s="21">
        <v>10.8939013</v>
      </c>
      <c r="J1269" s="21">
        <v>-2.6108250000000002</v>
      </c>
      <c r="K1269" s="21">
        <v>33670</v>
      </c>
      <c r="L1269" s="204">
        <v>2006</v>
      </c>
      <c r="M1269" s="204">
        <v>2007</v>
      </c>
      <c r="N1269" s="82" t="s">
        <v>2276</v>
      </c>
      <c r="O1269" s="19" t="s">
        <v>67</v>
      </c>
      <c r="P1269" s="19" t="s">
        <v>5187</v>
      </c>
      <c r="Q1269" s="4" t="s">
        <v>8170</v>
      </c>
    </row>
    <row r="1270" spans="1:17" ht="35.5" customHeight="1">
      <c r="A1270" s="213">
        <v>331</v>
      </c>
      <c r="B1270" s="40" t="s">
        <v>8190</v>
      </c>
      <c r="C1270" s="19" t="s">
        <v>8191</v>
      </c>
      <c r="D1270" s="11" t="s">
        <v>2398</v>
      </c>
      <c r="E1270" s="204" t="s">
        <v>2420</v>
      </c>
      <c r="F1270" s="204" t="s">
        <v>8192</v>
      </c>
      <c r="G1270" s="204" t="s">
        <v>8193</v>
      </c>
      <c r="H1270" s="11" t="s">
        <v>3414</v>
      </c>
      <c r="I1270" s="21">
        <v>-25.247209999999999</v>
      </c>
      <c r="J1270" s="21">
        <v>153.15142850000001</v>
      </c>
      <c r="K1270" s="21">
        <v>1655</v>
      </c>
      <c r="L1270" s="204">
        <v>1958</v>
      </c>
      <c r="M1270" s="204">
        <v>2016</v>
      </c>
      <c r="N1270" s="82" t="s">
        <v>2276</v>
      </c>
      <c r="O1270" s="19" t="s">
        <v>67</v>
      </c>
      <c r="P1270" s="19" t="s">
        <v>5187</v>
      </c>
      <c r="Q1270" s="204"/>
    </row>
    <row r="1271" spans="1:17" ht="45.5" customHeight="1">
      <c r="A1271" s="213">
        <v>332</v>
      </c>
      <c r="B1271" s="40" t="s">
        <v>8203</v>
      </c>
      <c r="C1271" s="19" t="s">
        <v>8202</v>
      </c>
      <c r="D1271" s="11" t="s">
        <v>2398</v>
      </c>
      <c r="E1271" s="204" t="s">
        <v>4847</v>
      </c>
      <c r="F1271" s="204" t="s">
        <v>8211</v>
      </c>
      <c r="G1271" s="11" t="s">
        <v>5372</v>
      </c>
      <c r="H1271" s="11" t="s">
        <v>5373</v>
      </c>
      <c r="I1271" s="21">
        <v>59.425642099999997</v>
      </c>
      <c r="J1271" s="21">
        <v>-126.1007951</v>
      </c>
      <c r="K1271" s="21">
        <f>40963/10</f>
        <v>4096.3</v>
      </c>
      <c r="L1271" s="11">
        <v>1922</v>
      </c>
      <c r="M1271" s="11">
        <v>2012</v>
      </c>
      <c r="N1271" s="82" t="s">
        <v>2276</v>
      </c>
      <c r="O1271" s="19" t="s">
        <v>67</v>
      </c>
      <c r="P1271" s="19" t="s">
        <v>5187</v>
      </c>
      <c r="Q1271" s="19" t="s">
        <v>8220</v>
      </c>
    </row>
    <row r="1272" spans="1:17" ht="45.5" customHeight="1">
      <c r="A1272" s="213">
        <v>332</v>
      </c>
      <c r="B1272" s="40" t="s">
        <v>8203</v>
      </c>
      <c r="C1272" s="19" t="s">
        <v>8208</v>
      </c>
      <c r="D1272" s="11" t="s">
        <v>2398</v>
      </c>
      <c r="E1272" s="204" t="s">
        <v>4847</v>
      </c>
      <c r="F1272" s="204" t="s">
        <v>8204</v>
      </c>
      <c r="G1272" s="11" t="s">
        <v>5372</v>
      </c>
      <c r="H1272" s="11" t="s">
        <v>5373</v>
      </c>
      <c r="I1272" s="21">
        <v>58.829031299999997</v>
      </c>
      <c r="J1272" s="21">
        <v>-126.9673714</v>
      </c>
      <c r="K1272" s="21">
        <f>12828810</f>
        <v>12828810</v>
      </c>
      <c r="L1272" s="11">
        <v>1922</v>
      </c>
      <c r="M1272" s="11">
        <v>2012</v>
      </c>
      <c r="N1272" s="82" t="s">
        <v>2276</v>
      </c>
      <c r="O1272" s="19" t="s">
        <v>67</v>
      </c>
      <c r="P1272" s="19" t="s">
        <v>5187</v>
      </c>
      <c r="Q1272" s="19" t="s">
        <v>8220</v>
      </c>
    </row>
    <row r="1273" spans="1:17" ht="45.5" customHeight="1">
      <c r="A1273" s="213">
        <v>332</v>
      </c>
      <c r="B1273" s="40" t="s">
        <v>8203</v>
      </c>
      <c r="C1273" s="19" t="s">
        <v>8209</v>
      </c>
      <c r="D1273" s="11" t="s">
        <v>2398</v>
      </c>
      <c r="E1273" s="204" t="s">
        <v>4847</v>
      </c>
      <c r="F1273" s="11" t="s">
        <v>8212</v>
      </c>
      <c r="G1273" s="11" t="s">
        <v>5372</v>
      </c>
      <c r="H1273" s="11" t="s">
        <v>5373</v>
      </c>
      <c r="I1273" s="21">
        <v>59.290074699999998</v>
      </c>
      <c r="J1273" s="21">
        <v>-127.0493494</v>
      </c>
      <c r="K1273" s="21">
        <f>15665/10</f>
        <v>1566.5</v>
      </c>
      <c r="L1273" s="11">
        <v>1922</v>
      </c>
      <c r="M1273" s="11">
        <v>2012</v>
      </c>
      <c r="N1273" s="82" t="s">
        <v>2276</v>
      </c>
      <c r="O1273" s="19" t="s">
        <v>67</v>
      </c>
      <c r="P1273" s="19" t="s">
        <v>5187</v>
      </c>
      <c r="Q1273" s="19" t="s">
        <v>8220</v>
      </c>
    </row>
    <row r="1274" spans="1:17" ht="45.5" customHeight="1">
      <c r="A1274" s="213">
        <v>332</v>
      </c>
      <c r="B1274" s="40" t="s">
        <v>8203</v>
      </c>
      <c r="C1274" s="19" t="s">
        <v>8210</v>
      </c>
      <c r="D1274" s="11" t="s">
        <v>2398</v>
      </c>
      <c r="E1274" s="204" t="s">
        <v>4847</v>
      </c>
      <c r="F1274" s="11" t="s">
        <v>8213</v>
      </c>
      <c r="G1274" s="11" t="s">
        <v>5372</v>
      </c>
      <c r="H1274" s="11" t="s">
        <v>5373</v>
      </c>
      <c r="I1274" s="21">
        <v>58.8477885</v>
      </c>
      <c r="J1274" s="21">
        <v>-125.23172409999999</v>
      </c>
      <c r="K1274" s="21">
        <f>34180/10</f>
        <v>3418</v>
      </c>
      <c r="L1274" s="11">
        <v>1922</v>
      </c>
      <c r="M1274" s="11">
        <v>2012</v>
      </c>
      <c r="N1274" s="82" t="s">
        <v>2276</v>
      </c>
      <c r="O1274" s="19" t="s">
        <v>67</v>
      </c>
      <c r="P1274" s="19" t="s">
        <v>5187</v>
      </c>
      <c r="Q1274" s="19" t="s">
        <v>8220</v>
      </c>
    </row>
    <row r="1275" spans="1:17" ht="45.5" customHeight="1">
      <c r="A1275" s="213">
        <v>332</v>
      </c>
      <c r="B1275" s="40" t="s">
        <v>8203</v>
      </c>
      <c r="C1275" s="19" t="s">
        <v>8217</v>
      </c>
      <c r="D1275" s="11" t="s">
        <v>2398</v>
      </c>
      <c r="E1275" s="204" t="s">
        <v>4847</v>
      </c>
      <c r="F1275" s="11" t="s">
        <v>8214</v>
      </c>
      <c r="G1275" s="11" t="s">
        <v>5372</v>
      </c>
      <c r="H1275" s="11" t="s">
        <v>5373</v>
      </c>
      <c r="I1275" s="21">
        <v>58.80574</v>
      </c>
      <c r="J1275" s="21">
        <v>-122.7109481</v>
      </c>
      <c r="K1275" s="21">
        <f>78188/10</f>
        <v>7818.8</v>
      </c>
      <c r="L1275" s="11">
        <v>1922</v>
      </c>
      <c r="M1275" s="11">
        <v>2012</v>
      </c>
      <c r="N1275" s="82" t="s">
        <v>2276</v>
      </c>
      <c r="O1275" s="19" t="s">
        <v>67</v>
      </c>
      <c r="P1275" s="19" t="s">
        <v>5187</v>
      </c>
      <c r="Q1275" s="19" t="s">
        <v>8220</v>
      </c>
    </row>
    <row r="1276" spans="1:17" ht="45.5" customHeight="1">
      <c r="A1276" s="213">
        <v>332</v>
      </c>
      <c r="B1276" s="40" t="s">
        <v>8203</v>
      </c>
      <c r="C1276" s="19" t="s">
        <v>8218</v>
      </c>
      <c r="D1276" s="11" t="s">
        <v>2398</v>
      </c>
      <c r="E1276" s="204" t="s">
        <v>4847</v>
      </c>
      <c r="F1276" s="11" t="s">
        <v>8215</v>
      </c>
      <c r="G1276" s="11" t="s">
        <v>5372</v>
      </c>
      <c r="H1276" s="11" t="s">
        <v>5373</v>
      </c>
      <c r="I1276" s="21">
        <v>57</v>
      </c>
      <c r="J1276" s="21">
        <v>-123.3677825</v>
      </c>
      <c r="K1276" s="21">
        <f>29473/10</f>
        <v>2947.3</v>
      </c>
      <c r="L1276" s="11">
        <v>1922</v>
      </c>
      <c r="M1276" s="11">
        <v>2012</v>
      </c>
      <c r="N1276" s="82" t="s">
        <v>2276</v>
      </c>
      <c r="O1276" s="19" t="s">
        <v>67</v>
      </c>
      <c r="P1276" s="19" t="s">
        <v>5187</v>
      </c>
      <c r="Q1276" s="19" t="s">
        <v>8220</v>
      </c>
    </row>
    <row r="1277" spans="1:17" ht="45.5" customHeight="1">
      <c r="A1277" s="213">
        <v>332</v>
      </c>
      <c r="B1277" s="40" t="s">
        <v>8203</v>
      </c>
      <c r="C1277" s="19" t="s">
        <v>8219</v>
      </c>
      <c r="D1277" s="11" t="s">
        <v>2398</v>
      </c>
      <c r="E1277" s="204" t="s">
        <v>4847</v>
      </c>
      <c r="F1277" s="11" t="s">
        <v>8216</v>
      </c>
      <c r="G1277" s="11" t="s">
        <v>5372</v>
      </c>
      <c r="H1277" s="11" t="s">
        <v>5373</v>
      </c>
      <c r="I1277" s="21">
        <v>57.5</v>
      </c>
      <c r="J1277" s="21">
        <v>-126.5</v>
      </c>
      <c r="K1277" s="21">
        <f>61049/10</f>
        <v>6104.9</v>
      </c>
      <c r="L1277" s="11">
        <v>1922</v>
      </c>
      <c r="M1277" s="11">
        <v>2012</v>
      </c>
      <c r="N1277" s="82" t="s">
        <v>2276</v>
      </c>
      <c r="O1277" s="19" t="s">
        <v>67</v>
      </c>
      <c r="P1277" s="19" t="s">
        <v>5187</v>
      </c>
      <c r="Q1277" s="19" t="s">
        <v>8220</v>
      </c>
    </row>
    <row r="1278" spans="1:17" ht="44.5" customHeight="1">
      <c r="A1278" s="213">
        <v>333</v>
      </c>
      <c r="B1278" s="40" t="s">
        <v>8201</v>
      </c>
      <c r="C1278" s="19" t="s">
        <v>8236</v>
      </c>
      <c r="D1278" s="11" t="s">
        <v>2398</v>
      </c>
      <c r="E1278" s="204" t="s">
        <v>2422</v>
      </c>
      <c r="F1278" s="11" t="s">
        <v>8204</v>
      </c>
      <c r="G1278" s="11" t="s">
        <v>5372</v>
      </c>
      <c r="H1278" s="11" t="s">
        <v>5373</v>
      </c>
      <c r="I1278" s="21">
        <v>58.8</v>
      </c>
      <c r="J1278" s="21">
        <v>-127.5</v>
      </c>
      <c r="K1278" s="21">
        <f>268059/100</f>
        <v>2680.59</v>
      </c>
      <c r="L1278" s="11">
        <v>2010</v>
      </c>
      <c r="M1278" s="11">
        <v>2012</v>
      </c>
      <c r="N1278" s="82" t="s">
        <v>2276</v>
      </c>
      <c r="O1278" s="19" t="s">
        <v>67</v>
      </c>
      <c r="P1278" s="19" t="s">
        <v>5187</v>
      </c>
      <c r="Q1278" s="204"/>
    </row>
    <row r="1279" spans="1:17" ht="44.5" customHeight="1">
      <c r="A1279" s="213">
        <v>333</v>
      </c>
      <c r="B1279" s="40" t="s">
        <v>8237</v>
      </c>
      <c r="C1279" s="19" t="s">
        <v>8240</v>
      </c>
      <c r="D1279" s="11" t="s">
        <v>2398</v>
      </c>
      <c r="E1279" s="204" t="s">
        <v>2422</v>
      </c>
      <c r="F1279" s="11" t="s">
        <v>8205</v>
      </c>
      <c r="G1279" s="11" t="s">
        <v>5372</v>
      </c>
      <c r="H1279" s="11" t="s">
        <v>5373</v>
      </c>
      <c r="I1279" s="21">
        <v>58.5</v>
      </c>
      <c r="J1279" s="21">
        <v>-124</v>
      </c>
      <c r="K1279" s="21">
        <f>383209/100</f>
        <v>3832.09</v>
      </c>
      <c r="L1279" s="11">
        <v>2010</v>
      </c>
      <c r="M1279" s="11">
        <v>2012</v>
      </c>
      <c r="N1279" s="82" t="s">
        <v>2276</v>
      </c>
      <c r="O1279" s="19" t="s">
        <v>67</v>
      </c>
      <c r="P1279" s="19" t="s">
        <v>5187</v>
      </c>
      <c r="Q1279" s="204"/>
    </row>
    <row r="1280" spans="1:17" ht="44.5" customHeight="1">
      <c r="A1280" s="213">
        <v>333</v>
      </c>
      <c r="B1280" s="40" t="s">
        <v>8238</v>
      </c>
      <c r="C1280" s="19" t="s">
        <v>8241</v>
      </c>
      <c r="D1280" s="11" t="s">
        <v>2398</v>
      </c>
      <c r="E1280" s="204" t="s">
        <v>2422</v>
      </c>
      <c r="F1280" s="11" t="s">
        <v>8206</v>
      </c>
      <c r="G1280" s="11" t="s">
        <v>5372</v>
      </c>
      <c r="H1280" s="11" t="s">
        <v>5373</v>
      </c>
      <c r="I1280" s="21">
        <v>58</v>
      </c>
      <c r="J1280" s="21">
        <v>-123.75</v>
      </c>
      <c r="K1280" s="21">
        <f>383209/100</f>
        <v>3832.09</v>
      </c>
      <c r="L1280" s="11">
        <v>2010</v>
      </c>
      <c r="M1280" s="11">
        <v>2012</v>
      </c>
      <c r="N1280" s="82" t="s">
        <v>2276</v>
      </c>
      <c r="O1280" s="19" t="s">
        <v>67</v>
      </c>
      <c r="P1280" s="19" t="s">
        <v>5187</v>
      </c>
      <c r="Q1280" s="204"/>
    </row>
    <row r="1281" spans="1:17" ht="44.5" customHeight="1">
      <c r="A1281" s="213">
        <v>333</v>
      </c>
      <c r="B1281" s="40" t="s">
        <v>8239</v>
      </c>
      <c r="C1281" s="19" t="s">
        <v>8242</v>
      </c>
      <c r="D1281" s="11" t="s">
        <v>2398</v>
      </c>
      <c r="E1281" s="204" t="s">
        <v>2422</v>
      </c>
      <c r="F1281" s="11" t="s">
        <v>8207</v>
      </c>
      <c r="G1281" s="11" t="s">
        <v>5372</v>
      </c>
      <c r="H1281" s="11" t="s">
        <v>5373</v>
      </c>
      <c r="I1281" s="21">
        <v>57.4</v>
      </c>
      <c r="J1281" s="21">
        <v>-123</v>
      </c>
      <c r="K1281" s="21">
        <f>27636/100</f>
        <v>276.36</v>
      </c>
      <c r="L1281" s="11">
        <v>2010</v>
      </c>
      <c r="M1281" s="11">
        <v>2012</v>
      </c>
      <c r="N1281" s="82" t="s">
        <v>2276</v>
      </c>
      <c r="O1281" s="19" t="s">
        <v>67</v>
      </c>
      <c r="P1281" s="19" t="s">
        <v>5187</v>
      </c>
      <c r="Q1281" s="204"/>
    </row>
    <row r="1282" spans="1:17" ht="51.5" customHeight="1">
      <c r="A1282" s="213">
        <v>334</v>
      </c>
      <c r="B1282" s="40" t="s">
        <v>8256</v>
      </c>
      <c r="C1282" s="19" t="s">
        <v>8257</v>
      </c>
      <c r="D1282" s="11" t="s">
        <v>2398</v>
      </c>
      <c r="E1282" s="204" t="s">
        <v>2399</v>
      </c>
      <c r="F1282" s="64" t="s">
        <v>8258</v>
      </c>
      <c r="G1282" s="11" t="s">
        <v>4605</v>
      </c>
      <c r="H1282" s="11" t="s">
        <v>3414</v>
      </c>
      <c r="I1282" s="21">
        <v>-12.7639627</v>
      </c>
      <c r="J1282" s="21">
        <v>132.2897361</v>
      </c>
      <c r="K1282" s="21" t="s">
        <v>2276</v>
      </c>
      <c r="L1282" s="22">
        <v>2002</v>
      </c>
      <c r="M1282" s="22">
        <v>2003</v>
      </c>
      <c r="N1282" s="82" t="s">
        <v>2276</v>
      </c>
      <c r="O1282" s="19" t="s">
        <v>67</v>
      </c>
      <c r="P1282" s="19" t="s">
        <v>5187</v>
      </c>
      <c r="Q1282" s="4"/>
    </row>
    <row r="1283" spans="1:17" ht="40" customHeight="1">
      <c r="A1283" s="213">
        <v>335</v>
      </c>
      <c r="B1283" s="40" t="s">
        <v>8272</v>
      </c>
      <c r="C1283" s="19" t="s">
        <v>8271</v>
      </c>
      <c r="D1283" s="11" t="s">
        <v>2398</v>
      </c>
      <c r="E1283" s="204" t="s">
        <v>2422</v>
      </c>
      <c r="F1283" s="204" t="s">
        <v>8274</v>
      </c>
      <c r="G1283" s="204" t="s">
        <v>8273</v>
      </c>
      <c r="H1283" s="204" t="s">
        <v>5373</v>
      </c>
      <c r="I1283" s="21">
        <v>51.554279899999997</v>
      </c>
      <c r="J1283" s="21">
        <v>-94.315953699999994</v>
      </c>
      <c r="K1283" s="21">
        <f>1200000/100</f>
        <v>12000</v>
      </c>
      <c r="L1283" s="204">
        <v>2006</v>
      </c>
      <c r="M1283" s="204">
        <v>2008</v>
      </c>
      <c r="N1283" s="82" t="s">
        <v>2276</v>
      </c>
      <c r="O1283" s="19" t="s">
        <v>67</v>
      </c>
      <c r="P1283" s="19" t="s">
        <v>5187</v>
      </c>
      <c r="Q1283" s="204"/>
    </row>
    <row r="1284" spans="1:17" ht="56.5" customHeight="1">
      <c r="A1284" s="213">
        <v>336</v>
      </c>
      <c r="B1284" s="40" t="s">
        <v>8283</v>
      </c>
      <c r="C1284" s="19" t="s">
        <v>8284</v>
      </c>
      <c r="D1284" s="204" t="s">
        <v>2398</v>
      </c>
      <c r="E1284" s="204" t="s">
        <v>2399</v>
      </c>
      <c r="F1284" s="204" t="s">
        <v>2276</v>
      </c>
      <c r="G1284" s="24" t="s">
        <v>5384</v>
      </c>
      <c r="H1284" s="24" t="s">
        <v>3414</v>
      </c>
      <c r="I1284" s="21">
        <v>-32.831150100000002</v>
      </c>
      <c r="J1284" s="21">
        <v>150.05236170000001</v>
      </c>
      <c r="K1284" s="21" t="s">
        <v>2276</v>
      </c>
      <c r="L1284" s="204">
        <v>2011</v>
      </c>
      <c r="M1284" s="204">
        <v>2011</v>
      </c>
      <c r="N1284" s="82" t="s">
        <v>2276</v>
      </c>
      <c r="O1284" s="19" t="s">
        <v>67</v>
      </c>
      <c r="P1284" s="19" t="s">
        <v>5187</v>
      </c>
      <c r="Q1284" s="4" t="s">
        <v>8287</v>
      </c>
    </row>
    <row r="1285" spans="1:17" ht="56.5" customHeight="1">
      <c r="A1285" s="213">
        <v>336</v>
      </c>
      <c r="B1285" s="40" t="s">
        <v>8283</v>
      </c>
      <c r="C1285" s="19" t="s">
        <v>8285</v>
      </c>
      <c r="D1285" s="204" t="s">
        <v>2398</v>
      </c>
      <c r="E1285" s="204" t="s">
        <v>2399</v>
      </c>
      <c r="F1285" s="204" t="s">
        <v>2276</v>
      </c>
      <c r="G1285" s="24" t="s">
        <v>8193</v>
      </c>
      <c r="H1285" s="24" t="s">
        <v>3414</v>
      </c>
      <c r="I1285" s="21">
        <v>-19.1939803</v>
      </c>
      <c r="J1285" s="21">
        <v>145.8228732</v>
      </c>
      <c r="K1285" s="21" t="s">
        <v>2276</v>
      </c>
      <c r="L1285" s="204">
        <v>2011</v>
      </c>
      <c r="M1285" s="204">
        <v>2011</v>
      </c>
      <c r="N1285" s="82" t="s">
        <v>2276</v>
      </c>
      <c r="O1285" s="19" t="s">
        <v>67</v>
      </c>
      <c r="P1285" s="19" t="s">
        <v>5187</v>
      </c>
      <c r="Q1285" s="4" t="s">
        <v>8287</v>
      </c>
    </row>
    <row r="1286" spans="1:17" ht="56.5" customHeight="1">
      <c r="A1286" s="213">
        <v>336</v>
      </c>
      <c r="B1286" s="40" t="s">
        <v>8283</v>
      </c>
      <c r="C1286" s="19" t="s">
        <v>8286</v>
      </c>
      <c r="D1286" s="204" t="s">
        <v>2398</v>
      </c>
      <c r="E1286" s="204" t="s">
        <v>2399</v>
      </c>
      <c r="F1286" s="204" t="s">
        <v>2276</v>
      </c>
      <c r="G1286" s="24" t="s">
        <v>4132</v>
      </c>
      <c r="H1286" s="24" t="s">
        <v>4132</v>
      </c>
      <c r="I1286" s="21">
        <v>37.269174499999998</v>
      </c>
      <c r="J1286" s="21">
        <v>-119.306607</v>
      </c>
      <c r="K1286" s="21" t="s">
        <v>2276</v>
      </c>
      <c r="L1286" s="204">
        <v>2011</v>
      </c>
      <c r="M1286" s="204">
        <v>2011</v>
      </c>
      <c r="N1286" s="82" t="s">
        <v>2276</v>
      </c>
      <c r="O1286" s="19" t="s">
        <v>67</v>
      </c>
      <c r="P1286" s="19" t="s">
        <v>5187</v>
      </c>
      <c r="Q1286" s="4" t="s">
        <v>8287</v>
      </c>
    </row>
    <row r="1287" spans="1:17" ht="39.5" customHeight="1">
      <c r="A1287" s="213">
        <v>337</v>
      </c>
      <c r="B1287" s="40" t="s">
        <v>8298</v>
      </c>
      <c r="C1287" s="19" t="s">
        <v>8299</v>
      </c>
      <c r="D1287" s="204" t="s">
        <v>2398</v>
      </c>
      <c r="E1287" s="204" t="s">
        <v>2399</v>
      </c>
      <c r="F1287" s="204" t="s">
        <v>8300</v>
      </c>
      <c r="G1287" s="204" t="s">
        <v>2276</v>
      </c>
      <c r="H1287" s="204" t="s">
        <v>4112</v>
      </c>
      <c r="I1287" s="21">
        <v>46.175186400000001</v>
      </c>
      <c r="J1287" s="21">
        <v>-116.35077649999999</v>
      </c>
      <c r="K1287" s="21">
        <f>770000/100</f>
        <v>7700</v>
      </c>
      <c r="L1287" s="204">
        <v>2006</v>
      </c>
      <c r="M1287" s="204">
        <v>2006</v>
      </c>
      <c r="N1287" s="82" t="s">
        <v>2276</v>
      </c>
      <c r="O1287" s="19" t="s">
        <v>67</v>
      </c>
      <c r="P1287" s="19" t="s">
        <v>5187</v>
      </c>
      <c r="Q1287" s="204"/>
    </row>
    <row r="1288" spans="1:17" ht="42" customHeight="1">
      <c r="A1288" s="213">
        <v>338</v>
      </c>
      <c r="B1288" s="40" t="s">
        <v>8313</v>
      </c>
      <c r="C1288" s="19" t="s">
        <v>8314</v>
      </c>
      <c r="D1288" s="204" t="s">
        <v>2398</v>
      </c>
      <c r="E1288" s="204" t="s">
        <v>2399</v>
      </c>
      <c r="F1288" s="11" t="s">
        <v>8320</v>
      </c>
      <c r="G1288" s="11" t="s">
        <v>8316</v>
      </c>
      <c r="H1288" s="26" t="s">
        <v>895</v>
      </c>
      <c r="I1288" s="21">
        <v>-9.7395355000000006</v>
      </c>
      <c r="J1288" s="21">
        <v>120.24248</v>
      </c>
      <c r="K1288" s="21">
        <v>33.5</v>
      </c>
      <c r="L1288" s="11">
        <v>2002</v>
      </c>
      <c r="M1288" s="11">
        <v>2004</v>
      </c>
      <c r="N1288" s="74">
        <v>42</v>
      </c>
      <c r="O1288" s="19" t="s">
        <v>67</v>
      </c>
      <c r="P1288" s="19" t="s">
        <v>5187</v>
      </c>
      <c r="Q1288" s="204"/>
    </row>
    <row r="1289" spans="1:17" ht="42" customHeight="1">
      <c r="A1289" s="213">
        <v>338</v>
      </c>
      <c r="B1289" s="40" t="s">
        <v>8313</v>
      </c>
      <c r="C1289" s="19" t="s">
        <v>8315</v>
      </c>
      <c r="D1289" s="204" t="s">
        <v>2398</v>
      </c>
      <c r="E1289" s="204" t="s">
        <v>2399</v>
      </c>
      <c r="F1289" s="11" t="s">
        <v>8321</v>
      </c>
      <c r="G1289" s="11" t="s">
        <v>8316</v>
      </c>
      <c r="H1289" s="26" t="s">
        <v>895</v>
      </c>
      <c r="I1289" s="21">
        <v>-9.7816895000000006</v>
      </c>
      <c r="J1289" s="21">
        <v>120.2661885</v>
      </c>
      <c r="K1289" s="21">
        <v>53</v>
      </c>
      <c r="L1289" s="11">
        <v>2002</v>
      </c>
      <c r="M1289" s="11">
        <v>2004</v>
      </c>
      <c r="N1289" s="74">
        <v>10</v>
      </c>
      <c r="O1289" s="19" t="s">
        <v>67</v>
      </c>
      <c r="P1289" s="19" t="s">
        <v>5187</v>
      </c>
      <c r="Q1289" s="204"/>
    </row>
    <row r="1290" spans="1:17" ht="42" customHeight="1">
      <c r="A1290" s="213">
        <v>338</v>
      </c>
      <c r="B1290" s="40" t="s">
        <v>8313</v>
      </c>
      <c r="C1290" s="19" t="s">
        <v>8318</v>
      </c>
      <c r="D1290" s="204" t="s">
        <v>2398</v>
      </c>
      <c r="E1290" s="204" t="s">
        <v>2399</v>
      </c>
      <c r="F1290" s="11" t="s">
        <v>8322</v>
      </c>
      <c r="G1290" s="11" t="s">
        <v>8317</v>
      </c>
      <c r="H1290" s="26" t="s">
        <v>895</v>
      </c>
      <c r="I1290" s="21">
        <v>-8.6796255000000002</v>
      </c>
      <c r="J1290" s="21">
        <v>121.19968160000001</v>
      </c>
      <c r="K1290" s="21">
        <v>17.2</v>
      </c>
      <c r="L1290" s="11">
        <v>2002</v>
      </c>
      <c r="M1290" s="11">
        <v>2004</v>
      </c>
      <c r="N1290" s="74">
        <v>46</v>
      </c>
      <c r="O1290" s="19" t="s">
        <v>67</v>
      </c>
      <c r="P1290" s="19" t="s">
        <v>5187</v>
      </c>
      <c r="Q1290" s="204"/>
    </row>
    <row r="1291" spans="1:17" ht="42" customHeight="1">
      <c r="A1291" s="213">
        <v>338</v>
      </c>
      <c r="B1291" s="40" t="s">
        <v>8313</v>
      </c>
      <c r="C1291" s="19" t="s">
        <v>8319</v>
      </c>
      <c r="D1291" s="204" t="s">
        <v>2398</v>
      </c>
      <c r="E1291" s="204" t="s">
        <v>2399</v>
      </c>
      <c r="F1291" s="11" t="s">
        <v>8323</v>
      </c>
      <c r="G1291" s="11" t="s">
        <v>8317</v>
      </c>
      <c r="H1291" s="26" t="s">
        <v>895</v>
      </c>
      <c r="I1291" s="21">
        <v>-8.7653958000000003</v>
      </c>
      <c r="J1291" s="21">
        <v>121.27408130000001</v>
      </c>
      <c r="K1291" s="21">
        <v>15</v>
      </c>
      <c r="L1291" s="11">
        <v>2002</v>
      </c>
      <c r="M1291" s="11">
        <v>2004</v>
      </c>
      <c r="N1291" s="74">
        <v>60</v>
      </c>
      <c r="O1291" s="19" t="s">
        <v>67</v>
      </c>
      <c r="P1291" s="19" t="s">
        <v>5187</v>
      </c>
      <c r="Q1291" s="204"/>
    </row>
    <row r="1292" spans="1:17" ht="41" customHeight="1">
      <c r="A1292" s="213">
        <v>338</v>
      </c>
      <c r="B1292" s="40" t="s">
        <v>8354</v>
      </c>
      <c r="C1292" s="19" t="s">
        <v>8356</v>
      </c>
      <c r="D1292" s="204" t="s">
        <v>2398</v>
      </c>
      <c r="E1292" s="204" t="s">
        <v>2400</v>
      </c>
      <c r="F1292" s="204" t="s">
        <v>2276</v>
      </c>
      <c r="G1292" s="11" t="s">
        <v>8316</v>
      </c>
      <c r="H1292" s="26" t="s">
        <v>895</v>
      </c>
      <c r="I1292" s="21">
        <f>AVERAGE(I1288:I1289)</f>
        <v>-9.7606125000000006</v>
      </c>
      <c r="J1292" s="21">
        <f>AVERAGE(J1288:J1289)</f>
        <v>120.25433425</v>
      </c>
      <c r="K1292" s="21">
        <f>SUM(K1288:K1289)</f>
        <v>86.5</v>
      </c>
      <c r="L1292" s="204">
        <v>2003</v>
      </c>
      <c r="M1292" s="204">
        <v>2004</v>
      </c>
      <c r="N1292" s="21">
        <f>AVERAGE(N1288*K1288, N1289*K1289)/SUM(K1288:K1289)</f>
        <v>11.196531791907514</v>
      </c>
      <c r="O1292" s="19" t="s">
        <v>67</v>
      </c>
      <c r="P1292" s="19" t="s">
        <v>5187</v>
      </c>
      <c r="Q1292" s="204" t="s">
        <v>8358</v>
      </c>
    </row>
    <row r="1293" spans="1:17" ht="34.5" customHeight="1">
      <c r="A1293" s="213">
        <v>338</v>
      </c>
      <c r="B1293" s="40" t="s">
        <v>8354</v>
      </c>
      <c r="C1293" s="19" t="s">
        <v>8357</v>
      </c>
      <c r="D1293" s="204" t="s">
        <v>2398</v>
      </c>
      <c r="E1293" s="204" t="s">
        <v>2400</v>
      </c>
      <c r="F1293" s="204" t="s">
        <v>2276</v>
      </c>
      <c r="G1293" s="11" t="s">
        <v>8317</v>
      </c>
      <c r="H1293" s="26" t="s">
        <v>895</v>
      </c>
      <c r="I1293" s="21">
        <f>AVERAGE(I1290:I1291)</f>
        <v>-8.7225106500000003</v>
      </c>
      <c r="J1293" s="21">
        <f>AVERAGE(J1290:J1291)</f>
        <v>121.23688145</v>
      </c>
      <c r="K1293" s="21">
        <f>SUM(K1290:K1291)</f>
        <v>32.200000000000003</v>
      </c>
      <c r="L1293" s="204">
        <v>2003</v>
      </c>
      <c r="M1293" s="204">
        <v>2004</v>
      </c>
      <c r="N1293" s="21">
        <f>AVERAGE(N1290*K1290, N1291*K1291)/SUM(K1290:K1291)</f>
        <v>26.260869565217387</v>
      </c>
      <c r="O1293" s="19" t="s">
        <v>67</v>
      </c>
      <c r="P1293" s="19" t="s">
        <v>5187</v>
      </c>
      <c r="Q1293" s="204" t="s">
        <v>8359</v>
      </c>
    </row>
    <row r="1294" spans="1:17" ht="48" customHeight="1">
      <c r="A1294" s="213">
        <v>339</v>
      </c>
      <c r="B1294" s="41" t="s">
        <v>8383</v>
      </c>
      <c r="C1294" s="19" t="s">
        <v>8355</v>
      </c>
      <c r="D1294" s="204" t="s">
        <v>2633</v>
      </c>
      <c r="E1294" s="204" t="s">
        <v>2399</v>
      </c>
      <c r="F1294" s="204" t="s">
        <v>2276</v>
      </c>
      <c r="G1294" s="11" t="s">
        <v>87</v>
      </c>
      <c r="H1294" s="26" t="s">
        <v>88</v>
      </c>
      <c r="I1294" s="21">
        <v>31.018273900000001</v>
      </c>
      <c r="J1294" s="21">
        <v>75.401169100000004</v>
      </c>
      <c r="K1294" s="21">
        <v>50362</v>
      </c>
      <c r="L1294" s="11">
        <v>2003</v>
      </c>
      <c r="M1294" s="11">
        <v>2003</v>
      </c>
      <c r="N1294" s="204" t="s">
        <v>2276</v>
      </c>
      <c r="O1294" s="19" t="s">
        <v>67</v>
      </c>
      <c r="P1294" s="19" t="s">
        <v>5187</v>
      </c>
      <c r="Q1294" s="204" t="s">
        <v>8385</v>
      </c>
    </row>
    <row r="1295" spans="1:17" ht="39" customHeight="1">
      <c r="A1295" s="213">
        <v>339</v>
      </c>
      <c r="B1295" s="41" t="s">
        <v>8383</v>
      </c>
      <c r="C1295" s="19" t="s">
        <v>8384</v>
      </c>
      <c r="D1295" s="204" t="s">
        <v>2633</v>
      </c>
      <c r="E1295" s="204" t="s">
        <v>2399</v>
      </c>
      <c r="F1295" s="204" t="s">
        <v>2276</v>
      </c>
      <c r="G1295" s="11" t="s">
        <v>90</v>
      </c>
      <c r="H1295" s="26" t="s">
        <v>88</v>
      </c>
      <c r="I1295" s="21">
        <v>29.282928999999999</v>
      </c>
      <c r="J1295" s="21">
        <v>76.026532000000003</v>
      </c>
      <c r="K1295" s="21">
        <v>44212</v>
      </c>
      <c r="L1295" s="11">
        <v>2003</v>
      </c>
      <c r="M1295" s="11">
        <v>2003</v>
      </c>
      <c r="N1295" s="204" t="s">
        <v>2276</v>
      </c>
      <c r="O1295" s="19" t="s">
        <v>67</v>
      </c>
      <c r="P1295" s="19" t="s">
        <v>5187</v>
      </c>
      <c r="Q1295" s="204" t="s">
        <v>8385</v>
      </c>
    </row>
    <row r="1296" spans="1:17" ht="33.5" customHeight="1">
      <c r="A1296" s="213">
        <v>339</v>
      </c>
      <c r="B1296" s="41" t="s">
        <v>8383</v>
      </c>
      <c r="C1296" s="19" t="s">
        <v>8390</v>
      </c>
      <c r="D1296" s="204" t="s">
        <v>2633</v>
      </c>
      <c r="E1296" s="204" t="s">
        <v>2399</v>
      </c>
      <c r="F1296" s="204" t="s">
        <v>2276</v>
      </c>
      <c r="G1296" s="11" t="s">
        <v>6277</v>
      </c>
      <c r="H1296" s="26" t="s">
        <v>88</v>
      </c>
      <c r="I1296" s="21">
        <v>27.141237</v>
      </c>
      <c r="J1296" s="21">
        <v>80.883381900000003</v>
      </c>
      <c r="K1296" s="21">
        <v>243286</v>
      </c>
      <c r="L1296" s="11">
        <v>2003</v>
      </c>
      <c r="M1296" s="11">
        <v>2003</v>
      </c>
      <c r="N1296" s="204" t="s">
        <v>2276</v>
      </c>
      <c r="O1296" s="19" t="s">
        <v>67</v>
      </c>
      <c r="P1296" s="19" t="s">
        <v>5187</v>
      </c>
      <c r="Q1296" s="204" t="s">
        <v>8392</v>
      </c>
    </row>
    <row r="1297" spans="1:17" ht="42.5" customHeight="1">
      <c r="A1297" s="213">
        <v>340</v>
      </c>
      <c r="B1297" s="40" t="s">
        <v>8415</v>
      </c>
      <c r="C1297" s="19" t="s">
        <v>8416</v>
      </c>
      <c r="D1297" s="204" t="s">
        <v>2398</v>
      </c>
      <c r="E1297" s="204" t="s">
        <v>2636</v>
      </c>
      <c r="F1297" s="204" t="s">
        <v>2276</v>
      </c>
      <c r="G1297" s="204" t="s">
        <v>2276</v>
      </c>
      <c r="H1297" s="26" t="s">
        <v>8417</v>
      </c>
      <c r="I1297" s="21">
        <v>52.5</v>
      </c>
      <c r="J1297" s="21">
        <v>-1</v>
      </c>
      <c r="K1297" s="21">
        <v>242495</v>
      </c>
      <c r="L1297" s="11">
        <v>1980</v>
      </c>
      <c r="M1297" s="11">
        <v>1995</v>
      </c>
      <c r="N1297" s="204" t="s">
        <v>2276</v>
      </c>
      <c r="O1297" s="19" t="s">
        <v>67</v>
      </c>
      <c r="P1297" s="19" t="s">
        <v>5187</v>
      </c>
      <c r="Q1297" s="204"/>
    </row>
    <row r="1298" spans="1:17" ht="40.5" customHeight="1">
      <c r="A1298" s="213">
        <v>340</v>
      </c>
      <c r="B1298" s="40" t="s">
        <v>8415</v>
      </c>
      <c r="C1298" s="19" t="s">
        <v>8421</v>
      </c>
      <c r="D1298" s="204" t="s">
        <v>2398</v>
      </c>
      <c r="E1298" s="204" t="s">
        <v>2636</v>
      </c>
      <c r="F1298" s="204" t="s">
        <v>8427</v>
      </c>
      <c r="G1298" s="204" t="s">
        <v>8426</v>
      </c>
      <c r="H1298" s="26" t="s">
        <v>5373</v>
      </c>
      <c r="I1298" s="21">
        <v>50.247115000000001</v>
      </c>
      <c r="J1298" s="21">
        <v>-98.555193700000004</v>
      </c>
      <c r="K1298" s="21" t="s">
        <v>2276</v>
      </c>
      <c r="L1298" s="11">
        <v>1992</v>
      </c>
      <c r="M1298" s="11">
        <v>1992</v>
      </c>
      <c r="N1298" s="204" t="s">
        <v>2276</v>
      </c>
      <c r="O1298" s="19" t="s">
        <v>67</v>
      </c>
      <c r="P1298" s="19" t="s">
        <v>5187</v>
      </c>
      <c r="Q1298" s="204"/>
    </row>
    <row r="1299" spans="1:17" ht="44.5" customHeight="1">
      <c r="A1299" s="213">
        <v>340</v>
      </c>
      <c r="B1299" s="41" t="s">
        <v>8424</v>
      </c>
      <c r="C1299" s="19" t="s">
        <v>8425</v>
      </c>
      <c r="D1299" s="204" t="s">
        <v>2633</v>
      </c>
      <c r="E1299" s="204" t="s">
        <v>2422</v>
      </c>
      <c r="F1299" s="204" t="s">
        <v>2276</v>
      </c>
      <c r="G1299" s="204" t="s">
        <v>4132</v>
      </c>
      <c r="H1299" s="26" t="s">
        <v>4112</v>
      </c>
      <c r="I1299" s="21">
        <v>52.5</v>
      </c>
      <c r="J1299" s="21">
        <v>-1</v>
      </c>
      <c r="K1299" s="21">
        <v>432970</v>
      </c>
      <c r="L1299" s="11">
        <v>1980</v>
      </c>
      <c r="M1299" s="11">
        <v>1998</v>
      </c>
      <c r="N1299" s="204" t="s">
        <v>2276</v>
      </c>
      <c r="O1299" s="19" t="s">
        <v>67</v>
      </c>
      <c r="P1299" s="19" t="s">
        <v>5187</v>
      </c>
      <c r="Q1299" s="204"/>
    </row>
    <row r="1300" spans="1:17" ht="36.5" customHeight="1">
      <c r="A1300" s="213">
        <v>340</v>
      </c>
      <c r="B1300" s="40" t="s">
        <v>8415</v>
      </c>
      <c r="C1300" s="19" t="s">
        <v>8434</v>
      </c>
      <c r="D1300" s="204" t="s">
        <v>2398</v>
      </c>
      <c r="E1300" s="204" t="s">
        <v>2636</v>
      </c>
      <c r="F1300" s="204" t="s">
        <v>2276</v>
      </c>
      <c r="G1300" s="204" t="s">
        <v>2276</v>
      </c>
      <c r="H1300" s="26" t="s">
        <v>4112</v>
      </c>
      <c r="I1300" s="21">
        <v>44.8743202</v>
      </c>
      <c r="J1300" s="21">
        <v>-97.972643399999995</v>
      </c>
      <c r="K1300" s="21" t="s">
        <v>2276</v>
      </c>
      <c r="L1300" s="11">
        <v>1985</v>
      </c>
      <c r="M1300" s="11">
        <v>1990</v>
      </c>
      <c r="N1300" s="204" t="s">
        <v>2276</v>
      </c>
      <c r="O1300" s="19" t="s">
        <v>67</v>
      </c>
      <c r="P1300" s="19" t="s">
        <v>5187</v>
      </c>
      <c r="Q1300" s="4" t="s">
        <v>8435</v>
      </c>
    </row>
    <row r="1301" spans="1:17" ht="36.5" customHeight="1">
      <c r="A1301" s="213">
        <v>341</v>
      </c>
      <c r="B1301" s="40" t="s">
        <v>8438</v>
      </c>
      <c r="C1301" s="19" t="s">
        <v>8439</v>
      </c>
      <c r="D1301" s="204" t="s">
        <v>2633</v>
      </c>
      <c r="E1301" s="204" t="s">
        <v>4847</v>
      </c>
      <c r="F1301" s="204" t="s">
        <v>2276</v>
      </c>
      <c r="G1301" s="204" t="s">
        <v>2276</v>
      </c>
      <c r="H1301" s="204" t="s">
        <v>627</v>
      </c>
      <c r="I1301" s="21">
        <v>14.25</v>
      </c>
      <c r="J1301" s="21">
        <v>121.5</v>
      </c>
      <c r="K1301" s="21">
        <v>300000</v>
      </c>
      <c r="L1301" s="204">
        <v>1998</v>
      </c>
      <c r="M1301" s="204">
        <v>1998</v>
      </c>
      <c r="N1301" s="204" t="s">
        <v>2276</v>
      </c>
      <c r="O1301" s="19" t="s">
        <v>67</v>
      </c>
      <c r="P1301" s="19" t="s">
        <v>5187</v>
      </c>
      <c r="Q1301" s="204"/>
    </row>
    <row r="1302" spans="1:17" ht="33.5" customHeight="1">
      <c r="A1302" s="213">
        <v>341</v>
      </c>
      <c r="B1302" s="40" t="s">
        <v>8438</v>
      </c>
      <c r="C1302" s="204" t="s">
        <v>8451</v>
      </c>
      <c r="D1302" s="204" t="s">
        <v>2633</v>
      </c>
      <c r="E1302" s="204" t="s">
        <v>4847</v>
      </c>
      <c r="F1302" s="204" t="s">
        <v>8452</v>
      </c>
      <c r="G1302" s="204" t="s">
        <v>8453</v>
      </c>
      <c r="H1302" s="204" t="s">
        <v>627</v>
      </c>
      <c r="I1302" s="21">
        <v>11.054675400000001</v>
      </c>
      <c r="J1302" s="21">
        <v>122.8504944</v>
      </c>
      <c r="K1302" s="21">
        <v>185.8</v>
      </c>
      <c r="L1302" s="204">
        <v>1998</v>
      </c>
      <c r="M1302" s="204">
        <v>1998</v>
      </c>
      <c r="N1302" s="204" t="s">
        <v>2276</v>
      </c>
      <c r="O1302" s="19" t="s">
        <v>67</v>
      </c>
      <c r="P1302" s="19" t="s">
        <v>5187</v>
      </c>
      <c r="Q1302" s="204"/>
    </row>
    <row r="1303" spans="1:17" ht="37" customHeight="1">
      <c r="A1303" s="213">
        <v>342</v>
      </c>
      <c r="B1303" s="40" t="s">
        <v>8460</v>
      </c>
      <c r="C1303" s="204" t="s">
        <v>8461</v>
      </c>
      <c r="D1303" s="204" t="s">
        <v>2398</v>
      </c>
      <c r="E1303" s="204" t="s">
        <v>2400</v>
      </c>
      <c r="F1303" s="204" t="s">
        <v>8462</v>
      </c>
      <c r="G1303" s="204" t="s">
        <v>2276</v>
      </c>
      <c r="H1303" s="204" t="s">
        <v>627</v>
      </c>
      <c r="I1303" s="21">
        <v>15.4713774</v>
      </c>
      <c r="J1303" s="21">
        <v>120.6300885</v>
      </c>
      <c r="K1303" s="21">
        <f>10785/100</f>
        <v>107.85</v>
      </c>
      <c r="L1303" s="204">
        <v>2016</v>
      </c>
      <c r="M1303" s="204">
        <v>2016</v>
      </c>
      <c r="N1303" s="204" t="s">
        <v>2276</v>
      </c>
      <c r="O1303" s="19" t="s">
        <v>67</v>
      </c>
      <c r="P1303" s="19" t="s">
        <v>5187</v>
      </c>
      <c r="Q1303" s="204"/>
    </row>
    <row r="1304" spans="1:17" ht="60" customHeight="1">
      <c r="A1304" s="213">
        <v>343</v>
      </c>
      <c r="B1304" s="40" t="s">
        <v>8464</v>
      </c>
      <c r="C1304" s="19" t="s">
        <v>8465</v>
      </c>
      <c r="D1304" s="204" t="s">
        <v>2398</v>
      </c>
      <c r="E1304" s="204" t="s">
        <v>2414</v>
      </c>
      <c r="F1304" s="204" t="s">
        <v>2276</v>
      </c>
      <c r="G1304" s="11" t="s">
        <v>8466</v>
      </c>
      <c r="H1304" s="11" t="s">
        <v>121</v>
      </c>
      <c r="I1304" s="21">
        <v>-21.9475649</v>
      </c>
      <c r="J1304" s="21">
        <v>-46.589334800000003</v>
      </c>
      <c r="K1304" s="21">
        <f>5400000/100</f>
        <v>54000</v>
      </c>
      <c r="L1304" s="11">
        <v>2007</v>
      </c>
      <c r="M1304" s="11">
        <v>2012</v>
      </c>
      <c r="N1304" s="204" t="s">
        <v>2276</v>
      </c>
      <c r="O1304" s="19" t="s">
        <v>67</v>
      </c>
      <c r="P1304" s="19" t="s">
        <v>5187</v>
      </c>
      <c r="Q1304" s="4" t="s">
        <v>8468</v>
      </c>
    </row>
    <row r="1305" spans="1:17" ht="61.5" customHeight="1">
      <c r="A1305" s="213">
        <v>344</v>
      </c>
      <c r="B1305" s="40" t="s">
        <v>8471</v>
      </c>
      <c r="C1305" s="19" t="s">
        <v>8472</v>
      </c>
      <c r="D1305" s="204" t="s">
        <v>2398</v>
      </c>
      <c r="E1305" s="204" t="s">
        <v>2400</v>
      </c>
      <c r="F1305" s="11" t="s">
        <v>8489</v>
      </c>
      <c r="G1305" s="11" t="s">
        <v>8466</v>
      </c>
      <c r="H1305" s="11" t="s">
        <v>121</v>
      </c>
      <c r="I1305" s="21">
        <v>-23.2351524</v>
      </c>
      <c r="J1305" s="21">
        <v>-48.046527400000002</v>
      </c>
      <c r="K1305" s="21">
        <f>'Reported burning'!T3162/'Reported burning'!X3162</f>
        <v>3902.2869955156948</v>
      </c>
      <c r="L1305" s="11">
        <v>2008</v>
      </c>
      <c r="M1305" s="11">
        <v>2009</v>
      </c>
      <c r="N1305" s="204" t="s">
        <v>2276</v>
      </c>
      <c r="O1305" s="19" t="s">
        <v>67</v>
      </c>
      <c r="P1305" s="19" t="s">
        <v>5187</v>
      </c>
      <c r="Q1305" s="4" t="s">
        <v>8473</v>
      </c>
    </row>
    <row r="1306" spans="1:17" ht="61.5" customHeight="1">
      <c r="A1306" s="213">
        <v>344</v>
      </c>
      <c r="B1306" s="40" t="s">
        <v>8471</v>
      </c>
      <c r="C1306" s="19" t="s">
        <v>8474</v>
      </c>
      <c r="D1306" s="204" t="s">
        <v>2398</v>
      </c>
      <c r="E1306" s="204" t="s">
        <v>2400</v>
      </c>
      <c r="F1306" s="11" t="s">
        <v>8490</v>
      </c>
      <c r="G1306" s="11" t="s">
        <v>8466</v>
      </c>
      <c r="H1306" s="11" t="s">
        <v>121</v>
      </c>
      <c r="I1306" s="21">
        <v>-24.044154899999999</v>
      </c>
      <c r="J1306" s="21">
        <v>-46.457402899999998</v>
      </c>
      <c r="K1306" s="21" t="s">
        <v>2276</v>
      </c>
      <c r="L1306" s="11">
        <v>2008</v>
      </c>
      <c r="M1306" s="11">
        <v>2009</v>
      </c>
      <c r="N1306" s="204" t="s">
        <v>2276</v>
      </c>
      <c r="O1306" s="19" t="s">
        <v>67</v>
      </c>
      <c r="P1306" s="19" t="s">
        <v>5187</v>
      </c>
      <c r="Q1306" s="4" t="s">
        <v>8473</v>
      </c>
    </row>
    <row r="1307" spans="1:17" ht="61.5" customHeight="1">
      <c r="A1307" s="213">
        <v>344</v>
      </c>
      <c r="B1307" s="40" t="s">
        <v>8471</v>
      </c>
      <c r="C1307" s="19" t="s">
        <v>8475</v>
      </c>
      <c r="D1307" s="204" t="s">
        <v>2398</v>
      </c>
      <c r="E1307" s="204" t="s">
        <v>2400</v>
      </c>
      <c r="F1307" s="11" t="s">
        <v>8491</v>
      </c>
      <c r="G1307" s="11" t="s">
        <v>8466</v>
      </c>
      <c r="H1307" s="11" t="s">
        <v>121</v>
      </c>
      <c r="I1307" s="21">
        <v>-20.557321000000002</v>
      </c>
      <c r="J1307" s="21">
        <v>-48.577159600000002</v>
      </c>
      <c r="K1307" s="21">
        <f>'Reported burning'!T3163/'Reported burning'!X3163</f>
        <v>3358.0072463768115</v>
      </c>
      <c r="L1307" s="11">
        <v>2008</v>
      </c>
      <c r="M1307" s="11">
        <v>2009</v>
      </c>
      <c r="N1307" s="204" t="s">
        <v>2276</v>
      </c>
      <c r="O1307" s="19" t="s">
        <v>67</v>
      </c>
      <c r="P1307" s="19" t="s">
        <v>5187</v>
      </c>
      <c r="Q1307" s="4" t="s">
        <v>8473</v>
      </c>
    </row>
    <row r="1308" spans="1:17" ht="61.5" customHeight="1">
      <c r="A1308" s="213">
        <v>344</v>
      </c>
      <c r="B1308" s="40" t="s">
        <v>8471</v>
      </c>
      <c r="C1308" s="19" t="s">
        <v>8476</v>
      </c>
      <c r="D1308" s="204" t="s">
        <v>2398</v>
      </c>
      <c r="E1308" s="204" t="s">
        <v>2400</v>
      </c>
      <c r="F1308" s="11" t="s">
        <v>8492</v>
      </c>
      <c r="G1308" s="11" t="s">
        <v>8466</v>
      </c>
      <c r="H1308" s="11" t="s">
        <v>121</v>
      </c>
      <c r="I1308" s="21">
        <v>-22.2878574</v>
      </c>
      <c r="J1308" s="21">
        <v>-49.090548699999999</v>
      </c>
      <c r="K1308" s="21">
        <f>'Reported burning'!T3164/'Reported burning'!X3164</f>
        <v>3633.6521739130435</v>
      </c>
      <c r="L1308" s="11">
        <v>2008</v>
      </c>
      <c r="M1308" s="11">
        <v>2009</v>
      </c>
      <c r="N1308" s="204" t="s">
        <v>2276</v>
      </c>
      <c r="O1308" s="19" t="s">
        <v>67</v>
      </c>
      <c r="P1308" s="19" t="s">
        <v>5187</v>
      </c>
      <c r="Q1308" s="4" t="s">
        <v>8473</v>
      </c>
    </row>
    <row r="1309" spans="1:17" ht="61.5" customHeight="1">
      <c r="A1309" s="213">
        <v>344</v>
      </c>
      <c r="B1309" s="40" t="s">
        <v>8471</v>
      </c>
      <c r="C1309" s="19" t="s">
        <v>8477</v>
      </c>
      <c r="D1309" s="204" t="s">
        <v>2398</v>
      </c>
      <c r="E1309" s="204" t="s">
        <v>2400</v>
      </c>
      <c r="F1309" s="11" t="s">
        <v>8493</v>
      </c>
      <c r="G1309" s="11" t="s">
        <v>8466</v>
      </c>
      <c r="H1309" s="11" t="s">
        <v>121</v>
      </c>
      <c r="I1309" s="21">
        <v>-22.8924342</v>
      </c>
      <c r="J1309" s="21">
        <v>-47.067894699999997</v>
      </c>
      <c r="K1309" s="21">
        <f>'Reported burning'!T3165/'Reported burning'!X3165</f>
        <v>4135.5486542443068</v>
      </c>
      <c r="L1309" s="11">
        <v>2008</v>
      </c>
      <c r="M1309" s="11">
        <v>2009</v>
      </c>
      <c r="N1309" s="204" t="s">
        <v>2276</v>
      </c>
      <c r="O1309" s="19" t="s">
        <v>67</v>
      </c>
      <c r="P1309" s="19" t="s">
        <v>5187</v>
      </c>
      <c r="Q1309" s="4" t="s">
        <v>8473</v>
      </c>
    </row>
    <row r="1310" spans="1:17" ht="61.5" customHeight="1">
      <c r="A1310" s="213">
        <v>344</v>
      </c>
      <c r="B1310" s="40" t="s">
        <v>8471</v>
      </c>
      <c r="C1310" s="19" t="s">
        <v>8478</v>
      </c>
      <c r="D1310" s="204" t="s">
        <v>2398</v>
      </c>
      <c r="E1310" s="204" t="s">
        <v>2400</v>
      </c>
      <c r="F1310" s="11" t="s">
        <v>7147</v>
      </c>
      <c r="G1310" s="11" t="s">
        <v>8466</v>
      </c>
      <c r="H1310" s="11" t="s">
        <v>121</v>
      </c>
      <c r="I1310" s="21">
        <v>-22.246111899999999</v>
      </c>
      <c r="J1310" s="21">
        <v>-47.774317099999998</v>
      </c>
      <c r="K1310" s="21">
        <f>'Reported burning'!T3166/'Reported burning'!X3166</f>
        <v>3638.63813229572</v>
      </c>
      <c r="L1310" s="11">
        <v>2008</v>
      </c>
      <c r="M1310" s="11">
        <v>2009</v>
      </c>
      <c r="N1310" s="204" t="s">
        <v>2276</v>
      </c>
      <c r="O1310" s="19" t="s">
        <v>67</v>
      </c>
      <c r="P1310" s="19" t="s">
        <v>5187</v>
      </c>
      <c r="Q1310" s="4" t="s">
        <v>8473</v>
      </c>
    </row>
    <row r="1311" spans="1:17" ht="61.5" customHeight="1">
      <c r="A1311" s="213">
        <v>344</v>
      </c>
      <c r="B1311" s="40" t="s">
        <v>8471</v>
      </c>
      <c r="C1311" s="19" t="s">
        <v>8479</v>
      </c>
      <c r="D1311" s="204" t="s">
        <v>2398</v>
      </c>
      <c r="E1311" s="204" t="s">
        <v>2400</v>
      </c>
      <c r="F1311" s="11" t="s">
        <v>8494</v>
      </c>
      <c r="G1311" s="11" t="s">
        <v>8466</v>
      </c>
      <c r="H1311" s="11" t="s">
        <v>121</v>
      </c>
      <c r="I1311" s="21">
        <v>-20.5937524</v>
      </c>
      <c r="J1311" s="21">
        <v>-47.424168100000003</v>
      </c>
      <c r="K1311" s="21">
        <f>'Reported burning'!T3167/'Reported burning'!X3167</f>
        <v>4092.4905660377358</v>
      </c>
      <c r="L1311" s="11">
        <v>2008</v>
      </c>
      <c r="M1311" s="11">
        <v>2009</v>
      </c>
      <c r="N1311" s="204" t="s">
        <v>2276</v>
      </c>
      <c r="O1311" s="19" t="s">
        <v>67</v>
      </c>
      <c r="P1311" s="19" t="s">
        <v>5187</v>
      </c>
      <c r="Q1311" s="4" t="s">
        <v>8473</v>
      </c>
    </row>
    <row r="1312" spans="1:17" ht="61.5" customHeight="1">
      <c r="A1312" s="213">
        <v>344</v>
      </c>
      <c r="B1312" s="40" t="s">
        <v>8471</v>
      </c>
      <c r="C1312" s="19" t="s">
        <v>8480</v>
      </c>
      <c r="D1312" s="204" t="s">
        <v>2398</v>
      </c>
      <c r="E1312" s="204" t="s">
        <v>2400</v>
      </c>
      <c r="F1312" s="11" t="s">
        <v>8495</v>
      </c>
      <c r="G1312" s="11" t="s">
        <v>8466</v>
      </c>
      <c r="H1312" s="11" t="s">
        <v>121</v>
      </c>
      <c r="I1312" s="21">
        <v>-22.204620599999998</v>
      </c>
      <c r="J1312" s="21">
        <v>-49.939328000000003</v>
      </c>
      <c r="K1312" s="21">
        <f>'Reported burning'!T3168/'Reported burning'!X3168</f>
        <v>2824.6572934973638</v>
      </c>
      <c r="L1312" s="11">
        <v>2008</v>
      </c>
      <c r="M1312" s="11">
        <v>2009</v>
      </c>
      <c r="N1312" s="204" t="s">
        <v>2276</v>
      </c>
      <c r="O1312" s="19" t="s">
        <v>67</v>
      </c>
      <c r="P1312" s="19" t="s">
        <v>5187</v>
      </c>
      <c r="Q1312" s="4" t="s">
        <v>8473</v>
      </c>
    </row>
    <row r="1313" spans="1:17" ht="61.5" customHeight="1">
      <c r="A1313" s="213">
        <v>344</v>
      </c>
      <c r="B1313" s="40" t="s">
        <v>8471</v>
      </c>
      <c r="C1313" s="19" t="s">
        <v>8481</v>
      </c>
      <c r="D1313" s="204" t="s">
        <v>2398</v>
      </c>
      <c r="E1313" s="204" t="s">
        <v>2400</v>
      </c>
      <c r="F1313" s="11" t="s">
        <v>8496</v>
      </c>
      <c r="G1313" s="11" t="s">
        <v>8466</v>
      </c>
      <c r="H1313" s="11" t="s">
        <v>121</v>
      </c>
      <c r="I1313" s="21">
        <v>-22.1332533</v>
      </c>
      <c r="J1313" s="21">
        <v>-51.4021969</v>
      </c>
      <c r="K1313" s="21">
        <f>'Reported burning'!T3169/'Reported burning'!X3169</f>
        <v>2439.0523690773066</v>
      </c>
      <c r="L1313" s="11">
        <v>2008</v>
      </c>
      <c r="M1313" s="11">
        <v>2009</v>
      </c>
      <c r="N1313" s="204" t="s">
        <v>2276</v>
      </c>
      <c r="O1313" s="19" t="s">
        <v>67</v>
      </c>
      <c r="P1313" s="19" t="s">
        <v>5187</v>
      </c>
      <c r="Q1313" s="4" t="s">
        <v>8473</v>
      </c>
    </row>
    <row r="1314" spans="1:17" ht="61.5" customHeight="1">
      <c r="A1314" s="213">
        <v>344</v>
      </c>
      <c r="B1314" s="40" t="s">
        <v>8471</v>
      </c>
      <c r="C1314" s="19" t="s">
        <v>8482</v>
      </c>
      <c r="D1314" s="204" t="s">
        <v>2398</v>
      </c>
      <c r="E1314" s="204" t="s">
        <v>2400</v>
      </c>
      <c r="F1314" s="11" t="s">
        <v>8497</v>
      </c>
      <c r="G1314" s="11" t="s">
        <v>8466</v>
      </c>
      <c r="H1314" s="11" t="s">
        <v>121</v>
      </c>
      <c r="I1314" s="21">
        <v>-24.467631699999998</v>
      </c>
      <c r="J1314" s="21">
        <v>-47.809529099999999</v>
      </c>
      <c r="K1314" s="21" t="s">
        <v>2276</v>
      </c>
      <c r="L1314" s="11">
        <v>2008</v>
      </c>
      <c r="M1314" s="11">
        <v>2009</v>
      </c>
      <c r="N1314" s="204" t="s">
        <v>2276</v>
      </c>
      <c r="O1314" s="19" t="s">
        <v>67</v>
      </c>
      <c r="P1314" s="19" t="s">
        <v>5187</v>
      </c>
      <c r="Q1314" s="4" t="s">
        <v>8473</v>
      </c>
    </row>
    <row r="1315" spans="1:17" ht="61.5" customHeight="1">
      <c r="A1315" s="213">
        <v>344</v>
      </c>
      <c r="B1315" s="40" t="s">
        <v>8471</v>
      </c>
      <c r="C1315" s="19" t="s">
        <v>8483</v>
      </c>
      <c r="D1315" s="204" t="s">
        <v>2398</v>
      </c>
      <c r="E1315" s="204" t="s">
        <v>2400</v>
      </c>
      <c r="F1315" s="11" t="s">
        <v>8498</v>
      </c>
      <c r="G1315" s="11" t="s">
        <v>8466</v>
      </c>
      <c r="H1315" s="11" t="s">
        <v>121</v>
      </c>
      <c r="I1315" s="21">
        <v>-21.179632399999999</v>
      </c>
      <c r="J1315" s="21">
        <v>-47.802586099999999</v>
      </c>
      <c r="K1315" s="21">
        <f>'Reported burning'!T3170/'Reported burning'!X3170</f>
        <v>4145.6164383561645</v>
      </c>
      <c r="L1315" s="11">
        <v>2008</v>
      </c>
      <c r="M1315" s="11">
        <v>2009</v>
      </c>
      <c r="N1315" s="204" t="s">
        <v>2276</v>
      </c>
      <c r="O1315" s="19" t="s">
        <v>67</v>
      </c>
      <c r="P1315" s="19" t="s">
        <v>5187</v>
      </c>
      <c r="Q1315" s="4" t="s">
        <v>8473</v>
      </c>
    </row>
    <row r="1316" spans="1:17" ht="61.5" customHeight="1">
      <c r="A1316" s="213">
        <v>344</v>
      </c>
      <c r="B1316" s="40" t="s">
        <v>8471</v>
      </c>
      <c r="C1316" s="19" t="s">
        <v>8484</v>
      </c>
      <c r="D1316" s="204" t="s">
        <v>2398</v>
      </c>
      <c r="E1316" s="204" t="s">
        <v>2400</v>
      </c>
      <c r="F1316" s="11" t="s">
        <v>8499</v>
      </c>
      <c r="G1316" s="11" t="s">
        <v>8466</v>
      </c>
      <c r="H1316" s="11" t="s">
        <v>121</v>
      </c>
      <c r="I1316" s="21">
        <v>-20.816814000000001</v>
      </c>
      <c r="J1316" s="21">
        <v>-49.382355500000003</v>
      </c>
      <c r="K1316" s="21">
        <f>'Reported burning'!T3171/'Reported burning'!X3171</f>
        <v>5237.9441117764472</v>
      </c>
      <c r="L1316" s="11">
        <v>2008</v>
      </c>
      <c r="M1316" s="11">
        <v>2009</v>
      </c>
      <c r="N1316" s="204" t="s">
        <v>2276</v>
      </c>
      <c r="O1316" s="19" t="s">
        <v>67</v>
      </c>
      <c r="P1316" s="19" t="s">
        <v>5187</v>
      </c>
      <c r="Q1316" s="4" t="s">
        <v>8473</v>
      </c>
    </row>
    <row r="1317" spans="1:17" ht="61.5" customHeight="1">
      <c r="A1317" s="213">
        <v>344</v>
      </c>
      <c r="B1317" s="40" t="s">
        <v>8471</v>
      </c>
      <c r="C1317" s="19" t="s">
        <v>8485</v>
      </c>
      <c r="D1317" s="204" t="s">
        <v>2398</v>
      </c>
      <c r="E1317" s="204" t="s">
        <v>2400</v>
      </c>
      <c r="F1317" s="11" t="s">
        <v>8500</v>
      </c>
      <c r="G1317" s="11" t="s">
        <v>8466</v>
      </c>
      <c r="H1317" s="11" t="s">
        <v>121</v>
      </c>
      <c r="I1317" s="21">
        <v>-23.189506300000001</v>
      </c>
      <c r="J1317" s="21">
        <v>-45.8630128</v>
      </c>
      <c r="K1317" s="21" t="s">
        <v>2276</v>
      </c>
      <c r="L1317" s="11">
        <v>2008</v>
      </c>
      <c r="M1317" s="11">
        <v>2009</v>
      </c>
      <c r="N1317" s="204" t="s">
        <v>2276</v>
      </c>
      <c r="O1317" s="19" t="s">
        <v>67</v>
      </c>
      <c r="P1317" s="19" t="s">
        <v>5187</v>
      </c>
      <c r="Q1317" s="4" t="s">
        <v>8473</v>
      </c>
    </row>
    <row r="1318" spans="1:17" ht="61.5" customHeight="1">
      <c r="A1318" s="213">
        <v>344</v>
      </c>
      <c r="B1318" s="40" t="s">
        <v>8471</v>
      </c>
      <c r="C1318" s="19" t="s">
        <v>8486</v>
      </c>
      <c r="D1318" s="204" t="s">
        <v>2398</v>
      </c>
      <c r="E1318" s="204" t="s">
        <v>2400</v>
      </c>
      <c r="F1318" s="11" t="s">
        <v>8466</v>
      </c>
      <c r="G1318" s="11" t="s">
        <v>8466</v>
      </c>
      <c r="H1318" s="11" t="s">
        <v>121</v>
      </c>
      <c r="I1318" s="21">
        <v>-23.6824124</v>
      </c>
      <c r="J1318" s="21">
        <v>-46.595299199999999</v>
      </c>
      <c r="K1318" s="21" t="s">
        <v>2276</v>
      </c>
      <c r="L1318" s="11">
        <v>2008</v>
      </c>
      <c r="M1318" s="11">
        <v>2009</v>
      </c>
      <c r="N1318" s="204" t="s">
        <v>2276</v>
      </c>
      <c r="O1318" s="19" t="s">
        <v>67</v>
      </c>
      <c r="P1318" s="19" t="s">
        <v>5187</v>
      </c>
      <c r="Q1318" s="4" t="s">
        <v>8473</v>
      </c>
    </row>
    <row r="1319" spans="1:17" ht="61.5" customHeight="1">
      <c r="A1319" s="213">
        <v>344</v>
      </c>
      <c r="B1319" s="40" t="s">
        <v>8471</v>
      </c>
      <c r="C1319" s="19" t="s">
        <v>8487</v>
      </c>
      <c r="D1319" s="204" t="s">
        <v>2398</v>
      </c>
      <c r="E1319" s="204" t="s">
        <v>2400</v>
      </c>
      <c r="F1319" s="11" t="s">
        <v>8501</v>
      </c>
      <c r="G1319" s="11" t="s">
        <v>8466</v>
      </c>
      <c r="H1319" s="11" t="s">
        <v>121</v>
      </c>
      <c r="I1319" s="21">
        <v>-23.477406299999998</v>
      </c>
      <c r="J1319" s="21">
        <v>-47.466699699999999</v>
      </c>
      <c r="K1319" s="21">
        <f>'Reported burning'!T3172/'Reported burning'!X3172</f>
        <v>1887.7519379844962</v>
      </c>
      <c r="L1319" s="11">
        <v>2008</v>
      </c>
      <c r="M1319" s="11">
        <v>2009</v>
      </c>
      <c r="N1319" s="204" t="s">
        <v>2276</v>
      </c>
      <c r="O1319" s="19" t="s">
        <v>67</v>
      </c>
      <c r="P1319" s="19" t="s">
        <v>5187</v>
      </c>
      <c r="Q1319" s="4" t="s">
        <v>8473</v>
      </c>
    </row>
    <row r="1320" spans="1:17" ht="49" customHeight="1">
      <c r="A1320" s="213">
        <v>344</v>
      </c>
      <c r="B1320" s="41" t="s">
        <v>8525</v>
      </c>
      <c r="C1320" s="19" t="s">
        <v>8488</v>
      </c>
      <c r="D1320" s="204" t="s">
        <v>2398</v>
      </c>
      <c r="E1320" s="204" t="s">
        <v>2400</v>
      </c>
      <c r="F1320" s="11" t="s">
        <v>2276</v>
      </c>
      <c r="G1320" s="11" t="s">
        <v>8466</v>
      </c>
      <c r="H1320" s="11" t="s">
        <v>121</v>
      </c>
      <c r="I1320" s="21">
        <v>-22.245749100000001</v>
      </c>
      <c r="J1320" s="21">
        <v>-48.306358299999999</v>
      </c>
      <c r="K1320" s="21">
        <f>3240000/100</f>
        <v>32400</v>
      </c>
      <c r="L1320" s="11">
        <v>2006</v>
      </c>
      <c r="M1320" s="11">
        <v>2006</v>
      </c>
      <c r="N1320" s="204" t="s">
        <v>2276</v>
      </c>
      <c r="O1320" s="19" t="s">
        <v>67</v>
      </c>
      <c r="P1320" s="19" t="s">
        <v>5187</v>
      </c>
      <c r="Q1320" s="4" t="s">
        <v>8473</v>
      </c>
    </row>
    <row r="1321" spans="1:17" ht="43" customHeight="1">
      <c r="A1321" s="213">
        <v>345</v>
      </c>
      <c r="B1321" s="40" t="s">
        <v>8526</v>
      </c>
      <c r="C1321" s="19" t="s">
        <v>8527</v>
      </c>
      <c r="D1321" s="204" t="s">
        <v>2398</v>
      </c>
      <c r="E1321" s="204" t="s">
        <v>2636</v>
      </c>
      <c r="F1321" s="11" t="s">
        <v>2276</v>
      </c>
      <c r="G1321" s="11" t="s">
        <v>2276</v>
      </c>
      <c r="H1321" s="11" t="s">
        <v>627</v>
      </c>
      <c r="I1321" s="21">
        <v>10.020728399999999</v>
      </c>
      <c r="J1321" s="21">
        <v>122.9721091</v>
      </c>
      <c r="K1321" s="21">
        <v>300000</v>
      </c>
      <c r="L1321" s="204">
        <v>1999</v>
      </c>
      <c r="M1321" s="204">
        <v>2015</v>
      </c>
      <c r="N1321" s="204" t="s">
        <v>2276</v>
      </c>
      <c r="O1321" s="19" t="s">
        <v>67</v>
      </c>
      <c r="P1321" s="19" t="s">
        <v>5187</v>
      </c>
      <c r="Q1321" s="4" t="s">
        <v>8528</v>
      </c>
    </row>
    <row r="1322" spans="1:17" ht="42.5" customHeight="1">
      <c r="A1322" s="213">
        <v>345</v>
      </c>
      <c r="B1322" s="40" t="s">
        <v>8526</v>
      </c>
      <c r="C1322" s="19" t="s">
        <v>8537</v>
      </c>
      <c r="D1322" s="204" t="s">
        <v>2398</v>
      </c>
      <c r="E1322" s="204" t="s">
        <v>2636</v>
      </c>
      <c r="F1322" s="11" t="s">
        <v>8535</v>
      </c>
      <c r="G1322" s="11" t="s">
        <v>8536</v>
      </c>
      <c r="H1322" s="11" t="s">
        <v>627</v>
      </c>
      <c r="I1322" s="21">
        <v>13.7397461</v>
      </c>
      <c r="J1322" s="21">
        <v>121.1159789</v>
      </c>
      <c r="K1322" s="21" t="s">
        <v>2276</v>
      </c>
      <c r="L1322" s="204">
        <v>2014</v>
      </c>
      <c r="M1322" s="204">
        <v>2014</v>
      </c>
      <c r="N1322" s="204" t="s">
        <v>2276</v>
      </c>
      <c r="O1322" s="19" t="s">
        <v>67</v>
      </c>
      <c r="P1322" s="19" t="s">
        <v>5187</v>
      </c>
      <c r="Q1322" s="4"/>
    </row>
    <row r="1323" spans="1:17" ht="43.5" customHeight="1">
      <c r="A1323" s="213">
        <v>345</v>
      </c>
      <c r="B1323" s="40" t="s">
        <v>8526</v>
      </c>
      <c r="C1323" s="19" t="s">
        <v>8540</v>
      </c>
      <c r="D1323" s="204" t="s">
        <v>2398</v>
      </c>
      <c r="E1323" s="204" t="s">
        <v>2636</v>
      </c>
      <c r="F1323" s="11" t="s">
        <v>2276</v>
      </c>
      <c r="G1323" s="11" t="s">
        <v>8466</v>
      </c>
      <c r="H1323" s="11" t="s">
        <v>121</v>
      </c>
      <c r="I1323" s="21">
        <v>-22.245749100000001</v>
      </c>
      <c r="J1323" s="21">
        <v>-48.306358299999999</v>
      </c>
      <c r="K1323" s="21">
        <f>3240000/100</f>
        <v>32400</v>
      </c>
      <c r="L1323" s="11">
        <v>2015</v>
      </c>
      <c r="M1323" s="11">
        <v>2015</v>
      </c>
      <c r="N1323" s="204" t="s">
        <v>2276</v>
      </c>
      <c r="O1323" s="19" t="s">
        <v>67</v>
      </c>
      <c r="P1323" s="19" t="s">
        <v>5187</v>
      </c>
      <c r="Q1323" s="204"/>
    </row>
    <row r="1324" spans="1:17" ht="38" customHeight="1">
      <c r="A1324" s="213">
        <v>345</v>
      </c>
      <c r="B1324" s="40" t="s">
        <v>8526</v>
      </c>
      <c r="C1324" s="19" t="s">
        <v>8541</v>
      </c>
      <c r="D1324" s="204" t="s">
        <v>2398</v>
      </c>
      <c r="E1324" s="204" t="s">
        <v>2636</v>
      </c>
      <c r="F1324" s="11" t="s">
        <v>2276</v>
      </c>
      <c r="G1324" s="11" t="s">
        <v>8159</v>
      </c>
      <c r="H1324" s="11" t="s">
        <v>3414</v>
      </c>
      <c r="I1324" s="21">
        <v>-31.8938369</v>
      </c>
      <c r="J1324" s="21">
        <v>117.65975299999999</v>
      </c>
      <c r="K1324" s="21" t="s">
        <v>2276</v>
      </c>
      <c r="L1324" s="11">
        <v>2015</v>
      </c>
      <c r="M1324" s="11">
        <v>2015</v>
      </c>
      <c r="N1324" s="204" t="s">
        <v>2276</v>
      </c>
      <c r="O1324" s="19" t="s">
        <v>67</v>
      </c>
      <c r="P1324" s="19" t="s">
        <v>5187</v>
      </c>
      <c r="Q1324" s="204" t="s">
        <v>8542</v>
      </c>
    </row>
    <row r="1325" spans="1:17" ht="40" customHeight="1">
      <c r="A1325" s="188">
        <v>346</v>
      </c>
      <c r="B1325" s="234" t="s">
        <v>8549</v>
      </c>
      <c r="C1325" s="26" t="s">
        <v>8550</v>
      </c>
      <c r="D1325" s="22" t="s">
        <v>2398</v>
      </c>
      <c r="E1325" s="22" t="s">
        <v>2399</v>
      </c>
      <c r="F1325" s="179" t="s">
        <v>8551</v>
      </c>
      <c r="G1325" s="179" t="s">
        <v>8552</v>
      </c>
      <c r="H1325" s="23" t="s">
        <v>770</v>
      </c>
      <c r="I1325" s="21">
        <v>25.7772443</v>
      </c>
      <c r="J1325" s="21">
        <v>-109</v>
      </c>
      <c r="K1325" s="21" t="s">
        <v>2276</v>
      </c>
      <c r="L1325" s="11">
        <v>2008</v>
      </c>
      <c r="M1325" s="11">
        <v>2008</v>
      </c>
      <c r="N1325" s="204" t="s">
        <v>2276</v>
      </c>
      <c r="O1325" s="19" t="s">
        <v>67</v>
      </c>
      <c r="P1325" s="19" t="s">
        <v>5187</v>
      </c>
      <c r="Q1325" s="204"/>
    </row>
    <row r="1326" spans="1:17" ht="51" customHeight="1">
      <c r="A1326" s="188">
        <v>347</v>
      </c>
      <c r="B1326" s="41" t="s">
        <v>8554</v>
      </c>
      <c r="C1326" s="26" t="s">
        <v>8555</v>
      </c>
      <c r="D1326" s="22" t="s">
        <v>2634</v>
      </c>
      <c r="E1326" s="22" t="s">
        <v>2414</v>
      </c>
      <c r="F1326" s="11" t="s">
        <v>8559</v>
      </c>
      <c r="G1326" s="11" t="s">
        <v>8560</v>
      </c>
      <c r="H1326" s="23" t="s">
        <v>8558</v>
      </c>
      <c r="I1326" s="21">
        <v>9.9819952000000001</v>
      </c>
      <c r="J1326" s="21">
        <v>-84.323501500000006</v>
      </c>
      <c r="K1326" s="21" t="s">
        <v>2276</v>
      </c>
      <c r="L1326" s="204">
        <v>2011</v>
      </c>
      <c r="M1326" s="204">
        <v>2011</v>
      </c>
      <c r="N1326" s="204" t="s">
        <v>2276</v>
      </c>
      <c r="O1326" s="19" t="s">
        <v>67</v>
      </c>
      <c r="P1326" s="19" t="s">
        <v>5187</v>
      </c>
      <c r="Q1326" s="204" t="s">
        <v>8564</v>
      </c>
    </row>
    <row r="1327" spans="1:17" ht="51" customHeight="1">
      <c r="A1327" s="188">
        <v>347</v>
      </c>
      <c r="B1327" s="41" t="s">
        <v>8554</v>
      </c>
      <c r="C1327" s="26" t="s">
        <v>8556</v>
      </c>
      <c r="D1327" s="22" t="s">
        <v>2634</v>
      </c>
      <c r="E1327" s="22" t="s">
        <v>2414</v>
      </c>
      <c r="F1327" s="11" t="s">
        <v>8561</v>
      </c>
      <c r="G1327" s="11" t="s">
        <v>8563</v>
      </c>
      <c r="H1327" s="23" t="s">
        <v>8558</v>
      </c>
      <c r="I1327" s="21">
        <v>10.0237354</v>
      </c>
      <c r="J1327" s="21">
        <v>-84.296464900000004</v>
      </c>
      <c r="K1327" s="21" t="s">
        <v>2276</v>
      </c>
      <c r="L1327" s="204">
        <v>2011</v>
      </c>
      <c r="M1327" s="204">
        <v>2011</v>
      </c>
      <c r="N1327" s="204" t="s">
        <v>2276</v>
      </c>
      <c r="O1327" s="19" t="s">
        <v>67</v>
      </c>
      <c r="P1327" s="19" t="s">
        <v>5187</v>
      </c>
      <c r="Q1327" s="204" t="s">
        <v>8564</v>
      </c>
    </row>
    <row r="1328" spans="1:17" ht="51" customHeight="1">
      <c r="A1328" s="188">
        <v>347</v>
      </c>
      <c r="B1328" s="41" t="s">
        <v>8554</v>
      </c>
      <c r="C1328" s="26" t="s">
        <v>8557</v>
      </c>
      <c r="D1328" s="22" t="s">
        <v>2634</v>
      </c>
      <c r="E1328" s="22" t="s">
        <v>2414</v>
      </c>
      <c r="F1328" s="11" t="s">
        <v>2276</v>
      </c>
      <c r="G1328" s="11" t="s">
        <v>8562</v>
      </c>
      <c r="H1328" s="23" t="s">
        <v>8558</v>
      </c>
      <c r="I1328" s="21">
        <v>10.0715191</v>
      </c>
      <c r="J1328" s="21">
        <v>-84.349183100000005</v>
      </c>
      <c r="K1328" s="21" t="s">
        <v>2276</v>
      </c>
      <c r="L1328" s="204">
        <v>2011</v>
      </c>
      <c r="M1328" s="204">
        <v>2011</v>
      </c>
      <c r="N1328" s="204" t="s">
        <v>2276</v>
      </c>
      <c r="O1328" s="19" t="s">
        <v>67</v>
      </c>
      <c r="P1328" s="19" t="s">
        <v>5187</v>
      </c>
      <c r="Q1328" s="204" t="s">
        <v>8564</v>
      </c>
    </row>
    <row r="1329" spans="1:17" ht="36.5" customHeight="1">
      <c r="A1329" s="188">
        <v>348</v>
      </c>
      <c r="B1329" s="40" t="s">
        <v>8570</v>
      </c>
      <c r="C1329" s="204" t="s">
        <v>8571</v>
      </c>
      <c r="D1329" s="204" t="s">
        <v>2398</v>
      </c>
      <c r="E1329" s="204" t="s">
        <v>2399</v>
      </c>
      <c r="F1329" s="11" t="s">
        <v>6307</v>
      </c>
      <c r="G1329" s="11" t="s">
        <v>87</v>
      </c>
      <c r="H1329" s="23" t="s">
        <v>6306</v>
      </c>
      <c r="I1329" s="21">
        <v>32.3879698</v>
      </c>
      <c r="J1329" s="21">
        <v>74.588675800000004</v>
      </c>
      <c r="K1329" s="21" t="s">
        <v>2276</v>
      </c>
      <c r="L1329" s="204">
        <v>2017</v>
      </c>
      <c r="M1329" s="204">
        <v>2017</v>
      </c>
      <c r="N1329" s="204" t="s">
        <v>2276</v>
      </c>
      <c r="O1329" s="19" t="s">
        <v>67</v>
      </c>
      <c r="P1329" s="19" t="s">
        <v>5187</v>
      </c>
      <c r="Q1329" s="204" t="s">
        <v>5907</v>
      </c>
    </row>
    <row r="1330" spans="1:17" ht="34.5" customHeight="1">
      <c r="A1330" s="188">
        <v>348</v>
      </c>
      <c r="B1330" s="40" t="s">
        <v>8570</v>
      </c>
      <c r="C1330" s="26" t="s">
        <v>8572</v>
      </c>
      <c r="D1330" s="204" t="s">
        <v>2398</v>
      </c>
      <c r="E1330" s="204" t="s">
        <v>2399</v>
      </c>
      <c r="F1330" s="11" t="s">
        <v>6305</v>
      </c>
      <c r="G1330" s="11" t="s">
        <v>87</v>
      </c>
      <c r="H1330" s="23" t="s">
        <v>6306</v>
      </c>
      <c r="I1330" s="21">
        <v>32.221187299999997</v>
      </c>
      <c r="J1330" s="21">
        <v>74.315205199999994</v>
      </c>
      <c r="K1330" s="21" t="s">
        <v>2276</v>
      </c>
      <c r="L1330" s="204">
        <v>2017</v>
      </c>
      <c r="M1330" s="204">
        <v>2017</v>
      </c>
      <c r="N1330" s="204" t="s">
        <v>2276</v>
      </c>
      <c r="O1330" s="19" t="s">
        <v>67</v>
      </c>
      <c r="P1330" s="19" t="s">
        <v>5187</v>
      </c>
      <c r="Q1330" s="204" t="s">
        <v>5907</v>
      </c>
    </row>
    <row r="1331" spans="1:17" ht="36" customHeight="1">
      <c r="A1331" s="188">
        <v>349</v>
      </c>
      <c r="B1331" s="40" t="s">
        <v>8576</v>
      </c>
      <c r="C1331" s="26" t="s">
        <v>8577</v>
      </c>
      <c r="D1331" s="204" t="s">
        <v>2398</v>
      </c>
      <c r="E1331" s="204" t="s">
        <v>2422</v>
      </c>
      <c r="F1331" s="204" t="s">
        <v>8579</v>
      </c>
      <c r="G1331" s="11" t="s">
        <v>8578</v>
      </c>
      <c r="H1331" s="23" t="s">
        <v>3770</v>
      </c>
      <c r="I1331" s="21">
        <v>-24.75</v>
      </c>
      <c r="J1331" s="21">
        <v>27.576981</v>
      </c>
      <c r="K1331" s="21">
        <v>44913</v>
      </c>
      <c r="L1331" s="204">
        <v>2008</v>
      </c>
      <c r="M1331" s="204">
        <v>2009</v>
      </c>
      <c r="N1331" s="204" t="s">
        <v>2276</v>
      </c>
      <c r="O1331" s="19" t="s">
        <v>67</v>
      </c>
      <c r="P1331" s="19" t="s">
        <v>5187</v>
      </c>
      <c r="Q1331" s="204"/>
    </row>
    <row r="1332" spans="1:17" ht="35.5" customHeight="1">
      <c r="A1332" s="188">
        <v>349</v>
      </c>
      <c r="B1332" s="40" t="s">
        <v>8576</v>
      </c>
      <c r="C1332" s="26" t="s">
        <v>8583</v>
      </c>
      <c r="D1332" s="204" t="s">
        <v>2398</v>
      </c>
      <c r="E1332" s="204" t="s">
        <v>2422</v>
      </c>
      <c r="F1332" s="11" t="s">
        <v>8580</v>
      </c>
      <c r="G1332" s="11" t="s">
        <v>8578</v>
      </c>
      <c r="H1332" s="23" t="s">
        <v>3770</v>
      </c>
      <c r="I1332" s="21">
        <v>-24.483608499999999</v>
      </c>
      <c r="J1332" s="21">
        <v>28.074173999999999</v>
      </c>
      <c r="K1332" s="21" t="s">
        <v>2276</v>
      </c>
      <c r="L1332" s="204">
        <v>2008</v>
      </c>
      <c r="M1332" s="204">
        <v>2009</v>
      </c>
      <c r="N1332" s="204" t="s">
        <v>2276</v>
      </c>
      <c r="O1332" s="19" t="s">
        <v>67</v>
      </c>
      <c r="P1332" s="19" t="s">
        <v>5187</v>
      </c>
      <c r="Q1332" s="204"/>
    </row>
    <row r="1333" spans="1:17" ht="32" customHeight="1">
      <c r="A1333" s="188">
        <v>349</v>
      </c>
      <c r="B1333" s="40" t="s">
        <v>8576</v>
      </c>
      <c r="C1333" s="26" t="s">
        <v>8584</v>
      </c>
      <c r="D1333" s="204" t="s">
        <v>2398</v>
      </c>
      <c r="E1333" s="204" t="s">
        <v>2422</v>
      </c>
      <c r="F1333" s="11" t="s">
        <v>8581</v>
      </c>
      <c r="G1333" s="11" t="s">
        <v>8578</v>
      </c>
      <c r="H1333" s="23" t="s">
        <v>3770</v>
      </c>
      <c r="I1333" s="21">
        <v>-25.199999600000002</v>
      </c>
      <c r="J1333" s="21">
        <v>28.616667</v>
      </c>
      <c r="K1333" s="21" t="s">
        <v>2276</v>
      </c>
      <c r="L1333" s="204">
        <v>2008</v>
      </c>
      <c r="M1333" s="204">
        <v>2009</v>
      </c>
      <c r="N1333" s="204" t="s">
        <v>2276</v>
      </c>
      <c r="O1333" s="19" t="s">
        <v>67</v>
      </c>
      <c r="P1333" s="19" t="s">
        <v>5187</v>
      </c>
      <c r="Q1333" s="204"/>
    </row>
    <row r="1334" spans="1:17" ht="30" customHeight="1">
      <c r="A1334" s="188">
        <v>349</v>
      </c>
      <c r="B1334" s="40" t="s">
        <v>8576</v>
      </c>
      <c r="C1334" s="26" t="s">
        <v>8585</v>
      </c>
      <c r="D1334" s="204" t="s">
        <v>2398</v>
      </c>
      <c r="E1334" s="204" t="s">
        <v>2422</v>
      </c>
      <c r="F1334" s="11" t="s">
        <v>8582</v>
      </c>
      <c r="G1334" s="11" t="s">
        <v>8578</v>
      </c>
      <c r="H1334" s="23" t="s">
        <v>3770</v>
      </c>
      <c r="I1334" s="21">
        <v>-24.7166666</v>
      </c>
      <c r="J1334" s="21">
        <v>26.816666999999999</v>
      </c>
      <c r="K1334" s="21" t="s">
        <v>2276</v>
      </c>
      <c r="L1334" s="204">
        <v>2008</v>
      </c>
      <c r="M1334" s="204">
        <v>2009</v>
      </c>
      <c r="N1334" s="204" t="s">
        <v>2276</v>
      </c>
      <c r="O1334" s="19" t="s">
        <v>67</v>
      </c>
      <c r="P1334" s="19" t="s">
        <v>5187</v>
      </c>
      <c r="Q1334" s="204"/>
    </row>
    <row r="1335" spans="1:17" ht="37" customHeight="1">
      <c r="A1335" s="188">
        <v>350</v>
      </c>
      <c r="B1335" s="40" t="s">
        <v>8601</v>
      </c>
      <c r="C1335" s="26" t="s">
        <v>8598</v>
      </c>
      <c r="D1335" s="204" t="s">
        <v>2398</v>
      </c>
      <c r="E1335" s="204" t="s">
        <v>2400</v>
      </c>
      <c r="F1335" s="11" t="s">
        <v>8602</v>
      </c>
      <c r="G1335" s="11" t="s">
        <v>2276</v>
      </c>
      <c r="H1335" s="23" t="s">
        <v>8599</v>
      </c>
      <c r="I1335" s="21">
        <f>23 + 36/60</f>
        <v>23.6</v>
      </c>
      <c r="J1335" s="21">
        <f>120 + 28/60</f>
        <v>120.46666666666667</v>
      </c>
      <c r="K1335" s="21">
        <f>8600/100</f>
        <v>86</v>
      </c>
      <c r="L1335" s="204">
        <v>2009</v>
      </c>
      <c r="M1335" s="204">
        <v>2009</v>
      </c>
      <c r="N1335" s="204" t="s">
        <v>2276</v>
      </c>
      <c r="O1335" s="19" t="s">
        <v>67</v>
      </c>
      <c r="P1335" s="19" t="s">
        <v>5187</v>
      </c>
      <c r="Q1335" s="19" t="s">
        <v>8600</v>
      </c>
    </row>
    <row r="1336" spans="1:17" ht="51" customHeight="1">
      <c r="A1336" s="188">
        <v>351</v>
      </c>
      <c r="B1336" s="40" t="s">
        <v>8607</v>
      </c>
      <c r="C1336" s="26" t="s">
        <v>8608</v>
      </c>
      <c r="D1336" s="204" t="s">
        <v>2398</v>
      </c>
      <c r="E1336" s="204" t="s">
        <v>2399</v>
      </c>
      <c r="F1336" s="11" t="s">
        <v>2276</v>
      </c>
      <c r="G1336" s="11" t="s">
        <v>2276</v>
      </c>
      <c r="H1336" s="23" t="s">
        <v>114</v>
      </c>
      <c r="I1336" s="21">
        <v>29</v>
      </c>
      <c r="J1336" s="21">
        <v>110</v>
      </c>
      <c r="K1336" s="21">
        <v>9597000</v>
      </c>
      <c r="L1336" s="11">
        <v>2010</v>
      </c>
      <c r="M1336" s="11">
        <v>2010</v>
      </c>
      <c r="N1336" s="204" t="s">
        <v>2276</v>
      </c>
      <c r="O1336" s="19" t="s">
        <v>67</v>
      </c>
      <c r="P1336" s="19" t="s">
        <v>5187</v>
      </c>
      <c r="Q1336" s="4" t="s">
        <v>8622</v>
      </c>
    </row>
    <row r="1337" spans="1:17" ht="40" customHeight="1">
      <c r="A1337" s="188">
        <v>351</v>
      </c>
      <c r="B1337" s="40" t="s">
        <v>8607</v>
      </c>
      <c r="C1337" s="26" t="s">
        <v>8611</v>
      </c>
      <c r="D1337" s="204" t="s">
        <v>2398</v>
      </c>
      <c r="E1337" s="204" t="s">
        <v>2399</v>
      </c>
      <c r="F1337" s="11" t="s">
        <v>2276</v>
      </c>
      <c r="G1337" s="11" t="s">
        <v>8617</v>
      </c>
      <c r="H1337" s="23" t="s">
        <v>114</v>
      </c>
      <c r="I1337" s="21">
        <v>27.381343000000001</v>
      </c>
      <c r="J1337" s="21">
        <v>111.52605269999999</v>
      </c>
      <c r="K1337" s="21">
        <v>210000</v>
      </c>
      <c r="L1337" s="11">
        <v>2015</v>
      </c>
      <c r="M1337" s="11">
        <v>2015</v>
      </c>
      <c r="N1337" s="204" t="s">
        <v>2276</v>
      </c>
      <c r="O1337" s="19" t="s">
        <v>67</v>
      </c>
      <c r="P1337" s="19" t="s">
        <v>5187</v>
      </c>
      <c r="Q1337" s="204"/>
    </row>
    <row r="1338" spans="1:17" ht="40" customHeight="1">
      <c r="A1338" s="188">
        <v>351</v>
      </c>
      <c r="B1338" s="40" t="s">
        <v>8607</v>
      </c>
      <c r="C1338" s="26" t="s">
        <v>8612</v>
      </c>
      <c r="D1338" s="204" t="s">
        <v>2398</v>
      </c>
      <c r="E1338" s="204" t="s">
        <v>2399</v>
      </c>
      <c r="F1338" s="11" t="s">
        <v>2276</v>
      </c>
      <c r="G1338" s="11" t="s">
        <v>8618</v>
      </c>
      <c r="H1338" s="23" t="s">
        <v>114</v>
      </c>
      <c r="I1338" s="21">
        <v>22.864244500000002</v>
      </c>
      <c r="J1338" s="21">
        <v>113.48677859999999</v>
      </c>
      <c r="K1338" s="21">
        <v>177900</v>
      </c>
      <c r="L1338" s="11">
        <v>2015</v>
      </c>
      <c r="M1338" s="11">
        <v>2015</v>
      </c>
      <c r="N1338" s="204" t="s">
        <v>2276</v>
      </c>
      <c r="O1338" s="19" t="s">
        <v>67</v>
      </c>
      <c r="P1338" s="19" t="s">
        <v>5187</v>
      </c>
      <c r="Q1338" s="204"/>
    </row>
    <row r="1339" spans="1:17" ht="40" customHeight="1">
      <c r="A1339" s="188">
        <v>351</v>
      </c>
      <c r="B1339" s="40" t="s">
        <v>8607</v>
      </c>
      <c r="C1339" s="26" t="s">
        <v>8613</v>
      </c>
      <c r="D1339" s="204" t="s">
        <v>2398</v>
      </c>
      <c r="E1339" s="204" t="s">
        <v>2399</v>
      </c>
      <c r="F1339" s="11" t="s">
        <v>2276</v>
      </c>
      <c r="G1339" s="11" t="s">
        <v>6295</v>
      </c>
      <c r="H1339" s="23" t="s">
        <v>114</v>
      </c>
      <c r="I1339" s="21">
        <v>32.941176800000001</v>
      </c>
      <c r="J1339" s="21">
        <v>119.1685727</v>
      </c>
      <c r="K1339" s="21">
        <v>102600</v>
      </c>
      <c r="L1339" s="11">
        <v>2015</v>
      </c>
      <c r="M1339" s="11">
        <v>2015</v>
      </c>
      <c r="N1339" s="204" t="s">
        <v>2276</v>
      </c>
      <c r="O1339" s="19" t="s">
        <v>67</v>
      </c>
      <c r="P1339" s="19" t="s">
        <v>5187</v>
      </c>
      <c r="Q1339" s="204"/>
    </row>
    <row r="1340" spans="1:17" ht="40" customHeight="1">
      <c r="A1340" s="188">
        <v>351</v>
      </c>
      <c r="B1340" s="40" t="s">
        <v>8607</v>
      </c>
      <c r="C1340" s="26" t="s">
        <v>8614</v>
      </c>
      <c r="D1340" s="204" t="s">
        <v>2398</v>
      </c>
      <c r="E1340" s="204" t="s">
        <v>2399</v>
      </c>
      <c r="F1340" s="11" t="s">
        <v>2276</v>
      </c>
      <c r="G1340" s="11" t="s">
        <v>8619</v>
      </c>
      <c r="H1340" s="23" t="s">
        <v>114</v>
      </c>
      <c r="I1340" s="21">
        <v>33.874465499999999</v>
      </c>
      <c r="J1340" s="21">
        <v>113.5060582</v>
      </c>
      <c r="K1340" s="21">
        <v>167000</v>
      </c>
      <c r="L1340" s="11">
        <v>2015</v>
      </c>
      <c r="M1340" s="11">
        <v>2015</v>
      </c>
      <c r="N1340" s="204" t="s">
        <v>2276</v>
      </c>
      <c r="O1340" s="19" t="s">
        <v>67</v>
      </c>
      <c r="P1340" s="19" t="s">
        <v>5187</v>
      </c>
      <c r="Q1340" s="204"/>
    </row>
    <row r="1341" spans="1:17" ht="40" customHeight="1">
      <c r="A1341" s="188">
        <v>351</v>
      </c>
      <c r="B1341" s="40" t="s">
        <v>8607</v>
      </c>
      <c r="C1341" s="26" t="s">
        <v>8615</v>
      </c>
      <c r="D1341" s="204" t="s">
        <v>2398</v>
      </c>
      <c r="E1341" s="204" t="s">
        <v>2399</v>
      </c>
      <c r="F1341" s="11" t="s">
        <v>2276</v>
      </c>
      <c r="G1341" s="11" t="s">
        <v>8620</v>
      </c>
      <c r="H1341" s="23" t="s">
        <v>114</v>
      </c>
      <c r="I1341" s="21">
        <v>48.494711100000004</v>
      </c>
      <c r="J1341" s="21">
        <v>128.13871119999999</v>
      </c>
      <c r="K1341" s="21">
        <v>454800</v>
      </c>
      <c r="L1341" s="11">
        <v>2015</v>
      </c>
      <c r="M1341" s="11">
        <v>2015</v>
      </c>
      <c r="N1341" s="204" t="s">
        <v>2276</v>
      </c>
      <c r="O1341" s="19" t="s">
        <v>67</v>
      </c>
      <c r="P1341" s="19" t="s">
        <v>5187</v>
      </c>
      <c r="Q1341" s="204"/>
    </row>
    <row r="1342" spans="1:17" ht="40" customHeight="1">
      <c r="A1342" s="188">
        <v>351</v>
      </c>
      <c r="B1342" s="40" t="s">
        <v>8607</v>
      </c>
      <c r="C1342" s="26" t="s">
        <v>8616</v>
      </c>
      <c r="D1342" s="204" t="s">
        <v>2398</v>
      </c>
      <c r="E1342" s="204" t="s">
        <v>2399</v>
      </c>
      <c r="F1342" s="11" t="s">
        <v>2276</v>
      </c>
      <c r="G1342" s="11" t="s">
        <v>8621</v>
      </c>
      <c r="H1342" s="23" t="s">
        <v>114</v>
      </c>
      <c r="I1342" s="21">
        <v>41.105408199999999</v>
      </c>
      <c r="J1342" s="21">
        <v>122.3184631</v>
      </c>
      <c r="K1342" s="21">
        <v>145900</v>
      </c>
      <c r="L1342" s="11">
        <v>2015</v>
      </c>
      <c r="M1342" s="11">
        <v>2015</v>
      </c>
      <c r="N1342" s="204" t="s">
        <v>2276</v>
      </c>
      <c r="O1342" s="19" t="s">
        <v>67</v>
      </c>
      <c r="P1342" s="19" t="s">
        <v>5187</v>
      </c>
      <c r="Q1342" s="204"/>
    </row>
    <row r="1343" spans="1:17" ht="44" customHeight="1">
      <c r="A1343" s="188">
        <v>352</v>
      </c>
      <c r="B1343" s="40" t="s">
        <v>8632</v>
      </c>
      <c r="C1343" s="26" t="s">
        <v>8633</v>
      </c>
      <c r="D1343" s="204" t="s">
        <v>2398</v>
      </c>
      <c r="E1343" s="204" t="s">
        <v>2636</v>
      </c>
      <c r="F1343" s="11" t="s">
        <v>2276</v>
      </c>
      <c r="G1343" s="11" t="s">
        <v>2276</v>
      </c>
      <c r="H1343" s="23" t="s">
        <v>114</v>
      </c>
      <c r="I1343" s="21">
        <v>29</v>
      </c>
      <c r="J1343" s="21">
        <v>110</v>
      </c>
      <c r="K1343" s="21">
        <v>9597000</v>
      </c>
      <c r="L1343" s="11">
        <v>2000</v>
      </c>
      <c r="M1343" s="11">
        <v>2015</v>
      </c>
      <c r="N1343" s="204" t="s">
        <v>2276</v>
      </c>
      <c r="O1343" s="19" t="s">
        <v>67</v>
      </c>
      <c r="P1343" s="19" t="s">
        <v>5187</v>
      </c>
      <c r="Q1343" s="4" t="s">
        <v>8634</v>
      </c>
    </row>
    <row r="1344" spans="1:17" ht="44" customHeight="1">
      <c r="A1344" s="188">
        <v>352</v>
      </c>
      <c r="B1344" s="40" t="s">
        <v>8632</v>
      </c>
      <c r="C1344" s="26" t="s">
        <v>8637</v>
      </c>
      <c r="D1344" s="204" t="s">
        <v>2398</v>
      </c>
      <c r="E1344" s="204" t="s">
        <v>2636</v>
      </c>
      <c r="F1344" s="204" t="s">
        <v>8635</v>
      </c>
      <c r="G1344" s="11" t="s">
        <v>2276</v>
      </c>
      <c r="H1344" s="23" t="s">
        <v>114</v>
      </c>
      <c r="I1344" s="21">
        <v>46.5</v>
      </c>
      <c r="J1344" s="21">
        <v>122.33329999999999</v>
      </c>
      <c r="K1344" s="21">
        <v>59806</v>
      </c>
      <c r="L1344" s="11">
        <v>2015</v>
      </c>
      <c r="M1344" s="11">
        <v>2015</v>
      </c>
      <c r="N1344" s="204" t="s">
        <v>2276</v>
      </c>
      <c r="O1344" s="19" t="s">
        <v>67</v>
      </c>
      <c r="P1344" s="19" t="s">
        <v>5187</v>
      </c>
      <c r="Q1344" s="204"/>
    </row>
    <row r="1345" spans="1:17" ht="44" customHeight="1">
      <c r="A1345" s="188">
        <v>352</v>
      </c>
      <c r="B1345" s="40" t="s">
        <v>8632</v>
      </c>
      <c r="C1345" s="26" t="s">
        <v>8636</v>
      </c>
      <c r="D1345" s="204" t="s">
        <v>2398</v>
      </c>
      <c r="E1345" s="204" t="s">
        <v>2636</v>
      </c>
      <c r="F1345" s="11" t="s">
        <v>2276</v>
      </c>
      <c r="G1345" s="11" t="s">
        <v>8620</v>
      </c>
      <c r="H1345" s="23" t="s">
        <v>114</v>
      </c>
      <c r="I1345" s="21">
        <v>48.494711100000004</v>
      </c>
      <c r="J1345" s="21">
        <v>128.13871119999999</v>
      </c>
      <c r="K1345" s="21">
        <v>454800</v>
      </c>
      <c r="L1345" s="11">
        <v>2015</v>
      </c>
      <c r="M1345" s="11">
        <v>2015</v>
      </c>
      <c r="N1345" s="204" t="s">
        <v>2276</v>
      </c>
      <c r="O1345" s="19" t="s">
        <v>67</v>
      </c>
      <c r="P1345" s="19" t="s">
        <v>5187</v>
      </c>
      <c r="Q1345" s="204"/>
    </row>
    <row r="1346" spans="1:17" ht="37" customHeight="1">
      <c r="A1346" s="188">
        <v>353</v>
      </c>
      <c r="B1346" s="40" t="s">
        <v>8646</v>
      </c>
      <c r="C1346" s="26" t="s">
        <v>8644</v>
      </c>
      <c r="D1346" s="204" t="s">
        <v>2398</v>
      </c>
      <c r="E1346" s="204" t="s">
        <v>4847</v>
      </c>
      <c r="F1346" s="11" t="s">
        <v>2276</v>
      </c>
      <c r="G1346" s="11" t="s">
        <v>2276</v>
      </c>
      <c r="H1346" s="23" t="s">
        <v>114</v>
      </c>
      <c r="I1346" s="21">
        <v>29</v>
      </c>
      <c r="J1346" s="21">
        <v>110</v>
      </c>
      <c r="K1346" s="21">
        <v>9597000</v>
      </c>
      <c r="L1346" s="11">
        <v>1996</v>
      </c>
      <c r="M1346" s="11">
        <v>2005</v>
      </c>
      <c r="N1346" s="204" t="s">
        <v>2276</v>
      </c>
      <c r="O1346" s="19" t="s">
        <v>67</v>
      </c>
      <c r="P1346" s="19" t="s">
        <v>5187</v>
      </c>
      <c r="Q1346" s="204"/>
    </row>
    <row r="1347" spans="1:17" ht="42" customHeight="1">
      <c r="A1347" s="188">
        <v>354</v>
      </c>
      <c r="B1347" s="40" t="s">
        <v>8647</v>
      </c>
      <c r="C1347" s="26" t="s">
        <v>8648</v>
      </c>
      <c r="D1347" s="204" t="s">
        <v>2398</v>
      </c>
      <c r="E1347" s="204" t="s">
        <v>2636</v>
      </c>
      <c r="F1347" s="11" t="s">
        <v>2276</v>
      </c>
      <c r="G1347" s="11" t="s">
        <v>8649</v>
      </c>
      <c r="H1347" s="23" t="s">
        <v>114</v>
      </c>
      <c r="I1347" s="21">
        <v>31.247683299999998</v>
      </c>
      <c r="J1347" s="21">
        <v>120.2433458</v>
      </c>
      <c r="K1347" s="204" t="s">
        <v>2276</v>
      </c>
      <c r="L1347" s="11">
        <v>1000</v>
      </c>
      <c r="M1347" s="11">
        <v>1950</v>
      </c>
      <c r="N1347" s="204" t="s">
        <v>2276</v>
      </c>
      <c r="O1347" s="19" t="s">
        <v>67</v>
      </c>
      <c r="P1347" s="19" t="s">
        <v>5187</v>
      </c>
      <c r="Q1347" s="204"/>
    </row>
    <row r="1348" spans="1:17" ht="44" customHeight="1">
      <c r="A1348" s="188">
        <v>354</v>
      </c>
      <c r="B1348" s="40" t="s">
        <v>8647</v>
      </c>
      <c r="C1348" s="26" t="s">
        <v>8650</v>
      </c>
      <c r="D1348" s="204" t="s">
        <v>2398</v>
      </c>
      <c r="E1348" s="204" t="s">
        <v>2636</v>
      </c>
      <c r="F1348" s="11" t="s">
        <v>2276</v>
      </c>
      <c r="G1348" s="11" t="s">
        <v>8649</v>
      </c>
      <c r="H1348" s="23" t="s">
        <v>114</v>
      </c>
      <c r="I1348" s="21">
        <v>31.247683299999998</v>
      </c>
      <c r="J1348" s="21">
        <v>120.2433458</v>
      </c>
      <c r="K1348" s="204" t="s">
        <v>2276</v>
      </c>
      <c r="L1348" s="11">
        <v>1951</v>
      </c>
      <c r="M1348" s="11">
        <v>1995</v>
      </c>
      <c r="N1348" s="204" t="s">
        <v>2276</v>
      </c>
      <c r="O1348" s="19" t="s">
        <v>67</v>
      </c>
      <c r="P1348" s="19" t="s">
        <v>5187</v>
      </c>
      <c r="Q1348" s="204"/>
    </row>
    <row r="1349" spans="1:17" ht="46.5" customHeight="1">
      <c r="A1349" s="188">
        <v>355</v>
      </c>
      <c r="B1349" s="40" t="s">
        <v>8654</v>
      </c>
      <c r="C1349" s="26" t="s">
        <v>8655</v>
      </c>
      <c r="D1349" s="204" t="s">
        <v>2398</v>
      </c>
      <c r="E1349" s="204" t="s">
        <v>2399</v>
      </c>
      <c r="F1349" s="204" t="s">
        <v>8657</v>
      </c>
      <c r="G1349" s="11" t="s">
        <v>2276</v>
      </c>
      <c r="H1349" s="23" t="s">
        <v>114</v>
      </c>
      <c r="I1349" s="21">
        <v>31.75</v>
      </c>
      <c r="J1349" s="21">
        <v>118.11</v>
      </c>
      <c r="K1349" s="204" t="s">
        <v>2276</v>
      </c>
      <c r="L1349" s="204">
        <v>2014</v>
      </c>
      <c r="M1349" s="204">
        <v>2014</v>
      </c>
      <c r="N1349" s="204" t="s">
        <v>2276</v>
      </c>
      <c r="O1349" s="19" t="s">
        <v>67</v>
      </c>
      <c r="P1349" s="19" t="s">
        <v>5187</v>
      </c>
      <c r="Q1349" s="204"/>
    </row>
    <row r="1350" spans="1:17" ht="41" customHeight="1">
      <c r="A1350" s="188">
        <v>355</v>
      </c>
      <c r="B1350" s="40" t="s">
        <v>8654</v>
      </c>
      <c r="C1350" s="26" t="s">
        <v>8656</v>
      </c>
      <c r="D1350" s="204" t="s">
        <v>2398</v>
      </c>
      <c r="E1350" s="204" t="s">
        <v>2399</v>
      </c>
      <c r="F1350" s="204" t="s">
        <v>8658</v>
      </c>
      <c r="G1350" s="11" t="s">
        <v>2276</v>
      </c>
      <c r="H1350" s="23" t="s">
        <v>114</v>
      </c>
      <c r="I1350" s="21">
        <v>30.84</v>
      </c>
      <c r="J1350" s="21">
        <v>117.65</v>
      </c>
      <c r="K1350" s="204" t="s">
        <v>2276</v>
      </c>
      <c r="L1350" s="204">
        <v>2014</v>
      </c>
      <c r="M1350" s="204">
        <v>2014</v>
      </c>
      <c r="N1350" s="204" t="s">
        <v>2276</v>
      </c>
      <c r="O1350" s="19" t="s">
        <v>67</v>
      </c>
      <c r="P1350" s="19" t="s">
        <v>5187</v>
      </c>
      <c r="Q1350" s="204"/>
    </row>
    <row r="1351" spans="1:17" ht="37" customHeight="1">
      <c r="A1351" s="188">
        <v>356</v>
      </c>
      <c r="B1351" s="40" t="s">
        <v>8663</v>
      </c>
      <c r="C1351" s="26" t="s">
        <v>8664</v>
      </c>
      <c r="D1351" s="204" t="s">
        <v>2398</v>
      </c>
      <c r="E1351" s="204" t="s">
        <v>2399</v>
      </c>
      <c r="F1351" s="11" t="s">
        <v>2276</v>
      </c>
      <c r="G1351" s="204" t="s">
        <v>8665</v>
      </c>
      <c r="H1351" s="23" t="s">
        <v>114</v>
      </c>
      <c r="I1351" s="21">
        <v>31.152552100000001</v>
      </c>
      <c r="J1351" s="21">
        <v>112.2510759</v>
      </c>
      <c r="K1351" s="21">
        <v>185900</v>
      </c>
      <c r="L1351" s="11">
        <v>2015</v>
      </c>
      <c r="M1351" s="11">
        <v>2015</v>
      </c>
      <c r="N1351" s="204">
        <f>58000000/K1351</f>
        <v>311.9956966110812</v>
      </c>
      <c r="O1351" s="19" t="s">
        <v>67</v>
      </c>
      <c r="P1351" s="19" t="s">
        <v>5187</v>
      </c>
      <c r="Q1351" s="204"/>
    </row>
    <row r="1352" spans="1:17" ht="45.5" customHeight="1">
      <c r="A1352" s="188">
        <v>357</v>
      </c>
      <c r="B1352" s="40" t="s">
        <v>8668</v>
      </c>
      <c r="C1352" s="26" t="s">
        <v>8669</v>
      </c>
      <c r="D1352" s="204" t="s">
        <v>2398</v>
      </c>
      <c r="E1352" s="204" t="s">
        <v>4847</v>
      </c>
      <c r="F1352" s="64" t="s">
        <v>8676</v>
      </c>
      <c r="G1352" s="204" t="s">
        <v>8672</v>
      </c>
      <c r="H1352" s="204" t="s">
        <v>88</v>
      </c>
      <c r="I1352" s="21">
        <v>30.7741833715288</v>
      </c>
      <c r="J1352" s="21">
        <v>75.160195001733896</v>
      </c>
      <c r="K1352" s="21">
        <f>AVERAGE(22.81, 25.19, 26.04, 26.11, 24.87, 25.3, 26.14, 26.47)*(100000/100)</f>
        <v>25366.249999999996</v>
      </c>
      <c r="L1352" s="11">
        <v>1999</v>
      </c>
      <c r="M1352" s="11">
        <v>2005</v>
      </c>
      <c r="N1352" s="204" t="s">
        <v>2276</v>
      </c>
      <c r="O1352" s="19" t="s">
        <v>67</v>
      </c>
      <c r="P1352" s="19" t="s">
        <v>5187</v>
      </c>
      <c r="Q1352" s="11" t="s">
        <v>8675</v>
      </c>
    </row>
    <row r="1353" spans="1:17" ht="38" customHeight="1">
      <c r="A1353" s="188">
        <v>357</v>
      </c>
      <c r="B1353" s="40" t="s">
        <v>8668</v>
      </c>
      <c r="C1353" s="26" t="s">
        <v>8670</v>
      </c>
      <c r="D1353" s="204" t="s">
        <v>2398</v>
      </c>
      <c r="E1353" s="204" t="s">
        <v>4847</v>
      </c>
      <c r="F1353" s="64" t="s">
        <v>8676</v>
      </c>
      <c r="G1353" s="204" t="s">
        <v>90</v>
      </c>
      <c r="H1353" s="204" t="s">
        <v>88</v>
      </c>
      <c r="I1353" s="21">
        <v>29.678193861136599</v>
      </c>
      <c r="J1353" s="21">
        <v>76.341552366334696</v>
      </c>
      <c r="K1353" s="21">
        <f>AVERAGE(9.13, 10.83, 10.83, 10.54, 10.28, 9.06, 10.15, 10.28)*(100000/100)</f>
        <v>10137.500000000002</v>
      </c>
      <c r="L1353" s="11">
        <v>1999</v>
      </c>
      <c r="M1353" s="11">
        <v>2005</v>
      </c>
      <c r="N1353" s="204" t="s">
        <v>2276</v>
      </c>
      <c r="O1353" s="19" t="s">
        <v>67</v>
      </c>
      <c r="P1353" s="19" t="s">
        <v>5187</v>
      </c>
      <c r="Q1353" s="11" t="s">
        <v>8675</v>
      </c>
    </row>
    <row r="1354" spans="1:17" ht="40" customHeight="1">
      <c r="A1354" s="188">
        <v>357</v>
      </c>
      <c r="B1354" s="40" t="s">
        <v>8668</v>
      </c>
      <c r="C1354" s="26" t="s">
        <v>8671</v>
      </c>
      <c r="D1354" s="204" t="s">
        <v>2398</v>
      </c>
      <c r="E1354" s="204" t="s">
        <v>4847</v>
      </c>
      <c r="F1354" s="64" t="s">
        <v>8676</v>
      </c>
      <c r="G1354" s="204" t="s">
        <v>8391</v>
      </c>
      <c r="H1354" s="204" t="s">
        <v>88</v>
      </c>
      <c r="I1354" s="21">
        <f>29+22/60</f>
        <v>29.366666666666667</v>
      </c>
      <c r="J1354" s="21">
        <v>78.5</v>
      </c>
      <c r="K1354" s="21">
        <f>AVERAGE(56.64, 58.81, 60.8, 59.07, 60.71, 52.13, 59.52)*(100000/100)</f>
        <v>58239.999999999993</v>
      </c>
      <c r="L1354" s="11">
        <v>1999</v>
      </c>
      <c r="M1354" s="11">
        <v>2005</v>
      </c>
      <c r="N1354" s="204" t="s">
        <v>2276</v>
      </c>
      <c r="O1354" s="19" t="s">
        <v>67</v>
      </c>
      <c r="P1354" s="19" t="s">
        <v>5187</v>
      </c>
      <c r="Q1354" s="11" t="s">
        <v>8675</v>
      </c>
    </row>
    <row r="1355" spans="1:17" ht="42" customHeight="1">
      <c r="A1355" s="188">
        <v>357</v>
      </c>
      <c r="B1355" s="40" t="s">
        <v>8668</v>
      </c>
      <c r="C1355" s="26" t="s">
        <v>8670</v>
      </c>
      <c r="D1355" s="204" t="s">
        <v>2398</v>
      </c>
      <c r="E1355" s="204" t="s">
        <v>4847</v>
      </c>
      <c r="F1355" s="11" t="s">
        <v>2276</v>
      </c>
      <c r="G1355" s="11" t="s">
        <v>2276</v>
      </c>
      <c r="H1355" s="204" t="s">
        <v>1052</v>
      </c>
      <c r="I1355" s="21">
        <v>15.0390905</v>
      </c>
      <c r="J1355" s="21">
        <v>101.490104</v>
      </c>
      <c r="K1355" s="177">
        <f>29146*1000/'Land use'!J1355/'Land use'!J1355/100</f>
        <v>33403.79891450642</v>
      </c>
      <c r="L1355" s="11">
        <v>2007</v>
      </c>
      <c r="M1355" s="11">
        <v>2007</v>
      </c>
      <c r="N1355" s="204" t="s">
        <v>2276</v>
      </c>
      <c r="O1355" s="19" t="s">
        <v>67</v>
      </c>
      <c r="P1355" s="19" t="s">
        <v>5187</v>
      </c>
      <c r="Q1355" s="11" t="s">
        <v>8675</v>
      </c>
    </row>
    <row r="1356" spans="1:17" ht="42" customHeight="1">
      <c r="A1356" s="188">
        <v>357</v>
      </c>
      <c r="B1356" s="40" t="s">
        <v>8668</v>
      </c>
      <c r="C1356" s="26" t="s">
        <v>8671</v>
      </c>
      <c r="D1356" s="204" t="s">
        <v>2398</v>
      </c>
      <c r="E1356" s="204" t="s">
        <v>4847</v>
      </c>
      <c r="F1356" s="11" t="s">
        <v>2276</v>
      </c>
      <c r="G1356" s="11" t="s">
        <v>2276</v>
      </c>
      <c r="H1356" s="204" t="s">
        <v>627</v>
      </c>
      <c r="I1356" s="21">
        <v>10.020728399999999</v>
      </c>
      <c r="J1356" s="21">
        <v>122.9721091</v>
      </c>
      <c r="K1356" s="177">
        <f>14239*1000/'Land use'!J1356/'Land use'!J1356/100</f>
        <v>11711.532252430943</v>
      </c>
      <c r="L1356" s="11">
        <v>2007</v>
      </c>
      <c r="M1356" s="11">
        <v>2007</v>
      </c>
      <c r="N1356" s="204" t="s">
        <v>2276</v>
      </c>
      <c r="O1356" s="19" t="s">
        <v>67</v>
      </c>
      <c r="P1356" s="19" t="s">
        <v>5187</v>
      </c>
      <c r="Q1356" s="11" t="s">
        <v>8675</v>
      </c>
    </row>
    <row r="1357" spans="1:17" ht="46.5" customHeight="1">
      <c r="A1357" s="188">
        <v>358</v>
      </c>
      <c r="B1357" s="40" t="s">
        <v>8688</v>
      </c>
      <c r="C1357" s="26" t="s">
        <v>8683</v>
      </c>
      <c r="D1357" s="204" t="s">
        <v>2398</v>
      </c>
      <c r="E1357" s="204" t="s">
        <v>2405</v>
      </c>
      <c r="F1357" s="11" t="s">
        <v>2276</v>
      </c>
      <c r="G1357" s="19" t="s">
        <v>8689</v>
      </c>
      <c r="H1357" s="23" t="s">
        <v>114</v>
      </c>
      <c r="I1357" s="21">
        <f>AVERAGE(41.2, 53.23)</f>
        <v>47.215000000000003</v>
      </c>
      <c r="J1357" s="21">
        <f>AVERAGE(115.22, 126.06)</f>
        <v>120.64</v>
      </c>
      <c r="K1357" s="21">
        <v>452540</v>
      </c>
      <c r="L1357" s="11">
        <v>2000</v>
      </c>
      <c r="M1357" s="11">
        <v>2010</v>
      </c>
      <c r="N1357" s="204" t="s">
        <v>2276</v>
      </c>
      <c r="O1357" s="19" t="s">
        <v>67</v>
      </c>
      <c r="P1357" s="19" t="s">
        <v>5187</v>
      </c>
      <c r="Q1357" s="204"/>
    </row>
    <row r="1358" spans="1:17" ht="43" customHeight="1">
      <c r="A1358" s="188">
        <v>359</v>
      </c>
      <c r="B1358" s="40" t="s">
        <v>8695</v>
      </c>
      <c r="C1358" s="26" t="s">
        <v>8694</v>
      </c>
      <c r="D1358" s="204" t="s">
        <v>2398</v>
      </c>
      <c r="E1358" s="204" t="s">
        <v>4847</v>
      </c>
      <c r="F1358" s="11" t="s">
        <v>8705</v>
      </c>
      <c r="G1358" s="19" t="s">
        <v>8689</v>
      </c>
      <c r="H1358" s="23" t="s">
        <v>114</v>
      </c>
      <c r="I1358" s="21">
        <f>AVERAGE(47.08, 53.23)</f>
        <v>50.155000000000001</v>
      </c>
      <c r="J1358" s="21">
        <f>AVERAGE(115.22, 126.08)</f>
        <v>120.65</v>
      </c>
      <c r="K1358" s="21">
        <v>252948</v>
      </c>
      <c r="L1358" s="11">
        <v>1977</v>
      </c>
      <c r="M1358" s="11">
        <v>1996</v>
      </c>
      <c r="N1358" s="204" t="s">
        <v>2276</v>
      </c>
      <c r="O1358" s="19" t="s">
        <v>67</v>
      </c>
      <c r="P1358" s="19" t="s">
        <v>5187</v>
      </c>
      <c r="Q1358" s="204"/>
    </row>
    <row r="1359" spans="1:17" ht="44.5" customHeight="1">
      <c r="A1359" s="188">
        <v>360</v>
      </c>
      <c r="B1359" s="40" t="s">
        <v>8706</v>
      </c>
      <c r="C1359" s="26" t="s">
        <v>8707</v>
      </c>
      <c r="D1359" s="204" t="s">
        <v>2398</v>
      </c>
      <c r="E1359" s="204" t="s">
        <v>2399</v>
      </c>
      <c r="F1359" s="11" t="s">
        <v>8714</v>
      </c>
      <c r="G1359" s="11" t="s">
        <v>8708</v>
      </c>
      <c r="H1359" s="23" t="s">
        <v>779</v>
      </c>
      <c r="I1359" s="21">
        <f>10+18/60</f>
        <v>10.3</v>
      </c>
      <c r="J1359" s="21">
        <f>105+54/60</f>
        <v>105.9</v>
      </c>
      <c r="K1359" s="21">
        <f>35*0.9/100</f>
        <v>0.315</v>
      </c>
      <c r="L1359" s="11">
        <v>2007</v>
      </c>
      <c r="M1359" s="11">
        <v>2011</v>
      </c>
      <c r="N1359" s="204" t="s">
        <v>2276</v>
      </c>
      <c r="O1359" s="19" t="s">
        <v>67</v>
      </c>
      <c r="P1359" s="19" t="s">
        <v>5187</v>
      </c>
      <c r="Q1359" s="204"/>
    </row>
    <row r="1360" spans="1:17" ht="37" customHeight="1">
      <c r="A1360" s="188">
        <v>361</v>
      </c>
      <c r="B1360" s="40" t="s">
        <v>8716</v>
      </c>
      <c r="C1360" s="204" t="s">
        <v>8717</v>
      </c>
      <c r="D1360" s="204" t="s">
        <v>2398</v>
      </c>
      <c r="E1360" s="204" t="s">
        <v>2422</v>
      </c>
      <c r="F1360" s="11" t="s">
        <v>2276</v>
      </c>
      <c r="G1360" s="204" t="s">
        <v>8715</v>
      </c>
      <c r="H1360" s="23" t="s">
        <v>779</v>
      </c>
      <c r="I1360" s="21">
        <v>20.973675100000001</v>
      </c>
      <c r="J1360" s="21">
        <v>105.65267590000001</v>
      </c>
      <c r="K1360" s="21">
        <v>3120</v>
      </c>
      <c r="L1360" s="204">
        <v>2016</v>
      </c>
      <c r="M1360" s="204">
        <v>2016</v>
      </c>
      <c r="N1360" s="21">
        <f>5053564/K1360</f>
        <v>1619.7320512820513</v>
      </c>
      <c r="O1360" s="19" t="s">
        <v>67</v>
      </c>
      <c r="P1360" s="19" t="s">
        <v>5187</v>
      </c>
      <c r="Q1360" s="204"/>
    </row>
    <row r="1361" spans="1:17" ht="44.5" customHeight="1">
      <c r="A1361" s="188">
        <v>362</v>
      </c>
      <c r="B1361" s="40" t="s">
        <v>8730</v>
      </c>
      <c r="C1361" s="26" t="s">
        <v>8731</v>
      </c>
      <c r="D1361" s="204" t="s">
        <v>2398</v>
      </c>
      <c r="E1361" s="204" t="s">
        <v>4847</v>
      </c>
      <c r="F1361" s="11" t="s">
        <v>2276</v>
      </c>
      <c r="G1361" s="204" t="s">
        <v>8732</v>
      </c>
      <c r="H1361" s="204" t="s">
        <v>4112</v>
      </c>
      <c r="I1361" s="21">
        <v>32.638473300000001</v>
      </c>
      <c r="J1361" s="21">
        <v>-83.758179100000007</v>
      </c>
      <c r="K1361" s="21">
        <v>153909</v>
      </c>
      <c r="L1361" s="204">
        <v>2014</v>
      </c>
      <c r="M1361" s="204">
        <v>2014</v>
      </c>
      <c r="N1361" s="204" t="s">
        <v>2276</v>
      </c>
      <c r="O1361" s="19" t="s">
        <v>67</v>
      </c>
      <c r="P1361" s="19" t="s">
        <v>5187</v>
      </c>
      <c r="Q1361" s="4" t="s">
        <v>8747</v>
      </c>
    </row>
    <row r="1362" spans="1:17" ht="44.5" customHeight="1">
      <c r="A1362" s="188">
        <v>362</v>
      </c>
      <c r="B1362" s="40" t="s">
        <v>8730</v>
      </c>
      <c r="C1362" s="26" t="s">
        <v>8736</v>
      </c>
      <c r="D1362" s="204" t="s">
        <v>2398</v>
      </c>
      <c r="E1362" s="204" t="s">
        <v>2405</v>
      </c>
      <c r="F1362" s="11" t="s">
        <v>2276</v>
      </c>
      <c r="G1362" s="204" t="s">
        <v>4111</v>
      </c>
      <c r="H1362" s="204" t="s">
        <v>4112</v>
      </c>
      <c r="I1362" s="21">
        <v>38.498778899999998</v>
      </c>
      <c r="J1362" s="21">
        <v>-98.320077900000001</v>
      </c>
      <c r="K1362" s="21">
        <v>213100</v>
      </c>
      <c r="L1362" s="204">
        <v>2014</v>
      </c>
      <c r="M1362" s="204">
        <v>2014</v>
      </c>
      <c r="N1362" s="204" t="s">
        <v>2276</v>
      </c>
      <c r="O1362" s="19" t="s">
        <v>67</v>
      </c>
      <c r="P1362" s="19" t="s">
        <v>5187</v>
      </c>
      <c r="Q1362" s="4" t="s">
        <v>8747</v>
      </c>
    </row>
    <row r="1363" spans="1:17" ht="44.5" customHeight="1">
      <c r="A1363" s="188">
        <v>362</v>
      </c>
      <c r="B1363" s="40" t="s">
        <v>8730</v>
      </c>
      <c r="C1363" s="26" t="s">
        <v>8737</v>
      </c>
      <c r="D1363" s="204" t="s">
        <v>2398</v>
      </c>
      <c r="E1363" s="204" t="s">
        <v>2405</v>
      </c>
      <c r="F1363" s="11" t="s">
        <v>2276</v>
      </c>
      <c r="G1363" s="204" t="s">
        <v>8054</v>
      </c>
      <c r="H1363" s="204" t="s">
        <v>4112</v>
      </c>
      <c r="I1363" s="21">
        <v>35.3090495</v>
      </c>
      <c r="J1363" s="21">
        <v>-98.716558500000005</v>
      </c>
      <c r="K1363" s="21">
        <v>181037</v>
      </c>
      <c r="L1363" s="204">
        <v>2014</v>
      </c>
      <c r="M1363" s="204">
        <v>2014</v>
      </c>
      <c r="N1363" s="204" t="s">
        <v>2276</v>
      </c>
      <c r="O1363" s="19" t="s">
        <v>67</v>
      </c>
      <c r="P1363" s="19" t="s">
        <v>5187</v>
      </c>
      <c r="Q1363" s="4" t="s">
        <v>8747</v>
      </c>
    </row>
    <row r="1364" spans="1:17" ht="44.5" customHeight="1">
      <c r="A1364" s="188">
        <v>363</v>
      </c>
      <c r="B1364" s="40" t="s">
        <v>8749</v>
      </c>
      <c r="C1364" s="204" t="s">
        <v>8748</v>
      </c>
      <c r="D1364" s="204" t="s">
        <v>2398</v>
      </c>
      <c r="E1364" s="204" t="s">
        <v>2400</v>
      </c>
      <c r="F1364" s="11" t="s">
        <v>2276</v>
      </c>
      <c r="G1364" s="11" t="s">
        <v>8750</v>
      </c>
      <c r="H1364" s="11" t="s">
        <v>6324</v>
      </c>
      <c r="I1364" s="21">
        <v>54.740181999999997</v>
      </c>
      <c r="J1364" s="21">
        <v>33.069727999999998</v>
      </c>
      <c r="K1364" s="21">
        <v>49800</v>
      </c>
      <c r="L1364" s="11">
        <v>2014</v>
      </c>
      <c r="M1364" s="11">
        <v>2014</v>
      </c>
      <c r="N1364" s="204" t="s">
        <v>2276</v>
      </c>
      <c r="O1364" s="19" t="s">
        <v>67</v>
      </c>
      <c r="P1364" s="19" t="s">
        <v>5187</v>
      </c>
      <c r="Q1364" s="204"/>
    </row>
    <row r="1365" spans="1:17" ht="44.5" customHeight="1">
      <c r="A1365" s="188">
        <v>363</v>
      </c>
      <c r="B1365" s="40" t="s">
        <v>8749</v>
      </c>
      <c r="C1365" s="204" t="s">
        <v>8755</v>
      </c>
      <c r="D1365" s="204" t="s">
        <v>2398</v>
      </c>
      <c r="E1365" s="204" t="s">
        <v>2405</v>
      </c>
      <c r="F1365" s="11" t="s">
        <v>2276</v>
      </c>
      <c r="G1365" s="11" t="s">
        <v>2276</v>
      </c>
      <c r="H1365" s="11" t="s">
        <v>8757</v>
      </c>
      <c r="I1365" s="21">
        <f>53+39/60</f>
        <v>53.65</v>
      </c>
      <c r="J1365" s="21">
        <f>28+5/60</f>
        <v>28.083333333333332</v>
      </c>
      <c r="K1365" s="21">
        <v>207595</v>
      </c>
      <c r="L1365" s="11">
        <v>2000</v>
      </c>
      <c r="M1365" s="11">
        <v>2010</v>
      </c>
      <c r="N1365" s="204" t="s">
        <v>2276</v>
      </c>
      <c r="O1365" s="19" t="s">
        <v>67</v>
      </c>
      <c r="P1365" s="19" t="s">
        <v>5187</v>
      </c>
      <c r="Q1365" s="204"/>
    </row>
    <row r="1366" spans="1:17" ht="44.5" customHeight="1">
      <c r="A1366" s="188">
        <v>363</v>
      </c>
      <c r="B1366" s="40" t="s">
        <v>8749</v>
      </c>
      <c r="C1366" s="204" t="s">
        <v>8756</v>
      </c>
      <c r="D1366" s="204" t="s">
        <v>2398</v>
      </c>
      <c r="E1366" s="204" t="s">
        <v>2405</v>
      </c>
      <c r="F1366" s="11" t="s">
        <v>2276</v>
      </c>
      <c r="G1366" s="11" t="s">
        <v>2276</v>
      </c>
      <c r="H1366" s="11" t="s">
        <v>8758</v>
      </c>
      <c r="I1366" s="21">
        <v>55.173557899999999</v>
      </c>
      <c r="J1366" s="21">
        <v>23.8832615</v>
      </c>
      <c r="K1366" s="21">
        <v>65300</v>
      </c>
      <c r="L1366" s="11">
        <v>2000</v>
      </c>
      <c r="M1366" s="11">
        <v>2010</v>
      </c>
      <c r="N1366" s="204" t="s">
        <v>2276</v>
      </c>
      <c r="O1366" s="19" t="s">
        <v>67</v>
      </c>
      <c r="P1366" s="19" t="s">
        <v>5187</v>
      </c>
      <c r="Q1366" s="204"/>
    </row>
    <row r="1367" spans="1:17" ht="29" customHeight="1">
      <c r="A1367" s="236">
        <v>364</v>
      </c>
      <c r="B1367" s="7" t="s">
        <v>8771</v>
      </c>
      <c r="C1367" s="5" t="s">
        <v>8772</v>
      </c>
      <c r="D1367" s="204" t="s">
        <v>2398</v>
      </c>
      <c r="E1367" s="5" t="s">
        <v>4847</v>
      </c>
      <c r="F1367" s="64" t="s">
        <v>8802</v>
      </c>
      <c r="G1367" s="11" t="s">
        <v>8786</v>
      </c>
      <c r="H1367" s="11" t="s">
        <v>8801</v>
      </c>
      <c r="I1367" s="21">
        <v>31.224110899999999</v>
      </c>
      <c r="J1367" s="21">
        <v>29.954885900000001</v>
      </c>
      <c r="K1367" s="21">
        <f>'Reported burning'!T3272/0.6</f>
        <v>1183.3333333333335</v>
      </c>
      <c r="L1367" s="11">
        <v>2008</v>
      </c>
      <c r="M1367" s="11">
        <v>2011</v>
      </c>
      <c r="N1367" s="204" t="s">
        <v>2276</v>
      </c>
      <c r="O1367" s="19" t="s">
        <v>67</v>
      </c>
      <c r="P1367" s="19" t="s">
        <v>5187</v>
      </c>
      <c r="Q1367" s="204"/>
    </row>
    <row r="1368" spans="1:17" ht="29" customHeight="1">
      <c r="A1368" s="188">
        <v>364</v>
      </c>
      <c r="B1368" s="7" t="s">
        <v>8771</v>
      </c>
      <c r="C1368" s="11" t="s">
        <v>8773</v>
      </c>
      <c r="D1368" s="204" t="s">
        <v>2398</v>
      </c>
      <c r="E1368" s="5" t="s">
        <v>4847</v>
      </c>
      <c r="F1368" s="64" t="s">
        <v>8802</v>
      </c>
      <c r="G1368" s="11" t="s">
        <v>8787</v>
      </c>
      <c r="H1368" s="11" t="s">
        <v>8801</v>
      </c>
      <c r="I1368" s="21">
        <v>30.688140400000002</v>
      </c>
      <c r="J1368" s="21">
        <v>30.2411952</v>
      </c>
      <c r="K1368" s="21">
        <f>'Reported burning'!T3273/0.6</f>
        <v>83217.5</v>
      </c>
      <c r="L1368" s="11">
        <v>2008</v>
      </c>
      <c r="M1368" s="11">
        <v>2011</v>
      </c>
      <c r="N1368" s="204" t="s">
        <v>2276</v>
      </c>
      <c r="O1368" s="19" t="s">
        <v>67</v>
      </c>
      <c r="P1368" s="19" t="s">
        <v>5187</v>
      </c>
      <c r="Q1368" s="204"/>
    </row>
    <row r="1369" spans="1:17" ht="29" customHeight="1">
      <c r="A1369" s="188">
        <v>364</v>
      </c>
      <c r="B1369" s="7" t="s">
        <v>8771</v>
      </c>
      <c r="C1369" s="11" t="s">
        <v>8774</v>
      </c>
      <c r="D1369" s="204" t="s">
        <v>2398</v>
      </c>
      <c r="E1369" s="5" t="s">
        <v>4847</v>
      </c>
      <c r="F1369" s="64" t="s">
        <v>8802</v>
      </c>
      <c r="G1369" s="11" t="s">
        <v>8788</v>
      </c>
      <c r="H1369" s="11" t="s">
        <v>8801</v>
      </c>
      <c r="I1369" s="21">
        <v>30.8685647</v>
      </c>
      <c r="J1369" s="21">
        <v>31.028994000000001</v>
      </c>
      <c r="K1369" s="21">
        <f>'Reported burning'!T3274/0.6</f>
        <v>55575</v>
      </c>
      <c r="L1369" s="11">
        <v>2008</v>
      </c>
      <c r="M1369" s="11">
        <v>2011</v>
      </c>
      <c r="N1369" s="204" t="s">
        <v>2276</v>
      </c>
      <c r="O1369" s="19" t="s">
        <v>67</v>
      </c>
      <c r="P1369" s="19" t="s">
        <v>5187</v>
      </c>
      <c r="Q1369" s="204"/>
    </row>
    <row r="1370" spans="1:17" ht="29" customHeight="1">
      <c r="A1370" s="188">
        <v>364</v>
      </c>
      <c r="B1370" s="7" t="s">
        <v>8771</v>
      </c>
      <c r="C1370" s="11" t="s">
        <v>8775</v>
      </c>
      <c r="D1370" s="204" t="s">
        <v>2398</v>
      </c>
      <c r="E1370" s="5" t="s">
        <v>4847</v>
      </c>
      <c r="F1370" s="64" t="s">
        <v>8802</v>
      </c>
      <c r="G1370" s="11" t="s">
        <v>8803</v>
      </c>
      <c r="H1370" s="11" t="s">
        <v>8801</v>
      </c>
      <c r="I1370" s="21">
        <v>31.298152000000002</v>
      </c>
      <c r="J1370" s="21">
        <v>30.825961299999999</v>
      </c>
      <c r="K1370" s="21">
        <f>'Reported burning'!T3275/0.6</f>
        <v>130821.66666666667</v>
      </c>
      <c r="L1370" s="11">
        <v>2008</v>
      </c>
      <c r="M1370" s="11">
        <v>2011</v>
      </c>
      <c r="N1370" s="204" t="s">
        <v>2276</v>
      </c>
      <c r="O1370" s="19" t="s">
        <v>67</v>
      </c>
      <c r="P1370" s="19" t="s">
        <v>5187</v>
      </c>
      <c r="Q1370" s="204"/>
    </row>
    <row r="1371" spans="1:17" ht="29" customHeight="1">
      <c r="A1371" s="188">
        <v>364</v>
      </c>
      <c r="B1371" s="7" t="s">
        <v>8771</v>
      </c>
      <c r="C1371" s="11" t="s">
        <v>8776</v>
      </c>
      <c r="D1371" s="204" t="s">
        <v>2398</v>
      </c>
      <c r="E1371" s="5" t="s">
        <v>4847</v>
      </c>
      <c r="F1371" s="64" t="s">
        <v>8802</v>
      </c>
      <c r="G1371" s="11" t="s">
        <v>8789</v>
      </c>
      <c r="H1371" s="11" t="s">
        <v>8801</v>
      </c>
      <c r="I1371" s="21">
        <v>31.0620099</v>
      </c>
      <c r="J1371" s="21">
        <v>31.6471442</v>
      </c>
      <c r="K1371" s="21">
        <f>'Reported burning'!T3276/0.6</f>
        <v>162305.41666666669</v>
      </c>
      <c r="L1371" s="11">
        <v>2008</v>
      </c>
      <c r="M1371" s="11">
        <v>2011</v>
      </c>
      <c r="N1371" s="204" t="s">
        <v>2276</v>
      </c>
      <c r="O1371" s="19" t="s">
        <v>67</v>
      </c>
      <c r="P1371" s="19" t="s">
        <v>5187</v>
      </c>
      <c r="Q1371" s="204"/>
    </row>
    <row r="1372" spans="1:17" ht="29" customHeight="1">
      <c r="A1372" s="188">
        <v>364</v>
      </c>
      <c r="B1372" s="7" t="s">
        <v>8771</v>
      </c>
      <c r="C1372" s="11" t="s">
        <v>8777</v>
      </c>
      <c r="D1372" s="204" t="s">
        <v>2398</v>
      </c>
      <c r="E1372" s="5" t="s">
        <v>4847</v>
      </c>
      <c r="F1372" s="64" t="s">
        <v>8802</v>
      </c>
      <c r="G1372" s="11" t="s">
        <v>8790</v>
      </c>
      <c r="H1372" s="11" t="s">
        <v>8801</v>
      </c>
      <c r="I1372" s="21">
        <v>31.417633599999998</v>
      </c>
      <c r="J1372" s="21">
        <v>31.8048073</v>
      </c>
      <c r="K1372" s="21">
        <f>'Reported burning'!T3277/0.6</f>
        <v>27537.916666666668</v>
      </c>
      <c r="L1372" s="11">
        <v>2008</v>
      </c>
      <c r="M1372" s="11">
        <v>2011</v>
      </c>
      <c r="N1372" s="204" t="s">
        <v>2276</v>
      </c>
      <c r="O1372" s="19" t="s">
        <v>67</v>
      </c>
      <c r="P1372" s="19" t="s">
        <v>5187</v>
      </c>
      <c r="Q1372" s="204"/>
    </row>
    <row r="1373" spans="1:17" ht="29" customHeight="1">
      <c r="A1373" s="188">
        <v>364</v>
      </c>
      <c r="B1373" s="7" t="s">
        <v>8771</v>
      </c>
      <c r="C1373" s="11" t="s">
        <v>8778</v>
      </c>
      <c r="D1373" s="204" t="s">
        <v>2398</v>
      </c>
      <c r="E1373" s="5" t="s">
        <v>4847</v>
      </c>
      <c r="F1373" s="64" t="s">
        <v>8802</v>
      </c>
      <c r="G1373" s="11" t="s">
        <v>8791</v>
      </c>
      <c r="H1373" s="11" t="s">
        <v>8801</v>
      </c>
      <c r="I1373" s="21">
        <v>30.673075799999999</v>
      </c>
      <c r="J1373" s="21">
        <v>31.7197934</v>
      </c>
      <c r="K1373" s="21">
        <f>'Reported burning'!T3278/0.6</f>
        <v>106049.16666666667</v>
      </c>
      <c r="L1373" s="11">
        <v>2008</v>
      </c>
      <c r="M1373" s="11">
        <v>2011</v>
      </c>
      <c r="N1373" s="204" t="s">
        <v>2276</v>
      </c>
      <c r="O1373" s="19" t="s">
        <v>67</v>
      </c>
      <c r="P1373" s="19" t="s">
        <v>5187</v>
      </c>
      <c r="Q1373" s="204"/>
    </row>
    <row r="1374" spans="1:17" ht="29" customHeight="1">
      <c r="A1374" s="188">
        <v>364</v>
      </c>
      <c r="B1374" s="7" t="s">
        <v>8771</v>
      </c>
      <c r="C1374" s="11" t="s">
        <v>8779</v>
      </c>
      <c r="D1374" s="204" t="s">
        <v>2398</v>
      </c>
      <c r="E1374" s="5" t="s">
        <v>4847</v>
      </c>
      <c r="F1374" s="64" t="s">
        <v>8802</v>
      </c>
      <c r="G1374" s="11" t="s">
        <v>8792</v>
      </c>
      <c r="H1374" s="11" t="s">
        <v>8801</v>
      </c>
      <c r="I1374" s="21">
        <v>30.580172900000001</v>
      </c>
      <c r="J1374" s="21">
        <v>32.236925800000002</v>
      </c>
      <c r="K1374" s="21">
        <f>'Reported burning'!T3279/0.6</f>
        <v>1807.9166666666667</v>
      </c>
      <c r="L1374" s="11">
        <v>2008</v>
      </c>
      <c r="M1374" s="11">
        <v>2011</v>
      </c>
      <c r="N1374" s="204" t="s">
        <v>2276</v>
      </c>
      <c r="O1374" s="19" t="s">
        <v>67</v>
      </c>
      <c r="P1374" s="19" t="s">
        <v>5187</v>
      </c>
      <c r="Q1374" s="204"/>
    </row>
    <row r="1375" spans="1:17" ht="29" customHeight="1">
      <c r="A1375" s="188">
        <v>364</v>
      </c>
      <c r="B1375" s="7" t="s">
        <v>8771</v>
      </c>
      <c r="C1375" s="11" t="s">
        <v>8780</v>
      </c>
      <c r="D1375" s="204" t="s">
        <v>2398</v>
      </c>
      <c r="E1375" s="5" t="s">
        <v>4847</v>
      </c>
      <c r="F1375" s="64" t="s">
        <v>8802</v>
      </c>
      <c r="G1375" s="11" t="s">
        <v>8793</v>
      </c>
      <c r="H1375" s="11" t="s">
        <v>8801</v>
      </c>
      <c r="I1375" s="21">
        <v>31.129622000000001</v>
      </c>
      <c r="J1375" s="21">
        <v>32.307867700000003</v>
      </c>
      <c r="K1375" s="21">
        <f>'Reported burning'!T3280/0.6</f>
        <v>8287.5</v>
      </c>
      <c r="L1375" s="11">
        <v>2008</v>
      </c>
      <c r="M1375" s="11">
        <v>2011</v>
      </c>
      <c r="N1375" s="204" t="s">
        <v>2276</v>
      </c>
      <c r="O1375" s="19" t="s">
        <v>67</v>
      </c>
      <c r="P1375" s="19" t="s">
        <v>5187</v>
      </c>
      <c r="Q1375" s="204"/>
    </row>
    <row r="1376" spans="1:17" ht="29" customHeight="1">
      <c r="A1376" s="188">
        <v>364</v>
      </c>
      <c r="B1376" s="7" t="s">
        <v>8771</v>
      </c>
      <c r="C1376" s="11" t="s">
        <v>8781</v>
      </c>
      <c r="D1376" s="204" t="s">
        <v>2398</v>
      </c>
      <c r="E1376" s="5" t="s">
        <v>4847</v>
      </c>
      <c r="F1376" s="64" t="s">
        <v>8802</v>
      </c>
      <c r="G1376" s="11" t="s">
        <v>8794</v>
      </c>
      <c r="H1376" s="11" t="s">
        <v>8801</v>
      </c>
      <c r="I1376" s="21">
        <v>30.5666723</v>
      </c>
      <c r="J1376" s="21">
        <v>32.446567100000003</v>
      </c>
      <c r="K1376" s="21" t="s">
        <v>2276</v>
      </c>
      <c r="L1376" s="11">
        <v>2008</v>
      </c>
      <c r="M1376" s="11">
        <v>2011</v>
      </c>
      <c r="N1376" s="204" t="s">
        <v>2276</v>
      </c>
      <c r="O1376" s="19" t="s">
        <v>67</v>
      </c>
      <c r="P1376" s="19" t="s">
        <v>5187</v>
      </c>
      <c r="Q1376" s="204"/>
    </row>
    <row r="1377" spans="1:17" ht="29" customHeight="1">
      <c r="A1377" s="188">
        <v>364</v>
      </c>
      <c r="B1377" s="7" t="s">
        <v>8771</v>
      </c>
      <c r="C1377" s="11" t="s">
        <v>8782</v>
      </c>
      <c r="D1377" s="204" t="s">
        <v>2398</v>
      </c>
      <c r="E1377" s="5" t="s">
        <v>4847</v>
      </c>
      <c r="F1377" s="64" t="s">
        <v>8802</v>
      </c>
      <c r="G1377" s="11" t="s">
        <v>8795</v>
      </c>
      <c r="H1377" s="11" t="s">
        <v>8801</v>
      </c>
      <c r="I1377" s="21">
        <v>30.355724899999998</v>
      </c>
      <c r="J1377" s="21">
        <v>31.3522018</v>
      </c>
      <c r="K1377" s="21">
        <f>'Reported burning'!T3282/0.6</f>
        <v>6136.25</v>
      </c>
      <c r="L1377" s="11">
        <v>2008</v>
      </c>
      <c r="M1377" s="11">
        <v>2011</v>
      </c>
      <c r="N1377" s="204" t="s">
        <v>2276</v>
      </c>
      <c r="O1377" s="19" t="s">
        <v>67</v>
      </c>
      <c r="P1377" s="19" t="s">
        <v>5187</v>
      </c>
      <c r="Q1377" s="204"/>
    </row>
    <row r="1378" spans="1:17" ht="29" customHeight="1">
      <c r="A1378" s="188">
        <v>364</v>
      </c>
      <c r="B1378" s="7" t="s">
        <v>8771</v>
      </c>
      <c r="C1378" s="11" t="s">
        <v>8783</v>
      </c>
      <c r="D1378" s="204" t="s">
        <v>2398</v>
      </c>
      <c r="E1378" s="5" t="s">
        <v>4847</v>
      </c>
      <c r="F1378" s="64" t="s">
        <v>8802</v>
      </c>
      <c r="G1378" s="11" t="s">
        <v>8796</v>
      </c>
      <c r="H1378" s="11" t="s">
        <v>8801</v>
      </c>
      <c r="I1378" s="21">
        <v>30.0594885</v>
      </c>
      <c r="J1378" s="21">
        <v>31.258464400000001</v>
      </c>
      <c r="K1378" s="21" t="s">
        <v>2276</v>
      </c>
      <c r="L1378" s="11">
        <v>2008</v>
      </c>
      <c r="M1378" s="11">
        <v>2011</v>
      </c>
      <c r="N1378" s="204" t="s">
        <v>2276</v>
      </c>
      <c r="O1378" s="19" t="s">
        <v>67</v>
      </c>
      <c r="P1378" s="19" t="s">
        <v>5187</v>
      </c>
      <c r="Q1378" s="204"/>
    </row>
    <row r="1379" spans="1:17" ht="29" customHeight="1">
      <c r="A1379" s="188">
        <v>364</v>
      </c>
      <c r="B1379" s="7" t="s">
        <v>8771</v>
      </c>
      <c r="C1379" s="11" t="s">
        <v>8784</v>
      </c>
      <c r="D1379" s="204" t="s">
        <v>2398</v>
      </c>
      <c r="E1379" s="5" t="s">
        <v>4847</v>
      </c>
      <c r="F1379" s="64" t="s">
        <v>8802</v>
      </c>
      <c r="G1379" s="11" t="s">
        <v>8797</v>
      </c>
      <c r="H1379" s="11" t="s">
        <v>8801</v>
      </c>
      <c r="I1379" s="21">
        <v>28.83962</v>
      </c>
      <c r="J1379" s="21">
        <v>30.828781200000002</v>
      </c>
      <c r="K1379" s="21">
        <f>'Reported burning'!T3284/0.6</f>
        <v>279.16666666666669</v>
      </c>
      <c r="L1379" s="11">
        <v>2008</v>
      </c>
      <c r="M1379" s="11">
        <v>2011</v>
      </c>
      <c r="N1379" s="204" t="s">
        <v>2276</v>
      </c>
      <c r="O1379" s="19" t="s">
        <v>67</v>
      </c>
      <c r="P1379" s="19" t="s">
        <v>5187</v>
      </c>
      <c r="Q1379" s="204"/>
    </row>
    <row r="1380" spans="1:17" ht="29" customHeight="1">
      <c r="A1380" s="188">
        <v>364</v>
      </c>
      <c r="B1380" s="7" t="s">
        <v>8771</v>
      </c>
      <c r="C1380" s="11" t="s">
        <v>8785</v>
      </c>
      <c r="D1380" s="204" t="s">
        <v>2398</v>
      </c>
      <c r="E1380" s="5" t="s">
        <v>4847</v>
      </c>
      <c r="F1380" s="64" t="s">
        <v>8802</v>
      </c>
      <c r="G1380" s="11" t="s">
        <v>8798</v>
      </c>
      <c r="H1380" s="11" t="s">
        <v>8801</v>
      </c>
      <c r="I1380" s="21">
        <v>29.453610600000001</v>
      </c>
      <c r="J1380" s="21">
        <v>30.580832999999998</v>
      </c>
      <c r="K1380" s="21">
        <f>'Reported burning'!T3285/0.6</f>
        <v>3151.25</v>
      </c>
      <c r="L1380" s="11">
        <v>2008</v>
      </c>
      <c r="M1380" s="11">
        <v>2011</v>
      </c>
      <c r="N1380" s="204" t="s">
        <v>2276</v>
      </c>
      <c r="O1380" s="19" t="s">
        <v>67</v>
      </c>
      <c r="P1380" s="19" t="s">
        <v>5187</v>
      </c>
      <c r="Q1380" s="204"/>
    </row>
    <row r="1381" spans="1:17" ht="29" customHeight="1">
      <c r="A1381" s="188">
        <v>364</v>
      </c>
      <c r="B1381" s="7" t="s">
        <v>8771</v>
      </c>
      <c r="C1381" s="11" t="s">
        <v>8799</v>
      </c>
      <c r="D1381" s="204" t="s">
        <v>2398</v>
      </c>
      <c r="E1381" s="5" t="s">
        <v>4847</v>
      </c>
      <c r="F1381" s="64" t="s">
        <v>8802</v>
      </c>
      <c r="G1381" s="11" t="s">
        <v>8800</v>
      </c>
      <c r="H1381" s="11" t="s">
        <v>8801</v>
      </c>
      <c r="I1381" s="21">
        <v>27.335452799999999</v>
      </c>
      <c r="J1381" s="21">
        <v>31.594399800000001</v>
      </c>
      <c r="K1381" s="21">
        <f>'Reported burning'!T3286/0.6</f>
        <v>21.666666666666668</v>
      </c>
      <c r="L1381" s="11">
        <v>2008</v>
      </c>
      <c r="M1381" s="11">
        <v>2011</v>
      </c>
      <c r="N1381" s="204" t="s">
        <v>2276</v>
      </c>
      <c r="O1381" s="19" t="s">
        <v>67</v>
      </c>
      <c r="P1381" s="19" t="s">
        <v>5187</v>
      </c>
      <c r="Q1381" s="204"/>
    </row>
    <row r="1382" spans="1:17" ht="41" customHeight="1">
      <c r="A1382" s="188">
        <v>365</v>
      </c>
      <c r="B1382" s="40" t="s">
        <v>8807</v>
      </c>
      <c r="C1382" s="11" t="s">
        <v>8806</v>
      </c>
      <c r="D1382" s="204" t="s">
        <v>2398</v>
      </c>
      <c r="E1382" s="204" t="s">
        <v>6801</v>
      </c>
      <c r="F1382" s="11" t="s">
        <v>2276</v>
      </c>
      <c r="G1382" s="11" t="s">
        <v>2276</v>
      </c>
      <c r="H1382" s="11" t="s">
        <v>8757</v>
      </c>
      <c r="I1382" s="21">
        <v>53.716941499999997</v>
      </c>
      <c r="J1382" s="21">
        <v>27.977578999999999</v>
      </c>
      <c r="K1382" s="21" t="s">
        <v>2276</v>
      </c>
      <c r="L1382" s="11">
        <v>2002</v>
      </c>
      <c r="M1382" s="11">
        <v>2006</v>
      </c>
      <c r="N1382" s="204" t="s">
        <v>2276</v>
      </c>
      <c r="O1382" s="19" t="s">
        <v>67</v>
      </c>
      <c r="P1382" s="19" t="s">
        <v>5187</v>
      </c>
      <c r="Q1382" s="204"/>
    </row>
    <row r="1383" spans="1:17" ht="38" customHeight="1">
      <c r="A1383" s="188">
        <v>365</v>
      </c>
      <c r="B1383" s="40" t="s">
        <v>8807</v>
      </c>
      <c r="C1383" s="11" t="s">
        <v>8811</v>
      </c>
      <c r="D1383" s="204" t="s">
        <v>2398</v>
      </c>
      <c r="E1383" s="204" t="s">
        <v>6801</v>
      </c>
      <c r="F1383" s="11" t="s">
        <v>2276</v>
      </c>
      <c r="G1383" s="11" t="s">
        <v>2276</v>
      </c>
      <c r="H1383" s="11" t="s">
        <v>7945</v>
      </c>
      <c r="I1383" s="21">
        <v>48.335885699999999</v>
      </c>
      <c r="J1383" s="21">
        <v>31.178819600000001</v>
      </c>
      <c r="K1383" s="21" t="s">
        <v>2276</v>
      </c>
      <c r="L1383" s="11">
        <v>2002</v>
      </c>
      <c r="M1383" s="11">
        <v>2006</v>
      </c>
      <c r="N1383" s="204" t="s">
        <v>2276</v>
      </c>
      <c r="O1383" s="19" t="s">
        <v>67</v>
      </c>
      <c r="P1383" s="19" t="s">
        <v>5187</v>
      </c>
      <c r="Q1383" s="204"/>
    </row>
    <row r="1384" spans="1:17" ht="39" customHeight="1">
      <c r="A1384" s="188">
        <v>365</v>
      </c>
      <c r="B1384" s="40" t="s">
        <v>8807</v>
      </c>
      <c r="C1384" s="11" t="s">
        <v>8812</v>
      </c>
      <c r="D1384" s="204" t="s">
        <v>2398</v>
      </c>
      <c r="E1384" s="204" t="s">
        <v>6801</v>
      </c>
      <c r="F1384" s="23" t="s">
        <v>8809</v>
      </c>
      <c r="G1384" s="11" t="s">
        <v>2276</v>
      </c>
      <c r="H1384" s="11" t="s">
        <v>8758</v>
      </c>
      <c r="I1384" s="21">
        <v>55.404698500000002</v>
      </c>
      <c r="J1384" s="21">
        <v>21.3183197</v>
      </c>
      <c r="K1384" s="21" t="s">
        <v>2276</v>
      </c>
      <c r="L1384" s="11">
        <v>2002</v>
      </c>
      <c r="M1384" s="11">
        <v>2006</v>
      </c>
      <c r="N1384" s="204" t="s">
        <v>2276</v>
      </c>
      <c r="O1384" s="19" t="s">
        <v>67</v>
      </c>
      <c r="P1384" s="19" t="s">
        <v>5187</v>
      </c>
      <c r="Q1384" s="204"/>
    </row>
    <row r="1385" spans="1:17" ht="45.5" customHeight="1">
      <c r="A1385" s="188">
        <v>365</v>
      </c>
      <c r="B1385" s="40" t="s">
        <v>8807</v>
      </c>
      <c r="C1385" s="11" t="s">
        <v>8813</v>
      </c>
      <c r="D1385" s="204" t="s">
        <v>2398</v>
      </c>
      <c r="E1385" s="204" t="s">
        <v>6801</v>
      </c>
      <c r="F1385" s="11" t="s">
        <v>2276</v>
      </c>
      <c r="G1385" s="11" t="s">
        <v>2276</v>
      </c>
      <c r="H1385" s="11" t="s">
        <v>8808</v>
      </c>
      <c r="I1385" s="21">
        <v>56.880172899999998</v>
      </c>
      <c r="J1385" s="21">
        <v>24.544001399999999</v>
      </c>
      <c r="K1385" s="21" t="s">
        <v>2276</v>
      </c>
      <c r="L1385" s="11">
        <v>2002</v>
      </c>
      <c r="M1385" s="11">
        <v>2006</v>
      </c>
      <c r="N1385" s="204" t="s">
        <v>2276</v>
      </c>
      <c r="O1385" s="19" t="s">
        <v>67</v>
      </c>
      <c r="P1385" s="19" t="s">
        <v>5187</v>
      </c>
      <c r="Q1385" s="204"/>
    </row>
    <row r="1386" spans="1:17" ht="49" customHeight="1">
      <c r="A1386" s="188">
        <v>365</v>
      </c>
      <c r="B1386" s="40" t="s">
        <v>8807</v>
      </c>
      <c r="C1386" s="11" t="s">
        <v>8814</v>
      </c>
      <c r="D1386" s="204" t="s">
        <v>2398</v>
      </c>
      <c r="E1386" s="204" t="s">
        <v>6801</v>
      </c>
      <c r="F1386" s="11" t="s">
        <v>2276</v>
      </c>
      <c r="G1386" s="204" t="s">
        <v>8810</v>
      </c>
      <c r="H1386" s="11" t="s">
        <v>6324</v>
      </c>
      <c r="I1386" s="21">
        <v>54.806289999999997</v>
      </c>
      <c r="J1386" s="21">
        <v>21.263537500000002</v>
      </c>
      <c r="K1386" s="21" t="s">
        <v>2276</v>
      </c>
      <c r="L1386" s="11">
        <v>2002</v>
      </c>
      <c r="M1386" s="11">
        <v>2006</v>
      </c>
      <c r="N1386" s="204" t="s">
        <v>2276</v>
      </c>
      <c r="O1386" s="19" t="s">
        <v>67</v>
      </c>
      <c r="P1386" s="19" t="s">
        <v>5187</v>
      </c>
      <c r="Q1386" s="204"/>
    </row>
    <row r="1387" spans="1:17" ht="47.5" customHeight="1">
      <c r="A1387" s="188">
        <v>365</v>
      </c>
      <c r="B1387" s="40" t="s">
        <v>8807</v>
      </c>
      <c r="C1387" s="11" t="s">
        <v>8815</v>
      </c>
      <c r="D1387" s="204" t="s">
        <v>2398</v>
      </c>
      <c r="E1387" s="204" t="s">
        <v>6801</v>
      </c>
      <c r="F1387" s="204" t="s">
        <v>8816</v>
      </c>
      <c r="G1387" s="11" t="s">
        <v>2276</v>
      </c>
      <c r="H1387" s="11" t="s">
        <v>6324</v>
      </c>
      <c r="I1387" s="21">
        <v>55.693280700000003</v>
      </c>
      <c r="J1387" s="21">
        <v>36.851765899999997</v>
      </c>
      <c r="K1387" s="21" t="s">
        <v>2276</v>
      </c>
      <c r="L1387" s="11">
        <v>2002</v>
      </c>
      <c r="M1387" s="11">
        <v>2006</v>
      </c>
      <c r="N1387" s="204" t="s">
        <v>2276</v>
      </c>
      <c r="O1387" s="19" t="s">
        <v>67</v>
      </c>
      <c r="P1387" s="19" t="s">
        <v>5187</v>
      </c>
      <c r="Q1387" s="204"/>
    </row>
    <row r="1388" spans="1:17" ht="49" customHeight="1">
      <c r="A1388" s="188">
        <v>366</v>
      </c>
      <c r="B1388" s="40" t="s">
        <v>8830</v>
      </c>
      <c r="C1388" s="11" t="s">
        <v>8831</v>
      </c>
      <c r="D1388" s="204" t="s">
        <v>2398</v>
      </c>
      <c r="E1388" s="204" t="s">
        <v>2399</v>
      </c>
      <c r="F1388" s="11" t="s">
        <v>2276</v>
      </c>
      <c r="G1388" s="144" t="s">
        <v>5451</v>
      </c>
      <c r="H1388" s="204" t="s">
        <v>972</v>
      </c>
      <c r="I1388" s="21">
        <v>22.357976499999999</v>
      </c>
      <c r="J1388" s="21">
        <v>89.701275600000002</v>
      </c>
      <c r="K1388" s="21" t="s">
        <v>2276</v>
      </c>
      <c r="L1388" s="204">
        <v>2011</v>
      </c>
      <c r="M1388" s="204">
        <v>2011</v>
      </c>
      <c r="N1388" s="204" t="s">
        <v>2276</v>
      </c>
      <c r="O1388" s="19" t="s">
        <v>67</v>
      </c>
      <c r="P1388" s="19" t="s">
        <v>5187</v>
      </c>
      <c r="Q1388" s="204"/>
    </row>
    <row r="1389" spans="1:17" ht="42" customHeight="1">
      <c r="A1389" s="188">
        <v>367</v>
      </c>
      <c r="B1389" s="40" t="s">
        <v>8839</v>
      </c>
      <c r="C1389" s="11" t="s">
        <v>8838</v>
      </c>
      <c r="D1389" s="204" t="s">
        <v>2398</v>
      </c>
      <c r="E1389" s="204" t="s">
        <v>2399</v>
      </c>
      <c r="F1389" s="11" t="s">
        <v>8840</v>
      </c>
      <c r="G1389" s="11" t="s">
        <v>2276</v>
      </c>
      <c r="H1389" s="11" t="s">
        <v>770</v>
      </c>
      <c r="I1389" s="21">
        <f>-20-20/60</f>
        <v>-20.333333333333332</v>
      </c>
      <c r="J1389" s="21">
        <f>-43-48/60</f>
        <v>-43.8</v>
      </c>
      <c r="K1389" s="21" t="s">
        <v>2276</v>
      </c>
      <c r="L1389" s="11">
        <v>2005</v>
      </c>
      <c r="M1389" s="11">
        <v>2005</v>
      </c>
      <c r="N1389" s="204" t="s">
        <v>2276</v>
      </c>
      <c r="O1389" s="19" t="s">
        <v>67</v>
      </c>
      <c r="P1389" s="19" t="s">
        <v>5187</v>
      </c>
      <c r="Q1389" s="204"/>
    </row>
    <row r="1390" spans="1:17" ht="41" customHeight="1">
      <c r="A1390" s="188">
        <v>368</v>
      </c>
      <c r="B1390" s="40" t="s">
        <v>8843</v>
      </c>
      <c r="C1390" s="11" t="s">
        <v>8844</v>
      </c>
      <c r="D1390" s="204" t="s">
        <v>2398</v>
      </c>
      <c r="E1390" s="204" t="s">
        <v>2399</v>
      </c>
      <c r="F1390" s="11" t="s">
        <v>8845</v>
      </c>
      <c r="G1390" s="204" t="s">
        <v>1168</v>
      </c>
      <c r="H1390" s="204" t="s">
        <v>895</v>
      </c>
      <c r="I1390" s="21">
        <v>22.357976499999999</v>
      </c>
      <c r="J1390" s="21">
        <v>89.701275600000002</v>
      </c>
      <c r="K1390" s="204">
        <v>19023.47</v>
      </c>
      <c r="L1390" s="204">
        <v>1998</v>
      </c>
      <c r="M1390" s="204">
        <v>2007</v>
      </c>
      <c r="N1390" s="204">
        <f>36.02</f>
        <v>36.020000000000003</v>
      </c>
      <c r="O1390" s="19" t="s">
        <v>67</v>
      </c>
      <c r="P1390" s="19" t="s">
        <v>5187</v>
      </c>
      <c r="Q1390" s="204"/>
    </row>
    <row r="1391" spans="1:17" ht="35.5" customHeight="1">
      <c r="A1391" s="188">
        <v>369</v>
      </c>
      <c r="B1391" s="40" t="s">
        <v>8854</v>
      </c>
      <c r="C1391" s="11" t="s">
        <v>8853</v>
      </c>
      <c r="D1391" s="204" t="s">
        <v>2398</v>
      </c>
      <c r="E1391" s="204" t="s">
        <v>2399</v>
      </c>
      <c r="F1391" s="11" t="s">
        <v>8855</v>
      </c>
      <c r="G1391" s="11" t="s">
        <v>8859</v>
      </c>
      <c r="H1391" s="11" t="s">
        <v>889</v>
      </c>
      <c r="I1391" s="21">
        <v>8.3206509999999998</v>
      </c>
      <c r="J1391" s="21">
        <v>-13.056814599999999</v>
      </c>
      <c r="K1391" s="21" t="s">
        <v>2276</v>
      </c>
      <c r="L1391" s="204">
        <v>2014</v>
      </c>
      <c r="M1391" s="204">
        <v>2014</v>
      </c>
      <c r="N1391" s="204">
        <v>24</v>
      </c>
      <c r="O1391" s="19" t="s">
        <v>67</v>
      </c>
      <c r="P1391" s="19" t="s">
        <v>5187</v>
      </c>
      <c r="Q1391" s="204" t="s">
        <v>8860</v>
      </c>
    </row>
    <row r="1392" spans="1:17" ht="35.5" customHeight="1">
      <c r="A1392" s="188">
        <v>369</v>
      </c>
      <c r="B1392" s="40" t="s">
        <v>8854</v>
      </c>
      <c r="C1392" s="11" t="s">
        <v>8861</v>
      </c>
      <c r="D1392" s="204" t="s">
        <v>2398</v>
      </c>
      <c r="E1392" s="204" t="s">
        <v>2399</v>
      </c>
      <c r="F1392" s="11" t="s">
        <v>8856</v>
      </c>
      <c r="G1392" s="11" t="s">
        <v>8859</v>
      </c>
      <c r="H1392" s="11" t="s">
        <v>889</v>
      </c>
      <c r="I1392" s="21">
        <v>8.4130889</v>
      </c>
      <c r="J1392" s="21">
        <v>-13.131</v>
      </c>
      <c r="K1392" s="21" t="s">
        <v>2276</v>
      </c>
      <c r="L1392" s="204">
        <v>2014</v>
      </c>
      <c r="M1392" s="204">
        <v>2014</v>
      </c>
      <c r="N1392" s="204">
        <v>14</v>
      </c>
      <c r="O1392" s="19" t="s">
        <v>67</v>
      </c>
      <c r="P1392" s="19" t="s">
        <v>5187</v>
      </c>
      <c r="Q1392" s="204" t="s">
        <v>8860</v>
      </c>
    </row>
    <row r="1393" spans="1:17" ht="35.5" customHeight="1">
      <c r="A1393" s="188">
        <v>369</v>
      </c>
      <c r="B1393" s="40" t="s">
        <v>8854</v>
      </c>
      <c r="C1393" s="11" t="s">
        <v>8862</v>
      </c>
      <c r="D1393" s="204" t="s">
        <v>2398</v>
      </c>
      <c r="E1393" s="204" t="s">
        <v>2399</v>
      </c>
      <c r="F1393" s="11" t="s">
        <v>8857</v>
      </c>
      <c r="G1393" s="11" t="s">
        <v>8859</v>
      </c>
      <c r="H1393" s="11" t="s">
        <v>889</v>
      </c>
      <c r="I1393" s="21">
        <v>8.4251073000000005</v>
      </c>
      <c r="J1393" s="21">
        <v>-13.2426967</v>
      </c>
      <c r="K1393" s="21" t="s">
        <v>2276</v>
      </c>
      <c r="L1393" s="204">
        <v>2014</v>
      </c>
      <c r="M1393" s="204">
        <v>2014</v>
      </c>
      <c r="N1393" s="204">
        <v>27</v>
      </c>
      <c r="O1393" s="19" t="s">
        <v>67</v>
      </c>
      <c r="P1393" s="19" t="s">
        <v>5187</v>
      </c>
      <c r="Q1393" s="204" t="s">
        <v>8860</v>
      </c>
    </row>
    <row r="1394" spans="1:17" ht="35.5" customHeight="1">
      <c r="A1394" s="188">
        <v>369</v>
      </c>
      <c r="B1394" s="40" t="s">
        <v>8854</v>
      </c>
      <c r="C1394" s="11" t="s">
        <v>8863</v>
      </c>
      <c r="D1394" s="204" t="s">
        <v>2398</v>
      </c>
      <c r="E1394" s="204" t="s">
        <v>2399</v>
      </c>
      <c r="F1394" s="11" t="s">
        <v>8858</v>
      </c>
      <c r="G1394" s="11" t="s">
        <v>8859</v>
      </c>
      <c r="H1394" s="11" t="s">
        <v>889</v>
      </c>
      <c r="I1394" s="21">
        <v>8.4359161999999994</v>
      </c>
      <c r="J1394" s="21">
        <v>-13.2323568</v>
      </c>
      <c r="K1394" s="21" t="s">
        <v>2276</v>
      </c>
      <c r="L1394" s="204">
        <v>2014</v>
      </c>
      <c r="M1394" s="204">
        <v>2014</v>
      </c>
      <c r="N1394" s="204">
        <v>41</v>
      </c>
      <c r="O1394" s="19" t="s">
        <v>67</v>
      </c>
      <c r="P1394" s="19" t="s">
        <v>5187</v>
      </c>
      <c r="Q1394" s="204" t="s">
        <v>8860</v>
      </c>
    </row>
    <row r="1395" spans="1:17" ht="40" customHeight="1">
      <c r="A1395" s="188">
        <v>370</v>
      </c>
      <c r="B1395" s="40" t="s">
        <v>8876</v>
      </c>
      <c r="C1395" s="11" t="s">
        <v>8877</v>
      </c>
      <c r="D1395" s="204" t="s">
        <v>2398</v>
      </c>
      <c r="E1395" s="204" t="s">
        <v>4847</v>
      </c>
      <c r="F1395" s="11" t="s">
        <v>2276</v>
      </c>
      <c r="G1395" s="11" t="s">
        <v>8878</v>
      </c>
      <c r="H1395" s="11" t="s">
        <v>786</v>
      </c>
      <c r="I1395" s="21">
        <v>4.0698277999999997</v>
      </c>
      <c r="J1395" s="21">
        <v>102.50363470000001</v>
      </c>
      <c r="K1395" s="21">
        <v>132090</v>
      </c>
      <c r="L1395" s="11">
        <v>1992</v>
      </c>
      <c r="M1395" s="11">
        <v>1999</v>
      </c>
      <c r="N1395" s="204" t="s">
        <v>2276</v>
      </c>
      <c r="O1395" s="19" t="s">
        <v>67</v>
      </c>
      <c r="P1395" s="19" t="s">
        <v>5187</v>
      </c>
      <c r="Q1395" s="204"/>
    </row>
    <row r="1396" spans="1:17" ht="40" customHeight="1">
      <c r="A1396" s="188">
        <v>371</v>
      </c>
      <c r="B1396" s="40" t="s">
        <v>8893</v>
      </c>
      <c r="C1396" s="11" t="s">
        <v>8894</v>
      </c>
      <c r="D1396" s="204" t="s">
        <v>2398</v>
      </c>
      <c r="E1396" s="204" t="s">
        <v>2399</v>
      </c>
      <c r="F1396" s="11" t="s">
        <v>2712</v>
      </c>
      <c r="G1396" s="11" t="s">
        <v>166</v>
      </c>
      <c r="H1396" s="11" t="s">
        <v>121</v>
      </c>
      <c r="I1396" s="21">
        <v>-2.9940028999999999</v>
      </c>
      <c r="J1396" s="21">
        <v>-47.358630699999999</v>
      </c>
      <c r="K1396" s="21" t="s">
        <v>2276</v>
      </c>
      <c r="L1396" s="11">
        <v>2010</v>
      </c>
      <c r="M1396" s="11">
        <v>2011</v>
      </c>
      <c r="N1396" s="21" t="s">
        <v>2276</v>
      </c>
      <c r="O1396" s="19" t="s">
        <v>67</v>
      </c>
      <c r="P1396" s="19" t="s">
        <v>5187</v>
      </c>
      <c r="Q1396" s="204"/>
    </row>
    <row r="1397" spans="1:17" ht="40" customHeight="1">
      <c r="A1397" s="188">
        <v>371</v>
      </c>
      <c r="B1397" s="40" t="s">
        <v>8893</v>
      </c>
      <c r="C1397" s="11" t="s">
        <v>8896</v>
      </c>
      <c r="D1397" s="204" t="s">
        <v>2398</v>
      </c>
      <c r="E1397" s="204" t="s">
        <v>2399</v>
      </c>
      <c r="F1397" s="11" t="s">
        <v>6064</v>
      </c>
      <c r="G1397" s="11" t="s">
        <v>8895</v>
      </c>
      <c r="H1397" s="11" t="s">
        <v>121</v>
      </c>
      <c r="I1397" s="21">
        <v>-2.9940028999999999</v>
      </c>
      <c r="J1397" s="21">
        <v>-47.358630699999999</v>
      </c>
      <c r="K1397" s="21" t="s">
        <v>2276</v>
      </c>
      <c r="L1397" s="11">
        <v>2010</v>
      </c>
      <c r="M1397" s="11">
        <v>2011</v>
      </c>
      <c r="N1397" s="21" t="s">
        <v>2276</v>
      </c>
      <c r="O1397" s="19" t="s">
        <v>67</v>
      </c>
      <c r="P1397" s="19" t="s">
        <v>5187</v>
      </c>
      <c r="Q1397" s="204"/>
    </row>
    <row r="1398" spans="1:17" ht="40" customHeight="1">
      <c r="A1398" s="188">
        <v>372</v>
      </c>
      <c r="B1398" s="40" t="s">
        <v>8921</v>
      </c>
      <c r="C1398" s="11" t="s">
        <v>8922</v>
      </c>
      <c r="D1398" s="204" t="s">
        <v>2398</v>
      </c>
      <c r="E1398" s="204" t="s">
        <v>2636</v>
      </c>
      <c r="F1398" s="64" t="s">
        <v>8923</v>
      </c>
      <c r="G1398" s="11" t="s">
        <v>8879</v>
      </c>
      <c r="H1398" s="11" t="s">
        <v>786</v>
      </c>
      <c r="I1398" s="21">
        <v>4.0186023000000004</v>
      </c>
      <c r="J1398" s="21">
        <v>103.0513929</v>
      </c>
      <c r="K1398" s="21">
        <f>91882/100</f>
        <v>918.82</v>
      </c>
      <c r="L1398" s="11">
        <v>1997</v>
      </c>
      <c r="M1398" s="11">
        <v>1998</v>
      </c>
      <c r="N1398" s="21" t="s">
        <v>2276</v>
      </c>
      <c r="O1398" s="19" t="s">
        <v>67</v>
      </c>
      <c r="P1398" s="19" t="s">
        <v>5187</v>
      </c>
      <c r="Q1398" s="204"/>
    </row>
    <row r="1399" spans="1:17" ht="68.5" customHeight="1">
      <c r="A1399" s="188">
        <v>373</v>
      </c>
      <c r="B1399" s="40" t="s">
        <v>8940</v>
      </c>
      <c r="C1399" s="11" t="s">
        <v>8941</v>
      </c>
      <c r="D1399" s="204" t="s">
        <v>2398</v>
      </c>
      <c r="E1399" s="204" t="s">
        <v>2399</v>
      </c>
      <c r="F1399" s="11" t="s">
        <v>8944</v>
      </c>
      <c r="G1399" s="11" t="s">
        <v>8942</v>
      </c>
      <c r="H1399" s="11" t="s">
        <v>3490</v>
      </c>
      <c r="I1399" s="21">
        <v>-20.6903647</v>
      </c>
      <c r="J1399" s="21">
        <v>27.493286099999999</v>
      </c>
      <c r="K1399" s="21" t="s">
        <v>2276</v>
      </c>
      <c r="L1399" s="11">
        <v>2012</v>
      </c>
      <c r="M1399" s="11">
        <v>2012</v>
      </c>
      <c r="N1399" s="21" t="s">
        <v>2276</v>
      </c>
      <c r="O1399" s="19" t="s">
        <v>67</v>
      </c>
      <c r="P1399" s="19" t="s">
        <v>5187</v>
      </c>
      <c r="Q1399" s="4" t="s">
        <v>8957</v>
      </c>
    </row>
    <row r="1400" spans="1:17" ht="47" customHeight="1">
      <c r="A1400" s="188">
        <v>373</v>
      </c>
      <c r="B1400" s="40" t="s">
        <v>8940</v>
      </c>
      <c r="C1400" s="11" t="s">
        <v>8943</v>
      </c>
      <c r="D1400" s="204" t="s">
        <v>2398</v>
      </c>
      <c r="E1400" s="204" t="s">
        <v>4847</v>
      </c>
      <c r="F1400" s="11" t="s">
        <v>2276</v>
      </c>
      <c r="G1400" s="11" t="s">
        <v>2276</v>
      </c>
      <c r="H1400" s="11" t="s">
        <v>3490</v>
      </c>
      <c r="I1400" s="21">
        <v>-19.0156153</v>
      </c>
      <c r="J1400" s="21">
        <v>29.152802000000001</v>
      </c>
      <c r="K1400" s="21">
        <v>390757</v>
      </c>
      <c r="L1400" s="204">
        <v>2009</v>
      </c>
      <c r="M1400" s="204">
        <v>2012</v>
      </c>
      <c r="N1400" s="21" t="s">
        <v>2276</v>
      </c>
      <c r="O1400" s="19" t="s">
        <v>67</v>
      </c>
      <c r="P1400" s="19" t="s">
        <v>5187</v>
      </c>
      <c r="Q1400" s="204"/>
    </row>
    <row r="1401" spans="1:17" ht="42.5" customHeight="1">
      <c r="A1401" s="188">
        <v>374</v>
      </c>
      <c r="B1401" s="40" t="s">
        <v>8965</v>
      </c>
      <c r="C1401" s="11" t="s">
        <v>8962</v>
      </c>
      <c r="D1401" s="204" t="s">
        <v>2398</v>
      </c>
      <c r="E1401" s="204" t="s">
        <v>2405</v>
      </c>
      <c r="F1401" s="11" t="s">
        <v>8963</v>
      </c>
      <c r="G1401" s="11" t="s">
        <v>8964</v>
      </c>
      <c r="H1401" s="11" t="s">
        <v>6077</v>
      </c>
      <c r="I1401" s="21">
        <v>36.158852899999999</v>
      </c>
      <c r="J1401" s="21">
        <v>45.475005299999999</v>
      </c>
      <c r="K1401" s="21">
        <f>138183/100</f>
        <v>1381.83</v>
      </c>
      <c r="L1401" s="11">
        <v>1993</v>
      </c>
      <c r="M1401" s="11">
        <v>2016</v>
      </c>
      <c r="N1401" s="21">
        <f>118849/K1401</f>
        <v>86.008409138606055</v>
      </c>
      <c r="O1401" s="204" t="s">
        <v>149</v>
      </c>
      <c r="P1401" s="19" t="s">
        <v>5187</v>
      </c>
      <c r="Q1401" s="204"/>
    </row>
    <row r="1402" spans="1:17" ht="47" customHeight="1">
      <c r="A1402" s="188">
        <v>375</v>
      </c>
      <c r="B1402" s="40" t="s">
        <v>8968</v>
      </c>
      <c r="C1402" s="11" t="s">
        <v>8969</v>
      </c>
      <c r="D1402" s="204" t="s">
        <v>2398</v>
      </c>
      <c r="E1402" s="204" t="s">
        <v>2399</v>
      </c>
      <c r="F1402" s="204" t="s">
        <v>8970</v>
      </c>
      <c r="G1402" s="204" t="s">
        <v>8971</v>
      </c>
      <c r="H1402" s="204" t="s">
        <v>1143</v>
      </c>
      <c r="I1402" s="21">
        <v>10.8975358</v>
      </c>
      <c r="J1402" s="21">
        <v>-1.0859297999999999</v>
      </c>
      <c r="K1402" s="11" t="s">
        <v>2276</v>
      </c>
      <c r="L1402" s="204">
        <v>2005</v>
      </c>
      <c r="M1402" s="204">
        <v>2016</v>
      </c>
      <c r="N1402" s="11" t="s">
        <v>2276</v>
      </c>
      <c r="O1402" s="19" t="s">
        <v>67</v>
      </c>
      <c r="P1402" s="19" t="s">
        <v>5187</v>
      </c>
      <c r="Q1402" s="204"/>
    </row>
    <row r="1403" spans="1:17" ht="50" customHeight="1">
      <c r="A1403" s="188">
        <v>376</v>
      </c>
      <c r="B1403" s="40" t="s">
        <v>8977</v>
      </c>
      <c r="C1403" s="11" t="s">
        <v>8976</v>
      </c>
      <c r="D1403" s="204" t="s">
        <v>2398</v>
      </c>
      <c r="E1403" s="204" t="s">
        <v>6801</v>
      </c>
      <c r="F1403" s="11" t="s">
        <v>2276</v>
      </c>
      <c r="G1403" s="11" t="s">
        <v>8978</v>
      </c>
      <c r="H1403" s="11" t="s">
        <v>6324</v>
      </c>
      <c r="I1403" s="21">
        <v>45.450665399999998</v>
      </c>
      <c r="J1403" s="21">
        <v>46.865840900000002</v>
      </c>
      <c r="K1403" s="21">
        <v>19000</v>
      </c>
      <c r="L1403" s="204">
        <v>1986</v>
      </c>
      <c r="M1403" s="204">
        <v>2006</v>
      </c>
      <c r="N1403" s="11">
        <v>1.1000000000000001</v>
      </c>
      <c r="O1403" s="19" t="s">
        <v>67</v>
      </c>
      <c r="P1403" s="19" t="s">
        <v>5187</v>
      </c>
      <c r="Q1403" s="204"/>
    </row>
    <row r="1404" spans="1:17" ht="50" customHeight="1">
      <c r="A1404" s="188">
        <v>377</v>
      </c>
      <c r="B1404" s="40" t="s">
        <v>8983</v>
      </c>
      <c r="C1404" s="11" t="s">
        <v>8984</v>
      </c>
      <c r="D1404" s="204" t="s">
        <v>2398</v>
      </c>
      <c r="E1404" s="204" t="s">
        <v>2400</v>
      </c>
      <c r="F1404" s="4" t="s">
        <v>8987</v>
      </c>
      <c r="G1404" s="204" t="s">
        <v>165</v>
      </c>
      <c r="H1404" s="11" t="s">
        <v>121</v>
      </c>
      <c r="I1404" s="21">
        <v>-13.3238237</v>
      </c>
      <c r="J1404" s="21">
        <v>-51.679792200000001</v>
      </c>
      <c r="K1404" s="157">
        <f>328966/100</f>
        <v>3289.66</v>
      </c>
      <c r="L1404" s="204">
        <v>1973</v>
      </c>
      <c r="M1404" s="204">
        <v>2010</v>
      </c>
      <c r="N1404" s="21">
        <f>1400/K1404</f>
        <v>0.4255758953812856</v>
      </c>
      <c r="O1404" s="19" t="s">
        <v>67</v>
      </c>
      <c r="P1404" s="19" t="s">
        <v>5187</v>
      </c>
      <c r="Q1404" s="204"/>
    </row>
    <row r="1405" spans="1:17" ht="45.5" customHeight="1">
      <c r="A1405" s="188">
        <v>377</v>
      </c>
      <c r="B1405" s="40" t="s">
        <v>8983</v>
      </c>
      <c r="C1405" s="11" t="s">
        <v>8985</v>
      </c>
      <c r="D1405" s="204" t="s">
        <v>2398</v>
      </c>
      <c r="E1405" s="204" t="s">
        <v>2400</v>
      </c>
      <c r="F1405" s="4" t="s">
        <v>8986</v>
      </c>
      <c r="G1405" s="204" t="s">
        <v>165</v>
      </c>
      <c r="H1405" s="11" t="s">
        <v>121</v>
      </c>
      <c r="I1405" s="21">
        <v>-13.3238237</v>
      </c>
      <c r="J1405" s="21">
        <v>-51.679792200000001</v>
      </c>
      <c r="K1405" s="157">
        <f>((20+SQRT(K1404/3.1516))^2*3.1415)-K1404</f>
        <v>5305.879779399369</v>
      </c>
      <c r="L1405" s="204">
        <v>1973</v>
      </c>
      <c r="M1405" s="204">
        <v>2010</v>
      </c>
      <c r="N1405" s="21" t="s">
        <v>2276</v>
      </c>
      <c r="O1405" s="19" t="s">
        <v>67</v>
      </c>
      <c r="P1405" s="19" t="s">
        <v>5187</v>
      </c>
      <c r="Q1405" s="4" t="s">
        <v>8988</v>
      </c>
    </row>
    <row r="1406" spans="1:17" ht="35.5" customHeight="1">
      <c r="A1406" s="188">
        <v>378</v>
      </c>
      <c r="B1406" s="40" t="s">
        <v>8992</v>
      </c>
      <c r="C1406" s="11" t="s">
        <v>8993</v>
      </c>
      <c r="D1406" s="204" t="s">
        <v>2398</v>
      </c>
      <c r="E1406" s="204" t="s">
        <v>2399</v>
      </c>
      <c r="F1406" s="11" t="s">
        <v>2276</v>
      </c>
      <c r="G1406" s="204" t="s">
        <v>8994</v>
      </c>
      <c r="H1406" s="11" t="s">
        <v>1052</v>
      </c>
      <c r="I1406" s="21">
        <v>14.0058892</v>
      </c>
      <c r="J1406" s="21">
        <v>99.619191299999997</v>
      </c>
      <c r="K1406" s="21">
        <f>19.29*1000</f>
        <v>19290</v>
      </c>
      <c r="L1406" s="204">
        <v>2008</v>
      </c>
      <c r="M1406" s="204">
        <v>2009</v>
      </c>
      <c r="N1406" s="21" t="s">
        <v>2276</v>
      </c>
      <c r="O1406" s="19" t="s">
        <v>67</v>
      </c>
      <c r="P1406" s="19" t="s">
        <v>5187</v>
      </c>
      <c r="Q1406" s="204" t="s">
        <v>9010</v>
      </c>
    </row>
    <row r="1407" spans="1:17" ht="38" customHeight="1">
      <c r="A1407" s="188">
        <v>378</v>
      </c>
      <c r="B1407" s="40" t="s">
        <v>8992</v>
      </c>
      <c r="C1407" s="11" t="s">
        <v>9002</v>
      </c>
      <c r="D1407" s="204" t="s">
        <v>2398</v>
      </c>
      <c r="E1407" s="204" t="s">
        <v>2399</v>
      </c>
      <c r="F1407" s="11" t="s">
        <v>2276</v>
      </c>
      <c r="G1407" s="11" t="s">
        <v>8995</v>
      </c>
      <c r="H1407" s="11" t="s">
        <v>1052</v>
      </c>
      <c r="I1407" s="21">
        <v>15.226059599999999</v>
      </c>
      <c r="J1407" s="21">
        <v>99.787266900000006</v>
      </c>
      <c r="K1407" s="21">
        <f>7.12*1000</f>
        <v>7120</v>
      </c>
      <c r="L1407" s="204">
        <v>2008</v>
      </c>
      <c r="M1407" s="204">
        <v>2009</v>
      </c>
      <c r="N1407" s="21" t="s">
        <v>2276</v>
      </c>
      <c r="O1407" s="19" t="s">
        <v>67</v>
      </c>
      <c r="P1407" s="19" t="s">
        <v>5187</v>
      </c>
      <c r="Q1407" s="204" t="s">
        <v>9010</v>
      </c>
    </row>
    <row r="1408" spans="1:17" ht="38" customHeight="1">
      <c r="A1408" s="188">
        <v>378</v>
      </c>
      <c r="B1408" s="40" t="s">
        <v>8992</v>
      </c>
      <c r="C1408" s="11" t="s">
        <v>9009</v>
      </c>
      <c r="D1408" s="204" t="s">
        <v>2398</v>
      </c>
      <c r="E1408" s="204" t="s">
        <v>2399</v>
      </c>
      <c r="F1408" s="11" t="s">
        <v>2276</v>
      </c>
      <c r="G1408" s="11" t="s">
        <v>8996</v>
      </c>
      <c r="H1408" s="11" t="s">
        <v>1052</v>
      </c>
      <c r="I1408" s="21">
        <f>15 + 17/60</f>
        <v>15.283333333333333</v>
      </c>
      <c r="J1408" s="21">
        <f>103 + 15/60</f>
        <v>103.25</v>
      </c>
      <c r="K1408" s="21">
        <f>26.87*1000</f>
        <v>26870</v>
      </c>
      <c r="L1408" s="204">
        <v>2008</v>
      </c>
      <c r="M1408" s="204">
        <v>2009</v>
      </c>
      <c r="N1408" s="21" t="s">
        <v>2276</v>
      </c>
      <c r="O1408" s="19" t="s">
        <v>67</v>
      </c>
      <c r="P1408" s="19" t="s">
        <v>5187</v>
      </c>
      <c r="Q1408" s="204" t="s">
        <v>9010</v>
      </c>
    </row>
    <row r="1409" spans="1:17" ht="38" customHeight="1">
      <c r="A1409" s="188">
        <v>378</v>
      </c>
      <c r="B1409" s="40" t="s">
        <v>8992</v>
      </c>
      <c r="C1409" s="11" t="s">
        <v>9003</v>
      </c>
      <c r="D1409" s="204" t="s">
        <v>2398</v>
      </c>
      <c r="E1409" s="204" t="s">
        <v>2399</v>
      </c>
      <c r="F1409" s="11" t="s">
        <v>2276</v>
      </c>
      <c r="G1409" s="11" t="s">
        <v>8997</v>
      </c>
      <c r="H1409" s="11" t="s">
        <v>1052</v>
      </c>
      <c r="I1409" s="21">
        <f>17 + 22/60</f>
        <v>17.366666666666667</v>
      </c>
      <c r="J1409" s="21">
        <f>103</f>
        <v>103</v>
      </c>
      <c r="K1409" s="21">
        <f>24.88*1000</f>
        <v>24880</v>
      </c>
      <c r="L1409" s="204">
        <v>2008</v>
      </c>
      <c r="M1409" s="204">
        <v>2009</v>
      </c>
      <c r="N1409" s="21" t="s">
        <v>2276</v>
      </c>
      <c r="O1409" s="19" t="s">
        <v>67</v>
      </c>
      <c r="P1409" s="19" t="s">
        <v>5187</v>
      </c>
      <c r="Q1409" s="204" t="s">
        <v>9010</v>
      </c>
    </row>
    <row r="1410" spans="1:17" ht="38" customHeight="1">
      <c r="A1410" s="188">
        <v>378</v>
      </c>
      <c r="B1410" s="40" t="s">
        <v>8992</v>
      </c>
      <c r="C1410" s="11" t="s">
        <v>9004</v>
      </c>
      <c r="D1410" s="204" t="s">
        <v>2398</v>
      </c>
      <c r="E1410" s="204" t="s">
        <v>2399</v>
      </c>
      <c r="F1410" s="11" t="s">
        <v>2276</v>
      </c>
      <c r="G1410" s="11" t="s">
        <v>8998</v>
      </c>
      <c r="H1410" s="11" t="s">
        <v>1052</v>
      </c>
      <c r="I1410" s="21">
        <f>14+39/60</f>
        <v>14.65</v>
      </c>
      <c r="J1410" s="21">
        <f>99 + 21/60</f>
        <v>99.35</v>
      </c>
      <c r="K1410" s="21">
        <f>7.88*1000</f>
        <v>7880</v>
      </c>
      <c r="L1410" s="204">
        <v>2008</v>
      </c>
      <c r="M1410" s="204">
        <v>2009</v>
      </c>
      <c r="N1410" s="21" t="s">
        <v>2276</v>
      </c>
      <c r="O1410" s="19" t="s">
        <v>67</v>
      </c>
      <c r="P1410" s="19" t="s">
        <v>5187</v>
      </c>
      <c r="Q1410" s="204" t="s">
        <v>9010</v>
      </c>
    </row>
    <row r="1411" spans="1:17" ht="38" customHeight="1">
      <c r="A1411" s="188">
        <v>378</v>
      </c>
      <c r="B1411" s="40" t="s">
        <v>8992</v>
      </c>
      <c r="C1411" s="11" t="s">
        <v>9005</v>
      </c>
      <c r="D1411" s="204" t="s">
        <v>2398</v>
      </c>
      <c r="E1411" s="204" t="s">
        <v>2399</v>
      </c>
      <c r="F1411" s="11" t="s">
        <v>2276</v>
      </c>
      <c r="G1411" s="11" t="s">
        <v>8999</v>
      </c>
      <c r="H1411" s="11" t="s">
        <v>1052</v>
      </c>
      <c r="I1411" s="21">
        <f>14+40/60</f>
        <v>14.666666666666666</v>
      </c>
      <c r="J1411" s="21">
        <f>100+24/60</f>
        <v>100.4</v>
      </c>
      <c r="K1411" s="21">
        <f>12.42*1000</f>
        <v>12420</v>
      </c>
      <c r="L1411" s="204">
        <v>2008</v>
      </c>
      <c r="M1411" s="204">
        <v>2009</v>
      </c>
      <c r="N1411" s="21" t="s">
        <v>2276</v>
      </c>
      <c r="O1411" s="19" t="s">
        <v>67</v>
      </c>
      <c r="P1411" s="19" t="s">
        <v>5187</v>
      </c>
      <c r="Q1411" s="204" t="s">
        <v>9010</v>
      </c>
    </row>
    <row r="1412" spans="1:17" ht="38" customHeight="1">
      <c r="A1412" s="188">
        <v>378</v>
      </c>
      <c r="B1412" s="40" t="s">
        <v>8992</v>
      </c>
      <c r="C1412" s="11" t="s">
        <v>9006</v>
      </c>
      <c r="D1412" s="204" t="s">
        <v>2398</v>
      </c>
      <c r="E1412" s="204" t="s">
        <v>2399</v>
      </c>
      <c r="F1412" s="11" t="s">
        <v>2276</v>
      </c>
      <c r="G1412" s="11" t="s">
        <v>5538</v>
      </c>
      <c r="H1412" s="11" t="s">
        <v>1052</v>
      </c>
      <c r="I1412" s="21">
        <v>13.5</v>
      </c>
      <c r="J1412" s="21">
        <v>102</v>
      </c>
      <c r="K1412" s="21">
        <f>5.63*1000</f>
        <v>5630</v>
      </c>
      <c r="L1412" s="204">
        <v>2008</v>
      </c>
      <c r="M1412" s="204">
        <v>2009</v>
      </c>
      <c r="N1412" s="21" t="s">
        <v>2276</v>
      </c>
      <c r="O1412" s="19" t="s">
        <v>67</v>
      </c>
      <c r="P1412" s="19" t="s">
        <v>5187</v>
      </c>
      <c r="Q1412" s="204" t="s">
        <v>9010</v>
      </c>
    </row>
    <row r="1413" spans="1:17" ht="38" customHeight="1">
      <c r="A1413" s="188">
        <v>378</v>
      </c>
      <c r="B1413" s="40" t="s">
        <v>8992</v>
      </c>
      <c r="C1413" s="11" t="s">
        <v>9007</v>
      </c>
      <c r="D1413" s="204" t="s">
        <v>2398</v>
      </c>
      <c r="E1413" s="204" t="s">
        <v>2399</v>
      </c>
      <c r="F1413" s="11" t="s">
        <v>2276</v>
      </c>
      <c r="G1413" s="11" t="s">
        <v>9000</v>
      </c>
      <c r="H1413" s="11" t="s">
        <v>1052</v>
      </c>
      <c r="I1413" s="21">
        <v>7.5</v>
      </c>
      <c r="J1413" s="21">
        <v>100</v>
      </c>
      <c r="K1413" s="21">
        <f>2.18*1000</f>
        <v>2180</v>
      </c>
      <c r="L1413" s="204">
        <v>2008</v>
      </c>
      <c r="M1413" s="204">
        <v>2009</v>
      </c>
      <c r="N1413" s="21" t="s">
        <v>2276</v>
      </c>
      <c r="O1413" s="19" t="s">
        <v>67</v>
      </c>
      <c r="P1413" s="19" t="s">
        <v>5187</v>
      </c>
      <c r="Q1413" s="204" t="s">
        <v>9010</v>
      </c>
    </row>
    <row r="1414" spans="1:17" ht="38" customHeight="1">
      <c r="A1414" s="188">
        <v>378</v>
      </c>
      <c r="B1414" s="40" t="s">
        <v>8992</v>
      </c>
      <c r="C1414" s="11" t="s">
        <v>9008</v>
      </c>
      <c r="D1414" s="204" t="s">
        <v>2398</v>
      </c>
      <c r="E1414" s="204" t="s">
        <v>2399</v>
      </c>
      <c r="F1414" s="11" t="s">
        <v>2276</v>
      </c>
      <c r="G1414" s="11" t="s">
        <v>9001</v>
      </c>
      <c r="H1414" s="11" t="s">
        <v>1052</v>
      </c>
      <c r="I1414" s="21">
        <f>9.4</f>
        <v>9.4</v>
      </c>
      <c r="J1414" s="21">
        <f>98+48/60</f>
        <v>98.8</v>
      </c>
      <c r="K1414" s="21">
        <f>1.23*1000</f>
        <v>1230</v>
      </c>
      <c r="L1414" s="204">
        <v>2008</v>
      </c>
      <c r="M1414" s="204">
        <v>2009</v>
      </c>
      <c r="N1414" s="21" t="s">
        <v>2276</v>
      </c>
      <c r="O1414" s="19" t="s">
        <v>67</v>
      </c>
      <c r="P1414" s="19" t="s">
        <v>5187</v>
      </c>
      <c r="Q1414" s="204" t="s">
        <v>9010</v>
      </c>
    </row>
    <row r="1415" spans="1:17" ht="34.5" customHeight="1">
      <c r="A1415" s="188">
        <v>379</v>
      </c>
      <c r="B1415" s="40" t="s">
        <v>9119</v>
      </c>
      <c r="C1415" s="11" t="s">
        <v>9120</v>
      </c>
      <c r="D1415" s="204" t="s">
        <v>2398</v>
      </c>
      <c r="E1415" s="204" t="s">
        <v>4847</v>
      </c>
      <c r="F1415" s="11" t="s">
        <v>2276</v>
      </c>
      <c r="G1415" s="11" t="s">
        <v>7147</v>
      </c>
      <c r="H1415" s="11" t="s">
        <v>6112</v>
      </c>
      <c r="I1415" s="21">
        <v>40</v>
      </c>
      <c r="J1415" s="21">
        <v>-8.1</v>
      </c>
      <c r="K1415" s="21" t="s">
        <v>2276</v>
      </c>
      <c r="L1415" s="11">
        <v>2017</v>
      </c>
      <c r="M1415" s="11">
        <v>2017</v>
      </c>
      <c r="N1415" s="21" t="s">
        <v>2276</v>
      </c>
      <c r="O1415" s="19" t="s">
        <v>67</v>
      </c>
      <c r="P1415" s="19" t="s">
        <v>5187</v>
      </c>
      <c r="Q1415" s="204"/>
    </row>
    <row r="1416" spans="1:17" ht="40" customHeight="1">
      <c r="A1416" s="188">
        <v>379</v>
      </c>
      <c r="B1416" s="40" t="s">
        <v>9119</v>
      </c>
      <c r="C1416" s="11" t="s">
        <v>9121</v>
      </c>
      <c r="D1416" s="204" t="s">
        <v>2398</v>
      </c>
      <c r="E1416" s="204" t="s">
        <v>4847</v>
      </c>
      <c r="F1416" s="11" t="s">
        <v>2276</v>
      </c>
      <c r="G1416" s="11" t="s">
        <v>9129</v>
      </c>
      <c r="H1416" s="11" t="s">
        <v>9122</v>
      </c>
      <c r="I1416" s="21">
        <v>-37.467214800000001</v>
      </c>
      <c r="J1416" s="21">
        <v>-72.476914100000002</v>
      </c>
      <c r="K1416" s="21" t="s">
        <v>2276</v>
      </c>
      <c r="L1416" s="11">
        <v>2016</v>
      </c>
      <c r="M1416" s="11">
        <v>2017</v>
      </c>
      <c r="N1416" s="21" t="s">
        <v>2276</v>
      </c>
      <c r="O1416" s="19" t="s">
        <v>67</v>
      </c>
      <c r="P1416" s="19" t="s">
        <v>5187</v>
      </c>
      <c r="Q1416" s="204"/>
    </row>
    <row r="1417" spans="1:17" ht="42.5" customHeight="1">
      <c r="A1417" s="188">
        <v>380</v>
      </c>
      <c r="B1417" s="40" t="s">
        <v>9134</v>
      </c>
      <c r="C1417" s="11" t="s">
        <v>9135</v>
      </c>
      <c r="D1417" s="204" t="s">
        <v>2416</v>
      </c>
      <c r="E1417" s="204" t="s">
        <v>4847</v>
      </c>
      <c r="F1417" s="11" t="s">
        <v>2276</v>
      </c>
      <c r="G1417" s="11" t="s">
        <v>9136</v>
      </c>
      <c r="H1417" s="11" t="s">
        <v>6112</v>
      </c>
      <c r="I1417" s="21">
        <v>40</v>
      </c>
      <c r="J1417" s="21">
        <v>-8.1</v>
      </c>
      <c r="K1417" s="21">
        <v>89015</v>
      </c>
      <c r="L1417" s="204">
        <v>2006</v>
      </c>
      <c r="M1417" s="204">
        <v>2015</v>
      </c>
      <c r="N1417" s="21" t="s">
        <v>2276</v>
      </c>
      <c r="O1417" s="19" t="s">
        <v>67</v>
      </c>
      <c r="P1417" s="19" t="s">
        <v>5187</v>
      </c>
      <c r="Q1417" s="204"/>
    </row>
    <row r="1418" spans="1:17" ht="49" customHeight="1">
      <c r="A1418" s="188">
        <v>381</v>
      </c>
      <c r="B1418" s="40" t="s">
        <v>9147</v>
      </c>
      <c r="C1418" s="11" t="s">
        <v>9148</v>
      </c>
      <c r="D1418" s="204" t="s">
        <v>2398</v>
      </c>
      <c r="E1418" s="204" t="s">
        <v>4847</v>
      </c>
      <c r="F1418" s="11" t="s">
        <v>2276</v>
      </c>
      <c r="G1418" s="11" t="s">
        <v>2276</v>
      </c>
      <c r="H1418" s="11" t="s">
        <v>9122</v>
      </c>
      <c r="I1418" s="21">
        <f>AVERAGE(-17, -56)</f>
        <v>-36.5</v>
      </c>
      <c r="J1418" s="21">
        <v>-73</v>
      </c>
      <c r="K1418" s="21">
        <v>756102</v>
      </c>
      <c r="L1418" s="11">
        <v>1963</v>
      </c>
      <c r="M1418" s="11">
        <v>1990</v>
      </c>
      <c r="N1418" s="21" t="s">
        <v>2276</v>
      </c>
      <c r="O1418" s="19" t="s">
        <v>67</v>
      </c>
      <c r="P1418" s="19" t="s">
        <v>5187</v>
      </c>
      <c r="Q1418" s="204"/>
    </row>
    <row r="1419" spans="1:17" ht="43" customHeight="1">
      <c r="A1419" s="188">
        <v>381</v>
      </c>
      <c r="B1419" s="40" t="s">
        <v>9182</v>
      </c>
      <c r="C1419" s="11" t="s">
        <v>9164</v>
      </c>
      <c r="D1419" s="204" t="s">
        <v>2398</v>
      </c>
      <c r="E1419" s="204" t="s">
        <v>4847</v>
      </c>
      <c r="F1419" s="11" t="s">
        <v>2276</v>
      </c>
      <c r="G1419" s="204" t="s">
        <v>9149</v>
      </c>
      <c r="H1419" s="11" t="s">
        <v>9122</v>
      </c>
      <c r="I1419" s="21">
        <v>-18</v>
      </c>
      <c r="J1419" s="21">
        <v>-69.5</v>
      </c>
      <c r="K1419" s="21">
        <v>16873.3</v>
      </c>
      <c r="L1419" s="11">
        <v>1977</v>
      </c>
      <c r="M1419" s="11">
        <v>2000</v>
      </c>
      <c r="N1419" s="204">
        <v>5</v>
      </c>
      <c r="O1419" s="19" t="s">
        <v>67</v>
      </c>
      <c r="P1419" s="19" t="s">
        <v>5187</v>
      </c>
      <c r="Q1419" s="41" t="s">
        <v>9183</v>
      </c>
    </row>
    <row r="1420" spans="1:17" ht="43" customHeight="1">
      <c r="A1420" s="188">
        <v>381</v>
      </c>
      <c r="B1420" s="40" t="s">
        <v>9182</v>
      </c>
      <c r="C1420" s="11" t="s">
        <v>9165</v>
      </c>
      <c r="D1420" s="204" t="s">
        <v>2398</v>
      </c>
      <c r="E1420" s="204" t="s">
        <v>4847</v>
      </c>
      <c r="F1420" s="11" t="s">
        <v>2276</v>
      </c>
      <c r="G1420" s="204" t="s">
        <v>9150</v>
      </c>
      <c r="H1420" s="11" t="s">
        <v>9122</v>
      </c>
      <c r="I1420" s="21">
        <v>-20</v>
      </c>
      <c r="J1420" s="21">
        <v>-69.5</v>
      </c>
      <c r="K1420" s="21">
        <v>41799.5</v>
      </c>
      <c r="L1420" s="11">
        <v>1977</v>
      </c>
      <c r="M1420" s="11">
        <v>2000</v>
      </c>
      <c r="N1420" s="204">
        <v>5</v>
      </c>
      <c r="O1420" s="19" t="s">
        <v>67</v>
      </c>
      <c r="P1420" s="19" t="s">
        <v>5187</v>
      </c>
      <c r="Q1420" s="41" t="s">
        <v>9183</v>
      </c>
    </row>
    <row r="1421" spans="1:17" ht="43" customHeight="1">
      <c r="A1421" s="188">
        <v>381</v>
      </c>
      <c r="B1421" s="40" t="s">
        <v>9182</v>
      </c>
      <c r="C1421" s="11" t="s">
        <v>9166</v>
      </c>
      <c r="D1421" s="204" t="s">
        <v>2398</v>
      </c>
      <c r="E1421" s="204" t="s">
        <v>4847</v>
      </c>
      <c r="F1421" s="11" t="s">
        <v>2276</v>
      </c>
      <c r="G1421" s="204" t="s">
        <v>9151</v>
      </c>
      <c r="H1421" s="11" t="s">
        <v>9122</v>
      </c>
      <c r="I1421" s="21">
        <v>-24</v>
      </c>
      <c r="J1421" s="21">
        <v>-69.5</v>
      </c>
      <c r="K1421" s="21">
        <v>126049.1</v>
      </c>
      <c r="L1421" s="11">
        <v>1977</v>
      </c>
      <c r="M1421" s="11">
        <v>2000</v>
      </c>
      <c r="N1421" s="204">
        <v>5</v>
      </c>
      <c r="O1421" s="19" t="s">
        <v>67</v>
      </c>
      <c r="P1421" s="19" t="s">
        <v>5187</v>
      </c>
      <c r="Q1421" s="41" t="s">
        <v>9183</v>
      </c>
    </row>
    <row r="1422" spans="1:17" ht="43" customHeight="1">
      <c r="A1422" s="188">
        <v>381</v>
      </c>
      <c r="B1422" s="40" t="s">
        <v>9182</v>
      </c>
      <c r="C1422" s="11" t="s">
        <v>9167</v>
      </c>
      <c r="D1422" s="204" t="s">
        <v>2398</v>
      </c>
      <c r="E1422" s="204" t="s">
        <v>4847</v>
      </c>
      <c r="F1422" s="11" t="s">
        <v>2276</v>
      </c>
      <c r="G1422" s="204" t="s">
        <v>9152</v>
      </c>
      <c r="H1422" s="11" t="s">
        <v>9122</v>
      </c>
      <c r="I1422" s="21">
        <v>-27</v>
      </c>
      <c r="J1422" s="21">
        <v>-70.5</v>
      </c>
      <c r="K1422" s="21">
        <v>75176.2</v>
      </c>
      <c r="L1422" s="11">
        <v>1977</v>
      </c>
      <c r="M1422" s="11">
        <v>2000</v>
      </c>
      <c r="N1422" s="204">
        <v>5</v>
      </c>
      <c r="O1422" s="19" t="s">
        <v>67</v>
      </c>
      <c r="P1422" s="19" t="s">
        <v>5187</v>
      </c>
      <c r="Q1422" s="41" t="s">
        <v>9183</v>
      </c>
    </row>
    <row r="1423" spans="1:17" ht="43" customHeight="1">
      <c r="A1423" s="188">
        <v>381</v>
      </c>
      <c r="B1423" s="40" t="s">
        <v>9182</v>
      </c>
      <c r="C1423" s="11" t="s">
        <v>9168</v>
      </c>
      <c r="D1423" s="204" t="s">
        <v>2398</v>
      </c>
      <c r="E1423" s="204" t="s">
        <v>4847</v>
      </c>
      <c r="F1423" s="11" t="s">
        <v>2276</v>
      </c>
      <c r="G1423" s="204" t="s">
        <v>9163</v>
      </c>
      <c r="H1423" s="11" t="s">
        <v>9122</v>
      </c>
      <c r="I1423" s="21">
        <v>-31</v>
      </c>
      <c r="J1423" s="21">
        <v>-71</v>
      </c>
      <c r="K1423" s="21">
        <v>40579.9</v>
      </c>
      <c r="L1423" s="11">
        <v>1977</v>
      </c>
      <c r="M1423" s="11">
        <v>2000</v>
      </c>
      <c r="N1423" s="204">
        <v>20</v>
      </c>
      <c r="O1423" s="19" t="s">
        <v>67</v>
      </c>
      <c r="P1423" s="19" t="s">
        <v>5187</v>
      </c>
      <c r="Q1423" s="41" t="s">
        <v>9183</v>
      </c>
    </row>
    <row r="1424" spans="1:17" ht="43" customHeight="1">
      <c r="A1424" s="188">
        <v>381</v>
      </c>
      <c r="B1424" s="40" t="s">
        <v>9182</v>
      </c>
      <c r="C1424" s="11" t="s">
        <v>9169</v>
      </c>
      <c r="D1424" s="204" t="s">
        <v>2398</v>
      </c>
      <c r="E1424" s="204" t="s">
        <v>4847</v>
      </c>
      <c r="F1424" s="11" t="s">
        <v>2276</v>
      </c>
      <c r="G1424" s="204" t="s">
        <v>9153</v>
      </c>
      <c r="H1424" s="11" t="s">
        <v>9122</v>
      </c>
      <c r="I1424" s="21">
        <v>-32.5</v>
      </c>
      <c r="J1424" s="21">
        <v>-71</v>
      </c>
      <c r="K1424" s="21">
        <v>16396.099999999999</v>
      </c>
      <c r="L1424" s="11">
        <v>1977</v>
      </c>
      <c r="M1424" s="11">
        <v>2000</v>
      </c>
      <c r="N1424" s="204">
        <v>100</v>
      </c>
      <c r="O1424" s="19" t="s">
        <v>67</v>
      </c>
      <c r="P1424" s="19" t="s">
        <v>5187</v>
      </c>
      <c r="Q1424" s="41" t="s">
        <v>9183</v>
      </c>
    </row>
    <row r="1425" spans="1:17" s="203" customFormat="1" ht="43" customHeight="1">
      <c r="A1425" s="188">
        <v>381</v>
      </c>
      <c r="B1425" s="40" t="s">
        <v>9182</v>
      </c>
      <c r="C1425" s="11" t="s">
        <v>9170</v>
      </c>
      <c r="D1425" s="204" t="s">
        <v>2398</v>
      </c>
      <c r="E1425" s="204" t="s">
        <v>4847</v>
      </c>
      <c r="F1425" s="11" t="s">
        <v>2276</v>
      </c>
      <c r="G1425" s="204" t="s">
        <v>9234</v>
      </c>
      <c r="H1425" s="11" t="s">
        <v>9122</v>
      </c>
      <c r="I1425" s="21">
        <v>-33.850357799999998</v>
      </c>
      <c r="J1425" s="21">
        <v>-70.604239199999995</v>
      </c>
      <c r="K1425" s="21">
        <v>15403</v>
      </c>
      <c r="L1425" s="11">
        <v>1977</v>
      </c>
      <c r="M1425" s="11">
        <v>2000</v>
      </c>
      <c r="N1425" s="21" t="s">
        <v>2276</v>
      </c>
      <c r="O1425" s="19" t="s">
        <v>67</v>
      </c>
      <c r="P1425" s="19" t="s">
        <v>5187</v>
      </c>
      <c r="Q1425" s="41" t="s">
        <v>9183</v>
      </c>
    </row>
    <row r="1426" spans="1:17" ht="43" customHeight="1">
      <c r="A1426" s="188">
        <v>381</v>
      </c>
      <c r="B1426" s="40" t="s">
        <v>9182</v>
      </c>
      <c r="C1426" s="11" t="s">
        <v>9171</v>
      </c>
      <c r="D1426" s="204" t="s">
        <v>2398</v>
      </c>
      <c r="E1426" s="204" t="s">
        <v>4847</v>
      </c>
      <c r="F1426" s="11" t="s">
        <v>2276</v>
      </c>
      <c r="G1426" s="4" t="s">
        <v>9154</v>
      </c>
      <c r="H1426" s="11" t="s">
        <v>9122</v>
      </c>
      <c r="I1426" s="21">
        <v>-34</v>
      </c>
      <c r="J1426" s="21">
        <v>-72</v>
      </c>
      <c r="K1426" s="21">
        <v>16387</v>
      </c>
      <c r="L1426" s="11">
        <v>1977</v>
      </c>
      <c r="M1426" s="11">
        <v>2000</v>
      </c>
      <c r="N1426" s="204">
        <v>50</v>
      </c>
      <c r="O1426" s="19" t="s">
        <v>67</v>
      </c>
      <c r="P1426" s="19" t="s">
        <v>5187</v>
      </c>
      <c r="Q1426" s="41" t="s">
        <v>9183</v>
      </c>
    </row>
    <row r="1427" spans="1:17" ht="43" customHeight="1">
      <c r="A1427" s="188">
        <v>381</v>
      </c>
      <c r="B1427" s="40" t="s">
        <v>9182</v>
      </c>
      <c r="C1427" s="11" t="s">
        <v>9172</v>
      </c>
      <c r="D1427" s="204" t="s">
        <v>2398</v>
      </c>
      <c r="E1427" s="204" t="s">
        <v>4847</v>
      </c>
      <c r="F1427" s="11" t="s">
        <v>2276</v>
      </c>
      <c r="G1427" s="204" t="s">
        <v>9155</v>
      </c>
      <c r="H1427" s="11" t="s">
        <v>9122</v>
      </c>
      <c r="I1427" s="21">
        <v>-36</v>
      </c>
      <c r="J1427" s="21">
        <v>-72.5</v>
      </c>
      <c r="K1427" s="21">
        <v>30296.1</v>
      </c>
      <c r="L1427" s="11">
        <v>1977</v>
      </c>
      <c r="M1427" s="11">
        <v>2000</v>
      </c>
      <c r="N1427" s="204">
        <v>50</v>
      </c>
      <c r="O1427" s="19" t="s">
        <v>67</v>
      </c>
      <c r="P1427" s="19" t="s">
        <v>5187</v>
      </c>
      <c r="Q1427" s="41" t="s">
        <v>9183</v>
      </c>
    </row>
    <row r="1428" spans="1:17" ht="43" customHeight="1">
      <c r="A1428" s="188">
        <v>381</v>
      </c>
      <c r="B1428" s="40" t="s">
        <v>9182</v>
      </c>
      <c r="C1428" s="11" t="s">
        <v>9173</v>
      </c>
      <c r="D1428" s="204" t="s">
        <v>2398</v>
      </c>
      <c r="E1428" s="204" t="s">
        <v>4847</v>
      </c>
      <c r="F1428" s="11" t="s">
        <v>2276</v>
      </c>
      <c r="G1428" s="204" t="s">
        <v>9156</v>
      </c>
      <c r="H1428" s="11" t="s">
        <v>9122</v>
      </c>
      <c r="I1428" s="21">
        <v>-33</v>
      </c>
      <c r="J1428" s="21">
        <v>-70.5</v>
      </c>
      <c r="K1428" s="21">
        <v>13178.5</v>
      </c>
      <c r="L1428" s="11">
        <v>1977</v>
      </c>
      <c r="M1428" s="11">
        <v>2000</v>
      </c>
      <c r="N1428" s="204">
        <v>5</v>
      </c>
      <c r="O1428" s="19" t="s">
        <v>67</v>
      </c>
      <c r="P1428" s="19" t="s">
        <v>5187</v>
      </c>
      <c r="Q1428" s="41" t="s">
        <v>9183</v>
      </c>
    </row>
    <row r="1429" spans="1:17" ht="42" customHeight="1">
      <c r="A1429" s="188">
        <v>381</v>
      </c>
      <c r="B1429" s="40" t="s">
        <v>9182</v>
      </c>
      <c r="C1429" s="11" t="s">
        <v>9174</v>
      </c>
      <c r="D1429" s="204" t="s">
        <v>2398</v>
      </c>
      <c r="E1429" s="204" t="s">
        <v>4847</v>
      </c>
      <c r="F1429" s="11" t="s">
        <v>2276</v>
      </c>
      <c r="G1429" s="204" t="s">
        <v>9157</v>
      </c>
      <c r="H1429" s="11" t="s">
        <v>9122</v>
      </c>
      <c r="I1429" s="21">
        <v>-37</v>
      </c>
      <c r="J1429" s="21">
        <v>-72.5</v>
      </c>
      <c r="K1429" s="21">
        <v>23890.2</v>
      </c>
      <c r="L1429" s="11">
        <v>1977</v>
      </c>
      <c r="M1429" s="11">
        <v>2000</v>
      </c>
      <c r="N1429" s="204">
        <v>50</v>
      </c>
      <c r="O1429" s="19" t="s">
        <v>67</v>
      </c>
      <c r="P1429" s="19" t="s">
        <v>5187</v>
      </c>
      <c r="Q1429" s="41" t="s">
        <v>9183</v>
      </c>
    </row>
    <row r="1430" spans="1:17" ht="42" customHeight="1">
      <c r="A1430" s="188">
        <v>381</v>
      </c>
      <c r="B1430" s="40" t="s">
        <v>9182</v>
      </c>
      <c r="C1430" s="11" t="s">
        <v>9175</v>
      </c>
      <c r="D1430" s="204" t="s">
        <v>2398</v>
      </c>
      <c r="E1430" s="204" t="s">
        <v>4847</v>
      </c>
      <c r="F1430" s="11" t="s">
        <v>2276</v>
      </c>
      <c r="G1430" s="204" t="s">
        <v>9158</v>
      </c>
      <c r="H1430" s="11" t="s">
        <v>9122</v>
      </c>
      <c r="I1430" s="21">
        <v>-38</v>
      </c>
      <c r="J1430" s="21">
        <v>-72.5</v>
      </c>
      <c r="K1430" s="21">
        <v>31842.3</v>
      </c>
      <c r="L1430" s="11">
        <v>1977</v>
      </c>
      <c r="M1430" s="11">
        <v>2000</v>
      </c>
      <c r="N1430" s="204">
        <v>30</v>
      </c>
      <c r="O1430" s="19" t="s">
        <v>67</v>
      </c>
      <c r="P1430" s="19" t="s">
        <v>5187</v>
      </c>
      <c r="Q1430" s="41" t="s">
        <v>9183</v>
      </c>
    </row>
    <row r="1431" spans="1:17" ht="42" customHeight="1">
      <c r="A1431" s="188">
        <v>381</v>
      </c>
      <c r="B1431" s="40" t="s">
        <v>9182</v>
      </c>
      <c r="C1431" s="11" t="s">
        <v>9176</v>
      </c>
      <c r="D1431" s="204" t="s">
        <v>2398</v>
      </c>
      <c r="E1431" s="204" t="s">
        <v>4847</v>
      </c>
      <c r="F1431" s="11" t="s">
        <v>2276</v>
      </c>
      <c r="G1431" s="204" t="s">
        <v>9159</v>
      </c>
      <c r="H1431" s="11" t="s">
        <v>9122</v>
      </c>
      <c r="I1431" s="21">
        <v>-40</v>
      </c>
      <c r="J1431" s="21">
        <v>-72.5</v>
      </c>
      <c r="K1431" s="21">
        <v>18429.5</v>
      </c>
      <c r="L1431" s="11">
        <v>1977</v>
      </c>
      <c r="M1431" s="11">
        <v>2000</v>
      </c>
      <c r="N1431" s="204">
        <v>25</v>
      </c>
      <c r="O1431" s="19" t="s">
        <v>67</v>
      </c>
      <c r="P1431" s="19" t="s">
        <v>5187</v>
      </c>
      <c r="Q1431" s="41" t="s">
        <v>9183</v>
      </c>
    </row>
    <row r="1432" spans="1:17" ht="42" customHeight="1">
      <c r="A1432" s="188">
        <v>381</v>
      </c>
      <c r="B1432" s="40" t="s">
        <v>9182</v>
      </c>
      <c r="C1432" s="11" t="s">
        <v>9177</v>
      </c>
      <c r="D1432" s="204" t="s">
        <v>2398</v>
      </c>
      <c r="E1432" s="204" t="s">
        <v>4847</v>
      </c>
      <c r="F1432" s="11" t="s">
        <v>2276</v>
      </c>
      <c r="G1432" s="204" t="s">
        <v>9160</v>
      </c>
      <c r="H1432" s="11" t="s">
        <v>9122</v>
      </c>
      <c r="I1432" s="21">
        <v>-41</v>
      </c>
      <c r="J1432" s="21">
        <v>-72.5</v>
      </c>
      <c r="K1432" s="21">
        <v>48583.6</v>
      </c>
      <c r="L1432" s="11">
        <v>1977</v>
      </c>
      <c r="M1432" s="11">
        <v>2000</v>
      </c>
      <c r="N1432" s="204">
        <v>20</v>
      </c>
      <c r="O1432" s="19" t="s">
        <v>67</v>
      </c>
      <c r="P1432" s="19" t="s">
        <v>5187</v>
      </c>
      <c r="Q1432" s="41" t="s">
        <v>9183</v>
      </c>
    </row>
    <row r="1433" spans="1:17" ht="42" customHeight="1">
      <c r="A1433" s="188">
        <v>381</v>
      </c>
      <c r="B1433" s="40" t="s">
        <v>9182</v>
      </c>
      <c r="C1433" s="11" t="s">
        <v>9178</v>
      </c>
      <c r="D1433" s="204" t="s">
        <v>2398</v>
      </c>
      <c r="E1433" s="204" t="s">
        <v>4847</v>
      </c>
      <c r="F1433" s="11" t="s">
        <v>2276</v>
      </c>
      <c r="G1433" s="204" t="s">
        <v>9161</v>
      </c>
      <c r="H1433" s="11" t="s">
        <v>9122</v>
      </c>
      <c r="I1433" s="21">
        <v>-45</v>
      </c>
      <c r="J1433" s="21">
        <v>-71</v>
      </c>
      <c r="K1433" s="21">
        <v>108494.39999999999</v>
      </c>
      <c r="L1433" s="11">
        <v>1977</v>
      </c>
      <c r="M1433" s="11">
        <v>2000</v>
      </c>
      <c r="N1433" s="204">
        <v>5</v>
      </c>
      <c r="O1433" s="19" t="s">
        <v>67</v>
      </c>
      <c r="P1433" s="19" t="s">
        <v>5187</v>
      </c>
      <c r="Q1433" s="41" t="s">
        <v>9183</v>
      </c>
    </row>
    <row r="1434" spans="1:17" ht="42" customHeight="1">
      <c r="A1434" s="188">
        <v>381</v>
      </c>
      <c r="B1434" s="40" t="s">
        <v>9182</v>
      </c>
      <c r="C1434" s="11" t="s">
        <v>9179</v>
      </c>
      <c r="D1434" s="204" t="s">
        <v>2398</v>
      </c>
      <c r="E1434" s="204" t="s">
        <v>4847</v>
      </c>
      <c r="F1434" s="11" t="s">
        <v>2276</v>
      </c>
      <c r="G1434" s="4" t="s">
        <v>9162</v>
      </c>
      <c r="H1434" s="11" t="s">
        <v>9122</v>
      </c>
      <c r="I1434" s="21">
        <v>-55</v>
      </c>
      <c r="J1434" s="21">
        <v>-70</v>
      </c>
      <c r="K1434" s="21">
        <v>132291.1</v>
      </c>
      <c r="L1434" s="11">
        <v>1977</v>
      </c>
      <c r="M1434" s="11">
        <v>2000</v>
      </c>
      <c r="N1434" s="204">
        <v>5</v>
      </c>
      <c r="O1434" s="19" t="s">
        <v>67</v>
      </c>
      <c r="P1434" s="19" t="s">
        <v>5187</v>
      </c>
      <c r="Q1434" s="41" t="s">
        <v>9183</v>
      </c>
    </row>
    <row r="1435" spans="1:17" ht="44.5" customHeight="1">
      <c r="A1435" s="188">
        <v>381</v>
      </c>
      <c r="B1435" s="40" t="s">
        <v>9182</v>
      </c>
      <c r="C1435" s="11" t="s">
        <v>9185</v>
      </c>
      <c r="D1435" s="204" t="s">
        <v>2398</v>
      </c>
      <c r="E1435" s="204" t="s">
        <v>4847</v>
      </c>
      <c r="F1435" s="11" t="s">
        <v>2276</v>
      </c>
      <c r="G1435" s="11" t="s">
        <v>2276</v>
      </c>
      <c r="H1435" s="11" t="s">
        <v>9122</v>
      </c>
      <c r="I1435" s="21">
        <f t="shared" ref="I1435:I1436" si="19">AVERAGE(-17, -56)</f>
        <v>-36.5</v>
      </c>
      <c r="J1435" s="21">
        <v>-73</v>
      </c>
      <c r="K1435" s="21">
        <v>756102</v>
      </c>
      <c r="L1435" s="11">
        <v>1991</v>
      </c>
      <c r="M1435" s="11">
        <v>2005</v>
      </c>
      <c r="N1435" s="204" t="s">
        <v>2276</v>
      </c>
      <c r="O1435" s="19" t="s">
        <v>67</v>
      </c>
      <c r="P1435" s="19" t="s">
        <v>5187</v>
      </c>
      <c r="Q1435" s="41" t="s">
        <v>9183</v>
      </c>
    </row>
    <row r="1436" spans="1:17" ht="44.5" customHeight="1">
      <c r="A1436" s="188">
        <v>381</v>
      </c>
      <c r="B1436" s="40" t="s">
        <v>9182</v>
      </c>
      <c r="C1436" s="11" t="s">
        <v>9186</v>
      </c>
      <c r="D1436" s="204" t="s">
        <v>2398</v>
      </c>
      <c r="E1436" s="204" t="s">
        <v>4847</v>
      </c>
      <c r="F1436" s="11" t="s">
        <v>2276</v>
      </c>
      <c r="G1436" s="11" t="s">
        <v>2276</v>
      </c>
      <c r="H1436" s="11" t="s">
        <v>9122</v>
      </c>
      <c r="I1436" s="21">
        <f t="shared" si="19"/>
        <v>-36.5</v>
      </c>
      <c r="J1436" s="21">
        <v>-73</v>
      </c>
      <c r="K1436" s="21">
        <v>756102</v>
      </c>
      <c r="L1436" s="11">
        <v>2006</v>
      </c>
      <c r="M1436" s="11">
        <v>2020</v>
      </c>
      <c r="N1436" s="21">
        <v>23.57</v>
      </c>
      <c r="O1436" s="19" t="s">
        <v>67</v>
      </c>
      <c r="P1436" s="19" t="s">
        <v>5187</v>
      </c>
      <c r="Q1436" s="41" t="s">
        <v>9183</v>
      </c>
    </row>
    <row r="1437" spans="1:17" ht="43.5">
      <c r="A1437" s="188">
        <v>381</v>
      </c>
      <c r="B1437" s="40" t="s">
        <v>9182</v>
      </c>
      <c r="C1437" s="11" t="s">
        <v>9189</v>
      </c>
      <c r="D1437" s="204" t="s">
        <v>2398</v>
      </c>
      <c r="E1437" s="204" t="s">
        <v>4847</v>
      </c>
      <c r="F1437" s="11" t="s">
        <v>2276</v>
      </c>
      <c r="G1437" s="204" t="s">
        <v>9149</v>
      </c>
      <c r="H1437" s="11" t="s">
        <v>9122</v>
      </c>
      <c r="I1437" s="21">
        <v>-18</v>
      </c>
      <c r="J1437" s="21">
        <v>-69.5</v>
      </c>
      <c r="K1437" s="21">
        <v>16873.3</v>
      </c>
      <c r="L1437" s="11">
        <v>2001</v>
      </c>
      <c r="M1437" s="11">
        <v>2020</v>
      </c>
      <c r="N1437" s="204">
        <v>5</v>
      </c>
      <c r="O1437" s="19" t="s">
        <v>67</v>
      </c>
      <c r="P1437" s="19" t="s">
        <v>5187</v>
      </c>
      <c r="Q1437" s="41" t="s">
        <v>9183</v>
      </c>
    </row>
    <row r="1438" spans="1:17" ht="43.5">
      <c r="A1438" s="188">
        <v>381</v>
      </c>
      <c r="B1438" s="40" t="s">
        <v>9182</v>
      </c>
      <c r="C1438" s="11" t="s">
        <v>9190</v>
      </c>
      <c r="D1438" s="204" t="s">
        <v>2398</v>
      </c>
      <c r="E1438" s="204" t="s">
        <v>4847</v>
      </c>
      <c r="F1438" s="11" t="s">
        <v>2276</v>
      </c>
      <c r="G1438" s="204" t="s">
        <v>9150</v>
      </c>
      <c r="H1438" s="11" t="s">
        <v>9122</v>
      </c>
      <c r="I1438" s="21">
        <v>-20</v>
      </c>
      <c r="J1438" s="21">
        <v>-69.5</v>
      </c>
      <c r="K1438" s="21">
        <v>41799.5</v>
      </c>
      <c r="L1438" s="11">
        <v>2001</v>
      </c>
      <c r="M1438" s="11">
        <v>2020</v>
      </c>
      <c r="N1438" s="204">
        <v>5</v>
      </c>
      <c r="O1438" s="19" t="s">
        <v>67</v>
      </c>
      <c r="P1438" s="19" t="s">
        <v>5187</v>
      </c>
      <c r="Q1438" s="41" t="s">
        <v>9183</v>
      </c>
    </row>
    <row r="1439" spans="1:17" ht="43.5">
      <c r="A1439" s="188">
        <v>381</v>
      </c>
      <c r="B1439" s="40" t="s">
        <v>9182</v>
      </c>
      <c r="C1439" s="11" t="s">
        <v>9191</v>
      </c>
      <c r="D1439" s="204" t="s">
        <v>2398</v>
      </c>
      <c r="E1439" s="204" t="s">
        <v>4847</v>
      </c>
      <c r="F1439" s="11" t="s">
        <v>2276</v>
      </c>
      <c r="G1439" s="204" t="s">
        <v>9151</v>
      </c>
      <c r="H1439" s="11" t="s">
        <v>9122</v>
      </c>
      <c r="I1439" s="21">
        <v>-24</v>
      </c>
      <c r="J1439" s="21">
        <v>-69.5</v>
      </c>
      <c r="K1439" s="21">
        <v>126049.1</v>
      </c>
      <c r="L1439" s="11">
        <v>2001</v>
      </c>
      <c r="M1439" s="11">
        <v>2020</v>
      </c>
      <c r="N1439" s="204">
        <v>5</v>
      </c>
      <c r="O1439" s="19" t="s">
        <v>67</v>
      </c>
      <c r="P1439" s="19" t="s">
        <v>5187</v>
      </c>
      <c r="Q1439" s="41" t="s">
        <v>9183</v>
      </c>
    </row>
    <row r="1440" spans="1:17" ht="43.5">
      <c r="A1440" s="188">
        <v>381</v>
      </c>
      <c r="B1440" s="40" t="s">
        <v>9182</v>
      </c>
      <c r="C1440" s="11" t="s">
        <v>9192</v>
      </c>
      <c r="D1440" s="204" t="s">
        <v>2398</v>
      </c>
      <c r="E1440" s="204" t="s">
        <v>4847</v>
      </c>
      <c r="F1440" s="11" t="s">
        <v>2276</v>
      </c>
      <c r="G1440" s="204" t="s">
        <v>9152</v>
      </c>
      <c r="H1440" s="11" t="s">
        <v>9122</v>
      </c>
      <c r="I1440" s="21">
        <v>-27</v>
      </c>
      <c r="J1440" s="21">
        <v>-70.5</v>
      </c>
      <c r="K1440" s="21">
        <v>75176.2</v>
      </c>
      <c r="L1440" s="11">
        <v>2001</v>
      </c>
      <c r="M1440" s="11">
        <v>2020</v>
      </c>
      <c r="N1440" s="204">
        <v>5</v>
      </c>
      <c r="O1440" s="19" t="s">
        <v>67</v>
      </c>
      <c r="P1440" s="19" t="s">
        <v>5187</v>
      </c>
      <c r="Q1440" s="41" t="s">
        <v>9183</v>
      </c>
    </row>
    <row r="1441" spans="1:17" ht="43.5">
      <c r="A1441" s="188">
        <v>381</v>
      </c>
      <c r="B1441" s="40" t="s">
        <v>9182</v>
      </c>
      <c r="C1441" s="11" t="s">
        <v>9193</v>
      </c>
      <c r="D1441" s="204" t="s">
        <v>2398</v>
      </c>
      <c r="E1441" s="204" t="s">
        <v>4847</v>
      </c>
      <c r="F1441" s="11" t="s">
        <v>2276</v>
      </c>
      <c r="G1441" s="204" t="s">
        <v>9163</v>
      </c>
      <c r="H1441" s="11" t="s">
        <v>9122</v>
      </c>
      <c r="I1441" s="21">
        <v>-31</v>
      </c>
      <c r="J1441" s="21">
        <v>-71</v>
      </c>
      <c r="K1441" s="21">
        <v>40579.9</v>
      </c>
      <c r="L1441" s="11">
        <v>2001</v>
      </c>
      <c r="M1441" s="11">
        <v>2020</v>
      </c>
      <c r="N1441" s="204">
        <v>20</v>
      </c>
      <c r="O1441" s="19" t="s">
        <v>67</v>
      </c>
      <c r="P1441" s="19" t="s">
        <v>5187</v>
      </c>
      <c r="Q1441" s="41" t="s">
        <v>9183</v>
      </c>
    </row>
    <row r="1442" spans="1:17" ht="43.5">
      <c r="A1442" s="188">
        <v>381</v>
      </c>
      <c r="B1442" s="40" t="s">
        <v>9182</v>
      </c>
      <c r="C1442" s="11" t="s">
        <v>9194</v>
      </c>
      <c r="D1442" s="204" t="s">
        <v>2398</v>
      </c>
      <c r="E1442" s="204" t="s">
        <v>4847</v>
      </c>
      <c r="F1442" s="11" t="s">
        <v>2276</v>
      </c>
      <c r="G1442" s="204" t="s">
        <v>9153</v>
      </c>
      <c r="H1442" s="11" t="s">
        <v>9122</v>
      </c>
      <c r="I1442" s="21">
        <v>-32.5</v>
      </c>
      <c r="J1442" s="21">
        <v>-71</v>
      </c>
      <c r="K1442" s="21">
        <v>16396.099999999999</v>
      </c>
      <c r="L1442" s="11">
        <v>2001</v>
      </c>
      <c r="M1442" s="11">
        <v>2020</v>
      </c>
      <c r="N1442" s="204">
        <v>100</v>
      </c>
      <c r="O1442" s="19" t="s">
        <v>67</v>
      </c>
      <c r="P1442" s="19" t="s">
        <v>5187</v>
      </c>
      <c r="Q1442" s="41" t="s">
        <v>9183</v>
      </c>
    </row>
    <row r="1443" spans="1:17" ht="45.5" customHeight="1">
      <c r="A1443" s="188">
        <v>381</v>
      </c>
      <c r="B1443" s="40" t="s">
        <v>9182</v>
      </c>
      <c r="C1443" s="11" t="s">
        <v>9195</v>
      </c>
      <c r="D1443" s="204" t="s">
        <v>2398</v>
      </c>
      <c r="E1443" s="204" t="s">
        <v>4847</v>
      </c>
      <c r="F1443" s="11" t="s">
        <v>2276</v>
      </c>
      <c r="G1443" s="204" t="s">
        <v>9234</v>
      </c>
      <c r="H1443" s="11" t="s">
        <v>9122</v>
      </c>
      <c r="I1443" s="21">
        <v>-33.850357799999998</v>
      </c>
      <c r="J1443" s="21">
        <v>-70.604239199999995</v>
      </c>
      <c r="K1443" s="21">
        <v>15403</v>
      </c>
      <c r="L1443" s="11">
        <v>1977</v>
      </c>
      <c r="M1443" s="11">
        <v>2000</v>
      </c>
      <c r="N1443" s="21">
        <f>6160040/K1443</f>
        <v>399.92468999545542</v>
      </c>
      <c r="O1443" s="19" t="s">
        <v>67</v>
      </c>
      <c r="P1443" s="19" t="s">
        <v>5187</v>
      </c>
      <c r="Q1443" s="41" t="s">
        <v>9183</v>
      </c>
    </row>
    <row r="1444" spans="1:17" ht="43.5">
      <c r="A1444" s="188">
        <v>381</v>
      </c>
      <c r="B1444" s="40" t="s">
        <v>9182</v>
      </c>
      <c r="C1444" s="11" t="s">
        <v>9196</v>
      </c>
      <c r="D1444" s="204" t="s">
        <v>2398</v>
      </c>
      <c r="E1444" s="204" t="s">
        <v>4847</v>
      </c>
      <c r="F1444" s="11" t="s">
        <v>2276</v>
      </c>
      <c r="G1444" s="4" t="s">
        <v>9154</v>
      </c>
      <c r="H1444" s="11" t="s">
        <v>9122</v>
      </c>
      <c r="I1444" s="21">
        <v>-34</v>
      </c>
      <c r="J1444" s="21">
        <v>-72</v>
      </c>
      <c r="K1444" s="21">
        <v>16387</v>
      </c>
      <c r="L1444" s="11">
        <v>2001</v>
      </c>
      <c r="M1444" s="11">
        <v>2020</v>
      </c>
      <c r="N1444" s="204">
        <v>50</v>
      </c>
      <c r="O1444" s="19" t="s">
        <v>67</v>
      </c>
      <c r="P1444" s="19" t="s">
        <v>5187</v>
      </c>
      <c r="Q1444" s="41" t="s">
        <v>9183</v>
      </c>
    </row>
    <row r="1445" spans="1:17" ht="43.5">
      <c r="A1445" s="188">
        <v>381</v>
      </c>
      <c r="B1445" s="40" t="s">
        <v>9182</v>
      </c>
      <c r="C1445" s="11" t="s">
        <v>9197</v>
      </c>
      <c r="D1445" s="204" t="s">
        <v>2398</v>
      </c>
      <c r="E1445" s="204" t="s">
        <v>4847</v>
      </c>
      <c r="F1445" s="11" t="s">
        <v>2276</v>
      </c>
      <c r="G1445" s="204" t="s">
        <v>9155</v>
      </c>
      <c r="H1445" s="11" t="s">
        <v>9122</v>
      </c>
      <c r="I1445" s="21">
        <v>-36</v>
      </c>
      <c r="J1445" s="21">
        <v>-72.5</v>
      </c>
      <c r="K1445" s="21">
        <v>30296.1</v>
      </c>
      <c r="L1445" s="11">
        <v>2001</v>
      </c>
      <c r="M1445" s="11">
        <v>2020</v>
      </c>
      <c r="N1445" s="204">
        <v>50</v>
      </c>
      <c r="O1445" s="19" t="s">
        <v>67</v>
      </c>
      <c r="P1445" s="19" t="s">
        <v>5187</v>
      </c>
      <c r="Q1445" s="41" t="s">
        <v>9183</v>
      </c>
    </row>
    <row r="1446" spans="1:17" ht="43.5">
      <c r="A1446" s="188">
        <v>381</v>
      </c>
      <c r="B1446" s="40" t="s">
        <v>9182</v>
      </c>
      <c r="C1446" s="11" t="s">
        <v>9198</v>
      </c>
      <c r="D1446" s="204" t="s">
        <v>2398</v>
      </c>
      <c r="E1446" s="204" t="s">
        <v>4847</v>
      </c>
      <c r="F1446" s="11" t="s">
        <v>2276</v>
      </c>
      <c r="G1446" s="204" t="s">
        <v>9156</v>
      </c>
      <c r="H1446" s="11" t="s">
        <v>9122</v>
      </c>
      <c r="I1446" s="21">
        <v>-33</v>
      </c>
      <c r="J1446" s="21">
        <v>-70.5</v>
      </c>
      <c r="K1446" s="21">
        <v>13178.5</v>
      </c>
      <c r="L1446" s="11">
        <v>2001</v>
      </c>
      <c r="M1446" s="11">
        <v>2020</v>
      </c>
      <c r="N1446" s="204">
        <v>5</v>
      </c>
      <c r="O1446" s="19" t="s">
        <v>67</v>
      </c>
      <c r="P1446" s="19" t="s">
        <v>5187</v>
      </c>
      <c r="Q1446" s="41" t="s">
        <v>9183</v>
      </c>
    </row>
    <row r="1447" spans="1:17" ht="43.5">
      <c r="A1447" s="188">
        <v>381</v>
      </c>
      <c r="B1447" s="40" t="s">
        <v>9182</v>
      </c>
      <c r="C1447" s="11" t="s">
        <v>9199</v>
      </c>
      <c r="D1447" s="204" t="s">
        <v>2398</v>
      </c>
      <c r="E1447" s="204" t="s">
        <v>4847</v>
      </c>
      <c r="F1447" s="11" t="s">
        <v>2276</v>
      </c>
      <c r="G1447" s="204" t="s">
        <v>9157</v>
      </c>
      <c r="H1447" s="11" t="s">
        <v>9122</v>
      </c>
      <c r="I1447" s="21">
        <v>-37</v>
      </c>
      <c r="J1447" s="21">
        <v>-72.5</v>
      </c>
      <c r="K1447" s="21">
        <v>23890.2</v>
      </c>
      <c r="L1447" s="11">
        <v>2001</v>
      </c>
      <c r="M1447" s="11">
        <v>2020</v>
      </c>
      <c r="N1447" s="204">
        <v>50</v>
      </c>
      <c r="O1447" s="19" t="s">
        <v>67</v>
      </c>
      <c r="P1447" s="19" t="s">
        <v>5187</v>
      </c>
      <c r="Q1447" s="41" t="s">
        <v>9183</v>
      </c>
    </row>
    <row r="1448" spans="1:17" ht="43.5">
      <c r="A1448" s="188">
        <v>381</v>
      </c>
      <c r="B1448" s="40" t="s">
        <v>9182</v>
      </c>
      <c r="C1448" s="11" t="s">
        <v>9200</v>
      </c>
      <c r="D1448" s="204" t="s">
        <v>2398</v>
      </c>
      <c r="E1448" s="204" t="s">
        <v>4847</v>
      </c>
      <c r="F1448" s="11" t="s">
        <v>2276</v>
      </c>
      <c r="G1448" s="204" t="s">
        <v>9158</v>
      </c>
      <c r="H1448" s="11" t="s">
        <v>9122</v>
      </c>
      <c r="I1448" s="21">
        <v>-38</v>
      </c>
      <c r="J1448" s="21">
        <v>-72.5</v>
      </c>
      <c r="K1448" s="21">
        <v>31842.3</v>
      </c>
      <c r="L1448" s="11">
        <v>2001</v>
      </c>
      <c r="M1448" s="11">
        <v>2020</v>
      </c>
      <c r="N1448" s="204">
        <v>30</v>
      </c>
      <c r="O1448" s="19" t="s">
        <v>67</v>
      </c>
      <c r="P1448" s="19" t="s">
        <v>5187</v>
      </c>
      <c r="Q1448" s="41" t="s">
        <v>9183</v>
      </c>
    </row>
    <row r="1449" spans="1:17" ht="43.5">
      <c r="A1449" s="188">
        <v>381</v>
      </c>
      <c r="B1449" s="40" t="s">
        <v>9182</v>
      </c>
      <c r="C1449" s="11" t="s">
        <v>9201</v>
      </c>
      <c r="D1449" s="204" t="s">
        <v>2398</v>
      </c>
      <c r="E1449" s="204" t="s">
        <v>4847</v>
      </c>
      <c r="F1449" s="11" t="s">
        <v>2276</v>
      </c>
      <c r="G1449" s="204" t="s">
        <v>9159</v>
      </c>
      <c r="H1449" s="11" t="s">
        <v>9122</v>
      </c>
      <c r="I1449" s="21">
        <v>-40</v>
      </c>
      <c r="J1449" s="21">
        <v>-72.5</v>
      </c>
      <c r="K1449" s="21">
        <v>18429.5</v>
      </c>
      <c r="L1449" s="11">
        <v>2001</v>
      </c>
      <c r="M1449" s="11">
        <v>2020</v>
      </c>
      <c r="N1449" s="204">
        <v>25</v>
      </c>
      <c r="O1449" s="19" t="s">
        <v>67</v>
      </c>
      <c r="P1449" s="19" t="s">
        <v>5187</v>
      </c>
      <c r="Q1449" s="41" t="s">
        <v>9183</v>
      </c>
    </row>
    <row r="1450" spans="1:17" ht="43.5">
      <c r="A1450" s="188">
        <v>381</v>
      </c>
      <c r="B1450" s="40" t="s">
        <v>9182</v>
      </c>
      <c r="C1450" s="11" t="s">
        <v>9202</v>
      </c>
      <c r="D1450" s="204" t="s">
        <v>2398</v>
      </c>
      <c r="E1450" s="204" t="s">
        <v>4847</v>
      </c>
      <c r="F1450" s="11" t="s">
        <v>2276</v>
      </c>
      <c r="G1450" s="204" t="s">
        <v>9160</v>
      </c>
      <c r="H1450" s="11" t="s">
        <v>9122</v>
      </c>
      <c r="I1450" s="21">
        <v>-41</v>
      </c>
      <c r="J1450" s="21">
        <v>-72.5</v>
      </c>
      <c r="K1450" s="21">
        <v>48583.6</v>
      </c>
      <c r="L1450" s="11">
        <v>2001</v>
      </c>
      <c r="M1450" s="11">
        <v>2020</v>
      </c>
      <c r="N1450" s="204">
        <v>20</v>
      </c>
      <c r="O1450" s="19" t="s">
        <v>67</v>
      </c>
      <c r="P1450" s="19" t="s">
        <v>5187</v>
      </c>
      <c r="Q1450" s="41" t="s">
        <v>9183</v>
      </c>
    </row>
    <row r="1451" spans="1:17" ht="43.5">
      <c r="A1451" s="188">
        <v>381</v>
      </c>
      <c r="B1451" s="40" t="s">
        <v>9182</v>
      </c>
      <c r="C1451" s="11" t="s">
        <v>9203</v>
      </c>
      <c r="D1451" s="204" t="s">
        <v>2398</v>
      </c>
      <c r="E1451" s="204" t="s">
        <v>4847</v>
      </c>
      <c r="F1451" s="11" t="s">
        <v>2276</v>
      </c>
      <c r="G1451" s="204" t="s">
        <v>9161</v>
      </c>
      <c r="H1451" s="11" t="s">
        <v>9122</v>
      </c>
      <c r="I1451" s="21">
        <v>-45</v>
      </c>
      <c r="J1451" s="21">
        <v>-71</v>
      </c>
      <c r="K1451" s="21">
        <v>108494.39999999999</v>
      </c>
      <c r="L1451" s="11">
        <v>2001</v>
      </c>
      <c r="M1451" s="11">
        <v>2020</v>
      </c>
      <c r="N1451" s="204">
        <v>5</v>
      </c>
      <c r="O1451" s="19" t="s">
        <v>67</v>
      </c>
      <c r="P1451" s="19" t="s">
        <v>5187</v>
      </c>
      <c r="Q1451" s="41" t="s">
        <v>9183</v>
      </c>
    </row>
    <row r="1452" spans="1:17" ht="60" customHeight="1">
      <c r="A1452" s="188">
        <v>381</v>
      </c>
      <c r="B1452" s="40" t="s">
        <v>9182</v>
      </c>
      <c r="C1452" s="11" t="s">
        <v>9235</v>
      </c>
      <c r="D1452" s="204" t="s">
        <v>2398</v>
      </c>
      <c r="E1452" s="204" t="s">
        <v>4847</v>
      </c>
      <c r="F1452" s="11" t="s">
        <v>2276</v>
      </c>
      <c r="G1452" s="4" t="s">
        <v>9162</v>
      </c>
      <c r="H1452" s="11" t="s">
        <v>9122</v>
      </c>
      <c r="I1452" s="21">
        <v>-55</v>
      </c>
      <c r="J1452" s="21">
        <v>-70</v>
      </c>
      <c r="K1452" s="21">
        <v>132291.1</v>
      </c>
      <c r="L1452" s="11">
        <v>2001</v>
      </c>
      <c r="M1452" s="11">
        <v>2020</v>
      </c>
      <c r="N1452" s="204">
        <v>5</v>
      </c>
      <c r="O1452" s="19" t="s">
        <v>67</v>
      </c>
      <c r="P1452" s="19" t="s">
        <v>5187</v>
      </c>
      <c r="Q1452" s="41" t="s">
        <v>9183</v>
      </c>
    </row>
    <row r="1453" spans="1:17" ht="49" customHeight="1">
      <c r="A1453" s="188">
        <v>382</v>
      </c>
      <c r="B1453" s="40" t="s">
        <v>9256</v>
      </c>
      <c r="C1453" s="11" t="s">
        <v>9257</v>
      </c>
      <c r="D1453" s="204" t="s">
        <v>2398</v>
      </c>
      <c r="E1453" s="204" t="s">
        <v>2399</v>
      </c>
      <c r="F1453" s="11" t="s">
        <v>9259</v>
      </c>
      <c r="G1453" s="11" t="s">
        <v>9260</v>
      </c>
      <c r="H1453" s="11" t="s">
        <v>9122</v>
      </c>
      <c r="I1453" s="21">
        <f>-38 - 12/60</f>
        <v>-38.200000000000003</v>
      </c>
      <c r="J1453" s="21">
        <f>-71-5/6</f>
        <v>-71.833333333333329</v>
      </c>
      <c r="K1453" s="21" t="s">
        <v>2276</v>
      </c>
      <c r="L1453" s="11">
        <v>2005</v>
      </c>
      <c r="M1453" s="11">
        <v>2005</v>
      </c>
      <c r="N1453" s="21" t="s">
        <v>2276</v>
      </c>
      <c r="O1453" s="19" t="s">
        <v>67</v>
      </c>
      <c r="P1453" s="19" t="s">
        <v>5187</v>
      </c>
      <c r="Q1453" s="204"/>
    </row>
    <row r="1454" spans="1:17" ht="50.5" customHeight="1">
      <c r="A1454" s="188">
        <v>382</v>
      </c>
      <c r="B1454" s="40" t="s">
        <v>9256</v>
      </c>
      <c r="C1454" s="11" t="s">
        <v>9258</v>
      </c>
      <c r="D1454" s="204" t="s">
        <v>2398</v>
      </c>
      <c r="E1454" s="204" t="s">
        <v>2399</v>
      </c>
      <c r="F1454" s="64" t="s">
        <v>9262</v>
      </c>
      <c r="G1454" s="204" t="s">
        <v>9261</v>
      </c>
      <c r="H1454" s="11" t="s">
        <v>9122</v>
      </c>
      <c r="I1454" s="21">
        <f>-36-0.866666666666667</f>
        <v>-36.866666666666667</v>
      </c>
      <c r="J1454" s="21">
        <f>-71-56/60</f>
        <v>-71.933333333333337</v>
      </c>
      <c r="K1454" s="21">
        <v>0.03</v>
      </c>
      <c r="L1454" s="11">
        <v>2005</v>
      </c>
      <c r="M1454" s="11">
        <v>2006</v>
      </c>
      <c r="N1454" s="21" t="s">
        <v>2276</v>
      </c>
      <c r="O1454" s="19" t="s">
        <v>67</v>
      </c>
      <c r="P1454" s="19" t="s">
        <v>5187</v>
      </c>
      <c r="Q1454" s="204"/>
    </row>
    <row r="1455" spans="1:17" ht="48" customHeight="1">
      <c r="A1455" s="188">
        <v>383</v>
      </c>
      <c r="B1455" s="40" t="s">
        <v>9268</v>
      </c>
      <c r="C1455" s="11" t="s">
        <v>9265</v>
      </c>
      <c r="D1455" s="204" t="s">
        <v>2398</v>
      </c>
      <c r="E1455" s="204" t="s">
        <v>2422</v>
      </c>
      <c r="F1455" s="11" t="s">
        <v>9267</v>
      </c>
      <c r="G1455" s="11" t="s">
        <v>9266</v>
      </c>
      <c r="H1455" s="11" t="s">
        <v>3414</v>
      </c>
      <c r="I1455" s="21">
        <f>-37-8/60</f>
        <v>-37.133333333333333</v>
      </c>
      <c r="J1455" s="21">
        <f>140 + 8/60</f>
        <v>140.13333333333333</v>
      </c>
      <c r="K1455" s="21">
        <f>298000/100</f>
        <v>2980</v>
      </c>
      <c r="L1455" s="11">
        <v>1976</v>
      </c>
      <c r="M1455" s="11">
        <v>2010</v>
      </c>
      <c r="N1455" s="21" t="s">
        <v>2276</v>
      </c>
      <c r="O1455" s="19" t="s">
        <v>67</v>
      </c>
      <c r="P1455" s="19" t="s">
        <v>5187</v>
      </c>
      <c r="Q1455" s="204"/>
    </row>
    <row r="1456" spans="1:17" ht="47" customHeight="1">
      <c r="A1456" s="188">
        <v>384</v>
      </c>
      <c r="B1456" s="40" t="s">
        <v>9275</v>
      </c>
      <c r="C1456" s="11" t="s">
        <v>9276</v>
      </c>
      <c r="D1456" s="204" t="s">
        <v>2398</v>
      </c>
      <c r="E1456" s="204" t="s">
        <v>4847</v>
      </c>
      <c r="F1456" s="11" t="s">
        <v>2276</v>
      </c>
      <c r="G1456" s="11" t="s">
        <v>2276</v>
      </c>
      <c r="H1456" s="204" t="s">
        <v>6112</v>
      </c>
      <c r="I1456" s="21">
        <v>40</v>
      </c>
      <c r="J1456" s="21">
        <v>-8</v>
      </c>
      <c r="K1456" s="21">
        <f>(885000+740000)/100</f>
        <v>16250</v>
      </c>
      <c r="L1456" s="204">
        <v>1996</v>
      </c>
      <c r="M1456" s="204">
        <v>2006</v>
      </c>
      <c r="N1456" s="21" t="s">
        <v>2276</v>
      </c>
      <c r="O1456" s="19" t="s">
        <v>67</v>
      </c>
      <c r="P1456" s="19" t="s">
        <v>5187</v>
      </c>
      <c r="Q1456" s="204"/>
    </row>
    <row r="1457" spans="1:17" ht="54.5" customHeight="1">
      <c r="A1457" s="188">
        <v>385</v>
      </c>
      <c r="B1457" s="40" t="s">
        <v>9281</v>
      </c>
      <c r="C1457" s="11" t="s">
        <v>9279</v>
      </c>
      <c r="D1457" s="204" t="s">
        <v>2398</v>
      </c>
      <c r="E1457" s="204" t="s">
        <v>4847</v>
      </c>
      <c r="F1457" s="11" t="s">
        <v>2276</v>
      </c>
      <c r="G1457" s="64" t="s">
        <v>9282</v>
      </c>
      <c r="H1457" s="11" t="s">
        <v>9122</v>
      </c>
      <c r="I1457" s="21">
        <v>-35</v>
      </c>
      <c r="J1457" s="21">
        <v>-71.5</v>
      </c>
      <c r="K1457" s="21">
        <v>90000</v>
      </c>
      <c r="L1457" s="11">
        <v>1985</v>
      </c>
      <c r="M1457" s="11">
        <v>2017</v>
      </c>
      <c r="N1457" s="21" t="s">
        <v>2276</v>
      </c>
      <c r="O1457" s="19" t="s">
        <v>67</v>
      </c>
      <c r="P1457" s="19" t="s">
        <v>5187</v>
      </c>
      <c r="Q1457" s="204"/>
    </row>
    <row r="1458" spans="1:17" ht="65.5" customHeight="1">
      <c r="A1458" s="188">
        <v>385</v>
      </c>
      <c r="B1458" s="41" t="s">
        <v>9289</v>
      </c>
      <c r="C1458" s="11" t="s">
        <v>9288</v>
      </c>
      <c r="D1458" s="204" t="s">
        <v>2398</v>
      </c>
      <c r="E1458" s="204" t="s">
        <v>2636</v>
      </c>
      <c r="F1458" s="11" t="s">
        <v>2276</v>
      </c>
      <c r="G1458" s="204" t="s">
        <v>9155</v>
      </c>
      <c r="H1458" s="11" t="s">
        <v>9122</v>
      </c>
      <c r="I1458" s="21">
        <v>-36</v>
      </c>
      <c r="J1458" s="21">
        <v>-72.5</v>
      </c>
      <c r="K1458" s="21">
        <v>30296.1</v>
      </c>
      <c r="L1458" s="11">
        <v>2016</v>
      </c>
      <c r="M1458" s="11">
        <v>2016</v>
      </c>
      <c r="N1458" s="21" t="s">
        <v>2276</v>
      </c>
      <c r="O1458" s="19" t="s">
        <v>67</v>
      </c>
      <c r="P1458" s="19" t="s">
        <v>5187</v>
      </c>
      <c r="Q1458" s="204"/>
    </row>
    <row r="1459" spans="1:17" ht="45" customHeight="1">
      <c r="A1459" s="188">
        <v>386</v>
      </c>
      <c r="B1459" s="40" t="s">
        <v>9294</v>
      </c>
      <c r="C1459" s="11" t="s">
        <v>9293</v>
      </c>
      <c r="D1459" s="204" t="s">
        <v>2398</v>
      </c>
      <c r="E1459" s="204" t="s">
        <v>6801</v>
      </c>
      <c r="F1459" s="11" t="s">
        <v>2276</v>
      </c>
      <c r="G1459" s="11" t="s">
        <v>9295</v>
      </c>
      <c r="H1459" s="11" t="s">
        <v>3414</v>
      </c>
      <c r="I1459" s="21">
        <v>-36</v>
      </c>
      <c r="J1459" s="21">
        <v>147.75</v>
      </c>
      <c r="K1459" s="21">
        <f>801150+227444</f>
        <v>1028594</v>
      </c>
      <c r="L1459" s="11">
        <v>2000</v>
      </c>
      <c r="M1459" s="11">
        <v>2019</v>
      </c>
      <c r="N1459" s="21" t="s">
        <v>2276</v>
      </c>
      <c r="O1459" s="19" t="s">
        <v>67</v>
      </c>
      <c r="P1459" s="19" t="s">
        <v>5187</v>
      </c>
      <c r="Q1459" s="204"/>
    </row>
    <row r="1460" spans="1:17" ht="46.5" customHeight="1">
      <c r="A1460" s="188">
        <v>387</v>
      </c>
      <c r="B1460" s="40" t="s">
        <v>9309</v>
      </c>
      <c r="C1460" s="204" t="s">
        <v>9302</v>
      </c>
      <c r="D1460" s="204" t="s">
        <v>2398</v>
      </c>
      <c r="E1460" s="204" t="s">
        <v>4847</v>
      </c>
      <c r="F1460" s="11" t="s">
        <v>9301</v>
      </c>
      <c r="G1460" s="11" t="s">
        <v>5663</v>
      </c>
      <c r="H1460" s="11" t="s">
        <v>3414</v>
      </c>
      <c r="I1460" s="21">
        <f>-37-21/60</f>
        <v>-37.35</v>
      </c>
      <c r="J1460" s="21">
        <f>145+32/60</f>
        <v>145.53333333333333</v>
      </c>
      <c r="K1460" s="21" t="s">
        <v>2276</v>
      </c>
      <c r="L1460" s="11">
        <v>2009</v>
      </c>
      <c r="M1460" s="11">
        <v>2009</v>
      </c>
      <c r="N1460" s="21" t="s">
        <v>2276</v>
      </c>
      <c r="O1460" s="19" t="s">
        <v>67</v>
      </c>
      <c r="P1460" s="19" t="s">
        <v>5187</v>
      </c>
      <c r="Q1460" s="204"/>
    </row>
    <row r="1461" spans="1:17" ht="42" customHeight="1">
      <c r="A1461" s="188">
        <v>387</v>
      </c>
      <c r="B1461" s="40" t="s">
        <v>9309</v>
      </c>
      <c r="C1461" s="204" t="s">
        <v>9303</v>
      </c>
      <c r="D1461" s="204" t="s">
        <v>2398</v>
      </c>
      <c r="E1461" s="204" t="s">
        <v>4847</v>
      </c>
      <c r="F1461" s="11" t="s">
        <v>9308</v>
      </c>
      <c r="G1461" s="11" t="s">
        <v>5663</v>
      </c>
      <c r="H1461" s="11" t="s">
        <v>3414</v>
      </c>
      <c r="I1461" s="21">
        <f>-37-23/60</f>
        <v>-37.383333333333333</v>
      </c>
      <c r="J1461" s="21">
        <f>145+11/60</f>
        <v>145.18333333333334</v>
      </c>
      <c r="K1461" s="21" t="s">
        <v>2276</v>
      </c>
      <c r="L1461" s="11">
        <v>2009</v>
      </c>
      <c r="M1461" s="11">
        <v>2009</v>
      </c>
      <c r="N1461" s="21" t="s">
        <v>2276</v>
      </c>
      <c r="O1461" s="19" t="s">
        <v>67</v>
      </c>
      <c r="P1461" s="19" t="s">
        <v>5187</v>
      </c>
      <c r="Q1461" s="204"/>
    </row>
    <row r="1462" spans="1:17" ht="39" customHeight="1">
      <c r="A1462" s="188">
        <v>388</v>
      </c>
      <c r="B1462" s="40" t="s">
        <v>9300</v>
      </c>
      <c r="C1462" s="11" t="s">
        <v>9314</v>
      </c>
      <c r="D1462" s="204" t="s">
        <v>2398</v>
      </c>
      <c r="E1462" s="204" t="s">
        <v>2636</v>
      </c>
      <c r="F1462" s="11" t="s">
        <v>2276</v>
      </c>
      <c r="G1462" s="11" t="s">
        <v>5663</v>
      </c>
      <c r="H1462" s="11" t="s">
        <v>3414</v>
      </c>
      <c r="I1462" s="21">
        <f>-37-11/60</f>
        <v>-37.18333333333333</v>
      </c>
      <c r="J1462" s="21">
        <f>146+38/60</f>
        <v>146.63333333333333</v>
      </c>
      <c r="K1462" s="21">
        <f>4235*20</f>
        <v>84700</v>
      </c>
      <c r="L1462" s="11">
        <v>2009</v>
      </c>
      <c r="M1462" s="11">
        <v>2009</v>
      </c>
      <c r="N1462" s="21" t="s">
        <v>2276</v>
      </c>
      <c r="O1462" s="19" t="s">
        <v>67</v>
      </c>
      <c r="P1462" s="19" t="s">
        <v>5187</v>
      </c>
      <c r="Q1462" s="4" t="s">
        <v>9315</v>
      </c>
    </row>
  </sheetData>
  <autoFilter ref="A1:A1219" xr:uid="{F5111C01-59AE-4FFF-A3F5-858DED950471}"/>
  <phoneticPr fontId="6" type="noConversion"/>
  <dataValidations xWindow="1617" yWindow="897" count="13">
    <dataValidation allowBlank="1" showInputMessage="1" showErrorMessage="1" prompt="Study ID + letter denoting case study: 1a, 1b, 1c etc." sqref="C1:C2 C4:C543 B625 C550:C1304 C1321:C1048576" xr:uid="{9374E2CD-94D9-4A92-AD82-9461014E3E97}"/>
    <dataValidation allowBlank="1" showInputMessage="1" showErrorMessage="1" prompt="Study ID + letter denoting each unique reported case study: 1a, 1b, 1c etc." sqref="C3" xr:uid="{A0907F1C-FDA1-414F-8A94-99247AB45F0F}"/>
    <dataValidation allowBlank="1" showInputMessage="1" showErrorMessage="1" prompt="Smallest geographic unit reported for each case study location" sqref="G186 G230:G231 G227 G224 G220:G221 G212 G206:G207 G199:G202 G197 G194:G195 G192 G189:G190 G528:G531 N544:N551 K544:K551 G550:G551 G556:G559 K553:K558 N554:N561 K536:K540 F623:F624 F626:F635 F638:F645 F647:F652 F653:G660 G700:G715 G698 G725 F661:F726 G731:G736 L731 F730:F742 G765:G766 F748:F764 G773:G776 F767:F772 F777:F781 G566:G581 N564:N599 G355 F541:F621 G817:G821 G853 F786:F867 F870:F881 K898:K905 G896:G906 F883:F907 F910:F911 F913:F916 F920:F923 F1:F535 G1025:G1027 F1001:F1013 G1013 F1016:F1029 F1031:F1033 F1035:F1056 G988:G996 G932 F925:F934 G936:G942 G945:G950 F943:F999 F1058 F1063:F1064 F1066:F1068 F1070:F1109 G1218:G1219 F1220 G1222:G1231 F1222:F1223 K1246:K1248 G1252:G1254 K1252:K1257 F1228:F1254 G1256 G1261:G1263 G1268:G1269 G1287:G1293 G1297:G1300 G1321:G1322 F1256:F1324 G1328 F1326:F1335 G1347:G1348 G1359:G1360 F1384 K1390 F1389 G1395:G1399 N1390 F1391:F1394 F1396:F1397 F1399 F1401:F1402 F1404:F1405 G1419:G1434 G1437:G1452 F1453:F1455 G1458 F1460:F1461 F1463:F1048576" xr:uid="{0517056B-BACE-49C5-86F9-A4F8A34D582B}"/>
    <dataValidation allowBlank="1" showInputMessage="1" showErrorMessage="1" prompt="Study region or district - should be smallest geographic unit that covers all study case studies. " sqref="G228:G229 G225:G226 G222:G223 G213:G219 G208:G211 G203:G205 G198 G196 G193 G191 G187:G188 G1:G185 G232:G354 G532:G549 G552:G555 G560:G565 F622 F625 F636:F637 F646 G777:G816 G661:G669 G671:G697 G699 G716:G720 G722:G724 F727:F729 M731 G726:G730 G737:G764 F765:F766 F773:F776 G767:G772 F782:F783 G356:G527 F924 G822:G852 G854:G867 G869:G881 G886:G895 F917 G906:G917 G582:G652 G997:G1012 G1014:G1021 G969:G987 H1013 H1022:H1024 F1014:F1015 G1028:G1030 G1033:G1034 G1038:G1054 G1056 G920:G931 F935:F942 G933:G935 G943:G944 G967:H968 G951:G966 G1058:G1062 F1110:F1218 G1064:G1217 G1220 G1233:G1248 G1250:G1251 G1255 G1257:G1260 G1264:G1267 H1284:H1286 G1270:G1283 G1294:G1296 G1301:G1320 G1323:G1324 G1326:G1327 F1336:F1343 F1345:F1348 G1329:G1346 F1351:F1358 G1349:G1359 F1360:F1383 H1383:H1385 F1385:F1386 F1388 G1361:G1394 F1395 F1398 F1403 F1400 K1402 N1402:N1403 F1406:F1452 G1400:G1418 G1435:G1436 F1456:F1459 G1453:G1457 G1459:G1048576 F1462" xr:uid="{47FB08EF-D038-4D63-B609-A6E5D6502394}"/>
    <dataValidation type="decimal" allowBlank="1" showInputMessage="1" showErrorMessage="1" prompt="Decimal degrees_x000a_" sqref="I392:I395 I1:I101 I103:I128 I572:I600 J549 J555 J588 I602:I603 I132:I390 I623:I624 I626:I635 J783 I400:I570 I638:I903 I605:I621 I906:I932 I997:I999 I1001:I1017 I936 J1060 K1147 I1019:I1146 I1150:J1150 J1151:J1180 J1292:J1293 J1357:J1358 J1434 J1452 I1181:I1048576" xr:uid="{FBEF606C-2F64-48AE-9A82-C772FF9DE0D3}">
      <formula1>-180</formula1>
      <formula2>180</formula2>
    </dataValidation>
    <dataValidation type="decimal" allowBlank="1" showInputMessage="1" showErrorMessage="1" prompt="Decimal degrees" sqref="J392:J395 J1:J101 J103:J128 J400:J548 J550:J554 J556:J587 J589:J600 J602:J603 J132:J390 J623:J624 J626:J635 J638:J782 J605:J621 J784:J932 J936 I1018 J997:J999 J1001:J1059 J1061:J1146 J1151:J1291 J1294:J1356 J1359:J1048576" xr:uid="{7F56BB7E-77E9-4B7A-B1F6-2E386663FC03}">
      <formula1>-180</formula1>
      <formula2>180</formula2>
    </dataValidation>
    <dataValidation type="decimal" allowBlank="1" showInputMessage="1" showErrorMessage="1" sqref="N1:N101 N103:N128 K510:K511 K513:K527 N600:N605 N552:N553 N609:N610 N624 N642:N643 N648:N649 N697 N562:N563 K906 N132:N534 F1057:G1057 K1029 K997:K1027 F1000 I1000:J1000 G1022:G1024 F1030 G1031:G1032 G1035:G1037 G1055 F1034 N925:N963 F1060:F1061 G1063 F1065 K1046:K1048 K1221:K1231 K1267 K1347:K1350 N988:N1389 N1391:N1395 N1426:N1434 N1419:N1424 N1436:N1442 N1444:N1452 N1463:N1048576" xr:uid="{8D451252-5970-4FD9-87E3-E0C4148A7E2A}">
      <formula1>0</formula1>
      <formula2>9999</formula2>
    </dataValidation>
    <dataValidation allowBlank="1" showInputMessage="1" showErrorMessage="1" prompt="Author's first name place study date, include web link if available. " sqref="B239:B535 B1:B237 B541:B624 B626:B907 B910:B1048576" xr:uid="{3409840B-1A98-45C1-B48F-BC4480DF0F93}"/>
    <dataValidation allowBlank="1" showInputMessage="1" showErrorMessage="1" prompt="The same as Case study ID in Record Info_x000a_" sqref="C544:C549 C1305:C1320" xr:uid="{4DF351CC-3880-43BA-B715-71F2F423F0BC}"/>
    <dataValidation type="whole" allowBlank="1" showInputMessage="1" showErrorMessage="1" sqref="M641 L679:L690 M724:M726 L694:L717 L642:M675 M679:M717 L718:M723 L730:M730 L732:M772 L776 M773:M821 L778:L821 L1:M640 L822:M1048576" xr:uid="{D110D921-D533-4146-96C4-8574C50CFBF8}">
      <formula1>1900</formula1>
      <formula2>2020</formula2>
    </dataValidation>
    <dataValidation type="textLength" allowBlank="1" showInputMessage="1" showErrorMessage="1" sqref="P1:P926 Q1031:Q1057 R1147 P1058:P1048576" xr:uid="{ECAEF184-909D-4F5A-B29A-54FD169B1262}">
      <formula1>2</formula1>
      <formula2>5</formula2>
    </dataValidation>
    <dataValidation type="decimal" allowBlank="1" showInputMessage="1" showErrorMessage="1" sqref="K1355:K1356" xr:uid="{70E26466-583A-44B9-8EA8-1416006BF913}">
      <formula1>0</formula1>
      <formula2>99999999</formula2>
    </dataValidation>
    <dataValidation type="whole" showInputMessage="1" showErrorMessage="1" prompt="Sequential integer_x000a_" sqref="A1:A1048576" xr:uid="{BD0F2B49-AB39-4B14-9512-824E9B4B2A01}">
      <formula1>1</formula1>
      <formula2>99999999</formula2>
    </dataValidation>
  </dataValidations>
  <hyperlinks>
    <hyperlink ref="B343" r:id="rId1" xr:uid="{924EB177-9C29-419C-9132-70BE66727310}"/>
    <hyperlink ref="B342" r:id="rId2" xr:uid="{3F612C05-EA91-4BBE-8F12-628BEAE4BDD6}"/>
    <hyperlink ref="B341" r:id="rId3" xr:uid="{F342CEB3-7D80-4001-BFA0-94007C75A95F}"/>
    <hyperlink ref="B340" r:id="rId4" xr:uid="{B4ABE960-F895-42BC-B984-D1EB03E92678}"/>
    <hyperlink ref="B339" r:id="rId5" xr:uid="{E3BC3CB7-2EB2-4E83-BDE0-B450F2AA847A}"/>
    <hyperlink ref="B338" r:id="rId6" xr:uid="{3530B8F2-DF6A-47AE-816A-B59A60675905}"/>
    <hyperlink ref="B337" r:id="rId7" xr:uid="{EAFB4FAF-8EC6-4237-BA89-F6D9725D874E}"/>
    <hyperlink ref="B336" r:id="rId8" xr:uid="{1AB9914B-AABA-4EE5-BDF7-6325F5E2397E}"/>
    <hyperlink ref="B335" r:id="rId9" xr:uid="{F4EA10E7-FF4C-405A-B31B-24D392482DEE}"/>
    <hyperlink ref="B334" r:id="rId10" xr:uid="{23EB9D4D-57AC-4CF7-96E3-9D13F28735FF}"/>
    <hyperlink ref="B333" r:id="rId11" xr:uid="{7BB8D1A9-4529-47AA-A1D7-FCC87CD472FC}"/>
    <hyperlink ref="B332" r:id="rId12" xr:uid="{228CFC6C-28D5-4D3C-9532-25C9186288E2}"/>
    <hyperlink ref="B331" r:id="rId13" xr:uid="{CD21B6F8-A545-46D8-AB6E-DFF3AC639733}"/>
    <hyperlink ref="B330" r:id="rId14" xr:uid="{34FBAD13-D652-437C-96A8-0B9764026221}"/>
    <hyperlink ref="B329" r:id="rId15" xr:uid="{B0E1FBC8-AE55-41AE-9E8A-DC1295A52956}"/>
    <hyperlink ref="B328" r:id="rId16" xr:uid="{84553DD2-2B0C-4B34-8231-46CD380C86E9}"/>
    <hyperlink ref="B327" r:id="rId17" xr:uid="{B4158D2E-0D75-4275-BB41-27596059F70E}"/>
    <hyperlink ref="B326" r:id="rId18" xr:uid="{B89E429B-2622-4376-80D9-B83FEE34BF8A}"/>
    <hyperlink ref="B325" r:id="rId19" xr:uid="{9A3BAD71-0EAB-46C3-9A72-3583860E293E}"/>
    <hyperlink ref="B324" r:id="rId20" xr:uid="{1DF04734-56BF-4F95-93FB-159CF78796DE}"/>
    <hyperlink ref="B323" r:id="rId21" xr:uid="{4E773628-1BED-4F6A-B26F-A894376AB110}"/>
    <hyperlink ref="B322" r:id="rId22" xr:uid="{39E76E0A-39EC-43C9-8304-D2872958740B}"/>
    <hyperlink ref="B321" r:id="rId23" xr:uid="{E83CA7D8-358D-4859-AFBF-D30A3F89C63B}"/>
    <hyperlink ref="B320" r:id="rId24" xr:uid="{88F6B07E-480D-4BBD-901E-F9BBFD40775A}"/>
    <hyperlink ref="B319" r:id="rId25" xr:uid="{36B1AD96-E320-4534-A188-C187C240F30A}"/>
    <hyperlink ref="B317" r:id="rId26" xr:uid="{38F0546F-C364-4C25-860F-1976A41A4A4B}"/>
    <hyperlink ref="B316" r:id="rId27" xr:uid="{1DD71B82-2D26-4767-A9F9-1650AB5856E6}"/>
    <hyperlink ref="B315" r:id="rId28" xr:uid="{E4A83D25-57BB-4E55-9E4E-CA03E6633F8B}"/>
    <hyperlink ref="B314" r:id="rId29" xr:uid="{77998DB5-466A-473B-A8B6-EAC3A2D5E45B}"/>
    <hyperlink ref="B313" r:id="rId30" xr:uid="{02C7556E-6DE5-4F27-8283-9D5C1FC0CE5D}"/>
    <hyperlink ref="B312" r:id="rId31" xr:uid="{4AC14268-A65E-4EE5-8756-9461B328BA16}"/>
    <hyperlink ref="B311" r:id="rId32" xr:uid="{14200560-F5ED-4522-BFB2-58F579D4FA86}"/>
    <hyperlink ref="B310" r:id="rId33" xr:uid="{8391440F-6A3A-457F-8A0E-F0BAB55DE5FC}"/>
    <hyperlink ref="B309" r:id="rId34" xr:uid="{45811FF6-117D-4283-9C8D-F9852786105A}"/>
    <hyperlink ref="B308" r:id="rId35" xr:uid="{9A3B9B94-82FE-4EDE-BC14-B7B75DA91F88}"/>
    <hyperlink ref="B307" r:id="rId36" xr:uid="{410A643A-959B-44A3-A090-4BA93C73E474}"/>
    <hyperlink ref="B306" r:id="rId37" xr:uid="{DBC33B7D-2910-41A8-AD4B-7C59EE8BF083}"/>
    <hyperlink ref="B305" r:id="rId38" xr:uid="{C418F21F-1AD5-4C55-B038-CC06E053B93F}"/>
    <hyperlink ref="B304" r:id="rId39" xr:uid="{7AF19A0F-EC6F-4638-83C8-A0D2DD19B8A4}"/>
    <hyperlink ref="B303" r:id="rId40" xr:uid="{45C10E73-FC2A-4191-9442-B178718B09D8}"/>
    <hyperlink ref="B302" r:id="rId41" xr:uid="{75C5D33C-9D4B-49B6-B2F3-5CEE879542BD}"/>
    <hyperlink ref="B301" r:id="rId42" xr:uid="{DFF392B2-561C-4DDA-AEDC-683EAE710209}"/>
    <hyperlink ref="B300" r:id="rId43" xr:uid="{95826993-BC08-4377-9F4F-E8EF29E6C6F3}"/>
    <hyperlink ref="B299" r:id="rId44" xr:uid="{0C6A6055-E77E-43E7-A5F5-00A50AB6F5C4}"/>
    <hyperlink ref="B298" r:id="rId45" xr:uid="{0BBA29C4-B0B1-401E-9227-8589B010805A}"/>
    <hyperlink ref="B297" r:id="rId46" xr:uid="{7311F932-BD26-406D-A23F-23E6B6B42779}"/>
    <hyperlink ref="B296" r:id="rId47" xr:uid="{0C641A0B-2106-44FF-94FB-230D73756569}"/>
    <hyperlink ref="B295" r:id="rId48" xr:uid="{C190EAF1-9392-4FA1-958E-57C60A31722F}"/>
    <hyperlink ref="B294" r:id="rId49" xr:uid="{BDA58555-13D6-4D2F-B907-6768D7792B9E}"/>
    <hyperlink ref="B293" r:id="rId50" xr:uid="{14A4BC66-A020-422A-A8C0-203197D48677}"/>
    <hyperlink ref="B318" r:id="rId51" xr:uid="{F4632E92-3A19-4183-BD68-3123C5C490FB}"/>
    <hyperlink ref="B264:B265" r:id="rId52" display="Watanabe 2004" xr:uid="{8F4DCD24-8B22-4E10-97CB-C2EDE04343CF}"/>
    <hyperlink ref="B255:B256" r:id="rId53" display="Roder 2001" xr:uid="{1D020443-4686-4DC3-B7CF-987A0DEEDB99}"/>
    <hyperlink ref="B254" r:id="rId54" xr:uid="{DDB3082E-BE80-4931-AB31-0EEA7DFEC836}"/>
    <hyperlink ref="B258:B262" r:id="rId55" display="Linquist et al 2007" xr:uid="{B4B5890A-A067-4682-B034-50F0AFCA8ADC}"/>
    <hyperlink ref="B240" r:id="rId56" xr:uid="{051A688A-0694-466D-86B4-28D5EC1C1B8B}"/>
    <hyperlink ref="B239" r:id="rId57" xr:uid="{30611325-0DA3-43C5-83B8-F0D55850D92A}"/>
    <hyperlink ref="B231" r:id="rId58" xr:uid="{1410F228-1AD2-4A13-98BF-75C3FA03309E}"/>
    <hyperlink ref="B202:B206" r:id="rId59" display="Pingali et al 1987" xr:uid="{97692A82-8DE2-4740-B49A-3BC09B458588}"/>
    <hyperlink ref="B186:B199" r:id="rId60" display="Pingali et al 1987" xr:uid="{E20B9A5C-79D7-4BB6-BD36-41AA7DB7F1E3}"/>
    <hyperlink ref="B211:B228" r:id="rId61" display="Pingali et al 1987" xr:uid="{65F63D60-B344-4005-8735-F872550B6922}"/>
    <hyperlink ref="B183" r:id="rId62" xr:uid="{F2063C06-2168-4D37-ADA3-390841C589D2}"/>
    <hyperlink ref="B182" r:id="rId63" xr:uid="{D1F2CDED-2485-4C6E-800F-E549A1176FFF}"/>
    <hyperlink ref="B181" r:id="rId64" xr:uid="{30373822-D6EA-4C93-A464-9EEF2433EB6C}"/>
    <hyperlink ref="B180" r:id="rId65" xr:uid="{C958AC00-D406-4AC4-BC30-8507B961DA3E}"/>
    <hyperlink ref="B179" r:id="rId66" xr:uid="{3D89C891-16D9-420E-85BD-6B94617C705B}"/>
    <hyperlink ref="B178" r:id="rId67" xr:uid="{F6E8EC76-C29C-4E55-8E8F-B3840E6570DE}"/>
    <hyperlink ref="B177" r:id="rId68" xr:uid="{C5A13DD8-D002-4049-8163-F5789D06F1B9}"/>
    <hyperlink ref="B176" r:id="rId69" xr:uid="{825920BD-5C95-438D-91D8-785033DAB879}"/>
    <hyperlink ref="B175" r:id="rId70" xr:uid="{781F1E80-7666-439B-A806-6BC0C53903F2}"/>
    <hyperlink ref="B174" r:id="rId71" xr:uid="{08582022-FA95-493F-B1D9-48B704DF57F1}"/>
    <hyperlink ref="B173" r:id="rId72" xr:uid="{CD8F6685-FD52-47CE-8B5D-5985C978E4E2}"/>
    <hyperlink ref="B172" r:id="rId73" xr:uid="{AE1F024F-10A2-4655-BDCA-2D2CA0978E08}"/>
    <hyperlink ref="B171" r:id="rId74" xr:uid="{62560A0A-05B5-43C5-A4E2-B28E880A9E3D}"/>
    <hyperlink ref="B170" r:id="rId75" xr:uid="{F79C77C1-E642-4A3A-A6A8-9A3375B55A41}"/>
    <hyperlink ref="B169" r:id="rId76" xr:uid="{340441C9-F45B-4EEC-9D35-AAED06B919E1}"/>
    <hyperlink ref="B168" r:id="rId77" xr:uid="{B2432E9B-9EAD-417F-B9F2-2D91F0AC4D7D}"/>
    <hyperlink ref="B167" r:id="rId78" xr:uid="{867BD718-F448-4ED7-B817-68A528C2A110}"/>
    <hyperlink ref="B166" r:id="rId79" xr:uid="{F40C3C17-AF38-4439-82DD-CE4663276612}"/>
    <hyperlink ref="B165" r:id="rId80" xr:uid="{3ACAE4F0-C3FF-4E9C-8121-FF451CC157DD}"/>
    <hyperlink ref="B164" r:id="rId81" xr:uid="{49ADCD61-034B-4B34-9C04-2E1C0F585A90}"/>
    <hyperlink ref="B163" r:id="rId82" xr:uid="{E6645318-8BE6-4958-8E6E-B17865F5E70C}"/>
    <hyperlink ref="B162" r:id="rId83" xr:uid="{61DEC500-5FF4-456D-8616-C62FAF6BE45E}"/>
    <hyperlink ref="B161" r:id="rId84" xr:uid="{93810FFB-12DF-4499-BD75-7B5FCBBF4430}"/>
    <hyperlink ref="B160" r:id="rId85" xr:uid="{FAFEB70E-4758-4838-A2F6-8812321221DF}"/>
    <hyperlink ref="B159" r:id="rId86" xr:uid="{3A8B8138-6E9B-4053-B4DC-E33E4DCC7527}"/>
    <hyperlink ref="B158" r:id="rId87" xr:uid="{73A23A0B-7B10-47D9-A3EB-4AB689EC21EF}"/>
    <hyperlink ref="B157" r:id="rId88" xr:uid="{2BBA50B2-CCBA-458B-BD02-39D0ABE8D5D2}"/>
    <hyperlink ref="B156" r:id="rId89" xr:uid="{D4053879-2840-4F5E-853B-DFB079C58217}"/>
    <hyperlink ref="B155" r:id="rId90" xr:uid="{CA4D0854-92B3-466B-B478-B2BBF60148A9}"/>
    <hyperlink ref="B154" r:id="rId91" xr:uid="{AEA73179-475B-4D38-A3B0-473612C6B52D}"/>
    <hyperlink ref="B153" r:id="rId92" xr:uid="{DCB7FEBF-2C5D-4F23-A82D-F3C41F00E531}"/>
    <hyperlink ref="B152" r:id="rId93" xr:uid="{A13622A5-A9C8-482B-BCD4-2A9A82E277C2}"/>
    <hyperlink ref="B151" r:id="rId94" xr:uid="{44CA8BE6-4634-423C-B855-168952232DE5}"/>
    <hyperlink ref="B150" r:id="rId95" xr:uid="{30778A95-4B76-4EC1-BEE5-9D0B4600F55A}"/>
    <hyperlink ref="B149" r:id="rId96" xr:uid="{55ECB9BE-7A63-4B35-A4BB-5AA0C4721E12}"/>
    <hyperlink ref="B148" r:id="rId97" xr:uid="{2719328F-9C1E-4614-9896-20047CBF4D08}"/>
    <hyperlink ref="B147" r:id="rId98" xr:uid="{62CA355C-0A2F-4442-B69B-A223133BC230}"/>
    <hyperlink ref="B146" r:id="rId99" xr:uid="{633FDA25-6996-4C9C-B1D4-CF1F05BEF878}"/>
    <hyperlink ref="B145" r:id="rId100" xr:uid="{1FAEA4C8-6371-4A7A-BB4A-E06E8FA2FC97}"/>
    <hyperlink ref="B144" r:id="rId101" xr:uid="{1E051BA5-74FF-4F79-AD6C-5D83443531DD}"/>
    <hyperlink ref="B143" r:id="rId102" xr:uid="{5B86A006-6778-4BA3-BB00-7742A87D8E5F}"/>
    <hyperlink ref="B142" r:id="rId103" xr:uid="{012D0B70-E960-42AE-BDD7-2581D3739D3C}"/>
    <hyperlink ref="B141" r:id="rId104" xr:uid="{CB9891E0-5424-4A2A-A0D8-53B85BC49FF3}"/>
    <hyperlink ref="B140" r:id="rId105" xr:uid="{7E975089-4CEC-45AD-A2BA-4062EF91FE8B}"/>
    <hyperlink ref="B139" r:id="rId106" xr:uid="{B4A5C58C-D636-45D9-B476-49595C8B774A}"/>
    <hyperlink ref="B138" r:id="rId107" xr:uid="{89CD3F31-F096-4229-9956-1B28D6EA7516}"/>
    <hyperlink ref="B137" r:id="rId108" xr:uid="{335F5A38-3691-4241-93EB-6BD7A8271A0F}"/>
    <hyperlink ref="B402:B474" r:id="rId109" display="Nepstad 1999" xr:uid="{17320715-7F37-4183-BC2B-57C6AA95D974}"/>
    <hyperlink ref="B401" r:id="rId110" xr:uid="{AD6EC268-3F26-48A2-B27C-011BF1959DE7}"/>
    <hyperlink ref="B97" r:id="rId111" xr:uid="{6ECF77D9-6CF0-4729-94AB-63EB4C4B2DB4}"/>
    <hyperlink ref="B96" r:id="rId112" xr:uid="{1F0394DA-7C9A-4C54-874E-F1C24B06D2EA}"/>
    <hyperlink ref="B95" r:id="rId113" xr:uid="{975A46E7-3201-4EA5-9E95-35F313884301}"/>
    <hyperlink ref="B94" r:id="rId114" xr:uid="{4B767D04-99AA-48C0-BF02-2E48C51B6E1B}"/>
    <hyperlink ref="B93" r:id="rId115" xr:uid="{4D89E0EE-CB44-4728-A172-B5F9597623D6}"/>
    <hyperlink ref="B92" r:id="rId116" xr:uid="{E74477D3-23AD-4567-AF4F-0F6CB95FE573}"/>
    <hyperlink ref="B91" r:id="rId117" xr:uid="{CD2B6249-14D6-4340-AE48-3B1E3F678B20}"/>
    <hyperlink ref="B90" r:id="rId118" xr:uid="{E78AA2DC-704A-4579-9B87-4CBC57D39B1A}"/>
    <hyperlink ref="B89" r:id="rId119" xr:uid="{0857C171-7797-4F8D-8BD7-1B1BA295D49D}"/>
    <hyperlink ref="B88" r:id="rId120" xr:uid="{F740CE04-1631-4E1F-80FD-0A0489B9F414}"/>
    <hyperlink ref="B87" r:id="rId121" xr:uid="{AAC36337-0750-4491-B1D0-8C938D6039B1}"/>
    <hyperlink ref="B84" r:id="rId122" xr:uid="{DCBDE9D4-8736-4502-BCF6-FA5FBE729D56}"/>
    <hyperlink ref="B83" r:id="rId123" xr:uid="{3F2E5415-832E-430D-93CC-25A56C34E47D}"/>
    <hyperlink ref="B82" r:id="rId124" xr:uid="{88C52268-5837-489E-8C98-D60EA2B90A39}"/>
    <hyperlink ref="B81" r:id="rId125" xr:uid="{8BF83F29-2628-4143-A792-610BD56F9D00}"/>
    <hyperlink ref="B80" r:id="rId126" xr:uid="{99B661A0-3399-4244-8657-1B3A2ADC51B1}"/>
    <hyperlink ref="B79" r:id="rId127" xr:uid="{BD36BD36-F899-4BDE-AAD2-5D4BC15036C1}"/>
    <hyperlink ref="B78" r:id="rId128" xr:uid="{7EC86BF9-E833-4D8F-8A7E-04023150A10C}"/>
    <hyperlink ref="B77" r:id="rId129" xr:uid="{84229150-B29E-4700-8DDC-C37158DFADDF}"/>
    <hyperlink ref="B76" r:id="rId130" xr:uid="{ABEA245E-7BB7-49DF-B168-E1B38201ACCE}"/>
    <hyperlink ref="B75" r:id="rId131" xr:uid="{0B75E075-3C4D-4257-847D-217A5EDC37B9}"/>
    <hyperlink ref="B74" r:id="rId132" xr:uid="{0CC66AE4-1F2C-419C-B23F-BDAB0F458C09}"/>
    <hyperlink ref="B72:B73" r:id="rId133" display="Kumar et al 2015" xr:uid="{AA3BAB7B-0B03-4DCA-A55D-93AC61D544EC}"/>
    <hyperlink ref="B487" r:id="rId134" xr:uid="{74761506-392D-4C31-835F-B10AFCE7EB92}"/>
    <hyperlink ref="B486" r:id="rId135" xr:uid="{E2A3E5E2-3535-4131-97C0-AFBCBF577E46}"/>
    <hyperlink ref="B483:B485" r:id="rId136" display="Shen et al 2017" xr:uid="{F4FB4B7D-8853-44A8-B182-7956A1A17149}"/>
    <hyperlink ref="B482" r:id="rId137" xr:uid="{0637F26F-E6A6-4469-980D-372176588CEA}"/>
    <hyperlink ref="B480:B481" r:id="rId138" display="Tran Duc Vein 2009" xr:uid="{3AAD701C-2AE1-412B-9D71-7A9E7AA5D4B9}"/>
    <hyperlink ref="B479" r:id="rId139" xr:uid="{D73B1847-F7B6-408D-8C21-AB3324F91721}"/>
    <hyperlink ref="B478" r:id="rId140" location="v=onepage&amp;q=human%20impacts%20on%20amazonia%202006&amp;f=false" xr:uid="{27E82156-372F-4EA8-964C-C5817659646D}"/>
    <hyperlink ref="B477" r:id="rId141" xr:uid="{9A6A57C3-1D3B-48A2-B19D-38FCE2B718C4}"/>
    <hyperlink ref="B476" r:id="rId142" xr:uid="{F0ABA9B7-6130-4B39-808B-58A191E06EEC}"/>
    <hyperlink ref="B475" r:id="rId143" xr:uid="{7830537A-9FB6-4C65-8A03-33FBA81B30C4}"/>
    <hyperlink ref="B400" r:id="rId144" xr:uid="{816D367D-9546-4C57-B799-1D547CA5ADA7}"/>
    <hyperlink ref="B396" r:id="rId145" location="v=onepage&amp;q=rudel%202005%20tropical%20forests&amp;f=false" xr:uid="{DB6DBD9B-1841-4922-9FF2-D44F547C859A}"/>
    <hyperlink ref="B395" r:id="rId146" xr:uid="{BECC7B21-8757-430F-8DD2-94D3D905709E}"/>
    <hyperlink ref="B393" r:id="rId147" display="Chokkalingam 2009" xr:uid="{083A973D-4CD9-41EB-982B-BB7BEE60AE13}"/>
    <hyperlink ref="B392" r:id="rId148" xr:uid="{E7C47C48-2E20-4DCA-A185-FEEE9A8DFB0C}"/>
    <hyperlink ref="B391" r:id="rId149" xr:uid="{0B9E672F-A88F-45C1-B887-C0C96C908B6A}"/>
    <hyperlink ref="B389" r:id="rId150" xr:uid="{D345E9D5-1044-4C14-B70D-8DA0C116459A}"/>
    <hyperlink ref="B390" r:id="rId151" xr:uid="{12B14B7F-1086-408C-A639-F93A99B63F83}"/>
    <hyperlink ref="B388" r:id="rId152" xr:uid="{908AAA64-D435-407D-B776-4A26D9E2BD81}"/>
    <hyperlink ref="B384:B387" r:id="rId153" display="Fox 2009" xr:uid="{3B13A43E-A4B4-4062-B079-107F686C2ED4}"/>
    <hyperlink ref="B383" r:id="rId154" xr:uid="{129442C7-5215-43ED-B6F6-9B6AF24F1A94}"/>
    <hyperlink ref="B382" r:id="rId155" xr:uid="{BEB8DD9F-2395-426D-B022-F7A6C3B63668}"/>
    <hyperlink ref="B381" r:id="rId156" xr:uid="{913CED50-31B0-4E97-87A0-8835DC2E2F86}"/>
    <hyperlink ref="B380" r:id="rId157" xr:uid="{91C68431-50DE-44A9-8CF2-C0F9E1E9ACEC}"/>
    <hyperlink ref="B379" r:id="rId158" xr:uid="{7C518985-9FD6-4235-BAC3-804305D5953E}"/>
    <hyperlink ref="B371:B378" r:id="rId159" display="Fu 2005" xr:uid="{3E44BB99-AAF2-4338-A4E8-21B3A550060F}"/>
    <hyperlink ref="B370" r:id="rId160" xr:uid="{E1E769A8-9BDE-4289-A72F-E106DBCBC63E}"/>
    <hyperlink ref="B368:B369" r:id="rId161" display="Fox 2008" xr:uid="{8BA067DD-6AEC-4358-BF05-F734CE276A34}"/>
    <hyperlink ref="B367" r:id="rId162" xr:uid="{CC77C3CB-0262-4527-8B4C-D29E3EF81D12}"/>
    <hyperlink ref="B366" r:id="rId163" xr:uid="{B3233E33-B083-406B-A2C2-31DCC4E1C78F}"/>
    <hyperlink ref="B364:B365" r:id="rId164" display="Lestrelin 2007" xr:uid="{CC44AA58-206B-471B-8F45-8778CE5E25AE}"/>
    <hyperlink ref="B363" r:id="rId165" xr:uid="{0F230D28-BE95-4A56-BC69-CA53FE517FBD}"/>
    <hyperlink ref="B362" r:id="rId166" xr:uid="{CC4919A6-25EE-4FA8-A783-7A249B8BD371}"/>
    <hyperlink ref="B360" r:id="rId167" xr:uid="{35AC8118-A29B-41F8-81AE-FA9C6C3369E3}"/>
    <hyperlink ref="B359" r:id="rId168" xr:uid="{7852D8B9-7695-497D-B4D9-5802975300BB}"/>
    <hyperlink ref="B358" r:id="rId169" xr:uid="{3B1FB53C-CD46-46CE-B4B9-FDCB8759C190}"/>
    <hyperlink ref="B357" r:id="rId170" xr:uid="{1E734A3A-5104-40DB-918C-D5AFF4813115}"/>
    <hyperlink ref="B353" r:id="rId171" xr:uid="{99AEA690-5ADC-46EF-B7B4-F8ADBA0B83AD}"/>
    <hyperlink ref="B352" r:id="rId172" xr:uid="{89281586-7AA2-4305-8FE3-B549E4989797}"/>
    <hyperlink ref="B350:B351" r:id="rId173" display="Padoch 2008" xr:uid="{A99819F3-3059-47BF-AC87-8C9C3705388A}"/>
    <hyperlink ref="B354" r:id="rId174" location="metadata_info_tab_contents" xr:uid="{A3227424-CF5D-43A9-AD5A-FB0A8FB24DAB}"/>
    <hyperlink ref="B349" r:id="rId175" xr:uid="{C98495C9-6A34-4B8E-B084-1C7326D1D3DF}"/>
    <hyperlink ref="B348" r:id="rId176" xr:uid="{2A3192C9-A025-490C-9302-1985AF76E79D}"/>
    <hyperlink ref="B347" r:id="rId177" display="Lawrence 2005" xr:uid="{A9AC8FFE-C6A8-4A23-8C86-1A37C06DCFA5}"/>
    <hyperlink ref="B346" r:id="rId178" xr:uid="{29EA9AF0-6DFD-414C-A79F-F74F2FFB103B}"/>
    <hyperlink ref="B345" r:id="rId179" xr:uid="{792E6438-1039-4D73-90B1-13A718020892}"/>
    <hyperlink ref="B344" r:id="rId180" xr:uid="{18B507E3-198B-4D88-8257-F2A49C40F953}"/>
    <hyperlink ref="B292" r:id="rId181" xr:uid="{40981B75-7AE0-459C-83F6-8E672D396F8E}"/>
    <hyperlink ref="B291" r:id="rId182" xr:uid="{F1FCB0EB-6424-49DB-ABEB-36D511B4E212}"/>
    <hyperlink ref="B286:B290" r:id="rId183" display="Hartter 2008" xr:uid="{2B14C829-FA16-4B3E-AAC0-E28FAEB26A56}"/>
    <hyperlink ref="B285" r:id="rId184" xr:uid="{37DBC280-04BD-4F4D-B9E5-BBAB8F3B94D9}"/>
    <hyperlink ref="B284" r:id="rId185" xr:uid="{A658DDE3-C8CA-4923-9B6E-BF781F52AF10}"/>
    <hyperlink ref="B283" r:id="rId186" xr:uid="{952817F0-10F0-4C48-AFE1-96FF59CF8EF5}"/>
    <hyperlink ref="B282" r:id="rId187" xr:uid="{1F18A683-A622-4122-8ED3-9C32D9C3BF5A}"/>
    <hyperlink ref="B281" r:id="rId188" display="Williams 1965" xr:uid="{42765FD0-9D29-462E-8825-429646A20340}"/>
    <hyperlink ref="B276:B280" r:id="rId189" display="Lim 1998" xr:uid="{742A36EB-58F2-4D9F-9D71-E3B523F9C121}"/>
    <hyperlink ref="B275" r:id="rId190" xr:uid="{800D9305-836A-4166-9E3E-F701373F582D}"/>
    <hyperlink ref="B274" r:id="rId191" xr:uid="{A4210191-D2D7-4550-BDBB-012DD17379C3}"/>
    <hyperlink ref="B273" r:id="rId192" xr:uid="{A1C689F9-1FB0-4FD7-8EE7-8DF86CB5CAA4}"/>
    <hyperlink ref="B272" r:id="rId193" xr:uid="{3E751E7D-282E-499A-A4B1-388AC1581595}"/>
    <hyperlink ref="B271" r:id="rId194" xr:uid="{87549F55-E400-43A4-8A10-77BC7EF3D660}"/>
    <hyperlink ref="B270" r:id="rId195" xr:uid="{5B4DA122-AB8D-45BA-9204-1DC1546EFCFD}"/>
    <hyperlink ref="B268:B269" r:id="rId196" display="Seidenberg 1999" xr:uid="{903C508C-64E9-410A-A86B-4C46E52B5FE0}"/>
    <hyperlink ref="B267" r:id="rId197" display="Seidenberg 1999" xr:uid="{1CA8A162-17FB-4B49-8DCA-2BAAB99818F0}"/>
    <hyperlink ref="B266" r:id="rId198" xr:uid="{3C640093-325B-49DA-82C6-E7A8021CF466}"/>
    <hyperlink ref="B263" r:id="rId199" xr:uid="{5F5E1A78-AC75-4427-BD69-20065895337D}"/>
    <hyperlink ref="B257" r:id="rId200" xr:uid="{63815E90-32AD-4D07-8205-DD3966184466}"/>
    <hyperlink ref="B252:B253" r:id="rId201" display="Roder 2001" xr:uid="{A52F2C60-8BD4-4F6D-A954-4EA1204E67DE}"/>
    <hyperlink ref="B251" r:id="rId202" xr:uid="{6B4B7EA0-58D9-4401-8B03-C888DCE7B9D2}"/>
    <hyperlink ref="B249:B250" r:id="rId203" display="Roder 2001" xr:uid="{28215E3E-3A8F-4B3E-929F-7B05D15D3013}"/>
    <hyperlink ref="B248" r:id="rId204" xr:uid="{95481607-5900-46B1-B8C6-BA1596441E6D}"/>
    <hyperlink ref="B247" r:id="rId205" xr:uid="{A5ACB399-C1D0-4D1E-9BA3-D23280CDB9A0}"/>
    <hyperlink ref="B246" r:id="rId206" xr:uid="{42BE0356-A385-4788-84C5-AD331E58DB31}"/>
    <hyperlink ref="B245" r:id="rId207" xr:uid="{8C93F0BD-4BEC-49AC-89AB-6AEAFF94B8F9}"/>
    <hyperlink ref="B244" r:id="rId208" xr:uid="{FBC75ED1-F1AE-4911-9179-BEA01DB1E49C}"/>
    <hyperlink ref="B243" r:id="rId209" xr:uid="{E631557A-ABEF-464B-AE91-5BB08ACC79DC}"/>
    <hyperlink ref="B242" r:id="rId210" xr:uid="{F5D1E3D9-49DA-45A6-A21E-F26545455703}"/>
    <hyperlink ref="B241" r:id="rId211" xr:uid="{B1FE4C09-7A97-4AD6-9F28-827663F23D6D}"/>
    <hyperlink ref="B236" r:id="rId212" location="v=onepage&amp;q=Forest%20farmers--the%20transformation%20of%20land%20use%20and%20society%20in%20eastern%20Madagascar%20%5B1985%5D%20oxby&amp;f=false" xr:uid="{2A5A5296-DCA9-4F89-941C-347AC29CD085}"/>
    <hyperlink ref="B233:B235" r:id="rId213" location="v=onepage&amp;q=Forest%20farmers--the%20transformation%20of%20land%20use%20and%20society%20in%20eastern%20Madagascar%20%5B1985%5D%20oxby&amp;f=false" display="Keck et al 1994" xr:uid="{85BA060E-9BC6-42B8-9C09-9E0014839D10}"/>
    <hyperlink ref="B232" r:id="rId214" location="v=onepage&amp;q=Forest%20farmers--the%20transformation%20of%20land%20use%20and%20society%20in%20eastern%20Madagascar%20%5B1985%5D%20oxby&amp;f=false" xr:uid="{4182BDCD-6999-4D07-8A66-51B3CA3E55E8}"/>
    <hyperlink ref="B230" r:id="rId215" xr:uid="{385F3B51-3117-4D45-AAA7-22AF76A2616C}"/>
    <hyperlink ref="B229" r:id="rId216" xr:uid="{8EAD7027-24D0-4755-AD3B-9397B59D785A}"/>
    <hyperlink ref="B227" r:id="rId217" xr:uid="{F4108521-3E14-41ED-B2A3-392C6FBB9BF4}"/>
    <hyperlink ref="B210" r:id="rId218" xr:uid="{4D334D6F-178C-4ACD-8361-EFFB2BA58620}"/>
    <hyperlink ref="B209" r:id="rId219" xr:uid="{9B5D218C-747D-4275-927A-6CA44BFC823E}"/>
    <hyperlink ref="B208" r:id="rId220" xr:uid="{8F637661-06AA-4FFF-9A49-01D2838B0B94}"/>
    <hyperlink ref="B207" r:id="rId221" xr:uid="{2C80D153-E1C0-4EF5-9618-8B07F458D616}"/>
    <hyperlink ref="B201" r:id="rId222" xr:uid="{F9B32039-2F01-4D9D-B2B0-28512F2019C9}"/>
    <hyperlink ref="B200" r:id="rId223" xr:uid="{71B13E4B-94D3-49D6-B6A6-27463CC71E3B}"/>
    <hyperlink ref="B185" r:id="rId224" xr:uid="{50549112-368C-43F3-8BF9-13D9E9EE89DE}"/>
    <hyperlink ref="B184" r:id="rId225" xr:uid="{7B8B6A5F-1BC3-4BFE-9085-4741A66826D4}"/>
    <hyperlink ref="B136" r:id="rId226" xr:uid="{AE85BFBB-A34B-4A18-86A9-3172109DD25E}"/>
    <hyperlink ref="B135" r:id="rId227" xr:uid="{70561CA2-9F10-4E2C-BE46-B9E61AEB1450}"/>
    <hyperlink ref="B134" r:id="rId228" xr:uid="{FEDDD08F-385B-4EEB-8A6F-02167EF80A24}"/>
    <hyperlink ref="B133" r:id="rId229" xr:uid="{A14C19C0-C6CE-49CB-8097-760F57287CD3}"/>
    <hyperlink ref="B132" r:id="rId230" xr:uid="{80D06F6F-AFE1-4E9F-ADF6-B17BCC549C6E}"/>
    <hyperlink ref="B128" r:id="rId231" xr:uid="{D5AAC3E1-D78F-40B8-BC5F-A69B28E28BE6}"/>
    <hyperlink ref="B127" r:id="rId232" xr:uid="{2300D115-BBD5-41FD-8123-52BB2F417979}"/>
    <hyperlink ref="B126" r:id="rId233" xr:uid="{79BEEC94-543A-4323-92DA-7DD672F017B0}"/>
    <hyperlink ref="B123:B125" r:id="rId234" display="Grogan et al 2013" xr:uid="{2BA7C4AB-15F6-4E4D-96AF-EC1B99AA681E}"/>
    <hyperlink ref="B122" r:id="rId235" xr:uid="{C9FFB63E-48C3-4B4F-8C1C-4FA21BD2EC9D}"/>
    <hyperlink ref="B121" r:id="rId236" xr:uid="{866E1D26-BE5E-474D-AEC6-AF250EC6AA2A}"/>
    <hyperlink ref="B120" r:id="rId237" xr:uid="{ADB047D3-80D2-4351-8060-19869784D7CA}"/>
    <hyperlink ref="B119" r:id="rId238" xr:uid="{EC9E2B4B-9FEB-4499-BDA5-B394F1536150}"/>
    <hyperlink ref="B118" r:id="rId239" display="Norrlund and Brus 2004" xr:uid="{4E9F5C56-FB5A-4B8C-9714-F9BEDAD190D2}"/>
    <hyperlink ref="B117" r:id="rId240" display="Mwampamba and Scwartz (2011)" xr:uid="{082FA318-6CB0-42CE-A208-6D72449D12E0}"/>
    <hyperlink ref="B116" r:id="rId241" display="Chidumayo 1987" xr:uid="{19829012-14A8-45D4-BBF1-6E9DD5F6673C}"/>
    <hyperlink ref="B115" r:id="rId242" xr:uid="{27F76683-A1BB-47B7-BC4C-ACA36387E4BA}"/>
    <hyperlink ref="B114" r:id="rId243" xr:uid="{A6BA0B06-D95E-4E0D-BAB4-D34C13E3B892}"/>
    <hyperlink ref="B113" r:id="rId244" xr:uid="{533A9AD9-B53C-45B4-95A0-947D50B73372}"/>
    <hyperlink ref="B112" r:id="rId245" xr:uid="{F909BAAE-8F96-4A94-A11C-137010A81497}"/>
    <hyperlink ref="B111" r:id="rId246" xr:uid="{139715B9-7CC7-4D17-A097-CFBEB5580BA4}"/>
    <hyperlink ref="B110" r:id="rId247" xr:uid="{34164A09-4EB4-41C1-9639-67B14898F5C5}"/>
    <hyperlink ref="B109" r:id="rId248" xr:uid="{65DF76F4-6540-4A84-8C34-E5B803EC980F}"/>
    <hyperlink ref="B40:B70" r:id="rId249" location="ercab056cf3" display="Liu et al 2019" xr:uid="{02B9AC6B-D978-4E88-8703-F95FFE5CDBDB}"/>
    <hyperlink ref="B9:B38" r:id="rId250" location="ercab056cf3" display="Liu et al 2019" xr:uid="{E81D38F8-F72A-4867-98FB-35977F70355C}"/>
    <hyperlink ref="B107:B108" r:id="rId251" display="Brown 2006" xr:uid="{066BBC45-14FF-4254-B1B7-E661C06709EF}"/>
    <hyperlink ref="B106" r:id="rId252" xr:uid="{7A5E034C-6EB5-4CDE-93D6-37A974C59310}"/>
    <hyperlink ref="B105" r:id="rId253" location="fig0035" xr:uid="{ECAEC198-4BC5-44C6-8C83-F60AD7FFF819}"/>
    <hyperlink ref="B104" r:id="rId254" location="fig0035" xr:uid="{778B3DC4-E02C-40DE-94A1-C5F04D3266E5}"/>
    <hyperlink ref="B103" r:id="rId255" xr:uid="{6B32C124-FCBB-40DE-B118-DFE49228EF00}"/>
    <hyperlink ref="B100:B101" r:id="rId256" display="Armenteras et al 2013" xr:uid="{A13A7D52-8F3D-4A46-B02B-E275BB81B445}"/>
    <hyperlink ref="B99" r:id="rId257" xr:uid="{73C59CEA-E481-4C33-AE0F-7BF59A49F471}"/>
    <hyperlink ref="B98" r:id="rId258" xr:uid="{FAC4A8BF-6F0C-47E2-AF19-9D36418C33FD}"/>
    <hyperlink ref="B86" r:id="rId259" xr:uid="{3E3D9B72-D2CE-405A-B9CC-7A5377BD9890}"/>
    <hyperlink ref="B85" r:id="rId260" xr:uid="{C393583F-6DA2-473B-9A4F-EF46D0F08C59}"/>
    <hyperlink ref="B71" r:id="rId261" xr:uid="{E21080E7-61FE-41E2-9ABB-DFF427C2CE67}"/>
    <hyperlink ref="B39" r:id="rId262" location="ercab056cf3" xr:uid="{BA68DB10-F598-49E6-A9FB-256ADF93FE1B}"/>
    <hyperlink ref="B8" r:id="rId263" location="ercab056cf3" xr:uid="{9F307120-EA20-4707-861F-B74917A33E47}"/>
    <hyperlink ref="B7" r:id="rId264" xr:uid="{C0E9D273-765F-4B3E-ADBA-4B74FD0E2177}"/>
    <hyperlink ref="B3:B6" r:id="rId265" display="Kull 2004" xr:uid="{62BC8572-EFD2-47E7-BB75-AAAD52BF728B}"/>
    <hyperlink ref="B2" r:id="rId266" xr:uid="{0DAABDE2-208F-4787-9197-0FA9B19066C2}"/>
    <hyperlink ref="B397:B399" r:id="rId267" location="v=onepage&amp;q=rudel%202005%20tropical%20forests&amp;f=false" display="Rudel 2005" xr:uid="{A59F13FC-C6A7-4457-941A-E94365B7262D}"/>
    <hyperlink ref="B102" r:id="rId268" xr:uid="{A792A225-0C25-4C15-A302-1B6AF3BC9A79}"/>
    <hyperlink ref="B394" r:id="rId269" display="Chokkalingam 2009" xr:uid="{72184BFE-C855-4829-A765-50E8A5A5ABAC}"/>
    <hyperlink ref="B361" r:id="rId270" xr:uid="{364EA9B9-3359-4976-B2EB-67CD37A39275}"/>
    <hyperlink ref="B488" r:id="rId271" xr:uid="{25DF7585-AA38-4D1D-AB1F-817C8270CC4E}"/>
    <hyperlink ref="B489" r:id="rId272" xr:uid="{CAFB0861-84E4-47B6-A1A8-D8ACE1BD99C3}"/>
    <hyperlink ref="B490" r:id="rId273" xr:uid="{635736D4-2AA2-4788-8005-6ACF43AAD4F2}"/>
    <hyperlink ref="B491" r:id="rId274" xr:uid="{05DB9FC4-E1BA-46B2-A8A9-6E0AD8AAB8BC}"/>
    <hyperlink ref="B492:B506" r:id="rId275" display="Sati 2019" xr:uid="{10268274-B820-4297-92F5-1B21A3069F81}"/>
    <hyperlink ref="B506" r:id="rId276" xr:uid="{BB0D517C-6CB9-45D4-8F0D-A5EACB1ACC76}"/>
    <hyperlink ref="B507:B508" r:id="rId277" display="Sati 2019" xr:uid="{8CB7C39F-D455-40F8-B3B3-186CC38AD33D}"/>
    <hyperlink ref="B508" r:id="rId278" xr:uid="{00DF9799-9A5E-4257-BF66-01D05D728EE7}"/>
    <hyperlink ref="B510" r:id="rId279" xr:uid="{8769F504-D2B1-4CC6-8E2A-FAF0D749EBA6}"/>
    <hyperlink ref="B511" r:id="rId280" xr:uid="{76532516-FCFD-488C-9952-0C52BB1350D6}"/>
    <hyperlink ref="B512" r:id="rId281" xr:uid="{51C7730E-DE98-4F22-B221-18106B4C07BB}"/>
    <hyperlink ref="B513" r:id="rId282" xr:uid="{CCAF223F-ED3B-4838-B0B2-5B6087127FEE}"/>
    <hyperlink ref="B514" r:id="rId283" xr:uid="{3FB90F42-56EE-4996-8619-9ACD1FB5EE03}"/>
    <hyperlink ref="B515:B523" r:id="rId284" display="Cavechia 2014" xr:uid="{79034BE7-49A9-47E3-AF6B-D52E641286A4}"/>
    <hyperlink ref="B524" r:id="rId285" xr:uid="{5900CE5B-1DF3-48D4-BF4C-845632E1CED1}"/>
    <hyperlink ref="B526" r:id="rId286" xr:uid="{809D238C-5B0A-4110-8193-156F4C0F2AB7}"/>
    <hyperlink ref="B527" r:id="rId287" xr:uid="{757CCF2D-E0DF-4E7E-A0D9-3FB242F8C3E0}"/>
    <hyperlink ref="B525" r:id="rId288" xr:uid="{A9DD73B3-37DB-4C1B-A252-614983655171}"/>
    <hyperlink ref="B528" r:id="rId289" xr:uid="{49CC1F74-1CB5-4A15-BEBE-FA79C4E776D7}"/>
    <hyperlink ref="B529:B530" r:id="rId290" display="Carmenta 2019" xr:uid="{82352F61-2477-46C4-BA7D-3893D02D983A}"/>
    <hyperlink ref="B531" r:id="rId291" xr:uid="{44D9D3E9-3A52-452C-A7C0-9889D2667925}"/>
    <hyperlink ref="B532" r:id="rId292" xr:uid="{75CE9467-F9A3-4B87-82A5-D55A77ADEBDC}"/>
    <hyperlink ref="B533" r:id="rId293" xr:uid="{481690CA-2D61-421E-879A-4260990183A0}"/>
    <hyperlink ref="B534" r:id="rId294" display="Mertz 2011" xr:uid="{B8D4A10F-1CAE-4A7A-ACEF-9CA93E8C8FE6}"/>
    <hyperlink ref="B535" r:id="rId295" xr:uid="{3B9559D7-2C83-429E-8E76-1F8B04B4D4FF}"/>
    <hyperlink ref="B536" r:id="rId296" xr:uid="{C58CBA66-D117-4A5B-B2EA-4FB1CE1A3E38}"/>
    <hyperlink ref="B537" r:id="rId297" xr:uid="{86D965CA-4B8A-4045-9A2F-07F0546A28AB}"/>
    <hyperlink ref="B538" r:id="rId298" xr:uid="{FDD7920E-5EF9-4FDF-9FF1-ACFDDB982E0F}"/>
    <hyperlink ref="B539" r:id="rId299" xr:uid="{25AACDEC-C879-4973-AF40-5C58356D7825}"/>
    <hyperlink ref="B540" r:id="rId300" xr:uid="{EE1D6A28-E331-407F-8D7D-377474C50698}"/>
    <hyperlink ref="B541" r:id="rId301" xr:uid="{15036F62-3A6E-4704-925E-B4C7DF34B56E}"/>
    <hyperlink ref="B542:B543" r:id="rId302" display="Abate 2016 " xr:uid="{F28B0574-EA59-4CAF-8990-A99DFF4697CA}"/>
    <hyperlink ref="B544" r:id="rId303" display="Solomon 2006" xr:uid="{C9A528F7-B60C-454F-844D-EE003B261F56}"/>
    <hyperlink ref="B545:B547" r:id="rId304" display="Solomon 2006" xr:uid="{77AAEA1F-6633-4BB4-BBE4-9520E52599BB}"/>
    <hyperlink ref="B548" r:id="rId305" display="Solomon 2006" xr:uid="{10F8399B-FC14-4709-9E73-F79DE5434E9F}"/>
    <hyperlink ref="B549" r:id="rId306" display="Solomon 2006" xr:uid="{DF4479F5-6988-4F5D-AD95-7953054925C4}"/>
    <hyperlink ref="B550" r:id="rId307" xr:uid="{3C5D9F60-0C7B-4B54-A155-98F8CA04311A}"/>
    <hyperlink ref="B551" r:id="rId308" xr:uid="{4507B44A-74C4-473C-9164-6CC11A6DB8CE}"/>
    <hyperlink ref="B552" r:id="rId309" xr:uid="{76E60C4C-D7D8-4C3F-A38F-5565353580B6}"/>
    <hyperlink ref="B553" r:id="rId310" xr:uid="{44EE2C55-32E0-46E9-9F00-27FE783D963F}"/>
    <hyperlink ref="B554" r:id="rId311" xr:uid="{750E44CC-860E-4D2D-9D9C-42C7177C2034}"/>
    <hyperlink ref="B555" r:id="rId312" xr:uid="{D2E623C9-699B-4B9E-91CC-D02E1855869A}"/>
    <hyperlink ref="B556" r:id="rId313" xr:uid="{F600AFD8-9707-43AB-8DA2-0CAB9B594B47}"/>
    <hyperlink ref="B560" r:id="rId314" xr:uid="{E8A3B673-8837-4933-954A-962200EEFD6D}"/>
    <hyperlink ref="B561" r:id="rId315" xr:uid="{E8DD3B54-39BC-49C6-B918-2FA58C3639DE}"/>
    <hyperlink ref="B562" r:id="rId316" xr:uid="{2C718811-1A26-4579-9979-B8A5AA558D59}"/>
    <hyperlink ref="B557:B559" r:id="rId317" display="Smith 2019" xr:uid="{46899C3A-6972-44FB-A04F-68FB135C644C}"/>
    <hyperlink ref="B563" r:id="rId318" location="metadata_info_tab_contents" xr:uid="{2342D1BE-EAB9-49FA-B65D-D21A73D6D021}"/>
    <hyperlink ref="B564" r:id="rId319" display="Mbow 2002" xr:uid="{FE3D8174-398F-479C-AA8A-17BAF5EA6943}"/>
    <hyperlink ref="B565" r:id="rId320" xr:uid="{1C549246-AC20-4E28-80B6-E6520AEE1545}"/>
    <hyperlink ref="B566" r:id="rId321" xr:uid="{DD8D1F59-EF30-4FEA-A8BD-EB1C9B8BD952}"/>
    <hyperlink ref="B567" r:id="rId322" xr:uid="{EBF5B227-3B68-41A9-82E5-23C704351978}"/>
    <hyperlink ref="B568" r:id="rId323" xr:uid="{23605FC9-C37C-4FCD-B496-141A8D3C7320}"/>
    <hyperlink ref="B569" r:id="rId324" xr:uid="{C44D184D-DE52-4FD0-9F49-2154E0215F31}"/>
    <hyperlink ref="B570" r:id="rId325" xr:uid="{6C0620EA-9B47-4105-B34C-924234C4F8E5}"/>
    <hyperlink ref="B572" r:id="rId326" xr:uid="{A726E707-3F7C-4C56-B678-7011DB30FE02}"/>
    <hyperlink ref="B573:B577" r:id="rId327" display="Blanco 2013" xr:uid="{C6587855-FCC0-4B4E-A82F-E2C72E31BED0}"/>
    <hyperlink ref="B578" r:id="rId328" xr:uid="{205D39E4-E88D-4E6F-B7EF-E2F8A0D05FED}"/>
    <hyperlink ref="B579:B581" r:id="rId329" display="Bilbao 2019" xr:uid="{A74B28B5-3A51-4D72-AFCD-A055A90930BB}"/>
    <hyperlink ref="B237" r:id="rId330" display="Fujisaka 1996" xr:uid="{5F49620C-961A-4EFF-9419-CD3B3CC0A908}"/>
    <hyperlink ref="B582" r:id="rId331" xr:uid="{8DA5B3FC-06D9-4818-A900-875945E24040}"/>
    <hyperlink ref="B583" r:id="rId332" display="Siahaya 2016" xr:uid="{66231BFD-4D77-4C75-8E6D-73F787AE1502}"/>
    <hyperlink ref="B584" r:id="rId333" xr:uid="{3DE71865-9488-43C0-A47A-7A8340532753}"/>
    <hyperlink ref="B585" r:id="rId334" xr:uid="{DB53177E-4EE8-480C-A961-385B6A94C342}"/>
    <hyperlink ref="B586" r:id="rId335" xr:uid="{896E453F-7D74-4969-888D-0992C5269843}"/>
    <hyperlink ref="B587" r:id="rId336" xr:uid="{D1BEA84B-7915-4F5E-84C8-330811B5D98B}"/>
    <hyperlink ref="B588" r:id="rId337" xr:uid="{7507D9FA-0D5E-48DB-9D9E-8614C229738E}"/>
    <hyperlink ref="B589" r:id="rId338" xr:uid="{E29DCE10-4E91-4DD7-A488-407FEFAABBD2}"/>
    <hyperlink ref="B590" r:id="rId339" xr:uid="{FDCFFEFB-2EA0-41D6-A613-4AFC0AB63F3A}"/>
    <hyperlink ref="B591" r:id="rId340" xr:uid="{D1B2DB0B-4C4F-4670-B2A3-1ED7D30A9BD8}"/>
    <hyperlink ref="B592" r:id="rId341" xr:uid="{E25DD3CC-24A3-4ABA-A794-429DFF48BE61}"/>
    <hyperlink ref="B593" r:id="rId342" xr:uid="{D2CFDB95-05AA-4860-B0A0-658DFEC93CC6}"/>
    <hyperlink ref="B594" r:id="rId343" xr:uid="{617A5BAD-EA60-4515-A804-C1C63565E7F3}"/>
    <hyperlink ref="B595" r:id="rId344" xr:uid="{D9363BD6-5EF5-4540-BF88-744A65664D49}"/>
    <hyperlink ref="B596" r:id="rId345" xr:uid="{234F3059-A85D-4E83-A799-11F1A9F2848C}"/>
    <hyperlink ref="B597" r:id="rId346" xr:uid="{7BC754B1-0FFB-4C25-BE70-BE90A5527D03}"/>
    <hyperlink ref="B598" r:id="rId347" xr:uid="{0C130160-E4BB-46EA-AA46-3AC49BA84B8C}"/>
    <hyperlink ref="B599" r:id="rId348" xr:uid="{E67792DC-ECB2-417A-A750-92573106A4DE}"/>
    <hyperlink ref="B600" r:id="rId349" xr:uid="{3F3D6E73-6479-4600-9668-63B2E060493E}"/>
    <hyperlink ref="B601:B602" r:id="rId350" display="Gil-Romero 2011" xr:uid="{AA7A1087-0366-4444-99DC-CE880336B5E3}"/>
    <hyperlink ref="B603" r:id="rId351" xr:uid="{0A49EA56-BE6E-4794-A8AA-79E6799535A3}"/>
    <hyperlink ref="B604:B605" r:id="rId352" display="Gil-Romero 2011" xr:uid="{24EB7C69-A732-49EE-BA0C-7300D40A8C8B}"/>
    <hyperlink ref="B606" r:id="rId353" xr:uid="{D852EEA5-7A66-428A-A13B-23E8E68F9634}"/>
    <hyperlink ref="B607" r:id="rId354" xr:uid="{B48AC8EF-4E8D-4522-9500-5784CDB3C9BC}"/>
    <hyperlink ref="B608" r:id="rId355" xr:uid="{053FE459-A199-4CA2-BE3C-8CB3C1D5034C}"/>
    <hyperlink ref="B609" r:id="rId356" xr:uid="{BE831F83-FEC2-4886-9A23-CF2BBD1A577D}"/>
    <hyperlink ref="B610" r:id="rId357" xr:uid="{D6E9D387-18BA-41C9-8905-4CB06BF5BC21}"/>
    <hyperlink ref="B611" r:id="rId358" xr:uid="{66EA15F8-5A69-4710-96C6-BBF27CB2A83C}"/>
    <hyperlink ref="B612:B613" r:id="rId359" display="Angassa 2008" xr:uid="{CF17846A-8763-4A40-9534-5845BDFAC96E}"/>
    <hyperlink ref="B614" r:id="rId360" xr:uid="{186AA6E8-0456-44C0-8CA1-758183F514DC}"/>
    <hyperlink ref="B615" r:id="rId361" xr:uid="{A2B24CC8-D24B-4314-A507-54693E514508}"/>
    <hyperlink ref="B616" r:id="rId362" xr:uid="{4B4CF944-4DEC-4F55-84DC-E9B4DDB63C9F}"/>
    <hyperlink ref="B617" r:id="rId363" xr:uid="{4DDDE9C6-DA1A-4227-81D3-FCFCD4303F30}"/>
    <hyperlink ref="B618" r:id="rId364" xr:uid="{8E514F96-31A7-422A-8919-C118246C01DA}"/>
    <hyperlink ref="B619" r:id="rId365" xr:uid="{2D490A47-E1DD-42F4-8B9D-4F0581259BB4}"/>
    <hyperlink ref="B620" r:id="rId366" location="metadata_info_tab_contents" xr:uid="{4208BF7F-2DDB-4538-B95A-846F3FCC6B0E}"/>
    <hyperlink ref="B621" r:id="rId367" xr:uid="{5F98E4A7-3B37-417F-B8A7-451FAFA2A6B9}"/>
    <hyperlink ref="B622" r:id="rId368" xr:uid="{C974A034-0955-44AC-A026-C885EC9591F5}"/>
    <hyperlink ref="B623" r:id="rId369" xr:uid="{DF4B82D8-D8C6-4F7A-B285-05CC6144677B}"/>
    <hyperlink ref="B624" r:id="rId370" xr:uid="{AF11429E-B173-4AFE-A1EF-FDDE4195B65B}"/>
    <hyperlink ref="B625" r:id="rId371" xr:uid="{8CC12B20-2193-4B9B-8525-AAC27E7FA35A}"/>
    <hyperlink ref="B626" r:id="rId372" xr:uid="{78DF5CDC-9DCA-4A78-9248-6F4D0EB4D428}"/>
    <hyperlink ref="B627" r:id="rId373" xr:uid="{BB45032C-C92C-4ABC-96FC-E4751446AD56}"/>
    <hyperlink ref="B628" r:id="rId374" xr:uid="{22858D53-E4D6-4418-9824-8CF7FDC2F280}"/>
    <hyperlink ref="B629" r:id="rId375" xr:uid="{17A69D46-79F9-47E2-96B0-60CAB156765F}"/>
    <hyperlink ref="B630" r:id="rId376" xr:uid="{741677ED-9F40-44DA-8485-ECA1D0B7EE43}"/>
    <hyperlink ref="B631" r:id="rId377" xr:uid="{4EC540AE-2C78-453F-9EE8-9EA5151B7CFE}"/>
    <hyperlink ref="B632" r:id="rId378" xr:uid="{20E6E598-D298-465A-BD25-39DC7974F789}"/>
    <hyperlink ref="B635" r:id="rId379" xr:uid="{0FACBB86-E452-4C2A-A8D2-149BE756E7D0}"/>
    <hyperlink ref="B633" r:id="rId380" xr:uid="{B4A5F779-9056-4C5D-8E2F-FEB65972B9E4}"/>
    <hyperlink ref="B634" r:id="rId381" xr:uid="{6C69E7FA-EB6C-4245-BF6C-93E173FC1B44}"/>
    <hyperlink ref="B636" r:id="rId382" xr:uid="{2CBB1C41-9C3F-40E5-B344-1B2F215382EE}"/>
    <hyperlink ref="B637" r:id="rId383" xr:uid="{7B1A1683-027D-4F8D-BF8E-CFE6B766B9E9}"/>
    <hyperlink ref="B638" r:id="rId384" xr:uid="{2A35F2FD-0DEE-4191-A558-D1765829C249}"/>
    <hyperlink ref="B639" r:id="rId385" xr:uid="{1E0063CD-4C8B-448F-93EC-4026BB581120}"/>
    <hyperlink ref="B640" r:id="rId386" xr:uid="{5B48017C-8F72-459B-AACD-DC8F45923E0B}"/>
    <hyperlink ref="B641" r:id="rId387" display="Johnansson 2012" xr:uid="{A535AD8B-D929-42AB-AD57-C05036C37AAD}"/>
    <hyperlink ref="B642" r:id="rId388" xr:uid="{CFC01877-FAA6-4CB7-9B0E-A7FE8949B237}"/>
    <hyperlink ref="B643" r:id="rId389" xr:uid="{BE3137DC-A449-440C-8BCC-6C87D1212A5E}"/>
    <hyperlink ref="B644" r:id="rId390" xr:uid="{0B96B325-496E-4DD9-9DCE-5130AB785C57}"/>
    <hyperlink ref="B645" r:id="rId391" xr:uid="{4F725A67-064B-442A-8F53-3BC67964A9FB}"/>
    <hyperlink ref="B646" r:id="rId392" xr:uid="{19A034D5-38AC-4BCB-858F-C40C3410F3DA}"/>
    <hyperlink ref="B647" r:id="rId393" xr:uid="{04BEC219-F888-425F-B91C-4A5C019B46F0}"/>
    <hyperlink ref="B648" r:id="rId394" xr:uid="{077EAA76-B3DC-48F8-8BF2-AB207AC66E19}"/>
    <hyperlink ref="B649" r:id="rId395" xr:uid="{C9FBB126-C157-494E-9973-03E169818C85}"/>
    <hyperlink ref="B650" r:id="rId396" xr:uid="{8237538D-D580-4F9A-9EC0-CB5B1E5DA49C}"/>
    <hyperlink ref="B651" r:id="rId397" xr:uid="{3D7968A9-B520-48F9-B5CA-BFEEA7B3A719}"/>
    <hyperlink ref="B652" r:id="rId398" xr:uid="{93710818-2ACF-403D-ACA3-A64C025A1DA0}"/>
    <hyperlink ref="B653" r:id="rId399" xr:uid="{85353285-FCE7-408C-9CE2-F679A1DD40CA}"/>
    <hyperlink ref="B654" r:id="rId400" xr:uid="{030D2793-77F2-4DF2-84B8-6892703AEAC2}"/>
    <hyperlink ref="B655" r:id="rId401" xr:uid="{003CBE59-CBE2-4BAF-B2F7-3C3BEE63B550}"/>
    <hyperlink ref="B656:B660" r:id="rId402" display="Abubakari 2013" xr:uid="{54243ACD-23F8-4B4B-9618-B6DA667B16D5}"/>
    <hyperlink ref="B661" r:id="rId403" xr:uid="{008CD0CF-4930-4F31-89AF-80B45DC5A6AD}"/>
    <hyperlink ref="B662:B672" r:id="rId404" display="Ayantunde 2014" xr:uid="{279A7372-A242-4002-838C-8CF624B333CE}"/>
    <hyperlink ref="B673" r:id="rId405" xr:uid="{3458E6E8-4761-466F-94A5-C060199DE95F}"/>
    <hyperlink ref="B674" r:id="rId406" xr:uid="{CBFB0120-69F6-4215-B7F2-6688850205AF}"/>
    <hyperlink ref="B675" r:id="rId407" xr:uid="{BA1437C6-6ABC-418C-8E65-8BA7D7D7A4CB}"/>
    <hyperlink ref="B676" r:id="rId408" xr:uid="{442C957E-8810-4C47-A3C0-0C5FB809CE0A}"/>
    <hyperlink ref="B677" r:id="rId409" xr:uid="{CF5C0C95-C29D-46FD-80D0-60DFB68A4CBD}"/>
    <hyperlink ref="B678" r:id="rId410" xr:uid="{A24591D7-9447-49C0-A949-F0553B365B63}"/>
    <hyperlink ref="B679" r:id="rId411" xr:uid="{4917132A-0C0A-4CE0-9405-A8F3AB3E30B1}"/>
    <hyperlink ref="B680" r:id="rId412" xr:uid="{D7F769FD-25BE-48F2-B79D-220BCB319E92}"/>
    <hyperlink ref="B681" r:id="rId413" xr:uid="{3B0EB6FF-6712-46F8-84BB-378307488463}"/>
    <hyperlink ref="B682" r:id="rId414" xr:uid="{50DD756D-E866-4470-8133-0F20AEA41B93}"/>
    <hyperlink ref="B683" r:id="rId415" xr:uid="{0ECDA4B8-8C36-4F35-9BD2-D58D2A339A7E}"/>
    <hyperlink ref="B684" r:id="rId416" xr:uid="{2E163432-1942-46A5-8664-81DBEC173AA7}"/>
    <hyperlink ref="B685" r:id="rId417" xr:uid="{41456604-B9FF-4CBA-87A2-B4B7BFDDF3E9}"/>
    <hyperlink ref="B686" r:id="rId418" xr:uid="{4E39B97B-2161-4BD0-8173-12413146FD6F}"/>
    <hyperlink ref="B687" r:id="rId419" xr:uid="{230E7338-11F7-41C0-B8E3-4569DDC07921}"/>
    <hyperlink ref="B688" r:id="rId420" xr:uid="{A14856C9-F50B-4736-9DB5-05B32554FE32}"/>
    <hyperlink ref="B689" r:id="rId421" xr:uid="{97116897-D54E-4818-B5A7-7C4378C72879}"/>
    <hyperlink ref="B690" r:id="rId422" xr:uid="{0795EFF9-1CA9-4669-A52D-58BDB8D14F34}"/>
    <hyperlink ref="B691" r:id="rId423" xr:uid="{71F2F3FA-9251-46B6-ABDC-450FCC1E22BB}"/>
    <hyperlink ref="B692:B693" r:id="rId424" display="Hoy 1995" xr:uid="{4F53A9FD-6696-4F1E-B5A1-E85A54E82B71}"/>
    <hyperlink ref="B694" r:id="rId425" xr:uid="{BF8AA773-AA06-421B-9D9E-A532C08C15BF}"/>
    <hyperlink ref="B695" r:id="rId426" xr:uid="{004B0BDF-E180-4287-BEE3-1D0B88858E02}"/>
    <hyperlink ref="B696" r:id="rId427" xr:uid="{349A2B79-F783-4666-86B8-C60C52BEAF2D}"/>
    <hyperlink ref="B698" r:id="rId428" xr:uid="{F2C69382-163A-4406-A969-2CD8ECB15921}"/>
    <hyperlink ref="B699" r:id="rId429" xr:uid="{C0854803-4D4B-45F8-A42B-E678CFDC377B}"/>
    <hyperlink ref="B700" r:id="rId430" location="metadata_info_tab_contents" xr:uid="{F53A90F4-2B49-484A-BDEE-A2F5EA5C1082}"/>
    <hyperlink ref="B701" r:id="rId431" location="metadata_info_tab_contents" xr:uid="{C7856331-9070-4A08-83E9-C7B3E6A37ECE}"/>
    <hyperlink ref="B702" r:id="rId432" display="Meddour-Sahar" xr:uid="{5C8C8861-76B1-4A51-913C-0A7DD6142221}"/>
    <hyperlink ref="B703" r:id="rId433" display="Meddour-Sahar" xr:uid="{13148085-2EC1-49EF-A821-712E149FB58C}"/>
    <hyperlink ref="B704" r:id="rId434" display="Meddour-Sahar" xr:uid="{5604F5BD-C2B8-4A1C-82CA-C8FFE6D3102C}"/>
    <hyperlink ref="B705" r:id="rId435" xr:uid="{70C43109-1C5C-4589-8846-4B55E0D2E17B}"/>
    <hyperlink ref="B706" r:id="rId436" xr:uid="{D4540518-751A-4B15-9092-DE0DB4785859}"/>
    <hyperlink ref="B707" r:id="rId437" xr:uid="{CE10097D-F500-4310-A3ED-5D13A52FD15E}"/>
    <hyperlink ref="B708" r:id="rId438" xr:uid="{8B4D1FC3-7C33-4018-B976-BEC3ADD24B5C}"/>
    <hyperlink ref="B709" r:id="rId439" xr:uid="{E1CFF9E5-430D-476E-8E71-733AC6726A26}"/>
    <hyperlink ref="B710" r:id="rId440" xr:uid="{E7F353A0-8E5A-492B-9E82-F0FC3E7F5A4B}"/>
    <hyperlink ref="B711" r:id="rId441" xr:uid="{3B159832-3195-439F-B599-DA5F4A3BD515}"/>
    <hyperlink ref="B712" r:id="rId442" xr:uid="{6D6D9C2C-0A68-474D-ACCE-C7BB0F894B0E}"/>
    <hyperlink ref="B713" r:id="rId443" xr:uid="{310FBC23-4246-40A3-BB95-DF2CE2E7A989}"/>
    <hyperlink ref="B714" r:id="rId444" xr:uid="{8BC0F790-5BBA-4AF5-BCDA-B5365E0D2949}"/>
    <hyperlink ref="B715" r:id="rId445" xr:uid="{45B31612-50B0-4CE3-A793-CAE3E8549B8B}"/>
    <hyperlink ref="B716" r:id="rId446" location="Sec14" xr:uid="{E1525FBC-C043-42E3-B357-DC9FE1C7C706}"/>
    <hyperlink ref="B717" r:id="rId447" location="Sec14" xr:uid="{427F5584-2983-4428-A388-9E480D49A89A}"/>
    <hyperlink ref="B718" r:id="rId448" xr:uid="{FFD85D22-5ADD-47A4-83EE-4CBB17A59A52}"/>
    <hyperlink ref="B719:B720" r:id="rId449" display="Said 2014" xr:uid="{7E823320-7A67-43E3-ABE6-03B27E573055}"/>
    <hyperlink ref="B721" r:id="rId450" xr:uid="{7C806355-7AB7-404B-A758-2BCD396977B2}"/>
    <hyperlink ref="B722:B723" r:id="rId451" display="Said 2014" xr:uid="{D349E644-860E-49D1-B040-DADE9624F0D6}"/>
    <hyperlink ref="B724" r:id="rId452" xr:uid="{7D0CEAA8-B5BD-413A-9E37-B9FBB7E2F658}"/>
    <hyperlink ref="B725" r:id="rId453" xr:uid="{1FC0895B-6945-42F0-BCA6-87B010743BC9}"/>
    <hyperlink ref="B726" r:id="rId454" xr:uid="{17B465AD-8FF1-4305-935C-DBD8FA69AFAF}"/>
    <hyperlink ref="B727" r:id="rId455" xr:uid="{91C52B7D-E3AA-4188-BFAE-CB75F872CDE2}"/>
    <hyperlink ref="B728" r:id="rId456" xr:uid="{D3772F9D-58CD-46E1-ABF4-C541445DB3E6}"/>
    <hyperlink ref="B729" r:id="rId457" display="Nigh 2013" xr:uid="{6EABE037-5423-48D6-8579-F7393D59CA5F}"/>
    <hyperlink ref="B730" r:id="rId458" xr:uid="{83B01849-3C22-4DCD-9E6E-268E02805FBD}"/>
    <hyperlink ref="B731" r:id="rId459" xr:uid="{5C8B0192-2F5F-494B-AF1E-1D4F1EDAEBF4}"/>
    <hyperlink ref="B732:B734" r:id="rId460" display="Lamprey 2004" xr:uid="{DA2ECCBA-1515-4E73-A47C-A6851DBE91F7}"/>
    <hyperlink ref="B735" r:id="rId461" xr:uid="{AA993937-89B4-4703-B6A5-A294D42DA5F0}"/>
    <hyperlink ref="B736" r:id="rId462" xr:uid="{5E704FFB-2393-456B-B37D-D3087D8B2D54}"/>
    <hyperlink ref="B737" r:id="rId463" xr:uid="{2D8EFBDA-8D00-477D-BC0B-4D9F1B4173B3}"/>
    <hyperlink ref="B738:B741" r:id="rId464" display="Roques 2001" xr:uid="{D97AFF17-7E9F-4998-96C7-C333AD713BBE}"/>
    <hyperlink ref="B742" r:id="rId465" xr:uid="{5E30A3ED-78A9-426E-ABFE-4ADF2447F121}"/>
    <hyperlink ref="B743" r:id="rId466" xr:uid="{A899B51D-2EDE-412D-80DD-AB231021A177}"/>
    <hyperlink ref="B744" r:id="rId467" xr:uid="{7BC93322-8F56-4BF7-B9FF-9F7F4E337B39}"/>
    <hyperlink ref="B745" r:id="rId468" xr:uid="{FA790037-C475-4E4C-8000-EB73DAAC7E9F}"/>
    <hyperlink ref="B746" r:id="rId469" xr:uid="{058943A5-FE5A-4CD8-9F80-ACE1C4570D80}"/>
    <hyperlink ref="B747" r:id="rId470" xr:uid="{C2466F3E-DDE4-4DF7-9A2A-0714A7C60347}"/>
    <hyperlink ref="B748" r:id="rId471" location="patch" xr:uid="{61B40235-2929-4BC4-8C74-0814805F2016}"/>
    <hyperlink ref="B749" r:id="rId472" location="patch" xr:uid="{4A9F9438-64F8-4B0C-8FC4-B04725180B5D}"/>
    <hyperlink ref="B750:B751" r:id="rId473" location="patch" display="Brockett 2001, cited in Trollope 2004" xr:uid="{1C28E6EA-3639-4010-B7FC-D2344CC8F55F}"/>
    <hyperlink ref="B752" r:id="rId474" xr:uid="{18FA0911-F17E-4689-B0BE-D0BA5AB0296A}"/>
    <hyperlink ref="B753:B754" r:id="rId475" display="Reed 2006" xr:uid="{ADEAA97A-2061-4CC0-B593-E32CC963BB47}"/>
    <hyperlink ref="B755" r:id="rId476" xr:uid="{59826687-05F7-4E27-BCB6-79608C7D7002}"/>
    <hyperlink ref="B756" r:id="rId477" xr:uid="{0206EA75-59BF-4BC6-BE3F-BA260763F890}"/>
    <hyperlink ref="B757" r:id="rId478" xr:uid="{1A83E5B4-84C4-44DF-8521-06106B4C2839}"/>
    <hyperlink ref="B758" r:id="rId479" xr:uid="{CE669A73-D905-4736-BC8B-2D2B0FFA5CF4}"/>
    <hyperlink ref="B759:B761" r:id="rId480" display="Thompson 2002" xr:uid="{7E8010CE-84BE-4E99-96FE-AA7448841ABE}"/>
    <hyperlink ref="B762" r:id="rId481" xr:uid="{79120769-FE64-407F-AA8D-7C4804845BB6}"/>
    <hyperlink ref="B763:B764" r:id="rId482" display="Toutain 2004" xr:uid="{813F473C-2E06-48F7-9594-4D5EEFF6D8FC}"/>
    <hyperlink ref="B765" r:id="rId483" xr:uid="{04AD27F5-27C7-4B22-B2C6-406DD4BAE17F}"/>
    <hyperlink ref="B766" r:id="rId484" display="Trigg 2012" xr:uid="{7C2F1A24-2FD3-4DFE-AFDB-5DC84802EEDE}"/>
    <hyperlink ref="B767" r:id="rId485" xr:uid="{3227174E-B068-449A-BF7E-59A460B000FB}"/>
    <hyperlink ref="B768" r:id="rId486" xr:uid="{073894B1-9FA1-40E3-A0C0-ADA48464EE3E}"/>
    <hyperlink ref="B769" r:id="rId487" xr:uid="{773A196B-A118-49F1-8DF2-66EF8BCC56ED}"/>
    <hyperlink ref="B770" r:id="rId488" xr:uid="{1A7EE154-7740-4339-960C-3AA2971AA907}"/>
    <hyperlink ref="B771" r:id="rId489" xr:uid="{66EB2695-4D81-4D27-A16E-4F9C55978488}"/>
    <hyperlink ref="B772" r:id="rId490" xr:uid="{8935D0FE-3486-4BD6-9CBB-0ADB39F81B57}"/>
    <hyperlink ref="B773" r:id="rId491" xr:uid="{08BC3AE2-0ABE-4E78-8D20-48A06A50F53A}"/>
    <hyperlink ref="B774" r:id="rId492" xr:uid="{77062B5F-9E7E-42BB-9E5E-E56563F59946}"/>
    <hyperlink ref="B775" r:id="rId493" xr:uid="{1B476CD6-36B8-408A-B0F7-077F2510649D}"/>
    <hyperlink ref="B776" r:id="rId494" xr:uid="{546A13A8-42BA-4260-9D27-313E4E6D79E0}"/>
    <hyperlink ref="B777" r:id="rId495" xr:uid="{756B418E-B7B6-4D23-997E-5409223802A7}"/>
    <hyperlink ref="B778" r:id="rId496" xr:uid="{0748A507-4429-433C-870A-15672399E6B2}"/>
    <hyperlink ref="B779:B781" r:id="rId497" display="Saladyga 2013" xr:uid="{3DF128BE-993C-4506-A890-37BE31EC8B26}"/>
    <hyperlink ref="B782" r:id="rId498" xr:uid="{0989D636-406D-4CF3-A637-5536B7A7C261}"/>
    <hyperlink ref="B783" r:id="rId499" location="bib39" xr:uid="{F35251D1-F10B-45F1-BBC4-18E539968F44}"/>
    <hyperlink ref="B784" r:id="rId500" location="bib39" xr:uid="{46618DC1-BCBE-4E57-ADB3-6DAFF00210F5}"/>
    <hyperlink ref="B785" r:id="rId501" location="bib39" xr:uid="{4256C459-A81F-4F7D-92C7-86ABA74E587B}"/>
    <hyperlink ref="B786" r:id="rId502" location="bib39" xr:uid="{2D50C72D-14BF-4BEB-A0A1-2ABCFF194239}"/>
    <hyperlink ref="B787" r:id="rId503" location="bib39" xr:uid="{9BE693EB-F69B-4C92-816E-0CC26357D43D}"/>
    <hyperlink ref="B788" r:id="rId504" location="bib39" xr:uid="{3CA57033-FDC7-4245-B819-62BBA5CDCA78}"/>
    <hyperlink ref="B789" r:id="rId505" location="bib39" xr:uid="{1026D32C-5971-450C-AF8C-A0559D356108}"/>
    <hyperlink ref="B790" r:id="rId506" location="bib39" xr:uid="{B572B62B-6924-41B5-9528-C42BE3D70406}"/>
    <hyperlink ref="B791" r:id="rId507" location="bib39" xr:uid="{9AC6FD10-FF30-449B-A642-9C8F76231713}"/>
    <hyperlink ref="B792" r:id="rId508" location="bib39" xr:uid="{34DD6592-CA1F-4476-BD9B-B7F169ADC5AB}"/>
    <hyperlink ref="B793" r:id="rId509" location="bib39" xr:uid="{04D79A38-B5FC-4ACC-85F1-A5254CF63747}"/>
    <hyperlink ref="B794" r:id="rId510" location="bib39" xr:uid="{06D56878-65BB-4868-A490-2888F09192AF}"/>
    <hyperlink ref="B795" r:id="rId511" location="bib39" xr:uid="{18B17B54-1213-4308-BC90-703D4F128F77}"/>
    <hyperlink ref="B796" r:id="rId512" location="bib39" xr:uid="{FAA65160-BDB9-4F31-A8CD-DAE53884ECD1}"/>
    <hyperlink ref="B797" r:id="rId513" location="bib39" xr:uid="{238AAAE4-84D5-4307-A522-BCD82AEA8A08}"/>
    <hyperlink ref="B798" r:id="rId514" location="bib39" xr:uid="{5C2A5C99-0B99-4F39-B805-D1D1C996BE91}"/>
    <hyperlink ref="B799" r:id="rId515" location="bib39" xr:uid="{F0BD5D94-DEA1-4196-ADDB-92A6CBFE5047}"/>
    <hyperlink ref="B800" r:id="rId516" location="bib39" xr:uid="{A474A1CF-3317-4DEB-A137-5F321FA51DAD}"/>
    <hyperlink ref="B801" r:id="rId517" location="bib39" xr:uid="{CFAF10D8-1245-4F05-A846-F6261EF2A7D2}"/>
    <hyperlink ref="B802" r:id="rId518" location="bib39" xr:uid="{4958FAF6-E9A7-4FE2-93CC-D30A54FC7E2D}"/>
    <hyperlink ref="B803" r:id="rId519" location="bib39" xr:uid="{E96F580A-37B6-4198-8299-6627359D7B78}"/>
    <hyperlink ref="B804" r:id="rId520" location="bib39" xr:uid="{3A4CD37D-582B-46CF-8772-6D8DC07E75F2}"/>
    <hyperlink ref="B805" r:id="rId521" location="bib39" xr:uid="{E75EE766-BADB-4A29-A575-7688320356C8}"/>
    <hyperlink ref="B806" r:id="rId522" location="bib39" xr:uid="{865AEC21-BF8B-4EFC-A3EC-865D43D7EA79}"/>
    <hyperlink ref="B807" r:id="rId523" location="bib39" xr:uid="{63FFA3D3-F2A9-44DE-8035-C70236E49227}"/>
    <hyperlink ref="B808" r:id="rId524" xr:uid="{24B31EB3-4FCB-4C85-B7C2-4A3C7B4B7B42}"/>
    <hyperlink ref="B809" r:id="rId525" xr:uid="{6961E279-43F2-4049-A937-372CC18F29FA}"/>
    <hyperlink ref="B810" r:id="rId526" display="Bajocco 2008" xr:uid="{A3360F99-389F-4E2C-A107-C9A8D3DD6A13}"/>
    <hyperlink ref="B811" r:id="rId527" xr:uid="{5E1AE88E-255B-4F45-B862-6C904F9D2A1D}"/>
    <hyperlink ref="B812" r:id="rId528" xr:uid="{65C34978-99FD-4D8B-B4B9-896B303E113C}"/>
    <hyperlink ref="B813" r:id="rId529" xr:uid="{1723F6F7-B6E2-4369-A7CB-3982E83C68B1}"/>
    <hyperlink ref="B814" r:id="rId530" xr:uid="{F306DFAC-6E84-46F7-940A-F483E7147458}"/>
    <hyperlink ref="B815" r:id="rId531" xr:uid="{4CA682DE-8B37-4004-8930-477D13DAACCE}"/>
    <hyperlink ref="B816" r:id="rId532" xr:uid="{37C4D287-F7CB-4CC6-BC4D-2C2D47A9A677}"/>
    <hyperlink ref="B817" r:id="rId533" xr:uid="{CA8FB8DB-268C-4ECC-A7F2-004DEFF69073}"/>
    <hyperlink ref="B571" r:id="rId534" display="Eloy 2019" xr:uid="{187C3BDB-681D-48CA-8AE9-7202E750B0D4}"/>
    <hyperlink ref="B355" r:id="rId535" xr:uid="{EC85076B-567F-4731-A577-D0C14A271A2A}"/>
    <hyperlink ref="B356" r:id="rId536" xr:uid="{BC2FBA0B-4A5F-40BD-98A3-B8171D788CED}"/>
    <hyperlink ref="B818" r:id="rId537" xr:uid="{A2A59DEF-88AB-4390-84A6-86FCF0B0AD84}"/>
    <hyperlink ref="B819" r:id="rId538" xr:uid="{52C65026-4EA2-4E9B-9F3C-574052C51A77}"/>
    <hyperlink ref="B820:B821" r:id="rId539" display="Onasanya 2018" xr:uid="{7A3089D2-E2C4-4575-89E2-4503E10F18DA}"/>
    <hyperlink ref="B822" r:id="rId540" xr:uid="{13689E6D-521C-426F-BE6F-ECB744614B95}"/>
    <hyperlink ref="B823" r:id="rId541" xr:uid="{60030CF9-F09D-4D1F-A6B0-3E80969C7AAE}"/>
    <hyperlink ref="B824" r:id="rId542" xr:uid="{6D1E8FA1-6160-4AC7-88B2-737067BA2EDA}"/>
    <hyperlink ref="B825:B833" r:id="rId543" display="Ansell 2020" xr:uid="{640A7BB7-FB2A-4833-8DC4-9C7167534DE0}"/>
    <hyperlink ref="B834" r:id="rId544" xr:uid="{CE32DF42-7989-435B-A21A-2E81C94B2763}"/>
    <hyperlink ref="B835" r:id="rId545" xr:uid="{EBC1792D-1381-4E46-A0E1-0B2CFD186019}"/>
    <hyperlink ref="B836" r:id="rId546" xr:uid="{CEDA1C18-31BD-42DF-A6AA-AD9D866172D5}"/>
    <hyperlink ref="B837" r:id="rId547" xr:uid="{7970EF1B-1E12-4833-905A-0CD8FC7F73B0}"/>
    <hyperlink ref="B838:B843" r:id="rId548" display="Kunwar 2006" xr:uid="{7D247FC2-019B-4432-8880-DBA2637483CF}"/>
    <hyperlink ref="B844" r:id="rId549" xr:uid="{037B3BC9-56AE-49C9-8D4A-F1300E0892CC}"/>
    <hyperlink ref="B845:B847" r:id="rId550" display="Watts 2019" xr:uid="{BD221E43-7993-4185-9837-7BE9F180CA0A}"/>
    <hyperlink ref="B848" r:id="rId551" xr:uid="{EAD95864-D71E-4308-997C-ED9E0D540689}"/>
    <hyperlink ref="B849" r:id="rId552" xr:uid="{5B6FC43D-B679-4F96-B838-8585020411E5}"/>
    <hyperlink ref="B850" r:id="rId553" xr:uid="{ADAB18C8-7597-4D55-ADA0-BD9FF03A4C12}"/>
    <hyperlink ref="B851" r:id="rId554" xr:uid="{7E59867D-7CF0-470E-A5BD-6088BC3E7056}"/>
    <hyperlink ref="B852" r:id="rId555" xr:uid="{0A9171D9-B4B1-465D-B6B0-EA56289C109E}"/>
    <hyperlink ref="B853" r:id="rId556" xr:uid="{1038497E-3408-455A-9773-416C3B2B67B4}"/>
    <hyperlink ref="B854" r:id="rId557" xr:uid="{034FC36D-BDE7-4D72-9978-1BB71A3F48A0}"/>
    <hyperlink ref="B855" r:id="rId558" xr:uid="{6CEC9560-5CEF-427C-A10A-244F1CB90466}"/>
    <hyperlink ref="B856" r:id="rId559" xr:uid="{183B2277-735C-4333-BB13-3DB4F9D1788F}"/>
    <hyperlink ref="B857" r:id="rId560" xr:uid="{C357554B-868D-4B8F-9B26-73B11527B068}"/>
    <hyperlink ref="B858" r:id="rId561" xr:uid="{CF51D94D-F74B-4E67-A194-889C5F7EC0F4}"/>
    <hyperlink ref="B859" r:id="rId562" xr:uid="{2463B312-674B-4D8E-BC02-2384C0275833}"/>
    <hyperlink ref="B860" r:id="rId563" xr:uid="{4E88DBD7-916E-4390-ABCD-3129C27A5A36}"/>
    <hyperlink ref="B861" r:id="rId564" xr:uid="{8EA88677-A259-4F79-97C4-E843B021CBB6}"/>
    <hyperlink ref="B862" r:id="rId565" xr:uid="{D83BF145-F505-4536-9AF3-425C5BB4193E}"/>
    <hyperlink ref="B863" r:id="rId566" xr:uid="{C4599318-3B71-497D-B008-5D89097CA459}"/>
    <hyperlink ref="B864" r:id="rId567" xr:uid="{5785207A-5FEF-438E-8317-2194B3781CC4}"/>
    <hyperlink ref="B865" r:id="rId568" xr:uid="{6FDC287B-FEAD-44AC-BB0E-75933E53CC26}"/>
    <hyperlink ref="B866" r:id="rId569" xr:uid="{98D9D971-2E35-4031-9DB6-A55447DCB2D7}"/>
    <hyperlink ref="B867" r:id="rId570" xr:uid="{865F2C75-FDB4-4458-A7EB-461395CA79F3}"/>
    <hyperlink ref="B868" r:id="rId571" xr:uid="{6D69BF65-9BB8-4498-85F2-AF4793262F43}"/>
    <hyperlink ref="B869" r:id="rId572" xr:uid="{9795CD68-1FB8-41A8-8B58-A33F521C7031}"/>
    <hyperlink ref="B870" r:id="rId573" xr:uid="{EA478B17-44B9-4009-B980-4F10C4228113}"/>
    <hyperlink ref="B871" r:id="rId574" xr:uid="{282ECBE9-AF9B-4FAC-878B-541428866ACD}"/>
    <hyperlink ref="B872" r:id="rId575" xr:uid="{984B833D-F9ED-4C26-861F-D76CA8B3FC47}"/>
    <hyperlink ref="B873" r:id="rId576" xr:uid="{ACD08C0E-E742-4F98-8650-C9C16C15B68B}"/>
    <hyperlink ref="B874" r:id="rId577" xr:uid="{F3AD7A51-AED3-4E7B-ADA4-DEA0CA08E3DC}"/>
    <hyperlink ref="B875" r:id="rId578" xr:uid="{E5900B41-D2CE-493A-9F05-9C3ECE504FEB}"/>
    <hyperlink ref="B876" r:id="rId579" xr:uid="{0455A2A6-E462-4872-9AC4-C5A678938F82}"/>
    <hyperlink ref="B877" r:id="rId580" xr:uid="{846B03D7-6330-4444-B22D-257F50BD49AF}"/>
    <hyperlink ref="B878" r:id="rId581" xr:uid="{80C48A36-0063-4E44-87C5-14BE54CAFC89}"/>
    <hyperlink ref="B879" r:id="rId582" xr:uid="{46554F3F-C948-4599-8D2A-6682786AEDC0}"/>
    <hyperlink ref="B880" r:id="rId583" xr:uid="{960A300F-1127-47A2-A301-E347C800C363}"/>
    <hyperlink ref="B881" r:id="rId584" xr:uid="{3ABED2F1-CFD2-400A-B3A7-EA1A7F910991}"/>
    <hyperlink ref="B882" r:id="rId585" xr:uid="{ADFC4044-85A4-4845-B36C-744901038BDD}"/>
    <hyperlink ref="B883" r:id="rId586" xr:uid="{6C02D13D-1FA7-4C9A-A040-7D926035A06A}"/>
    <hyperlink ref="B884" r:id="rId587" xr:uid="{8E0D1270-5E72-4FA7-B686-847B97BB3198}"/>
    <hyperlink ref="B885" r:id="rId588" xr:uid="{08652CB8-0A8F-487E-9BD7-B541D7D2E23F}"/>
    <hyperlink ref="B886" r:id="rId589" xr:uid="{3CC4EC12-11BB-4149-9C1E-00806FD5F8FC}"/>
    <hyperlink ref="B887" r:id="rId590" xr:uid="{B70EDD77-305F-45C1-8253-391E6D00390D}"/>
    <hyperlink ref="B888" r:id="rId591" xr:uid="{21AB8E75-0777-4895-8687-71B0860E2252}"/>
    <hyperlink ref="B889" r:id="rId592" xr:uid="{0CC3D534-7254-4315-81A4-31745EF7C2C2}"/>
    <hyperlink ref="B890" r:id="rId593" xr:uid="{0FA612E3-F2C2-4411-95FB-69BD0D5ECC77}"/>
    <hyperlink ref="B891" r:id="rId594" xr:uid="{B2466D33-30D6-4B26-B944-877BC14B2677}"/>
    <hyperlink ref="B892" r:id="rId595" xr:uid="{D148CD5F-246B-49AE-AA49-831E974E0265}"/>
    <hyperlink ref="B893" r:id="rId596" xr:uid="{3056EDC0-6A20-498C-8126-C3CAC3232C5D}"/>
    <hyperlink ref="B894" r:id="rId597" xr:uid="{A53017C9-D37B-469E-AE11-70E9A4C9E09B}"/>
    <hyperlink ref="B895" r:id="rId598" xr:uid="{1C2A70B1-8EEB-43F8-892F-D189B01FFEAA}"/>
    <hyperlink ref="B906" r:id="rId599" xr:uid="{2A0EE5B8-25B5-49C4-805D-74B01C573D11}"/>
    <hyperlink ref="B896" r:id="rId600" xr:uid="{3A511C4E-647E-4D03-AFE8-8723A029C85B}"/>
    <hyperlink ref="B898" r:id="rId601" display="Wesche 2000" xr:uid="{69730145-72E9-4623-8CF2-5DB877269F63}"/>
    <hyperlink ref="B899:B901" r:id="rId602" display="Wesche 2000" xr:uid="{638DA27D-7C28-4BA6-9AF6-D0A1BF2F613F}"/>
    <hyperlink ref="B902" r:id="rId603" xr:uid="{5F7DAD78-294C-46A9-A4D2-09625A9A0D12}"/>
    <hyperlink ref="B903" r:id="rId604" xr:uid="{0D99B1A6-E8D7-450E-A715-4C64CEDC377B}"/>
    <hyperlink ref="B904" r:id="rId605" xr:uid="{CE492860-29A2-4122-BFCF-21826A927BCF}"/>
    <hyperlink ref="B905" r:id="rId606" display="Harr 2014" xr:uid="{AE62DDF5-60B2-4106-8FE9-7409F81A0A58}"/>
    <hyperlink ref="B907" r:id="rId607" xr:uid="{1CF6BBCD-09F5-4FDC-87ED-ABEA47C7A452}"/>
    <hyperlink ref="B908" r:id="rId608" xr:uid="{BEDCDB04-65D0-4B14-A575-74B1CF86CC96}"/>
    <hyperlink ref="B909" r:id="rId609" xr:uid="{22138AB4-32EC-4C07-A397-91D793C0517F}"/>
    <hyperlink ref="B910" r:id="rId610" xr:uid="{35B188F3-BB0C-47BF-A697-E761AAC17741}"/>
    <hyperlink ref="B911" r:id="rId611" xr:uid="{2F187EB1-0EB7-4FC4-81F4-82A36AB4E64A}"/>
    <hyperlink ref="B912" r:id="rId612" xr:uid="{FC11C161-7CA8-45D0-BC60-BE782D5B4F54}"/>
    <hyperlink ref="B913" r:id="rId613" xr:uid="{288EC9A8-230D-48F6-9EB7-0B956BB84BE2}"/>
    <hyperlink ref="B914" r:id="rId614" xr:uid="{35353AB5-A6CB-4764-9144-019934A73D09}"/>
    <hyperlink ref="B915" r:id="rId615" xr:uid="{67B57259-9B2F-4810-A270-C07E2D88B0DF}"/>
    <hyperlink ref="B916" r:id="rId616" xr:uid="{5667EAA0-247C-4A21-960C-4C0AF192C520}"/>
    <hyperlink ref="B917" r:id="rId617" xr:uid="{A96774E8-C398-4418-ABAA-D4A0E67D54B8}"/>
    <hyperlink ref="B918" r:id="rId618" xr:uid="{9CDD3FD0-A3BC-482E-80BF-8047214A9705}"/>
    <hyperlink ref="B919" r:id="rId619" xr:uid="{EBC9A743-8614-43C6-A02B-2EC15C0F7F95}"/>
    <hyperlink ref="B920" r:id="rId620" xr:uid="{E12B0F94-43B3-4BD9-A5BB-ECABB2297731}"/>
    <hyperlink ref="B921" r:id="rId621" xr:uid="{7298E80A-0385-40AD-AA87-82F3BBCB69E9}"/>
    <hyperlink ref="B922" r:id="rId622" xr:uid="{F119524F-57F4-4375-B1F1-5AC8BDCD1815}"/>
    <hyperlink ref="B923" r:id="rId623" xr:uid="{DE85B53D-DB3E-4773-BD98-55278909F3E4}"/>
    <hyperlink ref="B924" r:id="rId624" xr:uid="{27863128-36C7-4A0B-9735-B74E967C7E35}"/>
    <hyperlink ref="B925" r:id="rId625" xr:uid="{7B828C5D-0B52-4B51-8B1E-FBAB337D364A}"/>
    <hyperlink ref="B926" r:id="rId626" xr:uid="{864560D2-F730-452E-AC44-967A68C4BF9D}"/>
    <hyperlink ref="Q702" r:id="rId627" xr:uid="{A11666F6-E2D3-4107-A751-B65AFF187FD3}"/>
    <hyperlink ref="Q703:Q704" r:id="rId628" display="Meddour-Sahar 2013 confirms fire data given is for annual averages" xr:uid="{703DA5A8-3861-4C68-A0D8-09B3D07206BB}"/>
    <hyperlink ref="B927" r:id="rId629" xr:uid="{F88F7EE6-0EB6-4D7B-9DA7-99993E5C7795}"/>
    <hyperlink ref="B928" r:id="rId630" xr:uid="{96D08C5E-B802-4AFC-AA71-7E6FA289AD20}"/>
    <hyperlink ref="B932" r:id="rId631" xr:uid="{C13A1C85-85EE-4121-BF3C-32969CE5FDF8}"/>
    <hyperlink ref="B933" r:id="rId632" display="San-Miguel-Ayanz_2013" xr:uid="{276BFD85-ED82-4F65-AA55-69D4DB8F5ABA}"/>
    <hyperlink ref="B937" r:id="rId633" xr:uid="{B1334965-0BEB-47A1-9F50-9AFB1B3819E6}"/>
    <hyperlink ref="B938" r:id="rId634" xr:uid="{3F1C602C-9312-41D8-97BD-6F2FA9E28DD9}"/>
    <hyperlink ref="B939" r:id="rId635" xr:uid="{34328AAC-E2E7-4627-9E00-92034F873BDC}"/>
    <hyperlink ref="B940" r:id="rId636" xr:uid="{14138EA9-5464-4B0E-A749-C9182C05DCF4}"/>
    <hyperlink ref="B941" r:id="rId637" display="Lampin-Maillet_2011" xr:uid="{3E9D430D-71FF-4610-ADB8-7559ADE31CE0}"/>
    <hyperlink ref="B942" r:id="rId638" xr:uid="{6064C35F-7A8E-4985-ACCD-B38AC14C1C25}"/>
    <hyperlink ref="B943" r:id="rId639" xr:uid="{45EE4E04-B2ED-4C27-8F2E-EC29FCE5648C}"/>
    <hyperlink ref="B944" r:id="rId640" xr:uid="{8074EC4E-94BE-40D7-821E-DEBB42A4AD60}"/>
    <hyperlink ref="B945" r:id="rId641" xr:uid="{B615CE0D-FA05-4489-8D3B-2C962AA1E431}"/>
    <hyperlink ref="B946" r:id="rId642" xr:uid="{A2636E5E-8A4E-4B14-B0F1-B1671E4F1B10}"/>
    <hyperlink ref="B947" r:id="rId643" xr:uid="{A332C764-A741-4890-819B-D24AD4624535}"/>
    <hyperlink ref="B948" r:id="rId644" xr:uid="{4F1DF50E-C8BE-4B1F-9476-A3F9AA76F94F}"/>
    <hyperlink ref="B951" r:id="rId645" xr:uid="{31BF3505-577B-4297-8853-36507A0AA061}"/>
    <hyperlink ref="B952" r:id="rId646" xr:uid="{1D3177E4-AF2F-46C3-8548-986CB1CD0125}"/>
    <hyperlink ref="B953" r:id="rId647" xr:uid="{269AC5F3-E4B9-4520-AA59-7E109994C38B}"/>
    <hyperlink ref="B954" r:id="rId648" xr:uid="{1E1F2EBD-D5F0-438B-B06D-2AE07665691A}"/>
    <hyperlink ref="B955" r:id="rId649" xr:uid="{54D8CB96-C333-4CB4-B18F-2C4C37F4208A}"/>
    <hyperlink ref="B956" r:id="rId650" xr:uid="{079B2172-D65E-4E58-9746-2304EDB010C8}"/>
    <hyperlink ref="B957" r:id="rId651" xr:uid="{9F3B10DB-213C-4D39-B407-FF0B62B71CB8}"/>
    <hyperlink ref="B958" r:id="rId652" xr:uid="{A1B4C729-4733-458E-A6CD-F540D25A3977}"/>
    <hyperlink ref="B959" r:id="rId653" xr:uid="{4C5550CA-0E42-478E-BCB7-00009F2990E4}"/>
    <hyperlink ref="B960" r:id="rId654" xr:uid="{63AC16BA-ADD8-4FC6-BE04-63A7B795B2CA}"/>
    <hyperlink ref="B961" r:id="rId655" xr:uid="{097C6578-6FFB-4304-A1A3-2F61C0C99D9E}"/>
    <hyperlink ref="B962" r:id="rId656" xr:uid="{A7A03569-0E3B-4BF5-B3D0-16E407A94D0C}"/>
    <hyperlink ref="B988" r:id="rId657" xr:uid="{71BF50F5-A21E-4861-9248-5D250C6B9902}"/>
    <hyperlink ref="B989" r:id="rId658" xr:uid="{6DCD733D-8F0C-4E6F-8FE4-051E8A10B845}"/>
    <hyperlink ref="B997" r:id="rId659" xr:uid="{7D61A37C-715E-4A5A-9612-D44C579D2204}"/>
    <hyperlink ref="B998" r:id="rId660" xr:uid="{2A2A758A-6C7E-4497-8BC6-92D20D2167E3}"/>
    <hyperlink ref="B999" r:id="rId661" xr:uid="{B5EA57A9-9613-42F5-AB8D-541CDAF275C2}"/>
    <hyperlink ref="B1000" r:id="rId662" xr:uid="{4397E726-3AE0-4A94-A646-3F9111C8BE09}"/>
    <hyperlink ref="B1001" r:id="rId663" location="v=onepage&amp;q&amp;f=false" xr:uid="{DF6A314F-FF9F-4FFD-905A-5F66DA63EFC0}"/>
    <hyperlink ref="B1002" r:id="rId664" location="v=onepage&amp;q&amp;f=false" xr:uid="{667A3932-83D1-4F99-8D2A-1CF145FA4C0E}"/>
    <hyperlink ref="B1003" r:id="rId665" location="v=onepage&amp;q&amp;f=false" xr:uid="{0E0A2537-BCC1-452B-9110-6413914F6D15}"/>
    <hyperlink ref="B1004" r:id="rId666" xr:uid="{384B1B6F-6243-4ADE-AF1A-DE26DA8B56EE}"/>
    <hyperlink ref="B1005:B1006" r:id="rId667" display="Singh et al., 2007" xr:uid="{EBB0C92E-C073-4F03-BA98-55575CC4B69D}"/>
    <hyperlink ref="B1007" r:id="rId668" location="v=onepage&amp;q&amp;f=false" xr:uid="{8932639F-0DFE-4343-8FB3-C600940E824D}"/>
    <hyperlink ref="B1008" r:id="rId669" location="v=onepage&amp;q&amp;f=false" xr:uid="{A14B0555-BB31-4AE7-A481-E35E5D4BF710}"/>
    <hyperlink ref="B1009" r:id="rId670" location="v=onepage&amp;q&amp;f=false" xr:uid="{830FF1F5-5CBF-4D04-83F4-D33A0B260F28}"/>
    <hyperlink ref="B1010" r:id="rId671" location="v=onepage&amp;q=kanour&amp;f=false" xr:uid="{984CD7A9-F813-48C0-A6D1-B41C719AD538}"/>
    <hyperlink ref="B1013" r:id="rId672" xr:uid="{6DBF8270-69DE-4FDC-BE51-0A54E6335E4C}"/>
    <hyperlink ref="B1014" r:id="rId673" display="Sun, Ge &amp; Zhou, 2011" xr:uid="{523E1AD6-6A17-408D-A6C5-18BC760B4C96}"/>
    <hyperlink ref="B1020" r:id="rId674" xr:uid="{E928B54B-47EA-4172-93E6-D93147C024ED}"/>
    <hyperlink ref="B1022" r:id="rId675" xr:uid="{96EFE360-A400-4195-8949-55AE947737EF}"/>
    <hyperlink ref="B1025" r:id="rId676" xr:uid="{99972C50-5B07-4F04-852D-C799622BDC9A}"/>
    <hyperlink ref="B1023" r:id="rId677" xr:uid="{FD5CF384-DFA3-4B5C-9E17-4B76CAA0F2F1}"/>
    <hyperlink ref="B1024" r:id="rId678" xr:uid="{F411DB31-F811-44F6-BAF8-ECEBA54D8F46}"/>
    <hyperlink ref="B1029" r:id="rId679" xr:uid="{62A9F433-22C0-4677-9E7E-C153134F4445}"/>
    <hyperlink ref="B1030" r:id="rId680" xr:uid="{64E3E683-00E3-4510-A87F-DF71A670C706}"/>
    <hyperlink ref="B1021" r:id="rId681" xr:uid="{79BFCC69-13BB-4C63-8EAA-11E3ABD04E69}"/>
    <hyperlink ref="B1026" r:id="rId682" xr:uid="{521FD027-466D-4835-B9D7-6B48D948BDAF}"/>
    <hyperlink ref="B1027" r:id="rId683" xr:uid="{11FB6999-5844-4ABD-9D62-E93BE4AA078D}"/>
    <hyperlink ref="B1032" r:id="rId684" xr:uid="{00000000-0004-0000-0000-000000000000}"/>
    <hyperlink ref="B1033" r:id="rId685" xr:uid="{00000000-0004-0000-0000-000001000000}"/>
    <hyperlink ref="B1034" r:id="rId686" xr:uid="{00000000-0004-0000-0000-000002000000}"/>
    <hyperlink ref="B1031" r:id="rId687" xr:uid="{00000000-0004-0000-0000-000003000000}"/>
    <hyperlink ref="B1035" r:id="rId688" xr:uid="{00000000-0004-0000-0000-000004000000}"/>
    <hyperlink ref="B1039" r:id="rId689" xr:uid="{00000000-0004-0000-0000-000005000000}"/>
    <hyperlink ref="B1038" r:id="rId690" xr:uid="{00000000-0004-0000-0000-000006000000}"/>
    <hyperlink ref="B1041" r:id="rId691" xr:uid="{00000000-0004-0000-0000-000007000000}"/>
    <hyperlink ref="B1040" r:id="rId692" xr:uid="{00000000-0004-0000-0000-000008000000}"/>
    <hyperlink ref="B1036" r:id="rId693" xr:uid="{00000000-0004-0000-0000-000009000000}"/>
    <hyperlink ref="B1037" r:id="rId694" xr:uid="{00000000-0004-0000-0000-00000A000000}"/>
    <hyperlink ref="B1042" r:id="rId695" xr:uid="{00000000-0004-0000-0000-00000B000000}"/>
    <hyperlink ref="B1043" r:id="rId696" xr:uid="{00000000-0004-0000-0000-00000C000000}"/>
    <hyperlink ref="B1044" r:id="rId697" xr:uid="{00000000-0004-0000-0000-00000D000000}"/>
    <hyperlink ref="B1045" r:id="rId698" xr:uid="{00000000-0004-0000-0000-00000E000000}"/>
    <hyperlink ref="B1046" r:id="rId699" xr:uid="{00000000-0004-0000-0000-00000F000000}"/>
    <hyperlink ref="B1047" r:id="rId700" xr:uid="{00000000-0004-0000-0000-000010000000}"/>
    <hyperlink ref="B1048" r:id="rId701" xr:uid="{00000000-0004-0000-0000-000011000000}"/>
    <hyperlink ref="B1049" r:id="rId702" xr:uid="{00000000-0004-0000-0000-000012000000}"/>
    <hyperlink ref="B1050" r:id="rId703" xr:uid="{00000000-0004-0000-0000-000013000000}"/>
    <hyperlink ref="B1051" r:id="rId704" xr:uid="{00000000-0004-0000-0000-000014000000}"/>
    <hyperlink ref="B1052" r:id="rId705" xr:uid="{00000000-0004-0000-0000-000015000000}"/>
    <hyperlink ref="B1053" r:id="rId706" xr:uid="{00000000-0004-0000-0000-000016000000}"/>
    <hyperlink ref="B1054" r:id="rId707" xr:uid="{00000000-0004-0000-0000-000017000000}"/>
    <hyperlink ref="B1056" r:id="rId708" xr:uid="{00000000-0004-0000-0000-000018000000}"/>
    <hyperlink ref="B1057" r:id="rId709" xr:uid="{00000000-0004-0000-0000-000019000000}"/>
    <hyperlink ref="B929:B931" r:id="rId710" display="Keeley_2019" xr:uid="{81ED58AD-FD3E-4B52-A27B-85F88FE9553C}"/>
    <hyperlink ref="B949" r:id="rId711" xr:uid="{BA82E17F-089E-48B9-B96D-DF34EA779AE9}"/>
    <hyperlink ref="B950" r:id="rId712" xr:uid="{7C1533D9-7ADF-4653-917A-71F69CB7FC4D}"/>
    <hyperlink ref="B963" r:id="rId713" xr:uid="{FA5EF9B7-9B58-45C6-8C35-5CBC2535B2FD}"/>
    <hyperlink ref="B964" r:id="rId714" xr:uid="{7BF04FCC-FF46-47D6-A0F1-234B8C280515}"/>
    <hyperlink ref="B965" r:id="rId715" xr:uid="{20A87290-98AB-4C74-939F-0768EF0A4D41}"/>
    <hyperlink ref="B966" r:id="rId716" xr:uid="{EB8145EA-E546-43CF-AB78-FBFED8C9CBF4}"/>
    <hyperlink ref="B967" r:id="rId717" xr:uid="{ADDB4E1A-9732-48F9-B70C-378CD8E1D030}"/>
    <hyperlink ref="B968" r:id="rId718" xr:uid="{6FFD06A1-B275-4CAB-835C-5CCA1B40AF61}"/>
    <hyperlink ref="B969" r:id="rId719" xr:uid="{3CFFD5F7-7F0D-4746-BF81-937E3C97DC83}"/>
    <hyperlink ref="B970" r:id="rId720" xr:uid="{1712035B-AE61-4F8C-8A72-20EA9FE17729}"/>
    <hyperlink ref="B971" r:id="rId721" xr:uid="{4337F75C-D3D6-499B-81CA-8956F2298944}"/>
    <hyperlink ref="B972" r:id="rId722" xr:uid="{135F4444-C660-4F6B-A116-90DCDFDB30A6}"/>
    <hyperlink ref="B973" r:id="rId723" xr:uid="{9A9188ED-C325-43DF-AD74-CE340521A2CD}"/>
    <hyperlink ref="B974" r:id="rId724" xr:uid="{D4083F64-0CDE-46A1-8653-D8FBA5FC3F4B}"/>
    <hyperlink ref="B975" r:id="rId725" xr:uid="{09061A84-B898-4F33-BEC0-CF2754081C9F}"/>
    <hyperlink ref="B976" r:id="rId726" xr:uid="{DC501266-7CB6-4BDE-86A4-A24F30C77F0E}"/>
    <hyperlink ref="B977" r:id="rId727" xr:uid="{DF5CDCFF-6F04-4A17-A409-DDD58F780F45}"/>
    <hyperlink ref="B978" r:id="rId728" xr:uid="{7742C59A-EC39-41F6-94E8-72B1A7981ECF}"/>
    <hyperlink ref="B979" r:id="rId729" xr:uid="{6B49CFE1-8B5E-4CDE-A6FF-D7254318BD8A}"/>
    <hyperlink ref="B980" r:id="rId730" xr:uid="{C36618B7-BA45-4CD9-9EEE-20D7827E218F}"/>
    <hyperlink ref="B981" r:id="rId731" xr:uid="{C7D29AAF-18E5-4886-9CB4-CE30A9AEFAA3}"/>
    <hyperlink ref="B982" r:id="rId732" xr:uid="{552EAC18-CB87-4FF8-AC9E-63A170F151EE}"/>
    <hyperlink ref="B983" r:id="rId733" xr:uid="{142DA3FB-F774-42F7-AD68-1BF60384EE62}"/>
    <hyperlink ref="B984" r:id="rId734" xr:uid="{D5D2D6D8-5661-42E3-A0CE-E62442D69A5C}"/>
    <hyperlink ref="B985" r:id="rId735" xr:uid="{EC1B4FB6-7767-4ED6-994B-1CAB2E8D1569}"/>
    <hyperlink ref="B986" r:id="rId736" xr:uid="{40B0B93E-ADA5-4A1B-B7C2-C84267492AE7}"/>
    <hyperlink ref="B987" r:id="rId737" xr:uid="{E3A56EC0-81C5-44D0-B1E7-081949676084}"/>
    <hyperlink ref="B990" r:id="rId738" xr:uid="{915C7590-04EF-48E5-A8DA-51E603673036}"/>
    <hyperlink ref="B991" r:id="rId739" xr:uid="{EEDBEA5E-1927-4F9B-A902-643CE0FF93A9}"/>
    <hyperlink ref="B992" r:id="rId740" xr:uid="{C87502E8-F7A4-46BE-87DA-CB66A6138040}"/>
    <hyperlink ref="B993" r:id="rId741" xr:uid="{D88B0863-0F50-41B4-A304-E3EB4A02CE1A}"/>
    <hyperlink ref="B994" r:id="rId742" xr:uid="{F4087F16-F4DE-44B5-84FE-4BF4835764BA}"/>
    <hyperlink ref="B995" r:id="rId743" xr:uid="{716BEBAB-4D6A-4C5F-A972-556C3FBF5CB9}"/>
    <hyperlink ref="B996" r:id="rId744" xr:uid="{7DB8AB72-47B7-4D0E-B240-3BFCC00F31A3}"/>
    <hyperlink ref="B1058" r:id="rId745" xr:uid="{8BDF4851-3602-47F8-87C1-25CAF9F0D7A1}"/>
    <hyperlink ref="B1059" r:id="rId746" xr:uid="{54D29287-68CE-4EDD-8796-D4C995FD2EC3}"/>
    <hyperlink ref="B1060" r:id="rId747" xr:uid="{A005D498-FC36-44E2-A600-BCB25B8F9A7D}"/>
    <hyperlink ref="B1061" r:id="rId748" xr:uid="{73A534A6-82C5-4868-BEEC-67FF81E1EB22}"/>
    <hyperlink ref="B1062" r:id="rId749" xr:uid="{2D7388DF-B1A3-4429-A4EB-0B1AC5DE61F8}"/>
    <hyperlink ref="B1063" r:id="rId750" xr:uid="{B2E216B7-B094-4487-8B08-DE3AEA9356B7}"/>
    <hyperlink ref="B1064" r:id="rId751" xr:uid="{6D97F6A6-A6E1-415C-9832-27ACF14D5516}"/>
    <hyperlink ref="B1065" r:id="rId752" xr:uid="{C6B5C89A-5DD0-4EE6-AA0E-ACDA03EBA537}"/>
    <hyperlink ref="B1066" r:id="rId753" xr:uid="{A382DE3B-7C2C-44B8-B632-208B409F9728}"/>
    <hyperlink ref="B1067:B1068" r:id="rId754" display="Eloy 2016" xr:uid="{DEAE1BFA-3836-4594-A8BC-9E30108CA5D8}"/>
    <hyperlink ref="B1069" r:id="rId755" xr:uid="{2B2A5E1F-3AC6-463B-B7C0-A75C677B87F4}"/>
    <hyperlink ref="B1070" r:id="rId756" display="Caballero 2011" xr:uid="{67C81722-29A9-47BD-BDB2-E1C1DF573BA8}"/>
    <hyperlink ref="B1071" r:id="rId757" display="Caballero 2011" xr:uid="{65257CF8-ED26-4ABC-879E-91320851D14A}"/>
    <hyperlink ref="B1072" r:id="rId758" display="Caballero 2011" xr:uid="{5869C518-8975-4001-B295-9EC81DA818BA}"/>
    <hyperlink ref="B1073" r:id="rId759" display="Caballero 2011" xr:uid="{D6EB9ACA-D2A6-49C4-94F2-1FA2DD178805}"/>
    <hyperlink ref="B1074" r:id="rId760" display="Caballero 2011" xr:uid="{1719CCB1-23EB-42AF-95ED-56D47A517B9C}"/>
    <hyperlink ref="B1075" r:id="rId761" display="Caballero 2011" xr:uid="{23C53465-2C8E-4910-9FDF-FB3D1FB10CED}"/>
    <hyperlink ref="B1076" r:id="rId762" display="Caballero 2011" xr:uid="{A171E4B0-7D5C-47DF-B785-1E2FA042CD75}"/>
    <hyperlink ref="B1077" r:id="rId763" display="Caballero 2011" xr:uid="{B1D14D32-8C7C-4DB6-8C9F-FF45E4262E6B}"/>
    <hyperlink ref="B1078" r:id="rId764" display="Caballero 2011" xr:uid="{4BA0EDBE-EE87-4C25-A67C-FDCE20CE450D}"/>
    <hyperlink ref="B1079" r:id="rId765" display="Caballero 2011" xr:uid="{6A81E1DF-9D5B-4224-979D-C861FBC90703}"/>
    <hyperlink ref="B1080" r:id="rId766" display="Caballero 2011" xr:uid="{F42BD37D-81D0-4C09-B127-4A6E6B166EE6}"/>
    <hyperlink ref="B1081" r:id="rId767" display="Caballero 2011" xr:uid="{06B5A5FE-773B-48E6-B59F-4358708B6FEB}"/>
    <hyperlink ref="B1082" r:id="rId768" display="Caballero 2011" xr:uid="{ACF1F2D1-4EF6-419F-83C3-62A4316EE884}"/>
    <hyperlink ref="B1083" r:id="rId769" display="Caballero 2011" xr:uid="{7E9173B5-4827-4656-A5D4-0734AD21E383}"/>
    <hyperlink ref="B1084" r:id="rId770" display="Caballero 2011" xr:uid="{0EFD930F-7812-4E84-8A4B-1D9D10514871}"/>
    <hyperlink ref="B1085" r:id="rId771" display="Caballero 2011" xr:uid="{A3C9DFDF-6527-4C00-A0C3-9194CF3220CA}"/>
    <hyperlink ref="B1086" r:id="rId772" display="Caballero 2011" xr:uid="{F8361370-1E58-4DBC-8D39-8C5586164712}"/>
    <hyperlink ref="B1087" r:id="rId773" display="Caballero 2011" xr:uid="{B0CAA4C7-D62C-48D9-8543-7093AD21EAB6}"/>
    <hyperlink ref="B1088" r:id="rId774" display="Caballero 2011" xr:uid="{20322080-8CED-4075-B877-11805A118EE9}"/>
    <hyperlink ref="B1089" r:id="rId775" display="Caballero 2011" xr:uid="{B457985A-4194-4783-A12E-89763C4B18D1}"/>
    <hyperlink ref="B1090" r:id="rId776" display="Caballero 2011" xr:uid="{8F356603-D36C-4359-8F10-E2ED0D65DB8E}"/>
    <hyperlink ref="B1091" r:id="rId777" display="Caballero 2011" xr:uid="{009BB63F-44EB-4B71-BB59-DE8E0F0353FC}"/>
    <hyperlink ref="B1092" r:id="rId778" display="Caballero 2011" xr:uid="{6EC78847-34C2-4342-BFAB-AAC0F48DDD33}"/>
    <hyperlink ref="B1093" r:id="rId779" display="Caballero 2011" xr:uid="{8EE1622E-A1B4-4240-8C5B-C4E51FF0FB88}"/>
    <hyperlink ref="B1094" r:id="rId780" display="Caballero 2011" xr:uid="{AC23B910-B440-492A-AA92-0564466585C1}"/>
    <hyperlink ref="B1095" r:id="rId781" display="Caballero 2011" xr:uid="{44779127-4972-4930-B14B-89A6556D1D0E}"/>
    <hyperlink ref="B1096" r:id="rId782" display="Caballero 2011" xr:uid="{FBF1B8FC-1040-48CF-833E-C0FC82383948}"/>
    <hyperlink ref="B1097" r:id="rId783" display="Caballero 2011" xr:uid="{C83F2271-2781-492F-B11F-3294DD7B6BE9}"/>
    <hyperlink ref="B1098" r:id="rId784" display="Caballero 2011" xr:uid="{F078E13C-845B-42D6-A301-728E2E15C072}"/>
    <hyperlink ref="B1099" r:id="rId785" display="Caballero 2011" xr:uid="{DFF645CD-AA06-4297-8883-02EEBA677842}"/>
    <hyperlink ref="B1100" r:id="rId786" display="Caballero 2011" xr:uid="{41FAF507-7339-48A4-B7B0-9AAA65BD88B9}"/>
    <hyperlink ref="B1101" r:id="rId787" display="Caballero 2011" xr:uid="{08935987-1D2D-4AC3-A30C-FA07527C09E2}"/>
    <hyperlink ref="B1102" r:id="rId788" display="Caballero 2011" xr:uid="{A7629FBA-3768-4A10-BC3C-CB38220961AC}"/>
    <hyperlink ref="B1103" r:id="rId789" display="Caballero 2011" xr:uid="{B76A0B77-DD9E-496B-9E70-8595B3844953}"/>
    <hyperlink ref="B1104" r:id="rId790" display="Caballero 2011" xr:uid="{A47AA487-DFED-4457-B7E0-950363C7CB83}"/>
    <hyperlink ref="B1105" r:id="rId791" display="Caballero 2011" xr:uid="{C885F99B-E56D-47E1-B455-D2D348ED49C8}"/>
    <hyperlink ref="B1106" r:id="rId792" display="Caballero 2011" xr:uid="{52768419-8764-4695-BEE5-8DC06938FF22}"/>
    <hyperlink ref="B1107" r:id="rId793" display="Caballero 2011" xr:uid="{9ED83EC3-668E-4EE8-AB78-0B9BBD20E3C3}"/>
    <hyperlink ref="B1108" r:id="rId794" display="Caballero 2011" xr:uid="{B83BE2C8-063D-47C8-A4FE-FFB57A51707D}"/>
    <hyperlink ref="B1109" r:id="rId795" display="Caballero 2011" xr:uid="{D26A4995-7255-42EF-927B-89F71FC7D6B4}"/>
    <hyperlink ref="B1110:B1115" r:id="rId796" display="Fernandes 2013" xr:uid="{068F9213-E42B-4314-8BAC-9BE349903CB6}"/>
    <hyperlink ref="B1115" r:id="rId797" xr:uid="{A6561085-2B77-41A2-9BA3-5980211B3A06}"/>
    <hyperlink ref="B1116" r:id="rId798" xr:uid="{D68EB1E8-B318-450D-946C-20CF82FD7E88}"/>
    <hyperlink ref="B1117" r:id="rId799" xr:uid="{3C3854B1-66F2-4837-956D-CD5899651CC6}"/>
    <hyperlink ref="B1118" r:id="rId800" xr:uid="{4F830B22-950E-4FBE-911E-6CE91415C448}"/>
    <hyperlink ref="B1119" r:id="rId801" xr:uid="{935E60CB-07D0-4C6A-88A3-9FC4B0E60B78}"/>
    <hyperlink ref="B1120" r:id="rId802" xr:uid="{E66B9DF1-1B0A-408C-ACBD-1C8AB1645174}"/>
    <hyperlink ref="B1121" r:id="rId803" xr:uid="{65C6F086-8E01-40EF-AAD1-12C04615E942}"/>
    <hyperlink ref="B1122" r:id="rId804" xr:uid="{8F264958-AB4A-4DB4-B76D-46C69FE6D6D6}"/>
    <hyperlink ref="B1123" r:id="rId805" xr:uid="{D7388C74-D9EE-42A8-AFC4-A8864E1A213D}"/>
    <hyperlink ref="B1124" r:id="rId806" xr:uid="{F031C9E8-3C11-4C21-9F93-FE34EB1C6E17}"/>
    <hyperlink ref="B1125" r:id="rId807" xr:uid="{B3D85429-5D24-44B4-8C6C-709A37334265}"/>
    <hyperlink ref="B1126" r:id="rId808" xr:uid="{ABE6083D-8F59-4FA6-9FC4-AAB003E27CA0}"/>
    <hyperlink ref="B1127" r:id="rId809" xr:uid="{7449F71C-A4D3-4D23-A31E-759710EE2D1D}"/>
    <hyperlink ref="B1128" r:id="rId810" xr:uid="{8369C27B-A500-40FD-BDC7-5B6F7AC75051}"/>
    <hyperlink ref="B1129" r:id="rId811" xr:uid="{D7F6A2F6-7A22-4B43-A52C-5412959B9CBC}"/>
    <hyperlink ref="B1130" r:id="rId812" xr:uid="{1F5CA278-1568-4CF9-AC42-1B9F9BC7894F}"/>
    <hyperlink ref="B1131" r:id="rId813" xr:uid="{C6A09899-BF2D-4900-8DA3-020EE6C5F895}"/>
    <hyperlink ref="B1132" r:id="rId814" xr:uid="{52930C38-321B-47ED-B67B-540F4A436D1F}"/>
    <hyperlink ref="B1133" r:id="rId815" xr:uid="{1AA74B36-C424-4BB5-B4A9-7AC3C36ED513}"/>
    <hyperlink ref="B1134" r:id="rId816" xr:uid="{173EDFA1-FA09-4646-AF09-1A2BC45A6C92}"/>
    <hyperlink ref="B1135" r:id="rId817" xr:uid="{F6AFB9E0-2DBC-46C8-848C-27C98D66329C}"/>
    <hyperlink ref="B1136" r:id="rId818" xr:uid="{1A991198-6473-431B-9EEC-3DFA4FD2FEC7}"/>
    <hyperlink ref="B1137" r:id="rId819" xr:uid="{FC31AA0A-EF59-4EF0-801C-BBC1C8510BE5}"/>
    <hyperlink ref="B1138" r:id="rId820" xr:uid="{7E0A0202-D189-4C9F-8D45-D519AAECB085}"/>
    <hyperlink ref="B1139" r:id="rId821" xr:uid="{E40D6504-7CFD-48CC-845C-E8B0A47C658A}"/>
    <hyperlink ref="B1140" r:id="rId822" xr:uid="{C8680297-CDDD-460F-A57B-DBD08D55E000}"/>
    <hyperlink ref="B1141" r:id="rId823" xr:uid="{D9C4E4E6-D283-41BD-8FD5-04A5DE4319F1}"/>
    <hyperlink ref="B1142" r:id="rId824" xr:uid="{9B59A8AA-FFDC-49B5-8FC8-09ADF4645123}"/>
    <hyperlink ref="B1143" r:id="rId825" xr:uid="{D39AB126-C37C-4321-A69D-DA83C5D735F5}"/>
    <hyperlink ref="B1144" r:id="rId826" xr:uid="{2E19B4CB-FE35-4A03-BE94-455A4EE23E0B}"/>
    <hyperlink ref="B1145" r:id="rId827" xr:uid="{EB323D39-6E50-4ABE-A484-E4523C6E477E}"/>
    <hyperlink ref="B1146" r:id="rId828" xr:uid="{F36DACFD-305A-40C4-827C-8D07F190265E}"/>
    <hyperlink ref="B1147" r:id="rId829" xr:uid="{D636E45F-1E54-47E8-AD40-3709EA35EBCA}"/>
    <hyperlink ref="B1148" r:id="rId830" xr:uid="{28B4A57D-44D3-40BA-8821-5497CDCE17A0}"/>
    <hyperlink ref="B1149" r:id="rId831" xr:uid="{31625ED8-71CF-4244-8C6C-2B89AA1D883F}"/>
    <hyperlink ref="B1150" r:id="rId832" xr:uid="{D38E64E5-E741-40CB-BBD1-BDC81EC825A5}"/>
    <hyperlink ref="B1151" r:id="rId833" xr:uid="{143926AE-3073-4EB7-BB07-BEC503B6C860}"/>
    <hyperlink ref="B1152" r:id="rId834" xr:uid="{6E21F601-2ED1-44AC-9554-4212567C57DE}"/>
    <hyperlink ref="B1153" r:id="rId835" xr:uid="{1FD67231-5E2D-455E-A3CD-D8EF29778411}"/>
    <hyperlink ref="B1154" r:id="rId836" xr:uid="{09EE47BF-38F0-4CC0-8C97-15C038CFB3AB}"/>
    <hyperlink ref="B1155" r:id="rId837" xr:uid="{02F71FDC-EC30-41B9-B985-594754911FE3}"/>
    <hyperlink ref="B1156" r:id="rId838" xr:uid="{A9A2AB75-E629-4130-84F5-422246DBD85A}"/>
    <hyperlink ref="B1157" r:id="rId839" xr:uid="{AD567F1E-88CF-4370-847B-E6508B32DBFF}"/>
    <hyperlink ref="B1158" r:id="rId840" xr:uid="{8A8F4214-F552-4480-B9F8-65E80D263BB3}"/>
    <hyperlink ref="B1159" r:id="rId841" xr:uid="{4DE71112-8350-4232-8023-A604DB4DA960}"/>
    <hyperlink ref="B1160" r:id="rId842" xr:uid="{1B4BB719-7A9B-408F-960E-18A767D6985D}"/>
    <hyperlink ref="B1161" r:id="rId843" xr:uid="{079E09D6-B5DA-4BD6-802D-AD88550E4E53}"/>
    <hyperlink ref="B1162" r:id="rId844" xr:uid="{ABD8D34A-C86D-4F43-A414-AC090A7689B5}"/>
    <hyperlink ref="B1163" r:id="rId845" xr:uid="{6E0CFCB8-545B-4EC1-90FD-FAA4F06AC6D9}"/>
    <hyperlink ref="B1164" r:id="rId846" xr:uid="{7E20BA0B-5AD4-4808-BE52-F754BCA72054}"/>
    <hyperlink ref="B1165" r:id="rId847" xr:uid="{AF68B5AB-9B5E-4A06-93F0-B5C7EBB338D4}"/>
    <hyperlink ref="B1166" r:id="rId848" xr:uid="{41DADDE5-D696-48AA-B0E5-C37273B1CFDC}"/>
    <hyperlink ref="B1167" r:id="rId849" xr:uid="{4DE0A9E1-0455-4375-B82C-4C568D8877D1}"/>
    <hyperlink ref="B1168" r:id="rId850" xr:uid="{F0381485-EF40-4EDD-BE96-5992F84E2B67}"/>
    <hyperlink ref="B1169" r:id="rId851" xr:uid="{905088C7-AFF7-43DD-B2C4-7E0FE91F819E}"/>
    <hyperlink ref="B1170" r:id="rId852" xr:uid="{AE7BB22F-E86F-46B9-A106-F6D0AB00625F}"/>
    <hyperlink ref="B1171" r:id="rId853" xr:uid="{977965D0-51A3-40F3-BC45-42A51F601920}"/>
    <hyperlink ref="B1172" r:id="rId854" xr:uid="{EA3EF0EA-91F3-4952-A134-073B7F3BE564}"/>
    <hyperlink ref="B1173" r:id="rId855" xr:uid="{A18B959C-2DC9-41C0-A3E9-8D36A1230862}"/>
    <hyperlink ref="B1174" r:id="rId856" xr:uid="{ED661D59-E35C-4566-9C32-034D6221D23D}"/>
    <hyperlink ref="B1175" r:id="rId857" xr:uid="{B748F9EF-2118-480D-82E9-B38C1DA21FD0}"/>
    <hyperlink ref="B1176" r:id="rId858" xr:uid="{4DCA195D-A0BB-4566-B222-73DE6BD903E9}"/>
    <hyperlink ref="B1177" r:id="rId859" xr:uid="{26C4561C-5C01-4BAE-9A4A-7EDC1301F069}"/>
    <hyperlink ref="B1178" r:id="rId860" xr:uid="{8E35946B-4535-4FBA-820B-C2A210615730}"/>
    <hyperlink ref="B1179" r:id="rId861" xr:uid="{CE14BE76-BD4C-47F2-B2A7-5495208D865D}"/>
    <hyperlink ref="B1180" r:id="rId862" xr:uid="{40F679C1-C964-4627-855C-379EA1A58CE3}"/>
    <hyperlink ref="B1181" r:id="rId863" xr:uid="{CB525611-1E74-4F24-97B4-DDD0080DAE6D}"/>
    <hyperlink ref="B1182" r:id="rId864" xr:uid="{7270CD36-CEE0-4487-8F44-4D6CCBFF120A}"/>
    <hyperlink ref="B1183" r:id="rId865" xr:uid="{1A10DE54-FB42-456F-9A27-00DEEDC696BE}"/>
    <hyperlink ref="B1184" r:id="rId866" xr:uid="{9A1B59A6-BDD1-483C-AC93-7066FE228481}"/>
    <hyperlink ref="B1185" r:id="rId867" xr:uid="{3A18A231-E7B5-475A-9BA4-B7C105790FA5}"/>
    <hyperlink ref="B1186" r:id="rId868" xr:uid="{6BC817DF-8760-4D69-8FE4-3F472D5F98B0}"/>
    <hyperlink ref="B1187" r:id="rId869" xr:uid="{16AA27C2-AF38-43E8-A28A-92F27551762A}"/>
    <hyperlink ref="B1188" r:id="rId870" xr:uid="{9BE13563-AEFA-49D7-8063-9015CACFE74A}"/>
    <hyperlink ref="B1189" r:id="rId871" xr:uid="{2CB3C9A0-06E8-4A99-9C89-BB2E9D99F400}"/>
    <hyperlink ref="B1190" r:id="rId872" xr:uid="{10EC0779-10A4-4188-AD01-ABBCFCF5C5A8}"/>
    <hyperlink ref="B1191" r:id="rId873" xr:uid="{26383AA3-0255-45C0-BC99-A374A256C788}"/>
    <hyperlink ref="B1192" r:id="rId874" xr:uid="{42BD0865-8BE8-4398-97FD-D64B339C0E83}"/>
    <hyperlink ref="B1193" r:id="rId875" xr:uid="{4C778C08-362E-42F3-A8F0-F4E52FCD09FC}"/>
    <hyperlink ref="B1194" r:id="rId876" xr:uid="{828B5A9D-7D77-49B2-9E4D-D00ACE56BD49}"/>
    <hyperlink ref="B1195" r:id="rId877" xr:uid="{0B9C3C43-304F-42E4-81FD-29E7F1C70C27}"/>
    <hyperlink ref="B1196" r:id="rId878" xr:uid="{C2D40117-9739-4537-A0D7-973D5B0736BC}"/>
    <hyperlink ref="B1197" r:id="rId879" xr:uid="{0C96B139-F5EB-4425-B7E8-1F65614801DA}"/>
    <hyperlink ref="B1198" r:id="rId880" xr:uid="{74C5A921-C319-401C-9B0D-19E9C40985CC}"/>
    <hyperlink ref="B1199" r:id="rId881" xr:uid="{78C63E9A-CEB4-4D0C-BBAE-2E764A776933}"/>
    <hyperlink ref="B1200" r:id="rId882" xr:uid="{80C84C13-CEF2-4D7C-A938-87C4FA945F99}"/>
    <hyperlink ref="B1201" r:id="rId883" xr:uid="{C9FCFCBE-3426-4577-99EE-799460479525}"/>
    <hyperlink ref="B1202" r:id="rId884" xr:uid="{B484AA72-6AE2-4A14-9033-4F0B0BF106FF}"/>
    <hyperlink ref="B1203" r:id="rId885" xr:uid="{0C1DA364-930D-442E-9469-6C6CD3B50237}"/>
    <hyperlink ref="B1204" r:id="rId886" xr:uid="{FDEA401C-D25F-40CA-8E0A-48751F08272D}"/>
    <hyperlink ref="B1205" r:id="rId887" xr:uid="{AC44522A-E3D5-4C6F-8C4F-CD70BE92F4C6}"/>
    <hyperlink ref="B1206" r:id="rId888" xr:uid="{5B950A6D-4F72-4BE7-8F33-443F0CF652D2}"/>
    <hyperlink ref="B1207" r:id="rId889" xr:uid="{5E9EA767-591D-4D2F-B541-CC96192592E1}"/>
    <hyperlink ref="B1208" r:id="rId890" xr:uid="{B88DBD61-4BB8-43CD-B6AE-F67AC447E202}"/>
    <hyperlink ref="B1209" r:id="rId891" xr:uid="{3D63A7B5-B1D8-46F3-B244-22A64973D3F1}"/>
    <hyperlink ref="B1210" r:id="rId892" xr:uid="{262A76CE-9291-4BF1-B106-D2E528576751}"/>
    <hyperlink ref="B1211" r:id="rId893" xr:uid="{6EBECAF7-2FBB-4319-8F5A-48519C7B8641}"/>
    <hyperlink ref="B1212" r:id="rId894" xr:uid="{75F794C3-4BBD-460D-BCC9-06CA273A8123}"/>
    <hyperlink ref="B1213" r:id="rId895" xr:uid="{91CBE925-1C33-47C4-8309-2DD52D1D7B3E}"/>
    <hyperlink ref="B1214" r:id="rId896" xr:uid="{BB919ECA-1FBC-4A4D-B5ED-D4593E542C72}"/>
    <hyperlink ref="B1215" r:id="rId897" xr:uid="{8759B751-56C4-42D2-AF61-9A50C34228E4}"/>
    <hyperlink ref="B1216" r:id="rId898" xr:uid="{2B837AA3-C7E3-4B89-BA52-676920717A09}"/>
    <hyperlink ref="B1217" r:id="rId899" xr:uid="{2558871D-0529-477F-88FD-42669B98A5EC}"/>
    <hyperlink ref="B1218" r:id="rId900" xr:uid="{CF132BDD-B05C-4315-B4C5-1F36C66A1325}"/>
    <hyperlink ref="B1219" r:id="rId901" xr:uid="{21569191-A739-48AA-8664-DDBEBFCC51F6}"/>
    <hyperlink ref="B1220" r:id="rId902" xr:uid="{9A2B8348-57D1-42B0-9726-63AA60DB8DB1}"/>
    <hyperlink ref="B1221" r:id="rId903" xr:uid="{B48DDE5D-9B78-4818-8AFC-910A4EAF69B3}"/>
    <hyperlink ref="Q1221" r:id="rId904" xr:uid="{AA85A300-AE09-4F36-9615-614860C488CB}"/>
    <hyperlink ref="B1222" r:id="rId905" xr:uid="{9CC701C4-0D85-4B71-A2C9-7E288A8B8BF5}"/>
    <hyperlink ref="B1223" r:id="rId906" xr:uid="{53DDAAB7-D8B0-4AB7-8E56-ED572DA123F8}"/>
    <hyperlink ref="B1224" r:id="rId907" xr:uid="{0661E1C9-6145-4FD9-954C-B98F736CC819}"/>
    <hyperlink ref="B1225" r:id="rId908" xr:uid="{3EDB86A5-69D0-4B4B-AE8E-03A46674CDE0}"/>
    <hyperlink ref="B1226" r:id="rId909" xr:uid="{7B3D2E29-1869-4B18-877F-8DFF6A39CA77}"/>
    <hyperlink ref="B1227" r:id="rId910" xr:uid="{CF274889-1D5C-4F35-9A90-6442B05FCF26}"/>
    <hyperlink ref="B1228" r:id="rId911" xr:uid="{903D40B8-F712-4C4F-AED5-430A616AD5FD}"/>
    <hyperlink ref="B1229" r:id="rId912" xr:uid="{E4736202-9FAD-4FA6-9214-5661DFED3C8E}"/>
    <hyperlink ref="B1230" r:id="rId913" xr:uid="{8416223D-F6A3-40CF-A68A-368E42300470}"/>
    <hyperlink ref="B1231" r:id="rId914" xr:uid="{F768984C-8243-4F62-84CF-56C14559C2CF}"/>
    <hyperlink ref="B1232" r:id="rId915" xr:uid="{8AB6FB99-B723-445C-A2F1-AF987A0E1580}"/>
    <hyperlink ref="B1233" r:id="rId916" xr:uid="{5D2BDACD-0E03-41F0-AF36-B69D13A8C358}"/>
    <hyperlink ref="B1234:B1242" r:id="rId917" display="Pavleichik 2017" xr:uid="{798A9FAD-19C3-4772-9AE0-C6E2BB0F73AA}"/>
    <hyperlink ref="B1243" r:id="rId918" xr:uid="{04325BB0-11B9-492C-8AA0-35ECF55AB873}"/>
    <hyperlink ref="B1244" r:id="rId919" xr:uid="{6252ADF4-918B-487B-9240-933EBC91DA83}"/>
    <hyperlink ref="B1245" r:id="rId920" xr:uid="{A36D5C78-AE21-4741-8613-B021E00D9AAB}"/>
    <hyperlink ref="B1246" r:id="rId921" xr:uid="{63EF858C-630D-48A7-B980-22C551819E6D}"/>
    <hyperlink ref="B1247" r:id="rId922" xr:uid="{FF3A350E-D724-4F79-9439-B7566199EC86}"/>
    <hyperlink ref="B1248" r:id="rId923" xr:uid="{D8F0DCB7-76F6-4DC0-9B2A-0E2E492D544A}"/>
    <hyperlink ref="B1249" r:id="rId924" xr:uid="{2685B421-03E3-466B-A5FD-2FB51562F5AB}"/>
    <hyperlink ref="B1250" r:id="rId925" xr:uid="{BA616B1D-047F-4389-A858-BB44224E45FC}"/>
    <hyperlink ref="B1251" r:id="rId926" xr:uid="{A72A0DA5-BBD5-4C4F-A61F-F5EA366B92B8}"/>
    <hyperlink ref="B1252" r:id="rId927" xr:uid="{F87A07C5-8485-4C9D-8989-3EBDF1FB238F}"/>
    <hyperlink ref="B1253" r:id="rId928" xr:uid="{E747C00B-E2A8-4176-AFD6-4F67ACFD4F4E}"/>
    <hyperlink ref="B1254" r:id="rId929" xr:uid="{7D110D34-6159-43C7-87F3-4C9C5F1F746B}"/>
    <hyperlink ref="B1255" r:id="rId930" xr:uid="{07333323-6032-46E9-B6F3-A26D0652D34D}"/>
    <hyperlink ref="B1256" r:id="rId931" xr:uid="{17D4D8C4-9BF6-4A95-992D-E051A1C25EDB}"/>
    <hyperlink ref="B1257" r:id="rId932" xr:uid="{46C82B56-CEBC-4AE1-AD06-764682C820F1}"/>
    <hyperlink ref="B1258" r:id="rId933" xr:uid="{EF0C8DB2-F064-491E-A123-0F83FDAD2D71}"/>
    <hyperlink ref="B1260" r:id="rId934" xr:uid="{12FF3E2F-3698-4E50-9E2B-F458988E3475}"/>
    <hyperlink ref="B1259" r:id="rId935" xr:uid="{E4883DBA-3C1B-460C-937D-8A7B7D4E2FF2}"/>
    <hyperlink ref="B1261" r:id="rId936" xr:uid="{6721A1E2-80A8-4C63-BD31-E7DBB8460975}"/>
    <hyperlink ref="B1262" r:id="rId937" xr:uid="{302C830B-8BF4-4CD9-8378-039CD1902184}"/>
    <hyperlink ref="B1263" r:id="rId938" xr:uid="{EE206AC3-A876-41F1-A3F7-034234EC6A46}"/>
    <hyperlink ref="B1264" r:id="rId939" xr:uid="{6CEEEF50-AB1E-456D-A4FF-3E3D91076FE0}"/>
    <hyperlink ref="B1265" r:id="rId940" xr:uid="{B7DA6ABB-C428-4EDA-80A4-27CEE6465793}"/>
    <hyperlink ref="B1266" r:id="rId941" xr:uid="{FEBDE4ED-AF5F-4A52-BE1D-92E4B69EC9AC}"/>
    <hyperlink ref="B1267" r:id="rId942" xr:uid="{B8E8F1CB-830B-4609-A89E-C5BFA14A8C04}"/>
    <hyperlink ref="B1268" r:id="rId943" xr:uid="{638D8575-1B57-49FF-904D-B041CE25D652}"/>
    <hyperlink ref="B1269" r:id="rId944" xr:uid="{FF7D3F3A-363A-4F60-931E-0320E2F244EB}"/>
    <hyperlink ref="B1270" r:id="rId945" xr:uid="{EF02F299-2CD9-4C38-A64F-A08B4C5C262D}"/>
    <hyperlink ref="B1271" r:id="rId946" xr:uid="{416AA7C5-59B3-4C4E-B4ED-A4ABB098E906}"/>
    <hyperlink ref="B1272" r:id="rId947" xr:uid="{9304AE7E-8C73-449C-A718-3A4FC9F80C6F}"/>
    <hyperlink ref="B1273" r:id="rId948" xr:uid="{57F11B2E-C2F7-4F3F-8EF9-A63A14F14A1B}"/>
    <hyperlink ref="B1274" r:id="rId949" xr:uid="{37C79228-5215-4874-BB94-85497D89FF89}"/>
    <hyperlink ref="B1275" r:id="rId950" xr:uid="{CFFAEF68-597F-473A-AF6C-9AEEFB0BFC95}"/>
    <hyperlink ref="B1276" r:id="rId951" xr:uid="{6E3222E4-6555-4132-A0E8-189EC8FF7511}"/>
    <hyperlink ref="B1277" r:id="rId952" xr:uid="{A7261E10-EEA7-4147-8138-B9D11019A35A}"/>
    <hyperlink ref="B1278" r:id="rId953" xr:uid="{AFDA0FB3-9AA7-46C0-8D3C-FF9E7B5A6CB0}"/>
    <hyperlink ref="B1279" r:id="rId954" display="Leverkus 2018" xr:uid="{AF6854E9-4B02-439B-A7AD-3C84CC1DADD5}"/>
    <hyperlink ref="B1280" r:id="rId955" display="Leverkus 2018" xr:uid="{A9CBA4A6-8D43-4402-9E41-57EF90C23A1B}"/>
    <hyperlink ref="B1281" r:id="rId956" display="Leverkus 2018" xr:uid="{F0AC14CE-F1F6-471D-AE49-0F11059CB7A2}"/>
    <hyperlink ref="B1282" r:id="rId957" xr:uid="{19E8B699-E3A9-4119-AFF5-F9BB665D3424}"/>
    <hyperlink ref="B1283" r:id="rId958" xr:uid="{0580D2EC-53F4-4868-8434-9229445D0DB5}"/>
    <hyperlink ref="B1284" r:id="rId959" xr:uid="{7B4B6A1C-0E12-4F00-9AA6-79AA04727E99}"/>
    <hyperlink ref="B1285" r:id="rId960" xr:uid="{BE63F177-ED60-4C0E-B07F-8D413512E0BE}"/>
    <hyperlink ref="B1286" r:id="rId961" xr:uid="{AC1E5168-6698-4082-B766-99FB7A6B7C1E}"/>
    <hyperlink ref="B1287" r:id="rId962" xr:uid="{46D2FA61-2ED1-43AE-8ECC-EBCC659C5769}"/>
    <hyperlink ref="B1288" r:id="rId963" xr:uid="{7783BB38-8DC8-4C0B-924D-D95864E5A60E}"/>
    <hyperlink ref="B1289" r:id="rId964" xr:uid="{06A2C2B0-EC1E-472D-B111-D2F84E272BC6}"/>
    <hyperlink ref="B1290" r:id="rId965" xr:uid="{59351DA6-16BC-436D-946E-CB8857D1EF61}"/>
    <hyperlink ref="B1291" r:id="rId966" xr:uid="{61A919EB-2308-4F56-A4D0-FCE8E22AA9FF}"/>
    <hyperlink ref="B1292" r:id="rId967" xr:uid="{31CE6F97-880C-43DD-8411-F42E676DD91C}"/>
    <hyperlink ref="B1293" r:id="rId968" xr:uid="{066FBA05-D009-4B55-BCA2-0CC54AD208F2}"/>
    <hyperlink ref="B1294" r:id="rId969" location="v=onepage&amp;q&amp;f=false" xr:uid="{99748A36-9EC6-470B-B989-2B90DC94DFEC}"/>
    <hyperlink ref="B1295" r:id="rId970" location="v=onepage&amp;q&amp;f=false" xr:uid="{6D11EAE1-ABFF-4DF9-A679-F0982A449E44}"/>
    <hyperlink ref="B1296" r:id="rId971" location="v=onepage&amp;q&amp;f=false" xr:uid="{CE6544D5-7DEA-41D2-A424-B34855A769C0}"/>
    <hyperlink ref="B1297" r:id="rId972" xr:uid="{DBFB8980-3B03-489C-AE21-88DFEFD3CE5F}"/>
    <hyperlink ref="B1299" r:id="rId973" display="Smil 1999" xr:uid="{07CA7A62-8C91-4305-853D-9DEE473EF248}"/>
    <hyperlink ref="B1298" r:id="rId974" xr:uid="{0D68574D-4088-43F7-9453-BEB7E9DA96DB}"/>
    <hyperlink ref="B1300" r:id="rId975" xr:uid="{4A4A620A-3465-4A94-9E98-1FBDDCD661E7}"/>
    <hyperlink ref="B1301" r:id="rId976" xr:uid="{090A910E-9F75-42AB-92BB-C0CAF0D1DCFA}"/>
    <hyperlink ref="B1302" r:id="rId977" xr:uid="{4C3C93DA-7C75-4EDD-876A-1AB14881425F}"/>
    <hyperlink ref="B1303" r:id="rId978" xr:uid="{96191E26-DB5F-45B5-B861-8492F7A08C37}"/>
    <hyperlink ref="B1304" r:id="rId979" xr:uid="{6292FFDB-B8F7-4682-9B1B-0626D601FBB2}"/>
    <hyperlink ref="B1305" r:id="rId980" xr:uid="{BDB10B16-0201-4AD2-9E9C-65844A8B69C5}"/>
    <hyperlink ref="B1306:B1319" r:id="rId981" display="Rudorff 2010" xr:uid="{8B5FEFA1-D208-47B1-9141-84648F52DDA9}"/>
    <hyperlink ref="B1320" r:id="rId982" display="Rudorff 2010" xr:uid="{04133DE7-60BE-45FB-A858-E2EBBEE5C358}"/>
    <hyperlink ref="B1321" r:id="rId983" xr:uid="{6FA50F31-598C-474A-A435-3BB8650FB48F}"/>
    <hyperlink ref="B1322" r:id="rId984" xr:uid="{ABED5B43-6652-48D9-9B88-D377D4E8CDD1}"/>
    <hyperlink ref="B1323" r:id="rId985" xr:uid="{81EF4FF1-31CD-495F-B4ED-D8A5E2793073}"/>
    <hyperlink ref="B1324" r:id="rId986" xr:uid="{EBF0ADC5-0213-4548-817B-64BF2BC9D977}"/>
    <hyperlink ref="B1325" r:id="rId987" xr:uid="{778C363A-BB94-4E13-8ED6-06C992AC736F}"/>
    <hyperlink ref="B1326" r:id="rId988" xr:uid="{1A1E3E81-2C50-43CB-A91B-4A89CA2DFFAB}"/>
    <hyperlink ref="B1327" r:id="rId989" xr:uid="{98D8D543-EDC1-4B53-AECC-00BC794730B5}"/>
    <hyperlink ref="B1328" r:id="rId990" xr:uid="{81B51885-3764-4E77-B5F5-A34F85D48781}"/>
    <hyperlink ref="B1329" r:id="rId991" xr:uid="{82E83B1D-6581-4629-81F5-9CCA4FD00B14}"/>
    <hyperlink ref="B1330" r:id="rId992" xr:uid="{CE889403-9476-4303-9E4C-DBD9C7D847F4}"/>
    <hyperlink ref="B1331" r:id="rId993" xr:uid="{593812FA-5557-4B86-8129-96320357B29A}"/>
    <hyperlink ref="B1332" r:id="rId994" xr:uid="{19342BED-00C6-4CC7-88B4-EDC91E03E430}"/>
    <hyperlink ref="B1333" r:id="rId995" xr:uid="{8C6BD2B0-C5EF-4772-94CC-D0B4F30FFD99}"/>
    <hyperlink ref="B1334" r:id="rId996" xr:uid="{EDB8B46B-4B91-4131-B1CE-79F2485F3C4C}"/>
    <hyperlink ref="B1015:B1019" r:id="rId997" display="Sun, Ge &amp; Zhou, 2011" xr:uid="{746C264E-50CF-47B9-B096-75D371E8B645}"/>
    <hyperlink ref="B1335" r:id="rId998" display="Chang 2019" xr:uid="{679AB78D-952E-401F-90EB-F41A45446EDA}"/>
    <hyperlink ref="B1336" r:id="rId999" xr:uid="{D48C6AC6-56F8-4288-8520-CA9F96C2BB64}"/>
    <hyperlink ref="B1337" r:id="rId1000" xr:uid="{F0710096-A065-43E3-BEAD-1563FDADFC02}"/>
    <hyperlink ref="B1338" r:id="rId1001" xr:uid="{B87ACAD4-92C9-4224-8A3F-50437830DA59}"/>
    <hyperlink ref="B1339" r:id="rId1002" xr:uid="{8F998434-99B9-4C6B-B631-8983724F0B80}"/>
    <hyperlink ref="B1340" r:id="rId1003" xr:uid="{527CB516-CA35-47AD-A0C5-FD916BC3E045}"/>
    <hyperlink ref="B1341" r:id="rId1004" xr:uid="{159B2090-7C9F-47D9-97BA-63019EB62452}"/>
    <hyperlink ref="B1342" r:id="rId1005" xr:uid="{FCE6BA60-19B1-4504-B01D-39DB829C2603}"/>
    <hyperlink ref="B1343" r:id="rId1006" xr:uid="{6EAC6DF9-C7A3-481D-8B89-A0FD47856990}"/>
    <hyperlink ref="B1344" r:id="rId1007" xr:uid="{B3BAE799-3053-4310-85F6-3128E7BDD873}"/>
    <hyperlink ref="B1345" r:id="rId1008" xr:uid="{CAFEAB8C-B58E-40C1-A665-F9F0A8E0C471}"/>
    <hyperlink ref="B1346" r:id="rId1009" xr:uid="{8F65901B-E1C8-41E7-81E7-8778FA407B7C}"/>
    <hyperlink ref="B1347" r:id="rId1010" xr:uid="{FFC92D6E-76DD-410D-9AA0-E7140033ACF2}"/>
    <hyperlink ref="B1348" r:id="rId1011" xr:uid="{411F27EC-F00F-4694-AE28-222DD215648D}"/>
    <hyperlink ref="B1349" r:id="rId1012" xr:uid="{02A3345F-A00B-4D51-ABFB-A90AD65261A0}"/>
    <hyperlink ref="B1350" r:id="rId1013" xr:uid="{011E2AC4-7146-4BA7-9DE2-66BA34A23FA5}"/>
    <hyperlink ref="B1351" r:id="rId1014" xr:uid="{5A9A2093-1AB5-4E1D-BC64-C09921A27CF1}"/>
    <hyperlink ref="B1352" r:id="rId1015" xr:uid="{8DEFEFC0-10F4-4D00-A0D5-406FA576AC23}"/>
    <hyperlink ref="B1353:B1354" r:id="rId1016" display="Gadde 2009" xr:uid="{DD5FD498-EDDE-428F-A6D2-9167AACC4CEA}"/>
    <hyperlink ref="B1355:B1356" r:id="rId1017" display="Gadde 2009" xr:uid="{A754ACF6-07DF-4BFC-8789-1F9FC60BF597}"/>
    <hyperlink ref="B1357" r:id="rId1018" xr:uid="{1879FEAB-AE5C-4ACF-AD4D-508433D6BECF}"/>
    <hyperlink ref="B1358" r:id="rId1019" xr:uid="{20EC7FCE-994B-4610-8C4F-6FC400361A6B}"/>
    <hyperlink ref="B1359" r:id="rId1020" xr:uid="{522F09C6-A097-44F9-8F46-ABEB0AD53E19}"/>
    <hyperlink ref="B1360" r:id="rId1021" xr:uid="{796F40F7-FB5A-45C4-A16F-2BE68EE33412}"/>
    <hyperlink ref="B1361" r:id="rId1022" display="Pouliot" xr:uid="{0145EA51-5377-4628-BA16-3AD0DC3DE978}"/>
    <hyperlink ref="B1362" r:id="rId1023" display="Pouliot" xr:uid="{2BF3C50A-9CB6-4D16-9217-9C364D57B1F0}"/>
    <hyperlink ref="B1363" r:id="rId1024" display="Pouliot" xr:uid="{A9D32A86-B8FB-46EB-8F45-30CDD11C3712}"/>
    <hyperlink ref="B1364" r:id="rId1025" xr:uid="{7B0EC9FD-4533-4423-AA8C-041214B31C21}"/>
    <hyperlink ref="B1365:B1366" r:id="rId1026" display="McCarty 2017" xr:uid="{A772AB00-E9F8-46F1-9FAC-C1EB28891F5C}"/>
    <hyperlink ref="B1367" r:id="rId1027" xr:uid="{D9036221-CF12-4C8C-A04A-4396C52CDF2B}"/>
    <hyperlink ref="B1368:B1380" r:id="rId1028" display="Farag 2013" xr:uid="{BC5C0D40-EFCB-4396-B379-15081531126E}"/>
    <hyperlink ref="B1381" r:id="rId1029" xr:uid="{7193DD03-1D93-4CBE-952F-2C06BD525270}"/>
    <hyperlink ref="B1382" r:id="rId1030" xr:uid="{6C59345C-7673-4CAD-97D4-8D49045728DD}"/>
    <hyperlink ref="B1383" r:id="rId1031" xr:uid="{04F457DA-4385-4199-BABB-18C2C40051AF}"/>
    <hyperlink ref="B1384" r:id="rId1032" xr:uid="{D83E386E-E3E0-4680-AD15-87E13297566F}"/>
    <hyperlink ref="B1385" r:id="rId1033" xr:uid="{768C1967-0C3E-4953-9779-3FA7AC4418DB}"/>
    <hyperlink ref="B1386" r:id="rId1034" xr:uid="{290DDFD2-CC45-4A25-8AFD-9F2817BD4ECD}"/>
    <hyperlink ref="B1387" r:id="rId1035" xr:uid="{30F20F84-B739-4F7A-BE3C-97067736D8A7}"/>
    <hyperlink ref="B1388" r:id="rId1036" xr:uid="{726D97FC-5479-412E-9EB5-CB731DDAECCA}"/>
    <hyperlink ref="B1389" r:id="rId1037" xr:uid="{3ACD992C-5635-4390-97F3-50702BE09C77}"/>
    <hyperlink ref="B1390" r:id="rId1038" display="Achyar 2014" xr:uid="{E7623105-AC82-44E2-AAC6-B9767EBB1FE3}"/>
    <hyperlink ref="B1391" r:id="rId1039" xr:uid="{640993CB-9260-48E3-90E8-41AA93E0C6C1}"/>
    <hyperlink ref="B1392" r:id="rId1040" xr:uid="{2865D96F-8962-42E7-ADCF-60F9C2C2A98F}"/>
    <hyperlink ref="B1393" r:id="rId1041" xr:uid="{BFF38722-1C11-4470-8E6A-3A5962A62EAD}"/>
    <hyperlink ref="B1394" r:id="rId1042" xr:uid="{F631267D-9FB8-4137-A323-F816814B4B01}"/>
    <hyperlink ref="B1395" r:id="rId1043" xr:uid="{BFAFBC05-B474-41A6-87BD-943F947FC8D2}"/>
    <hyperlink ref="B1396" r:id="rId1044" xr:uid="{ED030688-DEAB-4ECA-A5B4-FEF550EDFAFA}"/>
    <hyperlink ref="B1397" r:id="rId1045" xr:uid="{43006636-F6A3-4D7F-8859-A90C8C097123}"/>
    <hyperlink ref="B1398" r:id="rId1046" xr:uid="{84EF799C-B858-45E1-80F8-4F83B4111142}"/>
    <hyperlink ref="B1399" r:id="rId1047" xr:uid="{2309AE16-A35A-4F5F-9BAD-2EE2A9B97EB2}"/>
    <hyperlink ref="B1400" r:id="rId1048" xr:uid="{2652B913-34EA-4711-B4D0-2B676DA1B92C}"/>
    <hyperlink ref="B1401" r:id="rId1049" xr:uid="{B505018A-FC32-4BC9-A392-EA72C83F3204}"/>
    <hyperlink ref="B1402" r:id="rId1050" xr:uid="{FF7F757E-0A44-4AA8-8C5B-6FAD20483C87}"/>
    <hyperlink ref="B1403" r:id="rId1051" display="Hung 2019" xr:uid="{592EA124-8F96-4A76-B2F7-797581509065}"/>
    <hyperlink ref="B1406" r:id="rId1052" xr:uid="{96DF1AC6-5DDB-4353-9CEA-965C767DD54B}"/>
    <hyperlink ref="B1407" r:id="rId1053" xr:uid="{7C3075FE-7E7F-4A7C-ACA5-49CA4B25F90D}"/>
    <hyperlink ref="B1408" r:id="rId1054" xr:uid="{B8427A5F-8B05-4D87-BDCB-BACFEEF0D58E}"/>
    <hyperlink ref="B1409" r:id="rId1055" xr:uid="{7763E58B-BF82-4327-A165-A12822A12D4C}"/>
    <hyperlink ref="B1410" r:id="rId1056" xr:uid="{3A32DD2B-BAC4-491C-ABB3-587FBE9049B3}"/>
    <hyperlink ref="B1411" r:id="rId1057" xr:uid="{472F30A3-56D6-4309-92DD-72BFAE3A31C1}"/>
    <hyperlink ref="B1412" r:id="rId1058" xr:uid="{4A5E8F6E-EF4A-464F-9428-9EBE398C3A0C}"/>
    <hyperlink ref="B1413" r:id="rId1059" xr:uid="{D565F07B-9647-493F-A8A8-37C4123A2885}"/>
    <hyperlink ref="B1414" r:id="rId1060" xr:uid="{24A87B32-D179-46F9-B2D2-E31C3429252D}"/>
    <hyperlink ref="B1415" r:id="rId1061" xr:uid="{7FF9AD97-6420-4D67-9CAE-799C134E060E}"/>
    <hyperlink ref="B1416" r:id="rId1062" xr:uid="{6FEAA4AC-1D6B-4DAB-A6E6-E530F3DDED67}"/>
    <hyperlink ref="B1417" r:id="rId1063" xr:uid="{95599EFE-C252-4A76-8B13-7174CE14F4C1}"/>
    <hyperlink ref="B1418" r:id="rId1064" xr:uid="{5B7B5C45-6E9C-4B7D-8BFD-C73C3BBFB0D9}"/>
    <hyperlink ref="B1419" r:id="rId1065" display="Ubeda 2016" xr:uid="{F9423694-6E9D-4840-9227-683124F4E486}"/>
    <hyperlink ref="B1420:B1434" r:id="rId1066" display="Ubeda 2016" xr:uid="{161C6B38-D3EA-4435-B78C-6861DC99CED2}"/>
    <hyperlink ref="B1435" r:id="rId1067" display="Ubeda 2016" xr:uid="{95068762-9D83-49FD-AA17-3EB4CBCEEA59}"/>
    <hyperlink ref="B1436" r:id="rId1068" display="Ubeda 2016" xr:uid="{2AE42E1F-E359-453A-BFF1-5E5CD2C26424}"/>
    <hyperlink ref="B1437" r:id="rId1069" display="Ubeda 2016" xr:uid="{4B807DB1-A13A-494E-AADD-B3A1E64B888A}"/>
    <hyperlink ref="B1438:B1451" r:id="rId1070" display="Ubeda 2016" xr:uid="{31286213-7162-4EC4-9314-1168CEE7A8F1}"/>
    <hyperlink ref="B1425" r:id="rId1071" display="Ubeda 2016" xr:uid="{0F7A0342-16A0-4324-BAEE-8F54C5922364}"/>
    <hyperlink ref="B1452" r:id="rId1072" display="Ubeda 2016" xr:uid="{CF1AE7FF-045F-463E-A737-5D41CC1B7C2D}"/>
    <hyperlink ref="B1453" r:id="rId1073" xr:uid="{C166E472-8770-4B3C-93AE-45255F090E1A}"/>
    <hyperlink ref="B1454" r:id="rId1074" xr:uid="{8504FB77-19CB-408F-9243-1602E791B43C}"/>
    <hyperlink ref="Q1452" r:id="rId1075" xr:uid="{21393965-1910-417F-A099-14109EA95B55}"/>
    <hyperlink ref="Q1419:Q1451" r:id="rId1076" display="Data from Ubeda complemented with information from secondary data source (CONAF)" xr:uid="{E1A3CA2A-EDEF-476E-AD53-25CEED0F45FF}"/>
    <hyperlink ref="B1455" r:id="rId1077" xr:uid="{B460D824-BA3C-4A4E-89E3-FBBAA4CC75EF}"/>
    <hyperlink ref="B1456" r:id="rId1078" xr:uid="{3FFD5F63-F83F-466F-9463-F5634E8A9EC9}"/>
    <hyperlink ref="B1457" r:id="rId1079" xr:uid="{DE5737A7-29DD-46E3-B54F-FBCDF463663A}"/>
    <hyperlink ref="B1458" r:id="rId1080" display="Bowman et al., 2017" xr:uid="{2C2D25B6-D2C1-4DFD-B6AA-F6A3A3154BF6}"/>
    <hyperlink ref="B1459" r:id="rId1081" xr:uid="{BF42F6E1-9F54-4660-9F8D-4780B4360856}"/>
    <hyperlink ref="B1460" r:id="rId1082" xr:uid="{94D5BE5F-4D13-470D-9BE0-A75484B47582}"/>
    <hyperlink ref="B1461" r:id="rId1083" xr:uid="{3FC882EB-4E2B-4233-8729-95B213DC8618}"/>
    <hyperlink ref="B1462" r:id="rId1084" xr:uid="{CBED6357-7CC9-4722-B67A-5733D23C5C5B}"/>
  </hyperlinks>
  <pageMargins left="0.7" right="0.7" top="0.75" bottom="0.75" header="0.3" footer="0.3"/>
  <pageSetup orientation="portrait" r:id="rId1085"/>
  <extLst>
    <ext xmlns:x14="http://schemas.microsoft.com/office/spreadsheetml/2009/9/main" uri="{CCE6A557-97BC-4b89-ADB6-D9C93CAAB3DF}">
      <x14:dataValidations xmlns:xm="http://schemas.microsoft.com/office/excel/2006/main" xWindow="1617" yWindow="897" count="7">
        <x14:dataValidation type="list" allowBlank="1" showInputMessage="1" showErrorMessage="1" prompt="One of: Academic, NGO, Government" xr:uid="{073DF15C-33D9-4998-810E-43EF7718177A}">
          <x14:formula1>
            <xm:f>'IGNORE Lookups'!$A$3:$A$6</xm:f>
          </x14:formula1>
          <xm:sqref>D1:D926 D1031:D1048576</xm:sqref>
        </x14:dataValidation>
        <x14:dataValidation type="list" allowBlank="1" showInputMessage="1" showErrorMessage="1" xr:uid="{F8B2B011-EE17-4243-94B8-96F63429CB10}">
          <x14:formula1>
            <xm:f>'IGNORE Lookups'!$C$3:$C$6</xm:f>
          </x14:formula1>
          <xm:sqref>O1:O926 O1031:O1048576</xm:sqref>
        </x14:dataValidation>
        <x14:dataValidation type="list" allowBlank="1" showInputMessage="1" showErrorMessage="1" xr:uid="{BEBD25F2-3944-42FD-811A-0895800810C9}">
          <x14:formula1>
            <xm:f>'C:\Users\Oli\Documents\PhD\Model development\Data\Collaborators\Current Contributor Versions\[Adam''s fire data.xlsx]IGNORE Lookups'!#REF!</xm:f>
          </x14:formula1>
          <xm:sqref>O997:O1030</xm:sqref>
        </x14:dataValidation>
        <x14:dataValidation type="list" allowBlank="1" showInputMessage="1" showErrorMessage="1" prompt="One of: Academic, NGO, Government" xr:uid="{72B67163-F79B-4E84-8281-83A15437C3FB}">
          <x14:formula1>
            <xm:f>'C:\Users\Oli\Documents\PhD\Model development\Data\Collaborators\Current Contributor Versions\[Adam''s fire data.xlsx]IGNORE Lookups'!#REF!</xm:f>
          </x14:formula1>
          <xm:sqref>D997:D1030</xm:sqref>
        </x14:dataValidation>
        <x14:dataValidation type="list" allowBlank="1" showInputMessage="1" showErrorMessage="1" xr:uid="{690E11A5-8F12-46E7-8EB7-F0986B144A7E}">
          <x14:formula1>
            <xm:f>'C:\Users\Oli\Documents\PhD\Model development\Data\Collaborators\Current Contributor Versions\[Fire Database Ben v2.xlsx]IGNORE Lookups'!#REF!</xm:f>
          </x14:formula1>
          <xm:sqref>O927:O996</xm:sqref>
        </x14:dataValidation>
        <x14:dataValidation type="list" allowBlank="1" showInputMessage="1" showErrorMessage="1" prompt="One of: Academic, NGO, Government" xr:uid="{0C725214-8136-4E46-B99E-C2CC1FDC5477}">
          <x14:formula1>
            <xm:f>'C:\Users\Oli\Documents\PhD\Model development\Data\Collaborators\Current Contributor Versions\[Fire Database Ben v2.xlsx]IGNORE Lookups'!#REF!</xm:f>
          </x14:formula1>
          <xm:sqref>D927:D996</xm:sqref>
        </x14:dataValidation>
        <x14:dataValidation type="list" allowBlank="1" showInputMessage="1" showErrorMessage="1" xr:uid="{7AE81C76-4E89-4688-A253-395A918AE7A9}">
          <x14:formula1>
            <xm:f>'IGNORE Lookups'!$B$3:$B$15</xm:f>
          </x14:formula1>
          <xm:sqref>E1:E1048576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58273-3A0D-4D5B-8873-DB8C469A1D26}">
  <dimension ref="A1:T1462"/>
  <sheetViews>
    <sheetView zoomScale="55" zoomScaleNormal="55" workbookViewId="0">
      <pane ySplit="1" topLeftCell="A1456" activePane="bottomLeft" state="frozen"/>
      <selection pane="bottomLeft" activeCell="A1462" sqref="A1462:F1462"/>
    </sheetView>
  </sheetViews>
  <sheetFormatPr defaultRowHeight="14.5"/>
  <cols>
    <col min="1" max="1" width="19.81640625" customWidth="1"/>
    <col min="2" max="2" width="18.1796875" customWidth="1"/>
    <col min="3" max="3" width="27.6328125" customWidth="1"/>
    <col min="4" max="4" width="27.36328125" customWidth="1"/>
    <col min="5" max="5" width="26.90625" customWidth="1"/>
    <col min="6" max="7" width="26.81640625" customWidth="1"/>
    <col min="8" max="8" width="23.1796875" style="14" customWidth="1"/>
    <col min="9" max="9" width="20.08984375" customWidth="1"/>
    <col min="10" max="10" width="18.90625" customWidth="1"/>
    <col min="11" max="11" width="23.7265625" customWidth="1"/>
    <col min="12" max="12" width="29.81640625" customWidth="1"/>
    <col min="13" max="13" width="31.08984375" customWidth="1"/>
    <col min="14" max="14" width="27.36328125" style="14" customWidth="1"/>
    <col min="15" max="15" width="19.36328125" style="14" customWidth="1"/>
    <col min="16" max="16" width="20.54296875" style="14" customWidth="1"/>
    <col min="17" max="18" width="19.36328125" style="14" customWidth="1"/>
    <col min="19" max="19" width="28" style="14" customWidth="1"/>
    <col min="20" max="20" width="85.08984375" customWidth="1"/>
  </cols>
  <sheetData>
    <row r="1" spans="1:20" ht="31.5" thickBot="1">
      <c r="A1" s="1" t="s">
        <v>2264</v>
      </c>
      <c r="B1" s="2" t="s">
        <v>13</v>
      </c>
      <c r="C1" s="15" t="s">
        <v>2279</v>
      </c>
      <c r="D1" s="2" t="s">
        <v>2280</v>
      </c>
      <c r="E1" s="2" t="s">
        <v>2281</v>
      </c>
      <c r="F1" s="2" t="s">
        <v>2282</v>
      </c>
      <c r="G1" s="2" t="s">
        <v>2283</v>
      </c>
      <c r="H1" s="71" t="s">
        <v>14</v>
      </c>
      <c r="I1" s="2" t="s">
        <v>2437</v>
      </c>
      <c r="J1" s="2" t="s">
        <v>78</v>
      </c>
      <c r="K1" s="15" t="s">
        <v>2354</v>
      </c>
      <c r="L1" s="27" t="s">
        <v>65</v>
      </c>
      <c r="M1" s="27" t="s">
        <v>1652</v>
      </c>
      <c r="N1" s="80" t="s">
        <v>2355</v>
      </c>
      <c r="O1" s="80" t="s">
        <v>146</v>
      </c>
      <c r="P1" s="80" t="s">
        <v>147</v>
      </c>
      <c r="Q1" s="80" t="s">
        <v>155</v>
      </c>
      <c r="R1" s="80" t="s">
        <v>148</v>
      </c>
      <c r="S1" s="80" t="s">
        <v>1140</v>
      </c>
      <c r="T1" s="16" t="s">
        <v>0</v>
      </c>
    </row>
    <row r="2" spans="1:20" ht="32" customHeight="1">
      <c r="A2" s="5" t="s">
        <v>15</v>
      </c>
      <c r="B2" s="5" t="s">
        <v>69</v>
      </c>
      <c r="C2" s="5" t="s">
        <v>395</v>
      </c>
      <c r="D2" s="5" t="s">
        <v>45</v>
      </c>
      <c r="E2" s="5" t="s">
        <v>130</v>
      </c>
      <c r="F2" s="5" t="s">
        <v>2276</v>
      </c>
      <c r="G2" s="5" t="s">
        <v>2276</v>
      </c>
      <c r="H2" s="25">
        <v>0.21299999999999999</v>
      </c>
      <c r="I2" s="84" t="s">
        <v>2276</v>
      </c>
      <c r="J2" s="84" t="s">
        <v>2276</v>
      </c>
      <c r="K2" s="84" t="s">
        <v>534</v>
      </c>
      <c r="L2" s="25">
        <v>2.4</v>
      </c>
      <c r="M2" s="25" t="s">
        <v>2276</v>
      </c>
      <c r="N2" s="25" t="s">
        <v>2276</v>
      </c>
      <c r="O2" s="25" t="s">
        <v>2276</v>
      </c>
      <c r="P2" s="25" t="s">
        <v>2276</v>
      </c>
      <c r="Q2" s="25" t="s">
        <v>2276</v>
      </c>
      <c r="R2" s="25" t="s">
        <v>2276</v>
      </c>
      <c r="S2" s="25" t="s">
        <v>2276</v>
      </c>
      <c r="T2" s="5"/>
    </row>
    <row r="3" spans="1:20" ht="37" customHeight="1">
      <c r="A3" s="3" t="s">
        <v>16</v>
      </c>
      <c r="B3" s="3" t="s">
        <v>69</v>
      </c>
      <c r="C3" s="5" t="s">
        <v>395</v>
      </c>
      <c r="D3" s="3" t="s">
        <v>45</v>
      </c>
      <c r="E3" s="9" t="s">
        <v>397</v>
      </c>
      <c r="F3" s="3" t="s">
        <v>2276</v>
      </c>
      <c r="G3" s="3" t="s">
        <v>2276</v>
      </c>
      <c r="H3" s="21">
        <v>0.19</v>
      </c>
      <c r="I3" s="21" t="s">
        <v>2276</v>
      </c>
      <c r="J3" s="21" t="s">
        <v>2276</v>
      </c>
      <c r="K3" s="21"/>
      <c r="L3" s="21" t="s">
        <v>2276</v>
      </c>
      <c r="M3" s="21" t="s">
        <v>2276</v>
      </c>
      <c r="N3" s="21" t="s">
        <v>2276</v>
      </c>
      <c r="O3" s="21" t="s">
        <v>2276</v>
      </c>
      <c r="P3" s="21" t="s">
        <v>2276</v>
      </c>
      <c r="Q3" s="21" t="s">
        <v>2276</v>
      </c>
      <c r="R3" s="21" t="s">
        <v>2276</v>
      </c>
      <c r="S3" s="21" t="s">
        <v>2276</v>
      </c>
      <c r="T3" s="3"/>
    </row>
    <row r="4" spans="1:20" ht="24.5" customHeight="1">
      <c r="A4" s="3" t="s">
        <v>17</v>
      </c>
      <c r="B4" s="3" t="s">
        <v>32</v>
      </c>
      <c r="C4" s="3" t="s">
        <v>12</v>
      </c>
      <c r="D4" s="4" t="s">
        <v>863</v>
      </c>
      <c r="E4" s="3" t="s">
        <v>45</v>
      </c>
      <c r="F4" s="3" t="s">
        <v>2276</v>
      </c>
      <c r="G4" s="3" t="s">
        <v>2276</v>
      </c>
      <c r="H4" s="21">
        <v>0.16</v>
      </c>
      <c r="I4" s="21" t="s">
        <v>2276</v>
      </c>
      <c r="J4" s="21" t="s">
        <v>2276</v>
      </c>
      <c r="K4" s="84" t="s">
        <v>534</v>
      </c>
      <c r="L4" s="21" t="s">
        <v>2276</v>
      </c>
      <c r="M4" s="21" t="s">
        <v>2276</v>
      </c>
      <c r="N4" s="21" t="s">
        <v>2276</v>
      </c>
      <c r="O4" s="21" t="s">
        <v>2276</v>
      </c>
      <c r="P4" s="21" t="s">
        <v>2276</v>
      </c>
      <c r="Q4" s="21" t="s">
        <v>2276</v>
      </c>
      <c r="R4" s="21" t="s">
        <v>2276</v>
      </c>
      <c r="S4" s="21" t="s">
        <v>2276</v>
      </c>
      <c r="T4" s="3"/>
    </row>
    <row r="5" spans="1:20" ht="31.5" customHeight="1">
      <c r="A5" s="3" t="s">
        <v>18</v>
      </c>
      <c r="B5" s="3" t="s">
        <v>70</v>
      </c>
      <c r="C5" s="3" t="s">
        <v>12</v>
      </c>
      <c r="D5" s="4" t="s">
        <v>397</v>
      </c>
      <c r="E5" s="3" t="s">
        <v>45</v>
      </c>
      <c r="F5" s="3" t="s">
        <v>2276</v>
      </c>
      <c r="G5" s="3" t="s">
        <v>2276</v>
      </c>
      <c r="H5" s="21">
        <v>0.62</v>
      </c>
      <c r="I5" s="21" t="s">
        <v>2276</v>
      </c>
      <c r="J5" s="21" t="s">
        <v>2276</v>
      </c>
      <c r="K5" s="21"/>
      <c r="L5" s="21" t="s">
        <v>2276</v>
      </c>
      <c r="M5" s="21" t="s">
        <v>2276</v>
      </c>
      <c r="N5" s="21" t="s">
        <v>2276</v>
      </c>
      <c r="O5" s="21" t="s">
        <v>2276</v>
      </c>
      <c r="P5" s="21" t="s">
        <v>2276</v>
      </c>
      <c r="Q5" s="21" t="s">
        <v>2276</v>
      </c>
      <c r="R5" s="21" t="s">
        <v>2276</v>
      </c>
      <c r="S5" s="21" t="s">
        <v>2276</v>
      </c>
      <c r="T5" s="3"/>
    </row>
    <row r="6" spans="1:20" ht="26" customHeight="1">
      <c r="A6" s="3" t="s">
        <v>19</v>
      </c>
      <c r="B6" s="3" t="s">
        <v>69</v>
      </c>
      <c r="C6" s="3" t="s">
        <v>12</v>
      </c>
      <c r="D6" s="3" t="s">
        <v>45</v>
      </c>
      <c r="E6" s="3" t="s">
        <v>137</v>
      </c>
      <c r="F6" s="3" t="s">
        <v>2276</v>
      </c>
      <c r="G6" s="3" t="s">
        <v>2276</v>
      </c>
      <c r="H6" s="21">
        <v>0.24299999999999999</v>
      </c>
      <c r="I6" s="21" t="s">
        <v>2276</v>
      </c>
      <c r="J6" s="21" t="s">
        <v>2276</v>
      </c>
      <c r="K6" s="21"/>
      <c r="L6" s="21" t="s">
        <v>2276</v>
      </c>
      <c r="M6" s="21" t="s">
        <v>2276</v>
      </c>
      <c r="N6" s="21" t="s">
        <v>2276</v>
      </c>
      <c r="O6" s="21" t="s">
        <v>2276</v>
      </c>
      <c r="P6" s="21" t="s">
        <v>2276</v>
      </c>
      <c r="Q6" s="21" t="s">
        <v>2276</v>
      </c>
      <c r="R6" s="21" t="s">
        <v>2276</v>
      </c>
      <c r="S6" s="21" t="s">
        <v>2276</v>
      </c>
      <c r="T6" s="3"/>
    </row>
    <row r="7" spans="1:20" ht="31" customHeight="1">
      <c r="A7" s="8" t="s">
        <v>71</v>
      </c>
      <c r="B7" s="8" t="s">
        <v>69</v>
      </c>
      <c r="C7" s="8" t="s">
        <v>395</v>
      </c>
      <c r="D7" s="9" t="s">
        <v>397</v>
      </c>
      <c r="E7" s="8" t="s">
        <v>2276</v>
      </c>
      <c r="F7" s="8" t="s">
        <v>2276</v>
      </c>
      <c r="G7" s="8" t="s">
        <v>2276</v>
      </c>
      <c r="H7" s="72" t="s">
        <v>2276</v>
      </c>
      <c r="I7" s="72">
        <v>0.625</v>
      </c>
      <c r="J7" s="72">
        <v>0.75</v>
      </c>
      <c r="K7" s="72"/>
      <c r="L7" s="72" t="s">
        <v>2276</v>
      </c>
      <c r="M7" s="72" t="s">
        <v>2276</v>
      </c>
      <c r="N7" s="72" t="s">
        <v>2276</v>
      </c>
      <c r="O7" s="72" t="s">
        <v>2276</v>
      </c>
      <c r="P7" s="72" t="s">
        <v>2276</v>
      </c>
      <c r="Q7" s="72" t="s">
        <v>2276</v>
      </c>
      <c r="R7" s="72" t="s">
        <v>2276</v>
      </c>
      <c r="S7" s="72" t="s">
        <v>2276</v>
      </c>
      <c r="T7" s="3"/>
    </row>
    <row r="8" spans="1:20" ht="29">
      <c r="A8" s="3" t="s">
        <v>81</v>
      </c>
      <c r="B8" s="3" t="s">
        <v>70</v>
      </c>
      <c r="C8" s="3" t="s">
        <v>12</v>
      </c>
      <c r="D8" s="4" t="s">
        <v>396</v>
      </c>
      <c r="E8" s="4" t="s">
        <v>397</v>
      </c>
      <c r="F8" s="3" t="s">
        <v>2276</v>
      </c>
      <c r="G8" s="3" t="s">
        <v>2276</v>
      </c>
      <c r="H8" s="21" t="s">
        <v>2276</v>
      </c>
      <c r="I8" s="21" t="s">
        <v>2276</v>
      </c>
      <c r="J8" s="21" t="s">
        <v>2276</v>
      </c>
      <c r="K8" s="21"/>
      <c r="L8" s="21" t="s">
        <v>2276</v>
      </c>
      <c r="M8" s="21" t="s">
        <v>2276</v>
      </c>
      <c r="N8" s="21" t="s">
        <v>2276</v>
      </c>
      <c r="O8" s="21" t="s">
        <v>2276</v>
      </c>
      <c r="P8" s="21" t="s">
        <v>2276</v>
      </c>
      <c r="Q8" s="21" t="s">
        <v>2276</v>
      </c>
      <c r="R8" s="21" t="s">
        <v>2276</v>
      </c>
      <c r="S8" s="21" t="s">
        <v>2276</v>
      </c>
      <c r="T8" s="3"/>
    </row>
    <row r="9" spans="1:20" ht="29">
      <c r="A9" s="31" t="s">
        <v>221</v>
      </c>
      <c r="B9" s="3" t="s">
        <v>70</v>
      </c>
      <c r="C9" s="3" t="s">
        <v>12</v>
      </c>
      <c r="D9" s="4" t="s">
        <v>396</v>
      </c>
      <c r="E9" s="4" t="s">
        <v>397</v>
      </c>
      <c r="F9" s="3" t="s">
        <v>2276</v>
      </c>
      <c r="G9" s="3" t="s">
        <v>2276</v>
      </c>
      <c r="H9" s="21" t="s">
        <v>2276</v>
      </c>
      <c r="I9" s="21" t="s">
        <v>2276</v>
      </c>
      <c r="J9" s="21" t="s">
        <v>2276</v>
      </c>
      <c r="K9" s="21"/>
      <c r="L9" s="21" t="s">
        <v>2276</v>
      </c>
      <c r="M9" s="21" t="s">
        <v>2276</v>
      </c>
      <c r="N9" s="21" t="s">
        <v>2276</v>
      </c>
      <c r="O9" s="21" t="s">
        <v>2276</v>
      </c>
      <c r="P9" s="21">
        <v>4.4253244399999998</v>
      </c>
      <c r="Q9" s="21" t="s">
        <v>2276</v>
      </c>
      <c r="R9" s="21" t="s">
        <v>2276</v>
      </c>
      <c r="S9" s="21" t="s">
        <v>2276</v>
      </c>
      <c r="T9" s="3"/>
    </row>
    <row r="10" spans="1:20" ht="29">
      <c r="A10" s="31" t="s">
        <v>222</v>
      </c>
      <c r="B10" s="3" t="s">
        <v>70</v>
      </c>
      <c r="C10" s="3" t="s">
        <v>12</v>
      </c>
      <c r="D10" s="4" t="s">
        <v>396</v>
      </c>
      <c r="E10" s="4" t="s">
        <v>397</v>
      </c>
      <c r="F10" s="3" t="s">
        <v>2276</v>
      </c>
      <c r="G10" s="3" t="s">
        <v>2276</v>
      </c>
      <c r="H10" s="21" t="s">
        <v>2276</v>
      </c>
      <c r="I10" s="21" t="s">
        <v>2276</v>
      </c>
      <c r="J10" s="21" t="s">
        <v>2276</v>
      </c>
      <c r="K10" s="21"/>
      <c r="L10" s="21" t="s">
        <v>2276</v>
      </c>
      <c r="M10" s="21" t="s">
        <v>2276</v>
      </c>
      <c r="N10" s="21" t="s">
        <v>2276</v>
      </c>
      <c r="O10" s="21" t="s">
        <v>2276</v>
      </c>
      <c r="P10" s="21">
        <v>17.827365879999999</v>
      </c>
      <c r="Q10" s="21" t="s">
        <v>2276</v>
      </c>
      <c r="R10" s="21" t="s">
        <v>2276</v>
      </c>
      <c r="S10" s="21" t="s">
        <v>2276</v>
      </c>
      <c r="T10" s="3"/>
    </row>
    <row r="11" spans="1:20" ht="29">
      <c r="A11" s="31" t="s">
        <v>223</v>
      </c>
      <c r="B11" s="3" t="s">
        <v>70</v>
      </c>
      <c r="C11" s="3" t="s">
        <v>12</v>
      </c>
      <c r="D11" s="4" t="s">
        <v>396</v>
      </c>
      <c r="E11" s="4" t="s">
        <v>397</v>
      </c>
      <c r="F11" s="3" t="s">
        <v>2276</v>
      </c>
      <c r="G11" s="3" t="s">
        <v>2276</v>
      </c>
      <c r="H11" s="21" t="s">
        <v>2276</v>
      </c>
      <c r="I11" s="21" t="s">
        <v>2276</v>
      </c>
      <c r="J11" s="21" t="s">
        <v>2276</v>
      </c>
      <c r="K11" s="21"/>
      <c r="L11" s="21" t="s">
        <v>2276</v>
      </c>
      <c r="M11" s="21" t="s">
        <v>2276</v>
      </c>
      <c r="N11" s="21" t="s">
        <v>2276</v>
      </c>
      <c r="O11" s="21" t="s">
        <v>2276</v>
      </c>
      <c r="P11" s="21">
        <v>1.58874859</v>
      </c>
      <c r="Q11" s="21" t="s">
        <v>2276</v>
      </c>
      <c r="R11" s="21" t="s">
        <v>2276</v>
      </c>
      <c r="S11" s="21" t="s">
        <v>2276</v>
      </c>
      <c r="T11" s="3"/>
    </row>
    <row r="12" spans="1:20" ht="29">
      <c r="A12" s="31" t="s">
        <v>224</v>
      </c>
      <c r="B12" s="3" t="s">
        <v>70</v>
      </c>
      <c r="C12" s="3" t="s">
        <v>12</v>
      </c>
      <c r="D12" s="4" t="s">
        <v>396</v>
      </c>
      <c r="E12" s="4" t="s">
        <v>397</v>
      </c>
      <c r="F12" s="3" t="s">
        <v>2276</v>
      </c>
      <c r="G12" s="3" t="s">
        <v>2276</v>
      </c>
      <c r="H12" s="21" t="s">
        <v>2276</v>
      </c>
      <c r="I12" s="21" t="s">
        <v>2276</v>
      </c>
      <c r="J12" s="21" t="s">
        <v>2276</v>
      </c>
      <c r="K12" s="21"/>
      <c r="L12" s="21" t="s">
        <v>2276</v>
      </c>
      <c r="M12" s="21" t="s">
        <v>2276</v>
      </c>
      <c r="N12" s="21" t="s">
        <v>2276</v>
      </c>
      <c r="O12" s="21" t="s">
        <v>2276</v>
      </c>
      <c r="P12" s="21">
        <v>2.7670798799999998</v>
      </c>
      <c r="Q12" s="21" t="s">
        <v>2276</v>
      </c>
      <c r="R12" s="21" t="s">
        <v>2276</v>
      </c>
      <c r="S12" s="21" t="s">
        <v>2276</v>
      </c>
      <c r="T12" s="3"/>
    </row>
    <row r="13" spans="1:20" ht="29">
      <c r="A13" s="31" t="s">
        <v>225</v>
      </c>
      <c r="B13" s="3" t="s">
        <v>70</v>
      </c>
      <c r="C13" s="3" t="s">
        <v>12</v>
      </c>
      <c r="D13" s="4" t="s">
        <v>396</v>
      </c>
      <c r="E13" s="4" t="s">
        <v>397</v>
      </c>
      <c r="F13" s="3" t="s">
        <v>2276</v>
      </c>
      <c r="G13" s="3" t="s">
        <v>2276</v>
      </c>
      <c r="H13" s="21" t="s">
        <v>2276</v>
      </c>
      <c r="I13" s="21" t="s">
        <v>2276</v>
      </c>
      <c r="J13" s="21" t="s">
        <v>2276</v>
      </c>
      <c r="K13" s="21"/>
      <c r="L13" s="21" t="s">
        <v>2276</v>
      </c>
      <c r="M13" s="21" t="s">
        <v>2276</v>
      </c>
      <c r="N13" s="21" t="s">
        <v>2276</v>
      </c>
      <c r="O13" s="21" t="s">
        <v>2276</v>
      </c>
      <c r="P13" s="21">
        <v>8.1162507099999992</v>
      </c>
      <c r="Q13" s="21" t="s">
        <v>2276</v>
      </c>
      <c r="R13" s="21" t="s">
        <v>2276</v>
      </c>
      <c r="S13" s="21" t="s">
        <v>2276</v>
      </c>
      <c r="T13" s="3"/>
    </row>
    <row r="14" spans="1:20" ht="29">
      <c r="A14" s="31" t="s">
        <v>257</v>
      </c>
      <c r="B14" s="3" t="s">
        <v>70</v>
      </c>
      <c r="C14" s="3" t="s">
        <v>12</v>
      </c>
      <c r="D14" s="4" t="s">
        <v>396</v>
      </c>
      <c r="E14" s="4" t="s">
        <v>397</v>
      </c>
      <c r="F14" s="3" t="s">
        <v>2276</v>
      </c>
      <c r="G14" s="3" t="s">
        <v>2276</v>
      </c>
      <c r="H14" s="21" t="s">
        <v>2276</v>
      </c>
      <c r="I14" s="21" t="s">
        <v>2276</v>
      </c>
      <c r="J14" s="21" t="s">
        <v>2276</v>
      </c>
      <c r="K14" s="21"/>
      <c r="L14" s="21" t="s">
        <v>2276</v>
      </c>
      <c r="M14" s="21" t="s">
        <v>2276</v>
      </c>
      <c r="N14" s="21" t="s">
        <v>2276</v>
      </c>
      <c r="O14" s="21" t="s">
        <v>2276</v>
      </c>
      <c r="P14" s="21">
        <v>8.1516353800000001</v>
      </c>
      <c r="Q14" s="21" t="s">
        <v>2276</v>
      </c>
      <c r="R14" s="21" t="s">
        <v>2276</v>
      </c>
      <c r="S14" s="21" t="s">
        <v>2276</v>
      </c>
      <c r="T14" s="3"/>
    </row>
    <row r="15" spans="1:20" ht="29">
      <c r="A15" s="31" t="s">
        <v>258</v>
      </c>
      <c r="B15" s="3" t="s">
        <v>70</v>
      </c>
      <c r="C15" s="3" t="s">
        <v>12</v>
      </c>
      <c r="D15" s="4" t="s">
        <v>396</v>
      </c>
      <c r="E15" s="4" t="s">
        <v>397</v>
      </c>
      <c r="F15" s="3" t="s">
        <v>2276</v>
      </c>
      <c r="G15" s="3" t="s">
        <v>2276</v>
      </c>
      <c r="H15" s="21" t="s">
        <v>2276</v>
      </c>
      <c r="I15" s="21" t="s">
        <v>2276</v>
      </c>
      <c r="J15" s="21" t="s">
        <v>2276</v>
      </c>
      <c r="K15" s="21"/>
      <c r="L15" s="21" t="s">
        <v>2276</v>
      </c>
      <c r="M15" s="21" t="s">
        <v>2276</v>
      </c>
      <c r="N15" s="21" t="s">
        <v>2276</v>
      </c>
      <c r="O15" s="21" t="s">
        <v>2276</v>
      </c>
      <c r="P15" s="21">
        <v>5.7751888899999999</v>
      </c>
      <c r="Q15" s="21" t="s">
        <v>2276</v>
      </c>
      <c r="R15" s="21" t="s">
        <v>2276</v>
      </c>
      <c r="S15" s="21" t="s">
        <v>2276</v>
      </c>
      <c r="T15" s="3"/>
    </row>
    <row r="16" spans="1:20" ht="29">
      <c r="A16" s="31" t="s">
        <v>259</v>
      </c>
      <c r="B16" s="3" t="s">
        <v>70</v>
      </c>
      <c r="C16" s="3" t="s">
        <v>12</v>
      </c>
      <c r="D16" s="4" t="s">
        <v>396</v>
      </c>
      <c r="E16" s="4" t="s">
        <v>397</v>
      </c>
      <c r="F16" s="3" t="s">
        <v>2276</v>
      </c>
      <c r="G16" s="3" t="s">
        <v>2276</v>
      </c>
      <c r="H16" s="21" t="s">
        <v>2276</v>
      </c>
      <c r="I16" s="21" t="s">
        <v>2276</v>
      </c>
      <c r="J16" s="21" t="s">
        <v>2276</v>
      </c>
      <c r="K16" s="21"/>
      <c r="L16" s="21" t="s">
        <v>2276</v>
      </c>
      <c r="M16" s="21" t="s">
        <v>2276</v>
      </c>
      <c r="N16" s="21" t="s">
        <v>2276</v>
      </c>
      <c r="O16" s="21" t="s">
        <v>2276</v>
      </c>
      <c r="P16" s="21">
        <v>2.7205620599999998</v>
      </c>
      <c r="Q16" s="21" t="s">
        <v>2276</v>
      </c>
      <c r="R16" s="21" t="s">
        <v>2276</v>
      </c>
      <c r="S16" s="21" t="s">
        <v>2276</v>
      </c>
      <c r="T16" s="3"/>
    </row>
    <row r="17" spans="1:20" ht="29">
      <c r="A17" s="31" t="s">
        <v>260</v>
      </c>
      <c r="B17" s="3" t="s">
        <v>70</v>
      </c>
      <c r="C17" s="3" t="s">
        <v>12</v>
      </c>
      <c r="D17" s="4" t="s">
        <v>396</v>
      </c>
      <c r="E17" s="4" t="s">
        <v>397</v>
      </c>
      <c r="F17" s="3" t="s">
        <v>2276</v>
      </c>
      <c r="G17" s="3" t="s">
        <v>2276</v>
      </c>
      <c r="H17" s="21" t="s">
        <v>2276</v>
      </c>
      <c r="I17" s="21" t="s">
        <v>2276</v>
      </c>
      <c r="J17" s="21" t="s">
        <v>2276</v>
      </c>
      <c r="K17" s="21"/>
      <c r="L17" s="21" t="s">
        <v>2276</v>
      </c>
      <c r="M17" s="21" t="s">
        <v>2276</v>
      </c>
      <c r="N17" s="21" t="s">
        <v>2276</v>
      </c>
      <c r="O17" s="21" t="s">
        <v>2276</v>
      </c>
      <c r="P17" s="21">
        <v>5.3150830899999999</v>
      </c>
      <c r="Q17" s="21" t="s">
        <v>2276</v>
      </c>
      <c r="R17" s="21" t="s">
        <v>2276</v>
      </c>
      <c r="S17" s="21" t="s">
        <v>2276</v>
      </c>
      <c r="T17" s="3"/>
    </row>
    <row r="18" spans="1:20" ht="29">
      <c r="A18" s="31" t="s">
        <v>261</v>
      </c>
      <c r="B18" s="3" t="s">
        <v>70</v>
      </c>
      <c r="C18" s="3" t="s">
        <v>12</v>
      </c>
      <c r="D18" s="4" t="s">
        <v>396</v>
      </c>
      <c r="E18" s="4" t="s">
        <v>397</v>
      </c>
      <c r="F18" s="3" t="s">
        <v>2276</v>
      </c>
      <c r="G18" s="3" t="s">
        <v>2276</v>
      </c>
      <c r="H18" s="21" t="s">
        <v>2276</v>
      </c>
      <c r="I18" s="21" t="s">
        <v>2276</v>
      </c>
      <c r="J18" s="21" t="s">
        <v>2276</v>
      </c>
      <c r="K18" s="21"/>
      <c r="L18" s="21" t="s">
        <v>2276</v>
      </c>
      <c r="M18" s="21" t="s">
        <v>2276</v>
      </c>
      <c r="N18" s="21" t="s">
        <v>2276</v>
      </c>
      <c r="O18" s="21" t="s">
        <v>2276</v>
      </c>
      <c r="P18" s="21">
        <v>1.5442003</v>
      </c>
      <c r="Q18" s="21" t="s">
        <v>2276</v>
      </c>
      <c r="R18" s="21" t="s">
        <v>2276</v>
      </c>
      <c r="S18" s="21" t="s">
        <v>2276</v>
      </c>
      <c r="T18" s="3"/>
    </row>
    <row r="19" spans="1:20" ht="29">
      <c r="A19" s="31" t="s">
        <v>262</v>
      </c>
      <c r="B19" s="3" t="s">
        <v>70</v>
      </c>
      <c r="C19" s="3" t="s">
        <v>12</v>
      </c>
      <c r="D19" s="4" t="s">
        <v>396</v>
      </c>
      <c r="E19" s="4" t="s">
        <v>397</v>
      </c>
      <c r="F19" s="3" t="s">
        <v>2276</v>
      </c>
      <c r="G19" s="3" t="s">
        <v>2276</v>
      </c>
      <c r="H19" s="21" t="s">
        <v>2276</v>
      </c>
      <c r="I19" s="21" t="s">
        <v>2276</v>
      </c>
      <c r="J19" s="21" t="s">
        <v>2276</v>
      </c>
      <c r="K19" s="21"/>
      <c r="L19" s="21" t="s">
        <v>2276</v>
      </c>
      <c r="M19" s="21" t="s">
        <v>2276</v>
      </c>
      <c r="N19" s="21" t="s">
        <v>2276</v>
      </c>
      <c r="O19" s="21" t="s">
        <v>2276</v>
      </c>
      <c r="P19" s="21">
        <v>24.43275843</v>
      </c>
      <c r="Q19" s="21" t="s">
        <v>2276</v>
      </c>
      <c r="R19" s="21" t="s">
        <v>2276</v>
      </c>
      <c r="S19" s="21" t="s">
        <v>2276</v>
      </c>
      <c r="T19" s="3"/>
    </row>
    <row r="20" spans="1:20" ht="29">
      <c r="A20" s="31" t="s">
        <v>263</v>
      </c>
      <c r="B20" s="3" t="s">
        <v>70</v>
      </c>
      <c r="C20" s="3" t="s">
        <v>12</v>
      </c>
      <c r="D20" s="4" t="s">
        <v>396</v>
      </c>
      <c r="E20" s="4" t="s">
        <v>397</v>
      </c>
      <c r="F20" s="3" t="s">
        <v>2276</v>
      </c>
      <c r="G20" s="3" t="s">
        <v>2276</v>
      </c>
      <c r="H20" s="21" t="s">
        <v>2276</v>
      </c>
      <c r="I20" s="21" t="s">
        <v>2276</v>
      </c>
      <c r="J20" s="21" t="s">
        <v>2276</v>
      </c>
      <c r="K20" s="21"/>
      <c r="L20" s="21" t="s">
        <v>2276</v>
      </c>
      <c r="M20" s="21" t="s">
        <v>2276</v>
      </c>
      <c r="N20" s="21" t="s">
        <v>2276</v>
      </c>
      <c r="O20" s="21" t="s">
        <v>2276</v>
      </c>
      <c r="P20" s="21">
        <v>21.25767566</v>
      </c>
      <c r="Q20" s="21" t="s">
        <v>2276</v>
      </c>
      <c r="R20" s="21" t="s">
        <v>2276</v>
      </c>
      <c r="S20" s="21" t="s">
        <v>2276</v>
      </c>
      <c r="T20" s="3"/>
    </row>
    <row r="21" spans="1:20" ht="29">
      <c r="A21" s="31" t="s">
        <v>264</v>
      </c>
      <c r="B21" s="3" t="s">
        <v>70</v>
      </c>
      <c r="C21" s="3" t="s">
        <v>12</v>
      </c>
      <c r="D21" s="4" t="s">
        <v>396</v>
      </c>
      <c r="E21" s="4" t="s">
        <v>397</v>
      </c>
      <c r="F21" s="3" t="s">
        <v>2276</v>
      </c>
      <c r="G21" s="3" t="s">
        <v>2276</v>
      </c>
      <c r="H21" s="21" t="s">
        <v>2276</v>
      </c>
      <c r="I21" s="21" t="s">
        <v>2276</v>
      </c>
      <c r="J21" s="21" t="s">
        <v>2276</v>
      </c>
      <c r="K21" s="21"/>
      <c r="L21" s="21" t="s">
        <v>2276</v>
      </c>
      <c r="M21" s="21" t="s">
        <v>2276</v>
      </c>
      <c r="N21" s="21" t="s">
        <v>2276</v>
      </c>
      <c r="O21" s="21" t="s">
        <v>2276</v>
      </c>
      <c r="P21" s="21">
        <v>8.05191093</v>
      </c>
      <c r="Q21" s="21" t="s">
        <v>2276</v>
      </c>
      <c r="R21" s="21" t="s">
        <v>2276</v>
      </c>
      <c r="S21" s="21" t="s">
        <v>2276</v>
      </c>
      <c r="T21" s="3"/>
    </row>
    <row r="22" spans="1:20" ht="29">
      <c r="A22" s="31" t="s">
        <v>265</v>
      </c>
      <c r="B22" s="3" t="s">
        <v>70</v>
      </c>
      <c r="C22" s="3" t="s">
        <v>12</v>
      </c>
      <c r="D22" s="4" t="s">
        <v>396</v>
      </c>
      <c r="E22" s="4" t="s">
        <v>397</v>
      </c>
      <c r="F22" s="3" t="s">
        <v>2276</v>
      </c>
      <c r="G22" s="3" t="s">
        <v>2276</v>
      </c>
      <c r="H22" s="21" t="s">
        <v>2276</v>
      </c>
      <c r="I22" s="21" t="s">
        <v>2276</v>
      </c>
      <c r="J22" s="21" t="s">
        <v>2276</v>
      </c>
      <c r="K22" s="21"/>
      <c r="L22" s="21" t="s">
        <v>2276</v>
      </c>
      <c r="M22" s="21" t="s">
        <v>2276</v>
      </c>
      <c r="N22" s="21" t="s">
        <v>2276</v>
      </c>
      <c r="O22" s="21" t="s">
        <v>2276</v>
      </c>
      <c r="P22" s="21">
        <v>14.56204236</v>
      </c>
      <c r="Q22" s="21" t="s">
        <v>2276</v>
      </c>
      <c r="R22" s="21" t="s">
        <v>2276</v>
      </c>
      <c r="S22" s="21" t="s">
        <v>2276</v>
      </c>
      <c r="T22" s="3"/>
    </row>
    <row r="23" spans="1:20" ht="29">
      <c r="A23" s="31" t="s">
        <v>266</v>
      </c>
      <c r="B23" s="3" t="s">
        <v>70</v>
      </c>
      <c r="C23" s="3" t="s">
        <v>12</v>
      </c>
      <c r="D23" s="4" t="s">
        <v>396</v>
      </c>
      <c r="E23" s="4" t="s">
        <v>397</v>
      </c>
      <c r="F23" s="3" t="s">
        <v>2276</v>
      </c>
      <c r="G23" s="3" t="s">
        <v>2276</v>
      </c>
      <c r="H23" s="21" t="s">
        <v>2276</v>
      </c>
      <c r="I23" s="21" t="s">
        <v>2276</v>
      </c>
      <c r="J23" s="21" t="s">
        <v>2276</v>
      </c>
      <c r="K23" s="21"/>
      <c r="L23" s="21" t="s">
        <v>2276</v>
      </c>
      <c r="M23" s="21" t="s">
        <v>2276</v>
      </c>
      <c r="N23" s="21" t="s">
        <v>2276</v>
      </c>
      <c r="O23" s="21" t="s">
        <v>2276</v>
      </c>
      <c r="P23" s="21">
        <v>7.4631208300000003</v>
      </c>
      <c r="Q23" s="21" t="s">
        <v>2276</v>
      </c>
      <c r="R23" s="21" t="s">
        <v>2276</v>
      </c>
      <c r="S23" s="21" t="s">
        <v>2276</v>
      </c>
      <c r="T23" s="3"/>
    </row>
    <row r="24" spans="1:20" ht="29">
      <c r="A24" s="31" t="s">
        <v>267</v>
      </c>
      <c r="B24" s="3" t="s">
        <v>70</v>
      </c>
      <c r="C24" s="3" t="s">
        <v>12</v>
      </c>
      <c r="D24" s="4" t="s">
        <v>396</v>
      </c>
      <c r="E24" s="4" t="s">
        <v>397</v>
      </c>
      <c r="F24" s="3" t="s">
        <v>2276</v>
      </c>
      <c r="G24" s="3" t="s">
        <v>2276</v>
      </c>
      <c r="H24" s="21" t="s">
        <v>2276</v>
      </c>
      <c r="I24" s="21" t="s">
        <v>2276</v>
      </c>
      <c r="J24" s="21" t="s">
        <v>2276</v>
      </c>
      <c r="K24" s="21"/>
      <c r="L24" s="21" t="s">
        <v>2276</v>
      </c>
      <c r="M24" s="21" t="s">
        <v>2276</v>
      </c>
      <c r="N24" s="21" t="s">
        <v>2276</v>
      </c>
      <c r="O24" s="21" t="s">
        <v>2276</v>
      </c>
      <c r="P24" s="21">
        <v>12.622747840000001</v>
      </c>
      <c r="Q24" s="21" t="s">
        <v>2276</v>
      </c>
      <c r="R24" s="21" t="s">
        <v>2276</v>
      </c>
      <c r="S24" s="21" t="s">
        <v>2276</v>
      </c>
      <c r="T24" s="3"/>
    </row>
    <row r="25" spans="1:20" ht="29">
      <c r="A25" s="31" t="s">
        <v>268</v>
      </c>
      <c r="B25" s="3" t="s">
        <v>70</v>
      </c>
      <c r="C25" s="3" t="s">
        <v>12</v>
      </c>
      <c r="D25" s="4" t="s">
        <v>396</v>
      </c>
      <c r="E25" s="4" t="s">
        <v>397</v>
      </c>
      <c r="F25" s="3" t="s">
        <v>2276</v>
      </c>
      <c r="G25" s="3" t="s">
        <v>2276</v>
      </c>
      <c r="H25" s="21" t="s">
        <v>2276</v>
      </c>
      <c r="I25" s="21" t="s">
        <v>2276</v>
      </c>
      <c r="J25" s="21" t="s">
        <v>2276</v>
      </c>
      <c r="K25" s="21"/>
      <c r="L25" s="21" t="s">
        <v>2276</v>
      </c>
      <c r="M25" s="21" t="s">
        <v>2276</v>
      </c>
      <c r="N25" s="21" t="s">
        <v>2276</v>
      </c>
      <c r="O25" s="21" t="s">
        <v>2276</v>
      </c>
      <c r="P25" s="21">
        <v>19.62538618</v>
      </c>
      <c r="Q25" s="21" t="s">
        <v>2276</v>
      </c>
      <c r="R25" s="21" t="s">
        <v>2276</v>
      </c>
      <c r="S25" s="21" t="s">
        <v>2276</v>
      </c>
      <c r="T25" s="3"/>
    </row>
    <row r="26" spans="1:20" ht="29">
      <c r="A26" s="31" t="s">
        <v>269</v>
      </c>
      <c r="B26" s="3" t="s">
        <v>70</v>
      </c>
      <c r="C26" s="3" t="s">
        <v>12</v>
      </c>
      <c r="D26" s="4" t="s">
        <v>396</v>
      </c>
      <c r="E26" s="4" t="s">
        <v>397</v>
      </c>
      <c r="F26" s="3" t="s">
        <v>2276</v>
      </c>
      <c r="G26" s="3" t="s">
        <v>2276</v>
      </c>
      <c r="H26" s="21" t="s">
        <v>2276</v>
      </c>
      <c r="I26" s="21" t="s">
        <v>2276</v>
      </c>
      <c r="J26" s="21" t="s">
        <v>2276</v>
      </c>
      <c r="K26" s="21"/>
      <c r="L26" s="21" t="s">
        <v>2276</v>
      </c>
      <c r="M26" s="21" t="s">
        <v>2276</v>
      </c>
      <c r="N26" s="21" t="s">
        <v>2276</v>
      </c>
      <c r="O26" s="21" t="s">
        <v>2276</v>
      </c>
      <c r="P26" s="21">
        <v>12.683202769999999</v>
      </c>
      <c r="Q26" s="21" t="s">
        <v>2276</v>
      </c>
      <c r="R26" s="21" t="s">
        <v>2276</v>
      </c>
      <c r="S26" s="21" t="s">
        <v>2276</v>
      </c>
      <c r="T26" s="3"/>
    </row>
    <row r="27" spans="1:20" ht="29">
      <c r="A27" s="31" t="s">
        <v>270</v>
      </c>
      <c r="B27" s="3" t="s">
        <v>70</v>
      </c>
      <c r="C27" s="3" t="s">
        <v>12</v>
      </c>
      <c r="D27" s="4" t="s">
        <v>396</v>
      </c>
      <c r="E27" s="4" t="s">
        <v>397</v>
      </c>
      <c r="F27" s="3" t="s">
        <v>2276</v>
      </c>
      <c r="G27" s="3" t="s">
        <v>2276</v>
      </c>
      <c r="H27" s="21" t="s">
        <v>2276</v>
      </c>
      <c r="I27" s="21" t="s">
        <v>2276</v>
      </c>
      <c r="J27" s="21" t="s">
        <v>2276</v>
      </c>
      <c r="K27" s="21"/>
      <c r="L27" s="21" t="s">
        <v>2276</v>
      </c>
      <c r="M27" s="21" t="s">
        <v>2276</v>
      </c>
      <c r="N27" s="21" t="s">
        <v>2276</v>
      </c>
      <c r="O27" s="21" t="s">
        <v>2276</v>
      </c>
      <c r="P27" s="21">
        <v>12.41278273</v>
      </c>
      <c r="Q27" s="21" t="s">
        <v>2276</v>
      </c>
      <c r="R27" s="21" t="s">
        <v>2276</v>
      </c>
      <c r="S27" s="21" t="s">
        <v>2276</v>
      </c>
      <c r="T27" s="3"/>
    </row>
    <row r="28" spans="1:20" ht="29">
      <c r="A28" s="31" t="s">
        <v>271</v>
      </c>
      <c r="B28" s="3" t="s">
        <v>70</v>
      </c>
      <c r="C28" s="3" t="s">
        <v>12</v>
      </c>
      <c r="D28" s="4" t="s">
        <v>396</v>
      </c>
      <c r="E28" s="4" t="s">
        <v>397</v>
      </c>
      <c r="F28" s="3" t="s">
        <v>2276</v>
      </c>
      <c r="G28" s="3" t="s">
        <v>2276</v>
      </c>
      <c r="H28" s="21" t="s">
        <v>2276</v>
      </c>
      <c r="I28" s="21" t="s">
        <v>2276</v>
      </c>
      <c r="J28" s="21" t="s">
        <v>2276</v>
      </c>
      <c r="K28" s="21"/>
      <c r="L28" s="21" t="s">
        <v>2276</v>
      </c>
      <c r="M28" s="21" t="s">
        <v>2276</v>
      </c>
      <c r="N28" s="21" t="s">
        <v>2276</v>
      </c>
      <c r="O28" s="21" t="s">
        <v>2276</v>
      </c>
      <c r="P28" s="21">
        <v>4.94039363</v>
      </c>
      <c r="Q28" s="21" t="s">
        <v>2276</v>
      </c>
      <c r="R28" s="21" t="s">
        <v>2276</v>
      </c>
      <c r="S28" s="21" t="s">
        <v>2276</v>
      </c>
      <c r="T28" s="3"/>
    </row>
    <row r="29" spans="1:20" ht="29">
      <c r="A29" s="31" t="s">
        <v>272</v>
      </c>
      <c r="B29" s="3" t="s">
        <v>70</v>
      </c>
      <c r="C29" s="3" t="s">
        <v>12</v>
      </c>
      <c r="D29" s="4" t="s">
        <v>396</v>
      </c>
      <c r="E29" s="4" t="s">
        <v>397</v>
      </c>
      <c r="F29" s="3" t="s">
        <v>2276</v>
      </c>
      <c r="G29" s="3" t="s">
        <v>2276</v>
      </c>
      <c r="H29" s="21" t="s">
        <v>2276</v>
      </c>
      <c r="I29" s="21" t="s">
        <v>2276</v>
      </c>
      <c r="J29" s="21" t="s">
        <v>2276</v>
      </c>
      <c r="K29" s="21"/>
      <c r="L29" s="21" t="s">
        <v>2276</v>
      </c>
      <c r="M29" s="21" t="s">
        <v>2276</v>
      </c>
      <c r="N29" s="21" t="s">
        <v>2276</v>
      </c>
      <c r="O29" s="21" t="s">
        <v>2276</v>
      </c>
      <c r="P29" s="21">
        <v>56.964293259999998</v>
      </c>
      <c r="Q29" s="21" t="s">
        <v>2276</v>
      </c>
      <c r="R29" s="21" t="s">
        <v>2276</v>
      </c>
      <c r="S29" s="21" t="s">
        <v>2276</v>
      </c>
      <c r="T29" s="3"/>
    </row>
    <row r="30" spans="1:20" ht="29">
      <c r="A30" s="31" t="s">
        <v>273</v>
      </c>
      <c r="B30" s="3" t="s">
        <v>70</v>
      </c>
      <c r="C30" s="3" t="s">
        <v>12</v>
      </c>
      <c r="D30" s="4" t="s">
        <v>396</v>
      </c>
      <c r="E30" s="4" t="s">
        <v>397</v>
      </c>
      <c r="F30" s="3" t="s">
        <v>2276</v>
      </c>
      <c r="G30" s="3" t="s">
        <v>2276</v>
      </c>
      <c r="H30" s="21" t="s">
        <v>2276</v>
      </c>
      <c r="I30" s="21" t="s">
        <v>2276</v>
      </c>
      <c r="J30" s="21" t="s">
        <v>2276</v>
      </c>
      <c r="K30" s="21"/>
      <c r="L30" s="21" t="s">
        <v>2276</v>
      </c>
      <c r="M30" s="21" t="s">
        <v>2276</v>
      </c>
      <c r="N30" s="21" t="s">
        <v>2276</v>
      </c>
      <c r="O30" s="21" t="s">
        <v>2276</v>
      </c>
      <c r="P30" s="21">
        <v>25.759365559999999</v>
      </c>
      <c r="Q30" s="21" t="s">
        <v>2276</v>
      </c>
      <c r="R30" s="21" t="s">
        <v>2276</v>
      </c>
      <c r="S30" s="21" t="s">
        <v>2276</v>
      </c>
      <c r="T30" s="3"/>
    </row>
    <row r="31" spans="1:20" ht="29">
      <c r="A31" s="31" t="s">
        <v>274</v>
      </c>
      <c r="B31" s="3" t="s">
        <v>70</v>
      </c>
      <c r="C31" s="3" t="s">
        <v>12</v>
      </c>
      <c r="D31" s="4" t="s">
        <v>396</v>
      </c>
      <c r="E31" s="4" t="s">
        <v>397</v>
      </c>
      <c r="F31" s="3" t="s">
        <v>2276</v>
      </c>
      <c r="G31" s="3" t="s">
        <v>2276</v>
      </c>
      <c r="H31" s="21" t="s">
        <v>2276</v>
      </c>
      <c r="I31" s="21" t="s">
        <v>2276</v>
      </c>
      <c r="J31" s="21" t="s">
        <v>2276</v>
      </c>
      <c r="K31" s="21"/>
      <c r="L31" s="21" t="s">
        <v>2276</v>
      </c>
      <c r="M31" s="21" t="s">
        <v>2276</v>
      </c>
      <c r="N31" s="21" t="s">
        <v>2276</v>
      </c>
      <c r="O31" s="21" t="s">
        <v>2276</v>
      </c>
      <c r="P31" s="21">
        <v>6.2032650900000004</v>
      </c>
      <c r="Q31" s="21" t="s">
        <v>2276</v>
      </c>
      <c r="R31" s="21" t="s">
        <v>2276</v>
      </c>
      <c r="S31" s="21" t="s">
        <v>2276</v>
      </c>
      <c r="T31" s="3"/>
    </row>
    <row r="32" spans="1:20" ht="29">
      <c r="A32" s="31" t="s">
        <v>275</v>
      </c>
      <c r="B32" s="3" t="s">
        <v>70</v>
      </c>
      <c r="C32" s="3" t="s">
        <v>12</v>
      </c>
      <c r="D32" s="4" t="s">
        <v>396</v>
      </c>
      <c r="E32" s="4" t="s">
        <v>397</v>
      </c>
      <c r="F32" s="3" t="s">
        <v>2276</v>
      </c>
      <c r="G32" s="3" t="s">
        <v>2276</v>
      </c>
      <c r="H32" s="21" t="s">
        <v>2276</v>
      </c>
      <c r="I32" s="21" t="s">
        <v>2276</v>
      </c>
      <c r="J32" s="21" t="s">
        <v>2276</v>
      </c>
      <c r="K32" s="21"/>
      <c r="L32" s="21" t="s">
        <v>2276</v>
      </c>
      <c r="M32" s="21" t="s">
        <v>2276</v>
      </c>
      <c r="N32" s="21" t="s">
        <v>2276</v>
      </c>
      <c r="O32" s="21" t="s">
        <v>2276</v>
      </c>
      <c r="P32" s="21">
        <v>7.8362094899999999</v>
      </c>
      <c r="Q32" s="21" t="s">
        <v>2276</v>
      </c>
      <c r="R32" s="21" t="s">
        <v>2276</v>
      </c>
      <c r="S32" s="21" t="s">
        <v>2276</v>
      </c>
      <c r="T32" s="3"/>
    </row>
    <row r="33" spans="1:20" ht="29">
      <c r="A33" s="31" t="s">
        <v>276</v>
      </c>
      <c r="B33" s="3" t="s">
        <v>70</v>
      </c>
      <c r="C33" s="3" t="s">
        <v>12</v>
      </c>
      <c r="D33" s="4" t="s">
        <v>396</v>
      </c>
      <c r="E33" s="4" t="s">
        <v>397</v>
      </c>
      <c r="F33" s="3" t="s">
        <v>2276</v>
      </c>
      <c r="G33" s="3" t="s">
        <v>2276</v>
      </c>
      <c r="H33" s="21" t="s">
        <v>2276</v>
      </c>
      <c r="I33" s="21" t="s">
        <v>2276</v>
      </c>
      <c r="J33" s="21" t="s">
        <v>2276</v>
      </c>
      <c r="K33" s="21"/>
      <c r="L33" s="21" t="s">
        <v>2276</v>
      </c>
      <c r="M33" s="21" t="s">
        <v>2276</v>
      </c>
      <c r="N33" s="21" t="s">
        <v>2276</v>
      </c>
      <c r="O33" s="21" t="s">
        <v>2276</v>
      </c>
      <c r="P33" s="21">
        <v>3.1861921600000001</v>
      </c>
      <c r="Q33" s="21" t="s">
        <v>2276</v>
      </c>
      <c r="R33" s="21" t="s">
        <v>2276</v>
      </c>
      <c r="S33" s="21" t="s">
        <v>2276</v>
      </c>
      <c r="T33" s="3"/>
    </row>
    <row r="34" spans="1:20" ht="29">
      <c r="A34" s="31" t="s">
        <v>277</v>
      </c>
      <c r="B34" s="3" t="s">
        <v>70</v>
      </c>
      <c r="C34" s="3" t="s">
        <v>12</v>
      </c>
      <c r="D34" s="4" t="s">
        <v>396</v>
      </c>
      <c r="E34" s="4" t="s">
        <v>397</v>
      </c>
      <c r="F34" s="3" t="s">
        <v>2276</v>
      </c>
      <c r="G34" s="3" t="s">
        <v>2276</v>
      </c>
      <c r="H34" s="21" t="s">
        <v>2276</v>
      </c>
      <c r="I34" s="21" t="s">
        <v>2276</v>
      </c>
      <c r="J34" s="21" t="s">
        <v>2276</v>
      </c>
      <c r="K34" s="21"/>
      <c r="L34" s="21" t="s">
        <v>2276</v>
      </c>
      <c r="M34" s="21" t="s">
        <v>2276</v>
      </c>
      <c r="N34" s="21" t="s">
        <v>2276</v>
      </c>
      <c r="O34" s="21" t="s">
        <v>2276</v>
      </c>
      <c r="P34" s="21">
        <v>7.9458094399999997</v>
      </c>
      <c r="Q34" s="21" t="s">
        <v>2276</v>
      </c>
      <c r="R34" s="21" t="s">
        <v>2276</v>
      </c>
      <c r="S34" s="21" t="s">
        <v>2276</v>
      </c>
      <c r="T34" s="3"/>
    </row>
    <row r="35" spans="1:20" ht="29">
      <c r="A35" s="31" t="s">
        <v>290</v>
      </c>
      <c r="B35" s="3" t="s">
        <v>70</v>
      </c>
      <c r="C35" s="3" t="s">
        <v>12</v>
      </c>
      <c r="D35" s="4" t="s">
        <v>396</v>
      </c>
      <c r="E35" s="4" t="s">
        <v>397</v>
      </c>
      <c r="F35" s="3" t="s">
        <v>2276</v>
      </c>
      <c r="G35" s="3" t="s">
        <v>2276</v>
      </c>
      <c r="H35" s="21" t="s">
        <v>2276</v>
      </c>
      <c r="I35" s="21" t="s">
        <v>2276</v>
      </c>
      <c r="J35" s="21" t="s">
        <v>2276</v>
      </c>
      <c r="K35" s="21"/>
      <c r="L35" s="21" t="s">
        <v>2276</v>
      </c>
      <c r="M35" s="21" t="s">
        <v>2276</v>
      </c>
      <c r="N35" s="21" t="s">
        <v>2276</v>
      </c>
      <c r="O35" s="21" t="s">
        <v>2276</v>
      </c>
      <c r="P35" s="21">
        <v>9.6931630500000008</v>
      </c>
      <c r="Q35" s="21" t="s">
        <v>2276</v>
      </c>
      <c r="R35" s="21" t="s">
        <v>2276</v>
      </c>
      <c r="S35" s="21" t="s">
        <v>2276</v>
      </c>
      <c r="T35" s="3"/>
    </row>
    <row r="36" spans="1:20" ht="29">
      <c r="A36" s="31" t="s">
        <v>291</v>
      </c>
      <c r="B36" s="3" t="s">
        <v>70</v>
      </c>
      <c r="C36" s="3" t="s">
        <v>12</v>
      </c>
      <c r="D36" s="4" t="s">
        <v>396</v>
      </c>
      <c r="E36" s="4" t="s">
        <v>397</v>
      </c>
      <c r="F36" s="3" t="s">
        <v>2276</v>
      </c>
      <c r="G36" s="3" t="s">
        <v>2276</v>
      </c>
      <c r="H36" s="21" t="s">
        <v>2276</v>
      </c>
      <c r="I36" s="21" t="s">
        <v>2276</v>
      </c>
      <c r="J36" s="21" t="s">
        <v>2276</v>
      </c>
      <c r="K36" s="21"/>
      <c r="L36" s="21" t="s">
        <v>2276</v>
      </c>
      <c r="M36" s="21" t="s">
        <v>2276</v>
      </c>
      <c r="N36" s="21" t="s">
        <v>2276</v>
      </c>
      <c r="O36" s="21" t="s">
        <v>2276</v>
      </c>
      <c r="P36" s="21">
        <v>28.10134132</v>
      </c>
      <c r="Q36" s="21" t="s">
        <v>2276</v>
      </c>
      <c r="R36" s="21" t="s">
        <v>2276</v>
      </c>
      <c r="S36" s="21" t="s">
        <v>2276</v>
      </c>
      <c r="T36" s="3"/>
    </row>
    <row r="37" spans="1:20" ht="29">
      <c r="A37" s="31" t="s">
        <v>292</v>
      </c>
      <c r="B37" s="3" t="s">
        <v>70</v>
      </c>
      <c r="C37" s="3" t="s">
        <v>12</v>
      </c>
      <c r="D37" s="4" t="s">
        <v>396</v>
      </c>
      <c r="E37" s="4" t="s">
        <v>397</v>
      </c>
      <c r="F37" s="3" t="s">
        <v>2276</v>
      </c>
      <c r="G37" s="3" t="s">
        <v>2276</v>
      </c>
      <c r="H37" s="21" t="s">
        <v>2276</v>
      </c>
      <c r="I37" s="21" t="s">
        <v>2276</v>
      </c>
      <c r="J37" s="21" t="s">
        <v>2276</v>
      </c>
      <c r="K37" s="21"/>
      <c r="L37" s="21" t="s">
        <v>2276</v>
      </c>
      <c r="M37" s="21" t="s">
        <v>2276</v>
      </c>
      <c r="N37" s="21" t="s">
        <v>2276</v>
      </c>
      <c r="O37" s="21" t="s">
        <v>2276</v>
      </c>
      <c r="P37" s="21">
        <v>20.484301760000001</v>
      </c>
      <c r="Q37" s="21" t="s">
        <v>2276</v>
      </c>
      <c r="R37" s="21" t="s">
        <v>2276</v>
      </c>
      <c r="S37" s="21" t="s">
        <v>2276</v>
      </c>
      <c r="T37" s="3"/>
    </row>
    <row r="38" spans="1:20" ht="29">
      <c r="A38" s="31" t="s">
        <v>293</v>
      </c>
      <c r="B38" s="3" t="s">
        <v>70</v>
      </c>
      <c r="C38" s="3" t="s">
        <v>12</v>
      </c>
      <c r="D38" s="4" t="s">
        <v>396</v>
      </c>
      <c r="E38" s="4" t="s">
        <v>397</v>
      </c>
      <c r="F38" s="3" t="s">
        <v>2276</v>
      </c>
      <c r="G38" s="3" t="s">
        <v>2276</v>
      </c>
      <c r="H38" s="21" t="s">
        <v>2276</v>
      </c>
      <c r="I38" s="21" t="s">
        <v>2276</v>
      </c>
      <c r="J38" s="21" t="s">
        <v>2276</v>
      </c>
      <c r="K38" s="21"/>
      <c r="L38" s="21" t="s">
        <v>2276</v>
      </c>
      <c r="M38" s="21" t="s">
        <v>2276</v>
      </c>
      <c r="N38" s="21" t="s">
        <v>2276</v>
      </c>
      <c r="O38" s="21" t="s">
        <v>2276</v>
      </c>
      <c r="P38" s="21">
        <v>19.729615849999998</v>
      </c>
      <c r="Q38" s="21" t="s">
        <v>2276</v>
      </c>
      <c r="R38" s="21" t="s">
        <v>2276</v>
      </c>
      <c r="S38" s="21" t="s">
        <v>2276</v>
      </c>
      <c r="T38" s="3"/>
    </row>
    <row r="39" spans="1:20" ht="29">
      <c r="A39" s="3" t="s">
        <v>89</v>
      </c>
      <c r="B39" s="3" t="s">
        <v>70</v>
      </c>
      <c r="C39" s="3" t="s">
        <v>12</v>
      </c>
      <c r="D39" s="4" t="s">
        <v>396</v>
      </c>
      <c r="E39" s="4" t="s">
        <v>397</v>
      </c>
      <c r="F39" s="3" t="s">
        <v>2276</v>
      </c>
      <c r="G39" s="3" t="s">
        <v>2276</v>
      </c>
      <c r="H39" s="21" t="s">
        <v>2276</v>
      </c>
      <c r="I39" s="21" t="s">
        <v>2276</v>
      </c>
      <c r="J39" s="21" t="s">
        <v>2276</v>
      </c>
      <c r="K39" s="21"/>
      <c r="L39" s="21" t="s">
        <v>2276</v>
      </c>
      <c r="M39" s="21" t="s">
        <v>2276</v>
      </c>
      <c r="N39" s="21" t="s">
        <v>2276</v>
      </c>
      <c r="O39" s="21" t="s">
        <v>2276</v>
      </c>
      <c r="P39" s="21" t="s">
        <v>2276</v>
      </c>
      <c r="Q39" s="21" t="s">
        <v>2276</v>
      </c>
      <c r="R39" s="21" t="s">
        <v>2276</v>
      </c>
      <c r="S39" s="21" t="s">
        <v>2276</v>
      </c>
      <c r="T39" s="3"/>
    </row>
    <row r="40" spans="1:20" ht="29">
      <c r="A40" s="31" t="s">
        <v>278</v>
      </c>
      <c r="B40" s="3" t="s">
        <v>70</v>
      </c>
      <c r="C40" s="3" t="s">
        <v>12</v>
      </c>
      <c r="D40" s="4" t="s">
        <v>396</v>
      </c>
      <c r="E40" s="4" t="s">
        <v>397</v>
      </c>
      <c r="F40" s="3" t="s">
        <v>2276</v>
      </c>
      <c r="G40" s="3" t="s">
        <v>2276</v>
      </c>
      <c r="H40" s="21" t="s">
        <v>2276</v>
      </c>
      <c r="I40" s="21" t="s">
        <v>2276</v>
      </c>
      <c r="J40" s="21" t="s">
        <v>2276</v>
      </c>
      <c r="K40" s="21"/>
      <c r="L40" s="21" t="s">
        <v>2276</v>
      </c>
      <c r="M40" s="21" t="s">
        <v>2276</v>
      </c>
      <c r="N40" s="21" t="s">
        <v>2276</v>
      </c>
      <c r="O40" s="21" t="s">
        <v>2276</v>
      </c>
      <c r="P40" s="21">
        <v>7.0097718999999996</v>
      </c>
      <c r="Q40" s="21" t="s">
        <v>2276</v>
      </c>
      <c r="R40" s="21" t="s">
        <v>2276</v>
      </c>
      <c r="S40" s="21" t="s">
        <v>2276</v>
      </c>
      <c r="T40" s="3"/>
    </row>
    <row r="41" spans="1:20" ht="29">
      <c r="A41" s="31" t="s">
        <v>279</v>
      </c>
      <c r="B41" s="3" t="s">
        <v>70</v>
      </c>
      <c r="C41" s="3" t="s">
        <v>12</v>
      </c>
      <c r="D41" s="4" t="s">
        <v>396</v>
      </c>
      <c r="E41" s="4" t="s">
        <v>397</v>
      </c>
      <c r="F41" s="3" t="s">
        <v>2276</v>
      </c>
      <c r="G41" s="3" t="s">
        <v>2276</v>
      </c>
      <c r="H41" s="21" t="s">
        <v>2276</v>
      </c>
      <c r="I41" s="21" t="s">
        <v>2276</v>
      </c>
      <c r="J41" s="21" t="s">
        <v>2276</v>
      </c>
      <c r="K41" s="21"/>
      <c r="L41" s="21" t="s">
        <v>2276</v>
      </c>
      <c r="M41" s="21" t="s">
        <v>2276</v>
      </c>
      <c r="N41" s="21" t="s">
        <v>2276</v>
      </c>
      <c r="O41" s="21" t="s">
        <v>2276</v>
      </c>
      <c r="P41" s="21">
        <v>20.564036389999998</v>
      </c>
      <c r="Q41" s="21" t="s">
        <v>2276</v>
      </c>
      <c r="R41" s="21" t="s">
        <v>2276</v>
      </c>
      <c r="S41" s="21" t="s">
        <v>2276</v>
      </c>
      <c r="T41" s="3"/>
    </row>
    <row r="42" spans="1:20" ht="29">
      <c r="A42" s="31" t="s">
        <v>280</v>
      </c>
      <c r="B42" s="3" t="s">
        <v>70</v>
      </c>
      <c r="C42" s="3" t="s">
        <v>12</v>
      </c>
      <c r="D42" s="4" t="s">
        <v>396</v>
      </c>
      <c r="E42" s="4" t="s">
        <v>397</v>
      </c>
      <c r="F42" s="3" t="s">
        <v>2276</v>
      </c>
      <c r="G42" s="3" t="s">
        <v>2276</v>
      </c>
      <c r="H42" s="21" t="s">
        <v>2276</v>
      </c>
      <c r="I42" s="21" t="s">
        <v>2276</v>
      </c>
      <c r="J42" s="21" t="s">
        <v>2276</v>
      </c>
      <c r="K42" s="21"/>
      <c r="L42" s="21" t="s">
        <v>2276</v>
      </c>
      <c r="M42" s="21" t="s">
        <v>2276</v>
      </c>
      <c r="N42" s="21" t="s">
        <v>2276</v>
      </c>
      <c r="O42" s="21" t="s">
        <v>2276</v>
      </c>
      <c r="P42" s="21">
        <v>23.855131369999999</v>
      </c>
      <c r="Q42" s="21" t="s">
        <v>2276</v>
      </c>
      <c r="R42" s="21" t="s">
        <v>2276</v>
      </c>
      <c r="S42" s="21" t="s">
        <v>2276</v>
      </c>
      <c r="T42" s="3"/>
    </row>
    <row r="43" spans="1:20" ht="29">
      <c r="A43" s="31" t="s">
        <v>281</v>
      </c>
      <c r="B43" s="3" t="s">
        <v>70</v>
      </c>
      <c r="C43" s="3" t="s">
        <v>12</v>
      </c>
      <c r="D43" s="4" t="s">
        <v>396</v>
      </c>
      <c r="E43" s="4" t="s">
        <v>397</v>
      </c>
      <c r="F43" s="3" t="s">
        <v>2276</v>
      </c>
      <c r="G43" s="3" t="s">
        <v>2276</v>
      </c>
      <c r="H43" s="21" t="s">
        <v>2276</v>
      </c>
      <c r="I43" s="21" t="s">
        <v>2276</v>
      </c>
      <c r="J43" s="21" t="s">
        <v>2276</v>
      </c>
      <c r="K43" s="21"/>
      <c r="L43" s="21" t="s">
        <v>2276</v>
      </c>
      <c r="M43" s="21" t="s">
        <v>2276</v>
      </c>
      <c r="N43" s="21" t="s">
        <v>2276</v>
      </c>
      <c r="O43" s="21" t="s">
        <v>2276</v>
      </c>
      <c r="P43" s="21">
        <v>10.091180960000001</v>
      </c>
      <c r="Q43" s="21" t="s">
        <v>2276</v>
      </c>
      <c r="R43" s="21" t="s">
        <v>2276</v>
      </c>
      <c r="S43" s="21" t="s">
        <v>2276</v>
      </c>
      <c r="T43" s="3"/>
    </row>
    <row r="44" spans="1:20" ht="29">
      <c r="A44" s="31" t="s">
        <v>282</v>
      </c>
      <c r="B44" s="3" t="s">
        <v>70</v>
      </c>
      <c r="C44" s="3" t="s">
        <v>12</v>
      </c>
      <c r="D44" s="4" t="s">
        <v>396</v>
      </c>
      <c r="E44" s="4" t="s">
        <v>397</v>
      </c>
      <c r="F44" s="3" t="s">
        <v>2276</v>
      </c>
      <c r="G44" s="3" t="s">
        <v>2276</v>
      </c>
      <c r="H44" s="21" t="s">
        <v>2276</v>
      </c>
      <c r="I44" s="21" t="s">
        <v>2276</v>
      </c>
      <c r="J44" s="21" t="s">
        <v>2276</v>
      </c>
      <c r="K44" s="21"/>
      <c r="L44" s="21" t="s">
        <v>2276</v>
      </c>
      <c r="M44" s="21" t="s">
        <v>2276</v>
      </c>
      <c r="N44" s="21" t="s">
        <v>2276</v>
      </c>
      <c r="O44" s="21" t="s">
        <v>2276</v>
      </c>
      <c r="P44" s="21">
        <v>16.62551208</v>
      </c>
      <c r="Q44" s="21" t="s">
        <v>2276</v>
      </c>
      <c r="R44" s="21" t="s">
        <v>2276</v>
      </c>
      <c r="S44" s="21" t="s">
        <v>2276</v>
      </c>
      <c r="T44" s="3"/>
    </row>
    <row r="45" spans="1:20" ht="29">
      <c r="A45" s="31" t="s">
        <v>283</v>
      </c>
      <c r="B45" s="3" t="s">
        <v>70</v>
      </c>
      <c r="C45" s="3" t="s">
        <v>12</v>
      </c>
      <c r="D45" s="4" t="s">
        <v>396</v>
      </c>
      <c r="E45" s="4" t="s">
        <v>397</v>
      </c>
      <c r="F45" s="3" t="s">
        <v>2276</v>
      </c>
      <c r="G45" s="3" t="s">
        <v>2276</v>
      </c>
      <c r="H45" s="21" t="s">
        <v>2276</v>
      </c>
      <c r="I45" s="21" t="s">
        <v>2276</v>
      </c>
      <c r="J45" s="21" t="s">
        <v>2276</v>
      </c>
      <c r="K45" s="21"/>
      <c r="L45" s="21" t="s">
        <v>2276</v>
      </c>
      <c r="M45" s="21" t="s">
        <v>2276</v>
      </c>
      <c r="N45" s="21" t="s">
        <v>2276</v>
      </c>
      <c r="O45" s="21" t="s">
        <v>2276</v>
      </c>
      <c r="P45" s="21">
        <v>41.584479739999999</v>
      </c>
      <c r="Q45" s="21" t="s">
        <v>2276</v>
      </c>
      <c r="R45" s="21" t="s">
        <v>2276</v>
      </c>
      <c r="S45" s="21" t="s">
        <v>2276</v>
      </c>
      <c r="T45" s="3"/>
    </row>
    <row r="46" spans="1:20" ht="29">
      <c r="A46" s="31" t="s">
        <v>284</v>
      </c>
      <c r="B46" s="3" t="s">
        <v>70</v>
      </c>
      <c r="C46" s="3" t="s">
        <v>12</v>
      </c>
      <c r="D46" s="4" t="s">
        <v>396</v>
      </c>
      <c r="E46" s="4" t="s">
        <v>397</v>
      </c>
      <c r="F46" s="3" t="s">
        <v>2276</v>
      </c>
      <c r="G46" s="3" t="s">
        <v>2276</v>
      </c>
      <c r="H46" s="21" t="s">
        <v>2276</v>
      </c>
      <c r="I46" s="21" t="s">
        <v>2276</v>
      </c>
      <c r="J46" s="21" t="s">
        <v>2276</v>
      </c>
      <c r="K46" s="21"/>
      <c r="L46" s="21" t="s">
        <v>2276</v>
      </c>
      <c r="M46" s="21" t="s">
        <v>2276</v>
      </c>
      <c r="N46" s="21" t="s">
        <v>2276</v>
      </c>
      <c r="O46" s="21" t="s">
        <v>2276</v>
      </c>
      <c r="P46" s="21">
        <v>11.16301174</v>
      </c>
      <c r="Q46" s="21" t="s">
        <v>2276</v>
      </c>
      <c r="R46" s="21" t="s">
        <v>2276</v>
      </c>
      <c r="S46" s="21" t="s">
        <v>2276</v>
      </c>
      <c r="T46" s="3"/>
    </row>
    <row r="47" spans="1:20" ht="29">
      <c r="A47" s="31" t="s">
        <v>285</v>
      </c>
      <c r="B47" s="3" t="s">
        <v>70</v>
      </c>
      <c r="C47" s="3" t="s">
        <v>12</v>
      </c>
      <c r="D47" s="4" t="s">
        <v>396</v>
      </c>
      <c r="E47" s="4" t="s">
        <v>397</v>
      </c>
      <c r="F47" s="3" t="s">
        <v>2276</v>
      </c>
      <c r="G47" s="3" t="s">
        <v>2276</v>
      </c>
      <c r="H47" s="21" t="s">
        <v>2276</v>
      </c>
      <c r="I47" s="21" t="s">
        <v>2276</v>
      </c>
      <c r="J47" s="21" t="s">
        <v>2276</v>
      </c>
      <c r="K47" s="21"/>
      <c r="L47" s="21" t="s">
        <v>2276</v>
      </c>
      <c r="M47" s="21" t="s">
        <v>2276</v>
      </c>
      <c r="N47" s="21" t="s">
        <v>2276</v>
      </c>
      <c r="O47" s="21" t="s">
        <v>2276</v>
      </c>
      <c r="P47" s="21">
        <v>23.359450800000001</v>
      </c>
      <c r="Q47" s="21" t="s">
        <v>2276</v>
      </c>
      <c r="R47" s="21" t="s">
        <v>2276</v>
      </c>
      <c r="S47" s="21" t="s">
        <v>2276</v>
      </c>
      <c r="T47" s="3"/>
    </row>
    <row r="48" spans="1:20" ht="29">
      <c r="A48" s="31" t="s">
        <v>286</v>
      </c>
      <c r="B48" s="3" t="s">
        <v>70</v>
      </c>
      <c r="C48" s="3" t="s">
        <v>12</v>
      </c>
      <c r="D48" s="4" t="s">
        <v>396</v>
      </c>
      <c r="E48" s="4" t="s">
        <v>397</v>
      </c>
      <c r="F48" s="3" t="s">
        <v>2276</v>
      </c>
      <c r="G48" s="3" t="s">
        <v>2276</v>
      </c>
      <c r="H48" s="21" t="s">
        <v>2276</v>
      </c>
      <c r="I48" s="21" t="s">
        <v>2276</v>
      </c>
      <c r="J48" s="21" t="s">
        <v>2276</v>
      </c>
      <c r="K48" s="21"/>
      <c r="L48" s="21" t="s">
        <v>2276</v>
      </c>
      <c r="M48" s="21" t="s">
        <v>2276</v>
      </c>
      <c r="N48" s="21" t="s">
        <v>2276</v>
      </c>
      <c r="O48" s="21" t="s">
        <v>2276</v>
      </c>
      <c r="P48" s="21">
        <v>4.0366516900000002</v>
      </c>
      <c r="Q48" s="21" t="s">
        <v>2276</v>
      </c>
      <c r="R48" s="21" t="s">
        <v>2276</v>
      </c>
      <c r="S48" s="21" t="s">
        <v>2276</v>
      </c>
      <c r="T48" s="3"/>
    </row>
    <row r="49" spans="1:20" ht="29">
      <c r="A49" s="31" t="s">
        <v>287</v>
      </c>
      <c r="B49" s="3" t="s">
        <v>70</v>
      </c>
      <c r="C49" s="3" t="s">
        <v>12</v>
      </c>
      <c r="D49" s="4" t="s">
        <v>396</v>
      </c>
      <c r="E49" s="4" t="s">
        <v>397</v>
      </c>
      <c r="F49" s="3" t="s">
        <v>2276</v>
      </c>
      <c r="G49" s="3" t="s">
        <v>2276</v>
      </c>
      <c r="H49" s="21" t="s">
        <v>2276</v>
      </c>
      <c r="I49" s="21" t="s">
        <v>2276</v>
      </c>
      <c r="J49" s="21" t="s">
        <v>2276</v>
      </c>
      <c r="K49" s="21"/>
      <c r="L49" s="21" t="s">
        <v>2276</v>
      </c>
      <c r="M49" s="21" t="s">
        <v>2276</v>
      </c>
      <c r="N49" s="21" t="s">
        <v>2276</v>
      </c>
      <c r="O49" s="21" t="s">
        <v>2276</v>
      </c>
      <c r="P49" s="21">
        <v>3.7979184799999999</v>
      </c>
      <c r="Q49" s="21" t="s">
        <v>2276</v>
      </c>
      <c r="R49" s="21" t="s">
        <v>2276</v>
      </c>
      <c r="S49" s="21" t="s">
        <v>2276</v>
      </c>
      <c r="T49" s="3"/>
    </row>
    <row r="50" spans="1:20" ht="29">
      <c r="A50" s="31" t="s">
        <v>288</v>
      </c>
      <c r="B50" s="3" t="s">
        <v>70</v>
      </c>
      <c r="C50" s="3" t="s">
        <v>12</v>
      </c>
      <c r="D50" s="4" t="s">
        <v>396</v>
      </c>
      <c r="E50" s="4" t="s">
        <v>397</v>
      </c>
      <c r="F50" s="3" t="s">
        <v>2276</v>
      </c>
      <c r="G50" s="3" t="s">
        <v>2276</v>
      </c>
      <c r="H50" s="21" t="s">
        <v>2276</v>
      </c>
      <c r="I50" s="21" t="s">
        <v>2276</v>
      </c>
      <c r="J50" s="21" t="s">
        <v>2276</v>
      </c>
      <c r="K50" s="21"/>
      <c r="L50" s="21" t="s">
        <v>2276</v>
      </c>
      <c r="M50" s="21" t="s">
        <v>2276</v>
      </c>
      <c r="N50" s="21" t="s">
        <v>2276</v>
      </c>
      <c r="O50" s="21" t="s">
        <v>2276</v>
      </c>
      <c r="P50" s="21">
        <v>11.620274029999999</v>
      </c>
      <c r="Q50" s="21" t="s">
        <v>2276</v>
      </c>
      <c r="R50" s="21" t="s">
        <v>2276</v>
      </c>
      <c r="S50" s="21" t="s">
        <v>2276</v>
      </c>
      <c r="T50" s="3"/>
    </row>
    <row r="51" spans="1:20" ht="29">
      <c r="A51" s="31" t="s">
        <v>289</v>
      </c>
      <c r="B51" s="3" t="s">
        <v>70</v>
      </c>
      <c r="C51" s="3" t="s">
        <v>12</v>
      </c>
      <c r="D51" s="4" t="s">
        <v>396</v>
      </c>
      <c r="E51" s="4" t="s">
        <v>397</v>
      </c>
      <c r="F51" s="3" t="s">
        <v>2276</v>
      </c>
      <c r="G51" s="3" t="s">
        <v>2276</v>
      </c>
      <c r="H51" s="21" t="s">
        <v>2276</v>
      </c>
      <c r="I51" s="21" t="s">
        <v>2276</v>
      </c>
      <c r="J51" s="21" t="s">
        <v>2276</v>
      </c>
      <c r="K51" s="21"/>
      <c r="L51" s="21" t="s">
        <v>2276</v>
      </c>
      <c r="M51" s="21" t="s">
        <v>2276</v>
      </c>
      <c r="N51" s="21" t="s">
        <v>2276</v>
      </c>
      <c r="O51" s="21" t="s">
        <v>2276</v>
      </c>
      <c r="P51" s="21">
        <v>13.74711025</v>
      </c>
      <c r="Q51" s="21" t="s">
        <v>2276</v>
      </c>
      <c r="R51" s="21" t="s">
        <v>2276</v>
      </c>
      <c r="S51" s="21" t="s">
        <v>2276</v>
      </c>
      <c r="T51" s="3"/>
    </row>
    <row r="52" spans="1:20" ht="29">
      <c r="A52" s="31" t="s">
        <v>294</v>
      </c>
      <c r="B52" s="3" t="s">
        <v>70</v>
      </c>
      <c r="C52" s="3" t="s">
        <v>12</v>
      </c>
      <c r="D52" s="4" t="s">
        <v>396</v>
      </c>
      <c r="E52" s="4" t="s">
        <v>397</v>
      </c>
      <c r="F52" s="3" t="s">
        <v>2276</v>
      </c>
      <c r="G52" s="3" t="s">
        <v>2276</v>
      </c>
      <c r="H52" s="21" t="s">
        <v>2276</v>
      </c>
      <c r="I52" s="21" t="s">
        <v>2276</v>
      </c>
      <c r="J52" s="21" t="s">
        <v>2276</v>
      </c>
      <c r="K52" s="21"/>
      <c r="L52" s="21" t="s">
        <v>2276</v>
      </c>
      <c r="M52" s="21" t="s">
        <v>2276</v>
      </c>
      <c r="N52" s="21" t="s">
        <v>2276</v>
      </c>
      <c r="O52" s="21" t="s">
        <v>2276</v>
      </c>
      <c r="P52" s="21">
        <v>3.1926252000000002</v>
      </c>
      <c r="Q52" s="21" t="s">
        <v>2276</v>
      </c>
      <c r="R52" s="21" t="s">
        <v>2276</v>
      </c>
      <c r="S52" s="21" t="s">
        <v>2276</v>
      </c>
      <c r="T52" s="3"/>
    </row>
    <row r="53" spans="1:20" ht="29">
      <c r="A53" s="31" t="s">
        <v>295</v>
      </c>
      <c r="B53" s="3" t="s">
        <v>70</v>
      </c>
      <c r="C53" s="3" t="s">
        <v>12</v>
      </c>
      <c r="D53" s="4" t="s">
        <v>396</v>
      </c>
      <c r="E53" s="4" t="s">
        <v>397</v>
      </c>
      <c r="F53" s="3" t="s">
        <v>2276</v>
      </c>
      <c r="G53" s="3" t="s">
        <v>2276</v>
      </c>
      <c r="H53" s="21" t="s">
        <v>2276</v>
      </c>
      <c r="I53" s="21" t="s">
        <v>2276</v>
      </c>
      <c r="J53" s="21" t="s">
        <v>2276</v>
      </c>
      <c r="K53" s="21"/>
      <c r="L53" s="21" t="s">
        <v>2276</v>
      </c>
      <c r="M53" s="21" t="s">
        <v>2276</v>
      </c>
      <c r="N53" s="21" t="s">
        <v>2276</v>
      </c>
      <c r="O53" s="21" t="s">
        <v>2276</v>
      </c>
      <c r="P53" s="21">
        <v>5.9426253600000001</v>
      </c>
      <c r="Q53" s="21" t="s">
        <v>2276</v>
      </c>
      <c r="R53" s="21" t="s">
        <v>2276</v>
      </c>
      <c r="S53" s="21" t="s">
        <v>2276</v>
      </c>
      <c r="T53" s="3"/>
    </row>
    <row r="54" spans="1:20" ht="29">
      <c r="A54" s="31" t="s">
        <v>296</v>
      </c>
      <c r="B54" s="3" t="s">
        <v>70</v>
      </c>
      <c r="C54" s="3" t="s">
        <v>12</v>
      </c>
      <c r="D54" s="4" t="s">
        <v>396</v>
      </c>
      <c r="E54" s="4" t="s">
        <v>397</v>
      </c>
      <c r="F54" s="3" t="s">
        <v>2276</v>
      </c>
      <c r="G54" s="3" t="s">
        <v>2276</v>
      </c>
      <c r="H54" s="21" t="s">
        <v>2276</v>
      </c>
      <c r="I54" s="21" t="s">
        <v>2276</v>
      </c>
      <c r="J54" s="21" t="s">
        <v>2276</v>
      </c>
      <c r="K54" s="21"/>
      <c r="L54" s="21" t="s">
        <v>2276</v>
      </c>
      <c r="M54" s="21" t="s">
        <v>2276</v>
      </c>
      <c r="N54" s="21" t="s">
        <v>2276</v>
      </c>
      <c r="O54" s="21" t="s">
        <v>2276</v>
      </c>
      <c r="P54" s="21">
        <v>57.605732949999997</v>
      </c>
      <c r="Q54" s="21" t="s">
        <v>2276</v>
      </c>
      <c r="R54" s="21" t="s">
        <v>2276</v>
      </c>
      <c r="S54" s="21" t="s">
        <v>2276</v>
      </c>
      <c r="T54" s="3"/>
    </row>
    <row r="55" spans="1:20" ht="29">
      <c r="A55" s="31" t="s">
        <v>297</v>
      </c>
      <c r="B55" s="3" t="s">
        <v>70</v>
      </c>
      <c r="C55" s="3" t="s">
        <v>12</v>
      </c>
      <c r="D55" s="4" t="s">
        <v>396</v>
      </c>
      <c r="E55" s="4" t="s">
        <v>397</v>
      </c>
      <c r="F55" s="3" t="s">
        <v>2276</v>
      </c>
      <c r="G55" s="3" t="s">
        <v>2276</v>
      </c>
      <c r="H55" s="21" t="s">
        <v>2276</v>
      </c>
      <c r="I55" s="21" t="s">
        <v>2276</v>
      </c>
      <c r="J55" s="21" t="s">
        <v>2276</v>
      </c>
      <c r="K55" s="21"/>
      <c r="L55" s="21" t="s">
        <v>2276</v>
      </c>
      <c r="M55" s="21" t="s">
        <v>2276</v>
      </c>
      <c r="N55" s="21" t="s">
        <v>2276</v>
      </c>
      <c r="O55" s="21" t="s">
        <v>2276</v>
      </c>
      <c r="P55" s="21">
        <v>4.1026212900000001</v>
      </c>
      <c r="Q55" s="21" t="s">
        <v>2276</v>
      </c>
      <c r="R55" s="21" t="s">
        <v>2276</v>
      </c>
      <c r="S55" s="21" t="s">
        <v>2276</v>
      </c>
      <c r="T55" s="3"/>
    </row>
    <row r="56" spans="1:20" ht="29">
      <c r="A56" s="31" t="s">
        <v>298</v>
      </c>
      <c r="B56" s="3" t="s">
        <v>70</v>
      </c>
      <c r="C56" s="3" t="s">
        <v>12</v>
      </c>
      <c r="D56" s="4" t="s">
        <v>396</v>
      </c>
      <c r="E56" s="4" t="s">
        <v>397</v>
      </c>
      <c r="F56" s="3" t="s">
        <v>2276</v>
      </c>
      <c r="G56" s="3" t="s">
        <v>2276</v>
      </c>
      <c r="H56" s="21" t="s">
        <v>2276</v>
      </c>
      <c r="I56" s="21" t="s">
        <v>2276</v>
      </c>
      <c r="J56" s="21" t="s">
        <v>2276</v>
      </c>
      <c r="K56" s="21"/>
      <c r="L56" s="21" t="s">
        <v>2276</v>
      </c>
      <c r="M56" s="21" t="s">
        <v>2276</v>
      </c>
      <c r="N56" s="21" t="s">
        <v>2276</v>
      </c>
      <c r="O56" s="21" t="s">
        <v>2276</v>
      </c>
      <c r="P56" s="21">
        <v>6.4205224699999999</v>
      </c>
      <c r="Q56" s="21" t="s">
        <v>2276</v>
      </c>
      <c r="R56" s="21" t="s">
        <v>2276</v>
      </c>
      <c r="S56" s="21" t="s">
        <v>2276</v>
      </c>
      <c r="T56" s="3"/>
    </row>
    <row r="57" spans="1:20" ht="29">
      <c r="A57" s="31" t="s">
        <v>299</v>
      </c>
      <c r="B57" s="3" t="s">
        <v>70</v>
      </c>
      <c r="C57" s="3" t="s">
        <v>12</v>
      </c>
      <c r="D57" s="4" t="s">
        <v>396</v>
      </c>
      <c r="E57" s="4" t="s">
        <v>397</v>
      </c>
      <c r="F57" s="3" t="s">
        <v>2276</v>
      </c>
      <c r="G57" s="3" t="s">
        <v>2276</v>
      </c>
      <c r="H57" s="21" t="s">
        <v>2276</v>
      </c>
      <c r="I57" s="21" t="s">
        <v>2276</v>
      </c>
      <c r="J57" s="21" t="s">
        <v>2276</v>
      </c>
      <c r="K57" s="21"/>
      <c r="L57" s="21" t="s">
        <v>2276</v>
      </c>
      <c r="M57" s="21" t="s">
        <v>2276</v>
      </c>
      <c r="N57" s="21" t="s">
        <v>2276</v>
      </c>
      <c r="O57" s="21" t="s">
        <v>2276</v>
      </c>
      <c r="P57" s="21">
        <v>9.1263055000000008</v>
      </c>
      <c r="Q57" s="21" t="s">
        <v>2276</v>
      </c>
      <c r="R57" s="21" t="s">
        <v>2276</v>
      </c>
      <c r="S57" s="21" t="s">
        <v>2276</v>
      </c>
      <c r="T57" s="3"/>
    </row>
    <row r="58" spans="1:20" ht="29">
      <c r="A58" s="31" t="s">
        <v>300</v>
      </c>
      <c r="B58" s="3" t="s">
        <v>70</v>
      </c>
      <c r="C58" s="3" t="s">
        <v>12</v>
      </c>
      <c r="D58" s="4" t="s">
        <v>396</v>
      </c>
      <c r="E58" s="4" t="s">
        <v>397</v>
      </c>
      <c r="F58" s="3" t="s">
        <v>2276</v>
      </c>
      <c r="G58" s="3" t="s">
        <v>2276</v>
      </c>
      <c r="H58" s="21" t="s">
        <v>2276</v>
      </c>
      <c r="I58" s="21" t="s">
        <v>2276</v>
      </c>
      <c r="J58" s="21" t="s">
        <v>2276</v>
      </c>
      <c r="K58" s="21"/>
      <c r="L58" s="21" t="s">
        <v>2276</v>
      </c>
      <c r="M58" s="21" t="s">
        <v>2276</v>
      </c>
      <c r="N58" s="21" t="s">
        <v>2276</v>
      </c>
      <c r="O58" s="21" t="s">
        <v>2276</v>
      </c>
      <c r="P58" s="21">
        <v>121.50697177000001</v>
      </c>
      <c r="Q58" s="21" t="s">
        <v>2276</v>
      </c>
      <c r="R58" s="21" t="s">
        <v>2276</v>
      </c>
      <c r="S58" s="21" t="s">
        <v>2276</v>
      </c>
      <c r="T58" s="3"/>
    </row>
    <row r="59" spans="1:20" ht="29">
      <c r="A59" s="31" t="s">
        <v>301</v>
      </c>
      <c r="B59" s="3" t="s">
        <v>70</v>
      </c>
      <c r="C59" s="3" t="s">
        <v>12</v>
      </c>
      <c r="D59" s="4" t="s">
        <v>396</v>
      </c>
      <c r="E59" s="4" t="s">
        <v>397</v>
      </c>
      <c r="F59" s="3" t="s">
        <v>2276</v>
      </c>
      <c r="G59" s="3" t="s">
        <v>2276</v>
      </c>
      <c r="H59" s="21" t="s">
        <v>2276</v>
      </c>
      <c r="I59" s="21" t="s">
        <v>2276</v>
      </c>
      <c r="J59" s="21" t="s">
        <v>2276</v>
      </c>
      <c r="K59" s="21"/>
      <c r="L59" s="21" t="s">
        <v>2276</v>
      </c>
      <c r="M59" s="21" t="s">
        <v>2276</v>
      </c>
      <c r="N59" s="21" t="s">
        <v>2276</v>
      </c>
      <c r="O59" s="21" t="s">
        <v>2276</v>
      </c>
      <c r="P59" s="21">
        <v>71.081879310000005</v>
      </c>
      <c r="Q59" s="21" t="s">
        <v>2276</v>
      </c>
      <c r="R59" s="21" t="s">
        <v>2276</v>
      </c>
      <c r="S59" s="21" t="s">
        <v>2276</v>
      </c>
      <c r="T59" s="3"/>
    </row>
    <row r="60" spans="1:20" ht="29">
      <c r="A60" s="31" t="s">
        <v>302</v>
      </c>
      <c r="B60" s="3" t="s">
        <v>70</v>
      </c>
      <c r="C60" s="3" t="s">
        <v>12</v>
      </c>
      <c r="D60" s="4" t="s">
        <v>396</v>
      </c>
      <c r="E60" s="4" t="s">
        <v>397</v>
      </c>
      <c r="F60" s="3" t="s">
        <v>2276</v>
      </c>
      <c r="G60" s="3" t="s">
        <v>2276</v>
      </c>
      <c r="H60" s="21" t="s">
        <v>2276</v>
      </c>
      <c r="I60" s="21" t="s">
        <v>2276</v>
      </c>
      <c r="J60" s="21" t="s">
        <v>2276</v>
      </c>
      <c r="K60" s="21"/>
      <c r="L60" s="21" t="s">
        <v>2276</v>
      </c>
      <c r="M60" s="21" t="s">
        <v>2276</v>
      </c>
      <c r="N60" s="21" t="s">
        <v>2276</v>
      </c>
      <c r="O60" s="21" t="s">
        <v>2276</v>
      </c>
      <c r="P60" s="21">
        <v>12.08484209</v>
      </c>
      <c r="Q60" s="21" t="s">
        <v>2276</v>
      </c>
      <c r="R60" s="21" t="s">
        <v>2276</v>
      </c>
      <c r="S60" s="21" t="s">
        <v>2276</v>
      </c>
      <c r="T60" s="3"/>
    </row>
    <row r="61" spans="1:20" ht="29">
      <c r="A61" s="31" t="s">
        <v>303</v>
      </c>
      <c r="B61" s="3" t="s">
        <v>70</v>
      </c>
      <c r="C61" s="3" t="s">
        <v>12</v>
      </c>
      <c r="D61" s="4" t="s">
        <v>396</v>
      </c>
      <c r="E61" s="4" t="s">
        <v>397</v>
      </c>
      <c r="F61" s="3" t="s">
        <v>2276</v>
      </c>
      <c r="G61" s="3" t="s">
        <v>2276</v>
      </c>
      <c r="H61" s="21" t="s">
        <v>2276</v>
      </c>
      <c r="I61" s="21" t="s">
        <v>2276</v>
      </c>
      <c r="J61" s="21" t="s">
        <v>2276</v>
      </c>
      <c r="K61" s="21"/>
      <c r="L61" s="21" t="s">
        <v>2276</v>
      </c>
      <c r="M61" s="21" t="s">
        <v>2276</v>
      </c>
      <c r="N61" s="21" t="s">
        <v>2276</v>
      </c>
      <c r="O61" s="21" t="s">
        <v>2276</v>
      </c>
      <c r="P61" s="21">
        <v>19.92462832</v>
      </c>
      <c r="Q61" s="21" t="s">
        <v>2276</v>
      </c>
      <c r="R61" s="21" t="s">
        <v>2276</v>
      </c>
      <c r="S61" s="21" t="s">
        <v>2276</v>
      </c>
      <c r="T61" s="3"/>
    </row>
    <row r="62" spans="1:20" ht="29">
      <c r="A62" s="31" t="s">
        <v>304</v>
      </c>
      <c r="B62" s="3" t="s">
        <v>70</v>
      </c>
      <c r="C62" s="3" t="s">
        <v>12</v>
      </c>
      <c r="D62" s="4" t="s">
        <v>396</v>
      </c>
      <c r="E62" s="4" t="s">
        <v>397</v>
      </c>
      <c r="F62" s="3" t="s">
        <v>2276</v>
      </c>
      <c r="G62" s="3" t="s">
        <v>2276</v>
      </c>
      <c r="H62" s="21" t="s">
        <v>2276</v>
      </c>
      <c r="I62" s="21" t="s">
        <v>2276</v>
      </c>
      <c r="J62" s="21" t="s">
        <v>2276</v>
      </c>
      <c r="K62" s="21"/>
      <c r="L62" s="21" t="s">
        <v>2276</v>
      </c>
      <c r="M62" s="21" t="s">
        <v>2276</v>
      </c>
      <c r="N62" s="21" t="s">
        <v>2276</v>
      </c>
      <c r="O62" s="21" t="s">
        <v>2276</v>
      </c>
      <c r="P62" s="21">
        <v>54.932544739999997</v>
      </c>
      <c r="Q62" s="21" t="s">
        <v>2276</v>
      </c>
      <c r="R62" s="21" t="s">
        <v>2276</v>
      </c>
      <c r="S62" s="21" t="s">
        <v>2276</v>
      </c>
      <c r="T62" s="3"/>
    </row>
    <row r="63" spans="1:20" ht="29">
      <c r="A63" s="31" t="s">
        <v>305</v>
      </c>
      <c r="B63" s="3" t="s">
        <v>70</v>
      </c>
      <c r="C63" s="3" t="s">
        <v>12</v>
      </c>
      <c r="D63" s="4" t="s">
        <v>396</v>
      </c>
      <c r="E63" s="4" t="s">
        <v>397</v>
      </c>
      <c r="F63" s="3" t="s">
        <v>2276</v>
      </c>
      <c r="G63" s="3" t="s">
        <v>2276</v>
      </c>
      <c r="H63" s="21" t="s">
        <v>2276</v>
      </c>
      <c r="I63" s="21" t="s">
        <v>2276</v>
      </c>
      <c r="J63" s="21" t="s">
        <v>2276</v>
      </c>
      <c r="K63" s="21"/>
      <c r="L63" s="21" t="s">
        <v>2276</v>
      </c>
      <c r="M63" s="21" t="s">
        <v>2276</v>
      </c>
      <c r="N63" s="21" t="s">
        <v>2276</v>
      </c>
      <c r="O63" s="21" t="s">
        <v>2276</v>
      </c>
      <c r="P63" s="21">
        <v>24.888227239999999</v>
      </c>
      <c r="Q63" s="21" t="s">
        <v>2276</v>
      </c>
      <c r="R63" s="21" t="s">
        <v>2276</v>
      </c>
      <c r="S63" s="21" t="s">
        <v>2276</v>
      </c>
      <c r="T63" s="3"/>
    </row>
    <row r="64" spans="1:20" ht="29">
      <c r="A64" s="31" t="s">
        <v>306</v>
      </c>
      <c r="B64" s="3" t="s">
        <v>70</v>
      </c>
      <c r="C64" s="3" t="s">
        <v>12</v>
      </c>
      <c r="D64" s="4" t="s">
        <v>396</v>
      </c>
      <c r="E64" s="4" t="s">
        <v>397</v>
      </c>
      <c r="F64" s="3" t="s">
        <v>2276</v>
      </c>
      <c r="G64" s="3" t="s">
        <v>2276</v>
      </c>
      <c r="H64" s="21" t="s">
        <v>2276</v>
      </c>
      <c r="I64" s="21" t="s">
        <v>2276</v>
      </c>
      <c r="J64" s="21" t="s">
        <v>2276</v>
      </c>
      <c r="K64" s="21"/>
      <c r="L64" s="21" t="s">
        <v>2276</v>
      </c>
      <c r="M64" s="21" t="s">
        <v>2276</v>
      </c>
      <c r="N64" s="21" t="s">
        <v>2276</v>
      </c>
      <c r="O64" s="21" t="s">
        <v>2276</v>
      </c>
      <c r="P64" s="21">
        <v>15.769765420000001</v>
      </c>
      <c r="Q64" s="21" t="s">
        <v>2276</v>
      </c>
      <c r="R64" s="21" t="s">
        <v>2276</v>
      </c>
      <c r="S64" s="21" t="s">
        <v>2276</v>
      </c>
      <c r="T64" s="3"/>
    </row>
    <row r="65" spans="1:20" ht="29">
      <c r="A65" s="31" t="s">
        <v>307</v>
      </c>
      <c r="B65" s="3" t="s">
        <v>70</v>
      </c>
      <c r="C65" s="3" t="s">
        <v>12</v>
      </c>
      <c r="D65" s="4" t="s">
        <v>396</v>
      </c>
      <c r="E65" s="4" t="s">
        <v>397</v>
      </c>
      <c r="F65" s="3" t="s">
        <v>2276</v>
      </c>
      <c r="G65" s="3" t="s">
        <v>2276</v>
      </c>
      <c r="H65" s="21" t="s">
        <v>2276</v>
      </c>
      <c r="I65" s="21" t="s">
        <v>2276</v>
      </c>
      <c r="J65" s="21" t="s">
        <v>2276</v>
      </c>
      <c r="K65" s="21"/>
      <c r="L65" s="21" t="s">
        <v>2276</v>
      </c>
      <c r="M65" s="21" t="s">
        <v>2276</v>
      </c>
      <c r="N65" s="21" t="s">
        <v>2276</v>
      </c>
      <c r="O65" s="21" t="s">
        <v>2276</v>
      </c>
      <c r="P65" s="21">
        <v>17.475767449999999</v>
      </c>
      <c r="Q65" s="21" t="s">
        <v>2276</v>
      </c>
      <c r="R65" s="21" t="s">
        <v>2276</v>
      </c>
      <c r="S65" s="21" t="s">
        <v>2276</v>
      </c>
      <c r="T65" s="3"/>
    </row>
    <row r="66" spans="1:20" ht="29">
      <c r="A66" s="31" t="s">
        <v>308</v>
      </c>
      <c r="B66" s="3" t="s">
        <v>70</v>
      </c>
      <c r="C66" s="3" t="s">
        <v>12</v>
      </c>
      <c r="D66" s="4" t="s">
        <v>396</v>
      </c>
      <c r="E66" s="4" t="s">
        <v>397</v>
      </c>
      <c r="F66" s="3" t="s">
        <v>2276</v>
      </c>
      <c r="G66" s="3" t="s">
        <v>2276</v>
      </c>
      <c r="H66" s="21" t="s">
        <v>2276</v>
      </c>
      <c r="I66" s="21" t="s">
        <v>2276</v>
      </c>
      <c r="J66" s="21" t="s">
        <v>2276</v>
      </c>
      <c r="K66" s="21"/>
      <c r="L66" s="21" t="s">
        <v>2276</v>
      </c>
      <c r="M66" s="21" t="s">
        <v>2276</v>
      </c>
      <c r="N66" s="21" t="s">
        <v>2276</v>
      </c>
      <c r="O66" s="21" t="s">
        <v>2276</v>
      </c>
      <c r="P66" s="21">
        <v>13.330206860000001</v>
      </c>
      <c r="Q66" s="21" t="s">
        <v>2276</v>
      </c>
      <c r="R66" s="21" t="s">
        <v>2276</v>
      </c>
      <c r="S66" s="21" t="s">
        <v>2276</v>
      </c>
      <c r="T66" s="3"/>
    </row>
    <row r="67" spans="1:20" ht="29">
      <c r="A67" s="31" t="s">
        <v>309</v>
      </c>
      <c r="B67" s="3" t="s">
        <v>70</v>
      </c>
      <c r="C67" s="3" t="s">
        <v>12</v>
      </c>
      <c r="D67" s="4" t="s">
        <v>396</v>
      </c>
      <c r="E67" s="4" t="s">
        <v>397</v>
      </c>
      <c r="F67" s="3" t="s">
        <v>2276</v>
      </c>
      <c r="G67" s="3" t="s">
        <v>2276</v>
      </c>
      <c r="H67" s="21" t="s">
        <v>2276</v>
      </c>
      <c r="I67" s="21" t="s">
        <v>2276</v>
      </c>
      <c r="J67" s="21" t="s">
        <v>2276</v>
      </c>
      <c r="K67" s="21"/>
      <c r="L67" s="21" t="s">
        <v>2276</v>
      </c>
      <c r="M67" s="21" t="s">
        <v>2276</v>
      </c>
      <c r="N67" s="21" t="s">
        <v>2276</v>
      </c>
      <c r="O67" s="21" t="s">
        <v>2276</v>
      </c>
      <c r="P67" s="21">
        <v>7.1252818099999997</v>
      </c>
      <c r="Q67" s="21" t="s">
        <v>2276</v>
      </c>
      <c r="R67" s="21" t="s">
        <v>2276</v>
      </c>
      <c r="S67" s="21" t="s">
        <v>2276</v>
      </c>
      <c r="T67" s="3"/>
    </row>
    <row r="68" spans="1:20" ht="29">
      <c r="A68" s="31" t="s">
        <v>310</v>
      </c>
      <c r="B68" s="3" t="s">
        <v>70</v>
      </c>
      <c r="C68" s="3" t="s">
        <v>12</v>
      </c>
      <c r="D68" s="4" t="s">
        <v>396</v>
      </c>
      <c r="E68" s="4" t="s">
        <v>397</v>
      </c>
      <c r="F68" s="3" t="s">
        <v>2276</v>
      </c>
      <c r="G68" s="3" t="s">
        <v>2276</v>
      </c>
      <c r="H68" s="21" t="s">
        <v>2276</v>
      </c>
      <c r="I68" s="21" t="s">
        <v>2276</v>
      </c>
      <c r="J68" s="21" t="s">
        <v>2276</v>
      </c>
      <c r="K68" s="21"/>
      <c r="L68" s="21" t="s">
        <v>2276</v>
      </c>
      <c r="M68" s="21" t="s">
        <v>2276</v>
      </c>
      <c r="N68" s="21" t="s">
        <v>2276</v>
      </c>
      <c r="O68" s="21" t="s">
        <v>2276</v>
      </c>
      <c r="P68" s="21">
        <v>11.91420484</v>
      </c>
      <c r="Q68" s="21" t="s">
        <v>2276</v>
      </c>
      <c r="R68" s="21" t="s">
        <v>2276</v>
      </c>
      <c r="S68" s="21" t="s">
        <v>2276</v>
      </c>
      <c r="T68" s="3"/>
    </row>
    <row r="69" spans="1:20" ht="29">
      <c r="A69" s="31" t="s">
        <v>311</v>
      </c>
      <c r="B69" s="3" t="s">
        <v>70</v>
      </c>
      <c r="C69" s="3" t="s">
        <v>12</v>
      </c>
      <c r="D69" s="4" t="s">
        <v>396</v>
      </c>
      <c r="E69" s="4" t="s">
        <v>397</v>
      </c>
      <c r="F69" s="3" t="s">
        <v>2276</v>
      </c>
      <c r="G69" s="3" t="s">
        <v>2276</v>
      </c>
      <c r="H69" s="21" t="s">
        <v>2276</v>
      </c>
      <c r="I69" s="21" t="s">
        <v>2276</v>
      </c>
      <c r="J69" s="21" t="s">
        <v>2276</v>
      </c>
      <c r="K69" s="21"/>
      <c r="L69" s="21" t="s">
        <v>2276</v>
      </c>
      <c r="M69" s="21" t="s">
        <v>2276</v>
      </c>
      <c r="N69" s="21" t="s">
        <v>2276</v>
      </c>
      <c r="O69" s="21" t="s">
        <v>2276</v>
      </c>
      <c r="P69" s="21">
        <v>5.6075728500000004</v>
      </c>
      <c r="Q69" s="21" t="s">
        <v>2276</v>
      </c>
      <c r="R69" s="21" t="s">
        <v>2276</v>
      </c>
      <c r="S69" s="21" t="s">
        <v>2276</v>
      </c>
      <c r="T69" s="3"/>
    </row>
    <row r="70" spans="1:20" ht="29">
      <c r="A70" s="31" t="s">
        <v>312</v>
      </c>
      <c r="B70" s="3" t="s">
        <v>70</v>
      </c>
      <c r="C70" s="3" t="s">
        <v>12</v>
      </c>
      <c r="D70" s="4" t="s">
        <v>396</v>
      </c>
      <c r="E70" s="4" t="s">
        <v>397</v>
      </c>
      <c r="F70" s="3" t="s">
        <v>2276</v>
      </c>
      <c r="G70" s="3" t="s">
        <v>2276</v>
      </c>
      <c r="H70" s="21" t="s">
        <v>2276</v>
      </c>
      <c r="I70" s="21" t="s">
        <v>2276</v>
      </c>
      <c r="J70" s="21" t="s">
        <v>2276</v>
      </c>
      <c r="K70" s="21"/>
      <c r="L70" s="21" t="s">
        <v>2276</v>
      </c>
      <c r="M70" s="21" t="s">
        <v>2276</v>
      </c>
      <c r="N70" s="21" t="s">
        <v>2276</v>
      </c>
      <c r="O70" s="21" t="s">
        <v>2276</v>
      </c>
      <c r="P70" s="21">
        <v>3.2086728199999999</v>
      </c>
      <c r="Q70" s="21" t="s">
        <v>2276</v>
      </c>
      <c r="R70" s="21" t="s">
        <v>2276</v>
      </c>
      <c r="S70" s="21" t="s">
        <v>2276</v>
      </c>
      <c r="T70" s="3"/>
    </row>
    <row r="71" spans="1:20" ht="39" customHeight="1">
      <c r="A71" s="3" t="s">
        <v>94</v>
      </c>
      <c r="B71" s="3" t="s">
        <v>70</v>
      </c>
      <c r="C71" s="3" t="s">
        <v>12</v>
      </c>
      <c r="D71" s="4" t="s">
        <v>396</v>
      </c>
      <c r="E71" s="4" t="s">
        <v>397</v>
      </c>
      <c r="F71" s="3" t="s">
        <v>2276</v>
      </c>
      <c r="G71" s="3" t="s">
        <v>2276</v>
      </c>
      <c r="H71" s="21" t="s">
        <v>2276</v>
      </c>
      <c r="I71" s="21">
        <v>6.07</v>
      </c>
      <c r="J71" s="21" t="s">
        <v>2276</v>
      </c>
      <c r="K71" s="21"/>
      <c r="L71" s="21" t="s">
        <v>2276</v>
      </c>
      <c r="M71" s="21" t="s">
        <v>2276</v>
      </c>
      <c r="N71" s="21" t="s">
        <v>2276</v>
      </c>
      <c r="O71" s="21" t="s">
        <v>2276</v>
      </c>
      <c r="P71" s="21" t="s">
        <v>2276</v>
      </c>
      <c r="Q71" s="21" t="s">
        <v>2276</v>
      </c>
      <c r="R71" s="21" t="s">
        <v>2276</v>
      </c>
      <c r="S71" s="21" t="s">
        <v>2276</v>
      </c>
      <c r="T71" s="3"/>
    </row>
    <row r="72" spans="1:20" ht="39" customHeight="1">
      <c r="A72" s="3" t="s">
        <v>1253</v>
      </c>
      <c r="B72" s="3" t="s">
        <v>70</v>
      </c>
      <c r="C72" s="3" t="s">
        <v>12</v>
      </c>
      <c r="D72" s="4" t="s">
        <v>396</v>
      </c>
      <c r="E72" s="4" t="s">
        <v>397</v>
      </c>
      <c r="F72" s="3" t="s">
        <v>2276</v>
      </c>
      <c r="G72" s="3" t="s">
        <v>2276</v>
      </c>
      <c r="H72" s="21" t="s">
        <v>2276</v>
      </c>
      <c r="I72" s="21">
        <v>8.43</v>
      </c>
      <c r="J72" s="21" t="s">
        <v>2276</v>
      </c>
      <c r="K72" s="21"/>
      <c r="L72" s="21" t="s">
        <v>2276</v>
      </c>
      <c r="M72" s="21" t="s">
        <v>2276</v>
      </c>
      <c r="N72" s="21" t="s">
        <v>2276</v>
      </c>
      <c r="O72" s="21" t="s">
        <v>2276</v>
      </c>
      <c r="P72" s="21" t="s">
        <v>2276</v>
      </c>
      <c r="Q72" s="21" t="s">
        <v>2276</v>
      </c>
      <c r="R72" s="21" t="s">
        <v>2276</v>
      </c>
      <c r="S72" s="21" t="s">
        <v>2276</v>
      </c>
      <c r="T72" s="3"/>
    </row>
    <row r="73" spans="1:20" ht="39" customHeight="1">
      <c r="A73" s="3" t="s">
        <v>1254</v>
      </c>
      <c r="B73" s="3" t="s">
        <v>70</v>
      </c>
      <c r="C73" s="3" t="s">
        <v>12</v>
      </c>
      <c r="D73" s="4" t="s">
        <v>396</v>
      </c>
      <c r="E73" s="4" t="s">
        <v>397</v>
      </c>
      <c r="F73" s="3" t="s">
        <v>2276</v>
      </c>
      <c r="G73" s="3" t="s">
        <v>2276</v>
      </c>
      <c r="H73" s="21" t="s">
        <v>2276</v>
      </c>
      <c r="I73" s="21">
        <v>6.86</v>
      </c>
      <c r="J73" s="21" t="s">
        <v>2276</v>
      </c>
      <c r="K73" s="21"/>
      <c r="L73" s="21" t="s">
        <v>2276</v>
      </c>
      <c r="M73" s="21" t="s">
        <v>2276</v>
      </c>
      <c r="N73" s="21" t="s">
        <v>2276</v>
      </c>
      <c r="O73" s="21" t="s">
        <v>2276</v>
      </c>
      <c r="P73" s="21" t="s">
        <v>2276</v>
      </c>
      <c r="Q73" s="21" t="s">
        <v>2276</v>
      </c>
      <c r="R73" s="21" t="s">
        <v>2276</v>
      </c>
      <c r="S73" s="21" t="s">
        <v>2276</v>
      </c>
      <c r="T73" s="3"/>
    </row>
    <row r="74" spans="1:20" ht="43" customHeight="1">
      <c r="A74" s="3" t="s">
        <v>98</v>
      </c>
      <c r="B74" s="3" t="s">
        <v>70</v>
      </c>
      <c r="C74" s="3" t="s">
        <v>12</v>
      </c>
      <c r="D74" s="4" t="s">
        <v>396</v>
      </c>
      <c r="E74" s="4" t="s">
        <v>397</v>
      </c>
      <c r="F74" s="3" t="s">
        <v>2276</v>
      </c>
      <c r="G74" s="3" t="s">
        <v>2276</v>
      </c>
      <c r="H74" s="21">
        <v>1.1282051</v>
      </c>
      <c r="I74" s="21">
        <v>11.7</v>
      </c>
      <c r="J74" s="21">
        <v>3.1320000000000001</v>
      </c>
      <c r="K74" s="21"/>
      <c r="L74" s="21" t="s">
        <v>2276</v>
      </c>
      <c r="M74" s="21" t="s">
        <v>2276</v>
      </c>
      <c r="N74" s="21" t="s">
        <v>2276</v>
      </c>
      <c r="O74" s="21" t="s">
        <v>2276</v>
      </c>
      <c r="P74" s="21" t="s">
        <v>2276</v>
      </c>
      <c r="Q74" s="21" t="s">
        <v>2276</v>
      </c>
      <c r="R74" s="21" t="s">
        <v>2276</v>
      </c>
      <c r="S74" s="21" t="s">
        <v>2276</v>
      </c>
      <c r="T74" s="3" t="s">
        <v>1316</v>
      </c>
    </row>
    <row r="75" spans="1:20" ht="43" customHeight="1">
      <c r="A75" s="3" t="s">
        <v>1272</v>
      </c>
      <c r="B75" s="3" t="s">
        <v>70</v>
      </c>
      <c r="C75" s="3" t="s">
        <v>12</v>
      </c>
      <c r="D75" s="4" t="s">
        <v>396</v>
      </c>
      <c r="E75" s="4" t="s">
        <v>397</v>
      </c>
      <c r="F75" s="3" t="s">
        <v>2276</v>
      </c>
      <c r="G75" s="3" t="s">
        <v>2276</v>
      </c>
      <c r="H75" s="21">
        <v>0.6238532</v>
      </c>
      <c r="I75" s="21">
        <v>10.9</v>
      </c>
      <c r="J75" s="21">
        <v>3.1320000000000001</v>
      </c>
      <c r="K75" s="21"/>
      <c r="L75" s="21" t="s">
        <v>2276</v>
      </c>
      <c r="M75" s="21" t="s">
        <v>2276</v>
      </c>
      <c r="N75" s="21" t="s">
        <v>2276</v>
      </c>
      <c r="O75" s="21" t="s">
        <v>2276</v>
      </c>
      <c r="P75" s="21" t="s">
        <v>2276</v>
      </c>
      <c r="Q75" s="21" t="s">
        <v>2276</v>
      </c>
      <c r="R75" s="21" t="s">
        <v>2276</v>
      </c>
      <c r="S75" s="21" t="s">
        <v>2276</v>
      </c>
      <c r="T75" s="3" t="s">
        <v>1316</v>
      </c>
    </row>
    <row r="76" spans="1:20" ht="43" customHeight="1">
      <c r="A76" s="3" t="s">
        <v>1273</v>
      </c>
      <c r="B76" s="3" t="s">
        <v>70</v>
      </c>
      <c r="C76" s="3" t="s">
        <v>12</v>
      </c>
      <c r="D76" s="4" t="s">
        <v>396</v>
      </c>
      <c r="E76" s="4" t="s">
        <v>397</v>
      </c>
      <c r="F76" s="3" t="s">
        <v>2276</v>
      </c>
      <c r="G76" s="3" t="s">
        <v>2276</v>
      </c>
      <c r="H76" s="21">
        <v>0.90625</v>
      </c>
      <c r="I76" s="21">
        <v>9.6</v>
      </c>
      <c r="J76" s="21">
        <v>3.1320000000000001</v>
      </c>
      <c r="K76" s="21"/>
      <c r="L76" s="21" t="s">
        <v>2276</v>
      </c>
      <c r="M76" s="21" t="s">
        <v>2276</v>
      </c>
      <c r="N76" s="21" t="s">
        <v>2276</v>
      </c>
      <c r="O76" s="21" t="s">
        <v>2276</v>
      </c>
      <c r="P76" s="21" t="s">
        <v>2276</v>
      </c>
      <c r="Q76" s="21" t="s">
        <v>2276</v>
      </c>
      <c r="R76" s="21" t="s">
        <v>2276</v>
      </c>
      <c r="S76" s="21" t="s">
        <v>2276</v>
      </c>
      <c r="T76" s="3" t="s">
        <v>1316</v>
      </c>
    </row>
    <row r="77" spans="1:20" ht="43" customHeight="1">
      <c r="A77" s="3" t="s">
        <v>1274</v>
      </c>
      <c r="B77" s="3" t="s">
        <v>70</v>
      </c>
      <c r="C77" s="3" t="s">
        <v>12</v>
      </c>
      <c r="D77" s="4" t="s">
        <v>396</v>
      </c>
      <c r="E77" s="4" t="s">
        <v>397</v>
      </c>
      <c r="F77" s="3" t="s">
        <v>2276</v>
      </c>
      <c r="G77" s="3" t="s">
        <v>2276</v>
      </c>
      <c r="H77" s="21">
        <v>0.99090909999999999</v>
      </c>
      <c r="I77" s="21">
        <v>11</v>
      </c>
      <c r="J77" s="21">
        <v>3.1320000000000001</v>
      </c>
      <c r="K77" s="21"/>
      <c r="L77" s="21" t="s">
        <v>2276</v>
      </c>
      <c r="M77" s="21" t="s">
        <v>2276</v>
      </c>
      <c r="N77" s="21" t="s">
        <v>2276</v>
      </c>
      <c r="O77" s="21" t="s">
        <v>2276</v>
      </c>
      <c r="P77" s="21" t="s">
        <v>2276</v>
      </c>
      <c r="Q77" s="21" t="s">
        <v>2276</v>
      </c>
      <c r="R77" s="21" t="s">
        <v>2276</v>
      </c>
      <c r="S77" s="21" t="s">
        <v>2276</v>
      </c>
      <c r="T77" s="3" t="s">
        <v>1316</v>
      </c>
    </row>
    <row r="78" spans="1:20" ht="43" customHeight="1">
      <c r="A78" s="3" t="s">
        <v>1275</v>
      </c>
      <c r="B78" s="3" t="s">
        <v>70</v>
      </c>
      <c r="C78" s="3" t="s">
        <v>12</v>
      </c>
      <c r="D78" s="4" t="s">
        <v>396</v>
      </c>
      <c r="E78" s="4" t="s">
        <v>397</v>
      </c>
      <c r="F78" s="3" t="s">
        <v>2276</v>
      </c>
      <c r="G78" s="3" t="s">
        <v>2276</v>
      </c>
      <c r="H78" s="21">
        <v>1.1869919</v>
      </c>
      <c r="I78" s="21">
        <v>12.3</v>
      </c>
      <c r="J78" s="21">
        <v>3.1320000000000001</v>
      </c>
      <c r="K78" s="21"/>
      <c r="L78" s="21" t="s">
        <v>2276</v>
      </c>
      <c r="M78" s="21" t="s">
        <v>2276</v>
      </c>
      <c r="N78" s="21" t="s">
        <v>2276</v>
      </c>
      <c r="O78" s="21" t="s">
        <v>2276</v>
      </c>
      <c r="P78" s="21" t="s">
        <v>2276</v>
      </c>
      <c r="Q78" s="21" t="s">
        <v>2276</v>
      </c>
      <c r="R78" s="21" t="s">
        <v>2276</v>
      </c>
      <c r="S78" s="21" t="s">
        <v>2276</v>
      </c>
      <c r="T78" s="3" t="s">
        <v>1316</v>
      </c>
    </row>
    <row r="79" spans="1:20" ht="43" customHeight="1">
      <c r="A79" s="3" t="s">
        <v>1276</v>
      </c>
      <c r="B79" s="3" t="s">
        <v>70</v>
      </c>
      <c r="C79" s="3" t="s">
        <v>12</v>
      </c>
      <c r="D79" s="4" t="s">
        <v>396</v>
      </c>
      <c r="E79" s="4" t="s">
        <v>397</v>
      </c>
      <c r="F79" s="3" t="s">
        <v>2276</v>
      </c>
      <c r="G79" s="3" t="s">
        <v>2276</v>
      </c>
      <c r="H79" s="21">
        <v>1.1954023</v>
      </c>
      <c r="I79" s="21">
        <v>8.6999999999999993</v>
      </c>
      <c r="J79" s="21">
        <v>3.1320000000000001</v>
      </c>
      <c r="K79" s="21"/>
      <c r="L79" s="21" t="s">
        <v>2276</v>
      </c>
      <c r="M79" s="21" t="s">
        <v>2276</v>
      </c>
      <c r="N79" s="21" t="s">
        <v>2276</v>
      </c>
      <c r="O79" s="21" t="s">
        <v>2276</v>
      </c>
      <c r="P79" s="21" t="s">
        <v>2276</v>
      </c>
      <c r="Q79" s="21" t="s">
        <v>2276</v>
      </c>
      <c r="R79" s="21" t="s">
        <v>2276</v>
      </c>
      <c r="S79" s="21" t="s">
        <v>2276</v>
      </c>
      <c r="T79" s="3" t="s">
        <v>1316</v>
      </c>
    </row>
    <row r="80" spans="1:20" ht="43" customHeight="1">
      <c r="A80" s="3" t="s">
        <v>1277</v>
      </c>
      <c r="B80" s="3" t="s">
        <v>70</v>
      </c>
      <c r="C80" s="3" t="s">
        <v>12</v>
      </c>
      <c r="D80" s="4" t="s">
        <v>396</v>
      </c>
      <c r="E80" s="4" t="s">
        <v>397</v>
      </c>
      <c r="F80" s="3" t="s">
        <v>2276</v>
      </c>
      <c r="G80" s="3" t="s">
        <v>2276</v>
      </c>
      <c r="H80" s="21">
        <v>0.93548390000000003</v>
      </c>
      <c r="I80" s="21">
        <v>9.3000000000000007</v>
      </c>
      <c r="J80" s="21">
        <v>3.1320000000000001</v>
      </c>
      <c r="K80" s="21"/>
      <c r="L80" s="21" t="s">
        <v>2276</v>
      </c>
      <c r="M80" s="21" t="s">
        <v>2276</v>
      </c>
      <c r="N80" s="21" t="s">
        <v>2276</v>
      </c>
      <c r="O80" s="21" t="s">
        <v>2276</v>
      </c>
      <c r="P80" s="21" t="s">
        <v>2276</v>
      </c>
      <c r="Q80" s="21" t="s">
        <v>2276</v>
      </c>
      <c r="R80" s="21" t="s">
        <v>2276</v>
      </c>
      <c r="S80" s="21" t="s">
        <v>2276</v>
      </c>
      <c r="T80" s="3" t="s">
        <v>1316</v>
      </c>
    </row>
    <row r="81" spans="1:20" ht="43" customHeight="1">
      <c r="A81" s="3" t="s">
        <v>1278</v>
      </c>
      <c r="B81" s="3" t="s">
        <v>70</v>
      </c>
      <c r="C81" s="3" t="s">
        <v>12</v>
      </c>
      <c r="D81" s="4" t="s">
        <v>396</v>
      </c>
      <c r="E81" s="4" t="s">
        <v>397</v>
      </c>
      <c r="F81" s="3" t="s">
        <v>2276</v>
      </c>
      <c r="G81" s="3" t="s">
        <v>2276</v>
      </c>
      <c r="H81" s="21">
        <v>1.5</v>
      </c>
      <c r="I81" s="21">
        <v>9.8000000000000007</v>
      </c>
      <c r="J81" s="21">
        <v>3.1320000000000001</v>
      </c>
      <c r="K81" s="21"/>
      <c r="L81" s="21" t="s">
        <v>2276</v>
      </c>
      <c r="M81" s="21" t="s">
        <v>2276</v>
      </c>
      <c r="N81" s="21" t="s">
        <v>2276</v>
      </c>
      <c r="O81" s="21" t="s">
        <v>2276</v>
      </c>
      <c r="P81" s="21" t="s">
        <v>2276</v>
      </c>
      <c r="Q81" s="21" t="s">
        <v>2276</v>
      </c>
      <c r="R81" s="21" t="s">
        <v>2276</v>
      </c>
      <c r="S81" s="21" t="s">
        <v>2276</v>
      </c>
      <c r="T81" s="3" t="s">
        <v>1316</v>
      </c>
    </row>
    <row r="82" spans="1:20" ht="43" customHeight="1">
      <c r="A82" s="3" t="s">
        <v>1279</v>
      </c>
      <c r="B82" s="3" t="s">
        <v>70</v>
      </c>
      <c r="C82" s="3" t="s">
        <v>12</v>
      </c>
      <c r="D82" s="4" t="s">
        <v>396</v>
      </c>
      <c r="E82" s="4" t="s">
        <v>397</v>
      </c>
      <c r="F82" s="3" t="s">
        <v>2276</v>
      </c>
      <c r="G82" s="3" t="s">
        <v>2276</v>
      </c>
      <c r="H82" s="21">
        <v>1.2666667</v>
      </c>
      <c r="I82" s="21">
        <v>9</v>
      </c>
      <c r="J82" s="21">
        <v>3.1320000000000001</v>
      </c>
      <c r="K82" s="21"/>
      <c r="L82" s="21" t="s">
        <v>2276</v>
      </c>
      <c r="M82" s="21" t="s">
        <v>2276</v>
      </c>
      <c r="N82" s="21" t="s">
        <v>2276</v>
      </c>
      <c r="O82" s="21" t="s">
        <v>2276</v>
      </c>
      <c r="P82" s="21" t="s">
        <v>2276</v>
      </c>
      <c r="Q82" s="21" t="s">
        <v>2276</v>
      </c>
      <c r="R82" s="21" t="s">
        <v>2276</v>
      </c>
      <c r="S82" s="21" t="s">
        <v>2276</v>
      </c>
      <c r="T82" s="3" t="s">
        <v>1316</v>
      </c>
    </row>
    <row r="83" spans="1:20" ht="43" customHeight="1">
      <c r="A83" s="3" t="s">
        <v>1280</v>
      </c>
      <c r="B83" s="3" t="s">
        <v>70</v>
      </c>
      <c r="C83" s="3" t="s">
        <v>12</v>
      </c>
      <c r="D83" s="4" t="s">
        <v>396</v>
      </c>
      <c r="E83" s="4" t="s">
        <v>397</v>
      </c>
      <c r="F83" s="3" t="s">
        <v>2276</v>
      </c>
      <c r="G83" s="3" t="s">
        <v>2276</v>
      </c>
      <c r="H83" s="21">
        <v>1</v>
      </c>
      <c r="I83" s="21">
        <v>10.7</v>
      </c>
      <c r="J83" s="21">
        <v>3.1320000000000001</v>
      </c>
      <c r="K83" s="21"/>
      <c r="L83" s="21" t="s">
        <v>2276</v>
      </c>
      <c r="M83" s="21" t="s">
        <v>2276</v>
      </c>
      <c r="N83" s="21" t="s">
        <v>2276</v>
      </c>
      <c r="O83" s="21" t="s">
        <v>2276</v>
      </c>
      <c r="P83" s="21" t="s">
        <v>2276</v>
      </c>
      <c r="Q83" s="21" t="s">
        <v>2276</v>
      </c>
      <c r="R83" s="21" t="s">
        <v>2276</v>
      </c>
      <c r="S83" s="21" t="s">
        <v>2276</v>
      </c>
      <c r="T83" s="3" t="s">
        <v>1316</v>
      </c>
    </row>
    <row r="84" spans="1:20" ht="43" customHeight="1">
      <c r="A84" s="3" t="s">
        <v>1281</v>
      </c>
      <c r="B84" s="3" t="s">
        <v>70</v>
      </c>
      <c r="C84" s="3" t="s">
        <v>12</v>
      </c>
      <c r="D84" s="4" t="s">
        <v>396</v>
      </c>
      <c r="E84" s="4" t="s">
        <v>397</v>
      </c>
      <c r="F84" s="3" t="s">
        <v>2276</v>
      </c>
      <c r="G84" s="3" t="s">
        <v>2276</v>
      </c>
      <c r="H84" s="21">
        <v>1</v>
      </c>
      <c r="I84" s="21">
        <v>9.9</v>
      </c>
      <c r="J84" s="21">
        <v>3.1320000000000001</v>
      </c>
      <c r="K84" s="21"/>
      <c r="L84" s="21" t="s">
        <v>2276</v>
      </c>
      <c r="M84" s="21" t="s">
        <v>2276</v>
      </c>
      <c r="N84" s="21" t="s">
        <v>2276</v>
      </c>
      <c r="O84" s="21" t="s">
        <v>2276</v>
      </c>
      <c r="P84" s="21" t="s">
        <v>2276</v>
      </c>
      <c r="Q84" s="21" t="s">
        <v>2276</v>
      </c>
      <c r="R84" s="21" t="s">
        <v>2276</v>
      </c>
      <c r="S84" s="21" t="s">
        <v>2276</v>
      </c>
      <c r="T84" s="3" t="s">
        <v>1316</v>
      </c>
    </row>
    <row r="85" spans="1:20" ht="39" customHeight="1">
      <c r="A85" s="3" t="s">
        <v>103</v>
      </c>
      <c r="B85" s="3" t="s">
        <v>70</v>
      </c>
      <c r="C85" s="3" t="s">
        <v>12</v>
      </c>
      <c r="D85" s="4" t="s">
        <v>396</v>
      </c>
      <c r="E85" s="3" t="s">
        <v>2276</v>
      </c>
      <c r="F85" s="3" t="s">
        <v>2276</v>
      </c>
      <c r="G85" s="3" t="s">
        <v>2276</v>
      </c>
      <c r="H85" s="21" t="s">
        <v>2276</v>
      </c>
      <c r="I85" s="21" t="s">
        <v>2276</v>
      </c>
      <c r="J85" s="21" t="s">
        <v>2276</v>
      </c>
      <c r="K85" s="21"/>
      <c r="L85" s="21" t="s">
        <v>2276</v>
      </c>
      <c r="M85" s="21" t="s">
        <v>2276</v>
      </c>
      <c r="N85" s="21" t="s">
        <v>2276</v>
      </c>
      <c r="O85" s="21" t="s">
        <v>2276</v>
      </c>
      <c r="P85" s="21" t="s">
        <v>2276</v>
      </c>
      <c r="Q85" s="21" t="s">
        <v>2276</v>
      </c>
      <c r="R85" s="21" t="s">
        <v>2276</v>
      </c>
      <c r="S85" s="21" t="s">
        <v>2276</v>
      </c>
      <c r="T85" s="3" t="s">
        <v>1316</v>
      </c>
    </row>
    <row r="86" spans="1:20" ht="48" customHeight="1">
      <c r="A86" s="3" t="s">
        <v>107</v>
      </c>
      <c r="B86" s="3" t="s">
        <v>70</v>
      </c>
      <c r="C86" s="3" t="s">
        <v>12</v>
      </c>
      <c r="D86" s="4" t="s">
        <v>396</v>
      </c>
      <c r="E86" s="4" t="s">
        <v>397</v>
      </c>
      <c r="F86" s="3" t="s">
        <v>2276</v>
      </c>
      <c r="G86" s="3" t="s">
        <v>2276</v>
      </c>
      <c r="H86" s="21" t="s">
        <v>2276</v>
      </c>
      <c r="I86" s="21">
        <v>6.53</v>
      </c>
      <c r="J86" s="21" t="s">
        <v>2276</v>
      </c>
      <c r="K86" s="21"/>
      <c r="L86" s="21" t="s">
        <v>2276</v>
      </c>
      <c r="M86" s="21" t="s">
        <v>2276</v>
      </c>
      <c r="N86" s="21" t="s">
        <v>2276</v>
      </c>
      <c r="O86" s="21" t="s">
        <v>2276</v>
      </c>
      <c r="P86" s="21" t="s">
        <v>2276</v>
      </c>
      <c r="Q86" s="21" t="s">
        <v>2276</v>
      </c>
      <c r="R86" s="21" t="s">
        <v>2276</v>
      </c>
      <c r="S86" s="21" t="s">
        <v>2276</v>
      </c>
      <c r="T86" s="4" t="s">
        <v>1360</v>
      </c>
    </row>
    <row r="87" spans="1:20" ht="35.5" customHeight="1">
      <c r="A87" s="3" t="s">
        <v>1317</v>
      </c>
      <c r="B87" s="3" t="s">
        <v>70</v>
      </c>
      <c r="C87" s="3" t="s">
        <v>12</v>
      </c>
      <c r="D87" s="4" t="s">
        <v>396</v>
      </c>
      <c r="E87" s="4" t="s">
        <v>397</v>
      </c>
      <c r="F87" s="3" t="s">
        <v>2276</v>
      </c>
      <c r="G87" s="3" t="s">
        <v>2276</v>
      </c>
      <c r="H87" s="21" t="s">
        <v>2276</v>
      </c>
      <c r="I87" s="21">
        <v>8.6199999999999992</v>
      </c>
      <c r="J87" s="21" t="s">
        <v>2276</v>
      </c>
      <c r="K87" s="21"/>
      <c r="L87" s="21" t="s">
        <v>2276</v>
      </c>
      <c r="M87" s="21" t="s">
        <v>2276</v>
      </c>
      <c r="N87" s="21" t="s">
        <v>2276</v>
      </c>
      <c r="O87" s="21" t="s">
        <v>2276</v>
      </c>
      <c r="P87" s="21" t="s">
        <v>2276</v>
      </c>
      <c r="Q87" s="21" t="s">
        <v>2276</v>
      </c>
      <c r="R87" s="21" t="s">
        <v>2276</v>
      </c>
      <c r="S87" s="21" t="s">
        <v>2276</v>
      </c>
      <c r="T87" s="4" t="s">
        <v>1360</v>
      </c>
    </row>
    <row r="88" spans="1:20" ht="35.5" customHeight="1">
      <c r="A88" s="3" t="s">
        <v>1318</v>
      </c>
      <c r="B88" s="3" t="s">
        <v>70</v>
      </c>
      <c r="C88" s="3" t="s">
        <v>12</v>
      </c>
      <c r="D88" s="4" t="s">
        <v>396</v>
      </c>
      <c r="E88" s="4" t="s">
        <v>397</v>
      </c>
      <c r="F88" s="3" t="s">
        <v>2276</v>
      </c>
      <c r="G88" s="3" t="s">
        <v>2276</v>
      </c>
      <c r="H88" s="21" t="s">
        <v>2276</v>
      </c>
      <c r="I88" s="21">
        <v>11.61</v>
      </c>
      <c r="J88" s="21" t="s">
        <v>2276</v>
      </c>
      <c r="K88" s="21"/>
      <c r="L88" s="21" t="s">
        <v>2276</v>
      </c>
      <c r="M88" s="21" t="s">
        <v>2276</v>
      </c>
      <c r="N88" s="21" t="s">
        <v>2276</v>
      </c>
      <c r="O88" s="21" t="s">
        <v>2276</v>
      </c>
      <c r="P88" s="21" t="s">
        <v>2276</v>
      </c>
      <c r="Q88" s="21" t="s">
        <v>2276</v>
      </c>
      <c r="R88" s="21" t="s">
        <v>2276</v>
      </c>
      <c r="S88" s="21" t="s">
        <v>2276</v>
      </c>
      <c r="T88" s="4" t="s">
        <v>1360</v>
      </c>
    </row>
    <row r="89" spans="1:20" ht="35.5" customHeight="1">
      <c r="A89" s="3" t="s">
        <v>1319</v>
      </c>
      <c r="B89" s="3" t="s">
        <v>70</v>
      </c>
      <c r="C89" s="3" t="s">
        <v>12</v>
      </c>
      <c r="D89" s="4" t="s">
        <v>396</v>
      </c>
      <c r="E89" s="4" t="s">
        <v>397</v>
      </c>
      <c r="F89" s="3" t="s">
        <v>2276</v>
      </c>
      <c r="G89" s="3" t="s">
        <v>2276</v>
      </c>
      <c r="H89" s="21" t="s">
        <v>2276</v>
      </c>
      <c r="I89" s="21">
        <v>5.23</v>
      </c>
      <c r="J89" s="21" t="s">
        <v>2276</v>
      </c>
      <c r="K89" s="21"/>
      <c r="L89" s="21" t="s">
        <v>2276</v>
      </c>
      <c r="M89" s="21" t="s">
        <v>2276</v>
      </c>
      <c r="N89" s="21" t="s">
        <v>2276</v>
      </c>
      <c r="O89" s="21" t="s">
        <v>2276</v>
      </c>
      <c r="P89" s="21" t="s">
        <v>2276</v>
      </c>
      <c r="Q89" s="21" t="s">
        <v>2276</v>
      </c>
      <c r="R89" s="21" t="s">
        <v>2276</v>
      </c>
      <c r="S89" s="21" t="s">
        <v>2276</v>
      </c>
      <c r="T89" s="4" t="s">
        <v>1360</v>
      </c>
    </row>
    <row r="90" spans="1:20" ht="35.5" customHeight="1">
      <c r="A90" s="3" t="s">
        <v>1320</v>
      </c>
      <c r="B90" s="3" t="s">
        <v>70</v>
      </c>
      <c r="C90" s="3" t="s">
        <v>12</v>
      </c>
      <c r="D90" s="4" t="s">
        <v>396</v>
      </c>
      <c r="E90" s="4" t="s">
        <v>397</v>
      </c>
      <c r="F90" s="3" t="s">
        <v>2276</v>
      </c>
      <c r="G90" s="3" t="s">
        <v>2276</v>
      </c>
      <c r="H90" s="21" t="s">
        <v>2276</v>
      </c>
      <c r="I90" s="21">
        <v>6.99</v>
      </c>
      <c r="J90" s="21" t="s">
        <v>2276</v>
      </c>
      <c r="K90" s="21"/>
      <c r="L90" s="21" t="s">
        <v>2276</v>
      </c>
      <c r="M90" s="21" t="s">
        <v>2276</v>
      </c>
      <c r="N90" s="21" t="s">
        <v>2276</v>
      </c>
      <c r="O90" s="21" t="s">
        <v>2276</v>
      </c>
      <c r="P90" s="21" t="s">
        <v>2276</v>
      </c>
      <c r="Q90" s="21" t="s">
        <v>2276</v>
      </c>
      <c r="R90" s="21" t="s">
        <v>2276</v>
      </c>
      <c r="S90" s="21" t="s">
        <v>2276</v>
      </c>
      <c r="T90" s="4" t="s">
        <v>1360</v>
      </c>
    </row>
    <row r="91" spans="1:20" ht="35.5" customHeight="1">
      <c r="A91" s="3" t="s">
        <v>1321</v>
      </c>
      <c r="B91" s="3" t="s">
        <v>70</v>
      </c>
      <c r="C91" s="3" t="s">
        <v>12</v>
      </c>
      <c r="D91" s="4" t="s">
        <v>396</v>
      </c>
      <c r="E91" s="4" t="s">
        <v>397</v>
      </c>
      <c r="F91" s="3" t="s">
        <v>2276</v>
      </c>
      <c r="G91" s="3" t="s">
        <v>2276</v>
      </c>
      <c r="H91" s="21" t="s">
        <v>2276</v>
      </c>
      <c r="I91" s="21">
        <v>3.62</v>
      </c>
      <c r="J91" s="21" t="s">
        <v>2276</v>
      </c>
      <c r="K91" s="21"/>
      <c r="L91" s="21" t="s">
        <v>2276</v>
      </c>
      <c r="M91" s="21" t="s">
        <v>2276</v>
      </c>
      <c r="N91" s="21" t="s">
        <v>2276</v>
      </c>
      <c r="O91" s="21" t="s">
        <v>2276</v>
      </c>
      <c r="P91" s="21" t="s">
        <v>2276</v>
      </c>
      <c r="Q91" s="21" t="s">
        <v>2276</v>
      </c>
      <c r="R91" s="21" t="s">
        <v>2276</v>
      </c>
      <c r="S91" s="21" t="s">
        <v>2276</v>
      </c>
      <c r="T91" s="4" t="s">
        <v>1360</v>
      </c>
    </row>
    <row r="92" spans="1:20" ht="35.5" customHeight="1">
      <c r="A92" s="3" t="s">
        <v>1322</v>
      </c>
      <c r="B92" s="3" t="s">
        <v>70</v>
      </c>
      <c r="C92" s="3" t="s">
        <v>12</v>
      </c>
      <c r="D92" s="4" t="s">
        <v>396</v>
      </c>
      <c r="E92" s="4" t="s">
        <v>397</v>
      </c>
      <c r="F92" s="3" t="s">
        <v>2276</v>
      </c>
      <c r="G92" s="3" t="s">
        <v>2276</v>
      </c>
      <c r="H92" s="21" t="s">
        <v>2276</v>
      </c>
      <c r="I92" s="21">
        <v>5.48</v>
      </c>
      <c r="J92" s="21" t="s">
        <v>2276</v>
      </c>
      <c r="K92" s="21"/>
      <c r="L92" s="21" t="s">
        <v>2276</v>
      </c>
      <c r="M92" s="21" t="s">
        <v>2276</v>
      </c>
      <c r="N92" s="21" t="s">
        <v>2276</v>
      </c>
      <c r="O92" s="21" t="s">
        <v>2276</v>
      </c>
      <c r="P92" s="21" t="s">
        <v>2276</v>
      </c>
      <c r="Q92" s="21" t="s">
        <v>2276</v>
      </c>
      <c r="R92" s="21" t="s">
        <v>2276</v>
      </c>
      <c r="S92" s="21" t="s">
        <v>2276</v>
      </c>
      <c r="T92" s="4" t="s">
        <v>1360</v>
      </c>
    </row>
    <row r="93" spans="1:20" ht="35.5" customHeight="1">
      <c r="A93" s="3" t="s">
        <v>1323</v>
      </c>
      <c r="B93" s="3" t="s">
        <v>70</v>
      </c>
      <c r="C93" s="3" t="s">
        <v>12</v>
      </c>
      <c r="D93" s="4" t="s">
        <v>396</v>
      </c>
      <c r="E93" s="4" t="s">
        <v>397</v>
      </c>
      <c r="F93" s="3" t="s">
        <v>2276</v>
      </c>
      <c r="G93" s="3" t="s">
        <v>2276</v>
      </c>
      <c r="H93" s="21" t="s">
        <v>2276</v>
      </c>
      <c r="I93" s="21">
        <v>4.0999999999999996</v>
      </c>
      <c r="J93" s="21" t="s">
        <v>2276</v>
      </c>
      <c r="K93" s="21"/>
      <c r="L93" s="21" t="s">
        <v>2276</v>
      </c>
      <c r="M93" s="21" t="s">
        <v>2276</v>
      </c>
      <c r="N93" s="21" t="s">
        <v>2276</v>
      </c>
      <c r="O93" s="21" t="s">
        <v>2276</v>
      </c>
      <c r="P93" s="21" t="s">
        <v>2276</v>
      </c>
      <c r="Q93" s="21" t="s">
        <v>2276</v>
      </c>
      <c r="R93" s="21" t="s">
        <v>2276</v>
      </c>
      <c r="S93" s="21" t="s">
        <v>2276</v>
      </c>
      <c r="T93" s="4" t="s">
        <v>1360</v>
      </c>
    </row>
    <row r="94" spans="1:20" ht="35.5" customHeight="1">
      <c r="A94" s="3" t="s">
        <v>1324</v>
      </c>
      <c r="B94" s="3" t="s">
        <v>70</v>
      </c>
      <c r="C94" s="3" t="s">
        <v>12</v>
      </c>
      <c r="D94" s="4" t="s">
        <v>396</v>
      </c>
      <c r="E94" s="4" t="s">
        <v>397</v>
      </c>
      <c r="F94" s="3" t="s">
        <v>2276</v>
      </c>
      <c r="G94" s="3" t="s">
        <v>2276</v>
      </c>
      <c r="H94" s="21" t="s">
        <v>2276</v>
      </c>
      <c r="I94" s="21">
        <v>9.31</v>
      </c>
      <c r="J94" s="21" t="s">
        <v>2276</v>
      </c>
      <c r="K94" s="21"/>
      <c r="L94" s="21" t="s">
        <v>2276</v>
      </c>
      <c r="M94" s="21" t="s">
        <v>2276</v>
      </c>
      <c r="N94" s="21" t="s">
        <v>2276</v>
      </c>
      <c r="O94" s="21" t="s">
        <v>2276</v>
      </c>
      <c r="P94" s="21" t="s">
        <v>2276</v>
      </c>
      <c r="Q94" s="21" t="s">
        <v>2276</v>
      </c>
      <c r="R94" s="21" t="s">
        <v>2276</v>
      </c>
      <c r="S94" s="21" t="s">
        <v>2276</v>
      </c>
      <c r="T94" s="4" t="s">
        <v>1360</v>
      </c>
    </row>
    <row r="95" spans="1:20" ht="35.5" customHeight="1">
      <c r="A95" s="3" t="s">
        <v>1325</v>
      </c>
      <c r="B95" s="3" t="s">
        <v>70</v>
      </c>
      <c r="C95" s="3" t="s">
        <v>12</v>
      </c>
      <c r="D95" s="4" t="s">
        <v>396</v>
      </c>
      <c r="E95" s="4" t="s">
        <v>397</v>
      </c>
      <c r="F95" s="3" t="s">
        <v>2276</v>
      </c>
      <c r="G95" s="3" t="s">
        <v>2276</v>
      </c>
      <c r="H95" s="21" t="s">
        <v>2276</v>
      </c>
      <c r="I95" s="21">
        <v>6.83</v>
      </c>
      <c r="J95" s="21" t="s">
        <v>2276</v>
      </c>
      <c r="K95" s="21"/>
      <c r="L95" s="21" t="s">
        <v>2276</v>
      </c>
      <c r="M95" s="21" t="s">
        <v>2276</v>
      </c>
      <c r="N95" s="21" t="s">
        <v>2276</v>
      </c>
      <c r="O95" s="21" t="s">
        <v>2276</v>
      </c>
      <c r="P95" s="21" t="s">
        <v>2276</v>
      </c>
      <c r="Q95" s="21" t="s">
        <v>2276</v>
      </c>
      <c r="R95" s="21" t="s">
        <v>2276</v>
      </c>
      <c r="S95" s="21" t="s">
        <v>2276</v>
      </c>
      <c r="T95" s="4" t="s">
        <v>1360</v>
      </c>
    </row>
    <row r="96" spans="1:20" ht="35.5" customHeight="1">
      <c r="A96" s="3" t="s">
        <v>1326</v>
      </c>
      <c r="B96" s="3" t="s">
        <v>70</v>
      </c>
      <c r="C96" s="3" t="s">
        <v>12</v>
      </c>
      <c r="D96" s="4" t="s">
        <v>396</v>
      </c>
      <c r="E96" s="4" t="s">
        <v>397</v>
      </c>
      <c r="F96" s="3" t="s">
        <v>2276</v>
      </c>
      <c r="G96" s="3" t="s">
        <v>2276</v>
      </c>
      <c r="H96" s="21" t="s">
        <v>2276</v>
      </c>
      <c r="I96" s="21">
        <v>9.48</v>
      </c>
      <c r="J96" s="21" t="s">
        <v>2276</v>
      </c>
      <c r="K96" s="21"/>
      <c r="L96" s="21" t="s">
        <v>2276</v>
      </c>
      <c r="M96" s="21" t="s">
        <v>2276</v>
      </c>
      <c r="N96" s="21" t="s">
        <v>2276</v>
      </c>
      <c r="O96" s="21" t="s">
        <v>2276</v>
      </c>
      <c r="P96" s="21" t="s">
        <v>2276</v>
      </c>
      <c r="Q96" s="21" t="s">
        <v>2276</v>
      </c>
      <c r="R96" s="21" t="s">
        <v>2276</v>
      </c>
      <c r="S96" s="21" t="s">
        <v>2276</v>
      </c>
      <c r="T96" s="4" t="s">
        <v>1360</v>
      </c>
    </row>
    <row r="97" spans="1:20" ht="35.5" customHeight="1">
      <c r="A97" s="3" t="s">
        <v>1361</v>
      </c>
      <c r="B97" s="3" t="s">
        <v>70</v>
      </c>
      <c r="C97" s="3" t="s">
        <v>12</v>
      </c>
      <c r="D97" s="4" t="s">
        <v>396</v>
      </c>
      <c r="E97" s="4" t="s">
        <v>397</v>
      </c>
      <c r="F97" s="3" t="s">
        <v>2276</v>
      </c>
      <c r="G97" s="3" t="s">
        <v>2276</v>
      </c>
      <c r="H97" s="21" t="s">
        <v>2276</v>
      </c>
      <c r="I97" s="21">
        <v>7.72</v>
      </c>
      <c r="J97" s="21" t="s">
        <v>2276</v>
      </c>
      <c r="K97" s="21"/>
      <c r="L97" s="21" t="s">
        <v>2276</v>
      </c>
      <c r="M97" s="21" t="s">
        <v>2276</v>
      </c>
      <c r="N97" s="21" t="s">
        <v>2276</v>
      </c>
      <c r="O97" s="21" t="s">
        <v>2276</v>
      </c>
      <c r="P97" s="21" t="s">
        <v>2276</v>
      </c>
      <c r="Q97" s="21" t="s">
        <v>2276</v>
      </c>
      <c r="R97" s="21" t="s">
        <v>2276</v>
      </c>
      <c r="S97" s="21" t="s">
        <v>2276</v>
      </c>
      <c r="T97" s="4" t="s">
        <v>1360</v>
      </c>
    </row>
    <row r="98" spans="1:20" ht="31" customHeight="1">
      <c r="A98" s="3" t="s">
        <v>112</v>
      </c>
      <c r="B98" s="3"/>
      <c r="C98" s="3" t="s">
        <v>2645</v>
      </c>
      <c r="D98" s="3" t="s">
        <v>84</v>
      </c>
      <c r="E98" s="3" t="s">
        <v>2276</v>
      </c>
      <c r="F98" s="3" t="s">
        <v>2276</v>
      </c>
      <c r="G98" s="3" t="s">
        <v>2276</v>
      </c>
      <c r="H98" s="21" t="s">
        <v>2276</v>
      </c>
      <c r="I98" s="21" t="s">
        <v>2276</v>
      </c>
      <c r="J98" s="21" t="s">
        <v>2276</v>
      </c>
      <c r="K98" s="21"/>
      <c r="L98" s="21" t="s">
        <v>2276</v>
      </c>
      <c r="M98" s="21" t="s">
        <v>2276</v>
      </c>
      <c r="N98" s="21" t="s">
        <v>2276</v>
      </c>
      <c r="O98" s="21" t="s">
        <v>2276</v>
      </c>
      <c r="P98" s="21" t="s">
        <v>2276</v>
      </c>
      <c r="Q98" s="21" t="s">
        <v>2276</v>
      </c>
      <c r="R98" s="21" t="s">
        <v>2276</v>
      </c>
      <c r="S98" s="21" t="s">
        <v>2276</v>
      </c>
      <c r="T98" s="4" t="s">
        <v>1365</v>
      </c>
    </row>
    <row r="99" spans="1:20" ht="51" customHeight="1">
      <c r="A99" s="3" t="s">
        <v>123</v>
      </c>
      <c r="B99" s="3" t="s">
        <v>69</v>
      </c>
      <c r="C99" s="3" t="s">
        <v>395</v>
      </c>
      <c r="D99" s="3" t="s">
        <v>130</v>
      </c>
      <c r="E99" s="3" t="s">
        <v>2276</v>
      </c>
      <c r="F99" s="3" t="s">
        <v>2276</v>
      </c>
      <c r="G99" s="3" t="s">
        <v>2276</v>
      </c>
      <c r="H99" s="21" t="s">
        <v>2276</v>
      </c>
      <c r="I99" s="21">
        <v>2</v>
      </c>
      <c r="J99" s="21" t="s">
        <v>2276</v>
      </c>
      <c r="K99" s="21"/>
      <c r="L99" s="21" t="s">
        <v>2276</v>
      </c>
      <c r="M99" s="21" t="s">
        <v>2276</v>
      </c>
      <c r="N99" s="21" t="s">
        <v>2276</v>
      </c>
      <c r="O99" s="21" t="s">
        <v>2276</v>
      </c>
      <c r="P99" s="21" t="s">
        <v>2276</v>
      </c>
      <c r="Q99" s="21" t="s">
        <v>2276</v>
      </c>
      <c r="R99" s="21" t="s">
        <v>2276</v>
      </c>
      <c r="S99" s="21" t="s">
        <v>2276</v>
      </c>
      <c r="T99" s="4" t="s">
        <v>129</v>
      </c>
    </row>
    <row r="100" spans="1:20" ht="46" customHeight="1">
      <c r="A100" s="11" t="s">
        <v>133</v>
      </c>
      <c r="B100" s="11" t="s">
        <v>1197</v>
      </c>
      <c r="C100" s="11" t="s">
        <v>12</v>
      </c>
      <c r="D100" s="19" t="s">
        <v>137</v>
      </c>
      <c r="E100" s="11" t="s">
        <v>130</v>
      </c>
      <c r="F100" s="11" t="s">
        <v>2276</v>
      </c>
      <c r="G100" s="11" t="s">
        <v>2276</v>
      </c>
      <c r="H100" s="21" t="s">
        <v>2276</v>
      </c>
      <c r="I100" s="21" t="s">
        <v>2276</v>
      </c>
      <c r="J100" s="21" t="s">
        <v>2276</v>
      </c>
      <c r="K100" s="21"/>
      <c r="L100" s="21" t="s">
        <v>2276</v>
      </c>
      <c r="M100" s="21" t="s">
        <v>2276</v>
      </c>
      <c r="N100" s="21" t="s">
        <v>2276</v>
      </c>
      <c r="O100" s="21" t="s">
        <v>2276</v>
      </c>
      <c r="P100" s="21" t="s">
        <v>2276</v>
      </c>
      <c r="Q100" s="21" t="s">
        <v>2276</v>
      </c>
      <c r="R100" s="21" t="s">
        <v>2276</v>
      </c>
      <c r="S100" s="21" t="s">
        <v>2276</v>
      </c>
      <c r="T100" s="3"/>
    </row>
    <row r="101" spans="1:20" ht="52" customHeight="1">
      <c r="A101" s="3" t="s">
        <v>136</v>
      </c>
      <c r="B101" s="3" t="s">
        <v>70</v>
      </c>
      <c r="C101" s="3" t="s">
        <v>12</v>
      </c>
      <c r="D101" s="3" t="s">
        <v>45</v>
      </c>
      <c r="E101" s="4" t="s">
        <v>397</v>
      </c>
      <c r="F101" s="4" t="s">
        <v>2276</v>
      </c>
      <c r="G101" s="4" t="s">
        <v>2276</v>
      </c>
      <c r="H101" s="21" t="s">
        <v>2276</v>
      </c>
      <c r="I101" s="21" t="s">
        <v>2276</v>
      </c>
      <c r="J101" s="21" t="s">
        <v>2276</v>
      </c>
      <c r="K101" s="21"/>
      <c r="L101" s="21" t="s">
        <v>2276</v>
      </c>
      <c r="M101" s="21" t="s">
        <v>2276</v>
      </c>
      <c r="N101" s="21" t="s">
        <v>2276</v>
      </c>
      <c r="O101" s="21" t="s">
        <v>2276</v>
      </c>
      <c r="P101" s="21" t="s">
        <v>2276</v>
      </c>
      <c r="Q101" s="21" t="s">
        <v>2276</v>
      </c>
      <c r="R101" s="21" t="s">
        <v>2276</v>
      </c>
      <c r="S101" s="21" t="s">
        <v>2276</v>
      </c>
      <c r="T101" s="4" t="s">
        <v>141</v>
      </c>
    </row>
    <row r="102" spans="1:20" ht="52" customHeight="1">
      <c r="A102" s="11" t="s">
        <v>145</v>
      </c>
      <c r="B102" s="11"/>
      <c r="C102" s="11" t="s">
        <v>395</v>
      </c>
      <c r="D102" s="11" t="s">
        <v>116</v>
      </c>
      <c r="E102" s="19" t="s">
        <v>130</v>
      </c>
      <c r="F102" s="19" t="s">
        <v>863</v>
      </c>
      <c r="G102" s="19" t="s">
        <v>2276</v>
      </c>
      <c r="H102" s="74" t="s">
        <v>2276</v>
      </c>
      <c r="I102" s="74" t="s">
        <v>2276</v>
      </c>
      <c r="J102" s="74" t="s">
        <v>2276</v>
      </c>
      <c r="K102" s="74" t="s">
        <v>534</v>
      </c>
      <c r="L102" s="74" t="s">
        <v>2276</v>
      </c>
      <c r="M102" s="74" t="s">
        <v>2276</v>
      </c>
      <c r="N102" s="74" t="s">
        <v>2276</v>
      </c>
      <c r="O102" s="74" t="s">
        <v>2276</v>
      </c>
      <c r="P102" s="74" t="s">
        <v>2276</v>
      </c>
      <c r="Q102" s="74" t="s">
        <v>2276</v>
      </c>
      <c r="R102" s="74" t="s">
        <v>2276</v>
      </c>
      <c r="S102" s="74" t="s">
        <v>2276</v>
      </c>
      <c r="T102" s="19"/>
    </row>
    <row r="103" spans="1:20" ht="95" customHeight="1">
      <c r="A103" s="3" t="s">
        <v>150</v>
      </c>
      <c r="B103" s="28" t="s">
        <v>32</v>
      </c>
      <c r="C103" s="3" t="s">
        <v>12</v>
      </c>
      <c r="D103" s="29" t="s">
        <v>45</v>
      </c>
      <c r="E103" s="28" t="s">
        <v>130</v>
      </c>
      <c r="F103" s="29" t="s">
        <v>396</v>
      </c>
      <c r="G103" s="28" t="s">
        <v>2276</v>
      </c>
      <c r="H103" s="21" t="s">
        <v>2276</v>
      </c>
      <c r="I103" s="21" t="s">
        <v>2276</v>
      </c>
      <c r="J103" s="21" t="s">
        <v>2276</v>
      </c>
      <c r="K103" s="21"/>
      <c r="L103" s="21" t="s">
        <v>2276</v>
      </c>
      <c r="M103" s="21" t="s">
        <v>2276</v>
      </c>
      <c r="N103" s="21" t="s">
        <v>2276</v>
      </c>
      <c r="O103" s="21">
        <v>9.1750000000000007</v>
      </c>
      <c r="P103" s="21">
        <v>1.27</v>
      </c>
      <c r="Q103" s="21">
        <v>4.7300000000000004</v>
      </c>
      <c r="R103" s="21">
        <v>83.5</v>
      </c>
      <c r="S103" s="21">
        <v>0.06</v>
      </c>
      <c r="T103" s="4" t="s">
        <v>1386</v>
      </c>
    </row>
    <row r="104" spans="1:20" ht="67.5" customHeight="1">
      <c r="A104" s="11" t="s">
        <v>162</v>
      </c>
      <c r="B104" s="3" t="s">
        <v>70</v>
      </c>
      <c r="C104" s="3" t="s">
        <v>2645</v>
      </c>
      <c r="D104" s="3" t="s">
        <v>84</v>
      </c>
      <c r="E104" s="29" t="s">
        <v>45</v>
      </c>
      <c r="F104" s="4" t="s">
        <v>396</v>
      </c>
      <c r="G104" s="3" t="s">
        <v>2276</v>
      </c>
      <c r="H104" s="21" t="s">
        <v>2276</v>
      </c>
      <c r="I104" s="21">
        <v>1504</v>
      </c>
      <c r="J104" s="21" t="s">
        <v>2276</v>
      </c>
      <c r="K104" s="21"/>
      <c r="L104" s="21" t="s">
        <v>2276</v>
      </c>
      <c r="M104" s="21" t="s">
        <v>2276</v>
      </c>
      <c r="N104" s="21" t="s">
        <v>2276</v>
      </c>
      <c r="O104" s="21" t="s">
        <v>2276</v>
      </c>
      <c r="P104" s="21" t="s">
        <v>2276</v>
      </c>
      <c r="Q104" s="21" t="s">
        <v>2276</v>
      </c>
      <c r="R104" s="21" t="s">
        <v>2276</v>
      </c>
      <c r="S104" s="21">
        <v>4.68</v>
      </c>
      <c r="T104" s="4" t="s">
        <v>1410</v>
      </c>
    </row>
    <row r="105" spans="1:20" ht="70" customHeight="1">
      <c r="A105" s="11" t="s">
        <v>163</v>
      </c>
      <c r="B105" s="3" t="s">
        <v>70</v>
      </c>
      <c r="C105" s="3" t="s">
        <v>12</v>
      </c>
      <c r="D105" s="29" t="s">
        <v>45</v>
      </c>
      <c r="E105" s="3" t="s">
        <v>84</v>
      </c>
      <c r="F105" s="4" t="s">
        <v>396</v>
      </c>
      <c r="G105" s="3" t="s">
        <v>2276</v>
      </c>
      <c r="H105" s="21" t="s">
        <v>2276</v>
      </c>
      <c r="I105" s="21">
        <v>483</v>
      </c>
      <c r="J105" s="21" t="s">
        <v>2276</v>
      </c>
      <c r="K105" s="21"/>
      <c r="L105" s="21" t="s">
        <v>2276</v>
      </c>
      <c r="M105" s="21" t="s">
        <v>2276</v>
      </c>
      <c r="N105" s="21" t="s">
        <v>2276</v>
      </c>
      <c r="O105" s="21" t="s">
        <v>2276</v>
      </c>
      <c r="P105" s="21" t="s">
        <v>2276</v>
      </c>
      <c r="Q105" s="21" t="s">
        <v>2276</v>
      </c>
      <c r="R105" s="21" t="s">
        <v>2276</v>
      </c>
      <c r="S105" s="21">
        <v>5.72</v>
      </c>
      <c r="T105" s="4" t="s">
        <v>1411</v>
      </c>
    </row>
    <row r="106" spans="1:20" ht="44.5" customHeight="1">
      <c r="A106" s="11" t="s">
        <v>174</v>
      </c>
      <c r="B106" s="3" t="s">
        <v>69</v>
      </c>
      <c r="C106" s="11" t="s">
        <v>12</v>
      </c>
      <c r="D106" s="4" t="s">
        <v>397</v>
      </c>
      <c r="E106" s="30" t="s">
        <v>2276</v>
      </c>
      <c r="F106" s="30" t="s">
        <v>2276</v>
      </c>
      <c r="G106" s="30" t="s">
        <v>2276</v>
      </c>
      <c r="H106" s="21" t="s">
        <v>2276</v>
      </c>
      <c r="I106" s="21" t="s">
        <v>2276</v>
      </c>
      <c r="J106" s="21" t="s">
        <v>2276</v>
      </c>
      <c r="K106" s="21"/>
      <c r="L106" s="21" t="s">
        <v>2276</v>
      </c>
      <c r="M106" s="21" t="s">
        <v>2276</v>
      </c>
      <c r="N106" s="21" t="s">
        <v>2276</v>
      </c>
      <c r="O106" s="21" t="s">
        <v>2276</v>
      </c>
      <c r="P106" s="21" t="s">
        <v>2276</v>
      </c>
      <c r="Q106" s="21" t="s">
        <v>2276</v>
      </c>
      <c r="R106" s="21" t="s">
        <v>2276</v>
      </c>
      <c r="S106" s="21" t="s">
        <v>2276</v>
      </c>
      <c r="T106" s="4" t="s">
        <v>190</v>
      </c>
    </row>
    <row r="107" spans="1:20" ht="34.5" customHeight="1">
      <c r="A107" s="11" t="s">
        <v>175</v>
      </c>
      <c r="B107" s="3" t="s">
        <v>69</v>
      </c>
      <c r="C107" s="11" t="s">
        <v>395</v>
      </c>
      <c r="D107" s="30" t="s">
        <v>130</v>
      </c>
      <c r="E107" s="11" t="s">
        <v>2276</v>
      </c>
      <c r="F107" s="11" t="s">
        <v>2276</v>
      </c>
      <c r="G107" s="11" t="s">
        <v>2276</v>
      </c>
      <c r="H107" s="21" t="s">
        <v>2276</v>
      </c>
      <c r="I107" s="21" t="s">
        <v>2276</v>
      </c>
      <c r="J107" s="21" t="s">
        <v>2276</v>
      </c>
      <c r="K107" s="21"/>
      <c r="L107" s="21" t="s">
        <v>2276</v>
      </c>
      <c r="M107" s="21" t="s">
        <v>2276</v>
      </c>
      <c r="N107" s="21" t="s">
        <v>2276</v>
      </c>
      <c r="O107" s="21" t="s">
        <v>2276</v>
      </c>
      <c r="P107" s="21" t="s">
        <v>2276</v>
      </c>
      <c r="Q107" s="21" t="s">
        <v>2276</v>
      </c>
      <c r="R107" s="21" t="s">
        <v>2276</v>
      </c>
      <c r="S107" s="21" t="s">
        <v>2276</v>
      </c>
      <c r="T107" s="4" t="s">
        <v>184</v>
      </c>
    </row>
    <row r="108" spans="1:20" ht="32" customHeight="1">
      <c r="A108" s="11" t="s">
        <v>176</v>
      </c>
      <c r="B108" s="3" t="s">
        <v>32</v>
      </c>
      <c r="C108" s="11" t="s">
        <v>395</v>
      </c>
      <c r="D108" s="11" t="s">
        <v>130</v>
      </c>
      <c r="E108" s="3" t="s">
        <v>2276</v>
      </c>
      <c r="F108" s="3" t="s">
        <v>2276</v>
      </c>
      <c r="G108" s="3" t="s">
        <v>2276</v>
      </c>
      <c r="H108" s="21" t="s">
        <v>2276</v>
      </c>
      <c r="I108" s="21" t="s">
        <v>2276</v>
      </c>
      <c r="J108" s="21" t="s">
        <v>2276</v>
      </c>
      <c r="K108" s="21"/>
      <c r="L108" s="21" t="s">
        <v>2276</v>
      </c>
      <c r="M108" s="21" t="s">
        <v>2276</v>
      </c>
      <c r="N108" s="21" t="s">
        <v>2276</v>
      </c>
      <c r="O108" s="21" t="s">
        <v>2276</v>
      </c>
      <c r="P108" s="21" t="s">
        <v>2276</v>
      </c>
      <c r="Q108" s="21" t="s">
        <v>2276</v>
      </c>
      <c r="R108" s="21" t="s">
        <v>2276</v>
      </c>
      <c r="S108" s="21" t="s">
        <v>2276</v>
      </c>
      <c r="T108" s="4" t="s">
        <v>184</v>
      </c>
    </row>
    <row r="109" spans="1:20" ht="71" customHeight="1">
      <c r="A109" s="11" t="s">
        <v>373</v>
      </c>
      <c r="B109" s="11" t="s">
        <v>69</v>
      </c>
      <c r="C109" s="11" t="s">
        <v>12</v>
      </c>
      <c r="D109" s="4" t="s">
        <v>397</v>
      </c>
      <c r="E109" s="11" t="s">
        <v>45</v>
      </c>
      <c r="F109" s="4" t="s">
        <v>2276</v>
      </c>
      <c r="G109" s="4" t="s">
        <v>2276</v>
      </c>
      <c r="H109" s="21" t="s">
        <v>2276</v>
      </c>
      <c r="I109" s="21">
        <v>44</v>
      </c>
      <c r="J109" s="21" t="s">
        <v>2276</v>
      </c>
      <c r="K109" s="21"/>
      <c r="L109" s="21" t="s">
        <v>2276</v>
      </c>
      <c r="M109" s="21" t="s">
        <v>2276</v>
      </c>
      <c r="N109" s="21" t="s">
        <v>2276</v>
      </c>
      <c r="O109" s="21">
        <v>20</v>
      </c>
      <c r="P109" s="21">
        <v>9</v>
      </c>
      <c r="Q109" s="21">
        <v>20</v>
      </c>
      <c r="R109" s="21">
        <v>48</v>
      </c>
      <c r="S109" s="21" t="s">
        <v>2276</v>
      </c>
      <c r="T109" s="4" t="s">
        <v>377</v>
      </c>
    </row>
    <row r="110" spans="1:20" ht="63" customHeight="1">
      <c r="A110" s="11" t="s">
        <v>382</v>
      </c>
      <c r="B110" s="11" t="s">
        <v>69</v>
      </c>
      <c r="C110" s="11" t="s">
        <v>12</v>
      </c>
      <c r="D110" s="4" t="s">
        <v>397</v>
      </c>
      <c r="E110" s="11" t="s">
        <v>130</v>
      </c>
      <c r="F110" s="3" t="s">
        <v>2276</v>
      </c>
      <c r="G110" s="3" t="s">
        <v>2276</v>
      </c>
      <c r="H110" s="21" t="s">
        <v>2276</v>
      </c>
      <c r="I110" s="21" t="s">
        <v>2276</v>
      </c>
      <c r="J110" s="21" t="s">
        <v>2276</v>
      </c>
      <c r="K110" s="21"/>
      <c r="L110" s="21" t="s">
        <v>2276</v>
      </c>
      <c r="M110" s="21" t="s">
        <v>2276</v>
      </c>
      <c r="N110" s="21" t="s">
        <v>2276</v>
      </c>
      <c r="O110" s="21" t="s">
        <v>2276</v>
      </c>
      <c r="P110" s="21">
        <v>43.571428570000002</v>
      </c>
      <c r="Q110" s="21">
        <v>5.4285714</v>
      </c>
      <c r="R110" s="21">
        <v>51</v>
      </c>
      <c r="S110" s="21">
        <v>1.35</v>
      </c>
      <c r="T110" s="4" t="s">
        <v>1460</v>
      </c>
    </row>
    <row r="111" spans="1:20" ht="61" customHeight="1">
      <c r="A111" s="11" t="s">
        <v>383</v>
      </c>
      <c r="B111" s="11" t="s">
        <v>69</v>
      </c>
      <c r="C111" s="11" t="s">
        <v>12</v>
      </c>
      <c r="D111" s="4" t="s">
        <v>397</v>
      </c>
      <c r="E111" s="11" t="s">
        <v>130</v>
      </c>
      <c r="F111" s="3" t="s">
        <v>2276</v>
      </c>
      <c r="G111" s="3" t="s">
        <v>2276</v>
      </c>
      <c r="H111" s="21" t="s">
        <v>2276</v>
      </c>
      <c r="I111" s="21" t="s">
        <v>2276</v>
      </c>
      <c r="J111" s="21" t="s">
        <v>2276</v>
      </c>
      <c r="K111" s="21"/>
      <c r="L111" s="21" t="s">
        <v>2276</v>
      </c>
      <c r="M111" s="21" t="s">
        <v>2276</v>
      </c>
      <c r="N111" s="21" t="s">
        <v>2276</v>
      </c>
      <c r="O111" s="21" t="s">
        <v>2276</v>
      </c>
      <c r="P111" s="21">
        <v>50.375</v>
      </c>
      <c r="Q111" s="21">
        <v>8.625</v>
      </c>
      <c r="R111" s="21">
        <v>41</v>
      </c>
      <c r="S111" s="21">
        <v>1.77</v>
      </c>
      <c r="T111" s="4" t="s">
        <v>1461</v>
      </c>
    </row>
    <row r="112" spans="1:20" ht="64.5" customHeight="1">
      <c r="A112" s="11" t="s">
        <v>388</v>
      </c>
      <c r="B112" s="19" t="s">
        <v>1197</v>
      </c>
      <c r="C112" s="11" t="s">
        <v>12</v>
      </c>
      <c r="D112" s="4" t="s">
        <v>397</v>
      </c>
      <c r="E112" s="11" t="s">
        <v>130</v>
      </c>
      <c r="F112" s="3" t="s">
        <v>2276</v>
      </c>
      <c r="G112" s="3" t="s">
        <v>2276</v>
      </c>
      <c r="H112" s="21" t="s">
        <v>2276</v>
      </c>
      <c r="I112" s="21">
        <v>1.153</v>
      </c>
      <c r="J112" s="21">
        <v>0.48599999999999999</v>
      </c>
      <c r="K112" s="21"/>
      <c r="L112" s="21" t="s">
        <v>2276</v>
      </c>
      <c r="M112" s="21" t="s">
        <v>2276</v>
      </c>
      <c r="N112" s="21" t="s">
        <v>2276</v>
      </c>
      <c r="O112" s="21" t="s">
        <v>2276</v>
      </c>
      <c r="P112" s="21">
        <v>50.388888889999997</v>
      </c>
      <c r="Q112" s="21">
        <v>6.6111110999999996</v>
      </c>
      <c r="R112" s="21">
        <v>43</v>
      </c>
      <c r="S112" s="21">
        <v>1.35</v>
      </c>
      <c r="T112" s="4" t="s">
        <v>1462</v>
      </c>
    </row>
    <row r="113" spans="1:20" ht="57" customHeight="1">
      <c r="A113" s="11" t="s">
        <v>389</v>
      </c>
      <c r="B113" s="19" t="s">
        <v>2258</v>
      </c>
      <c r="C113" s="11" t="s">
        <v>12</v>
      </c>
      <c r="D113" s="4" t="s">
        <v>397</v>
      </c>
      <c r="E113" s="11" t="s">
        <v>130</v>
      </c>
      <c r="F113" s="3" t="s">
        <v>45</v>
      </c>
      <c r="G113" s="3" t="s">
        <v>2276</v>
      </c>
      <c r="H113" s="21" t="s">
        <v>2276</v>
      </c>
      <c r="I113" s="21">
        <v>1.41</v>
      </c>
      <c r="J113" s="21">
        <v>0.28799999999999998</v>
      </c>
      <c r="K113" s="21"/>
      <c r="L113" s="21" t="s">
        <v>2276</v>
      </c>
      <c r="M113" s="21" t="s">
        <v>2276</v>
      </c>
      <c r="N113" s="21" t="s">
        <v>2276</v>
      </c>
      <c r="O113" s="21" t="s">
        <v>2276</v>
      </c>
      <c r="P113" s="21">
        <v>69</v>
      </c>
      <c r="Q113" s="21">
        <v>6</v>
      </c>
      <c r="R113" s="21">
        <v>25</v>
      </c>
      <c r="S113" s="21">
        <v>1.77</v>
      </c>
      <c r="T113" s="4" t="s">
        <v>1463</v>
      </c>
    </row>
    <row r="114" spans="1:20" ht="77.5" customHeight="1">
      <c r="A114" s="11" t="s">
        <v>416</v>
      </c>
      <c r="B114" s="3" t="s">
        <v>2276</v>
      </c>
      <c r="C114" s="11" t="s">
        <v>395</v>
      </c>
      <c r="D114" s="11" t="s">
        <v>130</v>
      </c>
      <c r="E114" s="4" t="s">
        <v>397</v>
      </c>
      <c r="F114" s="3" t="s">
        <v>116</v>
      </c>
      <c r="G114" s="3" t="s">
        <v>2276</v>
      </c>
      <c r="H114" s="21">
        <v>0</v>
      </c>
      <c r="I114" s="21">
        <v>4.25</v>
      </c>
      <c r="J114" s="21" t="s">
        <v>2276</v>
      </c>
      <c r="K114" s="21"/>
      <c r="L114" s="21">
        <v>3.306748E-3</v>
      </c>
      <c r="M114" s="21" t="s">
        <v>2276</v>
      </c>
      <c r="N114" s="21" t="s">
        <v>2276</v>
      </c>
      <c r="O114" s="21" t="s">
        <v>2276</v>
      </c>
      <c r="P114" s="21" t="s">
        <v>2276</v>
      </c>
      <c r="Q114" s="21" t="s">
        <v>2276</v>
      </c>
      <c r="R114" s="21" t="s">
        <v>2276</v>
      </c>
      <c r="S114" s="21" t="s">
        <v>2276</v>
      </c>
      <c r="T114" s="4" t="s">
        <v>1474</v>
      </c>
    </row>
    <row r="115" spans="1:20" ht="114.5" customHeight="1">
      <c r="A115" s="3" t="s">
        <v>420</v>
      </c>
      <c r="B115" s="3" t="s">
        <v>2276</v>
      </c>
      <c r="C115" s="3" t="s">
        <v>395</v>
      </c>
      <c r="D115" s="3" t="s">
        <v>130</v>
      </c>
      <c r="E115" s="3" t="s">
        <v>2276</v>
      </c>
      <c r="F115" s="3" t="s">
        <v>2276</v>
      </c>
      <c r="G115" s="3" t="s">
        <v>2276</v>
      </c>
      <c r="H115" s="21" t="s">
        <v>2276</v>
      </c>
      <c r="I115" s="21" t="s">
        <v>2276</v>
      </c>
      <c r="J115" s="85">
        <v>0.94299999999999995</v>
      </c>
      <c r="K115" s="85"/>
      <c r="L115" s="21" t="s">
        <v>2276</v>
      </c>
      <c r="M115" s="21" t="s">
        <v>2276</v>
      </c>
      <c r="N115" s="21" t="s">
        <v>2276</v>
      </c>
      <c r="O115" s="21" t="s">
        <v>2276</v>
      </c>
      <c r="P115" s="21">
        <v>3.2094637600000002</v>
      </c>
      <c r="Q115" s="21">
        <v>38.513565100000001</v>
      </c>
      <c r="R115" s="21">
        <v>58.276969999999999</v>
      </c>
      <c r="S115" s="21" t="s">
        <v>2276</v>
      </c>
      <c r="T115" s="4" t="s">
        <v>1476</v>
      </c>
    </row>
    <row r="116" spans="1:20" ht="120.5" customHeight="1">
      <c r="A116" s="3" t="s">
        <v>427</v>
      </c>
      <c r="B116" s="3" t="s">
        <v>2276</v>
      </c>
      <c r="C116" s="3" t="s">
        <v>395</v>
      </c>
      <c r="D116" s="3" t="s">
        <v>130</v>
      </c>
      <c r="E116" s="3" t="s">
        <v>2276</v>
      </c>
      <c r="F116" s="3" t="s">
        <v>2276</v>
      </c>
      <c r="G116" s="3" t="s">
        <v>2276</v>
      </c>
      <c r="H116" s="21" t="s">
        <v>2276</v>
      </c>
      <c r="I116" s="21" t="s">
        <v>2276</v>
      </c>
      <c r="J116" s="85">
        <v>1.1000000000000001</v>
      </c>
      <c r="K116" s="85"/>
      <c r="L116" s="21" t="s">
        <v>2276</v>
      </c>
      <c r="M116" s="21" t="s">
        <v>2276</v>
      </c>
      <c r="N116" s="21" t="s">
        <v>2276</v>
      </c>
      <c r="O116" s="21" t="s">
        <v>2276</v>
      </c>
      <c r="P116" s="21" t="s">
        <v>2276</v>
      </c>
      <c r="Q116" s="21" t="s">
        <v>2276</v>
      </c>
      <c r="R116" s="21" t="s">
        <v>2276</v>
      </c>
      <c r="S116" s="21" t="s">
        <v>2276</v>
      </c>
      <c r="T116" s="4" t="s">
        <v>1477</v>
      </c>
    </row>
    <row r="117" spans="1:20" ht="67.5" customHeight="1">
      <c r="A117" s="11" t="s">
        <v>430</v>
      </c>
      <c r="B117" s="3" t="s">
        <v>2276</v>
      </c>
      <c r="C117" s="3" t="s">
        <v>395</v>
      </c>
      <c r="D117" s="3" t="s">
        <v>130</v>
      </c>
      <c r="E117" s="3" t="s">
        <v>2276</v>
      </c>
      <c r="F117" s="3" t="s">
        <v>2276</v>
      </c>
      <c r="G117" s="3" t="s">
        <v>2276</v>
      </c>
      <c r="H117" s="21" t="s">
        <v>2276</v>
      </c>
      <c r="I117" s="21" t="s">
        <v>2276</v>
      </c>
      <c r="J117" s="21" t="s">
        <v>2276</v>
      </c>
      <c r="K117" s="21"/>
      <c r="L117" s="21" t="s">
        <v>2276</v>
      </c>
      <c r="M117" s="21" t="s">
        <v>2276</v>
      </c>
      <c r="N117" s="21" t="s">
        <v>2276</v>
      </c>
      <c r="O117" s="21" t="s">
        <v>2276</v>
      </c>
      <c r="P117" s="21" t="s">
        <v>2276</v>
      </c>
      <c r="Q117" s="21" t="s">
        <v>2276</v>
      </c>
      <c r="R117" s="21" t="s">
        <v>2276</v>
      </c>
      <c r="S117" s="21" t="s">
        <v>2276</v>
      </c>
      <c r="T117" s="3"/>
    </row>
    <row r="118" spans="1:20" ht="63.5" customHeight="1">
      <c r="A118" s="11" t="s">
        <v>438</v>
      </c>
      <c r="B118" s="4" t="s">
        <v>1197</v>
      </c>
      <c r="C118" s="11" t="s">
        <v>12</v>
      </c>
      <c r="D118" s="3" t="s">
        <v>130</v>
      </c>
      <c r="E118" s="4" t="s">
        <v>397</v>
      </c>
      <c r="F118" s="3" t="s">
        <v>2276</v>
      </c>
      <c r="G118" s="3" t="s">
        <v>2276</v>
      </c>
      <c r="H118" s="21" t="s">
        <v>2276</v>
      </c>
      <c r="I118" s="21">
        <v>4.8600000000000003</v>
      </c>
      <c r="J118" s="21" t="s">
        <v>2276</v>
      </c>
      <c r="K118" s="21"/>
      <c r="L118" s="21" t="s">
        <v>2276</v>
      </c>
      <c r="M118" s="21" t="s">
        <v>2276</v>
      </c>
      <c r="N118" s="21" t="s">
        <v>2276</v>
      </c>
      <c r="O118" s="21" t="s">
        <v>2276</v>
      </c>
      <c r="P118" s="21" t="s">
        <v>2276</v>
      </c>
      <c r="Q118" s="21" t="s">
        <v>2276</v>
      </c>
      <c r="R118" s="21" t="s">
        <v>2276</v>
      </c>
      <c r="S118" s="21" t="s">
        <v>2276</v>
      </c>
      <c r="T118" s="19" t="s">
        <v>1482</v>
      </c>
    </row>
    <row r="119" spans="1:20" ht="98.5" customHeight="1">
      <c r="A119" s="11" t="s">
        <v>446</v>
      </c>
      <c r="B119" s="3" t="s">
        <v>69</v>
      </c>
      <c r="C119" s="11" t="s">
        <v>12</v>
      </c>
      <c r="D119" s="3" t="s">
        <v>130</v>
      </c>
      <c r="E119" s="4" t="s">
        <v>396</v>
      </c>
      <c r="F119" s="3" t="s">
        <v>45</v>
      </c>
      <c r="G119" s="3" t="s">
        <v>2276</v>
      </c>
      <c r="H119" s="21" t="s">
        <v>2276</v>
      </c>
      <c r="I119" s="21" t="s">
        <v>2276</v>
      </c>
      <c r="J119" s="21" t="s">
        <v>2276</v>
      </c>
      <c r="K119" s="21"/>
      <c r="L119" s="21" t="s">
        <v>2276</v>
      </c>
      <c r="M119" s="21" t="s">
        <v>2276</v>
      </c>
      <c r="N119" s="21" t="s">
        <v>2276</v>
      </c>
      <c r="O119" s="21" t="s">
        <v>2276</v>
      </c>
      <c r="P119" s="21" t="s">
        <v>2276</v>
      </c>
      <c r="Q119" s="21" t="s">
        <v>2276</v>
      </c>
      <c r="R119" s="21" t="s">
        <v>2276</v>
      </c>
      <c r="S119" s="21" t="s">
        <v>2276</v>
      </c>
      <c r="T119" s="4" t="s">
        <v>453</v>
      </c>
    </row>
    <row r="120" spans="1:20" ht="88.5" customHeight="1">
      <c r="A120" s="3" t="s">
        <v>454</v>
      </c>
      <c r="B120" s="3" t="s">
        <v>2276</v>
      </c>
      <c r="C120" s="3" t="s">
        <v>12</v>
      </c>
      <c r="D120" s="4" t="s">
        <v>396</v>
      </c>
      <c r="E120" s="4" t="s">
        <v>2276</v>
      </c>
      <c r="F120" s="3" t="s">
        <v>2276</v>
      </c>
      <c r="G120" s="3" t="s">
        <v>2276</v>
      </c>
      <c r="H120" s="21" t="s">
        <v>2276</v>
      </c>
      <c r="I120" s="21" t="s">
        <v>2276</v>
      </c>
      <c r="J120" s="21" t="s">
        <v>2276</v>
      </c>
      <c r="K120" s="21"/>
      <c r="L120" s="21" t="s">
        <v>2276</v>
      </c>
      <c r="M120" s="21" t="s">
        <v>2276</v>
      </c>
      <c r="N120" s="21" t="s">
        <v>2276</v>
      </c>
      <c r="O120" s="21" t="s">
        <v>2276</v>
      </c>
      <c r="P120" s="21" t="s">
        <v>2276</v>
      </c>
      <c r="Q120" s="21" t="s">
        <v>2276</v>
      </c>
      <c r="R120" s="21" t="s">
        <v>2276</v>
      </c>
      <c r="S120" s="21" t="s">
        <v>2276</v>
      </c>
      <c r="T120" s="4" t="s">
        <v>460</v>
      </c>
    </row>
    <row r="121" spans="1:20" ht="82" customHeight="1">
      <c r="A121" s="3" t="s">
        <v>455</v>
      </c>
      <c r="B121" s="3" t="s">
        <v>2276</v>
      </c>
      <c r="C121" s="3" t="s">
        <v>12</v>
      </c>
      <c r="D121" s="4" t="s">
        <v>396</v>
      </c>
      <c r="E121" s="3" t="s">
        <v>130</v>
      </c>
      <c r="F121" s="3" t="s">
        <v>2276</v>
      </c>
      <c r="G121" s="3" t="s">
        <v>2276</v>
      </c>
      <c r="H121" s="21" t="s">
        <v>2276</v>
      </c>
      <c r="I121" s="21" t="s">
        <v>2276</v>
      </c>
      <c r="J121" s="21" t="s">
        <v>2276</v>
      </c>
      <c r="K121" s="21"/>
      <c r="L121" s="21" t="s">
        <v>2276</v>
      </c>
      <c r="M121" s="21" t="s">
        <v>2276</v>
      </c>
      <c r="N121" s="21" t="s">
        <v>2276</v>
      </c>
      <c r="O121" s="21" t="s">
        <v>2276</v>
      </c>
      <c r="P121" s="21" t="s">
        <v>2276</v>
      </c>
      <c r="Q121" s="21" t="s">
        <v>2276</v>
      </c>
      <c r="R121" s="21" t="s">
        <v>2276</v>
      </c>
      <c r="S121" s="21" t="s">
        <v>2276</v>
      </c>
      <c r="T121" s="4" t="s">
        <v>492</v>
      </c>
    </row>
    <row r="122" spans="1:20" ht="81.5" customHeight="1">
      <c r="A122" s="3" t="s">
        <v>466</v>
      </c>
      <c r="B122" s="3" t="s">
        <v>2276</v>
      </c>
      <c r="C122" s="3" t="s">
        <v>12</v>
      </c>
      <c r="D122" s="4" t="s">
        <v>397</v>
      </c>
      <c r="E122" s="3" t="s">
        <v>130</v>
      </c>
      <c r="F122" s="3" t="s">
        <v>2276</v>
      </c>
      <c r="G122" s="3" t="s">
        <v>2276</v>
      </c>
      <c r="H122" s="21" t="s">
        <v>2276</v>
      </c>
      <c r="I122" s="21" t="s">
        <v>2276</v>
      </c>
      <c r="J122" s="21" t="s">
        <v>2276</v>
      </c>
      <c r="K122" s="21"/>
      <c r="L122" s="21" t="s">
        <v>2276</v>
      </c>
      <c r="M122" s="21" t="s">
        <v>2276</v>
      </c>
      <c r="N122" s="21" t="s">
        <v>2276</v>
      </c>
      <c r="O122" s="21" t="s">
        <v>2276</v>
      </c>
      <c r="P122" s="21" t="s">
        <v>2276</v>
      </c>
      <c r="Q122" s="21" t="s">
        <v>2276</v>
      </c>
      <c r="R122" s="21" t="s">
        <v>2276</v>
      </c>
      <c r="S122" s="21" t="s">
        <v>2276</v>
      </c>
      <c r="T122" s="4" t="s">
        <v>493</v>
      </c>
    </row>
    <row r="123" spans="1:20" ht="64" customHeight="1">
      <c r="A123" s="3" t="s">
        <v>467</v>
      </c>
      <c r="B123" s="3" t="s">
        <v>2276</v>
      </c>
      <c r="C123" s="3" t="s">
        <v>12</v>
      </c>
      <c r="D123" s="4" t="s">
        <v>397</v>
      </c>
      <c r="E123" s="3" t="s">
        <v>130</v>
      </c>
      <c r="F123" s="3" t="s">
        <v>2276</v>
      </c>
      <c r="G123" s="3" t="s">
        <v>2276</v>
      </c>
      <c r="H123" s="21" t="s">
        <v>2276</v>
      </c>
      <c r="I123" s="21" t="s">
        <v>2276</v>
      </c>
      <c r="J123" s="21" t="s">
        <v>2276</v>
      </c>
      <c r="K123" s="21"/>
      <c r="L123" s="21" t="s">
        <v>2276</v>
      </c>
      <c r="M123" s="21" t="s">
        <v>2276</v>
      </c>
      <c r="N123" s="21" t="s">
        <v>2276</v>
      </c>
      <c r="O123" s="21" t="s">
        <v>2276</v>
      </c>
      <c r="P123" s="21" t="s">
        <v>2276</v>
      </c>
      <c r="Q123" s="21" t="s">
        <v>2276</v>
      </c>
      <c r="R123" s="21" t="s">
        <v>2276</v>
      </c>
      <c r="S123" s="21" t="s">
        <v>2276</v>
      </c>
      <c r="T123" s="4" t="s">
        <v>494</v>
      </c>
    </row>
    <row r="124" spans="1:20" ht="60" customHeight="1">
      <c r="A124" s="3" t="s">
        <v>468</v>
      </c>
      <c r="B124" s="3" t="s">
        <v>69</v>
      </c>
      <c r="C124" s="3" t="s">
        <v>12</v>
      </c>
      <c r="D124" s="4" t="s">
        <v>397</v>
      </c>
      <c r="E124" s="3" t="s">
        <v>130</v>
      </c>
      <c r="F124" s="3" t="s">
        <v>2276</v>
      </c>
      <c r="G124" s="3" t="s">
        <v>2276</v>
      </c>
      <c r="H124" s="21" t="s">
        <v>2276</v>
      </c>
      <c r="I124" s="21" t="s">
        <v>2276</v>
      </c>
      <c r="J124" s="21" t="s">
        <v>2276</v>
      </c>
      <c r="K124" s="21"/>
      <c r="L124" s="21" t="s">
        <v>2276</v>
      </c>
      <c r="M124" s="21" t="s">
        <v>2276</v>
      </c>
      <c r="N124" s="21" t="s">
        <v>2276</v>
      </c>
      <c r="O124" s="21" t="s">
        <v>2276</v>
      </c>
      <c r="P124" s="21" t="s">
        <v>2276</v>
      </c>
      <c r="Q124" s="21" t="s">
        <v>2276</v>
      </c>
      <c r="R124" s="21" t="s">
        <v>2276</v>
      </c>
      <c r="S124" s="21" t="s">
        <v>2276</v>
      </c>
      <c r="T124" s="3" t="s">
        <v>496</v>
      </c>
    </row>
    <row r="125" spans="1:20" ht="52" customHeight="1">
      <c r="A125" s="3" t="s">
        <v>469</v>
      </c>
      <c r="B125" s="3" t="s">
        <v>69</v>
      </c>
      <c r="C125" s="3" t="s">
        <v>12</v>
      </c>
      <c r="D125" s="3" t="s">
        <v>130</v>
      </c>
      <c r="E125" s="4" t="s">
        <v>397</v>
      </c>
      <c r="F125" s="3" t="s">
        <v>2276</v>
      </c>
      <c r="G125" s="3" t="s">
        <v>2276</v>
      </c>
      <c r="H125" s="21" t="s">
        <v>2276</v>
      </c>
      <c r="I125" s="21" t="s">
        <v>2276</v>
      </c>
      <c r="J125" s="21" t="s">
        <v>2276</v>
      </c>
      <c r="K125" s="21"/>
      <c r="L125" s="21" t="s">
        <v>2276</v>
      </c>
      <c r="M125" s="21" t="s">
        <v>2276</v>
      </c>
      <c r="N125" s="21" t="s">
        <v>2276</v>
      </c>
      <c r="O125" s="21" t="s">
        <v>2276</v>
      </c>
      <c r="P125" s="21" t="s">
        <v>2276</v>
      </c>
      <c r="Q125" s="21" t="s">
        <v>2276</v>
      </c>
      <c r="R125" s="21" t="s">
        <v>2276</v>
      </c>
      <c r="S125" s="21" t="s">
        <v>2276</v>
      </c>
      <c r="T125" s="3" t="s">
        <v>495</v>
      </c>
    </row>
    <row r="126" spans="1:20" ht="49" customHeight="1">
      <c r="A126" s="11" t="s">
        <v>497</v>
      </c>
      <c r="B126" s="3" t="s">
        <v>2276</v>
      </c>
      <c r="C126" s="3" t="s">
        <v>12</v>
      </c>
      <c r="D126" s="4" t="s">
        <v>397</v>
      </c>
      <c r="E126" s="3" t="s">
        <v>130</v>
      </c>
      <c r="F126" s="3" t="s">
        <v>2276</v>
      </c>
      <c r="G126" s="3" t="s">
        <v>2276</v>
      </c>
      <c r="H126" s="21" t="s">
        <v>2276</v>
      </c>
      <c r="I126" s="21" t="s">
        <v>2276</v>
      </c>
      <c r="J126" s="21" t="s">
        <v>2276</v>
      </c>
      <c r="K126" s="21"/>
      <c r="L126" s="21" t="s">
        <v>2276</v>
      </c>
      <c r="M126" s="21" t="s">
        <v>2276</v>
      </c>
      <c r="N126" s="21" t="s">
        <v>2276</v>
      </c>
      <c r="O126" s="21" t="s">
        <v>2276</v>
      </c>
      <c r="P126" s="21" t="s">
        <v>2276</v>
      </c>
      <c r="Q126" s="21" t="s">
        <v>2276</v>
      </c>
      <c r="R126" s="21" t="s">
        <v>2276</v>
      </c>
      <c r="S126" s="21" t="s">
        <v>2276</v>
      </c>
      <c r="T126" s="3"/>
    </row>
    <row r="127" spans="1:20" ht="38" customHeight="1">
      <c r="A127" s="11" t="s">
        <v>498</v>
      </c>
      <c r="B127" s="3" t="s">
        <v>2276</v>
      </c>
      <c r="C127" s="3" t="s">
        <v>12</v>
      </c>
      <c r="D127" s="3" t="s">
        <v>130</v>
      </c>
      <c r="E127" s="4" t="s">
        <v>397</v>
      </c>
      <c r="F127" s="3" t="s">
        <v>2276</v>
      </c>
      <c r="G127" s="3" t="s">
        <v>2276</v>
      </c>
      <c r="H127" s="21" t="s">
        <v>2276</v>
      </c>
      <c r="I127" s="21" t="s">
        <v>2276</v>
      </c>
      <c r="J127" s="21" t="s">
        <v>2276</v>
      </c>
      <c r="K127" s="21"/>
      <c r="L127" s="21" t="s">
        <v>2276</v>
      </c>
      <c r="M127" s="21" t="s">
        <v>2276</v>
      </c>
      <c r="N127" s="21" t="s">
        <v>2276</v>
      </c>
      <c r="O127" s="21" t="s">
        <v>2276</v>
      </c>
      <c r="P127" s="21" t="s">
        <v>2276</v>
      </c>
      <c r="Q127" s="21" t="s">
        <v>2276</v>
      </c>
      <c r="R127" s="21" t="s">
        <v>2276</v>
      </c>
      <c r="S127" s="21" t="s">
        <v>2276</v>
      </c>
      <c r="T127" s="3" t="s">
        <v>508</v>
      </c>
    </row>
    <row r="128" spans="1:20" ht="44" customHeight="1">
      <c r="A128" s="11" t="s">
        <v>499</v>
      </c>
      <c r="B128" s="3" t="s">
        <v>69</v>
      </c>
      <c r="C128" s="3" t="s">
        <v>12</v>
      </c>
      <c r="D128" s="4" t="s">
        <v>397</v>
      </c>
      <c r="E128" s="3" t="s">
        <v>130</v>
      </c>
      <c r="F128" s="3" t="s">
        <v>2276</v>
      </c>
      <c r="G128" s="3" t="s">
        <v>2276</v>
      </c>
      <c r="H128" s="21" t="s">
        <v>2276</v>
      </c>
      <c r="I128" s="21" t="s">
        <v>2276</v>
      </c>
      <c r="J128" s="21" t="s">
        <v>2276</v>
      </c>
      <c r="K128" s="21"/>
      <c r="L128" s="21" t="s">
        <v>2276</v>
      </c>
      <c r="M128" s="21" t="s">
        <v>2276</v>
      </c>
      <c r="N128" s="21" t="s">
        <v>2276</v>
      </c>
      <c r="O128" s="21" t="s">
        <v>2276</v>
      </c>
      <c r="P128" s="21" t="s">
        <v>2276</v>
      </c>
      <c r="Q128" s="21" t="s">
        <v>2276</v>
      </c>
      <c r="R128" s="21" t="s">
        <v>2276</v>
      </c>
      <c r="S128" s="21" t="s">
        <v>2276</v>
      </c>
      <c r="T128" s="3" t="s">
        <v>508</v>
      </c>
    </row>
    <row r="129" spans="1:20" ht="44" customHeight="1">
      <c r="A129" s="11" t="s">
        <v>509</v>
      </c>
      <c r="B129" s="3" t="s">
        <v>2276</v>
      </c>
      <c r="C129" s="11" t="s">
        <v>395</v>
      </c>
      <c r="D129" s="19" t="s">
        <v>116</v>
      </c>
      <c r="E129" s="11" t="s">
        <v>2276</v>
      </c>
      <c r="F129" s="11" t="s">
        <v>2276</v>
      </c>
      <c r="G129" s="11" t="s">
        <v>2276</v>
      </c>
      <c r="H129" s="74" t="s">
        <v>2276</v>
      </c>
      <c r="I129" s="74" t="s">
        <v>2276</v>
      </c>
      <c r="J129" s="74" t="s">
        <v>2276</v>
      </c>
      <c r="K129" s="74"/>
      <c r="L129" s="74" t="s">
        <v>2276</v>
      </c>
      <c r="M129" s="74" t="s">
        <v>2276</v>
      </c>
      <c r="N129" s="74" t="s">
        <v>2276</v>
      </c>
      <c r="O129" s="74">
        <v>0</v>
      </c>
      <c r="P129" s="21" t="s">
        <v>2276</v>
      </c>
      <c r="Q129" s="74">
        <f>AVERAGE(9.8+19.3+15.4, 16.6+18.1+11.3)</f>
        <v>45.25</v>
      </c>
      <c r="R129" s="74">
        <f>AVERAGE(52.9, 54)</f>
        <v>53.45</v>
      </c>
      <c r="S129" s="74" t="s">
        <v>2276</v>
      </c>
      <c r="T129" s="11" t="s">
        <v>2308</v>
      </c>
    </row>
    <row r="130" spans="1:20" ht="44" customHeight="1">
      <c r="A130" s="11" t="s">
        <v>2315</v>
      </c>
      <c r="B130" s="3" t="s">
        <v>2276</v>
      </c>
      <c r="C130" s="11" t="s">
        <v>395</v>
      </c>
      <c r="D130" s="19" t="s">
        <v>116</v>
      </c>
      <c r="E130" s="11" t="s">
        <v>2276</v>
      </c>
      <c r="F130" s="11" t="s">
        <v>2276</v>
      </c>
      <c r="G130" s="11" t="s">
        <v>2276</v>
      </c>
      <c r="H130" s="74" t="s">
        <v>2276</v>
      </c>
      <c r="I130" s="74" t="s">
        <v>2276</v>
      </c>
      <c r="J130" s="74" t="s">
        <v>2276</v>
      </c>
      <c r="K130" s="74"/>
      <c r="L130" s="74" t="s">
        <v>2276</v>
      </c>
      <c r="M130" s="74" t="s">
        <v>2276</v>
      </c>
      <c r="N130" s="74" t="s">
        <v>2276</v>
      </c>
      <c r="O130" s="74">
        <v>0</v>
      </c>
      <c r="P130" s="21" t="s">
        <v>2276</v>
      </c>
      <c r="Q130" s="74">
        <f>AVERAGE(16.6+18.1+11.3, 9.3+11.4+10.7)</f>
        <v>38.700000000000003</v>
      </c>
      <c r="R130" s="74">
        <f>AVERAGE(62.7, 54)</f>
        <v>58.35</v>
      </c>
      <c r="S130" s="74" t="s">
        <v>2276</v>
      </c>
      <c r="T130" s="11" t="s">
        <v>2308</v>
      </c>
    </row>
    <row r="131" spans="1:20" ht="44" customHeight="1">
      <c r="A131" s="11" t="s">
        <v>2316</v>
      </c>
      <c r="B131" s="3" t="s">
        <v>2276</v>
      </c>
      <c r="C131" s="11" t="s">
        <v>395</v>
      </c>
      <c r="D131" s="19" t="s">
        <v>116</v>
      </c>
      <c r="E131" s="11" t="s">
        <v>2276</v>
      </c>
      <c r="F131" s="11" t="s">
        <v>2276</v>
      </c>
      <c r="G131" s="11" t="s">
        <v>2276</v>
      </c>
      <c r="H131" s="74" t="s">
        <v>2276</v>
      </c>
      <c r="I131" s="74" t="s">
        <v>2276</v>
      </c>
      <c r="J131" s="74" t="s">
        <v>2276</v>
      </c>
      <c r="K131" s="74"/>
      <c r="L131" s="74" t="s">
        <v>2276</v>
      </c>
      <c r="M131" s="74" t="s">
        <v>2276</v>
      </c>
      <c r="N131" s="74" t="s">
        <v>2276</v>
      </c>
      <c r="O131" s="74">
        <v>0</v>
      </c>
      <c r="P131" s="21" t="s">
        <v>2276</v>
      </c>
      <c r="Q131" s="74">
        <f>AVERAGE(25.2+33+30.1, 9.3+11.4+10.7)</f>
        <v>59.850000000000009</v>
      </c>
      <c r="R131" s="74">
        <f>AVERAGE(62.7, 4.4)</f>
        <v>33.550000000000004</v>
      </c>
      <c r="S131" s="74" t="s">
        <v>2276</v>
      </c>
      <c r="T131" s="11" t="s">
        <v>2308</v>
      </c>
    </row>
    <row r="132" spans="1:20" ht="58" customHeight="1">
      <c r="A132" s="11" t="s">
        <v>510</v>
      </c>
      <c r="B132" s="3" t="s">
        <v>69</v>
      </c>
      <c r="C132" s="11" t="s">
        <v>395</v>
      </c>
      <c r="D132" s="19" t="s">
        <v>130</v>
      </c>
      <c r="E132" s="19" t="s">
        <v>397</v>
      </c>
      <c r="F132" s="3" t="s">
        <v>2276</v>
      </c>
      <c r="G132" s="3" t="s">
        <v>2276</v>
      </c>
      <c r="H132" s="21" t="s">
        <v>2276</v>
      </c>
      <c r="I132" s="21" t="s">
        <v>2276</v>
      </c>
      <c r="J132" s="21">
        <v>2.25</v>
      </c>
      <c r="K132" s="21"/>
      <c r="L132" s="21" t="s">
        <v>2276</v>
      </c>
      <c r="M132" s="21" t="s">
        <v>2276</v>
      </c>
      <c r="N132" s="21" t="s">
        <v>2276</v>
      </c>
      <c r="O132" s="21" t="s">
        <v>2276</v>
      </c>
      <c r="P132" s="21" t="s">
        <v>2276</v>
      </c>
      <c r="Q132" s="21" t="s">
        <v>2276</v>
      </c>
      <c r="R132" s="21" t="s">
        <v>2276</v>
      </c>
      <c r="S132" s="21" t="s">
        <v>2276</v>
      </c>
      <c r="T132" s="4" t="s">
        <v>513</v>
      </c>
    </row>
    <row r="133" spans="1:20" ht="61" customHeight="1">
      <c r="A133" s="11" t="s">
        <v>520</v>
      </c>
      <c r="B133" s="3" t="s">
        <v>32</v>
      </c>
      <c r="C133" s="11" t="s">
        <v>395</v>
      </c>
      <c r="D133" s="3" t="s">
        <v>130</v>
      </c>
      <c r="E133" s="4" t="s">
        <v>397</v>
      </c>
      <c r="F133" s="3" t="s">
        <v>45</v>
      </c>
      <c r="G133" s="3" t="s">
        <v>863</v>
      </c>
      <c r="H133" s="21" t="s">
        <v>2276</v>
      </c>
      <c r="I133" s="21" t="s">
        <v>2276</v>
      </c>
      <c r="J133" s="21" t="s">
        <v>2276</v>
      </c>
      <c r="K133" s="21"/>
      <c r="L133" s="21" t="s">
        <v>2276</v>
      </c>
      <c r="M133" s="21" t="s">
        <v>2276</v>
      </c>
      <c r="N133" s="21" t="s">
        <v>2276</v>
      </c>
      <c r="O133" s="21" t="s">
        <v>2276</v>
      </c>
      <c r="P133" s="21">
        <v>11</v>
      </c>
      <c r="Q133" s="21" t="s">
        <v>2276</v>
      </c>
      <c r="R133" s="21">
        <v>30</v>
      </c>
      <c r="S133" s="21">
        <v>1.25</v>
      </c>
      <c r="T133" s="4" t="s">
        <v>1500</v>
      </c>
    </row>
    <row r="134" spans="1:20" ht="61" customHeight="1">
      <c r="A134" s="11" t="s">
        <v>546</v>
      </c>
      <c r="B134" s="3" t="s">
        <v>2276</v>
      </c>
      <c r="C134" s="11" t="s">
        <v>395</v>
      </c>
      <c r="D134" s="3" t="s">
        <v>130</v>
      </c>
      <c r="E134" s="4" t="s">
        <v>2276</v>
      </c>
      <c r="F134" s="3" t="s">
        <v>2276</v>
      </c>
      <c r="G134" s="3" t="s">
        <v>2276</v>
      </c>
      <c r="H134" s="21" t="s">
        <v>2276</v>
      </c>
      <c r="I134" s="21" t="s">
        <v>2276</v>
      </c>
      <c r="J134" s="21" t="s">
        <v>2276</v>
      </c>
      <c r="K134" s="21"/>
      <c r="L134" s="21" t="s">
        <v>2276</v>
      </c>
      <c r="M134" s="21" t="s">
        <v>2276</v>
      </c>
      <c r="N134" s="21" t="s">
        <v>2276</v>
      </c>
      <c r="O134" s="21" t="s">
        <v>2276</v>
      </c>
      <c r="P134" s="21">
        <v>3.3723530000000002E-2</v>
      </c>
      <c r="Q134" s="21">
        <v>0.21583060000000001</v>
      </c>
      <c r="R134" s="21">
        <v>99.232740000000007</v>
      </c>
      <c r="S134" s="21">
        <v>2.5477710000000001E-2</v>
      </c>
      <c r="T134" s="3"/>
    </row>
    <row r="135" spans="1:20" ht="61" customHeight="1">
      <c r="A135" s="11" t="s">
        <v>547</v>
      </c>
      <c r="B135" s="3" t="s">
        <v>2276</v>
      </c>
      <c r="C135" s="11" t="s">
        <v>395</v>
      </c>
      <c r="D135" s="3" t="s">
        <v>130</v>
      </c>
      <c r="E135" s="4" t="s">
        <v>2276</v>
      </c>
      <c r="F135" s="3" t="s">
        <v>2276</v>
      </c>
      <c r="G135" s="3" t="s">
        <v>2276</v>
      </c>
      <c r="H135" s="21" t="s">
        <v>2276</v>
      </c>
      <c r="I135" s="21" t="s">
        <v>2276</v>
      </c>
      <c r="J135" s="21" t="s">
        <v>2276</v>
      </c>
      <c r="K135" s="21"/>
      <c r="L135" s="21" t="s">
        <v>2276</v>
      </c>
      <c r="M135" s="21" t="s">
        <v>2276</v>
      </c>
      <c r="N135" s="21" t="s">
        <v>2276</v>
      </c>
      <c r="O135" s="21" t="s">
        <v>2276</v>
      </c>
      <c r="P135" s="21">
        <v>0.16669102999999999</v>
      </c>
      <c r="Q135" s="21">
        <v>0.85012430000000005</v>
      </c>
      <c r="R135" s="21">
        <v>98.983180000000004</v>
      </c>
      <c r="S135" s="21">
        <v>3.133333E-2</v>
      </c>
      <c r="T135" s="3"/>
    </row>
    <row r="136" spans="1:20" ht="61" customHeight="1">
      <c r="A136" s="24" t="s">
        <v>1728</v>
      </c>
      <c r="B136" s="3" t="s">
        <v>2276</v>
      </c>
      <c r="C136" s="3" t="s">
        <v>12</v>
      </c>
      <c r="D136" s="4" t="s">
        <v>397</v>
      </c>
      <c r="E136" s="4" t="s">
        <v>2276</v>
      </c>
      <c r="F136" s="3" t="s">
        <v>2276</v>
      </c>
      <c r="G136" s="3" t="s">
        <v>2276</v>
      </c>
      <c r="H136" s="21" t="s">
        <v>2276</v>
      </c>
      <c r="I136" s="21" t="s">
        <v>2276</v>
      </c>
      <c r="J136" s="21" t="s">
        <v>2276</v>
      </c>
      <c r="K136" s="21"/>
      <c r="L136" s="21" t="s">
        <v>2276</v>
      </c>
      <c r="M136" s="21" t="s">
        <v>2276</v>
      </c>
      <c r="N136" s="21" t="s">
        <v>2276</v>
      </c>
      <c r="O136" s="21" t="s">
        <v>2276</v>
      </c>
      <c r="P136" s="21" t="s">
        <v>2276</v>
      </c>
      <c r="Q136" s="21" t="s">
        <v>2276</v>
      </c>
      <c r="R136" s="21" t="s">
        <v>2276</v>
      </c>
      <c r="S136" s="21" t="s">
        <v>2276</v>
      </c>
      <c r="T136" s="3"/>
    </row>
    <row r="137" spans="1:20" ht="61" customHeight="1">
      <c r="A137" s="24" t="s">
        <v>1727</v>
      </c>
      <c r="B137" s="3" t="s">
        <v>2276</v>
      </c>
      <c r="C137" s="3" t="s">
        <v>12</v>
      </c>
      <c r="D137" s="4" t="s">
        <v>397</v>
      </c>
      <c r="E137" s="4" t="s">
        <v>2276</v>
      </c>
      <c r="F137" s="3" t="s">
        <v>2276</v>
      </c>
      <c r="G137" s="3" t="s">
        <v>2276</v>
      </c>
      <c r="H137" s="21" t="s">
        <v>2276</v>
      </c>
      <c r="I137" s="21" t="s">
        <v>2276</v>
      </c>
      <c r="J137" s="21" t="s">
        <v>2276</v>
      </c>
      <c r="K137" s="21"/>
      <c r="L137" s="21" t="s">
        <v>2276</v>
      </c>
      <c r="M137" s="21" t="s">
        <v>2276</v>
      </c>
      <c r="N137" s="21" t="s">
        <v>2276</v>
      </c>
      <c r="O137" s="21" t="s">
        <v>2276</v>
      </c>
      <c r="P137" s="21" t="s">
        <v>2276</v>
      </c>
      <c r="Q137" s="21" t="s">
        <v>2276</v>
      </c>
      <c r="R137" s="21" t="s">
        <v>2276</v>
      </c>
      <c r="S137" s="21" t="s">
        <v>2276</v>
      </c>
      <c r="T137" s="3"/>
    </row>
    <row r="138" spans="1:20" ht="61" customHeight="1">
      <c r="A138" s="24" t="s">
        <v>1729</v>
      </c>
      <c r="B138" s="3" t="s">
        <v>2276</v>
      </c>
      <c r="C138" s="3" t="s">
        <v>12</v>
      </c>
      <c r="D138" s="4" t="s">
        <v>397</v>
      </c>
      <c r="E138" s="4" t="s">
        <v>2276</v>
      </c>
      <c r="F138" s="3" t="s">
        <v>2276</v>
      </c>
      <c r="G138" s="3" t="s">
        <v>2276</v>
      </c>
      <c r="H138" s="21" t="s">
        <v>2276</v>
      </c>
      <c r="I138" s="21" t="s">
        <v>2276</v>
      </c>
      <c r="J138" s="21" t="s">
        <v>2276</v>
      </c>
      <c r="K138" s="21"/>
      <c r="L138" s="21" t="s">
        <v>2276</v>
      </c>
      <c r="M138" s="21" t="s">
        <v>2276</v>
      </c>
      <c r="N138" s="21" t="s">
        <v>2276</v>
      </c>
      <c r="O138" s="21" t="s">
        <v>2276</v>
      </c>
      <c r="P138" s="21" t="s">
        <v>2276</v>
      </c>
      <c r="Q138" s="21" t="s">
        <v>2276</v>
      </c>
      <c r="R138" s="21" t="s">
        <v>2276</v>
      </c>
      <c r="S138" s="21" t="s">
        <v>2276</v>
      </c>
      <c r="T138" s="3"/>
    </row>
    <row r="139" spans="1:20" ht="61" customHeight="1">
      <c r="A139" s="24" t="s">
        <v>1730</v>
      </c>
      <c r="B139" s="3" t="s">
        <v>2276</v>
      </c>
      <c r="C139" s="3" t="s">
        <v>395</v>
      </c>
      <c r="D139" s="4" t="s">
        <v>130</v>
      </c>
      <c r="E139" s="4" t="s">
        <v>2276</v>
      </c>
      <c r="F139" s="3" t="s">
        <v>2276</v>
      </c>
      <c r="G139" s="3" t="s">
        <v>2276</v>
      </c>
      <c r="H139" s="21" t="s">
        <v>2276</v>
      </c>
      <c r="I139" s="21" t="s">
        <v>2276</v>
      </c>
      <c r="J139" s="21" t="s">
        <v>2276</v>
      </c>
      <c r="K139" s="21"/>
      <c r="L139" s="21" t="s">
        <v>2276</v>
      </c>
      <c r="M139" s="21" t="s">
        <v>2276</v>
      </c>
      <c r="N139" s="21" t="s">
        <v>2276</v>
      </c>
      <c r="O139" s="21" t="s">
        <v>2276</v>
      </c>
      <c r="P139" s="21" t="s">
        <v>2276</v>
      </c>
      <c r="Q139" s="21" t="s">
        <v>2276</v>
      </c>
      <c r="R139" s="21" t="s">
        <v>2276</v>
      </c>
      <c r="S139" s="21" t="s">
        <v>2276</v>
      </c>
      <c r="T139" s="3"/>
    </row>
    <row r="140" spans="1:20" ht="61" customHeight="1">
      <c r="A140" s="24" t="s">
        <v>1731</v>
      </c>
      <c r="B140" s="3" t="s">
        <v>2276</v>
      </c>
      <c r="C140" s="3" t="s">
        <v>12</v>
      </c>
      <c r="D140" s="4" t="s">
        <v>397</v>
      </c>
      <c r="E140" s="4" t="s">
        <v>2276</v>
      </c>
      <c r="F140" s="3" t="s">
        <v>2276</v>
      </c>
      <c r="G140" s="3" t="s">
        <v>2276</v>
      </c>
      <c r="H140" s="21" t="s">
        <v>2276</v>
      </c>
      <c r="I140" s="21" t="s">
        <v>2276</v>
      </c>
      <c r="J140" s="21" t="s">
        <v>2276</v>
      </c>
      <c r="K140" s="21"/>
      <c r="L140" s="21" t="s">
        <v>2276</v>
      </c>
      <c r="M140" s="21" t="s">
        <v>2276</v>
      </c>
      <c r="N140" s="21" t="s">
        <v>2276</v>
      </c>
      <c r="O140" s="21" t="s">
        <v>2276</v>
      </c>
      <c r="P140" s="21" t="s">
        <v>2276</v>
      </c>
      <c r="Q140" s="21" t="s">
        <v>2276</v>
      </c>
      <c r="R140" s="21" t="s">
        <v>2276</v>
      </c>
      <c r="S140" s="21" t="s">
        <v>2276</v>
      </c>
      <c r="T140" s="3"/>
    </row>
    <row r="141" spans="1:20" ht="61" customHeight="1">
      <c r="A141" s="24" t="s">
        <v>1734</v>
      </c>
      <c r="B141" s="3" t="s">
        <v>2276</v>
      </c>
      <c r="C141" s="3" t="s">
        <v>395</v>
      </c>
      <c r="D141" s="4" t="s">
        <v>130</v>
      </c>
      <c r="E141" s="4" t="s">
        <v>2276</v>
      </c>
      <c r="F141" s="3" t="s">
        <v>2276</v>
      </c>
      <c r="G141" s="3" t="s">
        <v>2276</v>
      </c>
      <c r="H141" s="21" t="s">
        <v>2276</v>
      </c>
      <c r="I141" s="21" t="s">
        <v>2276</v>
      </c>
      <c r="J141" s="21" t="s">
        <v>2276</v>
      </c>
      <c r="K141" s="21"/>
      <c r="L141" s="21" t="s">
        <v>2276</v>
      </c>
      <c r="M141" s="21" t="s">
        <v>2276</v>
      </c>
      <c r="N141" s="21" t="s">
        <v>2276</v>
      </c>
      <c r="O141" s="21" t="s">
        <v>2276</v>
      </c>
      <c r="P141" s="21" t="s">
        <v>2276</v>
      </c>
      <c r="Q141" s="21" t="s">
        <v>2276</v>
      </c>
      <c r="R141" s="21" t="s">
        <v>2276</v>
      </c>
      <c r="S141" s="21" t="s">
        <v>2276</v>
      </c>
      <c r="T141" s="3"/>
    </row>
    <row r="142" spans="1:20" ht="61" customHeight="1">
      <c r="A142" s="24" t="s">
        <v>1735</v>
      </c>
      <c r="B142" s="3" t="s">
        <v>2276</v>
      </c>
      <c r="C142" s="3" t="s">
        <v>395</v>
      </c>
      <c r="D142" s="4" t="s">
        <v>130</v>
      </c>
      <c r="E142" s="4" t="s">
        <v>2276</v>
      </c>
      <c r="F142" s="3" t="s">
        <v>2276</v>
      </c>
      <c r="G142" s="3" t="s">
        <v>2276</v>
      </c>
      <c r="H142" s="21" t="s">
        <v>2276</v>
      </c>
      <c r="I142" s="21" t="s">
        <v>2276</v>
      </c>
      <c r="J142" s="21" t="s">
        <v>2276</v>
      </c>
      <c r="K142" s="21"/>
      <c r="L142" s="21" t="s">
        <v>2276</v>
      </c>
      <c r="M142" s="21" t="s">
        <v>2276</v>
      </c>
      <c r="N142" s="21" t="s">
        <v>2276</v>
      </c>
      <c r="O142" s="21" t="s">
        <v>2276</v>
      </c>
      <c r="P142" s="21" t="s">
        <v>2276</v>
      </c>
      <c r="Q142" s="21" t="s">
        <v>2276</v>
      </c>
      <c r="R142" s="21" t="s">
        <v>2276</v>
      </c>
      <c r="S142" s="21" t="s">
        <v>2276</v>
      </c>
      <c r="T142" s="3"/>
    </row>
    <row r="143" spans="1:20" ht="61" customHeight="1">
      <c r="A143" s="24" t="s">
        <v>1732</v>
      </c>
      <c r="B143" s="3" t="s">
        <v>2276</v>
      </c>
      <c r="C143" s="3" t="s">
        <v>395</v>
      </c>
      <c r="D143" s="4" t="s">
        <v>130</v>
      </c>
      <c r="E143" s="4" t="s">
        <v>2276</v>
      </c>
      <c r="F143" s="3" t="s">
        <v>2276</v>
      </c>
      <c r="G143" s="3" t="s">
        <v>2276</v>
      </c>
      <c r="H143" s="21" t="s">
        <v>2276</v>
      </c>
      <c r="I143" s="21" t="s">
        <v>2276</v>
      </c>
      <c r="J143" s="21" t="s">
        <v>2276</v>
      </c>
      <c r="K143" s="21"/>
      <c r="L143" s="21" t="s">
        <v>2276</v>
      </c>
      <c r="M143" s="21" t="s">
        <v>2276</v>
      </c>
      <c r="N143" s="21" t="s">
        <v>2276</v>
      </c>
      <c r="O143" s="21" t="s">
        <v>2276</v>
      </c>
      <c r="P143" s="21" t="s">
        <v>2276</v>
      </c>
      <c r="Q143" s="21" t="s">
        <v>2276</v>
      </c>
      <c r="R143" s="21" t="s">
        <v>2276</v>
      </c>
      <c r="S143" s="21" t="s">
        <v>2276</v>
      </c>
      <c r="T143" s="3"/>
    </row>
    <row r="144" spans="1:20" ht="61" customHeight="1">
      <c r="A144" s="24" t="s">
        <v>1733</v>
      </c>
      <c r="B144" s="3" t="s">
        <v>2276</v>
      </c>
      <c r="C144" s="3" t="s">
        <v>395</v>
      </c>
      <c r="D144" s="4" t="s">
        <v>130</v>
      </c>
      <c r="E144" s="4" t="s">
        <v>2276</v>
      </c>
      <c r="F144" s="3" t="s">
        <v>2276</v>
      </c>
      <c r="G144" s="3" t="s">
        <v>2276</v>
      </c>
      <c r="H144" s="21" t="s">
        <v>2276</v>
      </c>
      <c r="I144" s="21" t="s">
        <v>2276</v>
      </c>
      <c r="J144" s="21" t="s">
        <v>2276</v>
      </c>
      <c r="K144" s="21"/>
      <c r="L144" s="21" t="s">
        <v>2276</v>
      </c>
      <c r="M144" s="21" t="s">
        <v>2276</v>
      </c>
      <c r="N144" s="21" t="s">
        <v>2276</v>
      </c>
      <c r="O144" s="21" t="s">
        <v>2276</v>
      </c>
      <c r="P144" s="21" t="s">
        <v>2276</v>
      </c>
      <c r="Q144" s="21" t="s">
        <v>2276</v>
      </c>
      <c r="R144" s="21" t="s">
        <v>2276</v>
      </c>
      <c r="S144" s="21" t="s">
        <v>2276</v>
      </c>
      <c r="T144" s="3"/>
    </row>
    <row r="145" spans="1:20" ht="61" customHeight="1">
      <c r="A145" s="24" t="s">
        <v>1736</v>
      </c>
      <c r="B145" s="3" t="s">
        <v>2276</v>
      </c>
      <c r="C145" s="3" t="s">
        <v>395</v>
      </c>
      <c r="D145" s="4" t="s">
        <v>130</v>
      </c>
      <c r="E145" s="4" t="s">
        <v>2276</v>
      </c>
      <c r="F145" s="3" t="s">
        <v>2276</v>
      </c>
      <c r="G145" s="3" t="s">
        <v>2276</v>
      </c>
      <c r="H145" s="21" t="s">
        <v>2276</v>
      </c>
      <c r="I145" s="21" t="s">
        <v>2276</v>
      </c>
      <c r="J145" s="21" t="s">
        <v>2276</v>
      </c>
      <c r="K145" s="21"/>
      <c r="L145" s="21" t="s">
        <v>2276</v>
      </c>
      <c r="M145" s="21" t="s">
        <v>2276</v>
      </c>
      <c r="N145" s="21" t="s">
        <v>2276</v>
      </c>
      <c r="O145" s="21" t="s">
        <v>2276</v>
      </c>
      <c r="P145" s="21" t="s">
        <v>2276</v>
      </c>
      <c r="Q145" s="21" t="s">
        <v>2276</v>
      </c>
      <c r="R145" s="21" t="s">
        <v>2276</v>
      </c>
      <c r="S145" s="21" t="s">
        <v>2276</v>
      </c>
      <c r="T145" s="3"/>
    </row>
    <row r="146" spans="1:20" ht="61" customHeight="1">
      <c r="A146" s="24" t="s">
        <v>1737</v>
      </c>
      <c r="B146" s="3" t="s">
        <v>2276</v>
      </c>
      <c r="C146" s="3" t="s">
        <v>12</v>
      </c>
      <c r="D146" s="4" t="s">
        <v>397</v>
      </c>
      <c r="E146" s="4" t="s">
        <v>2276</v>
      </c>
      <c r="F146" s="3" t="s">
        <v>2276</v>
      </c>
      <c r="G146" s="3" t="s">
        <v>2276</v>
      </c>
      <c r="H146" s="21" t="s">
        <v>2276</v>
      </c>
      <c r="I146" s="21" t="s">
        <v>2276</v>
      </c>
      <c r="J146" s="21" t="s">
        <v>2276</v>
      </c>
      <c r="K146" s="21"/>
      <c r="L146" s="21" t="s">
        <v>2276</v>
      </c>
      <c r="M146" s="21" t="s">
        <v>2276</v>
      </c>
      <c r="N146" s="21" t="s">
        <v>2276</v>
      </c>
      <c r="O146" s="21" t="s">
        <v>2276</v>
      </c>
      <c r="P146" s="21" t="s">
        <v>2276</v>
      </c>
      <c r="Q146" s="21" t="s">
        <v>2276</v>
      </c>
      <c r="R146" s="21" t="s">
        <v>2276</v>
      </c>
      <c r="S146" s="21" t="s">
        <v>2276</v>
      </c>
      <c r="T146" s="3"/>
    </row>
    <row r="147" spans="1:20" ht="61" customHeight="1">
      <c r="A147" s="24" t="s">
        <v>1738</v>
      </c>
      <c r="B147" s="3" t="s">
        <v>2276</v>
      </c>
      <c r="C147" s="3" t="s">
        <v>395</v>
      </c>
      <c r="D147" s="4" t="s">
        <v>130</v>
      </c>
      <c r="E147" s="4" t="s">
        <v>2276</v>
      </c>
      <c r="F147" s="3" t="s">
        <v>2276</v>
      </c>
      <c r="G147" s="3" t="s">
        <v>2276</v>
      </c>
      <c r="H147" s="21" t="s">
        <v>2276</v>
      </c>
      <c r="I147" s="21" t="s">
        <v>2276</v>
      </c>
      <c r="J147" s="21" t="s">
        <v>2276</v>
      </c>
      <c r="K147" s="21"/>
      <c r="L147" s="21" t="s">
        <v>2276</v>
      </c>
      <c r="M147" s="21" t="s">
        <v>2276</v>
      </c>
      <c r="N147" s="21" t="s">
        <v>2276</v>
      </c>
      <c r="O147" s="21" t="s">
        <v>2276</v>
      </c>
      <c r="P147" s="21" t="s">
        <v>2276</v>
      </c>
      <c r="Q147" s="21" t="s">
        <v>2276</v>
      </c>
      <c r="R147" s="21" t="s">
        <v>2276</v>
      </c>
      <c r="S147" s="21" t="s">
        <v>2276</v>
      </c>
      <c r="T147" s="3"/>
    </row>
    <row r="148" spans="1:20" ht="61" customHeight="1">
      <c r="A148" s="24" t="s">
        <v>1739</v>
      </c>
      <c r="B148" s="3" t="s">
        <v>2276</v>
      </c>
      <c r="C148" s="3" t="s">
        <v>12</v>
      </c>
      <c r="D148" s="4" t="s">
        <v>397</v>
      </c>
      <c r="E148" s="4" t="s">
        <v>130</v>
      </c>
      <c r="F148" s="3" t="s">
        <v>2276</v>
      </c>
      <c r="G148" s="3" t="s">
        <v>2276</v>
      </c>
      <c r="H148" s="21" t="s">
        <v>2276</v>
      </c>
      <c r="I148" s="21" t="s">
        <v>2276</v>
      </c>
      <c r="J148" s="21" t="s">
        <v>2276</v>
      </c>
      <c r="K148" s="21"/>
      <c r="L148" s="21" t="s">
        <v>2276</v>
      </c>
      <c r="M148" s="21" t="s">
        <v>2276</v>
      </c>
      <c r="N148" s="21" t="s">
        <v>2276</v>
      </c>
      <c r="O148" s="21" t="s">
        <v>2276</v>
      </c>
      <c r="P148" s="21" t="s">
        <v>2276</v>
      </c>
      <c r="Q148" s="21" t="s">
        <v>2276</v>
      </c>
      <c r="R148" s="21" t="s">
        <v>2276</v>
      </c>
      <c r="S148" s="21" t="s">
        <v>2276</v>
      </c>
      <c r="T148" s="3"/>
    </row>
    <row r="149" spans="1:20" ht="61" customHeight="1">
      <c r="A149" s="24" t="s">
        <v>1740</v>
      </c>
      <c r="B149" s="3" t="s">
        <v>2276</v>
      </c>
      <c r="C149" s="3" t="s">
        <v>12</v>
      </c>
      <c r="D149" s="4" t="s">
        <v>397</v>
      </c>
      <c r="E149" s="4" t="s">
        <v>2276</v>
      </c>
      <c r="F149" s="3" t="s">
        <v>2276</v>
      </c>
      <c r="G149" s="3" t="s">
        <v>2276</v>
      </c>
      <c r="H149" s="21" t="s">
        <v>2276</v>
      </c>
      <c r="I149" s="21" t="s">
        <v>2276</v>
      </c>
      <c r="J149" s="21" t="s">
        <v>2276</v>
      </c>
      <c r="K149" s="21"/>
      <c r="L149" s="21" t="s">
        <v>2276</v>
      </c>
      <c r="M149" s="21" t="s">
        <v>2276</v>
      </c>
      <c r="N149" s="21" t="s">
        <v>2276</v>
      </c>
      <c r="O149" s="21" t="s">
        <v>2276</v>
      </c>
      <c r="P149" s="21" t="s">
        <v>2276</v>
      </c>
      <c r="Q149" s="21" t="s">
        <v>2276</v>
      </c>
      <c r="R149" s="21" t="s">
        <v>2276</v>
      </c>
      <c r="S149" s="21" t="s">
        <v>2276</v>
      </c>
      <c r="T149" s="3"/>
    </row>
    <row r="150" spans="1:20" ht="61" customHeight="1">
      <c r="A150" s="24" t="s">
        <v>1741</v>
      </c>
      <c r="B150" s="3" t="s">
        <v>2276</v>
      </c>
      <c r="C150" s="3" t="s">
        <v>395</v>
      </c>
      <c r="D150" s="4" t="s">
        <v>130</v>
      </c>
      <c r="E150" s="4" t="s">
        <v>2276</v>
      </c>
      <c r="F150" s="3" t="s">
        <v>2276</v>
      </c>
      <c r="G150" s="3" t="s">
        <v>2276</v>
      </c>
      <c r="H150" s="21" t="s">
        <v>2276</v>
      </c>
      <c r="I150" s="21" t="s">
        <v>2276</v>
      </c>
      <c r="J150" s="21" t="s">
        <v>2276</v>
      </c>
      <c r="K150" s="21"/>
      <c r="L150" s="21" t="s">
        <v>2276</v>
      </c>
      <c r="M150" s="21" t="s">
        <v>2276</v>
      </c>
      <c r="N150" s="21" t="s">
        <v>2276</v>
      </c>
      <c r="O150" s="21" t="s">
        <v>2276</v>
      </c>
      <c r="P150" s="21" t="s">
        <v>2276</v>
      </c>
      <c r="Q150" s="21" t="s">
        <v>2276</v>
      </c>
      <c r="R150" s="21" t="s">
        <v>2276</v>
      </c>
      <c r="S150" s="21" t="s">
        <v>2276</v>
      </c>
      <c r="T150" s="3"/>
    </row>
    <row r="151" spans="1:20" ht="61" customHeight="1">
      <c r="A151" s="24" t="s">
        <v>1742</v>
      </c>
      <c r="B151" s="3" t="s">
        <v>2276</v>
      </c>
      <c r="C151" s="3" t="s">
        <v>395</v>
      </c>
      <c r="D151" s="4" t="s">
        <v>130</v>
      </c>
      <c r="E151" s="4" t="s">
        <v>2276</v>
      </c>
      <c r="F151" s="3" t="s">
        <v>2276</v>
      </c>
      <c r="G151" s="3" t="s">
        <v>2276</v>
      </c>
      <c r="H151" s="21" t="s">
        <v>2276</v>
      </c>
      <c r="I151" s="21" t="s">
        <v>2276</v>
      </c>
      <c r="J151" s="21" t="s">
        <v>2276</v>
      </c>
      <c r="K151" s="21"/>
      <c r="L151" s="21" t="s">
        <v>2276</v>
      </c>
      <c r="M151" s="21" t="s">
        <v>2276</v>
      </c>
      <c r="N151" s="21" t="s">
        <v>2276</v>
      </c>
      <c r="O151" s="21" t="s">
        <v>2276</v>
      </c>
      <c r="P151" s="21" t="s">
        <v>2276</v>
      </c>
      <c r="Q151" s="21" t="s">
        <v>2276</v>
      </c>
      <c r="R151" s="21" t="s">
        <v>2276</v>
      </c>
      <c r="S151" s="21" t="s">
        <v>2276</v>
      </c>
      <c r="T151" s="3"/>
    </row>
    <row r="152" spans="1:20" ht="61" customHeight="1">
      <c r="A152" s="24" t="s">
        <v>1743</v>
      </c>
      <c r="B152" s="3" t="s">
        <v>2276</v>
      </c>
      <c r="C152" s="3" t="s">
        <v>12</v>
      </c>
      <c r="D152" s="4" t="s">
        <v>397</v>
      </c>
      <c r="E152" s="4" t="s">
        <v>130</v>
      </c>
      <c r="F152" s="3" t="s">
        <v>2276</v>
      </c>
      <c r="G152" s="3" t="s">
        <v>2276</v>
      </c>
      <c r="H152" s="21" t="s">
        <v>2276</v>
      </c>
      <c r="I152" s="21" t="s">
        <v>2276</v>
      </c>
      <c r="J152" s="21" t="s">
        <v>2276</v>
      </c>
      <c r="K152" s="21"/>
      <c r="L152" s="21" t="s">
        <v>2276</v>
      </c>
      <c r="M152" s="21" t="s">
        <v>2276</v>
      </c>
      <c r="N152" s="21" t="s">
        <v>2276</v>
      </c>
      <c r="O152" s="21" t="s">
        <v>2276</v>
      </c>
      <c r="P152" s="21" t="s">
        <v>2276</v>
      </c>
      <c r="Q152" s="21" t="s">
        <v>2276</v>
      </c>
      <c r="R152" s="21" t="s">
        <v>2276</v>
      </c>
      <c r="S152" s="21" t="s">
        <v>2276</v>
      </c>
      <c r="T152" s="3"/>
    </row>
    <row r="153" spans="1:20" ht="61" customHeight="1">
      <c r="A153" s="24" t="s">
        <v>1744</v>
      </c>
      <c r="B153" s="3" t="s">
        <v>2276</v>
      </c>
      <c r="C153" s="3" t="s">
        <v>12</v>
      </c>
      <c r="D153" s="4" t="s">
        <v>397</v>
      </c>
      <c r="E153" s="4" t="s">
        <v>130</v>
      </c>
      <c r="F153" s="3" t="s">
        <v>2276</v>
      </c>
      <c r="G153" s="3" t="s">
        <v>2276</v>
      </c>
      <c r="H153" s="21" t="s">
        <v>2276</v>
      </c>
      <c r="I153" s="21" t="s">
        <v>2276</v>
      </c>
      <c r="J153" s="21" t="s">
        <v>2276</v>
      </c>
      <c r="K153" s="21"/>
      <c r="L153" s="21" t="s">
        <v>2276</v>
      </c>
      <c r="M153" s="21" t="s">
        <v>2276</v>
      </c>
      <c r="N153" s="21" t="s">
        <v>2276</v>
      </c>
      <c r="O153" s="21" t="s">
        <v>2276</v>
      </c>
      <c r="P153" s="21" t="s">
        <v>2276</v>
      </c>
      <c r="Q153" s="21" t="s">
        <v>2276</v>
      </c>
      <c r="R153" s="21" t="s">
        <v>2276</v>
      </c>
      <c r="S153" s="21" t="s">
        <v>2276</v>
      </c>
      <c r="T153" s="3"/>
    </row>
    <row r="154" spans="1:20" ht="61" customHeight="1">
      <c r="A154" s="24" t="s">
        <v>1745</v>
      </c>
      <c r="B154" s="3" t="s">
        <v>2276</v>
      </c>
      <c r="C154" s="3" t="s">
        <v>12</v>
      </c>
      <c r="D154" s="4" t="s">
        <v>397</v>
      </c>
      <c r="E154" s="4" t="s">
        <v>2276</v>
      </c>
      <c r="F154" s="3" t="s">
        <v>2276</v>
      </c>
      <c r="G154" s="3" t="s">
        <v>2276</v>
      </c>
      <c r="H154" s="21" t="s">
        <v>2276</v>
      </c>
      <c r="I154" s="21" t="s">
        <v>2276</v>
      </c>
      <c r="J154" s="21" t="s">
        <v>2276</v>
      </c>
      <c r="K154" s="21"/>
      <c r="L154" s="21" t="s">
        <v>2276</v>
      </c>
      <c r="M154" s="21" t="s">
        <v>2276</v>
      </c>
      <c r="N154" s="21" t="s">
        <v>2276</v>
      </c>
      <c r="O154" s="21" t="s">
        <v>2276</v>
      </c>
      <c r="P154" s="21" t="s">
        <v>2276</v>
      </c>
      <c r="Q154" s="21" t="s">
        <v>2276</v>
      </c>
      <c r="R154" s="21" t="s">
        <v>2276</v>
      </c>
      <c r="S154" s="21" t="s">
        <v>2276</v>
      </c>
      <c r="T154" s="3"/>
    </row>
    <row r="155" spans="1:20" ht="61" customHeight="1">
      <c r="A155" s="24" t="s">
        <v>1746</v>
      </c>
      <c r="B155" s="3" t="s">
        <v>2276</v>
      </c>
      <c r="C155" s="3" t="s">
        <v>12</v>
      </c>
      <c r="D155" s="4" t="s">
        <v>397</v>
      </c>
      <c r="E155" s="4" t="s">
        <v>130</v>
      </c>
      <c r="F155" s="3" t="s">
        <v>2276</v>
      </c>
      <c r="G155" s="3" t="s">
        <v>2276</v>
      </c>
      <c r="H155" s="21" t="s">
        <v>2276</v>
      </c>
      <c r="I155" s="21" t="s">
        <v>2276</v>
      </c>
      <c r="J155" s="21" t="s">
        <v>2276</v>
      </c>
      <c r="K155" s="21"/>
      <c r="L155" s="21" t="s">
        <v>2276</v>
      </c>
      <c r="M155" s="21" t="s">
        <v>2276</v>
      </c>
      <c r="N155" s="21" t="s">
        <v>2276</v>
      </c>
      <c r="O155" s="21" t="s">
        <v>2276</v>
      </c>
      <c r="P155" s="21" t="s">
        <v>2276</v>
      </c>
      <c r="Q155" s="21" t="s">
        <v>2276</v>
      </c>
      <c r="R155" s="21" t="s">
        <v>2276</v>
      </c>
      <c r="S155" s="21" t="s">
        <v>2276</v>
      </c>
      <c r="T155" s="3"/>
    </row>
    <row r="156" spans="1:20" ht="61" customHeight="1">
      <c r="A156" s="24" t="s">
        <v>1747</v>
      </c>
      <c r="B156" s="3" t="s">
        <v>2276</v>
      </c>
      <c r="C156" s="3" t="s">
        <v>12</v>
      </c>
      <c r="D156" s="4" t="s">
        <v>397</v>
      </c>
      <c r="E156" s="4" t="s">
        <v>2276</v>
      </c>
      <c r="F156" s="3" t="s">
        <v>2276</v>
      </c>
      <c r="G156" s="3" t="s">
        <v>2276</v>
      </c>
      <c r="H156" s="21" t="s">
        <v>2276</v>
      </c>
      <c r="I156" s="21" t="s">
        <v>2276</v>
      </c>
      <c r="J156" s="21" t="s">
        <v>2276</v>
      </c>
      <c r="K156" s="21"/>
      <c r="L156" s="21" t="s">
        <v>2276</v>
      </c>
      <c r="M156" s="21" t="s">
        <v>2276</v>
      </c>
      <c r="N156" s="21" t="s">
        <v>2276</v>
      </c>
      <c r="O156" s="21" t="s">
        <v>2276</v>
      </c>
      <c r="P156" s="21" t="s">
        <v>2276</v>
      </c>
      <c r="Q156" s="21" t="s">
        <v>2276</v>
      </c>
      <c r="R156" s="21" t="s">
        <v>2276</v>
      </c>
      <c r="S156" s="21" t="s">
        <v>2276</v>
      </c>
      <c r="T156" s="3"/>
    </row>
    <row r="157" spans="1:20" ht="61" customHeight="1">
      <c r="A157" s="24" t="s">
        <v>1748</v>
      </c>
      <c r="B157" s="3" t="s">
        <v>2276</v>
      </c>
      <c r="C157" s="3" t="s">
        <v>12</v>
      </c>
      <c r="D157" s="4" t="s">
        <v>397</v>
      </c>
      <c r="E157" s="4" t="s">
        <v>2276</v>
      </c>
      <c r="F157" s="3" t="s">
        <v>2276</v>
      </c>
      <c r="G157" s="3" t="s">
        <v>2276</v>
      </c>
      <c r="H157" s="21" t="s">
        <v>2276</v>
      </c>
      <c r="I157" s="21" t="s">
        <v>2276</v>
      </c>
      <c r="J157" s="21" t="s">
        <v>2276</v>
      </c>
      <c r="K157" s="21"/>
      <c r="L157" s="21" t="s">
        <v>2276</v>
      </c>
      <c r="M157" s="21" t="s">
        <v>2276</v>
      </c>
      <c r="N157" s="21" t="s">
        <v>2276</v>
      </c>
      <c r="O157" s="21" t="s">
        <v>2276</v>
      </c>
      <c r="P157" s="21" t="s">
        <v>2276</v>
      </c>
      <c r="Q157" s="21" t="s">
        <v>2276</v>
      </c>
      <c r="R157" s="21" t="s">
        <v>2276</v>
      </c>
      <c r="S157" s="21" t="s">
        <v>2276</v>
      </c>
      <c r="T157" s="3"/>
    </row>
    <row r="158" spans="1:20" ht="61" customHeight="1">
      <c r="A158" s="24" t="s">
        <v>1749</v>
      </c>
      <c r="B158" s="3" t="s">
        <v>2276</v>
      </c>
      <c r="C158" s="3" t="s">
        <v>12</v>
      </c>
      <c r="D158" s="4" t="s">
        <v>397</v>
      </c>
      <c r="E158" s="4" t="s">
        <v>130</v>
      </c>
      <c r="F158" s="3" t="s">
        <v>2276</v>
      </c>
      <c r="G158" s="3" t="s">
        <v>2276</v>
      </c>
      <c r="H158" s="21" t="s">
        <v>2276</v>
      </c>
      <c r="I158" s="21" t="s">
        <v>2276</v>
      </c>
      <c r="J158" s="21" t="s">
        <v>2276</v>
      </c>
      <c r="K158" s="21"/>
      <c r="L158" s="21" t="s">
        <v>2276</v>
      </c>
      <c r="M158" s="21" t="s">
        <v>2276</v>
      </c>
      <c r="N158" s="21" t="s">
        <v>2276</v>
      </c>
      <c r="O158" s="21" t="s">
        <v>2276</v>
      </c>
      <c r="P158" s="21" t="s">
        <v>2276</v>
      </c>
      <c r="Q158" s="21" t="s">
        <v>2276</v>
      </c>
      <c r="R158" s="21" t="s">
        <v>2276</v>
      </c>
      <c r="S158" s="21" t="s">
        <v>2276</v>
      </c>
      <c r="T158" s="3"/>
    </row>
    <row r="159" spans="1:20" ht="61" customHeight="1">
      <c r="A159" s="24" t="s">
        <v>1750</v>
      </c>
      <c r="B159" s="3" t="s">
        <v>2276</v>
      </c>
      <c r="C159" s="3" t="s">
        <v>12</v>
      </c>
      <c r="D159" s="4" t="s">
        <v>397</v>
      </c>
      <c r="E159" s="4" t="s">
        <v>2276</v>
      </c>
      <c r="F159" s="3" t="s">
        <v>2276</v>
      </c>
      <c r="G159" s="3" t="s">
        <v>2276</v>
      </c>
      <c r="H159" s="21" t="s">
        <v>2276</v>
      </c>
      <c r="I159" s="21" t="s">
        <v>2276</v>
      </c>
      <c r="J159" s="21" t="s">
        <v>2276</v>
      </c>
      <c r="K159" s="21"/>
      <c r="L159" s="21" t="s">
        <v>2276</v>
      </c>
      <c r="M159" s="21" t="s">
        <v>2276</v>
      </c>
      <c r="N159" s="21" t="s">
        <v>2276</v>
      </c>
      <c r="O159" s="21" t="s">
        <v>2276</v>
      </c>
      <c r="P159" s="21" t="s">
        <v>2276</v>
      </c>
      <c r="Q159" s="21" t="s">
        <v>2276</v>
      </c>
      <c r="R159" s="21" t="s">
        <v>2276</v>
      </c>
      <c r="S159" s="21" t="s">
        <v>2276</v>
      </c>
      <c r="T159" s="3"/>
    </row>
    <row r="160" spans="1:20" ht="61" customHeight="1">
      <c r="A160" s="24" t="s">
        <v>1751</v>
      </c>
      <c r="B160" s="3" t="s">
        <v>2276</v>
      </c>
      <c r="C160" s="3" t="s">
        <v>12</v>
      </c>
      <c r="D160" s="4" t="s">
        <v>397</v>
      </c>
      <c r="E160" s="4" t="s">
        <v>2276</v>
      </c>
      <c r="F160" s="3" t="s">
        <v>2276</v>
      </c>
      <c r="G160" s="3" t="s">
        <v>2276</v>
      </c>
      <c r="H160" s="21" t="s">
        <v>2276</v>
      </c>
      <c r="I160" s="21" t="s">
        <v>2276</v>
      </c>
      <c r="J160" s="21" t="s">
        <v>2276</v>
      </c>
      <c r="K160" s="21"/>
      <c r="L160" s="21" t="s">
        <v>2276</v>
      </c>
      <c r="M160" s="21" t="s">
        <v>2276</v>
      </c>
      <c r="N160" s="21" t="s">
        <v>2276</v>
      </c>
      <c r="O160" s="21" t="s">
        <v>2276</v>
      </c>
      <c r="P160" s="21" t="s">
        <v>2276</v>
      </c>
      <c r="Q160" s="21" t="s">
        <v>2276</v>
      </c>
      <c r="R160" s="21" t="s">
        <v>2276</v>
      </c>
      <c r="S160" s="21" t="s">
        <v>2276</v>
      </c>
      <c r="T160" s="3"/>
    </row>
    <row r="161" spans="1:20" ht="61" customHeight="1">
      <c r="A161" s="24" t="s">
        <v>1752</v>
      </c>
      <c r="B161" s="3" t="s">
        <v>2276</v>
      </c>
      <c r="C161" s="3" t="s">
        <v>12</v>
      </c>
      <c r="D161" s="4" t="s">
        <v>397</v>
      </c>
      <c r="E161" s="4" t="s">
        <v>130</v>
      </c>
      <c r="F161" s="3" t="s">
        <v>2276</v>
      </c>
      <c r="G161" s="3" t="s">
        <v>2276</v>
      </c>
      <c r="H161" s="21" t="s">
        <v>2276</v>
      </c>
      <c r="I161" s="21" t="s">
        <v>2276</v>
      </c>
      <c r="J161" s="21" t="s">
        <v>2276</v>
      </c>
      <c r="K161" s="21"/>
      <c r="L161" s="21" t="s">
        <v>2276</v>
      </c>
      <c r="M161" s="21" t="s">
        <v>2276</v>
      </c>
      <c r="N161" s="21" t="s">
        <v>2276</v>
      </c>
      <c r="O161" s="21" t="s">
        <v>2276</v>
      </c>
      <c r="P161" s="21" t="s">
        <v>2276</v>
      </c>
      <c r="Q161" s="21" t="s">
        <v>2276</v>
      </c>
      <c r="R161" s="21" t="s">
        <v>2276</v>
      </c>
      <c r="S161" s="21" t="s">
        <v>2276</v>
      </c>
      <c r="T161" s="3"/>
    </row>
    <row r="162" spans="1:20" ht="61" customHeight="1">
      <c r="A162" s="24" t="s">
        <v>1753</v>
      </c>
      <c r="B162" s="3" t="s">
        <v>2276</v>
      </c>
      <c r="C162" s="3" t="s">
        <v>395</v>
      </c>
      <c r="D162" s="4" t="s">
        <v>130</v>
      </c>
      <c r="E162" s="4" t="s">
        <v>2276</v>
      </c>
      <c r="F162" s="3" t="s">
        <v>2276</v>
      </c>
      <c r="G162" s="3" t="s">
        <v>2276</v>
      </c>
      <c r="H162" s="21" t="s">
        <v>2276</v>
      </c>
      <c r="I162" s="21" t="s">
        <v>2276</v>
      </c>
      <c r="J162" s="21" t="s">
        <v>2276</v>
      </c>
      <c r="K162" s="21"/>
      <c r="L162" s="21" t="s">
        <v>2276</v>
      </c>
      <c r="M162" s="21" t="s">
        <v>2276</v>
      </c>
      <c r="N162" s="21" t="s">
        <v>2276</v>
      </c>
      <c r="O162" s="21" t="s">
        <v>2276</v>
      </c>
      <c r="P162" s="21" t="s">
        <v>2276</v>
      </c>
      <c r="Q162" s="21" t="s">
        <v>2276</v>
      </c>
      <c r="R162" s="21" t="s">
        <v>2276</v>
      </c>
      <c r="S162" s="21" t="s">
        <v>2276</v>
      </c>
      <c r="T162" s="3"/>
    </row>
    <row r="163" spans="1:20" ht="61" customHeight="1">
      <c r="A163" s="24" t="s">
        <v>1754</v>
      </c>
      <c r="B163" s="3" t="s">
        <v>2276</v>
      </c>
      <c r="C163" s="3" t="s">
        <v>12</v>
      </c>
      <c r="D163" s="4" t="s">
        <v>397</v>
      </c>
      <c r="E163" s="4" t="s">
        <v>2276</v>
      </c>
      <c r="F163" s="3" t="s">
        <v>2276</v>
      </c>
      <c r="G163" s="3" t="s">
        <v>2276</v>
      </c>
      <c r="H163" s="21" t="s">
        <v>2276</v>
      </c>
      <c r="I163" s="21" t="s">
        <v>2276</v>
      </c>
      <c r="J163" s="21" t="s">
        <v>2276</v>
      </c>
      <c r="K163" s="21"/>
      <c r="L163" s="21" t="s">
        <v>2276</v>
      </c>
      <c r="M163" s="21" t="s">
        <v>2276</v>
      </c>
      <c r="N163" s="21" t="s">
        <v>2276</v>
      </c>
      <c r="O163" s="21" t="s">
        <v>2276</v>
      </c>
      <c r="P163" s="21" t="s">
        <v>2276</v>
      </c>
      <c r="Q163" s="21" t="s">
        <v>2276</v>
      </c>
      <c r="R163" s="21" t="s">
        <v>2276</v>
      </c>
      <c r="S163" s="21" t="s">
        <v>2276</v>
      </c>
      <c r="T163" s="3"/>
    </row>
    <row r="164" spans="1:20" ht="61" customHeight="1">
      <c r="A164" s="24" t="s">
        <v>1755</v>
      </c>
      <c r="B164" s="3" t="s">
        <v>2276</v>
      </c>
      <c r="C164" s="3" t="s">
        <v>395</v>
      </c>
      <c r="D164" s="4" t="s">
        <v>130</v>
      </c>
      <c r="E164" s="4" t="s">
        <v>2276</v>
      </c>
      <c r="F164" s="3" t="s">
        <v>2276</v>
      </c>
      <c r="G164" s="3" t="s">
        <v>2276</v>
      </c>
      <c r="H164" s="21" t="s">
        <v>2276</v>
      </c>
      <c r="I164" s="21" t="s">
        <v>2276</v>
      </c>
      <c r="J164" s="21" t="s">
        <v>2276</v>
      </c>
      <c r="K164" s="21"/>
      <c r="L164" s="21" t="s">
        <v>2276</v>
      </c>
      <c r="M164" s="21" t="s">
        <v>2276</v>
      </c>
      <c r="N164" s="21" t="s">
        <v>2276</v>
      </c>
      <c r="O164" s="21" t="s">
        <v>2276</v>
      </c>
      <c r="P164" s="21" t="s">
        <v>2276</v>
      </c>
      <c r="Q164" s="21" t="s">
        <v>2276</v>
      </c>
      <c r="R164" s="21" t="s">
        <v>2276</v>
      </c>
      <c r="S164" s="21" t="s">
        <v>2276</v>
      </c>
      <c r="T164" s="3"/>
    </row>
    <row r="165" spans="1:20" ht="61" customHeight="1">
      <c r="A165" s="24" t="s">
        <v>1756</v>
      </c>
      <c r="B165" s="3" t="s">
        <v>2276</v>
      </c>
      <c r="C165" s="3" t="s">
        <v>395</v>
      </c>
      <c r="D165" s="4" t="s">
        <v>130</v>
      </c>
      <c r="E165" s="4" t="s">
        <v>2276</v>
      </c>
      <c r="F165" s="3" t="s">
        <v>2276</v>
      </c>
      <c r="G165" s="3" t="s">
        <v>2276</v>
      </c>
      <c r="H165" s="21" t="s">
        <v>2276</v>
      </c>
      <c r="I165" s="21" t="s">
        <v>2276</v>
      </c>
      <c r="J165" s="21" t="s">
        <v>2276</v>
      </c>
      <c r="K165" s="21"/>
      <c r="L165" s="21" t="s">
        <v>2276</v>
      </c>
      <c r="M165" s="21" t="s">
        <v>2276</v>
      </c>
      <c r="N165" s="21" t="s">
        <v>2276</v>
      </c>
      <c r="O165" s="21" t="s">
        <v>2276</v>
      </c>
      <c r="P165" s="21" t="s">
        <v>2276</v>
      </c>
      <c r="Q165" s="21" t="s">
        <v>2276</v>
      </c>
      <c r="R165" s="21" t="s">
        <v>2276</v>
      </c>
      <c r="S165" s="21" t="s">
        <v>2276</v>
      </c>
      <c r="T165" s="3"/>
    </row>
    <row r="166" spans="1:20" ht="61" customHeight="1">
      <c r="A166" s="24" t="s">
        <v>1757</v>
      </c>
      <c r="B166" s="3" t="s">
        <v>2276</v>
      </c>
      <c r="C166" s="3" t="s">
        <v>12</v>
      </c>
      <c r="D166" s="4" t="s">
        <v>397</v>
      </c>
      <c r="E166" s="4" t="s">
        <v>130</v>
      </c>
      <c r="F166" s="3" t="s">
        <v>2276</v>
      </c>
      <c r="G166" s="3" t="s">
        <v>2276</v>
      </c>
      <c r="H166" s="21" t="s">
        <v>2276</v>
      </c>
      <c r="I166" s="21" t="s">
        <v>2276</v>
      </c>
      <c r="J166" s="21" t="s">
        <v>2276</v>
      </c>
      <c r="K166" s="21"/>
      <c r="L166" s="21" t="s">
        <v>2276</v>
      </c>
      <c r="M166" s="21" t="s">
        <v>2276</v>
      </c>
      <c r="N166" s="21" t="s">
        <v>2276</v>
      </c>
      <c r="O166" s="21" t="s">
        <v>2276</v>
      </c>
      <c r="P166" s="21" t="s">
        <v>2276</v>
      </c>
      <c r="Q166" s="21" t="s">
        <v>2276</v>
      </c>
      <c r="R166" s="21" t="s">
        <v>2276</v>
      </c>
      <c r="S166" s="21" t="s">
        <v>2276</v>
      </c>
      <c r="T166" s="3"/>
    </row>
    <row r="167" spans="1:20" ht="61" customHeight="1">
      <c r="A167" s="24" t="s">
        <v>1758</v>
      </c>
      <c r="B167" s="3" t="s">
        <v>2276</v>
      </c>
      <c r="C167" s="3" t="s">
        <v>12</v>
      </c>
      <c r="D167" s="4" t="s">
        <v>397</v>
      </c>
      <c r="E167" s="4" t="s">
        <v>130</v>
      </c>
      <c r="F167" s="3" t="s">
        <v>2276</v>
      </c>
      <c r="G167" s="3" t="s">
        <v>2276</v>
      </c>
      <c r="H167" s="21" t="s">
        <v>2276</v>
      </c>
      <c r="I167" s="21" t="s">
        <v>2276</v>
      </c>
      <c r="J167" s="21" t="s">
        <v>2276</v>
      </c>
      <c r="K167" s="21"/>
      <c r="L167" s="21" t="s">
        <v>2276</v>
      </c>
      <c r="M167" s="21" t="s">
        <v>2276</v>
      </c>
      <c r="N167" s="21" t="s">
        <v>2276</v>
      </c>
      <c r="O167" s="21" t="s">
        <v>2276</v>
      </c>
      <c r="P167" s="21" t="s">
        <v>2276</v>
      </c>
      <c r="Q167" s="21" t="s">
        <v>2276</v>
      </c>
      <c r="R167" s="21" t="s">
        <v>2276</v>
      </c>
      <c r="S167" s="21" t="s">
        <v>2276</v>
      </c>
      <c r="T167" s="3"/>
    </row>
    <row r="168" spans="1:20" ht="61" customHeight="1">
      <c r="A168" s="24" t="s">
        <v>1759</v>
      </c>
      <c r="B168" s="3" t="s">
        <v>2276</v>
      </c>
      <c r="C168" s="3" t="s">
        <v>395</v>
      </c>
      <c r="D168" s="4" t="s">
        <v>130</v>
      </c>
      <c r="E168" s="4" t="s">
        <v>2276</v>
      </c>
      <c r="F168" s="3" t="s">
        <v>2276</v>
      </c>
      <c r="G168" s="3" t="s">
        <v>2276</v>
      </c>
      <c r="H168" s="21" t="s">
        <v>2276</v>
      </c>
      <c r="I168" s="21" t="s">
        <v>2276</v>
      </c>
      <c r="J168" s="21" t="s">
        <v>2276</v>
      </c>
      <c r="K168" s="21"/>
      <c r="L168" s="21" t="s">
        <v>2276</v>
      </c>
      <c r="M168" s="21" t="s">
        <v>2276</v>
      </c>
      <c r="N168" s="21" t="s">
        <v>2276</v>
      </c>
      <c r="O168" s="21" t="s">
        <v>2276</v>
      </c>
      <c r="P168" s="21" t="s">
        <v>2276</v>
      </c>
      <c r="Q168" s="21" t="s">
        <v>2276</v>
      </c>
      <c r="R168" s="21" t="s">
        <v>2276</v>
      </c>
      <c r="S168" s="21" t="s">
        <v>2276</v>
      </c>
      <c r="T168" s="3"/>
    </row>
    <row r="169" spans="1:20" ht="61" customHeight="1">
      <c r="A169" s="24" t="s">
        <v>1760</v>
      </c>
      <c r="B169" s="3" t="s">
        <v>2276</v>
      </c>
      <c r="C169" s="3" t="s">
        <v>12</v>
      </c>
      <c r="D169" s="4" t="s">
        <v>397</v>
      </c>
      <c r="E169" s="4" t="s">
        <v>130</v>
      </c>
      <c r="F169" s="3" t="s">
        <v>2276</v>
      </c>
      <c r="G169" s="3" t="s">
        <v>2276</v>
      </c>
      <c r="H169" s="21" t="s">
        <v>2276</v>
      </c>
      <c r="I169" s="21" t="s">
        <v>2276</v>
      </c>
      <c r="J169" s="21" t="s">
        <v>2276</v>
      </c>
      <c r="K169" s="21"/>
      <c r="L169" s="21" t="s">
        <v>2276</v>
      </c>
      <c r="M169" s="21" t="s">
        <v>2276</v>
      </c>
      <c r="N169" s="21" t="s">
        <v>2276</v>
      </c>
      <c r="O169" s="21" t="s">
        <v>2276</v>
      </c>
      <c r="P169" s="21" t="s">
        <v>2276</v>
      </c>
      <c r="Q169" s="21" t="s">
        <v>2276</v>
      </c>
      <c r="R169" s="21" t="s">
        <v>2276</v>
      </c>
      <c r="S169" s="21" t="s">
        <v>2276</v>
      </c>
      <c r="T169" s="3"/>
    </row>
    <row r="170" spans="1:20" ht="61" customHeight="1">
      <c r="A170" s="24" t="s">
        <v>1761</v>
      </c>
      <c r="B170" s="3" t="s">
        <v>2276</v>
      </c>
      <c r="C170" s="3" t="s">
        <v>12</v>
      </c>
      <c r="D170" s="4" t="s">
        <v>397</v>
      </c>
      <c r="E170" s="4" t="s">
        <v>130</v>
      </c>
      <c r="F170" s="3" t="s">
        <v>2276</v>
      </c>
      <c r="G170" s="3" t="s">
        <v>2276</v>
      </c>
      <c r="H170" s="21" t="s">
        <v>2276</v>
      </c>
      <c r="I170" s="21" t="s">
        <v>2276</v>
      </c>
      <c r="J170" s="21" t="s">
        <v>2276</v>
      </c>
      <c r="K170" s="21"/>
      <c r="L170" s="21" t="s">
        <v>2276</v>
      </c>
      <c r="M170" s="21" t="s">
        <v>2276</v>
      </c>
      <c r="N170" s="21" t="s">
        <v>2276</v>
      </c>
      <c r="O170" s="21" t="s">
        <v>2276</v>
      </c>
      <c r="P170" s="21" t="s">
        <v>2276</v>
      </c>
      <c r="Q170" s="21" t="s">
        <v>2276</v>
      </c>
      <c r="R170" s="21" t="s">
        <v>2276</v>
      </c>
      <c r="S170" s="21" t="s">
        <v>2276</v>
      </c>
      <c r="T170" s="3"/>
    </row>
    <row r="171" spans="1:20" ht="61" customHeight="1">
      <c r="A171" s="24" t="s">
        <v>1762</v>
      </c>
      <c r="B171" s="3" t="s">
        <v>2276</v>
      </c>
      <c r="C171" s="3" t="s">
        <v>12</v>
      </c>
      <c r="D171" s="4" t="s">
        <v>397</v>
      </c>
      <c r="E171" s="4" t="s">
        <v>130</v>
      </c>
      <c r="F171" s="3" t="s">
        <v>2276</v>
      </c>
      <c r="G171" s="3" t="s">
        <v>2276</v>
      </c>
      <c r="H171" s="21" t="s">
        <v>2276</v>
      </c>
      <c r="I171" s="21" t="s">
        <v>2276</v>
      </c>
      <c r="J171" s="21" t="s">
        <v>2276</v>
      </c>
      <c r="K171" s="21"/>
      <c r="L171" s="21" t="s">
        <v>2276</v>
      </c>
      <c r="M171" s="21" t="s">
        <v>2276</v>
      </c>
      <c r="N171" s="21" t="s">
        <v>2276</v>
      </c>
      <c r="O171" s="21" t="s">
        <v>2276</v>
      </c>
      <c r="P171" s="21" t="s">
        <v>2276</v>
      </c>
      <c r="Q171" s="21" t="s">
        <v>2276</v>
      </c>
      <c r="R171" s="21" t="s">
        <v>2276</v>
      </c>
      <c r="S171" s="21" t="s">
        <v>2276</v>
      </c>
      <c r="T171" s="3"/>
    </row>
    <row r="172" spans="1:20" ht="61" customHeight="1">
      <c r="A172" s="24" t="s">
        <v>1763</v>
      </c>
      <c r="B172" s="3" t="s">
        <v>2276</v>
      </c>
      <c r="C172" s="3" t="s">
        <v>12</v>
      </c>
      <c r="D172" s="4" t="s">
        <v>397</v>
      </c>
      <c r="E172" s="4" t="s">
        <v>130</v>
      </c>
      <c r="F172" s="3" t="s">
        <v>2276</v>
      </c>
      <c r="G172" s="3" t="s">
        <v>2276</v>
      </c>
      <c r="H172" s="21" t="s">
        <v>2276</v>
      </c>
      <c r="I172" s="21" t="s">
        <v>2276</v>
      </c>
      <c r="J172" s="21" t="s">
        <v>2276</v>
      </c>
      <c r="K172" s="21"/>
      <c r="L172" s="21" t="s">
        <v>2276</v>
      </c>
      <c r="M172" s="21" t="s">
        <v>2276</v>
      </c>
      <c r="N172" s="21" t="s">
        <v>2276</v>
      </c>
      <c r="O172" s="21" t="s">
        <v>2276</v>
      </c>
      <c r="P172" s="21" t="s">
        <v>2276</v>
      </c>
      <c r="Q172" s="21" t="s">
        <v>2276</v>
      </c>
      <c r="R172" s="21" t="s">
        <v>2276</v>
      </c>
      <c r="S172" s="21" t="s">
        <v>2276</v>
      </c>
      <c r="T172" s="3"/>
    </row>
    <row r="173" spans="1:20" ht="61" customHeight="1">
      <c r="A173" s="24" t="s">
        <v>1764</v>
      </c>
      <c r="B173" s="3" t="s">
        <v>2276</v>
      </c>
      <c r="C173" s="3" t="s">
        <v>395</v>
      </c>
      <c r="D173" s="4" t="s">
        <v>130</v>
      </c>
      <c r="E173" s="4" t="s">
        <v>2276</v>
      </c>
      <c r="F173" s="3" t="s">
        <v>2276</v>
      </c>
      <c r="G173" s="3" t="s">
        <v>2276</v>
      </c>
      <c r="H173" s="21" t="s">
        <v>2276</v>
      </c>
      <c r="I173" s="21" t="s">
        <v>2276</v>
      </c>
      <c r="J173" s="21" t="s">
        <v>2276</v>
      </c>
      <c r="K173" s="21"/>
      <c r="L173" s="21" t="s">
        <v>2276</v>
      </c>
      <c r="M173" s="21" t="s">
        <v>2276</v>
      </c>
      <c r="N173" s="21" t="s">
        <v>2276</v>
      </c>
      <c r="O173" s="21" t="s">
        <v>2276</v>
      </c>
      <c r="P173" s="21" t="s">
        <v>2276</v>
      </c>
      <c r="Q173" s="21" t="s">
        <v>2276</v>
      </c>
      <c r="R173" s="21" t="s">
        <v>2276</v>
      </c>
      <c r="S173" s="21" t="s">
        <v>2276</v>
      </c>
      <c r="T173" s="3"/>
    </row>
    <row r="174" spans="1:20" ht="61" customHeight="1">
      <c r="A174" s="24" t="s">
        <v>1765</v>
      </c>
      <c r="B174" s="3" t="s">
        <v>2276</v>
      </c>
      <c r="C174" s="3" t="s">
        <v>12</v>
      </c>
      <c r="D174" s="4" t="s">
        <v>397</v>
      </c>
      <c r="E174" s="4" t="s">
        <v>130</v>
      </c>
      <c r="F174" s="3" t="s">
        <v>2276</v>
      </c>
      <c r="G174" s="3" t="s">
        <v>2276</v>
      </c>
      <c r="H174" s="21" t="s">
        <v>2276</v>
      </c>
      <c r="I174" s="21" t="s">
        <v>2276</v>
      </c>
      <c r="J174" s="21" t="s">
        <v>2276</v>
      </c>
      <c r="K174" s="21"/>
      <c r="L174" s="21" t="s">
        <v>2276</v>
      </c>
      <c r="M174" s="21" t="s">
        <v>2276</v>
      </c>
      <c r="N174" s="21" t="s">
        <v>2276</v>
      </c>
      <c r="O174" s="21" t="s">
        <v>2276</v>
      </c>
      <c r="P174" s="21" t="s">
        <v>2276</v>
      </c>
      <c r="Q174" s="21" t="s">
        <v>2276</v>
      </c>
      <c r="R174" s="21" t="s">
        <v>2276</v>
      </c>
      <c r="S174" s="21" t="s">
        <v>2276</v>
      </c>
      <c r="T174" s="3"/>
    </row>
    <row r="175" spans="1:20" ht="61" customHeight="1">
      <c r="A175" s="24" t="s">
        <v>1766</v>
      </c>
      <c r="B175" s="3" t="s">
        <v>2276</v>
      </c>
      <c r="C175" s="3" t="s">
        <v>395</v>
      </c>
      <c r="D175" s="4" t="s">
        <v>130</v>
      </c>
      <c r="E175" s="4" t="s">
        <v>2276</v>
      </c>
      <c r="F175" s="3" t="s">
        <v>2276</v>
      </c>
      <c r="G175" s="3" t="s">
        <v>2276</v>
      </c>
      <c r="H175" s="21" t="s">
        <v>2276</v>
      </c>
      <c r="I175" s="21" t="s">
        <v>2276</v>
      </c>
      <c r="J175" s="21" t="s">
        <v>2276</v>
      </c>
      <c r="K175" s="21"/>
      <c r="L175" s="21" t="s">
        <v>2276</v>
      </c>
      <c r="M175" s="21" t="s">
        <v>2276</v>
      </c>
      <c r="N175" s="21" t="s">
        <v>2276</v>
      </c>
      <c r="O175" s="21" t="s">
        <v>2276</v>
      </c>
      <c r="P175" s="21" t="s">
        <v>2276</v>
      </c>
      <c r="Q175" s="21" t="s">
        <v>2276</v>
      </c>
      <c r="R175" s="21" t="s">
        <v>2276</v>
      </c>
      <c r="S175" s="21" t="s">
        <v>2276</v>
      </c>
      <c r="T175" s="3"/>
    </row>
    <row r="176" spans="1:20" ht="61" customHeight="1">
      <c r="A176" s="24" t="s">
        <v>1767</v>
      </c>
      <c r="B176" s="3" t="s">
        <v>2276</v>
      </c>
      <c r="C176" s="3" t="s">
        <v>12</v>
      </c>
      <c r="D176" s="4" t="s">
        <v>397</v>
      </c>
      <c r="E176" s="4" t="s">
        <v>2276</v>
      </c>
      <c r="F176" s="3" t="s">
        <v>2276</v>
      </c>
      <c r="G176" s="3" t="s">
        <v>2276</v>
      </c>
      <c r="H176" s="21" t="s">
        <v>2276</v>
      </c>
      <c r="I176" s="21" t="s">
        <v>2276</v>
      </c>
      <c r="J176" s="21" t="s">
        <v>2276</v>
      </c>
      <c r="K176" s="21"/>
      <c r="L176" s="21" t="s">
        <v>2276</v>
      </c>
      <c r="M176" s="21" t="s">
        <v>2276</v>
      </c>
      <c r="N176" s="21" t="s">
        <v>2276</v>
      </c>
      <c r="O176" s="21" t="s">
        <v>2276</v>
      </c>
      <c r="P176" s="21" t="s">
        <v>2276</v>
      </c>
      <c r="Q176" s="21" t="s">
        <v>2276</v>
      </c>
      <c r="R176" s="21" t="s">
        <v>2276</v>
      </c>
      <c r="S176" s="21" t="s">
        <v>2276</v>
      </c>
      <c r="T176" s="3"/>
    </row>
    <row r="177" spans="1:20" ht="61" customHeight="1">
      <c r="A177" s="24" t="s">
        <v>1768</v>
      </c>
      <c r="B177" s="3" t="s">
        <v>2276</v>
      </c>
      <c r="C177" s="3" t="s">
        <v>12</v>
      </c>
      <c r="D177" s="4" t="s">
        <v>397</v>
      </c>
      <c r="E177" s="4" t="s">
        <v>2276</v>
      </c>
      <c r="F177" s="3" t="s">
        <v>2276</v>
      </c>
      <c r="G177" s="3" t="s">
        <v>2276</v>
      </c>
      <c r="H177" s="21" t="s">
        <v>2276</v>
      </c>
      <c r="I177" s="21" t="s">
        <v>2276</v>
      </c>
      <c r="J177" s="21" t="s">
        <v>2276</v>
      </c>
      <c r="K177" s="21"/>
      <c r="L177" s="21" t="s">
        <v>2276</v>
      </c>
      <c r="M177" s="21" t="s">
        <v>2276</v>
      </c>
      <c r="N177" s="21" t="s">
        <v>2276</v>
      </c>
      <c r="O177" s="21" t="s">
        <v>2276</v>
      </c>
      <c r="P177" s="21" t="s">
        <v>2276</v>
      </c>
      <c r="Q177" s="21" t="s">
        <v>2276</v>
      </c>
      <c r="R177" s="21" t="s">
        <v>2276</v>
      </c>
      <c r="S177" s="21" t="s">
        <v>2276</v>
      </c>
      <c r="T177" s="3"/>
    </row>
    <row r="178" spans="1:20" ht="61" customHeight="1">
      <c r="A178" s="24" t="s">
        <v>1769</v>
      </c>
      <c r="B178" s="3" t="s">
        <v>2276</v>
      </c>
      <c r="C178" s="3" t="s">
        <v>12</v>
      </c>
      <c r="D178" s="4" t="s">
        <v>397</v>
      </c>
      <c r="E178" s="4" t="s">
        <v>130</v>
      </c>
      <c r="F178" s="3" t="s">
        <v>2276</v>
      </c>
      <c r="G178" s="3" t="s">
        <v>2276</v>
      </c>
      <c r="H178" s="21" t="s">
        <v>2276</v>
      </c>
      <c r="I178" s="21" t="s">
        <v>2276</v>
      </c>
      <c r="J178" s="21" t="s">
        <v>2276</v>
      </c>
      <c r="K178" s="21"/>
      <c r="L178" s="21" t="s">
        <v>2276</v>
      </c>
      <c r="M178" s="21" t="s">
        <v>2276</v>
      </c>
      <c r="N178" s="21" t="s">
        <v>2276</v>
      </c>
      <c r="O178" s="21" t="s">
        <v>2276</v>
      </c>
      <c r="P178" s="21" t="s">
        <v>2276</v>
      </c>
      <c r="Q178" s="21" t="s">
        <v>2276</v>
      </c>
      <c r="R178" s="21" t="s">
        <v>2276</v>
      </c>
      <c r="S178" s="21" t="s">
        <v>2276</v>
      </c>
      <c r="T178" s="3"/>
    </row>
    <row r="179" spans="1:20" ht="61" customHeight="1">
      <c r="A179" s="24" t="s">
        <v>1770</v>
      </c>
      <c r="B179" s="3" t="s">
        <v>2276</v>
      </c>
      <c r="C179" s="3" t="s">
        <v>12</v>
      </c>
      <c r="D179" s="4" t="s">
        <v>397</v>
      </c>
      <c r="E179" s="4" t="s">
        <v>130</v>
      </c>
      <c r="F179" s="3" t="s">
        <v>2276</v>
      </c>
      <c r="G179" s="3" t="s">
        <v>2276</v>
      </c>
      <c r="H179" s="21" t="s">
        <v>2276</v>
      </c>
      <c r="I179" s="21" t="s">
        <v>2276</v>
      </c>
      <c r="J179" s="21" t="s">
        <v>2276</v>
      </c>
      <c r="K179" s="21"/>
      <c r="L179" s="21" t="s">
        <v>2276</v>
      </c>
      <c r="M179" s="21" t="s">
        <v>2276</v>
      </c>
      <c r="N179" s="21" t="s">
        <v>2276</v>
      </c>
      <c r="O179" s="21" t="s">
        <v>2276</v>
      </c>
      <c r="P179" s="21" t="s">
        <v>2276</v>
      </c>
      <c r="Q179" s="21" t="s">
        <v>2276</v>
      </c>
      <c r="R179" s="21" t="s">
        <v>2276</v>
      </c>
      <c r="S179" s="21" t="s">
        <v>2276</v>
      </c>
      <c r="T179" s="3"/>
    </row>
    <row r="180" spans="1:20" ht="61" customHeight="1">
      <c r="A180" s="24" t="s">
        <v>1771</v>
      </c>
      <c r="B180" s="3" t="s">
        <v>2276</v>
      </c>
      <c r="C180" s="3" t="s">
        <v>395</v>
      </c>
      <c r="D180" s="4" t="s">
        <v>130</v>
      </c>
      <c r="E180" s="4" t="s">
        <v>2276</v>
      </c>
      <c r="F180" s="3" t="s">
        <v>2276</v>
      </c>
      <c r="G180" s="3" t="s">
        <v>2276</v>
      </c>
      <c r="H180" s="21" t="s">
        <v>2276</v>
      </c>
      <c r="I180" s="21" t="s">
        <v>2276</v>
      </c>
      <c r="J180" s="21" t="s">
        <v>2276</v>
      </c>
      <c r="K180" s="21"/>
      <c r="L180" s="21" t="s">
        <v>2276</v>
      </c>
      <c r="M180" s="21" t="s">
        <v>2276</v>
      </c>
      <c r="N180" s="21" t="s">
        <v>2276</v>
      </c>
      <c r="O180" s="21" t="s">
        <v>2276</v>
      </c>
      <c r="P180" s="21" t="s">
        <v>2276</v>
      </c>
      <c r="Q180" s="21" t="s">
        <v>2276</v>
      </c>
      <c r="R180" s="21" t="s">
        <v>2276</v>
      </c>
      <c r="S180" s="21" t="s">
        <v>2276</v>
      </c>
      <c r="T180" s="3"/>
    </row>
    <row r="181" spans="1:20" ht="61" customHeight="1">
      <c r="A181" s="24" t="s">
        <v>1772</v>
      </c>
      <c r="B181" s="3" t="s">
        <v>2276</v>
      </c>
      <c r="C181" s="3" t="s">
        <v>395</v>
      </c>
      <c r="D181" s="4" t="s">
        <v>130</v>
      </c>
      <c r="E181" s="4" t="s">
        <v>2276</v>
      </c>
      <c r="F181" s="3" t="s">
        <v>2276</v>
      </c>
      <c r="G181" s="3" t="s">
        <v>2276</v>
      </c>
      <c r="H181" s="21" t="s">
        <v>2276</v>
      </c>
      <c r="I181" s="21" t="s">
        <v>2276</v>
      </c>
      <c r="J181" s="21" t="s">
        <v>2276</v>
      </c>
      <c r="K181" s="21"/>
      <c r="L181" s="21" t="s">
        <v>2276</v>
      </c>
      <c r="M181" s="21" t="s">
        <v>2276</v>
      </c>
      <c r="N181" s="21" t="s">
        <v>2276</v>
      </c>
      <c r="O181" s="21" t="s">
        <v>2276</v>
      </c>
      <c r="P181" s="21" t="s">
        <v>2276</v>
      </c>
      <c r="Q181" s="21" t="s">
        <v>2276</v>
      </c>
      <c r="R181" s="21" t="s">
        <v>2276</v>
      </c>
      <c r="S181" s="21" t="s">
        <v>2276</v>
      </c>
      <c r="T181" s="3"/>
    </row>
    <row r="182" spans="1:20" ht="61" customHeight="1">
      <c r="A182" s="24" t="s">
        <v>1773</v>
      </c>
      <c r="B182" s="3" t="s">
        <v>2276</v>
      </c>
      <c r="C182" s="3" t="s">
        <v>12</v>
      </c>
      <c r="D182" s="4" t="s">
        <v>397</v>
      </c>
      <c r="E182" s="4" t="s">
        <v>2276</v>
      </c>
      <c r="F182" s="3" t="s">
        <v>2276</v>
      </c>
      <c r="G182" s="3" t="s">
        <v>2276</v>
      </c>
      <c r="H182" s="21" t="s">
        <v>2276</v>
      </c>
      <c r="I182" s="21" t="s">
        <v>2276</v>
      </c>
      <c r="J182" s="21" t="s">
        <v>2276</v>
      </c>
      <c r="K182" s="21"/>
      <c r="L182" s="21" t="s">
        <v>2276</v>
      </c>
      <c r="M182" s="21" t="s">
        <v>2276</v>
      </c>
      <c r="N182" s="21" t="s">
        <v>2276</v>
      </c>
      <c r="O182" s="21" t="s">
        <v>2276</v>
      </c>
      <c r="P182" s="21" t="s">
        <v>2276</v>
      </c>
      <c r="Q182" s="21" t="s">
        <v>2276</v>
      </c>
      <c r="R182" s="21" t="s">
        <v>2276</v>
      </c>
      <c r="S182" s="21" t="s">
        <v>2276</v>
      </c>
      <c r="T182" s="3"/>
    </row>
    <row r="183" spans="1:20" ht="61" customHeight="1">
      <c r="A183" s="24" t="s">
        <v>1774</v>
      </c>
      <c r="B183" s="3" t="s">
        <v>2276</v>
      </c>
      <c r="C183" s="3" t="s">
        <v>12</v>
      </c>
      <c r="D183" s="4" t="s">
        <v>397</v>
      </c>
      <c r="E183" s="4" t="s">
        <v>2276</v>
      </c>
      <c r="F183" s="3" t="s">
        <v>2276</v>
      </c>
      <c r="G183" s="3" t="s">
        <v>2276</v>
      </c>
      <c r="H183" s="21" t="s">
        <v>2276</v>
      </c>
      <c r="I183" s="21" t="s">
        <v>2276</v>
      </c>
      <c r="J183" s="21" t="s">
        <v>2276</v>
      </c>
      <c r="K183" s="21"/>
      <c r="L183" s="21" t="s">
        <v>2276</v>
      </c>
      <c r="M183" s="21" t="s">
        <v>2276</v>
      </c>
      <c r="N183" s="21" t="s">
        <v>2276</v>
      </c>
      <c r="O183" s="21" t="s">
        <v>2276</v>
      </c>
      <c r="P183" s="21" t="s">
        <v>2276</v>
      </c>
      <c r="Q183" s="21" t="s">
        <v>2276</v>
      </c>
      <c r="R183" s="21" t="s">
        <v>2276</v>
      </c>
      <c r="S183" s="21" t="s">
        <v>2276</v>
      </c>
      <c r="T183" s="3"/>
    </row>
    <row r="184" spans="1:20" ht="58.5" customHeight="1">
      <c r="A184" s="11" t="s">
        <v>555</v>
      </c>
      <c r="B184" s="19" t="s">
        <v>70</v>
      </c>
      <c r="C184" s="11" t="s">
        <v>12</v>
      </c>
      <c r="D184" s="19" t="s">
        <v>130</v>
      </c>
      <c r="E184" s="4" t="s">
        <v>396</v>
      </c>
      <c r="F184" s="3" t="s">
        <v>45</v>
      </c>
      <c r="G184" s="3" t="s">
        <v>2276</v>
      </c>
      <c r="H184" s="21">
        <v>1.53</v>
      </c>
      <c r="I184" s="21">
        <v>78.5</v>
      </c>
      <c r="J184" s="21">
        <v>1.25</v>
      </c>
      <c r="K184" s="21" t="s">
        <v>534</v>
      </c>
      <c r="L184" s="21" t="s">
        <v>2276</v>
      </c>
      <c r="M184" s="21" t="s">
        <v>2276</v>
      </c>
      <c r="N184" s="21" t="s">
        <v>2276</v>
      </c>
      <c r="O184" s="21">
        <v>27</v>
      </c>
      <c r="P184" s="21">
        <v>11</v>
      </c>
      <c r="Q184" s="21">
        <v>7</v>
      </c>
      <c r="R184" s="21">
        <v>55</v>
      </c>
      <c r="S184" s="21">
        <v>0.57903879999999996</v>
      </c>
      <c r="T184" s="4" t="s">
        <v>1868</v>
      </c>
    </row>
    <row r="185" spans="1:20" ht="58.5" customHeight="1">
      <c r="A185" s="11" t="s">
        <v>556</v>
      </c>
      <c r="B185" s="19" t="s">
        <v>70</v>
      </c>
      <c r="C185" s="11" t="s">
        <v>12</v>
      </c>
      <c r="D185" s="19" t="s">
        <v>130</v>
      </c>
      <c r="E185" s="4" t="s">
        <v>396</v>
      </c>
      <c r="F185" s="3" t="s">
        <v>45</v>
      </c>
      <c r="G185" s="3" t="s">
        <v>2276</v>
      </c>
      <c r="H185" s="21">
        <v>1.56</v>
      </c>
      <c r="I185" s="21">
        <v>78.5</v>
      </c>
      <c r="J185" s="21">
        <v>1.25</v>
      </c>
      <c r="K185" s="21" t="s">
        <v>534</v>
      </c>
      <c r="L185" s="21" t="s">
        <v>2276</v>
      </c>
      <c r="M185" s="21" t="s">
        <v>2276</v>
      </c>
      <c r="N185" s="21" t="s">
        <v>2276</v>
      </c>
      <c r="O185" s="21">
        <v>27</v>
      </c>
      <c r="P185" s="21">
        <v>11</v>
      </c>
      <c r="Q185" s="21">
        <v>7</v>
      </c>
      <c r="R185" s="21">
        <v>55</v>
      </c>
      <c r="S185" s="21">
        <v>0.81547963999999995</v>
      </c>
      <c r="T185" s="4" t="s">
        <v>1868</v>
      </c>
    </row>
    <row r="186" spans="1:20" ht="58.5" customHeight="1">
      <c r="A186" s="3" t="s">
        <v>571</v>
      </c>
      <c r="B186" s="3" t="s">
        <v>2276</v>
      </c>
      <c r="C186" s="11" t="s">
        <v>395</v>
      </c>
      <c r="D186" s="19" t="s">
        <v>130</v>
      </c>
      <c r="E186" s="19" t="s">
        <v>2276</v>
      </c>
      <c r="F186" s="3" t="s">
        <v>2276</v>
      </c>
      <c r="G186" s="3" t="s">
        <v>2276</v>
      </c>
      <c r="H186" s="21" t="s">
        <v>2276</v>
      </c>
      <c r="I186" s="21" t="s">
        <v>2276</v>
      </c>
      <c r="J186" s="21" t="s">
        <v>2276</v>
      </c>
      <c r="K186" s="21"/>
      <c r="L186" s="21" t="s">
        <v>2276</v>
      </c>
      <c r="M186" s="21" t="s">
        <v>2276</v>
      </c>
      <c r="N186" s="21" t="s">
        <v>2276</v>
      </c>
      <c r="O186" s="21" t="s">
        <v>2276</v>
      </c>
      <c r="P186" s="21" t="s">
        <v>2276</v>
      </c>
      <c r="Q186" s="21" t="s">
        <v>2276</v>
      </c>
      <c r="R186" s="21" t="s">
        <v>2276</v>
      </c>
      <c r="S186" s="21" t="s">
        <v>2276</v>
      </c>
      <c r="T186" s="4" t="s">
        <v>1954</v>
      </c>
    </row>
    <row r="187" spans="1:20" ht="58.5" customHeight="1">
      <c r="A187" s="3" t="s">
        <v>572</v>
      </c>
      <c r="B187" s="3" t="s">
        <v>2276</v>
      </c>
      <c r="C187" s="11" t="s">
        <v>395</v>
      </c>
      <c r="D187" s="19" t="s">
        <v>130</v>
      </c>
      <c r="E187" s="19" t="s">
        <v>2276</v>
      </c>
      <c r="F187" s="3" t="s">
        <v>2276</v>
      </c>
      <c r="G187" s="3" t="s">
        <v>2276</v>
      </c>
      <c r="H187" s="21" t="s">
        <v>2276</v>
      </c>
      <c r="I187" s="21" t="s">
        <v>2276</v>
      </c>
      <c r="J187" s="21" t="s">
        <v>2276</v>
      </c>
      <c r="K187" s="21"/>
      <c r="L187" s="21" t="s">
        <v>2276</v>
      </c>
      <c r="M187" s="21" t="s">
        <v>2276</v>
      </c>
      <c r="N187" s="21" t="s">
        <v>2276</v>
      </c>
      <c r="O187" s="21" t="s">
        <v>2276</v>
      </c>
      <c r="P187" s="21" t="s">
        <v>2276</v>
      </c>
      <c r="Q187" s="21" t="s">
        <v>2276</v>
      </c>
      <c r="R187" s="21" t="s">
        <v>2276</v>
      </c>
      <c r="S187" s="21" t="s">
        <v>2276</v>
      </c>
      <c r="T187" s="4" t="s">
        <v>1955</v>
      </c>
    </row>
    <row r="188" spans="1:20" ht="58.5" customHeight="1">
      <c r="A188" s="3" t="s">
        <v>573</v>
      </c>
      <c r="B188" s="3" t="s">
        <v>2276</v>
      </c>
      <c r="C188" s="11" t="s">
        <v>395</v>
      </c>
      <c r="D188" s="19" t="s">
        <v>130</v>
      </c>
      <c r="E188" s="19" t="s">
        <v>2276</v>
      </c>
      <c r="F188" s="3" t="s">
        <v>2276</v>
      </c>
      <c r="G188" s="3" t="s">
        <v>2276</v>
      </c>
      <c r="H188" s="21" t="s">
        <v>2276</v>
      </c>
      <c r="I188" s="21" t="s">
        <v>2276</v>
      </c>
      <c r="J188" s="21" t="s">
        <v>2276</v>
      </c>
      <c r="K188" s="21"/>
      <c r="L188" s="21" t="s">
        <v>2276</v>
      </c>
      <c r="M188" s="21" t="s">
        <v>2276</v>
      </c>
      <c r="N188" s="21" t="s">
        <v>2276</v>
      </c>
      <c r="O188" s="21" t="s">
        <v>2276</v>
      </c>
      <c r="P188" s="21" t="s">
        <v>2276</v>
      </c>
      <c r="Q188" s="21" t="s">
        <v>2276</v>
      </c>
      <c r="R188" s="21" t="s">
        <v>2276</v>
      </c>
      <c r="S188" s="21" t="s">
        <v>2276</v>
      </c>
      <c r="T188" s="4" t="s">
        <v>1955</v>
      </c>
    </row>
    <row r="189" spans="1:20" ht="58.5" customHeight="1">
      <c r="A189" s="3" t="s">
        <v>574</v>
      </c>
      <c r="B189" s="3" t="s">
        <v>2276</v>
      </c>
      <c r="C189" s="11" t="s">
        <v>395</v>
      </c>
      <c r="D189" s="19" t="s">
        <v>130</v>
      </c>
      <c r="E189" s="19" t="s">
        <v>2276</v>
      </c>
      <c r="F189" s="3" t="s">
        <v>2276</v>
      </c>
      <c r="G189" s="3" t="s">
        <v>2276</v>
      </c>
      <c r="H189" s="21" t="s">
        <v>2276</v>
      </c>
      <c r="I189" s="21" t="s">
        <v>2276</v>
      </c>
      <c r="J189" s="21" t="s">
        <v>2276</v>
      </c>
      <c r="K189" s="21"/>
      <c r="L189" s="21" t="s">
        <v>2276</v>
      </c>
      <c r="M189" s="21" t="s">
        <v>2276</v>
      </c>
      <c r="N189" s="21" t="s">
        <v>2276</v>
      </c>
      <c r="O189" s="21" t="s">
        <v>2276</v>
      </c>
      <c r="P189" s="21" t="s">
        <v>2276</v>
      </c>
      <c r="Q189" s="21" t="s">
        <v>2276</v>
      </c>
      <c r="R189" s="21" t="s">
        <v>2276</v>
      </c>
      <c r="S189" s="21" t="s">
        <v>2276</v>
      </c>
      <c r="T189" s="4" t="s">
        <v>1954</v>
      </c>
    </row>
    <row r="190" spans="1:20" ht="58.5" customHeight="1">
      <c r="A190" s="3" t="s">
        <v>575</v>
      </c>
      <c r="B190" s="3" t="s">
        <v>2276</v>
      </c>
      <c r="C190" s="11" t="s">
        <v>395</v>
      </c>
      <c r="D190" s="19" t="s">
        <v>130</v>
      </c>
      <c r="E190" s="19" t="s">
        <v>2276</v>
      </c>
      <c r="F190" s="3" t="s">
        <v>2276</v>
      </c>
      <c r="G190" s="3" t="s">
        <v>2276</v>
      </c>
      <c r="H190" s="21" t="s">
        <v>2276</v>
      </c>
      <c r="I190" s="21" t="s">
        <v>2276</v>
      </c>
      <c r="J190" s="21" t="s">
        <v>2276</v>
      </c>
      <c r="K190" s="21"/>
      <c r="L190" s="21" t="s">
        <v>2276</v>
      </c>
      <c r="M190" s="21" t="s">
        <v>2276</v>
      </c>
      <c r="N190" s="21" t="s">
        <v>2276</v>
      </c>
      <c r="O190" s="21" t="s">
        <v>2276</v>
      </c>
      <c r="P190" s="21" t="s">
        <v>2276</v>
      </c>
      <c r="Q190" s="21" t="s">
        <v>2276</v>
      </c>
      <c r="R190" s="21" t="s">
        <v>2276</v>
      </c>
      <c r="S190" s="21" t="s">
        <v>2276</v>
      </c>
      <c r="T190" s="4" t="s">
        <v>1956</v>
      </c>
    </row>
    <row r="191" spans="1:20" ht="58.5" customHeight="1">
      <c r="A191" s="3" t="s">
        <v>576</v>
      </c>
      <c r="B191" s="3" t="s">
        <v>2276</v>
      </c>
      <c r="C191" s="11" t="s">
        <v>395</v>
      </c>
      <c r="D191" s="19" t="s">
        <v>130</v>
      </c>
      <c r="E191" s="19" t="s">
        <v>2276</v>
      </c>
      <c r="F191" s="3" t="s">
        <v>2276</v>
      </c>
      <c r="G191" s="3" t="s">
        <v>2276</v>
      </c>
      <c r="H191" s="21" t="s">
        <v>2276</v>
      </c>
      <c r="I191" s="21" t="s">
        <v>2276</v>
      </c>
      <c r="J191" s="21" t="s">
        <v>2276</v>
      </c>
      <c r="K191" s="21"/>
      <c r="L191" s="21" t="s">
        <v>2276</v>
      </c>
      <c r="M191" s="21" t="s">
        <v>2276</v>
      </c>
      <c r="N191" s="21" t="s">
        <v>2276</v>
      </c>
      <c r="O191" s="21" t="s">
        <v>2276</v>
      </c>
      <c r="P191" s="21" t="s">
        <v>2276</v>
      </c>
      <c r="Q191" s="21" t="s">
        <v>2276</v>
      </c>
      <c r="R191" s="21" t="s">
        <v>2276</v>
      </c>
      <c r="S191" s="21" t="s">
        <v>2276</v>
      </c>
      <c r="T191" s="4" t="s">
        <v>1954</v>
      </c>
    </row>
    <row r="192" spans="1:20" ht="58.5" customHeight="1">
      <c r="A192" s="3" t="s">
        <v>577</v>
      </c>
      <c r="B192" s="3" t="s">
        <v>2276</v>
      </c>
      <c r="C192" s="11" t="s">
        <v>395</v>
      </c>
      <c r="D192" s="19" t="s">
        <v>397</v>
      </c>
      <c r="E192" s="19" t="s">
        <v>130</v>
      </c>
      <c r="F192" s="3" t="s">
        <v>2276</v>
      </c>
      <c r="G192" s="3" t="s">
        <v>2276</v>
      </c>
      <c r="H192" s="21" t="s">
        <v>2276</v>
      </c>
      <c r="I192" s="21" t="s">
        <v>2276</v>
      </c>
      <c r="J192" s="21" t="s">
        <v>2276</v>
      </c>
      <c r="K192" s="21"/>
      <c r="L192" s="21" t="s">
        <v>2276</v>
      </c>
      <c r="M192" s="21" t="s">
        <v>2276</v>
      </c>
      <c r="N192" s="21" t="s">
        <v>2276</v>
      </c>
      <c r="O192" s="21" t="s">
        <v>2276</v>
      </c>
      <c r="P192" s="21" t="s">
        <v>2276</v>
      </c>
      <c r="Q192" s="21" t="s">
        <v>2276</v>
      </c>
      <c r="R192" s="21" t="s">
        <v>2276</v>
      </c>
      <c r="S192" s="21" t="s">
        <v>2276</v>
      </c>
      <c r="T192" s="4" t="s">
        <v>1957</v>
      </c>
    </row>
    <row r="193" spans="1:20" ht="58.5" customHeight="1">
      <c r="A193" s="3" t="s">
        <v>578</v>
      </c>
      <c r="B193" s="3" t="s">
        <v>2276</v>
      </c>
      <c r="C193" s="11" t="s">
        <v>395</v>
      </c>
      <c r="D193" s="19" t="s">
        <v>397</v>
      </c>
      <c r="E193" s="19" t="s">
        <v>130</v>
      </c>
      <c r="F193" s="3" t="s">
        <v>2276</v>
      </c>
      <c r="G193" s="3" t="s">
        <v>2276</v>
      </c>
      <c r="H193" s="21" t="s">
        <v>2276</v>
      </c>
      <c r="I193" s="21" t="s">
        <v>2276</v>
      </c>
      <c r="J193" s="21" t="s">
        <v>2276</v>
      </c>
      <c r="K193" s="21"/>
      <c r="L193" s="21" t="s">
        <v>2276</v>
      </c>
      <c r="M193" s="21" t="s">
        <v>2276</v>
      </c>
      <c r="N193" s="21" t="s">
        <v>2276</v>
      </c>
      <c r="O193" s="21" t="s">
        <v>2276</v>
      </c>
      <c r="P193" s="21" t="s">
        <v>2276</v>
      </c>
      <c r="Q193" s="21" t="s">
        <v>2276</v>
      </c>
      <c r="R193" s="21" t="s">
        <v>2276</v>
      </c>
      <c r="S193" s="21" t="s">
        <v>2276</v>
      </c>
      <c r="T193" s="4" t="s">
        <v>1955</v>
      </c>
    </row>
    <row r="194" spans="1:20" ht="58.5" customHeight="1">
      <c r="A194" s="3" t="s">
        <v>579</v>
      </c>
      <c r="B194" s="3" t="s">
        <v>2276</v>
      </c>
      <c r="C194" s="11" t="s">
        <v>395</v>
      </c>
      <c r="D194" s="19" t="s">
        <v>130</v>
      </c>
      <c r="E194" s="19" t="s">
        <v>2276</v>
      </c>
      <c r="F194" s="3" t="s">
        <v>2276</v>
      </c>
      <c r="G194" s="3" t="s">
        <v>2276</v>
      </c>
      <c r="H194" s="21" t="s">
        <v>2276</v>
      </c>
      <c r="I194" s="21" t="s">
        <v>2276</v>
      </c>
      <c r="J194" s="21" t="s">
        <v>2276</v>
      </c>
      <c r="K194" s="21"/>
      <c r="L194" s="21" t="s">
        <v>2276</v>
      </c>
      <c r="M194" s="21" t="s">
        <v>2276</v>
      </c>
      <c r="N194" s="21" t="s">
        <v>2276</v>
      </c>
      <c r="O194" s="21" t="s">
        <v>2276</v>
      </c>
      <c r="P194" s="21" t="s">
        <v>2276</v>
      </c>
      <c r="Q194" s="21" t="s">
        <v>2276</v>
      </c>
      <c r="R194" s="21" t="s">
        <v>2276</v>
      </c>
      <c r="S194" s="21" t="s">
        <v>2276</v>
      </c>
      <c r="T194" s="4" t="s">
        <v>1957</v>
      </c>
    </row>
    <row r="195" spans="1:20" ht="58.5" customHeight="1">
      <c r="A195" s="3" t="s">
        <v>1875</v>
      </c>
      <c r="B195" s="3" t="s">
        <v>2276</v>
      </c>
      <c r="C195" s="11" t="s">
        <v>395</v>
      </c>
      <c r="D195" s="19" t="s">
        <v>130</v>
      </c>
      <c r="E195" s="19" t="s">
        <v>2276</v>
      </c>
      <c r="F195" s="3" t="s">
        <v>2276</v>
      </c>
      <c r="G195" s="3" t="s">
        <v>2276</v>
      </c>
      <c r="H195" s="21" t="s">
        <v>2276</v>
      </c>
      <c r="I195" s="21" t="s">
        <v>2276</v>
      </c>
      <c r="J195" s="21" t="s">
        <v>2276</v>
      </c>
      <c r="K195" s="21"/>
      <c r="L195" s="21" t="s">
        <v>2276</v>
      </c>
      <c r="M195" s="21" t="s">
        <v>2276</v>
      </c>
      <c r="N195" s="21" t="s">
        <v>2276</v>
      </c>
      <c r="O195" s="21" t="s">
        <v>2276</v>
      </c>
      <c r="P195" s="21" t="s">
        <v>2276</v>
      </c>
      <c r="Q195" s="21" t="s">
        <v>2276</v>
      </c>
      <c r="R195" s="21" t="s">
        <v>2276</v>
      </c>
      <c r="S195" s="21" t="s">
        <v>2276</v>
      </c>
      <c r="T195" s="4" t="s">
        <v>1957</v>
      </c>
    </row>
    <row r="196" spans="1:20" ht="58.5" customHeight="1">
      <c r="A196" s="3" t="s">
        <v>1876</v>
      </c>
      <c r="B196" s="3" t="s">
        <v>2276</v>
      </c>
      <c r="C196" s="11" t="s">
        <v>395</v>
      </c>
      <c r="D196" s="19" t="s">
        <v>130</v>
      </c>
      <c r="E196" s="19" t="s">
        <v>2276</v>
      </c>
      <c r="F196" s="3" t="s">
        <v>2276</v>
      </c>
      <c r="G196" s="3" t="s">
        <v>2276</v>
      </c>
      <c r="H196" s="21" t="s">
        <v>2276</v>
      </c>
      <c r="I196" s="21" t="s">
        <v>2276</v>
      </c>
      <c r="J196" s="21" t="s">
        <v>2276</v>
      </c>
      <c r="K196" s="21"/>
      <c r="L196" s="21" t="s">
        <v>2276</v>
      </c>
      <c r="M196" s="21" t="s">
        <v>2276</v>
      </c>
      <c r="N196" s="21" t="s">
        <v>2276</v>
      </c>
      <c r="O196" s="21" t="s">
        <v>2276</v>
      </c>
      <c r="P196" s="21" t="s">
        <v>2276</v>
      </c>
      <c r="Q196" s="21" t="s">
        <v>2276</v>
      </c>
      <c r="R196" s="21" t="s">
        <v>2276</v>
      </c>
      <c r="S196" s="21" t="s">
        <v>2276</v>
      </c>
      <c r="T196" s="4" t="s">
        <v>1957</v>
      </c>
    </row>
    <row r="197" spans="1:20" ht="58.5" customHeight="1">
      <c r="A197" s="3" t="s">
        <v>1877</v>
      </c>
      <c r="B197" s="3" t="s">
        <v>2276</v>
      </c>
      <c r="C197" s="11" t="s">
        <v>395</v>
      </c>
      <c r="D197" s="19" t="s">
        <v>397</v>
      </c>
      <c r="E197" s="19" t="s">
        <v>130</v>
      </c>
      <c r="F197" s="3" t="s">
        <v>2276</v>
      </c>
      <c r="G197" s="3" t="s">
        <v>2276</v>
      </c>
      <c r="H197" s="21" t="s">
        <v>2276</v>
      </c>
      <c r="I197" s="21" t="s">
        <v>2276</v>
      </c>
      <c r="J197" s="21" t="s">
        <v>2276</v>
      </c>
      <c r="K197" s="21"/>
      <c r="L197" s="21" t="s">
        <v>2276</v>
      </c>
      <c r="M197" s="21" t="s">
        <v>2276</v>
      </c>
      <c r="N197" s="21" t="s">
        <v>2276</v>
      </c>
      <c r="O197" s="21" t="s">
        <v>2276</v>
      </c>
      <c r="P197" s="21" t="s">
        <v>2276</v>
      </c>
      <c r="Q197" s="21" t="s">
        <v>2276</v>
      </c>
      <c r="R197" s="21" t="s">
        <v>2276</v>
      </c>
      <c r="S197" s="21" t="s">
        <v>2276</v>
      </c>
      <c r="T197" s="4" t="s">
        <v>1957</v>
      </c>
    </row>
    <row r="198" spans="1:20" ht="58.5" customHeight="1">
      <c r="A198" s="3" t="s">
        <v>1878</v>
      </c>
      <c r="B198" s="3" t="s">
        <v>2276</v>
      </c>
      <c r="C198" s="11" t="s">
        <v>395</v>
      </c>
      <c r="D198" s="19" t="s">
        <v>130</v>
      </c>
      <c r="E198" s="19" t="s">
        <v>2276</v>
      </c>
      <c r="F198" s="3" t="s">
        <v>2276</v>
      </c>
      <c r="G198" s="3" t="s">
        <v>2276</v>
      </c>
      <c r="H198" s="21" t="s">
        <v>2276</v>
      </c>
      <c r="I198" s="21" t="s">
        <v>2276</v>
      </c>
      <c r="J198" s="21" t="s">
        <v>2276</v>
      </c>
      <c r="K198" s="21"/>
      <c r="L198" s="21" t="s">
        <v>2276</v>
      </c>
      <c r="M198" s="21" t="s">
        <v>2276</v>
      </c>
      <c r="N198" s="21" t="s">
        <v>2276</v>
      </c>
      <c r="O198" s="21" t="s">
        <v>2276</v>
      </c>
      <c r="P198" s="21" t="s">
        <v>2276</v>
      </c>
      <c r="Q198" s="21" t="s">
        <v>2276</v>
      </c>
      <c r="R198" s="21" t="s">
        <v>2276</v>
      </c>
      <c r="S198" s="21" t="s">
        <v>2276</v>
      </c>
      <c r="T198" s="4" t="s">
        <v>1958</v>
      </c>
    </row>
    <row r="199" spans="1:20" ht="58.5" customHeight="1">
      <c r="A199" s="3" t="s">
        <v>1879</v>
      </c>
      <c r="B199" s="3" t="s">
        <v>2276</v>
      </c>
      <c r="C199" s="11" t="s">
        <v>395</v>
      </c>
      <c r="D199" s="19" t="s">
        <v>130</v>
      </c>
      <c r="E199" s="19" t="s">
        <v>2276</v>
      </c>
      <c r="F199" s="3" t="s">
        <v>2276</v>
      </c>
      <c r="G199" s="3" t="s">
        <v>2276</v>
      </c>
      <c r="H199" s="21" t="s">
        <v>2276</v>
      </c>
      <c r="I199" s="21" t="s">
        <v>2276</v>
      </c>
      <c r="J199" s="21" t="s">
        <v>2276</v>
      </c>
      <c r="K199" s="21"/>
      <c r="L199" s="21" t="s">
        <v>2276</v>
      </c>
      <c r="M199" s="21" t="s">
        <v>2276</v>
      </c>
      <c r="N199" s="21" t="s">
        <v>2276</v>
      </c>
      <c r="O199" s="21" t="s">
        <v>2276</v>
      </c>
      <c r="P199" s="21" t="s">
        <v>2276</v>
      </c>
      <c r="Q199" s="21" t="s">
        <v>2276</v>
      </c>
      <c r="R199" s="21" t="s">
        <v>2276</v>
      </c>
      <c r="S199" s="21" t="s">
        <v>2276</v>
      </c>
      <c r="T199" s="4" t="s">
        <v>1956</v>
      </c>
    </row>
    <row r="200" spans="1:20" ht="58.5" customHeight="1">
      <c r="A200" s="3" t="s">
        <v>1880</v>
      </c>
      <c r="B200" s="3" t="s">
        <v>2276</v>
      </c>
      <c r="C200" s="11" t="s">
        <v>395</v>
      </c>
      <c r="D200" s="19" t="s">
        <v>130</v>
      </c>
      <c r="E200" s="19" t="s">
        <v>2276</v>
      </c>
      <c r="F200" s="3" t="s">
        <v>2276</v>
      </c>
      <c r="G200" s="3" t="s">
        <v>2276</v>
      </c>
      <c r="H200" s="21" t="s">
        <v>2276</v>
      </c>
      <c r="I200" s="21" t="s">
        <v>2276</v>
      </c>
      <c r="J200" s="21" t="s">
        <v>2276</v>
      </c>
      <c r="K200" s="21"/>
      <c r="L200" s="21" t="s">
        <v>2276</v>
      </c>
      <c r="M200" s="21" t="s">
        <v>2276</v>
      </c>
      <c r="N200" s="21" t="s">
        <v>2276</v>
      </c>
      <c r="O200" s="21" t="s">
        <v>2276</v>
      </c>
      <c r="P200" s="21" t="s">
        <v>2276</v>
      </c>
      <c r="Q200" s="21" t="s">
        <v>2276</v>
      </c>
      <c r="R200" s="21" t="s">
        <v>2276</v>
      </c>
      <c r="S200" s="21" t="s">
        <v>2276</v>
      </c>
      <c r="T200" s="4" t="s">
        <v>1958</v>
      </c>
    </row>
    <row r="201" spans="1:20" ht="58.5" customHeight="1">
      <c r="A201" s="3" t="s">
        <v>1883</v>
      </c>
      <c r="B201" s="3" t="s">
        <v>2276</v>
      </c>
      <c r="C201" s="11" t="s">
        <v>395</v>
      </c>
      <c r="D201" s="19" t="s">
        <v>130</v>
      </c>
      <c r="E201" s="4" t="s">
        <v>2276</v>
      </c>
      <c r="F201" s="3" t="s">
        <v>2276</v>
      </c>
      <c r="G201" s="3" t="s">
        <v>2276</v>
      </c>
      <c r="H201" s="21" t="s">
        <v>2276</v>
      </c>
      <c r="I201" s="21" t="s">
        <v>2276</v>
      </c>
      <c r="J201" s="21" t="s">
        <v>2276</v>
      </c>
      <c r="K201" s="21"/>
      <c r="L201" s="21" t="s">
        <v>2276</v>
      </c>
      <c r="M201" s="21" t="s">
        <v>2276</v>
      </c>
      <c r="N201" s="21" t="s">
        <v>2276</v>
      </c>
      <c r="O201" s="21" t="s">
        <v>2276</v>
      </c>
      <c r="P201" s="21" t="s">
        <v>2276</v>
      </c>
      <c r="Q201" s="21" t="s">
        <v>2276</v>
      </c>
      <c r="R201" s="21" t="s">
        <v>2276</v>
      </c>
      <c r="S201" s="21" t="s">
        <v>2276</v>
      </c>
      <c r="T201" s="4" t="s">
        <v>1954</v>
      </c>
    </row>
    <row r="202" spans="1:20" ht="58.5" customHeight="1">
      <c r="A202" s="3" t="s">
        <v>1884</v>
      </c>
      <c r="B202" s="3" t="s">
        <v>2276</v>
      </c>
      <c r="C202" s="11" t="s">
        <v>395</v>
      </c>
      <c r="D202" s="19" t="s">
        <v>397</v>
      </c>
      <c r="E202" s="19" t="s">
        <v>130</v>
      </c>
      <c r="F202" s="3" t="s">
        <v>2276</v>
      </c>
      <c r="G202" s="3" t="s">
        <v>2276</v>
      </c>
      <c r="H202" s="21" t="s">
        <v>2276</v>
      </c>
      <c r="I202" s="21" t="s">
        <v>2276</v>
      </c>
      <c r="J202" s="21" t="s">
        <v>2276</v>
      </c>
      <c r="K202" s="21"/>
      <c r="L202" s="21" t="s">
        <v>2276</v>
      </c>
      <c r="M202" s="21" t="s">
        <v>2276</v>
      </c>
      <c r="N202" s="21" t="s">
        <v>2276</v>
      </c>
      <c r="O202" s="21" t="s">
        <v>2276</v>
      </c>
      <c r="P202" s="21" t="s">
        <v>2276</v>
      </c>
      <c r="Q202" s="21" t="s">
        <v>2276</v>
      </c>
      <c r="R202" s="21" t="s">
        <v>2276</v>
      </c>
      <c r="S202" s="21" t="s">
        <v>2276</v>
      </c>
      <c r="T202" s="4" t="s">
        <v>1954</v>
      </c>
    </row>
    <row r="203" spans="1:20" ht="58.5" customHeight="1">
      <c r="A203" s="3" t="s">
        <v>1881</v>
      </c>
      <c r="B203" s="3" t="s">
        <v>2276</v>
      </c>
      <c r="C203" s="11" t="s">
        <v>12</v>
      </c>
      <c r="D203" s="19" t="s">
        <v>397</v>
      </c>
      <c r="E203" s="4" t="s">
        <v>2276</v>
      </c>
      <c r="F203" s="3" t="s">
        <v>2276</v>
      </c>
      <c r="G203" s="3" t="s">
        <v>2276</v>
      </c>
      <c r="H203" s="21" t="s">
        <v>2276</v>
      </c>
      <c r="I203" s="21" t="s">
        <v>2276</v>
      </c>
      <c r="J203" s="21" t="s">
        <v>2276</v>
      </c>
      <c r="K203" s="21"/>
      <c r="L203" s="21" t="s">
        <v>2276</v>
      </c>
      <c r="M203" s="21" t="s">
        <v>2276</v>
      </c>
      <c r="N203" s="21" t="s">
        <v>2276</v>
      </c>
      <c r="O203" s="21" t="s">
        <v>2276</v>
      </c>
      <c r="P203" s="21" t="s">
        <v>2276</v>
      </c>
      <c r="Q203" s="21" t="s">
        <v>2276</v>
      </c>
      <c r="R203" s="21" t="s">
        <v>2276</v>
      </c>
      <c r="S203" s="21" t="s">
        <v>2276</v>
      </c>
      <c r="T203" s="4" t="s">
        <v>1956</v>
      </c>
    </row>
    <row r="204" spans="1:20" ht="58.5" customHeight="1">
      <c r="A204" s="3" t="s">
        <v>1882</v>
      </c>
      <c r="B204" s="3" t="s">
        <v>2276</v>
      </c>
      <c r="C204" s="11" t="s">
        <v>12</v>
      </c>
      <c r="D204" s="19" t="s">
        <v>397</v>
      </c>
      <c r="E204" s="4" t="s">
        <v>2276</v>
      </c>
      <c r="F204" s="3" t="s">
        <v>2276</v>
      </c>
      <c r="G204" s="3" t="s">
        <v>2276</v>
      </c>
      <c r="H204" s="21" t="s">
        <v>2276</v>
      </c>
      <c r="I204" s="21" t="s">
        <v>2276</v>
      </c>
      <c r="J204" s="21" t="s">
        <v>2276</v>
      </c>
      <c r="K204" s="21"/>
      <c r="L204" s="21" t="s">
        <v>2276</v>
      </c>
      <c r="M204" s="21" t="s">
        <v>2276</v>
      </c>
      <c r="N204" s="21" t="s">
        <v>2276</v>
      </c>
      <c r="O204" s="21" t="s">
        <v>2276</v>
      </c>
      <c r="P204" s="21" t="s">
        <v>2276</v>
      </c>
      <c r="Q204" s="21" t="s">
        <v>2276</v>
      </c>
      <c r="R204" s="21" t="s">
        <v>2276</v>
      </c>
      <c r="S204" s="21" t="s">
        <v>2276</v>
      </c>
      <c r="T204" s="4" t="s">
        <v>1956</v>
      </c>
    </row>
    <row r="205" spans="1:20" ht="58.5" customHeight="1">
      <c r="A205" s="3" t="s">
        <v>1885</v>
      </c>
      <c r="B205" s="3" t="s">
        <v>2276</v>
      </c>
      <c r="C205" s="11" t="s">
        <v>12</v>
      </c>
      <c r="D205" s="19" t="s">
        <v>397</v>
      </c>
      <c r="E205" s="4" t="s">
        <v>2276</v>
      </c>
      <c r="F205" s="3" t="s">
        <v>2276</v>
      </c>
      <c r="G205" s="3" t="s">
        <v>2276</v>
      </c>
      <c r="H205" s="21" t="s">
        <v>2276</v>
      </c>
      <c r="I205" s="21" t="s">
        <v>2276</v>
      </c>
      <c r="J205" s="21" t="s">
        <v>2276</v>
      </c>
      <c r="K205" s="21"/>
      <c r="L205" s="21" t="s">
        <v>2276</v>
      </c>
      <c r="M205" s="21" t="s">
        <v>2276</v>
      </c>
      <c r="N205" s="21" t="s">
        <v>2276</v>
      </c>
      <c r="O205" s="21" t="s">
        <v>2276</v>
      </c>
      <c r="P205" s="21" t="s">
        <v>2276</v>
      </c>
      <c r="Q205" s="21" t="s">
        <v>2276</v>
      </c>
      <c r="R205" s="21" t="s">
        <v>2276</v>
      </c>
      <c r="S205" s="21" t="s">
        <v>2276</v>
      </c>
      <c r="T205" s="4" t="s">
        <v>1954</v>
      </c>
    </row>
    <row r="206" spans="1:20" ht="58.5" customHeight="1">
      <c r="A206" s="3" t="s">
        <v>1886</v>
      </c>
      <c r="B206" s="3" t="s">
        <v>2276</v>
      </c>
      <c r="C206" s="11" t="s">
        <v>395</v>
      </c>
      <c r="D206" s="19" t="s">
        <v>397</v>
      </c>
      <c r="E206" s="19" t="s">
        <v>130</v>
      </c>
      <c r="F206" s="3" t="s">
        <v>2276</v>
      </c>
      <c r="G206" s="3" t="s">
        <v>2276</v>
      </c>
      <c r="H206" s="21" t="s">
        <v>2276</v>
      </c>
      <c r="I206" s="21" t="s">
        <v>2276</v>
      </c>
      <c r="J206" s="21" t="s">
        <v>2276</v>
      </c>
      <c r="K206" s="21"/>
      <c r="L206" s="21" t="s">
        <v>2276</v>
      </c>
      <c r="M206" s="21" t="s">
        <v>2276</v>
      </c>
      <c r="N206" s="21" t="s">
        <v>2276</v>
      </c>
      <c r="O206" s="21" t="s">
        <v>2276</v>
      </c>
      <c r="P206" s="21" t="s">
        <v>2276</v>
      </c>
      <c r="Q206" s="21" t="s">
        <v>2276</v>
      </c>
      <c r="R206" s="21" t="s">
        <v>2276</v>
      </c>
      <c r="S206" s="21" t="s">
        <v>2276</v>
      </c>
      <c r="T206" s="4" t="s">
        <v>1958</v>
      </c>
    </row>
    <row r="207" spans="1:20" ht="58.5" customHeight="1">
      <c r="A207" s="3" t="s">
        <v>1887</v>
      </c>
      <c r="B207" s="3" t="s">
        <v>2276</v>
      </c>
      <c r="C207" s="11" t="s">
        <v>395</v>
      </c>
      <c r="D207" s="19" t="s">
        <v>130</v>
      </c>
      <c r="E207" s="4" t="s">
        <v>2276</v>
      </c>
      <c r="F207" s="3" t="s">
        <v>2276</v>
      </c>
      <c r="G207" s="3" t="s">
        <v>2276</v>
      </c>
      <c r="H207" s="21" t="s">
        <v>2276</v>
      </c>
      <c r="I207" s="21" t="s">
        <v>2276</v>
      </c>
      <c r="J207" s="21" t="s">
        <v>2276</v>
      </c>
      <c r="K207" s="21"/>
      <c r="L207" s="21" t="s">
        <v>2276</v>
      </c>
      <c r="M207" s="21" t="s">
        <v>2276</v>
      </c>
      <c r="N207" s="21" t="s">
        <v>2276</v>
      </c>
      <c r="O207" s="21" t="s">
        <v>2276</v>
      </c>
      <c r="P207" s="21" t="s">
        <v>2276</v>
      </c>
      <c r="Q207" s="21" t="s">
        <v>2276</v>
      </c>
      <c r="R207" s="21" t="s">
        <v>2276</v>
      </c>
      <c r="S207" s="21" t="s">
        <v>2276</v>
      </c>
      <c r="T207" s="4" t="s">
        <v>1958</v>
      </c>
    </row>
    <row r="208" spans="1:20" ht="58.5" customHeight="1">
      <c r="A208" s="3" t="s">
        <v>1888</v>
      </c>
      <c r="B208" s="3" t="s">
        <v>2276</v>
      </c>
      <c r="C208" s="11" t="s">
        <v>395</v>
      </c>
      <c r="D208" s="19" t="s">
        <v>130</v>
      </c>
      <c r="E208" s="4" t="s">
        <v>2276</v>
      </c>
      <c r="F208" s="3" t="s">
        <v>2276</v>
      </c>
      <c r="G208" s="3" t="s">
        <v>2276</v>
      </c>
      <c r="H208" s="21" t="s">
        <v>2276</v>
      </c>
      <c r="I208" s="21" t="s">
        <v>2276</v>
      </c>
      <c r="J208" s="21" t="s">
        <v>2276</v>
      </c>
      <c r="K208" s="21"/>
      <c r="L208" s="21" t="s">
        <v>2276</v>
      </c>
      <c r="M208" s="21" t="s">
        <v>2276</v>
      </c>
      <c r="N208" s="21" t="s">
        <v>2276</v>
      </c>
      <c r="O208" s="21" t="s">
        <v>2276</v>
      </c>
      <c r="P208" s="21" t="s">
        <v>2276</v>
      </c>
      <c r="Q208" s="21" t="s">
        <v>2276</v>
      </c>
      <c r="R208" s="21" t="s">
        <v>2276</v>
      </c>
      <c r="S208" s="21" t="s">
        <v>2276</v>
      </c>
      <c r="T208" s="4" t="s">
        <v>1959</v>
      </c>
    </row>
    <row r="209" spans="1:20" ht="58.5" customHeight="1">
      <c r="A209" s="3" t="s">
        <v>1889</v>
      </c>
      <c r="B209" s="3" t="s">
        <v>2276</v>
      </c>
      <c r="C209" s="11" t="s">
        <v>395</v>
      </c>
      <c r="D209" s="19" t="s">
        <v>130</v>
      </c>
      <c r="E209" s="4" t="s">
        <v>2276</v>
      </c>
      <c r="F209" s="3" t="s">
        <v>2276</v>
      </c>
      <c r="G209" s="3" t="s">
        <v>2276</v>
      </c>
      <c r="H209" s="21" t="s">
        <v>2276</v>
      </c>
      <c r="I209" s="21" t="s">
        <v>2276</v>
      </c>
      <c r="J209" s="21" t="s">
        <v>2276</v>
      </c>
      <c r="K209" s="21"/>
      <c r="L209" s="21" t="s">
        <v>2276</v>
      </c>
      <c r="M209" s="21" t="s">
        <v>2276</v>
      </c>
      <c r="N209" s="21" t="s">
        <v>2276</v>
      </c>
      <c r="O209" s="21" t="s">
        <v>2276</v>
      </c>
      <c r="P209" s="21" t="s">
        <v>2276</v>
      </c>
      <c r="Q209" s="21" t="s">
        <v>2276</v>
      </c>
      <c r="R209" s="21" t="s">
        <v>2276</v>
      </c>
      <c r="S209" s="21" t="s">
        <v>2276</v>
      </c>
      <c r="T209" s="4" t="s">
        <v>1959</v>
      </c>
    </row>
    <row r="210" spans="1:20" ht="58.5" customHeight="1">
      <c r="A210" s="3" t="s">
        <v>1890</v>
      </c>
      <c r="B210" s="3" t="s">
        <v>2276</v>
      </c>
      <c r="C210" s="11" t="s">
        <v>395</v>
      </c>
      <c r="D210" s="19" t="s">
        <v>130</v>
      </c>
      <c r="E210" s="4" t="s">
        <v>2276</v>
      </c>
      <c r="F210" s="3" t="s">
        <v>2276</v>
      </c>
      <c r="G210" s="3" t="s">
        <v>2276</v>
      </c>
      <c r="H210" s="21" t="s">
        <v>2276</v>
      </c>
      <c r="I210" s="21" t="s">
        <v>2276</v>
      </c>
      <c r="J210" s="21" t="s">
        <v>2276</v>
      </c>
      <c r="K210" s="21"/>
      <c r="L210" s="21" t="s">
        <v>2276</v>
      </c>
      <c r="M210" s="21" t="s">
        <v>2276</v>
      </c>
      <c r="N210" s="21" t="s">
        <v>2276</v>
      </c>
      <c r="O210" s="21" t="s">
        <v>2276</v>
      </c>
      <c r="P210" s="21" t="s">
        <v>2276</v>
      </c>
      <c r="Q210" s="21" t="s">
        <v>2276</v>
      </c>
      <c r="R210" s="21" t="s">
        <v>2276</v>
      </c>
      <c r="S210" s="21" t="s">
        <v>2276</v>
      </c>
      <c r="T210" s="4" t="s">
        <v>1959</v>
      </c>
    </row>
    <row r="211" spans="1:20" ht="58.5" customHeight="1">
      <c r="A211" s="3" t="s">
        <v>1891</v>
      </c>
      <c r="B211" s="3" t="s">
        <v>2276</v>
      </c>
      <c r="C211" s="11" t="s">
        <v>12</v>
      </c>
      <c r="D211" s="19" t="s">
        <v>397</v>
      </c>
      <c r="E211" s="4" t="s">
        <v>2276</v>
      </c>
      <c r="F211" s="3" t="s">
        <v>2276</v>
      </c>
      <c r="G211" s="3" t="s">
        <v>2276</v>
      </c>
      <c r="H211" s="21" t="s">
        <v>2276</v>
      </c>
      <c r="I211" s="21" t="s">
        <v>2276</v>
      </c>
      <c r="J211" s="21" t="s">
        <v>2276</v>
      </c>
      <c r="K211" s="21"/>
      <c r="L211" s="21" t="s">
        <v>2276</v>
      </c>
      <c r="M211" s="21" t="s">
        <v>2276</v>
      </c>
      <c r="N211" s="21" t="s">
        <v>2276</v>
      </c>
      <c r="O211" s="21" t="s">
        <v>2276</v>
      </c>
      <c r="P211" s="21" t="s">
        <v>2276</v>
      </c>
      <c r="Q211" s="21" t="s">
        <v>2276</v>
      </c>
      <c r="R211" s="21" t="s">
        <v>2276</v>
      </c>
      <c r="S211" s="21" t="s">
        <v>2276</v>
      </c>
      <c r="T211" s="4" t="s">
        <v>1954</v>
      </c>
    </row>
    <row r="212" spans="1:20" ht="58.5" customHeight="1">
      <c r="A212" s="3" t="s">
        <v>1892</v>
      </c>
      <c r="B212" s="3" t="s">
        <v>2276</v>
      </c>
      <c r="C212" s="11" t="s">
        <v>395</v>
      </c>
      <c r="D212" s="19" t="s">
        <v>397</v>
      </c>
      <c r="E212" s="19" t="s">
        <v>130</v>
      </c>
      <c r="F212" s="3" t="s">
        <v>2276</v>
      </c>
      <c r="G212" s="3" t="s">
        <v>2276</v>
      </c>
      <c r="H212" s="21" t="s">
        <v>2276</v>
      </c>
      <c r="I212" s="21" t="s">
        <v>2276</v>
      </c>
      <c r="J212" s="21" t="s">
        <v>2276</v>
      </c>
      <c r="K212" s="21"/>
      <c r="L212" s="21" t="s">
        <v>2276</v>
      </c>
      <c r="M212" s="21" t="s">
        <v>2276</v>
      </c>
      <c r="N212" s="21" t="s">
        <v>2276</v>
      </c>
      <c r="O212" s="21" t="s">
        <v>2276</v>
      </c>
      <c r="P212" s="21" t="s">
        <v>2276</v>
      </c>
      <c r="Q212" s="21" t="s">
        <v>2276</v>
      </c>
      <c r="R212" s="21" t="s">
        <v>2276</v>
      </c>
      <c r="S212" s="21" t="s">
        <v>2276</v>
      </c>
      <c r="T212" s="4" t="s">
        <v>1954</v>
      </c>
    </row>
    <row r="213" spans="1:20" ht="58.5" customHeight="1">
      <c r="A213" s="3" t="s">
        <v>1893</v>
      </c>
      <c r="B213" s="3" t="s">
        <v>2276</v>
      </c>
      <c r="C213" s="11" t="s">
        <v>12</v>
      </c>
      <c r="D213" s="19" t="s">
        <v>397</v>
      </c>
      <c r="E213" s="4" t="s">
        <v>2276</v>
      </c>
      <c r="F213" s="3" t="s">
        <v>2276</v>
      </c>
      <c r="G213" s="3" t="s">
        <v>2276</v>
      </c>
      <c r="H213" s="21" t="s">
        <v>2276</v>
      </c>
      <c r="I213" s="21" t="s">
        <v>2276</v>
      </c>
      <c r="J213" s="21" t="s">
        <v>2276</v>
      </c>
      <c r="K213" s="21"/>
      <c r="L213" s="21" t="s">
        <v>2276</v>
      </c>
      <c r="M213" s="21" t="s">
        <v>2276</v>
      </c>
      <c r="N213" s="21" t="s">
        <v>2276</v>
      </c>
      <c r="O213" s="21" t="s">
        <v>2276</v>
      </c>
      <c r="P213" s="21" t="s">
        <v>2276</v>
      </c>
      <c r="Q213" s="21" t="s">
        <v>2276</v>
      </c>
      <c r="R213" s="21" t="s">
        <v>2276</v>
      </c>
      <c r="S213" s="21" t="s">
        <v>2276</v>
      </c>
      <c r="T213" s="4" t="s">
        <v>1954</v>
      </c>
    </row>
    <row r="214" spans="1:20" ht="58.5" customHeight="1">
      <c r="A214" s="3" t="s">
        <v>1894</v>
      </c>
      <c r="B214" s="3" t="s">
        <v>2276</v>
      </c>
      <c r="C214" s="11" t="s">
        <v>12</v>
      </c>
      <c r="D214" s="19" t="s">
        <v>397</v>
      </c>
      <c r="E214" s="4" t="s">
        <v>2276</v>
      </c>
      <c r="F214" s="3" t="s">
        <v>2276</v>
      </c>
      <c r="G214" s="3" t="s">
        <v>2276</v>
      </c>
      <c r="H214" s="21" t="s">
        <v>2276</v>
      </c>
      <c r="I214" s="21" t="s">
        <v>2276</v>
      </c>
      <c r="J214" s="21" t="s">
        <v>2276</v>
      </c>
      <c r="K214" s="21"/>
      <c r="L214" s="21" t="s">
        <v>2276</v>
      </c>
      <c r="M214" s="21" t="s">
        <v>2276</v>
      </c>
      <c r="N214" s="21" t="s">
        <v>2276</v>
      </c>
      <c r="O214" s="21" t="s">
        <v>2276</v>
      </c>
      <c r="P214" s="21" t="s">
        <v>2276</v>
      </c>
      <c r="Q214" s="21" t="s">
        <v>2276</v>
      </c>
      <c r="R214" s="21" t="s">
        <v>2276</v>
      </c>
      <c r="S214" s="21" t="s">
        <v>2276</v>
      </c>
      <c r="T214" s="4" t="s">
        <v>1954</v>
      </c>
    </row>
    <row r="215" spans="1:20" ht="58.5" customHeight="1">
      <c r="A215" s="3" t="s">
        <v>1895</v>
      </c>
      <c r="B215" s="3" t="s">
        <v>2276</v>
      </c>
      <c r="C215" s="11" t="s">
        <v>12</v>
      </c>
      <c r="D215" s="19" t="s">
        <v>397</v>
      </c>
      <c r="E215" s="4" t="s">
        <v>2276</v>
      </c>
      <c r="F215" s="3" t="s">
        <v>2276</v>
      </c>
      <c r="G215" s="3" t="s">
        <v>2276</v>
      </c>
      <c r="H215" s="21" t="s">
        <v>2276</v>
      </c>
      <c r="I215" s="21" t="s">
        <v>2276</v>
      </c>
      <c r="J215" s="21" t="s">
        <v>2276</v>
      </c>
      <c r="K215" s="21"/>
      <c r="L215" s="21" t="s">
        <v>2276</v>
      </c>
      <c r="M215" s="21" t="s">
        <v>2276</v>
      </c>
      <c r="N215" s="21" t="s">
        <v>2276</v>
      </c>
      <c r="O215" s="21" t="s">
        <v>2276</v>
      </c>
      <c r="P215" s="21" t="s">
        <v>2276</v>
      </c>
      <c r="Q215" s="21" t="s">
        <v>2276</v>
      </c>
      <c r="R215" s="21" t="s">
        <v>2276</v>
      </c>
      <c r="S215" s="21" t="s">
        <v>2276</v>
      </c>
      <c r="T215" s="4" t="s">
        <v>1954</v>
      </c>
    </row>
    <row r="216" spans="1:20" ht="58.5" customHeight="1">
      <c r="A216" s="3" t="s">
        <v>1896</v>
      </c>
      <c r="B216" s="3" t="s">
        <v>2276</v>
      </c>
      <c r="C216" s="11" t="s">
        <v>395</v>
      </c>
      <c r="D216" s="4" t="s">
        <v>130</v>
      </c>
      <c r="E216" s="4" t="s">
        <v>2276</v>
      </c>
      <c r="F216" s="3" t="s">
        <v>2276</v>
      </c>
      <c r="G216" s="3" t="s">
        <v>2276</v>
      </c>
      <c r="H216" s="21" t="s">
        <v>2276</v>
      </c>
      <c r="I216" s="21" t="s">
        <v>2276</v>
      </c>
      <c r="J216" s="21" t="s">
        <v>2276</v>
      </c>
      <c r="K216" s="21"/>
      <c r="L216" s="21" t="s">
        <v>2276</v>
      </c>
      <c r="M216" s="21" t="s">
        <v>2276</v>
      </c>
      <c r="N216" s="21" t="s">
        <v>2276</v>
      </c>
      <c r="O216" s="21" t="s">
        <v>2276</v>
      </c>
      <c r="P216" s="21" t="s">
        <v>2276</v>
      </c>
      <c r="Q216" s="21" t="s">
        <v>2276</v>
      </c>
      <c r="R216" s="21" t="s">
        <v>2276</v>
      </c>
      <c r="S216" s="21" t="s">
        <v>2276</v>
      </c>
      <c r="T216" s="4" t="s">
        <v>1954</v>
      </c>
    </row>
    <row r="217" spans="1:20" ht="58.5" customHeight="1">
      <c r="A217" s="3" t="s">
        <v>1897</v>
      </c>
      <c r="B217" s="3" t="s">
        <v>2276</v>
      </c>
      <c r="C217" s="11" t="s">
        <v>395</v>
      </c>
      <c r="D217" s="19" t="s">
        <v>397</v>
      </c>
      <c r="E217" s="19" t="s">
        <v>130</v>
      </c>
      <c r="F217" s="3" t="s">
        <v>2276</v>
      </c>
      <c r="G217" s="3" t="s">
        <v>2276</v>
      </c>
      <c r="H217" s="21" t="s">
        <v>2276</v>
      </c>
      <c r="I217" s="21" t="s">
        <v>2276</v>
      </c>
      <c r="J217" s="21" t="s">
        <v>2276</v>
      </c>
      <c r="K217" s="21"/>
      <c r="L217" s="21" t="s">
        <v>2276</v>
      </c>
      <c r="M217" s="21" t="s">
        <v>2276</v>
      </c>
      <c r="N217" s="21" t="s">
        <v>2276</v>
      </c>
      <c r="O217" s="21" t="s">
        <v>2276</v>
      </c>
      <c r="P217" s="21" t="s">
        <v>2276</v>
      </c>
      <c r="Q217" s="21" t="s">
        <v>2276</v>
      </c>
      <c r="R217" s="21" t="s">
        <v>2276</v>
      </c>
      <c r="S217" s="21" t="s">
        <v>2276</v>
      </c>
      <c r="T217" s="4" t="s">
        <v>1954</v>
      </c>
    </row>
    <row r="218" spans="1:20" ht="58.5" customHeight="1">
      <c r="A218" s="3" t="s">
        <v>1898</v>
      </c>
      <c r="B218" s="3" t="s">
        <v>2276</v>
      </c>
      <c r="C218" s="11" t="s">
        <v>395</v>
      </c>
      <c r="D218" s="19" t="s">
        <v>397</v>
      </c>
      <c r="E218" s="19" t="s">
        <v>130</v>
      </c>
      <c r="F218" s="3" t="s">
        <v>2276</v>
      </c>
      <c r="G218" s="3" t="s">
        <v>2276</v>
      </c>
      <c r="H218" s="21" t="s">
        <v>2276</v>
      </c>
      <c r="I218" s="21" t="s">
        <v>2276</v>
      </c>
      <c r="J218" s="21" t="s">
        <v>2276</v>
      </c>
      <c r="K218" s="21"/>
      <c r="L218" s="21" t="s">
        <v>2276</v>
      </c>
      <c r="M218" s="21" t="s">
        <v>2276</v>
      </c>
      <c r="N218" s="21" t="s">
        <v>2276</v>
      </c>
      <c r="O218" s="21" t="s">
        <v>2276</v>
      </c>
      <c r="P218" s="21" t="s">
        <v>2276</v>
      </c>
      <c r="Q218" s="21" t="s">
        <v>2276</v>
      </c>
      <c r="R218" s="21" t="s">
        <v>2276</v>
      </c>
      <c r="S218" s="21" t="s">
        <v>2276</v>
      </c>
      <c r="T218" s="4" t="s">
        <v>1954</v>
      </c>
    </row>
    <row r="219" spans="1:20" ht="58.5" customHeight="1">
      <c r="A219" s="3" t="s">
        <v>1899</v>
      </c>
      <c r="B219" s="3" t="s">
        <v>2276</v>
      </c>
      <c r="C219" s="11" t="s">
        <v>12</v>
      </c>
      <c r="D219" s="19" t="s">
        <v>397</v>
      </c>
      <c r="E219" s="4" t="s">
        <v>2276</v>
      </c>
      <c r="F219" s="3" t="s">
        <v>2276</v>
      </c>
      <c r="G219" s="3" t="s">
        <v>2276</v>
      </c>
      <c r="H219" s="21" t="s">
        <v>2276</v>
      </c>
      <c r="I219" s="21" t="s">
        <v>2276</v>
      </c>
      <c r="J219" s="21" t="s">
        <v>2276</v>
      </c>
      <c r="K219" s="21"/>
      <c r="L219" s="21" t="s">
        <v>2276</v>
      </c>
      <c r="M219" s="21" t="s">
        <v>2276</v>
      </c>
      <c r="N219" s="21" t="s">
        <v>2276</v>
      </c>
      <c r="O219" s="21" t="s">
        <v>2276</v>
      </c>
      <c r="P219" s="21" t="s">
        <v>2276</v>
      </c>
      <c r="Q219" s="21" t="s">
        <v>2276</v>
      </c>
      <c r="R219" s="21" t="s">
        <v>2276</v>
      </c>
      <c r="S219" s="21" t="s">
        <v>2276</v>
      </c>
      <c r="T219" s="4" t="s">
        <v>1954</v>
      </c>
    </row>
    <row r="220" spans="1:20" ht="58.5" customHeight="1">
      <c r="A220" s="3" t="s">
        <v>1900</v>
      </c>
      <c r="B220" s="3" t="s">
        <v>2276</v>
      </c>
      <c r="C220" s="11" t="s">
        <v>12</v>
      </c>
      <c r="D220" s="19" t="s">
        <v>397</v>
      </c>
      <c r="E220" s="4" t="s">
        <v>2276</v>
      </c>
      <c r="F220" s="3" t="s">
        <v>2276</v>
      </c>
      <c r="G220" s="3" t="s">
        <v>2276</v>
      </c>
      <c r="H220" s="21" t="s">
        <v>2276</v>
      </c>
      <c r="I220" s="21" t="s">
        <v>2276</v>
      </c>
      <c r="J220" s="21" t="s">
        <v>2276</v>
      </c>
      <c r="K220" s="21"/>
      <c r="L220" s="21" t="s">
        <v>2276</v>
      </c>
      <c r="M220" s="21" t="s">
        <v>2276</v>
      </c>
      <c r="N220" s="21" t="s">
        <v>2276</v>
      </c>
      <c r="O220" s="21" t="s">
        <v>2276</v>
      </c>
      <c r="P220" s="21" t="s">
        <v>2276</v>
      </c>
      <c r="Q220" s="21" t="s">
        <v>2276</v>
      </c>
      <c r="R220" s="21" t="s">
        <v>2276</v>
      </c>
      <c r="S220" s="21" t="s">
        <v>2276</v>
      </c>
      <c r="T220" s="4" t="s">
        <v>1956</v>
      </c>
    </row>
    <row r="221" spans="1:20" ht="58.5" customHeight="1">
      <c r="A221" s="3" t="s">
        <v>1902</v>
      </c>
      <c r="B221" s="3" t="s">
        <v>2276</v>
      </c>
      <c r="C221" s="11" t="s">
        <v>395</v>
      </c>
      <c r="D221" s="19" t="s">
        <v>130</v>
      </c>
      <c r="E221" s="4" t="s">
        <v>2276</v>
      </c>
      <c r="F221" s="3" t="s">
        <v>2276</v>
      </c>
      <c r="G221" s="3" t="s">
        <v>2276</v>
      </c>
      <c r="H221" s="21" t="s">
        <v>2276</v>
      </c>
      <c r="I221" s="21" t="s">
        <v>2276</v>
      </c>
      <c r="J221" s="21" t="s">
        <v>2276</v>
      </c>
      <c r="K221" s="21"/>
      <c r="L221" s="21" t="s">
        <v>2276</v>
      </c>
      <c r="M221" s="21" t="s">
        <v>2276</v>
      </c>
      <c r="N221" s="21" t="s">
        <v>2276</v>
      </c>
      <c r="O221" s="21" t="s">
        <v>2276</v>
      </c>
      <c r="P221" s="21" t="s">
        <v>2276</v>
      </c>
      <c r="Q221" s="21" t="s">
        <v>2276</v>
      </c>
      <c r="R221" s="21" t="s">
        <v>2276</v>
      </c>
      <c r="S221" s="21" t="s">
        <v>2276</v>
      </c>
      <c r="T221" s="4" t="s">
        <v>1957</v>
      </c>
    </row>
    <row r="222" spans="1:20" ht="58.5" customHeight="1">
      <c r="A222" s="3" t="s">
        <v>1901</v>
      </c>
      <c r="B222" s="3" t="s">
        <v>2276</v>
      </c>
      <c r="C222" s="11" t="s">
        <v>12</v>
      </c>
      <c r="D222" s="19" t="s">
        <v>397</v>
      </c>
      <c r="E222" s="4" t="s">
        <v>2276</v>
      </c>
      <c r="F222" s="3" t="s">
        <v>2276</v>
      </c>
      <c r="G222" s="3" t="s">
        <v>2276</v>
      </c>
      <c r="H222" s="21" t="s">
        <v>2276</v>
      </c>
      <c r="I222" s="21" t="s">
        <v>2276</v>
      </c>
      <c r="J222" s="21" t="s">
        <v>2276</v>
      </c>
      <c r="K222" s="21"/>
      <c r="L222" s="21" t="s">
        <v>2276</v>
      </c>
      <c r="M222" s="21" t="s">
        <v>2276</v>
      </c>
      <c r="N222" s="21" t="s">
        <v>2276</v>
      </c>
      <c r="O222" s="21" t="s">
        <v>2276</v>
      </c>
      <c r="P222" s="21" t="s">
        <v>2276</v>
      </c>
      <c r="Q222" s="21" t="s">
        <v>2276</v>
      </c>
      <c r="R222" s="21" t="s">
        <v>2276</v>
      </c>
      <c r="S222" s="21" t="s">
        <v>2276</v>
      </c>
      <c r="T222" s="4" t="s">
        <v>1954</v>
      </c>
    </row>
    <row r="223" spans="1:20" ht="58.5" customHeight="1">
      <c r="A223" s="3" t="s">
        <v>1903</v>
      </c>
      <c r="B223" s="3" t="s">
        <v>2276</v>
      </c>
      <c r="C223" s="11" t="s">
        <v>12</v>
      </c>
      <c r="D223" s="19" t="s">
        <v>397</v>
      </c>
      <c r="E223" s="4" t="s">
        <v>2276</v>
      </c>
      <c r="F223" s="3" t="s">
        <v>2276</v>
      </c>
      <c r="G223" s="3" t="s">
        <v>2276</v>
      </c>
      <c r="H223" s="21" t="s">
        <v>2276</v>
      </c>
      <c r="I223" s="21" t="s">
        <v>2276</v>
      </c>
      <c r="J223" s="21" t="s">
        <v>2276</v>
      </c>
      <c r="K223" s="21"/>
      <c r="L223" s="21" t="s">
        <v>2276</v>
      </c>
      <c r="M223" s="21" t="s">
        <v>2276</v>
      </c>
      <c r="N223" s="21" t="s">
        <v>2276</v>
      </c>
      <c r="O223" s="21" t="s">
        <v>2276</v>
      </c>
      <c r="P223" s="21" t="s">
        <v>2276</v>
      </c>
      <c r="Q223" s="21" t="s">
        <v>2276</v>
      </c>
      <c r="R223" s="21" t="s">
        <v>2276</v>
      </c>
      <c r="S223" s="21" t="s">
        <v>2276</v>
      </c>
      <c r="T223" s="4" t="s">
        <v>1954</v>
      </c>
    </row>
    <row r="224" spans="1:20" ht="58.5" customHeight="1">
      <c r="A224" s="3" t="s">
        <v>1904</v>
      </c>
      <c r="B224" s="3" t="s">
        <v>2276</v>
      </c>
      <c r="C224" s="11" t="s">
        <v>12</v>
      </c>
      <c r="D224" s="19" t="s">
        <v>397</v>
      </c>
      <c r="E224" s="4" t="s">
        <v>2276</v>
      </c>
      <c r="F224" s="3" t="s">
        <v>2276</v>
      </c>
      <c r="G224" s="3" t="s">
        <v>2276</v>
      </c>
      <c r="H224" s="21" t="s">
        <v>2276</v>
      </c>
      <c r="I224" s="21" t="s">
        <v>2276</v>
      </c>
      <c r="J224" s="21" t="s">
        <v>2276</v>
      </c>
      <c r="K224" s="21"/>
      <c r="L224" s="21" t="s">
        <v>2276</v>
      </c>
      <c r="M224" s="21" t="s">
        <v>2276</v>
      </c>
      <c r="N224" s="21" t="s">
        <v>2276</v>
      </c>
      <c r="O224" s="21" t="s">
        <v>2276</v>
      </c>
      <c r="P224" s="21" t="s">
        <v>2276</v>
      </c>
      <c r="Q224" s="21" t="s">
        <v>2276</v>
      </c>
      <c r="R224" s="21" t="s">
        <v>2276</v>
      </c>
      <c r="S224" s="21" t="s">
        <v>2276</v>
      </c>
      <c r="T224" s="4" t="s">
        <v>1956</v>
      </c>
    </row>
    <row r="225" spans="1:20" ht="58.5" customHeight="1">
      <c r="A225" s="3" t="s">
        <v>1905</v>
      </c>
      <c r="B225" s="3" t="s">
        <v>2276</v>
      </c>
      <c r="C225" s="11" t="s">
        <v>395</v>
      </c>
      <c r="D225" s="19" t="s">
        <v>130</v>
      </c>
      <c r="E225" s="4" t="s">
        <v>2276</v>
      </c>
      <c r="F225" s="3" t="s">
        <v>2276</v>
      </c>
      <c r="G225" s="3" t="s">
        <v>2276</v>
      </c>
      <c r="H225" s="21" t="s">
        <v>2276</v>
      </c>
      <c r="I225" s="21" t="s">
        <v>2276</v>
      </c>
      <c r="J225" s="21" t="s">
        <v>2276</v>
      </c>
      <c r="K225" s="21"/>
      <c r="L225" s="21" t="s">
        <v>2276</v>
      </c>
      <c r="M225" s="21" t="s">
        <v>2276</v>
      </c>
      <c r="N225" s="21" t="s">
        <v>2276</v>
      </c>
      <c r="O225" s="21" t="s">
        <v>2276</v>
      </c>
      <c r="P225" s="21" t="s">
        <v>2276</v>
      </c>
      <c r="Q225" s="21" t="s">
        <v>2276</v>
      </c>
      <c r="R225" s="21" t="s">
        <v>2276</v>
      </c>
      <c r="S225" s="21" t="s">
        <v>2276</v>
      </c>
      <c r="T225" s="4" t="s">
        <v>1958</v>
      </c>
    </row>
    <row r="226" spans="1:20" ht="58.5" customHeight="1">
      <c r="A226" s="3" t="s">
        <v>1906</v>
      </c>
      <c r="B226" s="3" t="s">
        <v>2276</v>
      </c>
      <c r="C226" s="11" t="s">
        <v>395</v>
      </c>
      <c r="D226" s="19" t="s">
        <v>130</v>
      </c>
      <c r="E226" s="4" t="s">
        <v>2276</v>
      </c>
      <c r="F226" s="3" t="s">
        <v>2276</v>
      </c>
      <c r="G226" s="3" t="s">
        <v>2276</v>
      </c>
      <c r="H226" s="21" t="s">
        <v>2276</v>
      </c>
      <c r="I226" s="21" t="s">
        <v>2276</v>
      </c>
      <c r="J226" s="21" t="s">
        <v>2276</v>
      </c>
      <c r="K226" s="21"/>
      <c r="L226" s="21" t="s">
        <v>2276</v>
      </c>
      <c r="M226" s="21" t="s">
        <v>2276</v>
      </c>
      <c r="N226" s="21" t="s">
        <v>2276</v>
      </c>
      <c r="O226" s="21" t="s">
        <v>2276</v>
      </c>
      <c r="P226" s="21" t="s">
        <v>2276</v>
      </c>
      <c r="Q226" s="21" t="s">
        <v>2276</v>
      </c>
      <c r="R226" s="21" t="s">
        <v>2276</v>
      </c>
      <c r="S226" s="21" t="s">
        <v>2276</v>
      </c>
      <c r="T226" s="4" t="s">
        <v>1958</v>
      </c>
    </row>
    <row r="227" spans="1:20" ht="58.5" customHeight="1">
      <c r="A227" s="3" t="s">
        <v>1907</v>
      </c>
      <c r="B227" s="3" t="s">
        <v>2276</v>
      </c>
      <c r="C227" s="11" t="s">
        <v>395</v>
      </c>
      <c r="D227" s="19" t="s">
        <v>130</v>
      </c>
      <c r="E227" s="4" t="s">
        <v>2276</v>
      </c>
      <c r="F227" s="3" t="s">
        <v>2276</v>
      </c>
      <c r="G227" s="3" t="s">
        <v>2276</v>
      </c>
      <c r="H227" s="21" t="s">
        <v>2276</v>
      </c>
      <c r="I227" s="21" t="s">
        <v>2276</v>
      </c>
      <c r="J227" s="21" t="s">
        <v>2276</v>
      </c>
      <c r="K227" s="21"/>
      <c r="L227" s="21" t="s">
        <v>2276</v>
      </c>
      <c r="M227" s="21" t="s">
        <v>2276</v>
      </c>
      <c r="N227" s="21" t="s">
        <v>2276</v>
      </c>
      <c r="O227" s="21" t="s">
        <v>2276</v>
      </c>
      <c r="P227" s="21" t="s">
        <v>2276</v>
      </c>
      <c r="Q227" s="21" t="s">
        <v>2276</v>
      </c>
      <c r="R227" s="21" t="s">
        <v>2276</v>
      </c>
      <c r="S227" s="21" t="s">
        <v>2276</v>
      </c>
      <c r="T227" s="4" t="s">
        <v>1959</v>
      </c>
    </row>
    <row r="228" spans="1:20" ht="58.5" customHeight="1">
      <c r="A228" s="3" t="s">
        <v>1908</v>
      </c>
      <c r="B228" s="3" t="s">
        <v>2276</v>
      </c>
      <c r="C228" s="11" t="s">
        <v>395</v>
      </c>
      <c r="D228" s="19" t="s">
        <v>130</v>
      </c>
      <c r="E228" s="4" t="s">
        <v>2276</v>
      </c>
      <c r="F228" s="3" t="s">
        <v>2276</v>
      </c>
      <c r="G228" s="3" t="s">
        <v>2276</v>
      </c>
      <c r="H228" s="21" t="s">
        <v>2276</v>
      </c>
      <c r="I228" s="21" t="s">
        <v>2276</v>
      </c>
      <c r="J228" s="21" t="s">
        <v>2276</v>
      </c>
      <c r="K228" s="21"/>
      <c r="L228" s="21" t="s">
        <v>2276</v>
      </c>
      <c r="M228" s="21" t="s">
        <v>2276</v>
      </c>
      <c r="N228" s="21" t="s">
        <v>2276</v>
      </c>
      <c r="O228" s="21" t="s">
        <v>2276</v>
      </c>
      <c r="P228" s="21" t="s">
        <v>2276</v>
      </c>
      <c r="Q228" s="21" t="s">
        <v>2276</v>
      </c>
      <c r="R228" s="21" t="s">
        <v>2276</v>
      </c>
      <c r="S228" s="21" t="s">
        <v>2276</v>
      </c>
      <c r="T228" s="4" t="s">
        <v>1954</v>
      </c>
    </row>
    <row r="229" spans="1:20" ht="58.5" customHeight="1">
      <c r="A229" s="3" t="s">
        <v>1909</v>
      </c>
      <c r="B229" s="3" t="s">
        <v>2276</v>
      </c>
      <c r="C229" s="11" t="s">
        <v>395</v>
      </c>
      <c r="D229" s="19" t="s">
        <v>130</v>
      </c>
      <c r="E229" s="4" t="s">
        <v>2276</v>
      </c>
      <c r="F229" s="3" t="s">
        <v>2276</v>
      </c>
      <c r="G229" s="3" t="s">
        <v>2276</v>
      </c>
      <c r="H229" s="21" t="s">
        <v>2276</v>
      </c>
      <c r="I229" s="21" t="s">
        <v>2276</v>
      </c>
      <c r="J229" s="21" t="s">
        <v>2276</v>
      </c>
      <c r="K229" s="21"/>
      <c r="L229" s="21" t="s">
        <v>2276</v>
      </c>
      <c r="M229" s="21" t="s">
        <v>2276</v>
      </c>
      <c r="N229" s="21" t="s">
        <v>2276</v>
      </c>
      <c r="O229" s="21" t="s">
        <v>2276</v>
      </c>
      <c r="P229" s="21" t="s">
        <v>2276</v>
      </c>
      <c r="Q229" s="21" t="s">
        <v>2276</v>
      </c>
      <c r="R229" s="21" t="s">
        <v>2276</v>
      </c>
      <c r="S229" s="21" t="s">
        <v>2276</v>
      </c>
      <c r="T229" s="4" t="s">
        <v>1957</v>
      </c>
    </row>
    <row r="230" spans="1:20" ht="58.5" customHeight="1">
      <c r="A230" s="3" t="s">
        <v>1910</v>
      </c>
      <c r="B230" s="3" t="s">
        <v>2276</v>
      </c>
      <c r="C230" s="11" t="s">
        <v>395</v>
      </c>
      <c r="D230" s="19" t="s">
        <v>130</v>
      </c>
      <c r="E230" s="4" t="s">
        <v>2276</v>
      </c>
      <c r="F230" s="3" t="s">
        <v>2276</v>
      </c>
      <c r="G230" s="3" t="s">
        <v>2276</v>
      </c>
      <c r="H230" s="21" t="s">
        <v>2276</v>
      </c>
      <c r="I230" s="21" t="s">
        <v>2276</v>
      </c>
      <c r="J230" s="21" t="s">
        <v>2276</v>
      </c>
      <c r="K230" s="21"/>
      <c r="L230" s="21" t="s">
        <v>2276</v>
      </c>
      <c r="M230" s="21" t="s">
        <v>2276</v>
      </c>
      <c r="N230" s="21" t="s">
        <v>2276</v>
      </c>
      <c r="O230" s="21" t="s">
        <v>2276</v>
      </c>
      <c r="P230" s="21" t="s">
        <v>2276</v>
      </c>
      <c r="Q230" s="21" t="s">
        <v>2276</v>
      </c>
      <c r="R230" s="21" t="s">
        <v>2276</v>
      </c>
      <c r="S230" s="21" t="s">
        <v>2276</v>
      </c>
      <c r="T230" s="4" t="s">
        <v>1954</v>
      </c>
    </row>
    <row r="231" spans="1:20" ht="58.5" customHeight="1">
      <c r="A231" s="3" t="s">
        <v>1911</v>
      </c>
      <c r="B231" s="3" t="s">
        <v>2276</v>
      </c>
      <c r="C231" s="11" t="s">
        <v>12</v>
      </c>
      <c r="D231" s="19" t="s">
        <v>397</v>
      </c>
      <c r="E231" s="4" t="s">
        <v>2276</v>
      </c>
      <c r="F231" s="3" t="s">
        <v>2276</v>
      </c>
      <c r="G231" s="3" t="s">
        <v>2276</v>
      </c>
      <c r="H231" s="21" t="s">
        <v>2276</v>
      </c>
      <c r="I231" s="21" t="s">
        <v>2276</v>
      </c>
      <c r="J231" s="21" t="s">
        <v>2276</v>
      </c>
      <c r="K231" s="21"/>
      <c r="L231" s="21" t="s">
        <v>2276</v>
      </c>
      <c r="M231" s="21" t="s">
        <v>2276</v>
      </c>
      <c r="N231" s="21" t="s">
        <v>2276</v>
      </c>
      <c r="O231" s="21" t="s">
        <v>2276</v>
      </c>
      <c r="P231" s="21" t="s">
        <v>2276</v>
      </c>
      <c r="Q231" s="21" t="s">
        <v>2276</v>
      </c>
      <c r="R231" s="21" t="s">
        <v>2276</v>
      </c>
      <c r="S231" s="21" t="s">
        <v>2276</v>
      </c>
      <c r="T231" s="4" t="s">
        <v>1956</v>
      </c>
    </row>
    <row r="232" spans="1:20" ht="43.5" customHeight="1">
      <c r="A232" s="3" t="s">
        <v>588</v>
      </c>
      <c r="B232" s="11" t="s">
        <v>69</v>
      </c>
      <c r="C232" s="11" t="s">
        <v>12</v>
      </c>
      <c r="D232" s="11" t="s">
        <v>130</v>
      </c>
      <c r="E232" s="3" t="s">
        <v>2649</v>
      </c>
      <c r="F232" s="3" t="s">
        <v>137</v>
      </c>
      <c r="G232" s="3" t="s">
        <v>2276</v>
      </c>
      <c r="H232" s="21" t="s">
        <v>2276</v>
      </c>
      <c r="I232" s="21" t="s">
        <v>2276</v>
      </c>
      <c r="J232" s="21" t="s">
        <v>2276</v>
      </c>
      <c r="K232" s="21"/>
      <c r="L232" s="21" t="s">
        <v>2276</v>
      </c>
      <c r="M232" s="21" t="s">
        <v>2276</v>
      </c>
      <c r="N232" s="21" t="s">
        <v>2276</v>
      </c>
      <c r="O232" s="21" t="s">
        <v>2276</v>
      </c>
      <c r="P232" s="21" t="s">
        <v>2276</v>
      </c>
      <c r="Q232" s="21" t="s">
        <v>2276</v>
      </c>
      <c r="R232" s="21" t="s">
        <v>2276</v>
      </c>
      <c r="S232" s="21" t="s">
        <v>2276</v>
      </c>
      <c r="T232" s="18" t="s">
        <v>2004</v>
      </c>
    </row>
    <row r="233" spans="1:20" ht="53" customHeight="1">
      <c r="A233" s="3" t="s">
        <v>592</v>
      </c>
      <c r="B233" s="11" t="s">
        <v>32</v>
      </c>
      <c r="C233" s="11" t="s">
        <v>12</v>
      </c>
      <c r="D233" s="11" t="s">
        <v>130</v>
      </c>
      <c r="E233" s="4" t="s">
        <v>396</v>
      </c>
      <c r="F233" s="3" t="s">
        <v>2649</v>
      </c>
      <c r="G233" s="3" t="s">
        <v>137</v>
      </c>
      <c r="H233" s="21" t="s">
        <v>2276</v>
      </c>
      <c r="I233" s="21" t="s">
        <v>2276</v>
      </c>
      <c r="J233" s="21" t="s">
        <v>2276</v>
      </c>
      <c r="K233" s="21"/>
      <c r="L233" s="21" t="s">
        <v>2276</v>
      </c>
      <c r="M233" s="21" t="s">
        <v>2276</v>
      </c>
      <c r="N233" s="21" t="s">
        <v>2276</v>
      </c>
      <c r="O233" s="21" t="s">
        <v>2276</v>
      </c>
      <c r="P233" s="21" t="s">
        <v>2276</v>
      </c>
      <c r="Q233" s="21" t="s">
        <v>2276</v>
      </c>
      <c r="R233" s="21" t="s">
        <v>2276</v>
      </c>
      <c r="S233" s="21" t="s">
        <v>2276</v>
      </c>
      <c r="T233" s="18" t="s">
        <v>2006</v>
      </c>
    </row>
    <row r="234" spans="1:20" ht="47" customHeight="1">
      <c r="A234" s="3" t="s">
        <v>594</v>
      </c>
      <c r="B234" s="11" t="s">
        <v>32</v>
      </c>
      <c r="C234" s="11" t="s">
        <v>12</v>
      </c>
      <c r="D234" s="11" t="s">
        <v>130</v>
      </c>
      <c r="E234" s="4" t="s">
        <v>397</v>
      </c>
      <c r="F234" s="3" t="s">
        <v>137</v>
      </c>
      <c r="G234" s="3" t="s">
        <v>2276</v>
      </c>
      <c r="H234" s="21" t="s">
        <v>2276</v>
      </c>
      <c r="I234" s="21" t="s">
        <v>2276</v>
      </c>
      <c r="J234" s="21" t="s">
        <v>2276</v>
      </c>
      <c r="K234" s="21"/>
      <c r="L234" s="21" t="s">
        <v>2276</v>
      </c>
      <c r="M234" s="21" t="s">
        <v>2276</v>
      </c>
      <c r="N234" s="21" t="s">
        <v>2276</v>
      </c>
      <c r="O234" s="21" t="s">
        <v>2276</v>
      </c>
      <c r="P234" s="21" t="s">
        <v>2276</v>
      </c>
      <c r="Q234" s="21" t="s">
        <v>2276</v>
      </c>
      <c r="R234" s="21" t="s">
        <v>2276</v>
      </c>
      <c r="S234" s="21" t="s">
        <v>2276</v>
      </c>
      <c r="T234" s="18" t="s">
        <v>2005</v>
      </c>
    </row>
    <row r="235" spans="1:20" ht="56.5" customHeight="1">
      <c r="A235" s="3" t="s">
        <v>597</v>
      </c>
      <c r="B235" s="11" t="s">
        <v>32</v>
      </c>
      <c r="C235" s="11" t="s">
        <v>12</v>
      </c>
      <c r="D235" s="11" t="s">
        <v>130</v>
      </c>
      <c r="E235" s="4" t="s">
        <v>396</v>
      </c>
      <c r="F235" s="3" t="s">
        <v>137</v>
      </c>
      <c r="G235" s="3" t="s">
        <v>2276</v>
      </c>
      <c r="H235" s="21" t="s">
        <v>2276</v>
      </c>
      <c r="I235" s="21" t="s">
        <v>2276</v>
      </c>
      <c r="J235" s="21" t="s">
        <v>2276</v>
      </c>
      <c r="K235" s="21"/>
      <c r="L235" s="21" t="s">
        <v>2276</v>
      </c>
      <c r="M235" s="21" t="s">
        <v>2276</v>
      </c>
      <c r="N235" s="21" t="s">
        <v>2276</v>
      </c>
      <c r="O235" s="21" t="s">
        <v>2276</v>
      </c>
      <c r="P235" s="21" t="s">
        <v>2276</v>
      </c>
      <c r="Q235" s="21" t="s">
        <v>2276</v>
      </c>
      <c r="R235" s="21" t="s">
        <v>2276</v>
      </c>
      <c r="S235" s="21" t="s">
        <v>2276</v>
      </c>
      <c r="T235" s="18" t="s">
        <v>2007</v>
      </c>
    </row>
    <row r="236" spans="1:20" ht="48.5" customHeight="1">
      <c r="A236" s="3" t="s">
        <v>600</v>
      </c>
      <c r="B236" s="11" t="s">
        <v>70</v>
      </c>
      <c r="C236" s="11" t="s">
        <v>12</v>
      </c>
      <c r="D236" s="11" t="s">
        <v>130</v>
      </c>
      <c r="E236" s="3" t="s">
        <v>2649</v>
      </c>
      <c r="F236" s="3" t="s">
        <v>137</v>
      </c>
      <c r="G236" s="3" t="s">
        <v>116</v>
      </c>
      <c r="H236" s="21" t="s">
        <v>2276</v>
      </c>
      <c r="I236" s="21" t="s">
        <v>2276</v>
      </c>
      <c r="J236" s="21" t="s">
        <v>2276</v>
      </c>
      <c r="K236" s="21"/>
      <c r="L236" s="21" t="s">
        <v>2276</v>
      </c>
      <c r="M236" s="21" t="s">
        <v>2276</v>
      </c>
      <c r="N236" s="21" t="s">
        <v>2276</v>
      </c>
      <c r="O236" s="21" t="s">
        <v>2276</v>
      </c>
      <c r="P236" s="21" t="s">
        <v>2276</v>
      </c>
      <c r="Q236" s="21" t="s">
        <v>2276</v>
      </c>
      <c r="R236" s="21" t="s">
        <v>2276</v>
      </c>
      <c r="S236" s="21" t="s">
        <v>2276</v>
      </c>
      <c r="T236" s="18" t="s">
        <v>2004</v>
      </c>
    </row>
    <row r="237" spans="1:20" ht="54.5" customHeight="1">
      <c r="A237" s="22" t="s">
        <v>602</v>
      </c>
      <c r="B237" s="26" t="s">
        <v>70</v>
      </c>
      <c r="C237" s="23" t="s">
        <v>12</v>
      </c>
      <c r="D237" s="26" t="s">
        <v>130</v>
      </c>
      <c r="E237" s="24" t="s">
        <v>396</v>
      </c>
      <c r="F237" s="22" t="s">
        <v>45</v>
      </c>
      <c r="G237" s="22" t="s">
        <v>2276</v>
      </c>
      <c r="H237" s="77">
        <v>1.56</v>
      </c>
      <c r="I237" s="77">
        <v>78.5</v>
      </c>
      <c r="J237" s="77">
        <v>1.25</v>
      </c>
      <c r="K237" s="77"/>
      <c r="L237" s="77" t="s">
        <v>2276</v>
      </c>
      <c r="M237" s="77" t="s">
        <v>2276</v>
      </c>
      <c r="N237" s="77" t="s">
        <v>2276</v>
      </c>
      <c r="O237" s="77">
        <v>27</v>
      </c>
      <c r="P237" s="77">
        <v>11</v>
      </c>
      <c r="Q237" s="77">
        <v>7</v>
      </c>
      <c r="R237" s="77">
        <v>55</v>
      </c>
      <c r="S237" s="77" t="s">
        <v>2276</v>
      </c>
      <c r="T237" s="24" t="s">
        <v>569</v>
      </c>
    </row>
    <row r="238" spans="1:20" ht="48.5" customHeight="1">
      <c r="A238" s="22" t="s">
        <v>622</v>
      </c>
      <c r="B238" s="3" t="s">
        <v>2276</v>
      </c>
      <c r="C238" s="23" t="s">
        <v>395</v>
      </c>
      <c r="D238" s="23" t="s">
        <v>130</v>
      </c>
      <c r="E238" s="22" t="s">
        <v>2276</v>
      </c>
      <c r="F238" s="22" t="s">
        <v>2276</v>
      </c>
      <c r="G238" s="22" t="s">
        <v>2276</v>
      </c>
      <c r="H238" s="77" t="s">
        <v>2276</v>
      </c>
      <c r="I238" s="77" t="s">
        <v>2276</v>
      </c>
      <c r="J238" s="77" t="s">
        <v>2276</v>
      </c>
      <c r="K238" s="77"/>
      <c r="L238" s="77" t="s">
        <v>2276</v>
      </c>
      <c r="M238" s="77" t="s">
        <v>2276</v>
      </c>
      <c r="N238" s="77" t="s">
        <v>2276</v>
      </c>
      <c r="O238" s="77" t="s">
        <v>2276</v>
      </c>
      <c r="P238" s="77" t="s">
        <v>2276</v>
      </c>
      <c r="Q238" s="77" t="s">
        <v>2276</v>
      </c>
      <c r="R238" s="77" t="s">
        <v>2276</v>
      </c>
      <c r="S238" s="77" t="s">
        <v>2276</v>
      </c>
      <c r="T238" s="22"/>
    </row>
    <row r="239" spans="1:20" ht="51" customHeight="1">
      <c r="A239" s="3" t="s">
        <v>623</v>
      </c>
      <c r="B239" s="3" t="s">
        <v>69</v>
      </c>
      <c r="C239" s="11" t="s">
        <v>395</v>
      </c>
      <c r="D239" s="19" t="s">
        <v>397</v>
      </c>
      <c r="E239" s="11" t="s">
        <v>130</v>
      </c>
      <c r="F239" s="3" t="s">
        <v>2276</v>
      </c>
      <c r="G239" s="3" t="s">
        <v>2276</v>
      </c>
      <c r="H239" s="21" t="s">
        <v>2276</v>
      </c>
      <c r="I239" s="21" t="s">
        <v>2276</v>
      </c>
      <c r="J239" s="21">
        <v>6</v>
      </c>
      <c r="K239" s="21"/>
      <c r="L239" s="21" t="s">
        <v>2276</v>
      </c>
      <c r="M239" s="21" t="s">
        <v>2276</v>
      </c>
      <c r="N239" s="21" t="s">
        <v>2276</v>
      </c>
      <c r="O239" s="21" t="s">
        <v>2276</v>
      </c>
      <c r="P239" s="21" t="s">
        <v>2276</v>
      </c>
      <c r="Q239" s="21" t="s">
        <v>2276</v>
      </c>
      <c r="R239" s="21" t="s">
        <v>2276</v>
      </c>
      <c r="S239" s="21" t="s">
        <v>2276</v>
      </c>
      <c r="T239" s="4" t="s">
        <v>2010</v>
      </c>
    </row>
    <row r="240" spans="1:20" ht="47" customHeight="1">
      <c r="A240" s="11" t="s">
        <v>642</v>
      </c>
      <c r="B240" s="3" t="s">
        <v>69</v>
      </c>
      <c r="C240" s="11" t="s">
        <v>395</v>
      </c>
      <c r="D240" s="11" t="s">
        <v>130</v>
      </c>
      <c r="E240" s="3" t="s">
        <v>2276</v>
      </c>
      <c r="F240" s="3" t="s">
        <v>2276</v>
      </c>
      <c r="G240" s="3" t="s">
        <v>2276</v>
      </c>
      <c r="H240" s="21" t="s">
        <v>2276</v>
      </c>
      <c r="I240" s="21" t="s">
        <v>2276</v>
      </c>
      <c r="J240" s="21" t="s">
        <v>2276</v>
      </c>
      <c r="K240" s="21"/>
      <c r="L240" s="21" t="s">
        <v>2276</v>
      </c>
      <c r="M240" s="21" t="s">
        <v>2276</v>
      </c>
      <c r="N240" s="21" t="s">
        <v>2276</v>
      </c>
      <c r="O240" s="21" t="s">
        <v>2276</v>
      </c>
      <c r="P240" s="21" t="s">
        <v>2276</v>
      </c>
      <c r="Q240" s="21" t="s">
        <v>2276</v>
      </c>
      <c r="R240" s="21" t="s">
        <v>2276</v>
      </c>
      <c r="S240" s="21" t="s">
        <v>2276</v>
      </c>
      <c r="T240" s="3"/>
    </row>
    <row r="241" spans="1:20" ht="34.5" customHeight="1">
      <c r="A241" s="11" t="s">
        <v>652</v>
      </c>
      <c r="B241" s="3" t="s">
        <v>32</v>
      </c>
      <c r="C241" s="11" t="s">
        <v>395</v>
      </c>
      <c r="D241" s="11" t="s">
        <v>130</v>
      </c>
      <c r="E241" s="22" t="s">
        <v>45</v>
      </c>
      <c r="F241" s="3" t="s">
        <v>2276</v>
      </c>
      <c r="G241" s="3" t="s">
        <v>2276</v>
      </c>
      <c r="H241" s="21" t="s">
        <v>2276</v>
      </c>
      <c r="I241" s="21" t="s">
        <v>2276</v>
      </c>
      <c r="J241" s="21" t="s">
        <v>2276</v>
      </c>
      <c r="K241" s="21"/>
      <c r="L241" s="21" t="s">
        <v>2276</v>
      </c>
      <c r="M241" s="21" t="s">
        <v>2276</v>
      </c>
      <c r="N241" s="21" t="s">
        <v>2276</v>
      </c>
      <c r="O241" s="21" t="s">
        <v>2276</v>
      </c>
      <c r="P241" s="21">
        <v>0.15</v>
      </c>
      <c r="Q241" s="21">
        <v>3.4</v>
      </c>
      <c r="R241" s="21">
        <v>96.45</v>
      </c>
      <c r="S241" s="21">
        <v>5.2818500000000003E-3</v>
      </c>
      <c r="T241" s="4" t="s">
        <v>2013</v>
      </c>
    </row>
    <row r="242" spans="1:20" ht="33.5" customHeight="1">
      <c r="A242" s="11" t="s">
        <v>655</v>
      </c>
      <c r="B242" s="3" t="s">
        <v>69</v>
      </c>
      <c r="C242" s="11" t="s">
        <v>395</v>
      </c>
      <c r="D242" s="11" t="s">
        <v>130</v>
      </c>
      <c r="E242" s="3" t="s">
        <v>2276</v>
      </c>
      <c r="F242" s="3" t="s">
        <v>2276</v>
      </c>
      <c r="G242" s="3" t="s">
        <v>2276</v>
      </c>
      <c r="H242" s="21" t="s">
        <v>2276</v>
      </c>
      <c r="I242" s="21">
        <v>10.09</v>
      </c>
      <c r="J242" s="21" t="s">
        <v>2276</v>
      </c>
      <c r="K242" s="21"/>
      <c r="L242" s="21" t="s">
        <v>2276</v>
      </c>
      <c r="M242" s="21" t="s">
        <v>2276</v>
      </c>
      <c r="N242" s="21" t="s">
        <v>2276</v>
      </c>
      <c r="O242" s="21" t="s">
        <v>2276</v>
      </c>
      <c r="P242" s="21">
        <v>54</v>
      </c>
      <c r="Q242" s="21">
        <v>38</v>
      </c>
      <c r="R242" s="21">
        <v>8</v>
      </c>
      <c r="S242" s="21" t="s">
        <v>2276</v>
      </c>
      <c r="T242" s="3" t="s">
        <v>5009</v>
      </c>
    </row>
    <row r="243" spans="1:20" ht="37" customHeight="1">
      <c r="A243" s="11" t="s">
        <v>661</v>
      </c>
      <c r="B243" s="3" t="s">
        <v>2276</v>
      </c>
      <c r="C243" s="11" t="s">
        <v>395</v>
      </c>
      <c r="D243" s="19" t="s">
        <v>396</v>
      </c>
      <c r="E243" s="11" t="s">
        <v>130</v>
      </c>
      <c r="F243" s="3" t="s">
        <v>137</v>
      </c>
      <c r="G243" s="3" t="s">
        <v>2276</v>
      </c>
      <c r="H243" s="21" t="s">
        <v>2276</v>
      </c>
      <c r="I243" s="21" t="s">
        <v>2276</v>
      </c>
      <c r="J243" s="21">
        <v>0.9</v>
      </c>
      <c r="K243" s="21"/>
      <c r="L243" s="21" t="s">
        <v>2276</v>
      </c>
      <c r="M243" s="21" t="s">
        <v>2276</v>
      </c>
      <c r="N243" s="21" t="s">
        <v>2276</v>
      </c>
      <c r="O243" s="21" t="s">
        <v>2276</v>
      </c>
      <c r="P243" s="21" t="s">
        <v>2276</v>
      </c>
      <c r="Q243" s="21" t="s">
        <v>2276</v>
      </c>
      <c r="R243" s="21" t="s">
        <v>2276</v>
      </c>
      <c r="S243" s="21" t="s">
        <v>2276</v>
      </c>
      <c r="T243" s="3" t="s">
        <v>2430</v>
      </c>
    </row>
    <row r="244" spans="1:20" ht="33.5" customHeight="1">
      <c r="A244" s="11" t="s">
        <v>667</v>
      </c>
      <c r="B244" s="3" t="s">
        <v>2276</v>
      </c>
      <c r="C244" s="11" t="s">
        <v>395</v>
      </c>
      <c r="D244" s="11" t="s">
        <v>130</v>
      </c>
      <c r="E244" s="3" t="s">
        <v>2276</v>
      </c>
      <c r="F244" s="3" t="s">
        <v>2276</v>
      </c>
      <c r="G244" s="3" t="s">
        <v>2276</v>
      </c>
      <c r="H244" s="21" t="s">
        <v>2276</v>
      </c>
      <c r="I244" s="21" t="s">
        <v>2276</v>
      </c>
      <c r="J244" s="21" t="s">
        <v>2276</v>
      </c>
      <c r="K244" s="21"/>
      <c r="L244" s="21" t="s">
        <v>2276</v>
      </c>
      <c r="M244" s="21" t="s">
        <v>2276</v>
      </c>
      <c r="N244" s="21" t="s">
        <v>2276</v>
      </c>
      <c r="O244" s="21" t="s">
        <v>2276</v>
      </c>
      <c r="P244" s="21" t="s">
        <v>2276</v>
      </c>
      <c r="Q244" s="21" t="s">
        <v>2276</v>
      </c>
      <c r="R244" s="21" t="s">
        <v>2276</v>
      </c>
      <c r="S244" s="21" t="s">
        <v>2276</v>
      </c>
      <c r="T244" s="3"/>
    </row>
    <row r="245" spans="1:20" ht="39.5" customHeight="1">
      <c r="A245" s="11" t="s">
        <v>674</v>
      </c>
      <c r="B245" s="3" t="s">
        <v>2276</v>
      </c>
      <c r="C245" s="11" t="s">
        <v>395</v>
      </c>
      <c r="D245" s="11" t="s">
        <v>130</v>
      </c>
      <c r="E245" s="3" t="s">
        <v>2276</v>
      </c>
      <c r="F245" s="3" t="s">
        <v>2276</v>
      </c>
      <c r="G245" s="3" t="s">
        <v>2276</v>
      </c>
      <c r="H245" s="21" t="s">
        <v>2276</v>
      </c>
      <c r="I245" s="21" t="s">
        <v>2276</v>
      </c>
      <c r="J245" s="21" t="s">
        <v>2276</v>
      </c>
      <c r="K245" s="21"/>
      <c r="L245" s="21" t="s">
        <v>2276</v>
      </c>
      <c r="M245" s="21" t="s">
        <v>2276</v>
      </c>
      <c r="N245" s="21" t="s">
        <v>2276</v>
      </c>
      <c r="O245" s="21" t="s">
        <v>2276</v>
      </c>
      <c r="P245" s="21" t="s">
        <v>2276</v>
      </c>
      <c r="Q245" s="21" t="s">
        <v>2276</v>
      </c>
      <c r="R245" s="21" t="s">
        <v>2276</v>
      </c>
      <c r="S245" s="21" t="s">
        <v>2276</v>
      </c>
      <c r="T245" s="3"/>
    </row>
    <row r="246" spans="1:20" ht="37" customHeight="1">
      <c r="A246" s="11" t="s">
        <v>677</v>
      </c>
      <c r="B246" s="3" t="s">
        <v>69</v>
      </c>
      <c r="C246" s="11" t="s">
        <v>12</v>
      </c>
      <c r="D246" s="4" t="s">
        <v>137</v>
      </c>
      <c r="E246" s="33" t="s">
        <v>130</v>
      </c>
      <c r="F246" s="4" t="s">
        <v>397</v>
      </c>
      <c r="G246" s="4" t="s">
        <v>45</v>
      </c>
      <c r="H246" s="21" t="s">
        <v>2276</v>
      </c>
      <c r="I246" s="21">
        <v>13</v>
      </c>
      <c r="J246" s="21" t="s">
        <v>2276</v>
      </c>
      <c r="K246" s="21"/>
      <c r="L246" s="21" t="s">
        <v>2276</v>
      </c>
      <c r="M246" s="21" t="s">
        <v>2276</v>
      </c>
      <c r="N246" s="21" t="s">
        <v>2276</v>
      </c>
      <c r="O246" s="21">
        <v>9</v>
      </c>
      <c r="P246" s="21">
        <v>17</v>
      </c>
      <c r="Q246" s="21">
        <v>26</v>
      </c>
      <c r="R246" s="21">
        <v>47</v>
      </c>
      <c r="S246" s="21" t="s">
        <v>2276</v>
      </c>
      <c r="T246" s="3"/>
    </row>
    <row r="247" spans="1:20" ht="41.5" customHeight="1">
      <c r="A247" s="11" t="s">
        <v>680</v>
      </c>
      <c r="B247" s="4" t="s">
        <v>1197</v>
      </c>
      <c r="C247" s="11" t="s">
        <v>12</v>
      </c>
      <c r="D247" s="11" t="s">
        <v>130</v>
      </c>
      <c r="E247" s="4" t="s">
        <v>2276</v>
      </c>
      <c r="F247" s="3" t="s">
        <v>2276</v>
      </c>
      <c r="G247" s="3" t="s">
        <v>2276</v>
      </c>
      <c r="H247" s="21" t="s">
        <v>2276</v>
      </c>
      <c r="I247" s="21">
        <v>17</v>
      </c>
      <c r="J247" s="21" t="s">
        <v>2276</v>
      </c>
      <c r="K247" s="21"/>
      <c r="L247" s="21" t="s">
        <v>2276</v>
      </c>
      <c r="M247" s="21" t="s">
        <v>2276</v>
      </c>
      <c r="N247" s="21" t="s">
        <v>2276</v>
      </c>
      <c r="O247" s="21" t="s">
        <v>2276</v>
      </c>
      <c r="P247" s="21">
        <v>12</v>
      </c>
      <c r="Q247" s="21">
        <v>57</v>
      </c>
      <c r="R247" s="21">
        <v>30</v>
      </c>
      <c r="S247" s="21" t="s">
        <v>2276</v>
      </c>
      <c r="T247" s="3"/>
    </row>
    <row r="248" spans="1:20" ht="37.5" customHeight="1">
      <c r="A248" s="11" t="s">
        <v>684</v>
      </c>
      <c r="B248" s="3" t="s">
        <v>2276</v>
      </c>
      <c r="C248" s="11" t="s">
        <v>395</v>
      </c>
      <c r="D248" s="11" t="s">
        <v>130</v>
      </c>
      <c r="E248" s="4" t="s">
        <v>397</v>
      </c>
      <c r="F248" s="3" t="s">
        <v>2276</v>
      </c>
      <c r="G248" s="3" t="s">
        <v>2276</v>
      </c>
      <c r="H248" s="21" t="s">
        <v>2276</v>
      </c>
      <c r="I248" s="21" t="s">
        <v>2276</v>
      </c>
      <c r="J248" s="21">
        <v>1.3</v>
      </c>
      <c r="K248" s="21"/>
      <c r="L248" s="21" t="s">
        <v>2276</v>
      </c>
      <c r="M248" s="21" t="s">
        <v>2276</v>
      </c>
      <c r="N248" s="21" t="s">
        <v>2276</v>
      </c>
      <c r="O248" s="21" t="s">
        <v>2276</v>
      </c>
      <c r="P248" s="21" t="s">
        <v>2276</v>
      </c>
      <c r="Q248" s="21" t="s">
        <v>2276</v>
      </c>
      <c r="R248" s="21" t="s">
        <v>2276</v>
      </c>
      <c r="S248" s="21" t="s">
        <v>2276</v>
      </c>
      <c r="T248" s="3"/>
    </row>
    <row r="249" spans="1:20" ht="33.5" customHeight="1">
      <c r="A249" s="11" t="s">
        <v>685</v>
      </c>
      <c r="B249" s="3" t="s">
        <v>2276</v>
      </c>
      <c r="C249" s="11" t="s">
        <v>395</v>
      </c>
      <c r="D249" s="11" t="s">
        <v>130</v>
      </c>
      <c r="E249" s="3" t="s">
        <v>2276</v>
      </c>
      <c r="F249" s="3" t="s">
        <v>2276</v>
      </c>
      <c r="G249" s="3" t="s">
        <v>2276</v>
      </c>
      <c r="H249" s="21" t="s">
        <v>2276</v>
      </c>
      <c r="I249" s="21" t="s">
        <v>2276</v>
      </c>
      <c r="J249" s="21">
        <v>1.4</v>
      </c>
      <c r="K249" s="21"/>
      <c r="L249" s="21" t="s">
        <v>2276</v>
      </c>
      <c r="M249" s="21" t="s">
        <v>2276</v>
      </c>
      <c r="N249" s="21" t="s">
        <v>2276</v>
      </c>
      <c r="O249" s="21" t="s">
        <v>2276</v>
      </c>
      <c r="P249" s="21" t="s">
        <v>2276</v>
      </c>
      <c r="Q249" s="21" t="s">
        <v>2276</v>
      </c>
      <c r="R249" s="21" t="s">
        <v>2276</v>
      </c>
      <c r="S249" s="21" t="s">
        <v>2276</v>
      </c>
      <c r="T249" s="3"/>
    </row>
    <row r="250" spans="1:20" ht="38.5" customHeight="1">
      <c r="A250" s="11" t="s">
        <v>686</v>
      </c>
      <c r="B250" s="3" t="s">
        <v>2276</v>
      </c>
      <c r="C250" s="11" t="s">
        <v>395</v>
      </c>
      <c r="D250" s="11" t="s">
        <v>130</v>
      </c>
      <c r="E250" s="3" t="s">
        <v>2276</v>
      </c>
      <c r="F250" s="3" t="s">
        <v>2276</v>
      </c>
      <c r="G250" s="3" t="s">
        <v>2276</v>
      </c>
      <c r="H250" s="21" t="s">
        <v>2276</v>
      </c>
      <c r="I250" s="21" t="s">
        <v>2276</v>
      </c>
      <c r="J250" s="21">
        <v>1.3</v>
      </c>
      <c r="K250" s="21"/>
      <c r="L250" s="21" t="s">
        <v>2276</v>
      </c>
      <c r="M250" s="21" t="s">
        <v>2276</v>
      </c>
      <c r="N250" s="21" t="s">
        <v>2276</v>
      </c>
      <c r="O250" s="21" t="s">
        <v>2276</v>
      </c>
      <c r="P250" s="21" t="s">
        <v>2276</v>
      </c>
      <c r="Q250" s="21" t="s">
        <v>2276</v>
      </c>
      <c r="R250" s="21" t="s">
        <v>2276</v>
      </c>
      <c r="S250" s="21" t="s">
        <v>2276</v>
      </c>
      <c r="T250" s="3"/>
    </row>
    <row r="251" spans="1:20" ht="35.5" customHeight="1">
      <c r="A251" s="11" t="s">
        <v>694</v>
      </c>
      <c r="B251" s="3" t="s">
        <v>2276</v>
      </c>
      <c r="C251" s="11" t="s">
        <v>395</v>
      </c>
      <c r="D251" s="11" t="s">
        <v>130</v>
      </c>
      <c r="E251" s="4" t="s">
        <v>2276</v>
      </c>
      <c r="F251" s="3" t="s">
        <v>2276</v>
      </c>
      <c r="G251" s="3" t="s">
        <v>2276</v>
      </c>
      <c r="H251" s="21" t="s">
        <v>2276</v>
      </c>
      <c r="I251" s="21" t="s">
        <v>2276</v>
      </c>
      <c r="J251" s="21">
        <v>2</v>
      </c>
      <c r="K251" s="21"/>
      <c r="L251" s="21" t="s">
        <v>2276</v>
      </c>
      <c r="M251" s="21" t="s">
        <v>2276</v>
      </c>
      <c r="N251" s="21" t="s">
        <v>2276</v>
      </c>
      <c r="O251" s="21" t="s">
        <v>2276</v>
      </c>
      <c r="P251" s="21" t="s">
        <v>2276</v>
      </c>
      <c r="Q251" s="21" t="s">
        <v>2276</v>
      </c>
      <c r="R251" s="21" t="s">
        <v>2276</v>
      </c>
      <c r="S251" s="21" t="s">
        <v>2276</v>
      </c>
      <c r="T251" s="3"/>
    </row>
    <row r="252" spans="1:20" ht="43.5" customHeight="1">
      <c r="A252" s="11" t="s">
        <v>695</v>
      </c>
      <c r="B252" s="3" t="s">
        <v>2276</v>
      </c>
      <c r="C252" s="11" t="s">
        <v>395</v>
      </c>
      <c r="D252" s="11" t="s">
        <v>130</v>
      </c>
      <c r="E252" s="3" t="s">
        <v>2276</v>
      </c>
      <c r="F252" s="3" t="s">
        <v>2276</v>
      </c>
      <c r="G252" s="3" t="s">
        <v>2276</v>
      </c>
      <c r="H252" s="21" t="s">
        <v>2276</v>
      </c>
      <c r="I252" s="21" t="s">
        <v>2276</v>
      </c>
      <c r="J252" s="21">
        <v>2.7</v>
      </c>
      <c r="K252" s="21"/>
      <c r="L252" s="21" t="s">
        <v>2276</v>
      </c>
      <c r="M252" s="21" t="s">
        <v>2276</v>
      </c>
      <c r="N252" s="21" t="s">
        <v>2276</v>
      </c>
      <c r="O252" s="21" t="s">
        <v>2276</v>
      </c>
      <c r="P252" s="21" t="s">
        <v>2276</v>
      </c>
      <c r="Q252" s="21" t="s">
        <v>2276</v>
      </c>
      <c r="R252" s="21" t="s">
        <v>2276</v>
      </c>
      <c r="S252" s="21" t="s">
        <v>2276</v>
      </c>
      <c r="T252" s="3"/>
    </row>
    <row r="253" spans="1:20" ht="47.5" customHeight="1">
      <c r="A253" s="11" t="s">
        <v>696</v>
      </c>
      <c r="B253" s="3" t="s">
        <v>2276</v>
      </c>
      <c r="C253" s="11" t="s">
        <v>395</v>
      </c>
      <c r="D253" s="11" t="s">
        <v>130</v>
      </c>
      <c r="E253" s="3" t="s">
        <v>2276</v>
      </c>
      <c r="F253" s="3" t="s">
        <v>2276</v>
      </c>
      <c r="G253" s="3" t="s">
        <v>2276</v>
      </c>
      <c r="H253" s="21" t="s">
        <v>2276</v>
      </c>
      <c r="I253" s="21" t="s">
        <v>2276</v>
      </c>
      <c r="J253" s="21">
        <v>2.2000000000000002</v>
      </c>
      <c r="K253" s="21"/>
      <c r="L253" s="21" t="s">
        <v>2276</v>
      </c>
      <c r="M253" s="21" t="s">
        <v>2276</v>
      </c>
      <c r="N253" s="21" t="s">
        <v>2276</v>
      </c>
      <c r="O253" s="21" t="s">
        <v>2276</v>
      </c>
      <c r="P253" s="21" t="s">
        <v>2276</v>
      </c>
      <c r="Q253" s="21" t="s">
        <v>2276</v>
      </c>
      <c r="R253" s="21" t="s">
        <v>2276</v>
      </c>
      <c r="S253" s="21" t="s">
        <v>2276</v>
      </c>
      <c r="T253" s="3"/>
    </row>
    <row r="254" spans="1:20" ht="47.5" customHeight="1">
      <c r="A254" s="11" t="s">
        <v>2035</v>
      </c>
      <c r="B254" s="3" t="s">
        <v>2276</v>
      </c>
      <c r="C254" s="11" t="s">
        <v>395</v>
      </c>
      <c r="D254" s="11" t="s">
        <v>130</v>
      </c>
      <c r="E254" s="4" t="s">
        <v>397</v>
      </c>
      <c r="F254" s="3" t="s">
        <v>2276</v>
      </c>
      <c r="G254" s="3" t="s">
        <v>2276</v>
      </c>
      <c r="H254" s="21" t="s">
        <v>2276</v>
      </c>
      <c r="I254" s="21" t="s">
        <v>2276</v>
      </c>
      <c r="J254" s="21">
        <v>1.3</v>
      </c>
      <c r="K254" s="21"/>
      <c r="L254" s="21" t="s">
        <v>2276</v>
      </c>
      <c r="M254" s="21" t="s">
        <v>2276</v>
      </c>
      <c r="N254" s="21" t="s">
        <v>2276</v>
      </c>
      <c r="O254" s="21" t="s">
        <v>2276</v>
      </c>
      <c r="P254" s="21" t="s">
        <v>2276</v>
      </c>
      <c r="Q254" s="21" t="s">
        <v>2276</v>
      </c>
      <c r="R254" s="21" t="s">
        <v>2276</v>
      </c>
      <c r="S254" s="21" t="s">
        <v>2276</v>
      </c>
      <c r="T254" s="3"/>
    </row>
    <row r="255" spans="1:20" ht="47.5" customHeight="1">
      <c r="A255" s="11" t="s">
        <v>2036</v>
      </c>
      <c r="B255" s="3" t="s">
        <v>2276</v>
      </c>
      <c r="C255" s="11" t="s">
        <v>395</v>
      </c>
      <c r="D255" s="11" t="s">
        <v>130</v>
      </c>
      <c r="E255" s="3" t="s">
        <v>2276</v>
      </c>
      <c r="F255" s="3" t="s">
        <v>2276</v>
      </c>
      <c r="G255" s="3" t="s">
        <v>2276</v>
      </c>
      <c r="H255" s="21" t="s">
        <v>2276</v>
      </c>
      <c r="I255" s="21" t="s">
        <v>2276</v>
      </c>
      <c r="J255" s="21">
        <v>1.4</v>
      </c>
      <c r="K255" s="21"/>
      <c r="L255" s="21" t="s">
        <v>2276</v>
      </c>
      <c r="M255" s="21" t="s">
        <v>2276</v>
      </c>
      <c r="N255" s="21" t="s">
        <v>2276</v>
      </c>
      <c r="O255" s="21" t="s">
        <v>2276</v>
      </c>
      <c r="P255" s="21" t="s">
        <v>2276</v>
      </c>
      <c r="Q255" s="21" t="s">
        <v>2276</v>
      </c>
      <c r="R255" s="21" t="s">
        <v>2276</v>
      </c>
      <c r="S255" s="21" t="s">
        <v>2276</v>
      </c>
      <c r="T255" s="3"/>
    </row>
    <row r="256" spans="1:20" ht="47.5" customHeight="1">
      <c r="A256" s="11" t="s">
        <v>2037</v>
      </c>
      <c r="B256" s="3" t="s">
        <v>2276</v>
      </c>
      <c r="C256" s="11" t="s">
        <v>395</v>
      </c>
      <c r="D256" s="11" t="s">
        <v>130</v>
      </c>
      <c r="E256" s="3" t="s">
        <v>2276</v>
      </c>
      <c r="F256" s="3" t="s">
        <v>2276</v>
      </c>
      <c r="G256" s="3" t="s">
        <v>2276</v>
      </c>
      <c r="H256" s="21" t="s">
        <v>2276</v>
      </c>
      <c r="I256" s="21" t="s">
        <v>2276</v>
      </c>
      <c r="J256" s="21">
        <v>1.3</v>
      </c>
      <c r="K256" s="21"/>
      <c r="L256" s="21" t="s">
        <v>2276</v>
      </c>
      <c r="M256" s="21" t="s">
        <v>2276</v>
      </c>
      <c r="N256" s="21" t="s">
        <v>2276</v>
      </c>
      <c r="O256" s="21" t="s">
        <v>2276</v>
      </c>
      <c r="P256" s="21" t="s">
        <v>2276</v>
      </c>
      <c r="Q256" s="21" t="s">
        <v>2276</v>
      </c>
      <c r="R256" s="21" t="s">
        <v>2276</v>
      </c>
      <c r="S256" s="21" t="s">
        <v>2276</v>
      </c>
      <c r="T256" s="3"/>
    </row>
    <row r="257" spans="1:20" ht="48" customHeight="1">
      <c r="A257" s="11" t="s">
        <v>698</v>
      </c>
      <c r="B257" s="3" t="s">
        <v>2276</v>
      </c>
      <c r="C257" s="11" t="s">
        <v>12</v>
      </c>
      <c r="D257" s="11" t="s">
        <v>130</v>
      </c>
      <c r="E257" s="4" t="s">
        <v>397</v>
      </c>
      <c r="F257" s="4" t="s">
        <v>396</v>
      </c>
      <c r="G257" s="3" t="s">
        <v>2276</v>
      </c>
      <c r="H257" s="21" t="s">
        <v>2276</v>
      </c>
      <c r="I257" s="21">
        <v>1.48</v>
      </c>
      <c r="J257" s="21">
        <v>1.83</v>
      </c>
      <c r="K257" s="21"/>
      <c r="L257" s="21" t="s">
        <v>2276</v>
      </c>
      <c r="M257" s="21" t="s">
        <v>2276</v>
      </c>
      <c r="N257" s="21" t="s">
        <v>2276</v>
      </c>
      <c r="O257" s="21" t="s">
        <v>2276</v>
      </c>
      <c r="P257" s="21" t="s">
        <v>2276</v>
      </c>
      <c r="Q257" s="21" t="s">
        <v>2276</v>
      </c>
      <c r="R257" s="21" t="s">
        <v>2276</v>
      </c>
      <c r="S257" s="21" t="s">
        <v>2276</v>
      </c>
      <c r="T257" s="4" t="s">
        <v>707</v>
      </c>
    </row>
    <row r="258" spans="1:20" ht="39.5" customHeight="1">
      <c r="A258" s="11" t="s">
        <v>699</v>
      </c>
      <c r="B258" s="3" t="s">
        <v>2276</v>
      </c>
      <c r="C258" s="11" t="s">
        <v>12</v>
      </c>
      <c r="D258" s="11" t="s">
        <v>130</v>
      </c>
      <c r="E258" s="4" t="s">
        <v>397</v>
      </c>
      <c r="F258" s="4" t="s">
        <v>396</v>
      </c>
      <c r="G258" s="3" t="s">
        <v>2276</v>
      </c>
      <c r="H258" s="21" t="s">
        <v>2276</v>
      </c>
      <c r="I258" s="21">
        <v>1.87</v>
      </c>
      <c r="J258" s="21">
        <v>3.28</v>
      </c>
      <c r="K258" s="21"/>
      <c r="L258" s="21" t="s">
        <v>2276</v>
      </c>
      <c r="M258" s="21" t="s">
        <v>2276</v>
      </c>
      <c r="N258" s="21" t="s">
        <v>2276</v>
      </c>
      <c r="O258" s="21" t="s">
        <v>2276</v>
      </c>
      <c r="P258" s="21" t="s">
        <v>2276</v>
      </c>
      <c r="Q258" s="21" t="s">
        <v>2276</v>
      </c>
      <c r="R258" s="21" t="s">
        <v>2276</v>
      </c>
      <c r="S258" s="21" t="s">
        <v>2276</v>
      </c>
      <c r="T258" s="4" t="s">
        <v>707</v>
      </c>
    </row>
    <row r="259" spans="1:20" ht="55.5" customHeight="1">
      <c r="A259" s="11" t="s">
        <v>700</v>
      </c>
      <c r="B259" s="3" t="s">
        <v>2276</v>
      </c>
      <c r="C259" s="11" t="s">
        <v>12</v>
      </c>
      <c r="D259" s="11" t="s">
        <v>130</v>
      </c>
      <c r="E259" s="4" t="s">
        <v>397</v>
      </c>
      <c r="F259" s="4" t="s">
        <v>396</v>
      </c>
      <c r="G259" s="3" t="s">
        <v>2276</v>
      </c>
      <c r="H259" s="21" t="s">
        <v>2276</v>
      </c>
      <c r="I259" s="21">
        <v>1.5</v>
      </c>
      <c r="J259" s="21">
        <v>1.94</v>
      </c>
      <c r="K259" s="21"/>
      <c r="L259" s="21" t="s">
        <v>2276</v>
      </c>
      <c r="M259" s="21" t="s">
        <v>2276</v>
      </c>
      <c r="N259" s="21" t="s">
        <v>2276</v>
      </c>
      <c r="O259" s="21" t="s">
        <v>2276</v>
      </c>
      <c r="P259" s="21" t="s">
        <v>2276</v>
      </c>
      <c r="Q259" s="21" t="s">
        <v>2276</v>
      </c>
      <c r="R259" s="21" t="s">
        <v>2276</v>
      </c>
      <c r="S259" s="21" t="s">
        <v>2276</v>
      </c>
      <c r="T259" s="4" t="s">
        <v>707</v>
      </c>
    </row>
    <row r="260" spans="1:20" ht="39" customHeight="1">
      <c r="A260" s="11" t="s">
        <v>701</v>
      </c>
      <c r="B260" s="3" t="s">
        <v>2276</v>
      </c>
      <c r="C260" s="11" t="s">
        <v>395</v>
      </c>
      <c r="D260" s="11" t="s">
        <v>130</v>
      </c>
      <c r="E260" s="4" t="s">
        <v>397</v>
      </c>
      <c r="F260" s="3" t="s">
        <v>2276</v>
      </c>
      <c r="G260" s="3" t="s">
        <v>2276</v>
      </c>
      <c r="H260" s="21" t="s">
        <v>2276</v>
      </c>
      <c r="I260" s="14" t="s">
        <v>2276</v>
      </c>
      <c r="J260" s="21">
        <v>3.5</v>
      </c>
      <c r="K260" s="21"/>
      <c r="L260" s="21" t="s">
        <v>2276</v>
      </c>
      <c r="M260" s="21" t="s">
        <v>2276</v>
      </c>
      <c r="N260" s="21" t="s">
        <v>2276</v>
      </c>
      <c r="O260" s="21" t="s">
        <v>2276</v>
      </c>
      <c r="P260" s="21" t="s">
        <v>2276</v>
      </c>
      <c r="Q260" s="21" t="s">
        <v>2276</v>
      </c>
      <c r="R260" s="21" t="s">
        <v>2276</v>
      </c>
      <c r="S260" s="21" t="s">
        <v>2276</v>
      </c>
      <c r="T260" s="3" t="s">
        <v>713</v>
      </c>
    </row>
    <row r="261" spans="1:20" ht="50.5" customHeight="1">
      <c r="A261" s="11" t="s">
        <v>705</v>
      </c>
      <c r="B261" s="3" t="s">
        <v>2276</v>
      </c>
      <c r="C261" s="11" t="s">
        <v>395</v>
      </c>
      <c r="D261" s="11" t="s">
        <v>130</v>
      </c>
      <c r="E261" s="4" t="s">
        <v>397</v>
      </c>
      <c r="F261" s="3" t="s">
        <v>2276</v>
      </c>
      <c r="G261" s="3" t="s">
        <v>2276</v>
      </c>
      <c r="H261" s="21" t="s">
        <v>2276</v>
      </c>
      <c r="I261" s="21" t="s">
        <v>2276</v>
      </c>
      <c r="J261" s="21">
        <v>3.5</v>
      </c>
      <c r="K261" s="21"/>
      <c r="L261" s="21" t="s">
        <v>2276</v>
      </c>
      <c r="M261" s="21" t="s">
        <v>2276</v>
      </c>
      <c r="N261" s="21" t="s">
        <v>2276</v>
      </c>
      <c r="O261" s="21" t="s">
        <v>2276</v>
      </c>
      <c r="P261" s="21" t="s">
        <v>2276</v>
      </c>
      <c r="Q261" s="21" t="s">
        <v>2276</v>
      </c>
      <c r="R261" s="21" t="s">
        <v>2276</v>
      </c>
      <c r="S261" s="21" t="s">
        <v>2276</v>
      </c>
      <c r="T261" s="3" t="s">
        <v>713</v>
      </c>
    </row>
    <row r="262" spans="1:20" ht="50.5" customHeight="1">
      <c r="A262" s="11" t="s">
        <v>706</v>
      </c>
      <c r="B262" s="3" t="s">
        <v>2276</v>
      </c>
      <c r="C262" s="11" t="s">
        <v>395</v>
      </c>
      <c r="D262" s="11" t="s">
        <v>130</v>
      </c>
      <c r="E262" s="4" t="s">
        <v>397</v>
      </c>
      <c r="F262" s="3" t="s">
        <v>2276</v>
      </c>
      <c r="G262" s="3" t="s">
        <v>2276</v>
      </c>
      <c r="H262" s="21" t="s">
        <v>2276</v>
      </c>
      <c r="I262" s="21" t="s">
        <v>2276</v>
      </c>
      <c r="J262" s="21">
        <v>3.5</v>
      </c>
      <c r="K262" s="21"/>
      <c r="L262" s="21" t="s">
        <v>2276</v>
      </c>
      <c r="M262" s="21" t="s">
        <v>2276</v>
      </c>
      <c r="N262" s="21" t="s">
        <v>2276</v>
      </c>
      <c r="O262" s="21" t="s">
        <v>2276</v>
      </c>
      <c r="P262" s="21" t="s">
        <v>2276</v>
      </c>
      <c r="Q262" s="21" t="s">
        <v>2276</v>
      </c>
      <c r="R262" s="21" t="s">
        <v>2276</v>
      </c>
      <c r="S262" s="21" t="s">
        <v>2276</v>
      </c>
      <c r="T262" s="3" t="s">
        <v>713</v>
      </c>
    </row>
    <row r="263" spans="1:20" ht="44.5" customHeight="1">
      <c r="A263" s="11" t="s">
        <v>725</v>
      </c>
      <c r="B263" s="3" t="s">
        <v>2276</v>
      </c>
      <c r="C263" s="11" t="s">
        <v>395</v>
      </c>
      <c r="D263" s="11" t="s">
        <v>130</v>
      </c>
      <c r="E263" s="4" t="s">
        <v>397</v>
      </c>
      <c r="F263" s="3" t="s">
        <v>2276</v>
      </c>
      <c r="G263" s="3" t="s">
        <v>2276</v>
      </c>
      <c r="H263" s="21" t="s">
        <v>2276</v>
      </c>
      <c r="I263" s="21" t="s">
        <v>2276</v>
      </c>
      <c r="J263" s="21" t="s">
        <v>2276</v>
      </c>
      <c r="K263" s="21"/>
      <c r="L263" s="21" t="s">
        <v>2276</v>
      </c>
      <c r="M263" s="21" t="s">
        <v>2276</v>
      </c>
      <c r="N263" s="21" t="s">
        <v>2276</v>
      </c>
      <c r="O263" s="21" t="s">
        <v>2276</v>
      </c>
      <c r="P263" s="21">
        <v>9.5148247999999995</v>
      </c>
      <c r="Q263" s="21" t="s">
        <v>2276</v>
      </c>
      <c r="R263" s="21" t="s">
        <v>2276</v>
      </c>
      <c r="S263" s="21" t="s">
        <v>2276</v>
      </c>
      <c r="T263" s="3" t="s">
        <v>2043</v>
      </c>
    </row>
    <row r="264" spans="1:20" ht="34.5" customHeight="1">
      <c r="A264" s="11" t="s">
        <v>726</v>
      </c>
      <c r="B264" s="3" t="s">
        <v>2276</v>
      </c>
      <c r="C264" s="11" t="s">
        <v>395</v>
      </c>
      <c r="D264" s="11" t="s">
        <v>130</v>
      </c>
      <c r="E264" s="4" t="s">
        <v>397</v>
      </c>
      <c r="F264" s="3" t="s">
        <v>2276</v>
      </c>
      <c r="G264" s="3" t="s">
        <v>2276</v>
      </c>
      <c r="H264" s="21" t="s">
        <v>2276</v>
      </c>
      <c r="I264" s="21" t="s">
        <v>2276</v>
      </c>
      <c r="J264" s="21" t="s">
        <v>2276</v>
      </c>
      <c r="K264" s="21"/>
      <c r="L264" s="21" t="s">
        <v>2276</v>
      </c>
      <c r="M264" s="21" t="s">
        <v>2276</v>
      </c>
      <c r="N264" s="21" t="s">
        <v>2276</v>
      </c>
      <c r="O264" s="21" t="s">
        <v>2276</v>
      </c>
      <c r="P264" s="21">
        <v>15.753846149999999</v>
      </c>
      <c r="Q264" s="21" t="s">
        <v>2276</v>
      </c>
      <c r="R264" s="21" t="s">
        <v>2276</v>
      </c>
      <c r="S264" s="21" t="s">
        <v>2276</v>
      </c>
      <c r="T264" s="3" t="s">
        <v>2043</v>
      </c>
    </row>
    <row r="265" spans="1:20" ht="46" customHeight="1">
      <c r="A265" s="11" t="s">
        <v>727</v>
      </c>
      <c r="B265" s="3" t="s">
        <v>2276</v>
      </c>
      <c r="C265" s="11" t="s">
        <v>395</v>
      </c>
      <c r="D265" s="11" t="s">
        <v>130</v>
      </c>
      <c r="E265" s="4" t="s">
        <v>397</v>
      </c>
      <c r="F265" s="3" t="s">
        <v>2276</v>
      </c>
      <c r="G265" s="3" t="s">
        <v>2276</v>
      </c>
      <c r="H265" s="21" t="s">
        <v>2276</v>
      </c>
      <c r="I265" s="21" t="s">
        <v>2276</v>
      </c>
      <c r="J265" s="21" t="s">
        <v>2276</v>
      </c>
      <c r="K265" s="21"/>
      <c r="L265" s="21" t="s">
        <v>2276</v>
      </c>
      <c r="M265" s="21" t="s">
        <v>2276</v>
      </c>
      <c r="N265" s="21" t="s">
        <v>2276</v>
      </c>
      <c r="O265" s="21" t="s">
        <v>2276</v>
      </c>
      <c r="P265" s="21">
        <v>1.78484848</v>
      </c>
      <c r="Q265" s="21" t="s">
        <v>2276</v>
      </c>
      <c r="R265" s="21" t="s">
        <v>2276</v>
      </c>
      <c r="S265" s="21" t="s">
        <v>2276</v>
      </c>
      <c r="T265" s="3" t="s">
        <v>2043</v>
      </c>
    </row>
    <row r="266" spans="1:20" ht="47" customHeight="1">
      <c r="A266" s="11" t="s">
        <v>747</v>
      </c>
      <c r="B266" s="3" t="s">
        <v>2276</v>
      </c>
      <c r="C266" s="11" t="s">
        <v>395</v>
      </c>
      <c r="D266" s="11" t="s">
        <v>130</v>
      </c>
      <c r="E266" s="4" t="s">
        <v>396</v>
      </c>
      <c r="F266" s="3" t="s">
        <v>116</v>
      </c>
      <c r="G266" s="3" t="s">
        <v>2276</v>
      </c>
      <c r="H266" s="21" t="s">
        <v>2276</v>
      </c>
      <c r="I266" s="21" t="s">
        <v>2276</v>
      </c>
      <c r="J266" s="21" t="s">
        <v>2276</v>
      </c>
      <c r="K266" s="21"/>
      <c r="L266" s="21" t="s">
        <v>2276</v>
      </c>
      <c r="M266" s="21" t="s">
        <v>2276</v>
      </c>
      <c r="N266" s="21" t="s">
        <v>2276</v>
      </c>
      <c r="O266" s="21" t="s">
        <v>2276</v>
      </c>
      <c r="P266" s="21" t="s">
        <v>2276</v>
      </c>
      <c r="Q266" s="21" t="s">
        <v>2276</v>
      </c>
      <c r="R266" s="21" t="s">
        <v>2276</v>
      </c>
      <c r="S266" s="21" t="s">
        <v>2276</v>
      </c>
      <c r="T266" s="4" t="s">
        <v>752</v>
      </c>
    </row>
    <row r="267" spans="1:20" ht="37.5" customHeight="1">
      <c r="A267" s="11" t="s">
        <v>753</v>
      </c>
      <c r="B267" s="3" t="s">
        <v>2276</v>
      </c>
      <c r="C267" s="11" t="s">
        <v>395</v>
      </c>
      <c r="D267" s="11" t="s">
        <v>130</v>
      </c>
      <c r="E267" s="4" t="s">
        <v>397</v>
      </c>
      <c r="F267" s="3" t="s">
        <v>2276</v>
      </c>
      <c r="G267" s="3" t="s">
        <v>2276</v>
      </c>
      <c r="H267" s="21" t="s">
        <v>2276</v>
      </c>
      <c r="I267" s="21" t="s">
        <v>2276</v>
      </c>
      <c r="J267" s="21">
        <v>1.9</v>
      </c>
      <c r="K267" s="21"/>
      <c r="L267" s="21" t="s">
        <v>2276</v>
      </c>
      <c r="M267" s="21" t="s">
        <v>2276</v>
      </c>
      <c r="N267" s="21" t="s">
        <v>2276</v>
      </c>
      <c r="O267" s="21" t="s">
        <v>2276</v>
      </c>
      <c r="P267" s="21">
        <v>5.5</v>
      </c>
      <c r="Q267" s="21">
        <v>50.7</v>
      </c>
      <c r="R267" s="21">
        <v>40.9</v>
      </c>
      <c r="S267" s="21">
        <v>0.8</v>
      </c>
      <c r="T267" s="4" t="s">
        <v>762</v>
      </c>
    </row>
    <row r="268" spans="1:20" ht="39.5" customHeight="1">
      <c r="A268" s="11" t="s">
        <v>756</v>
      </c>
      <c r="B268" s="3" t="s">
        <v>2276</v>
      </c>
      <c r="C268" s="11" t="s">
        <v>395</v>
      </c>
      <c r="D268" s="11" t="s">
        <v>130</v>
      </c>
      <c r="E268" s="4" t="s">
        <v>397</v>
      </c>
      <c r="F268" s="3" t="s">
        <v>2276</v>
      </c>
      <c r="G268" s="3" t="s">
        <v>2276</v>
      </c>
      <c r="H268" s="21" t="s">
        <v>2276</v>
      </c>
      <c r="I268" s="21" t="s">
        <v>2276</v>
      </c>
      <c r="J268" s="21">
        <v>0.8</v>
      </c>
      <c r="K268" s="21"/>
      <c r="L268" s="21" t="s">
        <v>2276</v>
      </c>
      <c r="M268" s="21" t="s">
        <v>2276</v>
      </c>
      <c r="N268" s="21" t="s">
        <v>2276</v>
      </c>
      <c r="O268" s="21" t="s">
        <v>2276</v>
      </c>
      <c r="P268" s="21">
        <v>5.5</v>
      </c>
      <c r="Q268" s="21">
        <v>50.7</v>
      </c>
      <c r="R268" s="21">
        <v>40.9</v>
      </c>
      <c r="S268" s="21">
        <v>0.8</v>
      </c>
      <c r="T268" s="4" t="s">
        <v>762</v>
      </c>
    </row>
    <row r="269" spans="1:20" ht="41" customHeight="1">
      <c r="A269" s="11" t="s">
        <v>757</v>
      </c>
      <c r="B269" s="3" t="s">
        <v>2276</v>
      </c>
      <c r="C269" s="11" t="s">
        <v>395</v>
      </c>
      <c r="D269" s="11" t="s">
        <v>130</v>
      </c>
      <c r="E269" s="4" t="s">
        <v>397</v>
      </c>
      <c r="F269" s="3" t="s">
        <v>2276</v>
      </c>
      <c r="G269" s="3" t="s">
        <v>2276</v>
      </c>
      <c r="H269" s="21" t="s">
        <v>2276</v>
      </c>
      <c r="I269" s="21" t="s">
        <v>2276</v>
      </c>
      <c r="J269" s="21">
        <v>2.4</v>
      </c>
      <c r="K269" s="21"/>
      <c r="L269" s="21" t="s">
        <v>2276</v>
      </c>
      <c r="M269" s="21" t="s">
        <v>2276</v>
      </c>
      <c r="N269" s="21" t="s">
        <v>2276</v>
      </c>
      <c r="O269" s="21" t="s">
        <v>2276</v>
      </c>
      <c r="P269" s="21">
        <v>5.5</v>
      </c>
      <c r="Q269" s="21">
        <v>50.7</v>
      </c>
      <c r="R269" s="21">
        <v>40.9</v>
      </c>
      <c r="S269" s="21">
        <v>0.8</v>
      </c>
      <c r="T269" s="4" t="s">
        <v>762</v>
      </c>
    </row>
    <row r="270" spans="1:20" ht="46" customHeight="1">
      <c r="A270" s="11" t="s">
        <v>755</v>
      </c>
      <c r="B270" s="3" t="s">
        <v>2276</v>
      </c>
      <c r="C270" s="11" t="s">
        <v>12</v>
      </c>
      <c r="D270" s="11" t="s">
        <v>130</v>
      </c>
      <c r="E270" s="4" t="s">
        <v>397</v>
      </c>
      <c r="F270" s="3" t="s">
        <v>2276</v>
      </c>
      <c r="G270" s="3" t="s">
        <v>2276</v>
      </c>
      <c r="H270" s="21" t="s">
        <v>2276</v>
      </c>
      <c r="I270" s="21">
        <v>17</v>
      </c>
      <c r="J270" s="21">
        <v>1.4</v>
      </c>
      <c r="K270" s="21"/>
      <c r="L270" s="21" t="s">
        <v>2276</v>
      </c>
      <c r="M270" s="21" t="s">
        <v>2276</v>
      </c>
      <c r="N270" s="21" t="s">
        <v>2276</v>
      </c>
      <c r="O270" s="21" t="s">
        <v>2276</v>
      </c>
      <c r="P270" s="21" t="s">
        <v>2276</v>
      </c>
      <c r="Q270" s="21" t="s">
        <v>2276</v>
      </c>
      <c r="R270" s="21" t="s">
        <v>2276</v>
      </c>
      <c r="S270" s="21" t="s">
        <v>2276</v>
      </c>
      <c r="T270" s="4" t="s">
        <v>2047</v>
      </c>
    </row>
    <row r="271" spans="1:20" ht="49" customHeight="1">
      <c r="A271" s="11" t="s">
        <v>773</v>
      </c>
      <c r="B271" s="3" t="s">
        <v>2276</v>
      </c>
      <c r="C271" s="11" t="s">
        <v>395</v>
      </c>
      <c r="D271" s="11" t="s">
        <v>130</v>
      </c>
      <c r="E271" s="4" t="s">
        <v>397</v>
      </c>
      <c r="F271" s="3" t="s">
        <v>2276</v>
      </c>
      <c r="G271" s="3" t="s">
        <v>2276</v>
      </c>
      <c r="H271" s="21" t="s">
        <v>2276</v>
      </c>
      <c r="I271" s="21">
        <v>0.79600000000000004</v>
      </c>
      <c r="J271" s="21">
        <v>1.8498209999999999</v>
      </c>
      <c r="K271" s="21"/>
      <c r="L271" s="21" t="s">
        <v>2276</v>
      </c>
      <c r="M271" s="21" t="s">
        <v>2276</v>
      </c>
      <c r="N271" s="21" t="s">
        <v>2276</v>
      </c>
      <c r="O271" s="21" t="s">
        <v>2276</v>
      </c>
      <c r="P271" s="21" t="s">
        <v>2276</v>
      </c>
      <c r="Q271" s="21" t="s">
        <v>2276</v>
      </c>
      <c r="R271" s="21" t="s">
        <v>2276</v>
      </c>
      <c r="S271" s="21" t="s">
        <v>2276</v>
      </c>
      <c r="T271" s="3" t="s">
        <v>2048</v>
      </c>
    </row>
    <row r="272" spans="1:20" ht="44" customHeight="1">
      <c r="A272" s="11" t="s">
        <v>774</v>
      </c>
      <c r="B272" s="3" t="s">
        <v>2276</v>
      </c>
      <c r="C272" s="11" t="s">
        <v>395</v>
      </c>
      <c r="D272" s="11" t="s">
        <v>130</v>
      </c>
      <c r="E272" s="4" t="s">
        <v>397</v>
      </c>
      <c r="F272" s="3" t="s">
        <v>2276</v>
      </c>
      <c r="G272" s="3" t="s">
        <v>2276</v>
      </c>
      <c r="H272" s="21" t="s">
        <v>2276</v>
      </c>
      <c r="I272" s="21">
        <v>0.80459999999999998</v>
      </c>
      <c r="J272" s="21">
        <v>1.8710199999999999</v>
      </c>
      <c r="K272" s="21"/>
      <c r="L272" s="21" t="s">
        <v>2276</v>
      </c>
      <c r="M272" s="21" t="s">
        <v>2276</v>
      </c>
      <c r="N272" s="21" t="s">
        <v>2276</v>
      </c>
      <c r="O272" s="21" t="s">
        <v>2276</v>
      </c>
      <c r="P272" s="21" t="s">
        <v>2276</v>
      </c>
      <c r="Q272" s="21" t="s">
        <v>2276</v>
      </c>
      <c r="R272" s="21" t="s">
        <v>2276</v>
      </c>
      <c r="S272" s="21" t="s">
        <v>2276</v>
      </c>
      <c r="T272" s="3" t="s">
        <v>2048</v>
      </c>
    </row>
    <row r="273" spans="1:20" ht="40" customHeight="1">
      <c r="A273" s="11" t="s">
        <v>784</v>
      </c>
      <c r="B273" s="3" t="s">
        <v>2276</v>
      </c>
      <c r="C273" s="11" t="s">
        <v>395</v>
      </c>
      <c r="D273" s="11" t="s">
        <v>130</v>
      </c>
      <c r="E273" s="4" t="s">
        <v>396</v>
      </c>
      <c r="F273" s="3" t="s">
        <v>2276</v>
      </c>
      <c r="G273" s="3" t="s">
        <v>2276</v>
      </c>
      <c r="H273" s="21" t="s">
        <v>2276</v>
      </c>
      <c r="I273" s="21">
        <v>1.49</v>
      </c>
      <c r="J273" s="21">
        <v>0.35</v>
      </c>
      <c r="K273" s="21"/>
      <c r="L273" s="21" t="s">
        <v>2276</v>
      </c>
      <c r="M273" s="21" t="s">
        <v>2276</v>
      </c>
      <c r="N273" s="21" t="s">
        <v>2276</v>
      </c>
      <c r="O273" s="21" t="s">
        <v>2276</v>
      </c>
      <c r="P273" s="21" t="s">
        <v>2276</v>
      </c>
      <c r="Q273" s="21" t="s">
        <v>2276</v>
      </c>
      <c r="R273" s="21" t="s">
        <v>2276</v>
      </c>
      <c r="S273" s="21" t="s">
        <v>2276</v>
      </c>
      <c r="T273" s="3" t="s">
        <v>2020</v>
      </c>
    </row>
    <row r="274" spans="1:20" ht="40" customHeight="1">
      <c r="A274" s="11" t="s">
        <v>789</v>
      </c>
      <c r="B274" s="3" t="s">
        <v>2276</v>
      </c>
      <c r="C274" s="11" t="s">
        <v>12</v>
      </c>
      <c r="D274" s="4" t="s">
        <v>397</v>
      </c>
      <c r="E274" s="11" t="s">
        <v>130</v>
      </c>
      <c r="F274" s="4" t="s">
        <v>396</v>
      </c>
      <c r="G274" s="3" t="s">
        <v>2276</v>
      </c>
      <c r="H274" s="21" t="s">
        <v>2276</v>
      </c>
      <c r="I274" s="21">
        <v>1.6339999999999999</v>
      </c>
      <c r="J274" s="21">
        <v>1.9189830000000001</v>
      </c>
      <c r="K274" s="21"/>
      <c r="L274" s="21" t="s">
        <v>2276</v>
      </c>
      <c r="M274" s="21" t="s">
        <v>2276</v>
      </c>
      <c r="N274" s="21" t="s">
        <v>2276</v>
      </c>
      <c r="O274" s="21" t="s">
        <v>2276</v>
      </c>
      <c r="P274" s="21" t="s">
        <v>2276</v>
      </c>
      <c r="Q274" s="21" t="s">
        <v>2276</v>
      </c>
      <c r="R274" s="21" t="s">
        <v>2276</v>
      </c>
      <c r="S274" s="21" t="s">
        <v>2276</v>
      </c>
      <c r="T274" s="4" t="s">
        <v>2050</v>
      </c>
    </row>
    <row r="275" spans="1:20" ht="44.5" customHeight="1">
      <c r="A275" s="11" t="s">
        <v>797</v>
      </c>
      <c r="B275" s="3" t="s">
        <v>2276</v>
      </c>
      <c r="C275" s="11" t="s">
        <v>12</v>
      </c>
      <c r="D275" s="11" t="s">
        <v>130</v>
      </c>
      <c r="E275" s="4" t="s">
        <v>397</v>
      </c>
      <c r="F275" s="3" t="s">
        <v>2276</v>
      </c>
      <c r="G275" s="3" t="s">
        <v>2276</v>
      </c>
      <c r="H275" s="21" t="s">
        <v>2276</v>
      </c>
      <c r="I275" s="21">
        <v>9</v>
      </c>
      <c r="J275" s="21" t="s">
        <v>2276</v>
      </c>
      <c r="K275" s="21"/>
      <c r="L275" s="21" t="s">
        <v>2276</v>
      </c>
      <c r="M275" s="21" t="s">
        <v>2276</v>
      </c>
      <c r="N275" s="21" t="s">
        <v>2276</v>
      </c>
      <c r="O275" s="21" t="s">
        <v>2276</v>
      </c>
      <c r="P275" s="21" t="s">
        <v>2276</v>
      </c>
      <c r="Q275" s="21" t="s">
        <v>2276</v>
      </c>
      <c r="R275" s="21" t="s">
        <v>2276</v>
      </c>
      <c r="S275" s="21" t="s">
        <v>2276</v>
      </c>
      <c r="T275" s="4" t="s">
        <v>2057</v>
      </c>
    </row>
    <row r="276" spans="1:20" ht="52.5" customHeight="1">
      <c r="A276" s="11" t="s">
        <v>798</v>
      </c>
      <c r="B276" s="3" t="s">
        <v>2276</v>
      </c>
      <c r="C276" s="11" t="s">
        <v>12</v>
      </c>
      <c r="D276" s="4" t="s">
        <v>396</v>
      </c>
      <c r="E276" s="3" t="s">
        <v>2276</v>
      </c>
      <c r="F276" s="3" t="s">
        <v>2276</v>
      </c>
      <c r="G276" s="3" t="s">
        <v>2276</v>
      </c>
      <c r="H276" s="21" t="s">
        <v>2276</v>
      </c>
      <c r="I276" s="21">
        <v>9</v>
      </c>
      <c r="J276" s="21" t="s">
        <v>2276</v>
      </c>
      <c r="K276" s="21"/>
      <c r="L276" s="21" t="s">
        <v>2276</v>
      </c>
      <c r="M276" s="21" t="s">
        <v>2276</v>
      </c>
      <c r="N276" s="21" t="s">
        <v>2276</v>
      </c>
      <c r="O276" s="21" t="s">
        <v>2276</v>
      </c>
      <c r="P276" s="21" t="s">
        <v>2276</v>
      </c>
      <c r="Q276" s="21" t="s">
        <v>2276</v>
      </c>
      <c r="R276" s="21" t="s">
        <v>2276</v>
      </c>
      <c r="S276" s="21" t="s">
        <v>2276</v>
      </c>
      <c r="T276" s="4" t="s">
        <v>2058</v>
      </c>
    </row>
    <row r="277" spans="1:20" ht="48.5" customHeight="1">
      <c r="A277" s="11" t="s">
        <v>799</v>
      </c>
      <c r="B277" s="3" t="s">
        <v>2276</v>
      </c>
      <c r="C277" s="11" t="s">
        <v>12</v>
      </c>
      <c r="D277" s="4" t="s">
        <v>396</v>
      </c>
      <c r="E277" s="3" t="s">
        <v>2276</v>
      </c>
      <c r="F277" s="3" t="s">
        <v>2276</v>
      </c>
      <c r="G277" s="3" t="s">
        <v>2276</v>
      </c>
      <c r="H277" s="21" t="s">
        <v>2276</v>
      </c>
      <c r="I277" s="21">
        <v>9</v>
      </c>
      <c r="J277" s="21" t="s">
        <v>2276</v>
      </c>
      <c r="K277" s="21"/>
      <c r="L277" s="21" t="s">
        <v>2276</v>
      </c>
      <c r="M277" s="21" t="s">
        <v>2276</v>
      </c>
      <c r="N277" s="21" t="s">
        <v>2276</v>
      </c>
      <c r="O277" s="21" t="s">
        <v>2276</v>
      </c>
      <c r="P277" s="21" t="s">
        <v>2276</v>
      </c>
      <c r="Q277" s="21" t="s">
        <v>2276</v>
      </c>
      <c r="R277" s="21" t="s">
        <v>2276</v>
      </c>
      <c r="S277" s="21" t="s">
        <v>2276</v>
      </c>
      <c r="T277" s="4" t="s">
        <v>2058</v>
      </c>
    </row>
    <row r="278" spans="1:20" ht="51.5" customHeight="1">
      <c r="A278" s="11" t="s">
        <v>800</v>
      </c>
      <c r="B278" s="3" t="s">
        <v>2276</v>
      </c>
      <c r="C278" s="11" t="s">
        <v>395</v>
      </c>
      <c r="D278" s="11" t="s">
        <v>130</v>
      </c>
      <c r="E278" s="4" t="s">
        <v>397</v>
      </c>
      <c r="F278" s="3" t="s">
        <v>2276</v>
      </c>
      <c r="G278" s="3" t="s">
        <v>2276</v>
      </c>
      <c r="H278" s="21" t="s">
        <v>2276</v>
      </c>
      <c r="I278" s="21">
        <v>3</v>
      </c>
      <c r="J278" s="21" t="s">
        <v>2276</v>
      </c>
      <c r="K278" s="21"/>
      <c r="L278" s="21" t="s">
        <v>2276</v>
      </c>
      <c r="M278" s="21" t="s">
        <v>2276</v>
      </c>
      <c r="N278" s="21" t="s">
        <v>2276</v>
      </c>
      <c r="O278" s="21" t="s">
        <v>2276</v>
      </c>
      <c r="P278" s="21" t="s">
        <v>2276</v>
      </c>
      <c r="Q278" s="21" t="s">
        <v>2276</v>
      </c>
      <c r="R278" s="21" t="s">
        <v>2276</v>
      </c>
      <c r="S278" s="21" t="s">
        <v>2276</v>
      </c>
      <c r="T278" s="4" t="s">
        <v>2057</v>
      </c>
    </row>
    <row r="279" spans="1:20" ht="56.5" customHeight="1">
      <c r="A279" s="11" t="s">
        <v>801</v>
      </c>
      <c r="B279" s="3" t="s">
        <v>2276</v>
      </c>
      <c r="C279" s="11" t="s">
        <v>395</v>
      </c>
      <c r="D279" s="11" t="s">
        <v>130</v>
      </c>
      <c r="E279" s="4" t="s">
        <v>397</v>
      </c>
      <c r="F279" s="3" t="s">
        <v>2276</v>
      </c>
      <c r="G279" s="3" t="s">
        <v>2276</v>
      </c>
      <c r="H279" s="21" t="s">
        <v>2276</v>
      </c>
      <c r="I279" s="21">
        <v>3</v>
      </c>
      <c r="J279" s="21" t="s">
        <v>2276</v>
      </c>
      <c r="K279" s="21"/>
      <c r="L279" s="21" t="s">
        <v>2276</v>
      </c>
      <c r="M279" s="21" t="s">
        <v>2276</v>
      </c>
      <c r="N279" s="21" t="s">
        <v>2276</v>
      </c>
      <c r="O279" s="21" t="s">
        <v>2276</v>
      </c>
      <c r="P279" s="21" t="s">
        <v>2276</v>
      </c>
      <c r="Q279" s="21" t="s">
        <v>2276</v>
      </c>
      <c r="R279" s="21" t="s">
        <v>2276</v>
      </c>
      <c r="S279" s="21" t="s">
        <v>2276</v>
      </c>
      <c r="T279" s="4" t="s">
        <v>2057</v>
      </c>
    </row>
    <row r="280" spans="1:20" ht="60" customHeight="1">
      <c r="A280" s="11" t="s">
        <v>802</v>
      </c>
      <c r="B280" s="3" t="s">
        <v>2276</v>
      </c>
      <c r="C280" s="11" t="s">
        <v>395</v>
      </c>
      <c r="D280" s="11" t="s">
        <v>130</v>
      </c>
      <c r="E280" s="4" t="s">
        <v>397</v>
      </c>
      <c r="F280" s="3" t="s">
        <v>2276</v>
      </c>
      <c r="G280" s="3" t="s">
        <v>2276</v>
      </c>
      <c r="H280" s="21" t="s">
        <v>2276</v>
      </c>
      <c r="I280" s="21">
        <v>6</v>
      </c>
      <c r="J280" s="21" t="s">
        <v>2276</v>
      </c>
      <c r="K280" s="21"/>
      <c r="L280" s="21" t="s">
        <v>2276</v>
      </c>
      <c r="M280" s="21" t="s">
        <v>2276</v>
      </c>
      <c r="N280" s="21" t="s">
        <v>2276</v>
      </c>
      <c r="O280" s="21" t="s">
        <v>2276</v>
      </c>
      <c r="P280" s="21" t="s">
        <v>2276</v>
      </c>
      <c r="Q280" s="21" t="s">
        <v>2276</v>
      </c>
      <c r="R280" s="21" t="s">
        <v>2276</v>
      </c>
      <c r="S280" s="21" t="s">
        <v>2276</v>
      </c>
      <c r="T280" s="4" t="s">
        <v>2057</v>
      </c>
    </row>
    <row r="281" spans="1:20" ht="47" customHeight="1">
      <c r="A281" s="11" t="s">
        <v>817</v>
      </c>
      <c r="B281" s="3" t="s">
        <v>2276</v>
      </c>
      <c r="C281" s="11" t="s">
        <v>395</v>
      </c>
      <c r="D281" s="11" t="s">
        <v>130</v>
      </c>
      <c r="E281" s="3" t="s">
        <v>2276</v>
      </c>
      <c r="F281" s="3" t="s">
        <v>2276</v>
      </c>
      <c r="G281" s="3" t="s">
        <v>2276</v>
      </c>
      <c r="H281" s="21" t="s">
        <v>2276</v>
      </c>
      <c r="I281" s="21" t="s">
        <v>2276</v>
      </c>
      <c r="J281" s="21" t="s">
        <v>2276</v>
      </c>
      <c r="K281" s="21"/>
      <c r="L281" s="21" t="s">
        <v>2276</v>
      </c>
      <c r="M281" s="21" t="s">
        <v>2276</v>
      </c>
      <c r="N281" s="21" t="s">
        <v>2276</v>
      </c>
      <c r="O281" s="21" t="s">
        <v>2276</v>
      </c>
      <c r="P281" s="21" t="s">
        <v>2276</v>
      </c>
      <c r="Q281" s="21" t="s">
        <v>2276</v>
      </c>
      <c r="R281" s="21" t="s">
        <v>2276</v>
      </c>
      <c r="S281" s="21" t="s">
        <v>2276</v>
      </c>
      <c r="T281" s="3"/>
    </row>
    <row r="282" spans="1:20" ht="44.5" customHeight="1">
      <c r="A282" s="11" t="s">
        <v>824</v>
      </c>
      <c r="B282" s="3" t="s">
        <v>2276</v>
      </c>
      <c r="C282" s="11" t="s">
        <v>12</v>
      </c>
      <c r="D282" s="4" t="s">
        <v>137</v>
      </c>
      <c r="E282" s="4" t="s">
        <v>45</v>
      </c>
      <c r="F282" s="4" t="s">
        <v>397</v>
      </c>
      <c r="G282" s="3" t="s">
        <v>116</v>
      </c>
      <c r="H282" s="21" t="s">
        <v>2276</v>
      </c>
      <c r="I282" s="21" t="s">
        <v>2276</v>
      </c>
      <c r="J282" s="21" t="s">
        <v>2276</v>
      </c>
      <c r="K282" s="21"/>
      <c r="L282" s="21" t="s">
        <v>2276</v>
      </c>
      <c r="M282" s="21" t="s">
        <v>2276</v>
      </c>
      <c r="N282" s="21" t="s">
        <v>2276</v>
      </c>
      <c r="O282" s="21">
        <v>3.247239</v>
      </c>
      <c r="P282" s="21">
        <v>2.51051154</v>
      </c>
      <c r="Q282" s="21">
        <v>16.2472265</v>
      </c>
      <c r="R282" s="21">
        <v>78</v>
      </c>
      <c r="S282" s="21" t="s">
        <v>2276</v>
      </c>
      <c r="T282" s="4" t="s">
        <v>2062</v>
      </c>
    </row>
    <row r="283" spans="1:20" ht="40" customHeight="1">
      <c r="A283" s="45" t="s">
        <v>828</v>
      </c>
      <c r="B283" s="3" t="s">
        <v>32</v>
      </c>
      <c r="C283" s="46" t="s">
        <v>12</v>
      </c>
      <c r="D283" s="11" t="s">
        <v>130</v>
      </c>
      <c r="E283" s="4" t="s">
        <v>397</v>
      </c>
      <c r="F283" s="3" t="s">
        <v>2276</v>
      </c>
      <c r="G283" s="3" t="s">
        <v>2276</v>
      </c>
      <c r="H283" s="21" t="s">
        <v>2276</v>
      </c>
      <c r="I283" s="21">
        <v>3.34</v>
      </c>
      <c r="J283" s="21">
        <v>0.50775000000000003</v>
      </c>
      <c r="K283" s="21"/>
      <c r="L283" s="21" t="s">
        <v>2276</v>
      </c>
      <c r="M283" s="21" t="s">
        <v>2276</v>
      </c>
      <c r="N283" s="21" t="s">
        <v>2276</v>
      </c>
      <c r="O283" s="21" t="s">
        <v>2276</v>
      </c>
      <c r="P283" s="21" t="s">
        <v>2276</v>
      </c>
      <c r="Q283" s="21" t="s">
        <v>2276</v>
      </c>
      <c r="R283" s="21" t="s">
        <v>2276</v>
      </c>
      <c r="S283" s="21" t="s">
        <v>2276</v>
      </c>
      <c r="T283" s="3" t="s">
        <v>2064</v>
      </c>
    </row>
    <row r="284" spans="1:20" ht="40" customHeight="1">
      <c r="A284" s="11" t="s">
        <v>836</v>
      </c>
      <c r="B284" s="11" t="s">
        <v>32</v>
      </c>
      <c r="C284" s="11" t="s">
        <v>395</v>
      </c>
      <c r="D284" s="11" t="s">
        <v>130</v>
      </c>
      <c r="E284" s="4" t="s">
        <v>2276</v>
      </c>
      <c r="F284" s="3" t="s">
        <v>2276</v>
      </c>
      <c r="G284" s="3" t="s">
        <v>2276</v>
      </c>
      <c r="H284" s="21" t="s">
        <v>2276</v>
      </c>
      <c r="I284" s="21" t="s">
        <v>2276</v>
      </c>
      <c r="J284" s="21" t="s">
        <v>2276</v>
      </c>
      <c r="K284" s="21"/>
      <c r="L284" s="21" t="s">
        <v>2276</v>
      </c>
      <c r="M284" s="21" t="s">
        <v>2276</v>
      </c>
      <c r="N284" s="21" t="s">
        <v>2276</v>
      </c>
      <c r="O284" s="21" t="s">
        <v>2276</v>
      </c>
      <c r="P284" s="21" t="s">
        <v>2276</v>
      </c>
      <c r="Q284" s="21" t="s">
        <v>2276</v>
      </c>
      <c r="R284" s="21" t="s">
        <v>2276</v>
      </c>
      <c r="S284" s="21" t="s">
        <v>2276</v>
      </c>
      <c r="T284" s="3"/>
    </row>
    <row r="285" spans="1:20" ht="48.5" customHeight="1">
      <c r="A285" s="11" t="s">
        <v>840</v>
      </c>
      <c r="B285" s="3" t="s">
        <v>2276</v>
      </c>
      <c r="C285" s="11" t="s">
        <v>12</v>
      </c>
      <c r="D285" s="4" t="s">
        <v>397</v>
      </c>
      <c r="E285" s="11" t="s">
        <v>2276</v>
      </c>
      <c r="F285" s="3" t="s">
        <v>2276</v>
      </c>
      <c r="G285" s="3" t="s">
        <v>2276</v>
      </c>
      <c r="H285" s="21" t="s">
        <v>2276</v>
      </c>
      <c r="I285" s="21" t="s">
        <v>2276</v>
      </c>
      <c r="J285" s="21" t="s">
        <v>2276</v>
      </c>
      <c r="K285" s="21"/>
      <c r="L285" s="21" t="s">
        <v>2276</v>
      </c>
      <c r="M285" s="21" t="s">
        <v>2276</v>
      </c>
      <c r="N285" s="21" t="s">
        <v>2276</v>
      </c>
      <c r="O285" s="21" t="s">
        <v>2276</v>
      </c>
      <c r="P285" s="21">
        <v>83</v>
      </c>
      <c r="Q285" s="21">
        <v>3</v>
      </c>
      <c r="R285" s="21" t="s">
        <v>2276</v>
      </c>
      <c r="S285" s="21" t="s">
        <v>2276</v>
      </c>
      <c r="T285" s="18" t="s">
        <v>2068</v>
      </c>
    </row>
    <row r="286" spans="1:20" ht="46.5" customHeight="1">
      <c r="A286" s="11" t="s">
        <v>843</v>
      </c>
      <c r="B286" s="3" t="s">
        <v>2276</v>
      </c>
      <c r="C286" s="11" t="s">
        <v>395</v>
      </c>
      <c r="D286" s="11" t="s">
        <v>130</v>
      </c>
      <c r="E286" s="11" t="s">
        <v>2276</v>
      </c>
      <c r="F286" s="3" t="s">
        <v>2276</v>
      </c>
      <c r="G286" s="3" t="s">
        <v>2276</v>
      </c>
      <c r="H286" s="21" t="s">
        <v>2276</v>
      </c>
      <c r="I286" s="21" t="s">
        <v>2276</v>
      </c>
      <c r="J286" s="21" t="s">
        <v>2276</v>
      </c>
      <c r="K286" s="21"/>
      <c r="L286" s="21" t="s">
        <v>2276</v>
      </c>
      <c r="M286" s="21" t="s">
        <v>2276</v>
      </c>
      <c r="N286" s="21" t="s">
        <v>2276</v>
      </c>
      <c r="O286" s="21" t="s">
        <v>2276</v>
      </c>
      <c r="P286" s="21">
        <v>19</v>
      </c>
      <c r="Q286" s="21">
        <v>79</v>
      </c>
      <c r="R286" s="21" t="s">
        <v>2276</v>
      </c>
      <c r="S286" s="21" t="s">
        <v>2276</v>
      </c>
      <c r="T286" s="18" t="s">
        <v>2068</v>
      </c>
    </row>
    <row r="287" spans="1:20" ht="43" customHeight="1">
      <c r="A287" s="11" t="s">
        <v>844</v>
      </c>
      <c r="B287" s="3" t="s">
        <v>2276</v>
      </c>
      <c r="C287" s="11" t="s">
        <v>12</v>
      </c>
      <c r="D287" s="4" t="s">
        <v>397</v>
      </c>
      <c r="E287" s="11" t="s">
        <v>116</v>
      </c>
      <c r="F287" s="3" t="s">
        <v>2276</v>
      </c>
      <c r="G287" s="3" t="s">
        <v>2276</v>
      </c>
      <c r="H287" s="21" t="s">
        <v>2276</v>
      </c>
      <c r="I287" s="21" t="s">
        <v>2276</v>
      </c>
      <c r="J287" s="21" t="s">
        <v>2276</v>
      </c>
      <c r="K287" s="21"/>
      <c r="L287" s="21" t="s">
        <v>2276</v>
      </c>
      <c r="M287" s="21" t="s">
        <v>2276</v>
      </c>
      <c r="N287" s="21" t="s">
        <v>2276</v>
      </c>
      <c r="O287" s="21" t="s">
        <v>2276</v>
      </c>
      <c r="P287" s="21">
        <v>49</v>
      </c>
      <c r="Q287" s="21">
        <v>48</v>
      </c>
      <c r="R287" s="21" t="s">
        <v>2276</v>
      </c>
      <c r="S287" s="21" t="s">
        <v>2276</v>
      </c>
      <c r="T287" s="4" t="s">
        <v>5010</v>
      </c>
    </row>
    <row r="288" spans="1:20" ht="43.5" customHeight="1">
      <c r="A288" s="11" t="s">
        <v>845</v>
      </c>
      <c r="B288" s="3" t="s">
        <v>2276</v>
      </c>
      <c r="C288" s="11" t="s">
        <v>395</v>
      </c>
      <c r="D288" s="11" t="s">
        <v>130</v>
      </c>
      <c r="E288" s="11" t="s">
        <v>116</v>
      </c>
      <c r="F288" s="3" t="s">
        <v>2276</v>
      </c>
      <c r="G288" s="3" t="s">
        <v>2276</v>
      </c>
      <c r="H288" s="21" t="s">
        <v>2276</v>
      </c>
      <c r="I288" s="21" t="s">
        <v>2276</v>
      </c>
      <c r="J288" s="21" t="s">
        <v>2276</v>
      </c>
      <c r="K288" s="21"/>
      <c r="L288" s="21" t="s">
        <v>2276</v>
      </c>
      <c r="M288" s="21" t="s">
        <v>2276</v>
      </c>
      <c r="N288" s="21" t="s">
        <v>2276</v>
      </c>
      <c r="O288" s="21" t="s">
        <v>2276</v>
      </c>
      <c r="P288" s="21">
        <v>29</v>
      </c>
      <c r="Q288" s="21">
        <v>68</v>
      </c>
      <c r="R288" s="21" t="s">
        <v>2276</v>
      </c>
      <c r="S288" s="21" t="s">
        <v>2276</v>
      </c>
      <c r="T288" s="4" t="s">
        <v>5010</v>
      </c>
    </row>
    <row r="289" spans="1:20" ht="40" customHeight="1">
      <c r="A289" s="3" t="s">
        <v>846</v>
      </c>
      <c r="B289" s="3" t="s">
        <v>2276</v>
      </c>
      <c r="C289" s="11" t="s">
        <v>12</v>
      </c>
      <c r="D289" s="4" t="s">
        <v>397</v>
      </c>
      <c r="E289" s="3" t="s">
        <v>45</v>
      </c>
      <c r="F289" s="11" t="s">
        <v>116</v>
      </c>
      <c r="G289" s="3" t="s">
        <v>2276</v>
      </c>
      <c r="H289" s="21" t="s">
        <v>2276</v>
      </c>
      <c r="I289" s="21" t="s">
        <v>2276</v>
      </c>
      <c r="J289" s="21" t="s">
        <v>2276</v>
      </c>
      <c r="K289" s="21"/>
      <c r="L289" s="21" t="s">
        <v>2276</v>
      </c>
      <c r="M289" s="21" t="s">
        <v>2276</v>
      </c>
      <c r="N289" s="21" t="s">
        <v>2276</v>
      </c>
      <c r="O289" s="21" t="s">
        <v>2276</v>
      </c>
      <c r="P289" s="21">
        <v>58</v>
      </c>
      <c r="Q289" s="21">
        <v>25</v>
      </c>
      <c r="R289" s="21" t="s">
        <v>2276</v>
      </c>
      <c r="S289" s="21" t="s">
        <v>2276</v>
      </c>
      <c r="T289" s="4" t="s">
        <v>5010</v>
      </c>
    </row>
    <row r="290" spans="1:20" ht="41" customHeight="1">
      <c r="A290" s="11" t="s">
        <v>847</v>
      </c>
      <c r="B290" s="3" t="s">
        <v>2276</v>
      </c>
      <c r="C290" s="11" t="s">
        <v>12</v>
      </c>
      <c r="D290" s="11" t="s">
        <v>130</v>
      </c>
      <c r="E290" s="4" t="s">
        <v>397</v>
      </c>
      <c r="F290" s="11" t="s">
        <v>116</v>
      </c>
      <c r="G290" s="3" t="s">
        <v>2276</v>
      </c>
      <c r="H290" s="21" t="s">
        <v>2276</v>
      </c>
      <c r="I290" s="21" t="s">
        <v>2276</v>
      </c>
      <c r="J290" s="21" t="s">
        <v>2276</v>
      </c>
      <c r="K290" s="21"/>
      <c r="L290" s="21" t="s">
        <v>2276</v>
      </c>
      <c r="M290" s="21" t="s">
        <v>2276</v>
      </c>
      <c r="N290" s="21" t="s">
        <v>2276</v>
      </c>
      <c r="O290" s="21" t="s">
        <v>2276</v>
      </c>
      <c r="P290" s="21">
        <v>37</v>
      </c>
      <c r="Q290" s="21">
        <v>56</v>
      </c>
      <c r="R290" s="21" t="s">
        <v>2276</v>
      </c>
      <c r="S290" s="21" t="s">
        <v>2276</v>
      </c>
      <c r="T290" s="4" t="s">
        <v>5010</v>
      </c>
    </row>
    <row r="291" spans="1:20" ht="87.5" customHeight="1">
      <c r="A291" s="11" t="s">
        <v>862</v>
      </c>
      <c r="B291" s="3" t="s">
        <v>2276</v>
      </c>
      <c r="C291" s="11" t="s">
        <v>12</v>
      </c>
      <c r="D291" s="11" t="s">
        <v>130</v>
      </c>
      <c r="E291" s="4" t="s">
        <v>396</v>
      </c>
      <c r="F291" s="3" t="s">
        <v>863</v>
      </c>
      <c r="G291" s="3" t="s">
        <v>137</v>
      </c>
      <c r="H291" s="21" t="s">
        <v>2276</v>
      </c>
      <c r="I291" s="21">
        <v>1.3</v>
      </c>
      <c r="J291" s="21" t="s">
        <v>2276</v>
      </c>
      <c r="K291" s="21" t="s">
        <v>534</v>
      </c>
      <c r="L291" s="21" t="s">
        <v>2276</v>
      </c>
      <c r="M291" s="21">
        <v>17.69230769</v>
      </c>
      <c r="N291" s="21" t="s">
        <v>2276</v>
      </c>
      <c r="O291" s="21" t="s">
        <v>2276</v>
      </c>
      <c r="P291" s="21">
        <v>13.66730832</v>
      </c>
      <c r="Q291" s="21" t="s">
        <v>2276</v>
      </c>
      <c r="R291" s="21">
        <v>46.67</v>
      </c>
      <c r="S291" s="21" t="s">
        <v>2276</v>
      </c>
      <c r="T291" s="4" t="s">
        <v>2070</v>
      </c>
    </row>
    <row r="292" spans="1:20" ht="36" customHeight="1">
      <c r="A292" s="11" t="s">
        <v>869</v>
      </c>
      <c r="B292" s="3" t="s">
        <v>2276</v>
      </c>
      <c r="C292" s="11" t="s">
        <v>12</v>
      </c>
      <c r="D292" s="11" t="s">
        <v>130</v>
      </c>
      <c r="E292" s="3" t="s">
        <v>137</v>
      </c>
      <c r="F292" s="3" t="s">
        <v>2276</v>
      </c>
      <c r="G292" s="3" t="s">
        <v>2276</v>
      </c>
      <c r="H292" s="21" t="s">
        <v>2276</v>
      </c>
      <c r="I292" s="21" t="s">
        <v>2276</v>
      </c>
      <c r="J292" s="21" t="s">
        <v>2276</v>
      </c>
      <c r="K292" s="21"/>
      <c r="L292" s="21" t="s">
        <v>2276</v>
      </c>
      <c r="M292" s="21" t="s">
        <v>2276</v>
      </c>
      <c r="N292" s="21" t="s">
        <v>2276</v>
      </c>
      <c r="O292" s="21" t="s">
        <v>2276</v>
      </c>
      <c r="P292" s="21" t="s">
        <v>2276</v>
      </c>
      <c r="Q292" s="21" t="s">
        <v>2276</v>
      </c>
      <c r="R292" s="21" t="s">
        <v>2276</v>
      </c>
      <c r="S292" s="21" t="s">
        <v>2276</v>
      </c>
      <c r="T292" s="4" t="s">
        <v>2123</v>
      </c>
    </row>
    <row r="293" spans="1:20" ht="36" customHeight="1">
      <c r="A293" s="35" t="s">
        <v>2072</v>
      </c>
      <c r="B293" s="3" t="s">
        <v>2276</v>
      </c>
      <c r="C293" s="11" t="s">
        <v>12</v>
      </c>
      <c r="D293" s="11" t="s">
        <v>130</v>
      </c>
      <c r="E293" s="3" t="s">
        <v>137</v>
      </c>
      <c r="F293" s="3" t="s">
        <v>2276</v>
      </c>
      <c r="G293" s="3" t="s">
        <v>2276</v>
      </c>
      <c r="H293" s="21" t="s">
        <v>2276</v>
      </c>
      <c r="I293" s="21" t="s">
        <v>2276</v>
      </c>
      <c r="J293" s="21" t="s">
        <v>2276</v>
      </c>
      <c r="K293" s="21"/>
      <c r="L293" s="21" t="s">
        <v>2276</v>
      </c>
      <c r="M293" s="21" t="s">
        <v>2276</v>
      </c>
      <c r="N293" s="21" t="s">
        <v>2276</v>
      </c>
      <c r="O293" s="21" t="s">
        <v>2276</v>
      </c>
      <c r="P293" s="21" t="s">
        <v>2276</v>
      </c>
      <c r="Q293" s="21" t="s">
        <v>2276</v>
      </c>
      <c r="R293" s="21" t="s">
        <v>2276</v>
      </c>
      <c r="S293" s="21" t="s">
        <v>2276</v>
      </c>
      <c r="T293" s="4" t="s">
        <v>2123</v>
      </c>
    </row>
    <row r="294" spans="1:20" ht="36" customHeight="1">
      <c r="A294" s="35" t="s">
        <v>2073</v>
      </c>
      <c r="B294" s="3" t="s">
        <v>2276</v>
      </c>
      <c r="C294" s="11" t="s">
        <v>12</v>
      </c>
      <c r="D294" s="11" t="s">
        <v>130</v>
      </c>
      <c r="E294" s="3" t="s">
        <v>137</v>
      </c>
      <c r="F294" s="3" t="s">
        <v>2276</v>
      </c>
      <c r="G294" s="3" t="s">
        <v>2276</v>
      </c>
      <c r="H294" s="21" t="s">
        <v>2276</v>
      </c>
      <c r="I294" s="21" t="s">
        <v>2276</v>
      </c>
      <c r="J294" s="21" t="s">
        <v>2276</v>
      </c>
      <c r="K294" s="21"/>
      <c r="L294" s="21" t="s">
        <v>2276</v>
      </c>
      <c r="M294" s="21" t="s">
        <v>2276</v>
      </c>
      <c r="N294" s="21" t="s">
        <v>2276</v>
      </c>
      <c r="O294" s="21" t="s">
        <v>2276</v>
      </c>
      <c r="P294" s="21" t="s">
        <v>2276</v>
      </c>
      <c r="Q294" s="21" t="s">
        <v>2276</v>
      </c>
      <c r="R294" s="21" t="s">
        <v>2276</v>
      </c>
      <c r="S294" s="21" t="s">
        <v>2276</v>
      </c>
      <c r="T294" s="4" t="s">
        <v>2123</v>
      </c>
    </row>
    <row r="295" spans="1:20" ht="36" customHeight="1">
      <c r="A295" s="35" t="s">
        <v>2074</v>
      </c>
      <c r="B295" s="3" t="s">
        <v>2276</v>
      </c>
      <c r="C295" s="11" t="s">
        <v>12</v>
      </c>
      <c r="D295" s="11" t="s">
        <v>130</v>
      </c>
      <c r="E295" s="3" t="s">
        <v>137</v>
      </c>
      <c r="F295" s="3" t="s">
        <v>2276</v>
      </c>
      <c r="G295" s="3" t="s">
        <v>2276</v>
      </c>
      <c r="H295" s="21" t="s">
        <v>2276</v>
      </c>
      <c r="I295" s="21" t="s">
        <v>2276</v>
      </c>
      <c r="J295" s="21" t="s">
        <v>2276</v>
      </c>
      <c r="K295" s="21"/>
      <c r="L295" s="21" t="s">
        <v>2276</v>
      </c>
      <c r="M295" s="21" t="s">
        <v>2276</v>
      </c>
      <c r="N295" s="21" t="s">
        <v>2276</v>
      </c>
      <c r="O295" s="21" t="s">
        <v>2276</v>
      </c>
      <c r="P295" s="21" t="s">
        <v>2276</v>
      </c>
      <c r="Q295" s="21" t="s">
        <v>2276</v>
      </c>
      <c r="R295" s="21" t="s">
        <v>2276</v>
      </c>
      <c r="S295" s="21" t="s">
        <v>2276</v>
      </c>
      <c r="T295" s="4" t="s">
        <v>2123</v>
      </c>
    </row>
    <row r="296" spans="1:20" ht="36" customHeight="1">
      <c r="A296" s="35" t="s">
        <v>2075</v>
      </c>
      <c r="B296" s="3" t="s">
        <v>2276</v>
      </c>
      <c r="C296" s="11" t="s">
        <v>12</v>
      </c>
      <c r="D296" s="11" t="s">
        <v>130</v>
      </c>
      <c r="E296" s="3" t="s">
        <v>137</v>
      </c>
      <c r="F296" s="3" t="s">
        <v>2276</v>
      </c>
      <c r="G296" s="3" t="s">
        <v>2276</v>
      </c>
      <c r="H296" s="21" t="s">
        <v>2276</v>
      </c>
      <c r="I296" s="21" t="s">
        <v>2276</v>
      </c>
      <c r="J296" s="21" t="s">
        <v>2276</v>
      </c>
      <c r="K296" s="21"/>
      <c r="L296" s="21" t="s">
        <v>2276</v>
      </c>
      <c r="M296" s="21" t="s">
        <v>2276</v>
      </c>
      <c r="N296" s="21" t="s">
        <v>2276</v>
      </c>
      <c r="O296" s="21" t="s">
        <v>2276</v>
      </c>
      <c r="P296" s="21" t="s">
        <v>2276</v>
      </c>
      <c r="Q296" s="21" t="s">
        <v>2276</v>
      </c>
      <c r="R296" s="21" t="s">
        <v>2276</v>
      </c>
      <c r="S296" s="21" t="s">
        <v>2276</v>
      </c>
      <c r="T296" s="4" t="s">
        <v>2123</v>
      </c>
    </row>
    <row r="297" spans="1:20" ht="36" customHeight="1">
      <c r="A297" s="35" t="s">
        <v>2076</v>
      </c>
      <c r="B297" s="3" t="s">
        <v>2276</v>
      </c>
      <c r="C297" s="11" t="s">
        <v>12</v>
      </c>
      <c r="D297" s="11" t="s">
        <v>130</v>
      </c>
      <c r="E297" s="3" t="s">
        <v>137</v>
      </c>
      <c r="F297" s="3" t="s">
        <v>2276</v>
      </c>
      <c r="G297" s="3" t="s">
        <v>2276</v>
      </c>
      <c r="H297" s="21" t="s">
        <v>2276</v>
      </c>
      <c r="I297" s="21" t="s">
        <v>2276</v>
      </c>
      <c r="J297" s="21" t="s">
        <v>2276</v>
      </c>
      <c r="K297" s="21"/>
      <c r="L297" s="21" t="s">
        <v>2276</v>
      </c>
      <c r="M297" s="21" t="s">
        <v>2276</v>
      </c>
      <c r="N297" s="21" t="s">
        <v>2276</v>
      </c>
      <c r="O297" s="21" t="s">
        <v>2276</v>
      </c>
      <c r="P297" s="21" t="s">
        <v>2276</v>
      </c>
      <c r="Q297" s="21" t="s">
        <v>2276</v>
      </c>
      <c r="R297" s="21" t="s">
        <v>2276</v>
      </c>
      <c r="S297" s="21" t="s">
        <v>2276</v>
      </c>
      <c r="T297" s="4" t="s">
        <v>2123</v>
      </c>
    </row>
    <row r="298" spans="1:20" ht="36" customHeight="1">
      <c r="A298" s="35" t="s">
        <v>2077</v>
      </c>
      <c r="B298" s="3" t="s">
        <v>2276</v>
      </c>
      <c r="C298" s="11" t="s">
        <v>12</v>
      </c>
      <c r="D298" s="11" t="s">
        <v>130</v>
      </c>
      <c r="E298" s="3" t="s">
        <v>137</v>
      </c>
      <c r="F298" s="3" t="s">
        <v>2276</v>
      </c>
      <c r="G298" s="3" t="s">
        <v>2276</v>
      </c>
      <c r="H298" s="21" t="s">
        <v>2276</v>
      </c>
      <c r="I298" s="21" t="s">
        <v>2276</v>
      </c>
      <c r="J298" s="21" t="s">
        <v>2276</v>
      </c>
      <c r="K298" s="21"/>
      <c r="L298" s="21" t="s">
        <v>2276</v>
      </c>
      <c r="M298" s="21" t="s">
        <v>2276</v>
      </c>
      <c r="N298" s="21" t="s">
        <v>2276</v>
      </c>
      <c r="O298" s="21" t="s">
        <v>2276</v>
      </c>
      <c r="P298" s="21" t="s">
        <v>2276</v>
      </c>
      <c r="Q298" s="21" t="s">
        <v>2276</v>
      </c>
      <c r="R298" s="21" t="s">
        <v>2276</v>
      </c>
      <c r="S298" s="21" t="s">
        <v>2276</v>
      </c>
      <c r="T298" s="4" t="s">
        <v>2123</v>
      </c>
    </row>
    <row r="299" spans="1:20" ht="36" customHeight="1">
      <c r="A299" s="35" t="s">
        <v>2078</v>
      </c>
      <c r="B299" s="3" t="s">
        <v>2276</v>
      </c>
      <c r="C299" s="11" t="s">
        <v>12</v>
      </c>
      <c r="D299" s="11" t="s">
        <v>130</v>
      </c>
      <c r="E299" s="3" t="s">
        <v>137</v>
      </c>
      <c r="F299" s="3" t="s">
        <v>2276</v>
      </c>
      <c r="G299" s="3" t="s">
        <v>2276</v>
      </c>
      <c r="H299" s="21" t="s">
        <v>2276</v>
      </c>
      <c r="I299" s="21" t="s">
        <v>2276</v>
      </c>
      <c r="J299" s="21" t="s">
        <v>2276</v>
      </c>
      <c r="K299" s="21"/>
      <c r="L299" s="21" t="s">
        <v>2276</v>
      </c>
      <c r="M299" s="21" t="s">
        <v>2276</v>
      </c>
      <c r="N299" s="21" t="s">
        <v>2276</v>
      </c>
      <c r="O299" s="21" t="s">
        <v>2276</v>
      </c>
      <c r="P299" s="21" t="s">
        <v>2276</v>
      </c>
      <c r="Q299" s="21" t="s">
        <v>2276</v>
      </c>
      <c r="R299" s="21" t="s">
        <v>2276</v>
      </c>
      <c r="S299" s="21" t="s">
        <v>2276</v>
      </c>
      <c r="T299" s="4" t="s">
        <v>2123</v>
      </c>
    </row>
    <row r="300" spans="1:20" ht="36" customHeight="1">
      <c r="A300" s="35" t="s">
        <v>2079</v>
      </c>
      <c r="B300" s="3" t="s">
        <v>2276</v>
      </c>
      <c r="C300" s="11" t="s">
        <v>12</v>
      </c>
      <c r="D300" s="11" t="s">
        <v>130</v>
      </c>
      <c r="E300" s="3" t="s">
        <v>137</v>
      </c>
      <c r="F300" s="3" t="s">
        <v>2276</v>
      </c>
      <c r="G300" s="3" t="s">
        <v>2276</v>
      </c>
      <c r="H300" s="21" t="s">
        <v>2276</v>
      </c>
      <c r="I300" s="21" t="s">
        <v>2276</v>
      </c>
      <c r="J300" s="21" t="s">
        <v>2276</v>
      </c>
      <c r="K300" s="21"/>
      <c r="L300" s="21" t="s">
        <v>2276</v>
      </c>
      <c r="M300" s="21" t="s">
        <v>2276</v>
      </c>
      <c r="N300" s="21" t="s">
        <v>2276</v>
      </c>
      <c r="O300" s="21" t="s">
        <v>2276</v>
      </c>
      <c r="P300" s="21" t="s">
        <v>2276</v>
      </c>
      <c r="Q300" s="21" t="s">
        <v>2276</v>
      </c>
      <c r="R300" s="21" t="s">
        <v>2276</v>
      </c>
      <c r="S300" s="21" t="s">
        <v>2276</v>
      </c>
      <c r="T300" s="4" t="s">
        <v>2123</v>
      </c>
    </row>
    <row r="301" spans="1:20" ht="36" customHeight="1">
      <c r="A301" s="35" t="s">
        <v>2080</v>
      </c>
      <c r="B301" s="3" t="s">
        <v>2276</v>
      </c>
      <c r="C301" s="11" t="s">
        <v>12</v>
      </c>
      <c r="D301" s="11" t="s">
        <v>130</v>
      </c>
      <c r="E301" s="3" t="s">
        <v>137</v>
      </c>
      <c r="F301" s="3" t="s">
        <v>2276</v>
      </c>
      <c r="G301" s="3" t="s">
        <v>2276</v>
      </c>
      <c r="H301" s="21" t="s">
        <v>2276</v>
      </c>
      <c r="I301" s="21" t="s">
        <v>2276</v>
      </c>
      <c r="J301" s="21" t="s">
        <v>2276</v>
      </c>
      <c r="K301" s="21"/>
      <c r="L301" s="21" t="s">
        <v>2276</v>
      </c>
      <c r="M301" s="21" t="s">
        <v>2276</v>
      </c>
      <c r="N301" s="21" t="s">
        <v>2276</v>
      </c>
      <c r="O301" s="21" t="s">
        <v>2276</v>
      </c>
      <c r="P301" s="21" t="s">
        <v>2276</v>
      </c>
      <c r="Q301" s="21" t="s">
        <v>2276</v>
      </c>
      <c r="R301" s="21" t="s">
        <v>2276</v>
      </c>
      <c r="S301" s="21" t="s">
        <v>2276</v>
      </c>
      <c r="T301" s="4" t="s">
        <v>2123</v>
      </c>
    </row>
    <row r="302" spans="1:20" ht="36" customHeight="1">
      <c r="A302" s="35" t="s">
        <v>2081</v>
      </c>
      <c r="B302" s="3" t="s">
        <v>2276</v>
      </c>
      <c r="C302" s="11" t="s">
        <v>12</v>
      </c>
      <c r="D302" s="11" t="s">
        <v>130</v>
      </c>
      <c r="E302" s="3" t="s">
        <v>137</v>
      </c>
      <c r="F302" s="3" t="s">
        <v>2276</v>
      </c>
      <c r="G302" s="3" t="s">
        <v>2276</v>
      </c>
      <c r="H302" s="21" t="s">
        <v>2276</v>
      </c>
      <c r="I302" s="21" t="s">
        <v>2276</v>
      </c>
      <c r="J302" s="21" t="s">
        <v>2276</v>
      </c>
      <c r="K302" s="21"/>
      <c r="L302" s="21" t="s">
        <v>2276</v>
      </c>
      <c r="M302" s="21" t="s">
        <v>2276</v>
      </c>
      <c r="N302" s="21" t="s">
        <v>2276</v>
      </c>
      <c r="O302" s="21" t="s">
        <v>2276</v>
      </c>
      <c r="P302" s="21" t="s">
        <v>2276</v>
      </c>
      <c r="Q302" s="21" t="s">
        <v>2276</v>
      </c>
      <c r="R302" s="21" t="s">
        <v>2276</v>
      </c>
      <c r="S302" s="21" t="s">
        <v>2276</v>
      </c>
      <c r="T302" s="4" t="s">
        <v>2123</v>
      </c>
    </row>
    <row r="303" spans="1:20" ht="36" customHeight="1">
      <c r="A303" s="35" t="s">
        <v>2082</v>
      </c>
      <c r="B303" s="3" t="s">
        <v>2276</v>
      </c>
      <c r="C303" s="11" t="s">
        <v>12</v>
      </c>
      <c r="D303" s="11" t="s">
        <v>130</v>
      </c>
      <c r="E303" s="3" t="s">
        <v>137</v>
      </c>
      <c r="F303" s="3" t="s">
        <v>2276</v>
      </c>
      <c r="G303" s="3" t="s">
        <v>2276</v>
      </c>
      <c r="H303" s="21" t="s">
        <v>2276</v>
      </c>
      <c r="I303" s="21" t="s">
        <v>2276</v>
      </c>
      <c r="J303" s="21" t="s">
        <v>2276</v>
      </c>
      <c r="K303" s="21"/>
      <c r="L303" s="21" t="s">
        <v>2276</v>
      </c>
      <c r="M303" s="21" t="s">
        <v>2276</v>
      </c>
      <c r="N303" s="21" t="s">
        <v>2276</v>
      </c>
      <c r="O303" s="21" t="s">
        <v>2276</v>
      </c>
      <c r="P303" s="21" t="s">
        <v>2276</v>
      </c>
      <c r="Q303" s="21" t="s">
        <v>2276</v>
      </c>
      <c r="R303" s="21" t="s">
        <v>2276</v>
      </c>
      <c r="S303" s="21" t="s">
        <v>2276</v>
      </c>
      <c r="T303" s="4" t="s">
        <v>2123</v>
      </c>
    </row>
    <row r="304" spans="1:20" ht="36" customHeight="1">
      <c r="A304" s="35" t="s">
        <v>2083</v>
      </c>
      <c r="B304" s="3" t="s">
        <v>2276</v>
      </c>
      <c r="C304" s="11" t="s">
        <v>12</v>
      </c>
      <c r="D304" s="11" t="s">
        <v>130</v>
      </c>
      <c r="E304" s="3" t="s">
        <v>137</v>
      </c>
      <c r="F304" s="3" t="s">
        <v>2276</v>
      </c>
      <c r="G304" s="3" t="s">
        <v>2276</v>
      </c>
      <c r="H304" s="21" t="s">
        <v>2276</v>
      </c>
      <c r="I304" s="21" t="s">
        <v>2276</v>
      </c>
      <c r="J304" s="21" t="s">
        <v>2276</v>
      </c>
      <c r="K304" s="21"/>
      <c r="L304" s="21" t="s">
        <v>2276</v>
      </c>
      <c r="M304" s="21" t="s">
        <v>2276</v>
      </c>
      <c r="N304" s="21" t="s">
        <v>2276</v>
      </c>
      <c r="O304" s="21" t="s">
        <v>2276</v>
      </c>
      <c r="P304" s="21" t="s">
        <v>2276</v>
      </c>
      <c r="Q304" s="21" t="s">
        <v>2276</v>
      </c>
      <c r="R304" s="21" t="s">
        <v>2276</v>
      </c>
      <c r="S304" s="21" t="s">
        <v>2276</v>
      </c>
      <c r="T304" s="4" t="s">
        <v>2123</v>
      </c>
    </row>
    <row r="305" spans="1:20" ht="36" customHeight="1">
      <c r="A305" s="35" t="s">
        <v>2084</v>
      </c>
      <c r="B305" s="3" t="s">
        <v>2276</v>
      </c>
      <c r="C305" s="11" t="s">
        <v>12</v>
      </c>
      <c r="D305" s="11" t="s">
        <v>130</v>
      </c>
      <c r="E305" s="3" t="s">
        <v>137</v>
      </c>
      <c r="F305" s="3" t="s">
        <v>2276</v>
      </c>
      <c r="G305" s="3" t="s">
        <v>2276</v>
      </c>
      <c r="H305" s="21" t="s">
        <v>2276</v>
      </c>
      <c r="I305" s="21" t="s">
        <v>2276</v>
      </c>
      <c r="J305" s="21" t="s">
        <v>2276</v>
      </c>
      <c r="K305" s="21"/>
      <c r="L305" s="21" t="s">
        <v>2276</v>
      </c>
      <c r="M305" s="21" t="s">
        <v>2276</v>
      </c>
      <c r="N305" s="21" t="s">
        <v>2276</v>
      </c>
      <c r="O305" s="21" t="s">
        <v>2276</v>
      </c>
      <c r="P305" s="21" t="s">
        <v>2276</v>
      </c>
      <c r="Q305" s="21" t="s">
        <v>2276</v>
      </c>
      <c r="R305" s="21" t="s">
        <v>2276</v>
      </c>
      <c r="S305" s="21" t="s">
        <v>2276</v>
      </c>
      <c r="T305" s="4" t="s">
        <v>2123</v>
      </c>
    </row>
    <row r="306" spans="1:20" ht="36" customHeight="1">
      <c r="A306" s="35" t="s">
        <v>2085</v>
      </c>
      <c r="B306" s="3" t="s">
        <v>2276</v>
      </c>
      <c r="C306" s="11" t="s">
        <v>12</v>
      </c>
      <c r="D306" s="11" t="s">
        <v>130</v>
      </c>
      <c r="E306" s="3" t="s">
        <v>137</v>
      </c>
      <c r="F306" s="3" t="s">
        <v>2276</v>
      </c>
      <c r="G306" s="3" t="s">
        <v>2276</v>
      </c>
      <c r="H306" s="21" t="s">
        <v>2276</v>
      </c>
      <c r="I306" s="21" t="s">
        <v>2276</v>
      </c>
      <c r="J306" s="21" t="s">
        <v>2276</v>
      </c>
      <c r="K306" s="21"/>
      <c r="L306" s="21" t="s">
        <v>2276</v>
      </c>
      <c r="M306" s="21" t="s">
        <v>2276</v>
      </c>
      <c r="N306" s="21" t="s">
        <v>2276</v>
      </c>
      <c r="O306" s="21" t="s">
        <v>2276</v>
      </c>
      <c r="P306" s="21" t="s">
        <v>2276</v>
      </c>
      <c r="Q306" s="21" t="s">
        <v>2276</v>
      </c>
      <c r="R306" s="21" t="s">
        <v>2276</v>
      </c>
      <c r="S306" s="21" t="s">
        <v>2276</v>
      </c>
      <c r="T306" s="4" t="s">
        <v>2123</v>
      </c>
    </row>
    <row r="307" spans="1:20" ht="36" customHeight="1">
      <c r="A307" s="35" t="s">
        <v>2086</v>
      </c>
      <c r="B307" s="3" t="s">
        <v>2276</v>
      </c>
      <c r="C307" s="11" t="s">
        <v>12</v>
      </c>
      <c r="D307" s="11" t="s">
        <v>130</v>
      </c>
      <c r="E307" s="3" t="s">
        <v>137</v>
      </c>
      <c r="F307" s="3" t="s">
        <v>2276</v>
      </c>
      <c r="G307" s="3" t="s">
        <v>2276</v>
      </c>
      <c r="H307" s="21" t="s">
        <v>2276</v>
      </c>
      <c r="I307" s="21" t="s">
        <v>2276</v>
      </c>
      <c r="J307" s="21" t="s">
        <v>2276</v>
      </c>
      <c r="K307" s="21"/>
      <c r="L307" s="21" t="s">
        <v>2276</v>
      </c>
      <c r="M307" s="21" t="s">
        <v>2276</v>
      </c>
      <c r="N307" s="21" t="s">
        <v>2276</v>
      </c>
      <c r="O307" s="21" t="s">
        <v>2276</v>
      </c>
      <c r="P307" s="21" t="s">
        <v>2276</v>
      </c>
      <c r="Q307" s="21" t="s">
        <v>2276</v>
      </c>
      <c r="R307" s="21" t="s">
        <v>2276</v>
      </c>
      <c r="S307" s="21" t="s">
        <v>2276</v>
      </c>
      <c r="T307" s="4" t="s">
        <v>2123</v>
      </c>
    </row>
    <row r="308" spans="1:20" ht="36" customHeight="1">
      <c r="A308" s="35" t="s">
        <v>2087</v>
      </c>
      <c r="B308" s="3" t="s">
        <v>2276</v>
      </c>
      <c r="C308" s="11" t="s">
        <v>12</v>
      </c>
      <c r="D308" s="11" t="s">
        <v>130</v>
      </c>
      <c r="E308" s="3" t="s">
        <v>137</v>
      </c>
      <c r="F308" s="3" t="s">
        <v>2276</v>
      </c>
      <c r="G308" s="3" t="s">
        <v>2276</v>
      </c>
      <c r="H308" s="21" t="s">
        <v>2276</v>
      </c>
      <c r="I308" s="21" t="s">
        <v>2276</v>
      </c>
      <c r="J308" s="21" t="s">
        <v>2276</v>
      </c>
      <c r="K308" s="21"/>
      <c r="L308" s="21" t="s">
        <v>2276</v>
      </c>
      <c r="M308" s="21" t="s">
        <v>2276</v>
      </c>
      <c r="N308" s="21" t="s">
        <v>2276</v>
      </c>
      <c r="O308" s="21" t="s">
        <v>2276</v>
      </c>
      <c r="P308" s="21" t="s">
        <v>2276</v>
      </c>
      <c r="Q308" s="21" t="s">
        <v>2276</v>
      </c>
      <c r="R308" s="21" t="s">
        <v>2276</v>
      </c>
      <c r="S308" s="21" t="s">
        <v>2276</v>
      </c>
      <c r="T308" s="4" t="s">
        <v>2123</v>
      </c>
    </row>
    <row r="309" spans="1:20" ht="36" customHeight="1">
      <c r="A309" s="35" t="s">
        <v>2088</v>
      </c>
      <c r="B309" s="3" t="s">
        <v>2276</v>
      </c>
      <c r="C309" s="11" t="s">
        <v>12</v>
      </c>
      <c r="D309" s="11" t="s">
        <v>130</v>
      </c>
      <c r="E309" s="3" t="s">
        <v>137</v>
      </c>
      <c r="F309" s="3" t="s">
        <v>2276</v>
      </c>
      <c r="G309" s="3" t="s">
        <v>2276</v>
      </c>
      <c r="H309" s="21" t="s">
        <v>2276</v>
      </c>
      <c r="I309" s="21" t="s">
        <v>2276</v>
      </c>
      <c r="J309" s="21" t="s">
        <v>2276</v>
      </c>
      <c r="K309" s="21"/>
      <c r="L309" s="21" t="s">
        <v>2276</v>
      </c>
      <c r="M309" s="21" t="s">
        <v>2276</v>
      </c>
      <c r="N309" s="21" t="s">
        <v>2276</v>
      </c>
      <c r="O309" s="21" t="s">
        <v>2276</v>
      </c>
      <c r="P309" s="21" t="s">
        <v>2276</v>
      </c>
      <c r="Q309" s="21" t="s">
        <v>2276</v>
      </c>
      <c r="R309" s="21" t="s">
        <v>2276</v>
      </c>
      <c r="S309" s="21" t="s">
        <v>2276</v>
      </c>
      <c r="T309" s="4" t="s">
        <v>2123</v>
      </c>
    </row>
    <row r="310" spans="1:20" ht="36" customHeight="1">
      <c r="A310" s="35" t="s">
        <v>2089</v>
      </c>
      <c r="B310" s="3" t="s">
        <v>2276</v>
      </c>
      <c r="C310" s="11" t="s">
        <v>12</v>
      </c>
      <c r="D310" s="11" t="s">
        <v>130</v>
      </c>
      <c r="E310" s="3" t="s">
        <v>137</v>
      </c>
      <c r="F310" s="3" t="s">
        <v>2276</v>
      </c>
      <c r="G310" s="3" t="s">
        <v>2276</v>
      </c>
      <c r="H310" s="21" t="s">
        <v>2276</v>
      </c>
      <c r="I310" s="21" t="s">
        <v>2276</v>
      </c>
      <c r="J310" s="21" t="s">
        <v>2276</v>
      </c>
      <c r="K310" s="21"/>
      <c r="L310" s="21" t="s">
        <v>2276</v>
      </c>
      <c r="M310" s="21" t="s">
        <v>2276</v>
      </c>
      <c r="N310" s="21" t="s">
        <v>2276</v>
      </c>
      <c r="O310" s="21" t="s">
        <v>2276</v>
      </c>
      <c r="P310" s="21" t="s">
        <v>2276</v>
      </c>
      <c r="Q310" s="21" t="s">
        <v>2276</v>
      </c>
      <c r="R310" s="21" t="s">
        <v>2276</v>
      </c>
      <c r="S310" s="21" t="s">
        <v>2276</v>
      </c>
      <c r="T310" s="4" t="s">
        <v>2123</v>
      </c>
    </row>
    <row r="311" spans="1:20" ht="36" customHeight="1">
      <c r="A311" s="35" t="s">
        <v>2090</v>
      </c>
      <c r="B311" s="3" t="s">
        <v>2276</v>
      </c>
      <c r="C311" s="11" t="s">
        <v>12</v>
      </c>
      <c r="D311" s="11" t="s">
        <v>130</v>
      </c>
      <c r="E311" s="3" t="s">
        <v>137</v>
      </c>
      <c r="F311" s="3" t="s">
        <v>2276</v>
      </c>
      <c r="G311" s="3" t="s">
        <v>2276</v>
      </c>
      <c r="H311" s="21" t="s">
        <v>2276</v>
      </c>
      <c r="I311" s="21" t="s">
        <v>2276</v>
      </c>
      <c r="J311" s="21" t="s">
        <v>2276</v>
      </c>
      <c r="K311" s="21"/>
      <c r="L311" s="21" t="s">
        <v>2276</v>
      </c>
      <c r="M311" s="21" t="s">
        <v>2276</v>
      </c>
      <c r="N311" s="21" t="s">
        <v>2276</v>
      </c>
      <c r="O311" s="21" t="s">
        <v>2276</v>
      </c>
      <c r="P311" s="21" t="s">
        <v>2276</v>
      </c>
      <c r="Q311" s="21" t="s">
        <v>2276</v>
      </c>
      <c r="R311" s="21" t="s">
        <v>2276</v>
      </c>
      <c r="S311" s="21" t="s">
        <v>2276</v>
      </c>
      <c r="T311" s="4" t="s">
        <v>2123</v>
      </c>
    </row>
    <row r="312" spans="1:20" ht="36" customHeight="1">
      <c r="A312" s="35" t="s">
        <v>2091</v>
      </c>
      <c r="B312" s="3" t="s">
        <v>2276</v>
      </c>
      <c r="C312" s="11" t="s">
        <v>12</v>
      </c>
      <c r="D312" s="11" t="s">
        <v>130</v>
      </c>
      <c r="E312" s="3" t="s">
        <v>137</v>
      </c>
      <c r="F312" s="3" t="s">
        <v>2276</v>
      </c>
      <c r="G312" s="3" t="s">
        <v>2276</v>
      </c>
      <c r="H312" s="21" t="s">
        <v>2276</v>
      </c>
      <c r="I312" s="21" t="s">
        <v>2276</v>
      </c>
      <c r="J312" s="21" t="s">
        <v>2276</v>
      </c>
      <c r="K312" s="21"/>
      <c r="L312" s="21" t="s">
        <v>2276</v>
      </c>
      <c r="M312" s="21" t="s">
        <v>2276</v>
      </c>
      <c r="N312" s="21" t="s">
        <v>2276</v>
      </c>
      <c r="O312" s="21" t="s">
        <v>2276</v>
      </c>
      <c r="P312" s="21" t="s">
        <v>2276</v>
      </c>
      <c r="Q312" s="21" t="s">
        <v>2276</v>
      </c>
      <c r="R312" s="21" t="s">
        <v>2276</v>
      </c>
      <c r="S312" s="21" t="s">
        <v>2276</v>
      </c>
      <c r="T312" s="4" t="s">
        <v>2123</v>
      </c>
    </row>
    <row r="313" spans="1:20" ht="36" customHeight="1">
      <c r="A313" s="35" t="s">
        <v>2092</v>
      </c>
      <c r="B313" s="3" t="s">
        <v>2276</v>
      </c>
      <c r="C313" s="11" t="s">
        <v>12</v>
      </c>
      <c r="D313" s="11" t="s">
        <v>130</v>
      </c>
      <c r="E313" s="3" t="s">
        <v>137</v>
      </c>
      <c r="F313" s="3" t="s">
        <v>2276</v>
      </c>
      <c r="G313" s="3" t="s">
        <v>2276</v>
      </c>
      <c r="H313" s="21" t="s">
        <v>2276</v>
      </c>
      <c r="I313" s="21" t="s">
        <v>2276</v>
      </c>
      <c r="J313" s="21" t="s">
        <v>2276</v>
      </c>
      <c r="K313" s="21"/>
      <c r="L313" s="21" t="s">
        <v>2276</v>
      </c>
      <c r="M313" s="21" t="s">
        <v>2276</v>
      </c>
      <c r="N313" s="21" t="s">
        <v>2276</v>
      </c>
      <c r="O313" s="21" t="s">
        <v>2276</v>
      </c>
      <c r="P313" s="21" t="s">
        <v>2276</v>
      </c>
      <c r="Q313" s="21" t="s">
        <v>2276</v>
      </c>
      <c r="R313" s="21" t="s">
        <v>2276</v>
      </c>
      <c r="S313" s="21" t="s">
        <v>2276</v>
      </c>
      <c r="T313" s="4" t="s">
        <v>2123</v>
      </c>
    </row>
    <row r="314" spans="1:20" ht="36" customHeight="1">
      <c r="A314" s="35" t="s">
        <v>2093</v>
      </c>
      <c r="B314" s="3" t="s">
        <v>2276</v>
      </c>
      <c r="C314" s="11" t="s">
        <v>12</v>
      </c>
      <c r="D314" s="11" t="s">
        <v>130</v>
      </c>
      <c r="E314" s="3" t="s">
        <v>137</v>
      </c>
      <c r="F314" s="3" t="s">
        <v>2276</v>
      </c>
      <c r="G314" s="3" t="s">
        <v>2276</v>
      </c>
      <c r="H314" s="21" t="s">
        <v>2276</v>
      </c>
      <c r="I314" s="21" t="s">
        <v>2276</v>
      </c>
      <c r="J314" s="21" t="s">
        <v>2276</v>
      </c>
      <c r="K314" s="21"/>
      <c r="L314" s="21" t="s">
        <v>2276</v>
      </c>
      <c r="M314" s="21" t="s">
        <v>2276</v>
      </c>
      <c r="N314" s="21" t="s">
        <v>2276</v>
      </c>
      <c r="O314" s="21" t="s">
        <v>2276</v>
      </c>
      <c r="P314" s="21" t="s">
        <v>2276</v>
      </c>
      <c r="Q314" s="21" t="s">
        <v>2276</v>
      </c>
      <c r="R314" s="21" t="s">
        <v>2276</v>
      </c>
      <c r="S314" s="21" t="s">
        <v>2276</v>
      </c>
      <c r="T314" s="4" t="s">
        <v>2123</v>
      </c>
    </row>
    <row r="315" spans="1:20" ht="36" customHeight="1">
      <c r="A315" s="35" t="s">
        <v>2094</v>
      </c>
      <c r="B315" s="3" t="s">
        <v>2276</v>
      </c>
      <c r="C315" s="11" t="s">
        <v>12</v>
      </c>
      <c r="D315" s="11" t="s">
        <v>130</v>
      </c>
      <c r="E315" s="3" t="s">
        <v>137</v>
      </c>
      <c r="F315" s="3" t="s">
        <v>2276</v>
      </c>
      <c r="G315" s="3" t="s">
        <v>2276</v>
      </c>
      <c r="H315" s="21" t="s">
        <v>2276</v>
      </c>
      <c r="I315" s="21" t="s">
        <v>2276</v>
      </c>
      <c r="J315" s="21" t="s">
        <v>2276</v>
      </c>
      <c r="K315" s="21"/>
      <c r="L315" s="21" t="s">
        <v>2276</v>
      </c>
      <c r="M315" s="21" t="s">
        <v>2276</v>
      </c>
      <c r="N315" s="21" t="s">
        <v>2276</v>
      </c>
      <c r="O315" s="21" t="s">
        <v>2276</v>
      </c>
      <c r="P315" s="21" t="s">
        <v>2276</v>
      </c>
      <c r="Q315" s="21" t="s">
        <v>2276</v>
      </c>
      <c r="R315" s="21" t="s">
        <v>2276</v>
      </c>
      <c r="S315" s="21" t="s">
        <v>2276</v>
      </c>
      <c r="T315" s="4" t="s">
        <v>2123</v>
      </c>
    </row>
    <row r="316" spans="1:20" ht="36" customHeight="1">
      <c r="A316" s="35" t="s">
        <v>2095</v>
      </c>
      <c r="B316" s="3" t="s">
        <v>2276</v>
      </c>
      <c r="C316" s="11" t="s">
        <v>12</v>
      </c>
      <c r="D316" s="11" t="s">
        <v>130</v>
      </c>
      <c r="E316" s="3" t="s">
        <v>137</v>
      </c>
      <c r="F316" s="3" t="s">
        <v>2276</v>
      </c>
      <c r="G316" s="3" t="s">
        <v>2276</v>
      </c>
      <c r="H316" s="21" t="s">
        <v>2276</v>
      </c>
      <c r="I316" s="21" t="s">
        <v>2276</v>
      </c>
      <c r="J316" s="21" t="s">
        <v>2276</v>
      </c>
      <c r="K316" s="21"/>
      <c r="L316" s="21" t="s">
        <v>2276</v>
      </c>
      <c r="M316" s="21" t="s">
        <v>2276</v>
      </c>
      <c r="N316" s="21" t="s">
        <v>2276</v>
      </c>
      <c r="O316" s="21" t="s">
        <v>2276</v>
      </c>
      <c r="P316" s="21" t="s">
        <v>2276</v>
      </c>
      <c r="Q316" s="21" t="s">
        <v>2276</v>
      </c>
      <c r="R316" s="21" t="s">
        <v>2276</v>
      </c>
      <c r="S316" s="21" t="s">
        <v>2276</v>
      </c>
      <c r="T316" s="4" t="s">
        <v>2123</v>
      </c>
    </row>
    <row r="317" spans="1:20" ht="36" customHeight="1">
      <c r="A317" s="35" t="s">
        <v>2096</v>
      </c>
      <c r="B317" s="3" t="s">
        <v>2276</v>
      </c>
      <c r="C317" s="11" t="s">
        <v>12</v>
      </c>
      <c r="D317" s="11" t="s">
        <v>130</v>
      </c>
      <c r="E317" s="3" t="s">
        <v>137</v>
      </c>
      <c r="F317" s="3" t="s">
        <v>2276</v>
      </c>
      <c r="G317" s="3" t="s">
        <v>2276</v>
      </c>
      <c r="H317" s="21" t="s">
        <v>2276</v>
      </c>
      <c r="I317" s="21" t="s">
        <v>2276</v>
      </c>
      <c r="J317" s="21" t="s">
        <v>2276</v>
      </c>
      <c r="K317" s="21"/>
      <c r="L317" s="21" t="s">
        <v>2276</v>
      </c>
      <c r="M317" s="21" t="s">
        <v>2276</v>
      </c>
      <c r="N317" s="21" t="s">
        <v>2276</v>
      </c>
      <c r="O317" s="21" t="s">
        <v>2276</v>
      </c>
      <c r="P317" s="21" t="s">
        <v>2276</v>
      </c>
      <c r="Q317" s="21" t="s">
        <v>2276</v>
      </c>
      <c r="R317" s="21" t="s">
        <v>2276</v>
      </c>
      <c r="S317" s="21" t="s">
        <v>2276</v>
      </c>
      <c r="T317" s="4" t="s">
        <v>2123</v>
      </c>
    </row>
    <row r="318" spans="1:20" ht="36" customHeight="1">
      <c r="A318" s="35" t="s">
        <v>2097</v>
      </c>
      <c r="B318" s="3" t="s">
        <v>2276</v>
      </c>
      <c r="C318" s="11" t="s">
        <v>12</v>
      </c>
      <c r="D318" s="11" t="s">
        <v>130</v>
      </c>
      <c r="E318" s="4" t="s">
        <v>397</v>
      </c>
      <c r="F318" s="3" t="s">
        <v>137</v>
      </c>
      <c r="G318" s="3" t="s">
        <v>2276</v>
      </c>
      <c r="H318" s="21" t="s">
        <v>2276</v>
      </c>
      <c r="I318" s="21" t="s">
        <v>2276</v>
      </c>
      <c r="J318" s="21" t="s">
        <v>2276</v>
      </c>
      <c r="K318" s="21"/>
      <c r="L318" s="21" t="s">
        <v>2276</v>
      </c>
      <c r="M318" s="21" t="s">
        <v>2276</v>
      </c>
      <c r="N318" s="21" t="s">
        <v>2276</v>
      </c>
      <c r="O318" s="21" t="s">
        <v>2276</v>
      </c>
      <c r="P318" s="21" t="s">
        <v>2276</v>
      </c>
      <c r="Q318" s="21" t="s">
        <v>2276</v>
      </c>
      <c r="R318" s="21" t="s">
        <v>2276</v>
      </c>
      <c r="S318" s="21" t="s">
        <v>2276</v>
      </c>
      <c r="T318" s="4" t="s">
        <v>2124</v>
      </c>
    </row>
    <row r="319" spans="1:20" ht="36" customHeight="1">
      <c r="A319" s="35" t="s">
        <v>2098</v>
      </c>
      <c r="B319" s="3" t="s">
        <v>2276</v>
      </c>
      <c r="C319" s="11" t="s">
        <v>12</v>
      </c>
      <c r="D319" s="11" t="s">
        <v>130</v>
      </c>
      <c r="E319" s="4" t="s">
        <v>397</v>
      </c>
      <c r="F319" s="3" t="s">
        <v>137</v>
      </c>
      <c r="G319" s="3" t="s">
        <v>2276</v>
      </c>
      <c r="H319" s="21" t="s">
        <v>2276</v>
      </c>
      <c r="I319" s="21" t="s">
        <v>2276</v>
      </c>
      <c r="J319" s="21" t="s">
        <v>2276</v>
      </c>
      <c r="K319" s="21"/>
      <c r="L319" s="21" t="s">
        <v>2276</v>
      </c>
      <c r="M319" s="21" t="s">
        <v>2276</v>
      </c>
      <c r="N319" s="21" t="s">
        <v>2276</v>
      </c>
      <c r="O319" s="21" t="s">
        <v>2276</v>
      </c>
      <c r="P319" s="21" t="s">
        <v>2276</v>
      </c>
      <c r="Q319" s="21" t="s">
        <v>2276</v>
      </c>
      <c r="R319" s="21" t="s">
        <v>2276</v>
      </c>
      <c r="S319" s="21" t="s">
        <v>2276</v>
      </c>
      <c r="T319" s="4" t="s">
        <v>2124</v>
      </c>
    </row>
    <row r="320" spans="1:20" ht="36" customHeight="1">
      <c r="A320" s="35" t="s">
        <v>2099</v>
      </c>
      <c r="B320" s="3" t="s">
        <v>2276</v>
      </c>
      <c r="C320" s="11" t="s">
        <v>12</v>
      </c>
      <c r="D320" s="11" t="s">
        <v>130</v>
      </c>
      <c r="E320" s="4" t="s">
        <v>397</v>
      </c>
      <c r="F320" s="3" t="s">
        <v>137</v>
      </c>
      <c r="G320" s="3" t="s">
        <v>2276</v>
      </c>
      <c r="H320" s="21" t="s">
        <v>2276</v>
      </c>
      <c r="I320" s="21" t="s">
        <v>2276</v>
      </c>
      <c r="J320" s="21" t="s">
        <v>2276</v>
      </c>
      <c r="K320" s="21"/>
      <c r="L320" s="21" t="s">
        <v>2276</v>
      </c>
      <c r="M320" s="21" t="s">
        <v>2276</v>
      </c>
      <c r="N320" s="21" t="s">
        <v>2276</v>
      </c>
      <c r="O320" s="21" t="s">
        <v>2276</v>
      </c>
      <c r="P320" s="21" t="s">
        <v>2276</v>
      </c>
      <c r="Q320" s="21" t="s">
        <v>2276</v>
      </c>
      <c r="R320" s="21" t="s">
        <v>2276</v>
      </c>
      <c r="S320" s="21" t="s">
        <v>2276</v>
      </c>
      <c r="T320" s="4" t="s">
        <v>2124</v>
      </c>
    </row>
    <row r="321" spans="1:20" ht="36" customHeight="1">
      <c r="A321" s="35" t="s">
        <v>2100</v>
      </c>
      <c r="B321" s="3" t="s">
        <v>2276</v>
      </c>
      <c r="C321" s="11" t="s">
        <v>12</v>
      </c>
      <c r="D321" s="11" t="s">
        <v>130</v>
      </c>
      <c r="E321" s="4" t="s">
        <v>397</v>
      </c>
      <c r="F321" s="3" t="s">
        <v>137</v>
      </c>
      <c r="G321" s="3" t="s">
        <v>2276</v>
      </c>
      <c r="H321" s="21" t="s">
        <v>2276</v>
      </c>
      <c r="I321" s="21" t="s">
        <v>2276</v>
      </c>
      <c r="J321" s="21" t="s">
        <v>2276</v>
      </c>
      <c r="K321" s="21"/>
      <c r="L321" s="21" t="s">
        <v>2276</v>
      </c>
      <c r="M321" s="21" t="s">
        <v>2276</v>
      </c>
      <c r="N321" s="21" t="s">
        <v>2276</v>
      </c>
      <c r="O321" s="21" t="s">
        <v>2276</v>
      </c>
      <c r="P321" s="21" t="s">
        <v>2276</v>
      </c>
      <c r="Q321" s="21" t="s">
        <v>2276</v>
      </c>
      <c r="R321" s="21" t="s">
        <v>2276</v>
      </c>
      <c r="S321" s="21" t="s">
        <v>2276</v>
      </c>
      <c r="T321" s="4" t="s">
        <v>2124</v>
      </c>
    </row>
    <row r="322" spans="1:20" ht="36" customHeight="1">
      <c r="A322" s="35" t="s">
        <v>2101</v>
      </c>
      <c r="B322" s="3" t="s">
        <v>2276</v>
      </c>
      <c r="C322" s="11" t="s">
        <v>12</v>
      </c>
      <c r="D322" s="11" t="s">
        <v>130</v>
      </c>
      <c r="E322" s="4" t="s">
        <v>397</v>
      </c>
      <c r="F322" s="3" t="s">
        <v>137</v>
      </c>
      <c r="G322" s="3" t="s">
        <v>2276</v>
      </c>
      <c r="H322" s="21" t="s">
        <v>2276</v>
      </c>
      <c r="I322" s="21" t="s">
        <v>2276</v>
      </c>
      <c r="J322" s="21" t="s">
        <v>2276</v>
      </c>
      <c r="K322" s="21"/>
      <c r="L322" s="21" t="s">
        <v>2276</v>
      </c>
      <c r="M322" s="21" t="s">
        <v>2276</v>
      </c>
      <c r="N322" s="21" t="s">
        <v>2276</v>
      </c>
      <c r="O322" s="21" t="s">
        <v>2276</v>
      </c>
      <c r="P322" s="21" t="s">
        <v>2276</v>
      </c>
      <c r="Q322" s="21" t="s">
        <v>2276</v>
      </c>
      <c r="R322" s="21" t="s">
        <v>2276</v>
      </c>
      <c r="S322" s="21" t="s">
        <v>2276</v>
      </c>
      <c r="T322" s="4" t="s">
        <v>2124</v>
      </c>
    </row>
    <row r="323" spans="1:20" ht="36" customHeight="1">
      <c r="A323" s="35" t="s">
        <v>2102</v>
      </c>
      <c r="B323" s="3" t="s">
        <v>2276</v>
      </c>
      <c r="C323" s="11" t="s">
        <v>12</v>
      </c>
      <c r="D323" s="11" t="s">
        <v>130</v>
      </c>
      <c r="E323" s="4" t="s">
        <v>397</v>
      </c>
      <c r="F323" s="3" t="s">
        <v>137</v>
      </c>
      <c r="G323" s="3" t="s">
        <v>2276</v>
      </c>
      <c r="H323" s="21" t="s">
        <v>2276</v>
      </c>
      <c r="I323" s="21" t="s">
        <v>2276</v>
      </c>
      <c r="J323" s="21" t="s">
        <v>2276</v>
      </c>
      <c r="K323" s="21"/>
      <c r="L323" s="21" t="s">
        <v>2276</v>
      </c>
      <c r="M323" s="21" t="s">
        <v>2276</v>
      </c>
      <c r="N323" s="21" t="s">
        <v>2276</v>
      </c>
      <c r="O323" s="21" t="s">
        <v>2276</v>
      </c>
      <c r="P323" s="21" t="s">
        <v>2276</v>
      </c>
      <c r="Q323" s="21" t="s">
        <v>2276</v>
      </c>
      <c r="R323" s="21" t="s">
        <v>2276</v>
      </c>
      <c r="S323" s="21" t="s">
        <v>2276</v>
      </c>
      <c r="T323" s="4" t="s">
        <v>2124</v>
      </c>
    </row>
    <row r="324" spans="1:20" ht="36" customHeight="1">
      <c r="A324" s="35" t="s">
        <v>2103</v>
      </c>
      <c r="B324" s="3" t="s">
        <v>2276</v>
      </c>
      <c r="C324" s="11" t="s">
        <v>12</v>
      </c>
      <c r="D324" s="11" t="s">
        <v>130</v>
      </c>
      <c r="E324" s="4" t="s">
        <v>397</v>
      </c>
      <c r="F324" s="3" t="s">
        <v>137</v>
      </c>
      <c r="G324" s="3" t="s">
        <v>2276</v>
      </c>
      <c r="H324" s="21" t="s">
        <v>2276</v>
      </c>
      <c r="I324" s="21" t="s">
        <v>2276</v>
      </c>
      <c r="J324" s="21" t="s">
        <v>2276</v>
      </c>
      <c r="K324" s="21"/>
      <c r="L324" s="21" t="s">
        <v>2276</v>
      </c>
      <c r="M324" s="21" t="s">
        <v>2276</v>
      </c>
      <c r="N324" s="21" t="s">
        <v>2276</v>
      </c>
      <c r="O324" s="21" t="s">
        <v>2276</v>
      </c>
      <c r="P324" s="21" t="s">
        <v>2276</v>
      </c>
      <c r="Q324" s="21" t="s">
        <v>2276</v>
      </c>
      <c r="R324" s="21" t="s">
        <v>2276</v>
      </c>
      <c r="S324" s="21" t="s">
        <v>2276</v>
      </c>
      <c r="T324" s="4" t="s">
        <v>2124</v>
      </c>
    </row>
    <row r="325" spans="1:20" ht="36" customHeight="1">
      <c r="A325" s="35" t="s">
        <v>2104</v>
      </c>
      <c r="B325" s="3" t="s">
        <v>2276</v>
      </c>
      <c r="C325" s="11" t="s">
        <v>12</v>
      </c>
      <c r="D325" s="11" t="s">
        <v>130</v>
      </c>
      <c r="E325" s="4" t="s">
        <v>397</v>
      </c>
      <c r="F325" s="3" t="s">
        <v>137</v>
      </c>
      <c r="G325" s="3" t="s">
        <v>2276</v>
      </c>
      <c r="H325" s="21" t="s">
        <v>2276</v>
      </c>
      <c r="I325" s="21" t="s">
        <v>2276</v>
      </c>
      <c r="J325" s="21" t="s">
        <v>2276</v>
      </c>
      <c r="K325" s="21"/>
      <c r="L325" s="21" t="s">
        <v>2276</v>
      </c>
      <c r="M325" s="21" t="s">
        <v>2276</v>
      </c>
      <c r="N325" s="21" t="s">
        <v>2276</v>
      </c>
      <c r="O325" s="21" t="s">
        <v>2276</v>
      </c>
      <c r="P325" s="21" t="s">
        <v>2276</v>
      </c>
      <c r="Q325" s="21" t="s">
        <v>2276</v>
      </c>
      <c r="R325" s="21" t="s">
        <v>2276</v>
      </c>
      <c r="S325" s="21" t="s">
        <v>2276</v>
      </c>
      <c r="T325" s="4" t="s">
        <v>2124</v>
      </c>
    </row>
    <row r="326" spans="1:20" ht="36" customHeight="1">
      <c r="A326" s="35" t="s">
        <v>2105</v>
      </c>
      <c r="B326" s="3" t="s">
        <v>2276</v>
      </c>
      <c r="C326" s="11" t="s">
        <v>12</v>
      </c>
      <c r="D326" s="11" t="s">
        <v>130</v>
      </c>
      <c r="E326" s="4" t="s">
        <v>397</v>
      </c>
      <c r="F326" s="3" t="s">
        <v>137</v>
      </c>
      <c r="G326" s="3" t="s">
        <v>2276</v>
      </c>
      <c r="H326" s="21" t="s">
        <v>2276</v>
      </c>
      <c r="I326" s="21" t="s">
        <v>2276</v>
      </c>
      <c r="J326" s="21" t="s">
        <v>2276</v>
      </c>
      <c r="K326" s="21"/>
      <c r="L326" s="21" t="s">
        <v>2276</v>
      </c>
      <c r="M326" s="21" t="s">
        <v>2276</v>
      </c>
      <c r="N326" s="21" t="s">
        <v>2276</v>
      </c>
      <c r="O326" s="21" t="s">
        <v>2276</v>
      </c>
      <c r="P326" s="21" t="s">
        <v>2276</v>
      </c>
      <c r="Q326" s="21" t="s">
        <v>2276</v>
      </c>
      <c r="R326" s="21" t="s">
        <v>2276</v>
      </c>
      <c r="S326" s="21" t="s">
        <v>2276</v>
      </c>
      <c r="T326" s="4" t="s">
        <v>2124</v>
      </c>
    </row>
    <row r="327" spans="1:20" ht="36" customHeight="1">
      <c r="A327" s="35" t="s">
        <v>2106</v>
      </c>
      <c r="B327" s="3" t="s">
        <v>2276</v>
      </c>
      <c r="C327" s="11" t="s">
        <v>12</v>
      </c>
      <c r="D327" s="11" t="s">
        <v>130</v>
      </c>
      <c r="E327" s="4" t="s">
        <v>397</v>
      </c>
      <c r="F327" s="3" t="s">
        <v>137</v>
      </c>
      <c r="G327" s="3" t="s">
        <v>2276</v>
      </c>
      <c r="H327" s="21" t="s">
        <v>2276</v>
      </c>
      <c r="I327" s="21" t="s">
        <v>2276</v>
      </c>
      <c r="J327" s="21" t="s">
        <v>2276</v>
      </c>
      <c r="K327" s="21"/>
      <c r="L327" s="21" t="s">
        <v>2276</v>
      </c>
      <c r="M327" s="21" t="s">
        <v>2276</v>
      </c>
      <c r="N327" s="21" t="s">
        <v>2276</v>
      </c>
      <c r="O327" s="21" t="s">
        <v>2276</v>
      </c>
      <c r="P327" s="21" t="s">
        <v>2276</v>
      </c>
      <c r="Q327" s="21" t="s">
        <v>2276</v>
      </c>
      <c r="R327" s="21" t="s">
        <v>2276</v>
      </c>
      <c r="S327" s="21" t="s">
        <v>2276</v>
      </c>
      <c r="T327" s="4" t="s">
        <v>2124</v>
      </c>
    </row>
    <row r="328" spans="1:20" ht="36" customHeight="1">
      <c r="A328" s="35" t="s">
        <v>2107</v>
      </c>
      <c r="B328" s="3" t="s">
        <v>2276</v>
      </c>
      <c r="C328" s="11" t="s">
        <v>12</v>
      </c>
      <c r="D328" s="11" t="s">
        <v>130</v>
      </c>
      <c r="E328" s="4" t="s">
        <v>397</v>
      </c>
      <c r="F328" s="3" t="s">
        <v>137</v>
      </c>
      <c r="G328" s="3" t="s">
        <v>2276</v>
      </c>
      <c r="H328" s="21" t="s">
        <v>2276</v>
      </c>
      <c r="I328" s="21" t="s">
        <v>2276</v>
      </c>
      <c r="J328" s="21" t="s">
        <v>2276</v>
      </c>
      <c r="K328" s="21"/>
      <c r="L328" s="21" t="s">
        <v>2276</v>
      </c>
      <c r="M328" s="21" t="s">
        <v>2276</v>
      </c>
      <c r="N328" s="21" t="s">
        <v>2276</v>
      </c>
      <c r="O328" s="21" t="s">
        <v>2276</v>
      </c>
      <c r="P328" s="21" t="s">
        <v>2276</v>
      </c>
      <c r="Q328" s="21" t="s">
        <v>2276</v>
      </c>
      <c r="R328" s="21" t="s">
        <v>2276</v>
      </c>
      <c r="S328" s="21" t="s">
        <v>2276</v>
      </c>
      <c r="T328" s="4" t="s">
        <v>2124</v>
      </c>
    </row>
    <row r="329" spans="1:20" ht="36" customHeight="1">
      <c r="A329" s="35" t="s">
        <v>2108</v>
      </c>
      <c r="B329" s="3" t="s">
        <v>2276</v>
      </c>
      <c r="C329" s="11" t="s">
        <v>12</v>
      </c>
      <c r="D329" s="11" t="s">
        <v>130</v>
      </c>
      <c r="E329" s="4" t="s">
        <v>397</v>
      </c>
      <c r="F329" s="3" t="s">
        <v>137</v>
      </c>
      <c r="G329" s="3" t="s">
        <v>2276</v>
      </c>
      <c r="H329" s="21" t="s">
        <v>2276</v>
      </c>
      <c r="I329" s="21" t="s">
        <v>2276</v>
      </c>
      <c r="J329" s="21" t="s">
        <v>2276</v>
      </c>
      <c r="K329" s="21"/>
      <c r="L329" s="21" t="s">
        <v>2276</v>
      </c>
      <c r="M329" s="21" t="s">
        <v>2276</v>
      </c>
      <c r="N329" s="21" t="s">
        <v>2276</v>
      </c>
      <c r="O329" s="21" t="s">
        <v>2276</v>
      </c>
      <c r="P329" s="21" t="s">
        <v>2276</v>
      </c>
      <c r="Q329" s="21" t="s">
        <v>2276</v>
      </c>
      <c r="R329" s="21" t="s">
        <v>2276</v>
      </c>
      <c r="S329" s="21" t="s">
        <v>2276</v>
      </c>
      <c r="T329" s="4" t="s">
        <v>2124</v>
      </c>
    </row>
    <row r="330" spans="1:20" ht="36" customHeight="1">
      <c r="A330" s="35" t="s">
        <v>2109</v>
      </c>
      <c r="B330" s="3" t="s">
        <v>2276</v>
      </c>
      <c r="C330" s="11" t="s">
        <v>12</v>
      </c>
      <c r="D330" s="11" t="s">
        <v>130</v>
      </c>
      <c r="E330" s="4" t="s">
        <v>397</v>
      </c>
      <c r="F330" s="3" t="s">
        <v>137</v>
      </c>
      <c r="G330" s="3" t="s">
        <v>2276</v>
      </c>
      <c r="H330" s="21" t="s">
        <v>2276</v>
      </c>
      <c r="I330" s="21" t="s">
        <v>2276</v>
      </c>
      <c r="J330" s="21" t="s">
        <v>2276</v>
      </c>
      <c r="K330" s="21"/>
      <c r="L330" s="21" t="s">
        <v>2276</v>
      </c>
      <c r="M330" s="21" t="s">
        <v>2276</v>
      </c>
      <c r="N330" s="21" t="s">
        <v>2276</v>
      </c>
      <c r="O330" s="21" t="s">
        <v>2276</v>
      </c>
      <c r="P330" s="21" t="s">
        <v>2276</v>
      </c>
      <c r="Q330" s="21" t="s">
        <v>2276</v>
      </c>
      <c r="R330" s="21" t="s">
        <v>2276</v>
      </c>
      <c r="S330" s="21" t="s">
        <v>2276</v>
      </c>
      <c r="T330" s="4" t="s">
        <v>2124</v>
      </c>
    </row>
    <row r="331" spans="1:20" ht="36" customHeight="1">
      <c r="A331" s="35" t="s">
        <v>2110</v>
      </c>
      <c r="B331" s="3" t="s">
        <v>2276</v>
      </c>
      <c r="C331" s="11" t="s">
        <v>12</v>
      </c>
      <c r="D331" s="11" t="s">
        <v>130</v>
      </c>
      <c r="E331" s="4" t="s">
        <v>397</v>
      </c>
      <c r="F331" s="3" t="s">
        <v>137</v>
      </c>
      <c r="G331" s="3" t="s">
        <v>2276</v>
      </c>
      <c r="H331" s="21" t="s">
        <v>2276</v>
      </c>
      <c r="I331" s="21" t="s">
        <v>2276</v>
      </c>
      <c r="J331" s="21" t="s">
        <v>2276</v>
      </c>
      <c r="K331" s="21"/>
      <c r="L331" s="21" t="s">
        <v>2276</v>
      </c>
      <c r="M331" s="21" t="s">
        <v>2276</v>
      </c>
      <c r="N331" s="21" t="s">
        <v>2276</v>
      </c>
      <c r="O331" s="21" t="s">
        <v>2276</v>
      </c>
      <c r="P331" s="21" t="s">
        <v>2276</v>
      </c>
      <c r="Q331" s="21" t="s">
        <v>2276</v>
      </c>
      <c r="R331" s="21" t="s">
        <v>2276</v>
      </c>
      <c r="S331" s="21" t="s">
        <v>2276</v>
      </c>
      <c r="T331" s="4" t="s">
        <v>2124</v>
      </c>
    </row>
    <row r="332" spans="1:20" ht="36" customHeight="1">
      <c r="A332" s="35" t="s">
        <v>2111</v>
      </c>
      <c r="B332" s="3" t="s">
        <v>2276</v>
      </c>
      <c r="C332" s="11" t="s">
        <v>12</v>
      </c>
      <c r="D332" s="11" t="s">
        <v>130</v>
      </c>
      <c r="E332" s="4" t="s">
        <v>397</v>
      </c>
      <c r="F332" s="3" t="s">
        <v>137</v>
      </c>
      <c r="G332" s="3" t="s">
        <v>2276</v>
      </c>
      <c r="H332" s="21" t="s">
        <v>2276</v>
      </c>
      <c r="I332" s="21" t="s">
        <v>2276</v>
      </c>
      <c r="J332" s="21" t="s">
        <v>2276</v>
      </c>
      <c r="K332" s="21"/>
      <c r="L332" s="21" t="s">
        <v>2276</v>
      </c>
      <c r="M332" s="21" t="s">
        <v>2276</v>
      </c>
      <c r="N332" s="21" t="s">
        <v>2276</v>
      </c>
      <c r="O332" s="21" t="s">
        <v>2276</v>
      </c>
      <c r="P332" s="21" t="s">
        <v>2276</v>
      </c>
      <c r="Q332" s="21" t="s">
        <v>2276</v>
      </c>
      <c r="R332" s="21" t="s">
        <v>2276</v>
      </c>
      <c r="S332" s="21" t="s">
        <v>2276</v>
      </c>
      <c r="T332" s="4" t="s">
        <v>2124</v>
      </c>
    </row>
    <row r="333" spans="1:20" ht="36" customHeight="1">
      <c r="A333" s="35" t="s">
        <v>2112</v>
      </c>
      <c r="B333" s="3" t="s">
        <v>2276</v>
      </c>
      <c r="C333" s="11" t="s">
        <v>12</v>
      </c>
      <c r="D333" s="11" t="s">
        <v>130</v>
      </c>
      <c r="E333" s="4" t="s">
        <v>397</v>
      </c>
      <c r="F333" s="3" t="s">
        <v>137</v>
      </c>
      <c r="G333" s="3" t="s">
        <v>2276</v>
      </c>
      <c r="H333" s="21" t="s">
        <v>2276</v>
      </c>
      <c r="I333" s="21" t="s">
        <v>2276</v>
      </c>
      <c r="J333" s="21" t="s">
        <v>2276</v>
      </c>
      <c r="K333" s="21"/>
      <c r="L333" s="21" t="s">
        <v>2276</v>
      </c>
      <c r="M333" s="21" t="s">
        <v>2276</v>
      </c>
      <c r="N333" s="21" t="s">
        <v>2276</v>
      </c>
      <c r="O333" s="21" t="s">
        <v>2276</v>
      </c>
      <c r="P333" s="21" t="s">
        <v>2276</v>
      </c>
      <c r="Q333" s="21" t="s">
        <v>2276</v>
      </c>
      <c r="R333" s="21" t="s">
        <v>2276</v>
      </c>
      <c r="S333" s="21" t="s">
        <v>2276</v>
      </c>
      <c r="T333" s="4" t="s">
        <v>2124</v>
      </c>
    </row>
    <row r="334" spans="1:20" ht="36" customHeight="1">
      <c r="A334" s="35" t="s">
        <v>2113</v>
      </c>
      <c r="B334" s="3" t="s">
        <v>2276</v>
      </c>
      <c r="C334" s="11" t="s">
        <v>12</v>
      </c>
      <c r="D334" s="11" t="s">
        <v>130</v>
      </c>
      <c r="E334" s="4" t="s">
        <v>397</v>
      </c>
      <c r="F334" s="3" t="s">
        <v>137</v>
      </c>
      <c r="G334" s="3" t="s">
        <v>2276</v>
      </c>
      <c r="H334" s="21" t="s">
        <v>2276</v>
      </c>
      <c r="I334" s="21" t="s">
        <v>2276</v>
      </c>
      <c r="J334" s="21" t="s">
        <v>2276</v>
      </c>
      <c r="K334" s="21"/>
      <c r="L334" s="21" t="s">
        <v>2276</v>
      </c>
      <c r="M334" s="21" t="s">
        <v>2276</v>
      </c>
      <c r="N334" s="21" t="s">
        <v>2276</v>
      </c>
      <c r="O334" s="21" t="s">
        <v>2276</v>
      </c>
      <c r="P334" s="21" t="s">
        <v>2276</v>
      </c>
      <c r="Q334" s="21" t="s">
        <v>2276</v>
      </c>
      <c r="R334" s="21" t="s">
        <v>2276</v>
      </c>
      <c r="S334" s="21" t="s">
        <v>2276</v>
      </c>
      <c r="T334" s="4" t="s">
        <v>2124</v>
      </c>
    </row>
    <row r="335" spans="1:20" ht="36" customHeight="1">
      <c r="A335" s="35" t="s">
        <v>2114</v>
      </c>
      <c r="B335" s="3" t="s">
        <v>2276</v>
      </c>
      <c r="C335" s="11" t="s">
        <v>12</v>
      </c>
      <c r="D335" s="11" t="s">
        <v>130</v>
      </c>
      <c r="E335" s="4" t="s">
        <v>397</v>
      </c>
      <c r="F335" s="3" t="s">
        <v>137</v>
      </c>
      <c r="G335" s="3" t="s">
        <v>2276</v>
      </c>
      <c r="H335" s="21" t="s">
        <v>2276</v>
      </c>
      <c r="I335" s="21" t="s">
        <v>2276</v>
      </c>
      <c r="J335" s="21" t="s">
        <v>2276</v>
      </c>
      <c r="K335" s="21"/>
      <c r="L335" s="21" t="s">
        <v>2276</v>
      </c>
      <c r="M335" s="21" t="s">
        <v>2276</v>
      </c>
      <c r="N335" s="21" t="s">
        <v>2276</v>
      </c>
      <c r="O335" s="21" t="s">
        <v>2276</v>
      </c>
      <c r="P335" s="21" t="s">
        <v>2276</v>
      </c>
      <c r="Q335" s="21" t="s">
        <v>2276</v>
      </c>
      <c r="R335" s="21" t="s">
        <v>2276</v>
      </c>
      <c r="S335" s="21" t="s">
        <v>2276</v>
      </c>
      <c r="T335" s="4" t="s">
        <v>2124</v>
      </c>
    </row>
    <row r="336" spans="1:20" ht="36" customHeight="1">
      <c r="A336" s="35" t="s">
        <v>2115</v>
      </c>
      <c r="B336" s="3" t="s">
        <v>2276</v>
      </c>
      <c r="C336" s="11" t="s">
        <v>12</v>
      </c>
      <c r="D336" s="11" t="s">
        <v>130</v>
      </c>
      <c r="E336" s="4" t="s">
        <v>397</v>
      </c>
      <c r="F336" s="3" t="s">
        <v>137</v>
      </c>
      <c r="G336" s="3" t="s">
        <v>2276</v>
      </c>
      <c r="H336" s="21" t="s">
        <v>2276</v>
      </c>
      <c r="I336" s="21" t="s">
        <v>2276</v>
      </c>
      <c r="J336" s="21" t="s">
        <v>2276</v>
      </c>
      <c r="K336" s="21"/>
      <c r="L336" s="21" t="s">
        <v>2276</v>
      </c>
      <c r="M336" s="21" t="s">
        <v>2276</v>
      </c>
      <c r="N336" s="21" t="s">
        <v>2276</v>
      </c>
      <c r="O336" s="21" t="s">
        <v>2276</v>
      </c>
      <c r="P336" s="21" t="s">
        <v>2276</v>
      </c>
      <c r="Q336" s="21" t="s">
        <v>2276</v>
      </c>
      <c r="R336" s="21" t="s">
        <v>2276</v>
      </c>
      <c r="S336" s="21" t="s">
        <v>2276</v>
      </c>
      <c r="T336" s="4" t="s">
        <v>2124</v>
      </c>
    </row>
    <row r="337" spans="1:20" ht="36" customHeight="1">
      <c r="A337" s="35" t="s">
        <v>2116</v>
      </c>
      <c r="B337" s="3" t="s">
        <v>2276</v>
      </c>
      <c r="C337" s="11" t="s">
        <v>12</v>
      </c>
      <c r="D337" s="11" t="s">
        <v>130</v>
      </c>
      <c r="E337" s="4" t="s">
        <v>397</v>
      </c>
      <c r="F337" s="3" t="s">
        <v>137</v>
      </c>
      <c r="G337" s="3" t="s">
        <v>2276</v>
      </c>
      <c r="H337" s="21" t="s">
        <v>2276</v>
      </c>
      <c r="I337" s="21" t="s">
        <v>2276</v>
      </c>
      <c r="J337" s="21" t="s">
        <v>2276</v>
      </c>
      <c r="K337" s="21"/>
      <c r="L337" s="21" t="s">
        <v>2276</v>
      </c>
      <c r="M337" s="21" t="s">
        <v>2276</v>
      </c>
      <c r="N337" s="21" t="s">
        <v>2276</v>
      </c>
      <c r="O337" s="21" t="s">
        <v>2276</v>
      </c>
      <c r="P337" s="21" t="s">
        <v>2276</v>
      </c>
      <c r="Q337" s="21" t="s">
        <v>2276</v>
      </c>
      <c r="R337" s="21" t="s">
        <v>2276</v>
      </c>
      <c r="S337" s="21" t="s">
        <v>2276</v>
      </c>
      <c r="T337" s="4" t="s">
        <v>2124</v>
      </c>
    </row>
    <row r="338" spans="1:20" ht="36" customHeight="1">
      <c r="A338" s="35" t="s">
        <v>2117</v>
      </c>
      <c r="B338" s="3" t="s">
        <v>2276</v>
      </c>
      <c r="C338" s="11" t="s">
        <v>12</v>
      </c>
      <c r="D338" s="11" t="s">
        <v>130</v>
      </c>
      <c r="E338" s="4" t="s">
        <v>397</v>
      </c>
      <c r="F338" s="3" t="s">
        <v>137</v>
      </c>
      <c r="G338" s="3" t="s">
        <v>2276</v>
      </c>
      <c r="H338" s="21" t="s">
        <v>2276</v>
      </c>
      <c r="I338" s="21" t="s">
        <v>2276</v>
      </c>
      <c r="J338" s="21" t="s">
        <v>2276</v>
      </c>
      <c r="K338" s="21"/>
      <c r="L338" s="21" t="s">
        <v>2276</v>
      </c>
      <c r="M338" s="21" t="s">
        <v>2276</v>
      </c>
      <c r="N338" s="21" t="s">
        <v>2276</v>
      </c>
      <c r="O338" s="21" t="s">
        <v>2276</v>
      </c>
      <c r="P338" s="21" t="s">
        <v>2276</v>
      </c>
      <c r="Q338" s="21" t="s">
        <v>2276</v>
      </c>
      <c r="R338" s="21" t="s">
        <v>2276</v>
      </c>
      <c r="S338" s="21" t="s">
        <v>2276</v>
      </c>
      <c r="T338" s="4" t="s">
        <v>2124</v>
      </c>
    </row>
    <row r="339" spans="1:20" ht="36" customHeight="1">
      <c r="A339" s="35" t="s">
        <v>2118</v>
      </c>
      <c r="B339" s="3" t="s">
        <v>2276</v>
      </c>
      <c r="C339" s="11" t="s">
        <v>12</v>
      </c>
      <c r="D339" s="11" t="s">
        <v>130</v>
      </c>
      <c r="E339" s="4" t="s">
        <v>397</v>
      </c>
      <c r="F339" s="3" t="s">
        <v>137</v>
      </c>
      <c r="G339" s="3" t="s">
        <v>2276</v>
      </c>
      <c r="H339" s="21" t="s">
        <v>2276</v>
      </c>
      <c r="I339" s="21" t="s">
        <v>2276</v>
      </c>
      <c r="J339" s="21" t="s">
        <v>2276</v>
      </c>
      <c r="K339" s="21"/>
      <c r="L339" s="21" t="s">
        <v>2276</v>
      </c>
      <c r="M339" s="21" t="s">
        <v>2276</v>
      </c>
      <c r="N339" s="21" t="s">
        <v>2276</v>
      </c>
      <c r="O339" s="21" t="s">
        <v>2276</v>
      </c>
      <c r="P339" s="21" t="s">
        <v>2276</v>
      </c>
      <c r="Q339" s="21" t="s">
        <v>2276</v>
      </c>
      <c r="R339" s="21" t="s">
        <v>2276</v>
      </c>
      <c r="S339" s="21" t="s">
        <v>2276</v>
      </c>
      <c r="T339" s="4" t="s">
        <v>2124</v>
      </c>
    </row>
    <row r="340" spans="1:20" ht="36" customHeight="1">
      <c r="A340" s="35" t="s">
        <v>2119</v>
      </c>
      <c r="B340" s="3" t="s">
        <v>2276</v>
      </c>
      <c r="C340" s="11" t="s">
        <v>12</v>
      </c>
      <c r="D340" s="11" t="s">
        <v>130</v>
      </c>
      <c r="E340" s="4" t="s">
        <v>397</v>
      </c>
      <c r="F340" s="3" t="s">
        <v>137</v>
      </c>
      <c r="G340" s="3" t="s">
        <v>2276</v>
      </c>
      <c r="H340" s="21" t="s">
        <v>2276</v>
      </c>
      <c r="I340" s="21" t="s">
        <v>2276</v>
      </c>
      <c r="J340" s="21" t="s">
        <v>2276</v>
      </c>
      <c r="K340" s="21"/>
      <c r="L340" s="21" t="s">
        <v>2276</v>
      </c>
      <c r="M340" s="21" t="s">
        <v>2276</v>
      </c>
      <c r="N340" s="21" t="s">
        <v>2276</v>
      </c>
      <c r="O340" s="21" t="s">
        <v>2276</v>
      </c>
      <c r="P340" s="21" t="s">
        <v>2276</v>
      </c>
      <c r="Q340" s="21" t="s">
        <v>2276</v>
      </c>
      <c r="R340" s="21" t="s">
        <v>2276</v>
      </c>
      <c r="S340" s="21" t="s">
        <v>2276</v>
      </c>
      <c r="T340" s="4" t="s">
        <v>2124</v>
      </c>
    </row>
    <row r="341" spans="1:20" ht="36" customHeight="1">
      <c r="A341" s="35" t="s">
        <v>2120</v>
      </c>
      <c r="B341" s="3" t="s">
        <v>2276</v>
      </c>
      <c r="C341" s="11" t="s">
        <v>12</v>
      </c>
      <c r="D341" s="11" t="s">
        <v>130</v>
      </c>
      <c r="E341" s="4" t="s">
        <v>397</v>
      </c>
      <c r="F341" s="3" t="s">
        <v>137</v>
      </c>
      <c r="G341" s="3" t="s">
        <v>2276</v>
      </c>
      <c r="H341" s="21" t="s">
        <v>2276</v>
      </c>
      <c r="I341" s="21" t="s">
        <v>2276</v>
      </c>
      <c r="J341" s="21" t="s">
        <v>2276</v>
      </c>
      <c r="K341" s="21"/>
      <c r="L341" s="21" t="s">
        <v>2276</v>
      </c>
      <c r="M341" s="21" t="s">
        <v>2276</v>
      </c>
      <c r="N341" s="21" t="s">
        <v>2276</v>
      </c>
      <c r="O341" s="21" t="s">
        <v>2276</v>
      </c>
      <c r="P341" s="21" t="s">
        <v>2276</v>
      </c>
      <c r="Q341" s="21" t="s">
        <v>2276</v>
      </c>
      <c r="R341" s="21" t="s">
        <v>2276</v>
      </c>
      <c r="S341" s="21" t="s">
        <v>2276</v>
      </c>
      <c r="T341" s="4" t="s">
        <v>2124</v>
      </c>
    </row>
    <row r="342" spans="1:20" ht="36" customHeight="1">
      <c r="A342" s="35" t="s">
        <v>2121</v>
      </c>
      <c r="B342" s="3" t="s">
        <v>2276</v>
      </c>
      <c r="C342" s="11" t="s">
        <v>12</v>
      </c>
      <c r="D342" s="11" t="s">
        <v>130</v>
      </c>
      <c r="E342" s="4" t="s">
        <v>397</v>
      </c>
      <c r="F342" s="3" t="s">
        <v>137</v>
      </c>
      <c r="G342" s="3" t="s">
        <v>2276</v>
      </c>
      <c r="H342" s="21" t="s">
        <v>2276</v>
      </c>
      <c r="I342" s="21" t="s">
        <v>2276</v>
      </c>
      <c r="J342" s="21" t="s">
        <v>2276</v>
      </c>
      <c r="K342" s="21"/>
      <c r="L342" s="21" t="s">
        <v>2276</v>
      </c>
      <c r="M342" s="21" t="s">
        <v>2276</v>
      </c>
      <c r="N342" s="21" t="s">
        <v>2276</v>
      </c>
      <c r="O342" s="21" t="s">
        <v>2276</v>
      </c>
      <c r="P342" s="21" t="s">
        <v>2276</v>
      </c>
      <c r="Q342" s="21" t="s">
        <v>2276</v>
      </c>
      <c r="R342" s="21" t="s">
        <v>2276</v>
      </c>
      <c r="S342" s="21" t="s">
        <v>2276</v>
      </c>
      <c r="T342" s="4" t="s">
        <v>2124</v>
      </c>
    </row>
    <row r="343" spans="1:20" ht="36" customHeight="1">
      <c r="A343" s="35" t="s">
        <v>2122</v>
      </c>
      <c r="B343" s="3" t="s">
        <v>2276</v>
      </c>
      <c r="C343" s="11" t="s">
        <v>12</v>
      </c>
      <c r="D343" s="11" t="s">
        <v>130</v>
      </c>
      <c r="E343" s="4" t="s">
        <v>397</v>
      </c>
      <c r="F343" s="3" t="s">
        <v>137</v>
      </c>
      <c r="G343" s="3" t="s">
        <v>2276</v>
      </c>
      <c r="H343" s="21" t="s">
        <v>2276</v>
      </c>
      <c r="I343" s="21" t="s">
        <v>2276</v>
      </c>
      <c r="J343" s="21" t="s">
        <v>2276</v>
      </c>
      <c r="K343" s="21"/>
      <c r="L343" s="21" t="s">
        <v>2276</v>
      </c>
      <c r="M343" s="21" t="s">
        <v>2276</v>
      </c>
      <c r="N343" s="21" t="s">
        <v>2276</v>
      </c>
      <c r="O343" s="21" t="s">
        <v>2276</v>
      </c>
      <c r="P343" s="21" t="s">
        <v>2276</v>
      </c>
      <c r="Q343" s="21" t="s">
        <v>2276</v>
      </c>
      <c r="R343" s="21" t="s">
        <v>2276</v>
      </c>
      <c r="S343" s="21" t="s">
        <v>2276</v>
      </c>
      <c r="T343" s="4" t="s">
        <v>2124</v>
      </c>
    </row>
    <row r="344" spans="1:20" ht="36" customHeight="1">
      <c r="A344" s="11" t="s">
        <v>876</v>
      </c>
      <c r="B344" s="3" t="s">
        <v>2276</v>
      </c>
      <c r="C344" s="11" t="s">
        <v>395</v>
      </c>
      <c r="D344" s="11" t="s">
        <v>130</v>
      </c>
      <c r="E344" s="3" t="s">
        <v>2276</v>
      </c>
      <c r="F344" s="3" t="s">
        <v>2276</v>
      </c>
      <c r="G344" s="3" t="s">
        <v>2276</v>
      </c>
      <c r="H344" s="21" t="s">
        <v>2276</v>
      </c>
      <c r="I344" s="21" t="s">
        <v>2276</v>
      </c>
      <c r="J344" s="21">
        <v>2.77</v>
      </c>
      <c r="K344" s="21"/>
      <c r="L344" s="21" t="s">
        <v>2276</v>
      </c>
      <c r="M344" s="21" t="s">
        <v>2276</v>
      </c>
      <c r="N344" s="21" t="s">
        <v>2276</v>
      </c>
      <c r="O344" s="21" t="s">
        <v>2276</v>
      </c>
      <c r="P344" s="21" t="s">
        <v>2276</v>
      </c>
      <c r="Q344" s="21" t="s">
        <v>2276</v>
      </c>
      <c r="R344" s="21" t="s">
        <v>2276</v>
      </c>
      <c r="S344" s="21" t="s">
        <v>2276</v>
      </c>
      <c r="T344" s="4" t="s">
        <v>2204</v>
      </c>
    </row>
    <row r="345" spans="1:20" ht="31" customHeight="1">
      <c r="A345" s="3" t="s">
        <v>881</v>
      </c>
      <c r="B345" s="3" t="s">
        <v>69</v>
      </c>
      <c r="C345" s="11" t="s">
        <v>12</v>
      </c>
      <c r="D345" s="11" t="s">
        <v>130</v>
      </c>
      <c r="E345" s="3" t="s">
        <v>116</v>
      </c>
      <c r="F345" s="3" t="s">
        <v>2276</v>
      </c>
      <c r="G345" s="3" t="s">
        <v>2276</v>
      </c>
      <c r="H345" s="21" t="s">
        <v>2276</v>
      </c>
      <c r="I345" s="21">
        <v>1.7</v>
      </c>
      <c r="J345" s="21" t="s">
        <v>2276</v>
      </c>
      <c r="K345" s="21"/>
      <c r="L345" s="21" t="s">
        <v>2276</v>
      </c>
      <c r="M345" s="21" t="s">
        <v>2276</v>
      </c>
      <c r="N345" s="21" t="s">
        <v>2276</v>
      </c>
      <c r="O345" s="21" t="s">
        <v>2276</v>
      </c>
      <c r="P345" s="21" t="s">
        <v>2276</v>
      </c>
      <c r="Q345" s="21" t="s">
        <v>2276</v>
      </c>
      <c r="R345" s="21" t="s">
        <v>2276</v>
      </c>
      <c r="S345" s="21" t="s">
        <v>2276</v>
      </c>
      <c r="T345" s="3"/>
    </row>
    <row r="346" spans="1:20" ht="33.5" customHeight="1">
      <c r="A346" s="11" t="s">
        <v>886</v>
      </c>
      <c r="B346" s="3" t="s">
        <v>2276</v>
      </c>
      <c r="C346" s="11" t="s">
        <v>395</v>
      </c>
      <c r="D346" s="11" t="s">
        <v>130</v>
      </c>
      <c r="E346" s="4" t="s">
        <v>397</v>
      </c>
      <c r="F346" s="3" t="s">
        <v>2276</v>
      </c>
      <c r="G346" s="3" t="s">
        <v>2276</v>
      </c>
      <c r="H346" s="21" t="s">
        <v>2276</v>
      </c>
      <c r="I346" s="21" t="s">
        <v>2276</v>
      </c>
      <c r="J346" s="21" t="s">
        <v>2276</v>
      </c>
      <c r="K346" s="21"/>
      <c r="L346" s="21" t="s">
        <v>2276</v>
      </c>
      <c r="M346" s="21" t="s">
        <v>2276</v>
      </c>
      <c r="N346" s="21" t="s">
        <v>2276</v>
      </c>
      <c r="O346" s="21" t="s">
        <v>2276</v>
      </c>
      <c r="P346" s="21" t="s">
        <v>2276</v>
      </c>
      <c r="Q346" s="21" t="s">
        <v>2276</v>
      </c>
      <c r="R346" s="21" t="s">
        <v>2276</v>
      </c>
      <c r="S346" s="21" t="s">
        <v>2276</v>
      </c>
      <c r="T346" s="3" t="s">
        <v>891</v>
      </c>
    </row>
    <row r="347" spans="1:20" ht="34.5" customHeight="1">
      <c r="A347" s="11" t="s">
        <v>897</v>
      </c>
      <c r="B347" s="3" t="s">
        <v>2276</v>
      </c>
      <c r="C347" s="11" t="s">
        <v>395</v>
      </c>
      <c r="D347" s="11" t="s">
        <v>130</v>
      </c>
      <c r="E347" s="3" t="s">
        <v>2276</v>
      </c>
      <c r="F347" s="3" t="s">
        <v>2276</v>
      </c>
      <c r="G347" s="3" t="s">
        <v>2276</v>
      </c>
      <c r="H347" s="21" t="s">
        <v>2276</v>
      </c>
      <c r="I347" s="21" t="s">
        <v>2276</v>
      </c>
      <c r="J347" s="21" t="s">
        <v>2276</v>
      </c>
      <c r="K347" s="21"/>
      <c r="L347" s="21" t="s">
        <v>2276</v>
      </c>
      <c r="M347" s="21" t="s">
        <v>2276</v>
      </c>
      <c r="N347" s="21" t="s">
        <v>2276</v>
      </c>
      <c r="O347" s="21" t="s">
        <v>2276</v>
      </c>
      <c r="P347" s="21" t="s">
        <v>2276</v>
      </c>
      <c r="Q347" s="21" t="s">
        <v>2276</v>
      </c>
      <c r="R347" s="21" t="s">
        <v>2276</v>
      </c>
      <c r="S347" s="21" t="s">
        <v>2276</v>
      </c>
      <c r="T347" s="3"/>
    </row>
    <row r="348" spans="1:20" ht="37" customHeight="1">
      <c r="A348" s="11" t="s">
        <v>900</v>
      </c>
      <c r="B348" s="3" t="s">
        <v>69</v>
      </c>
      <c r="C348" s="11" t="s">
        <v>395</v>
      </c>
      <c r="D348" s="11" t="s">
        <v>130</v>
      </c>
      <c r="E348" s="11" t="s">
        <v>116</v>
      </c>
      <c r="F348" s="3" t="s">
        <v>2276</v>
      </c>
      <c r="G348" s="3" t="s">
        <v>2276</v>
      </c>
      <c r="H348" s="21" t="s">
        <v>2276</v>
      </c>
      <c r="I348" s="21" t="s">
        <v>2276</v>
      </c>
      <c r="J348" s="21" t="s">
        <v>2276</v>
      </c>
      <c r="K348" s="21"/>
      <c r="L348" s="21" t="s">
        <v>2276</v>
      </c>
      <c r="M348" s="21" t="s">
        <v>2276</v>
      </c>
      <c r="N348" s="21" t="s">
        <v>2276</v>
      </c>
      <c r="O348" s="21" t="s">
        <v>2276</v>
      </c>
      <c r="P348" s="21" t="s">
        <v>2276</v>
      </c>
      <c r="Q348" s="21" t="s">
        <v>2276</v>
      </c>
      <c r="R348" s="21" t="s">
        <v>2276</v>
      </c>
      <c r="S348" s="21" t="s">
        <v>2276</v>
      </c>
      <c r="T348" s="3" t="s">
        <v>902</v>
      </c>
    </row>
    <row r="349" spans="1:20" ht="49.5" customHeight="1">
      <c r="A349" s="3" t="s">
        <v>905</v>
      </c>
      <c r="B349" s="3" t="s">
        <v>2276</v>
      </c>
      <c r="C349" s="11" t="s">
        <v>12</v>
      </c>
      <c r="D349" s="3" t="s">
        <v>45</v>
      </c>
      <c r="E349" s="4" t="s">
        <v>396</v>
      </c>
      <c r="F349" s="3" t="s">
        <v>130</v>
      </c>
      <c r="G349" s="3" t="s">
        <v>2276</v>
      </c>
      <c r="H349" s="21" t="s">
        <v>2276</v>
      </c>
      <c r="I349" s="21">
        <v>29</v>
      </c>
      <c r="J349" s="21" t="s">
        <v>2276</v>
      </c>
      <c r="K349" s="21"/>
      <c r="L349" s="21" t="s">
        <v>2276</v>
      </c>
      <c r="M349" s="21" t="s">
        <v>2276</v>
      </c>
      <c r="N349" s="21" t="s">
        <v>2276</v>
      </c>
      <c r="O349" s="21">
        <v>31.034483000000002</v>
      </c>
      <c r="P349" s="21">
        <v>27.586206900000001</v>
      </c>
      <c r="Q349" s="21">
        <v>17.241379299999998</v>
      </c>
      <c r="R349" s="21">
        <v>24.137930000000001</v>
      </c>
      <c r="S349" s="21" t="s">
        <v>2276</v>
      </c>
      <c r="T349" s="4" t="s">
        <v>2211</v>
      </c>
    </row>
    <row r="350" spans="1:20" ht="52" customHeight="1">
      <c r="A350" s="3" t="s">
        <v>908</v>
      </c>
      <c r="B350" s="3" t="s">
        <v>2276</v>
      </c>
      <c r="C350" s="11" t="s">
        <v>12</v>
      </c>
      <c r="D350" s="4" t="s">
        <v>2651</v>
      </c>
      <c r="E350" s="3" t="s">
        <v>45</v>
      </c>
      <c r="F350" s="4" t="s">
        <v>397</v>
      </c>
      <c r="G350" s="3" t="s">
        <v>2276</v>
      </c>
      <c r="H350" s="21" t="s">
        <v>2276</v>
      </c>
      <c r="I350" s="21">
        <v>27</v>
      </c>
      <c r="J350" s="21" t="s">
        <v>2276</v>
      </c>
      <c r="K350" s="21" t="s">
        <v>534</v>
      </c>
      <c r="L350" s="21" t="s">
        <v>2276</v>
      </c>
      <c r="M350" s="21" t="s">
        <v>2276</v>
      </c>
      <c r="N350" s="21" t="s">
        <v>2276</v>
      </c>
      <c r="O350" s="21">
        <v>22.222221999999999</v>
      </c>
      <c r="P350" s="21">
        <v>11.11111111</v>
      </c>
      <c r="Q350" s="21">
        <v>44.444444400000002</v>
      </c>
      <c r="R350" s="21">
        <v>22.22222</v>
      </c>
      <c r="S350" s="21" t="s">
        <v>2276</v>
      </c>
      <c r="T350" s="4" t="s">
        <v>2210</v>
      </c>
    </row>
    <row r="351" spans="1:20" ht="52" customHeight="1">
      <c r="A351" s="3" t="s">
        <v>919</v>
      </c>
      <c r="B351" s="3" t="s">
        <v>2276</v>
      </c>
      <c r="C351" s="11" t="s">
        <v>12</v>
      </c>
      <c r="D351" s="4" t="s">
        <v>2651</v>
      </c>
      <c r="E351" s="3" t="s">
        <v>45</v>
      </c>
      <c r="F351" s="4" t="s">
        <v>397</v>
      </c>
      <c r="G351" s="3" t="s">
        <v>2276</v>
      </c>
      <c r="H351" s="21" t="s">
        <v>2276</v>
      </c>
      <c r="I351" s="21">
        <v>28</v>
      </c>
      <c r="J351" s="21" t="s">
        <v>2276</v>
      </c>
      <c r="K351" s="21" t="s">
        <v>534</v>
      </c>
      <c r="L351" s="21" t="s">
        <v>2276</v>
      </c>
      <c r="M351" s="21" t="s">
        <v>2276</v>
      </c>
      <c r="N351" s="21" t="s">
        <v>2276</v>
      </c>
      <c r="O351" s="21">
        <v>17.857143000000001</v>
      </c>
      <c r="P351" s="21">
        <v>7.1428571400000003</v>
      </c>
      <c r="Q351" s="21">
        <v>62.068965499999997</v>
      </c>
      <c r="R351" s="21">
        <v>10.71429</v>
      </c>
      <c r="S351" s="21" t="s">
        <v>2276</v>
      </c>
      <c r="T351" s="4" t="s">
        <v>2210</v>
      </c>
    </row>
    <row r="352" spans="1:20" ht="52" customHeight="1">
      <c r="A352" s="3" t="s">
        <v>920</v>
      </c>
      <c r="B352" s="3" t="s">
        <v>2276</v>
      </c>
      <c r="C352" s="11" t="s">
        <v>12</v>
      </c>
      <c r="D352" s="4" t="s">
        <v>2651</v>
      </c>
      <c r="E352" s="3" t="s">
        <v>45</v>
      </c>
      <c r="F352" s="4" t="s">
        <v>397</v>
      </c>
      <c r="G352" s="3" t="s">
        <v>2276</v>
      </c>
      <c r="H352" s="21" t="s">
        <v>2276</v>
      </c>
      <c r="I352" s="21" t="s">
        <v>2276</v>
      </c>
      <c r="J352" s="21" t="s">
        <v>2276</v>
      </c>
      <c r="K352" s="21" t="s">
        <v>534</v>
      </c>
      <c r="L352" s="21" t="s">
        <v>2276</v>
      </c>
      <c r="M352" s="21" t="s">
        <v>2276</v>
      </c>
      <c r="N352" s="21" t="s">
        <v>2276</v>
      </c>
      <c r="O352" s="21">
        <v>18.275862</v>
      </c>
      <c r="P352" s="21">
        <v>12.758620690000001</v>
      </c>
      <c r="Q352" s="21">
        <v>44.137931000000002</v>
      </c>
      <c r="R352" s="21">
        <v>24.827590000000001</v>
      </c>
      <c r="S352" s="21" t="s">
        <v>2276</v>
      </c>
      <c r="T352" s="3"/>
    </row>
    <row r="353" spans="1:20" ht="52" customHeight="1">
      <c r="A353" s="3" t="s">
        <v>921</v>
      </c>
      <c r="B353" s="3" t="s">
        <v>2276</v>
      </c>
      <c r="C353" s="11" t="s">
        <v>12</v>
      </c>
      <c r="D353" s="4" t="s">
        <v>2651</v>
      </c>
      <c r="E353" s="3" t="s">
        <v>45</v>
      </c>
      <c r="F353" s="4" t="s">
        <v>397</v>
      </c>
      <c r="G353" s="3" t="s">
        <v>2276</v>
      </c>
      <c r="H353" s="21" t="s">
        <v>2276</v>
      </c>
      <c r="I353" s="21" t="s">
        <v>2276</v>
      </c>
      <c r="J353" s="21" t="s">
        <v>2276</v>
      </c>
      <c r="K353" s="21" t="s">
        <v>534</v>
      </c>
      <c r="L353" s="21" t="s">
        <v>2276</v>
      </c>
      <c r="M353" s="21" t="s">
        <v>2276</v>
      </c>
      <c r="N353" s="21" t="s">
        <v>2276</v>
      </c>
      <c r="O353" s="21">
        <v>18.275862</v>
      </c>
      <c r="P353" s="21">
        <v>12.758620690000001</v>
      </c>
      <c r="Q353" s="21">
        <v>44.137931000000002</v>
      </c>
      <c r="R353" s="21">
        <v>24.827590000000001</v>
      </c>
      <c r="S353" s="21" t="s">
        <v>2276</v>
      </c>
      <c r="T353" s="3"/>
    </row>
    <row r="354" spans="1:20" ht="39.5" customHeight="1">
      <c r="A354" s="11" t="s">
        <v>911</v>
      </c>
      <c r="B354" s="3" t="s">
        <v>70</v>
      </c>
      <c r="C354" s="3" t="s">
        <v>12</v>
      </c>
      <c r="D354" s="4" t="s">
        <v>2650</v>
      </c>
      <c r="E354" s="3" t="s">
        <v>45</v>
      </c>
      <c r="F354" s="3" t="s">
        <v>130</v>
      </c>
      <c r="G354" s="4" t="s">
        <v>396</v>
      </c>
      <c r="H354" s="21" t="s">
        <v>2276</v>
      </c>
      <c r="I354" s="21" t="s">
        <v>2276</v>
      </c>
      <c r="J354" s="21" t="s">
        <v>2276</v>
      </c>
      <c r="K354" s="21" t="s">
        <v>534</v>
      </c>
      <c r="L354" s="21" t="s">
        <v>2276</v>
      </c>
      <c r="M354" s="21" t="s">
        <v>2276</v>
      </c>
      <c r="N354" s="21">
        <v>50</v>
      </c>
      <c r="O354" s="21" t="s">
        <v>2276</v>
      </c>
      <c r="P354" s="21" t="s">
        <v>2276</v>
      </c>
      <c r="Q354" s="21" t="s">
        <v>2276</v>
      </c>
      <c r="R354" s="21" t="s">
        <v>2276</v>
      </c>
      <c r="S354" s="21" t="s">
        <v>2276</v>
      </c>
      <c r="T354" s="3"/>
    </row>
    <row r="355" spans="1:20" ht="42" customHeight="1">
      <c r="A355" s="11" t="s">
        <v>933</v>
      </c>
      <c r="B355" s="11" t="s">
        <v>1197</v>
      </c>
      <c r="C355" s="11" t="s">
        <v>2645</v>
      </c>
      <c r="D355" s="11" t="s">
        <v>137</v>
      </c>
      <c r="E355" s="11" t="s">
        <v>5005</v>
      </c>
      <c r="F355" s="11" t="s">
        <v>2276</v>
      </c>
      <c r="G355" s="11" t="s">
        <v>2276</v>
      </c>
      <c r="H355" s="11" t="s">
        <v>2276</v>
      </c>
      <c r="I355" s="11" t="s">
        <v>2276</v>
      </c>
      <c r="J355" s="11" t="s">
        <v>2276</v>
      </c>
      <c r="K355" s="11" t="s">
        <v>2276</v>
      </c>
      <c r="L355" s="11" t="s">
        <v>2276</v>
      </c>
      <c r="M355" s="11" t="s">
        <v>2276</v>
      </c>
      <c r="N355" s="11" t="s">
        <v>2276</v>
      </c>
      <c r="O355" s="11" t="s">
        <v>2276</v>
      </c>
      <c r="P355" s="11" t="s">
        <v>2276</v>
      </c>
      <c r="Q355" s="11" t="s">
        <v>2276</v>
      </c>
      <c r="R355" s="11" t="s">
        <v>2276</v>
      </c>
      <c r="S355" s="11" t="s">
        <v>2276</v>
      </c>
      <c r="T355" s="11"/>
    </row>
    <row r="356" spans="1:20" ht="42" customHeight="1">
      <c r="A356" s="11" t="s">
        <v>5059</v>
      </c>
      <c r="B356" s="11" t="s">
        <v>69</v>
      </c>
      <c r="C356" s="11" t="s">
        <v>395</v>
      </c>
      <c r="D356" s="11" t="s">
        <v>5005</v>
      </c>
      <c r="E356" s="11" t="s">
        <v>2276</v>
      </c>
      <c r="F356" s="11" t="s">
        <v>2276</v>
      </c>
      <c r="G356" s="11" t="s">
        <v>2276</v>
      </c>
      <c r="H356" s="11" t="s">
        <v>2276</v>
      </c>
      <c r="I356" s="11" t="s">
        <v>2276</v>
      </c>
      <c r="J356" s="11" t="s">
        <v>2276</v>
      </c>
      <c r="K356" s="11" t="s">
        <v>2276</v>
      </c>
      <c r="L356" s="11" t="s">
        <v>2276</v>
      </c>
      <c r="M356" s="11" t="s">
        <v>2276</v>
      </c>
      <c r="N356" s="11" t="s">
        <v>2276</v>
      </c>
      <c r="O356" s="11" t="s">
        <v>2276</v>
      </c>
      <c r="P356" s="11" t="s">
        <v>2276</v>
      </c>
      <c r="Q356" s="11" t="s">
        <v>2276</v>
      </c>
      <c r="R356" s="11" t="s">
        <v>2276</v>
      </c>
      <c r="S356" s="11" t="s">
        <v>2276</v>
      </c>
      <c r="T356" s="11"/>
    </row>
    <row r="357" spans="1:20" ht="59" customHeight="1">
      <c r="A357" s="11" t="s">
        <v>927</v>
      </c>
      <c r="B357" s="3" t="s">
        <v>2276</v>
      </c>
      <c r="C357" s="3" t="s">
        <v>12</v>
      </c>
      <c r="D357" s="3" t="s">
        <v>45</v>
      </c>
      <c r="E357" s="4" t="s">
        <v>396</v>
      </c>
      <c r="F357" s="4" t="s">
        <v>397</v>
      </c>
      <c r="G357" s="3" t="s">
        <v>116</v>
      </c>
      <c r="H357" s="21">
        <v>0.46594980000000003</v>
      </c>
      <c r="I357" s="21">
        <v>62</v>
      </c>
      <c r="J357" s="21" t="s">
        <v>2276</v>
      </c>
      <c r="K357" s="21" t="s">
        <v>534</v>
      </c>
      <c r="L357" s="21" t="s">
        <v>2276</v>
      </c>
      <c r="M357" s="21" t="s">
        <v>2276</v>
      </c>
      <c r="N357" s="21" t="s">
        <v>2276</v>
      </c>
      <c r="O357" s="21">
        <v>21</v>
      </c>
      <c r="P357" s="21">
        <v>17.850000000000001</v>
      </c>
      <c r="Q357" s="21">
        <v>9.15</v>
      </c>
      <c r="R357" s="21">
        <v>44.7</v>
      </c>
      <c r="S357" s="21" t="s">
        <v>2276</v>
      </c>
      <c r="T357" s="4" t="s">
        <v>2213</v>
      </c>
    </row>
    <row r="358" spans="1:20" ht="61.5" customHeight="1">
      <c r="A358" s="11" t="s">
        <v>932</v>
      </c>
      <c r="B358" s="3" t="s">
        <v>2276</v>
      </c>
      <c r="C358" s="3" t="s">
        <v>12</v>
      </c>
      <c r="D358" s="3" t="s">
        <v>45</v>
      </c>
      <c r="E358" s="3" t="s">
        <v>130</v>
      </c>
      <c r="F358" s="4" t="s">
        <v>396</v>
      </c>
      <c r="G358" s="3" t="s">
        <v>116</v>
      </c>
      <c r="H358" s="21">
        <v>0.39100679999999999</v>
      </c>
      <c r="I358" s="21">
        <v>49.5</v>
      </c>
      <c r="J358" s="21" t="s">
        <v>2276</v>
      </c>
      <c r="K358" s="21" t="s">
        <v>534</v>
      </c>
      <c r="L358" s="21" t="s">
        <v>2276</v>
      </c>
      <c r="M358" s="21" t="s">
        <v>2276</v>
      </c>
      <c r="N358" s="21" t="s">
        <v>2276</v>
      </c>
      <c r="O358" s="21">
        <v>35.65</v>
      </c>
      <c r="P358" s="21">
        <v>4.3</v>
      </c>
      <c r="Q358" s="21">
        <v>12.35</v>
      </c>
      <c r="R358" s="21">
        <v>37.75</v>
      </c>
      <c r="S358" s="21" t="s">
        <v>2276</v>
      </c>
      <c r="T358" s="4" t="s">
        <v>937</v>
      </c>
    </row>
    <row r="359" spans="1:20" ht="52.5" customHeight="1">
      <c r="A359" s="11" t="s">
        <v>938</v>
      </c>
      <c r="B359" s="3" t="s">
        <v>69</v>
      </c>
      <c r="C359" s="3" t="s">
        <v>395</v>
      </c>
      <c r="D359" s="3" t="s">
        <v>130</v>
      </c>
      <c r="E359" s="4" t="s">
        <v>397</v>
      </c>
      <c r="F359" s="3" t="s">
        <v>45</v>
      </c>
      <c r="G359" s="3" t="s">
        <v>2276</v>
      </c>
      <c r="H359" s="21" t="s">
        <v>2276</v>
      </c>
      <c r="I359" s="21" t="s">
        <v>2276</v>
      </c>
      <c r="J359" s="21" t="s">
        <v>2276</v>
      </c>
      <c r="K359" s="21"/>
      <c r="L359" s="21" t="s">
        <v>2276</v>
      </c>
      <c r="M359" s="21" t="s">
        <v>2276</v>
      </c>
      <c r="N359" s="21" t="s">
        <v>2276</v>
      </c>
      <c r="O359" s="21" t="s">
        <v>2276</v>
      </c>
      <c r="P359" s="21" t="s">
        <v>2276</v>
      </c>
      <c r="Q359" s="21" t="s">
        <v>2276</v>
      </c>
      <c r="R359" s="21" t="s">
        <v>2276</v>
      </c>
      <c r="S359" s="21" t="s">
        <v>2276</v>
      </c>
      <c r="T359" s="4" t="s">
        <v>941</v>
      </c>
    </row>
    <row r="360" spans="1:20" ht="56" customHeight="1">
      <c r="A360" s="11" t="s">
        <v>944</v>
      </c>
      <c r="B360" s="3" t="s">
        <v>2276</v>
      </c>
      <c r="C360" s="3" t="s">
        <v>12</v>
      </c>
      <c r="D360" s="11" t="s">
        <v>863</v>
      </c>
      <c r="E360" s="3" t="s">
        <v>130</v>
      </c>
      <c r="F360" s="3" t="s">
        <v>2276</v>
      </c>
      <c r="G360" s="3" t="s">
        <v>2276</v>
      </c>
      <c r="H360" s="21" t="s">
        <v>2276</v>
      </c>
      <c r="I360" s="21" t="s">
        <v>2276</v>
      </c>
      <c r="J360" s="21" t="s">
        <v>2276</v>
      </c>
      <c r="K360" s="21" t="s">
        <v>534</v>
      </c>
      <c r="L360" s="21" t="s">
        <v>2276</v>
      </c>
      <c r="M360" s="21">
        <v>2.072539E-2</v>
      </c>
      <c r="N360" s="21" t="s">
        <v>2276</v>
      </c>
      <c r="O360" s="21" t="s">
        <v>2276</v>
      </c>
      <c r="P360" s="21">
        <v>20</v>
      </c>
      <c r="Q360" s="21">
        <v>47</v>
      </c>
      <c r="R360" s="21">
        <v>13.67</v>
      </c>
      <c r="S360" s="21">
        <v>1.3574198799999999</v>
      </c>
      <c r="T360" s="4" t="s">
        <v>2217</v>
      </c>
    </row>
    <row r="361" spans="1:20" ht="50" customHeight="1">
      <c r="A361" s="11" t="s">
        <v>946</v>
      </c>
      <c r="B361" s="3" t="s">
        <v>2276</v>
      </c>
      <c r="C361" s="11" t="s">
        <v>12</v>
      </c>
      <c r="D361" s="11" t="s">
        <v>863</v>
      </c>
      <c r="E361" s="3" t="s">
        <v>130</v>
      </c>
      <c r="F361" s="3" t="s">
        <v>2276</v>
      </c>
      <c r="G361" s="3" t="s">
        <v>2276</v>
      </c>
      <c r="H361" s="21" t="s">
        <v>2276</v>
      </c>
      <c r="I361" s="21" t="s">
        <v>2276</v>
      </c>
      <c r="J361" s="21" t="s">
        <v>2276</v>
      </c>
      <c r="K361" s="21" t="s">
        <v>534</v>
      </c>
      <c r="L361" s="21" t="s">
        <v>2276</v>
      </c>
      <c r="M361" s="21">
        <v>2.072539E-2</v>
      </c>
      <c r="N361" s="21" t="s">
        <v>2276</v>
      </c>
      <c r="O361" s="21" t="s">
        <v>2276</v>
      </c>
      <c r="P361" s="21">
        <v>21.67</v>
      </c>
      <c r="Q361" s="21">
        <v>35</v>
      </c>
      <c r="R361" s="21">
        <v>16.329999999999998</v>
      </c>
      <c r="S361" s="21">
        <v>1.3574198799999999</v>
      </c>
      <c r="T361" s="4" t="s">
        <v>2218</v>
      </c>
    </row>
    <row r="362" spans="1:20" ht="65" customHeight="1">
      <c r="A362" s="11" t="s">
        <v>954</v>
      </c>
      <c r="B362" s="3" t="s">
        <v>32</v>
      </c>
      <c r="C362" s="11" t="s">
        <v>12</v>
      </c>
      <c r="D362" s="4" t="s">
        <v>2650</v>
      </c>
      <c r="E362" s="3" t="s">
        <v>45</v>
      </c>
      <c r="F362" s="11" t="s">
        <v>130</v>
      </c>
      <c r="G362" s="3" t="s">
        <v>2276</v>
      </c>
      <c r="H362" s="21" t="s">
        <v>2276</v>
      </c>
      <c r="I362" s="21">
        <v>21.604340000000001</v>
      </c>
      <c r="J362" s="21" t="s">
        <v>2276</v>
      </c>
      <c r="K362" s="21"/>
      <c r="L362" s="21" t="s">
        <v>2276</v>
      </c>
      <c r="M362" s="21" t="s">
        <v>2276</v>
      </c>
      <c r="N362" s="21" t="s">
        <v>2276</v>
      </c>
      <c r="O362" s="21" t="s">
        <v>2276</v>
      </c>
      <c r="P362" s="21" t="s">
        <v>2276</v>
      </c>
      <c r="Q362" s="21" t="s">
        <v>2276</v>
      </c>
      <c r="R362" s="21" t="s">
        <v>2276</v>
      </c>
      <c r="S362" s="21" t="s">
        <v>2276</v>
      </c>
      <c r="T362" s="4" t="s">
        <v>2220</v>
      </c>
    </row>
    <row r="363" spans="1:20" ht="56" customHeight="1">
      <c r="A363" s="11" t="s">
        <v>959</v>
      </c>
      <c r="B363" s="4" t="s">
        <v>1197</v>
      </c>
      <c r="C363" s="11" t="s">
        <v>12</v>
      </c>
      <c r="D363" s="11" t="s">
        <v>130</v>
      </c>
      <c r="E363" s="4" t="s">
        <v>2650</v>
      </c>
      <c r="F363" s="3" t="s">
        <v>45</v>
      </c>
      <c r="G363" s="4" t="s">
        <v>397</v>
      </c>
      <c r="H363" s="21" t="s">
        <v>2276</v>
      </c>
      <c r="I363" s="21">
        <v>1.94</v>
      </c>
      <c r="J363" s="21">
        <v>1.3</v>
      </c>
      <c r="K363" s="21"/>
      <c r="L363" s="21" t="s">
        <v>2276</v>
      </c>
      <c r="M363" s="21" t="s">
        <v>2276</v>
      </c>
      <c r="N363" s="21" t="s">
        <v>2276</v>
      </c>
      <c r="O363" s="21" t="s">
        <v>2276</v>
      </c>
      <c r="P363" s="21" t="s">
        <v>2276</v>
      </c>
      <c r="Q363" s="21" t="s">
        <v>2276</v>
      </c>
      <c r="R363" s="21" t="s">
        <v>2276</v>
      </c>
      <c r="S363" s="21" t="s">
        <v>2276</v>
      </c>
      <c r="T363" s="4" t="s">
        <v>961</v>
      </c>
    </row>
    <row r="364" spans="1:20" ht="54.5" customHeight="1">
      <c r="A364" s="11" t="s">
        <v>965</v>
      </c>
      <c r="B364" s="4" t="s">
        <v>1197</v>
      </c>
      <c r="C364" s="11" t="s">
        <v>12</v>
      </c>
      <c r="D364" s="11" t="s">
        <v>130</v>
      </c>
      <c r="E364" s="4" t="s">
        <v>397</v>
      </c>
      <c r="F364" s="3" t="s">
        <v>45</v>
      </c>
      <c r="G364" s="4" t="s">
        <v>2650</v>
      </c>
      <c r="H364" s="21" t="s">
        <v>2276</v>
      </c>
      <c r="I364" s="21">
        <v>1.26</v>
      </c>
      <c r="J364" s="21">
        <v>1.3</v>
      </c>
      <c r="K364" s="21"/>
      <c r="L364" s="21" t="s">
        <v>2276</v>
      </c>
      <c r="M364" s="21" t="s">
        <v>2276</v>
      </c>
      <c r="N364" s="21" t="s">
        <v>2276</v>
      </c>
      <c r="O364" s="21" t="s">
        <v>2276</v>
      </c>
      <c r="P364" s="21" t="s">
        <v>2276</v>
      </c>
      <c r="Q364" s="21" t="s">
        <v>2276</v>
      </c>
      <c r="R364" s="21" t="s">
        <v>2276</v>
      </c>
      <c r="S364" s="21" t="s">
        <v>2276</v>
      </c>
      <c r="T364" s="4" t="s">
        <v>961</v>
      </c>
    </row>
    <row r="365" spans="1:20" ht="60.5" customHeight="1">
      <c r="A365" s="11" t="s">
        <v>966</v>
      </c>
      <c r="B365" s="4" t="s">
        <v>1197</v>
      </c>
      <c r="C365" s="11" t="s">
        <v>12</v>
      </c>
      <c r="D365" s="11" t="s">
        <v>130</v>
      </c>
      <c r="E365" s="3" t="s">
        <v>45</v>
      </c>
      <c r="F365" s="4" t="s">
        <v>397</v>
      </c>
      <c r="G365" s="4" t="s">
        <v>2650</v>
      </c>
      <c r="H365" s="21" t="s">
        <v>2276</v>
      </c>
      <c r="I365" s="21">
        <v>1.1299999999999999</v>
      </c>
      <c r="J365" s="21">
        <v>1.66</v>
      </c>
      <c r="K365" s="21"/>
      <c r="L365" s="21" t="s">
        <v>2276</v>
      </c>
      <c r="M365" s="21" t="s">
        <v>2276</v>
      </c>
      <c r="N365" s="21" t="s">
        <v>2276</v>
      </c>
      <c r="O365" s="21" t="s">
        <v>2276</v>
      </c>
      <c r="P365" s="21" t="s">
        <v>2276</v>
      </c>
      <c r="Q365" s="21" t="s">
        <v>2276</v>
      </c>
      <c r="R365" s="21" t="s">
        <v>2276</v>
      </c>
      <c r="S365" s="21" t="s">
        <v>2276</v>
      </c>
      <c r="T365" s="4" t="s">
        <v>961</v>
      </c>
    </row>
    <row r="366" spans="1:20" ht="46" customHeight="1">
      <c r="A366" s="19" t="s">
        <v>975</v>
      </c>
      <c r="B366" s="4" t="s">
        <v>2276</v>
      </c>
      <c r="C366" s="19" t="s">
        <v>12</v>
      </c>
      <c r="D366" s="19" t="s">
        <v>130</v>
      </c>
      <c r="E366" s="19" t="s">
        <v>397</v>
      </c>
      <c r="F366" s="19" t="s">
        <v>396</v>
      </c>
      <c r="G366" s="4" t="s">
        <v>2276</v>
      </c>
      <c r="H366" s="75" t="s">
        <v>2276</v>
      </c>
      <c r="I366" s="75">
        <v>2.1344439999999998</v>
      </c>
      <c r="J366" s="75" t="s">
        <v>2276</v>
      </c>
      <c r="K366" s="75"/>
      <c r="L366" s="75" t="s">
        <v>2276</v>
      </c>
      <c r="M366" s="75" t="s">
        <v>2276</v>
      </c>
      <c r="N366" s="75" t="s">
        <v>2276</v>
      </c>
      <c r="O366" s="75" t="s">
        <v>2276</v>
      </c>
      <c r="P366" s="75" t="s">
        <v>2276</v>
      </c>
      <c r="Q366" s="75" t="s">
        <v>2276</v>
      </c>
      <c r="R366" s="75" t="s">
        <v>2276</v>
      </c>
      <c r="S366" s="75" t="s">
        <v>2276</v>
      </c>
      <c r="T366" s="4" t="s">
        <v>2224</v>
      </c>
    </row>
    <row r="367" spans="1:20" ht="39.5" customHeight="1">
      <c r="A367" s="3" t="s">
        <v>977</v>
      </c>
      <c r="B367" s="19" t="s">
        <v>70</v>
      </c>
      <c r="C367" s="19" t="s">
        <v>12</v>
      </c>
      <c r="D367" s="4" t="s">
        <v>397</v>
      </c>
      <c r="E367" s="4" t="s">
        <v>2650</v>
      </c>
      <c r="F367" s="3" t="s">
        <v>863</v>
      </c>
      <c r="G367" s="3" t="s">
        <v>2276</v>
      </c>
      <c r="H367" s="21" t="s">
        <v>2276</v>
      </c>
      <c r="I367" s="21" t="s">
        <v>2276</v>
      </c>
      <c r="J367" s="21" t="s">
        <v>2276</v>
      </c>
      <c r="K367" s="21" t="s">
        <v>534</v>
      </c>
      <c r="L367" s="21" t="s">
        <v>2276</v>
      </c>
      <c r="M367" s="21" t="s">
        <v>2276</v>
      </c>
      <c r="N367" s="21" t="s">
        <v>2276</v>
      </c>
      <c r="O367" s="21" t="s">
        <v>2276</v>
      </c>
      <c r="P367" s="21">
        <v>59</v>
      </c>
      <c r="Q367" s="21">
        <v>5</v>
      </c>
      <c r="R367" s="21">
        <v>34</v>
      </c>
      <c r="S367" s="21">
        <v>4.88</v>
      </c>
      <c r="T367" s="4" t="s">
        <v>985</v>
      </c>
    </row>
    <row r="368" spans="1:20" ht="44" customHeight="1">
      <c r="A368" s="3" t="s">
        <v>980</v>
      </c>
      <c r="B368" s="19" t="s">
        <v>32</v>
      </c>
      <c r="C368" s="19" t="s">
        <v>12</v>
      </c>
      <c r="D368" s="4" t="s">
        <v>397</v>
      </c>
      <c r="E368" s="4" t="s">
        <v>2650</v>
      </c>
      <c r="F368" s="3" t="s">
        <v>130</v>
      </c>
      <c r="G368" s="3" t="s">
        <v>863</v>
      </c>
      <c r="H368" s="21" t="s">
        <v>2276</v>
      </c>
      <c r="I368" s="21" t="s">
        <v>2276</v>
      </c>
      <c r="J368" s="21" t="s">
        <v>2276</v>
      </c>
      <c r="K368" s="21" t="s">
        <v>534</v>
      </c>
      <c r="L368" s="21" t="s">
        <v>2276</v>
      </c>
      <c r="M368" s="21" t="s">
        <v>2276</v>
      </c>
      <c r="N368" s="21" t="s">
        <v>2276</v>
      </c>
      <c r="O368" s="21" t="s">
        <v>2276</v>
      </c>
      <c r="P368" s="21">
        <v>36</v>
      </c>
      <c r="Q368" s="21">
        <v>14</v>
      </c>
      <c r="R368" s="21">
        <v>49</v>
      </c>
      <c r="S368" s="21">
        <v>1.63</v>
      </c>
      <c r="T368" s="4" t="s">
        <v>985</v>
      </c>
    </row>
    <row r="369" spans="1:20" ht="48.5" customHeight="1">
      <c r="A369" s="3" t="s">
        <v>981</v>
      </c>
      <c r="B369" s="3" t="s">
        <v>69</v>
      </c>
      <c r="C369" s="19" t="s">
        <v>12</v>
      </c>
      <c r="D369" s="3" t="s">
        <v>130</v>
      </c>
      <c r="E369" s="4" t="s">
        <v>2650</v>
      </c>
      <c r="F369" s="4" t="s">
        <v>397</v>
      </c>
      <c r="G369" s="3" t="s">
        <v>137</v>
      </c>
      <c r="H369" s="21" t="s">
        <v>2276</v>
      </c>
      <c r="I369" s="21">
        <v>5</v>
      </c>
      <c r="J369" s="21" t="s">
        <v>2276</v>
      </c>
      <c r="K369" s="21"/>
      <c r="L369" s="21" t="s">
        <v>2276</v>
      </c>
      <c r="M369" s="21" t="s">
        <v>2276</v>
      </c>
      <c r="N369" s="21" t="s">
        <v>2276</v>
      </c>
      <c r="O369" s="21" t="s">
        <v>2276</v>
      </c>
      <c r="P369" s="21">
        <v>15</v>
      </c>
      <c r="Q369" s="21">
        <v>4</v>
      </c>
      <c r="R369" s="21">
        <v>81</v>
      </c>
      <c r="S369" s="21">
        <v>0.86</v>
      </c>
      <c r="T369" s="4" t="s">
        <v>986</v>
      </c>
    </row>
    <row r="370" spans="1:20" ht="54.5" customHeight="1">
      <c r="A370" s="11" t="s">
        <v>989</v>
      </c>
      <c r="B370" s="19" t="s">
        <v>32</v>
      </c>
      <c r="C370" s="19" t="s">
        <v>12</v>
      </c>
      <c r="D370" s="4" t="s">
        <v>397</v>
      </c>
      <c r="E370" s="3" t="s">
        <v>130</v>
      </c>
      <c r="F370" s="19" t="s">
        <v>396</v>
      </c>
      <c r="G370" s="3" t="s">
        <v>2276</v>
      </c>
      <c r="H370" s="21" t="s">
        <v>2276</v>
      </c>
      <c r="I370" s="21">
        <v>1.4806779999999999</v>
      </c>
      <c r="J370" s="21" t="s">
        <v>2276</v>
      </c>
      <c r="K370" s="21"/>
      <c r="L370" s="21" t="s">
        <v>2276</v>
      </c>
      <c r="M370" s="21" t="s">
        <v>2276</v>
      </c>
      <c r="N370" s="21" t="s">
        <v>2276</v>
      </c>
      <c r="O370" s="21" t="s">
        <v>2276</v>
      </c>
      <c r="P370" s="21" t="s">
        <v>2276</v>
      </c>
      <c r="Q370" s="21" t="s">
        <v>2276</v>
      </c>
      <c r="R370" s="21" t="s">
        <v>2276</v>
      </c>
      <c r="S370" s="21" t="s">
        <v>2276</v>
      </c>
      <c r="T370" s="4" t="s">
        <v>1011</v>
      </c>
    </row>
    <row r="371" spans="1:20" ht="54.5" customHeight="1">
      <c r="A371" s="11" t="s">
        <v>990</v>
      </c>
      <c r="B371" s="19" t="s">
        <v>32</v>
      </c>
      <c r="C371" s="19" t="s">
        <v>12</v>
      </c>
      <c r="D371" s="4" t="s">
        <v>397</v>
      </c>
      <c r="E371" s="19" t="s">
        <v>396</v>
      </c>
      <c r="F371" s="3" t="s">
        <v>130</v>
      </c>
      <c r="G371" s="3" t="s">
        <v>2276</v>
      </c>
      <c r="H371" s="21" t="s">
        <v>2276</v>
      </c>
      <c r="I371" s="21">
        <v>1.5918669999999999</v>
      </c>
      <c r="J371" s="21" t="s">
        <v>2276</v>
      </c>
      <c r="K371" s="21"/>
      <c r="L371" s="21" t="s">
        <v>2276</v>
      </c>
      <c r="M371" s="21" t="s">
        <v>2276</v>
      </c>
      <c r="N371" s="21" t="s">
        <v>2276</v>
      </c>
      <c r="O371" s="21" t="s">
        <v>2276</v>
      </c>
      <c r="P371" s="21" t="s">
        <v>2276</v>
      </c>
      <c r="Q371" s="21" t="s">
        <v>2276</v>
      </c>
      <c r="R371" s="21" t="s">
        <v>2276</v>
      </c>
      <c r="S371" s="21" t="s">
        <v>2276</v>
      </c>
      <c r="T371" s="3" t="s">
        <v>1010</v>
      </c>
    </row>
    <row r="372" spans="1:20" ht="58" customHeight="1">
      <c r="A372" s="11" t="s">
        <v>991</v>
      </c>
      <c r="B372" s="19" t="s">
        <v>32</v>
      </c>
      <c r="C372" s="19" t="s">
        <v>12</v>
      </c>
      <c r="D372" s="19" t="s">
        <v>396</v>
      </c>
      <c r="E372" s="4" t="s">
        <v>397</v>
      </c>
      <c r="F372" s="3" t="s">
        <v>130</v>
      </c>
      <c r="G372" s="3" t="s">
        <v>2276</v>
      </c>
      <c r="H372" s="21" t="s">
        <v>2276</v>
      </c>
      <c r="I372" s="21">
        <v>2.0376810000000001</v>
      </c>
      <c r="J372" s="21" t="s">
        <v>2276</v>
      </c>
      <c r="K372" s="21"/>
      <c r="L372" s="21" t="s">
        <v>2276</v>
      </c>
      <c r="M372" s="21" t="s">
        <v>2276</v>
      </c>
      <c r="N372" s="21" t="s">
        <v>2276</v>
      </c>
      <c r="O372" s="21" t="s">
        <v>2276</v>
      </c>
      <c r="P372" s="21" t="s">
        <v>2276</v>
      </c>
      <c r="Q372" s="21" t="s">
        <v>2276</v>
      </c>
      <c r="R372" s="21" t="s">
        <v>2276</v>
      </c>
      <c r="S372" s="21" t="s">
        <v>2276</v>
      </c>
      <c r="T372" s="3" t="s">
        <v>1010</v>
      </c>
    </row>
    <row r="373" spans="1:20" ht="49.5" customHeight="1">
      <c r="A373" s="11" t="s">
        <v>992</v>
      </c>
      <c r="B373" s="19" t="s">
        <v>32</v>
      </c>
      <c r="C373" s="19" t="s">
        <v>12</v>
      </c>
      <c r="D373" s="19" t="s">
        <v>396</v>
      </c>
      <c r="E373" s="4" t="s">
        <v>397</v>
      </c>
      <c r="F373" s="3" t="s">
        <v>130</v>
      </c>
      <c r="G373" s="3" t="s">
        <v>2276</v>
      </c>
      <c r="H373" s="21" t="s">
        <v>2276</v>
      </c>
      <c r="I373" s="21">
        <v>2.8747569999999998</v>
      </c>
      <c r="J373" s="21">
        <v>2.91</v>
      </c>
      <c r="K373" s="21"/>
      <c r="L373" s="21" t="s">
        <v>2276</v>
      </c>
      <c r="M373" s="21" t="s">
        <v>2276</v>
      </c>
      <c r="N373" s="21" t="s">
        <v>2276</v>
      </c>
      <c r="O373" s="21" t="s">
        <v>2276</v>
      </c>
      <c r="P373" s="21" t="s">
        <v>2276</v>
      </c>
      <c r="Q373" s="21" t="s">
        <v>2276</v>
      </c>
      <c r="R373" s="21" t="s">
        <v>2276</v>
      </c>
      <c r="S373" s="21" t="s">
        <v>2276</v>
      </c>
      <c r="T373" s="4" t="s">
        <v>2226</v>
      </c>
    </row>
    <row r="374" spans="1:20" ht="55.5" customHeight="1">
      <c r="A374" s="11" t="s">
        <v>993</v>
      </c>
      <c r="B374" s="19" t="s">
        <v>32</v>
      </c>
      <c r="C374" s="19" t="s">
        <v>12</v>
      </c>
      <c r="D374" s="19" t="s">
        <v>396</v>
      </c>
      <c r="E374" s="4" t="s">
        <v>397</v>
      </c>
      <c r="F374" s="3" t="s">
        <v>130</v>
      </c>
      <c r="G374" s="3" t="s">
        <v>2276</v>
      </c>
      <c r="H374" s="21" t="s">
        <v>2276</v>
      </c>
      <c r="I374" s="21">
        <v>2.815385</v>
      </c>
      <c r="J374" s="21">
        <v>2.91</v>
      </c>
      <c r="K374" s="21"/>
      <c r="L374" s="21" t="s">
        <v>2276</v>
      </c>
      <c r="M374" s="21" t="s">
        <v>2276</v>
      </c>
      <c r="N374" s="21" t="s">
        <v>2276</v>
      </c>
      <c r="O374" s="21" t="s">
        <v>2276</v>
      </c>
      <c r="P374" s="21" t="s">
        <v>2276</v>
      </c>
      <c r="Q374" s="21" t="s">
        <v>2276</v>
      </c>
      <c r="R374" s="21" t="s">
        <v>2276</v>
      </c>
      <c r="S374" s="21" t="s">
        <v>2276</v>
      </c>
      <c r="T374" s="4" t="s">
        <v>2227</v>
      </c>
    </row>
    <row r="375" spans="1:20" ht="58" customHeight="1">
      <c r="A375" s="11" t="s">
        <v>994</v>
      </c>
      <c r="B375" s="19" t="s">
        <v>32</v>
      </c>
      <c r="C375" s="19" t="s">
        <v>12</v>
      </c>
      <c r="D375" s="19" t="s">
        <v>396</v>
      </c>
      <c r="E375" s="3" t="s">
        <v>130</v>
      </c>
      <c r="F375" s="4" t="s">
        <v>397</v>
      </c>
      <c r="G375" s="3" t="s">
        <v>2276</v>
      </c>
      <c r="H375" s="21" t="s">
        <v>2276</v>
      </c>
      <c r="I375" s="21">
        <v>1.254902</v>
      </c>
      <c r="J375" s="21" t="s">
        <v>2276</v>
      </c>
      <c r="K375" s="21"/>
      <c r="L375" s="21" t="s">
        <v>2276</v>
      </c>
      <c r="M375" s="21" t="s">
        <v>2276</v>
      </c>
      <c r="N375" s="21" t="s">
        <v>2276</v>
      </c>
      <c r="O375" s="21" t="s">
        <v>2276</v>
      </c>
      <c r="P375" s="21" t="s">
        <v>2276</v>
      </c>
      <c r="Q375" s="21" t="s">
        <v>2276</v>
      </c>
      <c r="R375" s="21" t="s">
        <v>2276</v>
      </c>
      <c r="S375" s="21" t="s">
        <v>2276</v>
      </c>
      <c r="T375" s="4" t="s">
        <v>1011</v>
      </c>
    </row>
    <row r="376" spans="1:20" ht="49" customHeight="1">
      <c r="A376" s="11" t="s">
        <v>996</v>
      </c>
      <c r="B376" s="19" t="s">
        <v>32</v>
      </c>
      <c r="C376" s="19" t="s">
        <v>12</v>
      </c>
      <c r="D376" s="19" t="s">
        <v>396</v>
      </c>
      <c r="E376" s="3" t="s">
        <v>130</v>
      </c>
      <c r="F376" s="4" t="s">
        <v>397</v>
      </c>
      <c r="G376" s="3" t="s">
        <v>2276</v>
      </c>
      <c r="H376" s="21" t="s">
        <v>2276</v>
      </c>
      <c r="I376" s="21">
        <v>1.6984379999999999</v>
      </c>
      <c r="J376" s="21" t="s">
        <v>2276</v>
      </c>
      <c r="K376" s="21"/>
      <c r="L376" s="21" t="s">
        <v>2276</v>
      </c>
      <c r="M376" s="21" t="s">
        <v>2276</v>
      </c>
      <c r="N376" s="21" t="s">
        <v>2276</v>
      </c>
      <c r="O376" s="21" t="s">
        <v>2276</v>
      </c>
      <c r="P376" s="21" t="s">
        <v>2276</v>
      </c>
      <c r="Q376" s="21" t="s">
        <v>2276</v>
      </c>
      <c r="R376" s="21" t="s">
        <v>2276</v>
      </c>
      <c r="S376" s="21" t="s">
        <v>2276</v>
      </c>
      <c r="T376" s="3" t="s">
        <v>1010</v>
      </c>
    </row>
    <row r="377" spans="1:20" ht="50.5" customHeight="1">
      <c r="A377" s="11" t="s">
        <v>995</v>
      </c>
      <c r="B377" s="19" t="s">
        <v>32</v>
      </c>
      <c r="C377" s="19" t="s">
        <v>12</v>
      </c>
      <c r="D377" s="19" t="s">
        <v>396</v>
      </c>
      <c r="E377" s="3" t="s">
        <v>130</v>
      </c>
      <c r="F377" s="4" t="s">
        <v>397</v>
      </c>
      <c r="G377" s="3" t="s">
        <v>2276</v>
      </c>
      <c r="H377" s="21" t="s">
        <v>2276</v>
      </c>
      <c r="I377" s="21">
        <v>1.2664089999999999</v>
      </c>
      <c r="J377" s="21" t="s">
        <v>2276</v>
      </c>
      <c r="K377" s="21"/>
      <c r="L377" s="21" t="s">
        <v>2276</v>
      </c>
      <c r="M377" s="21" t="s">
        <v>2276</v>
      </c>
      <c r="N377" s="21" t="s">
        <v>2276</v>
      </c>
      <c r="O377" s="21" t="s">
        <v>2276</v>
      </c>
      <c r="P377" s="21" t="s">
        <v>2276</v>
      </c>
      <c r="Q377" s="21" t="s">
        <v>2276</v>
      </c>
      <c r="R377" s="21" t="s">
        <v>2276</v>
      </c>
      <c r="S377" s="21" t="s">
        <v>2276</v>
      </c>
      <c r="T377" s="3" t="s">
        <v>1010</v>
      </c>
    </row>
    <row r="378" spans="1:20" ht="52" customHeight="1">
      <c r="A378" s="11" t="s">
        <v>997</v>
      </c>
      <c r="B378" s="19" t="s">
        <v>32</v>
      </c>
      <c r="C378" s="19" t="s">
        <v>12</v>
      </c>
      <c r="D378" s="19" t="s">
        <v>396</v>
      </c>
      <c r="E378" s="3" t="s">
        <v>130</v>
      </c>
      <c r="F378" s="4" t="s">
        <v>397</v>
      </c>
      <c r="G378" s="3" t="s">
        <v>2276</v>
      </c>
      <c r="H378" s="21" t="s">
        <v>2276</v>
      </c>
      <c r="I378" s="21">
        <v>1.4007430000000001</v>
      </c>
      <c r="J378" s="21" t="s">
        <v>2276</v>
      </c>
      <c r="K378" s="21"/>
      <c r="L378" s="21" t="s">
        <v>2276</v>
      </c>
      <c r="M378" s="21" t="s">
        <v>2276</v>
      </c>
      <c r="N378" s="21" t="s">
        <v>2276</v>
      </c>
      <c r="O378" s="21" t="s">
        <v>2276</v>
      </c>
      <c r="P378" s="21">
        <v>21.091120140000001</v>
      </c>
      <c r="Q378" s="21">
        <v>66.115302799999995</v>
      </c>
      <c r="R378" s="21">
        <v>15.496230000000001</v>
      </c>
      <c r="S378" s="21" t="s">
        <v>2276</v>
      </c>
      <c r="T378" s="3" t="s">
        <v>1009</v>
      </c>
    </row>
    <row r="379" spans="1:20" ht="46" customHeight="1">
      <c r="A379" s="11" t="s">
        <v>1016</v>
      </c>
      <c r="B379" s="19" t="s">
        <v>1197</v>
      </c>
      <c r="C379" s="19" t="s">
        <v>12</v>
      </c>
      <c r="D379" s="4" t="s">
        <v>397</v>
      </c>
      <c r="E379" s="3" t="s">
        <v>130</v>
      </c>
      <c r="F379" s="3" t="s">
        <v>137</v>
      </c>
      <c r="G379" s="19" t="s">
        <v>396</v>
      </c>
      <c r="H379" s="21" t="s">
        <v>2276</v>
      </c>
      <c r="I379" s="21" t="s">
        <v>2276</v>
      </c>
      <c r="J379" s="21" t="s">
        <v>2276</v>
      </c>
      <c r="K379" s="21"/>
      <c r="L379" s="21" t="s">
        <v>2276</v>
      </c>
      <c r="M379" s="21" t="s">
        <v>2276</v>
      </c>
      <c r="N379" s="21" t="s">
        <v>2276</v>
      </c>
      <c r="O379" s="21" t="s">
        <v>2276</v>
      </c>
      <c r="P379" s="21">
        <v>1.4632267999999999</v>
      </c>
      <c r="Q379" s="21">
        <v>31.382364299999999</v>
      </c>
      <c r="R379" s="21">
        <v>66.884870000000006</v>
      </c>
      <c r="S379" s="21" t="s">
        <v>2276</v>
      </c>
      <c r="T379" s="3"/>
    </row>
    <row r="380" spans="1:20" ht="51" customHeight="1">
      <c r="A380" s="11" t="s">
        <v>1019</v>
      </c>
      <c r="B380" s="19" t="s">
        <v>1197</v>
      </c>
      <c r="C380" s="19" t="s">
        <v>12</v>
      </c>
      <c r="D380" s="4" t="s">
        <v>397</v>
      </c>
      <c r="E380" s="3" t="s">
        <v>130</v>
      </c>
      <c r="F380" s="3" t="s">
        <v>137</v>
      </c>
      <c r="G380" s="19" t="s">
        <v>396</v>
      </c>
      <c r="H380" s="21" t="s">
        <v>2276</v>
      </c>
      <c r="I380" s="21" t="s">
        <v>2276</v>
      </c>
      <c r="J380" s="21" t="s">
        <v>2276</v>
      </c>
      <c r="K380" s="21"/>
      <c r="L380" s="21" t="s">
        <v>2276</v>
      </c>
      <c r="M380" s="21" t="s">
        <v>2276</v>
      </c>
      <c r="N380" s="21" t="s">
        <v>2276</v>
      </c>
      <c r="O380" s="21" t="s">
        <v>2276</v>
      </c>
      <c r="P380" s="21">
        <v>2.7339237600000001</v>
      </c>
      <c r="Q380" s="21">
        <v>4.2471041999999999</v>
      </c>
      <c r="R380" s="21">
        <v>93.468469999999996</v>
      </c>
      <c r="S380" s="21" t="s">
        <v>2276</v>
      </c>
      <c r="T380" s="3"/>
    </row>
    <row r="381" spans="1:20" ht="38" customHeight="1">
      <c r="A381" s="11" t="s">
        <v>1023</v>
      </c>
      <c r="B381" s="3" t="s">
        <v>2276</v>
      </c>
      <c r="C381" s="3" t="s">
        <v>395</v>
      </c>
      <c r="D381" s="3" t="s">
        <v>130</v>
      </c>
      <c r="E381" s="4" t="s">
        <v>397</v>
      </c>
      <c r="F381" s="3" t="s">
        <v>45</v>
      </c>
      <c r="G381" s="3" t="s">
        <v>2276</v>
      </c>
      <c r="H381" s="21" t="s">
        <v>2276</v>
      </c>
      <c r="I381" s="21" t="s">
        <v>2276</v>
      </c>
      <c r="J381" s="21">
        <v>0.54</v>
      </c>
      <c r="K381" s="21"/>
      <c r="L381" s="21" t="s">
        <v>2276</v>
      </c>
      <c r="M381" s="21" t="s">
        <v>2276</v>
      </c>
      <c r="N381" s="21" t="s">
        <v>2276</v>
      </c>
      <c r="O381" s="21" t="s">
        <v>2276</v>
      </c>
      <c r="P381" s="21" t="s">
        <v>2276</v>
      </c>
      <c r="Q381" s="21" t="s">
        <v>2276</v>
      </c>
      <c r="R381" s="21" t="s">
        <v>2276</v>
      </c>
      <c r="S381" s="21" t="s">
        <v>2276</v>
      </c>
      <c r="T381" s="3" t="s">
        <v>1030</v>
      </c>
    </row>
    <row r="382" spans="1:20" ht="35" customHeight="1">
      <c r="A382" s="11" t="s">
        <v>1024</v>
      </c>
      <c r="B382" s="3" t="s">
        <v>2276</v>
      </c>
      <c r="C382" s="3" t="s">
        <v>395</v>
      </c>
      <c r="D382" s="3" t="s">
        <v>130</v>
      </c>
      <c r="E382" s="4" t="s">
        <v>397</v>
      </c>
      <c r="F382" s="3" t="s">
        <v>45</v>
      </c>
      <c r="G382" s="3" t="s">
        <v>2276</v>
      </c>
      <c r="H382" s="21" t="s">
        <v>2276</v>
      </c>
      <c r="I382" s="21" t="s">
        <v>2276</v>
      </c>
      <c r="J382" s="21">
        <v>0.54</v>
      </c>
      <c r="K382" s="21"/>
      <c r="L382" s="21" t="s">
        <v>2276</v>
      </c>
      <c r="M382" s="21" t="s">
        <v>2276</v>
      </c>
      <c r="N382" s="21" t="s">
        <v>2276</v>
      </c>
      <c r="O382" s="21" t="s">
        <v>2276</v>
      </c>
      <c r="P382" s="21" t="s">
        <v>2276</v>
      </c>
      <c r="Q382" s="21" t="s">
        <v>2276</v>
      </c>
      <c r="R382" s="21" t="s">
        <v>2276</v>
      </c>
      <c r="S382" s="21" t="s">
        <v>2276</v>
      </c>
      <c r="T382" s="3" t="s">
        <v>1030</v>
      </c>
    </row>
    <row r="383" spans="1:20" ht="40" customHeight="1">
      <c r="A383" s="11" t="s">
        <v>1041</v>
      </c>
      <c r="B383" s="19" t="s">
        <v>1197</v>
      </c>
      <c r="C383" s="19" t="s">
        <v>12</v>
      </c>
      <c r="D383" s="19" t="s">
        <v>396</v>
      </c>
      <c r="E383" s="3" t="s">
        <v>2276</v>
      </c>
      <c r="F383" s="3" t="s">
        <v>2276</v>
      </c>
      <c r="G383" s="3" t="s">
        <v>2276</v>
      </c>
      <c r="H383" s="21" t="s">
        <v>2276</v>
      </c>
      <c r="I383" s="21" t="s">
        <v>2276</v>
      </c>
      <c r="J383" s="21" t="s">
        <v>2276</v>
      </c>
      <c r="K383" s="21"/>
      <c r="L383" s="21" t="s">
        <v>2276</v>
      </c>
      <c r="M383" s="21" t="s">
        <v>2276</v>
      </c>
      <c r="N383" s="21" t="s">
        <v>2276</v>
      </c>
      <c r="O383" s="21" t="s">
        <v>2276</v>
      </c>
      <c r="P383" s="21" t="s">
        <v>2276</v>
      </c>
      <c r="Q383" s="21" t="s">
        <v>2276</v>
      </c>
      <c r="R383" s="21" t="s">
        <v>2276</v>
      </c>
      <c r="S383" s="21" t="s">
        <v>2276</v>
      </c>
      <c r="T383" s="3"/>
    </row>
    <row r="384" spans="1:20" ht="39.5" customHeight="1">
      <c r="A384" s="11" t="s">
        <v>1044</v>
      </c>
      <c r="B384" s="19" t="s">
        <v>1197</v>
      </c>
      <c r="C384" s="19" t="s">
        <v>12</v>
      </c>
      <c r="D384" s="19" t="s">
        <v>396</v>
      </c>
      <c r="E384" s="3" t="s">
        <v>130</v>
      </c>
      <c r="F384" s="3" t="s">
        <v>137</v>
      </c>
      <c r="G384" s="3" t="s">
        <v>2276</v>
      </c>
      <c r="H384" s="21" t="s">
        <v>2276</v>
      </c>
      <c r="I384" s="21" t="s">
        <v>2276</v>
      </c>
      <c r="J384" s="21" t="s">
        <v>2276</v>
      </c>
      <c r="K384" s="21"/>
      <c r="L384" s="21" t="s">
        <v>2276</v>
      </c>
      <c r="M384" s="21" t="s">
        <v>2276</v>
      </c>
      <c r="N384" s="21" t="s">
        <v>2276</v>
      </c>
      <c r="O384" s="21" t="s">
        <v>2276</v>
      </c>
      <c r="P384" s="21" t="s">
        <v>2276</v>
      </c>
      <c r="Q384" s="21" t="s">
        <v>2276</v>
      </c>
      <c r="R384" s="21" t="s">
        <v>2276</v>
      </c>
      <c r="S384" s="21" t="s">
        <v>2276</v>
      </c>
      <c r="T384" s="3"/>
    </row>
    <row r="385" spans="1:20" ht="34.5" customHeight="1">
      <c r="A385" s="11" t="s">
        <v>1045</v>
      </c>
      <c r="B385" s="3" t="s">
        <v>2258</v>
      </c>
      <c r="C385" s="19" t="s">
        <v>12</v>
      </c>
      <c r="D385" s="19" t="s">
        <v>396</v>
      </c>
      <c r="E385" s="3" t="s">
        <v>130</v>
      </c>
      <c r="F385" s="3" t="s">
        <v>2276</v>
      </c>
      <c r="G385" s="3" t="s">
        <v>2276</v>
      </c>
      <c r="H385" s="21" t="s">
        <v>2276</v>
      </c>
      <c r="I385" s="21" t="s">
        <v>2276</v>
      </c>
      <c r="J385" s="21" t="s">
        <v>2276</v>
      </c>
      <c r="K385" s="21"/>
      <c r="L385" s="21" t="s">
        <v>2276</v>
      </c>
      <c r="M385" s="21" t="s">
        <v>2276</v>
      </c>
      <c r="N385" s="21" t="s">
        <v>2276</v>
      </c>
      <c r="O385" s="21" t="s">
        <v>2276</v>
      </c>
      <c r="P385" s="21" t="s">
        <v>2276</v>
      </c>
      <c r="Q385" s="21" t="s">
        <v>2276</v>
      </c>
      <c r="R385" s="21" t="s">
        <v>2276</v>
      </c>
      <c r="S385" s="21" t="s">
        <v>2276</v>
      </c>
      <c r="T385" s="3"/>
    </row>
    <row r="386" spans="1:20" ht="36" customHeight="1">
      <c r="A386" s="11" t="s">
        <v>1046</v>
      </c>
      <c r="B386" s="3" t="s">
        <v>2258</v>
      </c>
      <c r="C386" s="19" t="s">
        <v>12</v>
      </c>
      <c r="D386" s="19" t="s">
        <v>84</v>
      </c>
      <c r="E386" s="3" t="s">
        <v>130</v>
      </c>
      <c r="F386" s="11" t="s">
        <v>863</v>
      </c>
      <c r="G386" s="3" t="s">
        <v>2276</v>
      </c>
      <c r="H386" s="21" t="s">
        <v>2276</v>
      </c>
      <c r="I386" s="21" t="s">
        <v>2276</v>
      </c>
      <c r="J386" s="21" t="s">
        <v>2276</v>
      </c>
      <c r="K386" s="21" t="s">
        <v>534</v>
      </c>
      <c r="L386" s="21" t="s">
        <v>2276</v>
      </c>
      <c r="M386" s="21" t="s">
        <v>2276</v>
      </c>
      <c r="N386" s="21" t="s">
        <v>2276</v>
      </c>
      <c r="O386" s="21" t="s">
        <v>2276</v>
      </c>
      <c r="P386" s="21" t="s">
        <v>2276</v>
      </c>
      <c r="Q386" s="21" t="s">
        <v>2276</v>
      </c>
      <c r="R386" s="21" t="s">
        <v>2276</v>
      </c>
      <c r="S386" s="21" t="s">
        <v>2276</v>
      </c>
      <c r="T386" s="3"/>
    </row>
    <row r="387" spans="1:20" ht="43.5" customHeight="1">
      <c r="A387" s="11" t="s">
        <v>1047</v>
      </c>
      <c r="B387" s="3" t="s">
        <v>69</v>
      </c>
      <c r="C387" s="19" t="s">
        <v>12</v>
      </c>
      <c r="D387" s="3" t="s">
        <v>130</v>
      </c>
      <c r="E387" s="19" t="s">
        <v>396</v>
      </c>
      <c r="F387" s="11" t="s">
        <v>2649</v>
      </c>
      <c r="G387" s="3" t="s">
        <v>2276</v>
      </c>
      <c r="H387" s="21" t="s">
        <v>2276</v>
      </c>
      <c r="I387" s="21" t="s">
        <v>2276</v>
      </c>
      <c r="J387" s="21" t="s">
        <v>2276</v>
      </c>
      <c r="K387" s="21" t="s">
        <v>534</v>
      </c>
      <c r="L387" s="21" t="s">
        <v>2276</v>
      </c>
      <c r="M387" s="21" t="s">
        <v>2276</v>
      </c>
      <c r="N387" s="21" t="s">
        <v>2276</v>
      </c>
      <c r="O387" s="21" t="s">
        <v>2276</v>
      </c>
      <c r="P387" s="21" t="s">
        <v>2276</v>
      </c>
      <c r="Q387" s="21" t="s">
        <v>2276</v>
      </c>
      <c r="R387" s="21" t="s">
        <v>2276</v>
      </c>
      <c r="S387" s="21" t="s">
        <v>2276</v>
      </c>
      <c r="T387" s="3"/>
    </row>
    <row r="388" spans="1:20" ht="45" customHeight="1">
      <c r="A388" s="11" t="s">
        <v>1054</v>
      </c>
      <c r="B388" s="3" t="s">
        <v>69</v>
      </c>
      <c r="C388" s="19" t="s">
        <v>12</v>
      </c>
      <c r="D388" s="19" t="s">
        <v>396</v>
      </c>
      <c r="E388" s="4" t="s">
        <v>397</v>
      </c>
      <c r="F388" s="3" t="s">
        <v>130</v>
      </c>
      <c r="G388" s="3" t="s">
        <v>84</v>
      </c>
      <c r="H388" s="21" t="s">
        <v>2276</v>
      </c>
      <c r="I388" s="21" t="s">
        <v>2276</v>
      </c>
      <c r="J388" s="21" t="s">
        <v>2276</v>
      </c>
      <c r="K388" s="21"/>
      <c r="L388" s="21" t="s">
        <v>2276</v>
      </c>
      <c r="M388" s="21" t="s">
        <v>2276</v>
      </c>
      <c r="N388" s="21" t="s">
        <v>2276</v>
      </c>
      <c r="O388" s="21" t="s">
        <v>2276</v>
      </c>
      <c r="P388" s="21" t="s">
        <v>2276</v>
      </c>
      <c r="Q388" s="21" t="s">
        <v>2276</v>
      </c>
      <c r="R388" s="21" t="s">
        <v>2276</v>
      </c>
      <c r="S388" s="21" t="s">
        <v>2276</v>
      </c>
      <c r="T388" s="3"/>
    </row>
    <row r="389" spans="1:20" ht="42.5" customHeight="1">
      <c r="A389" s="11" t="s">
        <v>1071</v>
      </c>
      <c r="B389" s="19" t="s">
        <v>1197</v>
      </c>
      <c r="C389" s="19" t="s">
        <v>12</v>
      </c>
      <c r="D389" s="19" t="s">
        <v>396</v>
      </c>
      <c r="E389" s="19" t="s">
        <v>137</v>
      </c>
      <c r="F389" s="4" t="s">
        <v>2650</v>
      </c>
      <c r="G389" s="21" t="s">
        <v>2276</v>
      </c>
      <c r="H389" s="21" t="s">
        <v>2276</v>
      </c>
      <c r="I389" s="21" t="s">
        <v>2276</v>
      </c>
      <c r="J389" s="21" t="s">
        <v>2276</v>
      </c>
      <c r="K389" s="21" t="s">
        <v>534</v>
      </c>
      <c r="L389" s="21" t="s">
        <v>2276</v>
      </c>
      <c r="M389" s="21" t="s">
        <v>2276</v>
      </c>
      <c r="N389" s="21" t="s">
        <v>2276</v>
      </c>
      <c r="O389" s="21" t="s">
        <v>2276</v>
      </c>
      <c r="P389" s="21" t="s">
        <v>2276</v>
      </c>
      <c r="Q389" s="21" t="s">
        <v>2276</v>
      </c>
      <c r="R389" s="21" t="s">
        <v>2276</v>
      </c>
      <c r="S389" s="21" t="s">
        <v>2276</v>
      </c>
      <c r="T389" s="4" t="s">
        <v>1074</v>
      </c>
    </row>
    <row r="390" spans="1:20" ht="45.5" customHeight="1">
      <c r="A390" s="11" t="s">
        <v>1075</v>
      </c>
      <c r="B390" s="19" t="s">
        <v>1197</v>
      </c>
      <c r="C390" s="19" t="s">
        <v>12</v>
      </c>
      <c r="D390" s="4" t="s">
        <v>130</v>
      </c>
      <c r="E390" s="19" t="s">
        <v>45</v>
      </c>
      <c r="F390" s="19" t="s">
        <v>396</v>
      </c>
      <c r="G390" s="3"/>
      <c r="H390" s="21" t="s">
        <v>2276</v>
      </c>
      <c r="I390" s="21">
        <v>6</v>
      </c>
      <c r="J390" s="21" t="s">
        <v>2276</v>
      </c>
      <c r="K390" s="21"/>
      <c r="L390" s="21" t="s">
        <v>2276</v>
      </c>
      <c r="M390" s="21" t="s">
        <v>2276</v>
      </c>
      <c r="N390" s="21" t="s">
        <v>2276</v>
      </c>
      <c r="O390" s="21" t="s">
        <v>2276</v>
      </c>
      <c r="P390" s="21" t="s">
        <v>2276</v>
      </c>
      <c r="Q390" s="21" t="s">
        <v>2276</v>
      </c>
      <c r="R390" s="21" t="s">
        <v>2276</v>
      </c>
      <c r="S390" s="21" t="s">
        <v>2276</v>
      </c>
      <c r="T390" s="4" t="s">
        <v>1083</v>
      </c>
    </row>
    <row r="391" spans="1:20" ht="49.5" customHeight="1">
      <c r="A391" s="11" t="s">
        <v>1085</v>
      </c>
      <c r="B391" s="3" t="s">
        <v>2276</v>
      </c>
      <c r="C391" s="19" t="s">
        <v>12</v>
      </c>
      <c r="D391" s="19" t="s">
        <v>863</v>
      </c>
      <c r="E391" s="19" t="s">
        <v>116</v>
      </c>
      <c r="F391" s="3" t="s">
        <v>2276</v>
      </c>
      <c r="G391" s="3" t="s">
        <v>2276</v>
      </c>
      <c r="H391" s="21" t="s">
        <v>2276</v>
      </c>
      <c r="I391" s="21" t="s">
        <v>2276</v>
      </c>
      <c r="J391" s="21" t="s">
        <v>2276</v>
      </c>
      <c r="K391" s="21" t="s">
        <v>534</v>
      </c>
      <c r="L391" s="21" t="s">
        <v>2276</v>
      </c>
      <c r="M391" s="21" t="s">
        <v>2276</v>
      </c>
      <c r="N391" s="21" t="s">
        <v>2276</v>
      </c>
      <c r="O391" s="21" t="s">
        <v>2276</v>
      </c>
      <c r="P391" s="21" t="s">
        <v>2276</v>
      </c>
      <c r="Q391" s="21" t="s">
        <v>2276</v>
      </c>
      <c r="R391" s="21" t="s">
        <v>2276</v>
      </c>
      <c r="S391" s="21" t="s">
        <v>2276</v>
      </c>
      <c r="T391" s="3"/>
    </row>
    <row r="392" spans="1:20" ht="53.5" customHeight="1">
      <c r="A392" s="11" t="s">
        <v>1098</v>
      </c>
      <c r="B392" s="3" t="s">
        <v>2276</v>
      </c>
      <c r="C392" s="19" t="s">
        <v>12</v>
      </c>
      <c r="D392" s="3" t="s">
        <v>137</v>
      </c>
      <c r="E392" s="3" t="s">
        <v>45</v>
      </c>
      <c r="F392" s="3" t="s">
        <v>116</v>
      </c>
      <c r="G392" s="3" t="s">
        <v>2276</v>
      </c>
      <c r="H392" s="21" t="s">
        <v>2276</v>
      </c>
      <c r="I392" s="21" t="s">
        <v>2276</v>
      </c>
      <c r="J392" s="21" t="s">
        <v>2276</v>
      </c>
      <c r="K392" s="21"/>
      <c r="L392" s="21" t="s">
        <v>2276</v>
      </c>
      <c r="M392" s="21" t="s">
        <v>2276</v>
      </c>
      <c r="N392" s="21" t="s">
        <v>2276</v>
      </c>
      <c r="O392" s="21" t="s">
        <v>2276</v>
      </c>
      <c r="P392" s="21" t="s">
        <v>2276</v>
      </c>
      <c r="Q392" s="21" t="s">
        <v>2276</v>
      </c>
      <c r="R392" s="21" t="s">
        <v>2276</v>
      </c>
      <c r="S392" s="21" t="s">
        <v>2276</v>
      </c>
      <c r="T392" s="3"/>
    </row>
    <row r="393" spans="1:20" ht="53.5" customHeight="1">
      <c r="A393" s="11" t="s">
        <v>1117</v>
      </c>
      <c r="B393" s="4" t="s">
        <v>1197</v>
      </c>
      <c r="C393" s="19" t="s">
        <v>12</v>
      </c>
      <c r="D393" s="3" t="s">
        <v>116</v>
      </c>
      <c r="E393" s="3" t="s">
        <v>130</v>
      </c>
      <c r="F393" s="3" t="s">
        <v>137</v>
      </c>
      <c r="G393" s="3" t="s">
        <v>863</v>
      </c>
      <c r="H393" s="21" t="s">
        <v>2276</v>
      </c>
      <c r="I393" s="21" t="s">
        <v>2276</v>
      </c>
      <c r="J393" s="21">
        <v>1.6</v>
      </c>
      <c r="K393" s="21" t="s">
        <v>534</v>
      </c>
      <c r="L393" s="21" t="s">
        <v>2276</v>
      </c>
      <c r="M393" s="21" t="s">
        <v>2276</v>
      </c>
      <c r="N393" s="21" t="s">
        <v>2276</v>
      </c>
      <c r="O393" s="21" t="s">
        <v>2276</v>
      </c>
      <c r="P393" s="21">
        <v>4.8</v>
      </c>
      <c r="Q393" s="21">
        <v>91.8</v>
      </c>
      <c r="R393" s="21">
        <v>2.7</v>
      </c>
      <c r="S393" s="21" t="s">
        <v>2276</v>
      </c>
      <c r="T393" s="3" t="s">
        <v>2334</v>
      </c>
    </row>
    <row r="394" spans="1:20" ht="53.5" customHeight="1">
      <c r="A394" s="11" t="s">
        <v>1118</v>
      </c>
      <c r="B394" s="3" t="s">
        <v>2258</v>
      </c>
      <c r="C394" s="19" t="s">
        <v>12</v>
      </c>
      <c r="D394" s="3" t="s">
        <v>84</v>
      </c>
      <c r="E394" s="4" t="s">
        <v>2649</v>
      </c>
      <c r="F394" s="3" t="s">
        <v>130</v>
      </c>
      <c r="G394" s="3" t="s">
        <v>863</v>
      </c>
      <c r="H394" s="21" t="s">
        <v>2276</v>
      </c>
      <c r="I394" s="21" t="s">
        <v>2276</v>
      </c>
      <c r="J394" s="21">
        <v>2.2000000000000002</v>
      </c>
      <c r="K394" s="21" t="s">
        <v>534</v>
      </c>
      <c r="L394" s="21" t="s">
        <v>2276</v>
      </c>
      <c r="M394" s="21" t="s">
        <v>2276</v>
      </c>
      <c r="N394" s="21" t="s">
        <v>2276</v>
      </c>
      <c r="O394" s="21" t="s">
        <v>2276</v>
      </c>
      <c r="P394" s="21" t="s">
        <v>2276</v>
      </c>
      <c r="Q394" s="21" t="s">
        <v>2276</v>
      </c>
      <c r="R394" s="21" t="s">
        <v>2276</v>
      </c>
      <c r="S394" s="21" t="s">
        <v>2276</v>
      </c>
      <c r="T394" s="3" t="s">
        <v>2334</v>
      </c>
    </row>
    <row r="395" spans="1:20" ht="44.5" customHeight="1">
      <c r="A395" s="11" t="s">
        <v>1125</v>
      </c>
      <c r="B395" s="3" t="s">
        <v>2276</v>
      </c>
      <c r="C395" s="19" t="s">
        <v>395</v>
      </c>
      <c r="D395" s="3" t="s">
        <v>130</v>
      </c>
      <c r="E395" s="3" t="s">
        <v>2276</v>
      </c>
      <c r="F395" s="3" t="s">
        <v>2276</v>
      </c>
      <c r="G395" s="3" t="s">
        <v>2276</v>
      </c>
      <c r="H395" s="21" t="s">
        <v>2276</v>
      </c>
      <c r="I395" s="21">
        <v>1</v>
      </c>
      <c r="J395" s="21" t="s">
        <v>2276</v>
      </c>
      <c r="K395" s="21"/>
      <c r="L395" s="21" t="s">
        <v>2276</v>
      </c>
      <c r="M395" s="21" t="s">
        <v>2276</v>
      </c>
      <c r="N395" s="21" t="s">
        <v>2276</v>
      </c>
      <c r="O395" s="21" t="s">
        <v>2276</v>
      </c>
      <c r="P395" s="21" t="s">
        <v>2276</v>
      </c>
      <c r="Q395" s="21" t="s">
        <v>2276</v>
      </c>
      <c r="R395" s="21" t="s">
        <v>2276</v>
      </c>
      <c r="S395" s="21" t="s">
        <v>2276</v>
      </c>
      <c r="T395" s="3"/>
    </row>
    <row r="396" spans="1:20" ht="51" customHeight="1">
      <c r="A396" s="11" t="s">
        <v>1135</v>
      </c>
      <c r="B396" s="3" t="s">
        <v>32</v>
      </c>
      <c r="C396" s="19" t="s">
        <v>12</v>
      </c>
      <c r="D396" s="19" t="s">
        <v>45</v>
      </c>
      <c r="E396" s="19" t="s">
        <v>863</v>
      </c>
      <c r="F396" s="11" t="s">
        <v>84</v>
      </c>
      <c r="G396" s="19" t="s">
        <v>130</v>
      </c>
      <c r="H396" s="21" t="s">
        <v>2276</v>
      </c>
      <c r="I396" s="21" t="s">
        <v>2276</v>
      </c>
      <c r="J396" s="21" t="s">
        <v>2276</v>
      </c>
      <c r="K396" s="21" t="s">
        <v>534</v>
      </c>
      <c r="L396" s="21" t="s">
        <v>2276</v>
      </c>
      <c r="M396" s="21" t="s">
        <v>2276</v>
      </c>
      <c r="N396" s="21" t="s">
        <v>2276</v>
      </c>
      <c r="O396" s="21" t="s">
        <v>2276</v>
      </c>
      <c r="P396" s="21" t="s">
        <v>2276</v>
      </c>
      <c r="Q396" s="21" t="s">
        <v>2276</v>
      </c>
      <c r="R396" s="21" t="s">
        <v>2276</v>
      </c>
      <c r="S396" s="21" t="s">
        <v>2276</v>
      </c>
      <c r="T396" s="3"/>
    </row>
    <row r="397" spans="1:20" ht="52" customHeight="1">
      <c r="A397" s="11" t="s">
        <v>1142</v>
      </c>
      <c r="B397" s="3" t="s">
        <v>2276</v>
      </c>
      <c r="C397" s="3" t="s">
        <v>395</v>
      </c>
      <c r="D397" s="3" t="s">
        <v>130</v>
      </c>
      <c r="E397" s="19" t="s">
        <v>2649</v>
      </c>
      <c r="F397" s="4" t="s">
        <v>397</v>
      </c>
      <c r="G397" s="4" t="s">
        <v>2651</v>
      </c>
      <c r="H397" s="21" t="s">
        <v>2276</v>
      </c>
      <c r="I397" s="21" t="s">
        <v>2276</v>
      </c>
      <c r="J397" s="21" t="s">
        <v>2276</v>
      </c>
      <c r="K397" s="21" t="s">
        <v>534</v>
      </c>
      <c r="L397" s="21" t="s">
        <v>2276</v>
      </c>
      <c r="M397" s="21" t="s">
        <v>2276</v>
      </c>
      <c r="N397" s="21" t="s">
        <v>2276</v>
      </c>
      <c r="O397" s="21" t="s">
        <v>2276</v>
      </c>
      <c r="P397" s="21" t="s">
        <v>2276</v>
      </c>
      <c r="Q397" s="21" t="s">
        <v>2276</v>
      </c>
      <c r="R397" s="21" t="s">
        <v>2276</v>
      </c>
      <c r="S397" s="21" t="s">
        <v>2276</v>
      </c>
      <c r="T397" s="3"/>
    </row>
    <row r="398" spans="1:20" ht="53.5" customHeight="1">
      <c r="A398" s="11" t="s">
        <v>1155</v>
      </c>
      <c r="B398" s="3" t="s">
        <v>2276</v>
      </c>
      <c r="C398" s="3" t="s">
        <v>395</v>
      </c>
      <c r="D398" s="3" t="s">
        <v>130</v>
      </c>
      <c r="E398" s="19" t="s">
        <v>2649</v>
      </c>
      <c r="F398" s="4" t="s">
        <v>1084</v>
      </c>
      <c r="G398" s="4" t="s">
        <v>2276</v>
      </c>
      <c r="H398" s="21" t="s">
        <v>2276</v>
      </c>
      <c r="I398" s="21" t="s">
        <v>2276</v>
      </c>
      <c r="J398" s="21" t="s">
        <v>2276</v>
      </c>
      <c r="K398" s="21" t="s">
        <v>534</v>
      </c>
      <c r="L398" s="21" t="s">
        <v>2276</v>
      </c>
      <c r="M398" s="21" t="s">
        <v>2276</v>
      </c>
      <c r="N398" s="21" t="s">
        <v>2276</v>
      </c>
      <c r="O398" s="21" t="s">
        <v>2276</v>
      </c>
      <c r="P398" s="21" t="s">
        <v>2276</v>
      </c>
      <c r="Q398" s="21" t="s">
        <v>2276</v>
      </c>
      <c r="R398" s="21" t="s">
        <v>2276</v>
      </c>
      <c r="S398" s="21" t="s">
        <v>2276</v>
      </c>
      <c r="T398" s="3"/>
    </row>
    <row r="399" spans="1:20" ht="53.5" customHeight="1">
      <c r="A399" s="11" t="s">
        <v>1159</v>
      </c>
      <c r="B399" s="3" t="s">
        <v>2276</v>
      </c>
      <c r="C399" s="3" t="s">
        <v>395</v>
      </c>
      <c r="D399" s="3" t="s">
        <v>130</v>
      </c>
      <c r="E399" s="19" t="s">
        <v>2649</v>
      </c>
      <c r="F399" s="4" t="s">
        <v>1084</v>
      </c>
      <c r="G399" s="4" t="s">
        <v>2276</v>
      </c>
      <c r="H399" s="21" t="s">
        <v>2276</v>
      </c>
      <c r="I399" s="21" t="s">
        <v>2276</v>
      </c>
      <c r="J399" s="21" t="s">
        <v>2276</v>
      </c>
      <c r="K399" s="21" t="s">
        <v>534</v>
      </c>
      <c r="L399" s="21" t="s">
        <v>2276</v>
      </c>
      <c r="M399" s="21" t="s">
        <v>2276</v>
      </c>
      <c r="N399" s="21" t="s">
        <v>2276</v>
      </c>
      <c r="O399" s="21" t="s">
        <v>2276</v>
      </c>
      <c r="P399" s="21" t="s">
        <v>2276</v>
      </c>
      <c r="Q399" s="21" t="s">
        <v>2276</v>
      </c>
      <c r="R399" s="21" t="s">
        <v>2276</v>
      </c>
      <c r="S399" s="21" t="s">
        <v>2276</v>
      </c>
      <c r="T399" s="3"/>
    </row>
    <row r="400" spans="1:20" ht="47" customHeight="1">
      <c r="A400" s="11" t="s">
        <v>1144</v>
      </c>
      <c r="B400" s="3" t="s">
        <v>2258</v>
      </c>
      <c r="C400" s="3" t="s">
        <v>12</v>
      </c>
      <c r="D400" s="3" t="s">
        <v>863</v>
      </c>
      <c r="E400" s="44" t="s">
        <v>2649</v>
      </c>
      <c r="F400" s="3" t="s">
        <v>116</v>
      </c>
      <c r="G400" s="3" t="s">
        <v>2276</v>
      </c>
      <c r="H400" s="21" t="s">
        <v>2276</v>
      </c>
      <c r="I400" s="21" t="s">
        <v>2276</v>
      </c>
      <c r="J400" s="21" t="s">
        <v>2276</v>
      </c>
      <c r="K400" s="21" t="s">
        <v>534</v>
      </c>
      <c r="L400" s="21" t="s">
        <v>2276</v>
      </c>
      <c r="M400" s="21" t="s">
        <v>2276</v>
      </c>
      <c r="N400" s="21" t="s">
        <v>2276</v>
      </c>
      <c r="O400" s="21" t="s">
        <v>2276</v>
      </c>
      <c r="P400" s="21" t="s">
        <v>2276</v>
      </c>
      <c r="Q400" s="21" t="s">
        <v>2276</v>
      </c>
      <c r="R400" s="21" t="s">
        <v>2276</v>
      </c>
      <c r="S400" s="21" t="s">
        <v>2276</v>
      </c>
      <c r="T400" s="4" t="s">
        <v>2296</v>
      </c>
    </row>
    <row r="401" spans="1:20" ht="47" customHeight="1">
      <c r="A401" s="23" t="s">
        <v>1145</v>
      </c>
      <c r="B401" s="3" t="s">
        <v>70</v>
      </c>
      <c r="C401" s="3" t="s">
        <v>12</v>
      </c>
      <c r="D401" s="3" t="s">
        <v>863</v>
      </c>
      <c r="E401" s="3" t="s">
        <v>2276</v>
      </c>
      <c r="F401" s="3" t="s">
        <v>2276</v>
      </c>
      <c r="G401" s="3" t="s">
        <v>2276</v>
      </c>
      <c r="H401" s="21" t="s">
        <v>2276</v>
      </c>
      <c r="I401" s="21" t="s">
        <v>2276</v>
      </c>
      <c r="J401" s="21" t="s">
        <v>2276</v>
      </c>
      <c r="K401" s="21" t="s">
        <v>534</v>
      </c>
      <c r="L401" s="21" t="s">
        <v>2276</v>
      </c>
      <c r="M401" s="21">
        <v>19</v>
      </c>
      <c r="N401" s="21" t="s">
        <v>2276</v>
      </c>
      <c r="O401" s="21" t="s">
        <v>2276</v>
      </c>
      <c r="P401" s="21" t="s">
        <v>2276</v>
      </c>
      <c r="Q401" s="21" t="s">
        <v>2276</v>
      </c>
      <c r="R401" s="21" t="s">
        <v>2276</v>
      </c>
      <c r="S401" s="21" t="s">
        <v>2276</v>
      </c>
      <c r="T401" s="3"/>
    </row>
    <row r="402" spans="1:20" ht="47" customHeight="1">
      <c r="A402" s="23" t="s">
        <v>1503</v>
      </c>
      <c r="B402" s="3" t="s">
        <v>70</v>
      </c>
      <c r="C402" s="3" t="s">
        <v>12</v>
      </c>
      <c r="D402" s="3" t="s">
        <v>863</v>
      </c>
      <c r="E402" s="3" t="s">
        <v>2276</v>
      </c>
      <c r="F402" s="3" t="s">
        <v>2276</v>
      </c>
      <c r="G402" s="3" t="s">
        <v>2276</v>
      </c>
      <c r="H402" s="21" t="s">
        <v>2276</v>
      </c>
      <c r="I402" s="21" t="s">
        <v>2276</v>
      </c>
      <c r="J402" s="21" t="s">
        <v>2276</v>
      </c>
      <c r="K402" s="21" t="s">
        <v>534</v>
      </c>
      <c r="L402" s="21" t="s">
        <v>2276</v>
      </c>
      <c r="M402" s="21">
        <v>19</v>
      </c>
      <c r="N402" s="21" t="s">
        <v>2276</v>
      </c>
      <c r="O402" s="21" t="s">
        <v>2276</v>
      </c>
      <c r="P402" s="21" t="s">
        <v>2276</v>
      </c>
      <c r="Q402" s="21" t="s">
        <v>2276</v>
      </c>
      <c r="R402" s="21" t="s">
        <v>2276</v>
      </c>
      <c r="S402" s="21" t="s">
        <v>2276</v>
      </c>
      <c r="T402" s="3"/>
    </row>
    <row r="403" spans="1:20" ht="47" customHeight="1">
      <c r="A403" s="23" t="s">
        <v>1504</v>
      </c>
      <c r="B403" s="3" t="s">
        <v>70</v>
      </c>
      <c r="C403" s="3" t="s">
        <v>12</v>
      </c>
      <c r="D403" s="3" t="s">
        <v>863</v>
      </c>
      <c r="E403" s="3" t="s">
        <v>2276</v>
      </c>
      <c r="F403" s="3" t="s">
        <v>2276</v>
      </c>
      <c r="G403" s="3" t="s">
        <v>2276</v>
      </c>
      <c r="H403" s="21" t="s">
        <v>2276</v>
      </c>
      <c r="I403" s="21" t="s">
        <v>2276</v>
      </c>
      <c r="J403" s="21" t="s">
        <v>2276</v>
      </c>
      <c r="K403" s="21" t="s">
        <v>534</v>
      </c>
      <c r="L403" s="21" t="s">
        <v>2276</v>
      </c>
      <c r="M403" s="21">
        <v>19</v>
      </c>
      <c r="N403" s="21" t="s">
        <v>2276</v>
      </c>
      <c r="O403" s="21" t="s">
        <v>2276</v>
      </c>
      <c r="P403" s="21" t="s">
        <v>2276</v>
      </c>
      <c r="Q403" s="21" t="s">
        <v>2276</v>
      </c>
      <c r="R403" s="21" t="s">
        <v>2276</v>
      </c>
      <c r="S403" s="21" t="s">
        <v>2276</v>
      </c>
      <c r="T403" s="3"/>
    </row>
    <row r="404" spans="1:20" ht="47" customHeight="1">
      <c r="A404" s="23" t="s">
        <v>1505</v>
      </c>
      <c r="B404" s="3" t="s">
        <v>70</v>
      </c>
      <c r="C404" s="3" t="s">
        <v>12</v>
      </c>
      <c r="D404" s="3" t="s">
        <v>863</v>
      </c>
      <c r="E404" s="3" t="s">
        <v>2276</v>
      </c>
      <c r="F404" s="3" t="s">
        <v>2276</v>
      </c>
      <c r="G404" s="3" t="s">
        <v>2276</v>
      </c>
      <c r="H404" s="21" t="s">
        <v>2276</v>
      </c>
      <c r="I404" s="21" t="s">
        <v>2276</v>
      </c>
      <c r="J404" s="21" t="s">
        <v>2276</v>
      </c>
      <c r="K404" s="21" t="s">
        <v>534</v>
      </c>
      <c r="L404" s="21" t="s">
        <v>2276</v>
      </c>
      <c r="M404" s="21">
        <v>19</v>
      </c>
      <c r="N404" s="21" t="s">
        <v>2276</v>
      </c>
      <c r="O404" s="21" t="s">
        <v>2276</v>
      </c>
      <c r="P404" s="21" t="s">
        <v>2276</v>
      </c>
      <c r="Q404" s="21" t="s">
        <v>2276</v>
      </c>
      <c r="R404" s="21" t="s">
        <v>2276</v>
      </c>
      <c r="S404" s="21" t="s">
        <v>2276</v>
      </c>
      <c r="T404" s="3"/>
    </row>
    <row r="405" spans="1:20" ht="47" customHeight="1">
      <c r="A405" s="23" t="s">
        <v>1506</v>
      </c>
      <c r="B405" s="3" t="s">
        <v>70</v>
      </c>
      <c r="C405" s="3" t="s">
        <v>12</v>
      </c>
      <c r="D405" s="3" t="s">
        <v>863</v>
      </c>
      <c r="E405" s="3" t="s">
        <v>2276</v>
      </c>
      <c r="F405" s="3" t="s">
        <v>2276</v>
      </c>
      <c r="G405" s="3" t="s">
        <v>2276</v>
      </c>
      <c r="H405" s="21" t="s">
        <v>2276</v>
      </c>
      <c r="I405" s="21" t="s">
        <v>2276</v>
      </c>
      <c r="J405" s="21" t="s">
        <v>2276</v>
      </c>
      <c r="K405" s="21" t="s">
        <v>534</v>
      </c>
      <c r="L405" s="21" t="s">
        <v>2276</v>
      </c>
      <c r="M405" s="21">
        <v>28</v>
      </c>
      <c r="N405" s="21" t="s">
        <v>2276</v>
      </c>
      <c r="O405" s="21" t="s">
        <v>2276</v>
      </c>
      <c r="P405" s="21" t="s">
        <v>2276</v>
      </c>
      <c r="Q405" s="21" t="s">
        <v>2276</v>
      </c>
      <c r="R405" s="21" t="s">
        <v>2276</v>
      </c>
      <c r="S405" s="21" t="s">
        <v>2276</v>
      </c>
      <c r="T405" s="3"/>
    </row>
    <row r="406" spans="1:20" ht="47" customHeight="1">
      <c r="A406" s="23" t="s">
        <v>1507</v>
      </c>
      <c r="B406" s="3" t="s">
        <v>70</v>
      </c>
      <c r="C406" s="3" t="s">
        <v>12</v>
      </c>
      <c r="D406" s="3" t="s">
        <v>863</v>
      </c>
      <c r="E406" s="3" t="s">
        <v>2276</v>
      </c>
      <c r="F406" s="3" t="s">
        <v>2276</v>
      </c>
      <c r="G406" s="3" t="s">
        <v>2276</v>
      </c>
      <c r="H406" s="21" t="s">
        <v>2276</v>
      </c>
      <c r="I406" s="21" t="s">
        <v>2276</v>
      </c>
      <c r="J406" s="21" t="s">
        <v>2276</v>
      </c>
      <c r="K406" s="21" t="s">
        <v>534</v>
      </c>
      <c r="L406" s="21" t="s">
        <v>2276</v>
      </c>
      <c r="M406" s="21">
        <v>28</v>
      </c>
      <c r="N406" s="21" t="s">
        <v>2276</v>
      </c>
      <c r="O406" s="21" t="s">
        <v>2276</v>
      </c>
      <c r="P406" s="21" t="s">
        <v>2276</v>
      </c>
      <c r="Q406" s="21" t="s">
        <v>2276</v>
      </c>
      <c r="R406" s="21" t="s">
        <v>2276</v>
      </c>
      <c r="S406" s="21" t="s">
        <v>2276</v>
      </c>
      <c r="T406" s="3"/>
    </row>
    <row r="407" spans="1:20" ht="47" customHeight="1">
      <c r="A407" s="23" t="s">
        <v>1508</v>
      </c>
      <c r="B407" s="3" t="s">
        <v>70</v>
      </c>
      <c r="C407" s="3" t="s">
        <v>12</v>
      </c>
      <c r="D407" s="3" t="s">
        <v>863</v>
      </c>
      <c r="E407" s="3" t="s">
        <v>2276</v>
      </c>
      <c r="F407" s="3" t="s">
        <v>2276</v>
      </c>
      <c r="G407" s="3" t="s">
        <v>2276</v>
      </c>
      <c r="H407" s="21" t="s">
        <v>2276</v>
      </c>
      <c r="I407" s="21" t="s">
        <v>2276</v>
      </c>
      <c r="J407" s="21" t="s">
        <v>2276</v>
      </c>
      <c r="K407" s="21" t="s">
        <v>534</v>
      </c>
      <c r="L407" s="21" t="s">
        <v>2276</v>
      </c>
      <c r="M407" s="21">
        <v>28</v>
      </c>
      <c r="N407" s="21" t="s">
        <v>2276</v>
      </c>
      <c r="O407" s="21" t="s">
        <v>2276</v>
      </c>
      <c r="P407" s="21" t="s">
        <v>2276</v>
      </c>
      <c r="Q407" s="21" t="s">
        <v>2276</v>
      </c>
      <c r="R407" s="21" t="s">
        <v>2276</v>
      </c>
      <c r="S407" s="21" t="s">
        <v>2276</v>
      </c>
      <c r="T407" s="3"/>
    </row>
    <row r="408" spans="1:20" ht="47" customHeight="1">
      <c r="A408" s="23" t="s">
        <v>1509</v>
      </c>
      <c r="B408" s="3" t="s">
        <v>70</v>
      </c>
      <c r="C408" s="3" t="s">
        <v>12</v>
      </c>
      <c r="D408" s="3" t="s">
        <v>863</v>
      </c>
      <c r="E408" s="3" t="s">
        <v>2276</v>
      </c>
      <c r="F408" s="3" t="s">
        <v>2276</v>
      </c>
      <c r="G408" s="3" t="s">
        <v>2276</v>
      </c>
      <c r="H408" s="21" t="s">
        <v>2276</v>
      </c>
      <c r="I408" s="21" t="s">
        <v>2276</v>
      </c>
      <c r="J408" s="21" t="s">
        <v>2276</v>
      </c>
      <c r="K408" s="21" t="s">
        <v>534</v>
      </c>
      <c r="L408" s="21" t="s">
        <v>2276</v>
      </c>
      <c r="M408" s="21">
        <v>28</v>
      </c>
      <c r="N408" s="21" t="s">
        <v>2276</v>
      </c>
      <c r="O408" s="21" t="s">
        <v>2276</v>
      </c>
      <c r="P408" s="21" t="s">
        <v>2276</v>
      </c>
      <c r="Q408" s="21" t="s">
        <v>2276</v>
      </c>
      <c r="R408" s="21" t="s">
        <v>2276</v>
      </c>
      <c r="S408" s="21" t="s">
        <v>2276</v>
      </c>
      <c r="T408" s="3"/>
    </row>
    <row r="409" spans="1:20" ht="47" customHeight="1">
      <c r="A409" s="23" t="s">
        <v>1510</v>
      </c>
      <c r="B409" s="3" t="s">
        <v>70</v>
      </c>
      <c r="C409" s="3" t="s">
        <v>12</v>
      </c>
      <c r="D409" s="3" t="s">
        <v>863</v>
      </c>
      <c r="E409" s="3" t="s">
        <v>2276</v>
      </c>
      <c r="F409" s="3" t="s">
        <v>2276</v>
      </c>
      <c r="G409" s="3" t="s">
        <v>2276</v>
      </c>
      <c r="H409" s="21" t="s">
        <v>2276</v>
      </c>
      <c r="I409" s="21" t="s">
        <v>2276</v>
      </c>
      <c r="J409" s="21" t="s">
        <v>2276</v>
      </c>
      <c r="K409" s="21" t="s">
        <v>534</v>
      </c>
      <c r="L409" s="21" t="s">
        <v>2276</v>
      </c>
      <c r="M409" s="21">
        <v>28</v>
      </c>
      <c r="N409" s="21" t="s">
        <v>2276</v>
      </c>
      <c r="O409" s="21" t="s">
        <v>2276</v>
      </c>
      <c r="P409" s="21" t="s">
        <v>2276</v>
      </c>
      <c r="Q409" s="21" t="s">
        <v>2276</v>
      </c>
      <c r="R409" s="21" t="s">
        <v>2276</v>
      </c>
      <c r="S409" s="21" t="s">
        <v>2276</v>
      </c>
      <c r="T409" s="3"/>
    </row>
    <row r="410" spans="1:20" ht="47" customHeight="1">
      <c r="A410" s="23" t="s">
        <v>1511</v>
      </c>
      <c r="B410" s="3" t="s">
        <v>70</v>
      </c>
      <c r="C410" s="3" t="s">
        <v>12</v>
      </c>
      <c r="D410" s="3" t="s">
        <v>863</v>
      </c>
      <c r="E410" s="3" t="s">
        <v>2276</v>
      </c>
      <c r="F410" s="3" t="s">
        <v>2276</v>
      </c>
      <c r="G410" s="3" t="s">
        <v>2276</v>
      </c>
      <c r="H410" s="21" t="s">
        <v>2276</v>
      </c>
      <c r="I410" s="21" t="s">
        <v>2276</v>
      </c>
      <c r="J410" s="21" t="s">
        <v>2276</v>
      </c>
      <c r="K410" s="21" t="s">
        <v>534</v>
      </c>
      <c r="L410" s="21" t="s">
        <v>2276</v>
      </c>
      <c r="M410" s="21">
        <v>40</v>
      </c>
      <c r="N410" s="21" t="s">
        <v>2276</v>
      </c>
      <c r="O410" s="21" t="s">
        <v>2276</v>
      </c>
      <c r="P410" s="21" t="s">
        <v>2276</v>
      </c>
      <c r="Q410" s="21" t="s">
        <v>2276</v>
      </c>
      <c r="R410" s="21" t="s">
        <v>2276</v>
      </c>
      <c r="S410" s="21" t="s">
        <v>2276</v>
      </c>
      <c r="T410" s="3"/>
    </row>
    <row r="411" spans="1:20" ht="47" customHeight="1">
      <c r="A411" s="23" t="s">
        <v>1512</v>
      </c>
      <c r="B411" s="3" t="s">
        <v>70</v>
      </c>
      <c r="C411" s="3" t="s">
        <v>12</v>
      </c>
      <c r="D411" s="3" t="s">
        <v>863</v>
      </c>
      <c r="E411" s="3" t="s">
        <v>2276</v>
      </c>
      <c r="F411" s="3" t="s">
        <v>2276</v>
      </c>
      <c r="G411" s="3" t="s">
        <v>2276</v>
      </c>
      <c r="H411" s="21" t="s">
        <v>2276</v>
      </c>
      <c r="I411" s="21" t="s">
        <v>2276</v>
      </c>
      <c r="J411" s="21" t="s">
        <v>2276</v>
      </c>
      <c r="K411" s="21" t="s">
        <v>534</v>
      </c>
      <c r="L411" s="21" t="s">
        <v>2276</v>
      </c>
      <c r="M411" s="21">
        <v>40</v>
      </c>
      <c r="N411" s="21" t="s">
        <v>2276</v>
      </c>
      <c r="O411" s="21" t="s">
        <v>2276</v>
      </c>
      <c r="P411" s="21" t="s">
        <v>2276</v>
      </c>
      <c r="Q411" s="21" t="s">
        <v>2276</v>
      </c>
      <c r="R411" s="21" t="s">
        <v>2276</v>
      </c>
      <c r="S411" s="21" t="s">
        <v>2276</v>
      </c>
      <c r="T411" s="3"/>
    </row>
    <row r="412" spans="1:20" ht="47" customHeight="1">
      <c r="A412" s="23" t="s">
        <v>1513</v>
      </c>
      <c r="B412" s="3" t="s">
        <v>70</v>
      </c>
      <c r="C412" s="3" t="s">
        <v>12</v>
      </c>
      <c r="D412" s="3" t="s">
        <v>863</v>
      </c>
      <c r="E412" s="3" t="s">
        <v>2276</v>
      </c>
      <c r="F412" s="3" t="s">
        <v>2276</v>
      </c>
      <c r="G412" s="3" t="s">
        <v>2276</v>
      </c>
      <c r="H412" s="21" t="s">
        <v>2276</v>
      </c>
      <c r="I412" s="21" t="s">
        <v>2276</v>
      </c>
      <c r="J412" s="21" t="s">
        <v>2276</v>
      </c>
      <c r="K412" s="21" t="s">
        <v>534</v>
      </c>
      <c r="L412" s="21" t="s">
        <v>2276</v>
      </c>
      <c r="M412" s="21">
        <v>40</v>
      </c>
      <c r="N412" s="21" t="s">
        <v>2276</v>
      </c>
      <c r="O412" s="21" t="s">
        <v>2276</v>
      </c>
      <c r="P412" s="21" t="s">
        <v>2276</v>
      </c>
      <c r="Q412" s="21" t="s">
        <v>2276</v>
      </c>
      <c r="R412" s="21" t="s">
        <v>2276</v>
      </c>
      <c r="S412" s="21" t="s">
        <v>2276</v>
      </c>
      <c r="T412" s="3"/>
    </row>
    <row r="413" spans="1:20" ht="47" customHeight="1">
      <c r="A413" s="23" t="s">
        <v>1514</v>
      </c>
      <c r="B413" s="3" t="s">
        <v>70</v>
      </c>
      <c r="C413" s="3" t="s">
        <v>12</v>
      </c>
      <c r="D413" s="3" t="s">
        <v>863</v>
      </c>
      <c r="E413" s="3" t="s">
        <v>2276</v>
      </c>
      <c r="F413" s="3" t="s">
        <v>2276</v>
      </c>
      <c r="G413" s="3" t="s">
        <v>2276</v>
      </c>
      <c r="H413" s="21" t="s">
        <v>2276</v>
      </c>
      <c r="I413" s="21" t="s">
        <v>2276</v>
      </c>
      <c r="J413" s="21" t="s">
        <v>2276</v>
      </c>
      <c r="K413" s="21" t="s">
        <v>534</v>
      </c>
      <c r="L413" s="21" t="s">
        <v>2276</v>
      </c>
      <c r="M413" s="21">
        <v>40</v>
      </c>
      <c r="N413" s="21" t="s">
        <v>2276</v>
      </c>
      <c r="O413" s="21" t="s">
        <v>2276</v>
      </c>
      <c r="P413" s="21" t="s">
        <v>2276</v>
      </c>
      <c r="Q413" s="21" t="s">
        <v>2276</v>
      </c>
      <c r="R413" s="21" t="s">
        <v>2276</v>
      </c>
      <c r="S413" s="21" t="s">
        <v>2276</v>
      </c>
      <c r="T413" s="3"/>
    </row>
    <row r="414" spans="1:20" ht="47" customHeight="1">
      <c r="A414" s="23" t="s">
        <v>1515</v>
      </c>
      <c r="B414" s="3" t="s">
        <v>70</v>
      </c>
      <c r="C414" s="3" t="s">
        <v>12</v>
      </c>
      <c r="D414" s="3" t="s">
        <v>863</v>
      </c>
      <c r="E414" s="3" t="s">
        <v>2276</v>
      </c>
      <c r="F414" s="3" t="s">
        <v>2276</v>
      </c>
      <c r="G414" s="3" t="s">
        <v>2276</v>
      </c>
      <c r="H414" s="21" t="s">
        <v>2276</v>
      </c>
      <c r="I414" s="21" t="s">
        <v>2276</v>
      </c>
      <c r="J414" s="21" t="s">
        <v>2276</v>
      </c>
      <c r="K414" s="21" t="s">
        <v>534</v>
      </c>
      <c r="L414" s="21" t="s">
        <v>2276</v>
      </c>
      <c r="M414" s="21">
        <v>40</v>
      </c>
      <c r="N414" s="21" t="s">
        <v>2276</v>
      </c>
      <c r="O414" s="21" t="s">
        <v>2276</v>
      </c>
      <c r="P414" s="21" t="s">
        <v>2276</v>
      </c>
      <c r="Q414" s="21" t="s">
        <v>2276</v>
      </c>
      <c r="R414" s="21" t="s">
        <v>2276</v>
      </c>
      <c r="S414" s="21" t="s">
        <v>2276</v>
      </c>
      <c r="T414" s="3"/>
    </row>
    <row r="415" spans="1:20" ht="47" customHeight="1">
      <c r="A415" s="23" t="s">
        <v>1516</v>
      </c>
      <c r="B415" s="3" t="s">
        <v>70</v>
      </c>
      <c r="C415" s="3" t="s">
        <v>12</v>
      </c>
      <c r="D415" s="3" t="s">
        <v>863</v>
      </c>
      <c r="E415" s="3" t="s">
        <v>2276</v>
      </c>
      <c r="F415" s="3" t="s">
        <v>2276</v>
      </c>
      <c r="G415" s="3" t="s">
        <v>2276</v>
      </c>
      <c r="H415" s="21" t="s">
        <v>2276</v>
      </c>
      <c r="I415" s="21" t="s">
        <v>2276</v>
      </c>
      <c r="J415" s="21" t="s">
        <v>2276</v>
      </c>
      <c r="K415" s="21" t="s">
        <v>534</v>
      </c>
      <c r="L415" s="21" t="s">
        <v>2276</v>
      </c>
      <c r="M415" s="21">
        <v>28</v>
      </c>
      <c r="N415" s="21" t="s">
        <v>2276</v>
      </c>
      <c r="O415" s="21" t="s">
        <v>2276</v>
      </c>
      <c r="P415" s="21" t="s">
        <v>2276</v>
      </c>
      <c r="Q415" s="21" t="s">
        <v>2276</v>
      </c>
      <c r="R415" s="21" t="s">
        <v>2276</v>
      </c>
      <c r="S415" s="21" t="s">
        <v>2276</v>
      </c>
      <c r="T415" s="3"/>
    </row>
    <row r="416" spans="1:20" ht="47" customHeight="1">
      <c r="A416" s="23" t="s">
        <v>1517</v>
      </c>
      <c r="B416" s="3" t="s">
        <v>70</v>
      </c>
      <c r="C416" s="3" t="s">
        <v>12</v>
      </c>
      <c r="D416" s="3" t="s">
        <v>863</v>
      </c>
      <c r="E416" s="3" t="s">
        <v>2276</v>
      </c>
      <c r="F416" s="3" t="s">
        <v>2276</v>
      </c>
      <c r="G416" s="3" t="s">
        <v>2276</v>
      </c>
      <c r="H416" s="21" t="s">
        <v>2276</v>
      </c>
      <c r="I416" s="21" t="s">
        <v>2276</v>
      </c>
      <c r="J416" s="21" t="s">
        <v>2276</v>
      </c>
      <c r="K416" s="21" t="s">
        <v>534</v>
      </c>
      <c r="L416" s="21" t="s">
        <v>2276</v>
      </c>
      <c r="M416" s="21">
        <v>40</v>
      </c>
      <c r="N416" s="21" t="s">
        <v>2276</v>
      </c>
      <c r="O416" s="21" t="s">
        <v>2276</v>
      </c>
      <c r="P416" s="21" t="s">
        <v>2276</v>
      </c>
      <c r="Q416" s="21" t="s">
        <v>2276</v>
      </c>
      <c r="R416" s="21" t="s">
        <v>2276</v>
      </c>
      <c r="S416" s="21" t="s">
        <v>2276</v>
      </c>
      <c r="T416" s="3"/>
    </row>
    <row r="417" spans="1:20" ht="47" customHeight="1">
      <c r="A417" s="23" t="s">
        <v>1518</v>
      </c>
      <c r="B417" s="3" t="s">
        <v>70</v>
      </c>
      <c r="C417" s="3" t="s">
        <v>12</v>
      </c>
      <c r="D417" s="3" t="s">
        <v>863</v>
      </c>
      <c r="E417" s="3" t="s">
        <v>2276</v>
      </c>
      <c r="F417" s="3" t="s">
        <v>2276</v>
      </c>
      <c r="G417" s="3" t="s">
        <v>2276</v>
      </c>
      <c r="H417" s="21" t="s">
        <v>2276</v>
      </c>
      <c r="I417" s="21" t="s">
        <v>2276</v>
      </c>
      <c r="J417" s="21" t="s">
        <v>2276</v>
      </c>
      <c r="K417" s="21" t="s">
        <v>534</v>
      </c>
      <c r="L417" s="21" t="s">
        <v>2276</v>
      </c>
      <c r="M417" s="21">
        <v>40</v>
      </c>
      <c r="N417" s="21" t="s">
        <v>2276</v>
      </c>
      <c r="O417" s="21" t="s">
        <v>2276</v>
      </c>
      <c r="P417" s="21" t="s">
        <v>2276</v>
      </c>
      <c r="Q417" s="21" t="s">
        <v>2276</v>
      </c>
      <c r="R417" s="21" t="s">
        <v>2276</v>
      </c>
      <c r="S417" s="21" t="s">
        <v>2276</v>
      </c>
      <c r="T417" s="3"/>
    </row>
    <row r="418" spans="1:20" ht="47" customHeight="1">
      <c r="A418" s="23" t="s">
        <v>1519</v>
      </c>
      <c r="B418" s="3" t="s">
        <v>70</v>
      </c>
      <c r="C418" s="3" t="s">
        <v>12</v>
      </c>
      <c r="D418" s="3" t="s">
        <v>863</v>
      </c>
      <c r="E418" s="3" t="s">
        <v>2276</v>
      </c>
      <c r="F418" s="3" t="s">
        <v>2276</v>
      </c>
      <c r="G418" s="3" t="s">
        <v>2276</v>
      </c>
      <c r="H418" s="21" t="s">
        <v>2276</v>
      </c>
      <c r="I418" s="21" t="s">
        <v>2276</v>
      </c>
      <c r="J418" s="21" t="s">
        <v>2276</v>
      </c>
      <c r="K418" s="21" t="s">
        <v>534</v>
      </c>
      <c r="L418" s="21" t="s">
        <v>2276</v>
      </c>
      <c r="M418" s="21">
        <v>28</v>
      </c>
      <c r="N418" s="21" t="s">
        <v>2276</v>
      </c>
      <c r="O418" s="21" t="s">
        <v>2276</v>
      </c>
      <c r="P418" s="21" t="s">
        <v>2276</v>
      </c>
      <c r="Q418" s="21" t="s">
        <v>2276</v>
      </c>
      <c r="R418" s="21" t="s">
        <v>2276</v>
      </c>
      <c r="S418" s="21" t="s">
        <v>2276</v>
      </c>
      <c r="T418" s="3"/>
    </row>
    <row r="419" spans="1:20" ht="47" customHeight="1">
      <c r="A419" s="23" t="s">
        <v>1520</v>
      </c>
      <c r="B419" s="3" t="s">
        <v>70</v>
      </c>
      <c r="C419" s="3" t="s">
        <v>12</v>
      </c>
      <c r="D419" s="3" t="s">
        <v>863</v>
      </c>
      <c r="E419" s="3" t="s">
        <v>2276</v>
      </c>
      <c r="F419" s="3" t="s">
        <v>2276</v>
      </c>
      <c r="G419" s="3" t="s">
        <v>2276</v>
      </c>
      <c r="H419" s="21" t="s">
        <v>2276</v>
      </c>
      <c r="I419" s="21" t="s">
        <v>2276</v>
      </c>
      <c r="J419" s="21" t="s">
        <v>2276</v>
      </c>
      <c r="K419" s="21" t="s">
        <v>534</v>
      </c>
      <c r="L419" s="21" t="s">
        <v>2276</v>
      </c>
      <c r="M419" s="21">
        <v>40</v>
      </c>
      <c r="N419" s="21" t="s">
        <v>2276</v>
      </c>
      <c r="O419" s="21" t="s">
        <v>2276</v>
      </c>
      <c r="P419" s="21" t="s">
        <v>2276</v>
      </c>
      <c r="Q419" s="21" t="s">
        <v>2276</v>
      </c>
      <c r="R419" s="21" t="s">
        <v>2276</v>
      </c>
      <c r="S419" s="21" t="s">
        <v>2276</v>
      </c>
      <c r="T419" s="3"/>
    </row>
    <row r="420" spans="1:20" ht="47" customHeight="1">
      <c r="A420" s="23" t="s">
        <v>1521</v>
      </c>
      <c r="B420" s="3" t="s">
        <v>70</v>
      </c>
      <c r="C420" s="3" t="s">
        <v>12</v>
      </c>
      <c r="D420" s="3" t="s">
        <v>863</v>
      </c>
      <c r="E420" s="3" t="s">
        <v>2276</v>
      </c>
      <c r="F420" s="3" t="s">
        <v>2276</v>
      </c>
      <c r="G420" s="3" t="s">
        <v>2276</v>
      </c>
      <c r="H420" s="21" t="s">
        <v>2276</v>
      </c>
      <c r="I420" s="21" t="s">
        <v>2276</v>
      </c>
      <c r="J420" s="21" t="s">
        <v>2276</v>
      </c>
      <c r="K420" s="21" t="s">
        <v>534</v>
      </c>
      <c r="L420" s="21" t="s">
        <v>2276</v>
      </c>
      <c r="M420" s="21">
        <v>40</v>
      </c>
      <c r="N420" s="21" t="s">
        <v>2276</v>
      </c>
      <c r="O420" s="21" t="s">
        <v>2276</v>
      </c>
      <c r="P420" s="21" t="s">
        <v>2276</v>
      </c>
      <c r="Q420" s="21" t="s">
        <v>2276</v>
      </c>
      <c r="R420" s="21" t="s">
        <v>2276</v>
      </c>
      <c r="S420" s="21" t="s">
        <v>2276</v>
      </c>
      <c r="T420" s="3"/>
    </row>
    <row r="421" spans="1:20" ht="47" customHeight="1">
      <c r="A421" s="23" t="s">
        <v>1522</v>
      </c>
      <c r="B421" s="3" t="s">
        <v>70</v>
      </c>
      <c r="C421" s="3" t="s">
        <v>12</v>
      </c>
      <c r="D421" s="3" t="s">
        <v>863</v>
      </c>
      <c r="E421" s="3" t="s">
        <v>2276</v>
      </c>
      <c r="F421" s="3" t="s">
        <v>2276</v>
      </c>
      <c r="G421" s="3" t="s">
        <v>2276</v>
      </c>
      <c r="H421" s="21" t="s">
        <v>2276</v>
      </c>
      <c r="I421" s="21" t="s">
        <v>2276</v>
      </c>
      <c r="J421" s="21" t="s">
        <v>2276</v>
      </c>
      <c r="K421" s="21" t="s">
        <v>534</v>
      </c>
      <c r="L421" s="21" t="s">
        <v>2276</v>
      </c>
      <c r="M421" s="21">
        <v>40</v>
      </c>
      <c r="N421" s="21" t="s">
        <v>2276</v>
      </c>
      <c r="O421" s="21" t="s">
        <v>2276</v>
      </c>
      <c r="P421" s="21" t="s">
        <v>2276</v>
      </c>
      <c r="Q421" s="21" t="s">
        <v>2276</v>
      </c>
      <c r="R421" s="21" t="s">
        <v>2276</v>
      </c>
      <c r="S421" s="21" t="s">
        <v>2276</v>
      </c>
      <c r="T421" s="3"/>
    </row>
    <row r="422" spans="1:20" ht="47" customHeight="1">
      <c r="A422" s="23" t="s">
        <v>1523</v>
      </c>
      <c r="B422" s="3" t="s">
        <v>70</v>
      </c>
      <c r="C422" s="3" t="s">
        <v>12</v>
      </c>
      <c r="D422" s="3" t="s">
        <v>863</v>
      </c>
      <c r="E422" s="3" t="s">
        <v>2276</v>
      </c>
      <c r="F422" s="3" t="s">
        <v>2276</v>
      </c>
      <c r="G422" s="3" t="s">
        <v>2276</v>
      </c>
      <c r="H422" s="21" t="s">
        <v>2276</v>
      </c>
      <c r="I422" s="21" t="s">
        <v>2276</v>
      </c>
      <c r="J422" s="21" t="s">
        <v>2276</v>
      </c>
      <c r="K422" s="21" t="s">
        <v>534</v>
      </c>
      <c r="L422" s="21" t="s">
        <v>2276</v>
      </c>
      <c r="M422" s="21">
        <v>40</v>
      </c>
      <c r="N422" s="21" t="s">
        <v>2276</v>
      </c>
      <c r="O422" s="21" t="s">
        <v>2276</v>
      </c>
      <c r="P422" s="21" t="s">
        <v>2276</v>
      </c>
      <c r="Q422" s="21" t="s">
        <v>2276</v>
      </c>
      <c r="R422" s="21" t="s">
        <v>2276</v>
      </c>
      <c r="S422" s="21" t="s">
        <v>2276</v>
      </c>
      <c r="T422" s="3"/>
    </row>
    <row r="423" spans="1:20" ht="47" customHeight="1">
      <c r="A423" s="23" t="s">
        <v>1524</v>
      </c>
      <c r="B423" s="3" t="s">
        <v>70</v>
      </c>
      <c r="C423" s="3" t="s">
        <v>12</v>
      </c>
      <c r="D423" s="3" t="s">
        <v>863</v>
      </c>
      <c r="E423" s="3" t="s">
        <v>2276</v>
      </c>
      <c r="F423" s="3" t="s">
        <v>2276</v>
      </c>
      <c r="G423" s="3" t="s">
        <v>2276</v>
      </c>
      <c r="H423" s="21" t="s">
        <v>2276</v>
      </c>
      <c r="I423" s="21" t="s">
        <v>2276</v>
      </c>
      <c r="J423" s="21" t="s">
        <v>2276</v>
      </c>
      <c r="K423" s="21" t="s">
        <v>534</v>
      </c>
      <c r="L423" s="21" t="s">
        <v>2276</v>
      </c>
      <c r="M423" s="21">
        <v>40</v>
      </c>
      <c r="N423" s="21" t="s">
        <v>2276</v>
      </c>
      <c r="O423" s="21" t="s">
        <v>2276</v>
      </c>
      <c r="P423" s="21" t="s">
        <v>2276</v>
      </c>
      <c r="Q423" s="21" t="s">
        <v>2276</v>
      </c>
      <c r="R423" s="21" t="s">
        <v>2276</v>
      </c>
      <c r="S423" s="21" t="s">
        <v>2276</v>
      </c>
      <c r="T423" s="3"/>
    </row>
    <row r="424" spans="1:20" ht="47" customHeight="1">
      <c r="A424" s="23" t="s">
        <v>1525</v>
      </c>
      <c r="B424" s="3" t="s">
        <v>70</v>
      </c>
      <c r="C424" s="3" t="s">
        <v>12</v>
      </c>
      <c r="D424" s="3" t="s">
        <v>863</v>
      </c>
      <c r="E424" s="3" t="s">
        <v>2276</v>
      </c>
      <c r="F424" s="3" t="s">
        <v>2276</v>
      </c>
      <c r="G424" s="3" t="s">
        <v>2276</v>
      </c>
      <c r="H424" s="21" t="s">
        <v>2276</v>
      </c>
      <c r="I424" s="21" t="s">
        <v>2276</v>
      </c>
      <c r="J424" s="21" t="s">
        <v>2276</v>
      </c>
      <c r="K424" s="21" t="s">
        <v>534</v>
      </c>
      <c r="L424" s="21" t="s">
        <v>2276</v>
      </c>
      <c r="M424" s="21">
        <v>40</v>
      </c>
      <c r="N424" s="21" t="s">
        <v>2276</v>
      </c>
      <c r="O424" s="21" t="s">
        <v>2276</v>
      </c>
      <c r="P424" s="21" t="s">
        <v>2276</v>
      </c>
      <c r="Q424" s="21" t="s">
        <v>2276</v>
      </c>
      <c r="R424" s="21" t="s">
        <v>2276</v>
      </c>
      <c r="S424" s="21" t="s">
        <v>2276</v>
      </c>
      <c r="T424" s="3"/>
    </row>
    <row r="425" spans="1:20" ht="47" customHeight="1">
      <c r="A425" s="23" t="s">
        <v>1526</v>
      </c>
      <c r="B425" s="3" t="s">
        <v>70</v>
      </c>
      <c r="C425" s="3" t="s">
        <v>12</v>
      </c>
      <c r="D425" s="3" t="s">
        <v>863</v>
      </c>
      <c r="E425" s="3" t="s">
        <v>2276</v>
      </c>
      <c r="F425" s="3" t="s">
        <v>2276</v>
      </c>
      <c r="G425" s="3" t="s">
        <v>2276</v>
      </c>
      <c r="H425" s="21" t="s">
        <v>2276</v>
      </c>
      <c r="I425" s="21" t="s">
        <v>2276</v>
      </c>
      <c r="J425" s="21" t="s">
        <v>2276</v>
      </c>
      <c r="K425" s="21" t="s">
        <v>534</v>
      </c>
      <c r="L425" s="21" t="s">
        <v>2276</v>
      </c>
      <c r="M425" s="21">
        <v>40</v>
      </c>
      <c r="N425" s="21" t="s">
        <v>2276</v>
      </c>
      <c r="O425" s="21" t="s">
        <v>2276</v>
      </c>
      <c r="P425" s="21" t="s">
        <v>2276</v>
      </c>
      <c r="Q425" s="21" t="s">
        <v>2276</v>
      </c>
      <c r="R425" s="21" t="s">
        <v>2276</v>
      </c>
      <c r="S425" s="21" t="s">
        <v>2276</v>
      </c>
      <c r="T425" s="3"/>
    </row>
    <row r="426" spans="1:20" ht="47" customHeight="1">
      <c r="A426" s="23" t="s">
        <v>1527</v>
      </c>
      <c r="B426" s="3" t="s">
        <v>70</v>
      </c>
      <c r="C426" s="3" t="s">
        <v>12</v>
      </c>
      <c r="D426" s="3" t="s">
        <v>863</v>
      </c>
      <c r="E426" s="3" t="s">
        <v>2276</v>
      </c>
      <c r="F426" s="3" t="s">
        <v>2276</v>
      </c>
      <c r="G426" s="3" t="s">
        <v>2276</v>
      </c>
      <c r="H426" s="21" t="s">
        <v>2276</v>
      </c>
      <c r="I426" s="21" t="s">
        <v>2276</v>
      </c>
      <c r="J426" s="21" t="s">
        <v>2276</v>
      </c>
      <c r="K426" s="21" t="s">
        <v>534</v>
      </c>
      <c r="L426" s="21" t="s">
        <v>2276</v>
      </c>
      <c r="M426" s="21">
        <v>28</v>
      </c>
      <c r="N426" s="21" t="s">
        <v>2276</v>
      </c>
      <c r="O426" s="21" t="s">
        <v>2276</v>
      </c>
      <c r="P426" s="21" t="s">
        <v>2276</v>
      </c>
      <c r="Q426" s="21" t="s">
        <v>2276</v>
      </c>
      <c r="R426" s="21" t="s">
        <v>2276</v>
      </c>
      <c r="S426" s="21" t="s">
        <v>2276</v>
      </c>
      <c r="T426" s="3"/>
    </row>
    <row r="427" spans="1:20" ht="47" customHeight="1">
      <c r="A427" s="23" t="s">
        <v>1528</v>
      </c>
      <c r="B427" s="3" t="s">
        <v>70</v>
      </c>
      <c r="C427" s="3" t="s">
        <v>12</v>
      </c>
      <c r="D427" s="3" t="s">
        <v>863</v>
      </c>
      <c r="E427" s="3" t="s">
        <v>2276</v>
      </c>
      <c r="F427" s="3" t="s">
        <v>2276</v>
      </c>
      <c r="G427" s="3" t="s">
        <v>2276</v>
      </c>
      <c r="H427" s="21" t="s">
        <v>2276</v>
      </c>
      <c r="I427" s="21" t="s">
        <v>2276</v>
      </c>
      <c r="J427" s="21" t="s">
        <v>2276</v>
      </c>
      <c r="K427" s="21" t="s">
        <v>534</v>
      </c>
      <c r="L427" s="21" t="s">
        <v>2276</v>
      </c>
      <c r="M427" s="21">
        <v>28</v>
      </c>
      <c r="N427" s="21" t="s">
        <v>2276</v>
      </c>
      <c r="O427" s="21" t="s">
        <v>2276</v>
      </c>
      <c r="P427" s="21" t="s">
        <v>2276</v>
      </c>
      <c r="Q427" s="21" t="s">
        <v>2276</v>
      </c>
      <c r="R427" s="21" t="s">
        <v>2276</v>
      </c>
      <c r="S427" s="21" t="s">
        <v>2276</v>
      </c>
      <c r="T427" s="3"/>
    </row>
    <row r="428" spans="1:20" ht="47" customHeight="1">
      <c r="A428" s="23" t="s">
        <v>1529</v>
      </c>
      <c r="B428" s="3" t="s">
        <v>70</v>
      </c>
      <c r="C428" s="3" t="s">
        <v>12</v>
      </c>
      <c r="D428" s="3" t="s">
        <v>863</v>
      </c>
      <c r="E428" s="3" t="s">
        <v>2276</v>
      </c>
      <c r="F428" s="3" t="s">
        <v>2276</v>
      </c>
      <c r="G428" s="3" t="s">
        <v>2276</v>
      </c>
      <c r="H428" s="21" t="s">
        <v>2276</v>
      </c>
      <c r="I428" s="21" t="s">
        <v>2276</v>
      </c>
      <c r="J428" s="21" t="s">
        <v>2276</v>
      </c>
      <c r="K428" s="21" t="s">
        <v>534</v>
      </c>
      <c r="L428" s="21" t="s">
        <v>2276</v>
      </c>
      <c r="M428" s="21">
        <v>28</v>
      </c>
      <c r="N428" s="21" t="s">
        <v>2276</v>
      </c>
      <c r="O428" s="21" t="s">
        <v>2276</v>
      </c>
      <c r="P428" s="21" t="s">
        <v>2276</v>
      </c>
      <c r="Q428" s="21" t="s">
        <v>2276</v>
      </c>
      <c r="R428" s="21" t="s">
        <v>2276</v>
      </c>
      <c r="S428" s="21" t="s">
        <v>2276</v>
      </c>
      <c r="T428" s="3"/>
    </row>
    <row r="429" spans="1:20" ht="47" customHeight="1">
      <c r="A429" s="23" t="s">
        <v>1530</v>
      </c>
      <c r="B429" s="3" t="s">
        <v>70</v>
      </c>
      <c r="C429" s="3" t="s">
        <v>12</v>
      </c>
      <c r="D429" s="3" t="s">
        <v>863</v>
      </c>
      <c r="E429" s="3" t="s">
        <v>2276</v>
      </c>
      <c r="F429" s="3" t="s">
        <v>2276</v>
      </c>
      <c r="G429" s="3" t="s">
        <v>2276</v>
      </c>
      <c r="H429" s="21" t="s">
        <v>2276</v>
      </c>
      <c r="I429" s="21" t="s">
        <v>2276</v>
      </c>
      <c r="J429" s="21" t="s">
        <v>2276</v>
      </c>
      <c r="K429" s="21" t="s">
        <v>534</v>
      </c>
      <c r="L429" s="21" t="s">
        <v>2276</v>
      </c>
      <c r="M429" s="21">
        <v>19</v>
      </c>
      <c r="N429" s="21" t="s">
        <v>2276</v>
      </c>
      <c r="O429" s="21" t="s">
        <v>2276</v>
      </c>
      <c r="P429" s="21" t="s">
        <v>2276</v>
      </c>
      <c r="Q429" s="21" t="s">
        <v>2276</v>
      </c>
      <c r="R429" s="21" t="s">
        <v>2276</v>
      </c>
      <c r="S429" s="21" t="s">
        <v>2276</v>
      </c>
      <c r="T429" s="3"/>
    </row>
    <row r="430" spans="1:20" ht="47" customHeight="1">
      <c r="A430" s="23" t="s">
        <v>1531</v>
      </c>
      <c r="B430" s="3" t="s">
        <v>70</v>
      </c>
      <c r="C430" s="3" t="s">
        <v>12</v>
      </c>
      <c r="D430" s="3" t="s">
        <v>863</v>
      </c>
      <c r="E430" s="3" t="s">
        <v>2276</v>
      </c>
      <c r="F430" s="3" t="s">
        <v>2276</v>
      </c>
      <c r="G430" s="3" t="s">
        <v>2276</v>
      </c>
      <c r="H430" s="21" t="s">
        <v>2276</v>
      </c>
      <c r="I430" s="21" t="s">
        <v>2276</v>
      </c>
      <c r="J430" s="21" t="s">
        <v>2276</v>
      </c>
      <c r="K430" s="21" t="s">
        <v>534</v>
      </c>
      <c r="L430" s="21" t="s">
        <v>2276</v>
      </c>
      <c r="M430" s="21">
        <v>19</v>
      </c>
      <c r="N430" s="21" t="s">
        <v>2276</v>
      </c>
      <c r="O430" s="21" t="s">
        <v>2276</v>
      </c>
      <c r="P430" s="21" t="s">
        <v>2276</v>
      </c>
      <c r="Q430" s="21" t="s">
        <v>2276</v>
      </c>
      <c r="R430" s="21" t="s">
        <v>2276</v>
      </c>
      <c r="S430" s="21" t="s">
        <v>2276</v>
      </c>
      <c r="T430" s="3"/>
    </row>
    <row r="431" spans="1:20" ht="47" customHeight="1">
      <c r="A431" s="23" t="s">
        <v>1532</v>
      </c>
      <c r="B431" s="3" t="s">
        <v>70</v>
      </c>
      <c r="C431" s="3" t="s">
        <v>12</v>
      </c>
      <c r="D431" s="3" t="s">
        <v>863</v>
      </c>
      <c r="E431" s="3" t="s">
        <v>2276</v>
      </c>
      <c r="F431" s="3" t="s">
        <v>2276</v>
      </c>
      <c r="G431" s="3" t="s">
        <v>2276</v>
      </c>
      <c r="H431" s="21" t="s">
        <v>2276</v>
      </c>
      <c r="I431" s="21" t="s">
        <v>2276</v>
      </c>
      <c r="J431" s="21" t="s">
        <v>2276</v>
      </c>
      <c r="K431" s="21" t="s">
        <v>534</v>
      </c>
      <c r="L431" s="21" t="s">
        <v>2276</v>
      </c>
      <c r="M431" s="21">
        <v>28</v>
      </c>
      <c r="N431" s="21" t="s">
        <v>2276</v>
      </c>
      <c r="O431" s="21" t="s">
        <v>2276</v>
      </c>
      <c r="P431" s="21" t="s">
        <v>2276</v>
      </c>
      <c r="Q431" s="21" t="s">
        <v>2276</v>
      </c>
      <c r="R431" s="21" t="s">
        <v>2276</v>
      </c>
      <c r="S431" s="21" t="s">
        <v>2276</v>
      </c>
      <c r="T431" s="3"/>
    </row>
    <row r="432" spans="1:20" ht="47" customHeight="1">
      <c r="A432" s="23" t="s">
        <v>1533</v>
      </c>
      <c r="B432" s="3" t="s">
        <v>70</v>
      </c>
      <c r="C432" s="3" t="s">
        <v>12</v>
      </c>
      <c r="D432" s="3" t="s">
        <v>863</v>
      </c>
      <c r="E432" s="3" t="s">
        <v>2276</v>
      </c>
      <c r="F432" s="3" t="s">
        <v>2276</v>
      </c>
      <c r="G432" s="3" t="s">
        <v>2276</v>
      </c>
      <c r="H432" s="21" t="s">
        <v>2276</v>
      </c>
      <c r="I432" s="21" t="s">
        <v>2276</v>
      </c>
      <c r="J432" s="21" t="s">
        <v>2276</v>
      </c>
      <c r="K432" s="21" t="s">
        <v>534</v>
      </c>
      <c r="L432" s="21" t="s">
        <v>2276</v>
      </c>
      <c r="M432" s="21">
        <v>19</v>
      </c>
      <c r="N432" s="21" t="s">
        <v>2276</v>
      </c>
      <c r="O432" s="21" t="s">
        <v>2276</v>
      </c>
      <c r="P432" s="21" t="s">
        <v>2276</v>
      </c>
      <c r="Q432" s="21" t="s">
        <v>2276</v>
      </c>
      <c r="R432" s="21" t="s">
        <v>2276</v>
      </c>
      <c r="S432" s="21" t="s">
        <v>2276</v>
      </c>
      <c r="T432" s="3"/>
    </row>
    <row r="433" spans="1:20" ht="47" customHeight="1">
      <c r="A433" s="23" t="s">
        <v>1534</v>
      </c>
      <c r="B433" s="3" t="s">
        <v>70</v>
      </c>
      <c r="C433" s="3" t="s">
        <v>12</v>
      </c>
      <c r="D433" s="3" t="s">
        <v>863</v>
      </c>
      <c r="E433" s="3" t="s">
        <v>2276</v>
      </c>
      <c r="F433" s="3" t="s">
        <v>2276</v>
      </c>
      <c r="G433" s="3" t="s">
        <v>2276</v>
      </c>
      <c r="H433" s="21" t="s">
        <v>2276</v>
      </c>
      <c r="I433" s="21" t="s">
        <v>2276</v>
      </c>
      <c r="J433" s="21" t="s">
        <v>2276</v>
      </c>
      <c r="K433" s="21" t="s">
        <v>534</v>
      </c>
      <c r="L433" s="21" t="s">
        <v>2276</v>
      </c>
      <c r="M433" s="21">
        <v>19</v>
      </c>
      <c r="N433" s="21" t="s">
        <v>2276</v>
      </c>
      <c r="O433" s="21" t="s">
        <v>2276</v>
      </c>
      <c r="P433" s="21" t="s">
        <v>2276</v>
      </c>
      <c r="Q433" s="21" t="s">
        <v>2276</v>
      </c>
      <c r="R433" s="21" t="s">
        <v>2276</v>
      </c>
      <c r="S433" s="21" t="s">
        <v>2276</v>
      </c>
      <c r="T433" s="3"/>
    </row>
    <row r="434" spans="1:20" ht="47" customHeight="1">
      <c r="A434" s="23" t="s">
        <v>1535</v>
      </c>
      <c r="B434" s="3" t="s">
        <v>70</v>
      </c>
      <c r="C434" s="3" t="s">
        <v>12</v>
      </c>
      <c r="D434" s="3" t="s">
        <v>863</v>
      </c>
      <c r="E434" s="3" t="s">
        <v>2276</v>
      </c>
      <c r="F434" s="3" t="s">
        <v>2276</v>
      </c>
      <c r="G434" s="3" t="s">
        <v>2276</v>
      </c>
      <c r="H434" s="21" t="s">
        <v>2276</v>
      </c>
      <c r="I434" s="21" t="s">
        <v>2276</v>
      </c>
      <c r="J434" s="21" t="s">
        <v>2276</v>
      </c>
      <c r="K434" s="21" t="s">
        <v>534</v>
      </c>
      <c r="L434" s="21" t="s">
        <v>2276</v>
      </c>
      <c r="M434" s="21">
        <v>19</v>
      </c>
      <c r="N434" s="21" t="s">
        <v>2276</v>
      </c>
      <c r="O434" s="21" t="s">
        <v>2276</v>
      </c>
      <c r="P434" s="21" t="s">
        <v>2276</v>
      </c>
      <c r="Q434" s="21" t="s">
        <v>2276</v>
      </c>
      <c r="R434" s="21" t="s">
        <v>2276</v>
      </c>
      <c r="S434" s="21" t="s">
        <v>2276</v>
      </c>
      <c r="T434" s="3"/>
    </row>
    <row r="435" spans="1:20" ht="47" customHeight="1">
      <c r="A435" s="23" t="s">
        <v>1536</v>
      </c>
      <c r="B435" s="3" t="s">
        <v>70</v>
      </c>
      <c r="C435" s="3" t="s">
        <v>12</v>
      </c>
      <c r="D435" s="3" t="s">
        <v>863</v>
      </c>
      <c r="E435" s="3" t="s">
        <v>2276</v>
      </c>
      <c r="F435" s="3" t="s">
        <v>2276</v>
      </c>
      <c r="G435" s="3" t="s">
        <v>2276</v>
      </c>
      <c r="H435" s="21" t="s">
        <v>2276</v>
      </c>
      <c r="I435" s="21" t="s">
        <v>2276</v>
      </c>
      <c r="J435" s="21" t="s">
        <v>2276</v>
      </c>
      <c r="K435" s="21" t="s">
        <v>534</v>
      </c>
      <c r="L435" s="21" t="s">
        <v>2276</v>
      </c>
      <c r="M435" s="21">
        <v>19</v>
      </c>
      <c r="N435" s="21" t="s">
        <v>2276</v>
      </c>
      <c r="O435" s="21" t="s">
        <v>2276</v>
      </c>
      <c r="P435" s="21" t="s">
        <v>2276</v>
      </c>
      <c r="Q435" s="21" t="s">
        <v>2276</v>
      </c>
      <c r="R435" s="21" t="s">
        <v>2276</v>
      </c>
      <c r="S435" s="21" t="s">
        <v>2276</v>
      </c>
      <c r="T435" s="3"/>
    </row>
    <row r="436" spans="1:20" ht="47" customHeight="1">
      <c r="A436" s="23" t="s">
        <v>1537</v>
      </c>
      <c r="B436" s="3" t="s">
        <v>70</v>
      </c>
      <c r="C436" s="3" t="s">
        <v>12</v>
      </c>
      <c r="D436" s="3" t="s">
        <v>863</v>
      </c>
      <c r="E436" s="3" t="s">
        <v>2276</v>
      </c>
      <c r="F436" s="3" t="s">
        <v>2276</v>
      </c>
      <c r="G436" s="3" t="s">
        <v>2276</v>
      </c>
      <c r="H436" s="21" t="s">
        <v>2276</v>
      </c>
      <c r="I436" s="21" t="s">
        <v>2276</v>
      </c>
      <c r="J436" s="21" t="s">
        <v>2276</v>
      </c>
      <c r="K436" s="21" t="s">
        <v>534</v>
      </c>
      <c r="L436" s="21" t="s">
        <v>2276</v>
      </c>
      <c r="M436" s="21">
        <v>19</v>
      </c>
      <c r="N436" s="21" t="s">
        <v>2276</v>
      </c>
      <c r="O436" s="21" t="s">
        <v>2276</v>
      </c>
      <c r="P436" s="21" t="s">
        <v>2276</v>
      </c>
      <c r="Q436" s="21" t="s">
        <v>2276</v>
      </c>
      <c r="R436" s="21" t="s">
        <v>2276</v>
      </c>
      <c r="S436" s="21" t="s">
        <v>2276</v>
      </c>
      <c r="T436" s="3"/>
    </row>
    <row r="437" spans="1:20" ht="47" customHeight="1">
      <c r="A437" s="23" t="s">
        <v>1538</v>
      </c>
      <c r="B437" s="3" t="s">
        <v>70</v>
      </c>
      <c r="C437" s="3" t="s">
        <v>12</v>
      </c>
      <c r="D437" s="3" t="s">
        <v>863</v>
      </c>
      <c r="E437" s="3" t="s">
        <v>2276</v>
      </c>
      <c r="F437" s="3" t="s">
        <v>2276</v>
      </c>
      <c r="G437" s="3" t="s">
        <v>2276</v>
      </c>
      <c r="H437" s="21" t="s">
        <v>2276</v>
      </c>
      <c r="I437" s="21" t="s">
        <v>2276</v>
      </c>
      <c r="J437" s="21" t="s">
        <v>2276</v>
      </c>
      <c r="K437" s="21" t="s">
        <v>534</v>
      </c>
      <c r="L437" s="21" t="s">
        <v>2276</v>
      </c>
      <c r="M437" s="21">
        <v>19</v>
      </c>
      <c r="N437" s="21" t="s">
        <v>2276</v>
      </c>
      <c r="O437" s="21" t="s">
        <v>2276</v>
      </c>
      <c r="P437" s="21" t="s">
        <v>2276</v>
      </c>
      <c r="Q437" s="21" t="s">
        <v>2276</v>
      </c>
      <c r="R437" s="21" t="s">
        <v>2276</v>
      </c>
      <c r="S437" s="21" t="s">
        <v>2276</v>
      </c>
      <c r="T437" s="3"/>
    </row>
    <row r="438" spans="1:20" ht="47" customHeight="1">
      <c r="A438" s="23" t="s">
        <v>1539</v>
      </c>
      <c r="B438" s="3" t="s">
        <v>70</v>
      </c>
      <c r="C438" s="3" t="s">
        <v>12</v>
      </c>
      <c r="D438" s="3" t="s">
        <v>863</v>
      </c>
      <c r="E438" s="3" t="s">
        <v>2276</v>
      </c>
      <c r="F438" s="3" t="s">
        <v>2276</v>
      </c>
      <c r="G438" s="3" t="s">
        <v>2276</v>
      </c>
      <c r="H438" s="21" t="s">
        <v>2276</v>
      </c>
      <c r="I438" s="21" t="s">
        <v>2276</v>
      </c>
      <c r="J438" s="21" t="s">
        <v>2276</v>
      </c>
      <c r="K438" s="21" t="s">
        <v>534</v>
      </c>
      <c r="L438" s="21" t="s">
        <v>2276</v>
      </c>
      <c r="M438" s="21">
        <v>19</v>
      </c>
      <c r="N438" s="21" t="s">
        <v>2276</v>
      </c>
      <c r="O438" s="21" t="s">
        <v>2276</v>
      </c>
      <c r="P438" s="21" t="s">
        <v>2276</v>
      </c>
      <c r="Q438" s="21" t="s">
        <v>2276</v>
      </c>
      <c r="R438" s="21" t="s">
        <v>2276</v>
      </c>
      <c r="S438" s="21" t="s">
        <v>2276</v>
      </c>
      <c r="T438" s="3"/>
    </row>
    <row r="439" spans="1:20" ht="47" customHeight="1">
      <c r="A439" s="23" t="s">
        <v>1540</v>
      </c>
      <c r="B439" s="3" t="s">
        <v>70</v>
      </c>
      <c r="C439" s="3" t="s">
        <v>12</v>
      </c>
      <c r="D439" s="3" t="s">
        <v>863</v>
      </c>
      <c r="E439" s="3" t="s">
        <v>2276</v>
      </c>
      <c r="F439" s="3" t="s">
        <v>2276</v>
      </c>
      <c r="G439" s="3" t="s">
        <v>2276</v>
      </c>
      <c r="H439" s="21" t="s">
        <v>2276</v>
      </c>
      <c r="I439" s="21" t="s">
        <v>2276</v>
      </c>
      <c r="J439" s="21" t="s">
        <v>2276</v>
      </c>
      <c r="K439" s="21" t="s">
        <v>534</v>
      </c>
      <c r="L439" s="21" t="s">
        <v>2276</v>
      </c>
      <c r="M439" s="21">
        <v>19</v>
      </c>
      <c r="N439" s="21" t="s">
        <v>2276</v>
      </c>
      <c r="O439" s="21" t="s">
        <v>2276</v>
      </c>
      <c r="P439" s="21" t="s">
        <v>2276</v>
      </c>
      <c r="Q439" s="21" t="s">
        <v>2276</v>
      </c>
      <c r="R439" s="21" t="s">
        <v>2276</v>
      </c>
      <c r="S439" s="21" t="s">
        <v>2276</v>
      </c>
      <c r="T439" s="3"/>
    </row>
    <row r="440" spans="1:20" ht="47" customHeight="1">
      <c r="A440" s="23" t="s">
        <v>1541</v>
      </c>
      <c r="B440" s="3" t="s">
        <v>70</v>
      </c>
      <c r="C440" s="3" t="s">
        <v>12</v>
      </c>
      <c r="D440" s="3" t="s">
        <v>863</v>
      </c>
      <c r="E440" s="3" t="s">
        <v>2276</v>
      </c>
      <c r="F440" s="3" t="s">
        <v>2276</v>
      </c>
      <c r="G440" s="3" t="s">
        <v>2276</v>
      </c>
      <c r="H440" s="21" t="s">
        <v>2276</v>
      </c>
      <c r="I440" s="21" t="s">
        <v>2276</v>
      </c>
      <c r="J440" s="21" t="s">
        <v>2276</v>
      </c>
      <c r="K440" s="21" t="s">
        <v>534</v>
      </c>
      <c r="L440" s="21" t="s">
        <v>2276</v>
      </c>
      <c r="M440" s="21">
        <v>19</v>
      </c>
      <c r="N440" s="21" t="s">
        <v>2276</v>
      </c>
      <c r="O440" s="21" t="s">
        <v>2276</v>
      </c>
      <c r="P440" s="21" t="s">
        <v>2276</v>
      </c>
      <c r="Q440" s="21" t="s">
        <v>2276</v>
      </c>
      <c r="R440" s="21" t="s">
        <v>2276</v>
      </c>
      <c r="S440" s="21" t="s">
        <v>2276</v>
      </c>
      <c r="T440" s="3"/>
    </row>
    <row r="441" spans="1:20" ht="47" customHeight="1">
      <c r="A441" s="23" t="s">
        <v>1542</v>
      </c>
      <c r="B441" s="3" t="s">
        <v>70</v>
      </c>
      <c r="C441" s="3" t="s">
        <v>12</v>
      </c>
      <c r="D441" s="3" t="s">
        <v>863</v>
      </c>
      <c r="E441" s="3" t="s">
        <v>2276</v>
      </c>
      <c r="F441" s="3" t="s">
        <v>2276</v>
      </c>
      <c r="G441" s="3" t="s">
        <v>2276</v>
      </c>
      <c r="H441" s="21" t="s">
        <v>2276</v>
      </c>
      <c r="I441" s="21" t="s">
        <v>2276</v>
      </c>
      <c r="J441" s="21" t="s">
        <v>2276</v>
      </c>
      <c r="K441" s="21" t="s">
        <v>534</v>
      </c>
      <c r="L441" s="21" t="s">
        <v>2276</v>
      </c>
      <c r="M441" s="21">
        <v>19</v>
      </c>
      <c r="N441" s="21" t="s">
        <v>2276</v>
      </c>
      <c r="O441" s="21" t="s">
        <v>2276</v>
      </c>
      <c r="P441" s="21" t="s">
        <v>2276</v>
      </c>
      <c r="Q441" s="21" t="s">
        <v>2276</v>
      </c>
      <c r="R441" s="21" t="s">
        <v>2276</v>
      </c>
      <c r="S441" s="21" t="s">
        <v>2276</v>
      </c>
      <c r="T441" s="3"/>
    </row>
    <row r="442" spans="1:20" ht="47" customHeight="1">
      <c r="A442" s="23" t="s">
        <v>1543</v>
      </c>
      <c r="B442" s="3" t="s">
        <v>70</v>
      </c>
      <c r="C442" s="3" t="s">
        <v>12</v>
      </c>
      <c r="D442" s="3" t="s">
        <v>863</v>
      </c>
      <c r="E442" s="3" t="s">
        <v>2276</v>
      </c>
      <c r="F442" s="3" t="s">
        <v>2276</v>
      </c>
      <c r="G442" s="3" t="s">
        <v>2276</v>
      </c>
      <c r="H442" s="21" t="s">
        <v>2276</v>
      </c>
      <c r="I442" s="21" t="s">
        <v>2276</v>
      </c>
      <c r="J442" s="21" t="s">
        <v>2276</v>
      </c>
      <c r="K442" s="21" t="s">
        <v>534</v>
      </c>
      <c r="L442" s="21" t="s">
        <v>2276</v>
      </c>
      <c r="M442" s="21">
        <v>19</v>
      </c>
      <c r="N442" s="21" t="s">
        <v>2276</v>
      </c>
      <c r="O442" s="21" t="s">
        <v>2276</v>
      </c>
      <c r="P442" s="21" t="s">
        <v>2276</v>
      </c>
      <c r="Q442" s="21" t="s">
        <v>2276</v>
      </c>
      <c r="R442" s="21" t="s">
        <v>2276</v>
      </c>
      <c r="S442" s="21" t="s">
        <v>2276</v>
      </c>
      <c r="T442" s="3"/>
    </row>
    <row r="443" spans="1:20" ht="47" customHeight="1">
      <c r="A443" s="23" t="s">
        <v>1544</v>
      </c>
      <c r="B443" s="3" t="s">
        <v>70</v>
      </c>
      <c r="C443" s="3" t="s">
        <v>12</v>
      </c>
      <c r="D443" s="3" t="s">
        <v>863</v>
      </c>
      <c r="E443" s="3" t="s">
        <v>2276</v>
      </c>
      <c r="F443" s="3" t="s">
        <v>2276</v>
      </c>
      <c r="G443" s="3" t="s">
        <v>2276</v>
      </c>
      <c r="H443" s="21" t="s">
        <v>2276</v>
      </c>
      <c r="I443" s="21" t="s">
        <v>2276</v>
      </c>
      <c r="J443" s="21" t="s">
        <v>2276</v>
      </c>
      <c r="K443" s="21" t="s">
        <v>534</v>
      </c>
      <c r="L443" s="21" t="s">
        <v>2276</v>
      </c>
      <c r="M443" s="21">
        <v>19</v>
      </c>
      <c r="N443" s="21" t="s">
        <v>2276</v>
      </c>
      <c r="O443" s="21" t="s">
        <v>2276</v>
      </c>
      <c r="P443" s="21" t="s">
        <v>2276</v>
      </c>
      <c r="Q443" s="21" t="s">
        <v>2276</v>
      </c>
      <c r="R443" s="21" t="s">
        <v>2276</v>
      </c>
      <c r="S443" s="21" t="s">
        <v>2276</v>
      </c>
      <c r="T443" s="3"/>
    </row>
    <row r="444" spans="1:20" ht="47" customHeight="1">
      <c r="A444" s="23" t="s">
        <v>1545</v>
      </c>
      <c r="B444" s="3" t="s">
        <v>70</v>
      </c>
      <c r="C444" s="3" t="s">
        <v>12</v>
      </c>
      <c r="D444" s="3" t="s">
        <v>863</v>
      </c>
      <c r="E444" s="3" t="s">
        <v>2276</v>
      </c>
      <c r="F444" s="3" t="s">
        <v>2276</v>
      </c>
      <c r="G444" s="3" t="s">
        <v>2276</v>
      </c>
      <c r="H444" s="21" t="s">
        <v>2276</v>
      </c>
      <c r="I444" s="21" t="s">
        <v>2276</v>
      </c>
      <c r="J444" s="21" t="s">
        <v>2276</v>
      </c>
      <c r="K444" s="21" t="s">
        <v>534</v>
      </c>
      <c r="L444" s="21" t="s">
        <v>2276</v>
      </c>
      <c r="M444" s="21">
        <v>19</v>
      </c>
      <c r="N444" s="21" t="s">
        <v>2276</v>
      </c>
      <c r="O444" s="21" t="s">
        <v>2276</v>
      </c>
      <c r="P444" s="21" t="s">
        <v>2276</v>
      </c>
      <c r="Q444" s="21" t="s">
        <v>2276</v>
      </c>
      <c r="R444" s="21" t="s">
        <v>2276</v>
      </c>
      <c r="S444" s="21" t="s">
        <v>2276</v>
      </c>
      <c r="T444" s="3"/>
    </row>
    <row r="445" spans="1:20" ht="47" customHeight="1">
      <c r="A445" s="23" t="s">
        <v>1546</v>
      </c>
      <c r="B445" s="3" t="s">
        <v>70</v>
      </c>
      <c r="C445" s="3" t="s">
        <v>12</v>
      </c>
      <c r="D445" s="3" t="s">
        <v>863</v>
      </c>
      <c r="E445" s="3" t="s">
        <v>2276</v>
      </c>
      <c r="F445" s="3" t="s">
        <v>2276</v>
      </c>
      <c r="G445" s="3" t="s">
        <v>2276</v>
      </c>
      <c r="H445" s="21" t="s">
        <v>2276</v>
      </c>
      <c r="I445" s="21" t="s">
        <v>2276</v>
      </c>
      <c r="J445" s="21" t="s">
        <v>2276</v>
      </c>
      <c r="K445" s="21" t="s">
        <v>534</v>
      </c>
      <c r="L445" s="21" t="s">
        <v>2276</v>
      </c>
      <c r="M445" s="21">
        <v>19</v>
      </c>
      <c r="N445" s="21" t="s">
        <v>2276</v>
      </c>
      <c r="O445" s="21" t="s">
        <v>2276</v>
      </c>
      <c r="P445" s="21" t="s">
        <v>2276</v>
      </c>
      <c r="Q445" s="21" t="s">
        <v>2276</v>
      </c>
      <c r="R445" s="21" t="s">
        <v>2276</v>
      </c>
      <c r="S445" s="21" t="s">
        <v>2276</v>
      </c>
      <c r="T445" s="3"/>
    </row>
    <row r="446" spans="1:20" ht="47" customHeight="1">
      <c r="A446" s="23" t="s">
        <v>1547</v>
      </c>
      <c r="B446" s="3" t="s">
        <v>70</v>
      </c>
      <c r="C446" s="3" t="s">
        <v>12</v>
      </c>
      <c r="D446" s="3" t="s">
        <v>863</v>
      </c>
      <c r="E446" s="3" t="s">
        <v>2276</v>
      </c>
      <c r="F446" s="3" t="s">
        <v>2276</v>
      </c>
      <c r="G446" s="3" t="s">
        <v>2276</v>
      </c>
      <c r="H446" s="21" t="s">
        <v>2276</v>
      </c>
      <c r="I446" s="21" t="s">
        <v>2276</v>
      </c>
      <c r="J446" s="21" t="s">
        <v>2276</v>
      </c>
      <c r="K446" s="21" t="s">
        <v>534</v>
      </c>
      <c r="L446" s="21" t="s">
        <v>2276</v>
      </c>
      <c r="M446" s="21">
        <v>19</v>
      </c>
      <c r="N446" s="21" t="s">
        <v>2276</v>
      </c>
      <c r="O446" s="21" t="s">
        <v>2276</v>
      </c>
      <c r="P446" s="21" t="s">
        <v>2276</v>
      </c>
      <c r="Q446" s="21" t="s">
        <v>2276</v>
      </c>
      <c r="R446" s="21" t="s">
        <v>2276</v>
      </c>
      <c r="S446" s="21" t="s">
        <v>2276</v>
      </c>
      <c r="T446" s="3"/>
    </row>
    <row r="447" spans="1:20" ht="47" customHeight="1">
      <c r="A447" s="23" t="s">
        <v>1548</v>
      </c>
      <c r="B447" s="3" t="s">
        <v>70</v>
      </c>
      <c r="C447" s="3" t="s">
        <v>12</v>
      </c>
      <c r="D447" s="3" t="s">
        <v>863</v>
      </c>
      <c r="E447" s="3" t="s">
        <v>2276</v>
      </c>
      <c r="F447" s="3" t="s">
        <v>2276</v>
      </c>
      <c r="G447" s="3" t="s">
        <v>2276</v>
      </c>
      <c r="H447" s="21" t="s">
        <v>2276</v>
      </c>
      <c r="I447" s="21" t="s">
        <v>2276</v>
      </c>
      <c r="J447" s="21" t="s">
        <v>2276</v>
      </c>
      <c r="K447" s="21" t="s">
        <v>534</v>
      </c>
      <c r="L447" s="21" t="s">
        <v>2276</v>
      </c>
      <c r="M447" s="21">
        <v>19</v>
      </c>
      <c r="N447" s="21" t="s">
        <v>2276</v>
      </c>
      <c r="O447" s="21" t="s">
        <v>2276</v>
      </c>
      <c r="P447" s="21" t="s">
        <v>2276</v>
      </c>
      <c r="Q447" s="21" t="s">
        <v>2276</v>
      </c>
      <c r="R447" s="21" t="s">
        <v>2276</v>
      </c>
      <c r="S447" s="21" t="s">
        <v>2276</v>
      </c>
      <c r="T447" s="3"/>
    </row>
    <row r="448" spans="1:20" ht="47" customHeight="1">
      <c r="A448" s="23" t="s">
        <v>1549</v>
      </c>
      <c r="B448" s="3" t="s">
        <v>70</v>
      </c>
      <c r="C448" s="3" t="s">
        <v>12</v>
      </c>
      <c r="D448" s="3" t="s">
        <v>863</v>
      </c>
      <c r="E448" s="3" t="s">
        <v>2276</v>
      </c>
      <c r="F448" s="3" t="s">
        <v>2276</v>
      </c>
      <c r="G448" s="3" t="s">
        <v>2276</v>
      </c>
      <c r="H448" s="21" t="s">
        <v>2276</v>
      </c>
      <c r="I448" s="21" t="s">
        <v>2276</v>
      </c>
      <c r="J448" s="21" t="s">
        <v>2276</v>
      </c>
      <c r="K448" s="21" t="s">
        <v>534</v>
      </c>
      <c r="L448" s="21" t="s">
        <v>2276</v>
      </c>
      <c r="M448" s="21">
        <v>19</v>
      </c>
      <c r="N448" s="21" t="s">
        <v>2276</v>
      </c>
      <c r="O448" s="21" t="s">
        <v>2276</v>
      </c>
      <c r="P448" s="21" t="s">
        <v>2276</v>
      </c>
      <c r="Q448" s="21" t="s">
        <v>2276</v>
      </c>
      <c r="R448" s="21" t="s">
        <v>2276</v>
      </c>
      <c r="S448" s="21" t="s">
        <v>2276</v>
      </c>
      <c r="T448" s="3"/>
    </row>
    <row r="449" spans="1:20" ht="47" customHeight="1">
      <c r="A449" s="23" t="s">
        <v>1550</v>
      </c>
      <c r="B449" s="3" t="s">
        <v>70</v>
      </c>
      <c r="C449" s="3" t="s">
        <v>12</v>
      </c>
      <c r="D449" s="3" t="s">
        <v>863</v>
      </c>
      <c r="E449" s="3" t="s">
        <v>2276</v>
      </c>
      <c r="F449" s="3" t="s">
        <v>2276</v>
      </c>
      <c r="G449" s="3" t="s">
        <v>2276</v>
      </c>
      <c r="H449" s="21" t="s">
        <v>2276</v>
      </c>
      <c r="I449" s="21" t="s">
        <v>2276</v>
      </c>
      <c r="J449" s="21" t="s">
        <v>2276</v>
      </c>
      <c r="K449" s="21" t="s">
        <v>534</v>
      </c>
      <c r="L449" s="21" t="s">
        <v>2276</v>
      </c>
      <c r="M449" s="21">
        <v>19</v>
      </c>
      <c r="N449" s="21" t="s">
        <v>2276</v>
      </c>
      <c r="O449" s="21" t="s">
        <v>2276</v>
      </c>
      <c r="P449" s="21" t="s">
        <v>2276</v>
      </c>
      <c r="Q449" s="21" t="s">
        <v>2276</v>
      </c>
      <c r="R449" s="21" t="s">
        <v>2276</v>
      </c>
      <c r="S449" s="21" t="s">
        <v>2276</v>
      </c>
      <c r="T449" s="3"/>
    </row>
    <row r="450" spans="1:20" ht="47" customHeight="1">
      <c r="A450" s="23" t="s">
        <v>1551</v>
      </c>
      <c r="B450" s="3" t="s">
        <v>70</v>
      </c>
      <c r="C450" s="3" t="s">
        <v>12</v>
      </c>
      <c r="D450" s="3" t="s">
        <v>863</v>
      </c>
      <c r="E450" s="3" t="s">
        <v>2276</v>
      </c>
      <c r="F450" s="3" t="s">
        <v>2276</v>
      </c>
      <c r="G450" s="3" t="s">
        <v>2276</v>
      </c>
      <c r="H450" s="21" t="s">
        <v>2276</v>
      </c>
      <c r="I450" s="21" t="s">
        <v>2276</v>
      </c>
      <c r="J450" s="21" t="s">
        <v>2276</v>
      </c>
      <c r="K450" s="21" t="s">
        <v>534</v>
      </c>
      <c r="L450" s="21" t="s">
        <v>2276</v>
      </c>
      <c r="M450" s="21">
        <v>19</v>
      </c>
      <c r="N450" s="21" t="s">
        <v>2276</v>
      </c>
      <c r="O450" s="21" t="s">
        <v>2276</v>
      </c>
      <c r="P450" s="21" t="s">
        <v>2276</v>
      </c>
      <c r="Q450" s="21" t="s">
        <v>2276</v>
      </c>
      <c r="R450" s="21" t="s">
        <v>2276</v>
      </c>
      <c r="S450" s="21" t="s">
        <v>2276</v>
      </c>
      <c r="T450" s="3"/>
    </row>
    <row r="451" spans="1:20" ht="47" customHeight="1">
      <c r="A451" s="23" t="s">
        <v>1552</v>
      </c>
      <c r="B451" s="3" t="s">
        <v>70</v>
      </c>
      <c r="C451" s="3" t="s">
        <v>12</v>
      </c>
      <c r="D451" s="3" t="s">
        <v>863</v>
      </c>
      <c r="E451" s="3" t="s">
        <v>2276</v>
      </c>
      <c r="F451" s="3" t="s">
        <v>2276</v>
      </c>
      <c r="G451" s="3" t="s">
        <v>2276</v>
      </c>
      <c r="H451" s="21" t="s">
        <v>2276</v>
      </c>
      <c r="I451" s="21" t="s">
        <v>2276</v>
      </c>
      <c r="J451" s="21" t="s">
        <v>2276</v>
      </c>
      <c r="K451" s="21" t="s">
        <v>534</v>
      </c>
      <c r="L451" s="21" t="s">
        <v>2276</v>
      </c>
      <c r="M451" s="21">
        <v>19</v>
      </c>
      <c r="N451" s="21" t="s">
        <v>2276</v>
      </c>
      <c r="O451" s="21" t="s">
        <v>2276</v>
      </c>
      <c r="P451" s="21" t="s">
        <v>2276</v>
      </c>
      <c r="Q451" s="21" t="s">
        <v>2276</v>
      </c>
      <c r="R451" s="21" t="s">
        <v>2276</v>
      </c>
      <c r="S451" s="21" t="s">
        <v>2276</v>
      </c>
      <c r="T451" s="3"/>
    </row>
    <row r="452" spans="1:20" ht="47" customHeight="1">
      <c r="A452" s="23" t="s">
        <v>1553</v>
      </c>
      <c r="B452" s="3" t="s">
        <v>70</v>
      </c>
      <c r="C452" s="3" t="s">
        <v>12</v>
      </c>
      <c r="D452" s="3" t="s">
        <v>863</v>
      </c>
      <c r="E452" s="3" t="s">
        <v>2276</v>
      </c>
      <c r="F452" s="3" t="s">
        <v>2276</v>
      </c>
      <c r="G452" s="3" t="s">
        <v>2276</v>
      </c>
      <c r="H452" s="21" t="s">
        <v>2276</v>
      </c>
      <c r="I452" s="21" t="s">
        <v>2276</v>
      </c>
      <c r="J452" s="21" t="s">
        <v>2276</v>
      </c>
      <c r="K452" s="21" t="s">
        <v>534</v>
      </c>
      <c r="L452" s="21" t="s">
        <v>2276</v>
      </c>
      <c r="M452" s="21">
        <v>19</v>
      </c>
      <c r="N452" s="21" t="s">
        <v>2276</v>
      </c>
      <c r="O452" s="21" t="s">
        <v>2276</v>
      </c>
      <c r="P452" s="21" t="s">
        <v>2276</v>
      </c>
      <c r="Q452" s="21" t="s">
        <v>2276</v>
      </c>
      <c r="R452" s="21" t="s">
        <v>2276</v>
      </c>
      <c r="S452" s="21" t="s">
        <v>2276</v>
      </c>
      <c r="T452" s="3"/>
    </row>
    <row r="453" spans="1:20" ht="47" customHeight="1">
      <c r="A453" s="23" t="s">
        <v>1554</v>
      </c>
      <c r="B453" s="3" t="s">
        <v>70</v>
      </c>
      <c r="C453" s="3" t="s">
        <v>12</v>
      </c>
      <c r="D453" s="3" t="s">
        <v>863</v>
      </c>
      <c r="E453" s="3" t="s">
        <v>2276</v>
      </c>
      <c r="F453" s="3" t="s">
        <v>2276</v>
      </c>
      <c r="G453" s="3" t="s">
        <v>2276</v>
      </c>
      <c r="H453" s="21" t="s">
        <v>2276</v>
      </c>
      <c r="I453" s="21" t="s">
        <v>2276</v>
      </c>
      <c r="J453" s="21" t="s">
        <v>2276</v>
      </c>
      <c r="K453" s="21" t="s">
        <v>534</v>
      </c>
      <c r="L453" s="21" t="s">
        <v>2276</v>
      </c>
      <c r="M453" s="21">
        <v>19</v>
      </c>
      <c r="N453" s="21" t="s">
        <v>2276</v>
      </c>
      <c r="O453" s="21" t="s">
        <v>2276</v>
      </c>
      <c r="P453" s="21" t="s">
        <v>2276</v>
      </c>
      <c r="Q453" s="21" t="s">
        <v>2276</v>
      </c>
      <c r="R453" s="21" t="s">
        <v>2276</v>
      </c>
      <c r="S453" s="21" t="s">
        <v>2276</v>
      </c>
      <c r="T453" s="3"/>
    </row>
    <row r="454" spans="1:20" ht="47" customHeight="1">
      <c r="A454" s="23" t="s">
        <v>1555</v>
      </c>
      <c r="B454" s="3" t="s">
        <v>70</v>
      </c>
      <c r="C454" s="3" t="s">
        <v>12</v>
      </c>
      <c r="D454" s="3" t="s">
        <v>863</v>
      </c>
      <c r="E454" s="3" t="s">
        <v>2276</v>
      </c>
      <c r="F454" s="3" t="s">
        <v>2276</v>
      </c>
      <c r="G454" s="3" t="s">
        <v>2276</v>
      </c>
      <c r="H454" s="21" t="s">
        <v>2276</v>
      </c>
      <c r="I454" s="21" t="s">
        <v>2276</v>
      </c>
      <c r="J454" s="21" t="s">
        <v>2276</v>
      </c>
      <c r="K454" s="21" t="s">
        <v>534</v>
      </c>
      <c r="L454" s="21" t="s">
        <v>2276</v>
      </c>
      <c r="M454" s="21">
        <v>19</v>
      </c>
      <c r="N454" s="21" t="s">
        <v>2276</v>
      </c>
      <c r="O454" s="21" t="s">
        <v>2276</v>
      </c>
      <c r="P454" s="21" t="s">
        <v>2276</v>
      </c>
      <c r="Q454" s="21" t="s">
        <v>2276</v>
      </c>
      <c r="R454" s="21" t="s">
        <v>2276</v>
      </c>
      <c r="S454" s="21" t="s">
        <v>2276</v>
      </c>
      <c r="T454" s="3"/>
    </row>
    <row r="455" spans="1:20" ht="47" customHeight="1">
      <c r="A455" s="23" t="s">
        <v>1556</v>
      </c>
      <c r="B455" s="3" t="s">
        <v>70</v>
      </c>
      <c r="C455" s="3" t="s">
        <v>12</v>
      </c>
      <c r="D455" s="3" t="s">
        <v>863</v>
      </c>
      <c r="E455" s="3" t="s">
        <v>2276</v>
      </c>
      <c r="F455" s="3" t="s">
        <v>2276</v>
      </c>
      <c r="G455" s="3" t="s">
        <v>2276</v>
      </c>
      <c r="H455" s="21" t="s">
        <v>2276</v>
      </c>
      <c r="I455" s="21" t="s">
        <v>2276</v>
      </c>
      <c r="J455" s="21" t="s">
        <v>2276</v>
      </c>
      <c r="K455" s="21" t="s">
        <v>534</v>
      </c>
      <c r="L455" s="21" t="s">
        <v>2276</v>
      </c>
      <c r="M455" s="21">
        <v>19</v>
      </c>
      <c r="N455" s="21" t="s">
        <v>2276</v>
      </c>
      <c r="O455" s="21" t="s">
        <v>2276</v>
      </c>
      <c r="P455" s="21" t="s">
        <v>2276</v>
      </c>
      <c r="Q455" s="21" t="s">
        <v>2276</v>
      </c>
      <c r="R455" s="21" t="s">
        <v>2276</v>
      </c>
      <c r="S455" s="21" t="s">
        <v>2276</v>
      </c>
      <c r="T455" s="3"/>
    </row>
    <row r="456" spans="1:20" ht="47" customHeight="1">
      <c r="A456" s="23" t="s">
        <v>1557</v>
      </c>
      <c r="B456" s="3" t="s">
        <v>70</v>
      </c>
      <c r="C456" s="3" t="s">
        <v>12</v>
      </c>
      <c r="D456" s="3" t="s">
        <v>863</v>
      </c>
      <c r="E456" s="3" t="s">
        <v>2276</v>
      </c>
      <c r="F456" s="3" t="s">
        <v>2276</v>
      </c>
      <c r="G456" s="3" t="s">
        <v>2276</v>
      </c>
      <c r="H456" s="21" t="s">
        <v>2276</v>
      </c>
      <c r="I456" s="21" t="s">
        <v>2276</v>
      </c>
      <c r="J456" s="21" t="s">
        <v>2276</v>
      </c>
      <c r="K456" s="21" t="s">
        <v>534</v>
      </c>
      <c r="L456" s="21" t="s">
        <v>2276</v>
      </c>
      <c r="M456" s="21">
        <v>19</v>
      </c>
      <c r="N456" s="21" t="s">
        <v>2276</v>
      </c>
      <c r="O456" s="21" t="s">
        <v>2276</v>
      </c>
      <c r="P456" s="21" t="s">
        <v>2276</v>
      </c>
      <c r="Q456" s="21" t="s">
        <v>2276</v>
      </c>
      <c r="R456" s="21" t="s">
        <v>2276</v>
      </c>
      <c r="S456" s="21" t="s">
        <v>2276</v>
      </c>
      <c r="T456" s="3"/>
    </row>
    <row r="457" spans="1:20" ht="47" customHeight="1">
      <c r="A457" s="23" t="s">
        <v>1558</v>
      </c>
      <c r="B457" s="3" t="s">
        <v>70</v>
      </c>
      <c r="C457" s="3" t="s">
        <v>12</v>
      </c>
      <c r="D457" s="3" t="s">
        <v>863</v>
      </c>
      <c r="E457" s="3" t="s">
        <v>2276</v>
      </c>
      <c r="F457" s="3" t="s">
        <v>2276</v>
      </c>
      <c r="G457" s="3" t="s">
        <v>2276</v>
      </c>
      <c r="H457" s="21" t="s">
        <v>2276</v>
      </c>
      <c r="I457" s="21" t="s">
        <v>2276</v>
      </c>
      <c r="J457" s="21" t="s">
        <v>2276</v>
      </c>
      <c r="K457" s="21" t="s">
        <v>534</v>
      </c>
      <c r="L457" s="21" t="s">
        <v>2276</v>
      </c>
      <c r="M457" s="21">
        <v>19</v>
      </c>
      <c r="N457" s="21" t="s">
        <v>2276</v>
      </c>
      <c r="O457" s="21" t="s">
        <v>2276</v>
      </c>
      <c r="P457" s="21" t="s">
        <v>2276</v>
      </c>
      <c r="Q457" s="21" t="s">
        <v>2276</v>
      </c>
      <c r="R457" s="21" t="s">
        <v>2276</v>
      </c>
      <c r="S457" s="21" t="s">
        <v>2276</v>
      </c>
      <c r="T457" s="3"/>
    </row>
    <row r="458" spans="1:20" ht="47" customHeight="1">
      <c r="A458" s="23" t="s">
        <v>1559</v>
      </c>
      <c r="B458" s="3" t="s">
        <v>70</v>
      </c>
      <c r="C458" s="3" t="s">
        <v>12</v>
      </c>
      <c r="D458" s="3" t="s">
        <v>863</v>
      </c>
      <c r="E458" s="3" t="s">
        <v>2276</v>
      </c>
      <c r="F458" s="3" t="s">
        <v>2276</v>
      </c>
      <c r="G458" s="3" t="s">
        <v>2276</v>
      </c>
      <c r="H458" s="21" t="s">
        <v>2276</v>
      </c>
      <c r="I458" s="21" t="s">
        <v>2276</v>
      </c>
      <c r="J458" s="21" t="s">
        <v>2276</v>
      </c>
      <c r="K458" s="21" t="s">
        <v>534</v>
      </c>
      <c r="L458" s="21" t="s">
        <v>2276</v>
      </c>
      <c r="M458" s="21">
        <v>28</v>
      </c>
      <c r="N458" s="21" t="s">
        <v>2276</v>
      </c>
      <c r="O458" s="21" t="s">
        <v>2276</v>
      </c>
      <c r="P458" s="21" t="s">
        <v>2276</v>
      </c>
      <c r="Q458" s="21" t="s">
        <v>2276</v>
      </c>
      <c r="R458" s="21" t="s">
        <v>2276</v>
      </c>
      <c r="S458" s="21" t="s">
        <v>2276</v>
      </c>
      <c r="T458" s="3"/>
    </row>
    <row r="459" spans="1:20" ht="47" customHeight="1">
      <c r="A459" s="23" t="s">
        <v>1560</v>
      </c>
      <c r="B459" s="3" t="s">
        <v>70</v>
      </c>
      <c r="C459" s="3" t="s">
        <v>12</v>
      </c>
      <c r="D459" s="3" t="s">
        <v>863</v>
      </c>
      <c r="E459" s="3" t="s">
        <v>2276</v>
      </c>
      <c r="F459" s="3" t="s">
        <v>2276</v>
      </c>
      <c r="G459" s="3" t="s">
        <v>2276</v>
      </c>
      <c r="H459" s="21" t="s">
        <v>2276</v>
      </c>
      <c r="I459" s="21" t="s">
        <v>2276</v>
      </c>
      <c r="J459" s="21" t="s">
        <v>2276</v>
      </c>
      <c r="K459" s="21" t="s">
        <v>534</v>
      </c>
      <c r="L459" s="21" t="s">
        <v>2276</v>
      </c>
      <c r="M459" s="21">
        <v>28</v>
      </c>
      <c r="N459" s="21" t="s">
        <v>2276</v>
      </c>
      <c r="O459" s="21" t="s">
        <v>2276</v>
      </c>
      <c r="P459" s="21" t="s">
        <v>2276</v>
      </c>
      <c r="Q459" s="21" t="s">
        <v>2276</v>
      </c>
      <c r="R459" s="21" t="s">
        <v>2276</v>
      </c>
      <c r="S459" s="21" t="s">
        <v>2276</v>
      </c>
      <c r="T459" s="3"/>
    </row>
    <row r="460" spans="1:20" ht="47" customHeight="1">
      <c r="A460" s="23" t="s">
        <v>1561</v>
      </c>
      <c r="B460" s="3" t="s">
        <v>70</v>
      </c>
      <c r="C460" s="3" t="s">
        <v>12</v>
      </c>
      <c r="D460" s="3" t="s">
        <v>863</v>
      </c>
      <c r="E460" s="3" t="s">
        <v>2276</v>
      </c>
      <c r="F460" s="3" t="s">
        <v>2276</v>
      </c>
      <c r="G460" s="3" t="s">
        <v>2276</v>
      </c>
      <c r="H460" s="21" t="s">
        <v>2276</v>
      </c>
      <c r="I460" s="21" t="s">
        <v>2276</v>
      </c>
      <c r="J460" s="21" t="s">
        <v>2276</v>
      </c>
      <c r="K460" s="21" t="s">
        <v>534</v>
      </c>
      <c r="L460" s="21" t="s">
        <v>2276</v>
      </c>
      <c r="M460" s="21">
        <v>28</v>
      </c>
      <c r="N460" s="21" t="s">
        <v>2276</v>
      </c>
      <c r="O460" s="21" t="s">
        <v>2276</v>
      </c>
      <c r="P460" s="21" t="s">
        <v>2276</v>
      </c>
      <c r="Q460" s="21" t="s">
        <v>2276</v>
      </c>
      <c r="R460" s="21" t="s">
        <v>2276</v>
      </c>
      <c r="S460" s="21" t="s">
        <v>2276</v>
      </c>
      <c r="T460" s="3"/>
    </row>
    <row r="461" spans="1:20" ht="47" customHeight="1">
      <c r="A461" s="23" t="s">
        <v>1562</v>
      </c>
      <c r="B461" s="3" t="s">
        <v>70</v>
      </c>
      <c r="C461" s="3" t="s">
        <v>12</v>
      </c>
      <c r="D461" s="3" t="s">
        <v>863</v>
      </c>
      <c r="E461" s="3" t="s">
        <v>2276</v>
      </c>
      <c r="F461" s="3" t="s">
        <v>2276</v>
      </c>
      <c r="G461" s="3" t="s">
        <v>2276</v>
      </c>
      <c r="H461" s="21" t="s">
        <v>2276</v>
      </c>
      <c r="I461" s="21" t="s">
        <v>2276</v>
      </c>
      <c r="J461" s="21" t="s">
        <v>2276</v>
      </c>
      <c r="K461" s="21" t="s">
        <v>534</v>
      </c>
      <c r="L461" s="21" t="s">
        <v>2276</v>
      </c>
      <c r="M461" s="21">
        <v>28</v>
      </c>
      <c r="N461" s="21" t="s">
        <v>2276</v>
      </c>
      <c r="O461" s="21" t="s">
        <v>2276</v>
      </c>
      <c r="P461" s="21" t="s">
        <v>2276</v>
      </c>
      <c r="Q461" s="21" t="s">
        <v>2276</v>
      </c>
      <c r="R461" s="21" t="s">
        <v>2276</v>
      </c>
      <c r="S461" s="21" t="s">
        <v>2276</v>
      </c>
      <c r="T461" s="3"/>
    </row>
    <row r="462" spans="1:20" ht="47" customHeight="1">
      <c r="A462" s="23" t="s">
        <v>1563</v>
      </c>
      <c r="B462" s="3" t="s">
        <v>70</v>
      </c>
      <c r="C462" s="3" t="s">
        <v>12</v>
      </c>
      <c r="D462" s="3" t="s">
        <v>863</v>
      </c>
      <c r="E462" s="3" t="s">
        <v>2276</v>
      </c>
      <c r="F462" s="3" t="s">
        <v>2276</v>
      </c>
      <c r="G462" s="3" t="s">
        <v>2276</v>
      </c>
      <c r="H462" s="21" t="s">
        <v>2276</v>
      </c>
      <c r="I462" s="21" t="s">
        <v>2276</v>
      </c>
      <c r="J462" s="21" t="s">
        <v>2276</v>
      </c>
      <c r="K462" s="21" t="s">
        <v>534</v>
      </c>
      <c r="L462" s="21" t="s">
        <v>2276</v>
      </c>
      <c r="M462" s="21">
        <v>28</v>
      </c>
      <c r="N462" s="21" t="s">
        <v>2276</v>
      </c>
      <c r="O462" s="21" t="s">
        <v>2276</v>
      </c>
      <c r="P462" s="21" t="s">
        <v>2276</v>
      </c>
      <c r="Q462" s="21" t="s">
        <v>2276</v>
      </c>
      <c r="R462" s="21" t="s">
        <v>2276</v>
      </c>
      <c r="S462" s="21" t="s">
        <v>2276</v>
      </c>
      <c r="T462" s="3"/>
    </row>
    <row r="463" spans="1:20" ht="47" customHeight="1">
      <c r="A463" s="23" t="s">
        <v>1564</v>
      </c>
      <c r="B463" s="3" t="s">
        <v>70</v>
      </c>
      <c r="C463" s="3" t="s">
        <v>12</v>
      </c>
      <c r="D463" s="3" t="s">
        <v>863</v>
      </c>
      <c r="E463" s="3" t="s">
        <v>2276</v>
      </c>
      <c r="F463" s="3" t="s">
        <v>2276</v>
      </c>
      <c r="G463" s="3" t="s">
        <v>2276</v>
      </c>
      <c r="H463" s="21" t="s">
        <v>2276</v>
      </c>
      <c r="I463" s="21" t="s">
        <v>2276</v>
      </c>
      <c r="J463" s="21" t="s">
        <v>2276</v>
      </c>
      <c r="K463" s="21" t="s">
        <v>534</v>
      </c>
      <c r="L463" s="21" t="s">
        <v>2276</v>
      </c>
      <c r="M463" s="21">
        <v>28</v>
      </c>
      <c r="N463" s="21" t="s">
        <v>2276</v>
      </c>
      <c r="O463" s="21" t="s">
        <v>2276</v>
      </c>
      <c r="P463" s="21" t="s">
        <v>2276</v>
      </c>
      <c r="Q463" s="21" t="s">
        <v>2276</v>
      </c>
      <c r="R463" s="21" t="s">
        <v>2276</v>
      </c>
      <c r="S463" s="21" t="s">
        <v>2276</v>
      </c>
      <c r="T463" s="3"/>
    </row>
    <row r="464" spans="1:20" ht="47" customHeight="1">
      <c r="A464" s="23" t="s">
        <v>1565</v>
      </c>
      <c r="B464" s="3" t="s">
        <v>70</v>
      </c>
      <c r="C464" s="3" t="s">
        <v>12</v>
      </c>
      <c r="D464" s="3" t="s">
        <v>863</v>
      </c>
      <c r="E464" s="3" t="s">
        <v>2276</v>
      </c>
      <c r="F464" s="3" t="s">
        <v>2276</v>
      </c>
      <c r="G464" s="3" t="s">
        <v>2276</v>
      </c>
      <c r="H464" s="21" t="s">
        <v>2276</v>
      </c>
      <c r="I464" s="21" t="s">
        <v>2276</v>
      </c>
      <c r="J464" s="21" t="s">
        <v>2276</v>
      </c>
      <c r="K464" s="21" t="s">
        <v>534</v>
      </c>
      <c r="L464" s="21" t="s">
        <v>2276</v>
      </c>
      <c r="M464" s="21">
        <v>28</v>
      </c>
      <c r="N464" s="21" t="s">
        <v>2276</v>
      </c>
      <c r="O464" s="21" t="s">
        <v>2276</v>
      </c>
      <c r="P464" s="21" t="s">
        <v>2276</v>
      </c>
      <c r="Q464" s="21" t="s">
        <v>2276</v>
      </c>
      <c r="R464" s="21" t="s">
        <v>2276</v>
      </c>
      <c r="S464" s="21" t="s">
        <v>2276</v>
      </c>
      <c r="T464" s="3"/>
    </row>
    <row r="465" spans="1:20" ht="47" customHeight="1">
      <c r="A465" s="23" t="s">
        <v>1566</v>
      </c>
      <c r="B465" s="3" t="s">
        <v>70</v>
      </c>
      <c r="C465" s="3" t="s">
        <v>12</v>
      </c>
      <c r="D465" s="3" t="s">
        <v>863</v>
      </c>
      <c r="E465" s="3" t="s">
        <v>2276</v>
      </c>
      <c r="F465" s="3" t="s">
        <v>2276</v>
      </c>
      <c r="G465" s="3" t="s">
        <v>2276</v>
      </c>
      <c r="H465" s="21" t="s">
        <v>2276</v>
      </c>
      <c r="I465" s="21" t="s">
        <v>2276</v>
      </c>
      <c r="J465" s="21" t="s">
        <v>2276</v>
      </c>
      <c r="K465" s="21" t="s">
        <v>534</v>
      </c>
      <c r="L465" s="21" t="s">
        <v>2276</v>
      </c>
      <c r="M465" s="21">
        <v>28</v>
      </c>
      <c r="N465" s="21" t="s">
        <v>2276</v>
      </c>
      <c r="O465" s="21" t="s">
        <v>2276</v>
      </c>
      <c r="P465" s="21" t="s">
        <v>2276</v>
      </c>
      <c r="Q465" s="21" t="s">
        <v>2276</v>
      </c>
      <c r="R465" s="21" t="s">
        <v>2276</v>
      </c>
      <c r="S465" s="21" t="s">
        <v>2276</v>
      </c>
      <c r="T465" s="3"/>
    </row>
    <row r="466" spans="1:20" ht="47" customHeight="1">
      <c r="A466" s="23" t="s">
        <v>1567</v>
      </c>
      <c r="B466" s="3" t="s">
        <v>70</v>
      </c>
      <c r="C466" s="3" t="s">
        <v>12</v>
      </c>
      <c r="D466" s="3" t="s">
        <v>863</v>
      </c>
      <c r="E466" s="3" t="s">
        <v>2276</v>
      </c>
      <c r="F466" s="3" t="s">
        <v>2276</v>
      </c>
      <c r="G466" s="3" t="s">
        <v>2276</v>
      </c>
      <c r="H466" s="21" t="s">
        <v>2276</v>
      </c>
      <c r="I466" s="21" t="s">
        <v>2276</v>
      </c>
      <c r="J466" s="21" t="s">
        <v>2276</v>
      </c>
      <c r="K466" s="21" t="s">
        <v>534</v>
      </c>
      <c r="L466" s="21" t="s">
        <v>2276</v>
      </c>
      <c r="M466" s="21">
        <v>28</v>
      </c>
      <c r="N466" s="21" t="s">
        <v>2276</v>
      </c>
      <c r="O466" s="21" t="s">
        <v>2276</v>
      </c>
      <c r="P466" s="21" t="s">
        <v>2276</v>
      </c>
      <c r="Q466" s="21" t="s">
        <v>2276</v>
      </c>
      <c r="R466" s="21" t="s">
        <v>2276</v>
      </c>
      <c r="S466" s="21" t="s">
        <v>2276</v>
      </c>
      <c r="T466" s="3"/>
    </row>
    <row r="467" spans="1:20" ht="47" customHeight="1">
      <c r="A467" s="23" t="s">
        <v>1568</v>
      </c>
      <c r="B467" s="3" t="s">
        <v>70</v>
      </c>
      <c r="C467" s="3" t="s">
        <v>12</v>
      </c>
      <c r="D467" s="3" t="s">
        <v>863</v>
      </c>
      <c r="E467" s="3" t="s">
        <v>2276</v>
      </c>
      <c r="F467" s="3" t="s">
        <v>2276</v>
      </c>
      <c r="G467" s="3" t="s">
        <v>2276</v>
      </c>
      <c r="H467" s="21" t="s">
        <v>2276</v>
      </c>
      <c r="I467" s="21" t="s">
        <v>2276</v>
      </c>
      <c r="J467" s="21" t="s">
        <v>2276</v>
      </c>
      <c r="K467" s="21" t="s">
        <v>534</v>
      </c>
      <c r="L467" s="21" t="s">
        <v>2276</v>
      </c>
      <c r="M467" s="21">
        <v>28</v>
      </c>
      <c r="N467" s="21" t="s">
        <v>2276</v>
      </c>
      <c r="O467" s="21" t="s">
        <v>2276</v>
      </c>
      <c r="P467" s="21" t="s">
        <v>2276</v>
      </c>
      <c r="Q467" s="21" t="s">
        <v>2276</v>
      </c>
      <c r="R467" s="21" t="s">
        <v>2276</v>
      </c>
      <c r="S467" s="21" t="s">
        <v>2276</v>
      </c>
      <c r="T467" s="3"/>
    </row>
    <row r="468" spans="1:20" ht="47" customHeight="1">
      <c r="A468" s="23" t="s">
        <v>1569</v>
      </c>
      <c r="B468" s="3" t="s">
        <v>70</v>
      </c>
      <c r="C468" s="3" t="s">
        <v>12</v>
      </c>
      <c r="D468" s="3" t="s">
        <v>863</v>
      </c>
      <c r="E468" s="3" t="s">
        <v>2276</v>
      </c>
      <c r="F468" s="3" t="s">
        <v>2276</v>
      </c>
      <c r="G468" s="3" t="s">
        <v>2276</v>
      </c>
      <c r="H468" s="21" t="s">
        <v>2276</v>
      </c>
      <c r="I468" s="21" t="s">
        <v>2276</v>
      </c>
      <c r="J468" s="21" t="s">
        <v>2276</v>
      </c>
      <c r="K468" s="21" t="s">
        <v>534</v>
      </c>
      <c r="L468" s="21" t="s">
        <v>2276</v>
      </c>
      <c r="M468" s="21">
        <v>28</v>
      </c>
      <c r="N468" s="21" t="s">
        <v>2276</v>
      </c>
      <c r="O468" s="21" t="s">
        <v>2276</v>
      </c>
      <c r="P468" s="21" t="s">
        <v>2276</v>
      </c>
      <c r="Q468" s="21" t="s">
        <v>2276</v>
      </c>
      <c r="R468" s="21" t="s">
        <v>2276</v>
      </c>
      <c r="S468" s="21" t="s">
        <v>2276</v>
      </c>
      <c r="T468" s="3"/>
    </row>
    <row r="469" spans="1:20" ht="47" customHeight="1">
      <c r="A469" s="23" t="s">
        <v>1570</v>
      </c>
      <c r="B469" s="3" t="s">
        <v>70</v>
      </c>
      <c r="C469" s="3" t="s">
        <v>12</v>
      </c>
      <c r="D469" s="3" t="s">
        <v>863</v>
      </c>
      <c r="E469" s="3" t="s">
        <v>2276</v>
      </c>
      <c r="F469" s="3" t="s">
        <v>2276</v>
      </c>
      <c r="G469" s="3" t="s">
        <v>2276</v>
      </c>
      <c r="H469" s="21" t="s">
        <v>2276</v>
      </c>
      <c r="I469" s="21" t="s">
        <v>2276</v>
      </c>
      <c r="J469" s="21" t="s">
        <v>2276</v>
      </c>
      <c r="K469" s="21" t="s">
        <v>534</v>
      </c>
      <c r="L469" s="21" t="s">
        <v>2276</v>
      </c>
      <c r="M469" s="21">
        <v>28</v>
      </c>
      <c r="N469" s="21" t="s">
        <v>2276</v>
      </c>
      <c r="O469" s="21" t="s">
        <v>2276</v>
      </c>
      <c r="P469" s="21" t="s">
        <v>2276</v>
      </c>
      <c r="Q469" s="21" t="s">
        <v>2276</v>
      </c>
      <c r="R469" s="21" t="s">
        <v>2276</v>
      </c>
      <c r="S469" s="21" t="s">
        <v>2276</v>
      </c>
      <c r="T469" s="3"/>
    </row>
    <row r="470" spans="1:20" ht="47" customHeight="1">
      <c r="A470" s="23" t="s">
        <v>1571</v>
      </c>
      <c r="B470" s="3" t="s">
        <v>70</v>
      </c>
      <c r="C470" s="3" t="s">
        <v>12</v>
      </c>
      <c r="D470" s="3" t="s">
        <v>863</v>
      </c>
      <c r="E470" s="3" t="s">
        <v>2276</v>
      </c>
      <c r="F470" s="3" t="s">
        <v>2276</v>
      </c>
      <c r="G470" s="3" t="s">
        <v>2276</v>
      </c>
      <c r="H470" s="21" t="s">
        <v>2276</v>
      </c>
      <c r="I470" s="21" t="s">
        <v>2276</v>
      </c>
      <c r="J470" s="21" t="s">
        <v>2276</v>
      </c>
      <c r="K470" s="21" t="s">
        <v>534</v>
      </c>
      <c r="L470" s="21" t="s">
        <v>2276</v>
      </c>
      <c r="M470" s="21">
        <v>19</v>
      </c>
      <c r="N470" s="21" t="s">
        <v>2276</v>
      </c>
      <c r="O470" s="21" t="s">
        <v>2276</v>
      </c>
      <c r="P470" s="21" t="s">
        <v>2276</v>
      </c>
      <c r="Q470" s="21" t="s">
        <v>2276</v>
      </c>
      <c r="R470" s="21" t="s">
        <v>2276</v>
      </c>
      <c r="S470" s="21" t="s">
        <v>2276</v>
      </c>
      <c r="T470" s="3"/>
    </row>
    <row r="471" spans="1:20" ht="47" customHeight="1">
      <c r="A471" s="23" t="s">
        <v>1572</v>
      </c>
      <c r="B471" s="3" t="s">
        <v>70</v>
      </c>
      <c r="C471" s="3" t="s">
        <v>12</v>
      </c>
      <c r="D471" s="3" t="s">
        <v>863</v>
      </c>
      <c r="E471" s="3" t="s">
        <v>2276</v>
      </c>
      <c r="F471" s="3" t="s">
        <v>2276</v>
      </c>
      <c r="G471" s="3" t="s">
        <v>2276</v>
      </c>
      <c r="H471" s="21" t="s">
        <v>2276</v>
      </c>
      <c r="I471" s="21" t="s">
        <v>2276</v>
      </c>
      <c r="J471" s="21" t="s">
        <v>2276</v>
      </c>
      <c r="K471" s="21" t="s">
        <v>534</v>
      </c>
      <c r="L471" s="21" t="s">
        <v>2276</v>
      </c>
      <c r="M471" s="21">
        <v>19</v>
      </c>
      <c r="N471" s="21" t="s">
        <v>2276</v>
      </c>
      <c r="O471" s="21" t="s">
        <v>2276</v>
      </c>
      <c r="P471" s="21" t="s">
        <v>2276</v>
      </c>
      <c r="Q471" s="21" t="s">
        <v>2276</v>
      </c>
      <c r="R471" s="21" t="s">
        <v>2276</v>
      </c>
      <c r="S471" s="21" t="s">
        <v>2276</v>
      </c>
      <c r="T471" s="3"/>
    </row>
    <row r="472" spans="1:20" ht="47" customHeight="1">
      <c r="A472" s="23" t="s">
        <v>1573</v>
      </c>
      <c r="B472" s="3" t="s">
        <v>70</v>
      </c>
      <c r="C472" s="3" t="s">
        <v>12</v>
      </c>
      <c r="D472" s="3" t="s">
        <v>863</v>
      </c>
      <c r="E472" s="3" t="s">
        <v>2276</v>
      </c>
      <c r="F472" s="3" t="s">
        <v>2276</v>
      </c>
      <c r="G472" s="3" t="s">
        <v>2276</v>
      </c>
      <c r="H472" s="21" t="s">
        <v>2276</v>
      </c>
      <c r="I472" s="21" t="s">
        <v>2276</v>
      </c>
      <c r="J472" s="21" t="s">
        <v>2276</v>
      </c>
      <c r="K472" s="21" t="s">
        <v>534</v>
      </c>
      <c r="L472" s="21" t="s">
        <v>2276</v>
      </c>
      <c r="M472" s="21">
        <v>19</v>
      </c>
      <c r="N472" s="21" t="s">
        <v>2276</v>
      </c>
      <c r="O472" s="21" t="s">
        <v>2276</v>
      </c>
      <c r="P472" s="21" t="s">
        <v>2276</v>
      </c>
      <c r="Q472" s="21" t="s">
        <v>2276</v>
      </c>
      <c r="R472" s="21" t="s">
        <v>2276</v>
      </c>
      <c r="S472" s="21" t="s">
        <v>2276</v>
      </c>
      <c r="T472" s="3"/>
    </row>
    <row r="473" spans="1:20" ht="47" customHeight="1">
      <c r="A473" s="23" t="s">
        <v>1574</v>
      </c>
      <c r="B473" s="3" t="s">
        <v>70</v>
      </c>
      <c r="C473" s="3" t="s">
        <v>12</v>
      </c>
      <c r="D473" s="3" t="s">
        <v>863</v>
      </c>
      <c r="E473" s="3" t="s">
        <v>2276</v>
      </c>
      <c r="F473" s="3" t="s">
        <v>2276</v>
      </c>
      <c r="G473" s="3" t="s">
        <v>2276</v>
      </c>
      <c r="H473" s="21" t="s">
        <v>2276</v>
      </c>
      <c r="I473" s="21" t="s">
        <v>2276</v>
      </c>
      <c r="J473" s="21" t="s">
        <v>2276</v>
      </c>
      <c r="K473" s="21" t="s">
        <v>534</v>
      </c>
      <c r="L473" s="21" t="s">
        <v>2276</v>
      </c>
      <c r="M473" s="21">
        <v>19</v>
      </c>
      <c r="N473" s="21" t="s">
        <v>2276</v>
      </c>
      <c r="O473" s="21" t="s">
        <v>2276</v>
      </c>
      <c r="P473" s="21" t="s">
        <v>2276</v>
      </c>
      <c r="Q473" s="21" t="s">
        <v>2276</v>
      </c>
      <c r="R473" s="21" t="s">
        <v>2276</v>
      </c>
      <c r="S473" s="21" t="s">
        <v>2276</v>
      </c>
      <c r="T473" s="3"/>
    </row>
    <row r="474" spans="1:20" ht="47" customHeight="1">
      <c r="A474" s="23" t="s">
        <v>1575</v>
      </c>
      <c r="B474" s="3" t="s">
        <v>70</v>
      </c>
      <c r="C474" s="3" t="s">
        <v>12</v>
      </c>
      <c r="D474" s="3" t="s">
        <v>863</v>
      </c>
      <c r="E474" s="3" t="s">
        <v>2276</v>
      </c>
      <c r="F474" s="3" t="s">
        <v>2276</v>
      </c>
      <c r="G474" s="3" t="s">
        <v>2276</v>
      </c>
      <c r="H474" s="21" t="s">
        <v>2276</v>
      </c>
      <c r="I474" s="21" t="s">
        <v>2276</v>
      </c>
      <c r="J474" s="21" t="s">
        <v>2276</v>
      </c>
      <c r="K474" s="21" t="s">
        <v>534</v>
      </c>
      <c r="L474" s="21" t="s">
        <v>2276</v>
      </c>
      <c r="M474" s="21">
        <v>19</v>
      </c>
      <c r="N474" s="21" t="s">
        <v>2276</v>
      </c>
      <c r="O474" s="21" t="s">
        <v>2276</v>
      </c>
      <c r="P474" s="21" t="s">
        <v>2276</v>
      </c>
      <c r="Q474" s="21" t="s">
        <v>2276</v>
      </c>
      <c r="R474" s="21" t="s">
        <v>2276</v>
      </c>
      <c r="S474" s="21" t="s">
        <v>2276</v>
      </c>
      <c r="T474" s="3"/>
    </row>
    <row r="475" spans="1:20" ht="39.5" customHeight="1">
      <c r="A475" s="11" t="s">
        <v>1153</v>
      </c>
      <c r="B475" s="3" t="s">
        <v>1197</v>
      </c>
      <c r="C475" s="19" t="s">
        <v>12</v>
      </c>
      <c r="D475" s="3" t="s">
        <v>137</v>
      </c>
      <c r="E475" s="19" t="s">
        <v>863</v>
      </c>
      <c r="F475" s="4" t="s">
        <v>396</v>
      </c>
      <c r="G475" s="4" t="s">
        <v>2276</v>
      </c>
      <c r="H475" s="21" t="s">
        <v>2276</v>
      </c>
      <c r="I475" s="21" t="s">
        <v>2276</v>
      </c>
      <c r="J475" s="21" t="s">
        <v>2276</v>
      </c>
      <c r="K475" s="21" t="s">
        <v>534</v>
      </c>
      <c r="L475" s="21" t="s">
        <v>2276</v>
      </c>
      <c r="M475" s="21" t="s">
        <v>2276</v>
      </c>
      <c r="N475" s="21" t="s">
        <v>2276</v>
      </c>
      <c r="O475" s="21" t="s">
        <v>2276</v>
      </c>
      <c r="P475" s="21" t="s">
        <v>2276</v>
      </c>
      <c r="Q475" s="21" t="s">
        <v>2276</v>
      </c>
      <c r="R475" s="21" t="s">
        <v>2276</v>
      </c>
      <c r="S475" s="21" t="s">
        <v>2276</v>
      </c>
      <c r="T475" s="3" t="s">
        <v>1174</v>
      </c>
    </row>
    <row r="476" spans="1:20" ht="41" customHeight="1">
      <c r="A476" s="11" t="s">
        <v>1169</v>
      </c>
      <c r="B476" s="3" t="s">
        <v>1197</v>
      </c>
      <c r="C476" s="19" t="s">
        <v>12</v>
      </c>
      <c r="D476" s="3" t="s">
        <v>137</v>
      </c>
      <c r="E476" s="19" t="s">
        <v>863</v>
      </c>
      <c r="F476" s="4" t="s">
        <v>396</v>
      </c>
      <c r="G476" s="4" t="s">
        <v>2276</v>
      </c>
      <c r="H476" s="21" t="s">
        <v>2276</v>
      </c>
      <c r="I476" s="21" t="s">
        <v>2276</v>
      </c>
      <c r="J476" s="21" t="s">
        <v>2276</v>
      </c>
      <c r="K476" s="21" t="s">
        <v>534</v>
      </c>
      <c r="L476" s="21" t="s">
        <v>2276</v>
      </c>
      <c r="M476" s="21" t="s">
        <v>2276</v>
      </c>
      <c r="N476" s="21" t="s">
        <v>2276</v>
      </c>
      <c r="O476" s="21" t="s">
        <v>2276</v>
      </c>
      <c r="P476" s="21" t="s">
        <v>2276</v>
      </c>
      <c r="Q476" s="21" t="s">
        <v>2276</v>
      </c>
      <c r="R476" s="21" t="s">
        <v>2276</v>
      </c>
      <c r="S476" s="21" t="s">
        <v>2276</v>
      </c>
      <c r="T476" s="3" t="s">
        <v>1174</v>
      </c>
    </row>
    <row r="477" spans="1:20" ht="47" customHeight="1">
      <c r="A477" s="11" t="s">
        <v>1171</v>
      </c>
      <c r="B477" s="3" t="s">
        <v>1197</v>
      </c>
      <c r="C477" s="19" t="s">
        <v>12</v>
      </c>
      <c r="D477" s="3" t="s">
        <v>137</v>
      </c>
      <c r="E477" s="19" t="s">
        <v>863</v>
      </c>
      <c r="F477" s="4" t="s">
        <v>396</v>
      </c>
      <c r="G477" s="4" t="s">
        <v>2276</v>
      </c>
      <c r="H477" s="21" t="s">
        <v>2276</v>
      </c>
      <c r="I477" s="21" t="s">
        <v>2276</v>
      </c>
      <c r="J477" s="21" t="s">
        <v>2276</v>
      </c>
      <c r="K477" s="21" t="s">
        <v>534</v>
      </c>
      <c r="L477" s="21" t="s">
        <v>2276</v>
      </c>
      <c r="M477" s="21" t="s">
        <v>2276</v>
      </c>
      <c r="N477" s="21" t="s">
        <v>2276</v>
      </c>
      <c r="O477" s="21" t="s">
        <v>2276</v>
      </c>
      <c r="P477" s="21" t="s">
        <v>2276</v>
      </c>
      <c r="Q477" s="21" t="s">
        <v>2276</v>
      </c>
      <c r="R477" s="21" t="s">
        <v>2276</v>
      </c>
      <c r="S477" s="21" t="s">
        <v>2276</v>
      </c>
      <c r="T477" s="3" t="s">
        <v>1174</v>
      </c>
    </row>
    <row r="478" spans="1:20" ht="38.5" customHeight="1">
      <c r="A478" s="11" t="s">
        <v>1178</v>
      </c>
      <c r="B478" s="3" t="s">
        <v>32</v>
      </c>
      <c r="C478" s="19" t="s">
        <v>12</v>
      </c>
      <c r="D478" s="3" t="s">
        <v>130</v>
      </c>
      <c r="E478" s="3" t="s">
        <v>45</v>
      </c>
      <c r="F478" s="3" t="s">
        <v>863</v>
      </c>
      <c r="G478" s="4" t="s">
        <v>2276</v>
      </c>
      <c r="H478" s="21" t="s">
        <v>2276</v>
      </c>
      <c r="I478" s="21" t="s">
        <v>2276</v>
      </c>
      <c r="J478" s="21" t="s">
        <v>2276</v>
      </c>
      <c r="K478" s="21" t="s">
        <v>534</v>
      </c>
      <c r="L478" s="21" t="s">
        <v>2276</v>
      </c>
      <c r="M478" s="21" t="s">
        <v>2276</v>
      </c>
      <c r="N478" s="21" t="s">
        <v>2276</v>
      </c>
      <c r="O478" s="21" t="s">
        <v>2276</v>
      </c>
      <c r="P478" s="21" t="s">
        <v>2276</v>
      </c>
      <c r="Q478" s="21" t="s">
        <v>2276</v>
      </c>
      <c r="R478" s="21" t="s">
        <v>2276</v>
      </c>
      <c r="S478" s="21" t="s">
        <v>2276</v>
      </c>
      <c r="T478" s="3"/>
    </row>
    <row r="479" spans="1:20" ht="54.5" customHeight="1">
      <c r="A479" s="11" t="s">
        <v>1191</v>
      </c>
      <c r="B479" s="3" t="s">
        <v>32</v>
      </c>
      <c r="C479" s="19" t="s">
        <v>12</v>
      </c>
      <c r="D479" s="3" t="s">
        <v>130</v>
      </c>
      <c r="E479" s="4" t="s">
        <v>397</v>
      </c>
      <c r="F479" s="19" t="s">
        <v>863</v>
      </c>
      <c r="G479" s="4" t="s">
        <v>2651</v>
      </c>
      <c r="H479" s="21" t="s">
        <v>2276</v>
      </c>
      <c r="I479" s="21">
        <v>1.3759999999999999</v>
      </c>
      <c r="J479" s="21">
        <v>0.80373000000000006</v>
      </c>
      <c r="K479" s="21" t="s">
        <v>534</v>
      </c>
      <c r="L479" s="21" t="s">
        <v>2276</v>
      </c>
      <c r="M479" s="21" t="s">
        <v>2276</v>
      </c>
      <c r="N479" s="21" t="s">
        <v>2276</v>
      </c>
      <c r="O479" s="21" t="s">
        <v>2276</v>
      </c>
      <c r="P479" s="21" t="s">
        <v>2276</v>
      </c>
      <c r="Q479" s="21" t="s">
        <v>2276</v>
      </c>
      <c r="R479" s="21" t="s">
        <v>2276</v>
      </c>
      <c r="S479" s="21" t="s">
        <v>2276</v>
      </c>
      <c r="T479" s="3" t="s">
        <v>1198</v>
      </c>
    </row>
    <row r="480" spans="1:20" ht="50.5" customHeight="1">
      <c r="A480" s="11" t="s">
        <v>1195</v>
      </c>
      <c r="B480" s="4" t="s">
        <v>1197</v>
      </c>
      <c r="C480" s="19" t="s">
        <v>12</v>
      </c>
      <c r="D480" s="3" t="s">
        <v>130</v>
      </c>
      <c r="E480" s="4" t="s">
        <v>397</v>
      </c>
      <c r="F480" s="19" t="s">
        <v>863</v>
      </c>
      <c r="G480" s="4" t="s">
        <v>2651</v>
      </c>
      <c r="H480" s="21">
        <v>0.1146667</v>
      </c>
      <c r="I480" s="21">
        <v>1.0285</v>
      </c>
      <c r="J480" s="21">
        <v>1.175662</v>
      </c>
      <c r="K480" s="21" t="s">
        <v>534</v>
      </c>
      <c r="L480" s="21" t="s">
        <v>2276</v>
      </c>
      <c r="M480" s="21" t="s">
        <v>2276</v>
      </c>
      <c r="N480" s="21" t="s">
        <v>2276</v>
      </c>
      <c r="O480" s="21" t="s">
        <v>2276</v>
      </c>
      <c r="P480" s="21">
        <v>20.106666669999999</v>
      </c>
      <c r="Q480" s="21">
        <v>77.066666699999999</v>
      </c>
      <c r="R480" s="21">
        <v>0</v>
      </c>
      <c r="S480" s="21" t="s">
        <v>2276</v>
      </c>
      <c r="T480" s="4" t="s">
        <v>1204</v>
      </c>
    </row>
    <row r="481" spans="1:20" ht="53" customHeight="1">
      <c r="A481" s="11" t="s">
        <v>1196</v>
      </c>
      <c r="B481" s="4" t="s">
        <v>1197</v>
      </c>
      <c r="C481" s="19" t="s">
        <v>12</v>
      </c>
      <c r="D481" s="3" t="s">
        <v>130</v>
      </c>
      <c r="E481" s="4" t="s">
        <v>397</v>
      </c>
      <c r="F481" s="19" t="s">
        <v>863</v>
      </c>
      <c r="G481" s="4" t="s">
        <v>2651</v>
      </c>
      <c r="H481" s="21">
        <v>0.1413333</v>
      </c>
      <c r="I481" s="21">
        <v>0.79349999999999998</v>
      </c>
      <c r="J481" s="21">
        <v>1.4976879999999999</v>
      </c>
      <c r="K481" s="21" t="s">
        <v>534</v>
      </c>
      <c r="L481" s="21" t="s">
        <v>2276</v>
      </c>
      <c r="M481" s="21" t="s">
        <v>2276</v>
      </c>
      <c r="N481" s="21" t="s">
        <v>2276</v>
      </c>
      <c r="O481" s="21" t="s">
        <v>2276</v>
      </c>
      <c r="P481" s="21">
        <v>12.90666667</v>
      </c>
      <c r="Q481" s="21">
        <v>84.04</v>
      </c>
      <c r="R481" s="21">
        <v>0</v>
      </c>
      <c r="S481" s="21" t="s">
        <v>2276</v>
      </c>
      <c r="T481" s="4" t="s">
        <v>1204</v>
      </c>
    </row>
    <row r="482" spans="1:20" ht="41" customHeight="1">
      <c r="A482" s="11" t="s">
        <v>1205</v>
      </c>
      <c r="B482" s="3" t="s">
        <v>69</v>
      </c>
      <c r="C482" s="3" t="s">
        <v>395</v>
      </c>
      <c r="D482" s="3" t="s">
        <v>130</v>
      </c>
      <c r="E482" s="4" t="s">
        <v>397</v>
      </c>
      <c r="F482" s="3" t="s">
        <v>2276</v>
      </c>
      <c r="G482" s="3" t="s">
        <v>2276</v>
      </c>
      <c r="H482" s="21" t="s">
        <v>2276</v>
      </c>
      <c r="I482" s="21" t="s">
        <v>2276</v>
      </c>
      <c r="J482" s="21" t="s">
        <v>2276</v>
      </c>
      <c r="K482" s="21" t="s">
        <v>2276</v>
      </c>
      <c r="L482" s="21" t="s">
        <v>2276</v>
      </c>
      <c r="M482" s="21" t="s">
        <v>2276</v>
      </c>
      <c r="N482" s="21" t="s">
        <v>2276</v>
      </c>
      <c r="O482" s="21" t="s">
        <v>2276</v>
      </c>
      <c r="P482" s="21" t="s">
        <v>2276</v>
      </c>
      <c r="Q482" s="21" t="s">
        <v>2276</v>
      </c>
      <c r="R482" s="21" t="s">
        <v>2276</v>
      </c>
      <c r="S482" s="21" t="s">
        <v>2276</v>
      </c>
      <c r="T482" s="3"/>
    </row>
    <row r="483" spans="1:20" ht="40" customHeight="1">
      <c r="A483" s="11" t="s">
        <v>1206</v>
      </c>
      <c r="B483" s="3" t="s">
        <v>69</v>
      </c>
      <c r="C483" s="3" t="s">
        <v>395</v>
      </c>
      <c r="D483" s="3" t="s">
        <v>130</v>
      </c>
      <c r="E483" s="4" t="s">
        <v>397</v>
      </c>
      <c r="F483" s="3" t="s">
        <v>2276</v>
      </c>
      <c r="G483" s="3" t="s">
        <v>2276</v>
      </c>
      <c r="H483" s="21" t="s">
        <v>2276</v>
      </c>
      <c r="I483" s="21" t="s">
        <v>2276</v>
      </c>
      <c r="J483" s="21" t="s">
        <v>2276</v>
      </c>
      <c r="K483" s="21" t="s">
        <v>2276</v>
      </c>
      <c r="L483" s="21" t="s">
        <v>2276</v>
      </c>
      <c r="M483" s="21" t="s">
        <v>2276</v>
      </c>
      <c r="N483" s="21" t="s">
        <v>2276</v>
      </c>
      <c r="O483" s="21" t="s">
        <v>2276</v>
      </c>
      <c r="P483" s="21" t="s">
        <v>2276</v>
      </c>
      <c r="Q483" s="21" t="s">
        <v>2276</v>
      </c>
      <c r="R483" s="21" t="s">
        <v>2276</v>
      </c>
      <c r="S483" s="21" t="s">
        <v>2276</v>
      </c>
      <c r="T483" s="3"/>
    </row>
    <row r="484" spans="1:20" ht="41" customHeight="1">
      <c r="A484" s="11" t="s">
        <v>1207</v>
      </c>
      <c r="B484" s="3" t="s">
        <v>69</v>
      </c>
      <c r="C484" s="3" t="s">
        <v>395</v>
      </c>
      <c r="D484" s="3" t="s">
        <v>130</v>
      </c>
      <c r="E484" s="4" t="s">
        <v>397</v>
      </c>
      <c r="F484" s="3" t="s">
        <v>2276</v>
      </c>
      <c r="G484" s="3" t="s">
        <v>2276</v>
      </c>
      <c r="H484" s="21" t="s">
        <v>2276</v>
      </c>
      <c r="I484" s="21" t="s">
        <v>2276</v>
      </c>
      <c r="J484" s="21" t="s">
        <v>2276</v>
      </c>
      <c r="K484" s="21" t="s">
        <v>2276</v>
      </c>
      <c r="L484" s="21" t="s">
        <v>2276</v>
      </c>
      <c r="M484" s="21" t="s">
        <v>2276</v>
      </c>
      <c r="N484" s="21" t="s">
        <v>2276</v>
      </c>
      <c r="O484" s="21" t="s">
        <v>2276</v>
      </c>
      <c r="P484" s="21" t="s">
        <v>2276</v>
      </c>
      <c r="Q484" s="21" t="s">
        <v>2276</v>
      </c>
      <c r="R484" s="21" t="s">
        <v>2276</v>
      </c>
      <c r="S484" s="21" t="s">
        <v>2276</v>
      </c>
      <c r="T484" s="3"/>
    </row>
    <row r="485" spans="1:20" ht="45" customHeight="1">
      <c r="A485" s="11" t="s">
        <v>1208</v>
      </c>
      <c r="B485" s="3" t="s">
        <v>69</v>
      </c>
      <c r="C485" s="3" t="s">
        <v>395</v>
      </c>
      <c r="D485" s="3" t="s">
        <v>130</v>
      </c>
      <c r="E485" s="4" t="s">
        <v>397</v>
      </c>
      <c r="F485" s="3" t="s">
        <v>2276</v>
      </c>
      <c r="G485" s="3" t="s">
        <v>2276</v>
      </c>
      <c r="H485" s="21" t="s">
        <v>2276</v>
      </c>
      <c r="I485" s="21" t="s">
        <v>2276</v>
      </c>
      <c r="J485" s="21" t="s">
        <v>2276</v>
      </c>
      <c r="K485" s="21" t="s">
        <v>2276</v>
      </c>
      <c r="L485" s="21" t="s">
        <v>2276</v>
      </c>
      <c r="M485" s="21" t="s">
        <v>2276</v>
      </c>
      <c r="N485" s="21" t="s">
        <v>2276</v>
      </c>
      <c r="O485" s="21" t="s">
        <v>2276</v>
      </c>
      <c r="P485" s="21" t="s">
        <v>2276</v>
      </c>
      <c r="Q485" s="21" t="s">
        <v>2276</v>
      </c>
      <c r="R485" s="21" t="s">
        <v>2276</v>
      </c>
      <c r="S485" s="21" t="s">
        <v>2276</v>
      </c>
      <c r="T485" s="3"/>
    </row>
    <row r="486" spans="1:20" ht="53.5" customHeight="1">
      <c r="A486" s="11" t="s">
        <v>1232</v>
      </c>
      <c r="B486" s="11" t="s">
        <v>32</v>
      </c>
      <c r="C486" s="3" t="s">
        <v>395</v>
      </c>
      <c r="D486" s="11" t="s">
        <v>5005</v>
      </c>
      <c r="E486" s="19" t="s">
        <v>137</v>
      </c>
      <c r="F486" s="3" t="s">
        <v>2276</v>
      </c>
      <c r="G486" s="3" t="s">
        <v>2276</v>
      </c>
      <c r="H486" s="21" t="s">
        <v>2276</v>
      </c>
      <c r="I486" s="21" t="s">
        <v>2276</v>
      </c>
      <c r="J486" s="21" t="s">
        <v>2276</v>
      </c>
      <c r="K486" s="21" t="s">
        <v>2276</v>
      </c>
      <c r="L486" s="21" t="s">
        <v>2276</v>
      </c>
      <c r="M486" s="21" t="s">
        <v>2276</v>
      </c>
      <c r="N486" s="21" t="s">
        <v>2276</v>
      </c>
      <c r="O486" s="21" t="s">
        <v>2276</v>
      </c>
      <c r="P486" s="21" t="s">
        <v>2276</v>
      </c>
      <c r="Q486" s="21" t="s">
        <v>2276</v>
      </c>
      <c r="R486" s="21" t="s">
        <v>2276</v>
      </c>
      <c r="S486" s="21" t="s">
        <v>2276</v>
      </c>
      <c r="T486" s="3"/>
    </row>
    <row r="487" spans="1:20" ht="52" customHeight="1">
      <c r="A487" s="11" t="s">
        <v>1240</v>
      </c>
      <c r="B487" s="11" t="s">
        <v>32</v>
      </c>
      <c r="C487" s="3" t="s">
        <v>395</v>
      </c>
      <c r="D487" s="11" t="s">
        <v>137</v>
      </c>
      <c r="E487" s="3" t="s">
        <v>116</v>
      </c>
      <c r="F487" s="3" t="s">
        <v>2276</v>
      </c>
      <c r="G487" s="3" t="s">
        <v>2276</v>
      </c>
      <c r="H487" s="21" t="s">
        <v>2276</v>
      </c>
      <c r="I487" s="21" t="s">
        <v>2276</v>
      </c>
      <c r="J487" s="21" t="s">
        <v>2276</v>
      </c>
      <c r="K487" s="21" t="s">
        <v>2276</v>
      </c>
      <c r="L487" s="21" t="s">
        <v>2276</v>
      </c>
      <c r="M487" s="21" t="s">
        <v>2276</v>
      </c>
      <c r="N487" s="21" t="s">
        <v>2276</v>
      </c>
      <c r="O487" s="21" t="s">
        <v>2276</v>
      </c>
      <c r="P487" s="21" t="s">
        <v>2276</v>
      </c>
      <c r="Q487" s="21" t="s">
        <v>2276</v>
      </c>
      <c r="R487" s="21" t="s">
        <v>2276</v>
      </c>
      <c r="S487" s="21" t="s">
        <v>2276</v>
      </c>
      <c r="T487" s="3" t="s">
        <v>5007</v>
      </c>
    </row>
    <row r="488" spans="1:20" ht="37" customHeight="1">
      <c r="A488" s="11" t="s">
        <v>2446</v>
      </c>
      <c r="B488" s="3" t="s">
        <v>2276</v>
      </c>
      <c r="C488" s="11" t="s">
        <v>12</v>
      </c>
      <c r="D488" s="11" t="s">
        <v>137</v>
      </c>
      <c r="E488" s="3" t="s">
        <v>130</v>
      </c>
      <c r="F488" s="3" t="s">
        <v>2276</v>
      </c>
      <c r="G488" s="3" t="s">
        <v>2276</v>
      </c>
      <c r="H488" s="3" t="s">
        <v>2276</v>
      </c>
      <c r="I488" s="3" t="s">
        <v>2276</v>
      </c>
      <c r="J488" s="3" t="s">
        <v>2276</v>
      </c>
      <c r="K488" s="3" t="s">
        <v>2276</v>
      </c>
      <c r="L488" s="3" t="s">
        <v>2276</v>
      </c>
      <c r="M488" s="3" t="s">
        <v>2276</v>
      </c>
      <c r="N488" s="21" t="s">
        <v>2276</v>
      </c>
      <c r="O488" s="21" t="s">
        <v>2276</v>
      </c>
      <c r="P488" s="21" t="s">
        <v>2276</v>
      </c>
      <c r="Q488" s="21" t="s">
        <v>2276</v>
      </c>
      <c r="R488" s="21" t="s">
        <v>2276</v>
      </c>
      <c r="S488" s="21">
        <v>4</v>
      </c>
      <c r="T488" s="3" t="s">
        <v>2276</v>
      </c>
    </row>
    <row r="489" spans="1:20" ht="38.5" customHeight="1">
      <c r="A489" s="11" t="s">
        <v>2449</v>
      </c>
      <c r="B489" s="3" t="s">
        <v>2276</v>
      </c>
      <c r="C489" s="3" t="s">
        <v>395</v>
      </c>
      <c r="D489" s="3" t="s">
        <v>130</v>
      </c>
      <c r="E489" s="4" t="s">
        <v>397</v>
      </c>
      <c r="F489" s="3" t="s">
        <v>2276</v>
      </c>
      <c r="G489" s="3" t="s">
        <v>2276</v>
      </c>
      <c r="H489" s="3" t="s">
        <v>2276</v>
      </c>
      <c r="I489" s="3" t="s">
        <v>2276</v>
      </c>
      <c r="J489" s="3" t="s">
        <v>2276</v>
      </c>
      <c r="K489" s="3" t="s">
        <v>2276</v>
      </c>
      <c r="L489" s="3" t="s">
        <v>2276</v>
      </c>
      <c r="M489" s="3" t="s">
        <v>2276</v>
      </c>
      <c r="N489" s="21" t="s">
        <v>2276</v>
      </c>
      <c r="O489" s="21" t="s">
        <v>2276</v>
      </c>
      <c r="P489" s="21" t="s">
        <v>2276</v>
      </c>
      <c r="Q489" s="21" t="s">
        <v>2276</v>
      </c>
      <c r="R489" s="21" t="s">
        <v>2276</v>
      </c>
      <c r="S489" s="21" t="s">
        <v>2276</v>
      </c>
      <c r="T489" s="4" t="s">
        <v>2464</v>
      </c>
    </row>
    <row r="490" spans="1:20" ht="36" customHeight="1">
      <c r="A490" s="3" t="s">
        <v>2466</v>
      </c>
      <c r="B490" s="3" t="s">
        <v>69</v>
      </c>
      <c r="C490" s="3" t="s">
        <v>395</v>
      </c>
      <c r="D490" s="3" t="s">
        <v>130</v>
      </c>
      <c r="E490" s="4" t="s">
        <v>397</v>
      </c>
      <c r="F490" s="3" t="s">
        <v>2276</v>
      </c>
      <c r="G490" s="3" t="s">
        <v>2276</v>
      </c>
      <c r="H490" s="3" t="s">
        <v>2276</v>
      </c>
      <c r="I490" s="3">
        <v>1.2</v>
      </c>
      <c r="J490" s="3">
        <v>1.6</v>
      </c>
      <c r="K490" s="3" t="s">
        <v>2276</v>
      </c>
      <c r="L490" s="3" t="s">
        <v>2276</v>
      </c>
      <c r="M490" s="3" t="s">
        <v>2276</v>
      </c>
      <c r="N490" s="21" t="s">
        <v>2276</v>
      </c>
      <c r="O490" s="21" t="s">
        <v>2276</v>
      </c>
      <c r="P490" s="21" t="s">
        <v>2276</v>
      </c>
      <c r="Q490" s="21" t="s">
        <v>2276</v>
      </c>
      <c r="R490" s="21" t="s">
        <v>2276</v>
      </c>
      <c r="S490" s="21" t="s">
        <v>2276</v>
      </c>
      <c r="T490" s="4" t="s">
        <v>2499</v>
      </c>
    </row>
    <row r="491" spans="1:20" ht="36" customHeight="1">
      <c r="A491" s="3" t="s">
        <v>2467</v>
      </c>
      <c r="B491" s="3" t="s">
        <v>69</v>
      </c>
      <c r="C491" s="3" t="s">
        <v>395</v>
      </c>
      <c r="D491" s="3" t="s">
        <v>130</v>
      </c>
      <c r="E491" s="4" t="s">
        <v>397</v>
      </c>
      <c r="F491" s="3" t="s">
        <v>2276</v>
      </c>
      <c r="G491" s="3" t="s">
        <v>2276</v>
      </c>
      <c r="H491" s="3" t="s">
        <v>2276</v>
      </c>
      <c r="I491" s="3">
        <v>1.2</v>
      </c>
      <c r="J491" s="3">
        <v>1.6</v>
      </c>
      <c r="K491" s="3" t="s">
        <v>2276</v>
      </c>
      <c r="L491" s="3" t="s">
        <v>2276</v>
      </c>
      <c r="M491" s="3" t="s">
        <v>2276</v>
      </c>
      <c r="N491" s="21" t="s">
        <v>2276</v>
      </c>
      <c r="O491" s="21" t="s">
        <v>2276</v>
      </c>
      <c r="P491" s="21" t="s">
        <v>2276</v>
      </c>
      <c r="Q491" s="21" t="s">
        <v>2276</v>
      </c>
      <c r="R491" s="21" t="s">
        <v>2276</v>
      </c>
      <c r="S491" s="21" t="s">
        <v>2276</v>
      </c>
      <c r="T491" s="4" t="s">
        <v>2499</v>
      </c>
    </row>
    <row r="492" spans="1:20" ht="37.5" customHeight="1">
      <c r="A492" s="3" t="s">
        <v>2468</v>
      </c>
      <c r="B492" s="3" t="s">
        <v>69</v>
      </c>
      <c r="C492" s="3" t="s">
        <v>395</v>
      </c>
      <c r="D492" s="3" t="s">
        <v>130</v>
      </c>
      <c r="E492" s="4" t="s">
        <v>397</v>
      </c>
      <c r="F492" s="3" t="s">
        <v>2276</v>
      </c>
      <c r="G492" s="3" t="s">
        <v>2276</v>
      </c>
      <c r="H492" s="3" t="s">
        <v>2276</v>
      </c>
      <c r="I492" s="3">
        <v>1.2</v>
      </c>
      <c r="J492" s="3">
        <v>1.6</v>
      </c>
      <c r="K492" s="3" t="s">
        <v>2276</v>
      </c>
      <c r="L492" s="3" t="s">
        <v>2276</v>
      </c>
      <c r="M492" s="3" t="s">
        <v>2276</v>
      </c>
      <c r="N492" s="21" t="s">
        <v>2276</v>
      </c>
      <c r="O492" s="21" t="s">
        <v>2276</v>
      </c>
      <c r="P492" s="21" t="s">
        <v>2276</v>
      </c>
      <c r="Q492" s="21" t="s">
        <v>2276</v>
      </c>
      <c r="R492" s="21" t="s">
        <v>2276</v>
      </c>
      <c r="S492" s="21" t="s">
        <v>2276</v>
      </c>
      <c r="T492" s="4" t="s">
        <v>2499</v>
      </c>
    </row>
    <row r="493" spans="1:20" ht="37" customHeight="1">
      <c r="A493" s="3" t="s">
        <v>2469</v>
      </c>
      <c r="B493" s="3" t="s">
        <v>69</v>
      </c>
      <c r="C493" s="3" t="s">
        <v>395</v>
      </c>
      <c r="D493" s="3" t="s">
        <v>130</v>
      </c>
      <c r="E493" s="4" t="s">
        <v>397</v>
      </c>
      <c r="F493" s="3" t="s">
        <v>2276</v>
      </c>
      <c r="G493" s="3" t="s">
        <v>2276</v>
      </c>
      <c r="H493" s="3" t="s">
        <v>2276</v>
      </c>
      <c r="I493" s="3">
        <v>1.2</v>
      </c>
      <c r="J493" s="3">
        <v>1.6</v>
      </c>
      <c r="K493" s="3" t="s">
        <v>2276</v>
      </c>
      <c r="L493" s="3" t="s">
        <v>2276</v>
      </c>
      <c r="M493" s="3" t="s">
        <v>2276</v>
      </c>
      <c r="N493" s="21" t="s">
        <v>2276</v>
      </c>
      <c r="O493" s="21" t="s">
        <v>2276</v>
      </c>
      <c r="P493" s="21" t="s">
        <v>2276</v>
      </c>
      <c r="Q493" s="21" t="s">
        <v>2276</v>
      </c>
      <c r="R493" s="21" t="s">
        <v>2276</v>
      </c>
      <c r="S493" s="21" t="s">
        <v>2276</v>
      </c>
      <c r="T493" s="4" t="s">
        <v>2499</v>
      </c>
    </row>
    <row r="494" spans="1:20" ht="37" customHeight="1">
      <c r="A494" s="3" t="s">
        <v>2470</v>
      </c>
      <c r="B494" s="3" t="s">
        <v>69</v>
      </c>
      <c r="C494" s="3" t="s">
        <v>395</v>
      </c>
      <c r="D494" s="3" t="s">
        <v>130</v>
      </c>
      <c r="E494" s="4" t="s">
        <v>397</v>
      </c>
      <c r="F494" s="3" t="s">
        <v>2276</v>
      </c>
      <c r="G494" s="3" t="s">
        <v>2276</v>
      </c>
      <c r="H494" s="3" t="s">
        <v>2276</v>
      </c>
      <c r="I494" s="3">
        <v>1.2</v>
      </c>
      <c r="J494" s="3">
        <v>1.6</v>
      </c>
      <c r="K494" s="3" t="s">
        <v>2276</v>
      </c>
      <c r="L494" s="3" t="s">
        <v>2276</v>
      </c>
      <c r="M494" s="3" t="s">
        <v>2276</v>
      </c>
      <c r="N494" s="21" t="s">
        <v>2276</v>
      </c>
      <c r="O494" s="21" t="s">
        <v>2276</v>
      </c>
      <c r="P494" s="21" t="s">
        <v>2276</v>
      </c>
      <c r="Q494" s="21" t="s">
        <v>2276</v>
      </c>
      <c r="R494" s="21" t="s">
        <v>2276</v>
      </c>
      <c r="S494" s="21" t="s">
        <v>2276</v>
      </c>
      <c r="T494" s="4" t="s">
        <v>2499</v>
      </c>
    </row>
    <row r="495" spans="1:20" ht="41" customHeight="1">
      <c r="A495" s="3" t="s">
        <v>2471</v>
      </c>
      <c r="B495" s="3" t="s">
        <v>69</v>
      </c>
      <c r="C495" s="3" t="s">
        <v>395</v>
      </c>
      <c r="D495" s="3" t="s">
        <v>130</v>
      </c>
      <c r="E495" s="4" t="s">
        <v>397</v>
      </c>
      <c r="F495" s="3" t="s">
        <v>2276</v>
      </c>
      <c r="G495" s="3" t="s">
        <v>2276</v>
      </c>
      <c r="H495" s="3" t="s">
        <v>2276</v>
      </c>
      <c r="I495" s="3">
        <v>1.2</v>
      </c>
      <c r="J495" s="3">
        <v>1.6</v>
      </c>
      <c r="K495" s="3" t="s">
        <v>2276</v>
      </c>
      <c r="L495" s="3" t="s">
        <v>2276</v>
      </c>
      <c r="M495" s="3" t="s">
        <v>2276</v>
      </c>
      <c r="N495" s="21" t="s">
        <v>2276</v>
      </c>
      <c r="O495" s="21" t="s">
        <v>2276</v>
      </c>
      <c r="P495" s="21" t="s">
        <v>2276</v>
      </c>
      <c r="Q495" s="21" t="s">
        <v>2276</v>
      </c>
      <c r="R495" s="21" t="s">
        <v>2276</v>
      </c>
      <c r="S495" s="21" t="s">
        <v>2276</v>
      </c>
      <c r="T495" s="4" t="s">
        <v>2499</v>
      </c>
    </row>
    <row r="496" spans="1:20" ht="39" customHeight="1">
      <c r="A496" s="3" t="s">
        <v>2472</v>
      </c>
      <c r="B496" s="3" t="s">
        <v>69</v>
      </c>
      <c r="C496" s="3" t="s">
        <v>395</v>
      </c>
      <c r="D496" s="3" t="s">
        <v>130</v>
      </c>
      <c r="E496" s="4" t="s">
        <v>397</v>
      </c>
      <c r="F496" s="3" t="s">
        <v>2276</v>
      </c>
      <c r="G496" s="3" t="s">
        <v>2276</v>
      </c>
      <c r="H496" s="3" t="s">
        <v>2276</v>
      </c>
      <c r="I496" s="3">
        <v>1.2</v>
      </c>
      <c r="J496" s="3">
        <v>1.6</v>
      </c>
      <c r="K496" s="3" t="s">
        <v>2276</v>
      </c>
      <c r="L496" s="3" t="s">
        <v>2276</v>
      </c>
      <c r="M496" s="3" t="s">
        <v>2276</v>
      </c>
      <c r="N496" s="21" t="s">
        <v>2276</v>
      </c>
      <c r="O496" s="21" t="s">
        <v>2276</v>
      </c>
      <c r="P496" s="21" t="s">
        <v>2276</v>
      </c>
      <c r="Q496" s="21" t="s">
        <v>2276</v>
      </c>
      <c r="R496" s="21" t="s">
        <v>2276</v>
      </c>
      <c r="S496" s="21" t="s">
        <v>2276</v>
      </c>
      <c r="T496" s="4" t="s">
        <v>2499</v>
      </c>
    </row>
    <row r="497" spans="1:20" ht="35.5" customHeight="1">
      <c r="A497" s="3" t="s">
        <v>2473</v>
      </c>
      <c r="B497" s="3" t="s">
        <v>69</v>
      </c>
      <c r="C497" s="3" t="s">
        <v>395</v>
      </c>
      <c r="D497" s="3" t="s">
        <v>130</v>
      </c>
      <c r="E497" s="4" t="s">
        <v>397</v>
      </c>
      <c r="F497" s="3" t="s">
        <v>2276</v>
      </c>
      <c r="G497" s="3" t="s">
        <v>2276</v>
      </c>
      <c r="H497" s="3" t="s">
        <v>2276</v>
      </c>
      <c r="I497" s="3">
        <v>1.2</v>
      </c>
      <c r="J497" s="3">
        <v>1.6</v>
      </c>
      <c r="K497" s="3" t="s">
        <v>2276</v>
      </c>
      <c r="L497" s="3" t="s">
        <v>2276</v>
      </c>
      <c r="M497" s="3" t="s">
        <v>2276</v>
      </c>
      <c r="N497" s="21" t="s">
        <v>2276</v>
      </c>
      <c r="O497" s="21" t="s">
        <v>2276</v>
      </c>
      <c r="P497" s="21" t="s">
        <v>2276</v>
      </c>
      <c r="Q497" s="21" t="s">
        <v>2276</v>
      </c>
      <c r="R497" s="21" t="s">
        <v>2276</v>
      </c>
      <c r="S497" s="21" t="s">
        <v>2276</v>
      </c>
      <c r="T497" s="4" t="s">
        <v>2499</v>
      </c>
    </row>
    <row r="498" spans="1:20" ht="33" customHeight="1">
      <c r="A498" s="3" t="s">
        <v>2474</v>
      </c>
      <c r="B498" s="3" t="s">
        <v>69</v>
      </c>
      <c r="C498" s="3" t="s">
        <v>395</v>
      </c>
      <c r="D498" s="3" t="s">
        <v>130</v>
      </c>
      <c r="E498" s="4" t="s">
        <v>397</v>
      </c>
      <c r="F498" s="3" t="s">
        <v>2276</v>
      </c>
      <c r="G498" s="3" t="s">
        <v>2276</v>
      </c>
      <c r="H498" s="3" t="s">
        <v>2276</v>
      </c>
      <c r="I498" s="3">
        <v>1.2</v>
      </c>
      <c r="J498" s="3">
        <v>1.6</v>
      </c>
      <c r="K498" s="3" t="s">
        <v>2276</v>
      </c>
      <c r="L498" s="3" t="s">
        <v>2276</v>
      </c>
      <c r="M498" s="3" t="s">
        <v>2276</v>
      </c>
      <c r="N498" s="21" t="s">
        <v>2276</v>
      </c>
      <c r="O498" s="21" t="s">
        <v>2276</v>
      </c>
      <c r="P498" s="21" t="s">
        <v>2276</v>
      </c>
      <c r="Q498" s="21" t="s">
        <v>2276</v>
      </c>
      <c r="R498" s="21" t="s">
        <v>2276</v>
      </c>
      <c r="S498" s="21" t="s">
        <v>2276</v>
      </c>
      <c r="T498" s="4" t="s">
        <v>2499</v>
      </c>
    </row>
    <row r="499" spans="1:20" ht="35.5" customHeight="1">
      <c r="A499" s="3" t="s">
        <v>2475</v>
      </c>
      <c r="B499" s="3" t="s">
        <v>69</v>
      </c>
      <c r="C499" s="3" t="s">
        <v>395</v>
      </c>
      <c r="D499" s="3" t="s">
        <v>130</v>
      </c>
      <c r="E499" s="4" t="s">
        <v>397</v>
      </c>
      <c r="F499" s="3" t="s">
        <v>2276</v>
      </c>
      <c r="G499" s="3" t="s">
        <v>2276</v>
      </c>
      <c r="H499" s="3" t="s">
        <v>2276</v>
      </c>
      <c r="I499" s="3">
        <v>1.2</v>
      </c>
      <c r="J499" s="3">
        <v>1.6</v>
      </c>
      <c r="K499" s="3" t="s">
        <v>2276</v>
      </c>
      <c r="L499" s="3" t="s">
        <v>2276</v>
      </c>
      <c r="M499" s="3" t="s">
        <v>2276</v>
      </c>
      <c r="N499" s="21" t="s">
        <v>2276</v>
      </c>
      <c r="O499" s="21" t="s">
        <v>2276</v>
      </c>
      <c r="P499" s="21" t="s">
        <v>2276</v>
      </c>
      <c r="Q499" s="21" t="s">
        <v>2276</v>
      </c>
      <c r="R499" s="21" t="s">
        <v>2276</v>
      </c>
      <c r="S499" s="21" t="s">
        <v>2276</v>
      </c>
      <c r="T499" s="4" t="s">
        <v>2499</v>
      </c>
    </row>
    <row r="500" spans="1:20" ht="39" customHeight="1">
      <c r="A500" s="3" t="s">
        <v>2476</v>
      </c>
      <c r="B500" s="3" t="s">
        <v>69</v>
      </c>
      <c r="C500" s="3" t="s">
        <v>395</v>
      </c>
      <c r="D500" s="3" t="s">
        <v>130</v>
      </c>
      <c r="E500" s="4" t="s">
        <v>397</v>
      </c>
      <c r="F500" s="3" t="s">
        <v>2276</v>
      </c>
      <c r="G500" s="3" t="s">
        <v>2276</v>
      </c>
      <c r="H500" s="3" t="s">
        <v>2276</v>
      </c>
      <c r="I500" s="3">
        <v>1.2</v>
      </c>
      <c r="J500" s="3">
        <v>1.6</v>
      </c>
      <c r="K500" s="3" t="s">
        <v>2276</v>
      </c>
      <c r="L500" s="3" t="s">
        <v>2276</v>
      </c>
      <c r="M500" s="3" t="s">
        <v>2276</v>
      </c>
      <c r="N500" s="21" t="s">
        <v>2276</v>
      </c>
      <c r="O500" s="21" t="s">
        <v>2276</v>
      </c>
      <c r="P500" s="21" t="s">
        <v>2276</v>
      </c>
      <c r="Q500" s="21" t="s">
        <v>2276</v>
      </c>
      <c r="R500" s="21" t="s">
        <v>2276</v>
      </c>
      <c r="S500" s="21" t="s">
        <v>2276</v>
      </c>
      <c r="T500" s="4" t="s">
        <v>2499</v>
      </c>
    </row>
    <row r="501" spans="1:20" ht="34" customHeight="1">
      <c r="A501" s="3" t="s">
        <v>2477</v>
      </c>
      <c r="B501" s="3" t="s">
        <v>69</v>
      </c>
      <c r="C501" s="3" t="s">
        <v>395</v>
      </c>
      <c r="D501" s="3" t="s">
        <v>130</v>
      </c>
      <c r="E501" s="4" t="s">
        <v>397</v>
      </c>
      <c r="F501" s="3" t="s">
        <v>2276</v>
      </c>
      <c r="G501" s="3" t="s">
        <v>2276</v>
      </c>
      <c r="H501" s="3" t="s">
        <v>2276</v>
      </c>
      <c r="I501" s="3">
        <v>1.2</v>
      </c>
      <c r="J501" s="3">
        <v>1.6</v>
      </c>
      <c r="K501" s="3" t="s">
        <v>2276</v>
      </c>
      <c r="L501" s="3" t="s">
        <v>2276</v>
      </c>
      <c r="M501" s="3" t="s">
        <v>2276</v>
      </c>
      <c r="N501" s="21" t="s">
        <v>2276</v>
      </c>
      <c r="O501" s="21" t="s">
        <v>2276</v>
      </c>
      <c r="P501" s="21" t="s">
        <v>2276</v>
      </c>
      <c r="Q501" s="21" t="s">
        <v>2276</v>
      </c>
      <c r="R501" s="21" t="s">
        <v>2276</v>
      </c>
      <c r="S501" s="21" t="s">
        <v>2276</v>
      </c>
      <c r="T501" s="4" t="s">
        <v>2499</v>
      </c>
    </row>
    <row r="502" spans="1:20" ht="33" customHeight="1">
      <c r="A502" s="3" t="s">
        <v>2478</v>
      </c>
      <c r="B502" s="3" t="s">
        <v>69</v>
      </c>
      <c r="C502" s="3" t="s">
        <v>395</v>
      </c>
      <c r="D502" s="3" t="s">
        <v>130</v>
      </c>
      <c r="E502" s="4" t="s">
        <v>397</v>
      </c>
      <c r="F502" s="3" t="s">
        <v>2276</v>
      </c>
      <c r="G502" s="3" t="s">
        <v>2276</v>
      </c>
      <c r="H502" s="3" t="s">
        <v>2276</v>
      </c>
      <c r="I502" s="3">
        <v>1.2</v>
      </c>
      <c r="J502" s="3">
        <v>1.6</v>
      </c>
      <c r="K502" s="3" t="s">
        <v>2276</v>
      </c>
      <c r="L502" s="3" t="s">
        <v>2276</v>
      </c>
      <c r="M502" s="3" t="s">
        <v>2276</v>
      </c>
      <c r="N502" s="21" t="s">
        <v>2276</v>
      </c>
      <c r="O502" s="21" t="s">
        <v>2276</v>
      </c>
      <c r="P502" s="21" t="s">
        <v>2276</v>
      </c>
      <c r="Q502" s="21" t="s">
        <v>2276</v>
      </c>
      <c r="R502" s="21" t="s">
        <v>2276</v>
      </c>
      <c r="S502" s="21" t="s">
        <v>2276</v>
      </c>
      <c r="T502" s="4" t="s">
        <v>2499</v>
      </c>
    </row>
    <row r="503" spans="1:20" ht="35.5" customHeight="1">
      <c r="A503" s="3" t="s">
        <v>2479</v>
      </c>
      <c r="B503" s="3" t="s">
        <v>69</v>
      </c>
      <c r="C503" s="3" t="s">
        <v>395</v>
      </c>
      <c r="D503" s="3" t="s">
        <v>130</v>
      </c>
      <c r="E503" s="4" t="s">
        <v>397</v>
      </c>
      <c r="F503" s="3" t="s">
        <v>2276</v>
      </c>
      <c r="G503" s="3" t="s">
        <v>2276</v>
      </c>
      <c r="H503" s="3" t="s">
        <v>2276</v>
      </c>
      <c r="I503" s="3">
        <v>1.2</v>
      </c>
      <c r="J503" s="3">
        <v>1.6</v>
      </c>
      <c r="K503" s="3" t="s">
        <v>2276</v>
      </c>
      <c r="L503" s="3" t="s">
        <v>2276</v>
      </c>
      <c r="M503" s="3" t="s">
        <v>2276</v>
      </c>
      <c r="N503" s="21" t="s">
        <v>2276</v>
      </c>
      <c r="O503" s="21" t="s">
        <v>2276</v>
      </c>
      <c r="P503" s="21" t="s">
        <v>2276</v>
      </c>
      <c r="Q503" s="21" t="s">
        <v>2276</v>
      </c>
      <c r="R503" s="21" t="s">
        <v>2276</v>
      </c>
      <c r="S503" s="21" t="s">
        <v>2276</v>
      </c>
      <c r="T503" s="4" t="s">
        <v>2499</v>
      </c>
    </row>
    <row r="504" spans="1:20" ht="33" customHeight="1">
      <c r="A504" s="3" t="s">
        <v>2480</v>
      </c>
      <c r="B504" s="3" t="s">
        <v>69</v>
      </c>
      <c r="C504" s="3" t="s">
        <v>395</v>
      </c>
      <c r="D504" s="3" t="s">
        <v>130</v>
      </c>
      <c r="E504" s="4" t="s">
        <v>397</v>
      </c>
      <c r="F504" s="3" t="s">
        <v>2276</v>
      </c>
      <c r="G504" s="3" t="s">
        <v>2276</v>
      </c>
      <c r="H504" s="3" t="s">
        <v>2276</v>
      </c>
      <c r="I504" s="3">
        <v>1.2</v>
      </c>
      <c r="J504" s="3">
        <v>1.6</v>
      </c>
      <c r="K504" s="3" t="s">
        <v>2276</v>
      </c>
      <c r="L504" s="3" t="s">
        <v>2276</v>
      </c>
      <c r="M504" s="3" t="s">
        <v>2276</v>
      </c>
      <c r="N504" s="21" t="s">
        <v>2276</v>
      </c>
      <c r="O504" s="21" t="s">
        <v>2276</v>
      </c>
      <c r="P504" s="21" t="s">
        <v>2276</v>
      </c>
      <c r="Q504" s="21" t="s">
        <v>2276</v>
      </c>
      <c r="R504" s="21" t="s">
        <v>2276</v>
      </c>
      <c r="S504" s="21" t="s">
        <v>2276</v>
      </c>
      <c r="T504" s="4" t="s">
        <v>2499</v>
      </c>
    </row>
    <row r="505" spans="1:20" ht="35.5" customHeight="1">
      <c r="A505" s="3" t="s">
        <v>2481</v>
      </c>
      <c r="B505" s="3" t="s">
        <v>69</v>
      </c>
      <c r="C505" s="3" t="s">
        <v>395</v>
      </c>
      <c r="D505" s="3" t="s">
        <v>130</v>
      </c>
      <c r="E505" s="4" t="s">
        <v>397</v>
      </c>
      <c r="F505" s="3" t="s">
        <v>2276</v>
      </c>
      <c r="G505" s="3" t="s">
        <v>2276</v>
      </c>
      <c r="H505" s="3" t="s">
        <v>2276</v>
      </c>
      <c r="I505" s="3">
        <v>1.2</v>
      </c>
      <c r="J505" s="3">
        <v>1.6</v>
      </c>
      <c r="K505" s="3" t="s">
        <v>2276</v>
      </c>
      <c r="L505" s="3" t="s">
        <v>2276</v>
      </c>
      <c r="M505" s="3" t="s">
        <v>2276</v>
      </c>
      <c r="N505" s="21" t="s">
        <v>2276</v>
      </c>
      <c r="O505" s="21" t="s">
        <v>2276</v>
      </c>
      <c r="P505" s="21" t="s">
        <v>2276</v>
      </c>
      <c r="Q505" s="21" t="s">
        <v>2276</v>
      </c>
      <c r="R505" s="21" t="s">
        <v>2276</v>
      </c>
      <c r="S505" s="21" t="s">
        <v>2276</v>
      </c>
      <c r="T505" s="4" t="s">
        <v>2499</v>
      </c>
    </row>
    <row r="506" spans="1:20" ht="37.5" customHeight="1">
      <c r="A506" s="11" t="s">
        <v>2518</v>
      </c>
      <c r="B506" s="3" t="s">
        <v>2276</v>
      </c>
      <c r="C506" s="11" t="s">
        <v>12</v>
      </c>
      <c r="D506" s="11" t="s">
        <v>130</v>
      </c>
      <c r="E506" s="19" t="s">
        <v>863</v>
      </c>
      <c r="F506" s="11" t="s">
        <v>84</v>
      </c>
      <c r="G506" s="3" t="s">
        <v>116</v>
      </c>
      <c r="H506" s="3" t="s">
        <v>2276</v>
      </c>
      <c r="I506" s="3">
        <v>1.9</v>
      </c>
      <c r="J506" s="3" t="s">
        <v>2276</v>
      </c>
      <c r="K506" s="3" t="s">
        <v>534</v>
      </c>
      <c r="L506" s="3" t="s">
        <v>2276</v>
      </c>
      <c r="M506" s="3" t="s">
        <v>2276</v>
      </c>
      <c r="N506" s="21">
        <v>0</v>
      </c>
      <c r="O506" s="21">
        <v>0</v>
      </c>
      <c r="P506" s="21">
        <v>15.5</v>
      </c>
      <c r="Q506" s="21">
        <f>28.5+13.5+5.8</f>
        <v>47.8</v>
      </c>
      <c r="R506" s="21">
        <v>35</v>
      </c>
      <c r="S506" s="21">
        <f>100/15*(7338/(0.35*'Record info'!K506))</f>
        <v>2.987909715287385</v>
      </c>
      <c r="T506" s="4" t="s">
        <v>2528</v>
      </c>
    </row>
    <row r="507" spans="1:20" ht="39.5" customHeight="1">
      <c r="A507" s="11" t="s">
        <v>2520</v>
      </c>
      <c r="B507" s="3" t="s">
        <v>2276</v>
      </c>
      <c r="C507" s="11" t="s">
        <v>12</v>
      </c>
      <c r="D507" s="11" t="s">
        <v>130</v>
      </c>
      <c r="E507" s="19" t="s">
        <v>863</v>
      </c>
      <c r="F507" s="11" t="s">
        <v>84</v>
      </c>
      <c r="G507" s="3" t="s">
        <v>116</v>
      </c>
      <c r="H507" s="3" t="s">
        <v>2276</v>
      </c>
      <c r="I507" s="3">
        <v>1.9</v>
      </c>
      <c r="J507" s="3" t="s">
        <v>2276</v>
      </c>
      <c r="K507" s="3" t="s">
        <v>534</v>
      </c>
      <c r="L507" s="3" t="s">
        <v>2276</v>
      </c>
      <c r="M507" s="3">
        <v>0.5</v>
      </c>
      <c r="N507" s="21">
        <v>0</v>
      </c>
      <c r="O507" s="21">
        <v>0</v>
      </c>
      <c r="P507" s="21">
        <f>4.5+9.1</f>
        <v>13.6</v>
      </c>
      <c r="Q507" s="21">
        <f>21.8+9.5+5.9</f>
        <v>37.200000000000003</v>
      </c>
      <c r="R507" s="21">
        <f>42.6+4.1</f>
        <v>46.7</v>
      </c>
      <c r="S507" s="21">
        <f>100/15*1137/(0.467*'Record info'!K507)</f>
        <v>0.63832245490395012</v>
      </c>
      <c r="T507" s="4" t="s">
        <v>2528</v>
      </c>
    </row>
    <row r="508" spans="1:20" ht="38.5" customHeight="1">
      <c r="A508" s="11" t="s">
        <v>2531</v>
      </c>
      <c r="B508" s="3" t="s">
        <v>2276</v>
      </c>
      <c r="C508" s="11" t="s">
        <v>12</v>
      </c>
      <c r="D508" s="11" t="s">
        <v>130</v>
      </c>
      <c r="E508" s="3" t="s">
        <v>137</v>
      </c>
      <c r="F508" s="3" t="s">
        <v>2276</v>
      </c>
      <c r="G508" s="3" t="s">
        <v>2276</v>
      </c>
      <c r="H508" s="3" t="s">
        <v>2276</v>
      </c>
      <c r="I508" s="3" t="s">
        <v>2276</v>
      </c>
      <c r="J508" s="3" t="s">
        <v>2276</v>
      </c>
      <c r="K508" s="3" t="s">
        <v>2276</v>
      </c>
      <c r="L508" s="3" t="s">
        <v>2276</v>
      </c>
      <c r="M508" s="3" t="s">
        <v>2276</v>
      </c>
      <c r="N508" s="3" t="s">
        <v>2276</v>
      </c>
      <c r="O508" s="3" t="s">
        <v>2276</v>
      </c>
      <c r="P508" s="3" t="s">
        <v>2276</v>
      </c>
      <c r="Q508" s="3" t="s">
        <v>2276</v>
      </c>
      <c r="R508" s="3">
        <v>38</v>
      </c>
      <c r="S508" s="3">
        <v>3.8</v>
      </c>
      <c r="T508" s="4"/>
    </row>
    <row r="509" spans="1:20" ht="39.5" customHeight="1">
      <c r="A509" s="11" t="s">
        <v>2540</v>
      </c>
      <c r="B509" s="3" t="s">
        <v>2276</v>
      </c>
      <c r="C509" s="3" t="s">
        <v>12</v>
      </c>
      <c r="D509" s="11" t="s">
        <v>130</v>
      </c>
      <c r="E509" s="3" t="s">
        <v>137</v>
      </c>
      <c r="F509" s="11" t="s">
        <v>116</v>
      </c>
      <c r="G509" s="3" t="s">
        <v>2276</v>
      </c>
      <c r="H509" s="3" t="s">
        <v>2276</v>
      </c>
      <c r="I509" s="3">
        <v>0.5</v>
      </c>
      <c r="J509" s="3" t="s">
        <v>2276</v>
      </c>
      <c r="K509" s="3" t="s">
        <v>2276</v>
      </c>
      <c r="L509" s="3" t="s">
        <v>2276</v>
      </c>
      <c r="M509" s="3" t="s">
        <v>2276</v>
      </c>
      <c r="N509" s="3" t="s">
        <v>2276</v>
      </c>
      <c r="O509" s="3" t="s">
        <v>2276</v>
      </c>
      <c r="P509" s="3" t="s">
        <v>2276</v>
      </c>
      <c r="Q509" s="3" t="s">
        <v>2276</v>
      </c>
      <c r="R509" s="21">
        <v>92</v>
      </c>
      <c r="S509" s="3" t="s">
        <v>2276</v>
      </c>
      <c r="T509" s="3" t="s">
        <v>2542</v>
      </c>
    </row>
    <row r="510" spans="1:20" ht="42" customHeight="1">
      <c r="A510" s="11" t="s">
        <v>2550</v>
      </c>
      <c r="B510" s="3" t="s">
        <v>69</v>
      </c>
      <c r="C510" s="11" t="s">
        <v>395</v>
      </c>
      <c r="D510" s="11" t="s">
        <v>130</v>
      </c>
      <c r="E510" s="4" t="s">
        <v>397</v>
      </c>
      <c r="F510" s="3" t="s">
        <v>2276</v>
      </c>
      <c r="G510" s="3" t="s">
        <v>2276</v>
      </c>
      <c r="H510" s="3" t="s">
        <v>2276</v>
      </c>
      <c r="I510" s="3" t="s">
        <v>2276</v>
      </c>
      <c r="J510" s="3" t="s">
        <v>2276</v>
      </c>
      <c r="K510" s="3" t="s">
        <v>2276</v>
      </c>
      <c r="L510" s="3" t="s">
        <v>2276</v>
      </c>
      <c r="M510" s="3" t="s">
        <v>2276</v>
      </c>
      <c r="N510" s="3" t="s">
        <v>2276</v>
      </c>
      <c r="O510" s="3" t="s">
        <v>2276</v>
      </c>
      <c r="P510" s="3" t="s">
        <v>2276</v>
      </c>
      <c r="Q510" s="3" t="s">
        <v>2276</v>
      </c>
      <c r="R510" s="3" t="s">
        <v>2276</v>
      </c>
      <c r="S510" s="3" t="s">
        <v>2276</v>
      </c>
      <c r="T510" s="3"/>
    </row>
    <row r="511" spans="1:20" ht="37.5" customHeight="1">
      <c r="A511" s="11" t="s">
        <v>2557</v>
      </c>
      <c r="B511" s="3" t="s">
        <v>69</v>
      </c>
      <c r="C511" s="11" t="s">
        <v>395</v>
      </c>
      <c r="D511" s="11" t="s">
        <v>130</v>
      </c>
      <c r="E511" s="3" t="s">
        <v>2276</v>
      </c>
      <c r="F511" s="3" t="s">
        <v>2276</v>
      </c>
      <c r="G511" s="3" t="s">
        <v>2276</v>
      </c>
      <c r="H511" s="3" t="s">
        <v>2276</v>
      </c>
      <c r="I511" s="3" t="s">
        <v>2276</v>
      </c>
      <c r="J511" s="3" t="s">
        <v>2276</v>
      </c>
      <c r="K511" s="3" t="s">
        <v>2276</v>
      </c>
      <c r="L511" s="3" t="s">
        <v>2276</v>
      </c>
      <c r="M511" s="3" t="s">
        <v>2276</v>
      </c>
      <c r="N511" s="3" t="s">
        <v>2276</v>
      </c>
      <c r="O511" s="3" t="s">
        <v>2276</v>
      </c>
      <c r="P511" s="3" t="s">
        <v>2276</v>
      </c>
      <c r="Q511" s="3" t="s">
        <v>2276</v>
      </c>
      <c r="R511" s="3" t="s">
        <v>2276</v>
      </c>
      <c r="S511" s="3" t="s">
        <v>2276</v>
      </c>
      <c r="T511" s="3"/>
    </row>
    <row r="512" spans="1:20" ht="36" customHeight="1">
      <c r="A512" s="11" t="s">
        <v>2563</v>
      </c>
      <c r="B512" s="3" t="s">
        <v>2276</v>
      </c>
      <c r="C512" s="11" t="s">
        <v>12</v>
      </c>
      <c r="D512" s="4" t="s">
        <v>397</v>
      </c>
      <c r="E512" s="3" t="s">
        <v>2276</v>
      </c>
      <c r="F512" s="3" t="s">
        <v>2276</v>
      </c>
      <c r="G512" s="3" t="s">
        <v>2276</v>
      </c>
      <c r="H512" s="3" t="s">
        <v>2276</v>
      </c>
      <c r="I512" s="3" t="s">
        <v>2276</v>
      </c>
      <c r="J512" s="3">
        <v>0.9</v>
      </c>
      <c r="K512" s="3" t="s">
        <v>2276</v>
      </c>
      <c r="L512" s="3" t="s">
        <v>2276</v>
      </c>
      <c r="M512" s="3" t="s">
        <v>2276</v>
      </c>
      <c r="N512" s="3" t="s">
        <v>2276</v>
      </c>
      <c r="O512" s="3" t="s">
        <v>2276</v>
      </c>
      <c r="P512" s="21">
        <v>40</v>
      </c>
      <c r="Q512" s="21">
        <v>46</v>
      </c>
      <c r="R512" s="21">
        <v>6</v>
      </c>
      <c r="S512" s="21"/>
      <c r="T512" s="3" t="s">
        <v>2570</v>
      </c>
    </row>
    <row r="513" spans="1:20" ht="38.5" customHeight="1">
      <c r="A513" s="11" t="s">
        <v>2574</v>
      </c>
      <c r="B513" s="3" t="s">
        <v>70</v>
      </c>
      <c r="C513" s="11" t="s">
        <v>12</v>
      </c>
      <c r="D513" s="11" t="s">
        <v>130</v>
      </c>
      <c r="E513" s="3" t="s">
        <v>2652</v>
      </c>
      <c r="F513" s="4" t="s">
        <v>397</v>
      </c>
      <c r="G513" s="3" t="s">
        <v>2276</v>
      </c>
      <c r="H513" s="3" t="s">
        <v>2276</v>
      </c>
      <c r="I513" s="3" t="s">
        <v>2276</v>
      </c>
      <c r="J513" s="3" t="s">
        <v>2276</v>
      </c>
      <c r="K513" s="3" t="s">
        <v>2276</v>
      </c>
      <c r="L513" s="3" t="s">
        <v>2276</v>
      </c>
      <c r="M513" s="3" t="s">
        <v>2276</v>
      </c>
      <c r="N513" s="3" t="s">
        <v>2276</v>
      </c>
      <c r="O513" s="3" t="s">
        <v>2276</v>
      </c>
      <c r="P513" s="3" t="s">
        <v>2276</v>
      </c>
      <c r="Q513" s="3" t="s">
        <v>2276</v>
      </c>
      <c r="R513" s="3" t="s">
        <v>2276</v>
      </c>
      <c r="S513" s="3" t="s">
        <v>2276</v>
      </c>
      <c r="T513" s="3"/>
    </row>
    <row r="514" spans="1:20" ht="29">
      <c r="A514" s="11" t="s">
        <v>2576</v>
      </c>
      <c r="B514" s="3" t="s">
        <v>70</v>
      </c>
      <c r="C514" s="11" t="s">
        <v>12</v>
      </c>
      <c r="D514" s="11" t="s">
        <v>130</v>
      </c>
      <c r="E514" s="3" t="s">
        <v>2652</v>
      </c>
      <c r="F514" s="4" t="s">
        <v>397</v>
      </c>
      <c r="G514" s="3" t="s">
        <v>2276</v>
      </c>
      <c r="H514" s="3" t="s">
        <v>2276</v>
      </c>
      <c r="I514" s="3" t="s">
        <v>2276</v>
      </c>
      <c r="J514" s="3" t="s">
        <v>2276</v>
      </c>
      <c r="K514" s="3" t="s">
        <v>2276</v>
      </c>
      <c r="L514" s="3" t="s">
        <v>2276</v>
      </c>
      <c r="M514" s="3" t="s">
        <v>2276</v>
      </c>
      <c r="N514" s="3" t="s">
        <v>2276</v>
      </c>
      <c r="O514" s="3" t="s">
        <v>2276</v>
      </c>
      <c r="P514" s="3" t="s">
        <v>2276</v>
      </c>
      <c r="Q514" s="3" t="s">
        <v>2276</v>
      </c>
      <c r="R514" s="3" t="s">
        <v>2276</v>
      </c>
      <c r="S514" s="3" t="s">
        <v>2276</v>
      </c>
      <c r="T514" s="3"/>
    </row>
    <row r="515" spans="1:20" ht="29">
      <c r="A515" s="11" t="s">
        <v>2588</v>
      </c>
      <c r="B515" s="3" t="s">
        <v>70</v>
      </c>
      <c r="C515" s="11" t="s">
        <v>12</v>
      </c>
      <c r="D515" s="11" t="s">
        <v>130</v>
      </c>
      <c r="E515" s="3" t="s">
        <v>2652</v>
      </c>
      <c r="F515" s="4" t="s">
        <v>397</v>
      </c>
      <c r="G515" s="3" t="s">
        <v>2276</v>
      </c>
      <c r="H515" s="3" t="s">
        <v>2276</v>
      </c>
      <c r="I515" s="3" t="s">
        <v>2276</v>
      </c>
      <c r="J515" s="3" t="s">
        <v>2276</v>
      </c>
      <c r="K515" s="3" t="s">
        <v>2276</v>
      </c>
      <c r="L515" s="3" t="s">
        <v>2276</v>
      </c>
      <c r="M515" s="3" t="s">
        <v>2276</v>
      </c>
      <c r="N515" s="3" t="s">
        <v>2276</v>
      </c>
      <c r="O515" s="3" t="s">
        <v>2276</v>
      </c>
      <c r="P515" s="3" t="s">
        <v>2276</v>
      </c>
      <c r="Q515" s="3" t="s">
        <v>2276</v>
      </c>
      <c r="R515" s="3" t="s">
        <v>2276</v>
      </c>
      <c r="S515" s="3" t="s">
        <v>2276</v>
      </c>
      <c r="T515" s="3"/>
    </row>
    <row r="516" spans="1:20" ht="29">
      <c r="A516" s="11" t="s">
        <v>2589</v>
      </c>
      <c r="B516" s="3" t="s">
        <v>70</v>
      </c>
      <c r="C516" s="11" t="s">
        <v>12</v>
      </c>
      <c r="D516" s="11" t="s">
        <v>130</v>
      </c>
      <c r="E516" s="3" t="s">
        <v>2652</v>
      </c>
      <c r="F516" s="4" t="s">
        <v>397</v>
      </c>
      <c r="G516" s="3" t="s">
        <v>2276</v>
      </c>
      <c r="H516" s="3" t="s">
        <v>2276</v>
      </c>
      <c r="I516" s="3" t="s">
        <v>2276</v>
      </c>
      <c r="J516" s="3" t="s">
        <v>2276</v>
      </c>
      <c r="K516" s="3" t="s">
        <v>2276</v>
      </c>
      <c r="L516" s="3" t="s">
        <v>2276</v>
      </c>
      <c r="M516" s="3" t="s">
        <v>2276</v>
      </c>
      <c r="N516" s="3" t="s">
        <v>2276</v>
      </c>
      <c r="O516" s="3" t="s">
        <v>2276</v>
      </c>
      <c r="P516" s="3" t="s">
        <v>2276</v>
      </c>
      <c r="Q516" s="3" t="s">
        <v>2276</v>
      </c>
      <c r="R516" s="3" t="s">
        <v>2276</v>
      </c>
      <c r="S516" s="3" t="s">
        <v>2276</v>
      </c>
      <c r="T516" s="3"/>
    </row>
    <row r="517" spans="1:20" ht="29">
      <c r="A517" s="11" t="s">
        <v>2590</v>
      </c>
      <c r="B517" s="3" t="s">
        <v>70</v>
      </c>
      <c r="C517" s="11" t="s">
        <v>12</v>
      </c>
      <c r="D517" s="11" t="s">
        <v>130</v>
      </c>
      <c r="E517" s="3" t="s">
        <v>2652</v>
      </c>
      <c r="F517" s="4" t="s">
        <v>397</v>
      </c>
      <c r="G517" s="3" t="s">
        <v>2276</v>
      </c>
      <c r="H517" s="3" t="s">
        <v>2276</v>
      </c>
      <c r="I517" s="3" t="s">
        <v>2276</v>
      </c>
      <c r="J517" s="3" t="s">
        <v>2276</v>
      </c>
      <c r="K517" s="3" t="s">
        <v>2276</v>
      </c>
      <c r="L517" s="3" t="s">
        <v>2276</v>
      </c>
      <c r="M517" s="3" t="s">
        <v>2276</v>
      </c>
      <c r="N517" s="3" t="s">
        <v>2276</v>
      </c>
      <c r="O517" s="3" t="s">
        <v>2276</v>
      </c>
      <c r="P517" s="3" t="s">
        <v>2276</v>
      </c>
      <c r="Q517" s="3" t="s">
        <v>2276</v>
      </c>
      <c r="R517" s="3" t="s">
        <v>2276</v>
      </c>
      <c r="S517" s="3" t="s">
        <v>2276</v>
      </c>
      <c r="T517" s="3"/>
    </row>
    <row r="518" spans="1:20" ht="29">
      <c r="A518" s="11" t="s">
        <v>2591</v>
      </c>
      <c r="B518" s="3" t="s">
        <v>70</v>
      </c>
      <c r="C518" s="11" t="s">
        <v>12</v>
      </c>
      <c r="D518" s="11" t="s">
        <v>130</v>
      </c>
      <c r="E518" s="3" t="s">
        <v>2652</v>
      </c>
      <c r="F518" s="4" t="s">
        <v>397</v>
      </c>
      <c r="G518" s="3" t="s">
        <v>2276</v>
      </c>
      <c r="H518" s="3" t="s">
        <v>2276</v>
      </c>
      <c r="I518" s="3" t="s">
        <v>2276</v>
      </c>
      <c r="J518" s="3" t="s">
        <v>2276</v>
      </c>
      <c r="K518" s="3" t="s">
        <v>2276</v>
      </c>
      <c r="L518" s="3" t="s">
        <v>2276</v>
      </c>
      <c r="M518" s="3" t="s">
        <v>2276</v>
      </c>
      <c r="N518" s="3" t="s">
        <v>2276</v>
      </c>
      <c r="O518" s="3" t="s">
        <v>2276</v>
      </c>
      <c r="P518" s="3" t="s">
        <v>2276</v>
      </c>
      <c r="Q518" s="3" t="s">
        <v>2276</v>
      </c>
      <c r="R518" s="3" t="s">
        <v>2276</v>
      </c>
      <c r="S518" s="3" t="s">
        <v>2276</v>
      </c>
      <c r="T518" s="3"/>
    </row>
    <row r="519" spans="1:20" ht="22.5" customHeight="1">
      <c r="A519" s="11" t="s">
        <v>2592</v>
      </c>
      <c r="B519" s="3" t="s">
        <v>69</v>
      </c>
      <c r="C519" s="11" t="s">
        <v>395</v>
      </c>
      <c r="D519" s="11" t="s">
        <v>130</v>
      </c>
      <c r="E519" s="3" t="s">
        <v>2276</v>
      </c>
      <c r="F519" s="3" t="s">
        <v>2276</v>
      </c>
      <c r="G519" s="3" t="s">
        <v>2276</v>
      </c>
      <c r="H519" s="3" t="s">
        <v>2276</v>
      </c>
      <c r="I519" s="3">
        <v>2</v>
      </c>
      <c r="J519" s="3" t="s">
        <v>2276</v>
      </c>
      <c r="K519" s="3" t="s">
        <v>2276</v>
      </c>
      <c r="L519" s="3" t="s">
        <v>2276</v>
      </c>
      <c r="M519" s="3" t="s">
        <v>2276</v>
      </c>
      <c r="N519" s="3" t="s">
        <v>2276</v>
      </c>
      <c r="O519" s="3" t="s">
        <v>2276</v>
      </c>
      <c r="P519" s="3" t="s">
        <v>2276</v>
      </c>
      <c r="Q519" s="3" t="s">
        <v>2276</v>
      </c>
      <c r="R519" s="3" t="s">
        <v>2276</v>
      </c>
      <c r="S519" s="3"/>
      <c r="T519" s="3"/>
    </row>
    <row r="520" spans="1:20" ht="22.5" customHeight="1">
      <c r="A520" s="11" t="s">
        <v>2593</v>
      </c>
      <c r="B520" s="3" t="s">
        <v>69</v>
      </c>
      <c r="C520" s="11" t="s">
        <v>395</v>
      </c>
      <c r="D520" s="11" t="s">
        <v>130</v>
      </c>
      <c r="E520" s="3" t="s">
        <v>2276</v>
      </c>
      <c r="F520" s="3" t="s">
        <v>2276</v>
      </c>
      <c r="G520" s="3" t="s">
        <v>2276</v>
      </c>
      <c r="H520" s="3" t="s">
        <v>2276</v>
      </c>
      <c r="I520" s="3">
        <v>2</v>
      </c>
      <c r="J520" s="3" t="s">
        <v>2276</v>
      </c>
      <c r="K520" s="3" t="s">
        <v>2276</v>
      </c>
      <c r="L520" s="3" t="s">
        <v>2276</v>
      </c>
      <c r="M520" s="3" t="s">
        <v>2276</v>
      </c>
      <c r="N520" s="3" t="s">
        <v>2276</v>
      </c>
      <c r="O520" s="3" t="s">
        <v>2276</v>
      </c>
      <c r="P520" s="3" t="s">
        <v>2276</v>
      </c>
      <c r="Q520" s="3" t="s">
        <v>2276</v>
      </c>
      <c r="R520" s="3" t="s">
        <v>2276</v>
      </c>
      <c r="S520" s="3"/>
      <c r="T520" s="3"/>
    </row>
    <row r="521" spans="1:20" ht="22.5" customHeight="1">
      <c r="A521" s="11" t="s">
        <v>2594</v>
      </c>
      <c r="B521" s="3" t="s">
        <v>69</v>
      </c>
      <c r="C521" s="11" t="s">
        <v>395</v>
      </c>
      <c r="D521" s="11" t="s">
        <v>130</v>
      </c>
      <c r="E521" s="3" t="s">
        <v>2276</v>
      </c>
      <c r="F521" s="3" t="s">
        <v>2276</v>
      </c>
      <c r="G521" s="3" t="s">
        <v>2276</v>
      </c>
      <c r="H521" s="3" t="s">
        <v>2276</v>
      </c>
      <c r="I521" s="3">
        <v>2</v>
      </c>
      <c r="J521" s="3" t="s">
        <v>2276</v>
      </c>
      <c r="K521" s="3" t="s">
        <v>2276</v>
      </c>
      <c r="L521" s="3" t="s">
        <v>2276</v>
      </c>
      <c r="M521" s="3" t="s">
        <v>2276</v>
      </c>
      <c r="N521" s="3" t="s">
        <v>2276</v>
      </c>
      <c r="O521" s="3" t="s">
        <v>2276</v>
      </c>
      <c r="P521" s="3" t="s">
        <v>2276</v>
      </c>
      <c r="Q521" s="3" t="s">
        <v>2276</v>
      </c>
      <c r="R521" s="3" t="s">
        <v>2276</v>
      </c>
      <c r="S521" s="3"/>
      <c r="T521" s="3"/>
    </row>
    <row r="522" spans="1:20" ht="32" customHeight="1">
      <c r="A522" s="11" t="s">
        <v>2595</v>
      </c>
      <c r="B522" s="3" t="s">
        <v>69</v>
      </c>
      <c r="C522" s="11" t="s">
        <v>395</v>
      </c>
      <c r="D522" s="11" t="s">
        <v>130</v>
      </c>
      <c r="E522" s="3" t="s">
        <v>2276</v>
      </c>
      <c r="F522" s="3" t="s">
        <v>2276</v>
      </c>
      <c r="G522" s="3" t="s">
        <v>2276</v>
      </c>
      <c r="H522" s="3" t="s">
        <v>2276</v>
      </c>
      <c r="I522" s="3">
        <v>2</v>
      </c>
      <c r="J522" s="3" t="s">
        <v>2276</v>
      </c>
      <c r="K522" s="3" t="s">
        <v>2276</v>
      </c>
      <c r="L522" s="3" t="s">
        <v>2276</v>
      </c>
      <c r="M522" s="3" t="s">
        <v>2276</v>
      </c>
      <c r="N522" s="3" t="s">
        <v>2276</v>
      </c>
      <c r="O522" s="3" t="s">
        <v>2276</v>
      </c>
      <c r="P522" s="3" t="s">
        <v>2276</v>
      </c>
      <c r="Q522" s="3" t="s">
        <v>2276</v>
      </c>
      <c r="R522" s="3" t="s">
        <v>2276</v>
      </c>
      <c r="S522" s="3"/>
      <c r="T522" s="3"/>
    </row>
    <row r="523" spans="1:20" ht="34.5" customHeight="1">
      <c r="A523" s="11" t="s">
        <v>2596</v>
      </c>
      <c r="B523" s="3" t="s">
        <v>69</v>
      </c>
      <c r="C523" s="11" t="s">
        <v>395</v>
      </c>
      <c r="D523" s="11" t="s">
        <v>130</v>
      </c>
      <c r="E523" s="3" t="s">
        <v>2276</v>
      </c>
      <c r="F523" s="3" t="s">
        <v>2276</v>
      </c>
      <c r="G523" s="3" t="s">
        <v>2276</v>
      </c>
      <c r="H523" s="3" t="s">
        <v>2276</v>
      </c>
      <c r="I523" s="3">
        <v>2</v>
      </c>
      <c r="J523" s="3" t="s">
        <v>2276</v>
      </c>
      <c r="K523" s="3" t="s">
        <v>2276</v>
      </c>
      <c r="L523" s="3" t="s">
        <v>2276</v>
      </c>
      <c r="M523" s="3" t="s">
        <v>2276</v>
      </c>
      <c r="N523" s="3" t="s">
        <v>2276</v>
      </c>
      <c r="O523" s="3" t="s">
        <v>2276</v>
      </c>
      <c r="P523" s="3" t="s">
        <v>2276</v>
      </c>
      <c r="Q523" s="3" t="s">
        <v>2276</v>
      </c>
      <c r="R523" s="3" t="s">
        <v>2276</v>
      </c>
      <c r="S523" s="3"/>
      <c r="T523" s="4"/>
    </row>
    <row r="524" spans="1:20" ht="41" customHeight="1">
      <c r="A524" s="11" t="s">
        <v>2624</v>
      </c>
      <c r="B524" s="3" t="s">
        <v>69</v>
      </c>
      <c r="C524" s="11" t="s">
        <v>12</v>
      </c>
      <c r="D524" s="11" t="s">
        <v>130</v>
      </c>
      <c r="E524" s="4" t="s">
        <v>396</v>
      </c>
      <c r="F524" s="3" t="s">
        <v>84</v>
      </c>
      <c r="G524" s="3" t="s">
        <v>2276</v>
      </c>
      <c r="H524" s="3" t="s">
        <v>2276</v>
      </c>
      <c r="I524" s="3">
        <f>0.9*3.1</f>
        <v>2.79</v>
      </c>
      <c r="J524" s="3" t="s">
        <v>2276</v>
      </c>
      <c r="K524" s="3" t="s">
        <v>534</v>
      </c>
      <c r="L524" s="3" t="s">
        <v>2276</v>
      </c>
      <c r="M524" s="3" t="s">
        <v>2276</v>
      </c>
      <c r="N524" s="3" t="s">
        <v>2276</v>
      </c>
      <c r="O524" s="3" t="s">
        <v>2276</v>
      </c>
      <c r="P524" s="3" t="s">
        <v>2276</v>
      </c>
      <c r="Q524" s="3" t="s">
        <v>2276</v>
      </c>
      <c r="R524" s="3" t="s">
        <v>2276</v>
      </c>
      <c r="S524" s="3" t="s">
        <v>2276</v>
      </c>
      <c r="T524" s="4" t="s">
        <v>2683</v>
      </c>
    </row>
    <row r="525" spans="1:20" ht="53.5" customHeight="1">
      <c r="A525" s="11" t="s">
        <v>2625</v>
      </c>
      <c r="B525" s="3" t="s">
        <v>2258</v>
      </c>
      <c r="C525" s="11" t="s">
        <v>12</v>
      </c>
      <c r="D525" s="11" t="s">
        <v>130</v>
      </c>
      <c r="E525" s="4" t="s">
        <v>396</v>
      </c>
      <c r="F525" s="3" t="s">
        <v>137</v>
      </c>
      <c r="G525" s="3" t="s">
        <v>84</v>
      </c>
      <c r="H525" s="3" t="s">
        <v>2276</v>
      </c>
      <c r="I525" s="3">
        <f>0.6*3.6</f>
        <v>2.16</v>
      </c>
      <c r="J525" s="3" t="s">
        <v>2276</v>
      </c>
      <c r="K525" s="3" t="s">
        <v>534</v>
      </c>
      <c r="L525" s="3" t="s">
        <v>2276</v>
      </c>
      <c r="M525" s="3" t="s">
        <v>2276</v>
      </c>
      <c r="N525" s="3" t="s">
        <v>2276</v>
      </c>
      <c r="O525" s="3" t="s">
        <v>2276</v>
      </c>
      <c r="P525" s="3" t="s">
        <v>2276</v>
      </c>
      <c r="Q525" s="3" t="s">
        <v>2276</v>
      </c>
      <c r="R525" s="3" t="s">
        <v>2276</v>
      </c>
      <c r="S525" s="3" t="s">
        <v>2276</v>
      </c>
      <c r="T525" s="4" t="s">
        <v>2684</v>
      </c>
    </row>
    <row r="526" spans="1:20" ht="51.5" customHeight="1">
      <c r="A526" s="11" t="s">
        <v>2678</v>
      </c>
      <c r="B526" s="3" t="s">
        <v>32</v>
      </c>
      <c r="C526" s="11" t="s">
        <v>12</v>
      </c>
      <c r="D526" s="11" t="s">
        <v>130</v>
      </c>
      <c r="E526" s="3" t="s">
        <v>2628</v>
      </c>
      <c r="F526" s="11" t="s">
        <v>2649</v>
      </c>
      <c r="G526" s="4" t="s">
        <v>397</v>
      </c>
      <c r="H526" s="3" t="s">
        <v>2276</v>
      </c>
      <c r="I526" s="3">
        <f>1*4.8</f>
        <v>4.8</v>
      </c>
      <c r="J526" s="3" t="s">
        <v>2276</v>
      </c>
      <c r="K526" s="3" t="s">
        <v>534</v>
      </c>
      <c r="L526" s="3" t="s">
        <v>2276</v>
      </c>
      <c r="M526" s="3" t="s">
        <v>2276</v>
      </c>
      <c r="N526" s="3" t="s">
        <v>2276</v>
      </c>
      <c r="O526" s="3" t="s">
        <v>2276</v>
      </c>
      <c r="P526" s="3" t="s">
        <v>2276</v>
      </c>
      <c r="Q526" s="3" t="s">
        <v>2276</v>
      </c>
      <c r="R526" s="3" t="s">
        <v>2276</v>
      </c>
      <c r="S526" s="3" t="s">
        <v>2276</v>
      </c>
      <c r="T526" s="4" t="s">
        <v>2679</v>
      </c>
    </row>
    <row r="527" spans="1:20" ht="48.5" customHeight="1">
      <c r="A527" s="11" t="s">
        <v>2682</v>
      </c>
      <c r="B527" s="3" t="s">
        <v>32</v>
      </c>
      <c r="C527" s="11" t="s">
        <v>12</v>
      </c>
      <c r="D527" s="11" t="s">
        <v>130</v>
      </c>
      <c r="E527" s="3" t="s">
        <v>2628</v>
      </c>
      <c r="F527" s="11" t="s">
        <v>2649</v>
      </c>
      <c r="G527" s="4" t="s">
        <v>397</v>
      </c>
      <c r="H527" s="3" t="s">
        <v>2276</v>
      </c>
      <c r="I527" s="3">
        <f>0.6*7.8</f>
        <v>4.68</v>
      </c>
      <c r="J527" s="3" t="s">
        <v>2276</v>
      </c>
      <c r="K527" s="3" t="s">
        <v>534</v>
      </c>
      <c r="L527" s="3" t="s">
        <v>2276</v>
      </c>
      <c r="M527" s="3" t="s">
        <v>2276</v>
      </c>
      <c r="N527" s="3" t="s">
        <v>2276</v>
      </c>
      <c r="O527" s="3" t="s">
        <v>2276</v>
      </c>
      <c r="P527" s="3" t="s">
        <v>2276</v>
      </c>
      <c r="Q527" s="3" t="s">
        <v>2276</v>
      </c>
      <c r="R527" s="3" t="s">
        <v>2276</v>
      </c>
      <c r="S527" s="3" t="s">
        <v>2276</v>
      </c>
      <c r="T527" s="4" t="s">
        <v>2680</v>
      </c>
    </row>
    <row r="528" spans="1:20" ht="34.5" customHeight="1">
      <c r="A528" s="11" t="s">
        <v>2707</v>
      </c>
      <c r="B528" s="3" t="s">
        <v>69</v>
      </c>
      <c r="C528" s="3" t="s">
        <v>12</v>
      </c>
      <c r="D528" s="11" t="s">
        <v>130</v>
      </c>
      <c r="E528" s="3" t="s">
        <v>137</v>
      </c>
      <c r="F528" s="3" t="s">
        <v>84</v>
      </c>
      <c r="G528" s="3" t="s">
        <v>2276</v>
      </c>
      <c r="H528" s="3" t="s">
        <v>2276</v>
      </c>
      <c r="I528" s="3" t="s">
        <v>2276</v>
      </c>
      <c r="J528" s="3" t="s">
        <v>2276</v>
      </c>
      <c r="K528" s="3" t="s">
        <v>2276</v>
      </c>
      <c r="L528" s="3" t="s">
        <v>2276</v>
      </c>
      <c r="M528" s="3" t="s">
        <v>2276</v>
      </c>
      <c r="N528" s="3" t="s">
        <v>2276</v>
      </c>
      <c r="O528" s="3" t="s">
        <v>2276</v>
      </c>
      <c r="P528" s="3" t="s">
        <v>2276</v>
      </c>
      <c r="Q528" s="3" t="s">
        <v>2276</v>
      </c>
      <c r="R528" s="3" t="s">
        <v>2276</v>
      </c>
      <c r="S528" s="3" t="s">
        <v>2276</v>
      </c>
      <c r="T528" s="3"/>
    </row>
    <row r="529" spans="1:20" ht="37" customHeight="1">
      <c r="A529" s="11" t="s">
        <v>2708</v>
      </c>
      <c r="B529" s="3" t="s">
        <v>69</v>
      </c>
      <c r="C529" s="3" t="s">
        <v>12</v>
      </c>
      <c r="D529" s="11" t="s">
        <v>130</v>
      </c>
      <c r="E529" s="3" t="s">
        <v>84</v>
      </c>
      <c r="F529" s="3" t="s">
        <v>2276</v>
      </c>
      <c r="G529" s="3" t="s">
        <v>2276</v>
      </c>
      <c r="H529" s="3" t="s">
        <v>2276</v>
      </c>
      <c r="I529" s="3" t="s">
        <v>2276</v>
      </c>
      <c r="J529" s="3" t="s">
        <v>2276</v>
      </c>
      <c r="K529" s="3" t="s">
        <v>2276</v>
      </c>
      <c r="L529" s="3" t="s">
        <v>2276</v>
      </c>
      <c r="M529" s="3" t="s">
        <v>2276</v>
      </c>
      <c r="N529" s="3" t="s">
        <v>2276</v>
      </c>
      <c r="O529" s="3" t="s">
        <v>2276</v>
      </c>
      <c r="P529" s="3" t="s">
        <v>2276</v>
      </c>
      <c r="Q529" s="3" t="s">
        <v>2276</v>
      </c>
      <c r="R529" s="3" t="s">
        <v>2276</v>
      </c>
      <c r="S529" s="3" t="s">
        <v>2276</v>
      </c>
      <c r="T529" s="3"/>
    </row>
    <row r="530" spans="1:20" ht="33" customHeight="1">
      <c r="A530" s="23" t="s">
        <v>2709</v>
      </c>
      <c r="B530" s="22" t="s">
        <v>70</v>
      </c>
      <c r="C530" s="22" t="s">
        <v>12</v>
      </c>
      <c r="D530" s="24" t="s">
        <v>84</v>
      </c>
      <c r="E530" s="22" t="s">
        <v>45</v>
      </c>
      <c r="F530" s="24" t="s">
        <v>130</v>
      </c>
      <c r="G530" s="22" t="s">
        <v>2276</v>
      </c>
      <c r="H530" s="22" t="s">
        <v>2276</v>
      </c>
      <c r="I530" s="22" t="s">
        <v>2276</v>
      </c>
      <c r="J530" s="22" t="s">
        <v>2276</v>
      </c>
      <c r="K530" s="22" t="s">
        <v>2276</v>
      </c>
      <c r="L530" s="22" t="s">
        <v>2276</v>
      </c>
      <c r="M530" s="22" t="s">
        <v>2276</v>
      </c>
      <c r="N530" s="22" t="s">
        <v>2276</v>
      </c>
      <c r="O530" s="22" t="s">
        <v>2276</v>
      </c>
      <c r="P530" s="22" t="s">
        <v>2276</v>
      </c>
      <c r="Q530" s="22" t="s">
        <v>2276</v>
      </c>
      <c r="R530" s="22" t="s">
        <v>2276</v>
      </c>
      <c r="S530" s="22" t="s">
        <v>2276</v>
      </c>
      <c r="T530" s="22"/>
    </row>
    <row r="531" spans="1:20" ht="33" customHeight="1">
      <c r="A531" s="23" t="s">
        <v>2724</v>
      </c>
      <c r="B531" s="22" t="s">
        <v>70</v>
      </c>
      <c r="C531" s="22" t="s">
        <v>12</v>
      </c>
      <c r="D531" s="24" t="s">
        <v>84</v>
      </c>
      <c r="E531" s="22" t="s">
        <v>45</v>
      </c>
      <c r="F531" s="24" t="s">
        <v>130</v>
      </c>
      <c r="G531" s="22" t="s">
        <v>2276</v>
      </c>
      <c r="H531" s="22" t="s">
        <v>2276</v>
      </c>
      <c r="I531" s="22" t="s">
        <v>2276</v>
      </c>
      <c r="J531" s="22" t="s">
        <v>2276</v>
      </c>
      <c r="K531" s="22" t="s">
        <v>2276</v>
      </c>
      <c r="L531" s="22" t="s">
        <v>2276</v>
      </c>
      <c r="M531" s="22" t="s">
        <v>2276</v>
      </c>
      <c r="N531" s="22" t="s">
        <v>2276</v>
      </c>
      <c r="O531" s="22" t="s">
        <v>2276</v>
      </c>
      <c r="P531" s="22" t="s">
        <v>2276</v>
      </c>
      <c r="Q531" s="22" t="s">
        <v>2276</v>
      </c>
      <c r="R531" s="22" t="s">
        <v>2276</v>
      </c>
      <c r="S531" s="22" t="s">
        <v>2276</v>
      </c>
      <c r="T531" s="8"/>
    </row>
    <row r="532" spans="1:20" ht="30" customHeight="1">
      <c r="A532" s="11" t="s">
        <v>2746</v>
      </c>
      <c r="B532" s="3" t="s">
        <v>2276</v>
      </c>
      <c r="C532" s="3" t="s">
        <v>12</v>
      </c>
      <c r="D532" s="11" t="s">
        <v>863</v>
      </c>
      <c r="E532" s="11" t="s">
        <v>116</v>
      </c>
      <c r="F532" s="3" t="s">
        <v>2276</v>
      </c>
      <c r="G532" s="3" t="s">
        <v>2276</v>
      </c>
      <c r="H532" s="3" t="s">
        <v>2276</v>
      </c>
      <c r="I532" s="3" t="s">
        <v>2276</v>
      </c>
      <c r="J532" s="3" t="s">
        <v>2276</v>
      </c>
      <c r="K532" s="3" t="s">
        <v>534</v>
      </c>
      <c r="L532" s="3" t="s">
        <v>2276</v>
      </c>
      <c r="M532" s="3" t="s">
        <v>2276</v>
      </c>
      <c r="N532" s="3" t="s">
        <v>2276</v>
      </c>
      <c r="O532" s="3" t="s">
        <v>2276</v>
      </c>
      <c r="P532" s="3" t="s">
        <v>2276</v>
      </c>
      <c r="Q532" s="3" t="s">
        <v>2276</v>
      </c>
      <c r="R532" s="3" t="s">
        <v>2276</v>
      </c>
      <c r="S532" s="3" t="s">
        <v>2276</v>
      </c>
      <c r="T532" s="3"/>
    </row>
    <row r="533" spans="1:20" ht="31.5" customHeight="1">
      <c r="A533" s="11" t="s">
        <v>2751</v>
      </c>
      <c r="B533" s="3" t="s">
        <v>2276</v>
      </c>
      <c r="C533" s="11" t="s">
        <v>395</v>
      </c>
      <c r="D533" s="11" t="s">
        <v>130</v>
      </c>
      <c r="E533" s="3" t="s">
        <v>2276</v>
      </c>
      <c r="F533" s="3" t="s">
        <v>2276</v>
      </c>
      <c r="G533" s="3" t="s">
        <v>2276</v>
      </c>
      <c r="H533" s="3" t="s">
        <v>2276</v>
      </c>
      <c r="I533" s="3">
        <f>3900/100^2</f>
        <v>0.39</v>
      </c>
      <c r="J533" s="3">
        <v>19.440000000000001</v>
      </c>
      <c r="K533" s="3" t="s">
        <v>2276</v>
      </c>
      <c r="L533" s="3" t="s">
        <v>2276</v>
      </c>
      <c r="M533" s="3" t="s">
        <v>2276</v>
      </c>
      <c r="N533" s="3" t="s">
        <v>2276</v>
      </c>
      <c r="O533" s="3" t="s">
        <v>2276</v>
      </c>
      <c r="P533" s="21">
        <f>100*3.9/'Record info'!K533</f>
        <v>15.6</v>
      </c>
      <c r="Q533" s="3" t="s">
        <v>2276</v>
      </c>
      <c r="R533" s="3" t="s">
        <v>2276</v>
      </c>
      <c r="S533" s="3" t="s">
        <v>2276</v>
      </c>
      <c r="T533" s="3" t="s">
        <v>2759</v>
      </c>
    </row>
    <row r="534" spans="1:20" ht="28.5" customHeight="1">
      <c r="A534" s="11" t="s">
        <v>2756</v>
      </c>
      <c r="B534" s="3" t="s">
        <v>2276</v>
      </c>
      <c r="C534" s="11" t="s">
        <v>395</v>
      </c>
      <c r="D534" s="11" t="s">
        <v>130</v>
      </c>
      <c r="E534" s="3" t="s">
        <v>2276</v>
      </c>
      <c r="F534" s="3" t="s">
        <v>2276</v>
      </c>
      <c r="G534" s="3" t="s">
        <v>2276</v>
      </c>
      <c r="H534" s="3" t="s">
        <v>2276</v>
      </c>
      <c r="I534" s="3" t="s">
        <v>2276</v>
      </c>
      <c r="J534" s="3" t="s">
        <v>2276</v>
      </c>
      <c r="K534" s="3" t="s">
        <v>2276</v>
      </c>
      <c r="L534" s="3" t="s">
        <v>2276</v>
      </c>
      <c r="M534" s="3" t="s">
        <v>2276</v>
      </c>
      <c r="N534" s="3" t="s">
        <v>2276</v>
      </c>
      <c r="O534" s="3" t="s">
        <v>2276</v>
      </c>
      <c r="P534" s="3" t="s">
        <v>2276</v>
      </c>
      <c r="Q534" s="3" t="s">
        <v>2276</v>
      </c>
      <c r="R534" s="3" t="s">
        <v>2276</v>
      </c>
      <c r="S534" s="3" t="s">
        <v>2276</v>
      </c>
      <c r="T534" s="3"/>
    </row>
    <row r="535" spans="1:20" ht="30.5" customHeight="1">
      <c r="A535" s="11" t="s">
        <v>2763</v>
      </c>
      <c r="B535" s="3" t="s">
        <v>2276</v>
      </c>
      <c r="C535" s="11" t="s">
        <v>395</v>
      </c>
      <c r="D535" s="11" t="s">
        <v>130</v>
      </c>
      <c r="E535" s="3" t="s">
        <v>116</v>
      </c>
      <c r="F535" s="3" t="s">
        <v>2276</v>
      </c>
      <c r="G535" s="3" t="s">
        <v>2276</v>
      </c>
      <c r="H535" s="3" t="s">
        <v>2276</v>
      </c>
      <c r="I535" s="3" t="s">
        <v>2276</v>
      </c>
      <c r="J535" s="3">
        <f>(((0.65+1.18)*'Land use'!Q535/100/2) + ((2.27+3.17+2.51+3.85) / 4 / 100 *P535))</f>
        <v>1.20804</v>
      </c>
      <c r="K535" s="3" t="s">
        <v>2276</v>
      </c>
      <c r="L535" s="3" t="s">
        <v>2276</v>
      </c>
      <c r="M535" s="3">
        <f>6.9+7.5</f>
        <v>14.4</v>
      </c>
      <c r="N535" s="3">
        <v>0</v>
      </c>
      <c r="O535" s="3">
        <v>0</v>
      </c>
      <c r="P535" s="21">
        <f>6.9+7.5</f>
        <v>14.4</v>
      </c>
      <c r="Q535" s="21">
        <f>100-P535</f>
        <v>85.6</v>
      </c>
      <c r="R535" s="3">
        <v>0</v>
      </c>
      <c r="S535" s="3" t="s">
        <v>2276</v>
      </c>
      <c r="T535" s="4" t="s">
        <v>2767</v>
      </c>
    </row>
    <row r="536" spans="1:20" ht="31" customHeight="1">
      <c r="A536" s="11" t="s">
        <v>2769</v>
      </c>
      <c r="B536" s="3" t="s">
        <v>32</v>
      </c>
      <c r="C536" s="11" t="s">
        <v>12</v>
      </c>
      <c r="D536" s="11" t="s">
        <v>130</v>
      </c>
      <c r="E536" s="4" t="s">
        <v>397</v>
      </c>
      <c r="F536" s="3" t="s">
        <v>2276</v>
      </c>
      <c r="G536" s="3" t="s">
        <v>2276</v>
      </c>
      <c r="H536" s="3" t="s">
        <v>2276</v>
      </c>
      <c r="I536" s="3">
        <v>0.85</v>
      </c>
      <c r="J536" s="3" t="s">
        <v>2276</v>
      </c>
      <c r="K536" s="3" t="s">
        <v>2276</v>
      </c>
      <c r="L536" s="3" t="s">
        <v>2276</v>
      </c>
      <c r="M536" s="3" t="s">
        <v>2276</v>
      </c>
      <c r="N536" s="3" t="s">
        <v>2276</v>
      </c>
      <c r="O536" s="3" t="s">
        <v>2276</v>
      </c>
      <c r="P536" s="3" t="s">
        <v>2276</v>
      </c>
      <c r="Q536" s="3" t="s">
        <v>2276</v>
      </c>
      <c r="R536" s="21">
        <v>40</v>
      </c>
      <c r="S536" s="21">
        <f>24/18</f>
        <v>1.3333333333333333</v>
      </c>
      <c r="T536" s="4" t="s">
        <v>2787</v>
      </c>
    </row>
    <row r="537" spans="1:20" ht="29">
      <c r="A537" s="11" t="s">
        <v>2773</v>
      </c>
      <c r="B537" s="3" t="s">
        <v>32</v>
      </c>
      <c r="C537" s="11" t="s">
        <v>12</v>
      </c>
      <c r="D537" s="11" t="s">
        <v>130</v>
      </c>
      <c r="E537" s="4" t="s">
        <v>397</v>
      </c>
      <c r="F537" s="3" t="s">
        <v>2276</v>
      </c>
      <c r="G537" s="3" t="s">
        <v>2276</v>
      </c>
      <c r="H537" s="3" t="s">
        <v>2276</v>
      </c>
      <c r="I537" s="3">
        <v>0.85</v>
      </c>
      <c r="J537" s="3" t="s">
        <v>2276</v>
      </c>
      <c r="K537" s="3" t="s">
        <v>2276</v>
      </c>
      <c r="L537" s="3" t="s">
        <v>2276</v>
      </c>
      <c r="M537" s="3" t="s">
        <v>2276</v>
      </c>
      <c r="N537" s="3" t="s">
        <v>2276</v>
      </c>
      <c r="O537" s="3" t="s">
        <v>2276</v>
      </c>
      <c r="P537" s="3" t="s">
        <v>2276</v>
      </c>
      <c r="Q537" s="3" t="s">
        <v>2276</v>
      </c>
      <c r="R537" s="21">
        <v>40</v>
      </c>
      <c r="S537" s="21">
        <f t="shared" ref="S537:S540" si="0">24/18</f>
        <v>1.3333333333333333</v>
      </c>
      <c r="T537" s="4" t="s">
        <v>2787</v>
      </c>
    </row>
    <row r="538" spans="1:20" ht="29">
      <c r="A538" s="11" t="s">
        <v>2774</v>
      </c>
      <c r="B538" s="3" t="s">
        <v>32</v>
      </c>
      <c r="C538" s="11" t="s">
        <v>12</v>
      </c>
      <c r="D538" s="11" t="s">
        <v>130</v>
      </c>
      <c r="E538" s="4" t="s">
        <v>397</v>
      </c>
      <c r="F538" s="3" t="s">
        <v>2276</v>
      </c>
      <c r="G538" s="3" t="s">
        <v>2276</v>
      </c>
      <c r="H538" s="3" t="s">
        <v>2276</v>
      </c>
      <c r="I538" s="3">
        <v>0.85</v>
      </c>
      <c r="J538" s="3" t="s">
        <v>2276</v>
      </c>
      <c r="K538" s="3" t="s">
        <v>2276</v>
      </c>
      <c r="L538" s="3" t="s">
        <v>2276</v>
      </c>
      <c r="M538" s="3" t="s">
        <v>2276</v>
      </c>
      <c r="N538" s="3" t="s">
        <v>2276</v>
      </c>
      <c r="O538" s="3" t="s">
        <v>2276</v>
      </c>
      <c r="P538" s="3" t="s">
        <v>2276</v>
      </c>
      <c r="Q538" s="3" t="s">
        <v>2276</v>
      </c>
      <c r="R538" s="21">
        <v>40</v>
      </c>
      <c r="S538" s="21">
        <f t="shared" si="0"/>
        <v>1.3333333333333333</v>
      </c>
      <c r="T538" s="4" t="s">
        <v>2787</v>
      </c>
    </row>
    <row r="539" spans="1:20" ht="29">
      <c r="A539" s="11" t="s">
        <v>2775</v>
      </c>
      <c r="B539" s="3" t="s">
        <v>32</v>
      </c>
      <c r="C539" s="11" t="s">
        <v>12</v>
      </c>
      <c r="D539" s="11" t="s">
        <v>130</v>
      </c>
      <c r="E539" s="4" t="s">
        <v>397</v>
      </c>
      <c r="F539" s="3" t="s">
        <v>2276</v>
      </c>
      <c r="G539" s="3" t="s">
        <v>2276</v>
      </c>
      <c r="H539" s="3" t="s">
        <v>2276</v>
      </c>
      <c r="I539" s="3">
        <v>0.85</v>
      </c>
      <c r="J539" s="3" t="s">
        <v>2276</v>
      </c>
      <c r="K539" s="3" t="s">
        <v>2276</v>
      </c>
      <c r="L539" s="3" t="s">
        <v>2276</v>
      </c>
      <c r="M539" s="3" t="s">
        <v>2276</v>
      </c>
      <c r="N539" s="3" t="s">
        <v>2276</v>
      </c>
      <c r="O539" s="3" t="s">
        <v>2276</v>
      </c>
      <c r="P539" s="3" t="s">
        <v>2276</v>
      </c>
      <c r="Q539" s="3" t="s">
        <v>2276</v>
      </c>
      <c r="R539" s="21">
        <v>40</v>
      </c>
      <c r="S539" s="21">
        <f t="shared" si="0"/>
        <v>1.3333333333333333</v>
      </c>
      <c r="T539" s="4" t="s">
        <v>2787</v>
      </c>
    </row>
    <row r="540" spans="1:20" ht="29">
      <c r="A540" s="11" t="s">
        <v>2776</v>
      </c>
      <c r="B540" s="3" t="s">
        <v>32</v>
      </c>
      <c r="C540" s="11" t="s">
        <v>12</v>
      </c>
      <c r="D540" s="11" t="s">
        <v>130</v>
      </c>
      <c r="E540" s="4" t="s">
        <v>397</v>
      </c>
      <c r="F540" s="3" t="s">
        <v>2276</v>
      </c>
      <c r="G540" s="3" t="s">
        <v>2276</v>
      </c>
      <c r="H540" s="3" t="s">
        <v>2276</v>
      </c>
      <c r="I540" s="3">
        <v>0.85</v>
      </c>
      <c r="J540" s="3" t="s">
        <v>2276</v>
      </c>
      <c r="K540" s="3" t="s">
        <v>2276</v>
      </c>
      <c r="L540" s="3" t="s">
        <v>2276</v>
      </c>
      <c r="M540" s="3" t="s">
        <v>2276</v>
      </c>
      <c r="N540" s="3" t="s">
        <v>2276</v>
      </c>
      <c r="O540" s="3" t="s">
        <v>2276</v>
      </c>
      <c r="P540" s="3" t="s">
        <v>2276</v>
      </c>
      <c r="Q540" s="3" t="s">
        <v>2276</v>
      </c>
      <c r="R540" s="21">
        <v>40</v>
      </c>
      <c r="S540" s="21">
        <f t="shared" si="0"/>
        <v>1.3333333333333333</v>
      </c>
      <c r="T540" s="4" t="s">
        <v>2787</v>
      </c>
    </row>
    <row r="541" spans="1:20" ht="31" customHeight="1">
      <c r="A541" s="11" t="s">
        <v>2796</v>
      </c>
      <c r="B541" s="3" t="s">
        <v>69</v>
      </c>
      <c r="C541" s="11" t="s">
        <v>12</v>
      </c>
      <c r="D541" s="3" t="s">
        <v>5005</v>
      </c>
      <c r="E541" s="4" t="s">
        <v>397</v>
      </c>
      <c r="F541" s="3" t="s">
        <v>2276</v>
      </c>
      <c r="G541" s="3" t="s">
        <v>2276</v>
      </c>
      <c r="H541" s="3" t="s">
        <v>2276</v>
      </c>
      <c r="I541" s="3" t="s">
        <v>2276</v>
      </c>
      <c r="J541" s="3" t="s">
        <v>2276</v>
      </c>
      <c r="K541" s="3" t="s">
        <v>2276</v>
      </c>
      <c r="L541" s="3" t="s">
        <v>2276</v>
      </c>
      <c r="M541" s="3" t="s">
        <v>2276</v>
      </c>
      <c r="N541" s="3" t="s">
        <v>2276</v>
      </c>
      <c r="O541" s="3" t="s">
        <v>2276</v>
      </c>
      <c r="P541" s="21">
        <v>0.3</v>
      </c>
      <c r="Q541" s="3" t="s">
        <v>2276</v>
      </c>
      <c r="R541" s="21">
        <v>97.4</v>
      </c>
      <c r="S541" s="3" t="s">
        <v>2276</v>
      </c>
      <c r="T541" s="3"/>
    </row>
    <row r="542" spans="1:20" ht="35.5" customHeight="1">
      <c r="A542" s="11" t="s">
        <v>2799</v>
      </c>
      <c r="B542" s="3" t="s">
        <v>69</v>
      </c>
      <c r="C542" s="11" t="s">
        <v>12</v>
      </c>
      <c r="D542" s="3" t="s">
        <v>5005</v>
      </c>
      <c r="E542" s="4" t="s">
        <v>397</v>
      </c>
      <c r="F542" s="3" t="s">
        <v>45</v>
      </c>
      <c r="G542" s="3" t="s">
        <v>863</v>
      </c>
      <c r="H542" s="3" t="s">
        <v>2276</v>
      </c>
      <c r="I542" s="3" t="s">
        <v>2276</v>
      </c>
      <c r="J542" s="3" t="s">
        <v>2276</v>
      </c>
      <c r="K542" s="3" t="s">
        <v>534</v>
      </c>
      <c r="L542" s="3" t="s">
        <v>2276</v>
      </c>
      <c r="M542" s="3" t="s">
        <v>2276</v>
      </c>
      <c r="N542" s="3" t="s">
        <v>2276</v>
      </c>
      <c r="O542" s="3" t="s">
        <v>2276</v>
      </c>
      <c r="P542" s="21">
        <v>0.5</v>
      </c>
      <c r="Q542" s="3" t="s">
        <v>2276</v>
      </c>
      <c r="R542" s="21">
        <f>27.3+21.4+35.5+13</f>
        <v>97.2</v>
      </c>
      <c r="S542" s="3" t="s">
        <v>2276</v>
      </c>
      <c r="T542" s="3" t="s">
        <v>2822</v>
      </c>
    </row>
    <row r="543" spans="1:20" ht="39.5" customHeight="1">
      <c r="A543" s="3" t="s">
        <v>2800</v>
      </c>
      <c r="B543" s="3" t="s">
        <v>32</v>
      </c>
      <c r="C543" s="11" t="s">
        <v>12</v>
      </c>
      <c r="D543" s="4" t="s">
        <v>397</v>
      </c>
      <c r="E543" s="3" t="s">
        <v>5005</v>
      </c>
      <c r="F543" s="3" t="s">
        <v>45</v>
      </c>
      <c r="G543" s="3" t="s">
        <v>863</v>
      </c>
      <c r="H543" s="3" t="s">
        <v>2276</v>
      </c>
      <c r="I543" s="3" t="s">
        <v>2276</v>
      </c>
      <c r="J543" s="3" t="s">
        <v>2276</v>
      </c>
      <c r="K543" s="3" t="s">
        <v>534</v>
      </c>
      <c r="L543" s="3" t="s">
        <v>2276</v>
      </c>
      <c r="M543" s="3" t="s">
        <v>2276</v>
      </c>
      <c r="N543" s="3" t="s">
        <v>2276</v>
      </c>
      <c r="O543" s="3" t="s">
        <v>2276</v>
      </c>
      <c r="P543" s="21">
        <v>1.1000000000000001</v>
      </c>
      <c r="Q543" s="3" t="s">
        <v>2276</v>
      </c>
      <c r="R543" s="21">
        <f>25.2+26.6+36.8+7</f>
        <v>95.6</v>
      </c>
      <c r="S543" s="3" t="s">
        <v>2276</v>
      </c>
      <c r="T543" s="3" t="s">
        <v>2822</v>
      </c>
    </row>
    <row r="544" spans="1:20" ht="37" customHeight="1">
      <c r="A544" s="11" t="s">
        <v>2810</v>
      </c>
      <c r="B544" s="3" t="s">
        <v>69</v>
      </c>
      <c r="C544" s="11" t="s">
        <v>12</v>
      </c>
      <c r="D544" s="3" t="s">
        <v>5005</v>
      </c>
      <c r="E544" s="4" t="s">
        <v>397</v>
      </c>
      <c r="F544" s="3" t="s">
        <v>2276</v>
      </c>
      <c r="G544" s="3" t="s">
        <v>2276</v>
      </c>
      <c r="H544" s="3" t="s">
        <v>2276</v>
      </c>
      <c r="I544" s="3">
        <v>2.25</v>
      </c>
      <c r="J544" s="3" t="s">
        <v>2276</v>
      </c>
      <c r="K544" s="3" t="s">
        <v>2276</v>
      </c>
      <c r="L544" s="3" t="s">
        <v>2276</v>
      </c>
      <c r="M544" s="3" t="s">
        <v>2276</v>
      </c>
      <c r="N544" s="3" t="s">
        <v>2276</v>
      </c>
      <c r="O544" s="3" t="s">
        <v>2276</v>
      </c>
      <c r="P544" s="3" t="s">
        <v>2276</v>
      </c>
      <c r="Q544" s="3" t="s">
        <v>2276</v>
      </c>
      <c r="R544" s="3" t="s">
        <v>2276</v>
      </c>
      <c r="S544" s="3" t="s">
        <v>2276</v>
      </c>
      <c r="T544" s="4" t="s">
        <v>2837</v>
      </c>
    </row>
    <row r="545" spans="1:20" ht="32" customHeight="1">
      <c r="A545" s="11" t="s">
        <v>2811</v>
      </c>
      <c r="B545" s="3" t="s">
        <v>69</v>
      </c>
      <c r="C545" s="11" t="s">
        <v>12</v>
      </c>
      <c r="D545" s="3" t="s">
        <v>5005</v>
      </c>
      <c r="E545" s="4" t="s">
        <v>397</v>
      </c>
      <c r="F545" s="3" t="s">
        <v>2276</v>
      </c>
      <c r="G545" s="3" t="s">
        <v>2276</v>
      </c>
      <c r="H545" s="3" t="s">
        <v>2276</v>
      </c>
      <c r="I545" s="3">
        <v>1.1000000000000001</v>
      </c>
      <c r="J545" s="3" t="s">
        <v>2276</v>
      </c>
      <c r="K545" s="3" t="s">
        <v>2276</v>
      </c>
      <c r="L545" s="3" t="s">
        <v>2276</v>
      </c>
      <c r="M545" s="3" t="s">
        <v>2276</v>
      </c>
      <c r="N545" s="3" t="s">
        <v>2276</v>
      </c>
      <c r="O545" s="3" t="s">
        <v>2276</v>
      </c>
      <c r="P545" s="3" t="s">
        <v>2276</v>
      </c>
      <c r="Q545" s="3" t="s">
        <v>2276</v>
      </c>
      <c r="R545" s="3" t="s">
        <v>2276</v>
      </c>
      <c r="S545" s="3" t="s">
        <v>2276</v>
      </c>
      <c r="T545" s="4" t="s">
        <v>2837</v>
      </c>
    </row>
    <row r="546" spans="1:20" ht="38" customHeight="1">
      <c r="A546" s="11" t="s">
        <v>2812</v>
      </c>
      <c r="B546" s="3" t="s">
        <v>69</v>
      </c>
      <c r="C546" s="11" t="s">
        <v>12</v>
      </c>
      <c r="D546" s="3" t="s">
        <v>5005</v>
      </c>
      <c r="E546" s="4" t="s">
        <v>397</v>
      </c>
      <c r="F546" s="3" t="s">
        <v>2276</v>
      </c>
      <c r="G546" s="3" t="s">
        <v>2276</v>
      </c>
      <c r="H546" s="3" t="s">
        <v>2276</v>
      </c>
      <c r="I546" s="3">
        <v>1.5</v>
      </c>
      <c r="J546" s="3" t="s">
        <v>2276</v>
      </c>
      <c r="K546" s="3" t="s">
        <v>2276</v>
      </c>
      <c r="L546" s="3" t="s">
        <v>2276</v>
      </c>
      <c r="M546" s="3" t="s">
        <v>2276</v>
      </c>
      <c r="N546" s="3" t="s">
        <v>2276</v>
      </c>
      <c r="O546" s="3" t="s">
        <v>2276</v>
      </c>
      <c r="P546" s="3" t="s">
        <v>2276</v>
      </c>
      <c r="Q546" s="3" t="s">
        <v>2276</v>
      </c>
      <c r="R546" s="3" t="s">
        <v>2276</v>
      </c>
      <c r="S546" s="3" t="s">
        <v>2276</v>
      </c>
      <c r="T546" s="4" t="s">
        <v>2837</v>
      </c>
    </row>
    <row r="547" spans="1:20" ht="36.5" customHeight="1">
      <c r="A547" s="11" t="s">
        <v>2813</v>
      </c>
      <c r="B547" s="3" t="s">
        <v>69</v>
      </c>
      <c r="C547" s="11" t="s">
        <v>12</v>
      </c>
      <c r="D547" s="3" t="s">
        <v>5005</v>
      </c>
      <c r="E547" s="4" t="s">
        <v>397</v>
      </c>
      <c r="F547" s="3" t="s">
        <v>2276</v>
      </c>
      <c r="G547" s="3" t="s">
        <v>2276</v>
      </c>
      <c r="H547" s="3" t="s">
        <v>2276</v>
      </c>
      <c r="I547" s="3">
        <v>1.25</v>
      </c>
      <c r="J547" s="3" t="s">
        <v>2276</v>
      </c>
      <c r="K547" s="3" t="s">
        <v>2276</v>
      </c>
      <c r="L547" s="3" t="s">
        <v>2276</v>
      </c>
      <c r="M547" s="3" t="s">
        <v>2276</v>
      </c>
      <c r="N547" s="3" t="s">
        <v>2276</v>
      </c>
      <c r="O547" s="3" t="s">
        <v>2276</v>
      </c>
      <c r="P547" s="3" t="s">
        <v>2276</v>
      </c>
      <c r="Q547" s="3" t="s">
        <v>2276</v>
      </c>
      <c r="R547" s="3" t="s">
        <v>2276</v>
      </c>
      <c r="S547" s="3" t="s">
        <v>2276</v>
      </c>
      <c r="T547" s="4" t="s">
        <v>2837</v>
      </c>
    </row>
    <row r="548" spans="1:20" ht="41" customHeight="1">
      <c r="A548" s="11" t="s">
        <v>2814</v>
      </c>
      <c r="B548" s="3" t="s">
        <v>69</v>
      </c>
      <c r="C548" s="11" t="s">
        <v>12</v>
      </c>
      <c r="D548" s="3" t="s">
        <v>5005</v>
      </c>
      <c r="E548" s="4" t="s">
        <v>397</v>
      </c>
      <c r="F548" s="3" t="s">
        <v>2276</v>
      </c>
      <c r="G548" s="3" t="s">
        <v>2276</v>
      </c>
      <c r="H548" s="3" t="s">
        <v>2276</v>
      </c>
      <c r="I548" s="3">
        <v>1</v>
      </c>
      <c r="J548" s="3" t="s">
        <v>2276</v>
      </c>
      <c r="K548" s="3" t="s">
        <v>2276</v>
      </c>
      <c r="L548" s="3" t="s">
        <v>2276</v>
      </c>
      <c r="M548" s="3" t="s">
        <v>2276</v>
      </c>
      <c r="N548" s="3" t="s">
        <v>2276</v>
      </c>
      <c r="O548" s="3" t="s">
        <v>2276</v>
      </c>
      <c r="P548" s="3" t="s">
        <v>2276</v>
      </c>
      <c r="Q548" s="3" t="s">
        <v>2276</v>
      </c>
      <c r="R548" s="3" t="s">
        <v>2276</v>
      </c>
      <c r="S548" s="3" t="s">
        <v>2276</v>
      </c>
      <c r="T548" s="4" t="s">
        <v>2837</v>
      </c>
    </row>
    <row r="549" spans="1:20" ht="38" customHeight="1">
      <c r="A549" s="11" t="s">
        <v>2821</v>
      </c>
      <c r="B549" s="3" t="s">
        <v>69</v>
      </c>
      <c r="C549" s="3" t="s">
        <v>395</v>
      </c>
      <c r="D549" s="3" t="s">
        <v>5005</v>
      </c>
      <c r="E549" s="3" t="s">
        <v>2276</v>
      </c>
      <c r="F549" s="3" t="s">
        <v>2276</v>
      </c>
      <c r="G549" s="3" t="s">
        <v>2276</v>
      </c>
      <c r="H549" s="3" t="s">
        <v>2276</v>
      </c>
      <c r="I549" s="3" t="s">
        <v>2276</v>
      </c>
      <c r="J549" s="3" t="s">
        <v>2276</v>
      </c>
      <c r="K549" s="3" t="s">
        <v>2276</v>
      </c>
      <c r="L549" s="3" t="s">
        <v>2276</v>
      </c>
      <c r="M549" s="3" t="s">
        <v>2276</v>
      </c>
      <c r="N549" s="3" t="s">
        <v>2276</v>
      </c>
      <c r="O549" s="3" t="s">
        <v>2276</v>
      </c>
      <c r="P549" s="3" t="s">
        <v>2276</v>
      </c>
      <c r="Q549" s="3" t="s">
        <v>2276</v>
      </c>
      <c r="R549" s="3" t="s">
        <v>2276</v>
      </c>
      <c r="S549" s="3" t="s">
        <v>2276</v>
      </c>
      <c r="T549" s="3"/>
    </row>
    <row r="550" spans="1:20" ht="40.5" customHeight="1">
      <c r="A550" s="3" t="s">
        <v>2839</v>
      </c>
      <c r="B550" s="3" t="s">
        <v>69</v>
      </c>
      <c r="C550" s="3" t="s">
        <v>395</v>
      </c>
      <c r="D550" s="11" t="s">
        <v>130</v>
      </c>
      <c r="E550" s="3" t="s">
        <v>2276</v>
      </c>
      <c r="F550" s="3" t="s">
        <v>2276</v>
      </c>
      <c r="G550" s="3" t="s">
        <v>2276</v>
      </c>
      <c r="H550" s="3" t="s">
        <v>2276</v>
      </c>
      <c r="I550" s="3">
        <v>0.40400000000000003</v>
      </c>
      <c r="J550" s="3" t="s">
        <v>2276</v>
      </c>
      <c r="K550" s="3" t="s">
        <v>537</v>
      </c>
      <c r="L550" s="3" t="s">
        <v>2276</v>
      </c>
      <c r="M550" s="3" t="s">
        <v>2276</v>
      </c>
      <c r="N550" s="3" t="s">
        <v>2276</v>
      </c>
      <c r="O550" s="3" t="s">
        <v>2276</v>
      </c>
      <c r="P550" s="3" t="s">
        <v>2276</v>
      </c>
      <c r="Q550" s="3" t="s">
        <v>2276</v>
      </c>
      <c r="R550" s="3" t="s">
        <v>2276</v>
      </c>
      <c r="S550" s="3" t="s">
        <v>2276</v>
      </c>
      <c r="T550" s="3"/>
    </row>
    <row r="551" spans="1:20" ht="40" customHeight="1">
      <c r="A551" s="3" t="s">
        <v>2840</v>
      </c>
      <c r="B551" s="3" t="s">
        <v>69</v>
      </c>
      <c r="C551" s="3" t="s">
        <v>395</v>
      </c>
      <c r="D551" s="11" t="s">
        <v>130</v>
      </c>
      <c r="E551" s="3" t="s">
        <v>2276</v>
      </c>
      <c r="F551" s="3" t="s">
        <v>2276</v>
      </c>
      <c r="G551" s="3" t="s">
        <v>2276</v>
      </c>
      <c r="H551" s="3" t="s">
        <v>2276</v>
      </c>
      <c r="I551" s="3">
        <v>0.32300000000000001</v>
      </c>
      <c r="J551" s="3" t="s">
        <v>2276</v>
      </c>
      <c r="K551" s="3" t="s">
        <v>537</v>
      </c>
      <c r="L551" s="3" t="s">
        <v>2276</v>
      </c>
      <c r="M551" s="3" t="s">
        <v>2276</v>
      </c>
      <c r="N551" s="3" t="s">
        <v>2276</v>
      </c>
      <c r="O551" s="3" t="s">
        <v>2276</v>
      </c>
      <c r="P551" s="3" t="s">
        <v>2276</v>
      </c>
      <c r="Q551" s="3" t="s">
        <v>2276</v>
      </c>
      <c r="R551" s="3" t="s">
        <v>2276</v>
      </c>
      <c r="S551" s="3" t="s">
        <v>2276</v>
      </c>
      <c r="T551" s="3"/>
    </row>
    <row r="552" spans="1:20" ht="40" customHeight="1">
      <c r="A552" s="19" t="s">
        <v>2848</v>
      </c>
      <c r="B552" s="3" t="s">
        <v>2276</v>
      </c>
      <c r="C552" s="4" t="s">
        <v>12</v>
      </c>
      <c r="D552" s="4" t="s">
        <v>397</v>
      </c>
      <c r="E552" s="4" t="s">
        <v>130</v>
      </c>
      <c r="F552" s="3" t="s">
        <v>2276</v>
      </c>
      <c r="G552" s="3" t="s">
        <v>2276</v>
      </c>
      <c r="H552" s="3" t="s">
        <v>2276</v>
      </c>
      <c r="I552" s="3" t="s">
        <v>2276</v>
      </c>
      <c r="J552" s="3" t="s">
        <v>2276</v>
      </c>
      <c r="K552" s="3" t="s">
        <v>2276</v>
      </c>
      <c r="L552" s="3" t="s">
        <v>2276</v>
      </c>
      <c r="M552" s="3" t="s">
        <v>2276</v>
      </c>
      <c r="N552" s="3" t="s">
        <v>2276</v>
      </c>
      <c r="O552" s="3" t="s">
        <v>2276</v>
      </c>
      <c r="P552" s="3" t="s">
        <v>2276</v>
      </c>
      <c r="Q552" s="3" t="s">
        <v>2276</v>
      </c>
      <c r="R552" s="3" t="s">
        <v>2276</v>
      </c>
      <c r="S552" s="3" t="s">
        <v>2276</v>
      </c>
      <c r="T552" s="4"/>
    </row>
    <row r="553" spans="1:20" ht="35" customHeight="1">
      <c r="A553" s="11" t="s">
        <v>2863</v>
      </c>
      <c r="B553" s="3" t="s">
        <v>69</v>
      </c>
      <c r="C553" s="3" t="s">
        <v>12</v>
      </c>
      <c r="D553" s="11" t="s">
        <v>130</v>
      </c>
      <c r="E553" s="4" t="s">
        <v>397</v>
      </c>
      <c r="F553" s="4" t="s">
        <v>396</v>
      </c>
      <c r="G553" s="3" t="s">
        <v>2276</v>
      </c>
      <c r="H553" s="3" t="s">
        <v>2276</v>
      </c>
      <c r="I553" s="3">
        <v>3.34</v>
      </c>
      <c r="J553" s="3">
        <v>0.99</v>
      </c>
      <c r="K553" s="3" t="s">
        <v>2276</v>
      </c>
      <c r="L553" s="3" t="s">
        <v>2276</v>
      </c>
      <c r="M553" s="3" t="s">
        <v>2276</v>
      </c>
      <c r="N553" s="3" t="s">
        <v>2276</v>
      </c>
      <c r="O553" s="3" t="s">
        <v>2276</v>
      </c>
      <c r="P553" s="3" t="s">
        <v>2276</v>
      </c>
      <c r="Q553" s="3" t="s">
        <v>2276</v>
      </c>
      <c r="R553" s="3" t="s">
        <v>2276</v>
      </c>
      <c r="S553" s="3" t="s">
        <v>2276</v>
      </c>
      <c r="T553" s="4" t="s">
        <v>2871</v>
      </c>
    </row>
    <row r="554" spans="1:20" ht="34" customHeight="1">
      <c r="A554" s="11" t="s">
        <v>2870</v>
      </c>
      <c r="B554" s="3" t="s">
        <v>69</v>
      </c>
      <c r="C554" s="3" t="s">
        <v>12</v>
      </c>
      <c r="D554" s="11" t="s">
        <v>130</v>
      </c>
      <c r="E554" s="4" t="s">
        <v>396</v>
      </c>
      <c r="F554" s="3" t="s">
        <v>2276</v>
      </c>
      <c r="G554" s="3" t="s">
        <v>2276</v>
      </c>
      <c r="H554" s="3" t="s">
        <v>2276</v>
      </c>
      <c r="I554" s="3" t="s">
        <v>2276</v>
      </c>
      <c r="J554" s="3">
        <v>2.3919999999999999</v>
      </c>
      <c r="K554" s="3" t="s">
        <v>2276</v>
      </c>
      <c r="L554" s="3" t="s">
        <v>2276</v>
      </c>
      <c r="M554" s="3" t="s">
        <v>2276</v>
      </c>
      <c r="N554" s="3" t="s">
        <v>2276</v>
      </c>
      <c r="O554" s="3" t="s">
        <v>2276</v>
      </c>
      <c r="P554" s="3" t="s">
        <v>2276</v>
      </c>
      <c r="Q554" s="3" t="s">
        <v>2276</v>
      </c>
      <c r="R554" s="3" t="s">
        <v>2276</v>
      </c>
      <c r="S554" s="3" t="s">
        <v>2276</v>
      </c>
      <c r="T554" s="4" t="s">
        <v>2872</v>
      </c>
    </row>
    <row r="555" spans="1:20" ht="37.5" customHeight="1">
      <c r="A555" s="11" t="s">
        <v>2881</v>
      </c>
      <c r="B555" s="3" t="s">
        <v>69</v>
      </c>
      <c r="C555" s="3" t="s">
        <v>395</v>
      </c>
      <c r="D555" s="11" t="s">
        <v>130</v>
      </c>
      <c r="E555" s="3" t="s">
        <v>2276</v>
      </c>
      <c r="F555" s="3" t="s">
        <v>2276</v>
      </c>
      <c r="G555" s="3" t="s">
        <v>2276</v>
      </c>
      <c r="H555" s="3" t="s">
        <v>2276</v>
      </c>
      <c r="I555" s="3" t="s">
        <v>2276</v>
      </c>
      <c r="J555" s="3" t="s">
        <v>2276</v>
      </c>
      <c r="K555" s="3" t="s">
        <v>2276</v>
      </c>
      <c r="L555" s="3" t="s">
        <v>2276</v>
      </c>
      <c r="M555" s="3" t="s">
        <v>2276</v>
      </c>
      <c r="N555" s="3" t="s">
        <v>2276</v>
      </c>
      <c r="O555" s="3" t="s">
        <v>2276</v>
      </c>
      <c r="P555" s="3" t="s">
        <v>2276</v>
      </c>
      <c r="Q555" s="3" t="s">
        <v>2276</v>
      </c>
      <c r="R555" s="3" t="s">
        <v>2276</v>
      </c>
      <c r="S555" s="3" t="s">
        <v>2276</v>
      </c>
      <c r="T555" s="3"/>
    </row>
    <row r="556" spans="1:20" ht="31.5" customHeight="1">
      <c r="A556" s="11" t="s">
        <v>2886</v>
      </c>
      <c r="B556" s="11" t="s">
        <v>2258</v>
      </c>
      <c r="C556" s="3" t="s">
        <v>12</v>
      </c>
      <c r="D556" s="3" t="s">
        <v>130</v>
      </c>
      <c r="E556" s="4" t="s">
        <v>396</v>
      </c>
      <c r="F556" s="4" t="s">
        <v>2649</v>
      </c>
      <c r="G556" s="3" t="s">
        <v>137</v>
      </c>
      <c r="H556" s="3" t="s">
        <v>2276</v>
      </c>
      <c r="I556" s="3" t="s">
        <v>2276</v>
      </c>
      <c r="J556" s="3" t="s">
        <v>2276</v>
      </c>
      <c r="K556" s="3" t="s">
        <v>534</v>
      </c>
      <c r="L556" s="3" t="s">
        <v>2276</v>
      </c>
      <c r="M556" s="3" t="s">
        <v>2276</v>
      </c>
      <c r="N556" s="3" t="s">
        <v>2276</v>
      </c>
      <c r="O556" s="3" t="s">
        <v>2276</v>
      </c>
      <c r="P556" s="3" t="s">
        <v>2276</v>
      </c>
      <c r="Q556" s="3" t="s">
        <v>2276</v>
      </c>
      <c r="R556" s="3" t="s">
        <v>2276</v>
      </c>
      <c r="S556" s="3" t="s">
        <v>2276</v>
      </c>
      <c r="T556" s="3"/>
    </row>
    <row r="557" spans="1:20" ht="31.5" customHeight="1">
      <c r="A557" s="11" t="s">
        <v>2887</v>
      </c>
      <c r="B557" s="11" t="s">
        <v>2258</v>
      </c>
      <c r="C557" s="3" t="s">
        <v>12</v>
      </c>
      <c r="D557" s="3" t="s">
        <v>130</v>
      </c>
      <c r="E557" s="4" t="s">
        <v>396</v>
      </c>
      <c r="F557" s="4" t="s">
        <v>2649</v>
      </c>
      <c r="G557" s="3" t="s">
        <v>137</v>
      </c>
      <c r="H557" s="3" t="s">
        <v>2276</v>
      </c>
      <c r="I557" s="3" t="s">
        <v>2276</v>
      </c>
      <c r="J557" s="3" t="s">
        <v>2276</v>
      </c>
      <c r="K557" s="3" t="s">
        <v>534</v>
      </c>
      <c r="L557" s="3" t="s">
        <v>2276</v>
      </c>
      <c r="M557" s="3" t="s">
        <v>2276</v>
      </c>
      <c r="N557" s="3" t="s">
        <v>2276</v>
      </c>
      <c r="O557" s="3" t="s">
        <v>2276</v>
      </c>
      <c r="P557" s="3" t="s">
        <v>2276</v>
      </c>
      <c r="Q557" s="3" t="s">
        <v>2276</v>
      </c>
      <c r="R557" s="3" t="s">
        <v>2276</v>
      </c>
      <c r="S557" s="3" t="s">
        <v>2276</v>
      </c>
      <c r="T557" s="3"/>
    </row>
    <row r="558" spans="1:20" ht="35" customHeight="1">
      <c r="A558" s="11" t="s">
        <v>2888</v>
      </c>
      <c r="B558" s="11" t="s">
        <v>2258</v>
      </c>
      <c r="C558" s="3" t="s">
        <v>12</v>
      </c>
      <c r="D558" s="3" t="s">
        <v>130</v>
      </c>
      <c r="E558" s="4" t="s">
        <v>396</v>
      </c>
      <c r="F558" s="4" t="s">
        <v>2649</v>
      </c>
      <c r="G558" s="3" t="s">
        <v>137</v>
      </c>
      <c r="H558" s="3" t="s">
        <v>2276</v>
      </c>
      <c r="I558" s="3" t="s">
        <v>2276</v>
      </c>
      <c r="J558" s="3" t="s">
        <v>2276</v>
      </c>
      <c r="K558" s="3" t="s">
        <v>534</v>
      </c>
      <c r="L558" s="3" t="s">
        <v>2276</v>
      </c>
      <c r="M558" s="3" t="s">
        <v>2276</v>
      </c>
      <c r="N558" s="3" t="s">
        <v>2276</v>
      </c>
      <c r="O558" s="3" t="s">
        <v>2276</v>
      </c>
      <c r="P558" s="3" t="s">
        <v>2276</v>
      </c>
      <c r="Q558" s="3" t="s">
        <v>2276</v>
      </c>
      <c r="R558" s="3" t="s">
        <v>2276</v>
      </c>
      <c r="S558" s="3" t="s">
        <v>2276</v>
      </c>
      <c r="T558" s="3"/>
    </row>
    <row r="559" spans="1:20" ht="36" customHeight="1">
      <c r="A559" s="11" t="s">
        <v>2924</v>
      </c>
      <c r="B559" s="3" t="s">
        <v>1197</v>
      </c>
      <c r="C559" s="3" t="s">
        <v>2646</v>
      </c>
      <c r="D559" s="3" t="s">
        <v>137</v>
      </c>
      <c r="E559" s="3" t="s">
        <v>2649</v>
      </c>
      <c r="F559" s="3" t="s">
        <v>2276</v>
      </c>
      <c r="G559" s="3" t="s">
        <v>2276</v>
      </c>
      <c r="H559" s="3" t="s">
        <v>2276</v>
      </c>
      <c r="I559" s="3" t="s">
        <v>2276</v>
      </c>
      <c r="J559" s="3" t="s">
        <v>2276</v>
      </c>
      <c r="K559" s="3" t="s">
        <v>534</v>
      </c>
      <c r="L559" s="3" t="s">
        <v>2276</v>
      </c>
      <c r="M559" s="3" t="s">
        <v>2276</v>
      </c>
      <c r="N559" s="3" t="s">
        <v>2276</v>
      </c>
      <c r="O559" s="3" t="s">
        <v>2276</v>
      </c>
      <c r="P559" s="3" t="s">
        <v>2276</v>
      </c>
      <c r="Q559" s="3" t="s">
        <v>2276</v>
      </c>
      <c r="R559" s="3" t="s">
        <v>2276</v>
      </c>
      <c r="S559" s="3" t="s">
        <v>2276</v>
      </c>
      <c r="T559" s="3" t="s">
        <v>2931</v>
      </c>
    </row>
    <row r="560" spans="1:20" ht="35.5" customHeight="1">
      <c r="A560" s="11" t="s">
        <v>2934</v>
      </c>
      <c r="B560" s="3" t="s">
        <v>2258</v>
      </c>
      <c r="C560" s="11" t="s">
        <v>12</v>
      </c>
      <c r="D560" s="11" t="s">
        <v>130</v>
      </c>
      <c r="E560" s="19" t="s">
        <v>863</v>
      </c>
      <c r="F560" s="19" t="s">
        <v>396</v>
      </c>
      <c r="G560" s="3" t="s">
        <v>2276</v>
      </c>
      <c r="H560" s="3" t="s">
        <v>2276</v>
      </c>
      <c r="I560" s="3">
        <f>AVERAGE(6.9, 9.5, 4.9, 8.6)</f>
        <v>7.4749999999999996</v>
      </c>
      <c r="J560" s="3" t="s">
        <v>2276</v>
      </c>
      <c r="K560" s="3" t="s">
        <v>534</v>
      </c>
      <c r="L560" s="3" t="s">
        <v>2276</v>
      </c>
      <c r="M560" s="3" t="s">
        <v>2276</v>
      </c>
      <c r="N560" s="21">
        <f>(100*((460-20) + 60)/866) * 27/(27+56)</f>
        <v>18.781824758618772</v>
      </c>
      <c r="O560" s="3" t="s">
        <v>2276</v>
      </c>
      <c r="P560" s="21">
        <f>100*(130/866)</f>
        <v>15.011547344110854</v>
      </c>
      <c r="Q560" s="21">
        <f>(100*((460-20) + 60)/866) * 56/(27+56)</f>
        <v>38.954895795653748</v>
      </c>
      <c r="R560" s="21">
        <f>100*(20+145)/866</f>
        <v>19.053117782909929</v>
      </c>
      <c r="S560" s="21">
        <f>((100*(40+175)/866)-R560) / 13</f>
        <v>0.44412861964825012</v>
      </c>
      <c r="T560" s="4" t="s">
        <v>2940</v>
      </c>
    </row>
    <row r="561" spans="1:20" ht="33.5" customHeight="1">
      <c r="A561" s="11" t="s">
        <v>2936</v>
      </c>
      <c r="B561" s="3" t="s">
        <v>2258</v>
      </c>
      <c r="C561" s="11" t="s">
        <v>12</v>
      </c>
      <c r="D561" s="11" t="s">
        <v>130</v>
      </c>
      <c r="E561" s="19" t="s">
        <v>863</v>
      </c>
      <c r="F561" s="19" t="s">
        <v>396</v>
      </c>
      <c r="G561" s="3" t="s">
        <v>2276</v>
      </c>
      <c r="H561" s="3" t="s">
        <v>2276</v>
      </c>
      <c r="I561" s="3">
        <f>AVERAGE(5.4, 8.4, 6.5, 8.8)</f>
        <v>7.2750000000000004</v>
      </c>
      <c r="J561" s="3" t="s">
        <v>2276</v>
      </c>
      <c r="K561" s="3" t="s">
        <v>534</v>
      </c>
      <c r="L561" s="3" t="s">
        <v>2276</v>
      </c>
      <c r="M561" s="3" t="s">
        <v>2276</v>
      </c>
      <c r="N561" s="21">
        <f>(100*((460-20) + 60)/866) * 24/(24+59)</f>
        <v>16.694955340994461</v>
      </c>
      <c r="O561" s="3" t="s">
        <v>2276</v>
      </c>
      <c r="P561" s="21">
        <f>100*(80+5)/866</f>
        <v>9.8152424942263288</v>
      </c>
      <c r="Q561" s="21">
        <f>(100*((460-20) + 60)/866) * 59/(24+59)</f>
        <v>41.041765213278055</v>
      </c>
      <c r="R561" s="21">
        <f>100*(10+110)/866</f>
        <v>13.856812933025404</v>
      </c>
      <c r="S561" s="21">
        <f>(R560-R561)/16</f>
        <v>0.32476905311778281</v>
      </c>
      <c r="T561" s="4" t="s">
        <v>2940</v>
      </c>
    </row>
    <row r="562" spans="1:20" ht="34.5" customHeight="1">
      <c r="A562" s="3" t="s">
        <v>2944</v>
      </c>
      <c r="B562" s="3" t="s">
        <v>2276</v>
      </c>
      <c r="C562" s="11" t="s">
        <v>12</v>
      </c>
      <c r="D562" s="11" t="s">
        <v>130</v>
      </c>
      <c r="E562" s="19" t="s">
        <v>116</v>
      </c>
      <c r="F562" s="19" t="s">
        <v>397</v>
      </c>
      <c r="G562" s="4" t="s">
        <v>2651</v>
      </c>
      <c r="H562" s="3" t="s">
        <v>2276</v>
      </c>
      <c r="I562" s="3">
        <v>5</v>
      </c>
      <c r="J562" s="3">
        <v>0.7</v>
      </c>
      <c r="K562" s="3" t="s">
        <v>2276</v>
      </c>
      <c r="L562" s="3" t="s">
        <v>2276</v>
      </c>
      <c r="M562" s="3" t="s">
        <v>2276</v>
      </c>
      <c r="N562" s="3" t="s">
        <v>2276</v>
      </c>
      <c r="O562" s="3" t="s">
        <v>2276</v>
      </c>
      <c r="P562" s="3" t="s">
        <v>2276</v>
      </c>
      <c r="Q562" s="3" t="s">
        <v>2276</v>
      </c>
      <c r="R562" s="3" t="s">
        <v>2276</v>
      </c>
      <c r="S562" s="3" t="s">
        <v>2276</v>
      </c>
      <c r="T562" s="4" t="s">
        <v>2947</v>
      </c>
    </row>
    <row r="563" spans="1:20" ht="31" customHeight="1">
      <c r="A563" s="11" t="s">
        <v>2954</v>
      </c>
      <c r="B563" s="3" t="s">
        <v>2276</v>
      </c>
      <c r="C563" s="11" t="s">
        <v>395</v>
      </c>
      <c r="D563" s="11" t="s">
        <v>130</v>
      </c>
      <c r="E563" s="19" t="s">
        <v>116</v>
      </c>
      <c r="F563" s="3" t="s">
        <v>45</v>
      </c>
      <c r="G563" s="3" t="s">
        <v>2647</v>
      </c>
      <c r="H563" s="3" t="s">
        <v>2276</v>
      </c>
      <c r="I563" s="3" t="s">
        <v>2276</v>
      </c>
      <c r="J563" s="3" t="s">
        <v>2276</v>
      </c>
      <c r="K563" s="3" t="s">
        <v>2276</v>
      </c>
      <c r="L563" s="3" t="s">
        <v>2276</v>
      </c>
      <c r="M563" s="3" t="s">
        <v>2276</v>
      </c>
      <c r="N563" s="3" t="s">
        <v>2276</v>
      </c>
      <c r="O563" s="3" t="s">
        <v>2276</v>
      </c>
      <c r="P563" s="3" t="s">
        <v>2276</v>
      </c>
      <c r="Q563" s="3" t="s">
        <v>2276</v>
      </c>
      <c r="R563" s="3" t="s">
        <v>2276</v>
      </c>
      <c r="S563" s="3" t="s">
        <v>2276</v>
      </c>
      <c r="T563" s="3" t="s">
        <v>2957</v>
      </c>
    </row>
    <row r="564" spans="1:20" ht="33.5" customHeight="1">
      <c r="A564" s="11" t="s">
        <v>2988</v>
      </c>
      <c r="B564" s="3" t="s">
        <v>2276</v>
      </c>
      <c r="C564" s="3" t="s">
        <v>395</v>
      </c>
      <c r="D564" s="3" t="s">
        <v>5005</v>
      </c>
      <c r="E564" s="3" t="s">
        <v>130</v>
      </c>
      <c r="F564" s="3" t="s">
        <v>2649</v>
      </c>
      <c r="G564" s="3" t="s">
        <v>116</v>
      </c>
      <c r="H564" s="3" t="s">
        <v>2276</v>
      </c>
      <c r="I564" s="3" t="s">
        <v>2276</v>
      </c>
      <c r="J564" s="3" t="s">
        <v>2276</v>
      </c>
      <c r="K564" s="3" t="s">
        <v>534</v>
      </c>
      <c r="L564" s="3" t="s">
        <v>2276</v>
      </c>
      <c r="M564" s="3" t="s">
        <v>2276</v>
      </c>
      <c r="N564" s="3" t="s">
        <v>2276</v>
      </c>
      <c r="O564" s="3" t="s">
        <v>2276</v>
      </c>
      <c r="P564" s="3" t="s">
        <v>2276</v>
      </c>
      <c r="Q564" s="3" t="s">
        <v>2276</v>
      </c>
      <c r="R564" s="3" t="s">
        <v>2276</v>
      </c>
      <c r="S564" s="3" t="s">
        <v>2276</v>
      </c>
      <c r="T564" s="3"/>
    </row>
    <row r="565" spans="1:20" ht="36" customHeight="1">
      <c r="A565" s="11" t="s">
        <v>2995</v>
      </c>
      <c r="B565" s="3" t="s">
        <v>2276</v>
      </c>
      <c r="C565" s="11" t="s">
        <v>12</v>
      </c>
      <c r="D565" s="11" t="s">
        <v>45</v>
      </c>
      <c r="E565" s="19" t="s">
        <v>130</v>
      </c>
      <c r="F565" s="19" t="s">
        <v>397</v>
      </c>
      <c r="G565" s="3" t="s">
        <v>2647</v>
      </c>
      <c r="H565" s="3" t="s">
        <v>2276</v>
      </c>
      <c r="I565" s="3" t="s">
        <v>2276</v>
      </c>
      <c r="J565" s="3" t="s">
        <v>2276</v>
      </c>
      <c r="K565" s="3" t="s">
        <v>2276</v>
      </c>
      <c r="L565" s="3" t="s">
        <v>2276</v>
      </c>
      <c r="M565" s="3" t="s">
        <v>2276</v>
      </c>
      <c r="N565" s="3" t="s">
        <v>2276</v>
      </c>
      <c r="O565" s="3" t="s">
        <v>2276</v>
      </c>
      <c r="P565" s="3" t="s">
        <v>2276</v>
      </c>
      <c r="Q565" s="3" t="s">
        <v>2276</v>
      </c>
      <c r="R565" s="3" t="s">
        <v>2276</v>
      </c>
      <c r="S565" s="3" t="s">
        <v>2276</v>
      </c>
      <c r="T565" s="3"/>
    </row>
    <row r="566" spans="1:20" ht="29" customHeight="1">
      <c r="A566" s="11" t="s">
        <v>3037</v>
      </c>
      <c r="B566" s="3" t="s">
        <v>1197</v>
      </c>
      <c r="C566" s="3" t="s">
        <v>12</v>
      </c>
      <c r="D566" s="3" t="s">
        <v>2649</v>
      </c>
      <c r="E566" s="3" t="s">
        <v>45</v>
      </c>
      <c r="F566" s="4" t="s">
        <v>397</v>
      </c>
      <c r="G566" s="3" t="s">
        <v>2276</v>
      </c>
      <c r="H566" s="3" t="s">
        <v>2276</v>
      </c>
      <c r="I566" s="3" t="s">
        <v>2276</v>
      </c>
      <c r="J566" s="3" t="s">
        <v>2276</v>
      </c>
      <c r="K566" s="3" t="s">
        <v>2276</v>
      </c>
      <c r="L566" s="3" t="s">
        <v>2276</v>
      </c>
      <c r="M566" s="3" t="s">
        <v>2276</v>
      </c>
      <c r="N566" s="3" t="s">
        <v>2276</v>
      </c>
      <c r="O566" s="3" t="s">
        <v>2276</v>
      </c>
      <c r="P566" s="3" t="s">
        <v>2276</v>
      </c>
      <c r="Q566" s="3" t="s">
        <v>2276</v>
      </c>
      <c r="R566" s="3" t="s">
        <v>2276</v>
      </c>
      <c r="S566" s="3" t="s">
        <v>2276</v>
      </c>
      <c r="T566" s="3"/>
    </row>
    <row r="567" spans="1:20" ht="42" customHeight="1">
      <c r="A567" s="3" t="s">
        <v>3044</v>
      </c>
      <c r="B567" s="3" t="s">
        <v>69</v>
      </c>
      <c r="C567" s="3" t="s">
        <v>395</v>
      </c>
      <c r="D567" s="3" t="s">
        <v>45</v>
      </c>
      <c r="E567" s="3" t="s">
        <v>130</v>
      </c>
      <c r="F567" s="3" t="s">
        <v>116</v>
      </c>
      <c r="G567" s="3" t="s">
        <v>2276</v>
      </c>
      <c r="H567" s="3" t="s">
        <v>2276</v>
      </c>
      <c r="I567" s="3" t="s">
        <v>2276</v>
      </c>
      <c r="J567" s="3" t="s">
        <v>2276</v>
      </c>
      <c r="K567" s="3" t="s">
        <v>2276</v>
      </c>
      <c r="L567" s="3" t="s">
        <v>2276</v>
      </c>
      <c r="M567" s="3" t="s">
        <v>2276</v>
      </c>
      <c r="N567" s="3" t="s">
        <v>2276</v>
      </c>
      <c r="O567" s="3" t="s">
        <v>2276</v>
      </c>
      <c r="P567" s="3" t="s">
        <v>2276</v>
      </c>
      <c r="Q567" s="3" t="s">
        <v>2276</v>
      </c>
      <c r="R567" s="3" t="s">
        <v>2276</v>
      </c>
      <c r="S567" s="3" t="s">
        <v>2276</v>
      </c>
      <c r="T567" s="3" t="s">
        <v>3076</v>
      </c>
    </row>
    <row r="568" spans="1:20" ht="37" customHeight="1">
      <c r="A568" s="3" t="s">
        <v>3045</v>
      </c>
      <c r="B568" s="3" t="s">
        <v>69</v>
      </c>
      <c r="C568" s="3" t="s">
        <v>395</v>
      </c>
      <c r="D568" s="3" t="s">
        <v>45</v>
      </c>
      <c r="E568" s="3" t="s">
        <v>130</v>
      </c>
      <c r="F568" s="3" t="s">
        <v>116</v>
      </c>
      <c r="G568" s="3" t="s">
        <v>2276</v>
      </c>
      <c r="H568" s="3" t="s">
        <v>2276</v>
      </c>
      <c r="I568" s="3" t="s">
        <v>2276</v>
      </c>
      <c r="J568" s="3" t="s">
        <v>2276</v>
      </c>
      <c r="K568" s="3" t="s">
        <v>2276</v>
      </c>
      <c r="L568" s="3" t="s">
        <v>2276</v>
      </c>
      <c r="M568" s="3" t="s">
        <v>2276</v>
      </c>
      <c r="N568" s="3" t="s">
        <v>2276</v>
      </c>
      <c r="O568" s="3" t="s">
        <v>2276</v>
      </c>
      <c r="P568" s="3" t="s">
        <v>2276</v>
      </c>
      <c r="Q568" s="3" t="s">
        <v>2276</v>
      </c>
      <c r="R568" s="3" t="s">
        <v>2276</v>
      </c>
      <c r="S568" s="3" t="s">
        <v>2276</v>
      </c>
      <c r="T568" s="3" t="s">
        <v>3076</v>
      </c>
    </row>
    <row r="569" spans="1:20" ht="35.5" customHeight="1">
      <c r="A569" s="3" t="s">
        <v>3062</v>
      </c>
      <c r="B569" s="3" t="s">
        <v>1197</v>
      </c>
      <c r="C569" s="3" t="s">
        <v>2645</v>
      </c>
      <c r="D569" s="3" t="s">
        <v>137</v>
      </c>
      <c r="E569" s="3" t="s">
        <v>2276</v>
      </c>
      <c r="F569" s="3" t="s">
        <v>2276</v>
      </c>
      <c r="G569" s="3" t="s">
        <v>2276</v>
      </c>
      <c r="H569" s="3" t="s">
        <v>2276</v>
      </c>
      <c r="I569" s="3" t="s">
        <v>2276</v>
      </c>
      <c r="J569" s="3" t="s">
        <v>2276</v>
      </c>
      <c r="K569" s="3" t="s">
        <v>2276</v>
      </c>
      <c r="L569" s="3" t="s">
        <v>2276</v>
      </c>
      <c r="M569" s="3" t="s">
        <v>2276</v>
      </c>
      <c r="N569" s="3" t="s">
        <v>2276</v>
      </c>
      <c r="O569" s="3" t="s">
        <v>2276</v>
      </c>
      <c r="P569" s="3" t="s">
        <v>2276</v>
      </c>
      <c r="Q569" s="3" t="s">
        <v>2276</v>
      </c>
      <c r="R569" s="3" t="s">
        <v>2276</v>
      </c>
      <c r="S569" s="3" t="s">
        <v>2276</v>
      </c>
      <c r="T569" s="3"/>
    </row>
    <row r="570" spans="1:20" ht="37" customHeight="1">
      <c r="A570" s="3" t="s">
        <v>3063</v>
      </c>
      <c r="B570" s="3" t="s">
        <v>1197</v>
      </c>
      <c r="C570" s="3" t="s">
        <v>2645</v>
      </c>
      <c r="D570" s="3" t="s">
        <v>137</v>
      </c>
      <c r="E570" s="3" t="s">
        <v>2276</v>
      </c>
      <c r="F570" s="3" t="s">
        <v>2276</v>
      </c>
      <c r="G570" s="3" t="s">
        <v>2276</v>
      </c>
      <c r="H570" s="3" t="s">
        <v>2276</v>
      </c>
      <c r="I570" s="3" t="s">
        <v>2276</v>
      </c>
      <c r="J570" s="3" t="s">
        <v>2276</v>
      </c>
      <c r="K570" s="3" t="s">
        <v>2276</v>
      </c>
      <c r="L570" s="3" t="s">
        <v>2276</v>
      </c>
      <c r="M570" s="3" t="s">
        <v>2276</v>
      </c>
      <c r="N570" s="3" t="s">
        <v>2276</v>
      </c>
      <c r="O570" s="3" t="s">
        <v>2276</v>
      </c>
      <c r="P570" s="3" t="s">
        <v>2276</v>
      </c>
      <c r="Q570" s="3" t="s">
        <v>2276</v>
      </c>
      <c r="R570" s="3" t="s">
        <v>2276</v>
      </c>
      <c r="S570" s="3" t="s">
        <v>2276</v>
      </c>
      <c r="T570" s="3"/>
    </row>
    <row r="571" spans="1:20" ht="37" customHeight="1">
      <c r="A571" s="3" t="s">
        <v>5040</v>
      </c>
      <c r="B571" s="3" t="s">
        <v>32</v>
      </c>
      <c r="C571" s="3" t="s">
        <v>12</v>
      </c>
      <c r="D571" s="3" t="s">
        <v>45</v>
      </c>
      <c r="E571" s="3" t="s">
        <v>137</v>
      </c>
      <c r="F571" s="3" t="s">
        <v>130</v>
      </c>
      <c r="G571" s="3" t="s">
        <v>116</v>
      </c>
      <c r="H571" s="3" t="s">
        <v>2276</v>
      </c>
      <c r="I571" s="3" t="s">
        <v>2276</v>
      </c>
      <c r="J571" s="3" t="s">
        <v>2276</v>
      </c>
      <c r="K571" s="3" t="s">
        <v>2276</v>
      </c>
      <c r="L571" s="3" t="s">
        <v>2276</v>
      </c>
      <c r="M571" s="3" t="s">
        <v>2276</v>
      </c>
      <c r="N571" s="3" t="s">
        <v>2276</v>
      </c>
      <c r="O571" s="3" t="s">
        <v>2276</v>
      </c>
      <c r="P571" s="3" t="s">
        <v>2276</v>
      </c>
      <c r="Q571" s="3" t="s">
        <v>2276</v>
      </c>
      <c r="R571" s="3" t="s">
        <v>2276</v>
      </c>
      <c r="S571" s="3" t="s">
        <v>2276</v>
      </c>
      <c r="T571" s="3"/>
    </row>
    <row r="572" spans="1:20" ht="36" customHeight="1">
      <c r="A572" s="11" t="s">
        <v>3097</v>
      </c>
      <c r="B572" s="3" t="s">
        <v>2276</v>
      </c>
      <c r="C572" s="3" t="s">
        <v>395</v>
      </c>
      <c r="D572" s="3" t="s">
        <v>130</v>
      </c>
      <c r="E572" s="3" t="s">
        <v>116</v>
      </c>
      <c r="F572" s="4" t="s">
        <v>397</v>
      </c>
      <c r="G572" s="3" t="s">
        <v>2276</v>
      </c>
      <c r="H572" s="3" t="s">
        <v>2276</v>
      </c>
      <c r="I572" s="21">
        <f>(38/8)* (490/10000)</f>
        <v>0.23275000000000001</v>
      </c>
      <c r="J572" s="3" t="s">
        <v>2276</v>
      </c>
      <c r="K572" s="3" t="s">
        <v>537</v>
      </c>
      <c r="L572" s="3" t="s">
        <v>2276</v>
      </c>
      <c r="M572" s="3" t="s">
        <v>2276</v>
      </c>
      <c r="N572" s="3" t="s">
        <v>2276</v>
      </c>
      <c r="O572" s="3" t="s">
        <v>2276</v>
      </c>
      <c r="P572" s="3" t="s">
        <v>2276</v>
      </c>
      <c r="Q572" s="3" t="s">
        <v>2276</v>
      </c>
      <c r="R572" s="3" t="s">
        <v>2276</v>
      </c>
      <c r="S572" s="3" t="s">
        <v>2276</v>
      </c>
      <c r="T572" s="4" t="s">
        <v>3145</v>
      </c>
    </row>
    <row r="573" spans="1:20" ht="38.5" customHeight="1">
      <c r="A573" s="11" t="s">
        <v>3098</v>
      </c>
      <c r="B573" s="3" t="s">
        <v>2276</v>
      </c>
      <c r="C573" s="3" t="s">
        <v>395</v>
      </c>
      <c r="D573" s="3" t="s">
        <v>130</v>
      </c>
      <c r="E573" s="3" t="s">
        <v>116</v>
      </c>
      <c r="F573" s="4" t="s">
        <v>397</v>
      </c>
      <c r="G573" s="3" t="s">
        <v>2276</v>
      </c>
      <c r="H573" s="3" t="s">
        <v>2276</v>
      </c>
      <c r="I573" s="21">
        <f>(269*(47/14))/10000</f>
        <v>9.030714285714285E-2</v>
      </c>
      <c r="J573" s="3" t="s">
        <v>2276</v>
      </c>
      <c r="K573" s="3" t="s">
        <v>537</v>
      </c>
      <c r="L573" s="3" t="s">
        <v>2276</v>
      </c>
      <c r="M573" s="3" t="s">
        <v>2276</v>
      </c>
      <c r="N573" s="3" t="s">
        <v>2276</v>
      </c>
      <c r="O573" s="3" t="s">
        <v>2276</v>
      </c>
      <c r="P573" s="3" t="s">
        <v>2276</v>
      </c>
      <c r="Q573" s="3" t="s">
        <v>2276</v>
      </c>
      <c r="R573" s="3" t="s">
        <v>2276</v>
      </c>
      <c r="S573" s="3" t="s">
        <v>2276</v>
      </c>
      <c r="T573" s="4" t="s">
        <v>3145</v>
      </c>
    </row>
    <row r="574" spans="1:20" ht="36" customHeight="1">
      <c r="A574" s="11" t="s">
        <v>3100</v>
      </c>
      <c r="B574" s="3" t="s">
        <v>2276</v>
      </c>
      <c r="C574" s="3" t="s">
        <v>395</v>
      </c>
      <c r="D574" s="3" t="s">
        <v>130</v>
      </c>
      <c r="E574" s="3" t="s">
        <v>116</v>
      </c>
      <c r="F574" s="4" t="s">
        <v>397</v>
      </c>
      <c r="G574" s="3" t="s">
        <v>2276</v>
      </c>
      <c r="H574" s="3" t="s">
        <v>2276</v>
      </c>
      <c r="I574" s="21">
        <f>490*61/13/10000</f>
        <v>0.2299230769230769</v>
      </c>
      <c r="J574" s="3" t="s">
        <v>2276</v>
      </c>
      <c r="K574" s="3" t="s">
        <v>537</v>
      </c>
      <c r="L574" s="3" t="s">
        <v>2276</v>
      </c>
      <c r="M574" s="3" t="s">
        <v>2276</v>
      </c>
      <c r="N574" s="3" t="s">
        <v>2276</v>
      </c>
      <c r="O574" s="3" t="s">
        <v>2276</v>
      </c>
      <c r="P574" s="3" t="s">
        <v>2276</v>
      </c>
      <c r="Q574" s="3" t="s">
        <v>2276</v>
      </c>
      <c r="R574" s="3" t="s">
        <v>2276</v>
      </c>
      <c r="S574" s="3" t="s">
        <v>2276</v>
      </c>
      <c r="T574" s="4" t="s">
        <v>3145</v>
      </c>
    </row>
    <row r="575" spans="1:20" ht="37.5" customHeight="1">
      <c r="A575" s="11" t="s">
        <v>3101</v>
      </c>
      <c r="B575" s="3" t="s">
        <v>2276</v>
      </c>
      <c r="C575" s="3" t="s">
        <v>395</v>
      </c>
      <c r="D575" s="3" t="s">
        <v>130</v>
      </c>
      <c r="E575" s="3" t="s">
        <v>116</v>
      </c>
      <c r="F575" s="4" t="s">
        <v>397</v>
      </c>
      <c r="G575" s="3" t="s">
        <v>2276</v>
      </c>
      <c r="H575" s="3" t="s">
        <v>2276</v>
      </c>
      <c r="I575" s="21">
        <f>464*47/11/10000</f>
        <v>0.19825454545454546</v>
      </c>
      <c r="J575" s="3" t="s">
        <v>2276</v>
      </c>
      <c r="K575" s="3" t="s">
        <v>537</v>
      </c>
      <c r="L575" s="3" t="s">
        <v>2276</v>
      </c>
      <c r="M575" s="3" t="s">
        <v>2276</v>
      </c>
      <c r="N575" s="3" t="s">
        <v>2276</v>
      </c>
      <c r="O575" s="3" t="s">
        <v>2276</v>
      </c>
      <c r="P575" s="3" t="s">
        <v>2276</v>
      </c>
      <c r="Q575" s="3" t="s">
        <v>2276</v>
      </c>
      <c r="R575" s="3" t="s">
        <v>2276</v>
      </c>
      <c r="S575" s="3" t="s">
        <v>2276</v>
      </c>
      <c r="T575" s="4" t="s">
        <v>3145</v>
      </c>
    </row>
    <row r="576" spans="1:20" ht="39" customHeight="1">
      <c r="A576" s="3" t="s">
        <v>3102</v>
      </c>
      <c r="B576" s="3" t="s">
        <v>2276</v>
      </c>
      <c r="C576" s="3" t="s">
        <v>395</v>
      </c>
      <c r="D576" s="3" t="s">
        <v>130</v>
      </c>
      <c r="E576" s="3" t="s">
        <v>116</v>
      </c>
      <c r="F576" s="4" t="s">
        <v>397</v>
      </c>
      <c r="G576" s="3" t="s">
        <v>2276</v>
      </c>
      <c r="H576" s="3" t="s">
        <v>2276</v>
      </c>
      <c r="I576" s="21">
        <f>464*57/12/10000</f>
        <v>0.22040000000000001</v>
      </c>
      <c r="J576" s="3" t="s">
        <v>2276</v>
      </c>
      <c r="K576" s="3" t="s">
        <v>537</v>
      </c>
      <c r="L576" s="3" t="s">
        <v>2276</v>
      </c>
      <c r="M576" s="3" t="s">
        <v>2276</v>
      </c>
      <c r="N576" s="3" t="s">
        <v>2276</v>
      </c>
      <c r="O576" s="3" t="s">
        <v>2276</v>
      </c>
      <c r="P576" s="3" t="s">
        <v>2276</v>
      </c>
      <c r="Q576" s="3" t="s">
        <v>2276</v>
      </c>
      <c r="R576" s="3" t="s">
        <v>2276</v>
      </c>
      <c r="S576" s="3" t="s">
        <v>2276</v>
      </c>
      <c r="T576" s="4" t="s">
        <v>3145</v>
      </c>
    </row>
    <row r="577" spans="1:20" ht="38" customHeight="1">
      <c r="A577" s="3" t="s">
        <v>3103</v>
      </c>
      <c r="B577" s="3" t="s">
        <v>2276</v>
      </c>
      <c r="C577" s="3" t="s">
        <v>395</v>
      </c>
      <c r="D577" s="3" t="s">
        <v>130</v>
      </c>
      <c r="E577" s="3" t="s">
        <v>116</v>
      </c>
      <c r="F577" s="4" t="s">
        <v>397</v>
      </c>
      <c r="G577" s="3" t="s">
        <v>2276</v>
      </c>
      <c r="H577" s="3" t="s">
        <v>2276</v>
      </c>
      <c r="I577" s="21">
        <f>47/10*464/10000</f>
        <v>0.21808000000000002</v>
      </c>
      <c r="J577" s="3" t="s">
        <v>2276</v>
      </c>
      <c r="K577" s="3" t="s">
        <v>537</v>
      </c>
      <c r="L577" s="3" t="s">
        <v>2276</v>
      </c>
      <c r="M577" s="3" t="s">
        <v>2276</v>
      </c>
      <c r="N577" s="3" t="s">
        <v>2276</v>
      </c>
      <c r="O577" s="3" t="s">
        <v>2276</v>
      </c>
      <c r="P577" s="3" t="s">
        <v>2276</v>
      </c>
      <c r="Q577" s="3" t="s">
        <v>2276</v>
      </c>
      <c r="R577" s="3" t="s">
        <v>2276</v>
      </c>
      <c r="S577" s="3" t="s">
        <v>2276</v>
      </c>
      <c r="T577" s="4" t="s">
        <v>3145</v>
      </c>
    </row>
    <row r="578" spans="1:20" ht="36" customHeight="1">
      <c r="A578" s="3" t="s">
        <v>3129</v>
      </c>
      <c r="B578" s="3" t="s">
        <v>69</v>
      </c>
      <c r="C578" s="3" t="s">
        <v>395</v>
      </c>
      <c r="D578" s="3" t="s">
        <v>130</v>
      </c>
      <c r="E578" s="3" t="s">
        <v>116</v>
      </c>
      <c r="F578" s="3" t="s">
        <v>2652</v>
      </c>
      <c r="G578" s="3" t="s">
        <v>2276</v>
      </c>
      <c r="H578" s="3" t="s">
        <v>2276</v>
      </c>
      <c r="I578" s="3" t="s">
        <v>2276</v>
      </c>
      <c r="J578" s="3" t="s">
        <v>2276</v>
      </c>
      <c r="K578" s="3" t="s">
        <v>537</v>
      </c>
      <c r="L578" s="3" t="s">
        <v>2276</v>
      </c>
      <c r="M578" s="3" t="s">
        <v>2276</v>
      </c>
      <c r="N578" s="3" t="s">
        <v>2276</v>
      </c>
      <c r="O578" s="3" t="s">
        <v>2276</v>
      </c>
      <c r="P578" s="3" t="s">
        <v>2276</v>
      </c>
      <c r="Q578" s="3" t="s">
        <v>2276</v>
      </c>
      <c r="R578" s="3" t="s">
        <v>2276</v>
      </c>
      <c r="S578" s="3" t="s">
        <v>2276</v>
      </c>
      <c r="T578" s="3"/>
    </row>
    <row r="579" spans="1:20" ht="42" customHeight="1">
      <c r="A579" s="3" t="s">
        <v>3130</v>
      </c>
      <c r="B579" s="3" t="s">
        <v>69</v>
      </c>
      <c r="C579" s="3" t="s">
        <v>395</v>
      </c>
      <c r="D579" s="3" t="s">
        <v>130</v>
      </c>
      <c r="E579" s="3" t="s">
        <v>116</v>
      </c>
      <c r="F579" s="3" t="s">
        <v>2652</v>
      </c>
      <c r="G579" s="3" t="s">
        <v>2276</v>
      </c>
      <c r="H579" s="3" t="s">
        <v>2276</v>
      </c>
      <c r="I579" s="3" t="s">
        <v>2276</v>
      </c>
      <c r="J579" s="3" t="s">
        <v>2276</v>
      </c>
      <c r="K579" s="3" t="s">
        <v>537</v>
      </c>
      <c r="L579" s="3" t="s">
        <v>2276</v>
      </c>
      <c r="M579" s="3" t="s">
        <v>2276</v>
      </c>
      <c r="N579" s="3" t="s">
        <v>2276</v>
      </c>
      <c r="O579" s="3" t="s">
        <v>2276</v>
      </c>
      <c r="P579" s="3" t="s">
        <v>2276</v>
      </c>
      <c r="Q579" s="3" t="s">
        <v>2276</v>
      </c>
      <c r="R579" s="3" t="s">
        <v>2276</v>
      </c>
      <c r="S579" s="3" t="s">
        <v>2276</v>
      </c>
      <c r="T579" s="3"/>
    </row>
    <row r="580" spans="1:20" ht="34.5" customHeight="1">
      <c r="A580" s="3" t="s">
        <v>3131</v>
      </c>
      <c r="B580" s="3" t="s">
        <v>69</v>
      </c>
      <c r="C580" s="3" t="s">
        <v>12</v>
      </c>
      <c r="D580" s="3" t="s">
        <v>130</v>
      </c>
      <c r="E580" s="3" t="s">
        <v>116</v>
      </c>
      <c r="F580" s="3" t="s">
        <v>137</v>
      </c>
      <c r="G580" s="3" t="s">
        <v>2276</v>
      </c>
      <c r="H580" s="3" t="s">
        <v>2276</v>
      </c>
      <c r="I580" s="3" t="s">
        <v>2276</v>
      </c>
      <c r="J580" s="3" t="s">
        <v>2276</v>
      </c>
      <c r="K580" s="3" t="s">
        <v>537</v>
      </c>
      <c r="L580" s="3" t="s">
        <v>2276</v>
      </c>
      <c r="M580" s="3" t="s">
        <v>2276</v>
      </c>
      <c r="N580" s="3" t="s">
        <v>2276</v>
      </c>
      <c r="O580" s="3" t="s">
        <v>2276</v>
      </c>
      <c r="P580" s="3" t="s">
        <v>2276</v>
      </c>
      <c r="Q580" s="3" t="s">
        <v>2276</v>
      </c>
      <c r="R580" s="3" t="s">
        <v>2276</v>
      </c>
      <c r="S580" s="3" t="s">
        <v>2276</v>
      </c>
      <c r="T580" s="3"/>
    </row>
    <row r="581" spans="1:20" ht="36.5" customHeight="1">
      <c r="A581" s="3" t="s">
        <v>3132</v>
      </c>
      <c r="B581" s="3" t="s">
        <v>2258</v>
      </c>
      <c r="C581" s="3" t="s">
        <v>395</v>
      </c>
      <c r="D581" s="3" t="s">
        <v>130</v>
      </c>
      <c r="E581" s="3" t="s">
        <v>116</v>
      </c>
      <c r="F581" s="3" t="s">
        <v>137</v>
      </c>
      <c r="G581" s="3" t="s">
        <v>2276</v>
      </c>
      <c r="H581" s="3" t="s">
        <v>2276</v>
      </c>
      <c r="I581" s="3" t="s">
        <v>2276</v>
      </c>
      <c r="J581" s="3" t="s">
        <v>2276</v>
      </c>
      <c r="K581" s="3" t="s">
        <v>537</v>
      </c>
      <c r="L581" s="3" t="s">
        <v>2276</v>
      </c>
      <c r="M581" s="3" t="s">
        <v>2276</v>
      </c>
      <c r="N581" s="3" t="s">
        <v>2276</v>
      </c>
      <c r="O581" s="3" t="s">
        <v>2276</v>
      </c>
      <c r="P581" s="3" t="s">
        <v>2276</v>
      </c>
      <c r="Q581" s="3" t="s">
        <v>2276</v>
      </c>
      <c r="R581" s="3" t="s">
        <v>2276</v>
      </c>
      <c r="S581" s="3" t="s">
        <v>2276</v>
      </c>
      <c r="T581" s="3"/>
    </row>
    <row r="582" spans="1:20" ht="37" customHeight="1">
      <c r="A582" s="11" t="s">
        <v>3224</v>
      </c>
      <c r="B582" s="11" t="s">
        <v>69</v>
      </c>
      <c r="C582" s="3" t="s">
        <v>12</v>
      </c>
      <c r="D582" s="3" t="s">
        <v>130</v>
      </c>
      <c r="E582" s="3" t="s">
        <v>84</v>
      </c>
      <c r="F582" s="4" t="s">
        <v>2651</v>
      </c>
      <c r="G582" s="3" t="s">
        <v>2649</v>
      </c>
      <c r="H582" s="3" t="s">
        <v>2276</v>
      </c>
      <c r="I582" s="3">
        <v>5</v>
      </c>
      <c r="J582" s="21">
        <f>1395/424</f>
        <v>3.2900943396226414</v>
      </c>
      <c r="K582" s="3" t="s">
        <v>534</v>
      </c>
      <c r="L582" s="3" t="s">
        <v>2276</v>
      </c>
      <c r="M582" s="3" t="s">
        <v>2276</v>
      </c>
      <c r="N582" s="21">
        <f>(2760+112+15)/72.4</f>
        <v>39.875690607734803</v>
      </c>
      <c r="O582" s="3" t="s">
        <v>2276</v>
      </c>
      <c r="P582" s="21">
        <f>(15+424)/72.4</f>
        <v>6.0635359116022096</v>
      </c>
      <c r="Q582" s="21">
        <f>1874/72.4</f>
        <v>25.883977900552484</v>
      </c>
      <c r="R582" s="21">
        <f>(1226+867)/72.4</f>
        <v>28.908839779005522</v>
      </c>
      <c r="S582" s="3" t="s">
        <v>2276</v>
      </c>
      <c r="T582" s="4" t="s">
        <v>3233</v>
      </c>
    </row>
    <row r="583" spans="1:20" ht="29.5" customHeight="1">
      <c r="A583" s="11" t="s">
        <v>3230</v>
      </c>
      <c r="B583" s="11" t="s">
        <v>69</v>
      </c>
      <c r="C583" s="3" t="s">
        <v>395</v>
      </c>
      <c r="D583" s="3" t="s">
        <v>130</v>
      </c>
      <c r="E583" s="3" t="s">
        <v>2276</v>
      </c>
      <c r="F583" s="3" t="s">
        <v>2276</v>
      </c>
      <c r="G583" s="3" t="s">
        <v>2276</v>
      </c>
      <c r="H583" s="3" t="s">
        <v>2276</v>
      </c>
      <c r="I583" s="3" t="s">
        <v>2276</v>
      </c>
      <c r="J583" s="3" t="s">
        <v>2276</v>
      </c>
      <c r="K583" s="3" t="s">
        <v>2276</v>
      </c>
      <c r="L583" s="3" t="s">
        <v>2276</v>
      </c>
      <c r="M583" s="3" t="s">
        <v>2276</v>
      </c>
      <c r="N583" s="3" t="s">
        <v>2276</v>
      </c>
      <c r="O583" s="3" t="s">
        <v>2276</v>
      </c>
      <c r="P583" s="3" t="s">
        <v>2276</v>
      </c>
      <c r="Q583" s="3" t="s">
        <v>2276</v>
      </c>
      <c r="R583" s="3" t="s">
        <v>2276</v>
      </c>
      <c r="S583" s="3" t="s">
        <v>2276</v>
      </c>
      <c r="T583" s="3"/>
    </row>
    <row r="584" spans="1:20" ht="32.5" customHeight="1">
      <c r="A584" s="11" t="s">
        <v>3238</v>
      </c>
      <c r="B584" s="3" t="s">
        <v>2276</v>
      </c>
      <c r="C584" s="3" t="s">
        <v>12</v>
      </c>
      <c r="D584" s="3" t="s">
        <v>130</v>
      </c>
      <c r="E584" s="4" t="s">
        <v>397</v>
      </c>
      <c r="F584" s="3" t="s">
        <v>45</v>
      </c>
      <c r="G584" s="3" t="s">
        <v>2276</v>
      </c>
      <c r="H584" s="3" t="s">
        <v>2276</v>
      </c>
      <c r="I584" s="21">
        <v>67.33</v>
      </c>
      <c r="J584" s="21">
        <f>527.78/1000</f>
        <v>0.52778000000000003</v>
      </c>
      <c r="K584" s="3" t="s">
        <v>2276</v>
      </c>
      <c r="L584" s="3" t="s">
        <v>2276</v>
      </c>
      <c r="M584" s="3" t="s">
        <v>2276</v>
      </c>
      <c r="N584" s="3" t="s">
        <v>2276</v>
      </c>
      <c r="O584" s="21">
        <v>4.7824149710381709</v>
      </c>
      <c r="P584" s="21">
        <v>19.111605178553646</v>
      </c>
      <c r="Q584" s="21">
        <f>(100 - (SUM(O584:P584)+R584))*I584/I584</f>
        <v>19.578428981553287</v>
      </c>
      <c r="R584" s="21">
        <v>56.527550868854902</v>
      </c>
      <c r="S584" s="3" t="s">
        <v>2276</v>
      </c>
      <c r="T584" s="3" t="s">
        <v>3284</v>
      </c>
    </row>
    <row r="585" spans="1:20" ht="31" customHeight="1">
      <c r="A585" s="11" t="s">
        <v>3241</v>
      </c>
      <c r="B585" s="3" t="s">
        <v>2276</v>
      </c>
      <c r="C585" s="3" t="s">
        <v>12</v>
      </c>
      <c r="D585" s="3" t="s">
        <v>130</v>
      </c>
      <c r="E585" s="4" t="s">
        <v>397</v>
      </c>
      <c r="F585" s="3" t="s">
        <v>45</v>
      </c>
      <c r="G585" s="3" t="s">
        <v>2276</v>
      </c>
      <c r="H585" s="3" t="s">
        <v>2276</v>
      </c>
      <c r="I585" s="21">
        <v>103.33</v>
      </c>
      <c r="J585" s="21">
        <f>482.3/1000</f>
        <v>0.48230000000000001</v>
      </c>
      <c r="K585" s="3" t="s">
        <v>2276</v>
      </c>
      <c r="L585" s="3" t="s">
        <v>2276</v>
      </c>
      <c r="M585" s="3" t="s">
        <v>2276</v>
      </c>
      <c r="N585" s="3" t="s">
        <v>2276</v>
      </c>
      <c r="O585" s="21">
        <v>2.1484564018194137</v>
      </c>
      <c r="P585" s="21">
        <v>3.1162295557921227</v>
      </c>
      <c r="Q585" s="21">
        <f t="shared" ref="Q585:Q597" si="1">(100 - (SUM(O585:P585)+R585))*I585/I585</f>
        <v>16.452143617536052</v>
      </c>
      <c r="R585" s="21">
        <v>78.283170424852415</v>
      </c>
      <c r="S585" s="3" t="s">
        <v>2276</v>
      </c>
      <c r="T585" s="3" t="s">
        <v>3284</v>
      </c>
    </row>
    <row r="586" spans="1:20" ht="27" customHeight="1">
      <c r="A586" s="11" t="s">
        <v>3242</v>
      </c>
      <c r="B586" s="3" t="s">
        <v>2276</v>
      </c>
      <c r="C586" s="3" t="s">
        <v>12</v>
      </c>
      <c r="D586" s="3" t="s">
        <v>130</v>
      </c>
      <c r="E586" s="4" t="s">
        <v>397</v>
      </c>
      <c r="F586" s="3" t="s">
        <v>45</v>
      </c>
      <c r="G586" s="3" t="s">
        <v>2276</v>
      </c>
      <c r="H586" s="3" t="s">
        <v>2276</v>
      </c>
      <c r="I586" s="21">
        <v>46.17</v>
      </c>
      <c r="J586" s="21">
        <f>264.921/1000</f>
        <v>0.26492100000000002</v>
      </c>
      <c r="K586" s="3" t="s">
        <v>2276</v>
      </c>
      <c r="L586" s="3" t="s">
        <v>2276</v>
      </c>
      <c r="M586" s="3" t="s">
        <v>2276</v>
      </c>
      <c r="N586" s="3" t="s">
        <v>2276</v>
      </c>
      <c r="O586" s="21">
        <v>4.4834307992202724</v>
      </c>
      <c r="P586" s="21">
        <v>8.5986571366688338</v>
      </c>
      <c r="Q586" s="21">
        <f t="shared" si="1"/>
        <v>49.880875027073856</v>
      </c>
      <c r="R586" s="21">
        <v>37.037037037037038</v>
      </c>
      <c r="S586" s="3" t="s">
        <v>2276</v>
      </c>
      <c r="T586" s="3" t="s">
        <v>3284</v>
      </c>
    </row>
    <row r="587" spans="1:20" ht="29" customHeight="1">
      <c r="A587" s="11" t="s">
        <v>3246</v>
      </c>
      <c r="B587" s="3" t="s">
        <v>2276</v>
      </c>
      <c r="C587" s="3" t="s">
        <v>12</v>
      </c>
      <c r="D587" s="3" t="s">
        <v>130</v>
      </c>
      <c r="E587" s="4" t="s">
        <v>397</v>
      </c>
      <c r="F587" s="3" t="s">
        <v>45</v>
      </c>
      <c r="G587" s="3" t="s">
        <v>2276</v>
      </c>
      <c r="H587" s="3" t="s">
        <v>2276</v>
      </c>
      <c r="I587" s="21">
        <v>41.53</v>
      </c>
      <c r="J587" s="21">
        <f>396/1000</f>
        <v>0.39600000000000002</v>
      </c>
      <c r="K587" s="3" t="s">
        <v>2276</v>
      </c>
      <c r="L587" s="3" t="s">
        <v>2276</v>
      </c>
      <c r="M587" s="3" t="s">
        <v>2276</v>
      </c>
      <c r="N587" s="3" t="s">
        <v>2276</v>
      </c>
      <c r="O587" s="21">
        <v>12.737779918131469</v>
      </c>
      <c r="P587" s="21">
        <v>7.3922465687454846</v>
      </c>
      <c r="Q587" s="21">
        <f t="shared" si="1"/>
        <v>46.857693233806884</v>
      </c>
      <c r="R587" s="21">
        <v>33.012280279316158</v>
      </c>
      <c r="S587" s="3" t="s">
        <v>2276</v>
      </c>
      <c r="T587" s="3" t="s">
        <v>3284</v>
      </c>
    </row>
    <row r="588" spans="1:20" ht="25.5" customHeight="1">
      <c r="A588" s="11" t="s">
        <v>3247</v>
      </c>
      <c r="B588" s="3" t="s">
        <v>2276</v>
      </c>
      <c r="C588" s="3" t="s">
        <v>12</v>
      </c>
      <c r="D588" s="3" t="s">
        <v>130</v>
      </c>
      <c r="E588" s="4" t="s">
        <v>397</v>
      </c>
      <c r="F588" s="3" t="s">
        <v>45</v>
      </c>
      <c r="G588" s="3" t="s">
        <v>2276</v>
      </c>
      <c r="H588" s="3" t="s">
        <v>2276</v>
      </c>
      <c r="I588" s="21">
        <v>86.43</v>
      </c>
      <c r="J588" s="21">
        <f>216.55/1000</f>
        <v>0.21655000000000002</v>
      </c>
      <c r="K588" s="3" t="s">
        <v>2276</v>
      </c>
      <c r="L588" s="3" t="s">
        <v>2276</v>
      </c>
      <c r="M588" s="3" t="s">
        <v>2276</v>
      </c>
      <c r="N588" s="3" t="s">
        <v>2276</v>
      </c>
      <c r="O588" s="21">
        <v>17.459215550156195</v>
      </c>
      <c r="P588" s="21">
        <v>4.3850514867522845</v>
      </c>
      <c r="Q588" s="21">
        <f t="shared" si="1"/>
        <v>30.417679046627342</v>
      </c>
      <c r="R588" s="21">
        <v>47.738053916464182</v>
      </c>
      <c r="S588" s="3" t="s">
        <v>2276</v>
      </c>
      <c r="T588" s="3" t="s">
        <v>3284</v>
      </c>
    </row>
    <row r="589" spans="1:20" ht="26" customHeight="1">
      <c r="A589" s="11" t="s">
        <v>3248</v>
      </c>
      <c r="B589" s="3" t="s">
        <v>2276</v>
      </c>
      <c r="C589" s="3" t="s">
        <v>12</v>
      </c>
      <c r="D589" s="3" t="s">
        <v>130</v>
      </c>
      <c r="E589" s="4" t="s">
        <v>397</v>
      </c>
      <c r="F589" s="3" t="s">
        <v>45</v>
      </c>
      <c r="G589" s="3" t="s">
        <v>2276</v>
      </c>
      <c r="H589" s="3" t="s">
        <v>2276</v>
      </c>
      <c r="I589" s="21">
        <v>110.2</v>
      </c>
      <c r="J589" s="21">
        <f>499.638/1000</f>
        <v>0.49963799999999997</v>
      </c>
      <c r="K589" s="3" t="s">
        <v>2276</v>
      </c>
      <c r="L589" s="3" t="s">
        <v>2276</v>
      </c>
      <c r="M589" s="3" t="s">
        <v>2276</v>
      </c>
      <c r="N589" s="3" t="s">
        <v>2276</v>
      </c>
      <c r="O589" s="21">
        <v>22.186932849364791</v>
      </c>
      <c r="P589" s="21">
        <v>3.511796733212341</v>
      </c>
      <c r="Q589" s="21">
        <f t="shared" si="1"/>
        <v>32.704174228675129</v>
      </c>
      <c r="R589" s="21">
        <v>41.597096188747734</v>
      </c>
      <c r="S589" s="3" t="s">
        <v>2276</v>
      </c>
      <c r="T589" s="3" t="s">
        <v>3284</v>
      </c>
    </row>
    <row r="590" spans="1:20" ht="31" customHeight="1">
      <c r="A590" s="11" t="s">
        <v>3252</v>
      </c>
      <c r="B590" s="3" t="s">
        <v>2276</v>
      </c>
      <c r="C590" s="3" t="s">
        <v>12</v>
      </c>
      <c r="D590" s="3" t="s">
        <v>130</v>
      </c>
      <c r="E590" s="4" t="s">
        <v>397</v>
      </c>
      <c r="F590" s="3" t="s">
        <v>45</v>
      </c>
      <c r="G590" s="3" t="s">
        <v>2276</v>
      </c>
      <c r="H590" s="3" t="s">
        <v>2276</v>
      </c>
      <c r="I590" s="21">
        <v>50.67</v>
      </c>
      <c r="J590" s="21">
        <f>432.778/1000</f>
        <v>0.432778</v>
      </c>
      <c r="K590" s="3" t="s">
        <v>2276</v>
      </c>
      <c r="L590" s="3" t="s">
        <v>2276</v>
      </c>
      <c r="M590" s="3" t="s">
        <v>2276</v>
      </c>
      <c r="N590" s="3" t="s">
        <v>2276</v>
      </c>
      <c r="O590" s="21">
        <v>1.9735543714229327</v>
      </c>
      <c r="P590" s="21">
        <v>15.591079534241167</v>
      </c>
      <c r="Q590" s="21">
        <f t="shared" si="1"/>
        <v>26.682455101638055</v>
      </c>
      <c r="R590" s="21">
        <v>55.752910992697849</v>
      </c>
      <c r="S590" s="3" t="s">
        <v>2276</v>
      </c>
      <c r="T590" s="3" t="s">
        <v>3284</v>
      </c>
    </row>
    <row r="591" spans="1:20" ht="29.5" customHeight="1">
      <c r="A591" s="11" t="s">
        <v>3253</v>
      </c>
      <c r="B591" s="3" t="s">
        <v>2276</v>
      </c>
      <c r="C591" s="3" t="s">
        <v>12</v>
      </c>
      <c r="D591" s="3" t="s">
        <v>130</v>
      </c>
      <c r="E591" s="4" t="s">
        <v>397</v>
      </c>
      <c r="F591" s="3" t="s">
        <v>45</v>
      </c>
      <c r="G591" s="3" t="s">
        <v>2276</v>
      </c>
      <c r="H591" s="3" t="s">
        <v>2276</v>
      </c>
      <c r="I591" s="21">
        <v>109.93</v>
      </c>
      <c r="J591" s="21">
        <f>1107.6/1000</f>
        <v>1.1075999999999999</v>
      </c>
      <c r="K591" s="3" t="s">
        <v>2276</v>
      </c>
      <c r="L591" s="3" t="s">
        <v>2276</v>
      </c>
      <c r="M591" s="3" t="s">
        <v>2276</v>
      </c>
      <c r="N591" s="3" t="s">
        <v>2276</v>
      </c>
      <c r="O591" s="21">
        <v>20.585827344673881</v>
      </c>
      <c r="P591" s="21">
        <v>1.9375966524151731</v>
      </c>
      <c r="Q591" s="21">
        <f t="shared" si="1"/>
        <v>18.238879286818886</v>
      </c>
      <c r="R591" s="21">
        <v>59.23769671609206</v>
      </c>
      <c r="S591" s="3" t="s">
        <v>2276</v>
      </c>
      <c r="T591" s="3" t="s">
        <v>3284</v>
      </c>
    </row>
    <row r="592" spans="1:20" ht="27" customHeight="1">
      <c r="A592" s="11" t="s">
        <v>3254</v>
      </c>
      <c r="B592" s="3" t="s">
        <v>2276</v>
      </c>
      <c r="C592" s="3" t="s">
        <v>12</v>
      </c>
      <c r="D592" s="3" t="s">
        <v>130</v>
      </c>
      <c r="E592" s="4" t="s">
        <v>397</v>
      </c>
      <c r="F592" s="3" t="s">
        <v>45</v>
      </c>
      <c r="G592" s="3" t="s">
        <v>2276</v>
      </c>
      <c r="H592" s="3" t="s">
        <v>2276</v>
      </c>
      <c r="I592" s="21">
        <v>30.35</v>
      </c>
      <c r="J592" s="21">
        <f>667.39/1000</f>
        <v>0.66739000000000004</v>
      </c>
      <c r="K592" s="3" t="s">
        <v>2276</v>
      </c>
      <c r="L592" s="3" t="s">
        <v>2276</v>
      </c>
      <c r="M592" s="3" t="s">
        <v>2276</v>
      </c>
      <c r="N592" s="3" t="s">
        <v>2276</v>
      </c>
      <c r="O592" s="21">
        <v>4.4481054365733117</v>
      </c>
      <c r="P592" s="21">
        <v>10.774299835255354</v>
      </c>
      <c r="Q592" s="21">
        <f t="shared" si="1"/>
        <v>67.281713344316316</v>
      </c>
      <c r="R592" s="21">
        <v>17.495881383855021</v>
      </c>
      <c r="S592" s="3" t="s">
        <v>2276</v>
      </c>
      <c r="T592" s="3" t="s">
        <v>3284</v>
      </c>
    </row>
    <row r="593" spans="1:20" ht="29" customHeight="1">
      <c r="A593" s="11" t="s">
        <v>3258</v>
      </c>
      <c r="B593" s="3" t="s">
        <v>2276</v>
      </c>
      <c r="C593" s="3" t="s">
        <v>12</v>
      </c>
      <c r="D593" s="3" t="s">
        <v>130</v>
      </c>
      <c r="E593" s="4" t="s">
        <v>397</v>
      </c>
      <c r="F593" s="3" t="s">
        <v>45</v>
      </c>
      <c r="G593" s="3" t="s">
        <v>2276</v>
      </c>
      <c r="H593" s="3" t="s">
        <v>2276</v>
      </c>
      <c r="I593" s="21">
        <v>34.590000000000003</v>
      </c>
      <c r="J593" s="21">
        <f>478.57/1000</f>
        <v>0.47857</v>
      </c>
      <c r="K593" s="3" t="s">
        <v>2276</v>
      </c>
      <c r="L593" s="3" t="s">
        <v>2276</v>
      </c>
      <c r="M593" s="3" t="s">
        <v>2276</v>
      </c>
      <c r="N593" s="3" t="s">
        <v>2276</v>
      </c>
      <c r="O593" s="21">
        <v>56.837236195432205</v>
      </c>
      <c r="P593" s="21">
        <v>14.281584272911246</v>
      </c>
      <c r="Q593" s="21">
        <f t="shared" si="1"/>
        <v>22.896790980052046</v>
      </c>
      <c r="R593" s="21">
        <v>5.9843885516045088</v>
      </c>
      <c r="S593" s="3" t="s">
        <v>2276</v>
      </c>
      <c r="T593" s="3" t="s">
        <v>3284</v>
      </c>
    </row>
    <row r="594" spans="1:20" ht="28" customHeight="1">
      <c r="A594" s="11" t="s">
        <v>3259</v>
      </c>
      <c r="B594" s="3" t="s">
        <v>2276</v>
      </c>
      <c r="C594" s="3" t="s">
        <v>12</v>
      </c>
      <c r="D594" s="3" t="s">
        <v>130</v>
      </c>
      <c r="E594" s="4" t="s">
        <v>397</v>
      </c>
      <c r="F594" s="3" t="s">
        <v>45</v>
      </c>
      <c r="G594" s="3" t="s">
        <v>2276</v>
      </c>
      <c r="H594" s="3" t="s">
        <v>2276</v>
      </c>
      <c r="I594" s="21">
        <v>117.91</v>
      </c>
      <c r="J594" s="21">
        <f>155.6/1000</f>
        <v>0.15559999999999999</v>
      </c>
      <c r="K594" s="3" t="s">
        <v>2276</v>
      </c>
      <c r="L594" s="3" t="s">
        <v>2276</v>
      </c>
      <c r="M594" s="3" t="s">
        <v>2276</v>
      </c>
      <c r="N594" s="3" t="s">
        <v>2276</v>
      </c>
      <c r="O594" s="21">
        <v>1.1534221016029176</v>
      </c>
      <c r="P594" s="21">
        <v>2.0608939021287425</v>
      </c>
      <c r="Q594" s="21">
        <f t="shared" si="1"/>
        <v>22.847934865575439</v>
      </c>
      <c r="R594" s="21">
        <v>73.937749130692907</v>
      </c>
      <c r="S594" s="3" t="s">
        <v>2276</v>
      </c>
      <c r="T594" s="3" t="s">
        <v>3284</v>
      </c>
    </row>
    <row r="595" spans="1:20" ht="28" customHeight="1">
      <c r="A595" s="11" t="s">
        <v>3260</v>
      </c>
      <c r="B595" s="3" t="s">
        <v>2276</v>
      </c>
      <c r="C595" s="3" t="s">
        <v>12</v>
      </c>
      <c r="D595" s="3" t="s">
        <v>130</v>
      </c>
      <c r="E595" s="4" t="s">
        <v>397</v>
      </c>
      <c r="F595" s="3" t="s">
        <v>45</v>
      </c>
      <c r="G595" s="3" t="s">
        <v>2276</v>
      </c>
      <c r="H595" s="3" t="s">
        <v>2276</v>
      </c>
      <c r="I595" s="21">
        <v>66.5</v>
      </c>
      <c r="J595" s="21">
        <f>312.96/1000</f>
        <v>0.31295999999999996</v>
      </c>
      <c r="K595" s="3" t="s">
        <v>2276</v>
      </c>
      <c r="L595" s="3" t="s">
        <v>2276</v>
      </c>
      <c r="M595" s="3" t="s">
        <v>2276</v>
      </c>
      <c r="N595" s="3" t="s">
        <v>2276</v>
      </c>
      <c r="O595" s="21">
        <v>9.6842105263157894</v>
      </c>
      <c r="P595" s="21">
        <v>5.7443609022556386</v>
      </c>
      <c r="Q595" s="21">
        <f t="shared" si="1"/>
        <v>49.563909774436098</v>
      </c>
      <c r="R595" s="21">
        <v>35.007518796992478</v>
      </c>
      <c r="S595" s="3" t="s">
        <v>2276</v>
      </c>
      <c r="T595" s="3" t="s">
        <v>3284</v>
      </c>
    </row>
    <row r="596" spans="1:20" ht="30.5" customHeight="1">
      <c r="A596" s="11" t="s">
        <v>3264</v>
      </c>
      <c r="B596" s="3" t="s">
        <v>2276</v>
      </c>
      <c r="C596" s="3" t="s">
        <v>12</v>
      </c>
      <c r="D596" s="3" t="s">
        <v>130</v>
      </c>
      <c r="E596" s="4" t="s">
        <v>397</v>
      </c>
      <c r="F596" s="3" t="s">
        <v>45</v>
      </c>
      <c r="G596" s="3" t="s">
        <v>2276</v>
      </c>
      <c r="H596" s="3" t="s">
        <v>2276</v>
      </c>
      <c r="I596" s="21">
        <v>55.56</v>
      </c>
      <c r="J596" s="21">
        <f>213.1/1000</f>
        <v>0.21309999999999998</v>
      </c>
      <c r="K596" s="3" t="s">
        <v>2276</v>
      </c>
      <c r="L596" s="3" t="s">
        <v>2276</v>
      </c>
      <c r="M596" s="3" t="s">
        <v>2276</v>
      </c>
      <c r="N596" s="3" t="s">
        <v>2276</v>
      </c>
      <c r="O596" s="21">
        <v>5.3995680345572357</v>
      </c>
      <c r="P596" s="21">
        <v>8.0993520518358526</v>
      </c>
      <c r="Q596" s="21">
        <f t="shared" si="1"/>
        <v>47.660187185025201</v>
      </c>
      <c r="R596" s="21">
        <v>38.840892728581707</v>
      </c>
      <c r="S596" s="3" t="s">
        <v>2276</v>
      </c>
      <c r="T596" s="3" t="s">
        <v>3284</v>
      </c>
    </row>
    <row r="597" spans="1:20" ht="30.5" customHeight="1">
      <c r="A597" s="11" t="s">
        <v>3265</v>
      </c>
      <c r="B597" s="3" t="s">
        <v>2276</v>
      </c>
      <c r="C597" s="3" t="s">
        <v>12</v>
      </c>
      <c r="D597" s="3" t="s">
        <v>130</v>
      </c>
      <c r="E597" s="4" t="s">
        <v>397</v>
      </c>
      <c r="F597" s="3" t="s">
        <v>45</v>
      </c>
      <c r="G597" s="3" t="s">
        <v>2276</v>
      </c>
      <c r="H597" s="3" t="s">
        <v>2276</v>
      </c>
      <c r="I597" s="21">
        <v>37.380000000000003</v>
      </c>
      <c r="J597" s="21">
        <f>711.25/1000</f>
        <v>0.71125000000000005</v>
      </c>
      <c r="K597" s="3" t="s">
        <v>2276</v>
      </c>
      <c r="L597" s="3" t="s">
        <v>2276</v>
      </c>
      <c r="M597" s="3" t="s">
        <v>2276</v>
      </c>
      <c r="N597" s="3" t="s">
        <v>2276</v>
      </c>
      <c r="O597" s="21">
        <v>33.948635634028889</v>
      </c>
      <c r="P597" s="21">
        <v>12.867843766720169</v>
      </c>
      <c r="Q597" s="21">
        <f t="shared" si="1"/>
        <v>37.346174424826117</v>
      </c>
      <c r="R597" s="21">
        <v>15.837346174424823</v>
      </c>
      <c r="S597" s="3" t="s">
        <v>2276</v>
      </c>
      <c r="T597" s="3" t="s">
        <v>3284</v>
      </c>
    </row>
    <row r="598" spans="1:20" ht="35" customHeight="1">
      <c r="A598" s="11" t="s">
        <v>3286</v>
      </c>
      <c r="B598" s="3" t="s">
        <v>69</v>
      </c>
      <c r="C598" s="3" t="s">
        <v>395</v>
      </c>
      <c r="D598" s="3" t="s">
        <v>116</v>
      </c>
      <c r="E598" s="3" t="s">
        <v>2276</v>
      </c>
      <c r="F598" s="3" t="s">
        <v>2276</v>
      </c>
      <c r="G598" s="3" t="s">
        <v>2276</v>
      </c>
      <c r="H598" s="3" t="s">
        <v>2276</v>
      </c>
      <c r="I598" s="3" t="s">
        <v>2276</v>
      </c>
      <c r="J598" s="3" t="s">
        <v>2276</v>
      </c>
      <c r="K598" s="3" t="s">
        <v>2276</v>
      </c>
      <c r="L598" s="3" t="s">
        <v>2276</v>
      </c>
      <c r="M598" s="3" t="s">
        <v>2276</v>
      </c>
      <c r="N598" s="3" t="s">
        <v>2276</v>
      </c>
      <c r="O598" s="3" t="s">
        <v>2276</v>
      </c>
      <c r="P598" s="3" t="s">
        <v>2276</v>
      </c>
      <c r="Q598" s="3" t="s">
        <v>2276</v>
      </c>
      <c r="R598" s="3" t="s">
        <v>2276</v>
      </c>
      <c r="S598" s="3" t="s">
        <v>2276</v>
      </c>
      <c r="T598" s="3" t="s">
        <v>3290</v>
      </c>
    </row>
    <row r="599" spans="1:20" ht="32.5" customHeight="1">
      <c r="A599" s="3" t="s">
        <v>3287</v>
      </c>
      <c r="B599" s="3" t="s">
        <v>69</v>
      </c>
      <c r="C599" s="3" t="s">
        <v>395</v>
      </c>
      <c r="D599" s="3" t="s">
        <v>116</v>
      </c>
      <c r="E599" s="3" t="s">
        <v>2276</v>
      </c>
      <c r="F599" s="3" t="s">
        <v>2276</v>
      </c>
      <c r="G599" s="3" t="s">
        <v>2276</v>
      </c>
      <c r="H599" s="3" t="s">
        <v>2276</v>
      </c>
      <c r="I599" s="3" t="s">
        <v>2276</v>
      </c>
      <c r="J599" s="3" t="s">
        <v>2276</v>
      </c>
      <c r="K599" s="3" t="s">
        <v>2276</v>
      </c>
      <c r="L599" s="3" t="s">
        <v>2276</v>
      </c>
      <c r="M599" s="3" t="s">
        <v>2276</v>
      </c>
      <c r="N599" s="3" t="s">
        <v>2276</v>
      </c>
      <c r="O599" s="3" t="s">
        <v>2276</v>
      </c>
      <c r="P599" s="3" t="s">
        <v>2276</v>
      </c>
      <c r="Q599" s="3" t="s">
        <v>2276</v>
      </c>
      <c r="R599" s="3" t="s">
        <v>2276</v>
      </c>
      <c r="S599" s="3" t="s">
        <v>2276</v>
      </c>
      <c r="T599" s="3" t="s">
        <v>3290</v>
      </c>
    </row>
    <row r="600" spans="1:20" ht="30.5" customHeight="1">
      <c r="A600" s="11" t="s">
        <v>3297</v>
      </c>
      <c r="B600" s="3" t="s">
        <v>32</v>
      </c>
      <c r="C600" s="3" t="s">
        <v>12</v>
      </c>
      <c r="D600" s="3" t="s">
        <v>5005</v>
      </c>
      <c r="E600" s="3" t="s">
        <v>130</v>
      </c>
      <c r="F600" s="3" t="s">
        <v>137</v>
      </c>
      <c r="G600" s="3" t="s">
        <v>2652</v>
      </c>
      <c r="H600" s="21">
        <f>17500/('Record info'!K600*100)</f>
        <v>0.109375</v>
      </c>
      <c r="I600" s="3" t="s">
        <v>2276</v>
      </c>
      <c r="J600" s="3" t="s">
        <v>2276</v>
      </c>
      <c r="K600" s="3" t="s">
        <v>2276</v>
      </c>
      <c r="L600" s="3" t="s">
        <v>2276</v>
      </c>
      <c r="M600" s="3" t="s">
        <v>2276</v>
      </c>
      <c r="N600" s="3" t="s">
        <v>2276</v>
      </c>
      <c r="O600" s="3" t="s">
        <v>2276</v>
      </c>
      <c r="P600" s="3" t="s">
        <v>2276</v>
      </c>
      <c r="Q600" s="3" t="s">
        <v>2276</v>
      </c>
      <c r="R600" s="3" t="s">
        <v>2276</v>
      </c>
      <c r="S600" s="3" t="s">
        <v>2276</v>
      </c>
      <c r="T600" s="3"/>
    </row>
    <row r="601" spans="1:20" ht="30.5" customHeight="1">
      <c r="A601" s="11" t="s">
        <v>3302</v>
      </c>
      <c r="B601" s="3" t="s">
        <v>32</v>
      </c>
      <c r="C601" s="3" t="s">
        <v>12</v>
      </c>
      <c r="D601" s="3" t="s">
        <v>5005</v>
      </c>
      <c r="E601" s="3" t="s">
        <v>130</v>
      </c>
      <c r="F601" s="3" t="s">
        <v>137</v>
      </c>
      <c r="G601" s="3" t="s">
        <v>2652</v>
      </c>
      <c r="H601" s="21">
        <f>17500/('Record info'!K601*100)</f>
        <v>0.109375</v>
      </c>
      <c r="I601" s="3" t="s">
        <v>2276</v>
      </c>
      <c r="J601" s="3" t="s">
        <v>2276</v>
      </c>
      <c r="K601" s="3" t="s">
        <v>2276</v>
      </c>
      <c r="L601" s="3" t="s">
        <v>2276</v>
      </c>
      <c r="M601" s="3" t="s">
        <v>2276</v>
      </c>
      <c r="N601" s="3" t="s">
        <v>2276</v>
      </c>
      <c r="O601" s="3" t="s">
        <v>2276</v>
      </c>
      <c r="P601" s="3" t="s">
        <v>2276</v>
      </c>
      <c r="Q601" s="3" t="s">
        <v>2276</v>
      </c>
      <c r="R601" s="3" t="s">
        <v>2276</v>
      </c>
      <c r="S601" s="3" t="s">
        <v>2276</v>
      </c>
      <c r="T601" s="3"/>
    </row>
    <row r="602" spans="1:20" ht="30.5" customHeight="1">
      <c r="A602" s="11" t="s">
        <v>3303</v>
      </c>
      <c r="B602" s="3" t="s">
        <v>32</v>
      </c>
      <c r="C602" s="3" t="s">
        <v>12</v>
      </c>
      <c r="D602" s="3" t="s">
        <v>5005</v>
      </c>
      <c r="E602" s="3" t="s">
        <v>130</v>
      </c>
      <c r="F602" s="3" t="s">
        <v>137</v>
      </c>
      <c r="G602" s="3" t="s">
        <v>2652</v>
      </c>
      <c r="H602" s="21">
        <f>17500/('Record info'!K602*100)</f>
        <v>0.109375</v>
      </c>
      <c r="I602" s="3" t="s">
        <v>2276</v>
      </c>
      <c r="J602" s="3" t="s">
        <v>2276</v>
      </c>
      <c r="K602" s="3" t="s">
        <v>2276</v>
      </c>
      <c r="L602" s="3" t="s">
        <v>2276</v>
      </c>
      <c r="M602" s="3" t="s">
        <v>2276</v>
      </c>
      <c r="N602" s="3" t="s">
        <v>2276</v>
      </c>
      <c r="O602" s="3" t="s">
        <v>2276</v>
      </c>
      <c r="P602" s="3" t="s">
        <v>2276</v>
      </c>
      <c r="Q602" s="3" t="s">
        <v>2276</v>
      </c>
      <c r="R602" s="3" t="s">
        <v>2276</v>
      </c>
      <c r="S602" s="3" t="s">
        <v>2276</v>
      </c>
      <c r="T602" s="3"/>
    </row>
    <row r="603" spans="1:20" ht="25.5" customHeight="1">
      <c r="A603" s="11" t="s">
        <v>3305</v>
      </c>
      <c r="B603" s="3" t="s">
        <v>69</v>
      </c>
      <c r="C603" s="3" t="s">
        <v>12</v>
      </c>
      <c r="D603" s="3" t="s">
        <v>5005</v>
      </c>
      <c r="E603" s="3" t="s">
        <v>2276</v>
      </c>
      <c r="F603" s="3" t="s">
        <v>2276</v>
      </c>
      <c r="G603" s="3" t="s">
        <v>2276</v>
      </c>
      <c r="H603" s="21">
        <f>5000/('Record info'!K603*100)</f>
        <v>3.125E-2</v>
      </c>
      <c r="I603" s="3" t="s">
        <v>2276</v>
      </c>
      <c r="J603" s="3" t="s">
        <v>2276</v>
      </c>
      <c r="K603" s="3" t="s">
        <v>2276</v>
      </c>
      <c r="L603" s="3" t="s">
        <v>2276</v>
      </c>
      <c r="M603" s="3" t="s">
        <v>2276</v>
      </c>
      <c r="N603" s="3" t="s">
        <v>2276</v>
      </c>
      <c r="O603" s="3" t="s">
        <v>2276</v>
      </c>
      <c r="P603" s="3" t="s">
        <v>2276</v>
      </c>
      <c r="Q603" s="3" t="s">
        <v>2276</v>
      </c>
      <c r="R603" s="3" t="s">
        <v>2276</v>
      </c>
      <c r="S603" s="3" t="s">
        <v>2276</v>
      </c>
      <c r="T603" s="3"/>
    </row>
    <row r="604" spans="1:20" ht="25.5" customHeight="1">
      <c r="A604" s="11" t="s">
        <v>3306</v>
      </c>
      <c r="B604" s="3" t="s">
        <v>69</v>
      </c>
      <c r="C604" s="3" t="s">
        <v>12</v>
      </c>
      <c r="D604" s="3" t="s">
        <v>5005</v>
      </c>
      <c r="E604" s="3" t="s">
        <v>2276</v>
      </c>
      <c r="F604" s="3" t="s">
        <v>2276</v>
      </c>
      <c r="G604" s="3" t="s">
        <v>2276</v>
      </c>
      <c r="H604" s="21">
        <v>3.125E-2</v>
      </c>
      <c r="I604" s="3" t="s">
        <v>2276</v>
      </c>
      <c r="J604" s="3" t="s">
        <v>2276</v>
      </c>
      <c r="K604" s="3" t="s">
        <v>2276</v>
      </c>
      <c r="L604" s="3" t="s">
        <v>2276</v>
      </c>
      <c r="M604" s="3" t="s">
        <v>2276</v>
      </c>
      <c r="N604" s="3" t="s">
        <v>2276</v>
      </c>
      <c r="O604" s="3" t="s">
        <v>2276</v>
      </c>
      <c r="P604" s="3" t="s">
        <v>2276</v>
      </c>
      <c r="Q604" s="3" t="s">
        <v>2276</v>
      </c>
      <c r="R604" s="3" t="s">
        <v>2276</v>
      </c>
      <c r="S604" s="3" t="s">
        <v>2276</v>
      </c>
      <c r="T604" s="3"/>
    </row>
    <row r="605" spans="1:20" ht="25.5" customHeight="1">
      <c r="A605" s="11" t="s">
        <v>3307</v>
      </c>
      <c r="B605" s="3" t="s">
        <v>69</v>
      </c>
      <c r="C605" s="3" t="s">
        <v>12</v>
      </c>
      <c r="D605" s="3" t="s">
        <v>5005</v>
      </c>
      <c r="E605" s="3" t="s">
        <v>2276</v>
      </c>
      <c r="F605" s="3" t="s">
        <v>2276</v>
      </c>
      <c r="G605" s="3" t="s">
        <v>2276</v>
      </c>
      <c r="H605" s="21">
        <v>3.125E-2</v>
      </c>
      <c r="I605" s="3" t="s">
        <v>2276</v>
      </c>
      <c r="J605" s="3" t="s">
        <v>2276</v>
      </c>
      <c r="K605" s="3" t="s">
        <v>2276</v>
      </c>
      <c r="L605" s="3" t="s">
        <v>2276</v>
      </c>
      <c r="M605" s="3" t="s">
        <v>2276</v>
      </c>
      <c r="N605" s="3" t="s">
        <v>2276</v>
      </c>
      <c r="O605" s="3" t="s">
        <v>2276</v>
      </c>
      <c r="P605" s="3" t="s">
        <v>2276</v>
      </c>
      <c r="Q605" s="3" t="s">
        <v>2276</v>
      </c>
      <c r="R605" s="3" t="s">
        <v>2276</v>
      </c>
      <c r="S605" s="3" t="s">
        <v>2276</v>
      </c>
      <c r="T605" s="3"/>
    </row>
    <row r="606" spans="1:20" ht="50.5" customHeight="1">
      <c r="A606" s="3" t="s">
        <v>3315</v>
      </c>
      <c r="B606" s="3" t="s">
        <v>32</v>
      </c>
      <c r="C606" s="3" t="s">
        <v>12</v>
      </c>
      <c r="D606" s="3" t="s">
        <v>116</v>
      </c>
      <c r="E606" s="4" t="s">
        <v>397</v>
      </c>
      <c r="F606" s="3" t="s">
        <v>137</v>
      </c>
      <c r="G606" s="3" t="s">
        <v>2276</v>
      </c>
      <c r="H606" s="3" t="s">
        <v>2276</v>
      </c>
      <c r="I606" s="3" t="s">
        <v>2276</v>
      </c>
      <c r="J606" s="3" t="s">
        <v>2276</v>
      </c>
      <c r="K606" s="3" t="s">
        <v>534</v>
      </c>
      <c r="L606" s="3" t="s">
        <v>2276</v>
      </c>
      <c r="M606" s="3" t="s">
        <v>2276</v>
      </c>
      <c r="N606" s="3" t="s">
        <v>2276</v>
      </c>
      <c r="O606" s="3" t="s">
        <v>2276</v>
      </c>
      <c r="P606" s="3" t="s">
        <v>2276</v>
      </c>
      <c r="Q606" s="3" t="s">
        <v>2276</v>
      </c>
      <c r="R606" s="3" t="s">
        <v>2276</v>
      </c>
      <c r="S606" s="3" t="s">
        <v>2276</v>
      </c>
      <c r="T606" s="4" t="s">
        <v>3339</v>
      </c>
    </row>
    <row r="607" spans="1:20" ht="39.5" customHeight="1">
      <c r="A607" s="3" t="s">
        <v>3352</v>
      </c>
      <c r="B607" s="3" t="s">
        <v>69</v>
      </c>
      <c r="C607" s="3" t="s">
        <v>12</v>
      </c>
      <c r="D607" s="3" t="s">
        <v>116</v>
      </c>
      <c r="E607" s="4" t="s">
        <v>397</v>
      </c>
      <c r="F607" s="3" t="s">
        <v>2276</v>
      </c>
      <c r="G607" s="3" t="s">
        <v>2276</v>
      </c>
      <c r="H607" s="3" t="s">
        <v>2276</v>
      </c>
      <c r="I607" s="3" t="s">
        <v>2276</v>
      </c>
      <c r="J607" s="21">
        <f>250000/81500</f>
        <v>3.0674846625766872</v>
      </c>
      <c r="K607" s="3" t="s">
        <v>2276</v>
      </c>
      <c r="L607" s="3" t="s">
        <v>2276</v>
      </c>
      <c r="M607" s="3" t="s">
        <v>2276</v>
      </c>
      <c r="N607" s="3" t="s">
        <v>2276</v>
      </c>
      <c r="O607" s="3" t="s">
        <v>2276</v>
      </c>
      <c r="P607" s="21">
        <f>81500/('Record info'!K607)</f>
        <v>77.990430622009569</v>
      </c>
      <c r="Q607" s="21" t="s">
        <v>2276</v>
      </c>
      <c r="R607" s="21">
        <f>23000/('Record info'!K607)</f>
        <v>22.009569377990431</v>
      </c>
      <c r="S607" s="3" t="s">
        <v>2276</v>
      </c>
      <c r="T607" s="19" t="s">
        <v>3354</v>
      </c>
    </row>
    <row r="608" spans="1:20" ht="37" customHeight="1">
      <c r="A608" s="11" t="s">
        <v>3364</v>
      </c>
      <c r="B608" s="3" t="s">
        <v>1197</v>
      </c>
      <c r="C608" s="3" t="s">
        <v>2646</v>
      </c>
      <c r="D608" s="3" t="s">
        <v>137</v>
      </c>
      <c r="E608" s="3" t="s">
        <v>2276</v>
      </c>
      <c r="F608" s="3" t="s">
        <v>2276</v>
      </c>
      <c r="G608" s="3" t="s">
        <v>2276</v>
      </c>
      <c r="H608" s="3" t="s">
        <v>2276</v>
      </c>
      <c r="I608" s="3" t="s">
        <v>2276</v>
      </c>
      <c r="J608" s="3" t="s">
        <v>2276</v>
      </c>
      <c r="K608" s="3" t="s">
        <v>2276</v>
      </c>
      <c r="L608" s="3" t="s">
        <v>2276</v>
      </c>
      <c r="M608" s="3" t="s">
        <v>2276</v>
      </c>
      <c r="N608" s="3" t="s">
        <v>2276</v>
      </c>
      <c r="O608" s="3" t="s">
        <v>2276</v>
      </c>
      <c r="P608" s="3" t="s">
        <v>2276</v>
      </c>
      <c r="Q608" s="3" t="s">
        <v>2276</v>
      </c>
      <c r="R608" s="3" t="s">
        <v>2276</v>
      </c>
      <c r="S608" s="3" t="s">
        <v>2276</v>
      </c>
      <c r="T608" s="3"/>
    </row>
    <row r="609" spans="1:20" ht="54" customHeight="1">
      <c r="A609" s="11" t="s">
        <v>3370</v>
      </c>
      <c r="B609" s="3" t="s">
        <v>32</v>
      </c>
      <c r="C609" s="3" t="s">
        <v>12</v>
      </c>
      <c r="D609" s="3" t="s">
        <v>5005</v>
      </c>
      <c r="E609" s="3" t="s">
        <v>84</v>
      </c>
      <c r="F609" s="3" t="s">
        <v>137</v>
      </c>
      <c r="G609" s="3" t="s">
        <v>863</v>
      </c>
      <c r="H609" s="3" t="s">
        <v>2276</v>
      </c>
      <c r="I609" s="3">
        <v>0.64</v>
      </c>
      <c r="J609" s="3" t="s">
        <v>2276</v>
      </c>
      <c r="K609" s="3" t="s">
        <v>534</v>
      </c>
      <c r="L609" s="3" t="s">
        <v>2276</v>
      </c>
      <c r="M609" s="3" t="s">
        <v>2276</v>
      </c>
      <c r="N609" s="3" t="s">
        <v>2276</v>
      </c>
      <c r="O609" s="3" t="s">
        <v>2276</v>
      </c>
      <c r="P609" s="3" t="s">
        <v>2276</v>
      </c>
      <c r="Q609" s="3" t="s">
        <v>2276</v>
      </c>
      <c r="R609" s="3" t="s">
        <v>2276</v>
      </c>
      <c r="S609" s="3" t="s">
        <v>2276</v>
      </c>
      <c r="T609" s="4" t="s">
        <v>5011</v>
      </c>
    </row>
    <row r="610" spans="1:20" ht="50.5" customHeight="1">
      <c r="A610" s="11" t="s">
        <v>3371</v>
      </c>
      <c r="B610" s="3" t="s">
        <v>32</v>
      </c>
      <c r="C610" s="3" t="s">
        <v>12</v>
      </c>
      <c r="D610" s="3" t="s">
        <v>5005</v>
      </c>
      <c r="E610" s="3" t="s">
        <v>84</v>
      </c>
      <c r="F610" s="3" t="s">
        <v>137</v>
      </c>
      <c r="G610" s="3" t="s">
        <v>863</v>
      </c>
      <c r="H610" s="3" t="s">
        <v>2276</v>
      </c>
      <c r="I610" s="3">
        <v>0.64</v>
      </c>
      <c r="J610" s="3" t="s">
        <v>2276</v>
      </c>
      <c r="K610" s="3" t="s">
        <v>534</v>
      </c>
      <c r="L610" s="3" t="s">
        <v>2276</v>
      </c>
      <c r="M610" s="3" t="s">
        <v>2276</v>
      </c>
      <c r="N610" s="3" t="s">
        <v>2276</v>
      </c>
      <c r="O610" s="3" t="s">
        <v>2276</v>
      </c>
      <c r="P610" s="3" t="s">
        <v>2276</v>
      </c>
      <c r="Q610" s="3" t="s">
        <v>2276</v>
      </c>
      <c r="R610" s="3" t="s">
        <v>2276</v>
      </c>
      <c r="S610" s="3" t="s">
        <v>2276</v>
      </c>
      <c r="T610" s="4" t="s">
        <v>5011</v>
      </c>
    </row>
    <row r="611" spans="1:20" ht="34.5" customHeight="1">
      <c r="A611" s="11" t="s">
        <v>3378</v>
      </c>
      <c r="B611" s="3" t="s">
        <v>32</v>
      </c>
      <c r="C611" s="3" t="s">
        <v>395</v>
      </c>
      <c r="D611" s="3" t="s">
        <v>5005</v>
      </c>
      <c r="E611" s="3" t="s">
        <v>2276</v>
      </c>
      <c r="F611" s="3" t="s">
        <v>2276</v>
      </c>
      <c r="G611" s="3" t="s">
        <v>2276</v>
      </c>
      <c r="H611" s="3" t="s">
        <v>2276</v>
      </c>
      <c r="I611" s="160">
        <f>(0.75*86+2*16+3*4)/(86+16+3)</f>
        <v>1.0333333333333334</v>
      </c>
      <c r="J611" s="3" t="s">
        <v>2276</v>
      </c>
      <c r="K611" s="3" t="s">
        <v>2276</v>
      </c>
      <c r="L611" s="3" t="s">
        <v>2276</v>
      </c>
      <c r="M611" s="3" t="s">
        <v>2276</v>
      </c>
      <c r="N611" s="3" t="s">
        <v>2276</v>
      </c>
      <c r="O611" s="3" t="s">
        <v>2276</v>
      </c>
      <c r="P611" s="3" t="s">
        <v>2276</v>
      </c>
      <c r="Q611" s="3" t="s">
        <v>2276</v>
      </c>
      <c r="R611" s="3" t="s">
        <v>2276</v>
      </c>
      <c r="S611" s="3" t="s">
        <v>2276</v>
      </c>
      <c r="T611" s="4" t="s">
        <v>5012</v>
      </c>
    </row>
    <row r="612" spans="1:20" ht="34.5" customHeight="1">
      <c r="A612" s="11" t="s">
        <v>3379</v>
      </c>
      <c r="B612" s="3" t="s">
        <v>32</v>
      </c>
      <c r="C612" s="3" t="s">
        <v>395</v>
      </c>
      <c r="D612" s="3" t="s">
        <v>5005</v>
      </c>
      <c r="E612" s="3" t="s">
        <v>2276</v>
      </c>
      <c r="F612" s="3" t="s">
        <v>2276</v>
      </c>
      <c r="G612" s="3" t="s">
        <v>2276</v>
      </c>
      <c r="H612" s="3" t="s">
        <v>2276</v>
      </c>
      <c r="I612" s="160">
        <f>(0.75*52+2*37+5*4)/(52+37+5)</f>
        <v>1.4148936170212767</v>
      </c>
      <c r="J612" s="3" t="s">
        <v>2276</v>
      </c>
      <c r="K612" s="3" t="s">
        <v>2276</v>
      </c>
      <c r="L612" s="3" t="s">
        <v>2276</v>
      </c>
      <c r="M612" s="3" t="s">
        <v>2276</v>
      </c>
      <c r="N612" s="3" t="s">
        <v>2276</v>
      </c>
      <c r="O612" s="3" t="s">
        <v>2276</v>
      </c>
      <c r="P612" s="3" t="s">
        <v>2276</v>
      </c>
      <c r="Q612" s="3" t="s">
        <v>2276</v>
      </c>
      <c r="R612" s="3" t="s">
        <v>2276</v>
      </c>
      <c r="S612" s="3" t="s">
        <v>2276</v>
      </c>
      <c r="T612" s="4" t="s">
        <v>5012</v>
      </c>
    </row>
    <row r="613" spans="1:20" ht="34.5" customHeight="1">
      <c r="A613" s="11" t="s">
        <v>3383</v>
      </c>
      <c r="B613" s="3" t="s">
        <v>32</v>
      </c>
      <c r="C613" s="3" t="s">
        <v>395</v>
      </c>
      <c r="D613" s="3" t="s">
        <v>5005</v>
      </c>
      <c r="E613" s="3" t="s">
        <v>2276</v>
      </c>
      <c r="F613" s="3" t="s">
        <v>2276</v>
      </c>
      <c r="G613" s="3" t="s">
        <v>2276</v>
      </c>
      <c r="H613" s="3" t="s">
        <v>2276</v>
      </c>
      <c r="I613" s="160">
        <f>(0.75*51+2*32+19*4)/(51+32+19)</f>
        <v>1.7475490196078431</v>
      </c>
      <c r="J613" s="3" t="s">
        <v>2276</v>
      </c>
      <c r="K613" s="3" t="s">
        <v>2276</v>
      </c>
      <c r="L613" s="3" t="s">
        <v>2276</v>
      </c>
      <c r="M613" s="3" t="s">
        <v>2276</v>
      </c>
      <c r="N613" s="3" t="s">
        <v>2276</v>
      </c>
      <c r="O613" s="3" t="s">
        <v>2276</v>
      </c>
      <c r="P613" s="3" t="s">
        <v>2276</v>
      </c>
      <c r="Q613" s="3" t="s">
        <v>2276</v>
      </c>
      <c r="R613" s="3" t="s">
        <v>2276</v>
      </c>
      <c r="S613" s="3" t="s">
        <v>2276</v>
      </c>
      <c r="T613" s="4" t="s">
        <v>5012</v>
      </c>
    </row>
    <row r="614" spans="1:20" ht="30.5" customHeight="1">
      <c r="A614" s="11" t="s">
        <v>3386</v>
      </c>
      <c r="B614" s="3" t="s">
        <v>69</v>
      </c>
      <c r="C614" s="3" t="s">
        <v>395</v>
      </c>
      <c r="D614" s="3" t="s">
        <v>5005</v>
      </c>
      <c r="E614" s="3" t="s">
        <v>2276</v>
      </c>
      <c r="F614" s="3" t="s">
        <v>2276</v>
      </c>
      <c r="G614" s="3" t="s">
        <v>2276</v>
      </c>
      <c r="H614" s="3" t="s">
        <v>2276</v>
      </c>
      <c r="I614" s="3" t="s">
        <v>2276</v>
      </c>
      <c r="J614" s="3" t="s">
        <v>2276</v>
      </c>
      <c r="K614" s="3" t="s">
        <v>2276</v>
      </c>
      <c r="L614" s="3" t="s">
        <v>2276</v>
      </c>
      <c r="M614" s="3" t="s">
        <v>2276</v>
      </c>
      <c r="N614" s="3" t="s">
        <v>2276</v>
      </c>
      <c r="O614" s="3" t="s">
        <v>2276</v>
      </c>
      <c r="P614" s="3" t="s">
        <v>2276</v>
      </c>
      <c r="Q614" s="3" t="s">
        <v>2276</v>
      </c>
      <c r="R614" s="3" t="s">
        <v>2276</v>
      </c>
      <c r="S614" s="3" t="s">
        <v>2276</v>
      </c>
      <c r="T614" s="3"/>
    </row>
    <row r="615" spans="1:20" ht="29" customHeight="1">
      <c r="A615" s="11" t="s">
        <v>3387</v>
      </c>
      <c r="B615" s="3" t="s">
        <v>32</v>
      </c>
      <c r="C615" s="3" t="s">
        <v>12</v>
      </c>
      <c r="D615" s="3" t="s">
        <v>5005</v>
      </c>
      <c r="E615" s="3" t="s">
        <v>45</v>
      </c>
      <c r="F615" s="3" t="s">
        <v>2276</v>
      </c>
      <c r="G615" s="3" t="s">
        <v>2276</v>
      </c>
      <c r="H615" s="3" t="s">
        <v>2276</v>
      </c>
      <c r="I615" s="3" t="s">
        <v>2276</v>
      </c>
      <c r="J615" s="3" t="s">
        <v>2276</v>
      </c>
      <c r="K615" s="3" t="s">
        <v>2276</v>
      </c>
      <c r="L615" s="3" t="s">
        <v>2276</v>
      </c>
      <c r="M615" s="3" t="s">
        <v>2276</v>
      </c>
      <c r="N615" s="3" t="s">
        <v>2276</v>
      </c>
      <c r="O615" s="3" t="s">
        <v>2276</v>
      </c>
      <c r="P615" s="3" t="s">
        <v>2276</v>
      </c>
      <c r="Q615" s="3" t="s">
        <v>2276</v>
      </c>
      <c r="R615" s="3" t="s">
        <v>2276</v>
      </c>
      <c r="S615" s="3" t="s">
        <v>2276</v>
      </c>
      <c r="T615" s="3"/>
    </row>
    <row r="616" spans="1:20" ht="28" customHeight="1">
      <c r="A616" s="11" t="s">
        <v>3388</v>
      </c>
      <c r="B616" s="3" t="s">
        <v>32</v>
      </c>
      <c r="C616" s="3" t="s">
        <v>12</v>
      </c>
      <c r="D616" s="3" t="s">
        <v>5005</v>
      </c>
      <c r="E616" s="3" t="s">
        <v>45</v>
      </c>
      <c r="F616" s="3" t="s">
        <v>2276</v>
      </c>
      <c r="G616" s="3" t="s">
        <v>2276</v>
      </c>
      <c r="H616" s="21">
        <f>AVERAGE(5.2, 0.5, 5.4, 5.2, 4.6, 2.3)</f>
        <v>3.8666666666666667</v>
      </c>
      <c r="I616" s="3">
        <v>175</v>
      </c>
      <c r="J616" s="3" t="s">
        <v>2276</v>
      </c>
      <c r="K616" s="3" t="s">
        <v>2276</v>
      </c>
      <c r="L616" s="3" t="s">
        <v>2276</v>
      </c>
      <c r="M616" s="3" t="s">
        <v>2276</v>
      </c>
      <c r="N616" s="3" t="s">
        <v>2276</v>
      </c>
      <c r="O616" s="3" t="s">
        <v>2276</v>
      </c>
      <c r="P616" s="3" t="s">
        <v>2276</v>
      </c>
      <c r="Q616" s="3" t="s">
        <v>2276</v>
      </c>
      <c r="R616" s="3" t="s">
        <v>2276</v>
      </c>
      <c r="S616" s="3" t="s">
        <v>2276</v>
      </c>
      <c r="T616" s="3"/>
    </row>
    <row r="617" spans="1:20" ht="38.5" customHeight="1">
      <c r="A617" s="11" t="s">
        <v>3413</v>
      </c>
      <c r="B617" s="3" t="s">
        <v>69</v>
      </c>
      <c r="C617" s="3" t="s">
        <v>12</v>
      </c>
      <c r="D617" s="3" t="s">
        <v>116</v>
      </c>
      <c r="E617" s="3" t="s">
        <v>2276</v>
      </c>
      <c r="F617" s="3" t="s">
        <v>2276</v>
      </c>
      <c r="G617" s="3" t="s">
        <v>2276</v>
      </c>
      <c r="H617" s="3" t="s">
        <v>2276</v>
      </c>
      <c r="I617" s="3" t="s">
        <v>2276</v>
      </c>
      <c r="J617" s="3" t="s">
        <v>2276</v>
      </c>
      <c r="K617" s="3" t="s">
        <v>2276</v>
      </c>
      <c r="L617" s="3" t="s">
        <v>2276</v>
      </c>
      <c r="M617" s="3" t="s">
        <v>2276</v>
      </c>
      <c r="N617" s="3" t="s">
        <v>2276</v>
      </c>
      <c r="O617" s="3" t="s">
        <v>2276</v>
      </c>
      <c r="P617" s="3" t="s">
        <v>2276</v>
      </c>
      <c r="Q617" s="3" t="s">
        <v>2276</v>
      </c>
      <c r="R617" s="3" t="s">
        <v>2276</v>
      </c>
      <c r="S617" s="3" t="s">
        <v>2276</v>
      </c>
      <c r="T617" s="3" t="s">
        <v>3416</v>
      </c>
    </row>
    <row r="618" spans="1:20" ht="36" customHeight="1">
      <c r="A618" s="11" t="s">
        <v>3426</v>
      </c>
      <c r="B618" s="3" t="s">
        <v>69</v>
      </c>
      <c r="C618" s="3" t="s">
        <v>395</v>
      </c>
      <c r="D618" s="3" t="s">
        <v>116</v>
      </c>
      <c r="E618" s="3" t="s">
        <v>2276</v>
      </c>
      <c r="F618" s="3" t="s">
        <v>2276</v>
      </c>
      <c r="G618" s="3" t="s">
        <v>2276</v>
      </c>
      <c r="H618" s="3" t="s">
        <v>2276</v>
      </c>
      <c r="I618" s="3" t="s">
        <v>2276</v>
      </c>
      <c r="J618" s="3" t="s">
        <v>2276</v>
      </c>
      <c r="K618" s="3" t="s">
        <v>2276</v>
      </c>
      <c r="L618" s="3" t="s">
        <v>2276</v>
      </c>
      <c r="M618" s="3" t="s">
        <v>2276</v>
      </c>
      <c r="N618" s="3" t="s">
        <v>2276</v>
      </c>
      <c r="O618" s="3" t="s">
        <v>2276</v>
      </c>
      <c r="P618" s="3" t="s">
        <v>2276</v>
      </c>
      <c r="Q618" s="3" t="s">
        <v>2276</v>
      </c>
      <c r="R618" s="3" t="s">
        <v>2276</v>
      </c>
      <c r="S618" s="3" t="s">
        <v>2276</v>
      </c>
      <c r="T618" s="3" t="s">
        <v>3416</v>
      </c>
    </row>
    <row r="619" spans="1:20" ht="39" customHeight="1">
      <c r="A619" s="11" t="s">
        <v>3445</v>
      </c>
      <c r="B619" s="3" t="s">
        <v>32</v>
      </c>
      <c r="C619" s="3" t="s">
        <v>395</v>
      </c>
      <c r="D619" s="3" t="s">
        <v>116</v>
      </c>
      <c r="E619" s="3" t="s">
        <v>2276</v>
      </c>
      <c r="F619" s="3" t="s">
        <v>2276</v>
      </c>
      <c r="G619" s="3" t="s">
        <v>2276</v>
      </c>
      <c r="H619" s="3" t="s">
        <v>2276</v>
      </c>
      <c r="I619" s="3" t="s">
        <v>2276</v>
      </c>
      <c r="J619" s="3" t="s">
        <v>2276</v>
      </c>
      <c r="K619" s="3" t="s">
        <v>2276</v>
      </c>
      <c r="L619" s="3" t="s">
        <v>2276</v>
      </c>
      <c r="M619" s="3" t="s">
        <v>2276</v>
      </c>
      <c r="N619" s="3" t="s">
        <v>2276</v>
      </c>
      <c r="O619" s="3" t="s">
        <v>2276</v>
      </c>
      <c r="P619" s="3" t="s">
        <v>2276</v>
      </c>
      <c r="Q619" s="3" t="s">
        <v>2276</v>
      </c>
      <c r="R619" s="3" t="s">
        <v>2276</v>
      </c>
      <c r="S619" s="3" t="s">
        <v>2276</v>
      </c>
      <c r="T619" s="3" t="s">
        <v>3416</v>
      </c>
    </row>
    <row r="620" spans="1:20" ht="43.5" customHeight="1">
      <c r="A620" s="11" t="s">
        <v>3460</v>
      </c>
      <c r="B620" s="3" t="s">
        <v>2258</v>
      </c>
      <c r="C620" s="3" t="s">
        <v>12</v>
      </c>
      <c r="D620" s="4" t="s">
        <v>130</v>
      </c>
      <c r="E620" s="4" t="s">
        <v>5005</v>
      </c>
      <c r="F620" s="3" t="s">
        <v>863</v>
      </c>
      <c r="G620" s="3" t="s">
        <v>116</v>
      </c>
      <c r="H620" s="3" t="s">
        <v>2276</v>
      </c>
      <c r="I620" s="3" t="s">
        <v>2276</v>
      </c>
      <c r="J620" s="3" t="s">
        <v>2276</v>
      </c>
      <c r="K620" s="3" t="s">
        <v>534</v>
      </c>
      <c r="L620" s="3" t="s">
        <v>2276</v>
      </c>
      <c r="M620" s="3" t="s">
        <v>2276</v>
      </c>
      <c r="N620" s="3" t="s">
        <v>2276</v>
      </c>
      <c r="O620" s="3" t="s">
        <v>2276</v>
      </c>
      <c r="P620" s="3" t="s">
        <v>2276</v>
      </c>
      <c r="Q620" s="3" t="s">
        <v>2276</v>
      </c>
      <c r="R620" s="3" t="s">
        <v>2276</v>
      </c>
      <c r="S620" s="3" t="s">
        <v>2276</v>
      </c>
      <c r="T620" s="4" t="s">
        <v>3464</v>
      </c>
    </row>
    <row r="621" spans="1:20" ht="33.5" customHeight="1">
      <c r="A621" s="11" t="s">
        <v>3491</v>
      </c>
      <c r="B621" s="3" t="s">
        <v>1197</v>
      </c>
      <c r="C621" s="3" t="s">
        <v>12</v>
      </c>
      <c r="D621" s="4" t="s">
        <v>397</v>
      </c>
      <c r="E621" s="4" t="s">
        <v>396</v>
      </c>
      <c r="F621" s="4" t="s">
        <v>45</v>
      </c>
      <c r="G621" s="3" t="s">
        <v>2276</v>
      </c>
      <c r="H621" s="3" t="s">
        <v>2276</v>
      </c>
      <c r="I621" s="3" t="s">
        <v>2276</v>
      </c>
      <c r="J621" s="3" t="s">
        <v>2276</v>
      </c>
      <c r="K621" s="3" t="s">
        <v>2276</v>
      </c>
      <c r="L621" s="3" t="s">
        <v>2276</v>
      </c>
      <c r="M621" s="3" t="s">
        <v>2276</v>
      </c>
      <c r="N621" s="3" t="s">
        <v>2276</v>
      </c>
      <c r="O621" s="3" t="s">
        <v>2276</v>
      </c>
      <c r="P621" s="3" t="s">
        <v>2276</v>
      </c>
      <c r="Q621" s="3" t="s">
        <v>2276</v>
      </c>
      <c r="R621" s="3" t="s">
        <v>2276</v>
      </c>
      <c r="S621" s="3" t="s">
        <v>2276</v>
      </c>
      <c r="T621" s="3" t="s">
        <v>3501</v>
      </c>
    </row>
    <row r="622" spans="1:20" ht="33.5" customHeight="1">
      <c r="A622" s="11" t="s">
        <v>3492</v>
      </c>
      <c r="B622" s="11" t="s">
        <v>2276</v>
      </c>
      <c r="C622" s="11" t="s">
        <v>2276</v>
      </c>
      <c r="D622" s="11" t="s">
        <v>2276</v>
      </c>
      <c r="E622" s="11" t="s">
        <v>2276</v>
      </c>
      <c r="F622" s="11" t="s">
        <v>2276</v>
      </c>
      <c r="G622" s="11" t="s">
        <v>2276</v>
      </c>
      <c r="H622" s="11" t="s">
        <v>2276</v>
      </c>
      <c r="I622" s="11" t="s">
        <v>2276</v>
      </c>
      <c r="J622" s="11" t="s">
        <v>2276</v>
      </c>
      <c r="K622" s="11" t="s">
        <v>2276</v>
      </c>
      <c r="L622" s="11" t="s">
        <v>2276</v>
      </c>
      <c r="M622" s="11" t="s">
        <v>2276</v>
      </c>
      <c r="N622" s="11" t="s">
        <v>2276</v>
      </c>
      <c r="O622" s="11" t="s">
        <v>2276</v>
      </c>
      <c r="P622" s="11" t="s">
        <v>2276</v>
      </c>
      <c r="Q622" s="11" t="s">
        <v>2276</v>
      </c>
      <c r="R622" s="11" t="s">
        <v>2276</v>
      </c>
      <c r="S622" s="11" t="s">
        <v>2276</v>
      </c>
      <c r="T622" s="11"/>
    </row>
    <row r="623" spans="1:20" ht="39.5" customHeight="1">
      <c r="A623" s="11" t="s">
        <v>3530</v>
      </c>
      <c r="B623" s="3" t="s">
        <v>69</v>
      </c>
      <c r="C623" s="3" t="s">
        <v>395</v>
      </c>
      <c r="D623" s="3" t="s">
        <v>5005</v>
      </c>
      <c r="E623" s="3" t="s">
        <v>116</v>
      </c>
      <c r="F623" s="3" t="s">
        <v>2276</v>
      </c>
      <c r="G623" s="3" t="s">
        <v>2276</v>
      </c>
      <c r="H623" s="3" t="s">
        <v>2276</v>
      </c>
      <c r="I623" s="3" t="s">
        <v>2276</v>
      </c>
      <c r="J623" s="3" t="s">
        <v>2276</v>
      </c>
      <c r="K623" s="3" t="s">
        <v>534</v>
      </c>
      <c r="L623" s="3" t="s">
        <v>2276</v>
      </c>
      <c r="M623" s="3" t="s">
        <v>2276</v>
      </c>
      <c r="N623" s="3" t="s">
        <v>2276</v>
      </c>
      <c r="O623" s="3" t="s">
        <v>2276</v>
      </c>
      <c r="P623" s="3" t="s">
        <v>2276</v>
      </c>
      <c r="Q623" s="3" t="s">
        <v>2276</v>
      </c>
      <c r="R623" s="3" t="s">
        <v>2276</v>
      </c>
      <c r="S623" s="3" t="s">
        <v>2276</v>
      </c>
      <c r="T623" s="3" t="s">
        <v>3550</v>
      </c>
    </row>
    <row r="624" spans="1:20" ht="39.5" customHeight="1">
      <c r="A624" s="35" t="s">
        <v>3532</v>
      </c>
      <c r="B624" s="38" t="s">
        <v>2276</v>
      </c>
      <c r="C624" s="38" t="s">
        <v>12</v>
      </c>
      <c r="D624" s="38" t="s">
        <v>5005</v>
      </c>
      <c r="E624" s="38" t="s">
        <v>863</v>
      </c>
      <c r="F624" s="38" t="s">
        <v>2652</v>
      </c>
      <c r="G624" s="38" t="s">
        <v>2276</v>
      </c>
      <c r="H624" s="14">
        <f>(8000+1200+3500+700)/(2000*100)</f>
        <v>6.7000000000000004E-2</v>
      </c>
      <c r="I624" s="38" t="s">
        <v>2276</v>
      </c>
      <c r="J624" s="38" t="s">
        <v>2276</v>
      </c>
      <c r="K624" s="38" t="s">
        <v>534</v>
      </c>
      <c r="L624" s="38" t="s">
        <v>2276</v>
      </c>
      <c r="M624" s="38" t="s">
        <v>2276</v>
      </c>
      <c r="N624" s="38" t="s">
        <v>2276</v>
      </c>
      <c r="O624" s="38" t="s">
        <v>2276</v>
      </c>
      <c r="P624" s="38" t="s">
        <v>2276</v>
      </c>
      <c r="Q624" s="38" t="s">
        <v>2276</v>
      </c>
      <c r="R624" s="38" t="s">
        <v>2276</v>
      </c>
      <c r="S624" s="38" t="s">
        <v>2276</v>
      </c>
      <c r="T624" s="38" t="s">
        <v>3551</v>
      </c>
    </row>
    <row r="625" spans="1:20" ht="35.5" customHeight="1">
      <c r="A625" s="11" t="s">
        <v>3577</v>
      </c>
      <c r="B625" s="3" t="s">
        <v>2258</v>
      </c>
      <c r="C625" s="3" t="s">
        <v>12</v>
      </c>
      <c r="D625" s="3" t="s">
        <v>5005</v>
      </c>
      <c r="E625" s="3" t="s">
        <v>137</v>
      </c>
      <c r="F625" s="3" t="s">
        <v>2276</v>
      </c>
      <c r="G625" s="3" t="s">
        <v>2276</v>
      </c>
      <c r="H625" s="3" t="s">
        <v>2276</v>
      </c>
      <c r="I625" s="3" t="s">
        <v>2276</v>
      </c>
      <c r="J625" s="3" t="s">
        <v>2276</v>
      </c>
      <c r="K625" s="3" t="s">
        <v>2276</v>
      </c>
      <c r="L625" s="3" t="s">
        <v>2276</v>
      </c>
      <c r="M625" s="3" t="s">
        <v>2276</v>
      </c>
      <c r="N625" s="3" t="s">
        <v>2276</v>
      </c>
      <c r="O625" s="3" t="s">
        <v>2276</v>
      </c>
      <c r="P625" s="3" t="s">
        <v>2276</v>
      </c>
      <c r="Q625" s="3" t="s">
        <v>2276</v>
      </c>
      <c r="R625" s="3" t="s">
        <v>2276</v>
      </c>
      <c r="S625" s="3" t="s">
        <v>2276</v>
      </c>
      <c r="T625" s="4" t="s">
        <v>3584</v>
      </c>
    </row>
    <row r="626" spans="1:20" ht="22" customHeight="1">
      <c r="A626" s="11" t="s">
        <v>3586</v>
      </c>
      <c r="B626" s="3" t="s">
        <v>32</v>
      </c>
      <c r="C626" s="3" t="s">
        <v>12</v>
      </c>
      <c r="D626" s="3" t="s">
        <v>5005</v>
      </c>
      <c r="E626" s="3" t="s">
        <v>130</v>
      </c>
      <c r="F626" s="3" t="s">
        <v>45</v>
      </c>
      <c r="G626" s="3" t="s">
        <v>2276</v>
      </c>
      <c r="H626" s="3" t="s">
        <v>2276</v>
      </c>
      <c r="I626" s="21">
        <v>2</v>
      </c>
      <c r="J626" s="3" t="s">
        <v>2276</v>
      </c>
      <c r="K626" s="3" t="s">
        <v>2276</v>
      </c>
      <c r="L626" s="3" t="s">
        <v>2276</v>
      </c>
      <c r="M626" s="3" t="s">
        <v>2276</v>
      </c>
      <c r="N626" s="3" t="s">
        <v>2276</v>
      </c>
      <c r="O626" s="3" t="s">
        <v>2276</v>
      </c>
      <c r="P626" s="21">
        <v>20.92</v>
      </c>
      <c r="Q626" s="3" t="s">
        <v>2276</v>
      </c>
      <c r="R626" s="3" t="s">
        <v>2276</v>
      </c>
      <c r="S626" s="3" t="s">
        <v>2276</v>
      </c>
      <c r="T626" s="3" t="s">
        <v>3598</v>
      </c>
    </row>
    <row r="627" spans="1:20" ht="22" customHeight="1">
      <c r="A627" s="11" t="s">
        <v>3589</v>
      </c>
      <c r="B627" s="3" t="s">
        <v>32</v>
      </c>
      <c r="C627" s="3" t="s">
        <v>12</v>
      </c>
      <c r="D627" s="3" t="s">
        <v>5005</v>
      </c>
      <c r="E627" s="3" t="s">
        <v>130</v>
      </c>
      <c r="F627" s="3" t="s">
        <v>45</v>
      </c>
      <c r="G627" s="3" t="s">
        <v>2276</v>
      </c>
      <c r="H627" s="3" t="s">
        <v>2276</v>
      </c>
      <c r="I627" s="21">
        <v>2.79</v>
      </c>
      <c r="J627" s="3" t="s">
        <v>2276</v>
      </c>
      <c r="K627" s="3" t="s">
        <v>2276</v>
      </c>
      <c r="L627" s="3" t="s">
        <v>2276</v>
      </c>
      <c r="M627" s="3" t="s">
        <v>2276</v>
      </c>
      <c r="N627" s="3" t="s">
        <v>2276</v>
      </c>
      <c r="O627" s="3" t="s">
        <v>2276</v>
      </c>
      <c r="P627" s="21">
        <v>13.1</v>
      </c>
      <c r="Q627" s="3" t="s">
        <v>2276</v>
      </c>
      <c r="R627" s="3" t="s">
        <v>2276</v>
      </c>
      <c r="S627" s="3" t="s">
        <v>2276</v>
      </c>
      <c r="T627" s="3" t="s">
        <v>3598</v>
      </c>
    </row>
    <row r="628" spans="1:20" ht="22" customHeight="1">
      <c r="A628" s="11" t="s">
        <v>3590</v>
      </c>
      <c r="B628" s="3" t="s">
        <v>32</v>
      </c>
      <c r="C628" s="3" t="s">
        <v>12</v>
      </c>
      <c r="D628" s="3" t="s">
        <v>5005</v>
      </c>
      <c r="E628" s="3" t="s">
        <v>130</v>
      </c>
      <c r="F628" s="3" t="s">
        <v>45</v>
      </c>
      <c r="G628" s="3" t="s">
        <v>2276</v>
      </c>
      <c r="H628" s="3" t="s">
        <v>2276</v>
      </c>
      <c r="I628" s="21">
        <v>3.33</v>
      </c>
      <c r="J628" s="3" t="s">
        <v>2276</v>
      </c>
      <c r="K628" s="3" t="s">
        <v>2276</v>
      </c>
      <c r="L628" s="3" t="s">
        <v>2276</v>
      </c>
      <c r="M628" s="3" t="s">
        <v>2276</v>
      </c>
      <c r="N628" s="3" t="s">
        <v>2276</v>
      </c>
      <c r="O628" s="3" t="s">
        <v>2276</v>
      </c>
      <c r="P628" s="21">
        <v>14.33</v>
      </c>
      <c r="Q628" s="3" t="s">
        <v>2276</v>
      </c>
      <c r="R628" s="3" t="s">
        <v>2276</v>
      </c>
      <c r="S628" s="3" t="s">
        <v>2276</v>
      </c>
      <c r="T628" s="3" t="s">
        <v>3598</v>
      </c>
    </row>
    <row r="629" spans="1:20" ht="22" customHeight="1">
      <c r="A629" s="11" t="s">
        <v>3591</v>
      </c>
      <c r="B629" s="3" t="s">
        <v>32</v>
      </c>
      <c r="C629" s="3" t="s">
        <v>12</v>
      </c>
      <c r="D629" s="3" t="s">
        <v>5005</v>
      </c>
      <c r="E629" s="3" t="s">
        <v>130</v>
      </c>
      <c r="F629" s="3" t="s">
        <v>45</v>
      </c>
      <c r="G629" s="3" t="s">
        <v>2276</v>
      </c>
      <c r="H629" s="3" t="s">
        <v>2276</v>
      </c>
      <c r="I629" s="21">
        <v>2.09</v>
      </c>
      <c r="J629" s="3" t="s">
        <v>2276</v>
      </c>
      <c r="K629" s="3" t="s">
        <v>2276</v>
      </c>
      <c r="L629" s="3" t="s">
        <v>2276</v>
      </c>
      <c r="M629" s="3" t="s">
        <v>2276</v>
      </c>
      <c r="N629" s="3" t="s">
        <v>2276</v>
      </c>
      <c r="O629" s="3" t="s">
        <v>2276</v>
      </c>
      <c r="P629" s="21">
        <v>9.17</v>
      </c>
      <c r="Q629" s="3" t="s">
        <v>2276</v>
      </c>
      <c r="R629" s="3" t="s">
        <v>2276</v>
      </c>
      <c r="S629" s="3" t="s">
        <v>2276</v>
      </c>
      <c r="T629" s="3" t="s">
        <v>3598</v>
      </c>
    </row>
    <row r="630" spans="1:20" ht="26" customHeight="1">
      <c r="A630" s="11" t="s">
        <v>3592</v>
      </c>
      <c r="B630" s="3" t="s">
        <v>32</v>
      </c>
      <c r="C630" s="3" t="s">
        <v>12</v>
      </c>
      <c r="D630" s="3" t="s">
        <v>5005</v>
      </c>
      <c r="E630" s="3" t="s">
        <v>130</v>
      </c>
      <c r="F630" s="3" t="s">
        <v>45</v>
      </c>
      <c r="G630" s="3" t="s">
        <v>2276</v>
      </c>
      <c r="H630" s="3" t="s">
        <v>2276</v>
      </c>
      <c r="I630" s="21">
        <v>1.19</v>
      </c>
      <c r="J630" s="3" t="s">
        <v>2276</v>
      </c>
      <c r="K630" s="3" t="s">
        <v>2276</v>
      </c>
      <c r="L630" s="3" t="s">
        <v>2276</v>
      </c>
      <c r="M630" s="3" t="s">
        <v>2276</v>
      </c>
      <c r="N630" s="3" t="s">
        <v>2276</v>
      </c>
      <c r="O630" s="3" t="s">
        <v>2276</v>
      </c>
      <c r="P630" s="21">
        <v>4.24</v>
      </c>
      <c r="Q630" s="3" t="s">
        <v>2276</v>
      </c>
      <c r="R630" s="3" t="s">
        <v>2276</v>
      </c>
      <c r="S630" s="3" t="s">
        <v>2276</v>
      </c>
      <c r="T630" s="3" t="s">
        <v>3598</v>
      </c>
    </row>
    <row r="631" spans="1:20" ht="34.5" customHeight="1">
      <c r="A631" s="11" t="s">
        <v>3614</v>
      </c>
      <c r="B631" s="3" t="s">
        <v>2276</v>
      </c>
      <c r="C631" s="3" t="s">
        <v>12</v>
      </c>
      <c r="D631" s="3" t="s">
        <v>5005</v>
      </c>
      <c r="E631" s="3" t="s">
        <v>45</v>
      </c>
      <c r="F631" s="3" t="s">
        <v>2276</v>
      </c>
      <c r="G631" s="3" t="s">
        <v>2276</v>
      </c>
      <c r="H631" s="3" t="s">
        <v>2276</v>
      </c>
      <c r="I631" s="3" t="s">
        <v>2276</v>
      </c>
      <c r="J631" s="3" t="s">
        <v>2276</v>
      </c>
      <c r="K631" s="3" t="s">
        <v>2276</v>
      </c>
      <c r="L631" s="3" t="s">
        <v>2276</v>
      </c>
      <c r="M631" s="3" t="s">
        <v>2276</v>
      </c>
      <c r="N631" s="3" t="s">
        <v>2276</v>
      </c>
      <c r="O631" s="3" t="s">
        <v>2276</v>
      </c>
      <c r="P631" s="3" t="s">
        <v>2276</v>
      </c>
      <c r="Q631" s="3" t="s">
        <v>2276</v>
      </c>
      <c r="R631" s="3" t="s">
        <v>2276</v>
      </c>
      <c r="S631" s="3" t="s">
        <v>2276</v>
      </c>
      <c r="T631" s="3" t="s">
        <v>3617</v>
      </c>
    </row>
    <row r="632" spans="1:20" ht="34" customHeight="1">
      <c r="A632" s="11" t="s">
        <v>3625</v>
      </c>
      <c r="B632" s="3" t="s">
        <v>2276</v>
      </c>
      <c r="C632" s="3" t="s">
        <v>12</v>
      </c>
      <c r="D632" s="3" t="s">
        <v>130</v>
      </c>
      <c r="E632" s="3" t="s">
        <v>137</v>
      </c>
      <c r="F632" s="3" t="s">
        <v>2276</v>
      </c>
      <c r="G632" s="3" t="s">
        <v>2276</v>
      </c>
      <c r="H632" s="3" t="s">
        <v>2276</v>
      </c>
      <c r="I632" s="3" t="s">
        <v>2276</v>
      </c>
      <c r="J632" s="3" t="s">
        <v>2276</v>
      </c>
      <c r="K632" s="3" t="s">
        <v>2276</v>
      </c>
      <c r="L632" s="3" t="s">
        <v>2276</v>
      </c>
      <c r="M632" s="3" t="s">
        <v>2276</v>
      </c>
      <c r="N632" s="3" t="s">
        <v>2276</v>
      </c>
      <c r="O632" s="3" t="s">
        <v>2276</v>
      </c>
      <c r="P632" s="3" t="s">
        <v>2276</v>
      </c>
      <c r="Q632" s="3" t="s">
        <v>2276</v>
      </c>
      <c r="R632" s="3" t="s">
        <v>2276</v>
      </c>
      <c r="S632" s="3" t="s">
        <v>2276</v>
      </c>
      <c r="T632" s="3"/>
    </row>
    <row r="633" spans="1:20" ht="34" customHeight="1">
      <c r="A633" s="11" t="s">
        <v>3626</v>
      </c>
      <c r="B633" s="3" t="s">
        <v>2276</v>
      </c>
      <c r="C633" s="3" t="s">
        <v>12</v>
      </c>
      <c r="D633" s="3" t="s">
        <v>130</v>
      </c>
      <c r="E633" s="3" t="s">
        <v>137</v>
      </c>
      <c r="F633" s="3" t="s">
        <v>2276</v>
      </c>
      <c r="G633" s="3" t="s">
        <v>2276</v>
      </c>
      <c r="H633" s="3" t="s">
        <v>2276</v>
      </c>
      <c r="I633" s="3" t="s">
        <v>2276</v>
      </c>
      <c r="J633" s="3" t="s">
        <v>2276</v>
      </c>
      <c r="K633" s="3" t="s">
        <v>2276</v>
      </c>
      <c r="L633" s="3" t="s">
        <v>2276</v>
      </c>
      <c r="M633" s="3" t="s">
        <v>2276</v>
      </c>
      <c r="N633" s="3" t="s">
        <v>2276</v>
      </c>
      <c r="O633" s="3" t="s">
        <v>2276</v>
      </c>
      <c r="P633" s="3" t="s">
        <v>2276</v>
      </c>
      <c r="Q633" s="3" t="s">
        <v>2276</v>
      </c>
      <c r="R633" s="3" t="s">
        <v>2276</v>
      </c>
      <c r="S633" s="3" t="s">
        <v>2276</v>
      </c>
      <c r="T633" s="3"/>
    </row>
    <row r="634" spans="1:20" ht="34" customHeight="1">
      <c r="A634" s="11" t="s">
        <v>3629</v>
      </c>
      <c r="B634" s="3" t="s">
        <v>2276</v>
      </c>
      <c r="C634" s="3" t="s">
        <v>12</v>
      </c>
      <c r="D634" s="3" t="s">
        <v>130</v>
      </c>
      <c r="E634" s="3" t="s">
        <v>137</v>
      </c>
      <c r="F634" s="3" t="s">
        <v>2276</v>
      </c>
      <c r="G634" s="3" t="s">
        <v>2276</v>
      </c>
      <c r="H634" s="3" t="s">
        <v>2276</v>
      </c>
      <c r="I634" s="3" t="s">
        <v>2276</v>
      </c>
      <c r="J634" s="3" t="s">
        <v>2276</v>
      </c>
      <c r="K634" s="3" t="s">
        <v>2276</v>
      </c>
      <c r="L634" s="3" t="s">
        <v>2276</v>
      </c>
      <c r="M634" s="3" t="s">
        <v>2276</v>
      </c>
      <c r="N634" s="3" t="s">
        <v>2276</v>
      </c>
      <c r="O634" s="3" t="s">
        <v>2276</v>
      </c>
      <c r="P634" s="3" t="s">
        <v>2276</v>
      </c>
      <c r="Q634" s="3" t="s">
        <v>2276</v>
      </c>
      <c r="R634" s="3" t="s">
        <v>2276</v>
      </c>
      <c r="S634" s="3" t="s">
        <v>2276</v>
      </c>
      <c r="T634" s="3"/>
    </row>
    <row r="635" spans="1:20" ht="34" customHeight="1">
      <c r="A635" s="11" t="s">
        <v>3630</v>
      </c>
      <c r="B635" s="3" t="s">
        <v>2276</v>
      </c>
      <c r="C635" s="3" t="s">
        <v>12</v>
      </c>
      <c r="D635" s="3" t="s">
        <v>116</v>
      </c>
      <c r="E635" s="3" t="s">
        <v>130</v>
      </c>
      <c r="F635" s="3" t="s">
        <v>137</v>
      </c>
      <c r="G635" s="3" t="s">
        <v>2276</v>
      </c>
      <c r="H635" s="3" t="s">
        <v>2276</v>
      </c>
      <c r="I635" s="3" t="s">
        <v>2276</v>
      </c>
      <c r="J635" s="3" t="s">
        <v>2276</v>
      </c>
      <c r="K635" s="3" t="s">
        <v>2276</v>
      </c>
      <c r="L635" s="3" t="s">
        <v>2276</v>
      </c>
      <c r="M635" s="3" t="s">
        <v>2276</v>
      </c>
      <c r="N635" s="3" t="s">
        <v>2276</v>
      </c>
      <c r="O635" s="3" t="s">
        <v>2276</v>
      </c>
      <c r="P635" s="3" t="s">
        <v>2276</v>
      </c>
      <c r="Q635" s="3" t="s">
        <v>2276</v>
      </c>
      <c r="R635" s="3" t="s">
        <v>2276</v>
      </c>
      <c r="S635" s="3" t="s">
        <v>2276</v>
      </c>
      <c r="T635" s="3" t="s">
        <v>3463</v>
      </c>
    </row>
    <row r="636" spans="1:20" ht="33" customHeight="1">
      <c r="A636" s="11" t="s">
        <v>3664</v>
      </c>
      <c r="B636" s="3" t="s">
        <v>1197</v>
      </c>
      <c r="C636" s="3" t="s">
        <v>12</v>
      </c>
      <c r="D636" s="4" t="s">
        <v>396</v>
      </c>
      <c r="E636" s="4" t="s">
        <v>397</v>
      </c>
      <c r="F636" s="3" t="s">
        <v>45</v>
      </c>
      <c r="G636" s="3" t="s">
        <v>116</v>
      </c>
      <c r="H636" s="3" t="s">
        <v>2276</v>
      </c>
      <c r="I636" s="3" t="s">
        <v>2276</v>
      </c>
      <c r="J636" s="3" t="s">
        <v>2276</v>
      </c>
      <c r="K636" s="3" t="s">
        <v>2276</v>
      </c>
      <c r="L636" s="3" t="s">
        <v>2276</v>
      </c>
      <c r="M636" s="3" t="s">
        <v>2276</v>
      </c>
      <c r="N636" s="3" t="s">
        <v>2276</v>
      </c>
      <c r="O636" s="3" t="s">
        <v>2276</v>
      </c>
      <c r="P636" s="3" t="s">
        <v>2276</v>
      </c>
      <c r="Q636" s="3" t="s">
        <v>2276</v>
      </c>
      <c r="R636" s="3" t="s">
        <v>2276</v>
      </c>
      <c r="S636" s="3" t="s">
        <v>2276</v>
      </c>
      <c r="T636" s="3" t="s">
        <v>3673</v>
      </c>
    </row>
    <row r="637" spans="1:20" ht="37" customHeight="1">
      <c r="A637" s="11" t="s">
        <v>3666</v>
      </c>
      <c r="B637" s="3" t="s">
        <v>70</v>
      </c>
      <c r="C637" s="3" t="s">
        <v>2645</v>
      </c>
      <c r="D637" s="3" t="s">
        <v>84</v>
      </c>
      <c r="E637" s="4" t="s">
        <v>396</v>
      </c>
      <c r="F637" s="4" t="s">
        <v>397</v>
      </c>
      <c r="G637" s="3" t="s">
        <v>2276</v>
      </c>
      <c r="H637" s="3" t="s">
        <v>2276</v>
      </c>
      <c r="I637" s="3" t="s">
        <v>2276</v>
      </c>
      <c r="J637" s="3" t="s">
        <v>2276</v>
      </c>
      <c r="K637" s="3" t="s">
        <v>2276</v>
      </c>
      <c r="L637" s="3" t="s">
        <v>2276</v>
      </c>
      <c r="M637" s="3" t="s">
        <v>2276</v>
      </c>
      <c r="N637" s="3" t="s">
        <v>2276</v>
      </c>
      <c r="O637" s="3" t="s">
        <v>2276</v>
      </c>
      <c r="P637" s="21">
        <f>((16+3.6+1.4+0.1)*1000000)/'Record info'!K636</f>
        <v>53.997753079279448</v>
      </c>
      <c r="Q637" s="3" t="s">
        <v>2276</v>
      </c>
      <c r="R637" s="3" t="s">
        <v>2276</v>
      </c>
      <c r="S637" s="3" t="s">
        <v>2276</v>
      </c>
      <c r="T637" s="3"/>
    </row>
    <row r="638" spans="1:20" ht="39" customHeight="1">
      <c r="A638" s="11" t="s">
        <v>3700</v>
      </c>
      <c r="B638" s="3" t="s">
        <v>32</v>
      </c>
      <c r="C638" s="3" t="s">
        <v>12</v>
      </c>
      <c r="D638" s="3" t="s">
        <v>5005</v>
      </c>
      <c r="E638" s="4" t="s">
        <v>397</v>
      </c>
      <c r="F638" s="3" t="s">
        <v>2649</v>
      </c>
      <c r="G638" s="3" t="s">
        <v>2652</v>
      </c>
      <c r="H638" s="3" t="s">
        <v>2276</v>
      </c>
      <c r="I638" s="3">
        <v>0.05</v>
      </c>
      <c r="J638" s="3" t="s">
        <v>2276</v>
      </c>
      <c r="K638" t="s">
        <v>534</v>
      </c>
      <c r="L638" s="3" t="s">
        <v>2276</v>
      </c>
      <c r="M638" s="14">
        <f>434.5/(30854)</f>
        <v>1.4082452842419135E-2</v>
      </c>
      <c r="N638" s="3" t="s">
        <v>2276</v>
      </c>
      <c r="O638" s="3" t="s">
        <v>2276</v>
      </c>
      <c r="P638" s="3" t="s">
        <v>2276</v>
      </c>
      <c r="Q638" s="3" t="s">
        <v>2276</v>
      </c>
      <c r="R638" s="3" t="s">
        <v>2276</v>
      </c>
      <c r="S638" s="3" t="s">
        <v>2276</v>
      </c>
      <c r="T638" s="3"/>
    </row>
    <row r="639" spans="1:20" ht="38.5" customHeight="1">
      <c r="A639" s="11" t="s">
        <v>3701</v>
      </c>
      <c r="B639" s="3" t="s">
        <v>69</v>
      </c>
      <c r="C639" s="3" t="s">
        <v>12</v>
      </c>
      <c r="D639" s="3" t="s">
        <v>5005</v>
      </c>
      <c r="E639" s="4" t="s">
        <v>397</v>
      </c>
      <c r="F639" s="3" t="s">
        <v>137</v>
      </c>
      <c r="G639" s="3" t="s">
        <v>2276</v>
      </c>
      <c r="H639" s="3" t="s">
        <v>2276</v>
      </c>
      <c r="I639" s="3">
        <v>0.05</v>
      </c>
      <c r="J639" s="3" t="s">
        <v>2276</v>
      </c>
      <c r="K639" s="3" t="s">
        <v>2276</v>
      </c>
      <c r="L639" s="3" t="s">
        <v>2276</v>
      </c>
      <c r="M639" s="3" t="s">
        <v>2276</v>
      </c>
      <c r="N639" s="3" t="s">
        <v>2276</v>
      </c>
      <c r="O639" s="3" t="s">
        <v>2276</v>
      </c>
      <c r="P639" s="3" t="s">
        <v>2276</v>
      </c>
      <c r="Q639" s="3" t="s">
        <v>2276</v>
      </c>
      <c r="R639" s="3" t="s">
        <v>2276</v>
      </c>
      <c r="S639" s="3" t="s">
        <v>2276</v>
      </c>
      <c r="T639" s="3"/>
    </row>
    <row r="640" spans="1:20" ht="39.5" customHeight="1">
      <c r="A640" s="11" t="s">
        <v>3716</v>
      </c>
      <c r="B640" s="3" t="s">
        <v>32</v>
      </c>
      <c r="C640" s="3" t="s">
        <v>12</v>
      </c>
      <c r="D640" s="3" t="s">
        <v>116</v>
      </c>
      <c r="E640" s="3" t="s">
        <v>130</v>
      </c>
      <c r="F640" s="3" t="s">
        <v>137</v>
      </c>
      <c r="G640" s="3" t="s">
        <v>2652</v>
      </c>
      <c r="H640" s="3" t="s">
        <v>2276</v>
      </c>
      <c r="I640" s="3" t="s">
        <v>2276</v>
      </c>
      <c r="J640" s="3" t="s">
        <v>2276</v>
      </c>
      <c r="K640" s="3" t="s">
        <v>2276</v>
      </c>
      <c r="L640" s="3" t="s">
        <v>2276</v>
      </c>
      <c r="M640" s="3" t="s">
        <v>2276</v>
      </c>
      <c r="N640" s="3" t="s">
        <v>2276</v>
      </c>
      <c r="O640" s="3" t="s">
        <v>2276</v>
      </c>
      <c r="P640" s="3" t="s">
        <v>2276</v>
      </c>
      <c r="Q640" s="3" t="s">
        <v>2276</v>
      </c>
      <c r="R640" s="3" t="s">
        <v>2276</v>
      </c>
      <c r="S640" s="3" t="s">
        <v>2276</v>
      </c>
      <c r="T640" s="3" t="s">
        <v>3463</v>
      </c>
    </row>
    <row r="641" spans="1:20" ht="41" customHeight="1">
      <c r="A641" s="11" t="s">
        <v>3737</v>
      </c>
      <c r="B641" s="11" t="s">
        <v>69</v>
      </c>
      <c r="C641" s="3" t="s">
        <v>395</v>
      </c>
      <c r="D641" s="3" t="s">
        <v>5005</v>
      </c>
      <c r="E641" s="3" t="s">
        <v>2276</v>
      </c>
      <c r="F641" s="3" t="s">
        <v>2276</v>
      </c>
      <c r="G641" s="3" t="s">
        <v>2276</v>
      </c>
      <c r="H641" s="3" t="s">
        <v>2276</v>
      </c>
      <c r="I641" s="3" t="s">
        <v>2276</v>
      </c>
      <c r="J641" s="3" t="s">
        <v>2276</v>
      </c>
      <c r="K641" s="3" t="s">
        <v>2276</v>
      </c>
      <c r="L641" s="3" t="s">
        <v>2276</v>
      </c>
      <c r="M641" s="3" t="s">
        <v>2276</v>
      </c>
      <c r="N641" s="3" t="s">
        <v>2276</v>
      </c>
      <c r="O641" s="3" t="s">
        <v>2276</v>
      </c>
      <c r="P641" s="3" t="s">
        <v>2276</v>
      </c>
      <c r="Q641" s="3" t="s">
        <v>2276</v>
      </c>
      <c r="R641" s="3" t="s">
        <v>2276</v>
      </c>
      <c r="S641" s="3" t="s">
        <v>2276</v>
      </c>
      <c r="T641" s="3"/>
    </row>
    <row r="642" spans="1:20" ht="43" customHeight="1">
      <c r="A642" s="11" t="s">
        <v>3752</v>
      </c>
      <c r="B642" s="3" t="s">
        <v>2276</v>
      </c>
      <c r="C642" s="3" t="s">
        <v>395</v>
      </c>
      <c r="D642" s="3" t="s">
        <v>5005</v>
      </c>
      <c r="E642" s="3" t="s">
        <v>2276</v>
      </c>
      <c r="F642" s="3" t="s">
        <v>2276</v>
      </c>
      <c r="G642" s="3" t="s">
        <v>2276</v>
      </c>
      <c r="H642" s="3" t="s">
        <v>2276</v>
      </c>
      <c r="I642" s="3" t="s">
        <v>2276</v>
      </c>
      <c r="J642" s="3" t="s">
        <v>2276</v>
      </c>
      <c r="K642" s="3" t="s">
        <v>2276</v>
      </c>
      <c r="L642" s="3" t="s">
        <v>2276</v>
      </c>
      <c r="M642" s="3" t="s">
        <v>2276</v>
      </c>
      <c r="N642" s="3" t="s">
        <v>2276</v>
      </c>
      <c r="O642" s="3" t="s">
        <v>2276</v>
      </c>
      <c r="P642" s="3" t="s">
        <v>2276</v>
      </c>
      <c r="Q642" s="3" t="s">
        <v>2276</v>
      </c>
      <c r="R642" s="3" t="s">
        <v>2276</v>
      </c>
      <c r="S642" s="3" t="s">
        <v>2276</v>
      </c>
      <c r="T642" s="3"/>
    </row>
    <row r="643" spans="1:20" ht="43" customHeight="1">
      <c r="A643" s="11" t="s">
        <v>3758</v>
      </c>
      <c r="B643" s="3" t="s">
        <v>2276</v>
      </c>
      <c r="C643" s="3" t="s">
        <v>395</v>
      </c>
      <c r="D643" s="3" t="s">
        <v>5005</v>
      </c>
      <c r="E643" s="3" t="s">
        <v>130</v>
      </c>
      <c r="F643" s="3" t="s">
        <v>2276</v>
      </c>
      <c r="G643" s="3" t="s">
        <v>2276</v>
      </c>
      <c r="H643" s="3" t="s">
        <v>2276</v>
      </c>
      <c r="I643" s="3" t="s">
        <v>2276</v>
      </c>
      <c r="J643" s="3" t="s">
        <v>2276</v>
      </c>
      <c r="K643" s="3" t="s">
        <v>2276</v>
      </c>
      <c r="L643" s="3" t="s">
        <v>2276</v>
      </c>
      <c r="M643" s="3" t="s">
        <v>2276</v>
      </c>
      <c r="N643" s="3" t="s">
        <v>2276</v>
      </c>
      <c r="O643" s="3" t="s">
        <v>2276</v>
      </c>
      <c r="P643" s="3" t="s">
        <v>2276</v>
      </c>
      <c r="Q643" s="3" t="s">
        <v>2276</v>
      </c>
      <c r="R643" s="3" t="s">
        <v>2276</v>
      </c>
      <c r="S643" s="3" t="s">
        <v>2276</v>
      </c>
      <c r="T643" s="3"/>
    </row>
    <row r="644" spans="1:20" ht="38.5" customHeight="1">
      <c r="A644" s="11" t="s">
        <v>3769</v>
      </c>
      <c r="B644" s="3" t="s">
        <v>69</v>
      </c>
      <c r="C644" s="3" t="s">
        <v>12</v>
      </c>
      <c r="D644" s="3" t="s">
        <v>45</v>
      </c>
      <c r="E644" s="4" t="s">
        <v>397</v>
      </c>
      <c r="F644" s="3" t="s">
        <v>116</v>
      </c>
      <c r="G644" s="3" t="s">
        <v>137</v>
      </c>
      <c r="H644" s="3" t="s">
        <v>2276</v>
      </c>
      <c r="I644" s="3" t="s">
        <v>2276</v>
      </c>
      <c r="J644" s="3" t="s">
        <v>2276</v>
      </c>
      <c r="K644" s="3" t="s">
        <v>2276</v>
      </c>
      <c r="L644" s="3" t="s">
        <v>2276</v>
      </c>
      <c r="M644" s="3" t="s">
        <v>2276</v>
      </c>
      <c r="N644" s="3" t="s">
        <v>2276</v>
      </c>
      <c r="O644" s="3" t="s">
        <v>2276</v>
      </c>
      <c r="P644" s="3" t="s">
        <v>2276</v>
      </c>
      <c r="Q644" s="3" t="s">
        <v>2276</v>
      </c>
      <c r="R644" s="3" t="s">
        <v>2276</v>
      </c>
      <c r="S644" s="3" t="s">
        <v>2276</v>
      </c>
      <c r="T644" s="3" t="s">
        <v>3773</v>
      </c>
    </row>
    <row r="645" spans="1:20" ht="35.5" customHeight="1">
      <c r="A645" s="11" t="s">
        <v>3783</v>
      </c>
      <c r="B645" s="3" t="s">
        <v>2276</v>
      </c>
      <c r="C645" s="3" t="s">
        <v>12</v>
      </c>
      <c r="D645" s="3" t="s">
        <v>45</v>
      </c>
      <c r="E645" s="4" t="s">
        <v>130</v>
      </c>
      <c r="F645" s="3" t="s">
        <v>116</v>
      </c>
      <c r="G645" s="3" t="s">
        <v>137</v>
      </c>
      <c r="H645" s="3" t="s">
        <v>2276</v>
      </c>
      <c r="I645" s="3" t="s">
        <v>2276</v>
      </c>
      <c r="J645" s="3" t="s">
        <v>2276</v>
      </c>
      <c r="K645" s="3" t="s">
        <v>534</v>
      </c>
      <c r="L645" s="3" t="s">
        <v>2276</v>
      </c>
      <c r="M645" s="3" t="s">
        <v>2276</v>
      </c>
      <c r="N645" s="3" t="s">
        <v>2276</v>
      </c>
      <c r="O645" s="3" t="s">
        <v>2276</v>
      </c>
      <c r="P645" s="3" t="s">
        <v>2276</v>
      </c>
      <c r="Q645" s="3" t="s">
        <v>2276</v>
      </c>
      <c r="R645" s="3" t="s">
        <v>2276</v>
      </c>
      <c r="S645" s="3" t="s">
        <v>2276</v>
      </c>
      <c r="T645" s="3" t="s">
        <v>3792</v>
      </c>
    </row>
    <row r="646" spans="1:20" ht="38" customHeight="1">
      <c r="A646" s="11" t="s">
        <v>3797</v>
      </c>
      <c r="B646" s="3" t="s">
        <v>2276</v>
      </c>
      <c r="C646" s="3" t="s">
        <v>395</v>
      </c>
      <c r="D646" s="3" t="s">
        <v>130</v>
      </c>
      <c r="E646" s="3" t="s">
        <v>116</v>
      </c>
      <c r="F646" s="3" t="s">
        <v>45</v>
      </c>
      <c r="G646" s="3" t="s">
        <v>2276</v>
      </c>
      <c r="H646" s="3" t="s">
        <v>2276</v>
      </c>
      <c r="I646" s="3" t="s">
        <v>2276</v>
      </c>
      <c r="J646" s="3" t="s">
        <v>2276</v>
      </c>
      <c r="K646" s="3" t="s">
        <v>2276</v>
      </c>
      <c r="L646" s="3" t="s">
        <v>2276</v>
      </c>
      <c r="M646" s="3" t="s">
        <v>2276</v>
      </c>
      <c r="N646" s="3" t="s">
        <v>2276</v>
      </c>
      <c r="O646" s="3" t="s">
        <v>2276</v>
      </c>
      <c r="P646" s="3" t="s">
        <v>2276</v>
      </c>
      <c r="Q646" s="3" t="s">
        <v>2276</v>
      </c>
      <c r="R646" s="3" t="s">
        <v>2276</v>
      </c>
      <c r="S646" s="3" t="s">
        <v>2276</v>
      </c>
      <c r="T646" s="3" t="s">
        <v>3463</v>
      </c>
    </row>
    <row r="647" spans="1:20" ht="37.5" customHeight="1">
      <c r="A647" s="11" t="s">
        <v>3816</v>
      </c>
      <c r="B647" s="3" t="s">
        <v>2276</v>
      </c>
      <c r="C647" s="3" t="s">
        <v>395</v>
      </c>
      <c r="D647" s="3" t="s">
        <v>130</v>
      </c>
      <c r="E647" s="3" t="s">
        <v>116</v>
      </c>
      <c r="F647" s="3" t="s">
        <v>45</v>
      </c>
      <c r="G647" s="3" t="s">
        <v>2276</v>
      </c>
      <c r="H647" s="3" t="s">
        <v>2276</v>
      </c>
      <c r="I647" s="3" t="s">
        <v>2276</v>
      </c>
      <c r="J647" s="3" t="s">
        <v>2276</v>
      </c>
      <c r="K647" s="3" t="s">
        <v>534</v>
      </c>
      <c r="L647" s="3" t="s">
        <v>2276</v>
      </c>
      <c r="M647" s="3" t="s">
        <v>2276</v>
      </c>
      <c r="N647" s="3" t="s">
        <v>2276</v>
      </c>
      <c r="O647" s="3" t="s">
        <v>2276</v>
      </c>
      <c r="P647" s="3" t="s">
        <v>2276</v>
      </c>
      <c r="Q647" s="3" t="s">
        <v>2276</v>
      </c>
      <c r="R647" s="3" t="s">
        <v>2276</v>
      </c>
      <c r="S647" s="3" t="s">
        <v>2276</v>
      </c>
      <c r="T647" s="3" t="s">
        <v>3825</v>
      </c>
    </row>
    <row r="648" spans="1:20" ht="37.5" customHeight="1">
      <c r="A648" s="19" t="s">
        <v>3832</v>
      </c>
      <c r="B648" s="4" t="s">
        <v>32</v>
      </c>
      <c r="C648" s="4" t="s">
        <v>12</v>
      </c>
      <c r="D648" s="4" t="s">
        <v>5005</v>
      </c>
      <c r="E648" s="4" t="s">
        <v>397</v>
      </c>
      <c r="F648" s="4" t="s">
        <v>116</v>
      </c>
      <c r="G648" s="3" t="s">
        <v>2276</v>
      </c>
      <c r="H648" s="3" t="s">
        <v>2276</v>
      </c>
      <c r="I648" s="3">
        <v>1</v>
      </c>
      <c r="J648" s="3" t="s">
        <v>2276</v>
      </c>
      <c r="K648" s="3" t="s">
        <v>534</v>
      </c>
      <c r="L648" s="3" t="s">
        <v>2276</v>
      </c>
      <c r="M648" s="3" t="s">
        <v>2276</v>
      </c>
      <c r="N648" s="3" t="s">
        <v>2276</v>
      </c>
      <c r="O648" s="3" t="s">
        <v>2276</v>
      </c>
      <c r="P648" s="3" t="s">
        <v>2276</v>
      </c>
      <c r="Q648" s="3" t="s">
        <v>2276</v>
      </c>
      <c r="R648" s="3" t="s">
        <v>2276</v>
      </c>
      <c r="S648" s="3" t="s">
        <v>2276</v>
      </c>
      <c r="T648" s="3" t="s">
        <v>3837</v>
      </c>
    </row>
    <row r="649" spans="1:20" ht="37.5" customHeight="1">
      <c r="A649" s="19" t="s">
        <v>3835</v>
      </c>
      <c r="B649" s="19" t="s">
        <v>2276</v>
      </c>
      <c r="C649" s="19" t="s">
        <v>12</v>
      </c>
      <c r="D649" s="19" t="s">
        <v>130</v>
      </c>
      <c r="E649" s="11" t="s">
        <v>116</v>
      </c>
      <c r="F649" s="11" t="s">
        <v>45</v>
      </c>
      <c r="G649" s="11" t="s">
        <v>137</v>
      </c>
      <c r="H649" s="3" t="s">
        <v>2276</v>
      </c>
      <c r="I649" s="3" t="s">
        <v>2276</v>
      </c>
      <c r="J649" s="3" t="s">
        <v>2276</v>
      </c>
      <c r="K649" s="3" t="s">
        <v>2276</v>
      </c>
      <c r="L649" s="3" t="s">
        <v>2276</v>
      </c>
      <c r="M649" s="3" t="s">
        <v>2276</v>
      </c>
      <c r="N649" s="3" t="s">
        <v>2276</v>
      </c>
      <c r="O649" s="3" t="s">
        <v>2276</v>
      </c>
      <c r="P649" s="3" t="s">
        <v>2276</v>
      </c>
      <c r="Q649" s="3" t="s">
        <v>2276</v>
      </c>
      <c r="R649" s="3" t="s">
        <v>2276</v>
      </c>
      <c r="S649" s="3" t="s">
        <v>2276</v>
      </c>
      <c r="T649" s="11"/>
    </row>
    <row r="650" spans="1:20" ht="35" customHeight="1">
      <c r="A650" s="11" t="s">
        <v>3841</v>
      </c>
      <c r="B650" s="3" t="s">
        <v>2276</v>
      </c>
      <c r="C650" s="3" t="s">
        <v>395</v>
      </c>
      <c r="D650" s="3" t="s">
        <v>5005</v>
      </c>
      <c r="E650" s="3" t="s">
        <v>2276</v>
      </c>
      <c r="F650" s="3" t="s">
        <v>2276</v>
      </c>
      <c r="G650" s="3" t="s">
        <v>2276</v>
      </c>
      <c r="H650" s="3" t="s">
        <v>2276</v>
      </c>
      <c r="I650" s="3" t="s">
        <v>2276</v>
      </c>
      <c r="J650" s="3" t="s">
        <v>2276</v>
      </c>
      <c r="K650" s="3" t="s">
        <v>2276</v>
      </c>
      <c r="L650" s="3" t="s">
        <v>2276</v>
      </c>
      <c r="M650" s="3" t="s">
        <v>2276</v>
      </c>
      <c r="N650" s="3" t="s">
        <v>2276</v>
      </c>
      <c r="O650" s="3" t="s">
        <v>2276</v>
      </c>
      <c r="P650" s="3" t="s">
        <v>2276</v>
      </c>
      <c r="Q650" s="3" t="s">
        <v>2276</v>
      </c>
      <c r="R650" s="3" t="s">
        <v>2276</v>
      </c>
      <c r="S650" s="3" t="s">
        <v>2276</v>
      </c>
      <c r="T650" s="3"/>
    </row>
    <row r="651" spans="1:20" ht="44" customHeight="1">
      <c r="A651" s="11" t="s">
        <v>3850</v>
      </c>
      <c r="B651" s="3" t="s">
        <v>32</v>
      </c>
      <c r="C651" s="3" t="s">
        <v>12</v>
      </c>
      <c r="D651" s="4" t="s">
        <v>3854</v>
      </c>
      <c r="E651" s="4" t="s">
        <v>3855</v>
      </c>
      <c r="F651" s="3" t="s">
        <v>137</v>
      </c>
      <c r="G651" s="3" t="s">
        <v>116</v>
      </c>
      <c r="H651" s="3" t="s">
        <v>2276</v>
      </c>
      <c r="I651" s="3" t="s">
        <v>2276</v>
      </c>
      <c r="J651" s="3" t="s">
        <v>2276</v>
      </c>
      <c r="K651" s="3" t="s">
        <v>537</v>
      </c>
      <c r="L651" s="3" t="s">
        <v>2276</v>
      </c>
      <c r="M651" s="3" t="s">
        <v>2276</v>
      </c>
      <c r="N651" s="3" t="s">
        <v>2276</v>
      </c>
      <c r="O651" s="3" t="s">
        <v>2276</v>
      </c>
      <c r="P651" s="3" t="s">
        <v>2276</v>
      </c>
      <c r="Q651" s="3" t="s">
        <v>2276</v>
      </c>
      <c r="R651" s="3" t="s">
        <v>2276</v>
      </c>
      <c r="S651" s="3" t="s">
        <v>2276</v>
      </c>
      <c r="T651" s="4" t="s">
        <v>3856</v>
      </c>
    </row>
    <row r="652" spans="1:20" ht="44.5" customHeight="1">
      <c r="A652" s="11" t="s">
        <v>3861</v>
      </c>
      <c r="B652" s="3" t="s">
        <v>32</v>
      </c>
      <c r="C652" s="3" t="s">
        <v>12</v>
      </c>
      <c r="D652" s="3" t="s">
        <v>116</v>
      </c>
      <c r="E652" s="3" t="s">
        <v>2649</v>
      </c>
      <c r="F652" s="3" t="s">
        <v>137</v>
      </c>
      <c r="G652" s="3" t="s">
        <v>130</v>
      </c>
      <c r="H652" s="3" t="s">
        <v>2276</v>
      </c>
      <c r="I652" s="3" t="s">
        <v>2276</v>
      </c>
      <c r="J652" s="3" t="s">
        <v>2276</v>
      </c>
      <c r="K652" s="3" t="s">
        <v>537</v>
      </c>
      <c r="L652" s="3" t="s">
        <v>2276</v>
      </c>
      <c r="M652" s="3" t="s">
        <v>2276</v>
      </c>
      <c r="N652" s="3" t="s">
        <v>2276</v>
      </c>
      <c r="O652" s="3" t="s">
        <v>2276</v>
      </c>
      <c r="P652" s="3" t="s">
        <v>2276</v>
      </c>
      <c r="Q652" s="3" t="s">
        <v>2276</v>
      </c>
      <c r="R652" s="3" t="s">
        <v>2276</v>
      </c>
      <c r="S652" s="3" t="s">
        <v>2276</v>
      </c>
      <c r="T652" s="19" t="s">
        <v>3864</v>
      </c>
    </row>
    <row r="653" spans="1:20" ht="43" customHeight="1">
      <c r="A653" s="11" t="s">
        <v>3892</v>
      </c>
      <c r="B653" s="3" t="s">
        <v>2276</v>
      </c>
      <c r="C653" s="3" t="s">
        <v>395</v>
      </c>
      <c r="D653" s="3" t="s">
        <v>130</v>
      </c>
      <c r="E653" s="3" t="s">
        <v>5005</v>
      </c>
      <c r="F653" s="3" t="s">
        <v>45</v>
      </c>
      <c r="G653" s="3" t="s">
        <v>2276</v>
      </c>
      <c r="H653" s="3" t="s">
        <v>2276</v>
      </c>
      <c r="I653" s="3" t="s">
        <v>2276</v>
      </c>
      <c r="J653" s="3" t="s">
        <v>2276</v>
      </c>
      <c r="K653" s="3" t="s">
        <v>534</v>
      </c>
      <c r="L653" s="3" t="s">
        <v>2276</v>
      </c>
      <c r="M653" s="3" t="s">
        <v>2276</v>
      </c>
      <c r="N653" s="3" t="s">
        <v>2276</v>
      </c>
      <c r="O653" s="3" t="s">
        <v>2276</v>
      </c>
      <c r="P653" s="3" t="s">
        <v>2276</v>
      </c>
      <c r="Q653" s="3" t="s">
        <v>2276</v>
      </c>
      <c r="R653" s="3" t="s">
        <v>2276</v>
      </c>
      <c r="S653" s="3" t="s">
        <v>2276</v>
      </c>
      <c r="T653" s="3" t="s">
        <v>3896</v>
      </c>
    </row>
    <row r="654" spans="1:20" ht="45.5" customHeight="1">
      <c r="A654" s="11" t="s">
        <v>3893</v>
      </c>
      <c r="B654" s="3" t="s">
        <v>2276</v>
      </c>
      <c r="C654" s="3" t="s">
        <v>395</v>
      </c>
      <c r="D654" s="3" t="s">
        <v>130</v>
      </c>
      <c r="E654" s="3" t="s">
        <v>45</v>
      </c>
      <c r="F654" s="3" t="s">
        <v>5005</v>
      </c>
      <c r="G654" s="3" t="s">
        <v>2276</v>
      </c>
      <c r="H654" s="3" t="s">
        <v>2276</v>
      </c>
      <c r="I654" s="3" t="s">
        <v>2276</v>
      </c>
      <c r="J654" s="3" t="s">
        <v>2276</v>
      </c>
      <c r="K654" s="3" t="s">
        <v>534</v>
      </c>
      <c r="L654" s="3" t="s">
        <v>2276</v>
      </c>
      <c r="M654" s="3" t="s">
        <v>2276</v>
      </c>
      <c r="N654" s="3" t="s">
        <v>2276</v>
      </c>
      <c r="O654" s="3" t="s">
        <v>2276</v>
      </c>
      <c r="P654" s="3" t="s">
        <v>2276</v>
      </c>
      <c r="Q654" s="3" t="s">
        <v>2276</v>
      </c>
      <c r="R654" s="3" t="s">
        <v>2276</v>
      </c>
      <c r="S654" s="3" t="s">
        <v>2276</v>
      </c>
      <c r="T654" s="3" t="s">
        <v>3896</v>
      </c>
    </row>
    <row r="655" spans="1:20" ht="39.5" customHeight="1">
      <c r="A655" s="11" t="s">
        <v>3901</v>
      </c>
      <c r="B655" s="3" t="s">
        <v>2276</v>
      </c>
      <c r="C655" s="3" t="s">
        <v>395</v>
      </c>
      <c r="D655" s="3" t="s">
        <v>5005</v>
      </c>
      <c r="E655" s="3" t="s">
        <v>130</v>
      </c>
      <c r="F655" s="4" t="s">
        <v>397</v>
      </c>
      <c r="G655" s="3" t="s">
        <v>2276</v>
      </c>
      <c r="H655" s="3" t="s">
        <v>2276</v>
      </c>
      <c r="I655" s="3" t="s">
        <v>2276</v>
      </c>
      <c r="J655" s="3" t="s">
        <v>2276</v>
      </c>
      <c r="K655" s="3" t="s">
        <v>534</v>
      </c>
      <c r="L655" s="3" t="s">
        <v>2276</v>
      </c>
      <c r="M655" s="3" t="s">
        <v>2276</v>
      </c>
      <c r="N655" s="3" t="s">
        <v>2276</v>
      </c>
      <c r="O655" s="3" t="s">
        <v>2276</v>
      </c>
      <c r="P655" s="3" t="s">
        <v>2276</v>
      </c>
      <c r="Q655" s="3" t="s">
        <v>2276</v>
      </c>
      <c r="R655" s="3" t="s">
        <v>2276</v>
      </c>
      <c r="S655" s="3" t="s">
        <v>2276</v>
      </c>
      <c r="T655" s="3" t="s">
        <v>3913</v>
      </c>
    </row>
    <row r="656" spans="1:20" ht="39.5" customHeight="1">
      <c r="A656" s="11" t="s">
        <v>3907</v>
      </c>
      <c r="B656" s="3" t="s">
        <v>2276</v>
      </c>
      <c r="C656" s="3" t="s">
        <v>395</v>
      </c>
      <c r="D656" s="3" t="s">
        <v>5005</v>
      </c>
      <c r="E656" s="3" t="s">
        <v>130</v>
      </c>
      <c r="F656" s="4" t="s">
        <v>397</v>
      </c>
      <c r="G656" s="3" t="s">
        <v>2276</v>
      </c>
      <c r="H656" s="3" t="s">
        <v>2276</v>
      </c>
      <c r="I656" s="3" t="s">
        <v>2276</v>
      </c>
      <c r="J656" s="3" t="s">
        <v>2276</v>
      </c>
      <c r="K656" s="3" t="s">
        <v>534</v>
      </c>
      <c r="L656" s="3" t="s">
        <v>2276</v>
      </c>
      <c r="M656" s="3" t="s">
        <v>2276</v>
      </c>
      <c r="N656" s="3" t="s">
        <v>2276</v>
      </c>
      <c r="O656" s="3" t="s">
        <v>2276</v>
      </c>
      <c r="P656" s="3" t="s">
        <v>2276</v>
      </c>
      <c r="Q656" s="3" t="s">
        <v>2276</v>
      </c>
      <c r="R656" s="3" t="s">
        <v>2276</v>
      </c>
      <c r="S656" s="3" t="s">
        <v>2276</v>
      </c>
      <c r="T656" s="3" t="s">
        <v>3913</v>
      </c>
    </row>
    <row r="657" spans="1:20" ht="39.5" customHeight="1">
      <c r="A657" s="11" t="s">
        <v>3909</v>
      </c>
      <c r="B657" s="3" t="s">
        <v>2276</v>
      </c>
      <c r="C657" s="3" t="s">
        <v>395</v>
      </c>
      <c r="D657" s="3" t="s">
        <v>5005</v>
      </c>
      <c r="E657" s="3" t="s">
        <v>130</v>
      </c>
      <c r="F657" s="4" t="s">
        <v>397</v>
      </c>
      <c r="G657" s="3" t="s">
        <v>2276</v>
      </c>
      <c r="H657" s="3" t="s">
        <v>2276</v>
      </c>
      <c r="I657" s="3" t="s">
        <v>2276</v>
      </c>
      <c r="J657" s="3" t="s">
        <v>2276</v>
      </c>
      <c r="K657" s="3" t="s">
        <v>534</v>
      </c>
      <c r="L657" s="3" t="s">
        <v>2276</v>
      </c>
      <c r="M657" s="3" t="s">
        <v>2276</v>
      </c>
      <c r="N657" s="3" t="s">
        <v>2276</v>
      </c>
      <c r="O657" s="3" t="s">
        <v>2276</v>
      </c>
      <c r="P657" s="3" t="s">
        <v>2276</v>
      </c>
      <c r="Q657" s="3" t="s">
        <v>2276</v>
      </c>
      <c r="R657" s="3" t="s">
        <v>2276</v>
      </c>
      <c r="S657" s="3" t="s">
        <v>2276</v>
      </c>
      <c r="T657" s="3" t="s">
        <v>3913</v>
      </c>
    </row>
    <row r="658" spans="1:20" ht="39.5" customHeight="1">
      <c r="A658" s="11" t="s">
        <v>3908</v>
      </c>
      <c r="B658" s="3" t="s">
        <v>2276</v>
      </c>
      <c r="C658" s="3" t="s">
        <v>395</v>
      </c>
      <c r="D658" s="3" t="s">
        <v>5005</v>
      </c>
      <c r="E658" s="3" t="s">
        <v>130</v>
      </c>
      <c r="F658" s="4" t="s">
        <v>397</v>
      </c>
      <c r="G658" s="3" t="s">
        <v>2276</v>
      </c>
      <c r="H658" s="3" t="s">
        <v>2276</v>
      </c>
      <c r="I658" s="3" t="s">
        <v>2276</v>
      </c>
      <c r="J658" s="3" t="s">
        <v>2276</v>
      </c>
      <c r="K658" s="3" t="s">
        <v>534</v>
      </c>
      <c r="L658" s="3" t="s">
        <v>2276</v>
      </c>
      <c r="M658" s="3" t="s">
        <v>2276</v>
      </c>
      <c r="N658" s="3" t="s">
        <v>2276</v>
      </c>
      <c r="O658" s="3" t="s">
        <v>2276</v>
      </c>
      <c r="P658" s="3" t="s">
        <v>2276</v>
      </c>
      <c r="Q658" s="3" t="s">
        <v>2276</v>
      </c>
      <c r="R658" s="3" t="s">
        <v>2276</v>
      </c>
      <c r="S658" s="3" t="s">
        <v>2276</v>
      </c>
      <c r="T658" s="3" t="s">
        <v>3913</v>
      </c>
    </row>
    <row r="659" spans="1:20" ht="39.5" customHeight="1">
      <c r="A659" s="11" t="s">
        <v>3910</v>
      </c>
      <c r="B659" s="3" t="s">
        <v>2276</v>
      </c>
      <c r="C659" s="3" t="s">
        <v>395</v>
      </c>
      <c r="D659" s="3" t="s">
        <v>5005</v>
      </c>
      <c r="E659" s="3" t="s">
        <v>130</v>
      </c>
      <c r="F659" s="4" t="s">
        <v>397</v>
      </c>
      <c r="G659" s="3" t="s">
        <v>2276</v>
      </c>
      <c r="H659" s="3" t="s">
        <v>2276</v>
      </c>
      <c r="I659" s="3" t="s">
        <v>2276</v>
      </c>
      <c r="J659" s="3" t="s">
        <v>2276</v>
      </c>
      <c r="K659" s="3" t="s">
        <v>534</v>
      </c>
      <c r="L659" s="3" t="s">
        <v>2276</v>
      </c>
      <c r="M659" s="3" t="s">
        <v>2276</v>
      </c>
      <c r="N659" s="3" t="s">
        <v>2276</v>
      </c>
      <c r="O659" s="3" t="s">
        <v>2276</v>
      </c>
      <c r="P659" s="3" t="s">
        <v>2276</v>
      </c>
      <c r="Q659" s="3" t="s">
        <v>2276</v>
      </c>
      <c r="R659" s="3" t="s">
        <v>2276</v>
      </c>
      <c r="S659" s="3" t="s">
        <v>2276</v>
      </c>
      <c r="T659" s="3" t="s">
        <v>3913</v>
      </c>
    </row>
    <row r="660" spans="1:20" ht="39.5" customHeight="1">
      <c r="A660" s="11" t="s">
        <v>3911</v>
      </c>
      <c r="B660" s="3" t="s">
        <v>2276</v>
      </c>
      <c r="C660" s="3" t="s">
        <v>395</v>
      </c>
      <c r="D660" s="3" t="s">
        <v>5005</v>
      </c>
      <c r="E660" s="3" t="s">
        <v>130</v>
      </c>
      <c r="F660" s="4" t="s">
        <v>397</v>
      </c>
      <c r="G660" s="3" t="s">
        <v>2276</v>
      </c>
      <c r="H660" s="3" t="s">
        <v>2276</v>
      </c>
      <c r="I660" s="3" t="s">
        <v>2276</v>
      </c>
      <c r="J660" s="3" t="s">
        <v>2276</v>
      </c>
      <c r="K660" s="3" t="s">
        <v>534</v>
      </c>
      <c r="L660" s="3" t="s">
        <v>2276</v>
      </c>
      <c r="M660" s="3" t="s">
        <v>2276</v>
      </c>
      <c r="N660" s="3" t="s">
        <v>2276</v>
      </c>
      <c r="O660" s="3" t="s">
        <v>2276</v>
      </c>
      <c r="P660" s="3" t="s">
        <v>2276</v>
      </c>
      <c r="Q660" s="3" t="s">
        <v>2276</v>
      </c>
      <c r="R660" s="3" t="s">
        <v>2276</v>
      </c>
      <c r="S660" s="3" t="s">
        <v>2276</v>
      </c>
      <c r="T660" s="3" t="s">
        <v>3913</v>
      </c>
    </row>
    <row r="661" spans="1:20" ht="37.5" customHeight="1">
      <c r="A661" s="11" t="s">
        <v>3921</v>
      </c>
      <c r="B661" s="3" t="s">
        <v>2276</v>
      </c>
      <c r="C661" s="3" t="s">
        <v>12</v>
      </c>
      <c r="D661" s="3" t="s">
        <v>5005</v>
      </c>
      <c r="E661" s="4" t="s">
        <v>397</v>
      </c>
      <c r="F661" s="4" t="s">
        <v>396</v>
      </c>
      <c r="G661" s="3" t="s">
        <v>2276</v>
      </c>
      <c r="H661" s="3" t="s">
        <v>2276</v>
      </c>
      <c r="I661" s="3" t="s">
        <v>2276</v>
      </c>
      <c r="J661" s="3" t="s">
        <v>2276</v>
      </c>
      <c r="K661" s="3" t="s">
        <v>2276</v>
      </c>
      <c r="L661" s="3" t="s">
        <v>2276</v>
      </c>
      <c r="M661" s="3" t="s">
        <v>2276</v>
      </c>
      <c r="N661" s="3" t="s">
        <v>2276</v>
      </c>
      <c r="O661" s="3" t="s">
        <v>2276</v>
      </c>
      <c r="P661" s="3" t="s">
        <v>2276</v>
      </c>
      <c r="Q661" s="3" t="s">
        <v>2276</v>
      </c>
      <c r="R661" s="3" t="s">
        <v>2276</v>
      </c>
      <c r="S661" s="3" t="s">
        <v>2276</v>
      </c>
      <c r="T661" s="3" t="s">
        <v>3955</v>
      </c>
    </row>
    <row r="662" spans="1:20" ht="37.5" customHeight="1">
      <c r="A662" s="11" t="s">
        <v>3922</v>
      </c>
      <c r="B662" s="3" t="s">
        <v>2276</v>
      </c>
      <c r="C662" s="3" t="s">
        <v>12</v>
      </c>
      <c r="D662" s="3" t="s">
        <v>5005</v>
      </c>
      <c r="E662" s="4" t="s">
        <v>397</v>
      </c>
      <c r="F662" s="4" t="s">
        <v>396</v>
      </c>
      <c r="G662" s="3" t="s">
        <v>2276</v>
      </c>
      <c r="H662" s="3" t="s">
        <v>2276</v>
      </c>
      <c r="I662" s="3" t="s">
        <v>2276</v>
      </c>
      <c r="J662" s="3" t="s">
        <v>2276</v>
      </c>
      <c r="K662" s="3" t="s">
        <v>2276</v>
      </c>
      <c r="L662" s="3" t="s">
        <v>2276</v>
      </c>
      <c r="M662" s="3" t="s">
        <v>2276</v>
      </c>
      <c r="N662" s="3" t="s">
        <v>2276</v>
      </c>
      <c r="O662" s="3" t="s">
        <v>2276</v>
      </c>
      <c r="P662" s="3" t="s">
        <v>2276</v>
      </c>
      <c r="Q662" s="3" t="s">
        <v>2276</v>
      </c>
      <c r="R662" s="3" t="s">
        <v>2276</v>
      </c>
      <c r="S662" s="3" t="s">
        <v>2276</v>
      </c>
      <c r="T662" s="3" t="s">
        <v>3955</v>
      </c>
    </row>
    <row r="663" spans="1:20" ht="37.5" customHeight="1">
      <c r="A663" s="11" t="s">
        <v>3923</v>
      </c>
      <c r="B663" s="3" t="s">
        <v>2276</v>
      </c>
      <c r="C663" s="3" t="s">
        <v>12</v>
      </c>
      <c r="D663" s="3" t="s">
        <v>5005</v>
      </c>
      <c r="E663" s="4" t="s">
        <v>397</v>
      </c>
      <c r="F663" s="4" t="s">
        <v>396</v>
      </c>
      <c r="G663" s="3" t="s">
        <v>2276</v>
      </c>
      <c r="H663" s="3" t="s">
        <v>2276</v>
      </c>
      <c r="I663" s="3" t="s">
        <v>2276</v>
      </c>
      <c r="J663" s="3" t="s">
        <v>2276</v>
      </c>
      <c r="K663" s="3" t="s">
        <v>2276</v>
      </c>
      <c r="L663" s="3" t="s">
        <v>2276</v>
      </c>
      <c r="M663" s="3" t="s">
        <v>2276</v>
      </c>
      <c r="N663" s="3" t="s">
        <v>2276</v>
      </c>
      <c r="O663" s="3" t="s">
        <v>2276</v>
      </c>
      <c r="P663" s="3" t="s">
        <v>2276</v>
      </c>
      <c r="Q663" s="3" t="s">
        <v>2276</v>
      </c>
      <c r="R663" s="3" t="s">
        <v>2276</v>
      </c>
      <c r="S663" s="3" t="s">
        <v>2276</v>
      </c>
      <c r="T663" s="3" t="s">
        <v>3955</v>
      </c>
    </row>
    <row r="664" spans="1:20" ht="37.5" customHeight="1">
      <c r="A664" s="11" t="s">
        <v>3924</v>
      </c>
      <c r="B664" s="3" t="s">
        <v>2276</v>
      </c>
      <c r="C664" s="3" t="s">
        <v>12</v>
      </c>
      <c r="D664" s="3" t="s">
        <v>5005</v>
      </c>
      <c r="E664" s="4" t="s">
        <v>3854</v>
      </c>
      <c r="F664" s="3" t="s">
        <v>2276</v>
      </c>
      <c r="G664" s="3" t="s">
        <v>2276</v>
      </c>
      <c r="H664" s="3" t="s">
        <v>2276</v>
      </c>
      <c r="I664" s="3" t="s">
        <v>2276</v>
      </c>
      <c r="J664" s="3" t="s">
        <v>2276</v>
      </c>
      <c r="K664" s="3" t="s">
        <v>2276</v>
      </c>
      <c r="L664" s="3" t="s">
        <v>2276</v>
      </c>
      <c r="M664" s="3" t="s">
        <v>2276</v>
      </c>
      <c r="N664" s="3" t="s">
        <v>2276</v>
      </c>
      <c r="O664" s="3" t="s">
        <v>2276</v>
      </c>
      <c r="P664" s="3" t="s">
        <v>2276</v>
      </c>
      <c r="Q664" s="3" t="s">
        <v>2276</v>
      </c>
      <c r="R664" s="3" t="s">
        <v>2276</v>
      </c>
      <c r="S664" s="3" t="s">
        <v>2276</v>
      </c>
      <c r="T664" s="3"/>
    </row>
    <row r="665" spans="1:20" ht="37.5" customHeight="1">
      <c r="A665" s="11" t="s">
        <v>3925</v>
      </c>
      <c r="B665" s="3" t="s">
        <v>2276</v>
      </c>
      <c r="C665" s="3" t="s">
        <v>12</v>
      </c>
      <c r="D665" s="3" t="s">
        <v>5005</v>
      </c>
      <c r="E665" s="4" t="s">
        <v>3854</v>
      </c>
      <c r="F665" s="3" t="s">
        <v>2276</v>
      </c>
      <c r="G665" s="3" t="s">
        <v>2276</v>
      </c>
      <c r="H665" s="3" t="s">
        <v>2276</v>
      </c>
      <c r="I665" s="3" t="s">
        <v>2276</v>
      </c>
      <c r="J665" s="3" t="s">
        <v>2276</v>
      </c>
      <c r="K665" s="3" t="s">
        <v>2276</v>
      </c>
      <c r="L665" s="3" t="s">
        <v>2276</v>
      </c>
      <c r="M665" s="3" t="s">
        <v>2276</v>
      </c>
      <c r="N665" s="3" t="s">
        <v>2276</v>
      </c>
      <c r="O665" s="3" t="s">
        <v>2276</v>
      </c>
      <c r="P665" s="3" t="s">
        <v>2276</v>
      </c>
      <c r="Q665" s="3" t="s">
        <v>2276</v>
      </c>
      <c r="R665" s="3" t="s">
        <v>2276</v>
      </c>
      <c r="S665" s="3" t="s">
        <v>2276</v>
      </c>
      <c r="T665" s="3"/>
    </row>
    <row r="666" spans="1:20" ht="37.5" customHeight="1">
      <c r="A666" s="11" t="s">
        <v>3926</v>
      </c>
      <c r="B666" s="3" t="s">
        <v>2276</v>
      </c>
      <c r="C666" s="3" t="s">
        <v>12</v>
      </c>
      <c r="D666" s="3" t="s">
        <v>5005</v>
      </c>
      <c r="E666" s="4" t="s">
        <v>3854</v>
      </c>
      <c r="F666" s="3" t="s">
        <v>2276</v>
      </c>
      <c r="G666" s="3" t="s">
        <v>2276</v>
      </c>
      <c r="H666" s="3" t="s">
        <v>2276</v>
      </c>
      <c r="I666" s="3" t="s">
        <v>2276</v>
      </c>
      <c r="J666" s="3" t="s">
        <v>2276</v>
      </c>
      <c r="K666" s="3" t="s">
        <v>2276</v>
      </c>
      <c r="L666" s="3" t="s">
        <v>2276</v>
      </c>
      <c r="M666" s="3" t="s">
        <v>2276</v>
      </c>
      <c r="N666" s="3" t="s">
        <v>2276</v>
      </c>
      <c r="O666" s="3" t="s">
        <v>2276</v>
      </c>
      <c r="P666" s="3" t="s">
        <v>2276</v>
      </c>
      <c r="Q666" s="3" t="s">
        <v>2276</v>
      </c>
      <c r="R666" s="3" t="s">
        <v>2276</v>
      </c>
      <c r="S666" s="3" t="s">
        <v>2276</v>
      </c>
      <c r="T666" s="3"/>
    </row>
    <row r="667" spans="1:20" ht="37.5" customHeight="1">
      <c r="A667" s="11" t="s">
        <v>3927</v>
      </c>
      <c r="B667" s="3" t="s">
        <v>2276</v>
      </c>
      <c r="C667" s="3" t="s">
        <v>12</v>
      </c>
      <c r="D667" s="3" t="s">
        <v>5005</v>
      </c>
      <c r="E667" s="4" t="s">
        <v>3854</v>
      </c>
      <c r="F667" s="4" t="s">
        <v>396</v>
      </c>
      <c r="G667" s="3" t="s">
        <v>2276</v>
      </c>
      <c r="H667" s="3" t="s">
        <v>2276</v>
      </c>
      <c r="I667" s="3" t="s">
        <v>2276</v>
      </c>
      <c r="J667" s="3" t="s">
        <v>2276</v>
      </c>
      <c r="K667" s="3" t="s">
        <v>2276</v>
      </c>
      <c r="L667" s="3" t="s">
        <v>2276</v>
      </c>
      <c r="M667" s="3" t="s">
        <v>2276</v>
      </c>
      <c r="N667" s="3" t="s">
        <v>2276</v>
      </c>
      <c r="O667" s="3" t="s">
        <v>2276</v>
      </c>
      <c r="P667" s="3" t="s">
        <v>2276</v>
      </c>
      <c r="Q667" s="3" t="s">
        <v>2276</v>
      </c>
      <c r="R667" s="3" t="s">
        <v>2276</v>
      </c>
      <c r="S667" s="3" t="s">
        <v>2276</v>
      </c>
      <c r="T667" s="3" t="s">
        <v>3954</v>
      </c>
    </row>
    <row r="668" spans="1:20" ht="37.5" customHeight="1">
      <c r="A668" s="11" t="s">
        <v>3928</v>
      </c>
      <c r="B668" s="3" t="s">
        <v>2276</v>
      </c>
      <c r="C668" s="3" t="s">
        <v>12</v>
      </c>
      <c r="D668" s="3" t="s">
        <v>5005</v>
      </c>
      <c r="E668" s="4" t="s">
        <v>3854</v>
      </c>
      <c r="F668" s="4" t="s">
        <v>396</v>
      </c>
      <c r="G668" s="3" t="s">
        <v>2276</v>
      </c>
      <c r="H668" s="3" t="s">
        <v>2276</v>
      </c>
      <c r="I668" s="3" t="s">
        <v>2276</v>
      </c>
      <c r="J668" s="3" t="s">
        <v>2276</v>
      </c>
      <c r="K668" s="3" t="s">
        <v>2276</v>
      </c>
      <c r="L668" s="3" t="s">
        <v>2276</v>
      </c>
      <c r="M668" s="3" t="s">
        <v>2276</v>
      </c>
      <c r="N668" s="3" t="s">
        <v>2276</v>
      </c>
      <c r="O668" s="3" t="s">
        <v>2276</v>
      </c>
      <c r="P668" s="3" t="s">
        <v>2276</v>
      </c>
      <c r="Q668" s="3" t="s">
        <v>2276</v>
      </c>
      <c r="R668" s="3" t="s">
        <v>2276</v>
      </c>
      <c r="S668" s="3" t="s">
        <v>2276</v>
      </c>
      <c r="T668" s="3" t="s">
        <v>3954</v>
      </c>
    </row>
    <row r="669" spans="1:20" ht="37.5" customHeight="1">
      <c r="A669" s="11" t="s">
        <v>3929</v>
      </c>
      <c r="B669" s="3" t="s">
        <v>2276</v>
      </c>
      <c r="C669" s="3" t="s">
        <v>12</v>
      </c>
      <c r="D669" s="3" t="s">
        <v>5005</v>
      </c>
      <c r="E669" s="4" t="s">
        <v>3854</v>
      </c>
      <c r="F669" s="4" t="s">
        <v>396</v>
      </c>
      <c r="G669" s="3" t="s">
        <v>2276</v>
      </c>
      <c r="H669" s="3" t="s">
        <v>2276</v>
      </c>
      <c r="I669" s="3" t="s">
        <v>2276</v>
      </c>
      <c r="J669" s="3" t="s">
        <v>2276</v>
      </c>
      <c r="K669" s="3" t="s">
        <v>2276</v>
      </c>
      <c r="L669" s="3" t="s">
        <v>2276</v>
      </c>
      <c r="M669" s="3" t="s">
        <v>2276</v>
      </c>
      <c r="N669" s="3" t="s">
        <v>2276</v>
      </c>
      <c r="O669" s="3" t="s">
        <v>2276</v>
      </c>
      <c r="P669" s="3" t="s">
        <v>2276</v>
      </c>
      <c r="Q669" s="3" t="s">
        <v>2276</v>
      </c>
      <c r="R669" s="3" t="s">
        <v>2276</v>
      </c>
      <c r="S669" s="3" t="s">
        <v>2276</v>
      </c>
      <c r="T669" s="3" t="s">
        <v>3954</v>
      </c>
    </row>
    <row r="670" spans="1:20" ht="37.5" customHeight="1">
      <c r="A670" s="11" t="s">
        <v>3930</v>
      </c>
      <c r="B670" s="3" t="s">
        <v>2276</v>
      </c>
      <c r="C670" s="3" t="s">
        <v>12</v>
      </c>
      <c r="D670" s="3" t="s">
        <v>5005</v>
      </c>
      <c r="E670" s="4" t="s">
        <v>3854</v>
      </c>
      <c r="F670" s="3" t="s">
        <v>2276</v>
      </c>
      <c r="G670" s="3" t="s">
        <v>2276</v>
      </c>
      <c r="H670" s="3" t="s">
        <v>2276</v>
      </c>
      <c r="I670" s="3" t="s">
        <v>2276</v>
      </c>
      <c r="J670" s="3" t="s">
        <v>2276</v>
      </c>
      <c r="K670" s="3" t="s">
        <v>2276</v>
      </c>
      <c r="L670" s="3" t="s">
        <v>2276</v>
      </c>
      <c r="M670" s="3" t="s">
        <v>2276</v>
      </c>
      <c r="N670" s="3" t="s">
        <v>2276</v>
      </c>
      <c r="O670" s="3" t="s">
        <v>2276</v>
      </c>
      <c r="P670" s="3" t="s">
        <v>2276</v>
      </c>
      <c r="Q670" s="3" t="s">
        <v>2276</v>
      </c>
      <c r="R670" s="3" t="s">
        <v>2276</v>
      </c>
      <c r="S670" s="3" t="s">
        <v>2276</v>
      </c>
      <c r="T670" s="3"/>
    </row>
    <row r="671" spans="1:20" ht="37.5" customHeight="1">
      <c r="A671" s="11" t="s">
        <v>3931</v>
      </c>
      <c r="B671" s="3" t="s">
        <v>2276</v>
      </c>
      <c r="C671" s="3" t="s">
        <v>12</v>
      </c>
      <c r="D671" s="3" t="s">
        <v>5005</v>
      </c>
      <c r="E671" s="4" t="s">
        <v>3854</v>
      </c>
      <c r="F671" s="3" t="s">
        <v>2276</v>
      </c>
      <c r="G671" s="3" t="s">
        <v>2276</v>
      </c>
      <c r="H671" s="3" t="s">
        <v>2276</v>
      </c>
      <c r="I671" s="3" t="s">
        <v>2276</v>
      </c>
      <c r="J671" s="3" t="s">
        <v>2276</v>
      </c>
      <c r="K671" s="3" t="s">
        <v>2276</v>
      </c>
      <c r="L671" s="3" t="s">
        <v>2276</v>
      </c>
      <c r="M671" s="3" t="s">
        <v>2276</v>
      </c>
      <c r="N671" s="3" t="s">
        <v>2276</v>
      </c>
      <c r="O671" s="3" t="s">
        <v>2276</v>
      </c>
      <c r="P671" s="3" t="s">
        <v>2276</v>
      </c>
      <c r="Q671" s="3" t="s">
        <v>2276</v>
      </c>
      <c r="R671" s="3" t="s">
        <v>2276</v>
      </c>
      <c r="S671" s="3" t="s">
        <v>2276</v>
      </c>
      <c r="T671" s="3"/>
    </row>
    <row r="672" spans="1:20" ht="37.5" customHeight="1">
      <c r="A672" s="11" t="s">
        <v>3932</v>
      </c>
      <c r="B672" s="3" t="s">
        <v>2276</v>
      </c>
      <c r="C672" s="3" t="s">
        <v>12</v>
      </c>
      <c r="D672" s="3" t="s">
        <v>5005</v>
      </c>
      <c r="E672" s="4" t="s">
        <v>3854</v>
      </c>
      <c r="F672" s="3" t="s">
        <v>2276</v>
      </c>
      <c r="G672" s="3" t="s">
        <v>2276</v>
      </c>
      <c r="H672" s="3" t="s">
        <v>2276</v>
      </c>
      <c r="I672" s="3" t="s">
        <v>2276</v>
      </c>
      <c r="J672" s="3" t="s">
        <v>2276</v>
      </c>
      <c r="K672" s="3" t="s">
        <v>534</v>
      </c>
      <c r="L672" s="3" t="s">
        <v>2276</v>
      </c>
      <c r="M672" s="3" t="s">
        <v>2276</v>
      </c>
      <c r="N672" s="3" t="s">
        <v>2276</v>
      </c>
      <c r="O672" s="3" t="s">
        <v>2276</v>
      </c>
      <c r="P672" s="3" t="s">
        <v>2276</v>
      </c>
      <c r="Q672" s="3" t="s">
        <v>2276</v>
      </c>
      <c r="R672" s="3" t="s">
        <v>2276</v>
      </c>
      <c r="S672" s="3" t="s">
        <v>2276</v>
      </c>
      <c r="T672" s="3"/>
    </row>
    <row r="673" spans="1:20" ht="39" customHeight="1">
      <c r="A673" s="11" t="s">
        <v>3966</v>
      </c>
      <c r="B673" s="3" t="s">
        <v>32</v>
      </c>
      <c r="C673" s="3" t="s">
        <v>12</v>
      </c>
      <c r="D673" s="3" t="s">
        <v>45</v>
      </c>
      <c r="E673" s="4" t="s">
        <v>3854</v>
      </c>
      <c r="F673" s="3" t="s">
        <v>116</v>
      </c>
      <c r="G673" s="3" t="s">
        <v>2276</v>
      </c>
      <c r="H673" s="3" t="s">
        <v>2276</v>
      </c>
      <c r="I673" s="3" t="s">
        <v>2276</v>
      </c>
      <c r="J673" s="3" t="s">
        <v>2276</v>
      </c>
      <c r="K673" s="3" t="s">
        <v>537</v>
      </c>
      <c r="L673" s="3" t="s">
        <v>2276</v>
      </c>
      <c r="M673" s="3" t="s">
        <v>2276</v>
      </c>
      <c r="N673" s="3" t="s">
        <v>2276</v>
      </c>
      <c r="O673" s="3" t="s">
        <v>2276</v>
      </c>
      <c r="P673" s="3" t="s">
        <v>2276</v>
      </c>
      <c r="Q673" s="3" t="s">
        <v>2276</v>
      </c>
      <c r="R673" s="3" t="s">
        <v>2276</v>
      </c>
      <c r="S673" s="3" t="s">
        <v>2276</v>
      </c>
      <c r="T673" s="3"/>
    </row>
    <row r="674" spans="1:20" ht="41" customHeight="1">
      <c r="A674" s="11" t="s">
        <v>3967</v>
      </c>
      <c r="B674" s="3" t="s">
        <v>69</v>
      </c>
      <c r="C674" s="3" t="s">
        <v>395</v>
      </c>
      <c r="D674" s="3" t="s">
        <v>5005</v>
      </c>
      <c r="E674" s="3" t="s">
        <v>45</v>
      </c>
      <c r="F674" s="3" t="s">
        <v>116</v>
      </c>
      <c r="G674" s="3" t="s">
        <v>2276</v>
      </c>
      <c r="H674" s="3" t="s">
        <v>2276</v>
      </c>
      <c r="I674" s="3" t="s">
        <v>2276</v>
      </c>
      <c r="J674" s="3" t="s">
        <v>2276</v>
      </c>
      <c r="K674" s="3" t="s">
        <v>534</v>
      </c>
      <c r="L674" s="3" t="s">
        <v>2276</v>
      </c>
      <c r="M674" s="3" t="s">
        <v>2276</v>
      </c>
      <c r="N674" s="3" t="s">
        <v>2276</v>
      </c>
      <c r="O674" s="3" t="s">
        <v>2276</v>
      </c>
      <c r="P674" s="3" t="s">
        <v>2276</v>
      </c>
      <c r="Q674" s="3" t="s">
        <v>2276</v>
      </c>
      <c r="R674" s="3" t="s">
        <v>2276</v>
      </c>
      <c r="S674" s="3" t="s">
        <v>2276</v>
      </c>
      <c r="T674" s="3" t="s">
        <v>3973</v>
      </c>
    </row>
    <row r="675" spans="1:20" ht="37.5" customHeight="1">
      <c r="A675" s="11" t="s">
        <v>3972</v>
      </c>
      <c r="B675" s="3" t="s">
        <v>69</v>
      </c>
      <c r="C675" s="3" t="s">
        <v>395</v>
      </c>
      <c r="D675" s="3" t="s">
        <v>5005</v>
      </c>
      <c r="E675" s="3" t="s">
        <v>45</v>
      </c>
      <c r="F675" s="3" t="s">
        <v>2276</v>
      </c>
      <c r="G675" s="3" t="s">
        <v>2276</v>
      </c>
      <c r="H675" s="3" t="s">
        <v>2276</v>
      </c>
      <c r="I675" s="3" t="s">
        <v>2276</v>
      </c>
      <c r="J675" s="3" t="s">
        <v>2276</v>
      </c>
      <c r="K675" s="3" t="s">
        <v>537</v>
      </c>
      <c r="L675" s="3" t="s">
        <v>2276</v>
      </c>
      <c r="M675" s="3" t="s">
        <v>2276</v>
      </c>
      <c r="N675" s="3" t="s">
        <v>2276</v>
      </c>
      <c r="O675" s="3" t="s">
        <v>2276</v>
      </c>
      <c r="P675" s="3" t="s">
        <v>2276</v>
      </c>
      <c r="Q675" s="3" t="s">
        <v>2276</v>
      </c>
      <c r="R675" s="3" t="s">
        <v>2276</v>
      </c>
      <c r="S675" s="3" t="s">
        <v>2276</v>
      </c>
      <c r="T675" s="3" t="s">
        <v>3974</v>
      </c>
    </row>
    <row r="676" spans="1:20" ht="33.5" customHeight="1">
      <c r="A676" s="11" t="s">
        <v>3989</v>
      </c>
      <c r="B676" s="3" t="s">
        <v>69</v>
      </c>
      <c r="C676" s="3" t="s">
        <v>395</v>
      </c>
      <c r="D676" s="3" t="s">
        <v>5005</v>
      </c>
      <c r="E676" s="4" t="s">
        <v>3854</v>
      </c>
      <c r="F676" s="3" t="s">
        <v>2276</v>
      </c>
      <c r="G676" s="3" t="s">
        <v>2276</v>
      </c>
      <c r="H676" s="3" t="s">
        <v>2276</v>
      </c>
      <c r="I676" s="3" t="s">
        <v>2276</v>
      </c>
      <c r="J676" s="3" t="s">
        <v>2276</v>
      </c>
      <c r="K676" s="3" t="s">
        <v>2276</v>
      </c>
      <c r="L676" s="3" t="s">
        <v>2276</v>
      </c>
      <c r="M676" s="3" t="s">
        <v>2276</v>
      </c>
      <c r="N676" s="3" t="s">
        <v>2276</v>
      </c>
      <c r="O676" s="3" t="s">
        <v>2276</v>
      </c>
      <c r="P676" s="3" t="s">
        <v>2276</v>
      </c>
      <c r="Q676" s="3" t="s">
        <v>2276</v>
      </c>
      <c r="R676" s="3" t="s">
        <v>2276</v>
      </c>
      <c r="S676" s="3" t="s">
        <v>2276</v>
      </c>
      <c r="T676" s="3"/>
    </row>
    <row r="677" spans="1:20" ht="33.5" customHeight="1">
      <c r="A677" s="11" t="s">
        <v>3990</v>
      </c>
      <c r="B677" s="3" t="s">
        <v>69</v>
      </c>
      <c r="C677" s="3" t="s">
        <v>395</v>
      </c>
      <c r="D677" s="3" t="s">
        <v>5005</v>
      </c>
      <c r="E677" s="4" t="s">
        <v>3854</v>
      </c>
      <c r="F677" s="3" t="s">
        <v>2276</v>
      </c>
      <c r="G677" s="3" t="s">
        <v>2276</v>
      </c>
      <c r="H677" s="3" t="s">
        <v>2276</v>
      </c>
      <c r="I677" s="3" t="s">
        <v>2276</v>
      </c>
      <c r="J677" s="3" t="s">
        <v>2276</v>
      </c>
      <c r="K677" s="3" t="s">
        <v>2276</v>
      </c>
      <c r="L677" s="3" t="s">
        <v>2276</v>
      </c>
      <c r="M677" s="3" t="s">
        <v>2276</v>
      </c>
      <c r="N677" s="3" t="s">
        <v>2276</v>
      </c>
      <c r="O677" s="3" t="s">
        <v>2276</v>
      </c>
      <c r="P677" s="3" t="s">
        <v>2276</v>
      </c>
      <c r="Q677" s="3" t="s">
        <v>2276</v>
      </c>
      <c r="R677" s="3" t="s">
        <v>2276</v>
      </c>
      <c r="S677" s="3" t="s">
        <v>2276</v>
      </c>
      <c r="T677" s="3"/>
    </row>
    <row r="678" spans="1:20" ht="33.5" customHeight="1">
      <c r="A678" s="11" t="s">
        <v>3995</v>
      </c>
      <c r="B678" s="3" t="s">
        <v>69</v>
      </c>
      <c r="C678" s="3" t="s">
        <v>395</v>
      </c>
      <c r="D678" s="3" t="s">
        <v>5005</v>
      </c>
      <c r="E678" s="4" t="s">
        <v>3854</v>
      </c>
      <c r="F678" s="3" t="s">
        <v>2276</v>
      </c>
      <c r="G678" s="3" t="s">
        <v>2276</v>
      </c>
      <c r="H678" s="3" t="s">
        <v>2276</v>
      </c>
      <c r="I678" s="3" t="s">
        <v>2276</v>
      </c>
      <c r="J678" s="3" t="s">
        <v>2276</v>
      </c>
      <c r="K678" s="3" t="s">
        <v>2276</v>
      </c>
      <c r="L678" s="3" t="s">
        <v>2276</v>
      </c>
      <c r="M678" s="3" t="s">
        <v>2276</v>
      </c>
      <c r="N678" s="3" t="s">
        <v>2276</v>
      </c>
      <c r="O678" s="3" t="s">
        <v>2276</v>
      </c>
      <c r="P678" s="3" t="s">
        <v>2276</v>
      </c>
      <c r="Q678" s="3" t="s">
        <v>2276</v>
      </c>
      <c r="R678" s="3" t="s">
        <v>2276</v>
      </c>
      <c r="S678" s="3" t="s">
        <v>2276</v>
      </c>
      <c r="T678" s="3"/>
    </row>
    <row r="679" spans="1:20" ht="37" customHeight="1">
      <c r="A679" s="11" t="s">
        <v>4015</v>
      </c>
      <c r="B679" s="3" t="s">
        <v>69</v>
      </c>
      <c r="C679" s="3" t="s">
        <v>395</v>
      </c>
      <c r="D679" s="3" t="s">
        <v>5005</v>
      </c>
      <c r="E679" s="3" t="s">
        <v>45</v>
      </c>
      <c r="F679" s="3" t="s">
        <v>116</v>
      </c>
      <c r="G679" s="4" t="s">
        <v>397</v>
      </c>
      <c r="H679" s="3" t="s">
        <v>2276</v>
      </c>
      <c r="I679" s="3" t="s">
        <v>2276</v>
      </c>
      <c r="J679" s="3" t="s">
        <v>2276</v>
      </c>
      <c r="K679" s="3" t="s">
        <v>534</v>
      </c>
      <c r="L679" s="3" t="s">
        <v>2276</v>
      </c>
      <c r="M679" s="3" t="s">
        <v>2276</v>
      </c>
      <c r="N679" s="3" t="s">
        <v>2276</v>
      </c>
      <c r="O679" s="3" t="s">
        <v>2276</v>
      </c>
      <c r="P679" s="3" t="s">
        <v>2276</v>
      </c>
      <c r="Q679" s="3" t="s">
        <v>2276</v>
      </c>
      <c r="R679" s="3" t="s">
        <v>2276</v>
      </c>
      <c r="S679" s="3" t="s">
        <v>2276</v>
      </c>
      <c r="T679" s="4" t="s">
        <v>4019</v>
      </c>
    </row>
    <row r="680" spans="1:20" ht="35.5" customHeight="1">
      <c r="A680" s="11" t="s">
        <v>4028</v>
      </c>
      <c r="B680" s="3" t="s">
        <v>69</v>
      </c>
      <c r="C680" s="3" t="s">
        <v>395</v>
      </c>
      <c r="D680" s="3" t="s">
        <v>5005</v>
      </c>
      <c r="E680" s="3" t="s">
        <v>2276</v>
      </c>
      <c r="F680" s="3" t="s">
        <v>2276</v>
      </c>
      <c r="G680" s="3" t="s">
        <v>2276</v>
      </c>
      <c r="H680" s="3" t="s">
        <v>2276</v>
      </c>
      <c r="I680" s="3" t="s">
        <v>2276</v>
      </c>
      <c r="J680" s="3" t="s">
        <v>2276</v>
      </c>
      <c r="K680" s="3" t="s">
        <v>2276</v>
      </c>
      <c r="L680" s="3" t="s">
        <v>2276</v>
      </c>
      <c r="M680" s="3" t="s">
        <v>2276</v>
      </c>
      <c r="N680" s="3" t="s">
        <v>2276</v>
      </c>
      <c r="O680" s="3" t="s">
        <v>2276</v>
      </c>
      <c r="P680" s="3" t="s">
        <v>2276</v>
      </c>
      <c r="Q680" s="3" t="s">
        <v>2276</v>
      </c>
      <c r="R680" s="3" t="s">
        <v>2276</v>
      </c>
      <c r="S680" s="3" t="s">
        <v>2276</v>
      </c>
      <c r="T680" s="3"/>
    </row>
    <row r="681" spans="1:20" ht="35.5" customHeight="1">
      <c r="A681" s="11" t="s">
        <v>4029</v>
      </c>
      <c r="B681" s="3" t="s">
        <v>69</v>
      </c>
      <c r="C681" s="3" t="s">
        <v>395</v>
      </c>
      <c r="D681" s="3" t="s">
        <v>5005</v>
      </c>
      <c r="E681" s="3" t="s">
        <v>2276</v>
      </c>
      <c r="F681" s="3" t="s">
        <v>2276</v>
      </c>
      <c r="G681" s="3" t="s">
        <v>2276</v>
      </c>
      <c r="H681" s="3" t="s">
        <v>2276</v>
      </c>
      <c r="I681" s="3" t="s">
        <v>2276</v>
      </c>
      <c r="J681" s="3" t="s">
        <v>2276</v>
      </c>
      <c r="K681" s="3" t="s">
        <v>2276</v>
      </c>
      <c r="L681" s="3" t="s">
        <v>2276</v>
      </c>
      <c r="M681" s="3" t="s">
        <v>2276</v>
      </c>
      <c r="N681" s="3" t="s">
        <v>2276</v>
      </c>
      <c r="O681" s="3" t="s">
        <v>2276</v>
      </c>
      <c r="P681" s="3" t="s">
        <v>2276</v>
      </c>
      <c r="Q681" s="3" t="s">
        <v>2276</v>
      </c>
      <c r="R681" s="3" t="s">
        <v>2276</v>
      </c>
      <c r="S681" s="3" t="s">
        <v>2276</v>
      </c>
      <c r="T681" s="3"/>
    </row>
    <row r="682" spans="1:20" ht="35.5" customHeight="1">
      <c r="A682" s="11" t="s">
        <v>4030</v>
      </c>
      <c r="B682" s="3" t="s">
        <v>69</v>
      </c>
      <c r="C682" s="3" t="s">
        <v>395</v>
      </c>
      <c r="D682" s="3" t="s">
        <v>5005</v>
      </c>
      <c r="E682" s="3" t="s">
        <v>2276</v>
      </c>
      <c r="F682" s="3" t="s">
        <v>2276</v>
      </c>
      <c r="G682" s="3" t="s">
        <v>2276</v>
      </c>
      <c r="H682" s="3" t="s">
        <v>2276</v>
      </c>
      <c r="I682" s="3" t="s">
        <v>2276</v>
      </c>
      <c r="J682" s="3" t="s">
        <v>2276</v>
      </c>
      <c r="K682" s="3" t="s">
        <v>2276</v>
      </c>
      <c r="L682" s="3" t="s">
        <v>2276</v>
      </c>
      <c r="M682" s="3" t="s">
        <v>2276</v>
      </c>
      <c r="N682" s="3" t="s">
        <v>2276</v>
      </c>
      <c r="O682" s="3" t="s">
        <v>2276</v>
      </c>
      <c r="P682" s="3" t="s">
        <v>2276</v>
      </c>
      <c r="Q682" s="3" t="s">
        <v>2276</v>
      </c>
      <c r="R682" s="3" t="s">
        <v>2276</v>
      </c>
      <c r="S682" s="3" t="s">
        <v>2276</v>
      </c>
      <c r="T682" s="3"/>
    </row>
    <row r="683" spans="1:20" ht="35.5" customHeight="1">
      <c r="A683" s="11" t="s">
        <v>4031</v>
      </c>
      <c r="B683" s="3" t="s">
        <v>69</v>
      </c>
      <c r="C683" s="3" t="s">
        <v>395</v>
      </c>
      <c r="D683" s="3" t="s">
        <v>5005</v>
      </c>
      <c r="E683" s="3" t="s">
        <v>2276</v>
      </c>
      <c r="F683" s="3" t="s">
        <v>2276</v>
      </c>
      <c r="G683" s="3" t="s">
        <v>2276</v>
      </c>
      <c r="H683" s="3" t="s">
        <v>2276</v>
      </c>
      <c r="I683" s="3" t="s">
        <v>2276</v>
      </c>
      <c r="J683" s="3" t="s">
        <v>2276</v>
      </c>
      <c r="K683" s="3" t="s">
        <v>2276</v>
      </c>
      <c r="L683" s="3" t="s">
        <v>2276</v>
      </c>
      <c r="M683" s="3" t="s">
        <v>2276</v>
      </c>
      <c r="N683" s="3" t="s">
        <v>2276</v>
      </c>
      <c r="O683" s="3" t="s">
        <v>2276</v>
      </c>
      <c r="P683" s="3" t="s">
        <v>2276</v>
      </c>
      <c r="Q683" s="3" t="s">
        <v>2276</v>
      </c>
      <c r="R683" s="3" t="s">
        <v>2276</v>
      </c>
      <c r="S683" s="3" t="s">
        <v>2276</v>
      </c>
      <c r="T683" s="3"/>
    </row>
    <row r="684" spans="1:20" ht="30.5" customHeight="1">
      <c r="A684" s="11" t="s">
        <v>4048</v>
      </c>
      <c r="B684" s="3" t="s">
        <v>32</v>
      </c>
      <c r="C684" s="3" t="s">
        <v>2646</v>
      </c>
      <c r="D684" s="3" t="s">
        <v>45</v>
      </c>
      <c r="E684" s="3" t="s">
        <v>84</v>
      </c>
      <c r="F684" s="4" t="s">
        <v>3855</v>
      </c>
      <c r="G684" s="3" t="s">
        <v>2653</v>
      </c>
      <c r="H684" s="21">
        <v>1.4</v>
      </c>
      <c r="I684" s="3" t="s">
        <v>2276</v>
      </c>
      <c r="J684" s="3" t="s">
        <v>2276</v>
      </c>
      <c r="K684" s="3" t="s">
        <v>2276</v>
      </c>
      <c r="L684" s="3" t="s">
        <v>2276</v>
      </c>
      <c r="M684" s="3" t="s">
        <v>2276</v>
      </c>
      <c r="N684" s="3" t="s">
        <v>2276</v>
      </c>
      <c r="O684" s="3" t="s">
        <v>2276</v>
      </c>
      <c r="P684" s="3" t="s">
        <v>2276</v>
      </c>
      <c r="Q684" s="3" t="s">
        <v>2276</v>
      </c>
      <c r="R684" s="3" t="s">
        <v>2276</v>
      </c>
      <c r="S684" s="3" t="s">
        <v>2276</v>
      </c>
      <c r="T684" s="3" t="s">
        <v>4083</v>
      </c>
    </row>
    <row r="685" spans="1:20" ht="30.5" customHeight="1">
      <c r="A685" s="11" t="s">
        <v>4059</v>
      </c>
      <c r="B685" s="3" t="s">
        <v>32</v>
      </c>
      <c r="C685" s="3" t="s">
        <v>2646</v>
      </c>
      <c r="D685" s="3" t="s">
        <v>45</v>
      </c>
      <c r="E685" s="3" t="s">
        <v>84</v>
      </c>
      <c r="F685" s="4" t="s">
        <v>3855</v>
      </c>
      <c r="G685" s="3" t="s">
        <v>2653</v>
      </c>
      <c r="H685" s="21">
        <v>1.4</v>
      </c>
      <c r="I685" s="3" t="s">
        <v>2276</v>
      </c>
      <c r="J685" s="3" t="s">
        <v>2276</v>
      </c>
      <c r="K685" s="3" t="s">
        <v>2276</v>
      </c>
      <c r="L685" s="3" t="s">
        <v>2276</v>
      </c>
      <c r="M685" s="3" t="s">
        <v>2276</v>
      </c>
      <c r="N685" s="3" t="s">
        <v>2276</v>
      </c>
      <c r="O685" s="3" t="s">
        <v>2276</v>
      </c>
      <c r="P685" s="3" t="s">
        <v>2276</v>
      </c>
      <c r="Q685" s="3" t="s">
        <v>2276</v>
      </c>
      <c r="R685" s="3" t="s">
        <v>2276</v>
      </c>
      <c r="S685" s="3" t="s">
        <v>2276</v>
      </c>
      <c r="T685" s="3" t="s">
        <v>4083</v>
      </c>
    </row>
    <row r="686" spans="1:20" ht="30.5" customHeight="1">
      <c r="A686" s="11" t="s">
        <v>4060</v>
      </c>
      <c r="B686" s="3" t="s">
        <v>32</v>
      </c>
      <c r="C686" s="3" t="s">
        <v>2646</v>
      </c>
      <c r="D686" s="3" t="s">
        <v>45</v>
      </c>
      <c r="E686" s="3" t="s">
        <v>84</v>
      </c>
      <c r="F686" s="4" t="s">
        <v>3855</v>
      </c>
      <c r="G686" s="3" t="s">
        <v>2653</v>
      </c>
      <c r="H686" s="21">
        <v>1.4</v>
      </c>
      <c r="I686" s="3" t="s">
        <v>2276</v>
      </c>
      <c r="J686" s="3" t="s">
        <v>2276</v>
      </c>
      <c r="K686" s="3" t="s">
        <v>2276</v>
      </c>
      <c r="L686" s="3" t="s">
        <v>2276</v>
      </c>
      <c r="M686" s="3" t="s">
        <v>2276</v>
      </c>
      <c r="N686" s="3" t="s">
        <v>2276</v>
      </c>
      <c r="O686" s="3" t="s">
        <v>2276</v>
      </c>
      <c r="P686" s="3" t="s">
        <v>2276</v>
      </c>
      <c r="Q686" s="3" t="s">
        <v>2276</v>
      </c>
      <c r="R686" s="3" t="s">
        <v>2276</v>
      </c>
      <c r="S686" s="3" t="s">
        <v>2276</v>
      </c>
      <c r="T686" s="3" t="s">
        <v>4083</v>
      </c>
    </row>
    <row r="687" spans="1:20" ht="30.5" customHeight="1">
      <c r="A687" s="11" t="s">
        <v>4061</v>
      </c>
      <c r="B687" s="3" t="s">
        <v>32</v>
      </c>
      <c r="C687" s="3" t="s">
        <v>2646</v>
      </c>
      <c r="D687" s="3" t="s">
        <v>45</v>
      </c>
      <c r="E687" s="3" t="s">
        <v>84</v>
      </c>
      <c r="F687" s="4" t="s">
        <v>3855</v>
      </c>
      <c r="G687" s="3" t="s">
        <v>2653</v>
      </c>
      <c r="H687" s="21">
        <v>1.4</v>
      </c>
      <c r="I687" s="3" t="s">
        <v>2276</v>
      </c>
      <c r="J687" s="3" t="s">
        <v>2276</v>
      </c>
      <c r="K687" s="3" t="s">
        <v>2276</v>
      </c>
      <c r="L687" s="3" t="s">
        <v>2276</v>
      </c>
      <c r="M687" s="3" t="s">
        <v>2276</v>
      </c>
      <c r="N687" s="3" t="s">
        <v>2276</v>
      </c>
      <c r="O687" s="3" t="s">
        <v>2276</v>
      </c>
      <c r="P687" s="3" t="s">
        <v>2276</v>
      </c>
      <c r="Q687" s="3" t="s">
        <v>2276</v>
      </c>
      <c r="R687" s="3" t="s">
        <v>2276</v>
      </c>
      <c r="S687" s="3" t="s">
        <v>2276</v>
      </c>
      <c r="T687" s="3" t="s">
        <v>4083</v>
      </c>
    </row>
    <row r="688" spans="1:20" ht="30.5" customHeight="1">
      <c r="A688" s="11" t="s">
        <v>4062</v>
      </c>
      <c r="B688" s="3" t="s">
        <v>32</v>
      </c>
      <c r="C688" s="3" t="s">
        <v>2646</v>
      </c>
      <c r="D688" s="3" t="s">
        <v>45</v>
      </c>
      <c r="E688" s="3" t="s">
        <v>84</v>
      </c>
      <c r="F688" s="4" t="s">
        <v>3855</v>
      </c>
      <c r="G688" s="3" t="s">
        <v>2653</v>
      </c>
      <c r="H688" s="21">
        <v>1.4</v>
      </c>
      <c r="I688" s="3" t="s">
        <v>2276</v>
      </c>
      <c r="J688" s="3" t="s">
        <v>2276</v>
      </c>
      <c r="K688" s="3" t="s">
        <v>2276</v>
      </c>
      <c r="L688" s="3" t="s">
        <v>2276</v>
      </c>
      <c r="M688" s="3" t="s">
        <v>2276</v>
      </c>
      <c r="N688" s="3" t="s">
        <v>2276</v>
      </c>
      <c r="O688" s="3" t="s">
        <v>2276</v>
      </c>
      <c r="P688" s="3" t="s">
        <v>2276</v>
      </c>
      <c r="Q688" s="3" t="s">
        <v>2276</v>
      </c>
      <c r="R688" s="3" t="s">
        <v>2276</v>
      </c>
      <c r="S688" s="3" t="s">
        <v>2276</v>
      </c>
      <c r="T688" s="3" t="s">
        <v>4083</v>
      </c>
    </row>
    <row r="689" spans="1:20" ht="30.5" customHeight="1">
      <c r="A689" s="11" t="s">
        <v>4063</v>
      </c>
      <c r="B689" s="3" t="s">
        <v>32</v>
      </c>
      <c r="C689" s="3" t="s">
        <v>2646</v>
      </c>
      <c r="D689" s="3" t="s">
        <v>45</v>
      </c>
      <c r="E689" s="3" t="s">
        <v>84</v>
      </c>
      <c r="F689" s="4" t="s">
        <v>3855</v>
      </c>
      <c r="G689" s="3" t="s">
        <v>2653</v>
      </c>
      <c r="H689" s="21">
        <v>1.4</v>
      </c>
      <c r="I689" s="3" t="s">
        <v>2276</v>
      </c>
      <c r="J689" s="3" t="s">
        <v>2276</v>
      </c>
      <c r="K689" s="3" t="s">
        <v>2276</v>
      </c>
      <c r="L689" s="3" t="s">
        <v>2276</v>
      </c>
      <c r="M689" s="3" t="s">
        <v>2276</v>
      </c>
      <c r="N689" s="3" t="s">
        <v>2276</v>
      </c>
      <c r="O689" s="3" t="s">
        <v>2276</v>
      </c>
      <c r="P689" s="3" t="s">
        <v>2276</v>
      </c>
      <c r="Q689" s="3" t="s">
        <v>2276</v>
      </c>
      <c r="R689" s="3" t="s">
        <v>2276</v>
      </c>
      <c r="S689" s="3" t="s">
        <v>2276</v>
      </c>
      <c r="T689" s="3" t="s">
        <v>4083</v>
      </c>
    </row>
    <row r="690" spans="1:20" ht="30.5" customHeight="1">
      <c r="A690" s="11" t="s">
        <v>4064</v>
      </c>
      <c r="B690" s="3" t="s">
        <v>32</v>
      </c>
      <c r="C690" s="3" t="s">
        <v>2646</v>
      </c>
      <c r="D690" s="3" t="s">
        <v>45</v>
      </c>
      <c r="E690" s="3" t="s">
        <v>84</v>
      </c>
      <c r="F690" s="4" t="s">
        <v>3855</v>
      </c>
      <c r="G690" s="3" t="s">
        <v>2653</v>
      </c>
      <c r="H690" s="21">
        <v>1.4</v>
      </c>
      <c r="I690" s="3" t="s">
        <v>2276</v>
      </c>
      <c r="J690" s="3" t="s">
        <v>2276</v>
      </c>
      <c r="K690" s="3" t="s">
        <v>2276</v>
      </c>
      <c r="L690" s="3" t="s">
        <v>2276</v>
      </c>
      <c r="M690" s="3" t="s">
        <v>2276</v>
      </c>
      <c r="N690" s="3" t="s">
        <v>2276</v>
      </c>
      <c r="O690" s="3" t="s">
        <v>2276</v>
      </c>
      <c r="P690" s="3" t="s">
        <v>2276</v>
      </c>
      <c r="Q690" s="3" t="s">
        <v>2276</v>
      </c>
      <c r="R690" s="3" t="s">
        <v>2276</v>
      </c>
      <c r="S690" s="3" t="s">
        <v>2276</v>
      </c>
      <c r="T690" s="3" t="s">
        <v>4083</v>
      </c>
    </row>
    <row r="691" spans="1:20" ht="31" customHeight="1">
      <c r="A691" s="11" t="s">
        <v>4086</v>
      </c>
      <c r="B691" s="3" t="s">
        <v>2276</v>
      </c>
      <c r="C691" s="3" t="s">
        <v>12</v>
      </c>
      <c r="D691" s="3" t="s">
        <v>5005</v>
      </c>
      <c r="E691" s="3" t="s">
        <v>45</v>
      </c>
      <c r="F691" s="3" t="s">
        <v>2276</v>
      </c>
      <c r="G691" s="3" t="s">
        <v>2276</v>
      </c>
      <c r="H691" s="3" t="s">
        <v>2276</v>
      </c>
      <c r="I691" s="3" t="s">
        <v>2276</v>
      </c>
      <c r="J691" s="3" t="s">
        <v>2276</v>
      </c>
      <c r="K691" s="3" t="s">
        <v>2276</v>
      </c>
      <c r="L691" s="3" t="s">
        <v>2276</v>
      </c>
      <c r="M691" s="3" t="s">
        <v>2276</v>
      </c>
      <c r="N691" s="3" t="s">
        <v>2276</v>
      </c>
      <c r="O691" s="3" t="s">
        <v>2276</v>
      </c>
      <c r="P691" s="3" t="s">
        <v>2276</v>
      </c>
      <c r="Q691" s="3" t="s">
        <v>2276</v>
      </c>
      <c r="R691" s="3" t="s">
        <v>2276</v>
      </c>
      <c r="S691" s="3" t="s">
        <v>2276</v>
      </c>
      <c r="T691" s="3" t="s">
        <v>4089</v>
      </c>
    </row>
    <row r="692" spans="1:20" ht="29.5" customHeight="1">
      <c r="A692" s="11" t="s">
        <v>4108</v>
      </c>
      <c r="B692" s="3" t="s">
        <v>2276</v>
      </c>
      <c r="C692" s="3" t="s">
        <v>12</v>
      </c>
      <c r="D692" s="3" t="s">
        <v>5005</v>
      </c>
      <c r="E692" s="3" t="s">
        <v>45</v>
      </c>
      <c r="F692" s="3" t="s">
        <v>2276</v>
      </c>
      <c r="G692" s="3" t="s">
        <v>2276</v>
      </c>
      <c r="H692" s="3" t="s">
        <v>2276</v>
      </c>
      <c r="I692" s="3" t="s">
        <v>2276</v>
      </c>
      <c r="J692" s="3" t="s">
        <v>2276</v>
      </c>
      <c r="K692" s="3" t="s">
        <v>2276</v>
      </c>
      <c r="L692" s="3" t="s">
        <v>2276</v>
      </c>
      <c r="M692" s="3" t="s">
        <v>2276</v>
      </c>
      <c r="N692" s="3" t="s">
        <v>2276</v>
      </c>
      <c r="O692" s="3" t="s">
        <v>2276</v>
      </c>
      <c r="P692" s="3" t="s">
        <v>2276</v>
      </c>
      <c r="Q692" s="3" t="s">
        <v>2276</v>
      </c>
      <c r="R692" s="3" t="s">
        <v>2276</v>
      </c>
      <c r="S692" s="3" t="s">
        <v>2276</v>
      </c>
      <c r="T692" s="3"/>
    </row>
    <row r="693" spans="1:20" ht="29.5" customHeight="1">
      <c r="A693" s="11" t="s">
        <v>4109</v>
      </c>
      <c r="B693" s="3" t="s">
        <v>2276</v>
      </c>
      <c r="C693" s="3" t="s">
        <v>12</v>
      </c>
      <c r="D693" s="3" t="s">
        <v>5005</v>
      </c>
      <c r="E693" s="3" t="s">
        <v>45</v>
      </c>
      <c r="F693" s="3" t="s">
        <v>2276</v>
      </c>
      <c r="G693" s="3" t="s">
        <v>2276</v>
      </c>
      <c r="H693" s="3" t="s">
        <v>2276</v>
      </c>
      <c r="I693" s="3" t="s">
        <v>2276</v>
      </c>
      <c r="J693" s="3" t="s">
        <v>2276</v>
      </c>
      <c r="K693" s="3" t="s">
        <v>2276</v>
      </c>
      <c r="L693" s="3" t="s">
        <v>2276</v>
      </c>
      <c r="M693" s="3" t="s">
        <v>2276</v>
      </c>
      <c r="N693" s="3" t="s">
        <v>2276</v>
      </c>
      <c r="O693" s="3" t="s">
        <v>2276</v>
      </c>
      <c r="P693" s="3" t="s">
        <v>2276</v>
      </c>
      <c r="Q693" s="3" t="s">
        <v>2276</v>
      </c>
      <c r="R693" s="3" t="s">
        <v>2276</v>
      </c>
      <c r="S693" s="3" t="s">
        <v>2276</v>
      </c>
      <c r="T693" s="3" t="s">
        <v>4123</v>
      </c>
    </row>
    <row r="694" spans="1:20" ht="36" customHeight="1">
      <c r="A694" s="11" t="s">
        <v>4129</v>
      </c>
      <c r="B694" s="3" t="s">
        <v>32</v>
      </c>
      <c r="C694" s="3" t="s">
        <v>12</v>
      </c>
      <c r="D694" s="3" t="s">
        <v>45</v>
      </c>
      <c r="E694" s="3" t="s">
        <v>5005</v>
      </c>
      <c r="F694" s="3" t="s">
        <v>2649</v>
      </c>
      <c r="G694" s="3" t="s">
        <v>137</v>
      </c>
      <c r="H694" s="3" t="s">
        <v>2276</v>
      </c>
      <c r="I694" s="3">
        <v>692</v>
      </c>
      <c r="J694" s="3" t="s">
        <v>2276</v>
      </c>
      <c r="K694" s="3" t="s">
        <v>2276</v>
      </c>
      <c r="L694" s="3" t="s">
        <v>2276</v>
      </c>
      <c r="M694" s="3" t="s">
        <v>2276</v>
      </c>
      <c r="N694" s="3" t="s">
        <v>2276</v>
      </c>
      <c r="O694" s="3" t="s">
        <v>2276</v>
      </c>
      <c r="P694" s="3" t="s">
        <v>2276</v>
      </c>
      <c r="Q694" s="3" t="s">
        <v>2276</v>
      </c>
      <c r="R694" s="3" t="s">
        <v>2276</v>
      </c>
      <c r="S694" s="3" t="s">
        <v>2276</v>
      </c>
      <c r="T694" s="3"/>
    </row>
    <row r="695" spans="1:20" ht="35.5" customHeight="1">
      <c r="A695" s="11" t="s">
        <v>4138</v>
      </c>
      <c r="B695" s="3" t="s">
        <v>32</v>
      </c>
      <c r="C695" s="3" t="s">
        <v>12</v>
      </c>
      <c r="D695" s="3" t="s">
        <v>5005</v>
      </c>
      <c r="E695" s="3" t="s">
        <v>45</v>
      </c>
      <c r="F695" s="3" t="s">
        <v>137</v>
      </c>
      <c r="G695" s="3" t="s">
        <v>116</v>
      </c>
      <c r="H695" s="3" t="s">
        <v>2276</v>
      </c>
      <c r="I695" s="3" t="s">
        <v>2276</v>
      </c>
      <c r="J695" s="3" t="s">
        <v>2276</v>
      </c>
      <c r="K695" s="3" t="s">
        <v>534</v>
      </c>
      <c r="L695" s="3" t="s">
        <v>2276</v>
      </c>
      <c r="M695" s="21">
        <f>1312/('Record info'!K695*100)</f>
        <v>1.0183805265772479E-2</v>
      </c>
      <c r="N695" s="3" t="s">
        <v>2276</v>
      </c>
      <c r="O695" s="3" t="s">
        <v>2276</v>
      </c>
      <c r="P695" s="3" t="s">
        <v>2276</v>
      </c>
      <c r="Q695" s="3" t="s">
        <v>2276</v>
      </c>
      <c r="R695" s="3" t="s">
        <v>2276</v>
      </c>
      <c r="S695" s="3" t="s">
        <v>2276</v>
      </c>
      <c r="T695" s="3" t="s">
        <v>4142</v>
      </c>
    </row>
    <row r="696" spans="1:20" ht="42" customHeight="1">
      <c r="A696" s="11" t="s">
        <v>4146</v>
      </c>
      <c r="B696" s="3" t="s">
        <v>2276</v>
      </c>
      <c r="C696" s="3" t="s">
        <v>12</v>
      </c>
      <c r="D696" s="4" t="s">
        <v>3854</v>
      </c>
      <c r="E696" s="4" t="s">
        <v>863</v>
      </c>
      <c r="F696" s="3" t="s">
        <v>137</v>
      </c>
      <c r="G696" s="3" t="s">
        <v>2276</v>
      </c>
      <c r="H696" s="3" t="s">
        <v>2276</v>
      </c>
      <c r="I696" s="3" t="s">
        <v>2276</v>
      </c>
      <c r="J696" s="3" t="s">
        <v>2276</v>
      </c>
      <c r="K696" s="3" t="s">
        <v>534</v>
      </c>
      <c r="L696" s="3" t="s">
        <v>2276</v>
      </c>
      <c r="M696" s="3" t="s">
        <v>2276</v>
      </c>
      <c r="N696" s="3" t="s">
        <v>2276</v>
      </c>
      <c r="O696" s="3" t="s">
        <v>2276</v>
      </c>
      <c r="P696" s="3" t="s">
        <v>2276</v>
      </c>
      <c r="Q696" s="3" t="s">
        <v>2276</v>
      </c>
      <c r="R696" s="3" t="s">
        <v>2276</v>
      </c>
      <c r="S696" s="3" t="s">
        <v>2276</v>
      </c>
      <c r="T696" s="3" t="s">
        <v>4153</v>
      </c>
    </row>
    <row r="697" spans="1:20" ht="33" customHeight="1">
      <c r="A697" s="11" t="s">
        <v>4147</v>
      </c>
      <c r="B697" s="3" t="s">
        <v>2276</v>
      </c>
      <c r="C697" s="3" t="s">
        <v>12</v>
      </c>
      <c r="D697" s="3" t="s">
        <v>5005</v>
      </c>
      <c r="E697" s="3" t="s">
        <v>45</v>
      </c>
      <c r="F697" s="3" t="s">
        <v>137</v>
      </c>
      <c r="G697" s="3" t="s">
        <v>2652</v>
      </c>
      <c r="H697" s="21">
        <f>150000/'Record info'!K697/100</f>
        <v>0.61804697156983934</v>
      </c>
      <c r="I697" s="3" t="s">
        <v>2276</v>
      </c>
      <c r="J697" s="3" t="s">
        <v>2276</v>
      </c>
      <c r="K697" s="3" t="s">
        <v>2276</v>
      </c>
      <c r="L697" s="3" t="s">
        <v>2276</v>
      </c>
      <c r="M697" s="3" t="s">
        <v>2276</v>
      </c>
      <c r="N697" s="3" t="s">
        <v>2276</v>
      </c>
      <c r="O697" s="3" t="s">
        <v>2276</v>
      </c>
      <c r="P697" s="3" t="s">
        <v>2276</v>
      </c>
      <c r="Q697" s="3" t="s">
        <v>2276</v>
      </c>
      <c r="R697" s="3" t="s">
        <v>2276</v>
      </c>
      <c r="S697" s="3" t="s">
        <v>2276</v>
      </c>
      <c r="T697" s="3"/>
    </row>
    <row r="698" spans="1:20" ht="37.5" customHeight="1">
      <c r="A698" s="11" t="s">
        <v>4197</v>
      </c>
      <c r="B698" s="3" t="s">
        <v>2276</v>
      </c>
      <c r="C698" s="3" t="s">
        <v>12</v>
      </c>
      <c r="D698" s="3" t="s">
        <v>45</v>
      </c>
      <c r="E698" s="3" t="s">
        <v>2647</v>
      </c>
      <c r="F698" s="3" t="s">
        <v>2276</v>
      </c>
      <c r="G698" s="3" t="s">
        <v>2276</v>
      </c>
      <c r="H698" s="21">
        <v>0.7</v>
      </c>
      <c r="I698" s="3" t="s">
        <v>2276</v>
      </c>
      <c r="J698" s="3" t="s">
        <v>2276</v>
      </c>
      <c r="K698" s="3" t="s">
        <v>2276</v>
      </c>
      <c r="L698" s="3" t="s">
        <v>2276</v>
      </c>
      <c r="M698" s="3" t="s">
        <v>2276</v>
      </c>
      <c r="N698" s="3" t="s">
        <v>2276</v>
      </c>
      <c r="O698" s="21">
        <v>61.383000000000003</v>
      </c>
      <c r="P698" s="21">
        <f>100*(2017+395+24)/191976</f>
        <v>1.2689086135766972</v>
      </c>
      <c r="Q698" s="3" t="s">
        <v>2276</v>
      </c>
      <c r="R698" s="21">
        <f>100-O698-P698</f>
        <v>37.348091386423299</v>
      </c>
      <c r="S698" s="3" t="s">
        <v>2276</v>
      </c>
      <c r="T698" s="4" t="s">
        <v>4208</v>
      </c>
    </row>
    <row r="699" spans="1:20" ht="33" customHeight="1">
      <c r="A699" s="11" t="s">
        <v>4210</v>
      </c>
      <c r="B699" s="3" t="s">
        <v>2276</v>
      </c>
      <c r="C699" s="3" t="s">
        <v>12</v>
      </c>
      <c r="D699" s="3" t="s">
        <v>45</v>
      </c>
      <c r="E699" s="3" t="s">
        <v>5005</v>
      </c>
      <c r="F699" s="3" t="s">
        <v>137</v>
      </c>
      <c r="G699" s="3" t="s">
        <v>2276</v>
      </c>
      <c r="H699" s="3" t="s">
        <v>2276</v>
      </c>
      <c r="I699" s="3" t="s">
        <v>2276</v>
      </c>
      <c r="J699" s="3" t="s">
        <v>2276</v>
      </c>
      <c r="K699" s="3" t="s">
        <v>2276</v>
      </c>
      <c r="L699" s="3" t="s">
        <v>2276</v>
      </c>
      <c r="M699" s="3" t="s">
        <v>2276</v>
      </c>
      <c r="N699" s="3" t="s">
        <v>2276</v>
      </c>
      <c r="O699" s="3" t="s">
        <v>2276</v>
      </c>
      <c r="P699" s="3" t="s">
        <v>2276</v>
      </c>
      <c r="Q699" s="3" t="s">
        <v>2276</v>
      </c>
      <c r="R699" s="3" t="s">
        <v>2276</v>
      </c>
      <c r="S699" s="3" t="s">
        <v>2276</v>
      </c>
      <c r="T699" s="3" t="s">
        <v>4213</v>
      </c>
    </row>
    <row r="700" spans="1:20" ht="38.5" customHeight="1">
      <c r="A700" s="11" t="s">
        <v>4220</v>
      </c>
      <c r="B700" s="3" t="s">
        <v>1197</v>
      </c>
      <c r="C700" s="3" t="s">
        <v>2646</v>
      </c>
      <c r="D700" s="3" t="s">
        <v>137</v>
      </c>
      <c r="E700" s="3" t="s">
        <v>2652</v>
      </c>
      <c r="F700" s="3" t="s">
        <v>2276</v>
      </c>
      <c r="G700" s="3" t="s">
        <v>2276</v>
      </c>
      <c r="H700" s="3" t="s">
        <v>2276</v>
      </c>
      <c r="I700" s="3" t="s">
        <v>2276</v>
      </c>
      <c r="J700" s="3" t="s">
        <v>2276</v>
      </c>
      <c r="K700" s="3" t="s">
        <v>2276</v>
      </c>
      <c r="L700" s="3" t="s">
        <v>2276</v>
      </c>
      <c r="M700" s="3" t="s">
        <v>2276</v>
      </c>
      <c r="N700" s="3" t="s">
        <v>2276</v>
      </c>
      <c r="O700" s="3" t="s">
        <v>2276</v>
      </c>
      <c r="P700" s="3" t="s">
        <v>2276</v>
      </c>
      <c r="Q700" s="3" t="s">
        <v>2276</v>
      </c>
      <c r="R700" s="3" t="s">
        <v>2276</v>
      </c>
      <c r="S700" s="3" t="s">
        <v>2276</v>
      </c>
      <c r="T700" s="3"/>
    </row>
    <row r="701" spans="1:20" ht="47" customHeight="1">
      <c r="A701" s="11" t="s">
        <v>4221</v>
      </c>
      <c r="B701" s="3" t="s">
        <v>69</v>
      </c>
      <c r="C701" s="3" t="s">
        <v>395</v>
      </c>
      <c r="D701" s="3" t="s">
        <v>130</v>
      </c>
      <c r="E701" s="3" t="s">
        <v>116</v>
      </c>
      <c r="F701" s="3" t="s">
        <v>863</v>
      </c>
      <c r="G701" s="4" t="s">
        <v>3854</v>
      </c>
      <c r="H701" s="3" t="s">
        <v>2276</v>
      </c>
      <c r="I701" s="3" t="s">
        <v>2276</v>
      </c>
      <c r="J701" s="3" t="s">
        <v>2276</v>
      </c>
      <c r="K701" s="3" t="s">
        <v>2276</v>
      </c>
      <c r="L701" s="3" t="s">
        <v>2276</v>
      </c>
      <c r="M701" s="3" t="s">
        <v>2276</v>
      </c>
      <c r="N701" s="3" t="s">
        <v>2276</v>
      </c>
      <c r="O701" s="3" t="s">
        <v>2276</v>
      </c>
      <c r="P701" s="3" t="s">
        <v>2276</v>
      </c>
      <c r="Q701" s="3" t="s">
        <v>2276</v>
      </c>
      <c r="R701" s="3" t="s">
        <v>2276</v>
      </c>
      <c r="S701" s="3" t="s">
        <v>2276</v>
      </c>
      <c r="T701" s="3" t="s">
        <v>4235</v>
      </c>
    </row>
    <row r="702" spans="1:20" ht="41.5" customHeight="1">
      <c r="A702" s="11" t="s">
        <v>4256</v>
      </c>
      <c r="B702" s="3" t="s">
        <v>2258</v>
      </c>
      <c r="C702" s="3" t="s">
        <v>12</v>
      </c>
      <c r="D702" s="4" t="s">
        <v>3854</v>
      </c>
      <c r="E702" s="4" t="s">
        <v>2651</v>
      </c>
      <c r="F702" s="3" t="s">
        <v>116</v>
      </c>
      <c r="G702" s="3" t="s">
        <v>2276</v>
      </c>
      <c r="H702" s="21">
        <f>151.8/100</f>
        <v>1.518</v>
      </c>
      <c r="I702" s="3" t="s">
        <v>2276</v>
      </c>
      <c r="J702" s="3" t="s">
        <v>2276</v>
      </c>
      <c r="K702" s="3" t="s">
        <v>534</v>
      </c>
      <c r="L702" s="3" t="s">
        <v>2276</v>
      </c>
      <c r="M702" s="3" t="s">
        <v>2276</v>
      </c>
      <c r="N702" s="21">
        <f>3595/'Record info'!$K702</f>
        <v>62.154218533886578</v>
      </c>
      <c r="O702" s="21">
        <f>270/'Record info'!$K702</f>
        <v>4.6680497925311197</v>
      </c>
      <c r="P702" s="21">
        <f>959/'Record info'!$K702</f>
        <v>16.580221300138312</v>
      </c>
      <c r="Q702" s="3" t="s">
        <v>2276</v>
      </c>
      <c r="R702" s="21">
        <f>100-P702-O702-N702</f>
        <v>16.597510373443995</v>
      </c>
      <c r="S702" s="3" t="s">
        <v>2276</v>
      </c>
      <c r="T702" s="4" t="s">
        <v>4262</v>
      </c>
    </row>
    <row r="703" spans="1:20" ht="41.5" customHeight="1">
      <c r="A703" s="11" t="s">
        <v>4257</v>
      </c>
      <c r="B703" s="3" t="s">
        <v>2258</v>
      </c>
      <c r="C703" s="3" t="s">
        <v>12</v>
      </c>
      <c r="D703" s="4" t="s">
        <v>3854</v>
      </c>
      <c r="E703" s="4" t="s">
        <v>2651</v>
      </c>
      <c r="F703" s="3" t="s">
        <v>116</v>
      </c>
      <c r="G703" s="3" t="s">
        <v>2276</v>
      </c>
      <c r="H703" s="21">
        <f>83.33/100</f>
        <v>0.83329999999999993</v>
      </c>
      <c r="I703" s="3" t="s">
        <v>2276</v>
      </c>
      <c r="J703" s="3" t="s">
        <v>2276</v>
      </c>
      <c r="K703" s="3" t="s">
        <v>534</v>
      </c>
      <c r="L703" s="3" t="s">
        <v>2276</v>
      </c>
      <c r="M703" s="3" t="s">
        <v>2276</v>
      </c>
      <c r="N703" s="21">
        <f>2577/'Record info'!$K703</f>
        <v>45.393693852386825</v>
      </c>
      <c r="O703" s="21">
        <f>200/'Record info'!$K703</f>
        <v>3.5229874933943983</v>
      </c>
      <c r="P703" s="21">
        <f>2211/'Record info'!$K703</f>
        <v>38.946626739475072</v>
      </c>
      <c r="Q703" s="3" t="s">
        <v>2276</v>
      </c>
      <c r="R703" s="21">
        <f t="shared" ref="R703:R704" si="2">100-P703-O703-N703</f>
        <v>12.136691914743707</v>
      </c>
      <c r="S703" s="3" t="s">
        <v>2276</v>
      </c>
      <c r="T703" s="4" t="s">
        <v>4262</v>
      </c>
    </row>
    <row r="704" spans="1:20" ht="41.5" customHeight="1">
      <c r="A704" s="11" t="s">
        <v>4065</v>
      </c>
      <c r="B704" s="3" t="s">
        <v>2258</v>
      </c>
      <c r="C704" s="3" t="s">
        <v>12</v>
      </c>
      <c r="D704" s="4" t="s">
        <v>3854</v>
      </c>
      <c r="E704" s="4" t="s">
        <v>2651</v>
      </c>
      <c r="F704" s="3" t="s">
        <v>116</v>
      </c>
      <c r="G704" s="3" t="s">
        <v>2276</v>
      </c>
      <c r="H704" s="21">
        <f>31.13/100</f>
        <v>0.31129999999999997</v>
      </c>
      <c r="I704" s="3" t="s">
        <v>2276</v>
      </c>
      <c r="J704" s="3" t="s">
        <v>2276</v>
      </c>
      <c r="K704" s="3" t="s">
        <v>534</v>
      </c>
      <c r="L704" s="3" t="s">
        <v>2276</v>
      </c>
      <c r="M704" s="3" t="s">
        <v>2276</v>
      </c>
      <c r="N704" s="21">
        <f>4827/'Record info'!$K704</f>
        <v>54.235955056179776</v>
      </c>
      <c r="O704" s="21">
        <f>30/'Record info'!$K704</f>
        <v>0.33707865168539325</v>
      </c>
      <c r="P704" s="21">
        <f>3628/'Record info'!$K704</f>
        <v>40.764044943820224</v>
      </c>
      <c r="Q704" s="3" t="s">
        <v>2276</v>
      </c>
      <c r="R704" s="21">
        <f t="shared" si="2"/>
        <v>4.6629213483146046</v>
      </c>
      <c r="S704" s="3" t="s">
        <v>2276</v>
      </c>
      <c r="T704" s="4" t="s">
        <v>4262</v>
      </c>
    </row>
    <row r="705" spans="1:20" ht="41" customHeight="1">
      <c r="A705" s="11" t="s">
        <v>4313</v>
      </c>
      <c r="B705" s="3" t="s">
        <v>2276</v>
      </c>
      <c r="C705" s="3" t="s">
        <v>2276</v>
      </c>
      <c r="D705" s="3" t="s">
        <v>2276</v>
      </c>
      <c r="E705" s="3" t="s">
        <v>2276</v>
      </c>
      <c r="F705" s="3" t="s">
        <v>2276</v>
      </c>
      <c r="G705" s="3" t="s">
        <v>2276</v>
      </c>
      <c r="H705" s="3" t="s">
        <v>2276</v>
      </c>
      <c r="I705" s="3" t="s">
        <v>2276</v>
      </c>
      <c r="J705" s="3" t="s">
        <v>2276</v>
      </c>
      <c r="K705" s="3" t="s">
        <v>2276</v>
      </c>
      <c r="L705" s="3" t="s">
        <v>2276</v>
      </c>
      <c r="M705" s="3" t="s">
        <v>2276</v>
      </c>
      <c r="N705" s="3" t="s">
        <v>2276</v>
      </c>
      <c r="O705" s="3" t="s">
        <v>2276</v>
      </c>
      <c r="P705" s="3" t="s">
        <v>2276</v>
      </c>
      <c r="Q705" s="3" t="s">
        <v>2276</v>
      </c>
      <c r="R705" s="21">
        <v>53</v>
      </c>
      <c r="S705" s="3" t="s">
        <v>2276</v>
      </c>
      <c r="T705" s="3" t="s">
        <v>4330</v>
      </c>
    </row>
    <row r="706" spans="1:20" ht="41" customHeight="1">
      <c r="A706" s="11" t="s">
        <v>4317</v>
      </c>
      <c r="B706" s="3" t="s">
        <v>2276</v>
      </c>
      <c r="C706" s="3" t="s">
        <v>2646</v>
      </c>
      <c r="D706" s="3" t="s">
        <v>45</v>
      </c>
      <c r="E706" s="3" t="s">
        <v>137</v>
      </c>
      <c r="F706" s="3" t="s">
        <v>2276</v>
      </c>
      <c r="G706" s="3" t="s">
        <v>2276</v>
      </c>
      <c r="H706" s="3" t="s">
        <v>2276</v>
      </c>
      <c r="I706" s="3" t="s">
        <v>2276</v>
      </c>
      <c r="J706" s="3" t="s">
        <v>2276</v>
      </c>
      <c r="K706" s="3" t="s">
        <v>2276</v>
      </c>
      <c r="L706" s="3" t="s">
        <v>2276</v>
      </c>
      <c r="M706" s="3" t="s">
        <v>2276</v>
      </c>
      <c r="N706" s="3" t="s">
        <v>2276</v>
      </c>
      <c r="O706" s="3" t="s">
        <v>2276</v>
      </c>
      <c r="P706" s="3" t="s">
        <v>2276</v>
      </c>
      <c r="Q706" s="3" t="s">
        <v>2276</v>
      </c>
      <c r="R706" s="21">
        <v>100</v>
      </c>
      <c r="S706" s="3" t="s">
        <v>2276</v>
      </c>
      <c r="T706" s="3" t="s">
        <v>4329</v>
      </c>
    </row>
    <row r="707" spans="1:20" ht="41" customHeight="1">
      <c r="A707" s="11" t="s">
        <v>4318</v>
      </c>
      <c r="B707" s="3" t="s">
        <v>2276</v>
      </c>
      <c r="C707" s="3" t="s">
        <v>2646</v>
      </c>
      <c r="D707" s="3" t="s">
        <v>45</v>
      </c>
      <c r="E707" s="3" t="s">
        <v>137</v>
      </c>
      <c r="F707" s="3" t="s">
        <v>2276</v>
      </c>
      <c r="G707" s="3" t="s">
        <v>2276</v>
      </c>
      <c r="H707" s="3" t="s">
        <v>2276</v>
      </c>
      <c r="I707" s="3" t="s">
        <v>2276</v>
      </c>
      <c r="J707" s="3" t="s">
        <v>2276</v>
      </c>
      <c r="K707" s="3" t="s">
        <v>2276</v>
      </c>
      <c r="L707" s="3" t="s">
        <v>2276</v>
      </c>
      <c r="M707" s="3" t="s">
        <v>2276</v>
      </c>
      <c r="N707" s="3" t="s">
        <v>2276</v>
      </c>
      <c r="O707" s="3" t="s">
        <v>2276</v>
      </c>
      <c r="P707" s="3" t="s">
        <v>2276</v>
      </c>
      <c r="Q707" s="3" t="s">
        <v>2276</v>
      </c>
      <c r="R707" s="21">
        <v>100</v>
      </c>
      <c r="S707" s="3" t="s">
        <v>2276</v>
      </c>
      <c r="T707" s="3" t="s">
        <v>4329</v>
      </c>
    </row>
    <row r="708" spans="1:20" ht="41" customHeight="1">
      <c r="A708" s="11" t="s">
        <v>4319</v>
      </c>
      <c r="B708" s="3" t="s">
        <v>2276</v>
      </c>
      <c r="C708" s="3" t="s">
        <v>2646</v>
      </c>
      <c r="D708" s="3" t="s">
        <v>45</v>
      </c>
      <c r="E708" s="3" t="s">
        <v>137</v>
      </c>
      <c r="F708" s="3" t="s">
        <v>2276</v>
      </c>
      <c r="G708" s="3" t="s">
        <v>2276</v>
      </c>
      <c r="H708" s="3" t="s">
        <v>2276</v>
      </c>
      <c r="I708" s="3" t="s">
        <v>2276</v>
      </c>
      <c r="J708" s="3" t="s">
        <v>2276</v>
      </c>
      <c r="K708" s="3" t="s">
        <v>2276</v>
      </c>
      <c r="L708" s="3" t="s">
        <v>2276</v>
      </c>
      <c r="M708" s="3" t="s">
        <v>2276</v>
      </c>
      <c r="N708" s="3" t="s">
        <v>2276</v>
      </c>
      <c r="O708" s="3" t="s">
        <v>2276</v>
      </c>
      <c r="P708" s="3" t="s">
        <v>2276</v>
      </c>
      <c r="Q708" s="3" t="s">
        <v>2276</v>
      </c>
      <c r="R708" s="21">
        <v>100</v>
      </c>
      <c r="S708" s="3" t="s">
        <v>2276</v>
      </c>
      <c r="T708" s="3" t="s">
        <v>4329</v>
      </c>
    </row>
    <row r="709" spans="1:20" ht="41" customHeight="1">
      <c r="A709" s="11" t="s">
        <v>4320</v>
      </c>
      <c r="B709" s="3" t="s">
        <v>2276</v>
      </c>
      <c r="C709" s="3" t="s">
        <v>2646</v>
      </c>
      <c r="D709" s="3" t="s">
        <v>45</v>
      </c>
      <c r="E709" s="3" t="s">
        <v>137</v>
      </c>
      <c r="F709" s="3" t="s">
        <v>2276</v>
      </c>
      <c r="G709" s="3" t="s">
        <v>2276</v>
      </c>
      <c r="H709" s="3" t="s">
        <v>2276</v>
      </c>
      <c r="I709" s="3" t="s">
        <v>2276</v>
      </c>
      <c r="J709" s="3" t="s">
        <v>2276</v>
      </c>
      <c r="K709" s="3" t="s">
        <v>2276</v>
      </c>
      <c r="L709" s="3" t="s">
        <v>2276</v>
      </c>
      <c r="M709" s="3" t="s">
        <v>2276</v>
      </c>
      <c r="N709" s="3" t="s">
        <v>2276</v>
      </c>
      <c r="O709" s="3" t="s">
        <v>2276</v>
      </c>
      <c r="P709" s="3" t="s">
        <v>2276</v>
      </c>
      <c r="Q709" s="3" t="s">
        <v>2276</v>
      </c>
      <c r="R709" s="21">
        <v>100</v>
      </c>
      <c r="S709" s="3" t="s">
        <v>2276</v>
      </c>
      <c r="T709" s="3" t="s">
        <v>4329</v>
      </c>
    </row>
    <row r="710" spans="1:20" ht="41" customHeight="1">
      <c r="A710" s="11" t="s">
        <v>4321</v>
      </c>
      <c r="B710" s="3" t="s">
        <v>2276</v>
      </c>
      <c r="C710" s="3" t="s">
        <v>2646</v>
      </c>
      <c r="D710" s="3" t="s">
        <v>45</v>
      </c>
      <c r="E710" s="3" t="s">
        <v>137</v>
      </c>
      <c r="F710" s="3" t="s">
        <v>2276</v>
      </c>
      <c r="G710" s="3" t="s">
        <v>2276</v>
      </c>
      <c r="H710" s="3" t="s">
        <v>2276</v>
      </c>
      <c r="I710" s="3" t="s">
        <v>2276</v>
      </c>
      <c r="J710" s="3" t="s">
        <v>2276</v>
      </c>
      <c r="K710" s="3" t="s">
        <v>2276</v>
      </c>
      <c r="L710" s="3" t="s">
        <v>2276</v>
      </c>
      <c r="M710" s="3" t="s">
        <v>2276</v>
      </c>
      <c r="N710" s="3" t="s">
        <v>2276</v>
      </c>
      <c r="O710" s="3" t="s">
        <v>2276</v>
      </c>
      <c r="P710" s="3" t="s">
        <v>2276</v>
      </c>
      <c r="Q710" s="3" t="s">
        <v>2276</v>
      </c>
      <c r="R710" s="21">
        <v>100</v>
      </c>
      <c r="S710" s="3" t="s">
        <v>2276</v>
      </c>
      <c r="T710" s="3" t="s">
        <v>4329</v>
      </c>
    </row>
    <row r="711" spans="1:20" ht="41" customHeight="1">
      <c r="A711" s="11" t="s">
        <v>4322</v>
      </c>
      <c r="B711" s="3" t="s">
        <v>2276</v>
      </c>
      <c r="C711" s="3" t="s">
        <v>2646</v>
      </c>
      <c r="D711" s="3" t="s">
        <v>45</v>
      </c>
      <c r="E711" s="3" t="s">
        <v>137</v>
      </c>
      <c r="F711" s="3" t="s">
        <v>2276</v>
      </c>
      <c r="G711" s="3" t="s">
        <v>2276</v>
      </c>
      <c r="H711" s="3" t="s">
        <v>2276</v>
      </c>
      <c r="I711" s="3" t="s">
        <v>2276</v>
      </c>
      <c r="J711" s="3" t="s">
        <v>2276</v>
      </c>
      <c r="K711" s="3" t="s">
        <v>2276</v>
      </c>
      <c r="L711" s="3" t="s">
        <v>2276</v>
      </c>
      <c r="M711" s="3" t="s">
        <v>2276</v>
      </c>
      <c r="N711" s="3" t="s">
        <v>2276</v>
      </c>
      <c r="O711" s="3" t="s">
        <v>2276</v>
      </c>
      <c r="P711" s="3" t="s">
        <v>2276</v>
      </c>
      <c r="Q711" s="3" t="s">
        <v>2276</v>
      </c>
      <c r="R711" s="21">
        <v>100</v>
      </c>
      <c r="S711" s="3" t="s">
        <v>2276</v>
      </c>
      <c r="T711" s="3" t="s">
        <v>4329</v>
      </c>
    </row>
    <row r="712" spans="1:20" ht="41" customHeight="1">
      <c r="A712" s="11" t="s">
        <v>4323</v>
      </c>
      <c r="B712" s="3" t="s">
        <v>2276</v>
      </c>
      <c r="C712" s="3" t="s">
        <v>2646</v>
      </c>
      <c r="D712" s="3" t="s">
        <v>45</v>
      </c>
      <c r="E712" s="3" t="s">
        <v>137</v>
      </c>
      <c r="F712" s="3" t="s">
        <v>2276</v>
      </c>
      <c r="G712" s="3" t="s">
        <v>2276</v>
      </c>
      <c r="H712" s="3" t="s">
        <v>2276</v>
      </c>
      <c r="I712" s="3" t="s">
        <v>2276</v>
      </c>
      <c r="J712" s="3" t="s">
        <v>2276</v>
      </c>
      <c r="K712" s="3" t="s">
        <v>2276</v>
      </c>
      <c r="L712" s="3" t="s">
        <v>2276</v>
      </c>
      <c r="M712" s="3" t="s">
        <v>2276</v>
      </c>
      <c r="N712" s="3" t="s">
        <v>2276</v>
      </c>
      <c r="O712" s="3" t="s">
        <v>2276</v>
      </c>
      <c r="P712" s="3" t="s">
        <v>2276</v>
      </c>
      <c r="Q712" s="3" t="s">
        <v>2276</v>
      </c>
      <c r="R712" s="21">
        <v>100</v>
      </c>
      <c r="S712" s="3" t="s">
        <v>2276</v>
      </c>
      <c r="T712" s="3" t="s">
        <v>4329</v>
      </c>
    </row>
    <row r="713" spans="1:20" ht="41" customHeight="1">
      <c r="A713" s="11" t="s">
        <v>4324</v>
      </c>
      <c r="B713" s="3" t="s">
        <v>2276</v>
      </c>
      <c r="C713" s="3" t="s">
        <v>2646</v>
      </c>
      <c r="D713" s="3" t="s">
        <v>45</v>
      </c>
      <c r="E713" s="3" t="s">
        <v>137</v>
      </c>
      <c r="F713" s="3" t="s">
        <v>2276</v>
      </c>
      <c r="G713" s="3" t="s">
        <v>2276</v>
      </c>
      <c r="H713" s="3" t="s">
        <v>2276</v>
      </c>
      <c r="I713" s="3" t="s">
        <v>2276</v>
      </c>
      <c r="J713" s="3" t="s">
        <v>2276</v>
      </c>
      <c r="K713" s="3" t="s">
        <v>2276</v>
      </c>
      <c r="L713" s="3" t="s">
        <v>2276</v>
      </c>
      <c r="M713" s="3" t="s">
        <v>2276</v>
      </c>
      <c r="N713" s="3" t="s">
        <v>2276</v>
      </c>
      <c r="O713" s="3" t="s">
        <v>2276</v>
      </c>
      <c r="P713" s="3" t="s">
        <v>2276</v>
      </c>
      <c r="Q713" s="3" t="s">
        <v>2276</v>
      </c>
      <c r="R713" s="21">
        <v>100</v>
      </c>
      <c r="S713" s="3" t="s">
        <v>2276</v>
      </c>
      <c r="T713" s="3" t="s">
        <v>4329</v>
      </c>
    </row>
    <row r="714" spans="1:20" ht="41" customHeight="1">
      <c r="A714" s="11" t="s">
        <v>4325</v>
      </c>
      <c r="B714" s="3" t="s">
        <v>2276</v>
      </c>
      <c r="C714" s="3" t="s">
        <v>2646</v>
      </c>
      <c r="D714" s="3" t="s">
        <v>45</v>
      </c>
      <c r="E714" s="3" t="s">
        <v>137</v>
      </c>
      <c r="F714" s="3" t="s">
        <v>2276</v>
      </c>
      <c r="G714" s="3" t="s">
        <v>2276</v>
      </c>
      <c r="H714" s="3" t="s">
        <v>2276</v>
      </c>
      <c r="I714" s="3" t="s">
        <v>2276</v>
      </c>
      <c r="J714" s="3" t="s">
        <v>2276</v>
      </c>
      <c r="K714" s="3" t="s">
        <v>2276</v>
      </c>
      <c r="L714" s="3" t="s">
        <v>2276</v>
      </c>
      <c r="M714" s="3" t="s">
        <v>2276</v>
      </c>
      <c r="N714" s="3" t="s">
        <v>2276</v>
      </c>
      <c r="O714" s="3" t="s">
        <v>2276</v>
      </c>
      <c r="P714" s="3" t="s">
        <v>2276</v>
      </c>
      <c r="Q714" s="3" t="s">
        <v>2276</v>
      </c>
      <c r="R714" s="21">
        <v>100</v>
      </c>
      <c r="S714" s="3" t="s">
        <v>2276</v>
      </c>
      <c r="T714" s="3" t="s">
        <v>4329</v>
      </c>
    </row>
    <row r="715" spans="1:20" ht="41" customHeight="1">
      <c r="A715" s="11" t="s">
        <v>4326</v>
      </c>
      <c r="B715" s="3" t="s">
        <v>2276</v>
      </c>
      <c r="C715" s="3" t="s">
        <v>2646</v>
      </c>
      <c r="D715" s="3" t="s">
        <v>45</v>
      </c>
      <c r="E715" s="3" t="s">
        <v>137</v>
      </c>
      <c r="F715" s="3" t="s">
        <v>2276</v>
      </c>
      <c r="G715" s="3" t="s">
        <v>2276</v>
      </c>
      <c r="H715" s="3" t="s">
        <v>2276</v>
      </c>
      <c r="I715" s="3" t="s">
        <v>2276</v>
      </c>
      <c r="J715" s="3" t="s">
        <v>2276</v>
      </c>
      <c r="K715" s="3" t="s">
        <v>2276</v>
      </c>
      <c r="L715" s="3" t="s">
        <v>2276</v>
      </c>
      <c r="M715" s="3" t="s">
        <v>2276</v>
      </c>
      <c r="N715" s="3" t="s">
        <v>2276</v>
      </c>
      <c r="O715" s="3" t="s">
        <v>2276</v>
      </c>
      <c r="P715" s="3" t="s">
        <v>2276</v>
      </c>
      <c r="Q715" s="3" t="s">
        <v>2276</v>
      </c>
      <c r="R715" s="21">
        <v>100</v>
      </c>
      <c r="S715" s="3" t="s">
        <v>2276</v>
      </c>
      <c r="T715" s="3" t="s">
        <v>4329</v>
      </c>
    </row>
    <row r="716" spans="1:20" ht="40.5" customHeight="1">
      <c r="A716" s="11" t="s">
        <v>4360</v>
      </c>
      <c r="B716" s="3" t="s">
        <v>69</v>
      </c>
      <c r="C716" s="3" t="s">
        <v>395</v>
      </c>
      <c r="D716" s="3" t="s">
        <v>130</v>
      </c>
      <c r="E716" s="3" t="s">
        <v>5005</v>
      </c>
      <c r="F716" s="3" t="s">
        <v>45</v>
      </c>
      <c r="G716" s="3" t="s">
        <v>2276</v>
      </c>
      <c r="H716" s="14">
        <f>(7051+20421)/100/'Record info'!K717</f>
        <v>0.10582434514637906</v>
      </c>
      <c r="I716" s="3" t="s">
        <v>2276</v>
      </c>
      <c r="J716" s="3" t="s">
        <v>2276</v>
      </c>
      <c r="K716" s="3" t="s">
        <v>2276</v>
      </c>
      <c r="L716" s="3" t="s">
        <v>2276</v>
      </c>
      <c r="M716" s="3" t="s">
        <v>2276</v>
      </c>
      <c r="N716" s="3" t="s">
        <v>2276</v>
      </c>
      <c r="O716" s="3" t="s">
        <v>2276</v>
      </c>
      <c r="P716" s="3" t="s">
        <v>2276</v>
      </c>
      <c r="Q716" s="3" t="s">
        <v>2276</v>
      </c>
      <c r="R716" s="3" t="s">
        <v>2276</v>
      </c>
      <c r="S716" s="3" t="s">
        <v>2276</v>
      </c>
      <c r="T716" s="3"/>
    </row>
    <row r="717" spans="1:20" ht="35.5" customHeight="1">
      <c r="A717" s="11" t="s">
        <v>4362</v>
      </c>
      <c r="B717" s="3" t="s">
        <v>2258</v>
      </c>
      <c r="C717" s="3" t="s">
        <v>12</v>
      </c>
      <c r="D717" s="3" t="s">
        <v>137</v>
      </c>
      <c r="E717" s="3" t="s">
        <v>2652</v>
      </c>
      <c r="F717" s="3" t="s">
        <v>45</v>
      </c>
      <c r="G717" s="3" t="s">
        <v>2647</v>
      </c>
      <c r="H717" s="3" t="s">
        <v>2276</v>
      </c>
      <c r="I717" s="3" t="s">
        <v>2276</v>
      </c>
      <c r="J717" s="3" t="s">
        <v>2276</v>
      </c>
      <c r="K717" s="3" t="s">
        <v>2276</v>
      </c>
      <c r="L717" s="3" t="s">
        <v>2276</v>
      </c>
      <c r="M717" s="3" t="s">
        <v>2276</v>
      </c>
      <c r="N717" s="3" t="s">
        <v>2276</v>
      </c>
      <c r="O717" s="3" t="s">
        <v>2276</v>
      </c>
      <c r="P717" s="3" t="s">
        <v>2276</v>
      </c>
      <c r="Q717" s="3" t="s">
        <v>2276</v>
      </c>
      <c r="R717" s="3" t="s">
        <v>2276</v>
      </c>
      <c r="S717" s="3" t="s">
        <v>2276</v>
      </c>
      <c r="T717" s="3" t="s">
        <v>4373</v>
      </c>
    </row>
    <row r="718" spans="1:20" ht="35.5" customHeight="1">
      <c r="A718" s="11" t="s">
        <v>4387</v>
      </c>
      <c r="B718" s="4" t="s">
        <v>2276</v>
      </c>
      <c r="C718" s="3" t="s">
        <v>12</v>
      </c>
      <c r="D718" s="3" t="s">
        <v>130</v>
      </c>
      <c r="E718" s="3" t="s">
        <v>45</v>
      </c>
      <c r="F718" s="4" t="s">
        <v>137</v>
      </c>
      <c r="G718" s="4" t="s">
        <v>2276</v>
      </c>
      <c r="H718" s="4" t="s">
        <v>2276</v>
      </c>
      <c r="I718" s="4" t="s">
        <v>2276</v>
      </c>
      <c r="J718" s="4" t="s">
        <v>2276</v>
      </c>
      <c r="K718" s="4" t="s">
        <v>2276</v>
      </c>
      <c r="L718" s="4" t="s">
        <v>2276</v>
      </c>
      <c r="M718" s="4" t="s">
        <v>2276</v>
      </c>
      <c r="N718" s="4" t="s">
        <v>2276</v>
      </c>
      <c r="O718" s="4" t="s">
        <v>2276</v>
      </c>
      <c r="P718" s="4" t="s">
        <v>2276</v>
      </c>
      <c r="Q718" s="4" t="s">
        <v>2276</v>
      </c>
      <c r="R718" s="4" t="s">
        <v>2276</v>
      </c>
      <c r="S718" s="4" t="s">
        <v>2276</v>
      </c>
      <c r="T718" s="3"/>
    </row>
    <row r="719" spans="1:20" ht="37" customHeight="1">
      <c r="A719" s="11" t="s">
        <v>4389</v>
      </c>
      <c r="B719" s="4" t="s">
        <v>2276</v>
      </c>
      <c r="C719" s="3" t="s">
        <v>12</v>
      </c>
      <c r="D719" s="4" t="s">
        <v>397</v>
      </c>
      <c r="E719" s="3" t="s">
        <v>45</v>
      </c>
      <c r="F719" s="4" t="s">
        <v>2276</v>
      </c>
      <c r="G719" s="4" t="s">
        <v>2276</v>
      </c>
      <c r="H719" s="14">
        <f>(3226+1000+1225)/SUM(166.4, 130.9, 1498.7, 250.2, 1696, 662.4, 487.7, 13, 99.5, 42.1, 2137.1, 4072.5, 1167.4, 469.6, 243.3)</f>
        <v>0.41494123378600573</v>
      </c>
      <c r="I719" s="4" t="s">
        <v>2276</v>
      </c>
      <c r="J719" s="4" t="s">
        <v>2276</v>
      </c>
      <c r="K719" s="4" t="s">
        <v>2276</v>
      </c>
      <c r="L719" s="4" t="s">
        <v>2276</v>
      </c>
      <c r="M719" s="4" t="s">
        <v>2276</v>
      </c>
      <c r="N719" s="4" t="s">
        <v>2276</v>
      </c>
      <c r="O719" s="4" t="s">
        <v>2276</v>
      </c>
      <c r="P719" s="21">
        <f>29.5+8.4+3.4</f>
        <v>41.3</v>
      </c>
      <c r="Q719" s="4" t="s">
        <v>2276</v>
      </c>
      <c r="R719" s="21">
        <f>1.2+0.9+10.8+1.8+12.3+4.8+3.5+0.3+15.5</f>
        <v>51.099999999999994</v>
      </c>
      <c r="S719" s="4" t="s">
        <v>2276</v>
      </c>
      <c r="T719" s="3"/>
    </row>
    <row r="720" spans="1:20" ht="33" customHeight="1">
      <c r="A720" s="11" t="s">
        <v>4390</v>
      </c>
      <c r="B720" s="4" t="s">
        <v>2276</v>
      </c>
      <c r="C720" s="3" t="s">
        <v>12</v>
      </c>
      <c r="D720" s="3" t="s">
        <v>5005</v>
      </c>
      <c r="E720" s="4" t="s">
        <v>397</v>
      </c>
      <c r="F720" s="4" t="s">
        <v>45</v>
      </c>
      <c r="G720" s="4" t="s">
        <v>2276</v>
      </c>
      <c r="H720" s="4" t="s">
        <v>2276</v>
      </c>
      <c r="I720" s="4" t="s">
        <v>2276</v>
      </c>
      <c r="J720" s="4" t="s">
        <v>2276</v>
      </c>
      <c r="K720" s="4" t="s">
        <v>2276</v>
      </c>
      <c r="L720" s="4" t="s">
        <v>2276</v>
      </c>
      <c r="M720" s="4" t="s">
        <v>2276</v>
      </c>
      <c r="N720" s="4" t="s">
        <v>2276</v>
      </c>
      <c r="O720" s="4" t="s">
        <v>2276</v>
      </c>
      <c r="P720" s="4" t="s">
        <v>2276</v>
      </c>
      <c r="Q720" s="4" t="s">
        <v>2276</v>
      </c>
      <c r="R720" s="4" t="s">
        <v>2276</v>
      </c>
      <c r="S720" s="4" t="s">
        <v>2276</v>
      </c>
      <c r="T720" s="3"/>
    </row>
    <row r="721" spans="1:20" ht="37" customHeight="1">
      <c r="A721" s="4" t="s">
        <v>4391</v>
      </c>
      <c r="B721" s="4" t="s">
        <v>2276</v>
      </c>
      <c r="C721" s="4" t="s">
        <v>12</v>
      </c>
      <c r="D721" s="4" t="s">
        <v>5005</v>
      </c>
      <c r="E721" s="4" t="s">
        <v>130</v>
      </c>
      <c r="F721" s="4" t="s">
        <v>396</v>
      </c>
      <c r="G721" s="4" t="s">
        <v>2276</v>
      </c>
      <c r="H721" s="4" t="s">
        <v>2276</v>
      </c>
      <c r="I721" s="4" t="s">
        <v>2276</v>
      </c>
      <c r="J721" s="4" t="s">
        <v>2276</v>
      </c>
      <c r="K721" s="4" t="s">
        <v>2276</v>
      </c>
      <c r="L721" s="4" t="s">
        <v>2276</v>
      </c>
      <c r="M721" s="4" t="s">
        <v>2276</v>
      </c>
      <c r="N721" s="4" t="s">
        <v>2276</v>
      </c>
      <c r="O721" s="4" t="s">
        <v>2276</v>
      </c>
      <c r="P721" s="4" t="s">
        <v>2276</v>
      </c>
      <c r="Q721" s="4" t="s">
        <v>2276</v>
      </c>
      <c r="R721" s="4" t="s">
        <v>2276</v>
      </c>
      <c r="S721" s="4" t="s">
        <v>2276</v>
      </c>
      <c r="T721" s="4" t="s">
        <v>4397</v>
      </c>
    </row>
    <row r="722" spans="1:20" ht="37" customHeight="1">
      <c r="A722" s="4" t="s">
        <v>4392</v>
      </c>
      <c r="B722" s="4" t="s">
        <v>2276</v>
      </c>
      <c r="C722" s="4" t="s">
        <v>12</v>
      </c>
      <c r="D722" s="4" t="s">
        <v>5005</v>
      </c>
      <c r="E722" s="4" t="s">
        <v>45</v>
      </c>
      <c r="F722" s="4" t="s">
        <v>863</v>
      </c>
      <c r="G722" s="4" t="s">
        <v>130</v>
      </c>
      <c r="H722" s="4" t="s">
        <v>2276</v>
      </c>
      <c r="I722" s="4" t="s">
        <v>2276</v>
      </c>
      <c r="J722" s="4" t="s">
        <v>2276</v>
      </c>
      <c r="K722" s="3" t="s">
        <v>534</v>
      </c>
      <c r="L722" s="4" t="s">
        <v>2276</v>
      </c>
      <c r="M722" s="4" t="s">
        <v>2276</v>
      </c>
      <c r="N722" s="4" t="s">
        <v>2276</v>
      </c>
      <c r="O722" s="4" t="s">
        <v>2276</v>
      </c>
      <c r="P722" s="21">
        <f>9.13</f>
        <v>9.1300000000000008</v>
      </c>
      <c r="Q722" s="21">
        <v>24.86</v>
      </c>
      <c r="R722" s="21">
        <v>27.25</v>
      </c>
      <c r="S722" s="21">
        <v>1.2</v>
      </c>
      <c r="T722" s="4" t="s">
        <v>4398</v>
      </c>
    </row>
    <row r="723" spans="1:20" ht="37" customHeight="1">
      <c r="A723" s="4" t="s">
        <v>4393</v>
      </c>
      <c r="B723" s="4" t="s">
        <v>2276</v>
      </c>
      <c r="C723" s="4" t="s">
        <v>395</v>
      </c>
      <c r="D723" s="4" t="s">
        <v>5005</v>
      </c>
      <c r="E723" s="4" t="s">
        <v>130</v>
      </c>
      <c r="F723" s="4" t="s">
        <v>2276</v>
      </c>
      <c r="G723" s="4" t="s">
        <v>2276</v>
      </c>
      <c r="H723" s="4" t="s">
        <v>2276</v>
      </c>
      <c r="I723" s="4" t="s">
        <v>2276</v>
      </c>
      <c r="J723" s="4" t="s">
        <v>2276</v>
      </c>
      <c r="K723" s="4" t="s">
        <v>2276</v>
      </c>
      <c r="L723" s="4" t="s">
        <v>2276</v>
      </c>
      <c r="M723" s="4" t="s">
        <v>2276</v>
      </c>
      <c r="N723" s="4" t="s">
        <v>2276</v>
      </c>
      <c r="O723" s="4" t="s">
        <v>2276</v>
      </c>
      <c r="P723" s="21">
        <f>27446/3129.69</f>
        <v>8.7695586463835067</v>
      </c>
      <c r="Q723" s="21">
        <v>35.69</v>
      </c>
      <c r="R723" s="21">
        <f>41.55</f>
        <v>41.55</v>
      </c>
      <c r="S723" s="21">
        <f>1.92</f>
        <v>1.92</v>
      </c>
      <c r="T723" s="4" t="s">
        <v>4399</v>
      </c>
    </row>
    <row r="724" spans="1:20" ht="37.5" customHeight="1">
      <c r="A724" s="3" t="s">
        <v>4418</v>
      </c>
      <c r="B724" s="3" t="s">
        <v>69</v>
      </c>
      <c r="C724" s="3" t="s">
        <v>395</v>
      </c>
      <c r="D724" s="3" t="s">
        <v>5005</v>
      </c>
      <c r="E724" s="3" t="s">
        <v>116</v>
      </c>
      <c r="F724" s="4" t="s">
        <v>2276</v>
      </c>
      <c r="G724" s="4" t="s">
        <v>2276</v>
      </c>
      <c r="H724" s="4" t="s">
        <v>2276</v>
      </c>
      <c r="I724" s="4" t="s">
        <v>2276</v>
      </c>
      <c r="J724" s="4" t="s">
        <v>2276</v>
      </c>
      <c r="K724" s="3" t="s">
        <v>534</v>
      </c>
      <c r="L724" s="4" t="s">
        <v>2276</v>
      </c>
      <c r="M724" s="4" t="s">
        <v>2276</v>
      </c>
      <c r="N724" s="4" t="s">
        <v>2276</v>
      </c>
      <c r="O724" s="4" t="s">
        <v>2276</v>
      </c>
      <c r="P724" s="4" t="s">
        <v>2276</v>
      </c>
      <c r="Q724" s="4" t="s">
        <v>2276</v>
      </c>
      <c r="R724" s="4" t="s">
        <v>2276</v>
      </c>
      <c r="S724" s="4" t="s">
        <v>2276</v>
      </c>
      <c r="T724" s="3" t="s">
        <v>4426</v>
      </c>
    </row>
    <row r="725" spans="1:20" ht="38" customHeight="1">
      <c r="A725" s="3" t="s">
        <v>4421</v>
      </c>
      <c r="B725" s="3" t="s">
        <v>1197</v>
      </c>
      <c r="C725" s="3" t="s">
        <v>2645</v>
      </c>
      <c r="D725" s="3" t="s">
        <v>137</v>
      </c>
      <c r="E725" s="4" t="s">
        <v>2276</v>
      </c>
      <c r="F725" s="4" t="s">
        <v>2276</v>
      </c>
      <c r="G725" s="4" t="s">
        <v>2276</v>
      </c>
      <c r="H725" s="4" t="s">
        <v>2276</v>
      </c>
      <c r="I725" s="4" t="s">
        <v>2276</v>
      </c>
      <c r="J725" s="4" t="s">
        <v>2276</v>
      </c>
      <c r="K725" s="4" t="s">
        <v>2276</v>
      </c>
      <c r="L725" s="4" t="s">
        <v>2276</v>
      </c>
      <c r="M725" s="4" t="s">
        <v>2276</v>
      </c>
      <c r="N725" s="4" t="s">
        <v>2276</v>
      </c>
      <c r="O725" s="4" t="s">
        <v>2276</v>
      </c>
      <c r="P725" s="4" t="s">
        <v>2276</v>
      </c>
      <c r="Q725" s="4" t="s">
        <v>2276</v>
      </c>
      <c r="R725" s="4" t="s">
        <v>2276</v>
      </c>
      <c r="S725" s="4" t="s">
        <v>2276</v>
      </c>
      <c r="T725" s="3" t="s">
        <v>4427</v>
      </c>
    </row>
    <row r="726" spans="1:20" ht="41" customHeight="1">
      <c r="A726" s="3" t="s">
        <v>4436</v>
      </c>
      <c r="B726" s="3" t="s">
        <v>2276</v>
      </c>
      <c r="C726" s="3" t="s">
        <v>12</v>
      </c>
      <c r="D726" s="3" t="s">
        <v>5005</v>
      </c>
      <c r="E726" s="4" t="s">
        <v>45</v>
      </c>
      <c r="F726" s="4" t="s">
        <v>2276</v>
      </c>
      <c r="G726" s="4" t="s">
        <v>2276</v>
      </c>
      <c r="H726" s="4" t="s">
        <v>2276</v>
      </c>
      <c r="I726" s="4" t="s">
        <v>2276</v>
      </c>
      <c r="J726" s="4" t="s">
        <v>2276</v>
      </c>
      <c r="K726" s="4" t="s">
        <v>2276</v>
      </c>
      <c r="L726" s="4" t="s">
        <v>2276</v>
      </c>
      <c r="M726" s="4" t="s">
        <v>2276</v>
      </c>
      <c r="N726" s="4" t="s">
        <v>2276</v>
      </c>
      <c r="O726" s="4" t="s">
        <v>2276</v>
      </c>
      <c r="P726" s="4" t="s">
        <v>2276</v>
      </c>
      <c r="Q726" s="4" t="s">
        <v>2276</v>
      </c>
      <c r="R726" s="4" t="s">
        <v>2276</v>
      </c>
      <c r="S726" s="4" t="s">
        <v>2276</v>
      </c>
      <c r="T726" s="3"/>
    </row>
    <row r="727" spans="1:20" ht="36" customHeight="1">
      <c r="A727" s="11" t="s">
        <v>4448</v>
      </c>
      <c r="B727" s="3" t="s">
        <v>2276</v>
      </c>
      <c r="C727" s="3" t="s">
        <v>395</v>
      </c>
      <c r="D727" s="3" t="s">
        <v>130</v>
      </c>
      <c r="E727" s="4" t="s">
        <v>116</v>
      </c>
      <c r="F727" s="4" t="s">
        <v>2276</v>
      </c>
      <c r="G727" s="4" t="s">
        <v>2276</v>
      </c>
      <c r="H727" s="4" t="s">
        <v>2276</v>
      </c>
      <c r="I727" s="4" t="s">
        <v>2276</v>
      </c>
      <c r="J727" s="4" t="s">
        <v>2276</v>
      </c>
      <c r="K727" s="4" t="s">
        <v>2276</v>
      </c>
      <c r="L727" s="4" t="s">
        <v>2276</v>
      </c>
      <c r="M727" s="4" t="s">
        <v>2276</v>
      </c>
      <c r="N727" s="4" t="s">
        <v>2276</v>
      </c>
      <c r="O727" s="4" t="s">
        <v>2276</v>
      </c>
      <c r="P727" s="4" t="s">
        <v>2276</v>
      </c>
      <c r="Q727" s="4" t="s">
        <v>2276</v>
      </c>
      <c r="R727" s="4" t="s">
        <v>2276</v>
      </c>
      <c r="S727" s="4" t="s">
        <v>2276</v>
      </c>
      <c r="T727" s="3" t="s">
        <v>4468</v>
      </c>
    </row>
    <row r="728" spans="1:20" ht="35" customHeight="1">
      <c r="A728" s="11" t="s">
        <v>4451</v>
      </c>
      <c r="B728" s="3" t="s">
        <v>2276</v>
      </c>
      <c r="C728" s="3" t="s">
        <v>395</v>
      </c>
      <c r="D728" s="3" t="s">
        <v>130</v>
      </c>
      <c r="E728" s="4" t="s">
        <v>2276</v>
      </c>
      <c r="F728" s="4" t="s">
        <v>2276</v>
      </c>
      <c r="G728" s="4" t="s">
        <v>2276</v>
      </c>
      <c r="H728" s="4" t="s">
        <v>2276</v>
      </c>
      <c r="I728" s="4" t="s">
        <v>2276</v>
      </c>
      <c r="J728" s="4" t="s">
        <v>2276</v>
      </c>
      <c r="K728" s="4" t="s">
        <v>2276</v>
      </c>
      <c r="L728" s="4" t="s">
        <v>2276</v>
      </c>
      <c r="M728" s="4" t="s">
        <v>2276</v>
      </c>
      <c r="N728" s="4" t="s">
        <v>2276</v>
      </c>
      <c r="O728" s="4" t="s">
        <v>2276</v>
      </c>
      <c r="P728" s="4" t="s">
        <v>2276</v>
      </c>
      <c r="Q728" s="4" t="s">
        <v>2276</v>
      </c>
      <c r="R728" s="4" t="s">
        <v>2276</v>
      </c>
      <c r="S728" s="4" t="s">
        <v>2276</v>
      </c>
      <c r="T728" s="3"/>
    </row>
    <row r="729" spans="1:20" ht="35.5" customHeight="1">
      <c r="A729" s="11" t="s">
        <v>4453</v>
      </c>
      <c r="B729" s="3" t="s">
        <v>2276</v>
      </c>
      <c r="C729" s="3" t="s">
        <v>395</v>
      </c>
      <c r="D729" s="3" t="s">
        <v>130</v>
      </c>
      <c r="E729" s="4" t="s">
        <v>2276</v>
      </c>
      <c r="F729" s="4" t="s">
        <v>2276</v>
      </c>
      <c r="G729" s="4" t="s">
        <v>2276</v>
      </c>
      <c r="H729" s="4" t="s">
        <v>2276</v>
      </c>
      <c r="I729" s="4" t="s">
        <v>2276</v>
      </c>
      <c r="J729" s="4" t="s">
        <v>2276</v>
      </c>
      <c r="K729" s="4" t="s">
        <v>2276</v>
      </c>
      <c r="L729" s="4" t="s">
        <v>2276</v>
      </c>
      <c r="M729" s="4" t="s">
        <v>2276</v>
      </c>
      <c r="N729" s="4" t="s">
        <v>2276</v>
      </c>
      <c r="O729" s="4" t="s">
        <v>2276</v>
      </c>
      <c r="P729" s="4" t="s">
        <v>2276</v>
      </c>
      <c r="Q729" s="4" t="s">
        <v>2276</v>
      </c>
      <c r="R729" s="4" t="s">
        <v>2276</v>
      </c>
      <c r="S729" s="4" t="s">
        <v>2276</v>
      </c>
      <c r="T729" s="3"/>
    </row>
    <row r="730" spans="1:20" ht="35.5" customHeight="1">
      <c r="A730" s="11" t="s">
        <v>4473</v>
      </c>
      <c r="B730" s="3" t="s">
        <v>2276</v>
      </c>
      <c r="C730" s="3" t="s">
        <v>395</v>
      </c>
      <c r="D730" s="3" t="s">
        <v>5005</v>
      </c>
      <c r="E730" s="4" t="s">
        <v>2276</v>
      </c>
      <c r="F730" s="4" t="s">
        <v>2276</v>
      </c>
      <c r="G730" s="4" t="s">
        <v>2276</v>
      </c>
      <c r="H730" s="4" t="s">
        <v>2276</v>
      </c>
      <c r="I730" s="4" t="s">
        <v>2276</v>
      </c>
      <c r="J730" s="4" t="s">
        <v>2276</v>
      </c>
      <c r="K730" s="4" t="s">
        <v>2276</v>
      </c>
      <c r="L730" s="4" t="s">
        <v>2276</v>
      </c>
      <c r="M730" s="4" t="s">
        <v>2276</v>
      </c>
      <c r="N730" s="4" t="s">
        <v>2276</v>
      </c>
      <c r="O730" s="4" t="s">
        <v>2276</v>
      </c>
      <c r="P730" s="4" t="s">
        <v>2276</v>
      </c>
      <c r="Q730" s="4" t="s">
        <v>2276</v>
      </c>
      <c r="R730" s="4" t="s">
        <v>2276</v>
      </c>
      <c r="S730" s="4" t="s">
        <v>2276</v>
      </c>
      <c r="T730" s="3"/>
    </row>
    <row r="731" spans="1:20" ht="35.5" customHeight="1">
      <c r="A731" s="11" t="s">
        <v>4485</v>
      </c>
      <c r="B731" s="3" t="s">
        <v>69</v>
      </c>
      <c r="C731" s="3" t="s">
        <v>395</v>
      </c>
      <c r="D731" s="3" t="s">
        <v>5005</v>
      </c>
      <c r="E731" s="4" t="s">
        <v>2276</v>
      </c>
      <c r="F731" s="4" t="s">
        <v>2276</v>
      </c>
      <c r="G731" s="4" t="s">
        <v>2276</v>
      </c>
      <c r="H731" s="4" t="s">
        <v>2276</v>
      </c>
      <c r="I731" s="4" t="s">
        <v>2276</v>
      </c>
      <c r="J731" s="4" t="s">
        <v>2276</v>
      </c>
      <c r="K731" s="4" t="s">
        <v>2276</v>
      </c>
      <c r="L731" s="4" t="s">
        <v>2276</v>
      </c>
      <c r="M731" s="4" t="s">
        <v>2276</v>
      </c>
      <c r="N731" s="4" t="s">
        <v>2276</v>
      </c>
      <c r="O731" s="4" t="s">
        <v>2276</v>
      </c>
      <c r="P731" s="4" t="s">
        <v>2276</v>
      </c>
      <c r="Q731" s="4" t="s">
        <v>2276</v>
      </c>
      <c r="R731" s="4" t="s">
        <v>2276</v>
      </c>
      <c r="S731" s="4" t="s">
        <v>2276</v>
      </c>
      <c r="T731" s="3"/>
    </row>
    <row r="732" spans="1:20" ht="31.5" customHeight="1">
      <c r="A732" s="11" t="s">
        <v>4487</v>
      </c>
      <c r="B732" s="3" t="s">
        <v>69</v>
      </c>
      <c r="C732" s="3" t="s">
        <v>395</v>
      </c>
      <c r="D732" s="3" t="s">
        <v>5005</v>
      </c>
      <c r="E732" s="4" t="s">
        <v>2276</v>
      </c>
      <c r="F732" s="4" t="s">
        <v>2276</v>
      </c>
      <c r="G732" s="4" t="s">
        <v>2276</v>
      </c>
      <c r="H732" s="4" t="s">
        <v>2276</v>
      </c>
      <c r="I732" s="4" t="s">
        <v>2276</v>
      </c>
      <c r="J732" s="4" t="s">
        <v>2276</v>
      </c>
      <c r="K732" s="4" t="s">
        <v>2276</v>
      </c>
      <c r="L732" s="4" t="s">
        <v>2276</v>
      </c>
      <c r="M732" s="4" t="s">
        <v>2276</v>
      </c>
      <c r="N732" s="4" t="s">
        <v>2276</v>
      </c>
      <c r="O732" s="4" t="s">
        <v>2276</v>
      </c>
      <c r="P732" s="4" t="s">
        <v>2276</v>
      </c>
      <c r="Q732" s="4" t="s">
        <v>2276</v>
      </c>
      <c r="R732" s="4" t="s">
        <v>2276</v>
      </c>
      <c r="S732" s="4" t="s">
        <v>2276</v>
      </c>
      <c r="T732" s="3"/>
    </row>
    <row r="733" spans="1:20" ht="40.5" customHeight="1">
      <c r="A733" s="11" t="s">
        <v>4488</v>
      </c>
      <c r="B733" s="3" t="s">
        <v>69</v>
      </c>
      <c r="C733" s="3" t="s">
        <v>395</v>
      </c>
      <c r="D733" s="3" t="s">
        <v>5005</v>
      </c>
      <c r="E733" s="3" t="s">
        <v>45</v>
      </c>
      <c r="F733" s="4" t="s">
        <v>2276</v>
      </c>
      <c r="G733" s="4" t="s">
        <v>2276</v>
      </c>
      <c r="H733" s="21">
        <f>SUM(27460, 17788, 54774, 11980, 21788, 31830)/3/(2250*100)</f>
        <v>0.24536296296296295</v>
      </c>
      <c r="I733" s="4" t="s">
        <v>2276</v>
      </c>
      <c r="J733" s="4" t="s">
        <v>2276</v>
      </c>
      <c r="K733" s="4" t="s">
        <v>2276</v>
      </c>
      <c r="L733" s="4" t="s">
        <v>2276</v>
      </c>
      <c r="M733" s="4" t="s">
        <v>2276</v>
      </c>
      <c r="N733" s="4" t="s">
        <v>2276</v>
      </c>
      <c r="O733" s="4" t="s">
        <v>2276</v>
      </c>
      <c r="P733" s="4" t="s">
        <v>2276</v>
      </c>
      <c r="Q733" s="4" t="s">
        <v>2276</v>
      </c>
      <c r="R733" s="4" t="s">
        <v>2276</v>
      </c>
      <c r="S733" s="4" t="s">
        <v>2276</v>
      </c>
      <c r="T733" s="4" t="s">
        <v>4503</v>
      </c>
    </row>
    <row r="734" spans="1:20" ht="47" customHeight="1">
      <c r="A734" s="11" t="s">
        <v>4489</v>
      </c>
      <c r="B734" s="3" t="s">
        <v>2276</v>
      </c>
      <c r="C734" s="3" t="s">
        <v>12</v>
      </c>
      <c r="D734" s="4" t="s">
        <v>3854</v>
      </c>
      <c r="E734" s="3" t="s">
        <v>2652</v>
      </c>
      <c r="F734" s="3" t="s">
        <v>84</v>
      </c>
      <c r="G734" s="4" t="s">
        <v>2276</v>
      </c>
      <c r="H734" s="21">
        <f>SUM(7748, 60603, 16507, 10674)/2/(2250*100)</f>
        <v>0.21229333333333333</v>
      </c>
      <c r="I734" s="4" t="s">
        <v>2276</v>
      </c>
      <c r="J734" s="4" t="s">
        <v>2276</v>
      </c>
      <c r="K734" s="4" t="s">
        <v>2276</v>
      </c>
      <c r="L734" s="4" t="s">
        <v>2276</v>
      </c>
      <c r="M734" s="4" t="s">
        <v>2276</v>
      </c>
      <c r="N734" s="4" t="s">
        <v>2276</v>
      </c>
      <c r="O734" s="4" t="s">
        <v>2276</v>
      </c>
      <c r="P734" s="4" t="s">
        <v>2276</v>
      </c>
      <c r="Q734" s="4" t="s">
        <v>2276</v>
      </c>
      <c r="R734" s="4" t="s">
        <v>2276</v>
      </c>
      <c r="S734" s="4" t="s">
        <v>2276</v>
      </c>
      <c r="T734" s="3" t="s">
        <v>4504</v>
      </c>
    </row>
    <row r="735" spans="1:20" ht="41" customHeight="1">
      <c r="A735" s="11" t="s">
        <v>4502</v>
      </c>
      <c r="B735" s="3" t="s">
        <v>70</v>
      </c>
      <c r="C735" s="3" t="s">
        <v>2645</v>
      </c>
      <c r="D735" s="3" t="s">
        <v>45</v>
      </c>
      <c r="E735" s="3" t="s">
        <v>84</v>
      </c>
      <c r="F735" s="4" t="s">
        <v>2276</v>
      </c>
      <c r="G735" s="4" t="s">
        <v>2276</v>
      </c>
      <c r="H735" s="4" t="s">
        <v>2276</v>
      </c>
      <c r="I735" s="4" t="s">
        <v>2276</v>
      </c>
      <c r="J735" s="4" t="s">
        <v>2276</v>
      </c>
      <c r="K735" s="4" t="s">
        <v>2276</v>
      </c>
      <c r="L735" s="4" t="s">
        <v>2276</v>
      </c>
      <c r="M735" s="4" t="s">
        <v>2276</v>
      </c>
      <c r="N735" s="4" t="s">
        <v>2276</v>
      </c>
      <c r="O735" s="4" t="s">
        <v>2276</v>
      </c>
      <c r="P735" s="4" t="s">
        <v>2276</v>
      </c>
      <c r="Q735" s="4" t="s">
        <v>2276</v>
      </c>
      <c r="R735" s="4" t="s">
        <v>2276</v>
      </c>
      <c r="S735" s="4" t="s">
        <v>2276</v>
      </c>
      <c r="T735" s="3"/>
    </row>
    <row r="736" spans="1:20" ht="35.5" customHeight="1">
      <c r="A736" s="11" t="s">
        <v>4502</v>
      </c>
      <c r="B736" s="3" t="s">
        <v>70</v>
      </c>
      <c r="C736" s="3" t="s">
        <v>2645</v>
      </c>
      <c r="D736" s="3" t="s">
        <v>45</v>
      </c>
      <c r="E736" s="3" t="s">
        <v>84</v>
      </c>
      <c r="F736" s="4" t="s">
        <v>2276</v>
      </c>
      <c r="G736" s="4" t="s">
        <v>2276</v>
      </c>
      <c r="H736" s="21">
        <v>0.12</v>
      </c>
      <c r="I736" s="4" t="s">
        <v>2276</v>
      </c>
      <c r="J736" s="4" t="s">
        <v>2276</v>
      </c>
      <c r="K736" s="4" t="s">
        <v>2276</v>
      </c>
      <c r="L736" s="4" t="s">
        <v>2276</v>
      </c>
      <c r="M736" s="4" t="s">
        <v>2276</v>
      </c>
      <c r="N736" s="4" t="s">
        <v>2276</v>
      </c>
      <c r="O736" s="4" t="s">
        <v>2276</v>
      </c>
      <c r="P736" s="4" t="s">
        <v>2276</v>
      </c>
      <c r="Q736" s="4" t="s">
        <v>2276</v>
      </c>
      <c r="R736" s="4" t="s">
        <v>2276</v>
      </c>
      <c r="S736" s="4" t="s">
        <v>2276</v>
      </c>
      <c r="T736" s="3"/>
    </row>
    <row r="737" spans="1:20" ht="36" customHeight="1">
      <c r="A737" s="11" t="s">
        <v>4518</v>
      </c>
      <c r="B737" s="3" t="s">
        <v>1197</v>
      </c>
      <c r="C737" s="3" t="s">
        <v>395</v>
      </c>
      <c r="D737" s="3" t="s">
        <v>137</v>
      </c>
      <c r="E737" s="4" t="s">
        <v>2276</v>
      </c>
      <c r="F737" s="4" t="s">
        <v>2276</v>
      </c>
      <c r="G737" s="4" t="s">
        <v>2276</v>
      </c>
      <c r="H737" s="4" t="s">
        <v>2276</v>
      </c>
      <c r="I737" s="4" t="s">
        <v>2276</v>
      </c>
      <c r="J737" s="4" t="s">
        <v>2276</v>
      </c>
      <c r="K737" s="4" t="s">
        <v>2276</v>
      </c>
      <c r="L737" s="4" t="s">
        <v>2276</v>
      </c>
      <c r="M737" s="4" t="s">
        <v>2276</v>
      </c>
      <c r="N737" s="4" t="s">
        <v>2276</v>
      </c>
      <c r="O737" s="4" t="s">
        <v>2276</v>
      </c>
      <c r="P737" s="4" t="s">
        <v>2276</v>
      </c>
      <c r="Q737" s="4" t="s">
        <v>2276</v>
      </c>
      <c r="R737" s="4" t="s">
        <v>2276</v>
      </c>
      <c r="S737" s="4" t="s">
        <v>2276</v>
      </c>
      <c r="T737" s="3"/>
    </row>
    <row r="738" spans="1:20" ht="36" customHeight="1">
      <c r="A738" s="11" t="s">
        <v>4519</v>
      </c>
      <c r="B738" s="3" t="s">
        <v>70</v>
      </c>
      <c r="C738" s="3" t="s">
        <v>2645</v>
      </c>
      <c r="D738" s="3" t="s">
        <v>45</v>
      </c>
      <c r="E738" s="3" t="s">
        <v>84</v>
      </c>
      <c r="F738" s="4" t="s">
        <v>2276</v>
      </c>
      <c r="G738" s="4" t="s">
        <v>2276</v>
      </c>
      <c r="H738" s="4" t="s">
        <v>2276</v>
      </c>
      <c r="I738" s="4" t="s">
        <v>2276</v>
      </c>
      <c r="J738" s="4" t="s">
        <v>2276</v>
      </c>
      <c r="K738" s="4" t="s">
        <v>2276</v>
      </c>
      <c r="L738" s="4" t="s">
        <v>2276</v>
      </c>
      <c r="M738" s="4" t="s">
        <v>2276</v>
      </c>
      <c r="N738" s="4" t="s">
        <v>2276</v>
      </c>
      <c r="O738" s="4" t="s">
        <v>2276</v>
      </c>
      <c r="P738" s="4" t="s">
        <v>2276</v>
      </c>
      <c r="Q738" s="4" t="s">
        <v>2276</v>
      </c>
      <c r="R738" s="4" t="s">
        <v>2276</v>
      </c>
      <c r="S738" s="4" t="s">
        <v>2276</v>
      </c>
      <c r="T738" s="3"/>
    </row>
    <row r="739" spans="1:20" ht="36" customHeight="1">
      <c r="A739" s="11" t="s">
        <v>4520</v>
      </c>
      <c r="B739" s="3" t="s">
        <v>69</v>
      </c>
      <c r="C739" s="3" t="s">
        <v>395</v>
      </c>
      <c r="D739" s="3" t="s">
        <v>5005</v>
      </c>
      <c r="E739" s="4" t="s">
        <v>2276</v>
      </c>
      <c r="F739" s="4" t="s">
        <v>2276</v>
      </c>
      <c r="G739" s="4" t="s">
        <v>2276</v>
      </c>
      <c r="H739" s="4" t="s">
        <v>2276</v>
      </c>
      <c r="I739" s="4" t="s">
        <v>2276</v>
      </c>
      <c r="J739" s="4" t="s">
        <v>2276</v>
      </c>
      <c r="K739" s="4" t="s">
        <v>2276</v>
      </c>
      <c r="L739" s="4" t="s">
        <v>2276</v>
      </c>
      <c r="M739" s="4" t="s">
        <v>2276</v>
      </c>
      <c r="N739" s="4" t="s">
        <v>2276</v>
      </c>
      <c r="O739" s="4" t="s">
        <v>2276</v>
      </c>
      <c r="P739" s="4" t="s">
        <v>2276</v>
      </c>
      <c r="Q739" s="4" t="s">
        <v>2276</v>
      </c>
      <c r="R739" s="4" t="s">
        <v>2276</v>
      </c>
      <c r="S739" s="4" t="s">
        <v>2276</v>
      </c>
      <c r="T739" s="3"/>
    </row>
    <row r="740" spans="1:20" ht="36" customHeight="1">
      <c r="A740" s="11" t="s">
        <v>4521</v>
      </c>
      <c r="B740" s="3" t="s">
        <v>69</v>
      </c>
      <c r="C740" s="3" t="s">
        <v>395</v>
      </c>
      <c r="D740" s="3" t="s">
        <v>5005</v>
      </c>
      <c r="E740" s="4" t="s">
        <v>2276</v>
      </c>
      <c r="F740" s="4" t="s">
        <v>2276</v>
      </c>
      <c r="G740" s="4" t="s">
        <v>2276</v>
      </c>
      <c r="H740" s="4" t="s">
        <v>2276</v>
      </c>
      <c r="I740" s="4" t="s">
        <v>2276</v>
      </c>
      <c r="J740" s="4" t="s">
        <v>2276</v>
      </c>
      <c r="K740" s="4" t="s">
        <v>2276</v>
      </c>
      <c r="L740" s="4" t="s">
        <v>2276</v>
      </c>
      <c r="M740" s="4" t="s">
        <v>2276</v>
      </c>
      <c r="N740" s="4" t="s">
        <v>2276</v>
      </c>
      <c r="O740" s="4" t="s">
        <v>2276</v>
      </c>
      <c r="P740" s="4" t="s">
        <v>2276</v>
      </c>
      <c r="Q740" s="4" t="s">
        <v>2276</v>
      </c>
      <c r="R740" s="4" t="s">
        <v>2276</v>
      </c>
      <c r="S740" s="4" t="s">
        <v>2276</v>
      </c>
      <c r="T740" s="3"/>
    </row>
    <row r="741" spans="1:20" ht="36" customHeight="1">
      <c r="A741" s="11" t="s">
        <v>4522</v>
      </c>
      <c r="B741" s="3" t="s">
        <v>2276</v>
      </c>
      <c r="C741" s="3" t="s">
        <v>12</v>
      </c>
      <c r="D741" s="3" t="s">
        <v>2653</v>
      </c>
      <c r="E741" s="4" t="s">
        <v>396</v>
      </c>
      <c r="F741" s="4" t="s">
        <v>2276</v>
      </c>
      <c r="G741" s="4" t="s">
        <v>2276</v>
      </c>
      <c r="H741" s="4" t="s">
        <v>2276</v>
      </c>
      <c r="I741" s="4" t="s">
        <v>2276</v>
      </c>
      <c r="J741" s="4" t="s">
        <v>2276</v>
      </c>
      <c r="K741" s="4" t="s">
        <v>2276</v>
      </c>
      <c r="L741" s="4" t="s">
        <v>2276</v>
      </c>
      <c r="M741" s="4" t="s">
        <v>2276</v>
      </c>
      <c r="N741" s="4" t="s">
        <v>2276</v>
      </c>
      <c r="O741" s="4" t="s">
        <v>2276</v>
      </c>
      <c r="P741" s="4" t="s">
        <v>2276</v>
      </c>
      <c r="Q741" s="4" t="s">
        <v>2276</v>
      </c>
      <c r="R741" s="4" t="s">
        <v>2276</v>
      </c>
      <c r="S741" s="4" t="s">
        <v>2276</v>
      </c>
      <c r="T741" s="3"/>
    </row>
    <row r="742" spans="1:20" ht="37.5" customHeight="1">
      <c r="A742" s="11" t="s">
        <v>4543</v>
      </c>
      <c r="B742" s="3" t="s">
        <v>1197</v>
      </c>
      <c r="C742" s="3" t="s">
        <v>12</v>
      </c>
      <c r="D742" s="3" t="s">
        <v>137</v>
      </c>
      <c r="E742" s="3" t="s">
        <v>5005</v>
      </c>
      <c r="F742" s="3" t="s">
        <v>130</v>
      </c>
      <c r="G742" s="4" t="s">
        <v>116</v>
      </c>
      <c r="H742" s="4" t="s">
        <v>2276</v>
      </c>
      <c r="I742" s="4" t="s">
        <v>2276</v>
      </c>
      <c r="J742" s="4" t="s">
        <v>2276</v>
      </c>
      <c r="K742" s="4" t="s">
        <v>2276</v>
      </c>
      <c r="L742" s="4" t="s">
        <v>2276</v>
      </c>
      <c r="M742" s="4" t="s">
        <v>2276</v>
      </c>
      <c r="N742" s="4" t="s">
        <v>2276</v>
      </c>
      <c r="O742" s="4" t="s">
        <v>2276</v>
      </c>
      <c r="P742" s="4" t="s">
        <v>2276</v>
      </c>
      <c r="Q742" s="4" t="s">
        <v>2276</v>
      </c>
      <c r="R742" s="4" t="s">
        <v>2276</v>
      </c>
      <c r="S742" s="4" t="s">
        <v>2276</v>
      </c>
      <c r="T742" s="3" t="s">
        <v>4570</v>
      </c>
    </row>
    <row r="743" spans="1:20" ht="43" customHeight="1">
      <c r="A743" s="11" t="s">
        <v>4546</v>
      </c>
      <c r="B743" s="3" t="s">
        <v>1197</v>
      </c>
      <c r="C743" s="3" t="s">
        <v>12</v>
      </c>
      <c r="D743" s="3" t="s">
        <v>137</v>
      </c>
      <c r="E743" s="3" t="s">
        <v>5005</v>
      </c>
      <c r="F743" s="3" t="s">
        <v>130</v>
      </c>
      <c r="G743" s="4" t="s">
        <v>116</v>
      </c>
      <c r="H743" s="4" t="s">
        <v>2276</v>
      </c>
      <c r="I743" s="4" t="s">
        <v>2276</v>
      </c>
      <c r="J743" s="4" t="s">
        <v>2276</v>
      </c>
      <c r="K743" s="4" t="s">
        <v>2276</v>
      </c>
      <c r="L743" s="4" t="s">
        <v>2276</v>
      </c>
      <c r="M743" s="4" t="s">
        <v>2276</v>
      </c>
      <c r="N743" s="4" t="s">
        <v>2276</v>
      </c>
      <c r="O743" s="4" t="s">
        <v>2276</v>
      </c>
      <c r="P743" s="4" t="s">
        <v>2276</v>
      </c>
      <c r="Q743" s="4" t="s">
        <v>2276</v>
      </c>
      <c r="R743" s="4" t="s">
        <v>2276</v>
      </c>
      <c r="S743" s="4" t="s">
        <v>2276</v>
      </c>
      <c r="T743" s="3" t="s">
        <v>4570</v>
      </c>
    </row>
    <row r="744" spans="1:20" ht="42.5" customHeight="1">
      <c r="A744" s="11" t="s">
        <v>4571</v>
      </c>
      <c r="B744" s="3" t="s">
        <v>70</v>
      </c>
      <c r="C744" s="3" t="s">
        <v>2646</v>
      </c>
      <c r="D744" s="3" t="s">
        <v>137</v>
      </c>
      <c r="E744" s="3" t="s">
        <v>2652</v>
      </c>
      <c r="F744" s="4" t="s">
        <v>2276</v>
      </c>
      <c r="G744" s="4" t="s">
        <v>2276</v>
      </c>
      <c r="H744" s="4" t="s">
        <v>2276</v>
      </c>
      <c r="I744" s="4" t="s">
        <v>2276</v>
      </c>
      <c r="J744" s="4" t="s">
        <v>2276</v>
      </c>
      <c r="K744" s="4" t="s">
        <v>2276</v>
      </c>
      <c r="L744" s="4" t="s">
        <v>2276</v>
      </c>
      <c r="M744" s="4" t="s">
        <v>2276</v>
      </c>
      <c r="N744" s="4" t="s">
        <v>2276</v>
      </c>
      <c r="O744" s="4" t="s">
        <v>2276</v>
      </c>
      <c r="P744" s="4" t="s">
        <v>2276</v>
      </c>
      <c r="Q744" s="4" t="s">
        <v>2276</v>
      </c>
      <c r="R744" s="4" t="s">
        <v>2276</v>
      </c>
      <c r="S744" s="4" t="s">
        <v>2276</v>
      </c>
      <c r="T744" s="3"/>
    </row>
    <row r="745" spans="1:20" ht="46.5" customHeight="1">
      <c r="A745" s="11" t="s">
        <v>4582</v>
      </c>
      <c r="B745" s="3" t="s">
        <v>2276</v>
      </c>
      <c r="C745" s="3" t="s">
        <v>12</v>
      </c>
      <c r="D745" s="3" t="s">
        <v>5005</v>
      </c>
      <c r="E745" s="3" t="s">
        <v>137</v>
      </c>
      <c r="F745" s="4" t="s">
        <v>2276</v>
      </c>
      <c r="G745" s="4" t="s">
        <v>2276</v>
      </c>
      <c r="H745" s="4" t="s">
        <v>2276</v>
      </c>
      <c r="I745" s="4" t="s">
        <v>2276</v>
      </c>
      <c r="J745" s="4" t="s">
        <v>2276</v>
      </c>
      <c r="K745" s="4" t="s">
        <v>2276</v>
      </c>
      <c r="L745" s="4" t="s">
        <v>2276</v>
      </c>
      <c r="M745" s="4" t="s">
        <v>2276</v>
      </c>
      <c r="N745" s="4" t="s">
        <v>2276</v>
      </c>
      <c r="O745" s="4" t="s">
        <v>2276</v>
      </c>
      <c r="P745" s="4" t="s">
        <v>2276</v>
      </c>
      <c r="Q745" s="4" t="s">
        <v>2276</v>
      </c>
      <c r="R745" s="4" t="s">
        <v>2276</v>
      </c>
      <c r="S745" s="4" t="s">
        <v>2276</v>
      </c>
      <c r="T745" s="3"/>
    </row>
    <row r="746" spans="1:20" ht="52" customHeight="1">
      <c r="A746" s="11" t="s">
        <v>4585</v>
      </c>
      <c r="B746" s="4" t="s">
        <v>1197</v>
      </c>
      <c r="C746" s="3" t="s">
        <v>2646</v>
      </c>
      <c r="D746" s="3" t="s">
        <v>137</v>
      </c>
      <c r="E746" s="4" t="s">
        <v>2276</v>
      </c>
      <c r="F746" s="4" t="s">
        <v>2276</v>
      </c>
      <c r="G746" s="4" t="s">
        <v>2276</v>
      </c>
      <c r="H746" s="4" t="s">
        <v>2276</v>
      </c>
      <c r="I746" s="4" t="s">
        <v>2276</v>
      </c>
      <c r="J746" s="4" t="s">
        <v>2276</v>
      </c>
      <c r="K746" s="4" t="s">
        <v>2276</v>
      </c>
      <c r="L746" s="4" t="s">
        <v>2276</v>
      </c>
      <c r="M746" s="4" t="s">
        <v>2276</v>
      </c>
      <c r="N746" s="4" t="s">
        <v>2276</v>
      </c>
      <c r="O746" s="4" t="s">
        <v>2276</v>
      </c>
      <c r="P746" s="4" t="s">
        <v>2276</v>
      </c>
      <c r="Q746" s="4" t="s">
        <v>2276</v>
      </c>
      <c r="R746" s="4" t="s">
        <v>2276</v>
      </c>
      <c r="S746" s="4" t="s">
        <v>2276</v>
      </c>
      <c r="T746" s="3"/>
    </row>
    <row r="747" spans="1:20" ht="52" customHeight="1">
      <c r="A747" s="11" t="s">
        <v>4586</v>
      </c>
      <c r="B747" s="4" t="s">
        <v>1197</v>
      </c>
      <c r="C747" s="3" t="s">
        <v>2646</v>
      </c>
      <c r="D747" s="3" t="s">
        <v>137</v>
      </c>
      <c r="E747" s="4" t="s">
        <v>2276</v>
      </c>
      <c r="F747" s="4" t="s">
        <v>2276</v>
      </c>
      <c r="G747" s="4" t="s">
        <v>2276</v>
      </c>
      <c r="H747" s="4" t="s">
        <v>2276</v>
      </c>
      <c r="I747" s="4" t="s">
        <v>2276</v>
      </c>
      <c r="J747" s="4" t="s">
        <v>2276</v>
      </c>
      <c r="K747" s="4" t="s">
        <v>2276</v>
      </c>
      <c r="L747" s="4" t="s">
        <v>2276</v>
      </c>
      <c r="M747" s="4" t="s">
        <v>2276</v>
      </c>
      <c r="N747" s="4" t="s">
        <v>2276</v>
      </c>
      <c r="O747" s="4" t="s">
        <v>2276</v>
      </c>
      <c r="P747" s="4" t="s">
        <v>2276</v>
      </c>
      <c r="Q747" s="4" t="s">
        <v>2276</v>
      </c>
      <c r="R747" s="4" t="s">
        <v>2276</v>
      </c>
      <c r="S747" s="4" t="s">
        <v>2276</v>
      </c>
      <c r="T747" s="3"/>
    </row>
    <row r="748" spans="1:20" ht="55.5" customHeight="1">
      <c r="A748" s="11" t="s">
        <v>4597</v>
      </c>
      <c r="B748" s="4" t="s">
        <v>1197</v>
      </c>
      <c r="C748" s="3" t="s">
        <v>2646</v>
      </c>
      <c r="D748" s="3" t="s">
        <v>137</v>
      </c>
      <c r="E748" s="4" t="s">
        <v>2276</v>
      </c>
      <c r="F748" s="4" t="s">
        <v>2276</v>
      </c>
      <c r="G748" s="4" t="s">
        <v>2276</v>
      </c>
      <c r="H748" s="4" t="s">
        <v>2276</v>
      </c>
      <c r="I748" s="4" t="s">
        <v>2276</v>
      </c>
      <c r="J748" s="4" t="s">
        <v>2276</v>
      </c>
      <c r="K748" s="4" t="s">
        <v>2276</v>
      </c>
      <c r="L748" s="4" t="s">
        <v>2276</v>
      </c>
      <c r="M748" s="4" t="s">
        <v>2276</v>
      </c>
      <c r="N748" s="4" t="s">
        <v>2276</v>
      </c>
      <c r="O748" s="4" t="s">
        <v>2276</v>
      </c>
      <c r="P748" s="4" t="s">
        <v>2276</v>
      </c>
      <c r="Q748" s="4" t="s">
        <v>2276</v>
      </c>
      <c r="R748" s="4" t="s">
        <v>2276</v>
      </c>
      <c r="S748" s="4" t="s">
        <v>2276</v>
      </c>
      <c r="T748" s="3"/>
    </row>
    <row r="749" spans="1:20" ht="47" customHeight="1">
      <c r="A749" s="11" t="s">
        <v>4601</v>
      </c>
      <c r="B749" s="4" t="s">
        <v>1197</v>
      </c>
      <c r="C749" s="3" t="s">
        <v>2646</v>
      </c>
      <c r="D749" s="3" t="s">
        <v>137</v>
      </c>
      <c r="E749" s="4" t="s">
        <v>2276</v>
      </c>
      <c r="F749" s="4" t="s">
        <v>2276</v>
      </c>
      <c r="G749" s="4" t="s">
        <v>2276</v>
      </c>
      <c r="H749" s="4" t="s">
        <v>2276</v>
      </c>
      <c r="I749" s="4" t="s">
        <v>2276</v>
      </c>
      <c r="J749" s="4" t="s">
        <v>2276</v>
      </c>
      <c r="K749" s="4" t="s">
        <v>2276</v>
      </c>
      <c r="L749" s="4" t="s">
        <v>2276</v>
      </c>
      <c r="M749" s="4" t="s">
        <v>2276</v>
      </c>
      <c r="N749" s="4" t="s">
        <v>2276</v>
      </c>
      <c r="O749" s="4" t="s">
        <v>2276</v>
      </c>
      <c r="P749" s="4" t="s">
        <v>2276</v>
      </c>
      <c r="Q749" s="4" t="s">
        <v>2276</v>
      </c>
      <c r="R749" s="4" t="s">
        <v>2276</v>
      </c>
      <c r="S749" s="4" t="s">
        <v>2276</v>
      </c>
      <c r="T749" s="3"/>
    </row>
    <row r="750" spans="1:20" ht="50" customHeight="1">
      <c r="A750" s="11" t="s">
        <v>4602</v>
      </c>
      <c r="B750" s="4" t="s">
        <v>1197</v>
      </c>
      <c r="C750" s="3" t="s">
        <v>2646</v>
      </c>
      <c r="D750" s="3" t="s">
        <v>137</v>
      </c>
      <c r="E750" s="4" t="s">
        <v>2276</v>
      </c>
      <c r="F750" s="4" t="s">
        <v>2276</v>
      </c>
      <c r="G750" s="4" t="s">
        <v>2276</v>
      </c>
      <c r="H750" s="4" t="s">
        <v>2276</v>
      </c>
      <c r="I750" s="4" t="s">
        <v>2276</v>
      </c>
      <c r="J750" s="4" t="s">
        <v>2276</v>
      </c>
      <c r="K750" s="4" t="s">
        <v>2276</v>
      </c>
      <c r="L750" s="4" t="s">
        <v>2276</v>
      </c>
      <c r="M750" s="4" t="s">
        <v>2276</v>
      </c>
      <c r="N750" s="4" t="s">
        <v>2276</v>
      </c>
      <c r="O750" s="4" t="s">
        <v>2276</v>
      </c>
      <c r="P750" s="4" t="s">
        <v>2276</v>
      </c>
      <c r="Q750" s="4" t="s">
        <v>2276</v>
      </c>
      <c r="R750" s="4" t="s">
        <v>2276</v>
      </c>
      <c r="S750" s="4" t="s">
        <v>2276</v>
      </c>
      <c r="T750" s="3"/>
    </row>
    <row r="751" spans="1:20" ht="50" customHeight="1">
      <c r="A751" s="11" t="s">
        <v>4603</v>
      </c>
      <c r="B751" s="4" t="s">
        <v>1197</v>
      </c>
      <c r="C751" s="3" t="s">
        <v>2646</v>
      </c>
      <c r="D751" s="3" t="s">
        <v>137</v>
      </c>
      <c r="E751" s="4" t="s">
        <v>2276</v>
      </c>
      <c r="F751" s="4" t="s">
        <v>2276</v>
      </c>
      <c r="G751" s="4" t="s">
        <v>2276</v>
      </c>
      <c r="H751" s="4" t="s">
        <v>2276</v>
      </c>
      <c r="I751" s="4" t="s">
        <v>2276</v>
      </c>
      <c r="J751" s="4" t="s">
        <v>2276</v>
      </c>
      <c r="K751" s="4" t="s">
        <v>2276</v>
      </c>
      <c r="L751" s="4" t="s">
        <v>2276</v>
      </c>
      <c r="M751" s="4" t="s">
        <v>2276</v>
      </c>
      <c r="N751" s="4" t="s">
        <v>2276</v>
      </c>
      <c r="O751" s="4" t="s">
        <v>2276</v>
      </c>
      <c r="P751" s="4" t="s">
        <v>2276</v>
      </c>
      <c r="Q751" s="4" t="s">
        <v>2276</v>
      </c>
      <c r="R751" s="4" t="s">
        <v>2276</v>
      </c>
      <c r="S751" s="4" t="s">
        <v>2276</v>
      </c>
      <c r="T751" s="3"/>
    </row>
    <row r="752" spans="1:20" ht="50" customHeight="1">
      <c r="A752" s="11" t="s">
        <v>4620</v>
      </c>
      <c r="B752" s="3" t="s">
        <v>32</v>
      </c>
      <c r="C752" s="3" t="s">
        <v>12</v>
      </c>
      <c r="D752" s="3" t="s">
        <v>2647</v>
      </c>
      <c r="E752" s="3" t="s">
        <v>5005</v>
      </c>
      <c r="F752" s="4" t="s">
        <v>2276</v>
      </c>
      <c r="G752" s="4" t="s">
        <v>2276</v>
      </c>
      <c r="H752" s="4" t="s">
        <v>2276</v>
      </c>
      <c r="I752" s="4" t="s">
        <v>2276</v>
      </c>
      <c r="J752" s="4" t="s">
        <v>2276</v>
      </c>
      <c r="K752" s="4" t="s">
        <v>2276</v>
      </c>
      <c r="L752" s="4" t="s">
        <v>2276</v>
      </c>
      <c r="M752" s="4" t="s">
        <v>2276</v>
      </c>
      <c r="N752" s="4" t="s">
        <v>2276</v>
      </c>
      <c r="O752" s="4" t="s">
        <v>2276</v>
      </c>
      <c r="P752" s="4" t="s">
        <v>2276</v>
      </c>
      <c r="Q752" s="4" t="s">
        <v>2276</v>
      </c>
      <c r="R752" s="4" t="s">
        <v>2276</v>
      </c>
      <c r="S752" s="4" t="s">
        <v>2276</v>
      </c>
      <c r="T752" s="3"/>
    </row>
    <row r="753" spans="1:20" ht="50" customHeight="1">
      <c r="A753" s="11" t="s">
        <v>4621</v>
      </c>
      <c r="B753" s="3" t="s">
        <v>2276</v>
      </c>
      <c r="C753" s="3" t="s">
        <v>395</v>
      </c>
      <c r="D753" s="3" t="s">
        <v>45</v>
      </c>
      <c r="E753" s="4" t="s">
        <v>2276</v>
      </c>
      <c r="F753" s="4" t="s">
        <v>2276</v>
      </c>
      <c r="G753" s="4" t="s">
        <v>2276</v>
      </c>
      <c r="H753" s="4" t="s">
        <v>2276</v>
      </c>
      <c r="I753" s="4" t="s">
        <v>2276</v>
      </c>
      <c r="J753" s="4" t="s">
        <v>2276</v>
      </c>
      <c r="K753" s="4" t="s">
        <v>2276</v>
      </c>
      <c r="L753" s="4" t="s">
        <v>2276</v>
      </c>
      <c r="M753" s="4" t="s">
        <v>2276</v>
      </c>
      <c r="N753" s="4" t="s">
        <v>2276</v>
      </c>
      <c r="O753" s="4" t="s">
        <v>2276</v>
      </c>
      <c r="P753" s="4" t="s">
        <v>2276</v>
      </c>
      <c r="Q753" s="4" t="s">
        <v>2276</v>
      </c>
      <c r="R753" s="4" t="s">
        <v>2276</v>
      </c>
      <c r="S753" s="4" t="s">
        <v>2276</v>
      </c>
      <c r="T753" s="3"/>
    </row>
    <row r="754" spans="1:20" ht="50" customHeight="1">
      <c r="A754" s="11" t="s">
        <v>4622</v>
      </c>
      <c r="B754" s="3" t="s">
        <v>69</v>
      </c>
      <c r="C754" s="3" t="s">
        <v>395</v>
      </c>
      <c r="D754" s="3" t="s">
        <v>5005</v>
      </c>
      <c r="E754" s="4" t="s">
        <v>116</v>
      </c>
      <c r="F754" s="4" t="s">
        <v>2276</v>
      </c>
      <c r="G754" s="4" t="s">
        <v>2276</v>
      </c>
      <c r="H754" s="4" t="s">
        <v>2276</v>
      </c>
      <c r="I754" s="4" t="s">
        <v>2276</v>
      </c>
      <c r="J754" s="4" t="s">
        <v>2276</v>
      </c>
      <c r="K754" s="3" t="s">
        <v>534</v>
      </c>
      <c r="L754" s="4" t="s">
        <v>2276</v>
      </c>
      <c r="M754" s="4" t="s">
        <v>2276</v>
      </c>
      <c r="N754" s="4" t="s">
        <v>2276</v>
      </c>
      <c r="O754" s="4" t="s">
        <v>2276</v>
      </c>
      <c r="P754" s="4" t="s">
        <v>2276</v>
      </c>
      <c r="Q754" s="4" t="s">
        <v>2276</v>
      </c>
      <c r="R754" s="4" t="s">
        <v>2276</v>
      </c>
      <c r="S754" s="4" t="s">
        <v>2276</v>
      </c>
      <c r="T754" s="4" t="s">
        <v>4628</v>
      </c>
    </row>
    <row r="755" spans="1:20" ht="32.5" customHeight="1">
      <c r="A755" s="11" t="s">
        <v>4643</v>
      </c>
      <c r="B755" s="3" t="s">
        <v>32</v>
      </c>
      <c r="C755" s="3" t="s">
        <v>12</v>
      </c>
      <c r="D755" s="3" t="s">
        <v>2649</v>
      </c>
      <c r="E755" s="3" t="s">
        <v>5005</v>
      </c>
      <c r="F755" s="4" t="s">
        <v>116</v>
      </c>
      <c r="G755" s="4" t="s">
        <v>2276</v>
      </c>
      <c r="H755" s="21">
        <f>AVERAGE(1952, 3433, 1912)/(30*100)</f>
        <v>0.81077777777777782</v>
      </c>
      <c r="I755" s="4" t="s">
        <v>2276</v>
      </c>
      <c r="J755" s="4" t="s">
        <v>2276</v>
      </c>
      <c r="K755" s="3" t="s">
        <v>534</v>
      </c>
      <c r="L755" s="4" t="s">
        <v>2276</v>
      </c>
      <c r="M755" s="4" t="s">
        <v>2276</v>
      </c>
      <c r="N755" s="4" t="s">
        <v>2276</v>
      </c>
      <c r="O755" s="4" t="s">
        <v>2276</v>
      </c>
      <c r="P755" s="4" t="s">
        <v>2276</v>
      </c>
      <c r="Q755" s="4" t="s">
        <v>2276</v>
      </c>
      <c r="R755" s="4" t="s">
        <v>2276</v>
      </c>
      <c r="S755" s="4" t="s">
        <v>2276</v>
      </c>
      <c r="T755" s="3" t="s">
        <v>4651</v>
      </c>
    </row>
    <row r="756" spans="1:20" ht="32.5" customHeight="1">
      <c r="A756" s="11" t="s">
        <v>4644</v>
      </c>
      <c r="B756" s="3" t="s">
        <v>32</v>
      </c>
      <c r="C756" s="3" t="s">
        <v>12</v>
      </c>
      <c r="D756" s="3" t="s">
        <v>2649</v>
      </c>
      <c r="E756" s="3" t="s">
        <v>5005</v>
      </c>
      <c r="F756" s="4" t="s">
        <v>116</v>
      </c>
      <c r="G756" s="4" t="s">
        <v>2276</v>
      </c>
      <c r="H756" s="21">
        <f>AVERAGE(1952, 3433, 1912)/(30*100)</f>
        <v>0.81077777777777782</v>
      </c>
      <c r="I756" s="4" t="s">
        <v>2276</v>
      </c>
      <c r="J756" s="4" t="s">
        <v>2276</v>
      </c>
      <c r="K756" s="3" t="s">
        <v>534</v>
      </c>
      <c r="L756" s="4" t="s">
        <v>2276</v>
      </c>
      <c r="M756" s="4" t="s">
        <v>2276</v>
      </c>
      <c r="N756" s="4" t="s">
        <v>2276</v>
      </c>
      <c r="O756" s="4" t="s">
        <v>2276</v>
      </c>
      <c r="P756" s="4" t="s">
        <v>2276</v>
      </c>
      <c r="Q756" s="4" t="s">
        <v>2276</v>
      </c>
      <c r="R756" s="4" t="s">
        <v>2276</v>
      </c>
      <c r="S756" s="4" t="s">
        <v>2276</v>
      </c>
      <c r="T756" s="3" t="s">
        <v>4651</v>
      </c>
    </row>
    <row r="757" spans="1:20" ht="37" customHeight="1">
      <c r="A757" s="11" t="s">
        <v>4661</v>
      </c>
      <c r="B757" s="3" t="s">
        <v>32</v>
      </c>
      <c r="C757" s="3" t="s">
        <v>12</v>
      </c>
      <c r="D757" s="3" t="s">
        <v>5005</v>
      </c>
      <c r="E757" s="3" t="s">
        <v>45</v>
      </c>
      <c r="F757" s="4" t="s">
        <v>2276</v>
      </c>
      <c r="G757" s="4" t="s">
        <v>2276</v>
      </c>
      <c r="H757" s="4" t="s">
        <v>2276</v>
      </c>
      <c r="I757" s="4" t="s">
        <v>2276</v>
      </c>
      <c r="J757" s="4" t="s">
        <v>2276</v>
      </c>
      <c r="K757" s="4" t="s">
        <v>2276</v>
      </c>
      <c r="L757" s="4" t="s">
        <v>2276</v>
      </c>
      <c r="M757" s="4" t="s">
        <v>2276</v>
      </c>
      <c r="N757" s="4" t="s">
        <v>2276</v>
      </c>
      <c r="O757" s="21">
        <v>55.5</v>
      </c>
      <c r="P757" s="21">
        <v>15.8</v>
      </c>
      <c r="Q757" s="4" t="s">
        <v>2276</v>
      </c>
      <c r="R757" s="21">
        <v>28.8</v>
      </c>
      <c r="S757" s="4" t="s">
        <v>2276</v>
      </c>
      <c r="T757" s="3"/>
    </row>
    <row r="758" spans="1:20" ht="51" customHeight="1">
      <c r="A758" s="11" t="s">
        <v>4671</v>
      </c>
      <c r="B758" s="3" t="s">
        <v>32</v>
      </c>
      <c r="C758" s="3" t="s">
        <v>12</v>
      </c>
      <c r="D758" s="4" t="s">
        <v>5005</v>
      </c>
      <c r="E758" s="3" t="s">
        <v>84</v>
      </c>
      <c r="F758" s="4" t="s">
        <v>3854</v>
      </c>
      <c r="G758" s="4" t="s">
        <v>2652</v>
      </c>
      <c r="H758" s="4" t="s">
        <v>2276</v>
      </c>
      <c r="I758" s="4" t="s">
        <v>2276</v>
      </c>
      <c r="J758" s="4" t="s">
        <v>2276</v>
      </c>
      <c r="K758" s="4" t="s">
        <v>2276</v>
      </c>
      <c r="L758" s="4" t="s">
        <v>2276</v>
      </c>
      <c r="M758" s="4" t="s">
        <v>2276</v>
      </c>
      <c r="N758" s="4" t="s">
        <v>2276</v>
      </c>
      <c r="O758" s="4" t="s">
        <v>2276</v>
      </c>
      <c r="P758" s="4" t="s">
        <v>2276</v>
      </c>
      <c r="Q758" s="4" t="s">
        <v>2276</v>
      </c>
      <c r="R758" s="4" t="s">
        <v>2276</v>
      </c>
      <c r="S758" s="4" t="s">
        <v>2276</v>
      </c>
      <c r="T758" s="3" t="s">
        <v>4681</v>
      </c>
    </row>
    <row r="759" spans="1:20" ht="51" customHeight="1">
      <c r="A759" s="11" t="s">
        <v>4672</v>
      </c>
      <c r="B759" s="3" t="s">
        <v>32</v>
      </c>
      <c r="C759" s="3" t="s">
        <v>12</v>
      </c>
      <c r="D759" s="4" t="s">
        <v>5005</v>
      </c>
      <c r="E759" s="3" t="s">
        <v>84</v>
      </c>
      <c r="F759" s="4" t="s">
        <v>3854</v>
      </c>
      <c r="G759" s="4" t="s">
        <v>2652</v>
      </c>
      <c r="H759" s="4" t="s">
        <v>2276</v>
      </c>
      <c r="I759" s="4" t="s">
        <v>2276</v>
      </c>
      <c r="J759" s="4" t="s">
        <v>2276</v>
      </c>
      <c r="K759" s="4" t="s">
        <v>2276</v>
      </c>
      <c r="L759" s="4" t="s">
        <v>2276</v>
      </c>
      <c r="M759" s="4" t="s">
        <v>2276</v>
      </c>
      <c r="N759" s="4" t="s">
        <v>2276</v>
      </c>
      <c r="O759" s="4" t="s">
        <v>2276</v>
      </c>
      <c r="P759" s="4" t="s">
        <v>2276</v>
      </c>
      <c r="Q759" s="4" t="s">
        <v>2276</v>
      </c>
      <c r="R759" s="4" t="s">
        <v>2276</v>
      </c>
      <c r="S759" s="4" t="s">
        <v>2276</v>
      </c>
      <c r="T759" s="3" t="s">
        <v>4682</v>
      </c>
    </row>
    <row r="760" spans="1:20" ht="51" customHeight="1">
      <c r="A760" s="11" t="s">
        <v>4673</v>
      </c>
      <c r="B760" s="3" t="s">
        <v>32</v>
      </c>
      <c r="C760" s="3" t="s">
        <v>12</v>
      </c>
      <c r="D760" s="3" t="s">
        <v>5005</v>
      </c>
      <c r="E760" s="3" t="s">
        <v>84</v>
      </c>
      <c r="F760" s="4" t="s">
        <v>3854</v>
      </c>
      <c r="G760" s="4" t="s">
        <v>2652</v>
      </c>
      <c r="H760" s="4" t="s">
        <v>2276</v>
      </c>
      <c r="I760" s="4" t="s">
        <v>2276</v>
      </c>
      <c r="J760" s="4" t="s">
        <v>2276</v>
      </c>
      <c r="K760" s="4" t="s">
        <v>2276</v>
      </c>
      <c r="L760" s="4" t="s">
        <v>2276</v>
      </c>
      <c r="M760" s="4" t="s">
        <v>2276</v>
      </c>
      <c r="N760" s="4" t="s">
        <v>2276</v>
      </c>
      <c r="O760" s="4" t="s">
        <v>2276</v>
      </c>
      <c r="P760" s="21">
        <v>23</v>
      </c>
      <c r="Q760" s="4" t="s">
        <v>2276</v>
      </c>
      <c r="R760" s="4" t="s">
        <v>2276</v>
      </c>
      <c r="S760" s="4" t="s">
        <v>2276</v>
      </c>
      <c r="T760" s="3" t="s">
        <v>4683</v>
      </c>
    </row>
    <row r="761" spans="1:20" ht="51" customHeight="1">
      <c r="A761" s="11" t="s">
        <v>4674</v>
      </c>
      <c r="B761" s="3" t="s">
        <v>70</v>
      </c>
      <c r="C761" s="3" t="s">
        <v>12</v>
      </c>
      <c r="D761" s="4" t="s">
        <v>5005</v>
      </c>
      <c r="E761" s="3" t="s">
        <v>84</v>
      </c>
      <c r="F761" s="4" t="s">
        <v>3854</v>
      </c>
      <c r="G761" s="4" t="s">
        <v>2652</v>
      </c>
      <c r="H761" s="4" t="s">
        <v>2276</v>
      </c>
      <c r="I761" s="3">
        <v>350</v>
      </c>
      <c r="J761" s="4" t="s">
        <v>2276</v>
      </c>
      <c r="K761" s="4" t="s">
        <v>2276</v>
      </c>
      <c r="L761" s="4" t="s">
        <v>2276</v>
      </c>
      <c r="M761" s="4" t="s">
        <v>2276</v>
      </c>
      <c r="N761" s="4" t="s">
        <v>2276</v>
      </c>
      <c r="O761" s="4" t="s">
        <v>2276</v>
      </c>
      <c r="P761" s="21">
        <v>9</v>
      </c>
      <c r="Q761" s="4" t="s">
        <v>2276</v>
      </c>
      <c r="R761" s="4" t="s">
        <v>2276</v>
      </c>
      <c r="S761" s="4" t="s">
        <v>2276</v>
      </c>
      <c r="T761" s="3"/>
    </row>
    <row r="762" spans="1:20" ht="36" customHeight="1">
      <c r="A762" s="11" t="s">
        <v>4695</v>
      </c>
      <c r="B762" s="3" t="s">
        <v>2258</v>
      </c>
      <c r="C762" s="3" t="s">
        <v>12</v>
      </c>
      <c r="D762" s="3" t="s">
        <v>137</v>
      </c>
      <c r="E762" s="3" t="s">
        <v>5005</v>
      </c>
      <c r="F762" s="4" t="s">
        <v>397</v>
      </c>
      <c r="G762" s="4" t="s">
        <v>2276</v>
      </c>
      <c r="H762" s="21">
        <f>30000/1000000</f>
        <v>0.03</v>
      </c>
      <c r="I762" s="4" t="s">
        <v>2276</v>
      </c>
      <c r="J762" s="4" t="s">
        <v>2276</v>
      </c>
      <c r="K762" s="4" t="s">
        <v>2276</v>
      </c>
      <c r="L762" s="4" t="s">
        <v>2276</v>
      </c>
      <c r="M762" s="4" t="s">
        <v>2276</v>
      </c>
      <c r="N762" s="4" t="s">
        <v>2276</v>
      </c>
      <c r="O762" s="4" t="s">
        <v>2276</v>
      </c>
      <c r="P762" s="4" t="s">
        <v>2276</v>
      </c>
      <c r="Q762" s="4" t="s">
        <v>2276</v>
      </c>
      <c r="R762" s="4" t="s">
        <v>2276</v>
      </c>
      <c r="S762" s="4" t="s">
        <v>2276</v>
      </c>
      <c r="T762" s="4" t="s">
        <v>4714</v>
      </c>
    </row>
    <row r="763" spans="1:20" ht="36" customHeight="1">
      <c r="A763" s="11" t="s">
        <v>4696</v>
      </c>
      <c r="B763" s="3" t="s">
        <v>2258</v>
      </c>
      <c r="C763" s="3" t="s">
        <v>12</v>
      </c>
      <c r="D763" s="3" t="s">
        <v>137</v>
      </c>
      <c r="E763" s="3" t="s">
        <v>5005</v>
      </c>
      <c r="F763" s="4" t="s">
        <v>397</v>
      </c>
      <c r="G763" s="4" t="s">
        <v>2276</v>
      </c>
      <c r="H763" s="21">
        <f t="shared" ref="H763:H764" si="3">30000/1000000</f>
        <v>0.03</v>
      </c>
      <c r="I763" s="4" t="s">
        <v>2276</v>
      </c>
      <c r="J763" s="4" t="s">
        <v>2276</v>
      </c>
      <c r="K763" s="4" t="s">
        <v>2276</v>
      </c>
      <c r="L763" s="4" t="s">
        <v>2276</v>
      </c>
      <c r="M763" s="4" t="s">
        <v>2276</v>
      </c>
      <c r="N763" s="4" t="s">
        <v>2276</v>
      </c>
      <c r="O763" s="4" t="s">
        <v>2276</v>
      </c>
      <c r="P763" s="4" t="s">
        <v>2276</v>
      </c>
      <c r="Q763" s="4" t="s">
        <v>2276</v>
      </c>
      <c r="R763" s="4" t="s">
        <v>2276</v>
      </c>
      <c r="S763" s="4" t="s">
        <v>2276</v>
      </c>
      <c r="T763" s="4" t="s">
        <v>4714</v>
      </c>
    </row>
    <row r="764" spans="1:20" ht="36" customHeight="1">
      <c r="A764" s="11" t="s">
        <v>4697</v>
      </c>
      <c r="B764" s="3" t="s">
        <v>2258</v>
      </c>
      <c r="C764" s="3" t="s">
        <v>12</v>
      </c>
      <c r="D764" s="3" t="s">
        <v>137</v>
      </c>
      <c r="E764" s="3" t="s">
        <v>5005</v>
      </c>
      <c r="F764" s="4" t="s">
        <v>397</v>
      </c>
      <c r="G764" s="4" t="s">
        <v>2276</v>
      </c>
      <c r="H764" s="21">
        <f t="shared" si="3"/>
        <v>0.03</v>
      </c>
      <c r="I764" s="4" t="s">
        <v>2276</v>
      </c>
      <c r="J764" s="4" t="s">
        <v>2276</v>
      </c>
      <c r="K764" s="4" t="s">
        <v>2276</v>
      </c>
      <c r="L764" s="4" t="s">
        <v>2276</v>
      </c>
      <c r="M764" s="4" t="s">
        <v>2276</v>
      </c>
      <c r="N764" s="4" t="s">
        <v>2276</v>
      </c>
      <c r="O764" s="4" t="s">
        <v>2276</v>
      </c>
      <c r="P764" s="4" t="s">
        <v>2276</v>
      </c>
      <c r="Q764" s="4" t="s">
        <v>2276</v>
      </c>
      <c r="R764" s="4" t="s">
        <v>2276</v>
      </c>
      <c r="S764" s="4" t="s">
        <v>2276</v>
      </c>
      <c r="T764" s="4" t="s">
        <v>4714</v>
      </c>
    </row>
    <row r="765" spans="1:20" ht="46.5" customHeight="1">
      <c r="A765" s="11" t="s">
        <v>4716</v>
      </c>
      <c r="B765" s="3" t="s">
        <v>2258</v>
      </c>
      <c r="C765" s="3" t="s">
        <v>12</v>
      </c>
      <c r="D765" s="4" t="s">
        <v>5005</v>
      </c>
      <c r="E765" s="3" t="s">
        <v>84</v>
      </c>
      <c r="F765" s="4" t="s">
        <v>2276</v>
      </c>
      <c r="G765" s="4" t="s">
        <v>2276</v>
      </c>
      <c r="H765" s="4" t="s">
        <v>2276</v>
      </c>
      <c r="I765" s="4" t="s">
        <v>2276</v>
      </c>
      <c r="J765" s="4" t="s">
        <v>2276</v>
      </c>
      <c r="K765" s="4" t="s">
        <v>2276</v>
      </c>
      <c r="L765" s="4" t="s">
        <v>2276</v>
      </c>
      <c r="M765" s="4" t="s">
        <v>2276</v>
      </c>
      <c r="N765" s="4" t="s">
        <v>2276</v>
      </c>
      <c r="O765" s="4" t="s">
        <v>2276</v>
      </c>
      <c r="P765" s="4" t="s">
        <v>2276</v>
      </c>
      <c r="Q765" s="4" t="s">
        <v>2276</v>
      </c>
      <c r="R765" s="4" t="s">
        <v>2276</v>
      </c>
      <c r="S765" s="14">
        <v>1.26667</v>
      </c>
      <c r="T765" s="3" t="s">
        <v>4723</v>
      </c>
    </row>
    <row r="766" spans="1:20" ht="42" customHeight="1">
      <c r="A766" s="11" t="s">
        <v>4721</v>
      </c>
      <c r="B766" s="3" t="s">
        <v>2258</v>
      </c>
      <c r="C766" s="3" t="s">
        <v>12</v>
      </c>
      <c r="D766" s="4" t="s">
        <v>5005</v>
      </c>
      <c r="E766" s="3" t="s">
        <v>84</v>
      </c>
      <c r="F766" s="4" t="s">
        <v>2276</v>
      </c>
      <c r="G766" s="4" t="s">
        <v>2276</v>
      </c>
      <c r="H766" s="4" t="s">
        <v>2276</v>
      </c>
      <c r="I766" s="4" t="s">
        <v>2276</v>
      </c>
      <c r="J766" s="4" t="s">
        <v>2276</v>
      </c>
      <c r="K766" s="4" t="s">
        <v>2276</v>
      </c>
      <c r="L766" s="4" t="s">
        <v>2276</v>
      </c>
      <c r="M766" s="4" t="s">
        <v>2276</v>
      </c>
      <c r="N766" s="4" t="s">
        <v>2276</v>
      </c>
      <c r="O766" s="4" t="s">
        <v>2276</v>
      </c>
      <c r="P766" s="4" t="s">
        <v>2276</v>
      </c>
      <c r="Q766" s="4" t="s">
        <v>2276</v>
      </c>
      <c r="R766" s="4" t="s">
        <v>2276</v>
      </c>
      <c r="S766" s="4" t="s">
        <v>2276</v>
      </c>
      <c r="T766" s="3"/>
    </row>
    <row r="767" spans="1:20" ht="38.5" customHeight="1">
      <c r="A767" s="11" t="s">
        <v>4734</v>
      </c>
      <c r="B767" s="3" t="s">
        <v>2276</v>
      </c>
      <c r="C767" s="3" t="s">
        <v>12</v>
      </c>
      <c r="D767" s="4" t="s">
        <v>5005</v>
      </c>
      <c r="E767" s="4" t="s">
        <v>2649</v>
      </c>
      <c r="F767" s="4" t="s">
        <v>2276</v>
      </c>
      <c r="G767" s="4" t="s">
        <v>2276</v>
      </c>
      <c r="H767" s="4" t="s">
        <v>2276</v>
      </c>
      <c r="I767" s="4" t="s">
        <v>2276</v>
      </c>
      <c r="J767" s="4" t="s">
        <v>2276</v>
      </c>
      <c r="K767" s="4" t="s">
        <v>2276</v>
      </c>
      <c r="L767" s="4" t="s">
        <v>2276</v>
      </c>
      <c r="M767" s="4" t="s">
        <v>2276</v>
      </c>
      <c r="N767" s="4" t="s">
        <v>2276</v>
      </c>
      <c r="O767" s="4" t="s">
        <v>2276</v>
      </c>
      <c r="P767" s="4" t="s">
        <v>2276</v>
      </c>
      <c r="Q767" s="4" t="s">
        <v>2276</v>
      </c>
      <c r="R767" s="4" t="s">
        <v>2276</v>
      </c>
      <c r="S767" s="4" t="s">
        <v>2276</v>
      </c>
      <c r="T767" s="3"/>
    </row>
    <row r="768" spans="1:20" ht="43" customHeight="1">
      <c r="A768" s="11" t="s">
        <v>4735</v>
      </c>
      <c r="B768" s="3" t="s">
        <v>2276</v>
      </c>
      <c r="C768" s="3" t="s">
        <v>12</v>
      </c>
      <c r="D768" s="4" t="s">
        <v>5005</v>
      </c>
      <c r="E768" s="4" t="s">
        <v>2649</v>
      </c>
      <c r="F768" s="4" t="s">
        <v>2276</v>
      </c>
      <c r="G768" s="4" t="s">
        <v>2276</v>
      </c>
      <c r="H768" s="4" t="s">
        <v>2276</v>
      </c>
      <c r="I768" s="4" t="s">
        <v>2276</v>
      </c>
      <c r="J768" s="4" t="s">
        <v>2276</v>
      </c>
      <c r="K768" s="4" t="s">
        <v>2276</v>
      </c>
      <c r="L768" s="4" t="s">
        <v>2276</v>
      </c>
      <c r="M768" s="4" t="s">
        <v>2276</v>
      </c>
      <c r="N768" s="4" t="s">
        <v>2276</v>
      </c>
      <c r="O768" s="4" t="s">
        <v>2276</v>
      </c>
      <c r="P768" s="4" t="s">
        <v>2276</v>
      </c>
      <c r="Q768" s="4" t="s">
        <v>2276</v>
      </c>
      <c r="R768" s="4" t="s">
        <v>2276</v>
      </c>
      <c r="S768" s="4" t="s">
        <v>2276</v>
      </c>
      <c r="T768" s="3"/>
    </row>
    <row r="769" spans="1:20" ht="43.5" customHeight="1">
      <c r="A769" s="11" t="s">
        <v>4742</v>
      </c>
      <c r="B769" s="3" t="s">
        <v>1197</v>
      </c>
      <c r="C769" s="3" t="s">
        <v>12</v>
      </c>
      <c r="D769" s="3" t="s">
        <v>137</v>
      </c>
      <c r="E769" s="3" t="s">
        <v>116</v>
      </c>
      <c r="F769" s="4" t="s">
        <v>2276</v>
      </c>
      <c r="G769" s="4" t="s">
        <v>2276</v>
      </c>
      <c r="H769" s="4" t="s">
        <v>2276</v>
      </c>
      <c r="I769" s="4" t="s">
        <v>2276</v>
      </c>
      <c r="J769" s="4" t="s">
        <v>2276</v>
      </c>
      <c r="K769" s="3" t="s">
        <v>534</v>
      </c>
      <c r="L769" s="4" t="s">
        <v>2276</v>
      </c>
      <c r="M769" s="4" t="s">
        <v>2276</v>
      </c>
      <c r="N769" s="4" t="s">
        <v>2276</v>
      </c>
      <c r="O769" s="4" t="s">
        <v>2276</v>
      </c>
      <c r="P769" s="4" t="s">
        <v>2276</v>
      </c>
      <c r="Q769" s="4" t="s">
        <v>2276</v>
      </c>
      <c r="R769" s="4" t="s">
        <v>2276</v>
      </c>
      <c r="S769" s="4" t="s">
        <v>2276</v>
      </c>
      <c r="T769" s="4" t="s">
        <v>4770</v>
      </c>
    </row>
    <row r="770" spans="1:20" ht="43.5" customHeight="1">
      <c r="A770" s="11" t="s">
        <v>4747</v>
      </c>
      <c r="B770" s="3" t="s">
        <v>69</v>
      </c>
      <c r="C770" s="3" t="s">
        <v>395</v>
      </c>
      <c r="D770" s="3" t="s">
        <v>5005</v>
      </c>
      <c r="E770" s="3" t="s">
        <v>45</v>
      </c>
      <c r="F770" s="4" t="s">
        <v>130</v>
      </c>
      <c r="G770" s="4" t="s">
        <v>2276</v>
      </c>
      <c r="H770" s="21">
        <v>0.3</v>
      </c>
      <c r="I770" s="4" t="s">
        <v>2276</v>
      </c>
      <c r="J770" s="4" t="s">
        <v>2276</v>
      </c>
      <c r="K770" s="3" t="s">
        <v>537</v>
      </c>
      <c r="L770" s="4" t="s">
        <v>2276</v>
      </c>
      <c r="M770" s="4" t="s">
        <v>2276</v>
      </c>
      <c r="N770" s="4" t="s">
        <v>2276</v>
      </c>
      <c r="O770" s="4" t="s">
        <v>2276</v>
      </c>
      <c r="P770" s="21">
        <f>100*150/(25*100)</f>
        <v>6</v>
      </c>
      <c r="Q770" s="4" t="s">
        <v>2276</v>
      </c>
      <c r="R770" s="4" t="s">
        <v>2276</v>
      </c>
      <c r="S770" s="4" t="s">
        <v>2276</v>
      </c>
      <c r="T770" s="3" t="s">
        <v>4771</v>
      </c>
    </row>
    <row r="771" spans="1:20" ht="43.5" customHeight="1">
      <c r="A771" s="11" t="s">
        <v>4748</v>
      </c>
      <c r="B771" s="3" t="s">
        <v>70</v>
      </c>
      <c r="C771" s="3" t="s">
        <v>2645</v>
      </c>
      <c r="D771" s="3" t="s">
        <v>45</v>
      </c>
      <c r="E771" s="3" t="s">
        <v>2647</v>
      </c>
      <c r="F771" s="4" t="s">
        <v>2276</v>
      </c>
      <c r="G771" s="4" t="s">
        <v>2276</v>
      </c>
      <c r="H771" s="21">
        <v>0.2</v>
      </c>
      <c r="I771" s="4" t="s">
        <v>2276</v>
      </c>
      <c r="J771" s="4" t="s">
        <v>2276</v>
      </c>
      <c r="K771" s="3" t="s">
        <v>537</v>
      </c>
      <c r="L771" s="4" t="s">
        <v>2276</v>
      </c>
      <c r="M771" s="4" t="s">
        <v>2276</v>
      </c>
      <c r="N771" s="4" t="s">
        <v>2276</v>
      </c>
      <c r="O771" s="4" t="s">
        <v>2276</v>
      </c>
      <c r="P771" s="21">
        <f>100*100/(25*100)</f>
        <v>4</v>
      </c>
      <c r="Q771" s="4" t="s">
        <v>2276</v>
      </c>
      <c r="R771" s="4" t="s">
        <v>2276</v>
      </c>
      <c r="S771" s="4" t="s">
        <v>2276</v>
      </c>
      <c r="T771" s="3" t="s">
        <v>4769</v>
      </c>
    </row>
    <row r="772" spans="1:20" ht="41.5" customHeight="1">
      <c r="A772" s="11" t="s">
        <v>4773</v>
      </c>
      <c r="B772" s="3" t="s">
        <v>1197</v>
      </c>
      <c r="C772" s="3" t="s">
        <v>2645</v>
      </c>
      <c r="D772" s="3" t="s">
        <v>137</v>
      </c>
      <c r="E772" s="4" t="s">
        <v>2276</v>
      </c>
      <c r="F772" s="4" t="s">
        <v>2276</v>
      </c>
      <c r="G772" s="4" t="s">
        <v>2276</v>
      </c>
      <c r="H772" s="4" t="s">
        <v>2276</v>
      </c>
      <c r="I772" s="4" t="s">
        <v>2276</v>
      </c>
      <c r="J772" s="4" t="s">
        <v>2276</v>
      </c>
      <c r="K772" s="4" t="s">
        <v>2276</v>
      </c>
      <c r="L772" s="4" t="s">
        <v>2276</v>
      </c>
      <c r="M772" s="4" t="s">
        <v>2276</v>
      </c>
      <c r="N772" s="4" t="s">
        <v>2276</v>
      </c>
      <c r="O772" s="4" t="s">
        <v>2276</v>
      </c>
      <c r="P772" s="4" t="s">
        <v>2276</v>
      </c>
      <c r="Q772" s="4" t="s">
        <v>2276</v>
      </c>
      <c r="R772" s="4" t="s">
        <v>2276</v>
      </c>
      <c r="S772" s="4" t="s">
        <v>2276</v>
      </c>
      <c r="T772" s="3"/>
    </row>
    <row r="773" spans="1:20" ht="37.5" customHeight="1">
      <c r="A773" s="11" t="s">
        <v>4777</v>
      </c>
      <c r="B773" s="3" t="s">
        <v>69</v>
      </c>
      <c r="C773" s="3" t="s">
        <v>395</v>
      </c>
      <c r="D773" s="3" t="s">
        <v>5005</v>
      </c>
      <c r="E773" s="4" t="s">
        <v>2276</v>
      </c>
      <c r="F773" s="4" t="s">
        <v>2276</v>
      </c>
      <c r="G773" s="4" t="s">
        <v>2276</v>
      </c>
      <c r="H773" s="21">
        <f>35.4/100</f>
        <v>0.35399999999999998</v>
      </c>
      <c r="I773" s="4" t="s">
        <v>2276</v>
      </c>
      <c r="J773" s="4" t="s">
        <v>2276</v>
      </c>
      <c r="K773" s="4" t="s">
        <v>2276</v>
      </c>
      <c r="L773" s="4" t="s">
        <v>2276</v>
      </c>
      <c r="M773" s="4" t="s">
        <v>2276</v>
      </c>
      <c r="N773" s="4" t="s">
        <v>2276</v>
      </c>
      <c r="O773" s="4" t="s">
        <v>2276</v>
      </c>
      <c r="P773" s="4" t="s">
        <v>2276</v>
      </c>
      <c r="Q773" s="4" t="s">
        <v>2276</v>
      </c>
      <c r="R773" s="4" t="s">
        <v>2276</v>
      </c>
      <c r="S773" s="4" t="s">
        <v>2276</v>
      </c>
      <c r="T773" s="3" t="s">
        <v>4780</v>
      </c>
    </row>
    <row r="774" spans="1:20" ht="43.5" customHeight="1">
      <c r="A774" s="11" t="s">
        <v>4781</v>
      </c>
      <c r="B774" s="3" t="s">
        <v>69</v>
      </c>
      <c r="C774" s="3" t="s">
        <v>395</v>
      </c>
      <c r="D774" s="3" t="s">
        <v>5005</v>
      </c>
      <c r="E774" s="4" t="s">
        <v>2276</v>
      </c>
      <c r="F774" s="4" t="s">
        <v>2276</v>
      </c>
      <c r="G774" s="4" t="s">
        <v>2276</v>
      </c>
      <c r="H774" s="4" t="s">
        <v>2276</v>
      </c>
      <c r="I774" s="4" t="s">
        <v>2276</v>
      </c>
      <c r="J774" s="4" t="s">
        <v>2276</v>
      </c>
      <c r="K774" s="4" t="s">
        <v>2276</v>
      </c>
      <c r="L774" s="4" t="s">
        <v>2276</v>
      </c>
      <c r="M774" s="4" t="s">
        <v>2276</v>
      </c>
      <c r="N774" s="4" t="s">
        <v>2276</v>
      </c>
      <c r="O774" s="4" t="s">
        <v>2276</v>
      </c>
      <c r="P774" s="4" t="s">
        <v>2276</v>
      </c>
      <c r="Q774" s="4" t="s">
        <v>2276</v>
      </c>
      <c r="R774" s="4" t="s">
        <v>2276</v>
      </c>
      <c r="S774" s="4" t="s">
        <v>2276</v>
      </c>
      <c r="T774" s="3"/>
    </row>
    <row r="775" spans="1:20" ht="41.5" customHeight="1">
      <c r="A775" s="11" t="s">
        <v>4791</v>
      </c>
      <c r="B775" s="3" t="s">
        <v>69</v>
      </c>
      <c r="C775" s="3" t="s">
        <v>395</v>
      </c>
      <c r="D775" s="3" t="s">
        <v>5005</v>
      </c>
      <c r="E775" s="4" t="s">
        <v>2276</v>
      </c>
      <c r="F775" s="4" t="s">
        <v>2276</v>
      </c>
      <c r="G775" s="4" t="s">
        <v>2276</v>
      </c>
      <c r="H775" s="4" t="s">
        <v>2276</v>
      </c>
      <c r="I775" s="4" t="s">
        <v>2276</v>
      </c>
      <c r="J775" s="4" t="s">
        <v>2276</v>
      </c>
      <c r="K775" s="4" t="s">
        <v>2276</v>
      </c>
      <c r="L775" s="4" t="s">
        <v>2276</v>
      </c>
      <c r="M775" s="4" t="s">
        <v>2276</v>
      </c>
      <c r="N775" s="4" t="s">
        <v>2276</v>
      </c>
      <c r="O775" s="4" t="s">
        <v>2276</v>
      </c>
      <c r="P775" s="4" t="s">
        <v>2276</v>
      </c>
      <c r="Q775" s="4" t="s">
        <v>2276</v>
      </c>
      <c r="R775" s="4" t="s">
        <v>2276</v>
      </c>
      <c r="S775" s="4" t="s">
        <v>2276</v>
      </c>
      <c r="T775" s="3"/>
    </row>
    <row r="776" spans="1:20" ht="41.5" customHeight="1">
      <c r="A776" s="11" t="s">
        <v>4793</v>
      </c>
      <c r="B776" s="3" t="s">
        <v>32</v>
      </c>
      <c r="C776" s="3" t="s">
        <v>12</v>
      </c>
      <c r="D776" s="3" t="s">
        <v>5005</v>
      </c>
      <c r="E776" s="3" t="s">
        <v>130</v>
      </c>
      <c r="F776" s="4" t="s">
        <v>396</v>
      </c>
      <c r="G776" s="4" t="s">
        <v>2276</v>
      </c>
      <c r="H776" s="4" t="s">
        <v>2276</v>
      </c>
      <c r="I776" s="4" t="s">
        <v>2276</v>
      </c>
      <c r="J776" s="4" t="s">
        <v>2276</v>
      </c>
      <c r="K776" s="4" t="s">
        <v>2276</v>
      </c>
      <c r="L776" s="4" t="s">
        <v>2276</v>
      </c>
      <c r="M776" s="4" t="s">
        <v>2276</v>
      </c>
      <c r="N776" s="4" t="s">
        <v>2276</v>
      </c>
      <c r="O776" s="4" t="s">
        <v>2276</v>
      </c>
      <c r="P776" s="4" t="s">
        <v>2276</v>
      </c>
      <c r="Q776" s="4" t="s">
        <v>2276</v>
      </c>
      <c r="R776" s="4" t="s">
        <v>2276</v>
      </c>
      <c r="S776" s="4" t="s">
        <v>2276</v>
      </c>
      <c r="T776" s="3"/>
    </row>
    <row r="777" spans="1:20" ht="37" customHeight="1">
      <c r="A777" s="3" t="s">
        <v>4799</v>
      </c>
      <c r="B777" s="3" t="s">
        <v>1197</v>
      </c>
      <c r="C777" s="3" t="s">
        <v>12</v>
      </c>
      <c r="D777" s="3" t="s">
        <v>5005</v>
      </c>
      <c r="E777" s="3" t="s">
        <v>45</v>
      </c>
      <c r="F777" s="3" t="s">
        <v>2647</v>
      </c>
      <c r="G777" s="4" t="s">
        <v>2276</v>
      </c>
      <c r="H777" s="4" t="s">
        <v>2276</v>
      </c>
      <c r="I777" s="4" t="s">
        <v>2276</v>
      </c>
      <c r="J777" s="4" t="s">
        <v>2276</v>
      </c>
      <c r="K777" s="4" t="s">
        <v>2276</v>
      </c>
      <c r="L777" s="4" t="s">
        <v>2276</v>
      </c>
      <c r="M777" s="4" t="s">
        <v>2276</v>
      </c>
      <c r="N777" s="4" t="s">
        <v>2276</v>
      </c>
      <c r="O777" s="4" t="s">
        <v>2276</v>
      </c>
      <c r="P777" s="4" t="s">
        <v>2276</v>
      </c>
      <c r="Q777" s="4" t="s">
        <v>2276</v>
      </c>
      <c r="R777" s="4" t="s">
        <v>2276</v>
      </c>
      <c r="S777" s="4" t="s">
        <v>2276</v>
      </c>
      <c r="T777" s="3"/>
    </row>
    <row r="778" spans="1:20" ht="37" customHeight="1">
      <c r="A778" s="3" t="s">
        <v>4802</v>
      </c>
      <c r="B778" s="3" t="s">
        <v>70</v>
      </c>
      <c r="C778" s="3" t="s">
        <v>12</v>
      </c>
      <c r="D778" s="3" t="s">
        <v>2653</v>
      </c>
      <c r="E778" s="3" t="s">
        <v>5005</v>
      </c>
      <c r="F778" s="3" t="s">
        <v>45</v>
      </c>
      <c r="G778" s="3" t="s">
        <v>2649</v>
      </c>
      <c r="H778" s="4" t="s">
        <v>2276</v>
      </c>
      <c r="I778" s="4" t="s">
        <v>2276</v>
      </c>
      <c r="J778" s="4" t="s">
        <v>2276</v>
      </c>
      <c r="K778" s="3" t="s">
        <v>534</v>
      </c>
      <c r="L778" s="4" t="s">
        <v>2276</v>
      </c>
      <c r="M778" s="4" t="s">
        <v>2276</v>
      </c>
      <c r="N778" s="4" t="s">
        <v>2276</v>
      </c>
      <c r="O778" s="4" t="s">
        <v>2276</v>
      </c>
      <c r="P778" s="4" t="s">
        <v>2276</v>
      </c>
      <c r="Q778" s="4" t="s">
        <v>2276</v>
      </c>
      <c r="R778" s="21">
        <f>100*3876/'Record info'!K778</f>
        <v>44.373211219232971</v>
      </c>
      <c r="S778" s="4" t="s">
        <v>2276</v>
      </c>
      <c r="T778" s="4" t="s">
        <v>4810</v>
      </c>
    </row>
    <row r="779" spans="1:20" ht="34.5" customHeight="1">
      <c r="A779" s="11" t="s">
        <v>4803</v>
      </c>
      <c r="B779" s="3" t="s">
        <v>70</v>
      </c>
      <c r="C779" s="3" t="s">
        <v>12</v>
      </c>
      <c r="D779" s="3" t="s">
        <v>2653</v>
      </c>
      <c r="E779" s="3" t="s">
        <v>45</v>
      </c>
      <c r="F779" s="3" t="s">
        <v>2649</v>
      </c>
      <c r="G779" s="3" t="s">
        <v>5005</v>
      </c>
      <c r="H779" s="4" t="s">
        <v>2276</v>
      </c>
      <c r="I779" s="4" t="s">
        <v>2276</v>
      </c>
      <c r="J779" s="4" t="s">
        <v>2276</v>
      </c>
      <c r="K779" s="3" t="s">
        <v>534</v>
      </c>
      <c r="L779" s="4" t="s">
        <v>2276</v>
      </c>
      <c r="M779" s="4" t="s">
        <v>2276</v>
      </c>
      <c r="N779" s="4" t="s">
        <v>2276</v>
      </c>
      <c r="O779" s="4" t="s">
        <v>2276</v>
      </c>
      <c r="P779" s="4" t="s">
        <v>2276</v>
      </c>
      <c r="Q779" s="4" t="s">
        <v>2276</v>
      </c>
      <c r="R779" s="4" t="s">
        <v>2276</v>
      </c>
      <c r="S779" s="4" t="s">
        <v>2276</v>
      </c>
      <c r="T779" s="4" t="s">
        <v>4811</v>
      </c>
    </row>
    <row r="780" spans="1:20" ht="35.5" customHeight="1">
      <c r="A780" s="11" t="s">
        <v>4804</v>
      </c>
      <c r="B780" s="3" t="s">
        <v>70</v>
      </c>
      <c r="C780" s="3" t="s">
        <v>12</v>
      </c>
      <c r="D780" s="3" t="s">
        <v>5005</v>
      </c>
      <c r="E780" s="3" t="s">
        <v>45</v>
      </c>
      <c r="F780" s="3" t="s">
        <v>2649</v>
      </c>
      <c r="G780" s="4" t="s">
        <v>2276</v>
      </c>
      <c r="H780" s="4" t="s">
        <v>2276</v>
      </c>
      <c r="I780" s="4" t="s">
        <v>2276</v>
      </c>
      <c r="J780" s="4" t="s">
        <v>2276</v>
      </c>
      <c r="K780" s="3" t="s">
        <v>534</v>
      </c>
      <c r="L780" s="4" t="s">
        <v>2276</v>
      </c>
      <c r="M780" s="4" t="s">
        <v>2276</v>
      </c>
      <c r="N780" s="4" t="s">
        <v>2276</v>
      </c>
      <c r="O780" s="4" t="s">
        <v>2276</v>
      </c>
      <c r="P780" s="4" t="s">
        <v>2276</v>
      </c>
      <c r="Q780" s="4" t="s">
        <v>2276</v>
      </c>
      <c r="R780" s="4" t="s">
        <v>2276</v>
      </c>
      <c r="S780" s="4" t="s">
        <v>2276</v>
      </c>
      <c r="T780" s="4" t="s">
        <v>4811</v>
      </c>
    </row>
    <row r="781" spans="1:20" ht="33.5" customHeight="1">
      <c r="A781" s="3" t="s">
        <v>4805</v>
      </c>
      <c r="B781" s="3" t="s">
        <v>70</v>
      </c>
      <c r="C781" s="3" t="s">
        <v>12</v>
      </c>
      <c r="D781" s="3" t="s">
        <v>5005</v>
      </c>
      <c r="E781" s="3" t="s">
        <v>45</v>
      </c>
      <c r="F781" s="4" t="s">
        <v>2276</v>
      </c>
      <c r="G781" s="4" t="s">
        <v>2276</v>
      </c>
      <c r="H781" s="4" t="s">
        <v>2276</v>
      </c>
      <c r="I781" s="4" t="s">
        <v>2276</v>
      </c>
      <c r="J781" s="4" t="s">
        <v>2276</v>
      </c>
      <c r="K781" s="3" t="s">
        <v>534</v>
      </c>
      <c r="L781" s="4" t="s">
        <v>2276</v>
      </c>
      <c r="M781" s="4" t="s">
        <v>2276</v>
      </c>
      <c r="N781" s="4" t="s">
        <v>2276</v>
      </c>
      <c r="O781" s="4" t="s">
        <v>2276</v>
      </c>
      <c r="P781" s="4" t="s">
        <v>2276</v>
      </c>
      <c r="Q781" s="4" t="s">
        <v>2276</v>
      </c>
      <c r="R781" s="4" t="s">
        <v>2276</v>
      </c>
      <c r="S781" s="4" t="s">
        <v>2276</v>
      </c>
      <c r="T781" s="4" t="s">
        <v>4812</v>
      </c>
    </row>
    <row r="782" spans="1:20" ht="38" customHeight="1">
      <c r="A782" s="3" t="s">
        <v>4833</v>
      </c>
      <c r="B782" s="3" t="s">
        <v>2276</v>
      </c>
      <c r="C782" s="3" t="s">
        <v>2646</v>
      </c>
      <c r="D782" s="3" t="s">
        <v>45</v>
      </c>
      <c r="E782" s="3" t="s">
        <v>2649</v>
      </c>
      <c r="F782" s="4" t="s">
        <v>2276</v>
      </c>
      <c r="G782" s="4" t="s">
        <v>2276</v>
      </c>
      <c r="H782" s="4" t="s">
        <v>2276</v>
      </c>
      <c r="I782" s="4" t="s">
        <v>2276</v>
      </c>
      <c r="J782" s="4" t="s">
        <v>2276</v>
      </c>
      <c r="K782" s="4" t="s">
        <v>2276</v>
      </c>
      <c r="L782" s="4" t="s">
        <v>2276</v>
      </c>
      <c r="M782" s="4" t="s">
        <v>2276</v>
      </c>
      <c r="N782" s="4" t="s">
        <v>2276</v>
      </c>
      <c r="O782" s="4" t="s">
        <v>2276</v>
      </c>
      <c r="P782" s="4" t="s">
        <v>2276</v>
      </c>
      <c r="Q782" s="4" t="s">
        <v>2276</v>
      </c>
      <c r="R782" s="4" t="s">
        <v>2276</v>
      </c>
      <c r="S782" s="4" t="s">
        <v>2276</v>
      </c>
      <c r="T782" s="3"/>
    </row>
    <row r="783" spans="1:20" ht="48" customHeight="1">
      <c r="A783" s="11" t="s">
        <v>4848</v>
      </c>
      <c r="B783" s="3" t="s">
        <v>32</v>
      </c>
      <c r="C783" s="3" t="s">
        <v>2646</v>
      </c>
      <c r="D783" s="3" t="s">
        <v>137</v>
      </c>
      <c r="E783" s="3" t="s">
        <v>45</v>
      </c>
      <c r="F783" s="3" t="s">
        <v>84</v>
      </c>
      <c r="G783" s="3" t="s">
        <v>2649</v>
      </c>
      <c r="H783" s="4" t="s">
        <v>2276</v>
      </c>
      <c r="I783" s="4" t="s">
        <v>2276</v>
      </c>
      <c r="J783" s="4" t="s">
        <v>2276</v>
      </c>
      <c r="K783" s="4" t="s">
        <v>2276</v>
      </c>
      <c r="L783" s="4" t="s">
        <v>2276</v>
      </c>
      <c r="M783" s="4" t="s">
        <v>2276</v>
      </c>
      <c r="N783" s="4" t="s">
        <v>2276</v>
      </c>
      <c r="O783" s="4" t="s">
        <v>2276</v>
      </c>
      <c r="P783" s="4" t="s">
        <v>2276</v>
      </c>
      <c r="Q783" s="4" t="s">
        <v>2276</v>
      </c>
      <c r="R783" s="4" t="s">
        <v>2276</v>
      </c>
      <c r="S783" s="4" t="s">
        <v>2276</v>
      </c>
      <c r="T783" s="3"/>
    </row>
    <row r="784" spans="1:20" ht="48" customHeight="1">
      <c r="A784" s="11" t="s">
        <v>4850</v>
      </c>
      <c r="B784" s="3" t="s">
        <v>32</v>
      </c>
      <c r="C784" s="3" t="s">
        <v>2646</v>
      </c>
      <c r="D784" s="3" t="s">
        <v>137</v>
      </c>
      <c r="E784" s="3" t="s">
        <v>45</v>
      </c>
      <c r="F784" s="3" t="s">
        <v>84</v>
      </c>
      <c r="G784" s="3" t="s">
        <v>2649</v>
      </c>
      <c r="H784" s="4" t="s">
        <v>2276</v>
      </c>
      <c r="I784" s="4" t="s">
        <v>2276</v>
      </c>
      <c r="J784" s="4" t="s">
        <v>2276</v>
      </c>
      <c r="K784" s="4" t="s">
        <v>2276</v>
      </c>
      <c r="L784" s="4" t="s">
        <v>2276</v>
      </c>
      <c r="M784" s="4" t="s">
        <v>2276</v>
      </c>
      <c r="N784" s="4" t="s">
        <v>2276</v>
      </c>
      <c r="O784" s="4" t="s">
        <v>2276</v>
      </c>
      <c r="P784" s="4" t="s">
        <v>2276</v>
      </c>
      <c r="Q784" s="4" t="s">
        <v>2276</v>
      </c>
      <c r="R784" s="4" t="s">
        <v>2276</v>
      </c>
      <c r="S784" s="4" t="s">
        <v>2276</v>
      </c>
      <c r="T784" s="3"/>
    </row>
    <row r="785" spans="1:20" ht="48" customHeight="1">
      <c r="A785" s="11" t="s">
        <v>4851</v>
      </c>
      <c r="B785" s="3" t="s">
        <v>32</v>
      </c>
      <c r="C785" s="3" t="s">
        <v>2646</v>
      </c>
      <c r="D785" s="3" t="s">
        <v>137</v>
      </c>
      <c r="E785" s="3" t="s">
        <v>45</v>
      </c>
      <c r="F785" s="3" t="s">
        <v>84</v>
      </c>
      <c r="G785" s="3" t="s">
        <v>2649</v>
      </c>
      <c r="H785" s="4" t="s">
        <v>2276</v>
      </c>
      <c r="I785" s="4" t="s">
        <v>2276</v>
      </c>
      <c r="J785" s="4" t="s">
        <v>2276</v>
      </c>
      <c r="K785" s="4" t="s">
        <v>2276</v>
      </c>
      <c r="L785" s="4" t="s">
        <v>2276</v>
      </c>
      <c r="M785" s="4" t="s">
        <v>2276</v>
      </c>
      <c r="N785" s="4" t="s">
        <v>2276</v>
      </c>
      <c r="O785" s="4" t="s">
        <v>2276</v>
      </c>
      <c r="P785" s="4" t="s">
        <v>2276</v>
      </c>
      <c r="Q785" s="4" t="s">
        <v>2276</v>
      </c>
      <c r="R785" s="4" t="s">
        <v>2276</v>
      </c>
      <c r="S785" s="4" t="s">
        <v>2276</v>
      </c>
      <c r="T785" s="3"/>
    </row>
    <row r="786" spans="1:20" ht="48" customHeight="1">
      <c r="A786" s="11" t="s">
        <v>4852</v>
      </c>
      <c r="B786" s="3" t="s">
        <v>32</v>
      </c>
      <c r="C786" s="3" t="s">
        <v>2646</v>
      </c>
      <c r="D786" s="3" t="s">
        <v>137</v>
      </c>
      <c r="E786" s="3" t="s">
        <v>45</v>
      </c>
      <c r="F786" s="3" t="s">
        <v>84</v>
      </c>
      <c r="G786" s="3" t="s">
        <v>2649</v>
      </c>
      <c r="H786" s="4" t="s">
        <v>2276</v>
      </c>
      <c r="I786" s="4" t="s">
        <v>2276</v>
      </c>
      <c r="J786" s="4" t="s">
        <v>2276</v>
      </c>
      <c r="K786" s="4" t="s">
        <v>2276</v>
      </c>
      <c r="L786" s="4" t="s">
        <v>2276</v>
      </c>
      <c r="M786" s="4" t="s">
        <v>2276</v>
      </c>
      <c r="N786" s="4" t="s">
        <v>2276</v>
      </c>
      <c r="O786" s="4" t="s">
        <v>2276</v>
      </c>
      <c r="P786" s="4" t="s">
        <v>2276</v>
      </c>
      <c r="Q786" s="4" t="s">
        <v>2276</v>
      </c>
      <c r="R786" s="4" t="s">
        <v>2276</v>
      </c>
      <c r="S786" s="4" t="s">
        <v>2276</v>
      </c>
      <c r="T786" s="3"/>
    </row>
    <row r="787" spans="1:20" ht="48" customHeight="1">
      <c r="A787" s="11" t="s">
        <v>4853</v>
      </c>
      <c r="B787" s="3" t="s">
        <v>32</v>
      </c>
      <c r="C787" s="3" t="s">
        <v>2646</v>
      </c>
      <c r="D787" s="3" t="s">
        <v>137</v>
      </c>
      <c r="E787" s="3" t="s">
        <v>45</v>
      </c>
      <c r="F787" s="3" t="s">
        <v>84</v>
      </c>
      <c r="G787" s="3" t="s">
        <v>2649</v>
      </c>
      <c r="H787" s="4" t="s">
        <v>2276</v>
      </c>
      <c r="I787" s="4" t="s">
        <v>2276</v>
      </c>
      <c r="J787" s="4" t="s">
        <v>2276</v>
      </c>
      <c r="K787" s="4" t="s">
        <v>2276</v>
      </c>
      <c r="L787" s="4" t="s">
        <v>2276</v>
      </c>
      <c r="M787" s="4" t="s">
        <v>2276</v>
      </c>
      <c r="N787" s="4" t="s">
        <v>2276</v>
      </c>
      <c r="O787" s="4" t="s">
        <v>2276</v>
      </c>
      <c r="P787" s="4" t="s">
        <v>2276</v>
      </c>
      <c r="Q787" s="4" t="s">
        <v>2276</v>
      </c>
      <c r="R787" s="4" t="s">
        <v>2276</v>
      </c>
      <c r="S787" s="4" t="s">
        <v>2276</v>
      </c>
      <c r="T787" s="3"/>
    </row>
    <row r="788" spans="1:20" ht="48" customHeight="1">
      <c r="A788" s="11" t="s">
        <v>4854</v>
      </c>
      <c r="B788" s="3" t="s">
        <v>32</v>
      </c>
      <c r="C788" s="3" t="s">
        <v>2646</v>
      </c>
      <c r="D788" s="3" t="s">
        <v>137</v>
      </c>
      <c r="E788" s="3" t="s">
        <v>45</v>
      </c>
      <c r="F788" s="3" t="s">
        <v>84</v>
      </c>
      <c r="G788" s="3" t="s">
        <v>2649</v>
      </c>
      <c r="H788" s="4" t="s">
        <v>2276</v>
      </c>
      <c r="I788" s="4" t="s">
        <v>2276</v>
      </c>
      <c r="J788" s="4" t="s">
        <v>2276</v>
      </c>
      <c r="K788" s="4" t="s">
        <v>2276</v>
      </c>
      <c r="L788" s="4" t="s">
        <v>2276</v>
      </c>
      <c r="M788" s="4" t="s">
        <v>2276</v>
      </c>
      <c r="N788" s="4" t="s">
        <v>2276</v>
      </c>
      <c r="O788" s="4" t="s">
        <v>2276</v>
      </c>
      <c r="P788" s="4" t="s">
        <v>2276</v>
      </c>
      <c r="Q788" s="4" t="s">
        <v>2276</v>
      </c>
      <c r="R788" s="4" t="s">
        <v>2276</v>
      </c>
      <c r="S788" s="4" t="s">
        <v>2276</v>
      </c>
      <c r="T788" s="3"/>
    </row>
    <row r="789" spans="1:20" ht="48" customHeight="1">
      <c r="A789" s="11" t="s">
        <v>4855</v>
      </c>
      <c r="B789" s="3" t="s">
        <v>32</v>
      </c>
      <c r="C789" s="3" t="s">
        <v>2646</v>
      </c>
      <c r="D789" s="3" t="s">
        <v>137</v>
      </c>
      <c r="E789" s="3" t="s">
        <v>45</v>
      </c>
      <c r="F789" s="3" t="s">
        <v>84</v>
      </c>
      <c r="G789" s="3" t="s">
        <v>2649</v>
      </c>
      <c r="H789" s="4" t="s">
        <v>2276</v>
      </c>
      <c r="I789" s="4" t="s">
        <v>2276</v>
      </c>
      <c r="J789" s="4" t="s">
        <v>2276</v>
      </c>
      <c r="K789" s="4" t="s">
        <v>2276</v>
      </c>
      <c r="L789" s="4" t="s">
        <v>2276</v>
      </c>
      <c r="M789" s="4" t="s">
        <v>2276</v>
      </c>
      <c r="N789" s="4" t="s">
        <v>2276</v>
      </c>
      <c r="O789" s="4" t="s">
        <v>2276</v>
      </c>
      <c r="P789" s="4" t="s">
        <v>2276</v>
      </c>
      <c r="Q789" s="4" t="s">
        <v>2276</v>
      </c>
      <c r="R789" s="4" t="s">
        <v>2276</v>
      </c>
      <c r="S789" s="4" t="s">
        <v>2276</v>
      </c>
      <c r="T789" s="3"/>
    </row>
    <row r="790" spans="1:20" ht="48" customHeight="1">
      <c r="A790" s="11" t="s">
        <v>4856</v>
      </c>
      <c r="B790" s="3" t="s">
        <v>32</v>
      </c>
      <c r="C790" s="3" t="s">
        <v>2646</v>
      </c>
      <c r="D790" s="3" t="s">
        <v>137</v>
      </c>
      <c r="E790" s="3" t="s">
        <v>45</v>
      </c>
      <c r="F790" s="3" t="s">
        <v>84</v>
      </c>
      <c r="G790" s="3" t="s">
        <v>2649</v>
      </c>
      <c r="H790" s="4" t="s">
        <v>2276</v>
      </c>
      <c r="I790" s="4" t="s">
        <v>2276</v>
      </c>
      <c r="J790" s="4" t="s">
        <v>2276</v>
      </c>
      <c r="K790" s="4" t="s">
        <v>2276</v>
      </c>
      <c r="L790" s="4" t="s">
        <v>2276</v>
      </c>
      <c r="M790" s="4" t="s">
        <v>2276</v>
      </c>
      <c r="N790" s="4" t="s">
        <v>2276</v>
      </c>
      <c r="O790" s="4" t="s">
        <v>2276</v>
      </c>
      <c r="P790" s="4" t="s">
        <v>2276</v>
      </c>
      <c r="Q790" s="4" t="s">
        <v>2276</v>
      </c>
      <c r="R790" s="4" t="s">
        <v>2276</v>
      </c>
      <c r="S790" s="4" t="s">
        <v>2276</v>
      </c>
      <c r="T790" s="3"/>
    </row>
    <row r="791" spans="1:20" ht="48" customHeight="1">
      <c r="A791" s="11" t="s">
        <v>4857</v>
      </c>
      <c r="B791" s="3" t="s">
        <v>32</v>
      </c>
      <c r="C791" s="3" t="s">
        <v>2646</v>
      </c>
      <c r="D791" s="3" t="s">
        <v>137</v>
      </c>
      <c r="E791" s="3" t="s">
        <v>45</v>
      </c>
      <c r="F791" s="3" t="s">
        <v>84</v>
      </c>
      <c r="G791" s="3" t="s">
        <v>2649</v>
      </c>
      <c r="H791" s="4" t="s">
        <v>2276</v>
      </c>
      <c r="I791" s="4" t="s">
        <v>2276</v>
      </c>
      <c r="J791" s="4" t="s">
        <v>2276</v>
      </c>
      <c r="K791" s="4" t="s">
        <v>2276</v>
      </c>
      <c r="L791" s="4" t="s">
        <v>2276</v>
      </c>
      <c r="M791" s="4" t="s">
        <v>2276</v>
      </c>
      <c r="N791" s="4" t="s">
        <v>2276</v>
      </c>
      <c r="O791" s="4" t="s">
        <v>2276</v>
      </c>
      <c r="P791" s="4" t="s">
        <v>2276</v>
      </c>
      <c r="Q791" s="4" t="s">
        <v>2276</v>
      </c>
      <c r="R791" s="4" t="s">
        <v>2276</v>
      </c>
      <c r="S791" s="4" t="s">
        <v>2276</v>
      </c>
      <c r="T791" s="3"/>
    </row>
    <row r="792" spans="1:20" ht="48" customHeight="1">
      <c r="A792" s="11" t="s">
        <v>4858</v>
      </c>
      <c r="B792" s="3" t="s">
        <v>32</v>
      </c>
      <c r="C792" s="3" t="s">
        <v>2646</v>
      </c>
      <c r="D792" s="3" t="s">
        <v>137</v>
      </c>
      <c r="E792" s="3" t="s">
        <v>45</v>
      </c>
      <c r="F792" s="3" t="s">
        <v>84</v>
      </c>
      <c r="G792" s="3" t="s">
        <v>2649</v>
      </c>
      <c r="H792" s="4" t="s">
        <v>2276</v>
      </c>
      <c r="I792" s="4" t="s">
        <v>2276</v>
      </c>
      <c r="J792" s="4" t="s">
        <v>2276</v>
      </c>
      <c r="K792" s="4" t="s">
        <v>2276</v>
      </c>
      <c r="L792" s="4" t="s">
        <v>2276</v>
      </c>
      <c r="M792" s="4" t="s">
        <v>2276</v>
      </c>
      <c r="N792" s="4" t="s">
        <v>2276</v>
      </c>
      <c r="O792" s="4" t="s">
        <v>2276</v>
      </c>
      <c r="P792" s="4" t="s">
        <v>2276</v>
      </c>
      <c r="Q792" s="4" t="s">
        <v>2276</v>
      </c>
      <c r="R792" s="4" t="s">
        <v>2276</v>
      </c>
      <c r="S792" s="4" t="s">
        <v>2276</v>
      </c>
      <c r="T792" s="3"/>
    </row>
    <row r="793" spans="1:20" ht="48" customHeight="1">
      <c r="A793" s="11" t="s">
        <v>4859</v>
      </c>
      <c r="B793" s="3" t="s">
        <v>32</v>
      </c>
      <c r="C793" s="3" t="s">
        <v>2646</v>
      </c>
      <c r="D793" s="3" t="s">
        <v>137</v>
      </c>
      <c r="E793" s="3" t="s">
        <v>45</v>
      </c>
      <c r="F793" s="3" t="s">
        <v>84</v>
      </c>
      <c r="G793" s="3" t="s">
        <v>2649</v>
      </c>
      <c r="H793" s="4" t="s">
        <v>2276</v>
      </c>
      <c r="I793" s="4" t="s">
        <v>2276</v>
      </c>
      <c r="J793" s="4" t="s">
        <v>2276</v>
      </c>
      <c r="K793" s="4" t="s">
        <v>2276</v>
      </c>
      <c r="L793" s="4" t="s">
        <v>2276</v>
      </c>
      <c r="M793" s="4" t="s">
        <v>2276</v>
      </c>
      <c r="N793" s="4" t="s">
        <v>2276</v>
      </c>
      <c r="O793" s="4" t="s">
        <v>2276</v>
      </c>
      <c r="P793" s="4" t="s">
        <v>2276</v>
      </c>
      <c r="Q793" s="4" t="s">
        <v>2276</v>
      </c>
      <c r="R793" s="4" t="s">
        <v>2276</v>
      </c>
      <c r="S793" s="4" t="s">
        <v>2276</v>
      </c>
      <c r="T793" s="3"/>
    </row>
    <row r="794" spans="1:20" ht="48" customHeight="1">
      <c r="A794" s="11" t="s">
        <v>4860</v>
      </c>
      <c r="B794" s="3" t="s">
        <v>32</v>
      </c>
      <c r="C794" s="3" t="s">
        <v>2646</v>
      </c>
      <c r="D794" s="3" t="s">
        <v>137</v>
      </c>
      <c r="E794" s="3" t="s">
        <v>45</v>
      </c>
      <c r="F794" s="3" t="s">
        <v>84</v>
      </c>
      <c r="G794" s="3" t="s">
        <v>2649</v>
      </c>
      <c r="H794" s="4" t="s">
        <v>2276</v>
      </c>
      <c r="I794" s="4" t="s">
        <v>2276</v>
      </c>
      <c r="J794" s="4" t="s">
        <v>2276</v>
      </c>
      <c r="K794" s="4" t="s">
        <v>2276</v>
      </c>
      <c r="L794" s="4" t="s">
        <v>2276</v>
      </c>
      <c r="M794" s="4" t="s">
        <v>2276</v>
      </c>
      <c r="N794" s="4" t="s">
        <v>2276</v>
      </c>
      <c r="O794" s="4" t="s">
        <v>2276</v>
      </c>
      <c r="P794" s="4" t="s">
        <v>2276</v>
      </c>
      <c r="Q794" s="4" t="s">
        <v>2276</v>
      </c>
      <c r="R794" s="4" t="s">
        <v>2276</v>
      </c>
      <c r="S794" s="4" t="s">
        <v>2276</v>
      </c>
      <c r="T794" s="3"/>
    </row>
    <row r="795" spans="1:20" ht="48" customHeight="1">
      <c r="A795" s="11" t="s">
        <v>4861</v>
      </c>
      <c r="B795" s="3" t="s">
        <v>32</v>
      </c>
      <c r="C795" s="3" t="s">
        <v>2646</v>
      </c>
      <c r="D795" s="3" t="s">
        <v>137</v>
      </c>
      <c r="E795" s="3" t="s">
        <v>45</v>
      </c>
      <c r="F795" s="3" t="s">
        <v>84</v>
      </c>
      <c r="G795" s="3" t="s">
        <v>2649</v>
      </c>
      <c r="H795" s="4" t="s">
        <v>2276</v>
      </c>
      <c r="I795" s="4" t="s">
        <v>2276</v>
      </c>
      <c r="J795" s="4" t="s">
        <v>2276</v>
      </c>
      <c r="K795" s="4" t="s">
        <v>2276</v>
      </c>
      <c r="L795" s="4" t="s">
        <v>2276</v>
      </c>
      <c r="M795" s="4" t="s">
        <v>2276</v>
      </c>
      <c r="N795" s="4" t="s">
        <v>2276</v>
      </c>
      <c r="O795" s="4" t="s">
        <v>2276</v>
      </c>
      <c r="P795" s="4" t="s">
        <v>2276</v>
      </c>
      <c r="Q795" s="4" t="s">
        <v>2276</v>
      </c>
      <c r="R795" s="4" t="s">
        <v>2276</v>
      </c>
      <c r="S795" s="4" t="s">
        <v>2276</v>
      </c>
      <c r="T795" s="3"/>
    </row>
    <row r="796" spans="1:20" ht="48" customHeight="1">
      <c r="A796" s="11" t="s">
        <v>4862</v>
      </c>
      <c r="B796" s="3" t="s">
        <v>32</v>
      </c>
      <c r="C796" s="3" t="s">
        <v>2646</v>
      </c>
      <c r="D796" s="3" t="s">
        <v>137</v>
      </c>
      <c r="E796" s="3" t="s">
        <v>45</v>
      </c>
      <c r="F796" s="3" t="s">
        <v>84</v>
      </c>
      <c r="G796" s="3" t="s">
        <v>2649</v>
      </c>
      <c r="H796" s="4" t="s">
        <v>2276</v>
      </c>
      <c r="I796" s="4" t="s">
        <v>2276</v>
      </c>
      <c r="J796" s="4" t="s">
        <v>2276</v>
      </c>
      <c r="K796" s="4" t="s">
        <v>2276</v>
      </c>
      <c r="L796" s="4" t="s">
        <v>2276</v>
      </c>
      <c r="M796" s="4" t="s">
        <v>2276</v>
      </c>
      <c r="N796" s="4" t="s">
        <v>2276</v>
      </c>
      <c r="O796" s="4" t="s">
        <v>2276</v>
      </c>
      <c r="P796" s="4" t="s">
        <v>2276</v>
      </c>
      <c r="Q796" s="4" t="s">
        <v>2276</v>
      </c>
      <c r="R796" s="4" t="s">
        <v>2276</v>
      </c>
      <c r="S796" s="4" t="s">
        <v>2276</v>
      </c>
      <c r="T796" s="3"/>
    </row>
    <row r="797" spans="1:20" ht="48" customHeight="1">
      <c r="A797" s="11" t="s">
        <v>4863</v>
      </c>
      <c r="B797" s="3" t="s">
        <v>32</v>
      </c>
      <c r="C797" s="3" t="s">
        <v>2646</v>
      </c>
      <c r="D797" s="3" t="s">
        <v>137</v>
      </c>
      <c r="E797" s="3" t="s">
        <v>45</v>
      </c>
      <c r="F797" s="3" t="s">
        <v>84</v>
      </c>
      <c r="G797" s="3" t="s">
        <v>2649</v>
      </c>
      <c r="H797" s="4" t="s">
        <v>2276</v>
      </c>
      <c r="I797" s="4" t="s">
        <v>2276</v>
      </c>
      <c r="J797" s="4" t="s">
        <v>2276</v>
      </c>
      <c r="K797" s="4" t="s">
        <v>2276</v>
      </c>
      <c r="L797" s="4" t="s">
        <v>2276</v>
      </c>
      <c r="M797" s="4" t="s">
        <v>2276</v>
      </c>
      <c r="N797" s="4" t="s">
        <v>2276</v>
      </c>
      <c r="O797" s="4" t="s">
        <v>2276</v>
      </c>
      <c r="P797" s="4" t="s">
        <v>2276</v>
      </c>
      <c r="Q797" s="4" t="s">
        <v>2276</v>
      </c>
      <c r="R797" s="4" t="s">
        <v>2276</v>
      </c>
      <c r="S797" s="4" t="s">
        <v>2276</v>
      </c>
      <c r="T797" s="3"/>
    </row>
    <row r="798" spans="1:20" ht="48" customHeight="1">
      <c r="A798" s="11" t="s">
        <v>4864</v>
      </c>
      <c r="B798" s="3" t="s">
        <v>32</v>
      </c>
      <c r="C798" s="3" t="s">
        <v>2646</v>
      </c>
      <c r="D798" s="3" t="s">
        <v>137</v>
      </c>
      <c r="E798" s="3" t="s">
        <v>45</v>
      </c>
      <c r="F798" s="3" t="s">
        <v>84</v>
      </c>
      <c r="G798" s="3" t="s">
        <v>2649</v>
      </c>
      <c r="H798" s="4" t="s">
        <v>2276</v>
      </c>
      <c r="I798" s="4" t="s">
        <v>2276</v>
      </c>
      <c r="J798" s="4" t="s">
        <v>2276</v>
      </c>
      <c r="K798" s="4" t="s">
        <v>2276</v>
      </c>
      <c r="L798" s="4" t="s">
        <v>2276</v>
      </c>
      <c r="M798" s="4" t="s">
        <v>2276</v>
      </c>
      <c r="N798" s="4" t="s">
        <v>2276</v>
      </c>
      <c r="O798" s="4" t="s">
        <v>2276</v>
      </c>
      <c r="P798" s="4" t="s">
        <v>2276</v>
      </c>
      <c r="Q798" s="4" t="s">
        <v>2276</v>
      </c>
      <c r="R798" s="4" t="s">
        <v>2276</v>
      </c>
      <c r="S798" s="4" t="s">
        <v>2276</v>
      </c>
      <c r="T798" s="3"/>
    </row>
    <row r="799" spans="1:20" ht="48" customHeight="1">
      <c r="A799" s="11" t="s">
        <v>4865</v>
      </c>
      <c r="B799" s="3" t="s">
        <v>32</v>
      </c>
      <c r="C799" s="3" t="s">
        <v>2646</v>
      </c>
      <c r="D799" s="3" t="s">
        <v>137</v>
      </c>
      <c r="E799" s="3" t="s">
        <v>45</v>
      </c>
      <c r="F799" s="3" t="s">
        <v>84</v>
      </c>
      <c r="G799" s="3" t="s">
        <v>2649</v>
      </c>
      <c r="H799" s="4" t="s">
        <v>2276</v>
      </c>
      <c r="I799" s="4" t="s">
        <v>2276</v>
      </c>
      <c r="J799" s="4" t="s">
        <v>2276</v>
      </c>
      <c r="K799" s="4" t="s">
        <v>2276</v>
      </c>
      <c r="L799" s="4" t="s">
        <v>2276</v>
      </c>
      <c r="M799" s="4" t="s">
        <v>2276</v>
      </c>
      <c r="N799" s="4" t="s">
        <v>2276</v>
      </c>
      <c r="O799" s="4" t="s">
        <v>2276</v>
      </c>
      <c r="P799" s="4" t="s">
        <v>2276</v>
      </c>
      <c r="Q799" s="4" t="s">
        <v>2276</v>
      </c>
      <c r="R799" s="4" t="s">
        <v>2276</v>
      </c>
      <c r="S799" s="4" t="s">
        <v>2276</v>
      </c>
      <c r="T799" s="3"/>
    </row>
    <row r="800" spans="1:20" ht="48" customHeight="1">
      <c r="A800" s="11" t="s">
        <v>4866</v>
      </c>
      <c r="B800" s="3" t="s">
        <v>32</v>
      </c>
      <c r="C800" s="3" t="s">
        <v>2646</v>
      </c>
      <c r="D800" s="3" t="s">
        <v>137</v>
      </c>
      <c r="E800" s="3" t="s">
        <v>45</v>
      </c>
      <c r="F800" s="3" t="s">
        <v>84</v>
      </c>
      <c r="G800" s="3" t="s">
        <v>2649</v>
      </c>
      <c r="H800" s="4" t="s">
        <v>2276</v>
      </c>
      <c r="I800" s="4" t="s">
        <v>2276</v>
      </c>
      <c r="J800" s="4" t="s">
        <v>2276</v>
      </c>
      <c r="K800" s="4" t="s">
        <v>2276</v>
      </c>
      <c r="L800" s="4" t="s">
        <v>2276</v>
      </c>
      <c r="M800" s="4" t="s">
        <v>2276</v>
      </c>
      <c r="N800" s="4" t="s">
        <v>2276</v>
      </c>
      <c r="O800" s="4" t="s">
        <v>2276</v>
      </c>
      <c r="P800" s="4" t="s">
        <v>2276</v>
      </c>
      <c r="Q800" s="4" t="s">
        <v>2276</v>
      </c>
      <c r="R800" s="4" t="s">
        <v>2276</v>
      </c>
      <c r="S800" s="4" t="s">
        <v>2276</v>
      </c>
      <c r="T800" s="3"/>
    </row>
    <row r="801" spans="1:20" ht="48" customHeight="1">
      <c r="A801" s="11" t="s">
        <v>4867</v>
      </c>
      <c r="B801" s="3" t="s">
        <v>32</v>
      </c>
      <c r="C801" s="3" t="s">
        <v>2646</v>
      </c>
      <c r="D801" s="3" t="s">
        <v>137</v>
      </c>
      <c r="E801" s="3" t="s">
        <v>45</v>
      </c>
      <c r="F801" s="3" t="s">
        <v>84</v>
      </c>
      <c r="G801" s="3" t="s">
        <v>2649</v>
      </c>
      <c r="H801" s="4" t="s">
        <v>2276</v>
      </c>
      <c r="I801" s="4" t="s">
        <v>2276</v>
      </c>
      <c r="J801" s="4" t="s">
        <v>2276</v>
      </c>
      <c r="K801" s="4" t="s">
        <v>2276</v>
      </c>
      <c r="L801" s="4" t="s">
        <v>2276</v>
      </c>
      <c r="M801" s="4" t="s">
        <v>2276</v>
      </c>
      <c r="N801" s="4" t="s">
        <v>2276</v>
      </c>
      <c r="O801" s="4" t="s">
        <v>2276</v>
      </c>
      <c r="P801" s="4" t="s">
        <v>2276</v>
      </c>
      <c r="Q801" s="4" t="s">
        <v>2276</v>
      </c>
      <c r="R801" s="4" t="s">
        <v>2276</v>
      </c>
      <c r="S801" s="4" t="s">
        <v>2276</v>
      </c>
      <c r="T801" s="3"/>
    </row>
    <row r="802" spans="1:20" ht="48" customHeight="1">
      <c r="A802" s="11" t="s">
        <v>4868</v>
      </c>
      <c r="B802" s="3" t="s">
        <v>32</v>
      </c>
      <c r="C802" s="3" t="s">
        <v>2646</v>
      </c>
      <c r="D802" s="3" t="s">
        <v>137</v>
      </c>
      <c r="E802" s="3" t="s">
        <v>45</v>
      </c>
      <c r="F802" s="3" t="s">
        <v>84</v>
      </c>
      <c r="G802" s="3" t="s">
        <v>2649</v>
      </c>
      <c r="H802" s="4" t="s">
        <v>2276</v>
      </c>
      <c r="I802" s="4" t="s">
        <v>2276</v>
      </c>
      <c r="J802" s="4" t="s">
        <v>2276</v>
      </c>
      <c r="K802" s="4" t="s">
        <v>2276</v>
      </c>
      <c r="L802" s="4" t="s">
        <v>2276</v>
      </c>
      <c r="M802" s="4" t="s">
        <v>2276</v>
      </c>
      <c r="N802" s="4" t="s">
        <v>2276</v>
      </c>
      <c r="O802" s="4" t="s">
        <v>2276</v>
      </c>
      <c r="P802" s="4" t="s">
        <v>2276</v>
      </c>
      <c r="Q802" s="4" t="s">
        <v>2276</v>
      </c>
      <c r="R802" s="4" t="s">
        <v>2276</v>
      </c>
      <c r="S802" s="4" t="s">
        <v>2276</v>
      </c>
      <c r="T802" s="3"/>
    </row>
    <row r="803" spans="1:20" ht="48" customHeight="1">
      <c r="A803" s="11" t="s">
        <v>4869</v>
      </c>
      <c r="B803" s="3" t="s">
        <v>32</v>
      </c>
      <c r="C803" s="3" t="s">
        <v>2646</v>
      </c>
      <c r="D803" s="3" t="s">
        <v>137</v>
      </c>
      <c r="E803" s="3" t="s">
        <v>45</v>
      </c>
      <c r="F803" s="3" t="s">
        <v>84</v>
      </c>
      <c r="G803" s="3" t="s">
        <v>2649</v>
      </c>
      <c r="H803" s="4" t="s">
        <v>2276</v>
      </c>
      <c r="I803" s="4" t="s">
        <v>2276</v>
      </c>
      <c r="J803" s="4" t="s">
        <v>2276</v>
      </c>
      <c r="K803" s="4" t="s">
        <v>2276</v>
      </c>
      <c r="L803" s="4" t="s">
        <v>2276</v>
      </c>
      <c r="M803" s="4" t="s">
        <v>2276</v>
      </c>
      <c r="N803" s="4" t="s">
        <v>2276</v>
      </c>
      <c r="O803" s="4" t="s">
        <v>2276</v>
      </c>
      <c r="P803" s="4" t="s">
        <v>2276</v>
      </c>
      <c r="Q803" s="4" t="s">
        <v>2276</v>
      </c>
      <c r="R803" s="4" t="s">
        <v>2276</v>
      </c>
      <c r="S803" s="4" t="s">
        <v>2276</v>
      </c>
      <c r="T803" s="3"/>
    </row>
    <row r="804" spans="1:20" ht="48" customHeight="1">
      <c r="A804" s="11" t="s">
        <v>4870</v>
      </c>
      <c r="B804" s="3" t="s">
        <v>32</v>
      </c>
      <c r="C804" s="3" t="s">
        <v>2646</v>
      </c>
      <c r="D804" s="3" t="s">
        <v>137</v>
      </c>
      <c r="E804" s="3" t="s">
        <v>45</v>
      </c>
      <c r="F804" s="3" t="s">
        <v>84</v>
      </c>
      <c r="G804" s="3" t="s">
        <v>2649</v>
      </c>
      <c r="H804" s="4" t="s">
        <v>2276</v>
      </c>
      <c r="I804" s="4" t="s">
        <v>2276</v>
      </c>
      <c r="J804" s="4" t="s">
        <v>2276</v>
      </c>
      <c r="K804" s="4" t="s">
        <v>2276</v>
      </c>
      <c r="L804" s="4" t="s">
        <v>2276</v>
      </c>
      <c r="M804" s="4" t="s">
        <v>2276</v>
      </c>
      <c r="N804" s="4" t="s">
        <v>2276</v>
      </c>
      <c r="O804" s="4" t="s">
        <v>2276</v>
      </c>
      <c r="P804" s="4" t="s">
        <v>2276</v>
      </c>
      <c r="Q804" s="4" t="s">
        <v>2276</v>
      </c>
      <c r="R804" s="4" t="s">
        <v>2276</v>
      </c>
      <c r="S804" s="4" t="s">
        <v>2276</v>
      </c>
      <c r="T804" s="3"/>
    </row>
    <row r="805" spans="1:20" ht="48" customHeight="1">
      <c r="A805" s="11" t="s">
        <v>4871</v>
      </c>
      <c r="B805" s="3" t="s">
        <v>32</v>
      </c>
      <c r="C805" s="3" t="s">
        <v>2646</v>
      </c>
      <c r="D805" s="3" t="s">
        <v>137</v>
      </c>
      <c r="E805" s="3" t="s">
        <v>45</v>
      </c>
      <c r="F805" s="3" t="s">
        <v>84</v>
      </c>
      <c r="G805" s="3" t="s">
        <v>2649</v>
      </c>
      <c r="H805" s="4" t="s">
        <v>2276</v>
      </c>
      <c r="I805" s="4" t="s">
        <v>2276</v>
      </c>
      <c r="J805" s="4" t="s">
        <v>2276</v>
      </c>
      <c r="K805" s="4" t="s">
        <v>2276</v>
      </c>
      <c r="L805" s="4" t="s">
        <v>2276</v>
      </c>
      <c r="M805" s="4" t="s">
        <v>2276</v>
      </c>
      <c r="N805" s="4" t="s">
        <v>2276</v>
      </c>
      <c r="O805" s="4" t="s">
        <v>2276</v>
      </c>
      <c r="P805" s="4" t="s">
        <v>2276</v>
      </c>
      <c r="Q805" s="4" t="s">
        <v>2276</v>
      </c>
      <c r="R805" s="4" t="s">
        <v>2276</v>
      </c>
      <c r="S805" s="4" t="s">
        <v>2276</v>
      </c>
      <c r="T805" s="3"/>
    </row>
    <row r="806" spans="1:20" ht="48" customHeight="1">
      <c r="A806" s="11" t="s">
        <v>4872</v>
      </c>
      <c r="B806" s="3" t="s">
        <v>32</v>
      </c>
      <c r="C806" s="3" t="s">
        <v>2646</v>
      </c>
      <c r="D806" s="3" t="s">
        <v>137</v>
      </c>
      <c r="E806" s="3" t="s">
        <v>45</v>
      </c>
      <c r="F806" s="3" t="s">
        <v>84</v>
      </c>
      <c r="G806" s="3" t="s">
        <v>2649</v>
      </c>
      <c r="H806" s="4" t="s">
        <v>2276</v>
      </c>
      <c r="I806" s="4" t="s">
        <v>2276</v>
      </c>
      <c r="J806" s="4" t="s">
        <v>2276</v>
      </c>
      <c r="K806" s="4" t="s">
        <v>2276</v>
      </c>
      <c r="L806" s="4" t="s">
        <v>2276</v>
      </c>
      <c r="M806" s="4" t="s">
        <v>2276</v>
      </c>
      <c r="N806" s="4" t="s">
        <v>2276</v>
      </c>
      <c r="O806" s="4" t="s">
        <v>2276</v>
      </c>
      <c r="P806" s="4" t="s">
        <v>2276</v>
      </c>
      <c r="Q806" s="4" t="s">
        <v>2276</v>
      </c>
      <c r="R806" s="4" t="s">
        <v>2276</v>
      </c>
      <c r="S806" s="4" t="s">
        <v>2276</v>
      </c>
      <c r="T806" s="3"/>
    </row>
    <row r="807" spans="1:20" ht="48" customHeight="1">
      <c r="A807" s="11" t="s">
        <v>4873</v>
      </c>
      <c r="B807" s="3" t="s">
        <v>32</v>
      </c>
      <c r="C807" s="3" t="s">
        <v>2646</v>
      </c>
      <c r="D807" s="3" t="s">
        <v>137</v>
      </c>
      <c r="E807" s="3" t="s">
        <v>45</v>
      </c>
      <c r="F807" s="3" t="s">
        <v>84</v>
      </c>
      <c r="G807" s="3" t="s">
        <v>2649</v>
      </c>
      <c r="H807" s="4" t="s">
        <v>2276</v>
      </c>
      <c r="I807" s="4" t="s">
        <v>2276</v>
      </c>
      <c r="J807" s="4" t="s">
        <v>2276</v>
      </c>
      <c r="K807" s="4" t="s">
        <v>2276</v>
      </c>
      <c r="L807" s="4" t="s">
        <v>2276</v>
      </c>
      <c r="M807" s="4" t="s">
        <v>2276</v>
      </c>
      <c r="N807" s="4" t="s">
        <v>2276</v>
      </c>
      <c r="O807" s="4" t="s">
        <v>2276</v>
      </c>
      <c r="P807" s="4" t="s">
        <v>2276</v>
      </c>
      <c r="Q807" s="4" t="s">
        <v>2276</v>
      </c>
      <c r="R807" s="4" t="s">
        <v>2276</v>
      </c>
      <c r="S807" s="4" t="s">
        <v>2276</v>
      </c>
      <c r="T807" s="3"/>
    </row>
    <row r="808" spans="1:20" ht="43" customHeight="1">
      <c r="A808" s="11" t="s">
        <v>4925</v>
      </c>
      <c r="B808" s="3" t="s">
        <v>32</v>
      </c>
      <c r="C808" s="3" t="s">
        <v>12</v>
      </c>
      <c r="D808" s="4" t="s">
        <v>397</v>
      </c>
      <c r="E808" s="3" t="s">
        <v>45</v>
      </c>
      <c r="F808" s="3" t="s">
        <v>116</v>
      </c>
      <c r="G808" s="3" t="s">
        <v>2649</v>
      </c>
      <c r="H808" s="4" t="s">
        <v>2276</v>
      </c>
      <c r="I808" s="4" t="s">
        <v>2276</v>
      </c>
      <c r="J808" s="4" t="s">
        <v>2276</v>
      </c>
      <c r="K808" s="3" t="s">
        <v>534</v>
      </c>
      <c r="L808" s="4" t="s">
        <v>2276</v>
      </c>
      <c r="M808" s="4" t="s">
        <v>2276</v>
      </c>
      <c r="N808" s="4" t="s">
        <v>2276</v>
      </c>
      <c r="O808" s="4" t="s">
        <v>2276</v>
      </c>
      <c r="P808" s="4" t="s">
        <v>2276</v>
      </c>
      <c r="Q808" s="4" t="s">
        <v>2276</v>
      </c>
      <c r="R808" s="4" t="s">
        <v>2276</v>
      </c>
      <c r="S808" s="4" t="s">
        <v>2276</v>
      </c>
      <c r="T808" s="3" t="s">
        <v>4933</v>
      </c>
    </row>
    <row r="809" spans="1:20" ht="43" customHeight="1">
      <c r="A809" s="11" t="s">
        <v>4929</v>
      </c>
      <c r="B809" s="3" t="s">
        <v>32</v>
      </c>
      <c r="C809" s="3" t="s">
        <v>12</v>
      </c>
      <c r="D809" s="4" t="s">
        <v>397</v>
      </c>
      <c r="E809" s="3" t="s">
        <v>45</v>
      </c>
      <c r="F809" s="3" t="s">
        <v>116</v>
      </c>
      <c r="G809" s="3" t="s">
        <v>2649</v>
      </c>
      <c r="H809" s="4" t="s">
        <v>2276</v>
      </c>
      <c r="I809" s="4" t="s">
        <v>2276</v>
      </c>
      <c r="J809" s="4" t="s">
        <v>2276</v>
      </c>
      <c r="K809" s="3" t="s">
        <v>534</v>
      </c>
      <c r="L809" s="4" t="s">
        <v>2276</v>
      </c>
      <c r="M809" s="4" t="s">
        <v>2276</v>
      </c>
      <c r="N809" s="4" t="s">
        <v>2276</v>
      </c>
      <c r="O809" s="4" t="s">
        <v>2276</v>
      </c>
      <c r="P809" s="4" t="s">
        <v>2276</v>
      </c>
      <c r="Q809" s="4" t="s">
        <v>2276</v>
      </c>
      <c r="R809" s="4" t="s">
        <v>2276</v>
      </c>
      <c r="S809" s="4" t="s">
        <v>2276</v>
      </c>
      <c r="T809" s="3" t="s">
        <v>4933</v>
      </c>
    </row>
    <row r="810" spans="1:20" ht="41" customHeight="1">
      <c r="A810" s="11" t="s">
        <v>4939</v>
      </c>
      <c r="B810" s="3" t="s">
        <v>2276</v>
      </c>
      <c r="C810" s="3" t="s">
        <v>12</v>
      </c>
      <c r="D810" s="4" t="s">
        <v>396</v>
      </c>
      <c r="E810" s="4" t="s">
        <v>45</v>
      </c>
      <c r="F810" s="4" t="s">
        <v>2650</v>
      </c>
      <c r="G810" s="4" t="s">
        <v>2276</v>
      </c>
      <c r="H810" s="4" t="s">
        <v>2276</v>
      </c>
      <c r="I810" s="4" t="s">
        <v>2276</v>
      </c>
      <c r="J810" s="4" t="s">
        <v>2276</v>
      </c>
      <c r="K810" s="4" t="s">
        <v>2276</v>
      </c>
      <c r="L810" s="4" t="s">
        <v>2276</v>
      </c>
      <c r="M810" s="4" t="s">
        <v>2276</v>
      </c>
      <c r="N810" s="4" t="s">
        <v>2276</v>
      </c>
      <c r="O810" s="21">
        <f>(162440 + 469442.95/2)/'Record info'!$K$810</f>
        <v>16.928084677617001</v>
      </c>
      <c r="P810" s="21">
        <f>(49625+(527423)+(469443.95/2)) / 'Record info'!$K$810</f>
        <v>34.599808240582838</v>
      </c>
      <c r="Q810" s="4" t="s">
        <v>2276</v>
      </c>
      <c r="R810" s="21">
        <f>(162440+682507) / 'Record info'!K810</f>
        <v>36.013901811847319</v>
      </c>
      <c r="S810" s="4" t="s">
        <v>2276</v>
      </c>
      <c r="T810" s="41" t="s">
        <v>4943</v>
      </c>
    </row>
    <row r="811" spans="1:20" ht="39" customHeight="1">
      <c r="A811" s="11" t="s">
        <v>4960</v>
      </c>
      <c r="B811" s="3" t="s">
        <v>32</v>
      </c>
      <c r="C811" s="3" t="s">
        <v>12</v>
      </c>
      <c r="D811" s="3" t="s">
        <v>5005</v>
      </c>
      <c r="E811" s="4" t="s">
        <v>397</v>
      </c>
      <c r="F811" s="3" t="s">
        <v>863</v>
      </c>
      <c r="G811" s="4" t="s">
        <v>396</v>
      </c>
      <c r="H811" s="4" t="s">
        <v>2276</v>
      </c>
      <c r="I811" s="4" t="s">
        <v>2276</v>
      </c>
      <c r="J811" s="4" t="s">
        <v>2276</v>
      </c>
      <c r="K811" s="3" t="s">
        <v>534</v>
      </c>
      <c r="L811" s="4" t="s">
        <v>2276</v>
      </c>
      <c r="M811" s="4" t="s">
        <v>2276</v>
      </c>
      <c r="N811" s="4" t="s">
        <v>2276</v>
      </c>
      <c r="O811" s="4" t="s">
        <v>2276</v>
      </c>
      <c r="P811" s="4" t="s">
        <v>2276</v>
      </c>
      <c r="Q811" s="4" t="s">
        <v>2276</v>
      </c>
      <c r="R811" s="4" t="s">
        <v>2276</v>
      </c>
      <c r="S811" s="4" t="s">
        <v>2276</v>
      </c>
      <c r="T811" s="3" t="s">
        <v>4962</v>
      </c>
    </row>
    <row r="812" spans="1:20" ht="45.5" customHeight="1">
      <c r="A812" s="11" t="s">
        <v>4964</v>
      </c>
      <c r="B812" s="3" t="s">
        <v>32</v>
      </c>
      <c r="C812" s="3" t="s">
        <v>12</v>
      </c>
      <c r="D812" s="3" t="s">
        <v>5005</v>
      </c>
      <c r="E812" s="3" t="s">
        <v>45</v>
      </c>
      <c r="F812" s="4" t="s">
        <v>397</v>
      </c>
      <c r="G812" s="4" t="s">
        <v>2276</v>
      </c>
      <c r="H812" s="4" t="s">
        <v>2276</v>
      </c>
      <c r="I812" s="4" t="s">
        <v>2276</v>
      </c>
      <c r="J812" s="4" t="s">
        <v>2276</v>
      </c>
      <c r="K812" s="4" t="s">
        <v>2276</v>
      </c>
      <c r="L812" s="4" t="s">
        <v>2276</v>
      </c>
      <c r="M812" s="4" t="s">
        <v>2276</v>
      </c>
      <c r="N812" s="4" t="s">
        <v>2276</v>
      </c>
      <c r="O812" s="4" t="s">
        <v>2276</v>
      </c>
      <c r="P812" s="4" t="s">
        <v>2276</v>
      </c>
      <c r="Q812" s="4" t="s">
        <v>2276</v>
      </c>
      <c r="R812" s="4" t="s">
        <v>2276</v>
      </c>
      <c r="S812" s="4" t="s">
        <v>2276</v>
      </c>
      <c r="T812" s="3"/>
    </row>
    <row r="813" spans="1:20" ht="37" customHeight="1">
      <c r="A813" s="11" t="s">
        <v>4970</v>
      </c>
      <c r="B813" s="3" t="s">
        <v>32</v>
      </c>
      <c r="C813" s="3" t="s">
        <v>12</v>
      </c>
      <c r="D813" s="3" t="s">
        <v>5005</v>
      </c>
      <c r="E813" s="4" t="s">
        <v>397</v>
      </c>
      <c r="F813" s="4" t="s">
        <v>2276</v>
      </c>
      <c r="G813" s="4" t="s">
        <v>2276</v>
      </c>
      <c r="H813" s="4" t="s">
        <v>2276</v>
      </c>
      <c r="I813" s="4" t="s">
        <v>2276</v>
      </c>
      <c r="J813" s="4" t="s">
        <v>2276</v>
      </c>
      <c r="K813" s="3" t="s">
        <v>534</v>
      </c>
      <c r="L813" s="4" t="s">
        <v>2276</v>
      </c>
      <c r="M813" s="4" t="s">
        <v>2276</v>
      </c>
      <c r="N813" s="4" t="s">
        <v>2276</v>
      </c>
      <c r="O813" s="4" t="s">
        <v>2276</v>
      </c>
      <c r="P813" s="4" t="s">
        <v>2276</v>
      </c>
      <c r="Q813" s="4" t="s">
        <v>2276</v>
      </c>
      <c r="R813" s="4" t="s">
        <v>2276</v>
      </c>
      <c r="S813" s="4" t="s">
        <v>2276</v>
      </c>
      <c r="T813" s="3" t="s">
        <v>4971</v>
      </c>
    </row>
    <row r="814" spans="1:20" ht="40.5" customHeight="1">
      <c r="A814" s="11" t="s">
        <v>4972</v>
      </c>
      <c r="B814" s="3" t="s">
        <v>2258</v>
      </c>
      <c r="C814" s="3" t="s">
        <v>395</v>
      </c>
      <c r="D814" s="3" t="s">
        <v>5005</v>
      </c>
      <c r="E814" s="4" t="s">
        <v>863</v>
      </c>
      <c r="F814" s="4" t="s">
        <v>2276</v>
      </c>
      <c r="G814" s="4" t="s">
        <v>2276</v>
      </c>
      <c r="H814" s="4" t="s">
        <v>2276</v>
      </c>
      <c r="I814" s="4" t="s">
        <v>2276</v>
      </c>
      <c r="J814" s="4" t="s">
        <v>2276</v>
      </c>
      <c r="K814" s="3" t="s">
        <v>534</v>
      </c>
      <c r="L814" s="4" t="s">
        <v>2276</v>
      </c>
      <c r="M814" s="4" t="s">
        <v>2276</v>
      </c>
      <c r="N814" s="4" t="s">
        <v>2276</v>
      </c>
      <c r="O814" s="4" t="s">
        <v>2276</v>
      </c>
      <c r="P814" s="4" t="s">
        <v>2276</v>
      </c>
      <c r="Q814" s="4" t="s">
        <v>2276</v>
      </c>
      <c r="R814" s="4" t="s">
        <v>2276</v>
      </c>
      <c r="S814" s="4" t="s">
        <v>2276</v>
      </c>
      <c r="T814" s="3" t="s">
        <v>4975</v>
      </c>
    </row>
    <row r="815" spans="1:20" ht="36.5" customHeight="1">
      <c r="A815" s="11" t="s">
        <v>4976</v>
      </c>
      <c r="B815" s="3" t="s">
        <v>32</v>
      </c>
      <c r="C815" s="3" t="s">
        <v>12</v>
      </c>
      <c r="D815" s="3" t="s">
        <v>5005</v>
      </c>
      <c r="E815" s="3" t="s">
        <v>2652</v>
      </c>
      <c r="F815" s="4" t="s">
        <v>396</v>
      </c>
      <c r="G815" s="4" t="s">
        <v>2276</v>
      </c>
      <c r="H815" s="4" t="s">
        <v>2276</v>
      </c>
      <c r="I815" s="4" t="s">
        <v>2276</v>
      </c>
      <c r="J815" s="4" t="s">
        <v>2276</v>
      </c>
      <c r="K815" s="4" t="s">
        <v>2276</v>
      </c>
      <c r="L815" s="4" t="s">
        <v>2276</v>
      </c>
      <c r="M815" s="4" t="s">
        <v>2276</v>
      </c>
      <c r="N815" s="4" t="s">
        <v>2276</v>
      </c>
      <c r="O815" s="4" t="s">
        <v>2276</v>
      </c>
      <c r="P815" s="4" t="s">
        <v>2276</v>
      </c>
      <c r="Q815" s="4" t="s">
        <v>2276</v>
      </c>
      <c r="R815" s="4" t="s">
        <v>2276</v>
      </c>
      <c r="S815" s="4" t="s">
        <v>2276</v>
      </c>
      <c r="T815" s="3"/>
    </row>
    <row r="816" spans="1:20" ht="44.5" customHeight="1">
      <c r="A816" s="3" t="s">
        <v>4977</v>
      </c>
      <c r="B816" s="11" t="s">
        <v>32</v>
      </c>
      <c r="C816" s="3" t="s">
        <v>12</v>
      </c>
      <c r="D816" s="3" t="s">
        <v>5005</v>
      </c>
      <c r="E816" s="3" t="s">
        <v>116</v>
      </c>
      <c r="F816" s="3" t="s">
        <v>137</v>
      </c>
      <c r="G816" s="4" t="s">
        <v>2276</v>
      </c>
      <c r="H816" s="4" t="s">
        <v>2276</v>
      </c>
      <c r="I816" s="4" t="s">
        <v>2276</v>
      </c>
      <c r="J816" s="4" t="s">
        <v>2276</v>
      </c>
      <c r="K816" s="4" t="s">
        <v>2276</v>
      </c>
      <c r="L816" s="4" t="s">
        <v>2276</v>
      </c>
      <c r="M816" s="4" t="s">
        <v>2276</v>
      </c>
      <c r="N816" s="4" t="s">
        <v>2276</v>
      </c>
      <c r="O816" s="4" t="s">
        <v>2276</v>
      </c>
      <c r="P816" s="4" t="s">
        <v>2276</v>
      </c>
      <c r="Q816" s="4" t="s">
        <v>2276</v>
      </c>
      <c r="R816" s="4" t="s">
        <v>2276</v>
      </c>
      <c r="S816" s="4" t="s">
        <v>2276</v>
      </c>
      <c r="T816" s="3" t="s">
        <v>4978</v>
      </c>
    </row>
    <row r="817" spans="1:20" ht="40.5" customHeight="1">
      <c r="A817" s="11" t="s">
        <v>4994</v>
      </c>
      <c r="B817" s="3" t="s">
        <v>2276</v>
      </c>
      <c r="C817" s="3" t="s">
        <v>12</v>
      </c>
      <c r="D817" s="3" t="s">
        <v>116</v>
      </c>
      <c r="E817" s="3" t="s">
        <v>5005</v>
      </c>
      <c r="F817" s="3" t="s">
        <v>2649</v>
      </c>
      <c r="G817" s="4" t="s">
        <v>2276</v>
      </c>
      <c r="H817" s="4" t="s">
        <v>2276</v>
      </c>
      <c r="I817" s="4" t="s">
        <v>2276</v>
      </c>
      <c r="J817" s="4" t="s">
        <v>2276</v>
      </c>
      <c r="K817" s="4" t="s">
        <v>2276</v>
      </c>
      <c r="L817" s="4" t="s">
        <v>2276</v>
      </c>
      <c r="M817" s="4" t="s">
        <v>2276</v>
      </c>
      <c r="N817" s="4" t="s">
        <v>2276</v>
      </c>
      <c r="O817" s="4" t="s">
        <v>2276</v>
      </c>
      <c r="P817" s="4" t="s">
        <v>2276</v>
      </c>
      <c r="Q817" s="4" t="s">
        <v>2276</v>
      </c>
      <c r="R817" s="4" t="s">
        <v>2276</v>
      </c>
      <c r="S817" s="4" t="s">
        <v>2276</v>
      </c>
      <c r="T817" s="3" t="s">
        <v>4997</v>
      </c>
    </row>
    <row r="818" spans="1:20" ht="37" customHeight="1">
      <c r="A818" s="3" t="s">
        <v>5088</v>
      </c>
      <c r="B818" s="3" t="s">
        <v>32</v>
      </c>
      <c r="C818" s="3" t="s">
        <v>2645</v>
      </c>
      <c r="D818" s="3" t="s">
        <v>2649</v>
      </c>
      <c r="E818" s="3" t="s">
        <v>5005</v>
      </c>
      <c r="F818" s="3" t="s">
        <v>137</v>
      </c>
      <c r="G818" s="4" t="s">
        <v>2276</v>
      </c>
      <c r="H818" s="4" t="s">
        <v>2276</v>
      </c>
      <c r="I818" s="4" t="s">
        <v>2276</v>
      </c>
      <c r="J818" s="4" t="s">
        <v>2276</v>
      </c>
      <c r="K818" s="3" t="s">
        <v>534</v>
      </c>
      <c r="L818" s="4" t="s">
        <v>2276</v>
      </c>
      <c r="M818" s="4" t="s">
        <v>2276</v>
      </c>
      <c r="N818" s="4" t="s">
        <v>2276</v>
      </c>
      <c r="O818" s="4" t="s">
        <v>2276</v>
      </c>
      <c r="P818" s="4" t="s">
        <v>2276</v>
      </c>
      <c r="Q818" s="4" t="s">
        <v>2276</v>
      </c>
      <c r="R818" s="4" t="s">
        <v>2276</v>
      </c>
      <c r="S818" s="4" t="s">
        <v>2276</v>
      </c>
      <c r="T818" s="4" t="s">
        <v>5093</v>
      </c>
    </row>
    <row r="819" spans="1:20" ht="34.5" customHeight="1">
      <c r="A819" s="11" t="s">
        <v>5100</v>
      </c>
      <c r="B819" s="3" t="s">
        <v>2276</v>
      </c>
      <c r="C819" s="3" t="s">
        <v>12</v>
      </c>
      <c r="D819" s="4" t="s">
        <v>396</v>
      </c>
      <c r="E819" s="4" t="s">
        <v>397</v>
      </c>
      <c r="F819" s="3" t="s">
        <v>5005</v>
      </c>
      <c r="G819" s="4" t="s">
        <v>2276</v>
      </c>
      <c r="H819" s="4" t="s">
        <v>2276</v>
      </c>
      <c r="I819" s="4" t="s">
        <v>2276</v>
      </c>
      <c r="J819" s="4" t="s">
        <v>2276</v>
      </c>
      <c r="K819" s="4" t="s">
        <v>2276</v>
      </c>
      <c r="L819" s="4" t="s">
        <v>2276</v>
      </c>
      <c r="M819" s="4" t="s">
        <v>2276</v>
      </c>
      <c r="N819" s="4" t="s">
        <v>2276</v>
      </c>
      <c r="O819" s="4" t="s">
        <v>2276</v>
      </c>
      <c r="P819" s="4" t="s">
        <v>2276</v>
      </c>
      <c r="Q819" s="4" t="s">
        <v>2276</v>
      </c>
      <c r="R819" s="4" t="s">
        <v>2276</v>
      </c>
      <c r="S819" s="4" t="s">
        <v>2276</v>
      </c>
      <c r="T819" s="3"/>
    </row>
    <row r="820" spans="1:20" ht="34.5" customHeight="1">
      <c r="A820" s="11" t="s">
        <v>5104</v>
      </c>
      <c r="B820" s="3" t="s">
        <v>2276</v>
      </c>
      <c r="C820" s="3" t="s">
        <v>12</v>
      </c>
      <c r="D820" s="4" t="s">
        <v>396</v>
      </c>
      <c r="E820" s="4" t="s">
        <v>397</v>
      </c>
      <c r="F820" s="3" t="s">
        <v>5005</v>
      </c>
      <c r="G820" s="4" t="s">
        <v>2276</v>
      </c>
      <c r="H820" s="4" t="s">
        <v>2276</v>
      </c>
      <c r="I820" s="4" t="s">
        <v>2276</v>
      </c>
      <c r="J820" s="4" t="s">
        <v>2276</v>
      </c>
      <c r="K820" s="4" t="s">
        <v>2276</v>
      </c>
      <c r="L820" s="4" t="s">
        <v>2276</v>
      </c>
      <c r="M820" s="4" t="s">
        <v>2276</v>
      </c>
      <c r="N820" s="4" t="s">
        <v>2276</v>
      </c>
      <c r="O820" s="4" t="s">
        <v>2276</v>
      </c>
      <c r="P820" s="4" t="s">
        <v>2276</v>
      </c>
      <c r="Q820" s="4" t="s">
        <v>2276</v>
      </c>
      <c r="R820" s="4" t="s">
        <v>2276</v>
      </c>
      <c r="S820" s="4" t="s">
        <v>2276</v>
      </c>
      <c r="T820" s="11"/>
    </row>
    <row r="821" spans="1:20" ht="34.5" customHeight="1">
      <c r="A821" s="11" t="s">
        <v>5105</v>
      </c>
      <c r="B821" s="3" t="s">
        <v>2276</v>
      </c>
      <c r="C821" s="3" t="s">
        <v>12</v>
      </c>
      <c r="D821" s="4" t="s">
        <v>396</v>
      </c>
      <c r="E821" s="4" t="s">
        <v>397</v>
      </c>
      <c r="F821" s="3" t="s">
        <v>5005</v>
      </c>
      <c r="G821" s="4" t="s">
        <v>2276</v>
      </c>
      <c r="H821" s="4" t="s">
        <v>2276</v>
      </c>
      <c r="I821" s="4" t="s">
        <v>2276</v>
      </c>
      <c r="J821" s="4" t="s">
        <v>2276</v>
      </c>
      <c r="K821" s="4" t="s">
        <v>2276</v>
      </c>
      <c r="L821" s="4" t="s">
        <v>2276</v>
      </c>
      <c r="M821" s="4" t="s">
        <v>2276</v>
      </c>
      <c r="N821" s="4" t="s">
        <v>2276</v>
      </c>
      <c r="O821" s="4" t="s">
        <v>2276</v>
      </c>
      <c r="P821" s="4" t="s">
        <v>2276</v>
      </c>
      <c r="Q821" s="4" t="s">
        <v>2276</v>
      </c>
      <c r="R821" s="4" t="s">
        <v>2276</v>
      </c>
      <c r="S821" s="4" t="s">
        <v>2276</v>
      </c>
      <c r="T821" s="11"/>
    </row>
    <row r="822" spans="1:20" ht="42" customHeight="1">
      <c r="A822" s="11" t="s">
        <v>5109</v>
      </c>
      <c r="B822" s="3" t="s">
        <v>2276</v>
      </c>
      <c r="C822" s="3" t="s">
        <v>12</v>
      </c>
      <c r="D822" s="3" t="s">
        <v>5005</v>
      </c>
      <c r="E822" s="3" t="s">
        <v>45</v>
      </c>
      <c r="F822" s="3" t="s">
        <v>2647</v>
      </c>
      <c r="G822" s="4" t="s">
        <v>2276</v>
      </c>
      <c r="H822" s="4" t="s">
        <v>2276</v>
      </c>
      <c r="I822" s="4" t="s">
        <v>2276</v>
      </c>
      <c r="J822" s="4" t="s">
        <v>2276</v>
      </c>
      <c r="K822" s="4" t="s">
        <v>2276</v>
      </c>
      <c r="L822" s="4" t="s">
        <v>2276</v>
      </c>
      <c r="M822" s="4" t="s">
        <v>2276</v>
      </c>
      <c r="N822" s="4" t="s">
        <v>2276</v>
      </c>
      <c r="O822" s="4" t="s">
        <v>2276</v>
      </c>
      <c r="P822" s="4" t="s">
        <v>2276</v>
      </c>
      <c r="Q822" s="4" t="s">
        <v>2276</v>
      </c>
      <c r="R822" s="4" t="s">
        <v>2276</v>
      </c>
      <c r="S822" s="4" t="s">
        <v>2276</v>
      </c>
      <c r="T822" s="4" t="s">
        <v>5110</v>
      </c>
    </row>
    <row r="823" spans="1:20" ht="37" customHeight="1">
      <c r="A823" s="11" t="s">
        <v>5117</v>
      </c>
      <c r="B823" s="3" t="s">
        <v>2258</v>
      </c>
      <c r="C823" s="3" t="s">
        <v>12</v>
      </c>
      <c r="D823" s="3" t="s">
        <v>5005</v>
      </c>
      <c r="E823" s="4" t="s">
        <v>396</v>
      </c>
      <c r="F823" s="4" t="s">
        <v>397</v>
      </c>
      <c r="G823" s="4" t="s">
        <v>2276</v>
      </c>
      <c r="H823" s="4" t="s">
        <v>2276</v>
      </c>
      <c r="I823" s="4" t="s">
        <v>2276</v>
      </c>
      <c r="J823" s="4" t="s">
        <v>2276</v>
      </c>
      <c r="K823" s="4" t="s">
        <v>2276</v>
      </c>
      <c r="L823" s="4" t="s">
        <v>2276</v>
      </c>
      <c r="M823" s="4" t="s">
        <v>2276</v>
      </c>
      <c r="N823" s="4" t="s">
        <v>2276</v>
      </c>
      <c r="O823" s="4" t="s">
        <v>2276</v>
      </c>
      <c r="P823" s="4" t="s">
        <v>2276</v>
      </c>
      <c r="Q823" s="4" t="s">
        <v>2276</v>
      </c>
      <c r="R823" s="4" t="s">
        <v>2276</v>
      </c>
      <c r="S823" s="4" t="s">
        <v>2276</v>
      </c>
      <c r="T823" s="3" t="s">
        <v>5120</v>
      </c>
    </row>
    <row r="824" spans="1:20" ht="31.5" customHeight="1">
      <c r="A824" s="11" t="s">
        <v>5123</v>
      </c>
      <c r="B824" s="3" t="s">
        <v>1197</v>
      </c>
      <c r="C824" s="3" t="s">
        <v>2645</v>
      </c>
      <c r="D824" s="3" t="s">
        <v>137</v>
      </c>
      <c r="E824" s="3" t="s">
        <v>2652</v>
      </c>
      <c r="F824" s="3" t="s">
        <v>2653</v>
      </c>
      <c r="G824" s="4" t="s">
        <v>2276</v>
      </c>
      <c r="H824" s="4" t="s">
        <v>2276</v>
      </c>
      <c r="I824" s="4" t="s">
        <v>2276</v>
      </c>
      <c r="J824" s="4" t="s">
        <v>2276</v>
      </c>
      <c r="K824" s="4" t="s">
        <v>2276</v>
      </c>
      <c r="L824" s="4" t="s">
        <v>2276</v>
      </c>
      <c r="M824" s="4" t="s">
        <v>2276</v>
      </c>
      <c r="N824" s="4" t="s">
        <v>2276</v>
      </c>
      <c r="O824" s="4" t="s">
        <v>2276</v>
      </c>
      <c r="P824" s="4" t="s">
        <v>2276</v>
      </c>
      <c r="Q824" s="4" t="s">
        <v>2276</v>
      </c>
      <c r="R824" s="4" t="s">
        <v>2276</v>
      </c>
      <c r="S824" s="4" t="s">
        <v>2276</v>
      </c>
      <c r="T824" s="3"/>
    </row>
    <row r="825" spans="1:20" ht="31.5" customHeight="1">
      <c r="A825" s="11" t="s">
        <v>5124</v>
      </c>
      <c r="B825" s="3" t="s">
        <v>1197</v>
      </c>
      <c r="C825" s="3" t="s">
        <v>2645</v>
      </c>
      <c r="D825" s="3" t="s">
        <v>137</v>
      </c>
      <c r="E825" s="3" t="s">
        <v>2652</v>
      </c>
      <c r="F825" s="3" t="s">
        <v>2653</v>
      </c>
      <c r="G825" s="4" t="s">
        <v>2276</v>
      </c>
      <c r="H825" s="4" t="s">
        <v>2276</v>
      </c>
      <c r="I825" s="4" t="s">
        <v>2276</v>
      </c>
      <c r="J825" s="4" t="s">
        <v>2276</v>
      </c>
      <c r="K825" s="4" t="s">
        <v>2276</v>
      </c>
      <c r="L825" s="4" t="s">
        <v>2276</v>
      </c>
      <c r="M825" s="4" t="s">
        <v>2276</v>
      </c>
      <c r="N825" s="4" t="s">
        <v>2276</v>
      </c>
      <c r="O825" s="4" t="s">
        <v>2276</v>
      </c>
      <c r="P825" s="4" t="s">
        <v>2276</v>
      </c>
      <c r="Q825" s="4" t="s">
        <v>2276</v>
      </c>
      <c r="R825" s="4" t="s">
        <v>2276</v>
      </c>
      <c r="S825" s="4" t="s">
        <v>2276</v>
      </c>
      <c r="T825" s="3"/>
    </row>
    <row r="826" spans="1:20" ht="31.5" customHeight="1">
      <c r="A826" s="11" t="s">
        <v>5125</v>
      </c>
      <c r="B826" s="3" t="s">
        <v>1197</v>
      </c>
      <c r="C826" s="3" t="s">
        <v>2645</v>
      </c>
      <c r="D826" s="3" t="s">
        <v>137</v>
      </c>
      <c r="E826" s="3" t="s">
        <v>2652</v>
      </c>
      <c r="F826" s="3" t="s">
        <v>2653</v>
      </c>
      <c r="G826" s="4" t="s">
        <v>2276</v>
      </c>
      <c r="H826" s="4" t="s">
        <v>2276</v>
      </c>
      <c r="I826" s="4" t="s">
        <v>2276</v>
      </c>
      <c r="J826" s="4" t="s">
        <v>2276</v>
      </c>
      <c r="K826" s="4" t="s">
        <v>2276</v>
      </c>
      <c r="L826" s="4" t="s">
        <v>2276</v>
      </c>
      <c r="M826" s="4" t="s">
        <v>2276</v>
      </c>
      <c r="N826" s="4" t="s">
        <v>2276</v>
      </c>
      <c r="O826" s="4" t="s">
        <v>2276</v>
      </c>
      <c r="P826" s="4" t="s">
        <v>2276</v>
      </c>
      <c r="Q826" s="4" t="s">
        <v>2276</v>
      </c>
      <c r="R826" s="4" t="s">
        <v>2276</v>
      </c>
      <c r="S826" s="4" t="s">
        <v>2276</v>
      </c>
      <c r="T826" s="3"/>
    </row>
    <row r="827" spans="1:20" ht="31.5" customHeight="1">
      <c r="A827" s="11" t="s">
        <v>5126</v>
      </c>
      <c r="B827" s="3" t="s">
        <v>1197</v>
      </c>
      <c r="C827" s="3" t="s">
        <v>2645</v>
      </c>
      <c r="D827" s="3" t="s">
        <v>137</v>
      </c>
      <c r="E827" s="3" t="s">
        <v>2652</v>
      </c>
      <c r="F827" s="3" t="s">
        <v>2653</v>
      </c>
      <c r="G827" s="4" t="s">
        <v>2276</v>
      </c>
      <c r="H827" s="4" t="s">
        <v>2276</v>
      </c>
      <c r="I827" s="4" t="s">
        <v>2276</v>
      </c>
      <c r="J827" s="4" t="s">
        <v>2276</v>
      </c>
      <c r="K827" s="4" t="s">
        <v>2276</v>
      </c>
      <c r="L827" s="4" t="s">
        <v>2276</v>
      </c>
      <c r="M827" s="4" t="s">
        <v>2276</v>
      </c>
      <c r="N827" s="4" t="s">
        <v>2276</v>
      </c>
      <c r="O827" s="4" t="s">
        <v>2276</v>
      </c>
      <c r="P827" s="4" t="s">
        <v>2276</v>
      </c>
      <c r="Q827" s="4" t="s">
        <v>2276</v>
      </c>
      <c r="R827" s="4" t="s">
        <v>2276</v>
      </c>
      <c r="S827" s="4" t="s">
        <v>2276</v>
      </c>
      <c r="T827" s="3"/>
    </row>
    <row r="828" spans="1:20" ht="31.5" customHeight="1">
      <c r="A828" s="11" t="s">
        <v>5127</v>
      </c>
      <c r="B828" s="3" t="s">
        <v>1197</v>
      </c>
      <c r="C828" s="3" t="s">
        <v>2645</v>
      </c>
      <c r="D828" s="3" t="s">
        <v>137</v>
      </c>
      <c r="E828" s="3" t="s">
        <v>2652</v>
      </c>
      <c r="F828" s="3" t="s">
        <v>2653</v>
      </c>
      <c r="G828" s="4" t="s">
        <v>2276</v>
      </c>
      <c r="H828" s="4" t="s">
        <v>2276</v>
      </c>
      <c r="I828" s="4" t="s">
        <v>2276</v>
      </c>
      <c r="J828" s="4" t="s">
        <v>2276</v>
      </c>
      <c r="K828" s="4" t="s">
        <v>2276</v>
      </c>
      <c r="L828" s="4" t="s">
        <v>2276</v>
      </c>
      <c r="M828" s="4" t="s">
        <v>2276</v>
      </c>
      <c r="N828" s="4" t="s">
        <v>2276</v>
      </c>
      <c r="O828" s="4" t="s">
        <v>2276</v>
      </c>
      <c r="P828" s="4" t="s">
        <v>2276</v>
      </c>
      <c r="Q828" s="4" t="s">
        <v>2276</v>
      </c>
      <c r="R828" s="4" t="s">
        <v>2276</v>
      </c>
      <c r="S828" s="4" t="s">
        <v>2276</v>
      </c>
      <c r="T828" s="3"/>
    </row>
    <row r="829" spans="1:20" ht="31.5" customHeight="1">
      <c r="A829" s="11" t="s">
        <v>5128</v>
      </c>
      <c r="B829" s="3" t="s">
        <v>32</v>
      </c>
      <c r="C829" s="3" t="s">
        <v>2646</v>
      </c>
      <c r="D829" s="3" t="s">
        <v>116</v>
      </c>
      <c r="E829" s="3" t="s">
        <v>137</v>
      </c>
      <c r="F829" s="3" t="s">
        <v>2652</v>
      </c>
      <c r="G829" s="3" t="s">
        <v>2653</v>
      </c>
      <c r="H829" s="4" t="s">
        <v>2276</v>
      </c>
      <c r="I829" s="4" t="s">
        <v>2276</v>
      </c>
      <c r="J829" s="4" t="s">
        <v>2276</v>
      </c>
      <c r="K829" s="4" t="s">
        <v>2276</v>
      </c>
      <c r="L829" s="4" t="s">
        <v>2276</v>
      </c>
      <c r="M829" s="4" t="s">
        <v>2276</v>
      </c>
      <c r="N829" s="4" t="s">
        <v>2276</v>
      </c>
      <c r="O829" s="4" t="s">
        <v>2276</v>
      </c>
      <c r="P829" s="4" t="s">
        <v>2276</v>
      </c>
      <c r="Q829" s="4" t="s">
        <v>2276</v>
      </c>
      <c r="R829" s="4" t="s">
        <v>2276</v>
      </c>
      <c r="S829" s="4" t="s">
        <v>2276</v>
      </c>
      <c r="T829" s="3" t="s">
        <v>5213</v>
      </c>
    </row>
    <row r="830" spans="1:20" ht="31.5" customHeight="1">
      <c r="A830" s="11" t="s">
        <v>5129</v>
      </c>
      <c r="B830" s="3" t="s">
        <v>32</v>
      </c>
      <c r="C830" s="3" t="s">
        <v>2646</v>
      </c>
      <c r="D830" s="3" t="s">
        <v>116</v>
      </c>
      <c r="E830" s="3" t="s">
        <v>137</v>
      </c>
      <c r="F830" s="3" t="s">
        <v>2652</v>
      </c>
      <c r="G830" s="3" t="s">
        <v>2653</v>
      </c>
      <c r="H830" s="4" t="s">
        <v>2276</v>
      </c>
      <c r="I830" s="4" t="s">
        <v>2276</v>
      </c>
      <c r="J830" s="4" t="s">
        <v>2276</v>
      </c>
      <c r="K830" s="4" t="s">
        <v>2276</v>
      </c>
      <c r="L830" s="4" t="s">
        <v>2276</v>
      </c>
      <c r="M830" s="4" t="s">
        <v>2276</v>
      </c>
      <c r="N830" s="4" t="s">
        <v>2276</v>
      </c>
      <c r="O830" s="4" t="s">
        <v>2276</v>
      </c>
      <c r="P830" s="4" t="s">
        <v>2276</v>
      </c>
      <c r="Q830" s="4" t="s">
        <v>2276</v>
      </c>
      <c r="R830" s="4" t="s">
        <v>2276</v>
      </c>
      <c r="S830" s="4" t="s">
        <v>2276</v>
      </c>
      <c r="T830" s="3" t="s">
        <v>5213</v>
      </c>
    </row>
    <row r="831" spans="1:20" ht="31.5" customHeight="1">
      <c r="A831" s="11" t="s">
        <v>5130</v>
      </c>
      <c r="B831" s="3" t="s">
        <v>32</v>
      </c>
      <c r="C831" s="3" t="s">
        <v>2646</v>
      </c>
      <c r="D831" s="3" t="s">
        <v>116</v>
      </c>
      <c r="E831" s="3" t="s">
        <v>137</v>
      </c>
      <c r="F831" s="3" t="s">
        <v>2652</v>
      </c>
      <c r="G831" s="3" t="s">
        <v>2653</v>
      </c>
      <c r="H831" s="4" t="s">
        <v>2276</v>
      </c>
      <c r="I831" s="4" t="s">
        <v>2276</v>
      </c>
      <c r="J831" s="4" t="s">
        <v>2276</v>
      </c>
      <c r="K831" s="4" t="s">
        <v>2276</v>
      </c>
      <c r="L831" s="4" t="s">
        <v>2276</v>
      </c>
      <c r="M831" s="4" t="s">
        <v>2276</v>
      </c>
      <c r="N831" s="4" t="s">
        <v>2276</v>
      </c>
      <c r="O831" s="4" t="s">
        <v>2276</v>
      </c>
      <c r="P831" s="4" t="s">
        <v>2276</v>
      </c>
      <c r="Q831" s="4" t="s">
        <v>2276</v>
      </c>
      <c r="R831" s="4" t="s">
        <v>2276</v>
      </c>
      <c r="S831" s="4" t="s">
        <v>2276</v>
      </c>
      <c r="T831" s="3" t="s">
        <v>5213</v>
      </c>
    </row>
    <row r="832" spans="1:20" ht="31.5" customHeight="1">
      <c r="A832" s="11" t="s">
        <v>5131</v>
      </c>
      <c r="B832" s="3" t="s">
        <v>32</v>
      </c>
      <c r="C832" s="3" t="s">
        <v>2646</v>
      </c>
      <c r="D832" s="3" t="s">
        <v>116</v>
      </c>
      <c r="E832" s="3" t="s">
        <v>137</v>
      </c>
      <c r="F832" s="3" t="s">
        <v>2652</v>
      </c>
      <c r="G832" s="3" t="s">
        <v>2653</v>
      </c>
      <c r="H832" s="4" t="s">
        <v>2276</v>
      </c>
      <c r="I832" s="4" t="s">
        <v>2276</v>
      </c>
      <c r="J832" s="4" t="s">
        <v>2276</v>
      </c>
      <c r="K832" s="4" t="s">
        <v>2276</v>
      </c>
      <c r="L832" s="4" t="s">
        <v>2276</v>
      </c>
      <c r="M832" s="4" t="s">
        <v>2276</v>
      </c>
      <c r="N832" s="4" t="s">
        <v>2276</v>
      </c>
      <c r="O832" s="4" t="s">
        <v>2276</v>
      </c>
      <c r="P832" s="4" t="s">
        <v>2276</v>
      </c>
      <c r="Q832" s="4" t="s">
        <v>2276</v>
      </c>
      <c r="R832" s="4" t="s">
        <v>2276</v>
      </c>
      <c r="S832" s="4" t="s">
        <v>2276</v>
      </c>
      <c r="T832" s="3" t="s">
        <v>5213</v>
      </c>
    </row>
    <row r="833" spans="1:20" ht="31.5" customHeight="1">
      <c r="A833" s="11" t="s">
        <v>5132</v>
      </c>
      <c r="B833" s="3" t="s">
        <v>32</v>
      </c>
      <c r="C833" s="3" t="s">
        <v>2646</v>
      </c>
      <c r="D833" s="3" t="s">
        <v>116</v>
      </c>
      <c r="E833" s="3" t="s">
        <v>137</v>
      </c>
      <c r="F833" s="3" t="s">
        <v>2652</v>
      </c>
      <c r="G833" s="3" t="s">
        <v>2653</v>
      </c>
      <c r="H833" s="4" t="s">
        <v>2276</v>
      </c>
      <c r="I833" s="4" t="s">
        <v>2276</v>
      </c>
      <c r="J833" s="4" t="s">
        <v>2276</v>
      </c>
      <c r="K833" s="4" t="s">
        <v>2276</v>
      </c>
      <c r="L833" s="4" t="s">
        <v>2276</v>
      </c>
      <c r="M833" s="4" t="s">
        <v>2276</v>
      </c>
      <c r="N833" s="4" t="s">
        <v>2276</v>
      </c>
      <c r="O833" s="4" t="s">
        <v>2276</v>
      </c>
      <c r="P833" s="4" t="s">
        <v>2276</v>
      </c>
      <c r="Q833" s="4" t="s">
        <v>2276</v>
      </c>
      <c r="R833" s="4" t="s">
        <v>2276</v>
      </c>
      <c r="S833" s="4" t="s">
        <v>2276</v>
      </c>
      <c r="T833" s="3" t="s">
        <v>5213</v>
      </c>
    </row>
    <row r="834" spans="1:20" ht="29" customHeight="1">
      <c r="A834" s="11" t="s">
        <v>5190</v>
      </c>
      <c r="B834" s="3" t="s">
        <v>2258</v>
      </c>
      <c r="C834" s="3" t="s">
        <v>12</v>
      </c>
      <c r="D834" s="3" t="s">
        <v>863</v>
      </c>
      <c r="E834" s="3" t="s">
        <v>130</v>
      </c>
      <c r="F834" s="4" t="s">
        <v>396</v>
      </c>
      <c r="G834" s="3" t="s">
        <v>84</v>
      </c>
      <c r="H834" s="4" t="s">
        <v>2276</v>
      </c>
      <c r="I834" s="4" t="s">
        <v>2276</v>
      </c>
      <c r="J834" s="4" t="s">
        <v>2276</v>
      </c>
      <c r="K834" s="3" t="s">
        <v>534</v>
      </c>
      <c r="L834" s="4" t="s">
        <v>2276</v>
      </c>
      <c r="M834" s="4" t="s">
        <v>2276</v>
      </c>
      <c r="N834" s="4" t="s">
        <v>2276</v>
      </c>
      <c r="O834" s="4" t="s">
        <v>2276</v>
      </c>
      <c r="P834" s="4" t="s">
        <v>2276</v>
      </c>
      <c r="Q834" s="4" t="s">
        <v>2276</v>
      </c>
      <c r="R834" s="4" t="s">
        <v>2276</v>
      </c>
      <c r="S834" s="4" t="s">
        <v>2276</v>
      </c>
      <c r="T834" s="3" t="s">
        <v>5192</v>
      </c>
    </row>
    <row r="835" spans="1:20" ht="34" customHeight="1">
      <c r="A835" s="11" t="s">
        <v>5209</v>
      </c>
      <c r="B835" s="3" t="s">
        <v>32</v>
      </c>
      <c r="C835" s="3" t="s">
        <v>2646</v>
      </c>
      <c r="D835" s="3" t="s">
        <v>2652</v>
      </c>
      <c r="E835" s="11" t="s">
        <v>5801</v>
      </c>
      <c r="F835" s="4" t="s">
        <v>137</v>
      </c>
      <c r="G835" s="3" t="s">
        <v>116</v>
      </c>
      <c r="H835" s="4" t="s">
        <v>2276</v>
      </c>
      <c r="I835" s="4" t="s">
        <v>2276</v>
      </c>
      <c r="J835" s="4" t="s">
        <v>2276</v>
      </c>
      <c r="K835" s="4" t="s">
        <v>2276</v>
      </c>
      <c r="L835" s="4" t="s">
        <v>2276</v>
      </c>
      <c r="M835" s="4" t="s">
        <v>2276</v>
      </c>
      <c r="N835" s="4" t="s">
        <v>2276</v>
      </c>
      <c r="O835" s="4" t="s">
        <v>2276</v>
      </c>
      <c r="P835" s="4" t="s">
        <v>2276</v>
      </c>
      <c r="Q835" s="4" t="s">
        <v>2276</v>
      </c>
      <c r="R835" s="4" t="s">
        <v>2276</v>
      </c>
      <c r="S835" s="4" t="s">
        <v>2276</v>
      </c>
      <c r="T835" s="3" t="s">
        <v>5214</v>
      </c>
    </row>
    <row r="836" spans="1:20" ht="27.5" customHeight="1">
      <c r="A836" s="11" t="s">
        <v>5223</v>
      </c>
      <c r="B836" s="3" t="s">
        <v>1197</v>
      </c>
      <c r="C836" s="3" t="s">
        <v>12</v>
      </c>
      <c r="D836" s="3" t="s">
        <v>5005</v>
      </c>
      <c r="E836" s="4" t="s">
        <v>397</v>
      </c>
      <c r="F836" s="3" t="s">
        <v>863</v>
      </c>
      <c r="G836" s="3" t="s">
        <v>116</v>
      </c>
      <c r="H836" s="4" t="s">
        <v>2276</v>
      </c>
      <c r="I836" s="4" t="s">
        <v>2276</v>
      </c>
      <c r="J836" s="4" t="s">
        <v>2276</v>
      </c>
      <c r="K836" s="3" t="s">
        <v>534</v>
      </c>
      <c r="L836" s="4" t="s">
        <v>2276</v>
      </c>
      <c r="M836" s="4" t="s">
        <v>2276</v>
      </c>
      <c r="N836" s="4" t="s">
        <v>2276</v>
      </c>
      <c r="O836" s="4" t="s">
        <v>2276</v>
      </c>
      <c r="P836" s="4" t="s">
        <v>2276</v>
      </c>
      <c r="Q836" s="4" t="s">
        <v>2276</v>
      </c>
      <c r="R836" s="4" t="s">
        <v>2276</v>
      </c>
      <c r="S836" s="4" t="s">
        <v>2276</v>
      </c>
      <c r="T836" s="3" t="s">
        <v>5249</v>
      </c>
    </row>
    <row r="837" spans="1:20" ht="29.5" customHeight="1">
      <c r="A837" s="11" t="s">
        <v>5234</v>
      </c>
      <c r="B837" s="3" t="s">
        <v>2258</v>
      </c>
      <c r="C837" s="3" t="s">
        <v>395</v>
      </c>
      <c r="D837" s="3" t="s">
        <v>5005</v>
      </c>
      <c r="E837" s="3" t="s">
        <v>116</v>
      </c>
      <c r="F837" s="3" t="s">
        <v>863</v>
      </c>
      <c r="G837" s="3" t="s">
        <v>130</v>
      </c>
      <c r="H837" s="4" t="s">
        <v>2276</v>
      </c>
      <c r="I837" s="4" t="s">
        <v>2276</v>
      </c>
      <c r="J837" s="4" t="s">
        <v>2276</v>
      </c>
      <c r="K837" s="3" t="s">
        <v>534</v>
      </c>
      <c r="L837" s="4" t="s">
        <v>2276</v>
      </c>
      <c r="M837" s="4" t="s">
        <v>2276</v>
      </c>
      <c r="N837" s="4" t="s">
        <v>2276</v>
      </c>
      <c r="O837" s="4" t="s">
        <v>2276</v>
      </c>
      <c r="P837" s="4" t="s">
        <v>2276</v>
      </c>
      <c r="Q837" s="4" t="s">
        <v>2276</v>
      </c>
      <c r="R837" s="4" t="s">
        <v>2276</v>
      </c>
      <c r="S837" s="4" t="s">
        <v>2276</v>
      </c>
      <c r="T837" s="4" t="s">
        <v>5250</v>
      </c>
    </row>
    <row r="838" spans="1:20" ht="29.5" customHeight="1">
      <c r="A838" s="23" t="s">
        <v>5236</v>
      </c>
      <c r="B838" s="3" t="s">
        <v>2258</v>
      </c>
      <c r="C838" s="3" t="s">
        <v>395</v>
      </c>
      <c r="D838" s="3" t="s">
        <v>5005</v>
      </c>
      <c r="E838" s="3" t="s">
        <v>116</v>
      </c>
      <c r="F838" s="3" t="s">
        <v>863</v>
      </c>
      <c r="G838" s="3" t="s">
        <v>130</v>
      </c>
      <c r="H838" s="4" t="s">
        <v>2276</v>
      </c>
      <c r="I838" s="4" t="s">
        <v>2276</v>
      </c>
      <c r="J838" s="4" t="s">
        <v>2276</v>
      </c>
      <c r="K838" s="3" t="s">
        <v>534</v>
      </c>
      <c r="L838" s="4" t="s">
        <v>2276</v>
      </c>
      <c r="M838" s="4" t="s">
        <v>2276</v>
      </c>
      <c r="N838" s="4" t="s">
        <v>2276</v>
      </c>
      <c r="O838" s="4" t="s">
        <v>2276</v>
      </c>
      <c r="P838" s="4" t="s">
        <v>2276</v>
      </c>
      <c r="Q838" s="4" t="s">
        <v>2276</v>
      </c>
      <c r="R838" s="4" t="s">
        <v>2276</v>
      </c>
      <c r="S838" s="4" t="s">
        <v>2276</v>
      </c>
      <c r="T838" s="4" t="s">
        <v>5250</v>
      </c>
    </row>
    <row r="839" spans="1:20" ht="29.5" customHeight="1">
      <c r="A839" s="23" t="s">
        <v>5237</v>
      </c>
      <c r="B839" s="3" t="s">
        <v>2258</v>
      </c>
      <c r="C839" s="3" t="s">
        <v>395</v>
      </c>
      <c r="D839" s="3" t="s">
        <v>5005</v>
      </c>
      <c r="E839" s="3" t="s">
        <v>116</v>
      </c>
      <c r="F839" s="3" t="s">
        <v>863</v>
      </c>
      <c r="G839" s="3" t="s">
        <v>130</v>
      </c>
      <c r="H839" s="4" t="s">
        <v>2276</v>
      </c>
      <c r="I839" s="4" t="s">
        <v>2276</v>
      </c>
      <c r="J839" s="4" t="s">
        <v>2276</v>
      </c>
      <c r="K839" s="3" t="s">
        <v>534</v>
      </c>
      <c r="L839" s="4" t="s">
        <v>2276</v>
      </c>
      <c r="M839" s="4" t="s">
        <v>2276</v>
      </c>
      <c r="N839" s="4" t="s">
        <v>2276</v>
      </c>
      <c r="O839" s="4" t="s">
        <v>2276</v>
      </c>
      <c r="P839" s="4" t="s">
        <v>2276</v>
      </c>
      <c r="Q839" s="4" t="s">
        <v>2276</v>
      </c>
      <c r="R839" s="4" t="s">
        <v>2276</v>
      </c>
      <c r="S839" s="4" t="s">
        <v>2276</v>
      </c>
      <c r="T839" s="4" t="s">
        <v>5250</v>
      </c>
    </row>
    <row r="840" spans="1:20" ht="29.5" customHeight="1">
      <c r="A840" s="23" t="s">
        <v>5238</v>
      </c>
      <c r="B840" s="3" t="s">
        <v>2258</v>
      </c>
      <c r="C840" s="3" t="s">
        <v>395</v>
      </c>
      <c r="D840" s="3" t="s">
        <v>5005</v>
      </c>
      <c r="E840" s="3" t="s">
        <v>116</v>
      </c>
      <c r="F840" s="3" t="s">
        <v>863</v>
      </c>
      <c r="G840" s="3" t="s">
        <v>130</v>
      </c>
      <c r="H840" s="4" t="s">
        <v>2276</v>
      </c>
      <c r="I840" s="4" t="s">
        <v>2276</v>
      </c>
      <c r="J840" s="4" t="s">
        <v>2276</v>
      </c>
      <c r="K840" s="3" t="s">
        <v>534</v>
      </c>
      <c r="L840" s="4" t="s">
        <v>2276</v>
      </c>
      <c r="M840" s="4" t="s">
        <v>2276</v>
      </c>
      <c r="N840" s="4" t="s">
        <v>2276</v>
      </c>
      <c r="O840" s="4" t="s">
        <v>2276</v>
      </c>
      <c r="P840" s="4" t="s">
        <v>2276</v>
      </c>
      <c r="Q840" s="4" t="s">
        <v>2276</v>
      </c>
      <c r="R840" s="4" t="s">
        <v>2276</v>
      </c>
      <c r="S840" s="4" t="s">
        <v>2276</v>
      </c>
      <c r="T840" s="4" t="s">
        <v>5250</v>
      </c>
    </row>
    <row r="841" spans="1:20" ht="29.5" customHeight="1">
      <c r="A841" s="23" t="s">
        <v>5239</v>
      </c>
      <c r="B841" s="3" t="s">
        <v>2258</v>
      </c>
      <c r="C841" s="3" t="s">
        <v>395</v>
      </c>
      <c r="D841" s="3" t="s">
        <v>5005</v>
      </c>
      <c r="E841" s="3" t="s">
        <v>116</v>
      </c>
      <c r="F841" s="3" t="s">
        <v>863</v>
      </c>
      <c r="G841" s="3" t="s">
        <v>130</v>
      </c>
      <c r="H841" s="4" t="s">
        <v>2276</v>
      </c>
      <c r="I841" s="4" t="s">
        <v>2276</v>
      </c>
      <c r="J841" s="4" t="s">
        <v>2276</v>
      </c>
      <c r="K841" s="3" t="s">
        <v>534</v>
      </c>
      <c r="L841" s="4" t="s">
        <v>2276</v>
      </c>
      <c r="M841" s="4" t="s">
        <v>2276</v>
      </c>
      <c r="N841" s="4" t="s">
        <v>2276</v>
      </c>
      <c r="O841" s="4" t="s">
        <v>2276</v>
      </c>
      <c r="P841" s="4" t="s">
        <v>2276</v>
      </c>
      <c r="Q841" s="4" t="s">
        <v>2276</v>
      </c>
      <c r="R841" s="4" t="s">
        <v>2276</v>
      </c>
      <c r="S841" s="4" t="s">
        <v>2276</v>
      </c>
      <c r="T841" s="4" t="s">
        <v>5250</v>
      </c>
    </row>
    <row r="842" spans="1:20" ht="29.5" customHeight="1">
      <c r="A842" s="23" t="s">
        <v>5240</v>
      </c>
      <c r="B842" s="3" t="s">
        <v>2258</v>
      </c>
      <c r="C842" s="3" t="s">
        <v>395</v>
      </c>
      <c r="D842" s="3" t="s">
        <v>5005</v>
      </c>
      <c r="E842" s="3" t="s">
        <v>116</v>
      </c>
      <c r="F842" s="3" t="s">
        <v>863</v>
      </c>
      <c r="G842" s="3" t="s">
        <v>130</v>
      </c>
      <c r="H842" s="4" t="s">
        <v>2276</v>
      </c>
      <c r="I842" s="4" t="s">
        <v>2276</v>
      </c>
      <c r="J842" s="4" t="s">
        <v>2276</v>
      </c>
      <c r="K842" s="3" t="s">
        <v>534</v>
      </c>
      <c r="L842" s="4" t="s">
        <v>2276</v>
      </c>
      <c r="M842" s="4" t="s">
        <v>2276</v>
      </c>
      <c r="N842" s="4" t="s">
        <v>2276</v>
      </c>
      <c r="O842" s="4" t="s">
        <v>2276</v>
      </c>
      <c r="P842" s="4" t="s">
        <v>2276</v>
      </c>
      <c r="Q842" s="4" t="s">
        <v>2276</v>
      </c>
      <c r="R842" s="4" t="s">
        <v>2276</v>
      </c>
      <c r="S842" s="4" t="s">
        <v>2276</v>
      </c>
      <c r="T842" s="4" t="s">
        <v>5250</v>
      </c>
    </row>
    <row r="843" spans="1:20" ht="29.5" customHeight="1">
      <c r="A843" s="23" t="s">
        <v>5241</v>
      </c>
      <c r="B843" s="3" t="s">
        <v>2258</v>
      </c>
      <c r="C843" s="3" t="s">
        <v>395</v>
      </c>
      <c r="D843" s="3" t="s">
        <v>5005</v>
      </c>
      <c r="E843" s="3" t="s">
        <v>116</v>
      </c>
      <c r="F843" s="3" t="s">
        <v>863</v>
      </c>
      <c r="G843" s="3" t="s">
        <v>130</v>
      </c>
      <c r="H843" s="4" t="s">
        <v>2276</v>
      </c>
      <c r="I843" s="4" t="s">
        <v>2276</v>
      </c>
      <c r="J843" s="4" t="s">
        <v>2276</v>
      </c>
      <c r="K843" s="3" t="s">
        <v>534</v>
      </c>
      <c r="L843" s="4" t="s">
        <v>2276</v>
      </c>
      <c r="M843" s="4" t="s">
        <v>2276</v>
      </c>
      <c r="N843" s="4" t="s">
        <v>2276</v>
      </c>
      <c r="O843" s="4" t="s">
        <v>2276</v>
      </c>
      <c r="P843" s="4" t="s">
        <v>2276</v>
      </c>
      <c r="Q843" s="4" t="s">
        <v>2276</v>
      </c>
      <c r="R843" s="4" t="s">
        <v>2276</v>
      </c>
      <c r="S843" s="4" t="s">
        <v>2276</v>
      </c>
      <c r="T843" s="4" t="s">
        <v>5250</v>
      </c>
    </row>
    <row r="844" spans="1:20" ht="30" customHeight="1">
      <c r="A844" s="23" t="s">
        <v>5337</v>
      </c>
      <c r="B844" s="3" t="s">
        <v>2258</v>
      </c>
      <c r="C844" s="3" t="s">
        <v>12</v>
      </c>
      <c r="D844" s="3" t="s">
        <v>130</v>
      </c>
      <c r="E844" s="4" t="s">
        <v>396</v>
      </c>
      <c r="F844" s="3" t="s">
        <v>116</v>
      </c>
      <c r="G844" s="3" t="s">
        <v>84</v>
      </c>
      <c r="H844" s="4" t="s">
        <v>2276</v>
      </c>
      <c r="I844" s="4" t="s">
        <v>2276</v>
      </c>
      <c r="J844" s="4" t="s">
        <v>2276</v>
      </c>
      <c r="K844" s="4" t="s">
        <v>2276</v>
      </c>
      <c r="L844" s="4" t="s">
        <v>2276</v>
      </c>
      <c r="M844" s="4" t="s">
        <v>2276</v>
      </c>
      <c r="N844" s="4" t="s">
        <v>2276</v>
      </c>
      <c r="O844" s="4" t="s">
        <v>2276</v>
      </c>
      <c r="P844" s="4" t="s">
        <v>2276</v>
      </c>
      <c r="Q844" s="4" t="s">
        <v>2276</v>
      </c>
      <c r="R844" s="4" t="s">
        <v>2276</v>
      </c>
      <c r="S844" s="4" t="s">
        <v>2276</v>
      </c>
      <c r="T844" s="3"/>
    </row>
    <row r="845" spans="1:20" ht="35" customHeight="1">
      <c r="A845" s="23" t="s">
        <v>5338</v>
      </c>
      <c r="B845" s="3" t="s">
        <v>2258</v>
      </c>
      <c r="C845" s="3" t="s">
        <v>12</v>
      </c>
      <c r="D845" s="4" t="s">
        <v>396</v>
      </c>
      <c r="E845" s="3" t="s">
        <v>116</v>
      </c>
      <c r="F845" s="3" t="s">
        <v>84</v>
      </c>
      <c r="G845" s="4" t="s">
        <v>2276</v>
      </c>
      <c r="H845" s="4" t="s">
        <v>2276</v>
      </c>
      <c r="I845" s="4" t="s">
        <v>2276</v>
      </c>
      <c r="J845" s="4" t="s">
        <v>2276</v>
      </c>
      <c r="K845" s="4" t="s">
        <v>2276</v>
      </c>
      <c r="L845" s="4" t="s">
        <v>2276</v>
      </c>
      <c r="M845" s="4" t="s">
        <v>2276</v>
      </c>
      <c r="N845" s="4" t="s">
        <v>2276</v>
      </c>
      <c r="O845" s="4" t="s">
        <v>2276</v>
      </c>
      <c r="P845" s="21">
        <f>24+19</f>
        <v>43</v>
      </c>
      <c r="Q845" s="21">
        <v>14</v>
      </c>
      <c r="R845" s="21">
        <v>29</v>
      </c>
      <c r="S845" s="4" t="s">
        <v>2276</v>
      </c>
      <c r="T845" s="3" t="s">
        <v>5345</v>
      </c>
    </row>
    <row r="846" spans="1:20" ht="30" customHeight="1">
      <c r="A846" s="23" t="s">
        <v>5339</v>
      </c>
      <c r="B846" s="3" t="s">
        <v>2258</v>
      </c>
      <c r="C846" s="3" t="s">
        <v>12</v>
      </c>
      <c r="D846" s="3" t="s">
        <v>130</v>
      </c>
      <c r="E846" s="3" t="s">
        <v>116</v>
      </c>
      <c r="F846" s="4" t="s">
        <v>396</v>
      </c>
      <c r="G846" s="3" t="s">
        <v>84</v>
      </c>
      <c r="H846" s="4" t="s">
        <v>2276</v>
      </c>
      <c r="I846" s="4" t="s">
        <v>2276</v>
      </c>
      <c r="J846" s="4" t="s">
        <v>2276</v>
      </c>
      <c r="K846" s="4" t="s">
        <v>2276</v>
      </c>
      <c r="L846" s="4" t="s">
        <v>2276</v>
      </c>
      <c r="M846" s="4" t="s">
        <v>2276</v>
      </c>
      <c r="N846" s="4" t="s">
        <v>2276</v>
      </c>
      <c r="O846" s="4" t="s">
        <v>2276</v>
      </c>
      <c r="P846" s="4" t="s">
        <v>2276</v>
      </c>
      <c r="Q846" s="4" t="s">
        <v>2276</v>
      </c>
      <c r="R846" s="4" t="s">
        <v>2276</v>
      </c>
      <c r="S846" s="4" t="s">
        <v>2276</v>
      </c>
      <c r="T846" s="3" t="s">
        <v>5345</v>
      </c>
    </row>
    <row r="847" spans="1:20" ht="30" customHeight="1">
      <c r="A847" s="23" t="s">
        <v>5340</v>
      </c>
      <c r="B847" s="3" t="s">
        <v>2258</v>
      </c>
      <c r="C847" s="3" t="s">
        <v>12</v>
      </c>
      <c r="D847" s="3" t="s">
        <v>130</v>
      </c>
      <c r="E847" s="3" t="s">
        <v>116</v>
      </c>
      <c r="F847" s="4" t="s">
        <v>396</v>
      </c>
      <c r="G847" s="3" t="s">
        <v>84</v>
      </c>
      <c r="H847" s="4" t="s">
        <v>2276</v>
      </c>
      <c r="I847" s="4" t="s">
        <v>2276</v>
      </c>
      <c r="J847" s="4" t="s">
        <v>2276</v>
      </c>
      <c r="K847" s="4" t="s">
        <v>2276</v>
      </c>
      <c r="L847" s="4" t="s">
        <v>2276</v>
      </c>
      <c r="M847" s="4" t="s">
        <v>2276</v>
      </c>
      <c r="N847" s="4" t="s">
        <v>2276</v>
      </c>
      <c r="O847" s="4" t="s">
        <v>2276</v>
      </c>
      <c r="P847" s="21">
        <f>34</f>
        <v>34</v>
      </c>
      <c r="Q847" s="21">
        <f>17+1+2</f>
        <v>20</v>
      </c>
      <c r="R847" s="21">
        <f>23+17</f>
        <v>40</v>
      </c>
      <c r="S847" s="4" t="s">
        <v>2276</v>
      </c>
      <c r="T847" s="3" t="s">
        <v>5345</v>
      </c>
    </row>
    <row r="848" spans="1:20" ht="33" customHeight="1">
      <c r="A848" s="23" t="s">
        <v>5361</v>
      </c>
      <c r="B848" s="3" t="s">
        <v>2276</v>
      </c>
      <c r="C848" s="3" t="s">
        <v>395</v>
      </c>
      <c r="D848" s="3" t="s">
        <v>130</v>
      </c>
      <c r="E848" s="3" t="s">
        <v>116</v>
      </c>
      <c r="F848" s="4" t="s">
        <v>2276</v>
      </c>
      <c r="G848" s="4" t="s">
        <v>2276</v>
      </c>
      <c r="H848" s="4" t="s">
        <v>2276</v>
      </c>
      <c r="I848" s="4" t="s">
        <v>2276</v>
      </c>
      <c r="J848" s="4" t="s">
        <v>2276</v>
      </c>
      <c r="K848" s="4" t="s">
        <v>2276</v>
      </c>
      <c r="L848" s="4" t="s">
        <v>2276</v>
      </c>
      <c r="M848" s="4" t="s">
        <v>2276</v>
      </c>
      <c r="N848" s="4" t="s">
        <v>2276</v>
      </c>
      <c r="O848" s="4" t="s">
        <v>2276</v>
      </c>
      <c r="P848" s="4" t="s">
        <v>2276</v>
      </c>
      <c r="Q848" s="4" t="s">
        <v>2276</v>
      </c>
      <c r="R848" s="4" t="s">
        <v>2276</v>
      </c>
      <c r="S848" s="4" t="s">
        <v>2276</v>
      </c>
      <c r="T848" s="3"/>
    </row>
    <row r="849" spans="1:20" ht="36" customHeight="1">
      <c r="A849" s="23" t="s">
        <v>5370</v>
      </c>
      <c r="B849" s="3" t="s">
        <v>32</v>
      </c>
      <c r="C849" s="3" t="s">
        <v>395</v>
      </c>
      <c r="D849" s="3" t="s">
        <v>45</v>
      </c>
      <c r="E849" s="3" t="s">
        <v>116</v>
      </c>
      <c r="F849" s="4" t="s">
        <v>2276</v>
      </c>
      <c r="G849" s="4" t="s">
        <v>2276</v>
      </c>
      <c r="H849" s="4" t="s">
        <v>2276</v>
      </c>
      <c r="I849" s="4" t="s">
        <v>2276</v>
      </c>
      <c r="J849" s="4" t="s">
        <v>2276</v>
      </c>
      <c r="K849" s="4" t="s">
        <v>2276</v>
      </c>
      <c r="L849" s="4" t="s">
        <v>2276</v>
      </c>
      <c r="M849" s="4" t="s">
        <v>2276</v>
      </c>
      <c r="N849" s="4" t="s">
        <v>2276</v>
      </c>
      <c r="O849" s="4" t="s">
        <v>2276</v>
      </c>
      <c r="P849" s="4" t="s">
        <v>2276</v>
      </c>
      <c r="Q849" s="4" t="s">
        <v>2276</v>
      </c>
      <c r="R849" s="4" t="s">
        <v>2276</v>
      </c>
      <c r="S849" s="4" t="s">
        <v>2276</v>
      </c>
      <c r="T849" s="3" t="s">
        <v>5214</v>
      </c>
    </row>
    <row r="850" spans="1:20" ht="35" customHeight="1">
      <c r="A850" s="23" t="s">
        <v>5385</v>
      </c>
      <c r="B850" s="3" t="s">
        <v>1197</v>
      </c>
      <c r="C850" s="3" t="s">
        <v>2646</v>
      </c>
      <c r="D850" s="3" t="s">
        <v>137</v>
      </c>
      <c r="E850" s="3" t="s">
        <v>116</v>
      </c>
      <c r="F850" s="4" t="s">
        <v>2276</v>
      </c>
      <c r="G850" s="4" t="s">
        <v>2276</v>
      </c>
      <c r="H850" s="4" t="s">
        <v>2276</v>
      </c>
      <c r="I850" s="4" t="s">
        <v>2276</v>
      </c>
      <c r="J850" s="4" t="s">
        <v>2276</v>
      </c>
      <c r="K850" s="4" t="s">
        <v>2276</v>
      </c>
      <c r="L850" s="4" t="s">
        <v>2276</v>
      </c>
      <c r="M850" s="4" t="s">
        <v>2276</v>
      </c>
      <c r="N850" s="4" t="s">
        <v>2276</v>
      </c>
      <c r="O850" s="4" t="s">
        <v>2276</v>
      </c>
      <c r="P850" s="4" t="s">
        <v>2276</v>
      </c>
      <c r="Q850" s="4" t="s">
        <v>2276</v>
      </c>
      <c r="R850" s="4" t="s">
        <v>2276</v>
      </c>
      <c r="S850" s="4" t="s">
        <v>2276</v>
      </c>
      <c r="T850" s="4" t="s">
        <v>5387</v>
      </c>
    </row>
    <row r="851" spans="1:20" ht="34" customHeight="1">
      <c r="A851" s="23" t="s">
        <v>5403</v>
      </c>
      <c r="B851" s="3" t="s">
        <v>32</v>
      </c>
      <c r="C851" s="3" t="s">
        <v>12</v>
      </c>
      <c r="D851" s="3" t="s">
        <v>116</v>
      </c>
      <c r="E851" s="3" t="s">
        <v>2647</v>
      </c>
      <c r="F851" s="4" t="s">
        <v>2276</v>
      </c>
      <c r="G851" s="4" t="s">
        <v>2276</v>
      </c>
      <c r="H851" s="4" t="s">
        <v>2276</v>
      </c>
      <c r="I851" s="3">
        <v>178767</v>
      </c>
      <c r="J851" s="4" t="s">
        <v>2276</v>
      </c>
      <c r="K851" s="4" t="s">
        <v>2276</v>
      </c>
      <c r="L851" s="4" t="s">
        <v>2276</v>
      </c>
      <c r="M851" s="4" t="s">
        <v>2276</v>
      </c>
      <c r="N851" s="4" t="s">
        <v>2276</v>
      </c>
      <c r="O851" s="4" t="s">
        <v>2276</v>
      </c>
      <c r="P851" s="4" t="s">
        <v>2276</v>
      </c>
      <c r="Q851" s="4" t="s">
        <v>2276</v>
      </c>
      <c r="R851" s="4" t="s">
        <v>2276</v>
      </c>
      <c r="S851" s="4" t="s">
        <v>2276</v>
      </c>
      <c r="T851" s="3" t="s">
        <v>5406</v>
      </c>
    </row>
    <row r="852" spans="1:20" ht="37.5" customHeight="1">
      <c r="A852" s="23" t="s">
        <v>5414</v>
      </c>
      <c r="B852" s="3" t="s">
        <v>32</v>
      </c>
      <c r="C852" s="3" t="s">
        <v>12</v>
      </c>
      <c r="D852" s="3" t="s">
        <v>2649</v>
      </c>
      <c r="E852" s="3" t="s">
        <v>137</v>
      </c>
      <c r="F852" s="3" t="s">
        <v>116</v>
      </c>
      <c r="G852" s="4" t="s">
        <v>2276</v>
      </c>
      <c r="H852" s="4" t="s">
        <v>2276</v>
      </c>
      <c r="I852" s="4" t="s">
        <v>2276</v>
      </c>
      <c r="J852" s="4" t="s">
        <v>2276</v>
      </c>
      <c r="K852" s="3" t="s">
        <v>534</v>
      </c>
      <c r="L852" s="4" t="s">
        <v>2276</v>
      </c>
      <c r="M852" s="4" t="s">
        <v>2276</v>
      </c>
      <c r="N852" s="4" t="s">
        <v>2276</v>
      </c>
      <c r="O852" s="4" t="s">
        <v>2276</v>
      </c>
      <c r="P852" s="4" t="s">
        <v>2276</v>
      </c>
      <c r="Q852" s="4" t="s">
        <v>2276</v>
      </c>
      <c r="R852" s="4" t="s">
        <v>2276</v>
      </c>
      <c r="S852" s="4" t="s">
        <v>2276</v>
      </c>
      <c r="T852" s="3"/>
    </row>
    <row r="853" spans="1:20" ht="28.5" customHeight="1">
      <c r="A853" s="23" t="s">
        <v>5421</v>
      </c>
      <c r="B853" s="3" t="s">
        <v>1197</v>
      </c>
      <c r="C853" s="3" t="s">
        <v>2646</v>
      </c>
      <c r="D853" s="3" t="s">
        <v>137</v>
      </c>
      <c r="E853" s="3" t="s">
        <v>116</v>
      </c>
      <c r="F853" s="4" t="s">
        <v>2276</v>
      </c>
      <c r="G853" s="4" t="s">
        <v>2276</v>
      </c>
      <c r="H853" s="4" t="s">
        <v>2276</v>
      </c>
      <c r="I853" s="4" t="s">
        <v>2276</v>
      </c>
      <c r="J853" s="4" t="s">
        <v>2276</v>
      </c>
      <c r="K853" s="4" t="s">
        <v>2276</v>
      </c>
      <c r="L853" s="4" t="s">
        <v>2276</v>
      </c>
      <c r="M853" s="4" t="s">
        <v>2276</v>
      </c>
      <c r="N853" s="4" t="s">
        <v>2276</v>
      </c>
      <c r="O853" s="4" t="s">
        <v>2276</v>
      </c>
      <c r="P853" s="4" t="s">
        <v>2276</v>
      </c>
      <c r="Q853" s="4" t="s">
        <v>2276</v>
      </c>
      <c r="R853" s="4" t="s">
        <v>2276</v>
      </c>
      <c r="S853" s="4" t="s">
        <v>2276</v>
      </c>
      <c r="T853" s="3"/>
    </row>
    <row r="854" spans="1:20" ht="34.5" customHeight="1">
      <c r="A854" s="23" t="s">
        <v>5427</v>
      </c>
      <c r="B854" s="3" t="s">
        <v>1197</v>
      </c>
      <c r="C854" s="3" t="s">
        <v>2646</v>
      </c>
      <c r="D854" s="3" t="s">
        <v>137</v>
      </c>
      <c r="E854" s="3" t="s">
        <v>116</v>
      </c>
      <c r="F854" s="4" t="s">
        <v>2276</v>
      </c>
      <c r="G854" s="4" t="s">
        <v>2276</v>
      </c>
      <c r="H854" s="4" t="s">
        <v>2276</v>
      </c>
      <c r="I854" s="4" t="s">
        <v>2276</v>
      </c>
      <c r="J854" s="4" t="s">
        <v>2276</v>
      </c>
      <c r="K854" s="4" t="s">
        <v>2276</v>
      </c>
      <c r="L854" s="4" t="s">
        <v>2276</v>
      </c>
      <c r="M854" s="4" t="s">
        <v>2276</v>
      </c>
      <c r="N854" s="4" t="s">
        <v>2276</v>
      </c>
      <c r="O854" s="4" t="s">
        <v>2276</v>
      </c>
      <c r="P854" s="4" t="s">
        <v>2276</v>
      </c>
      <c r="Q854" s="4" t="s">
        <v>2276</v>
      </c>
      <c r="R854" s="4" t="s">
        <v>2276</v>
      </c>
      <c r="S854" s="4" t="s">
        <v>2276</v>
      </c>
      <c r="T854" s="3"/>
    </row>
    <row r="855" spans="1:20" ht="32" customHeight="1">
      <c r="A855" s="11" t="s">
        <v>5440</v>
      </c>
      <c r="B855" s="3" t="s">
        <v>2258</v>
      </c>
      <c r="C855" s="3" t="s">
        <v>12</v>
      </c>
      <c r="D855" s="3" t="s">
        <v>130</v>
      </c>
      <c r="E855" s="4" t="s">
        <v>396</v>
      </c>
      <c r="F855" s="3" t="s">
        <v>5005</v>
      </c>
      <c r="G855" s="3" t="s">
        <v>116</v>
      </c>
      <c r="H855" s="4" t="s">
        <v>2276</v>
      </c>
      <c r="I855" s="4" t="s">
        <v>2276</v>
      </c>
      <c r="J855" s="4" t="s">
        <v>2276</v>
      </c>
      <c r="K855" s="4" t="s">
        <v>2276</v>
      </c>
      <c r="L855" s="4" t="s">
        <v>2276</v>
      </c>
      <c r="M855" s="4" t="s">
        <v>2276</v>
      </c>
      <c r="N855" s="4" t="s">
        <v>2276</v>
      </c>
      <c r="O855" s="4" t="s">
        <v>2276</v>
      </c>
      <c r="P855" s="4" t="s">
        <v>2276</v>
      </c>
      <c r="Q855" s="4" t="s">
        <v>2276</v>
      </c>
      <c r="R855" s="4" t="s">
        <v>2276</v>
      </c>
      <c r="S855" s="4" t="s">
        <v>2276</v>
      </c>
      <c r="T855" s="3"/>
    </row>
    <row r="856" spans="1:20" ht="32" customHeight="1">
      <c r="A856" s="11" t="s">
        <v>5443</v>
      </c>
      <c r="B856" s="3" t="s">
        <v>2258</v>
      </c>
      <c r="C856" s="3" t="s">
        <v>12</v>
      </c>
      <c r="D856" s="3" t="s">
        <v>130</v>
      </c>
      <c r="E856" s="4" t="s">
        <v>396</v>
      </c>
      <c r="F856" s="3" t="s">
        <v>116</v>
      </c>
      <c r="G856" s="4" t="s">
        <v>2276</v>
      </c>
      <c r="H856" s="4" t="s">
        <v>2276</v>
      </c>
      <c r="I856" s="4" t="s">
        <v>2276</v>
      </c>
      <c r="J856" s="4" t="s">
        <v>2276</v>
      </c>
      <c r="K856" s="4" t="s">
        <v>2276</v>
      </c>
      <c r="L856" s="4" t="s">
        <v>2276</v>
      </c>
      <c r="M856" s="4" t="s">
        <v>2276</v>
      </c>
      <c r="N856" s="4" t="s">
        <v>2276</v>
      </c>
      <c r="O856" s="4" t="s">
        <v>2276</v>
      </c>
      <c r="P856" s="4" t="s">
        <v>2276</v>
      </c>
      <c r="Q856" s="4" t="s">
        <v>2276</v>
      </c>
      <c r="R856" s="4" t="s">
        <v>2276</v>
      </c>
      <c r="S856" s="4" t="s">
        <v>2276</v>
      </c>
      <c r="T856" s="3"/>
    </row>
    <row r="857" spans="1:20" ht="32" customHeight="1">
      <c r="A857" s="11" t="s">
        <v>5444</v>
      </c>
      <c r="B857" s="3" t="s">
        <v>2258</v>
      </c>
      <c r="C857" s="3" t="s">
        <v>12</v>
      </c>
      <c r="D857" s="3" t="s">
        <v>130</v>
      </c>
      <c r="E857" s="4" t="s">
        <v>396</v>
      </c>
      <c r="F857" s="3" t="s">
        <v>5005</v>
      </c>
      <c r="G857" s="3" t="s">
        <v>116</v>
      </c>
      <c r="H857" s="4" t="s">
        <v>2276</v>
      </c>
      <c r="I857" s="4" t="s">
        <v>2276</v>
      </c>
      <c r="J857" s="4" t="s">
        <v>2276</v>
      </c>
      <c r="K857" s="4" t="s">
        <v>2276</v>
      </c>
      <c r="L857" s="4" t="s">
        <v>2276</v>
      </c>
      <c r="M857" s="4" t="s">
        <v>2276</v>
      </c>
      <c r="N857" s="4" t="s">
        <v>2276</v>
      </c>
      <c r="O857" s="4" t="s">
        <v>2276</v>
      </c>
      <c r="P857" s="4" t="s">
        <v>2276</v>
      </c>
      <c r="Q857" s="4" t="s">
        <v>2276</v>
      </c>
      <c r="R857" s="4" t="s">
        <v>2276</v>
      </c>
      <c r="S857" s="4" t="s">
        <v>2276</v>
      </c>
      <c r="T857" s="3"/>
    </row>
    <row r="858" spans="1:20" ht="32" customHeight="1">
      <c r="A858" s="11" t="s">
        <v>5446</v>
      </c>
      <c r="B858" s="3" t="s">
        <v>2258</v>
      </c>
      <c r="C858" s="3" t="s">
        <v>12</v>
      </c>
      <c r="D858" s="3" t="s">
        <v>130</v>
      </c>
      <c r="E858" s="4" t="s">
        <v>396</v>
      </c>
      <c r="F858" s="3" t="s">
        <v>5005</v>
      </c>
      <c r="G858" s="3" t="s">
        <v>116</v>
      </c>
      <c r="H858" s="4" t="s">
        <v>2276</v>
      </c>
      <c r="I858" s="4" t="s">
        <v>2276</v>
      </c>
      <c r="J858" s="4" t="s">
        <v>2276</v>
      </c>
      <c r="K858" s="4" t="s">
        <v>2276</v>
      </c>
      <c r="L858" s="4" t="s">
        <v>2276</v>
      </c>
      <c r="M858" s="4" t="s">
        <v>2276</v>
      </c>
      <c r="N858" s="4" t="s">
        <v>2276</v>
      </c>
      <c r="O858" s="4" t="s">
        <v>2276</v>
      </c>
      <c r="P858" s="4" t="s">
        <v>2276</v>
      </c>
      <c r="Q858" s="4" t="s">
        <v>2276</v>
      </c>
      <c r="R858" s="4" t="s">
        <v>2276</v>
      </c>
      <c r="S858" s="4" t="s">
        <v>2276</v>
      </c>
      <c r="T858" s="3"/>
    </row>
    <row r="859" spans="1:20" ht="32" customHeight="1">
      <c r="A859" s="11" t="s">
        <v>5445</v>
      </c>
      <c r="B859" s="3" t="s">
        <v>2258</v>
      </c>
      <c r="C859" s="3" t="s">
        <v>12</v>
      </c>
      <c r="D859" s="3" t="s">
        <v>130</v>
      </c>
      <c r="E859" s="4" t="s">
        <v>396</v>
      </c>
      <c r="F859" s="3" t="s">
        <v>5005</v>
      </c>
      <c r="G859" s="3" t="s">
        <v>116</v>
      </c>
      <c r="H859" s="4" t="s">
        <v>2276</v>
      </c>
      <c r="I859" s="4" t="s">
        <v>2276</v>
      </c>
      <c r="J859" s="4" t="s">
        <v>2276</v>
      </c>
      <c r="K859" s="4" t="s">
        <v>2276</v>
      </c>
      <c r="L859" s="4" t="s">
        <v>2276</v>
      </c>
      <c r="M859" s="4" t="s">
        <v>2276</v>
      </c>
      <c r="N859" s="4" t="s">
        <v>2276</v>
      </c>
      <c r="O859" s="4" t="s">
        <v>2276</v>
      </c>
      <c r="P859" s="4" t="s">
        <v>2276</v>
      </c>
      <c r="Q859" s="4" t="s">
        <v>2276</v>
      </c>
      <c r="R859" s="4" t="s">
        <v>2276</v>
      </c>
      <c r="S859" s="4" t="s">
        <v>2276</v>
      </c>
      <c r="T859" s="3"/>
    </row>
    <row r="860" spans="1:20" ht="29">
      <c r="A860" s="11" t="s">
        <v>5527</v>
      </c>
      <c r="B860" s="3" t="s">
        <v>2276</v>
      </c>
      <c r="C860" s="3" t="s">
        <v>12</v>
      </c>
      <c r="D860" s="4" t="s">
        <v>397</v>
      </c>
      <c r="E860" s="4" t="s">
        <v>396</v>
      </c>
      <c r="F860" s="3" t="s">
        <v>130</v>
      </c>
      <c r="G860" s="4" t="s">
        <v>2276</v>
      </c>
      <c r="H860" s="4" t="s">
        <v>2276</v>
      </c>
      <c r="I860" s="3">
        <v>2.3260000000000001</v>
      </c>
      <c r="J860" s="3">
        <v>1.8640000000000001</v>
      </c>
      <c r="K860" s="4" t="s">
        <v>2276</v>
      </c>
      <c r="L860" s="4" t="s">
        <v>2276</v>
      </c>
      <c r="M860" s="4" t="s">
        <v>2276</v>
      </c>
      <c r="N860" s="4" t="s">
        <v>2276</v>
      </c>
      <c r="O860" s="4" t="s">
        <v>2276</v>
      </c>
      <c r="P860" s="4" t="s">
        <v>2276</v>
      </c>
      <c r="Q860" s="4" t="s">
        <v>2276</v>
      </c>
      <c r="R860" s="4" t="s">
        <v>2276</v>
      </c>
      <c r="S860" s="4" t="s">
        <v>2276</v>
      </c>
      <c r="T860" s="19" t="s">
        <v>5550</v>
      </c>
    </row>
    <row r="861" spans="1:20" ht="29">
      <c r="A861" s="11" t="s">
        <v>5539</v>
      </c>
      <c r="B861" s="3" t="s">
        <v>2276</v>
      </c>
      <c r="C861" s="3" t="s">
        <v>12</v>
      </c>
      <c r="D861" s="4" t="s">
        <v>397</v>
      </c>
      <c r="E861" s="4" t="s">
        <v>396</v>
      </c>
      <c r="F861" s="3" t="s">
        <v>130</v>
      </c>
      <c r="G861" s="4" t="s">
        <v>2276</v>
      </c>
      <c r="H861" s="4" t="s">
        <v>2276</v>
      </c>
      <c r="I861" s="3">
        <v>2.3260000000000001</v>
      </c>
      <c r="J861" s="3">
        <v>1.8640000000000001</v>
      </c>
      <c r="K861" s="4" t="s">
        <v>2276</v>
      </c>
      <c r="L861" s="4" t="s">
        <v>2276</v>
      </c>
      <c r="M861" s="4" t="s">
        <v>2276</v>
      </c>
      <c r="N861" s="4" t="s">
        <v>2276</v>
      </c>
      <c r="O861" s="4" t="s">
        <v>2276</v>
      </c>
      <c r="P861" s="4" t="s">
        <v>2276</v>
      </c>
      <c r="Q861" s="4" t="s">
        <v>2276</v>
      </c>
      <c r="R861" s="4" t="s">
        <v>2276</v>
      </c>
      <c r="S861" s="4" t="s">
        <v>2276</v>
      </c>
      <c r="T861" s="19" t="s">
        <v>5550</v>
      </c>
    </row>
    <row r="862" spans="1:20" ht="29">
      <c r="A862" s="11" t="s">
        <v>5540</v>
      </c>
      <c r="B862" s="3" t="s">
        <v>2276</v>
      </c>
      <c r="C862" s="3" t="s">
        <v>12</v>
      </c>
      <c r="D862" s="4" t="s">
        <v>397</v>
      </c>
      <c r="E862" s="4" t="s">
        <v>396</v>
      </c>
      <c r="F862" s="3" t="s">
        <v>130</v>
      </c>
      <c r="G862" s="4" t="s">
        <v>2276</v>
      </c>
      <c r="H862" s="4" t="s">
        <v>2276</v>
      </c>
      <c r="I862" s="3">
        <v>2.3260000000000001</v>
      </c>
      <c r="J862" s="3">
        <v>1.8640000000000001</v>
      </c>
      <c r="K862" s="4" t="s">
        <v>2276</v>
      </c>
      <c r="L862" s="4" t="s">
        <v>2276</v>
      </c>
      <c r="M862" s="4" t="s">
        <v>2276</v>
      </c>
      <c r="N862" s="4" t="s">
        <v>2276</v>
      </c>
      <c r="O862" s="4" t="s">
        <v>2276</v>
      </c>
      <c r="P862" s="4" t="s">
        <v>2276</v>
      </c>
      <c r="Q862" s="4" t="s">
        <v>2276</v>
      </c>
      <c r="R862" s="4" t="s">
        <v>2276</v>
      </c>
      <c r="S862" s="4" t="s">
        <v>2276</v>
      </c>
      <c r="T862" s="19" t="s">
        <v>5550</v>
      </c>
    </row>
    <row r="863" spans="1:20" ht="29">
      <c r="A863" s="11" t="s">
        <v>5541</v>
      </c>
      <c r="B863" s="3" t="s">
        <v>2276</v>
      </c>
      <c r="C863" s="3" t="s">
        <v>12</v>
      </c>
      <c r="D863" s="4" t="s">
        <v>397</v>
      </c>
      <c r="E863" s="4" t="s">
        <v>396</v>
      </c>
      <c r="F863" s="3" t="s">
        <v>130</v>
      </c>
      <c r="G863" s="4" t="s">
        <v>2276</v>
      </c>
      <c r="H863" s="4" t="s">
        <v>2276</v>
      </c>
      <c r="I863" s="3">
        <v>2.3260000000000001</v>
      </c>
      <c r="J863" s="3">
        <v>1.8640000000000001</v>
      </c>
      <c r="K863" s="4" t="s">
        <v>2276</v>
      </c>
      <c r="L863" s="4" t="s">
        <v>2276</v>
      </c>
      <c r="M863" s="4" t="s">
        <v>2276</v>
      </c>
      <c r="N863" s="4" t="s">
        <v>2276</v>
      </c>
      <c r="O863" s="4" t="s">
        <v>2276</v>
      </c>
      <c r="P863" s="4" t="s">
        <v>2276</v>
      </c>
      <c r="Q863" s="4" t="s">
        <v>2276</v>
      </c>
      <c r="R863" s="4" t="s">
        <v>2276</v>
      </c>
      <c r="S863" s="4" t="s">
        <v>2276</v>
      </c>
      <c r="T863" s="19" t="s">
        <v>5550</v>
      </c>
    </row>
    <row r="864" spans="1:20" ht="29">
      <c r="A864" s="11" t="s">
        <v>5542</v>
      </c>
      <c r="B864" s="3" t="s">
        <v>2276</v>
      </c>
      <c r="C864" s="3" t="s">
        <v>12</v>
      </c>
      <c r="D864" s="4" t="s">
        <v>397</v>
      </c>
      <c r="E864" s="4" t="s">
        <v>396</v>
      </c>
      <c r="F864" s="3" t="s">
        <v>130</v>
      </c>
      <c r="G864" s="4" t="s">
        <v>2276</v>
      </c>
      <c r="H864" s="4" t="s">
        <v>2276</v>
      </c>
      <c r="I864" s="3">
        <v>2.3260000000000001</v>
      </c>
      <c r="J864" s="3">
        <v>1.8640000000000001</v>
      </c>
      <c r="K864" s="4" t="s">
        <v>2276</v>
      </c>
      <c r="L864" s="4" t="s">
        <v>2276</v>
      </c>
      <c r="M864" s="4" t="s">
        <v>2276</v>
      </c>
      <c r="N864" s="4" t="s">
        <v>2276</v>
      </c>
      <c r="O864" s="4" t="s">
        <v>2276</v>
      </c>
      <c r="P864" s="4" t="s">
        <v>2276</v>
      </c>
      <c r="Q864" s="4" t="s">
        <v>2276</v>
      </c>
      <c r="R864" s="4" t="s">
        <v>2276</v>
      </c>
      <c r="S864" s="4" t="s">
        <v>2276</v>
      </c>
      <c r="T864" s="19" t="s">
        <v>5550</v>
      </c>
    </row>
    <row r="865" spans="1:20" ht="29">
      <c r="A865" s="11" t="s">
        <v>5543</v>
      </c>
      <c r="B865" s="3" t="s">
        <v>2276</v>
      </c>
      <c r="C865" s="3" t="s">
        <v>12</v>
      </c>
      <c r="D865" s="4" t="s">
        <v>397</v>
      </c>
      <c r="E865" s="4" t="s">
        <v>396</v>
      </c>
      <c r="F865" s="3" t="s">
        <v>130</v>
      </c>
      <c r="G865" s="4" t="s">
        <v>2276</v>
      </c>
      <c r="H865" s="4" t="s">
        <v>2276</v>
      </c>
      <c r="I865" s="3">
        <v>2.3260000000000001</v>
      </c>
      <c r="J865" s="3">
        <v>1.8640000000000001</v>
      </c>
      <c r="K865" s="4" t="s">
        <v>2276</v>
      </c>
      <c r="L865" s="4" t="s">
        <v>2276</v>
      </c>
      <c r="M865" s="4" t="s">
        <v>2276</v>
      </c>
      <c r="N865" s="4" t="s">
        <v>2276</v>
      </c>
      <c r="O865" s="4" t="s">
        <v>2276</v>
      </c>
      <c r="P865" s="4" t="s">
        <v>2276</v>
      </c>
      <c r="Q865" s="4" t="s">
        <v>2276</v>
      </c>
      <c r="R865" s="4" t="s">
        <v>2276</v>
      </c>
      <c r="S865" s="4" t="s">
        <v>2276</v>
      </c>
      <c r="T865" s="19" t="s">
        <v>5550</v>
      </c>
    </row>
    <row r="866" spans="1:20" ht="29">
      <c r="A866" s="11" t="s">
        <v>5547</v>
      </c>
      <c r="B866" s="3" t="s">
        <v>2276</v>
      </c>
      <c r="C866" s="3" t="s">
        <v>12</v>
      </c>
      <c r="D866" s="4" t="s">
        <v>397</v>
      </c>
      <c r="E866" s="4" t="s">
        <v>396</v>
      </c>
      <c r="F866" s="3" t="s">
        <v>130</v>
      </c>
      <c r="G866" s="4" t="s">
        <v>2276</v>
      </c>
      <c r="H866" s="4" t="s">
        <v>2276</v>
      </c>
      <c r="I866" s="3">
        <v>2.3260000000000001</v>
      </c>
      <c r="J866" s="3">
        <v>1.8640000000000001</v>
      </c>
      <c r="K866" s="4" t="s">
        <v>2276</v>
      </c>
      <c r="L866" s="4" t="s">
        <v>2276</v>
      </c>
      <c r="M866" s="4" t="s">
        <v>2276</v>
      </c>
      <c r="N866" s="4" t="s">
        <v>2276</v>
      </c>
      <c r="O866" s="4" t="s">
        <v>2276</v>
      </c>
      <c r="P866" s="4" t="s">
        <v>2276</v>
      </c>
      <c r="Q866" s="4" t="s">
        <v>2276</v>
      </c>
      <c r="R866" s="4" t="s">
        <v>2276</v>
      </c>
      <c r="S866" s="4" t="s">
        <v>2276</v>
      </c>
      <c r="T866" s="19" t="s">
        <v>5550</v>
      </c>
    </row>
    <row r="867" spans="1:20" ht="29">
      <c r="A867" s="11" t="s">
        <v>5548</v>
      </c>
      <c r="B867" s="3" t="s">
        <v>2276</v>
      </c>
      <c r="C867" s="3" t="s">
        <v>12</v>
      </c>
      <c r="D867" s="4" t="s">
        <v>397</v>
      </c>
      <c r="E867" s="4" t="s">
        <v>396</v>
      </c>
      <c r="F867" s="3" t="s">
        <v>130</v>
      </c>
      <c r="G867" s="4" t="s">
        <v>2276</v>
      </c>
      <c r="H867" s="4" t="s">
        <v>2276</v>
      </c>
      <c r="I867" s="3">
        <v>2.3260000000000001</v>
      </c>
      <c r="J867" s="3">
        <v>1.8640000000000001</v>
      </c>
      <c r="K867" s="4" t="s">
        <v>2276</v>
      </c>
      <c r="L867" s="4" t="s">
        <v>2276</v>
      </c>
      <c r="M867" s="4" t="s">
        <v>2276</v>
      </c>
      <c r="N867" s="4" t="s">
        <v>2276</v>
      </c>
      <c r="O867" s="4" t="s">
        <v>2276</v>
      </c>
      <c r="P867" s="4" t="s">
        <v>2276</v>
      </c>
      <c r="Q867" s="4" t="s">
        <v>2276</v>
      </c>
      <c r="R867" s="4" t="s">
        <v>2276</v>
      </c>
      <c r="S867" s="4" t="s">
        <v>2276</v>
      </c>
      <c r="T867" s="19" t="s">
        <v>5550</v>
      </c>
    </row>
    <row r="868" spans="1:20" ht="29.5" customHeight="1">
      <c r="A868" s="19" t="s">
        <v>5578</v>
      </c>
      <c r="B868" s="4" t="s">
        <v>2276</v>
      </c>
      <c r="C868" s="4" t="s">
        <v>12</v>
      </c>
      <c r="D868" s="4" t="s">
        <v>2651</v>
      </c>
      <c r="E868" s="4" t="s">
        <v>397</v>
      </c>
      <c r="F868" s="4" t="s">
        <v>2276</v>
      </c>
      <c r="G868" s="4" t="s">
        <v>2276</v>
      </c>
      <c r="H868" s="4" t="s">
        <v>2276</v>
      </c>
      <c r="I868" s="11">
        <f>AVERAGE(1.22, 2.42)</f>
        <v>1.8199999999999998</v>
      </c>
      <c r="J868" s="4" t="s">
        <v>2276</v>
      </c>
      <c r="K868" s="4" t="s">
        <v>2276</v>
      </c>
      <c r="L868" s="4" t="s">
        <v>2276</v>
      </c>
      <c r="M868" s="4" t="s">
        <v>2276</v>
      </c>
      <c r="N868" s="4" t="s">
        <v>2276</v>
      </c>
      <c r="O868" s="4" t="s">
        <v>2276</v>
      </c>
      <c r="P868" s="4" t="s">
        <v>2276</v>
      </c>
      <c r="Q868" s="4" t="s">
        <v>2276</v>
      </c>
      <c r="R868" s="4" t="s">
        <v>2276</v>
      </c>
      <c r="S868" s="4" t="s">
        <v>2276</v>
      </c>
      <c r="T868" s="3"/>
    </row>
    <row r="869" spans="1:20" ht="26.5" customHeight="1">
      <c r="A869" s="11" t="s">
        <v>5590</v>
      </c>
      <c r="B869" s="3" t="s">
        <v>2276</v>
      </c>
      <c r="C869" s="3" t="s">
        <v>12</v>
      </c>
      <c r="D869" s="3" t="s">
        <v>130</v>
      </c>
      <c r="E869" s="3" t="s">
        <v>84</v>
      </c>
      <c r="F869" s="4" t="s">
        <v>2276</v>
      </c>
      <c r="G869" s="4" t="s">
        <v>2276</v>
      </c>
      <c r="H869" s="4" t="s">
        <v>2276</v>
      </c>
      <c r="I869" s="4" t="s">
        <v>2276</v>
      </c>
      <c r="J869" s="4" t="s">
        <v>2276</v>
      </c>
      <c r="K869" s="4" t="s">
        <v>2276</v>
      </c>
      <c r="L869" s="4" t="s">
        <v>2276</v>
      </c>
      <c r="M869" s="4" t="s">
        <v>2276</v>
      </c>
      <c r="N869" s="4" t="s">
        <v>2276</v>
      </c>
      <c r="O869" s="4" t="s">
        <v>2276</v>
      </c>
      <c r="P869" s="4" t="s">
        <v>2276</v>
      </c>
      <c r="Q869" s="4" t="s">
        <v>2276</v>
      </c>
      <c r="R869" s="4" t="s">
        <v>2276</v>
      </c>
      <c r="S869" s="4" t="s">
        <v>2276</v>
      </c>
      <c r="T869" s="3"/>
    </row>
    <row r="870" spans="1:20" ht="35" customHeight="1">
      <c r="A870" s="11" t="s">
        <v>5599</v>
      </c>
      <c r="B870" s="3" t="s">
        <v>2276</v>
      </c>
      <c r="C870" s="3" t="s">
        <v>12</v>
      </c>
      <c r="D870" s="3" t="s">
        <v>45</v>
      </c>
      <c r="E870" s="3" t="s">
        <v>130</v>
      </c>
      <c r="F870" s="3" t="s">
        <v>863</v>
      </c>
      <c r="G870" s="11" t="s">
        <v>5801</v>
      </c>
      <c r="H870" s="4" t="s">
        <v>2276</v>
      </c>
      <c r="I870" s="4" t="s">
        <v>2276</v>
      </c>
      <c r="J870" s="4" t="s">
        <v>2276</v>
      </c>
      <c r="K870" s="3" t="s">
        <v>534</v>
      </c>
      <c r="L870" s="4" t="s">
        <v>2276</v>
      </c>
      <c r="M870" s="4" t="s">
        <v>2276</v>
      </c>
      <c r="N870" s="4" t="s">
        <v>2276</v>
      </c>
      <c r="O870" s="4" t="s">
        <v>2276</v>
      </c>
      <c r="P870" s="4" t="s">
        <v>2276</v>
      </c>
      <c r="Q870" s="4" t="s">
        <v>2276</v>
      </c>
      <c r="R870" s="4" t="s">
        <v>2276</v>
      </c>
      <c r="S870" s="4" t="s">
        <v>2276</v>
      </c>
      <c r="T870" s="3"/>
    </row>
    <row r="871" spans="1:20" ht="30" customHeight="1">
      <c r="A871" s="11" t="s">
        <v>5600</v>
      </c>
      <c r="B871" s="3" t="s">
        <v>2276</v>
      </c>
      <c r="C871" s="3" t="s">
        <v>12</v>
      </c>
      <c r="D871" s="3" t="s">
        <v>45</v>
      </c>
      <c r="E871" s="3" t="s">
        <v>130</v>
      </c>
      <c r="F871" s="3" t="s">
        <v>863</v>
      </c>
      <c r="G871" s="11" t="s">
        <v>5801</v>
      </c>
      <c r="H871" s="4" t="s">
        <v>2276</v>
      </c>
      <c r="I871" s="4" t="s">
        <v>2276</v>
      </c>
      <c r="J871" s="4" t="s">
        <v>2276</v>
      </c>
      <c r="K871" s="3" t="s">
        <v>534</v>
      </c>
      <c r="L871" s="4" t="s">
        <v>2276</v>
      </c>
      <c r="M871" s="4" t="s">
        <v>2276</v>
      </c>
      <c r="N871" s="4" t="s">
        <v>2276</v>
      </c>
      <c r="O871" s="4" t="s">
        <v>2276</v>
      </c>
      <c r="P871" s="4" t="s">
        <v>2276</v>
      </c>
      <c r="Q871" s="4" t="s">
        <v>2276</v>
      </c>
      <c r="R871" s="4" t="s">
        <v>2276</v>
      </c>
      <c r="S871" s="4" t="s">
        <v>2276</v>
      </c>
      <c r="T871" s="3"/>
    </row>
    <row r="872" spans="1:20" ht="32.5" customHeight="1">
      <c r="A872" s="11" t="s">
        <v>5625</v>
      </c>
      <c r="B872" s="3" t="s">
        <v>70</v>
      </c>
      <c r="C872" s="3" t="s">
        <v>12</v>
      </c>
      <c r="D872" s="3" t="s">
        <v>45</v>
      </c>
      <c r="E872" s="3" t="s">
        <v>130</v>
      </c>
      <c r="F872" s="3" t="s">
        <v>2650</v>
      </c>
      <c r="G872" s="4" t="s">
        <v>2276</v>
      </c>
      <c r="H872" s="4" t="s">
        <v>2276</v>
      </c>
      <c r="I872" s="3">
        <v>50</v>
      </c>
      <c r="J872" s="4" t="s">
        <v>2276</v>
      </c>
      <c r="K872" s="4" t="s">
        <v>2276</v>
      </c>
      <c r="L872" s="4" t="s">
        <v>2276</v>
      </c>
      <c r="M872" s="4" t="s">
        <v>2276</v>
      </c>
      <c r="N872" s="4" t="s">
        <v>2276</v>
      </c>
      <c r="O872" s="4" t="s">
        <v>2276</v>
      </c>
      <c r="P872" s="4" t="s">
        <v>2276</v>
      </c>
      <c r="Q872" s="4" t="s">
        <v>2276</v>
      </c>
      <c r="R872" s="4" t="s">
        <v>2276</v>
      </c>
      <c r="S872" s="4" t="s">
        <v>2276</v>
      </c>
      <c r="T872" s="3"/>
    </row>
    <row r="873" spans="1:20" ht="32.5" customHeight="1">
      <c r="A873" s="11" t="s">
        <v>5629</v>
      </c>
      <c r="B873" s="3" t="s">
        <v>70</v>
      </c>
      <c r="C873" s="3" t="s">
        <v>12</v>
      </c>
      <c r="D873" s="3" t="s">
        <v>45</v>
      </c>
      <c r="E873" s="3" t="s">
        <v>130</v>
      </c>
      <c r="F873" s="3" t="s">
        <v>2650</v>
      </c>
      <c r="G873" s="4" t="s">
        <v>2276</v>
      </c>
      <c r="H873" s="4" t="s">
        <v>2276</v>
      </c>
      <c r="I873" s="3">
        <v>50</v>
      </c>
      <c r="J873" s="4" t="s">
        <v>2276</v>
      </c>
      <c r="K873" s="4" t="s">
        <v>2276</v>
      </c>
      <c r="L873" s="4" t="s">
        <v>2276</v>
      </c>
      <c r="M873" s="4" t="s">
        <v>2276</v>
      </c>
      <c r="N873" s="4" t="s">
        <v>2276</v>
      </c>
      <c r="O873" s="4" t="s">
        <v>2276</v>
      </c>
      <c r="P873" s="4" t="s">
        <v>2276</v>
      </c>
      <c r="Q873" s="4" t="s">
        <v>2276</v>
      </c>
      <c r="R873" s="4" t="s">
        <v>2276</v>
      </c>
      <c r="S873" s="4" t="s">
        <v>2276</v>
      </c>
      <c r="T873" s="3"/>
    </row>
    <row r="874" spans="1:20" ht="32.5" customHeight="1">
      <c r="A874" s="11" t="s">
        <v>5630</v>
      </c>
      <c r="B874" s="3" t="s">
        <v>70</v>
      </c>
      <c r="C874" s="3" t="s">
        <v>12</v>
      </c>
      <c r="D874" s="3" t="s">
        <v>45</v>
      </c>
      <c r="E874" s="3" t="s">
        <v>130</v>
      </c>
      <c r="F874" s="3" t="s">
        <v>2650</v>
      </c>
      <c r="G874" s="4" t="s">
        <v>2276</v>
      </c>
      <c r="H874" s="4" t="s">
        <v>2276</v>
      </c>
      <c r="I874" s="3">
        <v>50</v>
      </c>
      <c r="J874" s="4" t="s">
        <v>2276</v>
      </c>
      <c r="K874" s="4" t="s">
        <v>2276</v>
      </c>
      <c r="L874" s="4" t="s">
        <v>2276</v>
      </c>
      <c r="M874" s="4" t="s">
        <v>2276</v>
      </c>
      <c r="N874" s="4" t="s">
        <v>2276</v>
      </c>
      <c r="O874" s="4" t="s">
        <v>2276</v>
      </c>
      <c r="P874" s="4" t="s">
        <v>2276</v>
      </c>
      <c r="Q874" s="4" t="s">
        <v>2276</v>
      </c>
      <c r="R874" s="4" t="s">
        <v>2276</v>
      </c>
      <c r="S874" s="4" t="s">
        <v>2276</v>
      </c>
      <c r="T874" s="3"/>
    </row>
    <row r="875" spans="1:20" ht="32.5" customHeight="1">
      <c r="A875" s="3" t="s">
        <v>5631</v>
      </c>
      <c r="B875" s="3" t="s">
        <v>70</v>
      </c>
      <c r="C875" s="3" t="s">
        <v>12</v>
      </c>
      <c r="D875" s="3" t="s">
        <v>45</v>
      </c>
      <c r="E875" s="3" t="s">
        <v>130</v>
      </c>
      <c r="F875" s="3" t="s">
        <v>2650</v>
      </c>
      <c r="G875" s="4" t="s">
        <v>2276</v>
      </c>
      <c r="H875" s="4" t="s">
        <v>2276</v>
      </c>
      <c r="I875" s="3">
        <v>50</v>
      </c>
      <c r="J875" s="4" t="s">
        <v>2276</v>
      </c>
      <c r="K875" s="4" t="s">
        <v>2276</v>
      </c>
      <c r="L875" s="4" t="s">
        <v>2276</v>
      </c>
      <c r="M875" s="4" t="s">
        <v>2276</v>
      </c>
      <c r="N875" s="4" t="s">
        <v>2276</v>
      </c>
      <c r="O875" s="4" t="s">
        <v>2276</v>
      </c>
      <c r="P875" s="4" t="s">
        <v>2276</v>
      </c>
      <c r="Q875" s="4" t="s">
        <v>2276</v>
      </c>
      <c r="R875" s="4" t="s">
        <v>2276</v>
      </c>
      <c r="S875" s="4" t="s">
        <v>2276</v>
      </c>
      <c r="T875" s="3"/>
    </row>
    <row r="876" spans="1:20" ht="34" customHeight="1">
      <c r="A876" s="11" t="s">
        <v>5649</v>
      </c>
      <c r="B876" s="3" t="s">
        <v>2258</v>
      </c>
      <c r="C876" s="3" t="s">
        <v>12</v>
      </c>
      <c r="D876" s="3" t="s">
        <v>84</v>
      </c>
      <c r="E876" s="3" t="s">
        <v>130</v>
      </c>
      <c r="F876" s="4" t="s">
        <v>396</v>
      </c>
      <c r="G876" s="4" t="s">
        <v>2276</v>
      </c>
      <c r="H876" s="4" t="s">
        <v>2276</v>
      </c>
      <c r="I876" s="4" t="s">
        <v>2276</v>
      </c>
      <c r="J876" s="4" t="s">
        <v>2276</v>
      </c>
      <c r="K876" s="4" t="s">
        <v>2276</v>
      </c>
      <c r="L876" s="4" t="s">
        <v>2276</v>
      </c>
      <c r="M876" s="4" t="s">
        <v>2276</v>
      </c>
      <c r="N876" s="4" t="s">
        <v>2276</v>
      </c>
      <c r="O876" s="4" t="s">
        <v>2276</v>
      </c>
      <c r="P876" s="4" t="s">
        <v>2276</v>
      </c>
      <c r="Q876" s="4" t="s">
        <v>2276</v>
      </c>
      <c r="R876" s="4" t="s">
        <v>2276</v>
      </c>
      <c r="S876" s="4" t="s">
        <v>2276</v>
      </c>
      <c r="T876" s="3"/>
    </row>
    <row r="877" spans="1:20" ht="31" customHeight="1">
      <c r="A877" s="11" t="s">
        <v>5661</v>
      </c>
      <c r="B877" s="3" t="s">
        <v>2276</v>
      </c>
      <c r="C877" s="3" t="s">
        <v>2646</v>
      </c>
      <c r="D877" s="3" t="s">
        <v>116</v>
      </c>
      <c r="E877" s="3" t="s">
        <v>137</v>
      </c>
      <c r="F877" s="4" t="s">
        <v>2276</v>
      </c>
      <c r="G877" s="4" t="s">
        <v>2276</v>
      </c>
      <c r="H877" s="4" t="s">
        <v>2276</v>
      </c>
      <c r="I877" s="4" t="s">
        <v>2276</v>
      </c>
      <c r="J877" s="4" t="s">
        <v>2276</v>
      </c>
      <c r="K877" s="4" t="s">
        <v>2276</v>
      </c>
      <c r="L877" s="4" t="s">
        <v>2276</v>
      </c>
      <c r="M877" s="4" t="s">
        <v>2276</v>
      </c>
      <c r="N877" s="4" t="s">
        <v>2276</v>
      </c>
      <c r="O877" s="4" t="s">
        <v>2276</v>
      </c>
      <c r="P877" s="4" t="s">
        <v>2276</v>
      </c>
      <c r="Q877" s="4" t="s">
        <v>2276</v>
      </c>
      <c r="R877" s="4" t="s">
        <v>2276</v>
      </c>
      <c r="S877" s="4" t="s">
        <v>2276</v>
      </c>
      <c r="T877" s="3"/>
    </row>
    <row r="878" spans="1:20" ht="37" customHeight="1">
      <c r="A878" s="11" t="s">
        <v>5676</v>
      </c>
      <c r="B878" s="3" t="s">
        <v>1197</v>
      </c>
      <c r="C878" s="3" t="s">
        <v>2646</v>
      </c>
      <c r="D878" s="3" t="s">
        <v>137</v>
      </c>
      <c r="E878" s="3" t="s">
        <v>2649</v>
      </c>
      <c r="F878" s="3" t="s">
        <v>116</v>
      </c>
      <c r="G878" s="4" t="s">
        <v>2276</v>
      </c>
      <c r="H878" s="4" t="s">
        <v>2276</v>
      </c>
      <c r="I878" s="4" t="s">
        <v>2276</v>
      </c>
      <c r="J878" s="4" t="s">
        <v>2276</v>
      </c>
      <c r="K878" s="4" t="s">
        <v>2276</v>
      </c>
      <c r="L878" s="4" t="s">
        <v>2276</v>
      </c>
      <c r="M878" s="4" t="s">
        <v>2276</v>
      </c>
      <c r="N878" s="4" t="s">
        <v>2276</v>
      </c>
      <c r="O878" s="4" t="s">
        <v>2276</v>
      </c>
      <c r="P878" s="4" t="s">
        <v>2276</v>
      </c>
      <c r="Q878" s="4" t="s">
        <v>2276</v>
      </c>
      <c r="R878" s="4" t="s">
        <v>2276</v>
      </c>
      <c r="S878" s="4" t="s">
        <v>2276</v>
      </c>
      <c r="T878" s="3"/>
    </row>
    <row r="879" spans="1:20" ht="41" customHeight="1">
      <c r="A879" s="11" t="s">
        <v>5684</v>
      </c>
      <c r="B879" s="3" t="s">
        <v>1197</v>
      </c>
      <c r="C879" s="3" t="s">
        <v>2646</v>
      </c>
      <c r="D879" s="3" t="s">
        <v>137</v>
      </c>
      <c r="E879" s="3" t="s">
        <v>116</v>
      </c>
      <c r="F879" s="4" t="s">
        <v>2276</v>
      </c>
      <c r="G879" s="4" t="s">
        <v>2276</v>
      </c>
      <c r="H879" s="4" t="s">
        <v>2276</v>
      </c>
      <c r="I879" s="4" t="s">
        <v>2276</v>
      </c>
      <c r="J879" s="4" t="s">
        <v>2276</v>
      </c>
      <c r="K879" s="4" t="s">
        <v>2276</v>
      </c>
      <c r="L879" s="4" t="s">
        <v>2276</v>
      </c>
      <c r="M879" s="4" t="s">
        <v>2276</v>
      </c>
      <c r="N879" s="4" t="s">
        <v>2276</v>
      </c>
      <c r="O879" s="4" t="s">
        <v>2276</v>
      </c>
      <c r="P879" s="4" t="s">
        <v>2276</v>
      </c>
      <c r="Q879" s="4" t="s">
        <v>2276</v>
      </c>
      <c r="R879" s="4" t="s">
        <v>2276</v>
      </c>
      <c r="S879" s="4" t="s">
        <v>2276</v>
      </c>
      <c r="T879" s="3"/>
    </row>
    <row r="880" spans="1:20" ht="34.5" customHeight="1">
      <c r="A880" s="11" t="s">
        <v>5693</v>
      </c>
      <c r="B880" s="3" t="s">
        <v>32</v>
      </c>
      <c r="C880" s="3" t="s">
        <v>12</v>
      </c>
      <c r="D880" s="3" t="s">
        <v>45</v>
      </c>
      <c r="E880" s="3" t="s">
        <v>84</v>
      </c>
      <c r="F880" s="3" t="s">
        <v>130</v>
      </c>
      <c r="G880" s="4" t="s">
        <v>863</v>
      </c>
      <c r="H880" s="4" t="s">
        <v>2276</v>
      </c>
      <c r="I880" s="3">
        <v>10000</v>
      </c>
      <c r="J880" s="4" t="s">
        <v>2276</v>
      </c>
      <c r="K880" s="3" t="s">
        <v>534</v>
      </c>
      <c r="L880" s="4" t="s">
        <v>2276</v>
      </c>
      <c r="M880" s="4" t="s">
        <v>2276</v>
      </c>
      <c r="N880" s="4" t="s">
        <v>2276</v>
      </c>
      <c r="O880" s="4" t="s">
        <v>2276</v>
      </c>
      <c r="P880" s="4" t="s">
        <v>2276</v>
      </c>
      <c r="Q880" s="4" t="s">
        <v>2276</v>
      </c>
      <c r="R880" s="4" t="s">
        <v>2276</v>
      </c>
      <c r="S880" s="4" t="s">
        <v>2276</v>
      </c>
      <c r="T880" s="3" t="s">
        <v>5697</v>
      </c>
    </row>
    <row r="881" spans="1:20" ht="37.5" customHeight="1">
      <c r="A881" s="11" t="s">
        <v>5715</v>
      </c>
      <c r="B881" s="3" t="s">
        <v>1197</v>
      </c>
      <c r="C881" s="3" t="s">
        <v>2645</v>
      </c>
      <c r="D881" s="3" t="s">
        <v>137</v>
      </c>
      <c r="E881" s="3" t="s">
        <v>2652</v>
      </c>
      <c r="F881" s="4" t="s">
        <v>396</v>
      </c>
      <c r="G881" s="3" t="s">
        <v>116</v>
      </c>
      <c r="H881" s="4" t="s">
        <v>2276</v>
      </c>
      <c r="I881" s="4" t="s">
        <v>2276</v>
      </c>
      <c r="J881" s="4" t="s">
        <v>2276</v>
      </c>
      <c r="K881" s="4" t="s">
        <v>2276</v>
      </c>
      <c r="L881" s="4" t="s">
        <v>2276</v>
      </c>
      <c r="M881" s="4" t="s">
        <v>2276</v>
      </c>
      <c r="N881" s="4" t="s">
        <v>2276</v>
      </c>
      <c r="O881" s="4" t="s">
        <v>2276</v>
      </c>
      <c r="P881" s="4" t="s">
        <v>2276</v>
      </c>
      <c r="Q881" s="4" t="s">
        <v>2276</v>
      </c>
      <c r="R881" s="4" t="s">
        <v>2276</v>
      </c>
      <c r="S881" s="4" t="s">
        <v>2276</v>
      </c>
      <c r="T881" s="3"/>
    </row>
    <row r="882" spans="1:20" ht="29">
      <c r="A882" s="19" t="s">
        <v>5723</v>
      </c>
      <c r="B882" s="4" t="s">
        <v>2276</v>
      </c>
      <c r="C882" s="4" t="s">
        <v>12</v>
      </c>
      <c r="D882" s="4" t="s">
        <v>396</v>
      </c>
      <c r="E882" s="4" t="s">
        <v>3854</v>
      </c>
      <c r="F882" s="3" t="s">
        <v>2652</v>
      </c>
      <c r="G882" s="4" t="s">
        <v>2276</v>
      </c>
      <c r="H882" s="4" t="s">
        <v>2276</v>
      </c>
      <c r="I882" s="4" t="s">
        <v>2276</v>
      </c>
      <c r="J882" s="4" t="s">
        <v>2276</v>
      </c>
      <c r="K882" s="4" t="s">
        <v>2276</v>
      </c>
      <c r="L882" s="4" t="s">
        <v>2276</v>
      </c>
      <c r="M882" s="4" t="s">
        <v>2276</v>
      </c>
      <c r="N882" s="4" t="s">
        <v>2276</v>
      </c>
      <c r="O882" s="4" t="s">
        <v>2276</v>
      </c>
      <c r="P882" s="4" t="s">
        <v>2276</v>
      </c>
      <c r="Q882" s="4" t="s">
        <v>2276</v>
      </c>
      <c r="R882" s="4" t="s">
        <v>2276</v>
      </c>
      <c r="S882" s="4" t="s">
        <v>2276</v>
      </c>
      <c r="T882" s="3"/>
    </row>
    <row r="883" spans="1:20" ht="29">
      <c r="A883" s="19" t="s">
        <v>5726</v>
      </c>
      <c r="B883" s="4" t="s">
        <v>2276</v>
      </c>
      <c r="C883" s="4" t="s">
        <v>12</v>
      </c>
      <c r="D883" s="4" t="s">
        <v>396</v>
      </c>
      <c r="E883" s="4" t="s">
        <v>397</v>
      </c>
      <c r="F883" s="3" t="s">
        <v>2652</v>
      </c>
      <c r="G883" s="4" t="s">
        <v>2276</v>
      </c>
      <c r="H883" s="4" t="s">
        <v>2276</v>
      </c>
      <c r="I883" s="4" t="s">
        <v>2276</v>
      </c>
      <c r="J883" s="4" t="s">
        <v>2276</v>
      </c>
      <c r="K883" s="4" t="s">
        <v>2276</v>
      </c>
      <c r="L883" s="4" t="s">
        <v>2276</v>
      </c>
      <c r="M883" s="4" t="s">
        <v>2276</v>
      </c>
      <c r="N883" s="4" t="s">
        <v>2276</v>
      </c>
      <c r="O883" s="4" t="s">
        <v>2276</v>
      </c>
      <c r="P883" s="4" t="s">
        <v>2276</v>
      </c>
      <c r="Q883" s="4" t="s">
        <v>2276</v>
      </c>
      <c r="R883" s="4" t="s">
        <v>2276</v>
      </c>
      <c r="S883" s="4" t="s">
        <v>2276</v>
      </c>
      <c r="T883" s="3"/>
    </row>
    <row r="884" spans="1:20" ht="29">
      <c r="A884" s="19" t="s">
        <v>5727</v>
      </c>
      <c r="B884" s="4" t="s">
        <v>2276</v>
      </c>
      <c r="C884" s="4" t="s">
        <v>12</v>
      </c>
      <c r="D884" s="4" t="s">
        <v>396</v>
      </c>
      <c r="E884" s="4" t="s">
        <v>397</v>
      </c>
      <c r="F884" s="3" t="s">
        <v>2652</v>
      </c>
      <c r="G884" s="4" t="s">
        <v>2276</v>
      </c>
      <c r="H884" s="4" t="s">
        <v>2276</v>
      </c>
      <c r="I884" s="4" t="s">
        <v>2276</v>
      </c>
      <c r="J884" s="4" t="s">
        <v>2276</v>
      </c>
      <c r="K884" s="4" t="s">
        <v>2276</v>
      </c>
      <c r="L884" s="4" t="s">
        <v>2276</v>
      </c>
      <c r="M884" s="4" t="s">
        <v>2276</v>
      </c>
      <c r="N884" s="4" t="s">
        <v>2276</v>
      </c>
      <c r="O884" s="4" t="s">
        <v>2276</v>
      </c>
      <c r="P884" s="4" t="s">
        <v>2276</v>
      </c>
      <c r="Q884" s="4" t="s">
        <v>2276</v>
      </c>
      <c r="R884" s="4" t="s">
        <v>2276</v>
      </c>
      <c r="S884" s="4" t="s">
        <v>2276</v>
      </c>
      <c r="T884" s="3"/>
    </row>
    <row r="885" spans="1:20" ht="29">
      <c r="A885" s="19" t="s">
        <v>5728</v>
      </c>
      <c r="B885" s="4" t="s">
        <v>2276</v>
      </c>
      <c r="C885" s="4" t="s">
        <v>12</v>
      </c>
      <c r="D885" s="4" t="s">
        <v>396</v>
      </c>
      <c r="E885" s="4" t="s">
        <v>397</v>
      </c>
      <c r="F885" s="3" t="s">
        <v>2652</v>
      </c>
      <c r="G885" s="4" t="s">
        <v>2276</v>
      </c>
      <c r="H885" s="4" t="s">
        <v>2276</v>
      </c>
      <c r="I885" s="4" t="s">
        <v>2276</v>
      </c>
      <c r="J885" s="4" t="s">
        <v>2276</v>
      </c>
      <c r="K885" s="4" t="s">
        <v>2276</v>
      </c>
      <c r="L885" s="4" t="s">
        <v>2276</v>
      </c>
      <c r="M885" s="4" t="s">
        <v>2276</v>
      </c>
      <c r="N885" s="4" t="s">
        <v>2276</v>
      </c>
      <c r="O885" s="4" t="s">
        <v>2276</v>
      </c>
      <c r="P885" s="4" t="s">
        <v>2276</v>
      </c>
      <c r="Q885" s="4" t="s">
        <v>2276</v>
      </c>
      <c r="R885" s="4" t="s">
        <v>2276</v>
      </c>
      <c r="S885" s="4" t="s">
        <v>2276</v>
      </c>
      <c r="T885" s="3"/>
    </row>
    <row r="886" spans="1:20" ht="29" customHeight="1">
      <c r="A886" s="19" t="s">
        <v>5739</v>
      </c>
      <c r="B886" s="4" t="s">
        <v>2276</v>
      </c>
      <c r="C886" s="4" t="s">
        <v>12</v>
      </c>
      <c r="D886" s="3" t="s">
        <v>45</v>
      </c>
      <c r="E886" s="4" t="s">
        <v>397</v>
      </c>
      <c r="F886" s="4" t="s">
        <v>2276</v>
      </c>
      <c r="G886" s="4" t="s">
        <v>2276</v>
      </c>
      <c r="H886" s="21">
        <v>1.52</v>
      </c>
      <c r="I886" s="3">
        <v>1</v>
      </c>
      <c r="J886" s="4" t="s">
        <v>2276</v>
      </c>
      <c r="K886" s="4" t="s">
        <v>2276</v>
      </c>
      <c r="L886" s="4" t="s">
        <v>2276</v>
      </c>
      <c r="M886" s="4" t="s">
        <v>2276</v>
      </c>
      <c r="N886" s="4" t="s">
        <v>2276</v>
      </c>
      <c r="O886" s="21">
        <f>959/(8783/152)/2</f>
        <v>8.2983035409313448</v>
      </c>
      <c r="P886" s="21">
        <f>959/(8783/152)/2</f>
        <v>8.2983035409313448</v>
      </c>
      <c r="Q886" s="4" t="s">
        <v>2276</v>
      </c>
      <c r="R886" s="21">
        <v>72</v>
      </c>
      <c r="S886" s="4" t="s">
        <v>2276</v>
      </c>
      <c r="T886" s="3" t="s">
        <v>5745</v>
      </c>
    </row>
    <row r="887" spans="1:20" ht="29" customHeight="1">
      <c r="A887" s="19" t="s">
        <v>5743</v>
      </c>
      <c r="B887" s="4" t="s">
        <v>2276</v>
      </c>
      <c r="C887" s="4" t="s">
        <v>12</v>
      </c>
      <c r="D887" s="3" t="s">
        <v>45</v>
      </c>
      <c r="E887" s="4" t="s">
        <v>397</v>
      </c>
      <c r="F887" s="4" t="s">
        <v>2276</v>
      </c>
      <c r="G887" s="4" t="s">
        <v>2276</v>
      </c>
      <c r="H887" s="21">
        <v>1.07</v>
      </c>
      <c r="I887" s="3">
        <v>1</v>
      </c>
      <c r="J887" s="4" t="s">
        <v>2276</v>
      </c>
      <c r="K887" s="4" t="s">
        <v>2276</v>
      </c>
      <c r="L887" s="4" t="s">
        <v>2276</v>
      </c>
      <c r="M887" s="4" t="s">
        <v>2276</v>
      </c>
      <c r="N887" s="4" t="s">
        <v>2276</v>
      </c>
      <c r="O887" s="21">
        <f>973/(4454/107)/2</f>
        <v>11.687359676695106</v>
      </c>
      <c r="P887" s="21">
        <f>973/(4454/107)/2</f>
        <v>11.687359676695106</v>
      </c>
      <c r="Q887" s="4" t="s">
        <v>2276</v>
      </c>
      <c r="R887" s="21">
        <v>36.049999999999997</v>
      </c>
      <c r="S887" s="4" t="s">
        <v>2276</v>
      </c>
      <c r="T887" s="3" t="s">
        <v>5745</v>
      </c>
    </row>
    <row r="888" spans="1:20" ht="29" customHeight="1">
      <c r="A888" s="19" t="s">
        <v>5744</v>
      </c>
      <c r="B888" s="4" t="s">
        <v>2276</v>
      </c>
      <c r="C888" s="4" t="s">
        <v>12</v>
      </c>
      <c r="D888" s="3" t="s">
        <v>45</v>
      </c>
      <c r="E888" s="4" t="s">
        <v>397</v>
      </c>
      <c r="F888" s="4" t="s">
        <v>2276</v>
      </c>
      <c r="G888" s="4" t="s">
        <v>2276</v>
      </c>
      <c r="H888" s="21">
        <v>1.1000000000000001</v>
      </c>
      <c r="I888" s="3">
        <v>1</v>
      </c>
      <c r="J888" s="4" t="s">
        <v>2276</v>
      </c>
      <c r="K888" s="4" t="s">
        <v>2276</v>
      </c>
      <c r="L888" s="4" t="s">
        <v>2276</v>
      </c>
      <c r="M888" s="4" t="s">
        <v>2276</v>
      </c>
      <c r="N888" s="4" t="s">
        <v>2276</v>
      </c>
      <c r="O888" s="21">
        <f>959/(8783/152)/2</f>
        <v>8.2983035409313448</v>
      </c>
      <c r="P888" s="21">
        <f>959/(8783/152)/2</f>
        <v>8.2983035409313448</v>
      </c>
      <c r="Q888" s="4" t="s">
        <v>2276</v>
      </c>
      <c r="R888" s="21">
        <v>22.58</v>
      </c>
      <c r="S888" s="4" t="s">
        <v>2276</v>
      </c>
      <c r="T888" s="3" t="s">
        <v>5745</v>
      </c>
    </row>
    <row r="889" spans="1:20" ht="28" customHeight="1">
      <c r="A889" s="19" t="s">
        <v>5779</v>
      </c>
      <c r="B889" s="3" t="s">
        <v>32</v>
      </c>
      <c r="C889" s="3" t="s">
        <v>2645</v>
      </c>
      <c r="D889" s="4" t="s">
        <v>2276</v>
      </c>
      <c r="E889" s="4" t="s">
        <v>2276</v>
      </c>
      <c r="F889" s="4" t="s">
        <v>2276</v>
      </c>
      <c r="G889" s="4" t="s">
        <v>2276</v>
      </c>
      <c r="H889" s="4" t="s">
        <v>2276</v>
      </c>
      <c r="I889" s="4" t="s">
        <v>2276</v>
      </c>
      <c r="J889" s="4" t="s">
        <v>2276</v>
      </c>
      <c r="K889" s="4" t="s">
        <v>2276</v>
      </c>
      <c r="L889" s="4" t="s">
        <v>2276</v>
      </c>
      <c r="M889" s="4" t="s">
        <v>2276</v>
      </c>
      <c r="N889" s="4" t="s">
        <v>2276</v>
      </c>
      <c r="O889" s="4" t="s">
        <v>2276</v>
      </c>
      <c r="P889" s="4" t="s">
        <v>2276</v>
      </c>
      <c r="Q889" s="4" t="s">
        <v>2276</v>
      </c>
      <c r="R889" s="4" t="s">
        <v>2276</v>
      </c>
      <c r="S889" s="4" t="s">
        <v>2276</v>
      </c>
      <c r="T889" s="3"/>
    </row>
    <row r="890" spans="1:20" ht="28" customHeight="1">
      <c r="A890" s="19" t="s">
        <v>5780</v>
      </c>
      <c r="B890" s="3" t="s">
        <v>1197</v>
      </c>
      <c r="C890" s="3" t="s">
        <v>12</v>
      </c>
      <c r="D890" s="3" t="s">
        <v>116</v>
      </c>
      <c r="E890" s="4" t="s">
        <v>2276</v>
      </c>
      <c r="F890" s="4" t="s">
        <v>2276</v>
      </c>
      <c r="G890" s="4" t="s">
        <v>2276</v>
      </c>
      <c r="H890" s="4" t="s">
        <v>2276</v>
      </c>
      <c r="I890" s="4" t="s">
        <v>2276</v>
      </c>
      <c r="J890" s="4" t="s">
        <v>2276</v>
      </c>
      <c r="K890" s="4" t="s">
        <v>2276</v>
      </c>
      <c r="L890" s="4" t="s">
        <v>2276</v>
      </c>
      <c r="M890" s="4" t="s">
        <v>2276</v>
      </c>
      <c r="N890" s="4" t="s">
        <v>2276</v>
      </c>
      <c r="O890" s="4" t="s">
        <v>2276</v>
      </c>
      <c r="P890" s="4" t="s">
        <v>2276</v>
      </c>
      <c r="Q890" s="4" t="s">
        <v>2276</v>
      </c>
      <c r="R890" s="4" t="s">
        <v>2276</v>
      </c>
      <c r="S890" s="4" t="s">
        <v>2276</v>
      </c>
      <c r="T890" s="3"/>
    </row>
    <row r="891" spans="1:20" ht="27.5" customHeight="1">
      <c r="A891" s="19" t="s">
        <v>5797</v>
      </c>
      <c r="B891" s="4" t="s">
        <v>2276</v>
      </c>
      <c r="C891" s="4" t="s">
        <v>2646</v>
      </c>
      <c r="D891" s="4" t="s">
        <v>2652</v>
      </c>
      <c r="E891" s="11" t="s">
        <v>5801</v>
      </c>
      <c r="F891" s="4" t="s">
        <v>396</v>
      </c>
      <c r="G891" s="4" t="s">
        <v>2276</v>
      </c>
      <c r="H891" s="4" t="s">
        <v>2276</v>
      </c>
      <c r="I891" s="4" t="s">
        <v>2276</v>
      </c>
      <c r="J891" s="4" t="s">
        <v>2276</v>
      </c>
      <c r="K891" s="4" t="s">
        <v>2276</v>
      </c>
      <c r="L891" s="4" t="s">
        <v>2276</v>
      </c>
      <c r="M891" s="4" t="s">
        <v>2276</v>
      </c>
      <c r="N891" s="4" t="s">
        <v>2276</v>
      </c>
      <c r="O891" s="4" t="s">
        <v>2276</v>
      </c>
      <c r="P891" s="21">
        <v>12.8</v>
      </c>
      <c r="Q891" s="21">
        <v>7.5</v>
      </c>
      <c r="R891" s="21">
        <f>38.2+8.4+27.3+0.1</f>
        <v>74</v>
      </c>
      <c r="S891" s="4" t="s">
        <v>2276</v>
      </c>
      <c r="T891" s="11" t="s">
        <v>5800</v>
      </c>
    </row>
    <row r="892" spans="1:20" ht="31" customHeight="1">
      <c r="A892" s="19" t="s">
        <v>5816</v>
      </c>
      <c r="B892" s="3" t="s">
        <v>2258</v>
      </c>
      <c r="C892" s="3" t="s">
        <v>12</v>
      </c>
      <c r="D892" s="4" t="s">
        <v>396</v>
      </c>
      <c r="E892" s="4" t="s">
        <v>396</v>
      </c>
      <c r="F892" s="4" t="s">
        <v>130</v>
      </c>
      <c r="G892" s="4" t="s">
        <v>137</v>
      </c>
      <c r="H892" s="4" t="s">
        <v>2276</v>
      </c>
      <c r="I892" s="4" t="s">
        <v>2276</v>
      </c>
      <c r="J892" s="4" t="s">
        <v>2276</v>
      </c>
      <c r="K892" s="4" t="s">
        <v>2276</v>
      </c>
      <c r="L892" s="4" t="s">
        <v>2276</v>
      </c>
      <c r="M892" s="4" t="s">
        <v>2276</v>
      </c>
      <c r="N892" s="4" t="s">
        <v>2276</v>
      </c>
      <c r="O892" s="4" t="s">
        <v>2276</v>
      </c>
      <c r="P892" s="4" t="s">
        <v>2276</v>
      </c>
      <c r="Q892" s="4" t="s">
        <v>2276</v>
      </c>
      <c r="R892" s="4" t="s">
        <v>2276</v>
      </c>
      <c r="S892" s="4" t="s">
        <v>2276</v>
      </c>
      <c r="T892" s="3"/>
    </row>
    <row r="893" spans="1:20" ht="32" customHeight="1">
      <c r="A893" s="19" t="s">
        <v>5817</v>
      </c>
      <c r="B893" s="3" t="s">
        <v>2258</v>
      </c>
      <c r="C893" s="3" t="s">
        <v>12</v>
      </c>
      <c r="D893" s="4" t="s">
        <v>130</v>
      </c>
      <c r="E893" s="4" t="s">
        <v>396</v>
      </c>
      <c r="F893" s="4" t="s">
        <v>84</v>
      </c>
      <c r="G893" s="4" t="s">
        <v>137</v>
      </c>
      <c r="H893" s="4" t="s">
        <v>2276</v>
      </c>
      <c r="I893" s="4" t="s">
        <v>2276</v>
      </c>
      <c r="J893" s="4" t="s">
        <v>2276</v>
      </c>
      <c r="K893" s="4" t="s">
        <v>2276</v>
      </c>
      <c r="L893" s="4" t="s">
        <v>2276</v>
      </c>
      <c r="M893" s="4" t="s">
        <v>2276</v>
      </c>
      <c r="N893" s="4" t="s">
        <v>2276</v>
      </c>
      <c r="O893" s="4" t="s">
        <v>2276</v>
      </c>
      <c r="P893" s="4" t="s">
        <v>2276</v>
      </c>
      <c r="Q893" s="4" t="s">
        <v>2276</v>
      </c>
      <c r="R893" s="4" t="s">
        <v>2276</v>
      </c>
      <c r="S893" s="4" t="s">
        <v>2276</v>
      </c>
      <c r="T893" s="3"/>
    </row>
    <row r="894" spans="1:20" ht="36" customHeight="1">
      <c r="A894" s="19" t="s">
        <v>5828</v>
      </c>
      <c r="B894" s="3" t="s">
        <v>2276</v>
      </c>
      <c r="C894" s="3" t="s">
        <v>395</v>
      </c>
      <c r="D894" s="4" t="s">
        <v>130</v>
      </c>
      <c r="E894" s="4" t="s">
        <v>3854</v>
      </c>
      <c r="F894" s="4" t="s">
        <v>2276</v>
      </c>
      <c r="G894" s="4" t="s">
        <v>2276</v>
      </c>
      <c r="H894" s="4" t="s">
        <v>2276</v>
      </c>
      <c r="I894" s="4" t="s">
        <v>2276</v>
      </c>
      <c r="J894" s="4" t="s">
        <v>2276</v>
      </c>
      <c r="K894" s="4" t="s">
        <v>2276</v>
      </c>
      <c r="L894" s="4" t="s">
        <v>2276</v>
      </c>
      <c r="M894" s="4" t="s">
        <v>2276</v>
      </c>
      <c r="N894" s="4" t="s">
        <v>2276</v>
      </c>
      <c r="O894" s="4" t="s">
        <v>2276</v>
      </c>
      <c r="P894" s="21">
        <v>10</v>
      </c>
      <c r="Q894" s="21"/>
      <c r="R894" s="4" t="s">
        <v>2276</v>
      </c>
      <c r="S894" s="4" t="s">
        <v>2276</v>
      </c>
      <c r="T894" s="3"/>
    </row>
    <row r="895" spans="1:20" ht="36.5" customHeight="1">
      <c r="A895" s="19" t="s">
        <v>5837</v>
      </c>
      <c r="B895" s="3" t="s">
        <v>2276</v>
      </c>
      <c r="C895" s="3" t="s">
        <v>12</v>
      </c>
      <c r="D895" s="3" t="s">
        <v>45</v>
      </c>
      <c r="E895" s="4" t="s">
        <v>2276</v>
      </c>
      <c r="F895" s="4" t="s">
        <v>2276</v>
      </c>
      <c r="G895" s="4" t="s">
        <v>2276</v>
      </c>
      <c r="H895" s="4" t="s">
        <v>2276</v>
      </c>
      <c r="I895" s="4" t="s">
        <v>2276</v>
      </c>
      <c r="J895" s="4" t="s">
        <v>2276</v>
      </c>
      <c r="K895" s="4" t="s">
        <v>2276</v>
      </c>
      <c r="L895" s="4" t="s">
        <v>2276</v>
      </c>
      <c r="M895" s="4" t="s">
        <v>2276</v>
      </c>
      <c r="N895" s="4" t="s">
        <v>2276</v>
      </c>
      <c r="O895" s="4" t="s">
        <v>2276</v>
      </c>
      <c r="P895" s="4" t="s">
        <v>2276</v>
      </c>
      <c r="Q895" s="4" t="s">
        <v>2276</v>
      </c>
      <c r="R895" s="4" t="s">
        <v>2276</v>
      </c>
      <c r="S895" s="4" t="s">
        <v>2276</v>
      </c>
      <c r="T895" s="3"/>
    </row>
    <row r="896" spans="1:20" ht="34.5" customHeight="1">
      <c r="A896" s="3" t="s">
        <v>5844</v>
      </c>
      <c r="B896" s="3" t="s">
        <v>1197</v>
      </c>
      <c r="C896" s="3" t="s">
        <v>395</v>
      </c>
      <c r="D896" s="3" t="s">
        <v>2652</v>
      </c>
      <c r="E896" s="3" t="s">
        <v>137</v>
      </c>
      <c r="F896" s="3" t="s">
        <v>116</v>
      </c>
      <c r="G896" s="3" t="s">
        <v>5005</v>
      </c>
      <c r="H896" s="4" t="s">
        <v>2276</v>
      </c>
      <c r="I896" s="4" t="s">
        <v>2276</v>
      </c>
      <c r="J896" s="4" t="s">
        <v>2276</v>
      </c>
      <c r="K896" s="4" t="s">
        <v>2276</v>
      </c>
      <c r="L896" s="4" t="s">
        <v>2276</v>
      </c>
      <c r="M896" s="4" t="s">
        <v>2276</v>
      </c>
      <c r="N896" s="4" t="s">
        <v>2276</v>
      </c>
      <c r="O896" s="4" t="s">
        <v>2276</v>
      </c>
      <c r="P896" s="4" t="s">
        <v>2276</v>
      </c>
      <c r="Q896" s="4" t="s">
        <v>2276</v>
      </c>
      <c r="R896" s="4" t="s">
        <v>2276</v>
      </c>
      <c r="S896" s="4" t="s">
        <v>2276</v>
      </c>
      <c r="T896" s="3"/>
    </row>
    <row r="897" spans="1:20" ht="33" customHeight="1">
      <c r="A897" s="19" t="s">
        <v>5849</v>
      </c>
      <c r="B897" s="3" t="s">
        <v>1197</v>
      </c>
      <c r="C897" s="3" t="s">
        <v>12</v>
      </c>
      <c r="D897" s="3" t="s">
        <v>5005</v>
      </c>
      <c r="E897" s="3" t="s">
        <v>45</v>
      </c>
      <c r="F897" s="4" t="s">
        <v>137</v>
      </c>
      <c r="G897" s="4" t="s">
        <v>2276</v>
      </c>
      <c r="H897" s="4" t="s">
        <v>2276</v>
      </c>
      <c r="I897" s="4" t="s">
        <v>2276</v>
      </c>
      <c r="J897" s="4" t="s">
        <v>2276</v>
      </c>
      <c r="K897" s="4" t="s">
        <v>2276</v>
      </c>
      <c r="L897" s="4" t="s">
        <v>2276</v>
      </c>
      <c r="M897" s="4" t="s">
        <v>2276</v>
      </c>
      <c r="N897" s="4" t="s">
        <v>2276</v>
      </c>
      <c r="O897" s="4" t="s">
        <v>2276</v>
      </c>
      <c r="P897" s="4" t="s">
        <v>2276</v>
      </c>
      <c r="Q897" s="4" t="s">
        <v>2276</v>
      </c>
      <c r="R897" s="4" t="s">
        <v>2276</v>
      </c>
      <c r="S897" s="4" t="s">
        <v>2276</v>
      </c>
      <c r="T897" s="3"/>
    </row>
    <row r="898" spans="1:20" ht="30" customHeight="1">
      <c r="A898" s="19" t="s">
        <v>5854</v>
      </c>
      <c r="B898" s="3" t="s">
        <v>1197</v>
      </c>
      <c r="C898" s="3" t="s">
        <v>12</v>
      </c>
      <c r="D898" s="3" t="s">
        <v>863</v>
      </c>
      <c r="E898" s="3" t="s">
        <v>5005</v>
      </c>
      <c r="F898" s="3" t="s">
        <v>130</v>
      </c>
      <c r="G898" s="4" t="s">
        <v>137</v>
      </c>
      <c r="H898" s="4" t="s">
        <v>2276</v>
      </c>
      <c r="I898" s="4" t="s">
        <v>2276</v>
      </c>
      <c r="J898" s="4" t="s">
        <v>2276</v>
      </c>
      <c r="K898" s="3" t="s">
        <v>534</v>
      </c>
      <c r="L898" s="4" t="s">
        <v>2276</v>
      </c>
      <c r="M898" s="4" t="s">
        <v>2276</v>
      </c>
      <c r="N898" s="4" t="s">
        <v>2276</v>
      </c>
      <c r="O898" s="4" t="s">
        <v>2276</v>
      </c>
      <c r="P898" s="4" t="s">
        <v>2276</v>
      </c>
      <c r="Q898" s="4" t="s">
        <v>2276</v>
      </c>
      <c r="R898" s="4" t="s">
        <v>2276</v>
      </c>
      <c r="S898" s="4" t="s">
        <v>2276</v>
      </c>
      <c r="T898" s="3"/>
    </row>
    <row r="899" spans="1:20" ht="30" customHeight="1">
      <c r="A899" s="19" t="s">
        <v>5859</v>
      </c>
      <c r="B899" s="3" t="s">
        <v>1197</v>
      </c>
      <c r="C899" s="3" t="s">
        <v>12</v>
      </c>
      <c r="D899" s="3" t="s">
        <v>5005</v>
      </c>
      <c r="E899" s="4" t="s">
        <v>137</v>
      </c>
      <c r="F899" s="4" t="s">
        <v>2276</v>
      </c>
      <c r="G899" s="4" t="s">
        <v>2276</v>
      </c>
      <c r="H899" s="4" t="s">
        <v>2276</v>
      </c>
      <c r="I899" s="4" t="s">
        <v>2276</v>
      </c>
      <c r="J899" s="4" t="s">
        <v>2276</v>
      </c>
      <c r="K899" s="4" t="s">
        <v>2276</v>
      </c>
      <c r="L899" s="4" t="s">
        <v>2276</v>
      </c>
      <c r="M899" s="4" t="s">
        <v>2276</v>
      </c>
      <c r="N899" s="4" t="s">
        <v>2276</v>
      </c>
      <c r="O899" s="4" t="s">
        <v>2276</v>
      </c>
      <c r="P899" s="4" t="s">
        <v>2276</v>
      </c>
      <c r="Q899" s="4" t="s">
        <v>2276</v>
      </c>
      <c r="R899" s="4" t="s">
        <v>2276</v>
      </c>
      <c r="S899" s="4" t="s">
        <v>2276</v>
      </c>
      <c r="T899" s="3"/>
    </row>
    <row r="900" spans="1:20" ht="30" customHeight="1">
      <c r="A900" s="19" t="s">
        <v>5860</v>
      </c>
      <c r="B900" s="3" t="s">
        <v>1197</v>
      </c>
      <c r="C900" s="3" t="s">
        <v>12</v>
      </c>
      <c r="D900" s="3" t="s">
        <v>116</v>
      </c>
      <c r="E900" s="4" t="s">
        <v>2276</v>
      </c>
      <c r="F900" s="4" t="s">
        <v>2276</v>
      </c>
      <c r="G900" s="4" t="s">
        <v>2276</v>
      </c>
      <c r="H900" s="4" t="s">
        <v>2276</v>
      </c>
      <c r="I900" s="4" t="s">
        <v>2276</v>
      </c>
      <c r="J900" s="4" t="s">
        <v>2276</v>
      </c>
      <c r="K900" s="4" t="s">
        <v>2276</v>
      </c>
      <c r="L900" s="4" t="s">
        <v>2276</v>
      </c>
      <c r="M900" s="4" t="s">
        <v>2276</v>
      </c>
      <c r="N900" s="4" t="s">
        <v>2276</v>
      </c>
      <c r="O900" s="4" t="s">
        <v>2276</v>
      </c>
      <c r="P900" s="4" t="s">
        <v>2276</v>
      </c>
      <c r="Q900" s="4" t="s">
        <v>2276</v>
      </c>
      <c r="R900" s="4" t="s">
        <v>2276</v>
      </c>
      <c r="S900" s="4" t="s">
        <v>2276</v>
      </c>
      <c r="T900" s="3"/>
    </row>
    <row r="901" spans="1:20" ht="30" customHeight="1">
      <c r="A901" s="19" t="s">
        <v>5861</v>
      </c>
      <c r="B901" s="3" t="s">
        <v>1197</v>
      </c>
      <c r="C901" s="3" t="s">
        <v>12</v>
      </c>
      <c r="D901" s="4" t="s">
        <v>137</v>
      </c>
      <c r="E901" s="4" t="s">
        <v>2276</v>
      </c>
      <c r="F901" s="4" t="s">
        <v>2276</v>
      </c>
      <c r="G901" s="4" t="s">
        <v>2276</v>
      </c>
      <c r="H901" s="4" t="s">
        <v>2276</v>
      </c>
      <c r="I901" s="4" t="s">
        <v>2276</v>
      </c>
      <c r="J901" s="4" t="s">
        <v>2276</v>
      </c>
      <c r="K901" s="4" t="s">
        <v>2276</v>
      </c>
      <c r="L901" s="4" t="s">
        <v>2276</v>
      </c>
      <c r="M901" s="4" t="s">
        <v>2276</v>
      </c>
      <c r="N901" s="4" t="s">
        <v>2276</v>
      </c>
      <c r="O901" s="4" t="s">
        <v>2276</v>
      </c>
      <c r="P901" s="4" t="s">
        <v>2276</v>
      </c>
      <c r="Q901" s="4" t="s">
        <v>2276</v>
      </c>
      <c r="R901" s="4" t="s">
        <v>2276</v>
      </c>
      <c r="S901" s="4" t="s">
        <v>2276</v>
      </c>
      <c r="T901" s="3"/>
    </row>
    <row r="902" spans="1:20" ht="31.5" customHeight="1">
      <c r="A902" s="19" t="s">
        <v>5862</v>
      </c>
      <c r="B902" s="3" t="s">
        <v>2276</v>
      </c>
      <c r="C902" s="3" t="s">
        <v>2646</v>
      </c>
      <c r="D902" s="3" t="s">
        <v>2653</v>
      </c>
      <c r="E902" s="3" t="s">
        <v>2652</v>
      </c>
      <c r="F902" s="3" t="s">
        <v>45</v>
      </c>
      <c r="G902" s="4" t="s">
        <v>2276</v>
      </c>
      <c r="H902" s="4" t="s">
        <v>2276</v>
      </c>
      <c r="I902" s="4" t="s">
        <v>2276</v>
      </c>
      <c r="J902" s="4" t="s">
        <v>2276</v>
      </c>
      <c r="K902" s="4" t="s">
        <v>2276</v>
      </c>
      <c r="L902" s="4" t="s">
        <v>2276</v>
      </c>
      <c r="M902" s="4" t="s">
        <v>2276</v>
      </c>
      <c r="N902" s="4" t="s">
        <v>2276</v>
      </c>
      <c r="O902" s="4" t="s">
        <v>2276</v>
      </c>
      <c r="P902" s="4" t="s">
        <v>2276</v>
      </c>
      <c r="Q902" s="4" t="s">
        <v>2276</v>
      </c>
      <c r="R902" s="4" t="s">
        <v>2276</v>
      </c>
      <c r="S902" s="4" t="s">
        <v>2276</v>
      </c>
      <c r="T902" s="3"/>
    </row>
    <row r="903" spans="1:20" ht="37" customHeight="1">
      <c r="A903" s="19" t="s">
        <v>5879</v>
      </c>
      <c r="B903" s="3" t="s">
        <v>2276</v>
      </c>
      <c r="C903" s="3" t="s">
        <v>2646</v>
      </c>
      <c r="D903" s="3" t="s">
        <v>2653</v>
      </c>
      <c r="E903" s="3" t="s">
        <v>2652</v>
      </c>
      <c r="F903" s="3" t="s">
        <v>2276</v>
      </c>
      <c r="G903" s="3" t="s">
        <v>2276</v>
      </c>
      <c r="H903" s="3" t="s">
        <v>2276</v>
      </c>
      <c r="I903" s="3" t="s">
        <v>2276</v>
      </c>
      <c r="J903" s="3" t="s">
        <v>2276</v>
      </c>
      <c r="K903" s="3" t="s">
        <v>2276</v>
      </c>
      <c r="L903" s="3" t="s">
        <v>2276</v>
      </c>
      <c r="M903" s="3" t="s">
        <v>2276</v>
      </c>
      <c r="N903" s="3" t="s">
        <v>2276</v>
      </c>
      <c r="O903" s="3" t="s">
        <v>2276</v>
      </c>
      <c r="P903" s="3" t="s">
        <v>2276</v>
      </c>
      <c r="Q903" s="3" t="s">
        <v>2276</v>
      </c>
      <c r="R903" s="3" t="s">
        <v>2276</v>
      </c>
      <c r="S903" s="3" t="s">
        <v>2276</v>
      </c>
      <c r="T903" s="3"/>
    </row>
    <row r="904" spans="1:20" ht="27.5" customHeight="1">
      <c r="A904" s="19" t="s">
        <v>5875</v>
      </c>
      <c r="B904" s="3" t="s">
        <v>32</v>
      </c>
      <c r="C904" s="3" t="s">
        <v>2646</v>
      </c>
      <c r="D904" s="3" t="s">
        <v>2647</v>
      </c>
      <c r="E904" s="3" t="s">
        <v>2652</v>
      </c>
      <c r="F904" s="3" t="s">
        <v>137</v>
      </c>
      <c r="G904" s="3" t="s">
        <v>2276</v>
      </c>
      <c r="H904" s="3" t="s">
        <v>2276</v>
      </c>
      <c r="I904" s="3">
        <v>157.5</v>
      </c>
      <c r="J904" s="3" t="s">
        <v>2276</v>
      </c>
      <c r="K904" s="3" t="s">
        <v>2276</v>
      </c>
      <c r="L904" s="3" t="s">
        <v>2276</v>
      </c>
      <c r="M904" s="3" t="s">
        <v>2276</v>
      </c>
      <c r="N904" s="3" t="s">
        <v>2276</v>
      </c>
      <c r="O904" s="3" t="s">
        <v>2276</v>
      </c>
      <c r="P904" s="3" t="s">
        <v>2276</v>
      </c>
      <c r="Q904" s="3" t="s">
        <v>2276</v>
      </c>
      <c r="R904" s="3" t="s">
        <v>2276</v>
      </c>
      <c r="S904" s="3" t="s">
        <v>2276</v>
      </c>
      <c r="T904" s="3"/>
    </row>
    <row r="905" spans="1:20" ht="33.5" customHeight="1">
      <c r="A905" s="19" t="s">
        <v>5899</v>
      </c>
      <c r="B905" s="3" t="s">
        <v>70</v>
      </c>
      <c r="C905" s="3" t="s">
        <v>2646</v>
      </c>
      <c r="D905" s="3" t="s">
        <v>2647</v>
      </c>
      <c r="E905" s="3" t="s">
        <v>2652</v>
      </c>
      <c r="F905" s="3" t="s">
        <v>2276</v>
      </c>
      <c r="G905" s="3" t="s">
        <v>2276</v>
      </c>
      <c r="H905" s="3" t="s">
        <v>2276</v>
      </c>
      <c r="I905" s="3" t="s">
        <v>2276</v>
      </c>
      <c r="J905" s="3" t="s">
        <v>2276</v>
      </c>
      <c r="K905" s="3" t="s">
        <v>2276</v>
      </c>
      <c r="L905" s="3" t="s">
        <v>2276</v>
      </c>
      <c r="M905" s="3" t="s">
        <v>2276</v>
      </c>
      <c r="N905" s="3" t="s">
        <v>2276</v>
      </c>
      <c r="O905" s="3" t="s">
        <v>2276</v>
      </c>
      <c r="P905" s="3" t="s">
        <v>2276</v>
      </c>
      <c r="Q905" s="3" t="s">
        <v>2276</v>
      </c>
      <c r="R905" s="3" t="s">
        <v>2276</v>
      </c>
      <c r="S905" s="3" t="s">
        <v>2276</v>
      </c>
      <c r="T905" s="3"/>
    </row>
    <row r="906" spans="1:20" ht="33" customHeight="1">
      <c r="A906" s="19" t="s">
        <v>5909</v>
      </c>
      <c r="B906" s="3" t="s">
        <v>1197</v>
      </c>
      <c r="C906" s="3" t="s">
        <v>12</v>
      </c>
      <c r="D906" s="3" t="s">
        <v>137</v>
      </c>
      <c r="E906" s="3" t="s">
        <v>5005</v>
      </c>
      <c r="F906" s="3" t="s">
        <v>116</v>
      </c>
      <c r="G906" s="3" t="s">
        <v>863</v>
      </c>
      <c r="H906" s="3" t="s">
        <v>2276</v>
      </c>
      <c r="I906" s="3" t="s">
        <v>2276</v>
      </c>
      <c r="J906" s="3" t="s">
        <v>2276</v>
      </c>
      <c r="K906" s="3" t="s">
        <v>534</v>
      </c>
      <c r="L906" s="3" t="s">
        <v>2276</v>
      </c>
      <c r="M906" s="3" t="s">
        <v>2276</v>
      </c>
      <c r="N906" s="21">
        <f>2557.6/'Record info'!K906</f>
        <v>17.075711042862864</v>
      </c>
      <c r="O906" s="3" t="s">
        <v>2276</v>
      </c>
      <c r="P906" s="3" t="s">
        <v>2276</v>
      </c>
      <c r="Q906" s="3" t="s">
        <v>2276</v>
      </c>
      <c r="R906" s="21">
        <f>100-N906</f>
        <v>82.924288957137136</v>
      </c>
      <c r="S906" s="3" t="s">
        <v>2276</v>
      </c>
      <c r="T906" s="3"/>
    </row>
    <row r="907" spans="1:20" ht="30.5" customHeight="1">
      <c r="A907" s="19" t="s">
        <v>5932</v>
      </c>
      <c r="B907" s="3" t="s">
        <v>1197</v>
      </c>
      <c r="C907" s="3" t="s">
        <v>12</v>
      </c>
      <c r="D907" s="3" t="s">
        <v>137</v>
      </c>
      <c r="E907" s="3" t="s">
        <v>116</v>
      </c>
      <c r="F907" s="3" t="s">
        <v>2649</v>
      </c>
      <c r="G907" s="3" t="s">
        <v>2276</v>
      </c>
      <c r="H907" s="3" t="s">
        <v>2276</v>
      </c>
      <c r="I907" s="3" t="s">
        <v>2276</v>
      </c>
      <c r="J907" s="3" t="s">
        <v>2276</v>
      </c>
      <c r="K907" s="3" t="s">
        <v>2276</v>
      </c>
      <c r="L907" s="3" t="s">
        <v>2276</v>
      </c>
      <c r="M907" s="3" t="s">
        <v>2276</v>
      </c>
      <c r="N907" s="3" t="s">
        <v>2276</v>
      </c>
      <c r="O907" s="3" t="s">
        <v>2276</v>
      </c>
      <c r="P907" s="3" t="s">
        <v>2276</v>
      </c>
      <c r="Q907" s="3" t="s">
        <v>2276</v>
      </c>
      <c r="R907" s="3" t="s">
        <v>2276</v>
      </c>
      <c r="S907" s="3" t="s">
        <v>2276</v>
      </c>
      <c r="T907" s="11" t="s">
        <v>5933</v>
      </c>
    </row>
    <row r="908" spans="1:20" ht="31" customHeight="1">
      <c r="A908" s="19" t="s">
        <v>5949</v>
      </c>
      <c r="B908" s="3" t="s">
        <v>2258</v>
      </c>
      <c r="C908" s="3" t="s">
        <v>12</v>
      </c>
      <c r="D908" s="3" t="s">
        <v>130</v>
      </c>
      <c r="E908" s="4" t="s">
        <v>396</v>
      </c>
      <c r="F908" s="3" t="s">
        <v>84</v>
      </c>
      <c r="G908" s="3" t="s">
        <v>2276</v>
      </c>
      <c r="H908" s="3" t="s">
        <v>2276</v>
      </c>
      <c r="I908" s="3" t="s">
        <v>2276</v>
      </c>
      <c r="J908" s="3" t="s">
        <v>2276</v>
      </c>
      <c r="K908" s="3" t="s">
        <v>2276</v>
      </c>
      <c r="L908" s="3" t="s">
        <v>2276</v>
      </c>
      <c r="M908" s="3" t="s">
        <v>2276</v>
      </c>
      <c r="N908" s="3" t="s">
        <v>2276</v>
      </c>
      <c r="O908" s="3" t="s">
        <v>2276</v>
      </c>
      <c r="P908" s="3" t="s">
        <v>2276</v>
      </c>
      <c r="Q908" s="3" t="s">
        <v>2276</v>
      </c>
      <c r="R908" s="3" t="s">
        <v>2276</v>
      </c>
      <c r="S908" s="3" t="s">
        <v>2276</v>
      </c>
      <c r="T908" s="3"/>
    </row>
    <row r="909" spans="1:20" ht="32" customHeight="1">
      <c r="A909" s="19" t="s">
        <v>5953</v>
      </c>
      <c r="B909" s="3" t="s">
        <v>2258</v>
      </c>
      <c r="C909" s="3" t="s">
        <v>12</v>
      </c>
      <c r="D909" s="3" t="s">
        <v>130</v>
      </c>
      <c r="E909" s="4" t="s">
        <v>396</v>
      </c>
      <c r="F909" s="3" t="s">
        <v>84</v>
      </c>
      <c r="G909" s="3" t="s">
        <v>2276</v>
      </c>
      <c r="H909" s="3" t="s">
        <v>2276</v>
      </c>
      <c r="I909" s="3" t="s">
        <v>2276</v>
      </c>
      <c r="J909" s="3" t="s">
        <v>2276</v>
      </c>
      <c r="K909" s="3" t="s">
        <v>2276</v>
      </c>
      <c r="L909" s="3" t="s">
        <v>2276</v>
      </c>
      <c r="M909" s="3" t="s">
        <v>2276</v>
      </c>
      <c r="N909" s="3" t="s">
        <v>2276</v>
      </c>
      <c r="O909" s="3" t="s">
        <v>2276</v>
      </c>
      <c r="P909" s="3" t="s">
        <v>2276</v>
      </c>
      <c r="Q909" s="3" t="s">
        <v>2276</v>
      </c>
      <c r="R909" s="3" t="s">
        <v>2276</v>
      </c>
      <c r="S909" s="3" t="s">
        <v>2276</v>
      </c>
      <c r="T909" s="3"/>
    </row>
    <row r="910" spans="1:20" ht="28" customHeight="1">
      <c r="A910" s="19" t="s">
        <v>5956</v>
      </c>
      <c r="B910" s="3" t="s">
        <v>1197</v>
      </c>
      <c r="C910" s="3" t="s">
        <v>2646</v>
      </c>
      <c r="D910" s="3" t="s">
        <v>137</v>
      </c>
      <c r="E910" s="3" t="s">
        <v>116</v>
      </c>
      <c r="F910" s="3" t="s">
        <v>2649</v>
      </c>
      <c r="G910" s="3" t="s">
        <v>2276</v>
      </c>
      <c r="H910" s="3" t="s">
        <v>2276</v>
      </c>
      <c r="I910" s="3" t="s">
        <v>2276</v>
      </c>
      <c r="J910" s="3" t="s">
        <v>2276</v>
      </c>
      <c r="K910" s="3" t="s">
        <v>534</v>
      </c>
      <c r="L910" s="3" t="s">
        <v>2276</v>
      </c>
      <c r="M910" s="3" t="s">
        <v>2276</v>
      </c>
      <c r="N910" s="3" t="s">
        <v>2276</v>
      </c>
      <c r="O910" s="3" t="s">
        <v>2276</v>
      </c>
      <c r="P910" s="3" t="s">
        <v>2276</v>
      </c>
      <c r="Q910" s="3" t="s">
        <v>2276</v>
      </c>
      <c r="R910" s="3" t="s">
        <v>2276</v>
      </c>
      <c r="S910" s="3" t="s">
        <v>2276</v>
      </c>
      <c r="T910" s="3"/>
    </row>
    <row r="911" spans="1:20" ht="29.5" customHeight="1">
      <c r="A911" s="19" t="s">
        <v>5969</v>
      </c>
      <c r="B911" s="4" t="s">
        <v>2258</v>
      </c>
      <c r="C911" s="4" t="s">
        <v>12</v>
      </c>
      <c r="D911" s="4" t="s">
        <v>84</v>
      </c>
      <c r="E911" s="4" t="s">
        <v>396</v>
      </c>
      <c r="F911" s="4" t="s">
        <v>130</v>
      </c>
      <c r="G911" s="4" t="s">
        <v>863</v>
      </c>
      <c r="H911" s="3" t="s">
        <v>2276</v>
      </c>
      <c r="I911" s="3">
        <v>25</v>
      </c>
      <c r="J911" s="3" t="s">
        <v>2276</v>
      </c>
      <c r="K911" s="3" t="s">
        <v>534</v>
      </c>
      <c r="L911" s="3" t="s">
        <v>2276</v>
      </c>
      <c r="M911" s="3" t="s">
        <v>2276</v>
      </c>
      <c r="N911" s="3" t="s">
        <v>2276</v>
      </c>
      <c r="O911" s="3" t="s">
        <v>2276</v>
      </c>
      <c r="P911" s="3" t="s">
        <v>2276</v>
      </c>
      <c r="Q911" s="3" t="s">
        <v>2276</v>
      </c>
      <c r="R911" s="3" t="s">
        <v>2276</v>
      </c>
      <c r="S911" s="3" t="s">
        <v>2276</v>
      </c>
      <c r="T911" s="3" t="s">
        <v>5970</v>
      </c>
    </row>
    <row r="912" spans="1:20" ht="31.5" customHeight="1">
      <c r="A912" s="19" t="s">
        <v>5982</v>
      </c>
      <c r="B912" s="3" t="s">
        <v>2276</v>
      </c>
      <c r="C912" s="3" t="s">
        <v>2646</v>
      </c>
      <c r="D912" s="3" t="s">
        <v>130</v>
      </c>
      <c r="E912" s="3" t="s">
        <v>2652</v>
      </c>
      <c r="F912" s="4" t="s">
        <v>863</v>
      </c>
      <c r="G912" s="3" t="s">
        <v>2276</v>
      </c>
      <c r="H912" s="3" t="s">
        <v>2276</v>
      </c>
      <c r="I912" s="3" t="s">
        <v>2276</v>
      </c>
      <c r="J912" s="3" t="s">
        <v>2276</v>
      </c>
      <c r="K912" s="3" t="s">
        <v>534</v>
      </c>
      <c r="L912" s="3" t="s">
        <v>2276</v>
      </c>
      <c r="M912" s="3" t="s">
        <v>2276</v>
      </c>
      <c r="N912" s="3" t="s">
        <v>2276</v>
      </c>
      <c r="O912" s="3" t="s">
        <v>2276</v>
      </c>
      <c r="P912" s="3" t="s">
        <v>2276</v>
      </c>
      <c r="Q912" s="3" t="s">
        <v>2276</v>
      </c>
      <c r="R912" s="3" t="s">
        <v>2276</v>
      </c>
      <c r="S912" s="3" t="s">
        <v>2276</v>
      </c>
      <c r="T912" s="3"/>
    </row>
    <row r="913" spans="1:20" ht="31.5" customHeight="1">
      <c r="A913" s="19" t="s">
        <v>6058</v>
      </c>
      <c r="B913" s="3" t="s">
        <v>2276</v>
      </c>
      <c r="C913" s="3" t="s">
        <v>2646</v>
      </c>
      <c r="D913" s="3" t="s">
        <v>130</v>
      </c>
      <c r="E913" s="3" t="s">
        <v>2652</v>
      </c>
      <c r="F913" s="4" t="s">
        <v>863</v>
      </c>
      <c r="G913" s="3" t="s">
        <v>2276</v>
      </c>
      <c r="H913" s="3" t="s">
        <v>2276</v>
      </c>
      <c r="I913" s="3" t="s">
        <v>2276</v>
      </c>
      <c r="J913" s="3" t="s">
        <v>2276</v>
      </c>
      <c r="K913" s="3" t="s">
        <v>534</v>
      </c>
      <c r="L913" s="3" t="s">
        <v>2276</v>
      </c>
      <c r="M913" s="3" t="s">
        <v>2276</v>
      </c>
      <c r="N913" s="3" t="s">
        <v>2276</v>
      </c>
      <c r="O913" s="3" t="s">
        <v>2276</v>
      </c>
      <c r="P913" s="3" t="s">
        <v>2276</v>
      </c>
      <c r="Q913" s="3" t="s">
        <v>2276</v>
      </c>
      <c r="R913" s="3" t="s">
        <v>2276</v>
      </c>
      <c r="S913" s="3" t="s">
        <v>2276</v>
      </c>
      <c r="T913" s="3"/>
    </row>
    <row r="914" spans="1:20" ht="37.5" customHeight="1">
      <c r="A914" s="19" t="s">
        <v>5994</v>
      </c>
      <c r="B914" s="3" t="s">
        <v>2276</v>
      </c>
      <c r="C914" s="3" t="s">
        <v>395</v>
      </c>
      <c r="D914" s="3" t="s">
        <v>116</v>
      </c>
      <c r="E914" s="3" t="s">
        <v>2276</v>
      </c>
      <c r="F914" s="3" t="s">
        <v>2276</v>
      </c>
      <c r="G914" s="3" t="s">
        <v>2276</v>
      </c>
      <c r="H914" s="3" t="s">
        <v>2276</v>
      </c>
      <c r="I914" s="3" t="s">
        <v>2276</v>
      </c>
      <c r="J914" s="3" t="s">
        <v>2276</v>
      </c>
      <c r="K914" s="3" t="s">
        <v>2276</v>
      </c>
      <c r="L914" s="3" t="s">
        <v>2276</v>
      </c>
      <c r="M914" s="3" t="s">
        <v>2276</v>
      </c>
      <c r="N914" s="3" t="s">
        <v>2276</v>
      </c>
      <c r="O914" s="3" t="s">
        <v>2276</v>
      </c>
      <c r="P914" s="3" t="s">
        <v>2276</v>
      </c>
      <c r="Q914" s="3" t="s">
        <v>2276</v>
      </c>
      <c r="R914" s="3" t="s">
        <v>2276</v>
      </c>
      <c r="S914" s="3" t="s">
        <v>2276</v>
      </c>
      <c r="T914" s="3"/>
    </row>
    <row r="915" spans="1:20" ht="29.5" customHeight="1">
      <c r="A915" s="19" t="s">
        <v>5998</v>
      </c>
      <c r="B915" s="3" t="s">
        <v>2276</v>
      </c>
      <c r="C915" s="3" t="s">
        <v>2646</v>
      </c>
      <c r="D915" s="3" t="s">
        <v>5801</v>
      </c>
      <c r="E915" s="3" t="s">
        <v>2276</v>
      </c>
      <c r="F915" s="3" t="s">
        <v>2276</v>
      </c>
      <c r="G915" s="3" t="s">
        <v>2276</v>
      </c>
      <c r="H915" s="3" t="s">
        <v>2276</v>
      </c>
      <c r="I915" s="3" t="s">
        <v>2276</v>
      </c>
      <c r="J915" s="3" t="s">
        <v>2276</v>
      </c>
      <c r="K915" s="3" t="s">
        <v>2276</v>
      </c>
      <c r="L915" s="3" t="s">
        <v>2276</v>
      </c>
      <c r="M915" s="3" t="s">
        <v>2276</v>
      </c>
      <c r="N915" s="3" t="s">
        <v>2276</v>
      </c>
      <c r="O915" s="3" t="s">
        <v>2276</v>
      </c>
      <c r="P915" s="3" t="s">
        <v>2276</v>
      </c>
      <c r="Q915" s="3" t="s">
        <v>2276</v>
      </c>
      <c r="R915" s="3" t="s">
        <v>2276</v>
      </c>
      <c r="S915" s="3" t="s">
        <v>2276</v>
      </c>
      <c r="T915" s="3"/>
    </row>
    <row r="916" spans="1:20" ht="32.5" customHeight="1">
      <c r="A916" s="3" t="s">
        <v>6000</v>
      </c>
      <c r="B916" s="3" t="s">
        <v>2276</v>
      </c>
      <c r="C916" s="3" t="s">
        <v>395</v>
      </c>
      <c r="D916" s="3" t="s">
        <v>130</v>
      </c>
      <c r="E916" s="3" t="s">
        <v>45</v>
      </c>
      <c r="F916" s="3" t="s">
        <v>2276</v>
      </c>
      <c r="G916" s="3" t="s">
        <v>2276</v>
      </c>
      <c r="H916" s="3" t="s">
        <v>2276</v>
      </c>
      <c r="I916" s="3" t="s">
        <v>2276</v>
      </c>
      <c r="J916" s="3" t="s">
        <v>2276</v>
      </c>
      <c r="K916" s="3" t="s">
        <v>2276</v>
      </c>
      <c r="L916" s="3" t="s">
        <v>2276</v>
      </c>
      <c r="M916" s="3" t="s">
        <v>2276</v>
      </c>
      <c r="N916" s="3" t="s">
        <v>2276</v>
      </c>
      <c r="O916" s="3" t="s">
        <v>2276</v>
      </c>
      <c r="P916" s="3" t="s">
        <v>2276</v>
      </c>
      <c r="Q916" s="3" t="s">
        <v>2276</v>
      </c>
      <c r="R916" s="3" t="s">
        <v>2276</v>
      </c>
      <c r="S916" s="3" t="s">
        <v>2276</v>
      </c>
      <c r="T916" s="3"/>
    </row>
    <row r="917" spans="1:20" ht="35" customHeight="1">
      <c r="A917" s="19" t="s">
        <v>6018</v>
      </c>
      <c r="B917" s="3" t="s">
        <v>1197</v>
      </c>
      <c r="C917" s="3" t="s">
        <v>2646</v>
      </c>
      <c r="D917" s="3" t="s">
        <v>137</v>
      </c>
      <c r="E917" s="3" t="s">
        <v>116</v>
      </c>
      <c r="F917" s="3" t="s">
        <v>2649</v>
      </c>
      <c r="G917" s="3" t="s">
        <v>2276</v>
      </c>
      <c r="H917" s="3" t="s">
        <v>2276</v>
      </c>
      <c r="I917" s="3" t="s">
        <v>2276</v>
      </c>
      <c r="J917" s="3" t="s">
        <v>2276</v>
      </c>
      <c r="K917" s="3" t="s">
        <v>534</v>
      </c>
      <c r="L917" s="3" t="s">
        <v>2276</v>
      </c>
      <c r="M917" s="3" t="s">
        <v>2276</v>
      </c>
      <c r="N917" s="3" t="s">
        <v>2276</v>
      </c>
      <c r="O917" s="3" t="s">
        <v>2276</v>
      </c>
      <c r="P917" s="3" t="s">
        <v>2276</v>
      </c>
      <c r="Q917" s="3" t="s">
        <v>2276</v>
      </c>
      <c r="R917" s="3" t="s">
        <v>2276</v>
      </c>
      <c r="S917" s="3" t="s">
        <v>2276</v>
      </c>
      <c r="T917" s="3"/>
    </row>
    <row r="918" spans="1:20" ht="28" customHeight="1">
      <c r="A918" s="19" t="s">
        <v>6032</v>
      </c>
      <c r="B918" s="3" t="s">
        <v>1197</v>
      </c>
      <c r="C918" s="3" t="s">
        <v>2646</v>
      </c>
      <c r="D918" s="3" t="s">
        <v>5801</v>
      </c>
      <c r="E918" s="3" t="s">
        <v>137</v>
      </c>
      <c r="F918" s="3" t="s">
        <v>45</v>
      </c>
      <c r="G918" s="3" t="s">
        <v>2276</v>
      </c>
      <c r="H918" s="3" t="s">
        <v>2276</v>
      </c>
      <c r="I918" s="3" t="s">
        <v>2276</v>
      </c>
      <c r="J918" s="3" t="s">
        <v>2276</v>
      </c>
      <c r="K918" s="3" t="s">
        <v>2276</v>
      </c>
      <c r="L918" s="3" t="s">
        <v>2276</v>
      </c>
      <c r="M918" s="3" t="s">
        <v>2276</v>
      </c>
      <c r="N918" s="3" t="s">
        <v>2276</v>
      </c>
      <c r="O918" s="3" t="s">
        <v>2276</v>
      </c>
      <c r="P918" s="3" t="s">
        <v>2276</v>
      </c>
      <c r="Q918" s="3" t="s">
        <v>2276</v>
      </c>
      <c r="R918" s="3" t="s">
        <v>2276</v>
      </c>
      <c r="S918" s="3" t="s">
        <v>2276</v>
      </c>
      <c r="T918" s="3"/>
    </row>
    <row r="919" spans="1:20" ht="37.5" customHeight="1">
      <c r="A919" s="19" t="s">
        <v>6039</v>
      </c>
      <c r="B919" s="3" t="s">
        <v>2276</v>
      </c>
      <c r="C919" s="3" t="s">
        <v>2646</v>
      </c>
      <c r="D919" s="3" t="s">
        <v>5801</v>
      </c>
      <c r="E919" s="3" t="s">
        <v>5005</v>
      </c>
      <c r="F919" s="4" t="s">
        <v>3855</v>
      </c>
      <c r="G919" s="3" t="s">
        <v>2276</v>
      </c>
      <c r="H919" s="3" t="s">
        <v>2276</v>
      </c>
      <c r="I919" s="3" t="s">
        <v>2276</v>
      </c>
      <c r="J919" s="3" t="s">
        <v>2276</v>
      </c>
      <c r="K919" s="3" t="s">
        <v>2276</v>
      </c>
      <c r="L919" s="3" t="s">
        <v>2276</v>
      </c>
      <c r="M919" s="3" t="s">
        <v>2276</v>
      </c>
      <c r="N919" s="3" t="s">
        <v>2276</v>
      </c>
      <c r="O919" s="3" t="s">
        <v>2276</v>
      </c>
      <c r="P919" s="3" t="s">
        <v>2276</v>
      </c>
      <c r="Q919" s="3" t="s">
        <v>2276</v>
      </c>
      <c r="R919" s="3" t="s">
        <v>2276</v>
      </c>
      <c r="S919" s="3" t="s">
        <v>2276</v>
      </c>
      <c r="T919" s="3"/>
    </row>
    <row r="920" spans="1:20" ht="35" customHeight="1">
      <c r="A920" s="19" t="s">
        <v>6048</v>
      </c>
      <c r="B920" s="11" t="s">
        <v>2276</v>
      </c>
      <c r="C920" s="11" t="s">
        <v>395</v>
      </c>
      <c r="D920" s="11" t="s">
        <v>130</v>
      </c>
      <c r="E920" s="11" t="s">
        <v>45</v>
      </c>
      <c r="F920" s="3" t="s">
        <v>2276</v>
      </c>
      <c r="G920" s="3" t="s">
        <v>2276</v>
      </c>
      <c r="H920" s="3" t="s">
        <v>2276</v>
      </c>
      <c r="I920" s="3" t="s">
        <v>2276</v>
      </c>
      <c r="J920" s="3" t="s">
        <v>2276</v>
      </c>
      <c r="K920" s="3" t="s">
        <v>2276</v>
      </c>
      <c r="L920" s="3" t="s">
        <v>2276</v>
      </c>
      <c r="M920" s="3" t="s">
        <v>2276</v>
      </c>
      <c r="N920" s="3" t="s">
        <v>2276</v>
      </c>
      <c r="O920" s="3" t="s">
        <v>2276</v>
      </c>
      <c r="P920" s="3" t="s">
        <v>2276</v>
      </c>
      <c r="Q920" s="3" t="s">
        <v>2276</v>
      </c>
      <c r="R920" s="3" t="s">
        <v>2276</v>
      </c>
      <c r="S920" s="3" t="s">
        <v>2276</v>
      </c>
      <c r="T920" s="3"/>
    </row>
    <row r="921" spans="1:20" ht="30" customHeight="1">
      <c r="A921" s="19" t="s">
        <v>6061</v>
      </c>
      <c r="B921" s="11" t="s">
        <v>2276</v>
      </c>
      <c r="C921" s="3" t="s">
        <v>12</v>
      </c>
      <c r="D921" s="3" t="s">
        <v>45</v>
      </c>
      <c r="E921" s="3" t="s">
        <v>2276</v>
      </c>
      <c r="F921" s="3" t="s">
        <v>2276</v>
      </c>
      <c r="G921" s="3" t="s">
        <v>2276</v>
      </c>
      <c r="H921" s="21">
        <v>0.48</v>
      </c>
      <c r="I921" s="21">
        <v>5573</v>
      </c>
      <c r="J921" s="3" t="s">
        <v>2276</v>
      </c>
      <c r="K921" s="3" t="s">
        <v>2276</v>
      </c>
      <c r="L921" s="3" t="s">
        <v>2276</v>
      </c>
      <c r="M921" s="3" t="s">
        <v>2276</v>
      </c>
      <c r="N921" s="3" t="s">
        <v>2276</v>
      </c>
      <c r="O921" s="3" t="s">
        <v>2276</v>
      </c>
      <c r="P921" s="3" t="s">
        <v>2276</v>
      </c>
      <c r="Q921" s="3" t="s">
        <v>2276</v>
      </c>
      <c r="R921" s="3" t="s">
        <v>2276</v>
      </c>
      <c r="S921" s="3" t="s">
        <v>2276</v>
      </c>
      <c r="T921" s="3"/>
    </row>
    <row r="922" spans="1:20" ht="30" customHeight="1">
      <c r="A922" s="19" t="s">
        <v>6062</v>
      </c>
      <c r="B922" s="11" t="s">
        <v>2276</v>
      </c>
      <c r="C922" s="3" t="s">
        <v>12</v>
      </c>
      <c r="D922" s="3" t="s">
        <v>45</v>
      </c>
      <c r="E922" s="3" t="s">
        <v>130</v>
      </c>
      <c r="F922" s="3" t="s">
        <v>2276</v>
      </c>
      <c r="G922" s="3" t="s">
        <v>2276</v>
      </c>
      <c r="H922" s="21">
        <v>0.64</v>
      </c>
      <c r="I922" s="21">
        <v>1022</v>
      </c>
      <c r="J922" s="3" t="s">
        <v>2276</v>
      </c>
      <c r="K922" s="3" t="s">
        <v>2276</v>
      </c>
      <c r="L922" s="3" t="s">
        <v>2276</v>
      </c>
      <c r="M922" s="3" t="s">
        <v>2276</v>
      </c>
      <c r="N922" s="3" t="s">
        <v>2276</v>
      </c>
      <c r="O922" s="3" t="s">
        <v>2276</v>
      </c>
      <c r="P922" s="3" t="s">
        <v>2276</v>
      </c>
      <c r="Q922" s="3" t="s">
        <v>2276</v>
      </c>
      <c r="R922" s="3" t="s">
        <v>2276</v>
      </c>
      <c r="S922" s="3" t="s">
        <v>2276</v>
      </c>
      <c r="T922" s="3"/>
    </row>
    <row r="923" spans="1:20" ht="30" customHeight="1">
      <c r="A923" s="19" t="s">
        <v>6063</v>
      </c>
      <c r="B923" s="11" t="s">
        <v>2276</v>
      </c>
      <c r="C923" s="3" t="s">
        <v>12</v>
      </c>
      <c r="D923" s="3" t="s">
        <v>45</v>
      </c>
      <c r="E923" s="3" t="s">
        <v>84</v>
      </c>
      <c r="F923" s="3" t="s">
        <v>2276</v>
      </c>
      <c r="G923" s="3" t="s">
        <v>2276</v>
      </c>
      <c r="H923" s="21">
        <f>(0.64*253+0.74*3738+0.65*21570+135835*0.64) / SUM(253, 3378, 21570, 135835)</f>
        <v>0.64509140813234311</v>
      </c>
      <c r="I923" s="3">
        <v>14846.15</v>
      </c>
      <c r="J923" s="3" t="s">
        <v>2276</v>
      </c>
      <c r="K923" s="3" t="s">
        <v>2276</v>
      </c>
      <c r="L923" s="3" t="s">
        <v>2276</v>
      </c>
      <c r="M923" s="3" t="s">
        <v>2276</v>
      </c>
      <c r="N923" s="3" t="s">
        <v>2276</v>
      </c>
      <c r="O923" s="3" t="s">
        <v>2276</v>
      </c>
      <c r="P923" s="3" t="s">
        <v>2276</v>
      </c>
      <c r="Q923" s="3" t="s">
        <v>2276</v>
      </c>
      <c r="R923" s="3" t="s">
        <v>2276</v>
      </c>
      <c r="S923" s="3" t="s">
        <v>2276</v>
      </c>
      <c r="T923" s="3"/>
    </row>
    <row r="924" spans="1:20" ht="30" customHeight="1">
      <c r="A924" s="19" t="s">
        <v>6075</v>
      </c>
      <c r="B924" s="3" t="s">
        <v>2276</v>
      </c>
      <c r="C924" s="3" t="s">
        <v>12</v>
      </c>
      <c r="D924" s="3" t="s">
        <v>45</v>
      </c>
      <c r="E924" s="3" t="s">
        <v>5005</v>
      </c>
      <c r="F924" s="3" t="s">
        <v>116</v>
      </c>
      <c r="G924" s="3" t="s">
        <v>130</v>
      </c>
      <c r="H924" s="3" t="s">
        <v>2276</v>
      </c>
      <c r="I924" s="3" t="s">
        <v>2276</v>
      </c>
      <c r="J924" s="3" t="s">
        <v>2276</v>
      </c>
      <c r="K924" s="3" t="s">
        <v>2276</v>
      </c>
      <c r="L924" s="3" t="s">
        <v>2276</v>
      </c>
      <c r="M924" s="3" t="s">
        <v>2276</v>
      </c>
      <c r="N924" s="3" t="s">
        <v>2276</v>
      </c>
      <c r="O924" s="3" t="s">
        <v>2276</v>
      </c>
      <c r="P924" s="3" t="s">
        <v>2276</v>
      </c>
      <c r="Q924" s="3" t="s">
        <v>2276</v>
      </c>
      <c r="R924" s="3" t="s">
        <v>2276</v>
      </c>
      <c r="S924" s="3" t="s">
        <v>2276</v>
      </c>
      <c r="T924" s="3"/>
    </row>
    <row r="925" spans="1:20" ht="30" customHeight="1">
      <c r="A925" s="19" t="s">
        <v>6083</v>
      </c>
      <c r="B925" s="11" t="s">
        <v>69</v>
      </c>
      <c r="C925" s="11" t="s">
        <v>12</v>
      </c>
      <c r="D925" s="19" t="s">
        <v>5005</v>
      </c>
      <c r="E925" s="19" t="s">
        <v>130</v>
      </c>
      <c r="F925" s="19" t="s">
        <v>397</v>
      </c>
      <c r="G925" s="11" t="s">
        <v>2276</v>
      </c>
      <c r="H925" s="11">
        <f>30/100</f>
        <v>0.3</v>
      </c>
      <c r="I925" s="11">
        <v>8.1999999999999993</v>
      </c>
      <c r="J925" s="204" t="s">
        <v>2276</v>
      </c>
      <c r="K925" s="204" t="s">
        <v>2276</v>
      </c>
      <c r="L925" s="204" t="s">
        <v>2276</v>
      </c>
      <c r="M925" s="204" t="s">
        <v>2276</v>
      </c>
      <c r="N925" s="204" t="s">
        <v>2276</v>
      </c>
      <c r="O925" s="204" t="s">
        <v>2276</v>
      </c>
      <c r="P925" s="204" t="s">
        <v>2276</v>
      </c>
      <c r="Q925" s="204" t="s">
        <v>2276</v>
      </c>
      <c r="R925" s="204" t="s">
        <v>2276</v>
      </c>
      <c r="S925" s="204" t="s">
        <v>2276</v>
      </c>
      <c r="T925" s="11"/>
    </row>
    <row r="926" spans="1:20" ht="30" customHeight="1">
      <c r="A926" s="19" t="s">
        <v>6084</v>
      </c>
      <c r="B926" s="11" t="s">
        <v>2276</v>
      </c>
      <c r="C926" s="11" t="s">
        <v>12</v>
      </c>
      <c r="D926" s="19" t="s">
        <v>2653</v>
      </c>
      <c r="E926" s="19" t="s">
        <v>5005</v>
      </c>
      <c r="F926" s="19" t="s">
        <v>130</v>
      </c>
      <c r="G926" s="19" t="s">
        <v>397</v>
      </c>
      <c r="H926" s="11">
        <f>17.5/100</f>
        <v>0.17499999999999999</v>
      </c>
      <c r="I926" s="11">
        <v>3.1</v>
      </c>
      <c r="J926" s="204" t="s">
        <v>2276</v>
      </c>
      <c r="K926" s="204" t="s">
        <v>2276</v>
      </c>
      <c r="L926" s="204" t="s">
        <v>2276</v>
      </c>
      <c r="M926" s="204" t="s">
        <v>2276</v>
      </c>
      <c r="N926" s="204" t="s">
        <v>2276</v>
      </c>
      <c r="O926" s="204" t="s">
        <v>2276</v>
      </c>
      <c r="P926" s="204" t="s">
        <v>2276</v>
      </c>
      <c r="Q926" s="204" t="s">
        <v>2276</v>
      </c>
      <c r="R926" s="204" t="s">
        <v>2276</v>
      </c>
      <c r="S926" s="204" t="s">
        <v>2276</v>
      </c>
      <c r="T926" s="11"/>
    </row>
    <row r="927" spans="1:20" s="60" customFormat="1" ht="36" customHeight="1">
      <c r="A927" s="48" t="s">
        <v>6148</v>
      </c>
      <c r="B927" s="11" t="s">
        <v>32</v>
      </c>
      <c r="C927" s="4" t="s">
        <v>2646</v>
      </c>
      <c r="D927" s="4" t="s">
        <v>137</v>
      </c>
      <c r="E927" s="4" t="s">
        <v>2653</v>
      </c>
      <c r="F927" s="4" t="s">
        <v>2649</v>
      </c>
      <c r="G927" s="4" t="s">
        <v>2652</v>
      </c>
      <c r="H927" s="4" t="s">
        <v>2276</v>
      </c>
      <c r="I927" s="4" t="s">
        <v>2276</v>
      </c>
      <c r="J927" s="4" t="s">
        <v>2276</v>
      </c>
      <c r="K927" s="4" t="s">
        <v>534</v>
      </c>
      <c r="L927" s="4" t="s">
        <v>2276</v>
      </c>
      <c r="M927" s="4" t="s">
        <v>2276</v>
      </c>
      <c r="N927" s="4" t="s">
        <v>2276</v>
      </c>
      <c r="O927" s="4" t="s">
        <v>2276</v>
      </c>
      <c r="P927" s="4" t="s">
        <v>2276</v>
      </c>
      <c r="Q927" s="4" t="s">
        <v>2276</v>
      </c>
      <c r="R927" s="4" t="s">
        <v>2276</v>
      </c>
      <c r="S927" s="4" t="s">
        <v>2276</v>
      </c>
      <c r="T927" s="4"/>
    </row>
    <row r="928" spans="1:20" s="60" customFormat="1" ht="36" customHeight="1">
      <c r="A928" s="48" t="s">
        <v>6149</v>
      </c>
      <c r="B928" s="11" t="s">
        <v>32</v>
      </c>
      <c r="C928" s="4" t="s">
        <v>2646</v>
      </c>
      <c r="D928" s="4" t="s">
        <v>137</v>
      </c>
      <c r="E928" s="4" t="s">
        <v>2653</v>
      </c>
      <c r="F928" s="4" t="s">
        <v>2649</v>
      </c>
      <c r="G928" s="4" t="s">
        <v>2652</v>
      </c>
      <c r="H928" s="4" t="s">
        <v>2276</v>
      </c>
      <c r="I928" s="4" t="s">
        <v>2276</v>
      </c>
      <c r="J928" s="4" t="s">
        <v>2276</v>
      </c>
      <c r="K928" s="4" t="s">
        <v>534</v>
      </c>
      <c r="L928" s="4" t="s">
        <v>2276</v>
      </c>
      <c r="M928" s="4" t="s">
        <v>2276</v>
      </c>
      <c r="N928" s="4" t="s">
        <v>2276</v>
      </c>
      <c r="O928" s="4" t="s">
        <v>2276</v>
      </c>
      <c r="P928" s="4" t="s">
        <v>2276</v>
      </c>
      <c r="Q928" s="4" t="s">
        <v>2276</v>
      </c>
      <c r="R928" s="4" t="s">
        <v>2276</v>
      </c>
      <c r="S928" s="4" t="s">
        <v>2276</v>
      </c>
      <c r="T928" s="4"/>
    </row>
    <row r="929" spans="1:20" s="205" customFormat="1" ht="36" customHeight="1">
      <c r="A929" s="48" t="s">
        <v>6639</v>
      </c>
      <c r="B929" s="11" t="s">
        <v>1197</v>
      </c>
      <c r="C929" s="204" t="s">
        <v>2645</v>
      </c>
      <c r="D929" s="4" t="s">
        <v>137</v>
      </c>
      <c r="E929" s="4" t="s">
        <v>2649</v>
      </c>
      <c r="F929" s="4" t="s">
        <v>2276</v>
      </c>
      <c r="G929" s="4" t="s">
        <v>2276</v>
      </c>
      <c r="H929" s="4" t="s">
        <v>2276</v>
      </c>
      <c r="I929" s="4" t="s">
        <v>2276</v>
      </c>
      <c r="J929" s="4" t="s">
        <v>2276</v>
      </c>
      <c r="K929" s="4" t="s">
        <v>534</v>
      </c>
      <c r="L929" s="4" t="s">
        <v>2276</v>
      </c>
      <c r="M929" s="4" t="s">
        <v>2276</v>
      </c>
      <c r="N929" s="4" t="s">
        <v>2276</v>
      </c>
      <c r="O929" s="4" t="s">
        <v>2276</v>
      </c>
      <c r="P929" s="4" t="s">
        <v>2276</v>
      </c>
      <c r="Q929" s="4" t="s">
        <v>2276</v>
      </c>
      <c r="R929" s="4" t="s">
        <v>2276</v>
      </c>
      <c r="S929" s="4" t="s">
        <v>2276</v>
      </c>
      <c r="T929" s="4" t="s">
        <v>6645</v>
      </c>
    </row>
    <row r="930" spans="1:20" s="205" customFormat="1" ht="36" customHeight="1">
      <c r="A930" s="48" t="s">
        <v>6640</v>
      </c>
      <c r="B930" s="11" t="s">
        <v>1197</v>
      </c>
      <c r="C930" s="204" t="s">
        <v>2645</v>
      </c>
      <c r="D930" s="4" t="s">
        <v>137</v>
      </c>
      <c r="E930" s="4" t="s">
        <v>2649</v>
      </c>
      <c r="F930" s="4" t="s">
        <v>2276</v>
      </c>
      <c r="G930" s="4" t="s">
        <v>2276</v>
      </c>
      <c r="H930" s="4" t="s">
        <v>2276</v>
      </c>
      <c r="I930" s="4" t="s">
        <v>2276</v>
      </c>
      <c r="J930" s="4" t="s">
        <v>2276</v>
      </c>
      <c r="K930" s="4" t="s">
        <v>534</v>
      </c>
      <c r="L930" s="4" t="s">
        <v>2276</v>
      </c>
      <c r="M930" s="4" t="s">
        <v>2276</v>
      </c>
      <c r="N930" s="4" t="s">
        <v>2276</v>
      </c>
      <c r="O930" s="4" t="s">
        <v>2276</v>
      </c>
      <c r="P930" s="4" t="s">
        <v>2276</v>
      </c>
      <c r="Q930" s="4" t="s">
        <v>2276</v>
      </c>
      <c r="R930" s="4" t="s">
        <v>2276</v>
      </c>
      <c r="S930" s="4" t="s">
        <v>2276</v>
      </c>
      <c r="T930" s="4" t="s">
        <v>6645</v>
      </c>
    </row>
    <row r="931" spans="1:20" s="205" customFormat="1" ht="36" customHeight="1">
      <c r="A931" s="48" t="s">
        <v>6641</v>
      </c>
      <c r="B931" s="11" t="s">
        <v>1197</v>
      </c>
      <c r="C931" s="204" t="s">
        <v>2645</v>
      </c>
      <c r="D931" s="4" t="s">
        <v>137</v>
      </c>
      <c r="E931" s="4" t="s">
        <v>2649</v>
      </c>
      <c r="F931" s="4" t="s">
        <v>2276</v>
      </c>
      <c r="G931" s="4" t="s">
        <v>2276</v>
      </c>
      <c r="H931" s="4" t="s">
        <v>2276</v>
      </c>
      <c r="I931" s="4" t="s">
        <v>2276</v>
      </c>
      <c r="J931" s="4" t="s">
        <v>2276</v>
      </c>
      <c r="K931" s="4" t="s">
        <v>534</v>
      </c>
      <c r="L931" s="4" t="s">
        <v>2276</v>
      </c>
      <c r="M931" s="4" t="s">
        <v>2276</v>
      </c>
      <c r="N931" s="4" t="s">
        <v>2276</v>
      </c>
      <c r="O931" s="4" t="s">
        <v>2276</v>
      </c>
      <c r="P931" s="4" t="s">
        <v>2276</v>
      </c>
      <c r="Q931" s="4" t="s">
        <v>2276</v>
      </c>
      <c r="R931" s="4" t="s">
        <v>2276</v>
      </c>
      <c r="S931" s="4" t="s">
        <v>2276</v>
      </c>
      <c r="T931" s="4" t="s">
        <v>6645</v>
      </c>
    </row>
    <row r="932" spans="1:20" s="60" customFormat="1" ht="36" customHeight="1">
      <c r="A932" s="48" t="s">
        <v>6150</v>
      </c>
      <c r="B932" s="11" t="s">
        <v>32</v>
      </c>
      <c r="C932" s="4" t="s">
        <v>2646</v>
      </c>
      <c r="D932" s="4" t="s">
        <v>2653</v>
      </c>
      <c r="E932" s="4" t="s">
        <v>3855</v>
      </c>
      <c r="F932" s="11" t="s">
        <v>5801</v>
      </c>
      <c r="G932" s="4" t="s">
        <v>2276</v>
      </c>
      <c r="H932" s="4" t="s">
        <v>2276</v>
      </c>
      <c r="I932" s="4" t="s">
        <v>2276</v>
      </c>
      <c r="J932" s="4" t="s">
        <v>2276</v>
      </c>
      <c r="K932" s="4" t="s">
        <v>2276</v>
      </c>
      <c r="L932" s="4" t="s">
        <v>2276</v>
      </c>
      <c r="M932" s="4" t="s">
        <v>2276</v>
      </c>
      <c r="N932" s="4" t="s">
        <v>2276</v>
      </c>
      <c r="O932" s="4" t="s">
        <v>2276</v>
      </c>
      <c r="P932" s="4">
        <v>43.23</v>
      </c>
      <c r="Q932" s="4" t="s">
        <v>2276</v>
      </c>
      <c r="R932" s="4">
        <v>55.06</v>
      </c>
      <c r="S932" s="4" t="s">
        <v>2276</v>
      </c>
      <c r="T932" s="4"/>
    </row>
    <row r="933" spans="1:20" s="60" customFormat="1" ht="36" customHeight="1">
      <c r="A933" s="48" t="s">
        <v>6151</v>
      </c>
      <c r="B933" s="11" t="s">
        <v>32</v>
      </c>
      <c r="C933" s="4" t="s">
        <v>2646</v>
      </c>
      <c r="D933" s="4" t="s">
        <v>2653</v>
      </c>
      <c r="E933" s="11" t="s">
        <v>5801</v>
      </c>
      <c r="F933" s="4" t="s">
        <v>2276</v>
      </c>
      <c r="G933" s="4" t="s">
        <v>2276</v>
      </c>
      <c r="H933" s="4" t="s">
        <v>2276</v>
      </c>
      <c r="I933" s="4" t="s">
        <v>2276</v>
      </c>
      <c r="J933" s="4" t="s">
        <v>2276</v>
      </c>
      <c r="K933" s="4" t="s">
        <v>2276</v>
      </c>
      <c r="L933" s="4" t="s">
        <v>2276</v>
      </c>
      <c r="M933" s="4" t="s">
        <v>2276</v>
      </c>
      <c r="N933" s="4" t="s">
        <v>2276</v>
      </c>
      <c r="O933" s="4" t="s">
        <v>2276</v>
      </c>
      <c r="P933" s="4" t="s">
        <v>2276</v>
      </c>
      <c r="Q933" s="4" t="s">
        <v>2276</v>
      </c>
      <c r="R933" s="4" t="s">
        <v>2276</v>
      </c>
      <c r="S933" s="4" t="s">
        <v>2276</v>
      </c>
      <c r="T933" s="4"/>
    </row>
    <row r="934" spans="1:20" s="60" customFormat="1" ht="36" customHeight="1">
      <c r="A934" s="48" t="s">
        <v>6152</v>
      </c>
      <c r="B934" s="11" t="s">
        <v>32</v>
      </c>
      <c r="C934" s="4" t="s">
        <v>2646</v>
      </c>
      <c r="D934" s="4" t="s">
        <v>2653</v>
      </c>
      <c r="E934" s="4" t="s">
        <v>2652</v>
      </c>
      <c r="F934" s="4" t="s">
        <v>84</v>
      </c>
      <c r="G934" s="4" t="s">
        <v>2276</v>
      </c>
      <c r="H934" s="4" t="s">
        <v>2276</v>
      </c>
      <c r="I934" s="4" t="s">
        <v>2276</v>
      </c>
      <c r="J934" s="4" t="s">
        <v>2276</v>
      </c>
      <c r="K934" s="4" t="s">
        <v>2276</v>
      </c>
      <c r="L934" s="4" t="s">
        <v>2276</v>
      </c>
      <c r="M934" s="4" t="s">
        <v>2276</v>
      </c>
      <c r="N934" s="4" t="s">
        <v>2276</v>
      </c>
      <c r="O934" s="4" t="s">
        <v>2276</v>
      </c>
      <c r="P934" s="4" t="s">
        <v>2276</v>
      </c>
      <c r="Q934" s="4" t="s">
        <v>2276</v>
      </c>
      <c r="R934" s="4" t="s">
        <v>2276</v>
      </c>
      <c r="S934" s="4" t="s">
        <v>2276</v>
      </c>
      <c r="T934" s="4"/>
    </row>
    <row r="935" spans="1:20" s="205" customFormat="1" ht="36" customHeight="1">
      <c r="A935" s="48" t="s">
        <v>6153</v>
      </c>
      <c r="B935" s="11" t="s">
        <v>32</v>
      </c>
      <c r="C935" s="4" t="s">
        <v>2276</v>
      </c>
      <c r="D935" s="4" t="s">
        <v>2276</v>
      </c>
      <c r="E935" s="4" t="s">
        <v>2276</v>
      </c>
      <c r="F935" s="4" t="s">
        <v>2276</v>
      </c>
      <c r="G935" s="4" t="s">
        <v>2276</v>
      </c>
      <c r="H935" s="4" t="s">
        <v>2276</v>
      </c>
      <c r="I935" s="4" t="s">
        <v>2276</v>
      </c>
      <c r="J935" s="4" t="s">
        <v>2276</v>
      </c>
      <c r="K935" s="4" t="s">
        <v>2276</v>
      </c>
      <c r="L935" s="4" t="s">
        <v>2276</v>
      </c>
      <c r="M935" s="4" t="s">
        <v>2276</v>
      </c>
      <c r="N935" s="4" t="s">
        <v>2276</v>
      </c>
      <c r="O935" s="4" t="s">
        <v>2276</v>
      </c>
      <c r="P935" s="4" t="s">
        <v>2276</v>
      </c>
      <c r="Q935" s="4" t="s">
        <v>2276</v>
      </c>
      <c r="R935" s="4" t="s">
        <v>2276</v>
      </c>
      <c r="S935" s="4" t="s">
        <v>2276</v>
      </c>
      <c r="T935" s="4"/>
    </row>
    <row r="936" spans="1:20" s="60" customFormat="1" ht="36" customHeight="1">
      <c r="A936" s="48" t="s">
        <v>6675</v>
      </c>
      <c r="B936" s="11" t="s">
        <v>32</v>
      </c>
      <c r="C936" s="4" t="s">
        <v>2646</v>
      </c>
      <c r="D936" s="4" t="s">
        <v>2653</v>
      </c>
      <c r="E936" s="4" t="s">
        <v>3855</v>
      </c>
      <c r="F936" s="11" t="s">
        <v>5801</v>
      </c>
      <c r="G936" s="4" t="s">
        <v>2276</v>
      </c>
      <c r="H936" s="4" t="s">
        <v>2276</v>
      </c>
      <c r="I936" s="4" t="s">
        <v>2276</v>
      </c>
      <c r="J936" s="4" t="s">
        <v>2276</v>
      </c>
      <c r="K936" s="4" t="s">
        <v>2276</v>
      </c>
      <c r="L936" s="4" t="s">
        <v>2276</v>
      </c>
      <c r="M936" s="4" t="s">
        <v>2276</v>
      </c>
      <c r="N936" s="4" t="s">
        <v>2276</v>
      </c>
      <c r="O936" s="4" t="s">
        <v>2276</v>
      </c>
      <c r="P936" s="4" t="s">
        <v>2276</v>
      </c>
      <c r="Q936" s="4" t="s">
        <v>2276</v>
      </c>
      <c r="R936" s="4" t="s">
        <v>2276</v>
      </c>
      <c r="S936" s="4" t="s">
        <v>2276</v>
      </c>
      <c r="T936" s="4"/>
    </row>
    <row r="937" spans="1:20" s="60" customFormat="1" ht="36" customHeight="1">
      <c r="A937" s="48" t="s">
        <v>6154</v>
      </c>
      <c r="B937" s="11" t="s">
        <v>2276</v>
      </c>
      <c r="C937" s="4" t="s">
        <v>2646</v>
      </c>
      <c r="D937" s="4" t="s">
        <v>2653</v>
      </c>
      <c r="E937" s="4" t="s">
        <v>3855</v>
      </c>
      <c r="F937" s="11" t="s">
        <v>5801</v>
      </c>
      <c r="G937" s="4" t="s">
        <v>2276</v>
      </c>
      <c r="H937" s="4" t="s">
        <v>2276</v>
      </c>
      <c r="I937" s="4" t="s">
        <v>2276</v>
      </c>
      <c r="J937" s="4" t="s">
        <v>2276</v>
      </c>
      <c r="K937" s="4" t="s">
        <v>2276</v>
      </c>
      <c r="L937" s="4" t="s">
        <v>2276</v>
      </c>
      <c r="M937" s="4" t="s">
        <v>2276</v>
      </c>
      <c r="N937" s="4" t="s">
        <v>2276</v>
      </c>
      <c r="O937" s="4" t="s">
        <v>2276</v>
      </c>
      <c r="P937" s="75">
        <v>32</v>
      </c>
      <c r="Q937" s="4" t="s">
        <v>2276</v>
      </c>
      <c r="R937" s="75">
        <v>53</v>
      </c>
      <c r="S937" s="4" t="s">
        <v>2276</v>
      </c>
      <c r="T937" s="75" t="s">
        <v>6188</v>
      </c>
    </row>
    <row r="938" spans="1:20" s="60" customFormat="1" ht="36" customHeight="1">
      <c r="A938" s="48" t="s">
        <v>6155</v>
      </c>
      <c r="B938" s="11" t="s">
        <v>2276</v>
      </c>
      <c r="C938" s="4" t="s">
        <v>2646</v>
      </c>
      <c r="D938" s="4" t="s">
        <v>2653</v>
      </c>
      <c r="E938" s="4" t="s">
        <v>3855</v>
      </c>
      <c r="F938" s="11" t="s">
        <v>5801</v>
      </c>
      <c r="G938" s="4" t="s">
        <v>2276</v>
      </c>
      <c r="H938" s="4" t="s">
        <v>2276</v>
      </c>
      <c r="I938" s="4" t="s">
        <v>2276</v>
      </c>
      <c r="J938" s="4" t="s">
        <v>2276</v>
      </c>
      <c r="K938" s="4" t="s">
        <v>2276</v>
      </c>
      <c r="L938" s="4" t="s">
        <v>2276</v>
      </c>
      <c r="M938" s="4" t="s">
        <v>2276</v>
      </c>
      <c r="N938" s="4" t="s">
        <v>2276</v>
      </c>
      <c r="O938" s="4" t="s">
        <v>2276</v>
      </c>
      <c r="P938" s="75">
        <v>31</v>
      </c>
      <c r="Q938" s="4" t="s">
        <v>2276</v>
      </c>
      <c r="R938" s="75">
        <v>46</v>
      </c>
      <c r="S938" s="4" t="s">
        <v>2276</v>
      </c>
      <c r="T938" s="75" t="s">
        <v>6188</v>
      </c>
    </row>
    <row r="939" spans="1:20" s="60" customFormat="1" ht="36" customHeight="1">
      <c r="A939" s="48" t="s">
        <v>6156</v>
      </c>
      <c r="B939" s="11" t="s">
        <v>2276</v>
      </c>
      <c r="C939" s="4" t="s">
        <v>2646</v>
      </c>
      <c r="D939" s="4" t="s">
        <v>2653</v>
      </c>
      <c r="E939" s="4" t="s">
        <v>3855</v>
      </c>
      <c r="F939" s="11" t="s">
        <v>5801</v>
      </c>
      <c r="G939" s="4" t="s">
        <v>2276</v>
      </c>
      <c r="H939" s="4" t="s">
        <v>2276</v>
      </c>
      <c r="I939" s="4" t="s">
        <v>2276</v>
      </c>
      <c r="J939" s="4" t="s">
        <v>2276</v>
      </c>
      <c r="K939" s="4" t="s">
        <v>2276</v>
      </c>
      <c r="L939" s="4" t="s">
        <v>2276</v>
      </c>
      <c r="M939" s="4" t="s">
        <v>2276</v>
      </c>
      <c r="N939" s="4" t="s">
        <v>2276</v>
      </c>
      <c r="O939" s="4" t="s">
        <v>2276</v>
      </c>
      <c r="P939" s="75">
        <v>18</v>
      </c>
      <c r="Q939" s="4" t="s">
        <v>2276</v>
      </c>
      <c r="R939" s="75">
        <v>45</v>
      </c>
      <c r="S939" s="4" t="s">
        <v>2276</v>
      </c>
      <c r="T939" s="75" t="s">
        <v>6188</v>
      </c>
    </row>
    <row r="940" spans="1:20" s="60" customFormat="1" ht="36" customHeight="1">
      <c r="A940" s="48" t="s">
        <v>6157</v>
      </c>
      <c r="B940" s="11" t="s">
        <v>2276</v>
      </c>
      <c r="C940" s="4" t="s">
        <v>2646</v>
      </c>
      <c r="D940" s="4" t="s">
        <v>2653</v>
      </c>
      <c r="E940" s="4" t="s">
        <v>3855</v>
      </c>
      <c r="F940" s="11" t="s">
        <v>5801</v>
      </c>
      <c r="G940" s="4" t="s">
        <v>2276</v>
      </c>
      <c r="H940" s="4" t="s">
        <v>2276</v>
      </c>
      <c r="I940" s="4" t="s">
        <v>2276</v>
      </c>
      <c r="J940" s="4" t="s">
        <v>2276</v>
      </c>
      <c r="K940" s="4" t="s">
        <v>2276</v>
      </c>
      <c r="L940" s="4" t="s">
        <v>2276</v>
      </c>
      <c r="M940" s="4" t="s">
        <v>2276</v>
      </c>
      <c r="N940" s="4" t="s">
        <v>2276</v>
      </c>
      <c r="O940" s="4" t="s">
        <v>2276</v>
      </c>
      <c r="P940" s="75">
        <v>13</v>
      </c>
      <c r="Q940" s="4" t="s">
        <v>2276</v>
      </c>
      <c r="R940" s="75">
        <v>27</v>
      </c>
      <c r="S940" s="4" t="s">
        <v>2276</v>
      </c>
      <c r="T940" s="75" t="s">
        <v>6188</v>
      </c>
    </row>
    <row r="941" spans="1:20" s="60" customFormat="1" ht="36" customHeight="1">
      <c r="A941" s="48" t="s">
        <v>6158</v>
      </c>
      <c r="B941" s="11" t="s">
        <v>2276</v>
      </c>
      <c r="C941" s="4" t="s">
        <v>2646</v>
      </c>
      <c r="D941" s="4" t="s">
        <v>2653</v>
      </c>
      <c r="E941" s="4" t="s">
        <v>3855</v>
      </c>
      <c r="F941" s="11" t="s">
        <v>5801</v>
      </c>
      <c r="G941" s="4" t="s">
        <v>2276</v>
      </c>
      <c r="H941" s="4" t="s">
        <v>2276</v>
      </c>
      <c r="I941" s="4" t="s">
        <v>2276</v>
      </c>
      <c r="J941" s="4" t="s">
        <v>2276</v>
      </c>
      <c r="K941" s="4" t="s">
        <v>2276</v>
      </c>
      <c r="L941" s="4" t="s">
        <v>2276</v>
      </c>
      <c r="M941" s="4" t="s">
        <v>2276</v>
      </c>
      <c r="N941" s="4" t="s">
        <v>2276</v>
      </c>
      <c r="O941" s="4" t="s">
        <v>2276</v>
      </c>
      <c r="P941" s="75">
        <v>56</v>
      </c>
      <c r="Q941" s="4" t="s">
        <v>2276</v>
      </c>
      <c r="R941" s="75">
        <v>10</v>
      </c>
      <c r="S941" s="4" t="s">
        <v>2276</v>
      </c>
      <c r="T941" s="75" t="s">
        <v>6188</v>
      </c>
    </row>
    <row r="942" spans="1:20" s="60" customFormat="1" ht="36" customHeight="1">
      <c r="A942" s="48" t="s">
        <v>6159</v>
      </c>
      <c r="B942" s="11" t="s">
        <v>2276</v>
      </c>
      <c r="C942" s="4" t="s">
        <v>2646</v>
      </c>
      <c r="D942" s="4" t="s">
        <v>2653</v>
      </c>
      <c r="E942" s="4" t="s">
        <v>3855</v>
      </c>
      <c r="F942" s="11" t="s">
        <v>5801</v>
      </c>
      <c r="G942" s="4" t="s">
        <v>2276</v>
      </c>
      <c r="H942" s="4" t="s">
        <v>2276</v>
      </c>
      <c r="I942" s="4" t="s">
        <v>2276</v>
      </c>
      <c r="J942" s="4" t="s">
        <v>2276</v>
      </c>
      <c r="K942" s="4" t="s">
        <v>2276</v>
      </c>
      <c r="L942" s="4" t="s">
        <v>2276</v>
      </c>
      <c r="M942" s="4" t="s">
        <v>2276</v>
      </c>
      <c r="N942" s="4" t="s">
        <v>2276</v>
      </c>
      <c r="O942" s="4" t="s">
        <v>2276</v>
      </c>
      <c r="P942" s="75">
        <v>37</v>
      </c>
      <c r="Q942" s="4" t="s">
        <v>2276</v>
      </c>
      <c r="R942" s="75">
        <v>31</v>
      </c>
      <c r="S942" s="4" t="s">
        <v>2276</v>
      </c>
      <c r="T942" s="75" t="s">
        <v>6188</v>
      </c>
    </row>
    <row r="943" spans="1:20" s="60" customFormat="1" ht="36" customHeight="1">
      <c r="A943" s="48" t="s">
        <v>6160</v>
      </c>
      <c r="B943" s="11" t="s">
        <v>32</v>
      </c>
      <c r="C943" s="4" t="s">
        <v>2646</v>
      </c>
      <c r="D943" s="4" t="s">
        <v>137</v>
      </c>
      <c r="E943" s="4" t="s">
        <v>2653</v>
      </c>
      <c r="F943" s="4" t="s">
        <v>2652</v>
      </c>
      <c r="G943" s="4" t="s">
        <v>2276</v>
      </c>
      <c r="H943" s="4" t="s">
        <v>2276</v>
      </c>
      <c r="I943" s="4" t="s">
        <v>2276</v>
      </c>
      <c r="J943" s="4" t="s">
        <v>2276</v>
      </c>
      <c r="K943" s="4" t="s">
        <v>2276</v>
      </c>
      <c r="L943" s="4" t="s">
        <v>2276</v>
      </c>
      <c r="M943" s="4" t="s">
        <v>2276</v>
      </c>
      <c r="N943" s="4" t="s">
        <v>2276</v>
      </c>
      <c r="O943" s="4" t="s">
        <v>2276</v>
      </c>
      <c r="P943" s="4" t="s">
        <v>2276</v>
      </c>
      <c r="Q943" s="4" t="s">
        <v>2276</v>
      </c>
      <c r="R943" s="75">
        <v>100</v>
      </c>
      <c r="S943" s="4" t="s">
        <v>2276</v>
      </c>
      <c r="T943" s="4"/>
    </row>
    <row r="944" spans="1:20" s="60" customFormat="1" ht="36" customHeight="1">
      <c r="A944" s="48" t="s">
        <v>6161</v>
      </c>
      <c r="B944" s="11" t="s">
        <v>32</v>
      </c>
      <c r="C944" s="4" t="s">
        <v>2645</v>
      </c>
      <c r="D944" s="4" t="s">
        <v>2649</v>
      </c>
      <c r="E944" s="4" t="s">
        <v>3855</v>
      </c>
      <c r="F944" s="11" t="s">
        <v>5801</v>
      </c>
      <c r="G944" s="4" t="s">
        <v>137</v>
      </c>
      <c r="H944" s="4" t="s">
        <v>2276</v>
      </c>
      <c r="I944" s="204">
        <v>1.8</v>
      </c>
      <c r="J944" s="4" t="s">
        <v>2276</v>
      </c>
      <c r="K944" s="4" t="s">
        <v>534</v>
      </c>
      <c r="L944" s="4" t="s">
        <v>2276</v>
      </c>
      <c r="M944" s="4" t="s">
        <v>2276</v>
      </c>
      <c r="N944" s="75">
        <f>100*78546.16/172737.51</f>
        <v>45.471397613639326</v>
      </c>
      <c r="O944" s="4" t="s">
        <v>2276</v>
      </c>
      <c r="P944" s="4" t="s">
        <v>2276</v>
      </c>
      <c r="Q944" s="4" t="s">
        <v>2276</v>
      </c>
      <c r="R944" s="75">
        <f>100*60306.42/172737.51</f>
        <v>34.91217396846811</v>
      </c>
      <c r="S944" s="4" t="s">
        <v>2276</v>
      </c>
      <c r="T944" s="4" t="s">
        <v>6684</v>
      </c>
    </row>
    <row r="945" spans="1:20" s="60" customFormat="1" ht="36" customHeight="1">
      <c r="A945" s="48" t="s">
        <v>6162</v>
      </c>
      <c r="B945" s="4" t="s">
        <v>70</v>
      </c>
      <c r="C945" s="4" t="s">
        <v>2645</v>
      </c>
      <c r="D945" s="4" t="s">
        <v>2649</v>
      </c>
      <c r="E945" s="4" t="s">
        <v>2653</v>
      </c>
      <c r="F945" s="11" t="s">
        <v>5801</v>
      </c>
      <c r="G945" s="4" t="s">
        <v>3855</v>
      </c>
      <c r="H945" s="4" t="s">
        <v>2276</v>
      </c>
      <c r="I945" s="4" t="s">
        <v>2276</v>
      </c>
      <c r="J945" s="4" t="s">
        <v>2276</v>
      </c>
      <c r="K945" s="4" t="s">
        <v>534</v>
      </c>
      <c r="L945" s="4" t="s">
        <v>2276</v>
      </c>
      <c r="M945" s="4" t="s">
        <v>2276</v>
      </c>
      <c r="N945" s="4" t="s">
        <v>2276</v>
      </c>
      <c r="O945" s="4" t="s">
        <v>2276</v>
      </c>
      <c r="P945" s="4" t="s">
        <v>2276</v>
      </c>
      <c r="Q945" s="4" t="s">
        <v>2276</v>
      </c>
      <c r="R945" s="4" t="s">
        <v>2276</v>
      </c>
      <c r="S945" s="4" t="s">
        <v>2276</v>
      </c>
      <c r="T945" s="4"/>
    </row>
    <row r="946" spans="1:20" s="60" customFormat="1" ht="36" customHeight="1">
      <c r="A946" s="48" t="s">
        <v>6163</v>
      </c>
      <c r="B946" s="11" t="s">
        <v>2276</v>
      </c>
      <c r="C946" s="4" t="s">
        <v>2646</v>
      </c>
      <c r="D946" s="4" t="s">
        <v>2653</v>
      </c>
      <c r="E946" s="11" t="s">
        <v>5801</v>
      </c>
      <c r="F946" s="4" t="s">
        <v>3855</v>
      </c>
      <c r="G946" s="4" t="s">
        <v>2652</v>
      </c>
      <c r="H946" s="4" t="s">
        <v>2276</v>
      </c>
      <c r="I946" s="4" t="s">
        <v>2276</v>
      </c>
      <c r="J946" s="4" t="s">
        <v>2276</v>
      </c>
      <c r="K946" s="4" t="s">
        <v>2276</v>
      </c>
      <c r="L946" s="4" t="s">
        <v>2276</v>
      </c>
      <c r="M946" s="4" t="s">
        <v>2276</v>
      </c>
      <c r="N946" s="4" t="s">
        <v>2276</v>
      </c>
      <c r="O946" s="4" t="s">
        <v>2276</v>
      </c>
      <c r="P946" s="4" t="s">
        <v>2276</v>
      </c>
      <c r="Q946" s="4" t="s">
        <v>2276</v>
      </c>
      <c r="R946" s="4" t="s">
        <v>2276</v>
      </c>
      <c r="S946" s="4" t="s">
        <v>2276</v>
      </c>
      <c r="T946" s="4"/>
    </row>
    <row r="947" spans="1:20" s="60" customFormat="1" ht="36" customHeight="1">
      <c r="A947" s="48" t="s">
        <v>6164</v>
      </c>
      <c r="B947" s="11" t="s">
        <v>2276</v>
      </c>
      <c r="C947" s="4" t="s">
        <v>2646</v>
      </c>
      <c r="D947" s="4" t="s">
        <v>2653</v>
      </c>
      <c r="E947" s="11" t="s">
        <v>5801</v>
      </c>
      <c r="F947" s="4" t="s">
        <v>3855</v>
      </c>
      <c r="G947" s="4" t="s">
        <v>2652</v>
      </c>
      <c r="H947" s="4" t="s">
        <v>2276</v>
      </c>
      <c r="I947" s="4" t="s">
        <v>2276</v>
      </c>
      <c r="J947" s="4" t="s">
        <v>2276</v>
      </c>
      <c r="K947" s="4" t="s">
        <v>2276</v>
      </c>
      <c r="L947" s="4" t="s">
        <v>2276</v>
      </c>
      <c r="M947" s="4" t="s">
        <v>2276</v>
      </c>
      <c r="N947" s="4" t="s">
        <v>2276</v>
      </c>
      <c r="O947" s="4" t="s">
        <v>2276</v>
      </c>
      <c r="P947" s="4" t="s">
        <v>2276</v>
      </c>
      <c r="Q947" s="4" t="s">
        <v>2276</v>
      </c>
      <c r="R947" s="4" t="s">
        <v>2276</v>
      </c>
      <c r="S947" s="4" t="s">
        <v>2276</v>
      </c>
      <c r="T947" s="4"/>
    </row>
    <row r="948" spans="1:20" s="60" customFormat="1" ht="36" customHeight="1">
      <c r="A948" s="48" t="s">
        <v>6165</v>
      </c>
      <c r="B948" s="11" t="s">
        <v>2276</v>
      </c>
      <c r="C948" s="4" t="s">
        <v>2646</v>
      </c>
      <c r="D948" s="4" t="s">
        <v>2653</v>
      </c>
      <c r="E948" s="11" t="s">
        <v>5801</v>
      </c>
      <c r="F948" s="4" t="s">
        <v>3855</v>
      </c>
      <c r="G948" s="4" t="s">
        <v>2652</v>
      </c>
      <c r="H948" s="4" t="s">
        <v>2276</v>
      </c>
      <c r="I948" s="4" t="s">
        <v>2276</v>
      </c>
      <c r="J948" s="4" t="s">
        <v>2276</v>
      </c>
      <c r="K948" s="4" t="s">
        <v>2276</v>
      </c>
      <c r="L948" s="4" t="s">
        <v>2276</v>
      </c>
      <c r="M948" s="4" t="s">
        <v>2276</v>
      </c>
      <c r="N948" s="4" t="s">
        <v>2276</v>
      </c>
      <c r="O948" s="4" t="s">
        <v>2276</v>
      </c>
      <c r="P948" s="4" t="s">
        <v>2276</v>
      </c>
      <c r="Q948" s="4" t="s">
        <v>2276</v>
      </c>
      <c r="R948" s="4" t="s">
        <v>2276</v>
      </c>
      <c r="S948" s="4" t="s">
        <v>2276</v>
      </c>
      <c r="T948" s="4"/>
    </row>
    <row r="949" spans="1:20" s="205" customFormat="1" ht="36" customHeight="1">
      <c r="A949" s="49" t="s">
        <v>6166</v>
      </c>
      <c r="B949" s="11" t="s">
        <v>32</v>
      </c>
      <c r="C949" s="204" t="s">
        <v>12</v>
      </c>
      <c r="D949" s="4" t="s">
        <v>3855</v>
      </c>
      <c r="E949" s="11" t="s">
        <v>5801</v>
      </c>
      <c r="F949" s="4" t="s">
        <v>2653</v>
      </c>
      <c r="G949" s="4" t="s">
        <v>2276</v>
      </c>
      <c r="H949" s="4" t="s">
        <v>2276</v>
      </c>
      <c r="I949" s="204">
        <v>7</v>
      </c>
      <c r="J949" s="4" t="s">
        <v>2276</v>
      </c>
      <c r="K949" s="4" t="s">
        <v>2276</v>
      </c>
      <c r="L949" s="4" t="s">
        <v>2276</v>
      </c>
      <c r="M949" s="4" t="s">
        <v>2276</v>
      </c>
      <c r="N949" s="4" t="s">
        <v>2276</v>
      </c>
      <c r="O949" s="75">
        <f>AVERAGE(583.4, 594.3)/('Record info'!K949)</f>
        <v>15.927779280497699</v>
      </c>
      <c r="P949" s="75">
        <f>AVERAGE(1345.2, 1169.1)/('Record info'!K949)</f>
        <v>34.004598322964569</v>
      </c>
      <c r="Q949" s="75">
        <f>AVERAGE(757.5, 612.2)/36.89</f>
        <v>18.564651667118461</v>
      </c>
      <c r="R949" s="75">
        <f>SUM(50.4, 49.8, 288.1, 260.8, 411.8, 387.7, 615.3, 268.9)/2/36.87</f>
        <v>31.635475996745328</v>
      </c>
      <c r="S949" s="19"/>
      <c r="T949" s="19" t="s">
        <v>6804</v>
      </c>
    </row>
    <row r="950" spans="1:20" s="205" customFormat="1" ht="36" customHeight="1">
      <c r="A950" s="49" t="s">
        <v>6167</v>
      </c>
      <c r="B950" s="11" t="s">
        <v>32</v>
      </c>
      <c r="C950" s="204" t="s">
        <v>12</v>
      </c>
      <c r="D950" s="11" t="s">
        <v>5801</v>
      </c>
      <c r="E950" s="4" t="s">
        <v>3855</v>
      </c>
      <c r="F950" s="4" t="s">
        <v>2653</v>
      </c>
      <c r="G950" s="4" t="s">
        <v>2276</v>
      </c>
      <c r="H950" s="4" t="s">
        <v>2276</v>
      </c>
      <c r="I950" s="4" t="s">
        <v>2276</v>
      </c>
      <c r="J950" s="4" t="s">
        <v>2276</v>
      </c>
      <c r="K950" s="4" t="s">
        <v>2276</v>
      </c>
      <c r="L950" s="19" t="s">
        <v>2276</v>
      </c>
      <c r="M950" s="19" t="s">
        <v>2276</v>
      </c>
      <c r="N950" s="19" t="s">
        <v>2276</v>
      </c>
      <c r="O950" s="19" t="s">
        <v>2276</v>
      </c>
      <c r="P950" s="75">
        <f>32</f>
        <v>32</v>
      </c>
      <c r="Q950" s="75">
        <f>32.5</f>
        <v>32.5</v>
      </c>
      <c r="R950" s="75">
        <f>32.5</f>
        <v>32.5</v>
      </c>
      <c r="S950" s="19" t="s">
        <v>2276</v>
      </c>
      <c r="T950" s="19" t="s">
        <v>6802</v>
      </c>
    </row>
    <row r="951" spans="1:20" s="60" customFormat="1" ht="36" customHeight="1">
      <c r="A951" s="48" t="s">
        <v>6168</v>
      </c>
      <c r="B951" s="11" t="s">
        <v>2276</v>
      </c>
      <c r="C951" s="4" t="s">
        <v>2646</v>
      </c>
      <c r="D951" s="4" t="s">
        <v>137</v>
      </c>
      <c r="E951" s="4" t="s">
        <v>3855</v>
      </c>
      <c r="F951" s="11" t="s">
        <v>5801</v>
      </c>
      <c r="G951" s="4" t="s">
        <v>2652</v>
      </c>
      <c r="H951" s="4" t="s">
        <v>2276</v>
      </c>
      <c r="I951" s="4" t="s">
        <v>2276</v>
      </c>
      <c r="J951" s="4" t="s">
        <v>2276</v>
      </c>
      <c r="K951" s="4" t="s">
        <v>2276</v>
      </c>
      <c r="L951" s="4" t="s">
        <v>2276</v>
      </c>
      <c r="M951" s="4" t="s">
        <v>2276</v>
      </c>
      <c r="N951" s="4" t="s">
        <v>2276</v>
      </c>
      <c r="O951" s="4" t="s">
        <v>2276</v>
      </c>
      <c r="P951" s="4" t="s">
        <v>2276</v>
      </c>
      <c r="Q951" s="4" t="s">
        <v>2276</v>
      </c>
      <c r="R951" s="4" t="s">
        <v>2276</v>
      </c>
      <c r="S951" s="4" t="s">
        <v>2276</v>
      </c>
      <c r="T951" s="4"/>
    </row>
    <row r="952" spans="1:20" s="60" customFormat="1" ht="36" customHeight="1">
      <c r="A952" s="48" t="s">
        <v>6169</v>
      </c>
      <c r="B952" s="11" t="s">
        <v>2276</v>
      </c>
      <c r="C952" s="4" t="s">
        <v>2646</v>
      </c>
      <c r="D952" s="4" t="s">
        <v>137</v>
      </c>
      <c r="E952" s="4" t="s">
        <v>3855</v>
      </c>
      <c r="F952" s="11" t="s">
        <v>5801</v>
      </c>
      <c r="G952" s="4" t="s">
        <v>2652</v>
      </c>
      <c r="H952" s="4" t="s">
        <v>2276</v>
      </c>
      <c r="I952" s="4" t="s">
        <v>2276</v>
      </c>
      <c r="J952" s="4" t="s">
        <v>2276</v>
      </c>
      <c r="K952" s="4" t="s">
        <v>2276</v>
      </c>
      <c r="L952" s="4" t="s">
        <v>2276</v>
      </c>
      <c r="M952" s="4" t="s">
        <v>2276</v>
      </c>
      <c r="N952" s="4" t="s">
        <v>2276</v>
      </c>
      <c r="O952" s="4" t="s">
        <v>2276</v>
      </c>
      <c r="P952" s="4" t="s">
        <v>2276</v>
      </c>
      <c r="Q952" s="4" t="s">
        <v>2276</v>
      </c>
      <c r="R952" s="4" t="s">
        <v>2276</v>
      </c>
      <c r="S952" s="4" t="s">
        <v>2276</v>
      </c>
      <c r="T952" s="4"/>
    </row>
    <row r="953" spans="1:20" s="60" customFormat="1" ht="36" customHeight="1">
      <c r="A953" s="48" t="s">
        <v>6170</v>
      </c>
      <c r="B953" s="11" t="s">
        <v>2276</v>
      </c>
      <c r="C953" s="4" t="s">
        <v>2646</v>
      </c>
      <c r="D953" s="4" t="s">
        <v>137</v>
      </c>
      <c r="E953" s="4" t="s">
        <v>3855</v>
      </c>
      <c r="F953" s="11" t="s">
        <v>5801</v>
      </c>
      <c r="G953" s="4" t="s">
        <v>2652</v>
      </c>
      <c r="H953" s="4" t="s">
        <v>2276</v>
      </c>
      <c r="I953" s="4" t="s">
        <v>2276</v>
      </c>
      <c r="J953" s="4" t="s">
        <v>2276</v>
      </c>
      <c r="K953" s="4" t="s">
        <v>2276</v>
      </c>
      <c r="L953" s="4" t="s">
        <v>2276</v>
      </c>
      <c r="M953" s="4" t="s">
        <v>2276</v>
      </c>
      <c r="N953" s="4" t="s">
        <v>2276</v>
      </c>
      <c r="O953" s="4" t="s">
        <v>2276</v>
      </c>
      <c r="P953" s="4" t="s">
        <v>2276</v>
      </c>
      <c r="Q953" s="4" t="s">
        <v>2276</v>
      </c>
      <c r="R953" s="4" t="s">
        <v>2276</v>
      </c>
      <c r="S953" s="4" t="s">
        <v>2276</v>
      </c>
      <c r="T953" s="4"/>
    </row>
    <row r="954" spans="1:20" s="60" customFormat="1" ht="36" customHeight="1">
      <c r="A954" s="48" t="s">
        <v>6171</v>
      </c>
      <c r="B954" s="11" t="s">
        <v>2276</v>
      </c>
      <c r="C954" s="4" t="s">
        <v>2646</v>
      </c>
      <c r="D954" s="4" t="s">
        <v>137</v>
      </c>
      <c r="E954" s="4" t="s">
        <v>3855</v>
      </c>
      <c r="F954" s="11" t="s">
        <v>5801</v>
      </c>
      <c r="G954" s="4" t="s">
        <v>2652</v>
      </c>
      <c r="H954" s="4" t="s">
        <v>2276</v>
      </c>
      <c r="I954" s="4" t="s">
        <v>2276</v>
      </c>
      <c r="J954" s="4" t="s">
        <v>2276</v>
      </c>
      <c r="K954" s="4" t="s">
        <v>2276</v>
      </c>
      <c r="L954" s="4" t="s">
        <v>2276</v>
      </c>
      <c r="M954" s="4" t="s">
        <v>2276</v>
      </c>
      <c r="N954" s="4" t="s">
        <v>2276</v>
      </c>
      <c r="O954" s="4" t="s">
        <v>2276</v>
      </c>
      <c r="P954" s="4" t="s">
        <v>2276</v>
      </c>
      <c r="Q954" s="4" t="s">
        <v>2276</v>
      </c>
      <c r="R954" s="4" t="s">
        <v>2276</v>
      </c>
      <c r="S954" s="4" t="s">
        <v>2276</v>
      </c>
      <c r="T954" s="4"/>
    </row>
    <row r="955" spans="1:20" s="60" customFormat="1" ht="36" customHeight="1">
      <c r="A955" s="48" t="s">
        <v>6172</v>
      </c>
      <c r="B955" s="11" t="s">
        <v>2276</v>
      </c>
      <c r="C955" s="4" t="s">
        <v>2646</v>
      </c>
      <c r="D955" s="4" t="s">
        <v>137</v>
      </c>
      <c r="E955" s="4" t="s">
        <v>3855</v>
      </c>
      <c r="F955" s="11" t="s">
        <v>5801</v>
      </c>
      <c r="G955" s="4" t="s">
        <v>2652</v>
      </c>
      <c r="H955" s="4" t="s">
        <v>2276</v>
      </c>
      <c r="I955" s="4" t="s">
        <v>2276</v>
      </c>
      <c r="J955" s="4" t="s">
        <v>2276</v>
      </c>
      <c r="K955" s="4" t="s">
        <v>2276</v>
      </c>
      <c r="L955" s="4" t="s">
        <v>2276</v>
      </c>
      <c r="M955" s="4" t="s">
        <v>2276</v>
      </c>
      <c r="N955" s="4" t="s">
        <v>2276</v>
      </c>
      <c r="O955" s="4" t="s">
        <v>2276</v>
      </c>
      <c r="P955" s="4" t="s">
        <v>2276</v>
      </c>
      <c r="Q955" s="4" t="s">
        <v>2276</v>
      </c>
      <c r="R955" s="4" t="s">
        <v>2276</v>
      </c>
      <c r="S955" s="4" t="s">
        <v>2276</v>
      </c>
      <c r="T955" s="4"/>
    </row>
    <row r="956" spans="1:20" s="60" customFormat="1" ht="36" customHeight="1">
      <c r="A956" s="48" t="s">
        <v>6173</v>
      </c>
      <c r="B956" s="11" t="s">
        <v>2276</v>
      </c>
      <c r="C956" s="4" t="s">
        <v>2646</v>
      </c>
      <c r="D956" s="4" t="s">
        <v>137</v>
      </c>
      <c r="E956" s="4" t="s">
        <v>3855</v>
      </c>
      <c r="F956" s="11" t="s">
        <v>5801</v>
      </c>
      <c r="G956" s="4" t="s">
        <v>2652</v>
      </c>
      <c r="H956" s="4" t="s">
        <v>2276</v>
      </c>
      <c r="I956" s="4" t="s">
        <v>2276</v>
      </c>
      <c r="J956" s="4" t="s">
        <v>2276</v>
      </c>
      <c r="K956" s="4" t="s">
        <v>2276</v>
      </c>
      <c r="L956" s="4" t="s">
        <v>2276</v>
      </c>
      <c r="M956" s="4" t="s">
        <v>2276</v>
      </c>
      <c r="N956" s="4" t="s">
        <v>2276</v>
      </c>
      <c r="O956" s="4" t="s">
        <v>2276</v>
      </c>
      <c r="P956" s="4" t="s">
        <v>2276</v>
      </c>
      <c r="Q956" s="4" t="s">
        <v>2276</v>
      </c>
      <c r="R956" s="4" t="s">
        <v>2276</v>
      </c>
      <c r="S956" s="4" t="s">
        <v>2276</v>
      </c>
      <c r="T956" s="4"/>
    </row>
    <row r="957" spans="1:20" s="60" customFormat="1" ht="36" customHeight="1">
      <c r="A957" s="48" t="s">
        <v>6174</v>
      </c>
      <c r="B957" s="11" t="s">
        <v>2276</v>
      </c>
      <c r="C957" s="4" t="s">
        <v>2646</v>
      </c>
      <c r="D957" s="4" t="s">
        <v>137</v>
      </c>
      <c r="E957" s="4" t="s">
        <v>3855</v>
      </c>
      <c r="F957" s="11" t="s">
        <v>5801</v>
      </c>
      <c r="G957" s="4" t="s">
        <v>2652</v>
      </c>
      <c r="H957" s="4" t="s">
        <v>2276</v>
      </c>
      <c r="I957" s="4" t="s">
        <v>2276</v>
      </c>
      <c r="J957" s="4" t="s">
        <v>2276</v>
      </c>
      <c r="K957" s="4" t="s">
        <v>2276</v>
      </c>
      <c r="L957" s="4" t="s">
        <v>2276</v>
      </c>
      <c r="M957" s="4" t="s">
        <v>2276</v>
      </c>
      <c r="N957" s="4" t="s">
        <v>2276</v>
      </c>
      <c r="O957" s="4" t="s">
        <v>2276</v>
      </c>
      <c r="P957" s="4" t="s">
        <v>2276</v>
      </c>
      <c r="Q957" s="4" t="s">
        <v>2276</v>
      </c>
      <c r="R957" s="4" t="s">
        <v>2276</v>
      </c>
      <c r="S957" s="4" t="s">
        <v>2276</v>
      </c>
      <c r="T957" s="4"/>
    </row>
    <row r="958" spans="1:20" s="60" customFormat="1" ht="36" customHeight="1">
      <c r="A958" s="48" t="s">
        <v>6175</v>
      </c>
      <c r="B958" s="11" t="s">
        <v>2276</v>
      </c>
      <c r="C958" s="4" t="s">
        <v>2646</v>
      </c>
      <c r="D958" s="4" t="s">
        <v>137</v>
      </c>
      <c r="E958" s="4" t="s">
        <v>3855</v>
      </c>
      <c r="F958" s="11" t="s">
        <v>5801</v>
      </c>
      <c r="G958" s="4" t="s">
        <v>2652</v>
      </c>
      <c r="H958" s="4" t="s">
        <v>2276</v>
      </c>
      <c r="I958" s="4" t="s">
        <v>2276</v>
      </c>
      <c r="J958" s="4" t="s">
        <v>2276</v>
      </c>
      <c r="K958" s="4" t="s">
        <v>2276</v>
      </c>
      <c r="L958" s="4" t="s">
        <v>2276</v>
      </c>
      <c r="M958" s="4" t="s">
        <v>2276</v>
      </c>
      <c r="N958" s="4" t="s">
        <v>2276</v>
      </c>
      <c r="O958" s="4" t="s">
        <v>2276</v>
      </c>
      <c r="P958" s="4" t="s">
        <v>2276</v>
      </c>
      <c r="Q958" s="4" t="s">
        <v>2276</v>
      </c>
      <c r="R958" s="4" t="s">
        <v>2276</v>
      </c>
      <c r="S958" s="4" t="s">
        <v>2276</v>
      </c>
      <c r="T958" s="4"/>
    </row>
    <row r="959" spans="1:20" s="60" customFormat="1" ht="36" customHeight="1">
      <c r="A959" s="48" t="s">
        <v>6176</v>
      </c>
      <c r="B959" s="11" t="s">
        <v>2276</v>
      </c>
      <c r="C959" s="4" t="s">
        <v>2646</v>
      </c>
      <c r="D959" s="4" t="s">
        <v>137</v>
      </c>
      <c r="E959" s="4" t="s">
        <v>3855</v>
      </c>
      <c r="F959" s="11" t="s">
        <v>5801</v>
      </c>
      <c r="G959" s="4" t="s">
        <v>2652</v>
      </c>
      <c r="H959" s="4" t="s">
        <v>2276</v>
      </c>
      <c r="I959" s="4" t="s">
        <v>2276</v>
      </c>
      <c r="J959" s="4" t="s">
        <v>2276</v>
      </c>
      <c r="K959" s="4" t="s">
        <v>2276</v>
      </c>
      <c r="L959" s="4" t="s">
        <v>2276</v>
      </c>
      <c r="M959" s="4" t="s">
        <v>2276</v>
      </c>
      <c r="N959" s="4" t="s">
        <v>2276</v>
      </c>
      <c r="O959" s="4" t="s">
        <v>2276</v>
      </c>
      <c r="P959" s="4" t="s">
        <v>2276</v>
      </c>
      <c r="Q959" s="4" t="s">
        <v>2276</v>
      </c>
      <c r="R959" s="4" t="s">
        <v>2276</v>
      </c>
      <c r="S959" s="4" t="s">
        <v>2276</v>
      </c>
      <c r="T959" s="4"/>
    </row>
    <row r="960" spans="1:20" s="60" customFormat="1" ht="36" customHeight="1">
      <c r="A960" s="48" t="s">
        <v>6177</v>
      </c>
      <c r="B960" s="11" t="s">
        <v>2276</v>
      </c>
      <c r="C960" s="4" t="s">
        <v>2646</v>
      </c>
      <c r="D960" s="4" t="s">
        <v>137</v>
      </c>
      <c r="E960" s="4" t="s">
        <v>3855</v>
      </c>
      <c r="F960" s="11" t="s">
        <v>5801</v>
      </c>
      <c r="G960" s="4" t="s">
        <v>2652</v>
      </c>
      <c r="H960" s="4" t="s">
        <v>2276</v>
      </c>
      <c r="I960" s="4" t="s">
        <v>2276</v>
      </c>
      <c r="J960" s="4" t="s">
        <v>2276</v>
      </c>
      <c r="K960" s="4" t="s">
        <v>2276</v>
      </c>
      <c r="L960" s="4" t="s">
        <v>2276</v>
      </c>
      <c r="M960" s="4" t="s">
        <v>2276</v>
      </c>
      <c r="N960" s="4" t="s">
        <v>2276</v>
      </c>
      <c r="O960" s="4" t="s">
        <v>2276</v>
      </c>
      <c r="P960" s="4" t="s">
        <v>2276</v>
      </c>
      <c r="Q960" s="4" t="s">
        <v>2276</v>
      </c>
      <c r="R960" s="4" t="s">
        <v>2276</v>
      </c>
      <c r="S960" s="4" t="s">
        <v>2276</v>
      </c>
      <c r="T960" s="4"/>
    </row>
    <row r="961" spans="1:20" s="60" customFormat="1" ht="36" customHeight="1">
      <c r="A961" s="48" t="s">
        <v>6178</v>
      </c>
      <c r="B961" s="11" t="s">
        <v>2276</v>
      </c>
      <c r="C961" s="4" t="s">
        <v>2646</v>
      </c>
      <c r="D961" s="4" t="s">
        <v>137</v>
      </c>
      <c r="E961" s="4" t="s">
        <v>3855</v>
      </c>
      <c r="F961" s="11" t="s">
        <v>5801</v>
      </c>
      <c r="G961" s="4" t="s">
        <v>2652</v>
      </c>
      <c r="H961" s="4" t="s">
        <v>2276</v>
      </c>
      <c r="I961" s="4" t="s">
        <v>2276</v>
      </c>
      <c r="J961" s="4" t="s">
        <v>2276</v>
      </c>
      <c r="K961" s="4" t="s">
        <v>2276</v>
      </c>
      <c r="L961" s="4" t="s">
        <v>2276</v>
      </c>
      <c r="M961" s="4" t="s">
        <v>2276</v>
      </c>
      <c r="N961" s="4" t="s">
        <v>2276</v>
      </c>
      <c r="O961" s="4" t="s">
        <v>2276</v>
      </c>
      <c r="P961" s="4" t="s">
        <v>2276</v>
      </c>
      <c r="Q961" s="4" t="s">
        <v>2276</v>
      </c>
      <c r="R961" s="4" t="s">
        <v>2276</v>
      </c>
      <c r="S961" s="4" t="s">
        <v>2276</v>
      </c>
      <c r="T961" s="4"/>
    </row>
    <row r="962" spans="1:20" s="60" customFormat="1" ht="36" customHeight="1">
      <c r="A962" s="48" t="s">
        <v>6179</v>
      </c>
      <c r="B962" s="11" t="s">
        <v>2276</v>
      </c>
      <c r="C962" s="4" t="s">
        <v>2646</v>
      </c>
      <c r="D962" s="4" t="s">
        <v>137</v>
      </c>
      <c r="E962" s="4" t="s">
        <v>3855</v>
      </c>
      <c r="F962" s="11" t="s">
        <v>5801</v>
      </c>
      <c r="G962" s="4" t="s">
        <v>2652</v>
      </c>
      <c r="H962" s="4" t="s">
        <v>2276</v>
      </c>
      <c r="I962" s="4" t="s">
        <v>2276</v>
      </c>
      <c r="J962" s="4" t="s">
        <v>2276</v>
      </c>
      <c r="K962" s="4" t="s">
        <v>2276</v>
      </c>
      <c r="L962" s="4" t="s">
        <v>2276</v>
      </c>
      <c r="M962" s="4" t="s">
        <v>2276</v>
      </c>
      <c r="N962" s="4" t="s">
        <v>2276</v>
      </c>
      <c r="O962" s="4" t="s">
        <v>2276</v>
      </c>
      <c r="P962" s="4" t="s">
        <v>2276</v>
      </c>
      <c r="Q962" s="4" t="s">
        <v>2276</v>
      </c>
      <c r="R962" s="4" t="s">
        <v>2276</v>
      </c>
      <c r="S962" s="4" t="s">
        <v>2276</v>
      </c>
      <c r="T962" s="4"/>
    </row>
    <row r="963" spans="1:20" s="60" customFormat="1" ht="36" customHeight="1">
      <c r="A963" s="49" t="s">
        <v>6180</v>
      </c>
      <c r="B963" s="11" t="s">
        <v>70</v>
      </c>
      <c r="C963" s="11" t="s">
        <v>12</v>
      </c>
      <c r="D963" s="19" t="s">
        <v>84</v>
      </c>
      <c r="E963" s="11" t="s">
        <v>5801</v>
      </c>
      <c r="F963" s="11" t="s">
        <v>5006</v>
      </c>
      <c r="G963" s="19" t="s">
        <v>3854</v>
      </c>
      <c r="H963" s="74" t="s">
        <v>2276</v>
      </c>
      <c r="I963" s="74" t="s">
        <v>2276</v>
      </c>
      <c r="J963" s="74" t="s">
        <v>2276</v>
      </c>
      <c r="K963" s="19" t="s">
        <v>2276</v>
      </c>
      <c r="L963" s="74" t="s">
        <v>2276</v>
      </c>
      <c r="M963" s="74" t="s">
        <v>2276</v>
      </c>
      <c r="N963" s="74" t="s">
        <v>2276</v>
      </c>
      <c r="O963" s="74" t="s">
        <v>2276</v>
      </c>
      <c r="P963" s="74" t="s">
        <v>2276</v>
      </c>
      <c r="Q963" s="74" t="s">
        <v>2276</v>
      </c>
      <c r="R963" s="74" t="s">
        <v>2276</v>
      </c>
      <c r="S963" s="74" t="s">
        <v>2276</v>
      </c>
      <c r="T963" s="19"/>
    </row>
    <row r="964" spans="1:20" s="60" customFormat="1" ht="36" customHeight="1">
      <c r="A964" s="19" t="s">
        <v>6181</v>
      </c>
      <c r="B964" s="11" t="s">
        <v>2276</v>
      </c>
      <c r="C964" s="4" t="s">
        <v>2646</v>
      </c>
      <c r="D964" s="11" t="s">
        <v>5801</v>
      </c>
      <c r="E964" s="19" t="s">
        <v>3855</v>
      </c>
      <c r="F964" s="19" t="s">
        <v>2276</v>
      </c>
      <c r="G964" s="19" t="s">
        <v>2276</v>
      </c>
      <c r="H964" s="19" t="s">
        <v>2276</v>
      </c>
      <c r="I964" s="204">
        <v>1</v>
      </c>
      <c r="J964" s="19" t="s">
        <v>2276</v>
      </c>
      <c r="K964" s="19" t="s">
        <v>2276</v>
      </c>
      <c r="L964" s="19" t="s">
        <v>2276</v>
      </c>
      <c r="M964" s="19" t="s">
        <v>2276</v>
      </c>
      <c r="N964" s="19" t="s">
        <v>2276</v>
      </c>
      <c r="O964" s="75">
        <v>28</v>
      </c>
      <c r="P964" s="75">
        <v>15</v>
      </c>
      <c r="Q964" s="19" t="s">
        <v>2276</v>
      </c>
      <c r="R964" s="75">
        <v>52</v>
      </c>
      <c r="S964" s="19" t="s">
        <v>2276</v>
      </c>
      <c r="T964" s="4" t="s">
        <v>6867</v>
      </c>
    </row>
    <row r="965" spans="1:20" s="205" customFormat="1" ht="36" customHeight="1">
      <c r="A965" s="19" t="s">
        <v>6811</v>
      </c>
      <c r="B965" s="11" t="s">
        <v>2276</v>
      </c>
      <c r="C965" s="4" t="s">
        <v>2646</v>
      </c>
      <c r="D965" s="19" t="s">
        <v>3855</v>
      </c>
      <c r="E965" s="11" t="s">
        <v>5801</v>
      </c>
      <c r="F965" s="19"/>
      <c r="G965" s="19" t="s">
        <v>2276</v>
      </c>
      <c r="H965" s="19" t="s">
        <v>2276</v>
      </c>
      <c r="I965" s="204">
        <v>10</v>
      </c>
      <c r="J965" s="19" t="s">
        <v>2276</v>
      </c>
      <c r="K965" s="19" t="s">
        <v>2276</v>
      </c>
      <c r="L965" s="19" t="s">
        <v>2276</v>
      </c>
      <c r="M965" s="19" t="s">
        <v>2276</v>
      </c>
      <c r="N965" s="19" t="s">
        <v>2276</v>
      </c>
      <c r="O965" s="75">
        <v>54</v>
      </c>
      <c r="P965" s="75">
        <v>38</v>
      </c>
      <c r="Q965" s="19" t="s">
        <v>2276</v>
      </c>
      <c r="R965" s="75">
        <v>2</v>
      </c>
      <c r="S965" s="19" t="s">
        <v>2276</v>
      </c>
      <c r="T965" s="4" t="s">
        <v>5800</v>
      </c>
    </row>
    <row r="966" spans="1:20" s="205" customFormat="1" ht="36" customHeight="1">
      <c r="A966" s="19" t="s">
        <v>6812</v>
      </c>
      <c r="B966" s="11" t="s">
        <v>2276</v>
      </c>
      <c r="C966" s="4" t="s">
        <v>2646</v>
      </c>
      <c r="D966" s="11" t="s">
        <v>5801</v>
      </c>
      <c r="E966" s="19" t="s">
        <v>3855</v>
      </c>
      <c r="F966" s="19" t="s">
        <v>2276</v>
      </c>
      <c r="G966" s="19" t="s">
        <v>2276</v>
      </c>
      <c r="H966" s="19" t="s">
        <v>2276</v>
      </c>
      <c r="I966" s="204">
        <v>105</v>
      </c>
      <c r="J966" s="19" t="s">
        <v>2276</v>
      </c>
      <c r="K966" s="19" t="s">
        <v>2276</v>
      </c>
      <c r="L966" s="19" t="s">
        <v>2276</v>
      </c>
      <c r="M966" s="19" t="s">
        <v>2276</v>
      </c>
      <c r="N966" s="19" t="s">
        <v>2276</v>
      </c>
      <c r="O966" s="19" t="s">
        <v>2276</v>
      </c>
      <c r="P966" s="19" t="s">
        <v>2276</v>
      </c>
      <c r="Q966" s="19" t="s">
        <v>2276</v>
      </c>
      <c r="R966" s="19" t="s">
        <v>2276</v>
      </c>
      <c r="S966" s="19" t="s">
        <v>2276</v>
      </c>
      <c r="T966" s="4" t="s">
        <v>5800</v>
      </c>
    </row>
    <row r="967" spans="1:20" s="205" customFormat="1" ht="36" customHeight="1">
      <c r="A967" s="19" t="s">
        <v>6813</v>
      </c>
      <c r="B967" s="11" t="s">
        <v>2276</v>
      </c>
      <c r="C967" s="4" t="s">
        <v>2646</v>
      </c>
      <c r="D967" s="11" t="s">
        <v>5801</v>
      </c>
      <c r="E967" s="19" t="s">
        <v>3855</v>
      </c>
      <c r="F967" s="19" t="s">
        <v>2276</v>
      </c>
      <c r="G967" s="19" t="s">
        <v>2276</v>
      </c>
      <c r="H967" s="19" t="s">
        <v>2276</v>
      </c>
      <c r="I967" s="204">
        <v>12</v>
      </c>
      <c r="J967" s="19" t="s">
        <v>2276</v>
      </c>
      <c r="K967" s="19" t="s">
        <v>2276</v>
      </c>
      <c r="L967" s="19" t="s">
        <v>2276</v>
      </c>
      <c r="M967" s="19" t="s">
        <v>2276</v>
      </c>
      <c r="N967" s="19" t="s">
        <v>2276</v>
      </c>
      <c r="O967" s="19" t="s">
        <v>2276</v>
      </c>
      <c r="P967" s="19" t="s">
        <v>2276</v>
      </c>
      <c r="Q967" s="19" t="s">
        <v>2276</v>
      </c>
      <c r="R967" s="19" t="s">
        <v>2276</v>
      </c>
      <c r="S967" s="19" t="s">
        <v>2276</v>
      </c>
      <c r="T967" s="4" t="s">
        <v>6867</v>
      </c>
    </row>
    <row r="968" spans="1:20" s="205" customFormat="1" ht="36" customHeight="1">
      <c r="A968" s="19" t="s">
        <v>6814</v>
      </c>
      <c r="B968" s="11" t="s">
        <v>2276</v>
      </c>
      <c r="C968" s="4" t="s">
        <v>2646</v>
      </c>
      <c r="D968" s="19" t="s">
        <v>3855</v>
      </c>
      <c r="E968" s="11" t="s">
        <v>5801</v>
      </c>
      <c r="F968" s="19" t="s">
        <v>2276</v>
      </c>
      <c r="G968" s="19" t="s">
        <v>2276</v>
      </c>
      <c r="H968" s="19" t="s">
        <v>2276</v>
      </c>
      <c r="I968" s="204">
        <v>1</v>
      </c>
      <c r="J968" s="19" t="s">
        <v>2276</v>
      </c>
      <c r="K968" s="19" t="s">
        <v>2276</v>
      </c>
      <c r="L968" s="19" t="s">
        <v>2276</v>
      </c>
      <c r="M968" s="19" t="s">
        <v>2276</v>
      </c>
      <c r="N968" s="19" t="s">
        <v>2276</v>
      </c>
      <c r="O968" s="19" t="s">
        <v>2276</v>
      </c>
      <c r="P968" s="19" t="s">
        <v>2276</v>
      </c>
      <c r="Q968" s="19" t="s">
        <v>2276</v>
      </c>
      <c r="R968" s="19" t="s">
        <v>2276</v>
      </c>
      <c r="S968" s="19" t="s">
        <v>2276</v>
      </c>
      <c r="T968" s="4" t="s">
        <v>5800</v>
      </c>
    </row>
    <row r="969" spans="1:20" s="205" customFormat="1" ht="36" customHeight="1">
      <c r="A969" s="19" t="s">
        <v>6815</v>
      </c>
      <c r="B969" s="11" t="s">
        <v>2276</v>
      </c>
      <c r="C969" s="4" t="s">
        <v>2646</v>
      </c>
      <c r="D969" s="19" t="s">
        <v>3855</v>
      </c>
      <c r="E969" s="11" t="s">
        <v>5801</v>
      </c>
      <c r="F969" s="19" t="s">
        <v>2276</v>
      </c>
      <c r="G969" s="19" t="s">
        <v>2276</v>
      </c>
      <c r="H969" s="19" t="s">
        <v>2276</v>
      </c>
      <c r="I969" s="204">
        <v>9</v>
      </c>
      <c r="J969" s="19" t="s">
        <v>2276</v>
      </c>
      <c r="K969" s="19" t="s">
        <v>2276</v>
      </c>
      <c r="L969" s="19" t="s">
        <v>2276</v>
      </c>
      <c r="M969" s="19" t="s">
        <v>2276</v>
      </c>
      <c r="N969" s="19" t="s">
        <v>2276</v>
      </c>
      <c r="O969" s="75">
        <v>7</v>
      </c>
      <c r="P969" s="75">
        <v>55</v>
      </c>
      <c r="Q969" s="19" t="s">
        <v>2276</v>
      </c>
      <c r="R969" s="19" t="s">
        <v>2276</v>
      </c>
      <c r="S969" s="19" t="s">
        <v>2276</v>
      </c>
      <c r="T969" s="4" t="s">
        <v>5800</v>
      </c>
    </row>
    <row r="970" spans="1:20" s="205" customFormat="1" ht="36" customHeight="1">
      <c r="A970" s="19" t="s">
        <v>6816</v>
      </c>
      <c r="B970" s="11" t="s">
        <v>2276</v>
      </c>
      <c r="C970" s="4" t="s">
        <v>2646</v>
      </c>
      <c r="D970" s="19" t="s">
        <v>3855</v>
      </c>
      <c r="E970" s="11" t="s">
        <v>5801</v>
      </c>
      <c r="F970" s="19" t="s">
        <v>2276</v>
      </c>
      <c r="G970" s="19" t="s">
        <v>2276</v>
      </c>
      <c r="H970" s="19" t="s">
        <v>2276</v>
      </c>
      <c r="I970" s="204">
        <v>8.5</v>
      </c>
      <c r="J970" s="19" t="s">
        <v>2276</v>
      </c>
      <c r="K970" s="19" t="s">
        <v>2276</v>
      </c>
      <c r="L970" s="19" t="s">
        <v>2276</v>
      </c>
      <c r="M970" s="19" t="s">
        <v>2276</v>
      </c>
      <c r="N970" s="19" t="s">
        <v>2276</v>
      </c>
      <c r="O970" s="75">
        <v>52</v>
      </c>
      <c r="P970" s="75">
        <v>39</v>
      </c>
      <c r="Q970" s="19" t="s">
        <v>2276</v>
      </c>
      <c r="R970" s="75">
        <v>9</v>
      </c>
      <c r="S970" s="19" t="s">
        <v>2276</v>
      </c>
      <c r="T970" s="4" t="s">
        <v>5800</v>
      </c>
    </row>
    <row r="971" spans="1:20" s="205" customFormat="1" ht="36" customHeight="1">
      <c r="A971" s="19" t="s">
        <v>6817</v>
      </c>
      <c r="B971" s="11" t="s">
        <v>2276</v>
      </c>
      <c r="C971" s="4" t="s">
        <v>2646</v>
      </c>
      <c r="D971" s="19" t="s">
        <v>3855</v>
      </c>
      <c r="E971" s="11" t="s">
        <v>5801</v>
      </c>
      <c r="F971" s="19" t="s">
        <v>2276</v>
      </c>
      <c r="G971" s="19" t="s">
        <v>2276</v>
      </c>
      <c r="H971" s="19" t="s">
        <v>2276</v>
      </c>
      <c r="I971" s="204">
        <v>21</v>
      </c>
      <c r="J971" s="19" t="s">
        <v>2276</v>
      </c>
      <c r="K971" s="19" t="s">
        <v>2276</v>
      </c>
      <c r="L971" s="19" t="s">
        <v>2276</v>
      </c>
      <c r="M971" s="19" t="s">
        <v>2276</v>
      </c>
      <c r="N971" s="19" t="s">
        <v>2276</v>
      </c>
      <c r="O971" s="19" t="s">
        <v>2276</v>
      </c>
      <c r="P971" s="75">
        <v>1</v>
      </c>
      <c r="Q971" s="75">
        <v>6</v>
      </c>
      <c r="R971" s="75">
        <v>78</v>
      </c>
      <c r="S971" s="19" t="s">
        <v>2276</v>
      </c>
      <c r="T971" s="4" t="s">
        <v>5800</v>
      </c>
    </row>
    <row r="972" spans="1:20" s="205" customFormat="1" ht="36" customHeight="1">
      <c r="A972" s="19" t="s">
        <v>6818</v>
      </c>
      <c r="B972" s="11" t="s">
        <v>2276</v>
      </c>
      <c r="C972" s="4" t="s">
        <v>2646</v>
      </c>
      <c r="D972" s="19" t="s">
        <v>45</v>
      </c>
      <c r="E972" s="11" t="s">
        <v>5801</v>
      </c>
      <c r="F972" s="19" t="s">
        <v>2276</v>
      </c>
      <c r="G972" s="19" t="s">
        <v>2276</v>
      </c>
      <c r="H972" s="19" t="s">
        <v>2276</v>
      </c>
      <c r="I972" s="204">
        <v>25</v>
      </c>
      <c r="J972" s="19" t="s">
        <v>2276</v>
      </c>
      <c r="K972" s="19" t="s">
        <v>2276</v>
      </c>
      <c r="L972" s="19" t="s">
        <v>2276</v>
      </c>
      <c r="M972" s="19" t="s">
        <v>2276</v>
      </c>
      <c r="N972" s="19" t="s">
        <v>2276</v>
      </c>
      <c r="O972" s="75">
        <v>4</v>
      </c>
      <c r="P972" s="75">
        <v>4</v>
      </c>
      <c r="Q972" s="75">
        <v>16</v>
      </c>
      <c r="R972" s="75">
        <v>71</v>
      </c>
      <c r="S972" s="19" t="s">
        <v>2276</v>
      </c>
      <c r="T972" s="4" t="s">
        <v>5800</v>
      </c>
    </row>
    <row r="973" spans="1:20" s="205" customFormat="1" ht="36" customHeight="1">
      <c r="A973" s="19" t="s">
        <v>6819</v>
      </c>
      <c r="B973" s="11" t="s">
        <v>2276</v>
      </c>
      <c r="C973" s="4" t="s">
        <v>2646</v>
      </c>
      <c r="D973" s="19" t="s">
        <v>45</v>
      </c>
      <c r="E973" s="11" t="s">
        <v>5801</v>
      </c>
      <c r="F973" s="19" t="s">
        <v>2276</v>
      </c>
      <c r="G973" s="19" t="s">
        <v>2276</v>
      </c>
      <c r="H973" s="19" t="s">
        <v>2276</v>
      </c>
      <c r="I973" s="204">
        <v>20</v>
      </c>
      <c r="J973" s="19" t="s">
        <v>2276</v>
      </c>
      <c r="K973" s="19" t="s">
        <v>2276</v>
      </c>
      <c r="L973" s="19" t="s">
        <v>2276</v>
      </c>
      <c r="M973" s="19" t="s">
        <v>2276</v>
      </c>
      <c r="N973" s="19" t="s">
        <v>2276</v>
      </c>
      <c r="O973" s="75">
        <v>25</v>
      </c>
      <c r="P973" s="75">
        <v>1</v>
      </c>
      <c r="Q973" s="75">
        <v>19</v>
      </c>
      <c r="R973" s="75">
        <v>52</v>
      </c>
      <c r="S973" s="19" t="s">
        <v>2276</v>
      </c>
      <c r="T973" s="4" t="s">
        <v>5800</v>
      </c>
    </row>
    <row r="974" spans="1:20" s="205" customFormat="1" ht="36" customHeight="1">
      <c r="A974" s="19" t="s">
        <v>6820</v>
      </c>
      <c r="B974" s="11" t="s">
        <v>2276</v>
      </c>
      <c r="C974" s="4" t="s">
        <v>2646</v>
      </c>
      <c r="D974" s="11" t="s">
        <v>5801</v>
      </c>
      <c r="E974" s="19" t="s">
        <v>45</v>
      </c>
      <c r="F974" s="19" t="s">
        <v>2276</v>
      </c>
      <c r="G974" s="19" t="s">
        <v>2276</v>
      </c>
      <c r="H974" s="19" t="s">
        <v>2276</v>
      </c>
      <c r="I974" s="204">
        <v>15</v>
      </c>
      <c r="J974" s="19" t="s">
        <v>2276</v>
      </c>
      <c r="K974" s="19" t="s">
        <v>2276</v>
      </c>
      <c r="L974" s="19" t="s">
        <v>2276</v>
      </c>
      <c r="M974" s="19" t="s">
        <v>2276</v>
      </c>
      <c r="N974" s="19" t="s">
        <v>2276</v>
      </c>
      <c r="O974" s="19" t="s">
        <v>2276</v>
      </c>
      <c r="P974" s="19" t="s">
        <v>2276</v>
      </c>
      <c r="Q974" s="19" t="s">
        <v>2276</v>
      </c>
      <c r="R974" s="19" t="s">
        <v>2276</v>
      </c>
      <c r="S974" s="19" t="s">
        <v>2276</v>
      </c>
      <c r="T974" s="4" t="s">
        <v>5800</v>
      </c>
    </row>
    <row r="975" spans="1:20" s="205" customFormat="1" ht="36" customHeight="1">
      <c r="A975" s="19" t="s">
        <v>6821</v>
      </c>
      <c r="B975" s="11" t="s">
        <v>2276</v>
      </c>
      <c r="C975" s="4" t="s">
        <v>2646</v>
      </c>
      <c r="D975" s="19" t="s">
        <v>2650</v>
      </c>
      <c r="E975" s="11" t="s">
        <v>5801</v>
      </c>
      <c r="F975" s="4" t="s">
        <v>2276</v>
      </c>
      <c r="G975" s="19" t="s">
        <v>2276</v>
      </c>
      <c r="H975" s="19" t="s">
        <v>2276</v>
      </c>
      <c r="I975" s="204">
        <v>2</v>
      </c>
      <c r="J975" s="19" t="s">
        <v>2276</v>
      </c>
      <c r="K975" s="19" t="s">
        <v>2276</v>
      </c>
      <c r="L975" s="19" t="s">
        <v>2276</v>
      </c>
      <c r="M975" s="19" t="s">
        <v>2276</v>
      </c>
      <c r="N975" s="19" t="s">
        <v>2276</v>
      </c>
      <c r="O975" s="75">
        <v>11</v>
      </c>
      <c r="P975" s="75">
        <v>28</v>
      </c>
      <c r="Q975" s="75">
        <v>18</v>
      </c>
      <c r="R975" s="75">
        <v>48</v>
      </c>
      <c r="S975" s="19" t="s">
        <v>2276</v>
      </c>
      <c r="T975" s="4" t="s">
        <v>6868</v>
      </c>
    </row>
    <row r="976" spans="1:20" s="205" customFormat="1" ht="36" customHeight="1">
      <c r="A976" s="19" t="s">
        <v>6822</v>
      </c>
      <c r="B976" s="11" t="s">
        <v>2276</v>
      </c>
      <c r="C976" s="4" t="s">
        <v>2646</v>
      </c>
      <c r="D976" s="19" t="s">
        <v>45</v>
      </c>
      <c r="E976" s="11" t="s">
        <v>5801</v>
      </c>
      <c r="F976" s="4" t="s">
        <v>2276</v>
      </c>
      <c r="G976" s="19" t="s">
        <v>2276</v>
      </c>
      <c r="H976" s="19" t="s">
        <v>2276</v>
      </c>
      <c r="I976" s="204">
        <v>12</v>
      </c>
      <c r="J976" s="19" t="s">
        <v>2276</v>
      </c>
      <c r="K976" s="19" t="s">
        <v>2276</v>
      </c>
      <c r="L976" s="19" t="s">
        <v>2276</v>
      </c>
      <c r="M976" s="19" t="s">
        <v>2276</v>
      </c>
      <c r="N976" s="19" t="s">
        <v>2276</v>
      </c>
      <c r="O976" s="75">
        <v>57</v>
      </c>
      <c r="P976" s="75">
        <v>2</v>
      </c>
      <c r="Q976" s="19" t="s">
        <v>2276</v>
      </c>
      <c r="R976" s="75">
        <v>33</v>
      </c>
      <c r="S976" s="19" t="s">
        <v>2276</v>
      </c>
      <c r="T976" s="4" t="s">
        <v>5800</v>
      </c>
    </row>
    <row r="977" spans="1:20" s="205" customFormat="1" ht="36" customHeight="1">
      <c r="A977" s="19" t="s">
        <v>6823</v>
      </c>
      <c r="B977" s="11" t="s">
        <v>2276</v>
      </c>
      <c r="C977" s="4" t="s">
        <v>2646</v>
      </c>
      <c r="D977" s="19" t="s">
        <v>45</v>
      </c>
      <c r="E977" s="11" t="s">
        <v>5801</v>
      </c>
      <c r="F977" s="4" t="s">
        <v>2276</v>
      </c>
      <c r="G977" s="19" t="s">
        <v>2276</v>
      </c>
      <c r="H977" s="19" t="s">
        <v>2276</v>
      </c>
      <c r="I977" s="204">
        <v>16</v>
      </c>
      <c r="J977" s="19" t="s">
        <v>2276</v>
      </c>
      <c r="K977" s="19" t="s">
        <v>2276</v>
      </c>
      <c r="L977" s="19" t="s">
        <v>2276</v>
      </c>
      <c r="M977" s="19" t="s">
        <v>2276</v>
      </c>
      <c r="N977" s="19" t="s">
        <v>2276</v>
      </c>
      <c r="O977" s="75">
        <v>46</v>
      </c>
      <c r="P977" s="75">
        <v>1</v>
      </c>
      <c r="Q977" s="19" t="s">
        <v>2276</v>
      </c>
      <c r="R977" s="19" t="s">
        <v>2276</v>
      </c>
      <c r="S977" s="19" t="s">
        <v>2276</v>
      </c>
      <c r="T977" s="4" t="s">
        <v>5800</v>
      </c>
    </row>
    <row r="978" spans="1:20" s="205" customFormat="1" ht="36" customHeight="1">
      <c r="A978" s="19" t="s">
        <v>6824</v>
      </c>
      <c r="B978" s="11" t="s">
        <v>2276</v>
      </c>
      <c r="C978" s="4" t="s">
        <v>2646</v>
      </c>
      <c r="D978" s="11" t="s">
        <v>5801</v>
      </c>
      <c r="E978" s="19" t="s">
        <v>3855</v>
      </c>
      <c r="F978" s="4" t="s">
        <v>2276</v>
      </c>
      <c r="G978" s="19" t="s">
        <v>2276</v>
      </c>
      <c r="H978" s="19" t="s">
        <v>2276</v>
      </c>
      <c r="I978" s="204">
        <v>22</v>
      </c>
      <c r="J978" s="19" t="s">
        <v>2276</v>
      </c>
      <c r="K978" s="19" t="s">
        <v>2276</v>
      </c>
      <c r="L978" s="19" t="s">
        <v>2276</v>
      </c>
      <c r="M978" s="19" t="s">
        <v>2276</v>
      </c>
      <c r="N978" s="19" t="s">
        <v>2276</v>
      </c>
      <c r="O978" s="75">
        <f>33/2</f>
        <v>16.5</v>
      </c>
      <c r="P978" s="75">
        <f>33/2</f>
        <v>16.5</v>
      </c>
      <c r="Q978" s="75">
        <v>51</v>
      </c>
      <c r="R978" s="75">
        <v>15</v>
      </c>
      <c r="S978" s="19" t="s">
        <v>2276</v>
      </c>
      <c r="T978" s="4" t="s">
        <v>5800</v>
      </c>
    </row>
    <row r="979" spans="1:20" s="205" customFormat="1" ht="36" customHeight="1">
      <c r="A979" s="19" t="s">
        <v>6825</v>
      </c>
      <c r="B979" s="11" t="s">
        <v>2276</v>
      </c>
      <c r="C979" s="4" t="s">
        <v>2646</v>
      </c>
      <c r="D979" s="11" t="s">
        <v>5801</v>
      </c>
      <c r="E979" s="19" t="s">
        <v>3855</v>
      </c>
      <c r="F979" s="4" t="s">
        <v>2276</v>
      </c>
      <c r="G979" s="19" t="s">
        <v>2276</v>
      </c>
      <c r="H979" s="19" t="s">
        <v>2276</v>
      </c>
      <c r="I979" s="204">
        <v>10</v>
      </c>
      <c r="J979" s="19" t="s">
        <v>2276</v>
      </c>
      <c r="K979" s="19" t="s">
        <v>2276</v>
      </c>
      <c r="L979" s="19" t="s">
        <v>2276</v>
      </c>
      <c r="M979" s="19" t="s">
        <v>2276</v>
      </c>
      <c r="N979" s="19" t="s">
        <v>2276</v>
      </c>
      <c r="P979" s="75">
        <f>30/2</f>
        <v>15</v>
      </c>
      <c r="Q979" s="75">
        <v>40</v>
      </c>
      <c r="R979" s="75">
        <v>24</v>
      </c>
      <c r="S979" s="19" t="s">
        <v>2276</v>
      </c>
      <c r="T979" s="4" t="s">
        <v>5800</v>
      </c>
    </row>
    <row r="980" spans="1:20" s="205" customFormat="1" ht="36" customHeight="1">
      <c r="A980" s="19" t="s">
        <v>6826</v>
      </c>
      <c r="B980" s="11" t="s">
        <v>2276</v>
      </c>
      <c r="C980" s="4" t="s">
        <v>2646</v>
      </c>
      <c r="D980" s="11" t="s">
        <v>5801</v>
      </c>
      <c r="E980" s="19" t="s">
        <v>3855</v>
      </c>
      <c r="F980" s="4" t="s">
        <v>2276</v>
      </c>
      <c r="G980" s="19" t="s">
        <v>2276</v>
      </c>
      <c r="H980" s="19" t="s">
        <v>2276</v>
      </c>
      <c r="I980" s="204">
        <v>5</v>
      </c>
      <c r="J980" s="19" t="s">
        <v>2276</v>
      </c>
      <c r="K980" s="19" t="s">
        <v>2276</v>
      </c>
      <c r="L980" s="19" t="s">
        <v>2276</v>
      </c>
      <c r="M980" s="19" t="s">
        <v>2276</v>
      </c>
      <c r="N980" s="19" t="s">
        <v>2276</v>
      </c>
      <c r="O980" s="75">
        <v>16</v>
      </c>
      <c r="P980" s="75">
        <v>6</v>
      </c>
      <c r="Q980" s="75">
        <v>54</v>
      </c>
      <c r="R980" s="75">
        <v>22</v>
      </c>
      <c r="S980" s="19" t="s">
        <v>2276</v>
      </c>
      <c r="T980" s="4" t="s">
        <v>5800</v>
      </c>
    </row>
    <row r="981" spans="1:20" s="205" customFormat="1" ht="36" customHeight="1">
      <c r="A981" s="19" t="s">
        <v>6827</v>
      </c>
      <c r="B981" s="11" t="s">
        <v>2276</v>
      </c>
      <c r="C981" s="4" t="s">
        <v>2646</v>
      </c>
      <c r="D981" s="11" t="s">
        <v>5801</v>
      </c>
      <c r="E981" s="19" t="s">
        <v>45</v>
      </c>
      <c r="F981" s="4" t="s">
        <v>2276</v>
      </c>
      <c r="G981" s="19" t="s">
        <v>2276</v>
      </c>
      <c r="H981" s="19" t="s">
        <v>2276</v>
      </c>
      <c r="I981" s="204">
        <v>25</v>
      </c>
      <c r="J981" s="19" t="s">
        <v>2276</v>
      </c>
      <c r="K981" s="19" t="s">
        <v>2276</v>
      </c>
      <c r="L981" s="19" t="s">
        <v>2276</v>
      </c>
      <c r="M981" s="19" t="s">
        <v>2276</v>
      </c>
      <c r="N981" s="19" t="s">
        <v>2276</v>
      </c>
      <c r="O981" s="75">
        <v>12</v>
      </c>
      <c r="P981" s="75">
        <v>6</v>
      </c>
      <c r="Q981" s="75">
        <v>5</v>
      </c>
      <c r="R981" s="75">
        <v>50</v>
      </c>
      <c r="S981" s="19" t="s">
        <v>2276</v>
      </c>
      <c r="T981" s="4" t="s">
        <v>5800</v>
      </c>
    </row>
    <row r="982" spans="1:20" s="205" customFormat="1" ht="36" customHeight="1">
      <c r="A982" s="19" t="s">
        <v>6828</v>
      </c>
      <c r="B982" s="11" t="s">
        <v>2276</v>
      </c>
      <c r="C982" s="4" t="s">
        <v>2646</v>
      </c>
      <c r="D982" s="11" t="s">
        <v>5801</v>
      </c>
      <c r="E982" s="19" t="s">
        <v>45</v>
      </c>
      <c r="F982" s="4" t="s">
        <v>2276</v>
      </c>
      <c r="G982" s="19" t="s">
        <v>2276</v>
      </c>
      <c r="H982" s="19" t="s">
        <v>2276</v>
      </c>
      <c r="I982" s="19" t="s">
        <v>2276</v>
      </c>
      <c r="J982" s="19" t="s">
        <v>2276</v>
      </c>
      <c r="K982" s="19" t="s">
        <v>2276</v>
      </c>
      <c r="L982" s="19" t="s">
        <v>2276</v>
      </c>
      <c r="M982" s="19" t="s">
        <v>2276</v>
      </c>
      <c r="N982" s="19" t="s">
        <v>2276</v>
      </c>
      <c r="O982" s="19" t="s">
        <v>2276</v>
      </c>
      <c r="P982" s="19" t="s">
        <v>2276</v>
      </c>
      <c r="Q982" s="19" t="s">
        <v>2276</v>
      </c>
      <c r="R982" s="75">
        <v>40</v>
      </c>
      <c r="S982" s="19" t="s">
        <v>2276</v>
      </c>
      <c r="T982" s="4" t="s">
        <v>5800</v>
      </c>
    </row>
    <row r="983" spans="1:20" s="205" customFormat="1" ht="36" customHeight="1">
      <c r="A983" s="19" t="s">
        <v>6829</v>
      </c>
      <c r="B983" s="11" t="s">
        <v>2276</v>
      </c>
      <c r="C983" s="4" t="s">
        <v>2646</v>
      </c>
      <c r="D983" s="19" t="s">
        <v>45</v>
      </c>
      <c r="E983" s="11" t="s">
        <v>5801</v>
      </c>
      <c r="F983" s="4" t="s">
        <v>2276</v>
      </c>
      <c r="G983" s="19" t="s">
        <v>2276</v>
      </c>
      <c r="H983" s="19" t="s">
        <v>2276</v>
      </c>
      <c r="I983" s="204">
        <v>16</v>
      </c>
      <c r="J983" s="19" t="s">
        <v>2276</v>
      </c>
      <c r="K983" s="19" t="s">
        <v>2276</v>
      </c>
      <c r="L983" s="19" t="s">
        <v>2276</v>
      </c>
      <c r="M983" s="19" t="s">
        <v>2276</v>
      </c>
      <c r="N983" s="19" t="s">
        <v>2276</v>
      </c>
      <c r="O983" s="75">
        <f>13/2</f>
        <v>6.5</v>
      </c>
      <c r="P983" s="75">
        <f>13/2</f>
        <v>6.5</v>
      </c>
      <c r="Q983" s="75">
        <v>15</v>
      </c>
      <c r="R983" s="75">
        <v>33</v>
      </c>
      <c r="S983" s="19" t="s">
        <v>2276</v>
      </c>
      <c r="T983" s="4" t="s">
        <v>5800</v>
      </c>
    </row>
    <row r="984" spans="1:20" s="205" customFormat="1" ht="36" customHeight="1">
      <c r="A984" s="19" t="s">
        <v>6830</v>
      </c>
      <c r="B984" s="11" t="s">
        <v>2276</v>
      </c>
      <c r="C984" s="4" t="s">
        <v>2646</v>
      </c>
      <c r="D984" s="19" t="s">
        <v>45</v>
      </c>
      <c r="E984" s="11" t="s">
        <v>5801</v>
      </c>
      <c r="F984" s="4" t="s">
        <v>2276</v>
      </c>
      <c r="G984" s="19" t="s">
        <v>2276</v>
      </c>
      <c r="H984" s="19" t="s">
        <v>2276</v>
      </c>
      <c r="I984" s="19" t="s">
        <v>2276</v>
      </c>
      <c r="J984" s="19" t="s">
        <v>2276</v>
      </c>
      <c r="K984" s="19" t="s">
        <v>2276</v>
      </c>
      <c r="L984" s="19" t="s">
        <v>2276</v>
      </c>
      <c r="M984" s="19" t="s">
        <v>2276</v>
      </c>
      <c r="N984" s="19" t="s">
        <v>2276</v>
      </c>
      <c r="O984" s="75">
        <f>72/2</f>
        <v>36</v>
      </c>
      <c r="P984" s="75">
        <f>72/2</f>
        <v>36</v>
      </c>
      <c r="Q984" s="19" t="s">
        <v>2276</v>
      </c>
      <c r="R984" s="19" t="s">
        <v>2276</v>
      </c>
      <c r="S984" s="19" t="s">
        <v>2276</v>
      </c>
      <c r="T984" s="4" t="s">
        <v>5800</v>
      </c>
    </row>
    <row r="985" spans="1:20" s="205" customFormat="1" ht="36" customHeight="1">
      <c r="A985" s="19" t="s">
        <v>6831</v>
      </c>
      <c r="B985" s="11" t="s">
        <v>2276</v>
      </c>
      <c r="C985" s="4" t="s">
        <v>2646</v>
      </c>
      <c r="D985" s="19" t="s">
        <v>3855</v>
      </c>
      <c r="E985" s="11" t="s">
        <v>5801</v>
      </c>
      <c r="F985" s="4" t="s">
        <v>2276</v>
      </c>
      <c r="G985" s="19" t="s">
        <v>2276</v>
      </c>
      <c r="H985" s="19" t="s">
        <v>2276</v>
      </c>
      <c r="I985" s="204">
        <v>34</v>
      </c>
      <c r="J985" s="19" t="s">
        <v>2276</v>
      </c>
      <c r="K985" s="19" t="s">
        <v>2276</v>
      </c>
      <c r="L985" s="19" t="s">
        <v>2276</v>
      </c>
      <c r="M985" s="19" t="s">
        <v>2276</v>
      </c>
      <c r="N985" s="19" t="s">
        <v>2276</v>
      </c>
      <c r="O985" s="75">
        <f>30/2</f>
        <v>15</v>
      </c>
      <c r="P985" s="75">
        <f>30/2</f>
        <v>15</v>
      </c>
      <c r="Q985" s="75">
        <v>2</v>
      </c>
      <c r="R985" s="75">
        <v>54</v>
      </c>
      <c r="S985" s="19" t="s">
        <v>2276</v>
      </c>
      <c r="T985" s="4" t="s">
        <v>5800</v>
      </c>
    </row>
    <row r="986" spans="1:20" s="205" customFormat="1" ht="36" customHeight="1">
      <c r="A986" s="19" t="s">
        <v>6832</v>
      </c>
      <c r="B986" s="11" t="s">
        <v>2276</v>
      </c>
      <c r="C986" s="4" t="s">
        <v>2646</v>
      </c>
      <c r="D986" s="11" t="s">
        <v>5801</v>
      </c>
      <c r="E986" s="19" t="s">
        <v>45</v>
      </c>
      <c r="F986" s="4" t="s">
        <v>2276</v>
      </c>
      <c r="G986" s="19" t="s">
        <v>2276</v>
      </c>
      <c r="H986" s="19" t="s">
        <v>2276</v>
      </c>
      <c r="I986" s="204">
        <v>20</v>
      </c>
      <c r="J986" s="19" t="s">
        <v>2276</v>
      </c>
      <c r="K986" s="19" t="s">
        <v>2276</v>
      </c>
      <c r="L986" s="19" t="s">
        <v>2276</v>
      </c>
      <c r="M986" s="19" t="s">
        <v>2276</v>
      </c>
      <c r="N986" s="19" t="s">
        <v>2276</v>
      </c>
      <c r="O986" s="19" t="s">
        <v>2276</v>
      </c>
      <c r="P986" s="19" t="s">
        <v>2276</v>
      </c>
      <c r="Q986" s="19" t="s">
        <v>2276</v>
      </c>
      <c r="R986" s="19" t="s">
        <v>2276</v>
      </c>
      <c r="S986" s="19" t="s">
        <v>2276</v>
      </c>
      <c r="T986" s="4" t="s">
        <v>5800</v>
      </c>
    </row>
    <row r="987" spans="1:20" s="205" customFormat="1" ht="36" customHeight="1">
      <c r="A987" s="19" t="s">
        <v>6833</v>
      </c>
      <c r="B987" s="11" t="s">
        <v>2276</v>
      </c>
      <c r="C987" s="4" t="s">
        <v>2646</v>
      </c>
      <c r="D987" s="11" t="s">
        <v>5801</v>
      </c>
      <c r="E987" s="19" t="s">
        <v>45</v>
      </c>
      <c r="F987" s="4" t="s">
        <v>2276</v>
      </c>
      <c r="G987" s="19" t="s">
        <v>2276</v>
      </c>
      <c r="H987" s="19" t="s">
        <v>2276</v>
      </c>
      <c r="I987" s="204">
        <v>30</v>
      </c>
      <c r="J987" s="19" t="s">
        <v>2276</v>
      </c>
      <c r="K987" s="19" t="s">
        <v>2276</v>
      </c>
      <c r="L987" s="19" t="s">
        <v>2276</v>
      </c>
      <c r="M987" s="19" t="s">
        <v>2276</v>
      </c>
      <c r="N987" s="19" t="s">
        <v>2276</v>
      </c>
      <c r="O987" s="19" t="s">
        <v>2276</v>
      </c>
      <c r="P987" s="19" t="s">
        <v>2276</v>
      </c>
      <c r="Q987" s="19" t="s">
        <v>2276</v>
      </c>
      <c r="R987" s="75">
        <v>39</v>
      </c>
      <c r="S987" s="19" t="s">
        <v>2276</v>
      </c>
      <c r="T987" s="4" t="s">
        <v>5800</v>
      </c>
    </row>
    <row r="988" spans="1:20" s="60" customFormat="1" ht="36" customHeight="1">
      <c r="A988" s="48" t="s">
        <v>6182</v>
      </c>
      <c r="B988" s="11" t="s">
        <v>2276</v>
      </c>
      <c r="C988" s="4" t="s">
        <v>2646</v>
      </c>
      <c r="D988" s="4" t="s">
        <v>5801</v>
      </c>
      <c r="E988" s="4" t="s">
        <v>3855</v>
      </c>
      <c r="F988" s="4" t="s">
        <v>2653</v>
      </c>
      <c r="G988" s="4" t="s">
        <v>2276</v>
      </c>
      <c r="H988" s="4" t="s">
        <v>2276</v>
      </c>
      <c r="I988" s="4" t="s">
        <v>2276</v>
      </c>
      <c r="J988" s="4" t="s">
        <v>2276</v>
      </c>
      <c r="K988" s="4" t="s">
        <v>2276</v>
      </c>
      <c r="L988" s="4" t="s">
        <v>2276</v>
      </c>
      <c r="M988" s="4" t="s">
        <v>2276</v>
      </c>
      <c r="N988" s="4" t="s">
        <v>2276</v>
      </c>
      <c r="O988" s="4" t="s">
        <v>2276</v>
      </c>
      <c r="P988" s="4" t="s">
        <v>2276</v>
      </c>
      <c r="Q988" s="75">
        <f>100*882.88/'Record info'!K988</f>
        <v>3.6634024896265562</v>
      </c>
      <c r="R988" s="4" t="s">
        <v>2276</v>
      </c>
      <c r="S988" s="4" t="s">
        <v>2276</v>
      </c>
      <c r="T988" s="4" t="s">
        <v>5800</v>
      </c>
    </row>
    <row r="989" spans="1:20" s="60" customFormat="1" ht="36" customHeight="1">
      <c r="A989" s="48" t="s">
        <v>6183</v>
      </c>
      <c r="B989" s="11" t="s">
        <v>2276</v>
      </c>
      <c r="C989" s="4" t="s">
        <v>2646</v>
      </c>
      <c r="D989" s="4" t="s">
        <v>2653</v>
      </c>
      <c r="E989" s="4" t="s">
        <v>3855</v>
      </c>
      <c r="F989" s="11" t="s">
        <v>5801</v>
      </c>
      <c r="G989" s="4" t="s">
        <v>2652</v>
      </c>
      <c r="H989" s="4" t="s">
        <v>2276</v>
      </c>
      <c r="I989" s="4" t="s">
        <v>2276</v>
      </c>
      <c r="J989" s="4" t="s">
        <v>2276</v>
      </c>
      <c r="K989" s="4" t="s">
        <v>2276</v>
      </c>
      <c r="L989" s="4" t="s">
        <v>2276</v>
      </c>
      <c r="M989" s="4" t="s">
        <v>2276</v>
      </c>
      <c r="N989" s="4" t="s">
        <v>2276</v>
      </c>
      <c r="O989" s="4" t="s">
        <v>2276</v>
      </c>
      <c r="P989" s="4" t="s">
        <v>2276</v>
      </c>
      <c r="Q989" s="194">
        <v>33</v>
      </c>
      <c r="R989" s="4" t="s">
        <v>2276</v>
      </c>
      <c r="S989" s="4" t="s">
        <v>2276</v>
      </c>
      <c r="T989" s="4"/>
    </row>
    <row r="990" spans="1:20" s="60" customFormat="1" ht="36" customHeight="1">
      <c r="A990" s="48" t="s">
        <v>6184</v>
      </c>
      <c r="B990" s="11" t="s">
        <v>2258</v>
      </c>
      <c r="C990" s="4" t="s">
        <v>2645</v>
      </c>
      <c r="D990" s="4" t="s">
        <v>3855</v>
      </c>
      <c r="E990" s="4" t="s">
        <v>2649</v>
      </c>
      <c r="F990" s="4" t="s">
        <v>2653</v>
      </c>
      <c r="G990" s="4" t="s">
        <v>2276</v>
      </c>
      <c r="H990" s="4" t="s">
        <v>2276</v>
      </c>
      <c r="I990" s="4" t="s">
        <v>2276</v>
      </c>
      <c r="J990" s="4" t="s">
        <v>2276</v>
      </c>
      <c r="K990" s="4" t="s">
        <v>534</v>
      </c>
      <c r="L990" s="4" t="s">
        <v>2276</v>
      </c>
      <c r="M990" s="4" t="s">
        <v>2276</v>
      </c>
      <c r="N990" s="4" t="s">
        <v>2276</v>
      </c>
      <c r="O990" s="4" t="s">
        <v>2276</v>
      </c>
      <c r="P990" s="4" t="s">
        <v>2276</v>
      </c>
      <c r="Q990" s="4" t="s">
        <v>2276</v>
      </c>
      <c r="R990" s="4" t="s">
        <v>2276</v>
      </c>
      <c r="S990" s="4" t="s">
        <v>2276</v>
      </c>
      <c r="T990" s="4" t="s">
        <v>6973</v>
      </c>
    </row>
    <row r="991" spans="1:20" s="205" customFormat="1" ht="36" customHeight="1">
      <c r="A991" s="48" t="s">
        <v>6185</v>
      </c>
      <c r="B991" s="11" t="s">
        <v>2258</v>
      </c>
      <c r="C991" s="4" t="s">
        <v>2645</v>
      </c>
      <c r="D991" s="4" t="s">
        <v>3855</v>
      </c>
      <c r="E991" s="4" t="s">
        <v>2649</v>
      </c>
      <c r="F991" s="4" t="s">
        <v>2653</v>
      </c>
      <c r="G991" s="4" t="s">
        <v>2276</v>
      </c>
      <c r="H991" s="4" t="s">
        <v>2276</v>
      </c>
      <c r="I991" s="4" t="s">
        <v>2276</v>
      </c>
      <c r="J991" s="4" t="s">
        <v>2276</v>
      </c>
      <c r="K991" s="4" t="s">
        <v>534</v>
      </c>
      <c r="L991" s="4" t="s">
        <v>2276</v>
      </c>
      <c r="M991" s="4" t="s">
        <v>2276</v>
      </c>
      <c r="N991" s="4" t="s">
        <v>2276</v>
      </c>
      <c r="O991" s="4" t="s">
        <v>2276</v>
      </c>
      <c r="P991" s="4" t="s">
        <v>2276</v>
      </c>
      <c r="Q991" s="4" t="s">
        <v>2276</v>
      </c>
      <c r="R991" s="4" t="s">
        <v>2276</v>
      </c>
      <c r="S991" s="4" t="s">
        <v>2276</v>
      </c>
      <c r="T991" s="4" t="s">
        <v>6973</v>
      </c>
    </row>
    <row r="992" spans="1:20" s="205" customFormat="1" ht="36" customHeight="1">
      <c r="A992" s="48" t="s">
        <v>6186</v>
      </c>
      <c r="B992" s="11" t="s">
        <v>2258</v>
      </c>
      <c r="C992" s="4" t="s">
        <v>2645</v>
      </c>
      <c r="D992" s="4" t="s">
        <v>3855</v>
      </c>
      <c r="E992" s="4" t="s">
        <v>2649</v>
      </c>
      <c r="F992" s="4" t="s">
        <v>2653</v>
      </c>
      <c r="G992" s="4" t="s">
        <v>2276</v>
      </c>
      <c r="H992" s="4" t="s">
        <v>2276</v>
      </c>
      <c r="I992" s="4" t="s">
        <v>2276</v>
      </c>
      <c r="J992" s="4" t="s">
        <v>2276</v>
      </c>
      <c r="K992" s="4" t="s">
        <v>534</v>
      </c>
      <c r="L992" s="4" t="s">
        <v>2276</v>
      </c>
      <c r="M992" s="4" t="s">
        <v>2276</v>
      </c>
      <c r="N992" s="4" t="s">
        <v>2276</v>
      </c>
      <c r="O992" s="4" t="s">
        <v>2276</v>
      </c>
      <c r="P992" s="4" t="s">
        <v>2276</v>
      </c>
      <c r="Q992" s="4" t="s">
        <v>2276</v>
      </c>
      <c r="R992" s="4" t="s">
        <v>2276</v>
      </c>
      <c r="S992" s="4" t="s">
        <v>2276</v>
      </c>
      <c r="T992" s="4" t="s">
        <v>6973</v>
      </c>
    </row>
    <row r="993" spans="1:20" s="205" customFormat="1" ht="36" customHeight="1">
      <c r="A993" s="48" t="s">
        <v>6901</v>
      </c>
      <c r="B993" s="11" t="s">
        <v>2258</v>
      </c>
      <c r="C993" s="4" t="s">
        <v>2645</v>
      </c>
      <c r="D993" s="4" t="s">
        <v>3855</v>
      </c>
      <c r="E993" s="4" t="s">
        <v>2649</v>
      </c>
      <c r="F993" s="4" t="s">
        <v>2653</v>
      </c>
      <c r="G993" s="4" t="s">
        <v>2276</v>
      </c>
      <c r="H993" s="4" t="s">
        <v>2276</v>
      </c>
      <c r="I993" s="4" t="s">
        <v>2276</v>
      </c>
      <c r="J993" s="4" t="s">
        <v>2276</v>
      </c>
      <c r="K993" s="4" t="s">
        <v>534</v>
      </c>
      <c r="L993" s="4" t="s">
        <v>2276</v>
      </c>
      <c r="M993" s="4" t="s">
        <v>2276</v>
      </c>
      <c r="N993" s="4" t="s">
        <v>2276</v>
      </c>
      <c r="O993" s="4" t="s">
        <v>2276</v>
      </c>
      <c r="P993" s="4" t="s">
        <v>2276</v>
      </c>
      <c r="Q993" s="4" t="s">
        <v>2276</v>
      </c>
      <c r="R993" s="4" t="s">
        <v>2276</v>
      </c>
      <c r="S993" s="4" t="s">
        <v>2276</v>
      </c>
      <c r="T993" s="4" t="s">
        <v>6973</v>
      </c>
    </row>
    <row r="994" spans="1:20" s="205" customFormat="1" ht="36" customHeight="1">
      <c r="A994" s="48" t="s">
        <v>6902</v>
      </c>
      <c r="B994" s="11" t="s">
        <v>2258</v>
      </c>
      <c r="C994" s="4" t="s">
        <v>2645</v>
      </c>
      <c r="D994" s="4" t="s">
        <v>3855</v>
      </c>
      <c r="E994" s="4" t="s">
        <v>2649</v>
      </c>
      <c r="F994" s="4" t="s">
        <v>2653</v>
      </c>
      <c r="G994" s="4" t="s">
        <v>2276</v>
      </c>
      <c r="H994" s="4" t="s">
        <v>2276</v>
      </c>
      <c r="I994" s="4" t="s">
        <v>2276</v>
      </c>
      <c r="J994" s="4" t="s">
        <v>2276</v>
      </c>
      <c r="K994" s="4" t="s">
        <v>534</v>
      </c>
      <c r="L994" s="4" t="s">
        <v>2276</v>
      </c>
      <c r="M994" s="4" t="s">
        <v>2276</v>
      </c>
      <c r="N994" s="4" t="s">
        <v>2276</v>
      </c>
      <c r="O994" s="4" t="s">
        <v>2276</v>
      </c>
      <c r="P994" s="4" t="s">
        <v>2276</v>
      </c>
      <c r="Q994" s="4" t="s">
        <v>2276</v>
      </c>
      <c r="R994" s="4" t="s">
        <v>2276</v>
      </c>
      <c r="S994" s="4" t="s">
        <v>2276</v>
      </c>
      <c r="T994" s="4" t="s">
        <v>6973</v>
      </c>
    </row>
    <row r="995" spans="1:20" s="205" customFormat="1" ht="36" customHeight="1">
      <c r="A995" s="48" t="s">
        <v>6903</v>
      </c>
      <c r="B995" s="11" t="s">
        <v>2258</v>
      </c>
      <c r="C995" s="4" t="s">
        <v>2645</v>
      </c>
      <c r="D995" s="4" t="s">
        <v>3855</v>
      </c>
      <c r="E995" s="4" t="s">
        <v>2649</v>
      </c>
      <c r="F995" s="4" t="s">
        <v>2653</v>
      </c>
      <c r="G995" s="4" t="s">
        <v>2276</v>
      </c>
      <c r="H995" s="4" t="s">
        <v>2276</v>
      </c>
      <c r="I995" s="4" t="s">
        <v>2276</v>
      </c>
      <c r="J995" s="4" t="s">
        <v>2276</v>
      </c>
      <c r="K995" s="4" t="s">
        <v>534</v>
      </c>
      <c r="L995" s="4" t="s">
        <v>2276</v>
      </c>
      <c r="M995" s="4" t="s">
        <v>2276</v>
      </c>
      <c r="N995" s="4" t="s">
        <v>2276</v>
      </c>
      <c r="O995" s="4" t="s">
        <v>2276</v>
      </c>
      <c r="P995" s="4" t="s">
        <v>2276</v>
      </c>
      <c r="Q995" s="4" t="s">
        <v>2276</v>
      </c>
      <c r="R995" s="4" t="s">
        <v>2276</v>
      </c>
      <c r="S995" s="4" t="s">
        <v>2276</v>
      </c>
      <c r="T995" s="4" t="s">
        <v>6973</v>
      </c>
    </row>
    <row r="996" spans="1:20" s="205" customFormat="1" ht="36" customHeight="1">
      <c r="A996" s="48" t="s">
        <v>6928</v>
      </c>
      <c r="B996" s="11" t="s">
        <v>2258</v>
      </c>
      <c r="C996" s="4" t="s">
        <v>2645</v>
      </c>
      <c r="D996" s="4" t="s">
        <v>3855</v>
      </c>
      <c r="E996" s="4" t="s">
        <v>2649</v>
      </c>
      <c r="F996" s="4" t="s">
        <v>2653</v>
      </c>
      <c r="G996" s="4" t="s">
        <v>2276</v>
      </c>
      <c r="H996" s="4" t="s">
        <v>2276</v>
      </c>
      <c r="I996" s="4" t="s">
        <v>2276</v>
      </c>
      <c r="J996" s="4" t="s">
        <v>2276</v>
      </c>
      <c r="K996" s="4" t="s">
        <v>534</v>
      </c>
      <c r="L996" s="4" t="s">
        <v>2276</v>
      </c>
      <c r="M996" s="4" t="s">
        <v>2276</v>
      </c>
      <c r="N996" s="4" t="s">
        <v>2276</v>
      </c>
      <c r="O996" s="4" t="s">
        <v>2276</v>
      </c>
      <c r="P996" s="4" t="s">
        <v>2276</v>
      </c>
      <c r="Q996" s="4" t="s">
        <v>2276</v>
      </c>
      <c r="R996" s="4" t="s">
        <v>2276</v>
      </c>
      <c r="S996" s="4" t="s">
        <v>2276</v>
      </c>
      <c r="T996" s="4" t="s">
        <v>6973</v>
      </c>
    </row>
    <row r="997" spans="1:20" ht="37.5" customHeight="1">
      <c r="A997" s="4" t="s">
        <v>6364</v>
      </c>
      <c r="B997" s="4" t="s">
        <v>70</v>
      </c>
      <c r="C997" s="4" t="s">
        <v>12</v>
      </c>
      <c r="D997" s="4" t="s">
        <v>396</v>
      </c>
      <c r="E997" s="4" t="s">
        <v>397</v>
      </c>
      <c r="F997" s="4" t="s">
        <v>2276</v>
      </c>
      <c r="G997" s="4" t="s">
        <v>2276</v>
      </c>
      <c r="H997" s="4">
        <v>2.46</v>
      </c>
      <c r="I997" s="4">
        <v>5.03</v>
      </c>
      <c r="J997" s="4" t="s">
        <v>2276</v>
      </c>
      <c r="K997" s="4" t="s">
        <v>537</v>
      </c>
      <c r="L997" s="4" t="s">
        <v>2276</v>
      </c>
      <c r="M997" s="4" t="s">
        <v>2276</v>
      </c>
      <c r="N997" s="4" t="s">
        <v>2276</v>
      </c>
      <c r="O997" s="4" t="s">
        <v>2276</v>
      </c>
      <c r="P997" s="4" t="s">
        <v>2276</v>
      </c>
      <c r="Q997" s="4" t="s">
        <v>2276</v>
      </c>
      <c r="R997" s="4" t="s">
        <v>2276</v>
      </c>
      <c r="S997" s="4" t="s">
        <v>2276</v>
      </c>
      <c r="T997" s="4" t="s">
        <v>6354</v>
      </c>
    </row>
    <row r="998" spans="1:20" ht="29">
      <c r="A998" s="4" t="s">
        <v>6365</v>
      </c>
      <c r="B998" s="4" t="s">
        <v>70</v>
      </c>
      <c r="C998" s="4" t="s">
        <v>12</v>
      </c>
      <c r="D998" s="4" t="s">
        <v>396</v>
      </c>
      <c r="E998" s="4" t="s">
        <v>397</v>
      </c>
      <c r="F998" s="4" t="s">
        <v>2276</v>
      </c>
      <c r="G998" s="4" t="s">
        <v>2276</v>
      </c>
      <c r="H998" s="4">
        <v>2.46</v>
      </c>
      <c r="I998" s="4">
        <v>5.03</v>
      </c>
      <c r="J998" s="4" t="s">
        <v>2276</v>
      </c>
      <c r="K998" s="4" t="s">
        <v>537</v>
      </c>
      <c r="L998" s="4" t="s">
        <v>2276</v>
      </c>
      <c r="M998" s="4" t="s">
        <v>2276</v>
      </c>
      <c r="N998" s="4" t="s">
        <v>2276</v>
      </c>
      <c r="O998" s="4" t="s">
        <v>2276</v>
      </c>
      <c r="P998" s="4" t="s">
        <v>2276</v>
      </c>
      <c r="Q998" s="4" t="s">
        <v>2276</v>
      </c>
      <c r="R998" s="4" t="s">
        <v>2276</v>
      </c>
      <c r="S998" s="4" t="s">
        <v>2276</v>
      </c>
      <c r="T998" s="4" t="s">
        <v>6354</v>
      </c>
    </row>
    <row r="999" spans="1:20" ht="29">
      <c r="A999" s="4" t="s">
        <v>6366</v>
      </c>
      <c r="B999" s="4" t="s">
        <v>70</v>
      </c>
      <c r="C999" s="4" t="s">
        <v>12</v>
      </c>
      <c r="D999" s="4" t="s">
        <v>396</v>
      </c>
      <c r="E999" s="4" t="s">
        <v>397</v>
      </c>
      <c r="F999" s="4" t="s">
        <v>2276</v>
      </c>
      <c r="G999" s="4" t="s">
        <v>2276</v>
      </c>
      <c r="H999" s="4">
        <v>2.46</v>
      </c>
      <c r="I999" s="4">
        <v>5.03</v>
      </c>
      <c r="J999" s="4" t="s">
        <v>2276</v>
      </c>
      <c r="K999" s="4" t="s">
        <v>537</v>
      </c>
      <c r="L999" s="4" t="s">
        <v>2276</v>
      </c>
      <c r="M999" s="4" t="s">
        <v>2276</v>
      </c>
      <c r="N999" s="4" t="s">
        <v>2276</v>
      </c>
      <c r="O999" s="4" t="s">
        <v>2276</v>
      </c>
      <c r="P999" s="4" t="s">
        <v>2276</v>
      </c>
      <c r="Q999" s="4" t="s">
        <v>2276</v>
      </c>
      <c r="R999" s="4" t="s">
        <v>2276</v>
      </c>
      <c r="S999" s="4" t="s">
        <v>2276</v>
      </c>
      <c r="T999" s="4" t="s">
        <v>6354</v>
      </c>
    </row>
    <row r="1000" spans="1:20" ht="29">
      <c r="A1000" s="193" t="s">
        <v>6367</v>
      </c>
      <c r="B1000" s="4" t="s">
        <v>70</v>
      </c>
      <c r="C1000" s="4" t="s">
        <v>12</v>
      </c>
      <c r="D1000" s="4" t="s">
        <v>396</v>
      </c>
      <c r="E1000" s="4" t="s">
        <v>397</v>
      </c>
      <c r="F1000" s="4" t="s">
        <v>2276</v>
      </c>
      <c r="G1000" s="4" t="s">
        <v>2276</v>
      </c>
      <c r="H1000" s="202">
        <v>1.4</v>
      </c>
      <c r="I1000" s="4">
        <v>3.2</v>
      </c>
      <c r="J1000" s="4" t="s">
        <v>2276</v>
      </c>
      <c r="K1000" s="4" t="s">
        <v>537</v>
      </c>
      <c r="L1000" s="4" t="s">
        <v>2276</v>
      </c>
      <c r="M1000" s="4" t="s">
        <v>2276</v>
      </c>
      <c r="N1000" s="4" t="s">
        <v>2276</v>
      </c>
      <c r="O1000" s="4" t="s">
        <v>2276</v>
      </c>
      <c r="P1000" s="4" t="s">
        <v>2276</v>
      </c>
      <c r="Q1000" s="4" t="s">
        <v>2276</v>
      </c>
      <c r="R1000" s="4" t="s">
        <v>2276</v>
      </c>
      <c r="S1000" s="4" t="s">
        <v>2276</v>
      </c>
      <c r="T1000" s="4" t="s">
        <v>6355</v>
      </c>
    </row>
    <row r="1001" spans="1:20" ht="29">
      <c r="A1001" s="4" t="s">
        <v>6327</v>
      </c>
      <c r="B1001" s="4" t="s">
        <v>70</v>
      </c>
      <c r="C1001" s="4" t="s">
        <v>12</v>
      </c>
      <c r="D1001" s="4" t="s">
        <v>3855</v>
      </c>
      <c r="E1001" s="19" t="s">
        <v>3854</v>
      </c>
      <c r="F1001" s="4" t="s">
        <v>2276</v>
      </c>
      <c r="G1001" s="4" t="s">
        <v>2276</v>
      </c>
      <c r="H1001" s="202">
        <f>5.3/I1001</f>
        <v>1.892857142857143</v>
      </c>
      <c r="I1001" s="4">
        <v>2.8</v>
      </c>
      <c r="J1001" s="4">
        <f>AVERAGE(3.8, 6.3)</f>
        <v>5.05</v>
      </c>
      <c r="K1001" s="4" t="s">
        <v>537</v>
      </c>
      <c r="L1001" s="4" t="s">
        <v>2276</v>
      </c>
      <c r="M1001" s="4" t="s">
        <v>2276</v>
      </c>
      <c r="N1001" s="4" t="s">
        <v>2276</v>
      </c>
      <c r="O1001" s="4" t="s">
        <v>2276</v>
      </c>
      <c r="P1001" s="4" t="s">
        <v>2276</v>
      </c>
      <c r="Q1001" s="4" t="s">
        <v>2276</v>
      </c>
      <c r="R1001" s="4" t="s">
        <v>2276</v>
      </c>
      <c r="S1001" s="4" t="s">
        <v>2276</v>
      </c>
      <c r="T1001" s="4" t="s">
        <v>6356</v>
      </c>
    </row>
    <row r="1002" spans="1:20" ht="29">
      <c r="A1002" s="4" t="s">
        <v>6328</v>
      </c>
      <c r="B1002" s="4" t="s">
        <v>70</v>
      </c>
      <c r="C1002" s="4" t="s">
        <v>12</v>
      </c>
      <c r="D1002" s="4" t="s">
        <v>3855</v>
      </c>
      <c r="E1002" s="19" t="s">
        <v>3854</v>
      </c>
      <c r="F1002" s="4" t="s">
        <v>2276</v>
      </c>
      <c r="G1002" s="4" t="s">
        <v>2276</v>
      </c>
      <c r="H1002" s="202">
        <f>4.6/I1002</f>
        <v>1</v>
      </c>
      <c r="I1002" s="4">
        <v>4.5999999999999996</v>
      </c>
      <c r="J1002" s="4">
        <f>AVERAGE(3.8, 6.3)</f>
        <v>5.05</v>
      </c>
      <c r="K1002" s="4" t="s">
        <v>537</v>
      </c>
      <c r="L1002" s="4" t="s">
        <v>2276</v>
      </c>
      <c r="M1002" s="4" t="s">
        <v>2276</v>
      </c>
      <c r="N1002" s="4" t="s">
        <v>2276</v>
      </c>
      <c r="O1002" s="4" t="s">
        <v>2276</v>
      </c>
      <c r="P1002" s="4" t="s">
        <v>2276</v>
      </c>
      <c r="Q1002" s="4" t="s">
        <v>2276</v>
      </c>
      <c r="R1002" s="4" t="s">
        <v>2276</v>
      </c>
      <c r="S1002" s="4" t="s">
        <v>2276</v>
      </c>
      <c r="T1002" s="4" t="s">
        <v>6356</v>
      </c>
    </row>
    <row r="1003" spans="1:20" ht="29">
      <c r="A1003" s="4" t="s">
        <v>6329</v>
      </c>
      <c r="B1003" s="4" t="s">
        <v>70</v>
      </c>
      <c r="C1003" s="4" t="s">
        <v>12</v>
      </c>
      <c r="D1003" s="4" t="s">
        <v>3855</v>
      </c>
      <c r="E1003" s="19" t="s">
        <v>397</v>
      </c>
      <c r="F1003" s="4" t="s">
        <v>2276</v>
      </c>
      <c r="G1003" s="4" t="s">
        <v>2276</v>
      </c>
      <c r="H1003" s="202">
        <f>3.8/I1003</f>
        <v>1.4074074074074072</v>
      </c>
      <c r="I1003" s="4">
        <v>2.7</v>
      </c>
      <c r="J1003" s="4" t="s">
        <v>2276</v>
      </c>
      <c r="K1003" s="4" t="s">
        <v>537</v>
      </c>
      <c r="L1003" s="4" t="s">
        <v>2276</v>
      </c>
      <c r="M1003" s="4" t="s">
        <v>2276</v>
      </c>
      <c r="N1003" s="4" t="s">
        <v>2276</v>
      </c>
      <c r="O1003" s="4" t="s">
        <v>2276</v>
      </c>
      <c r="P1003" s="4" t="s">
        <v>2276</v>
      </c>
      <c r="Q1003" s="4" t="s">
        <v>2276</v>
      </c>
      <c r="R1003" s="4" t="s">
        <v>2276</v>
      </c>
      <c r="S1003" s="4" t="s">
        <v>2276</v>
      </c>
      <c r="T1003" s="4" t="s">
        <v>6356</v>
      </c>
    </row>
    <row r="1004" spans="1:20" ht="29">
      <c r="A1004" s="4" t="s">
        <v>6330</v>
      </c>
      <c r="B1004" s="4" t="s">
        <v>70</v>
      </c>
      <c r="C1004" s="4" t="s">
        <v>12</v>
      </c>
      <c r="D1004" s="4" t="s">
        <v>3855</v>
      </c>
      <c r="E1004" s="19" t="s">
        <v>397</v>
      </c>
      <c r="F1004" s="4" t="s">
        <v>2276</v>
      </c>
      <c r="G1004" s="4" t="s">
        <v>2276</v>
      </c>
      <c r="H1004" s="202">
        <f>4.2/I1004</f>
        <v>1.7500000000000002</v>
      </c>
      <c r="I1004" s="4">
        <v>2.4</v>
      </c>
      <c r="J1004" s="4">
        <f>AVERAGE(4.3, 3.9)</f>
        <v>4.0999999999999996</v>
      </c>
      <c r="K1004" s="4" t="s">
        <v>537</v>
      </c>
      <c r="L1004" s="4" t="s">
        <v>2276</v>
      </c>
      <c r="M1004" s="4" t="s">
        <v>2276</v>
      </c>
      <c r="N1004" s="4" t="s">
        <v>2276</v>
      </c>
      <c r="O1004" s="4" t="s">
        <v>2276</v>
      </c>
      <c r="P1004" s="4" t="s">
        <v>2276</v>
      </c>
      <c r="Q1004" s="4" t="s">
        <v>2276</v>
      </c>
      <c r="R1004" s="4" t="s">
        <v>2276</v>
      </c>
      <c r="S1004" s="4" t="s">
        <v>2276</v>
      </c>
      <c r="T1004" s="4" t="s">
        <v>6356</v>
      </c>
    </row>
    <row r="1005" spans="1:20" ht="29">
      <c r="A1005" s="4" t="s">
        <v>6331</v>
      </c>
      <c r="B1005" s="4" t="s">
        <v>70</v>
      </c>
      <c r="C1005" s="4" t="s">
        <v>12</v>
      </c>
      <c r="D1005" s="4" t="s">
        <v>3855</v>
      </c>
      <c r="E1005" s="19" t="s">
        <v>397</v>
      </c>
      <c r="F1005" s="4" t="s">
        <v>2276</v>
      </c>
      <c r="G1005" s="4" t="s">
        <v>2276</v>
      </c>
      <c r="H1005" s="202">
        <f>3.7/I1005</f>
        <v>3.7</v>
      </c>
      <c r="I1005" s="4">
        <v>1</v>
      </c>
      <c r="J1005" s="4">
        <f>AVERAGE(3, 2.8)</f>
        <v>2.9</v>
      </c>
      <c r="K1005" s="4" t="s">
        <v>537</v>
      </c>
      <c r="L1005" s="4" t="s">
        <v>2276</v>
      </c>
      <c r="M1005" s="4" t="s">
        <v>2276</v>
      </c>
      <c r="N1005" s="4" t="s">
        <v>2276</v>
      </c>
      <c r="O1005" s="4" t="s">
        <v>2276</v>
      </c>
      <c r="P1005" s="4" t="s">
        <v>2276</v>
      </c>
      <c r="Q1005" s="4" t="s">
        <v>2276</v>
      </c>
      <c r="R1005" s="4" t="s">
        <v>2276</v>
      </c>
      <c r="S1005" s="4" t="s">
        <v>2276</v>
      </c>
      <c r="T1005" s="4" t="s">
        <v>6356</v>
      </c>
    </row>
    <row r="1006" spans="1:20" ht="29">
      <c r="A1006" s="4" t="s">
        <v>6332</v>
      </c>
      <c r="B1006" s="4" t="s">
        <v>70</v>
      </c>
      <c r="C1006" s="4" t="s">
        <v>12</v>
      </c>
      <c r="D1006" s="4" t="s">
        <v>3855</v>
      </c>
      <c r="E1006" s="19" t="s">
        <v>397</v>
      </c>
      <c r="F1006" s="4" t="s">
        <v>2276</v>
      </c>
      <c r="G1006" s="4" t="s">
        <v>2276</v>
      </c>
      <c r="H1006" s="202">
        <f>1.8/I1006</f>
        <v>1.0588235294117647</v>
      </c>
      <c r="I1006" s="4">
        <v>1.7</v>
      </c>
      <c r="J1006" s="4">
        <f>AVERAGE(2.8, 3.6)</f>
        <v>3.2</v>
      </c>
      <c r="K1006" s="4" t="s">
        <v>2276</v>
      </c>
      <c r="L1006" s="4" t="s">
        <v>2276</v>
      </c>
      <c r="M1006" s="4" t="s">
        <v>2276</v>
      </c>
      <c r="N1006" s="4" t="s">
        <v>2276</v>
      </c>
      <c r="O1006" s="4" t="s">
        <v>2276</v>
      </c>
      <c r="P1006" s="4" t="s">
        <v>2276</v>
      </c>
      <c r="Q1006" s="4" t="s">
        <v>2276</v>
      </c>
      <c r="R1006" s="4" t="s">
        <v>2276</v>
      </c>
      <c r="S1006" s="4" t="s">
        <v>2276</v>
      </c>
      <c r="T1006" s="4" t="s">
        <v>6356</v>
      </c>
    </row>
    <row r="1007" spans="1:20" ht="29">
      <c r="A1007" s="4" t="s">
        <v>6333</v>
      </c>
      <c r="B1007" s="4" t="s">
        <v>70</v>
      </c>
      <c r="C1007" s="4" t="s">
        <v>12</v>
      </c>
      <c r="D1007" s="19" t="s">
        <v>3854</v>
      </c>
      <c r="E1007" s="4" t="s">
        <v>2276</v>
      </c>
      <c r="F1007" s="4" t="s">
        <v>2276</v>
      </c>
      <c r="G1007" s="4" t="s">
        <v>2276</v>
      </c>
      <c r="H1007" s="202">
        <f>2.1/I1007</f>
        <v>1.9090909090909089</v>
      </c>
      <c r="I1007" s="4">
        <v>1.1000000000000001</v>
      </c>
      <c r="J1007" s="4">
        <f>AVERAGE(2.1, 3.6)</f>
        <v>2.85</v>
      </c>
      <c r="K1007" s="4" t="s">
        <v>2276</v>
      </c>
      <c r="L1007" s="4" t="s">
        <v>2276</v>
      </c>
      <c r="M1007" s="4" t="s">
        <v>2276</v>
      </c>
      <c r="N1007" s="4" t="s">
        <v>2276</v>
      </c>
      <c r="O1007" s="4" t="s">
        <v>2276</v>
      </c>
      <c r="P1007" s="4" t="s">
        <v>2276</v>
      </c>
      <c r="Q1007" s="4" t="s">
        <v>2276</v>
      </c>
      <c r="R1007" s="4" t="s">
        <v>2276</v>
      </c>
      <c r="S1007" s="4" t="s">
        <v>2276</v>
      </c>
      <c r="T1007" s="4" t="s">
        <v>6356</v>
      </c>
    </row>
    <row r="1008" spans="1:20" ht="29">
      <c r="A1008" s="4" t="s">
        <v>6334</v>
      </c>
      <c r="B1008" s="4" t="s">
        <v>70</v>
      </c>
      <c r="C1008" s="4" t="s">
        <v>12</v>
      </c>
      <c r="D1008" s="19" t="s">
        <v>3854</v>
      </c>
      <c r="E1008" s="4" t="s">
        <v>2276</v>
      </c>
      <c r="F1008" s="4" t="s">
        <v>2276</v>
      </c>
      <c r="G1008" s="4" t="s">
        <v>2276</v>
      </c>
      <c r="H1008" s="202">
        <f>1.5/I1008</f>
        <v>0.83333333333333326</v>
      </c>
      <c r="I1008" s="4">
        <v>1.8</v>
      </c>
      <c r="J1008" s="4">
        <f>AVERAGE(2.6, 2.9)</f>
        <v>2.75</v>
      </c>
      <c r="K1008" s="4" t="s">
        <v>2276</v>
      </c>
      <c r="L1008" s="4" t="s">
        <v>2276</v>
      </c>
      <c r="M1008" s="4" t="s">
        <v>2276</v>
      </c>
      <c r="N1008" s="4" t="s">
        <v>2276</v>
      </c>
      <c r="O1008" s="4" t="s">
        <v>2276</v>
      </c>
      <c r="P1008" s="4" t="s">
        <v>2276</v>
      </c>
      <c r="Q1008" s="4" t="s">
        <v>2276</v>
      </c>
      <c r="R1008" s="4" t="s">
        <v>2276</v>
      </c>
      <c r="S1008" s="4" t="s">
        <v>2276</v>
      </c>
      <c r="T1008" s="4" t="s">
        <v>6356</v>
      </c>
    </row>
    <row r="1009" spans="1:20" ht="29">
      <c r="A1009" s="4" t="s">
        <v>6335</v>
      </c>
      <c r="B1009" s="4" t="s">
        <v>70</v>
      </c>
      <c r="C1009" s="4" t="s">
        <v>12</v>
      </c>
      <c r="D1009" s="19" t="s">
        <v>3854</v>
      </c>
      <c r="E1009" s="4" t="s">
        <v>2276</v>
      </c>
      <c r="F1009" s="4" t="s">
        <v>2276</v>
      </c>
      <c r="G1009" s="4" t="s">
        <v>2276</v>
      </c>
      <c r="H1009" s="202">
        <v>1</v>
      </c>
      <c r="I1009" s="4">
        <v>1</v>
      </c>
      <c r="J1009" s="4">
        <f>AVERAGE(3, 1.1)</f>
        <v>2.0499999999999998</v>
      </c>
      <c r="K1009" s="4" t="s">
        <v>2276</v>
      </c>
      <c r="L1009" s="4" t="s">
        <v>2276</v>
      </c>
      <c r="M1009" s="4" t="s">
        <v>2276</v>
      </c>
      <c r="N1009" s="4" t="s">
        <v>2276</v>
      </c>
      <c r="O1009" s="4" t="s">
        <v>2276</v>
      </c>
      <c r="P1009" s="4" t="s">
        <v>2276</v>
      </c>
      <c r="Q1009" s="4" t="s">
        <v>2276</v>
      </c>
      <c r="R1009" s="4" t="s">
        <v>2276</v>
      </c>
      <c r="S1009" s="4" t="s">
        <v>2276</v>
      </c>
      <c r="T1009" s="4" t="s">
        <v>6356</v>
      </c>
    </row>
    <row r="1010" spans="1:20" ht="29">
      <c r="A1010" s="4" t="s">
        <v>6336</v>
      </c>
      <c r="B1010" s="4" t="s">
        <v>70</v>
      </c>
      <c r="C1010" s="4" t="s">
        <v>12</v>
      </c>
      <c r="D1010" s="19" t="s">
        <v>3854</v>
      </c>
      <c r="E1010" s="4" t="s">
        <v>2276</v>
      </c>
      <c r="F1010" s="4" t="s">
        <v>2276</v>
      </c>
      <c r="G1010" s="4" t="s">
        <v>2276</v>
      </c>
      <c r="H1010" s="202">
        <f>2.8/I1010</f>
        <v>4.666666666666667</v>
      </c>
      <c r="I1010" s="4">
        <v>0.6</v>
      </c>
      <c r="J1010" s="4">
        <f>AVERAGE(3.9)</f>
        <v>3.9</v>
      </c>
      <c r="K1010" s="4" t="s">
        <v>2276</v>
      </c>
      <c r="L1010" s="4" t="s">
        <v>2276</v>
      </c>
      <c r="M1010" s="4" t="s">
        <v>2276</v>
      </c>
      <c r="N1010" s="4" t="s">
        <v>2276</v>
      </c>
      <c r="O1010" s="4" t="s">
        <v>2276</v>
      </c>
      <c r="P1010" s="4" t="s">
        <v>2276</v>
      </c>
      <c r="Q1010" s="4" t="s">
        <v>2276</v>
      </c>
      <c r="R1010" s="4" t="s">
        <v>2276</v>
      </c>
      <c r="S1010" s="4" t="s">
        <v>2276</v>
      </c>
      <c r="T1010" s="4" t="s">
        <v>6356</v>
      </c>
    </row>
    <row r="1011" spans="1:20" ht="29">
      <c r="A1011" s="4" t="s">
        <v>6337</v>
      </c>
      <c r="B1011" s="4" t="s">
        <v>70</v>
      </c>
      <c r="C1011" s="4" t="s">
        <v>12</v>
      </c>
      <c r="D1011" s="19" t="s">
        <v>3854</v>
      </c>
      <c r="E1011" s="4" t="s">
        <v>2276</v>
      </c>
      <c r="F1011" s="4" t="s">
        <v>2276</v>
      </c>
      <c r="G1011" s="4" t="s">
        <v>2276</v>
      </c>
      <c r="H1011" s="202">
        <f>1.7/I1011</f>
        <v>2.125</v>
      </c>
      <c r="I1011" s="4">
        <v>0.8</v>
      </c>
      <c r="J1011" s="4">
        <f>AVERAGE(4.4)</f>
        <v>4.4000000000000004</v>
      </c>
      <c r="K1011" s="4" t="s">
        <v>2276</v>
      </c>
      <c r="L1011" s="4" t="s">
        <v>2276</v>
      </c>
      <c r="M1011" s="4" t="s">
        <v>2276</v>
      </c>
      <c r="N1011" s="4" t="s">
        <v>2276</v>
      </c>
      <c r="O1011" s="4" t="s">
        <v>2276</v>
      </c>
      <c r="P1011" s="4" t="s">
        <v>2276</v>
      </c>
      <c r="Q1011" s="4" t="s">
        <v>2276</v>
      </c>
      <c r="R1011" s="4" t="s">
        <v>2276</v>
      </c>
      <c r="S1011" s="4" t="s">
        <v>2276</v>
      </c>
      <c r="T1011" s="4" t="s">
        <v>6356</v>
      </c>
    </row>
    <row r="1012" spans="1:20" ht="29">
      <c r="A1012" s="4" t="s">
        <v>6338</v>
      </c>
      <c r="B1012" s="4" t="s">
        <v>70</v>
      </c>
      <c r="C1012" s="4" t="s">
        <v>12</v>
      </c>
      <c r="D1012" s="19" t="s">
        <v>3854</v>
      </c>
      <c r="E1012" s="4" t="s">
        <v>2276</v>
      </c>
      <c r="F1012" s="4" t="s">
        <v>2276</v>
      </c>
      <c r="G1012" s="4" t="s">
        <v>2276</v>
      </c>
      <c r="H1012" s="202">
        <f>3.8/I1012</f>
        <v>9.4999999999999982</v>
      </c>
      <c r="I1012" s="4">
        <v>0.4</v>
      </c>
      <c r="J1012" s="4">
        <f>AVERAGE(4.8)</f>
        <v>4.8</v>
      </c>
      <c r="K1012" s="4" t="s">
        <v>2276</v>
      </c>
      <c r="L1012" s="4" t="s">
        <v>2276</v>
      </c>
      <c r="M1012" s="4" t="s">
        <v>2276</v>
      </c>
      <c r="N1012" s="4" t="s">
        <v>2276</v>
      </c>
      <c r="O1012" s="4" t="s">
        <v>2276</v>
      </c>
      <c r="P1012" s="4" t="s">
        <v>2276</v>
      </c>
      <c r="Q1012" s="4" t="s">
        <v>2276</v>
      </c>
      <c r="R1012" s="4" t="s">
        <v>2276</v>
      </c>
      <c r="S1012" s="4" t="s">
        <v>2276</v>
      </c>
      <c r="T1012" s="4" t="s">
        <v>6356</v>
      </c>
    </row>
    <row r="1013" spans="1:20" ht="58">
      <c r="A1013" s="4" t="s">
        <v>6339</v>
      </c>
      <c r="B1013" s="4" t="s">
        <v>32</v>
      </c>
      <c r="C1013" s="4" t="s">
        <v>12</v>
      </c>
      <c r="D1013" s="4" t="s">
        <v>130</v>
      </c>
      <c r="E1013" s="4" t="s">
        <v>396</v>
      </c>
      <c r="F1013" s="4" t="s">
        <v>397</v>
      </c>
      <c r="G1013" s="4" t="s">
        <v>2276</v>
      </c>
      <c r="H1013" s="4" t="s">
        <v>2276</v>
      </c>
      <c r="I1013" s="4" t="s">
        <v>2276</v>
      </c>
      <c r="J1013" s="4" t="s">
        <v>2276</v>
      </c>
      <c r="K1013" s="4" t="s">
        <v>2276</v>
      </c>
      <c r="L1013" s="4" t="s">
        <v>2276</v>
      </c>
      <c r="M1013" s="4" t="s">
        <v>2276</v>
      </c>
      <c r="N1013" s="4" t="s">
        <v>2276</v>
      </c>
      <c r="O1013" s="4" t="s">
        <v>2276</v>
      </c>
      <c r="P1013" s="4" t="s">
        <v>2276</v>
      </c>
      <c r="Q1013" s="4" t="s">
        <v>2276</v>
      </c>
      <c r="R1013" s="4" t="s">
        <v>2276</v>
      </c>
      <c r="S1013" s="4" t="s">
        <v>2276</v>
      </c>
      <c r="T1013" s="4" t="s">
        <v>6357</v>
      </c>
    </row>
    <row r="1014" spans="1:20" ht="29">
      <c r="A1014" s="4" t="s">
        <v>6340</v>
      </c>
      <c r="B1014" s="4" t="s">
        <v>2276</v>
      </c>
      <c r="C1014" s="4" t="s">
        <v>12</v>
      </c>
      <c r="D1014" s="4" t="s">
        <v>396</v>
      </c>
      <c r="E1014" s="4" t="s">
        <v>397</v>
      </c>
      <c r="F1014" s="4" t="s">
        <v>2276</v>
      </c>
      <c r="G1014" s="4" t="s">
        <v>2276</v>
      </c>
      <c r="H1014" s="4" t="s">
        <v>2276</v>
      </c>
      <c r="I1014" s="4" t="s">
        <v>2276</v>
      </c>
      <c r="J1014" s="4" t="s">
        <v>2276</v>
      </c>
      <c r="K1014" s="4" t="s">
        <v>2276</v>
      </c>
      <c r="L1014" s="4" t="s">
        <v>2276</v>
      </c>
      <c r="M1014" s="4" t="s">
        <v>2276</v>
      </c>
      <c r="N1014" s="4" t="s">
        <v>2276</v>
      </c>
      <c r="O1014" s="4" t="s">
        <v>2276</v>
      </c>
      <c r="P1014" s="4" t="s">
        <v>2276</v>
      </c>
      <c r="Q1014" s="4" t="s">
        <v>2276</v>
      </c>
      <c r="R1014" s="4" t="s">
        <v>2276</v>
      </c>
      <c r="S1014" s="4" t="s">
        <v>2276</v>
      </c>
      <c r="T1014" s="4"/>
    </row>
    <row r="1015" spans="1:20" ht="29">
      <c r="A1015" s="4" t="s">
        <v>6504</v>
      </c>
      <c r="B1015" s="4" t="s">
        <v>2276</v>
      </c>
      <c r="C1015" s="4" t="s">
        <v>12</v>
      </c>
      <c r="D1015" s="4" t="s">
        <v>396</v>
      </c>
      <c r="E1015" s="4" t="s">
        <v>397</v>
      </c>
      <c r="F1015" s="4" t="s">
        <v>2276</v>
      </c>
      <c r="G1015" s="4" t="s">
        <v>2276</v>
      </c>
      <c r="H1015" s="4" t="s">
        <v>2276</v>
      </c>
      <c r="I1015" s="4" t="s">
        <v>2276</v>
      </c>
      <c r="J1015" s="4" t="s">
        <v>2276</v>
      </c>
      <c r="K1015" s="4" t="s">
        <v>2276</v>
      </c>
      <c r="L1015" s="4" t="s">
        <v>2276</v>
      </c>
      <c r="M1015" s="4" t="s">
        <v>2276</v>
      </c>
      <c r="N1015" s="4" t="s">
        <v>2276</v>
      </c>
      <c r="O1015" s="4" t="s">
        <v>2276</v>
      </c>
      <c r="P1015" s="4" t="s">
        <v>2276</v>
      </c>
      <c r="Q1015" s="4" t="s">
        <v>2276</v>
      </c>
      <c r="R1015" s="4" t="s">
        <v>2276</v>
      </c>
      <c r="S1015" s="4" t="s">
        <v>2276</v>
      </c>
      <c r="T1015" s="4"/>
    </row>
    <row r="1016" spans="1:20" ht="29">
      <c r="A1016" s="4" t="s">
        <v>6341</v>
      </c>
      <c r="B1016" s="4" t="s">
        <v>2276</v>
      </c>
      <c r="C1016" s="4" t="s">
        <v>12</v>
      </c>
      <c r="D1016" s="4" t="s">
        <v>396</v>
      </c>
      <c r="E1016" s="4" t="s">
        <v>397</v>
      </c>
      <c r="F1016" s="4" t="s">
        <v>2276</v>
      </c>
      <c r="G1016" s="4" t="s">
        <v>2276</v>
      </c>
      <c r="H1016" s="4" t="s">
        <v>2276</v>
      </c>
      <c r="I1016" s="4" t="s">
        <v>2276</v>
      </c>
      <c r="J1016" s="4" t="s">
        <v>2276</v>
      </c>
      <c r="K1016" s="4" t="s">
        <v>2276</v>
      </c>
      <c r="L1016" s="4" t="s">
        <v>2276</v>
      </c>
      <c r="M1016" s="4" t="s">
        <v>2276</v>
      </c>
      <c r="N1016" s="4" t="s">
        <v>2276</v>
      </c>
      <c r="O1016" s="4" t="s">
        <v>2276</v>
      </c>
      <c r="P1016" s="4" t="s">
        <v>2276</v>
      </c>
      <c r="Q1016" s="4" t="s">
        <v>2276</v>
      </c>
      <c r="R1016" s="4" t="s">
        <v>2276</v>
      </c>
      <c r="S1016" s="4" t="s">
        <v>2276</v>
      </c>
      <c r="T1016" s="4"/>
    </row>
    <row r="1017" spans="1:20" ht="29">
      <c r="A1017" s="4" t="s">
        <v>6342</v>
      </c>
      <c r="B1017" s="4" t="s">
        <v>2276</v>
      </c>
      <c r="C1017" s="4" t="s">
        <v>12</v>
      </c>
      <c r="D1017" s="4" t="s">
        <v>396</v>
      </c>
      <c r="E1017" s="4" t="s">
        <v>397</v>
      </c>
      <c r="F1017" s="4" t="s">
        <v>2276</v>
      </c>
      <c r="G1017" s="4" t="s">
        <v>2276</v>
      </c>
      <c r="H1017" s="4" t="s">
        <v>2276</v>
      </c>
      <c r="I1017" s="4" t="s">
        <v>2276</v>
      </c>
      <c r="J1017" s="4" t="s">
        <v>2276</v>
      </c>
      <c r="K1017" s="4" t="s">
        <v>2276</v>
      </c>
      <c r="L1017" s="4" t="s">
        <v>2276</v>
      </c>
      <c r="M1017" s="4" t="s">
        <v>2276</v>
      </c>
      <c r="N1017" s="4" t="s">
        <v>2276</v>
      </c>
      <c r="O1017" s="4" t="s">
        <v>2276</v>
      </c>
      <c r="P1017" s="4" t="s">
        <v>2276</v>
      </c>
      <c r="Q1017" s="4" t="s">
        <v>2276</v>
      </c>
      <c r="R1017" s="4" t="s">
        <v>2276</v>
      </c>
      <c r="S1017" s="4" t="s">
        <v>2276</v>
      </c>
      <c r="T1017" s="4"/>
    </row>
    <row r="1018" spans="1:20" ht="29">
      <c r="A1018" s="4" t="s">
        <v>6343</v>
      </c>
      <c r="B1018" s="4" t="s">
        <v>2276</v>
      </c>
      <c r="C1018" s="4" t="s">
        <v>12</v>
      </c>
      <c r="D1018" s="4" t="s">
        <v>396</v>
      </c>
      <c r="E1018" s="4" t="s">
        <v>397</v>
      </c>
      <c r="F1018" s="4" t="s">
        <v>2276</v>
      </c>
      <c r="G1018" s="4" t="s">
        <v>2276</v>
      </c>
      <c r="H1018" s="4" t="s">
        <v>2276</v>
      </c>
      <c r="I1018" s="4" t="s">
        <v>2276</v>
      </c>
      <c r="J1018" s="4" t="s">
        <v>2276</v>
      </c>
      <c r="K1018" s="4" t="s">
        <v>2276</v>
      </c>
      <c r="L1018" s="4" t="s">
        <v>2276</v>
      </c>
      <c r="M1018" s="4" t="s">
        <v>2276</v>
      </c>
      <c r="N1018" s="4" t="s">
        <v>2276</v>
      </c>
      <c r="O1018" s="4" t="s">
        <v>2276</v>
      </c>
      <c r="P1018" s="4" t="s">
        <v>2276</v>
      </c>
      <c r="Q1018" s="4" t="s">
        <v>2276</v>
      </c>
      <c r="R1018" s="4" t="s">
        <v>2276</v>
      </c>
      <c r="S1018" s="4" t="s">
        <v>2276</v>
      </c>
      <c r="T1018" s="4"/>
    </row>
    <row r="1019" spans="1:20" ht="29">
      <c r="A1019" s="4" t="s">
        <v>6344</v>
      </c>
      <c r="B1019" s="4" t="s">
        <v>2276</v>
      </c>
      <c r="C1019" s="4" t="s">
        <v>12</v>
      </c>
      <c r="D1019" s="4" t="s">
        <v>396</v>
      </c>
      <c r="E1019" s="4" t="s">
        <v>397</v>
      </c>
      <c r="F1019" s="4" t="s">
        <v>2276</v>
      </c>
      <c r="G1019" s="4" t="s">
        <v>2276</v>
      </c>
      <c r="H1019" s="4" t="s">
        <v>2276</v>
      </c>
      <c r="I1019" s="4" t="s">
        <v>2276</v>
      </c>
      <c r="J1019" s="4" t="s">
        <v>2276</v>
      </c>
      <c r="K1019" s="4" t="s">
        <v>2276</v>
      </c>
      <c r="L1019" s="4" t="s">
        <v>2276</v>
      </c>
      <c r="M1019" s="4" t="s">
        <v>2276</v>
      </c>
      <c r="N1019" s="4" t="s">
        <v>2276</v>
      </c>
      <c r="O1019" s="4" t="s">
        <v>2276</v>
      </c>
      <c r="P1019" s="4" t="s">
        <v>2276</v>
      </c>
      <c r="Q1019" s="4" t="s">
        <v>2276</v>
      </c>
      <c r="R1019" s="4" t="s">
        <v>2276</v>
      </c>
      <c r="S1019" s="4" t="s">
        <v>2276</v>
      </c>
      <c r="T1019" s="4"/>
    </row>
    <row r="1020" spans="1:20" ht="29">
      <c r="A1020" s="4" t="s">
        <v>8401</v>
      </c>
      <c r="B1020" s="4" t="s">
        <v>2276</v>
      </c>
      <c r="C1020" s="4" t="s">
        <v>12</v>
      </c>
      <c r="D1020" s="4" t="s">
        <v>3855</v>
      </c>
      <c r="E1020" s="4" t="s">
        <v>397</v>
      </c>
      <c r="F1020" s="4" t="s">
        <v>2276</v>
      </c>
      <c r="G1020" s="4" t="s">
        <v>2276</v>
      </c>
      <c r="H1020" s="75">
        <f>9/I1020</f>
        <v>1.8532894858769045</v>
      </c>
      <c r="I1020" s="202">
        <v>4.85623</v>
      </c>
      <c r="J1020" s="4"/>
      <c r="K1020" s="4" t="s">
        <v>2276</v>
      </c>
      <c r="L1020" s="4" t="s">
        <v>2276</v>
      </c>
      <c r="M1020" s="4" t="s">
        <v>2276</v>
      </c>
      <c r="N1020" s="4" t="s">
        <v>2276</v>
      </c>
      <c r="O1020" s="4" t="s">
        <v>2276</v>
      </c>
      <c r="P1020" s="4" t="s">
        <v>2276</v>
      </c>
      <c r="Q1020" s="4" t="s">
        <v>2276</v>
      </c>
      <c r="R1020" s="4" t="s">
        <v>2276</v>
      </c>
      <c r="S1020" s="4" t="s">
        <v>2276</v>
      </c>
      <c r="T1020" s="4" t="s">
        <v>6358</v>
      </c>
    </row>
    <row r="1021" spans="1:20" ht="50" customHeight="1">
      <c r="A1021" s="4" t="s">
        <v>8402</v>
      </c>
      <c r="B1021" s="4" t="s">
        <v>2276</v>
      </c>
      <c r="C1021" s="4" t="s">
        <v>12</v>
      </c>
      <c r="D1021" s="4" t="s">
        <v>3855</v>
      </c>
      <c r="E1021" s="4" t="s">
        <v>397</v>
      </c>
      <c r="F1021" s="4" t="s">
        <v>2276</v>
      </c>
      <c r="G1021" s="4" t="s">
        <v>2276</v>
      </c>
      <c r="H1021" s="75">
        <f>9/I1021</f>
        <v>1.8532894858769045</v>
      </c>
      <c r="I1021" s="202">
        <v>4.85623</v>
      </c>
      <c r="J1021" s="4"/>
      <c r="K1021" s="4" t="s">
        <v>2276</v>
      </c>
      <c r="L1021" s="4" t="s">
        <v>2276</v>
      </c>
      <c r="M1021" s="4" t="s">
        <v>2276</v>
      </c>
      <c r="N1021" s="4" t="s">
        <v>2276</v>
      </c>
      <c r="O1021" s="4" t="s">
        <v>2276</v>
      </c>
      <c r="P1021" s="4" t="s">
        <v>2276</v>
      </c>
      <c r="Q1021" s="4" t="s">
        <v>2276</v>
      </c>
      <c r="R1021" s="4" t="s">
        <v>2276</v>
      </c>
      <c r="S1021" s="4" t="s">
        <v>2276</v>
      </c>
      <c r="T1021" s="4" t="s">
        <v>6358</v>
      </c>
    </row>
    <row r="1022" spans="1:20" ht="57" customHeight="1">
      <c r="A1022" s="4" t="s">
        <v>6345</v>
      </c>
      <c r="B1022" s="4" t="s">
        <v>70</v>
      </c>
      <c r="C1022" s="4" t="s">
        <v>12</v>
      </c>
      <c r="D1022" s="19" t="s">
        <v>3854</v>
      </c>
      <c r="E1022" s="4" t="s">
        <v>397</v>
      </c>
      <c r="F1022" s="4" t="s">
        <v>2276</v>
      </c>
      <c r="G1022" s="4" t="s">
        <v>2276</v>
      </c>
      <c r="H1022" s="4" t="s">
        <v>2276</v>
      </c>
      <c r="I1022" s="75">
        <f>(6*15+13*15+19*3.5+14*0.75)/SUM(6, 13, 19, 14)</f>
        <v>6.9615384615384617</v>
      </c>
      <c r="J1022" s="4">
        <v>1</v>
      </c>
      <c r="K1022" s="4" t="s">
        <v>2276</v>
      </c>
      <c r="L1022" s="4" t="s">
        <v>2276</v>
      </c>
      <c r="M1022" s="4" t="s">
        <v>2276</v>
      </c>
      <c r="N1022" s="4" t="s">
        <v>2276</v>
      </c>
      <c r="O1022" s="4" t="s">
        <v>2276</v>
      </c>
      <c r="P1022" s="4" t="s">
        <v>2276</v>
      </c>
      <c r="Q1022" s="4" t="s">
        <v>2276</v>
      </c>
      <c r="R1022" s="4" t="s">
        <v>2276</v>
      </c>
      <c r="S1022" s="4" t="s">
        <v>2276</v>
      </c>
      <c r="T1022" s="4" t="s">
        <v>6359</v>
      </c>
    </row>
    <row r="1023" spans="1:20" ht="57" customHeight="1">
      <c r="A1023" s="4" t="s">
        <v>6346</v>
      </c>
      <c r="B1023" s="4" t="s">
        <v>70</v>
      </c>
      <c r="C1023" s="4" t="s">
        <v>12</v>
      </c>
      <c r="D1023" s="4" t="s">
        <v>3854</v>
      </c>
      <c r="E1023" s="4" t="s">
        <v>397</v>
      </c>
      <c r="F1023" s="4" t="s">
        <v>2276</v>
      </c>
      <c r="G1023" s="4" t="s">
        <v>2276</v>
      </c>
      <c r="H1023" s="4" t="s">
        <v>2276</v>
      </c>
      <c r="I1023" s="4" t="s">
        <v>2276</v>
      </c>
      <c r="J1023" s="4">
        <v>0.6</v>
      </c>
      <c r="K1023" s="4" t="s">
        <v>2276</v>
      </c>
      <c r="L1023" s="4" t="s">
        <v>2276</v>
      </c>
      <c r="M1023" s="4" t="s">
        <v>2276</v>
      </c>
      <c r="N1023" s="4" t="s">
        <v>2276</v>
      </c>
      <c r="O1023" s="4" t="s">
        <v>2276</v>
      </c>
      <c r="P1023" s="4" t="s">
        <v>2276</v>
      </c>
      <c r="Q1023" s="4" t="s">
        <v>2276</v>
      </c>
      <c r="R1023" s="4" t="s">
        <v>2276</v>
      </c>
      <c r="S1023" s="4" t="s">
        <v>2276</v>
      </c>
      <c r="T1023" s="4" t="s">
        <v>6360</v>
      </c>
    </row>
    <row r="1024" spans="1:20" ht="57" customHeight="1">
      <c r="A1024" s="4" t="s">
        <v>6347</v>
      </c>
      <c r="B1024" s="4" t="s">
        <v>70</v>
      </c>
      <c r="C1024" s="4" t="s">
        <v>12</v>
      </c>
      <c r="D1024" s="4" t="s">
        <v>397</v>
      </c>
      <c r="E1024" s="4" t="s">
        <v>2276</v>
      </c>
      <c r="F1024" s="4" t="s">
        <v>2276</v>
      </c>
      <c r="G1024" s="4" t="s">
        <v>2276</v>
      </c>
      <c r="H1024" s="4" t="s">
        <v>2276</v>
      </c>
      <c r="I1024" s="75">
        <f>(5*10+33*0.75+5*0.25)/SUM(5, 33, 5)</f>
        <v>1.7674418604651163</v>
      </c>
      <c r="J1024" s="4">
        <v>0.3</v>
      </c>
      <c r="K1024" s="4" t="s">
        <v>2276</v>
      </c>
      <c r="L1024" s="4" t="s">
        <v>2276</v>
      </c>
      <c r="M1024" s="4" t="s">
        <v>2276</v>
      </c>
      <c r="N1024" s="4" t="s">
        <v>2276</v>
      </c>
      <c r="O1024" s="4" t="s">
        <v>2276</v>
      </c>
      <c r="P1024" s="4" t="s">
        <v>2276</v>
      </c>
      <c r="Q1024" s="4" t="s">
        <v>2276</v>
      </c>
      <c r="R1024" s="4" t="s">
        <v>2276</v>
      </c>
      <c r="S1024" s="4" t="s">
        <v>2276</v>
      </c>
      <c r="T1024" s="4" t="s">
        <v>6360</v>
      </c>
    </row>
    <row r="1025" spans="1:20" ht="29">
      <c r="A1025" s="4" t="s">
        <v>6348</v>
      </c>
      <c r="B1025" s="4" t="s">
        <v>2276</v>
      </c>
      <c r="C1025" s="4" t="s">
        <v>12</v>
      </c>
      <c r="D1025" s="4" t="s">
        <v>3855</v>
      </c>
      <c r="E1025" s="4" t="s">
        <v>2276</v>
      </c>
      <c r="F1025" s="4" t="s">
        <v>2276</v>
      </c>
      <c r="G1025" s="4" t="s">
        <v>2276</v>
      </c>
      <c r="H1025" s="75"/>
      <c r="I1025" s="4">
        <v>0.65</v>
      </c>
      <c r="J1025" s="4">
        <v>6.1</v>
      </c>
      <c r="K1025" s="4" t="s">
        <v>2276</v>
      </c>
      <c r="L1025" s="4" t="s">
        <v>2276</v>
      </c>
      <c r="M1025" s="4" t="s">
        <v>2276</v>
      </c>
      <c r="N1025" s="4" t="s">
        <v>2276</v>
      </c>
      <c r="O1025" s="4" t="s">
        <v>2276</v>
      </c>
      <c r="P1025" s="4" t="s">
        <v>2276</v>
      </c>
      <c r="Q1025" s="4" t="s">
        <v>2276</v>
      </c>
      <c r="R1025" s="4" t="s">
        <v>2276</v>
      </c>
      <c r="S1025" s="4" t="s">
        <v>2276</v>
      </c>
      <c r="T1025" s="4" t="s">
        <v>6361</v>
      </c>
    </row>
    <row r="1026" spans="1:20" ht="29">
      <c r="A1026" s="4" t="s">
        <v>6349</v>
      </c>
      <c r="B1026" s="4" t="s">
        <v>2276</v>
      </c>
      <c r="C1026" s="4" t="s">
        <v>12</v>
      </c>
      <c r="D1026" s="4" t="s">
        <v>3855</v>
      </c>
      <c r="E1026" s="4" t="s">
        <v>2276</v>
      </c>
      <c r="F1026" s="4" t="s">
        <v>2276</v>
      </c>
      <c r="G1026" s="4" t="s">
        <v>2276</v>
      </c>
      <c r="H1026" s="75"/>
      <c r="I1026" s="4">
        <v>0.65</v>
      </c>
      <c r="J1026" s="4">
        <v>5.6</v>
      </c>
      <c r="K1026" s="4" t="s">
        <v>2276</v>
      </c>
      <c r="L1026" s="4" t="s">
        <v>2276</v>
      </c>
      <c r="M1026" s="4" t="s">
        <v>2276</v>
      </c>
      <c r="N1026" s="4" t="s">
        <v>2276</v>
      </c>
      <c r="O1026" s="4" t="s">
        <v>2276</v>
      </c>
      <c r="P1026" s="4" t="s">
        <v>2276</v>
      </c>
      <c r="Q1026" s="4" t="s">
        <v>2276</v>
      </c>
      <c r="R1026" s="4" t="s">
        <v>2276</v>
      </c>
      <c r="S1026" s="4" t="s">
        <v>2276</v>
      </c>
      <c r="T1026" s="4" t="s">
        <v>6362</v>
      </c>
    </row>
    <row r="1027" spans="1:20" ht="29">
      <c r="A1027" s="4" t="s">
        <v>6350</v>
      </c>
      <c r="B1027" s="4" t="s">
        <v>2276</v>
      </c>
      <c r="C1027" s="4" t="s">
        <v>12</v>
      </c>
      <c r="D1027" s="4" t="s">
        <v>3854</v>
      </c>
      <c r="E1027" s="4" t="s">
        <v>2276</v>
      </c>
      <c r="F1027" s="4" t="s">
        <v>2276</v>
      </c>
      <c r="G1027" s="4" t="s">
        <v>2276</v>
      </c>
      <c r="H1027" s="75"/>
      <c r="I1027" s="4">
        <v>0.65</v>
      </c>
      <c r="J1027" s="4">
        <v>5</v>
      </c>
      <c r="K1027" s="4" t="s">
        <v>2276</v>
      </c>
      <c r="L1027" s="4" t="s">
        <v>2276</v>
      </c>
      <c r="M1027" s="4" t="s">
        <v>2276</v>
      </c>
      <c r="N1027" s="4" t="s">
        <v>2276</v>
      </c>
      <c r="O1027" s="4" t="s">
        <v>2276</v>
      </c>
      <c r="P1027" s="4" t="s">
        <v>2276</v>
      </c>
      <c r="Q1027" s="4" t="s">
        <v>2276</v>
      </c>
      <c r="R1027" s="4" t="s">
        <v>2276</v>
      </c>
      <c r="S1027" s="4" t="s">
        <v>2276</v>
      </c>
      <c r="T1027" s="4" t="s">
        <v>6363</v>
      </c>
    </row>
    <row r="1028" spans="1:20" ht="32" customHeight="1">
      <c r="A1028" s="4" t="s">
        <v>5439</v>
      </c>
      <c r="B1028" s="58"/>
      <c r="C1028" s="58"/>
      <c r="D1028" s="58"/>
      <c r="E1028" s="58"/>
      <c r="F1028" s="58"/>
      <c r="G1028" s="58"/>
      <c r="H1028" s="228"/>
      <c r="I1028" s="58"/>
      <c r="J1028" s="58"/>
      <c r="K1028" s="58"/>
      <c r="L1028" s="58"/>
      <c r="M1028" s="58"/>
      <c r="N1028" s="58"/>
      <c r="O1028" s="58"/>
      <c r="P1028" s="228"/>
      <c r="Q1028" s="58"/>
      <c r="R1028" s="58"/>
      <c r="S1028" s="58"/>
      <c r="T1028" s="58"/>
    </row>
    <row r="1029" spans="1:20" ht="32" customHeight="1">
      <c r="A1029" s="4" t="s">
        <v>6351</v>
      </c>
      <c r="B1029" s="4" t="s">
        <v>2276</v>
      </c>
      <c r="C1029" s="4" t="s">
        <v>12</v>
      </c>
      <c r="D1029" s="4" t="s">
        <v>397</v>
      </c>
      <c r="E1029" s="4" t="s">
        <v>2276</v>
      </c>
      <c r="F1029" s="4" t="s">
        <v>2276</v>
      </c>
      <c r="G1029" s="4" t="s">
        <v>2276</v>
      </c>
      <c r="H1029" s="4" t="s">
        <v>2276</v>
      </c>
      <c r="I1029" s="4" t="s">
        <v>2276</v>
      </c>
      <c r="J1029" s="4" t="s">
        <v>2276</v>
      </c>
      <c r="K1029" s="4" t="s">
        <v>2276</v>
      </c>
      <c r="L1029" s="4" t="s">
        <v>2276</v>
      </c>
      <c r="M1029" s="4" t="s">
        <v>2276</v>
      </c>
      <c r="N1029" s="4" t="s">
        <v>2276</v>
      </c>
      <c r="O1029" s="4" t="s">
        <v>2276</v>
      </c>
      <c r="P1029" s="4" t="s">
        <v>2276</v>
      </c>
      <c r="Q1029" s="4" t="s">
        <v>2276</v>
      </c>
      <c r="R1029" s="4" t="s">
        <v>2276</v>
      </c>
      <c r="S1029" s="4" t="s">
        <v>2276</v>
      </c>
      <c r="T1029" s="4"/>
    </row>
    <row r="1030" spans="1:20" ht="32" customHeight="1">
      <c r="A1030" s="4" t="s">
        <v>6352</v>
      </c>
      <c r="B1030" s="4" t="s">
        <v>32</v>
      </c>
      <c r="C1030" s="4" t="s">
        <v>2645</v>
      </c>
      <c r="D1030" s="4" t="s">
        <v>396</v>
      </c>
      <c r="E1030" s="11" t="s">
        <v>45</v>
      </c>
      <c r="F1030" s="4" t="s">
        <v>2276</v>
      </c>
      <c r="G1030" s="4" t="s">
        <v>2276</v>
      </c>
      <c r="H1030" s="4">
        <f>7/100</f>
        <v>7.0000000000000007E-2</v>
      </c>
      <c r="I1030" s="4">
        <v>1300</v>
      </c>
      <c r="J1030" s="4" t="s">
        <v>2276</v>
      </c>
      <c r="K1030" s="4" t="s">
        <v>2276</v>
      </c>
      <c r="L1030" s="4" t="s">
        <v>2276</v>
      </c>
      <c r="M1030" s="4" t="s">
        <v>2276</v>
      </c>
      <c r="N1030" s="4" t="s">
        <v>2276</v>
      </c>
      <c r="O1030" s="4" t="s">
        <v>2276</v>
      </c>
      <c r="P1030" s="4" t="s">
        <v>2276</v>
      </c>
      <c r="Q1030" s="4" t="s">
        <v>2276</v>
      </c>
      <c r="R1030" s="4" t="s">
        <v>2276</v>
      </c>
      <c r="S1030" s="4" t="s">
        <v>2276</v>
      </c>
      <c r="T1030" s="4" t="s">
        <v>8413</v>
      </c>
    </row>
    <row r="1031" spans="1:20" ht="32" customHeight="1">
      <c r="A1031" s="26" t="s">
        <v>6401</v>
      </c>
      <c r="B1031" s="4" t="s">
        <v>32</v>
      </c>
      <c r="C1031" s="4" t="s">
        <v>2645</v>
      </c>
      <c r="D1031" s="4" t="s">
        <v>137</v>
      </c>
      <c r="E1031" s="4" t="s">
        <v>2649</v>
      </c>
      <c r="F1031" s="4" t="s">
        <v>2276</v>
      </c>
      <c r="G1031" s="4" t="s">
        <v>2276</v>
      </c>
      <c r="H1031" s="4" t="s">
        <v>2276</v>
      </c>
      <c r="I1031" s="4" t="s">
        <v>2276</v>
      </c>
      <c r="J1031" s="4" t="s">
        <v>2276</v>
      </c>
      <c r="K1031" s="4" t="s">
        <v>534</v>
      </c>
      <c r="L1031" s="4" t="s">
        <v>2276</v>
      </c>
      <c r="M1031" s="4" t="s">
        <v>2276</v>
      </c>
      <c r="N1031" s="4" t="s">
        <v>2276</v>
      </c>
      <c r="O1031" s="4" t="s">
        <v>2276</v>
      </c>
      <c r="P1031" s="4" t="s">
        <v>2276</v>
      </c>
      <c r="Q1031" s="4" t="s">
        <v>2276</v>
      </c>
      <c r="R1031" s="4" t="s">
        <v>2276</v>
      </c>
      <c r="S1031" s="4" t="s">
        <v>2276</v>
      </c>
      <c r="T1031" s="4" t="s">
        <v>6429</v>
      </c>
    </row>
    <row r="1032" spans="1:20" ht="32" customHeight="1">
      <c r="A1032" s="26" t="s">
        <v>6402</v>
      </c>
      <c r="B1032" s="4" t="s">
        <v>32</v>
      </c>
      <c r="C1032" s="4" t="s">
        <v>2645</v>
      </c>
      <c r="D1032" s="4" t="s">
        <v>137</v>
      </c>
      <c r="E1032" s="4" t="s">
        <v>2649</v>
      </c>
      <c r="F1032" s="4" t="s">
        <v>2653</v>
      </c>
      <c r="G1032" s="4" t="s">
        <v>2276</v>
      </c>
      <c r="H1032" s="4" t="s">
        <v>2276</v>
      </c>
      <c r="I1032" s="4" t="s">
        <v>2276</v>
      </c>
      <c r="J1032" s="4" t="s">
        <v>2276</v>
      </c>
      <c r="K1032" s="4" t="s">
        <v>534</v>
      </c>
      <c r="L1032" s="4" t="s">
        <v>2276</v>
      </c>
      <c r="M1032" s="4" t="s">
        <v>2276</v>
      </c>
      <c r="N1032" s="4" t="s">
        <v>2276</v>
      </c>
      <c r="O1032" s="4" t="s">
        <v>2276</v>
      </c>
      <c r="P1032" s="4" t="s">
        <v>2276</v>
      </c>
      <c r="Q1032" s="4" t="s">
        <v>2276</v>
      </c>
      <c r="R1032" s="4" t="s">
        <v>2276</v>
      </c>
      <c r="S1032" s="4" t="s">
        <v>2276</v>
      </c>
      <c r="T1032" s="4" t="s">
        <v>6429</v>
      </c>
    </row>
    <row r="1033" spans="1:20" ht="32" customHeight="1">
      <c r="A1033" s="26" t="s">
        <v>6403</v>
      </c>
      <c r="B1033" s="4" t="s">
        <v>32</v>
      </c>
      <c r="C1033" s="4" t="s">
        <v>2645</v>
      </c>
      <c r="D1033" s="4" t="s">
        <v>2653</v>
      </c>
      <c r="E1033" s="4" t="s">
        <v>2276</v>
      </c>
      <c r="F1033" s="4" t="s">
        <v>2276</v>
      </c>
      <c r="G1033" s="4" t="s">
        <v>2276</v>
      </c>
      <c r="H1033" s="4" t="s">
        <v>2276</v>
      </c>
      <c r="I1033" s="4" t="s">
        <v>2276</v>
      </c>
      <c r="J1033" s="4" t="s">
        <v>2276</v>
      </c>
      <c r="K1033" s="4" t="s">
        <v>537</v>
      </c>
      <c r="L1033" s="4" t="s">
        <v>2276</v>
      </c>
      <c r="M1033" s="4" t="s">
        <v>2276</v>
      </c>
      <c r="N1033" s="4" t="s">
        <v>2276</v>
      </c>
      <c r="O1033" s="4" t="s">
        <v>2276</v>
      </c>
      <c r="P1033" s="4" t="s">
        <v>2276</v>
      </c>
      <c r="Q1033" s="4" t="s">
        <v>2276</v>
      </c>
      <c r="R1033" s="4" t="s">
        <v>2276</v>
      </c>
      <c r="S1033" s="4" t="s">
        <v>2276</v>
      </c>
      <c r="T1033" s="4"/>
    </row>
    <row r="1034" spans="1:20" ht="32" customHeight="1">
      <c r="A1034" s="26" t="s">
        <v>6404</v>
      </c>
      <c r="B1034" s="4" t="s">
        <v>32</v>
      </c>
      <c r="C1034" s="4" t="s">
        <v>2645</v>
      </c>
      <c r="D1034" s="4" t="s">
        <v>2649</v>
      </c>
      <c r="E1034" s="4" t="s">
        <v>2276</v>
      </c>
      <c r="F1034" s="4" t="s">
        <v>2276</v>
      </c>
      <c r="G1034" s="4" t="s">
        <v>2276</v>
      </c>
      <c r="H1034" s="4" t="s">
        <v>2276</v>
      </c>
      <c r="I1034" s="4" t="s">
        <v>2276</v>
      </c>
      <c r="J1034" s="4" t="s">
        <v>2276</v>
      </c>
      <c r="K1034" s="4" t="s">
        <v>534</v>
      </c>
      <c r="L1034" s="4" t="s">
        <v>2276</v>
      </c>
      <c r="M1034" s="4" t="s">
        <v>2276</v>
      </c>
      <c r="N1034" s="4" t="s">
        <v>2276</v>
      </c>
      <c r="O1034" s="4" t="s">
        <v>2276</v>
      </c>
      <c r="P1034" s="4" t="s">
        <v>2276</v>
      </c>
      <c r="Q1034" s="4" t="s">
        <v>2276</v>
      </c>
      <c r="R1034" s="4" t="s">
        <v>2276</v>
      </c>
      <c r="S1034" s="4" t="s">
        <v>2276</v>
      </c>
      <c r="T1034" s="4"/>
    </row>
    <row r="1035" spans="1:20" ht="32" customHeight="1">
      <c r="A1035" s="4" t="s">
        <v>6405</v>
      </c>
      <c r="B1035" s="4" t="s">
        <v>32</v>
      </c>
      <c r="C1035" s="4" t="s">
        <v>2645</v>
      </c>
      <c r="D1035" s="4" t="s">
        <v>6428</v>
      </c>
      <c r="E1035" s="4" t="s">
        <v>2276</v>
      </c>
      <c r="F1035" s="4" t="s">
        <v>2276</v>
      </c>
      <c r="G1035" s="4" t="s">
        <v>2276</v>
      </c>
      <c r="H1035" s="4" t="s">
        <v>2276</v>
      </c>
      <c r="I1035" s="4" t="s">
        <v>2276</v>
      </c>
      <c r="J1035" s="4" t="s">
        <v>2276</v>
      </c>
      <c r="K1035" s="4" t="s">
        <v>537</v>
      </c>
      <c r="L1035" s="4" t="s">
        <v>2276</v>
      </c>
      <c r="M1035" s="4" t="s">
        <v>2276</v>
      </c>
      <c r="N1035" s="4" t="s">
        <v>2276</v>
      </c>
      <c r="O1035" s="4" t="s">
        <v>2276</v>
      </c>
      <c r="P1035" s="4" t="s">
        <v>2276</v>
      </c>
      <c r="Q1035" s="4" t="s">
        <v>2276</v>
      </c>
      <c r="R1035" s="4" t="s">
        <v>2276</v>
      </c>
      <c r="S1035" s="4" t="s">
        <v>2276</v>
      </c>
      <c r="T1035" s="4" t="s">
        <v>6430</v>
      </c>
    </row>
    <row r="1036" spans="1:20" ht="32" customHeight="1">
      <c r="A1036" s="4" t="s">
        <v>6406</v>
      </c>
      <c r="B1036" s="4" t="s">
        <v>32</v>
      </c>
      <c r="C1036" s="4" t="s">
        <v>2645</v>
      </c>
      <c r="D1036" s="4" t="s">
        <v>2649</v>
      </c>
      <c r="E1036" s="4" t="s">
        <v>2276</v>
      </c>
      <c r="F1036" s="4" t="s">
        <v>2276</v>
      </c>
      <c r="G1036" s="4" t="s">
        <v>2276</v>
      </c>
      <c r="H1036" s="4" t="s">
        <v>2276</v>
      </c>
      <c r="I1036" s="4" t="s">
        <v>2276</v>
      </c>
      <c r="J1036" s="4" t="s">
        <v>2276</v>
      </c>
      <c r="K1036" s="4" t="s">
        <v>534</v>
      </c>
      <c r="L1036" s="4" t="s">
        <v>2276</v>
      </c>
      <c r="M1036" s="4" t="s">
        <v>2276</v>
      </c>
      <c r="N1036" s="4" t="s">
        <v>2276</v>
      </c>
      <c r="O1036" s="4" t="s">
        <v>2276</v>
      </c>
      <c r="P1036" s="4" t="s">
        <v>2276</v>
      </c>
      <c r="Q1036" s="4" t="s">
        <v>2276</v>
      </c>
      <c r="R1036" s="4" t="s">
        <v>2276</v>
      </c>
      <c r="S1036" s="4" t="s">
        <v>2276</v>
      </c>
      <c r="T1036" s="4" t="s">
        <v>6431</v>
      </c>
    </row>
    <row r="1037" spans="1:20" ht="32" customHeight="1">
      <c r="A1037" s="4" t="s">
        <v>6407</v>
      </c>
      <c r="B1037" s="4" t="s">
        <v>32</v>
      </c>
      <c r="C1037" s="4" t="s">
        <v>2645</v>
      </c>
      <c r="D1037" s="4" t="s">
        <v>2649</v>
      </c>
      <c r="E1037" s="4" t="s">
        <v>2276</v>
      </c>
      <c r="F1037" s="4" t="s">
        <v>2276</v>
      </c>
      <c r="G1037" s="4" t="s">
        <v>2276</v>
      </c>
      <c r="H1037" s="4" t="s">
        <v>2276</v>
      </c>
      <c r="I1037" s="4" t="s">
        <v>2276</v>
      </c>
      <c r="J1037" s="4" t="s">
        <v>2276</v>
      </c>
      <c r="K1037" s="4" t="s">
        <v>534</v>
      </c>
      <c r="L1037" s="4" t="s">
        <v>2276</v>
      </c>
      <c r="M1037" s="4" t="s">
        <v>2276</v>
      </c>
      <c r="N1037" s="4" t="s">
        <v>2276</v>
      </c>
      <c r="O1037" s="4" t="s">
        <v>2276</v>
      </c>
      <c r="P1037" s="4" t="s">
        <v>2276</v>
      </c>
      <c r="Q1037" s="4" t="s">
        <v>2276</v>
      </c>
      <c r="R1037" s="4" t="s">
        <v>2276</v>
      </c>
      <c r="S1037" s="4" t="s">
        <v>2276</v>
      </c>
      <c r="T1037" s="4" t="s">
        <v>6432</v>
      </c>
    </row>
    <row r="1038" spans="1:20" ht="32" customHeight="1">
      <c r="A1038" s="4" t="s">
        <v>6408</v>
      </c>
      <c r="B1038" s="4" t="s">
        <v>1197</v>
      </c>
      <c r="C1038" s="4" t="s">
        <v>2645</v>
      </c>
      <c r="D1038" s="4" t="s">
        <v>2649</v>
      </c>
      <c r="E1038" s="4" t="s">
        <v>2276</v>
      </c>
      <c r="F1038" s="4" t="s">
        <v>2276</v>
      </c>
      <c r="G1038" s="4" t="s">
        <v>2276</v>
      </c>
      <c r="H1038" s="4" t="s">
        <v>2276</v>
      </c>
      <c r="I1038" s="4" t="s">
        <v>2276</v>
      </c>
      <c r="J1038" s="4" t="s">
        <v>2276</v>
      </c>
      <c r="K1038" s="4" t="s">
        <v>534</v>
      </c>
      <c r="L1038" s="4" t="s">
        <v>2276</v>
      </c>
      <c r="M1038" s="4" t="s">
        <v>2276</v>
      </c>
      <c r="N1038" s="4" t="s">
        <v>2276</v>
      </c>
      <c r="O1038" s="4" t="s">
        <v>2276</v>
      </c>
      <c r="P1038" s="4" t="s">
        <v>2276</v>
      </c>
      <c r="Q1038" s="4" t="s">
        <v>2276</v>
      </c>
      <c r="R1038" s="4" t="s">
        <v>2276</v>
      </c>
      <c r="S1038" s="4" t="s">
        <v>2276</v>
      </c>
      <c r="T1038" s="4" t="s">
        <v>6433</v>
      </c>
    </row>
    <row r="1039" spans="1:20" ht="32" customHeight="1">
      <c r="A1039" s="4" t="s">
        <v>6409</v>
      </c>
      <c r="B1039" s="4" t="s">
        <v>1197</v>
      </c>
      <c r="C1039" s="4" t="s">
        <v>2645</v>
      </c>
      <c r="D1039" s="4" t="s">
        <v>2649</v>
      </c>
      <c r="E1039" s="4" t="s">
        <v>2276</v>
      </c>
      <c r="F1039" s="4" t="s">
        <v>2276</v>
      </c>
      <c r="G1039" s="4" t="s">
        <v>2276</v>
      </c>
      <c r="H1039" s="4" t="s">
        <v>2276</v>
      </c>
      <c r="I1039" s="4" t="s">
        <v>2276</v>
      </c>
      <c r="J1039" s="4" t="s">
        <v>2276</v>
      </c>
      <c r="K1039" s="4" t="s">
        <v>534</v>
      </c>
      <c r="L1039" s="4" t="s">
        <v>2276</v>
      </c>
      <c r="M1039" s="4" t="s">
        <v>2276</v>
      </c>
      <c r="N1039" s="4" t="s">
        <v>2276</v>
      </c>
      <c r="O1039" s="4" t="s">
        <v>2276</v>
      </c>
      <c r="P1039" s="4" t="s">
        <v>2276</v>
      </c>
      <c r="Q1039" s="4" t="s">
        <v>2276</v>
      </c>
      <c r="R1039" s="4" t="s">
        <v>2276</v>
      </c>
      <c r="S1039" s="4" t="s">
        <v>2276</v>
      </c>
      <c r="T1039" s="4" t="s">
        <v>6433</v>
      </c>
    </row>
    <row r="1040" spans="1:20" ht="32" customHeight="1">
      <c r="A1040" s="4" t="s">
        <v>6410</v>
      </c>
      <c r="B1040" s="4" t="s">
        <v>1197</v>
      </c>
      <c r="C1040" s="4" t="s">
        <v>2645</v>
      </c>
      <c r="D1040" s="4" t="s">
        <v>2649</v>
      </c>
      <c r="E1040" s="4" t="s">
        <v>2276</v>
      </c>
      <c r="F1040" s="4" t="s">
        <v>2276</v>
      </c>
      <c r="G1040" s="4" t="s">
        <v>2276</v>
      </c>
      <c r="H1040" s="4" t="s">
        <v>2276</v>
      </c>
      <c r="I1040" s="4" t="s">
        <v>2276</v>
      </c>
      <c r="J1040" s="4" t="s">
        <v>2276</v>
      </c>
      <c r="K1040" s="4" t="s">
        <v>534</v>
      </c>
      <c r="L1040" s="4" t="s">
        <v>2276</v>
      </c>
      <c r="M1040" s="4" t="s">
        <v>2276</v>
      </c>
      <c r="N1040" s="4" t="s">
        <v>2276</v>
      </c>
      <c r="O1040" s="4" t="s">
        <v>2276</v>
      </c>
      <c r="P1040" s="4" t="s">
        <v>2276</v>
      </c>
      <c r="Q1040" s="4" t="s">
        <v>2276</v>
      </c>
      <c r="R1040" s="4" t="s">
        <v>2276</v>
      </c>
      <c r="S1040" s="4" t="s">
        <v>2276</v>
      </c>
      <c r="T1040" s="4" t="s">
        <v>6433</v>
      </c>
    </row>
    <row r="1041" spans="1:20" ht="32" customHeight="1">
      <c r="A1041" s="4" t="s">
        <v>6411</v>
      </c>
      <c r="B1041" s="4" t="s">
        <v>1197</v>
      </c>
      <c r="C1041" s="4" t="s">
        <v>2645</v>
      </c>
      <c r="D1041" s="4" t="s">
        <v>2649</v>
      </c>
      <c r="E1041" s="4" t="s">
        <v>2276</v>
      </c>
      <c r="F1041" s="4" t="s">
        <v>2276</v>
      </c>
      <c r="G1041" s="4" t="s">
        <v>2276</v>
      </c>
      <c r="H1041" s="4" t="s">
        <v>2276</v>
      </c>
      <c r="I1041" s="4" t="s">
        <v>2276</v>
      </c>
      <c r="J1041" s="4" t="s">
        <v>2276</v>
      </c>
      <c r="K1041" s="4" t="s">
        <v>534</v>
      </c>
      <c r="L1041" s="4" t="s">
        <v>2276</v>
      </c>
      <c r="M1041" s="4" t="s">
        <v>2276</v>
      </c>
      <c r="N1041" s="4" t="s">
        <v>2276</v>
      </c>
      <c r="O1041" s="4" t="s">
        <v>2276</v>
      </c>
      <c r="P1041" s="4" t="s">
        <v>2276</v>
      </c>
      <c r="Q1041" s="4" t="s">
        <v>2276</v>
      </c>
      <c r="R1041" s="4" t="s">
        <v>2276</v>
      </c>
      <c r="S1041" s="4" t="s">
        <v>2276</v>
      </c>
      <c r="T1041" s="4" t="s">
        <v>6433</v>
      </c>
    </row>
    <row r="1042" spans="1:20" ht="32" customHeight="1">
      <c r="A1042" s="4" t="s">
        <v>6412</v>
      </c>
      <c r="B1042" s="4" t="s">
        <v>1197</v>
      </c>
      <c r="C1042" s="4" t="s">
        <v>2645</v>
      </c>
      <c r="D1042" s="4" t="s">
        <v>2649</v>
      </c>
      <c r="E1042" s="4" t="s">
        <v>2276</v>
      </c>
      <c r="F1042" s="4" t="s">
        <v>2276</v>
      </c>
      <c r="G1042" s="4" t="s">
        <v>2276</v>
      </c>
      <c r="H1042" s="4" t="s">
        <v>2276</v>
      </c>
      <c r="I1042" s="4" t="s">
        <v>2276</v>
      </c>
      <c r="J1042" s="4" t="s">
        <v>2276</v>
      </c>
      <c r="K1042" s="4" t="s">
        <v>534</v>
      </c>
      <c r="L1042" s="4" t="s">
        <v>2276</v>
      </c>
      <c r="M1042" s="4" t="s">
        <v>2276</v>
      </c>
      <c r="N1042" s="4" t="s">
        <v>2276</v>
      </c>
      <c r="O1042" s="4" t="s">
        <v>2276</v>
      </c>
      <c r="P1042" s="4" t="s">
        <v>2276</v>
      </c>
      <c r="Q1042" s="4" t="s">
        <v>2276</v>
      </c>
      <c r="R1042" s="4" t="s">
        <v>2276</v>
      </c>
      <c r="S1042" s="4" t="s">
        <v>2276</v>
      </c>
      <c r="T1042" s="4"/>
    </row>
    <row r="1043" spans="1:20" ht="32" customHeight="1">
      <c r="A1043" s="4" t="s">
        <v>6413</v>
      </c>
      <c r="B1043" s="4" t="s">
        <v>1197</v>
      </c>
      <c r="C1043" s="4" t="s">
        <v>2645</v>
      </c>
      <c r="D1043" s="4" t="s">
        <v>2649</v>
      </c>
      <c r="E1043" s="4" t="s">
        <v>2276</v>
      </c>
      <c r="F1043" s="4" t="s">
        <v>2276</v>
      </c>
      <c r="G1043" s="4" t="s">
        <v>2276</v>
      </c>
      <c r="H1043" s="4" t="s">
        <v>2276</v>
      </c>
      <c r="I1043" s="4" t="s">
        <v>2276</v>
      </c>
      <c r="J1043" s="4" t="s">
        <v>2276</v>
      </c>
      <c r="K1043" s="4" t="s">
        <v>534</v>
      </c>
      <c r="L1043" s="4" t="s">
        <v>2276</v>
      </c>
      <c r="M1043" s="4" t="s">
        <v>2276</v>
      </c>
      <c r="N1043" s="4" t="s">
        <v>2276</v>
      </c>
      <c r="O1043" s="4" t="s">
        <v>2276</v>
      </c>
      <c r="P1043" s="4" t="s">
        <v>2276</v>
      </c>
      <c r="Q1043" s="4" t="s">
        <v>2276</v>
      </c>
      <c r="R1043" s="4" t="s">
        <v>2276</v>
      </c>
      <c r="S1043" s="4" t="s">
        <v>2276</v>
      </c>
      <c r="T1043" s="4"/>
    </row>
    <row r="1044" spans="1:20" ht="32" customHeight="1">
      <c r="A1044" s="4" t="s">
        <v>6414</v>
      </c>
      <c r="B1044" s="4" t="s">
        <v>1197</v>
      </c>
      <c r="C1044" s="4" t="s">
        <v>2645</v>
      </c>
      <c r="D1044" s="4" t="s">
        <v>2649</v>
      </c>
      <c r="E1044" s="4" t="s">
        <v>137</v>
      </c>
      <c r="F1044" s="4" t="s">
        <v>2652</v>
      </c>
      <c r="G1044" s="4" t="s">
        <v>2276</v>
      </c>
      <c r="H1044" s="4" t="s">
        <v>2276</v>
      </c>
      <c r="I1044" s="4" t="s">
        <v>2276</v>
      </c>
      <c r="J1044" s="4" t="s">
        <v>2276</v>
      </c>
      <c r="K1044" s="4" t="s">
        <v>534</v>
      </c>
      <c r="L1044" s="4" t="s">
        <v>2276</v>
      </c>
      <c r="M1044" s="4" t="s">
        <v>2276</v>
      </c>
      <c r="N1044" s="4" t="s">
        <v>2276</v>
      </c>
      <c r="O1044" s="4" t="s">
        <v>2276</v>
      </c>
      <c r="P1044" s="4" t="s">
        <v>2276</v>
      </c>
      <c r="Q1044" s="4" t="s">
        <v>2276</v>
      </c>
      <c r="R1044" s="4" t="s">
        <v>2276</v>
      </c>
      <c r="S1044" s="4" t="s">
        <v>2276</v>
      </c>
      <c r="T1044" s="4"/>
    </row>
    <row r="1045" spans="1:20" ht="32" customHeight="1">
      <c r="A1045" s="4" t="s">
        <v>6415</v>
      </c>
      <c r="B1045" s="4" t="s">
        <v>1197</v>
      </c>
      <c r="C1045" s="4" t="s">
        <v>2645</v>
      </c>
      <c r="D1045" s="4" t="s">
        <v>2649</v>
      </c>
      <c r="E1045" s="4" t="s">
        <v>137</v>
      </c>
      <c r="F1045" s="4" t="s">
        <v>2652</v>
      </c>
      <c r="G1045" s="4" t="s">
        <v>2276</v>
      </c>
      <c r="H1045" s="4" t="s">
        <v>2276</v>
      </c>
      <c r="I1045" s="4" t="s">
        <v>2276</v>
      </c>
      <c r="J1045" s="4" t="s">
        <v>2276</v>
      </c>
      <c r="K1045" s="4" t="s">
        <v>534</v>
      </c>
      <c r="L1045" s="4" t="s">
        <v>2276</v>
      </c>
      <c r="M1045" s="4" t="s">
        <v>2276</v>
      </c>
      <c r="N1045" s="4" t="s">
        <v>2276</v>
      </c>
      <c r="O1045" s="4" t="s">
        <v>2276</v>
      </c>
      <c r="P1045" s="4" t="s">
        <v>2276</v>
      </c>
      <c r="Q1045" s="4" t="s">
        <v>2276</v>
      </c>
      <c r="R1045" s="4" t="s">
        <v>2276</v>
      </c>
      <c r="S1045" s="4" t="s">
        <v>2276</v>
      </c>
      <c r="T1045" s="4"/>
    </row>
    <row r="1046" spans="1:20" ht="32" customHeight="1">
      <c r="A1046" s="4" t="s">
        <v>6416</v>
      </c>
      <c r="B1046" s="4" t="s">
        <v>70</v>
      </c>
      <c r="C1046" s="4" t="s">
        <v>2645</v>
      </c>
      <c r="D1046" s="4" t="s">
        <v>2649</v>
      </c>
      <c r="E1046" s="4" t="s">
        <v>2276</v>
      </c>
      <c r="F1046" s="4" t="s">
        <v>2276</v>
      </c>
      <c r="G1046" s="4" t="s">
        <v>2276</v>
      </c>
      <c r="H1046" s="4" t="s">
        <v>2276</v>
      </c>
      <c r="I1046" s="4" t="s">
        <v>2276</v>
      </c>
      <c r="J1046" s="4" t="s">
        <v>2276</v>
      </c>
      <c r="K1046" s="4" t="s">
        <v>534</v>
      </c>
      <c r="L1046" s="4" t="s">
        <v>2276</v>
      </c>
      <c r="M1046" s="4" t="s">
        <v>2276</v>
      </c>
      <c r="N1046" s="4" t="s">
        <v>2276</v>
      </c>
      <c r="O1046" s="4" t="s">
        <v>2276</v>
      </c>
      <c r="P1046" s="4" t="s">
        <v>2276</v>
      </c>
      <c r="Q1046" s="4" t="s">
        <v>2276</v>
      </c>
      <c r="R1046" s="4" t="s">
        <v>2276</v>
      </c>
      <c r="S1046" s="4" t="s">
        <v>2276</v>
      </c>
      <c r="T1046" s="4"/>
    </row>
    <row r="1047" spans="1:20" ht="32" customHeight="1">
      <c r="A1047" s="4" t="s">
        <v>6417</v>
      </c>
      <c r="B1047" s="4" t="s">
        <v>70</v>
      </c>
      <c r="C1047" s="4" t="s">
        <v>2645</v>
      </c>
      <c r="D1047" s="4" t="s">
        <v>2649</v>
      </c>
      <c r="E1047" s="4" t="s">
        <v>2276</v>
      </c>
      <c r="F1047" s="4" t="s">
        <v>2276</v>
      </c>
      <c r="G1047" s="4" t="s">
        <v>2276</v>
      </c>
      <c r="H1047" s="4" t="s">
        <v>2276</v>
      </c>
      <c r="I1047" s="4" t="s">
        <v>2276</v>
      </c>
      <c r="J1047" s="4" t="s">
        <v>2276</v>
      </c>
      <c r="K1047" s="4" t="s">
        <v>534</v>
      </c>
      <c r="L1047" s="4" t="s">
        <v>2276</v>
      </c>
      <c r="M1047" s="4" t="s">
        <v>2276</v>
      </c>
      <c r="N1047" s="4" t="s">
        <v>2276</v>
      </c>
      <c r="O1047" s="4" t="s">
        <v>2276</v>
      </c>
      <c r="P1047" s="4" t="s">
        <v>2276</v>
      </c>
      <c r="Q1047" s="4" t="s">
        <v>2276</v>
      </c>
      <c r="R1047" s="4" t="s">
        <v>2276</v>
      </c>
      <c r="S1047" s="4" t="s">
        <v>2276</v>
      </c>
      <c r="T1047" s="4"/>
    </row>
    <row r="1048" spans="1:20" ht="32" customHeight="1">
      <c r="A1048" s="4" t="s">
        <v>6418</v>
      </c>
      <c r="B1048" s="4" t="s">
        <v>70</v>
      </c>
      <c r="C1048" s="4" t="s">
        <v>2645</v>
      </c>
      <c r="D1048" s="4" t="s">
        <v>2649</v>
      </c>
      <c r="E1048" s="4" t="s">
        <v>2276</v>
      </c>
      <c r="F1048" s="4" t="s">
        <v>2276</v>
      </c>
      <c r="G1048" s="4" t="s">
        <v>2276</v>
      </c>
      <c r="H1048" s="4" t="s">
        <v>2276</v>
      </c>
      <c r="I1048" s="4" t="s">
        <v>2276</v>
      </c>
      <c r="J1048" s="4" t="s">
        <v>2276</v>
      </c>
      <c r="K1048" s="4" t="s">
        <v>534</v>
      </c>
      <c r="L1048" s="4" t="s">
        <v>2276</v>
      </c>
      <c r="M1048" s="4" t="s">
        <v>2276</v>
      </c>
      <c r="N1048" s="4" t="s">
        <v>2276</v>
      </c>
      <c r="O1048" s="4" t="s">
        <v>2276</v>
      </c>
      <c r="P1048" s="4" t="s">
        <v>2276</v>
      </c>
      <c r="Q1048" s="4" t="s">
        <v>2276</v>
      </c>
      <c r="R1048" s="4" t="s">
        <v>2276</v>
      </c>
      <c r="S1048" s="4" t="s">
        <v>2276</v>
      </c>
      <c r="T1048" s="4"/>
    </row>
    <row r="1049" spans="1:20" ht="32" customHeight="1">
      <c r="A1049" s="4" t="s">
        <v>6419</v>
      </c>
      <c r="B1049" s="4" t="s">
        <v>1197</v>
      </c>
      <c r="C1049" s="4" t="s">
        <v>2645</v>
      </c>
      <c r="D1049" s="4" t="s">
        <v>2649</v>
      </c>
      <c r="E1049" s="4" t="s">
        <v>2276</v>
      </c>
      <c r="F1049" s="4" t="s">
        <v>2276</v>
      </c>
      <c r="G1049" s="4" t="s">
        <v>2276</v>
      </c>
      <c r="H1049" s="4" t="s">
        <v>2276</v>
      </c>
      <c r="I1049" s="4" t="s">
        <v>2276</v>
      </c>
      <c r="J1049" s="4" t="s">
        <v>2276</v>
      </c>
      <c r="K1049" s="4" t="s">
        <v>534</v>
      </c>
      <c r="L1049" s="4" t="s">
        <v>2276</v>
      </c>
      <c r="M1049" s="4" t="s">
        <v>2276</v>
      </c>
      <c r="N1049" s="4" t="s">
        <v>2276</v>
      </c>
      <c r="O1049" s="4" t="s">
        <v>2276</v>
      </c>
      <c r="P1049" s="4" t="s">
        <v>2276</v>
      </c>
      <c r="Q1049" s="4" t="s">
        <v>2276</v>
      </c>
      <c r="R1049" s="4" t="s">
        <v>2276</v>
      </c>
      <c r="S1049" s="4" t="s">
        <v>2276</v>
      </c>
      <c r="T1049" s="4"/>
    </row>
    <row r="1050" spans="1:20" ht="32" customHeight="1">
      <c r="A1050" s="4" t="s">
        <v>6420</v>
      </c>
      <c r="B1050" s="4" t="s">
        <v>1197</v>
      </c>
      <c r="C1050" s="4" t="s">
        <v>2645</v>
      </c>
      <c r="D1050" s="4" t="s">
        <v>2649</v>
      </c>
      <c r="E1050" s="4" t="s">
        <v>2276</v>
      </c>
      <c r="F1050" s="4" t="s">
        <v>2276</v>
      </c>
      <c r="G1050" s="4" t="s">
        <v>2276</v>
      </c>
      <c r="H1050" s="4" t="s">
        <v>2276</v>
      </c>
      <c r="I1050" s="4" t="s">
        <v>2276</v>
      </c>
      <c r="J1050" s="4" t="s">
        <v>2276</v>
      </c>
      <c r="K1050" s="4" t="s">
        <v>534</v>
      </c>
      <c r="L1050" s="4" t="s">
        <v>2276</v>
      </c>
      <c r="M1050" s="4" t="s">
        <v>2276</v>
      </c>
      <c r="N1050" s="4" t="s">
        <v>2276</v>
      </c>
      <c r="O1050" s="4" t="s">
        <v>2276</v>
      </c>
      <c r="P1050" s="4" t="s">
        <v>2276</v>
      </c>
      <c r="Q1050" s="4" t="s">
        <v>2276</v>
      </c>
      <c r="R1050" s="4" t="s">
        <v>2276</v>
      </c>
      <c r="S1050" s="4" t="s">
        <v>2276</v>
      </c>
      <c r="T1050" s="4"/>
    </row>
    <row r="1051" spans="1:20" ht="32" customHeight="1">
      <c r="A1051" s="4" t="s">
        <v>6421</v>
      </c>
      <c r="B1051" s="4" t="s">
        <v>1197</v>
      </c>
      <c r="C1051" s="4" t="s">
        <v>2645</v>
      </c>
      <c r="D1051" s="4" t="s">
        <v>2649</v>
      </c>
      <c r="E1051" s="4" t="s">
        <v>137</v>
      </c>
      <c r="F1051" s="4" t="s">
        <v>2652</v>
      </c>
      <c r="G1051" s="4" t="s">
        <v>2276</v>
      </c>
      <c r="H1051" s="4" t="s">
        <v>2276</v>
      </c>
      <c r="I1051" s="4" t="s">
        <v>2276</v>
      </c>
      <c r="J1051" s="4" t="s">
        <v>2276</v>
      </c>
      <c r="K1051" s="4" t="s">
        <v>534</v>
      </c>
      <c r="L1051" s="4" t="s">
        <v>2276</v>
      </c>
      <c r="M1051" s="4" t="s">
        <v>2276</v>
      </c>
      <c r="N1051" s="4" t="s">
        <v>2276</v>
      </c>
      <c r="O1051" s="4" t="s">
        <v>2276</v>
      </c>
      <c r="P1051" s="4" t="s">
        <v>2276</v>
      </c>
      <c r="Q1051" s="4" t="s">
        <v>2276</v>
      </c>
      <c r="R1051" s="4" t="s">
        <v>2276</v>
      </c>
      <c r="S1051" s="4" t="s">
        <v>2276</v>
      </c>
      <c r="T1051" s="4"/>
    </row>
    <row r="1052" spans="1:20" ht="32" customHeight="1">
      <c r="A1052" s="4" t="s">
        <v>6422</v>
      </c>
      <c r="B1052" s="4" t="s">
        <v>1197</v>
      </c>
      <c r="C1052" s="4" t="s">
        <v>2645</v>
      </c>
      <c r="D1052" s="4" t="s">
        <v>2649</v>
      </c>
      <c r="E1052" s="4" t="s">
        <v>137</v>
      </c>
      <c r="F1052" s="4" t="s">
        <v>2652</v>
      </c>
      <c r="G1052" s="4" t="s">
        <v>2276</v>
      </c>
      <c r="H1052" s="4" t="s">
        <v>2276</v>
      </c>
      <c r="I1052" s="4" t="s">
        <v>2276</v>
      </c>
      <c r="J1052" s="4" t="s">
        <v>2276</v>
      </c>
      <c r="K1052" s="4" t="s">
        <v>534</v>
      </c>
      <c r="L1052" s="4" t="s">
        <v>2276</v>
      </c>
      <c r="M1052" s="4" t="s">
        <v>2276</v>
      </c>
      <c r="N1052" s="4" t="s">
        <v>2276</v>
      </c>
      <c r="O1052" s="4" t="s">
        <v>2276</v>
      </c>
      <c r="P1052" s="4" t="s">
        <v>2276</v>
      </c>
      <c r="Q1052" s="4" t="s">
        <v>2276</v>
      </c>
      <c r="R1052" s="4" t="s">
        <v>2276</v>
      </c>
      <c r="S1052" s="4" t="s">
        <v>2276</v>
      </c>
      <c r="T1052" s="4"/>
    </row>
    <row r="1053" spans="1:20" ht="32" customHeight="1">
      <c r="A1053" s="4" t="s">
        <v>6423</v>
      </c>
      <c r="B1053" s="4" t="s">
        <v>1197</v>
      </c>
      <c r="C1053" s="4" t="s">
        <v>2645</v>
      </c>
      <c r="D1053" s="4" t="s">
        <v>137</v>
      </c>
      <c r="E1053" s="4" t="s">
        <v>2652</v>
      </c>
      <c r="F1053" s="4" t="s">
        <v>2276</v>
      </c>
      <c r="G1053" s="4" t="s">
        <v>2276</v>
      </c>
      <c r="H1053" s="4" t="s">
        <v>2276</v>
      </c>
      <c r="I1053" s="4" t="s">
        <v>2276</v>
      </c>
      <c r="J1053" s="4" t="s">
        <v>2276</v>
      </c>
      <c r="K1053" s="4" t="s">
        <v>537</v>
      </c>
      <c r="L1053" s="4" t="s">
        <v>2276</v>
      </c>
      <c r="M1053" s="4" t="s">
        <v>2276</v>
      </c>
      <c r="N1053" s="4" t="s">
        <v>2276</v>
      </c>
      <c r="O1053" s="4" t="s">
        <v>2276</v>
      </c>
      <c r="P1053" s="4" t="s">
        <v>2276</v>
      </c>
      <c r="Q1053" s="4" t="s">
        <v>2276</v>
      </c>
      <c r="R1053" s="4" t="s">
        <v>2276</v>
      </c>
      <c r="S1053" s="4" t="s">
        <v>2276</v>
      </c>
      <c r="T1053" s="4"/>
    </row>
    <row r="1054" spans="1:20" ht="32" customHeight="1">
      <c r="A1054" s="4" t="s">
        <v>6424</v>
      </c>
      <c r="B1054" s="4" t="s">
        <v>32</v>
      </c>
      <c r="C1054" s="4" t="s">
        <v>2645</v>
      </c>
      <c r="D1054" s="4" t="s">
        <v>2649</v>
      </c>
      <c r="E1054" s="4" t="s">
        <v>2276</v>
      </c>
      <c r="F1054" s="4" t="s">
        <v>2276</v>
      </c>
      <c r="G1054" s="4" t="s">
        <v>2276</v>
      </c>
      <c r="H1054" s="4" t="s">
        <v>2276</v>
      </c>
      <c r="I1054" s="4" t="s">
        <v>2276</v>
      </c>
      <c r="J1054" s="4" t="s">
        <v>2276</v>
      </c>
      <c r="K1054" s="4" t="s">
        <v>534</v>
      </c>
      <c r="L1054" s="4" t="s">
        <v>2276</v>
      </c>
      <c r="M1054" s="4" t="s">
        <v>2276</v>
      </c>
      <c r="N1054" s="4" t="s">
        <v>2276</v>
      </c>
      <c r="O1054" s="4" t="s">
        <v>2276</v>
      </c>
      <c r="P1054" s="75">
        <v>3.16</v>
      </c>
      <c r="Q1054" s="4" t="s">
        <v>2276</v>
      </c>
      <c r="R1054" s="75">
        <f>100-8.21</f>
        <v>91.789999999999992</v>
      </c>
      <c r="S1054" s="4" t="s">
        <v>2276</v>
      </c>
      <c r="T1054" s="4"/>
    </row>
    <row r="1055" spans="1:20" ht="46.5" customHeight="1">
      <c r="A1055" s="4" t="s">
        <v>6425</v>
      </c>
      <c r="B1055" s="4" t="s">
        <v>1197</v>
      </c>
      <c r="C1055" s="4" t="s">
        <v>2645</v>
      </c>
      <c r="D1055" s="4" t="s">
        <v>2649</v>
      </c>
      <c r="E1055" s="4" t="s">
        <v>137</v>
      </c>
      <c r="F1055" s="4" t="s">
        <v>3854</v>
      </c>
      <c r="G1055" s="4" t="s">
        <v>2276</v>
      </c>
      <c r="H1055" s="222">
        <f>1340/581200</f>
        <v>2.3055746730901582E-3</v>
      </c>
      <c r="I1055" s="4">
        <v>4827</v>
      </c>
      <c r="J1055" s="4"/>
      <c r="K1055" s="4" t="s">
        <v>534</v>
      </c>
      <c r="L1055" s="4" t="s">
        <v>2276</v>
      </c>
      <c r="M1055" s="4" t="s">
        <v>2276</v>
      </c>
      <c r="N1055" s="4" t="s">
        <v>2276</v>
      </c>
      <c r="O1055" s="4" t="s">
        <v>2276</v>
      </c>
      <c r="P1055" s="4" t="s">
        <v>2276</v>
      </c>
      <c r="Q1055" s="4" t="s">
        <v>2276</v>
      </c>
      <c r="R1055" s="4" t="s">
        <v>2276</v>
      </c>
      <c r="S1055" s="4" t="s">
        <v>2276</v>
      </c>
      <c r="T1055" s="4" t="s">
        <v>6434</v>
      </c>
    </row>
    <row r="1056" spans="1:20" ht="32" customHeight="1">
      <c r="A1056" s="4" t="s">
        <v>6426</v>
      </c>
      <c r="B1056" s="4" t="s">
        <v>1197</v>
      </c>
      <c r="C1056" s="4" t="s">
        <v>2645</v>
      </c>
      <c r="D1056" s="4" t="s">
        <v>2649</v>
      </c>
      <c r="E1056" s="4" t="s">
        <v>2276</v>
      </c>
      <c r="F1056" s="4" t="s">
        <v>2276</v>
      </c>
      <c r="G1056" s="4" t="s">
        <v>2276</v>
      </c>
      <c r="H1056" s="4" t="s">
        <v>2276</v>
      </c>
      <c r="I1056" s="4" t="s">
        <v>2276</v>
      </c>
      <c r="J1056" s="4" t="s">
        <v>2276</v>
      </c>
      <c r="K1056" s="4" t="s">
        <v>534</v>
      </c>
      <c r="L1056" s="4" t="s">
        <v>2276</v>
      </c>
      <c r="M1056" s="4" t="s">
        <v>2276</v>
      </c>
      <c r="N1056" s="4" t="s">
        <v>2276</v>
      </c>
      <c r="O1056" s="4" t="s">
        <v>2276</v>
      </c>
      <c r="P1056" s="4" t="s">
        <v>2276</v>
      </c>
      <c r="Q1056" s="4" t="s">
        <v>2276</v>
      </c>
      <c r="R1056" s="4" t="s">
        <v>2276</v>
      </c>
      <c r="S1056" s="4" t="s">
        <v>2276</v>
      </c>
      <c r="T1056" s="4"/>
    </row>
    <row r="1057" spans="1:20" ht="32" customHeight="1">
      <c r="A1057" s="4" t="s">
        <v>6427</v>
      </c>
      <c r="B1057" s="4" t="s">
        <v>32</v>
      </c>
      <c r="C1057" s="4" t="s">
        <v>2645</v>
      </c>
      <c r="D1057" s="4" t="s">
        <v>2649</v>
      </c>
      <c r="E1057" s="4" t="s">
        <v>137</v>
      </c>
      <c r="F1057" s="4" t="s">
        <v>2276</v>
      </c>
      <c r="G1057" s="4" t="s">
        <v>2276</v>
      </c>
      <c r="H1057" s="4" t="s">
        <v>2276</v>
      </c>
      <c r="I1057" s="4" t="s">
        <v>2276</v>
      </c>
      <c r="J1057" s="4" t="s">
        <v>2276</v>
      </c>
      <c r="K1057" s="4" t="s">
        <v>534</v>
      </c>
      <c r="L1057" s="4" t="s">
        <v>2276</v>
      </c>
      <c r="M1057" s="4" t="s">
        <v>2276</v>
      </c>
      <c r="N1057" s="4" t="s">
        <v>2276</v>
      </c>
      <c r="O1057" s="4" t="s">
        <v>2276</v>
      </c>
      <c r="P1057" s="4" t="s">
        <v>2276</v>
      </c>
      <c r="Q1057" s="4" t="s">
        <v>2276</v>
      </c>
      <c r="R1057" s="4" t="s">
        <v>2276</v>
      </c>
      <c r="S1057" s="4" t="s">
        <v>2276</v>
      </c>
      <c r="T1057" s="4"/>
    </row>
    <row r="1058" spans="1:20" ht="24.5" customHeight="1">
      <c r="A1058" s="19" t="s">
        <v>6989</v>
      </c>
      <c r="B1058" s="204" t="s">
        <v>2276</v>
      </c>
      <c r="C1058" s="204" t="s">
        <v>2646</v>
      </c>
      <c r="D1058" s="204" t="s">
        <v>5801</v>
      </c>
      <c r="E1058" s="204" t="s">
        <v>45</v>
      </c>
      <c r="F1058" s="4" t="s">
        <v>2276</v>
      </c>
      <c r="G1058" s="4" t="s">
        <v>2276</v>
      </c>
      <c r="H1058" s="4" t="s">
        <v>2276</v>
      </c>
      <c r="I1058" s="4" t="s">
        <v>2276</v>
      </c>
      <c r="J1058" s="4" t="s">
        <v>2276</v>
      </c>
      <c r="K1058" s="4" t="s">
        <v>2276</v>
      </c>
      <c r="L1058" s="4" t="s">
        <v>2276</v>
      </c>
      <c r="M1058" s="4" t="s">
        <v>2276</v>
      </c>
      <c r="N1058" s="4" t="s">
        <v>2276</v>
      </c>
      <c r="O1058" s="4" t="s">
        <v>2276</v>
      </c>
      <c r="P1058" s="4" t="s">
        <v>2276</v>
      </c>
      <c r="Q1058" s="4" t="s">
        <v>2276</v>
      </c>
      <c r="R1058" s="4" t="s">
        <v>2276</v>
      </c>
      <c r="S1058" s="4" t="s">
        <v>2276</v>
      </c>
      <c r="T1058" s="204"/>
    </row>
    <row r="1059" spans="1:20" ht="29.5" customHeight="1">
      <c r="A1059" s="19" t="s">
        <v>6997</v>
      </c>
      <c r="B1059" s="204" t="s">
        <v>2276</v>
      </c>
      <c r="C1059" s="204" t="s">
        <v>12</v>
      </c>
      <c r="D1059" s="204" t="s">
        <v>45</v>
      </c>
      <c r="E1059" s="204" t="s">
        <v>84</v>
      </c>
      <c r="F1059" s="4" t="s">
        <v>2276</v>
      </c>
      <c r="G1059" s="4" t="s">
        <v>2276</v>
      </c>
      <c r="H1059" s="4" t="s">
        <v>2276</v>
      </c>
      <c r="I1059" s="4" t="s">
        <v>2276</v>
      </c>
      <c r="J1059" s="4" t="s">
        <v>2276</v>
      </c>
      <c r="K1059" s="4" t="s">
        <v>2276</v>
      </c>
      <c r="L1059" s="4" t="s">
        <v>2276</v>
      </c>
      <c r="M1059" s="4" t="s">
        <v>2276</v>
      </c>
      <c r="N1059" s="4" t="s">
        <v>2276</v>
      </c>
      <c r="O1059" s="21">
        <f>100 * 1090 / 0.2 * 0.75 / 'Record info'!$K1059</f>
        <v>11.943024105186268</v>
      </c>
      <c r="P1059" s="4" t="s">
        <v>2276</v>
      </c>
      <c r="Q1059" s="21">
        <f>100 * 1090 / 0.2 * 0.25 / 'Record info'!$K1059</f>
        <v>3.9810080350620893</v>
      </c>
      <c r="R1059" s="21">
        <f>100 - Q1059 - O1059 - 7.62</f>
        <v>76.455967859751638</v>
      </c>
      <c r="S1059" s="4" t="s">
        <v>2276</v>
      </c>
      <c r="T1059" s="4" t="s">
        <v>7003</v>
      </c>
    </row>
    <row r="1060" spans="1:20" ht="29.5" customHeight="1">
      <c r="A1060" s="19" t="s">
        <v>7008</v>
      </c>
      <c r="B1060" s="204" t="s">
        <v>32</v>
      </c>
      <c r="C1060" s="204" t="s">
        <v>12</v>
      </c>
      <c r="D1060" s="204" t="s">
        <v>45</v>
      </c>
      <c r="E1060" s="204" t="s">
        <v>84</v>
      </c>
      <c r="F1060" s="4" t="s">
        <v>2276</v>
      </c>
      <c r="G1060" s="4" t="s">
        <v>2276</v>
      </c>
      <c r="H1060" s="4" t="s">
        <v>2276</v>
      </c>
      <c r="I1060" s="4" t="s">
        <v>2276</v>
      </c>
      <c r="J1060" s="4" t="s">
        <v>2276</v>
      </c>
      <c r="K1060" s="4" t="s">
        <v>2276</v>
      </c>
      <c r="L1060" s="4" t="s">
        <v>2276</v>
      </c>
      <c r="M1060" s="4" t="s">
        <v>2276</v>
      </c>
      <c r="N1060" s="4" t="s">
        <v>2276</v>
      </c>
      <c r="O1060" s="21">
        <f>100 * (13200 + 534/0.34) / 'Record info'!K1060 / 2</f>
        <v>21.57865337515576</v>
      </c>
      <c r="P1060" s="21">
        <v>21.57865337515576</v>
      </c>
      <c r="Q1060" s="4" t="s">
        <v>2276</v>
      </c>
      <c r="R1060" s="21">
        <f>100-O1060-P1060</f>
        <v>56.842693249688473</v>
      </c>
      <c r="S1060" s="21">
        <f>100 * ((534/0.34/4) / (0.56834*'Record info'!K1060))</f>
        <v>2.0186018591661825</v>
      </c>
      <c r="T1060" s="4" t="s">
        <v>7011</v>
      </c>
    </row>
    <row r="1061" spans="1:20" ht="31" customHeight="1">
      <c r="A1061" s="19" t="s">
        <v>7018</v>
      </c>
      <c r="B1061" s="204" t="s">
        <v>2276</v>
      </c>
      <c r="C1061" s="204" t="s">
        <v>12</v>
      </c>
      <c r="D1061" s="204" t="s">
        <v>84</v>
      </c>
      <c r="E1061" s="204" t="s">
        <v>45</v>
      </c>
      <c r="F1061" s="4" t="s">
        <v>2276</v>
      </c>
      <c r="G1061" s="4" t="s">
        <v>2276</v>
      </c>
      <c r="H1061" s="4" t="s">
        <v>2276</v>
      </c>
      <c r="I1061" s="4" t="s">
        <v>2276</v>
      </c>
      <c r="J1061" s="4" t="s">
        <v>2276</v>
      </c>
      <c r="K1061" s="4" t="s">
        <v>2276</v>
      </c>
      <c r="L1061" s="4" t="s">
        <v>2276</v>
      </c>
      <c r="M1061" s="4" t="s">
        <v>2276</v>
      </c>
      <c r="N1061" s="4" t="s">
        <v>2276</v>
      </c>
      <c r="O1061" s="4" t="s">
        <v>2276</v>
      </c>
      <c r="P1061" s="4" t="s">
        <v>2276</v>
      </c>
      <c r="Q1061" s="4" t="s">
        <v>2276</v>
      </c>
      <c r="R1061" s="4" t="s">
        <v>2276</v>
      </c>
      <c r="S1061" s="4" t="s">
        <v>2276</v>
      </c>
      <c r="T1061" s="204"/>
    </row>
    <row r="1062" spans="1:20" ht="33" customHeight="1">
      <c r="A1062" s="19" t="s">
        <v>7024</v>
      </c>
      <c r="B1062" s="204" t="s">
        <v>32</v>
      </c>
      <c r="C1062" s="204" t="s">
        <v>2645</v>
      </c>
      <c r="D1062" s="204" t="s">
        <v>137</v>
      </c>
      <c r="E1062" s="204" t="s">
        <v>2647</v>
      </c>
      <c r="F1062" s="4" t="s">
        <v>2276</v>
      </c>
      <c r="G1062" s="4" t="s">
        <v>2276</v>
      </c>
      <c r="H1062" s="4" t="s">
        <v>2276</v>
      </c>
      <c r="I1062" s="4" t="s">
        <v>2276</v>
      </c>
      <c r="J1062" s="4" t="s">
        <v>2276</v>
      </c>
      <c r="K1062" s="4" t="s">
        <v>2276</v>
      </c>
      <c r="L1062" s="4" t="s">
        <v>2276</v>
      </c>
      <c r="M1062" s="4" t="s">
        <v>2276</v>
      </c>
      <c r="N1062" s="4" t="s">
        <v>2276</v>
      </c>
      <c r="O1062" s="4" t="s">
        <v>2276</v>
      </c>
      <c r="P1062" s="4" t="s">
        <v>2276</v>
      </c>
      <c r="Q1062" s="4" t="s">
        <v>2276</v>
      </c>
      <c r="R1062" s="4" t="s">
        <v>2276</v>
      </c>
      <c r="S1062" s="4" t="s">
        <v>2276</v>
      </c>
      <c r="T1062" s="204"/>
    </row>
    <row r="1063" spans="1:20" ht="29.5" customHeight="1">
      <c r="A1063" s="19" t="s">
        <v>7034</v>
      </c>
      <c r="B1063" s="204" t="s">
        <v>32</v>
      </c>
      <c r="C1063" s="204" t="s">
        <v>12</v>
      </c>
      <c r="D1063" s="204" t="s">
        <v>45</v>
      </c>
      <c r="E1063" s="204" t="s">
        <v>137</v>
      </c>
      <c r="F1063" s="4" t="s">
        <v>2276</v>
      </c>
      <c r="G1063" s="4" t="s">
        <v>2276</v>
      </c>
      <c r="H1063" s="4" t="s">
        <v>2276</v>
      </c>
      <c r="I1063" s="4" t="s">
        <v>2276</v>
      </c>
      <c r="J1063" s="4" t="s">
        <v>2276</v>
      </c>
      <c r="K1063" s="4" t="s">
        <v>2276</v>
      </c>
      <c r="L1063" s="4" t="s">
        <v>2276</v>
      </c>
      <c r="M1063" s="4" t="s">
        <v>2276</v>
      </c>
      <c r="N1063" s="4" t="s">
        <v>2276</v>
      </c>
      <c r="O1063" s="4" t="s">
        <v>2276</v>
      </c>
      <c r="P1063" s="4" t="s">
        <v>2276</v>
      </c>
      <c r="Q1063" s="4" t="s">
        <v>2276</v>
      </c>
      <c r="R1063" s="4" t="s">
        <v>2276</v>
      </c>
      <c r="S1063" s="4" t="s">
        <v>2276</v>
      </c>
      <c r="T1063" s="204"/>
    </row>
    <row r="1064" spans="1:20" ht="26.5" customHeight="1">
      <c r="A1064" s="19" t="s">
        <v>7040</v>
      </c>
      <c r="B1064" s="204" t="s">
        <v>2276</v>
      </c>
      <c r="C1064" s="204" t="s">
        <v>12</v>
      </c>
      <c r="D1064" s="204" t="s">
        <v>45</v>
      </c>
      <c r="E1064" s="4" t="s">
        <v>2276</v>
      </c>
      <c r="F1064" s="4" t="s">
        <v>2276</v>
      </c>
      <c r="G1064" s="4" t="s">
        <v>2276</v>
      </c>
      <c r="H1064" s="4" t="s">
        <v>2276</v>
      </c>
      <c r="I1064" s="4" t="s">
        <v>2276</v>
      </c>
      <c r="J1064" s="4" t="s">
        <v>2276</v>
      </c>
      <c r="K1064" s="4" t="s">
        <v>2276</v>
      </c>
      <c r="L1064" s="4" t="s">
        <v>2276</v>
      </c>
      <c r="M1064" s="4" t="s">
        <v>2276</v>
      </c>
      <c r="N1064" s="4" t="s">
        <v>2276</v>
      </c>
      <c r="O1064" s="4" t="s">
        <v>2276</v>
      </c>
      <c r="P1064" s="4" t="s">
        <v>2276</v>
      </c>
      <c r="Q1064" s="4" t="s">
        <v>2276</v>
      </c>
      <c r="R1064" s="4" t="s">
        <v>2276</v>
      </c>
      <c r="S1064" s="4" t="s">
        <v>2276</v>
      </c>
      <c r="T1064" s="204"/>
    </row>
    <row r="1065" spans="1:20" ht="27.5" customHeight="1">
      <c r="A1065" s="19" t="s">
        <v>7047</v>
      </c>
      <c r="B1065" s="11" t="s">
        <v>2276</v>
      </c>
      <c r="C1065" s="11" t="s">
        <v>12</v>
      </c>
      <c r="D1065" s="11" t="s">
        <v>45</v>
      </c>
      <c r="E1065" s="11" t="s">
        <v>2652</v>
      </c>
      <c r="F1065" s="11" t="s">
        <v>116</v>
      </c>
      <c r="G1065" s="19" t="s">
        <v>2276</v>
      </c>
      <c r="H1065" s="14">
        <v>0.25</v>
      </c>
      <c r="I1065" s="19" t="s">
        <v>2276</v>
      </c>
      <c r="J1065" s="19" t="s">
        <v>2276</v>
      </c>
      <c r="K1065" s="19" t="s">
        <v>2276</v>
      </c>
      <c r="L1065" s="19" t="s">
        <v>2276</v>
      </c>
      <c r="M1065" s="19" t="s">
        <v>2276</v>
      </c>
      <c r="N1065" s="19" t="s">
        <v>2276</v>
      </c>
      <c r="O1065" s="19" t="s">
        <v>2276</v>
      </c>
      <c r="P1065" s="19" t="s">
        <v>2276</v>
      </c>
      <c r="Q1065" s="19" t="s">
        <v>2276</v>
      </c>
      <c r="R1065" s="19" t="s">
        <v>2276</v>
      </c>
      <c r="S1065" s="19" t="s">
        <v>2276</v>
      </c>
      <c r="T1065" s="11" t="s">
        <v>5213</v>
      </c>
    </row>
    <row r="1066" spans="1:20" ht="28.5" customHeight="1">
      <c r="A1066" s="204" t="s">
        <v>7060</v>
      </c>
      <c r="B1066" s="204" t="s">
        <v>32</v>
      </c>
      <c r="C1066" s="204" t="s">
        <v>12</v>
      </c>
      <c r="D1066" s="204" t="s">
        <v>84</v>
      </c>
      <c r="E1066" s="204" t="s">
        <v>137</v>
      </c>
      <c r="F1066" s="204" t="s">
        <v>45</v>
      </c>
      <c r="G1066" s="204" t="s">
        <v>130</v>
      </c>
      <c r="H1066" s="4" t="s">
        <v>2276</v>
      </c>
      <c r="I1066" s="4" t="s">
        <v>2276</v>
      </c>
      <c r="J1066" s="4" t="s">
        <v>2276</v>
      </c>
      <c r="K1066" s="4" t="s">
        <v>2276</v>
      </c>
      <c r="L1066" s="4" t="s">
        <v>2276</v>
      </c>
      <c r="M1066" s="4" t="s">
        <v>2276</v>
      </c>
      <c r="N1066" s="4" t="s">
        <v>2276</v>
      </c>
      <c r="O1066" s="4" t="s">
        <v>2276</v>
      </c>
      <c r="P1066" s="4" t="s">
        <v>2276</v>
      </c>
      <c r="Q1066" s="4" t="s">
        <v>2276</v>
      </c>
      <c r="R1066" s="4" t="s">
        <v>2276</v>
      </c>
      <c r="S1066" s="4" t="s">
        <v>2276</v>
      </c>
      <c r="T1066" s="204"/>
    </row>
    <row r="1067" spans="1:20" ht="28.5" customHeight="1">
      <c r="A1067" s="19" t="s">
        <v>7061</v>
      </c>
      <c r="B1067" s="204" t="s">
        <v>32</v>
      </c>
      <c r="C1067" s="204" t="s">
        <v>12</v>
      </c>
      <c r="D1067" s="204" t="s">
        <v>84</v>
      </c>
      <c r="E1067" s="204" t="s">
        <v>137</v>
      </c>
      <c r="F1067" s="204" t="s">
        <v>45</v>
      </c>
      <c r="G1067" s="204" t="s">
        <v>130</v>
      </c>
      <c r="H1067" s="4" t="s">
        <v>2276</v>
      </c>
      <c r="I1067" s="4" t="s">
        <v>2276</v>
      </c>
      <c r="J1067" s="4" t="s">
        <v>2276</v>
      </c>
      <c r="K1067" s="4" t="s">
        <v>2276</v>
      </c>
      <c r="L1067" s="4" t="s">
        <v>2276</v>
      </c>
      <c r="M1067" s="4" t="s">
        <v>2276</v>
      </c>
      <c r="N1067" s="4" t="s">
        <v>2276</v>
      </c>
      <c r="O1067" s="4" t="s">
        <v>2276</v>
      </c>
      <c r="P1067" s="4" t="s">
        <v>2276</v>
      </c>
      <c r="Q1067" s="4" t="s">
        <v>2276</v>
      </c>
      <c r="R1067" s="4" t="s">
        <v>2276</v>
      </c>
      <c r="S1067" s="4" t="s">
        <v>2276</v>
      </c>
      <c r="T1067" s="204"/>
    </row>
    <row r="1068" spans="1:20" ht="28.5" customHeight="1">
      <c r="A1068" s="19" t="s">
        <v>7062</v>
      </c>
      <c r="B1068" s="204" t="s">
        <v>32</v>
      </c>
      <c r="C1068" s="204" t="s">
        <v>12</v>
      </c>
      <c r="D1068" s="204" t="s">
        <v>84</v>
      </c>
      <c r="E1068" s="204" t="s">
        <v>137</v>
      </c>
      <c r="F1068" s="204" t="s">
        <v>45</v>
      </c>
      <c r="G1068" s="204" t="s">
        <v>130</v>
      </c>
      <c r="H1068" s="4" t="s">
        <v>2276</v>
      </c>
      <c r="I1068" s="4" t="s">
        <v>2276</v>
      </c>
      <c r="J1068" s="4" t="s">
        <v>2276</v>
      </c>
      <c r="K1068" s="4" t="s">
        <v>2276</v>
      </c>
      <c r="L1068" s="4" t="s">
        <v>2276</v>
      </c>
      <c r="M1068" s="4" t="s">
        <v>2276</v>
      </c>
      <c r="N1068" s="4" t="s">
        <v>2276</v>
      </c>
      <c r="O1068" s="4" t="s">
        <v>2276</v>
      </c>
      <c r="P1068" s="4" t="s">
        <v>2276</v>
      </c>
      <c r="Q1068" s="4" t="s">
        <v>2276</v>
      </c>
      <c r="R1068" s="4" t="s">
        <v>2276</v>
      </c>
      <c r="S1068" s="4" t="s">
        <v>2276</v>
      </c>
      <c r="T1068" s="204"/>
    </row>
    <row r="1069" spans="1:20" ht="29" customHeight="1">
      <c r="A1069" s="19" t="s">
        <v>7080</v>
      </c>
      <c r="B1069" s="204" t="s">
        <v>2276</v>
      </c>
      <c r="C1069" s="204" t="s">
        <v>2646</v>
      </c>
      <c r="D1069" s="204" t="s">
        <v>5801</v>
      </c>
      <c r="E1069" s="204" t="s">
        <v>45</v>
      </c>
      <c r="F1069" s="204" t="s">
        <v>137</v>
      </c>
      <c r="G1069" s="4" t="s">
        <v>2276</v>
      </c>
      <c r="H1069" s="4" t="s">
        <v>2276</v>
      </c>
      <c r="I1069" s="4" t="s">
        <v>2276</v>
      </c>
      <c r="J1069" s="4" t="s">
        <v>2276</v>
      </c>
      <c r="K1069" s="4" t="s">
        <v>2276</v>
      </c>
      <c r="L1069" s="4" t="s">
        <v>2276</v>
      </c>
      <c r="M1069" s="4" t="s">
        <v>2276</v>
      </c>
      <c r="N1069" s="4" t="s">
        <v>2276</v>
      </c>
      <c r="O1069" s="4" t="s">
        <v>2276</v>
      </c>
      <c r="P1069" s="4" t="s">
        <v>2276</v>
      </c>
      <c r="Q1069" s="4" t="s">
        <v>2276</v>
      </c>
      <c r="R1069" s="4" t="s">
        <v>2276</v>
      </c>
      <c r="S1069" s="4" t="s">
        <v>2276</v>
      </c>
      <c r="T1069" s="204"/>
    </row>
    <row r="1070" spans="1:20" ht="23.5" customHeight="1">
      <c r="A1070" s="19" t="s">
        <v>7095</v>
      </c>
      <c r="B1070" s="204" t="s">
        <v>2276</v>
      </c>
      <c r="C1070" s="204" t="s">
        <v>12</v>
      </c>
      <c r="D1070" s="11" t="s">
        <v>45</v>
      </c>
      <c r="E1070" s="204" t="s">
        <v>5801</v>
      </c>
      <c r="F1070" s="4" t="s">
        <v>2276</v>
      </c>
      <c r="G1070" s="4" t="s">
        <v>2276</v>
      </c>
      <c r="H1070" s="4" t="s">
        <v>2276</v>
      </c>
      <c r="I1070" s="4" t="s">
        <v>2276</v>
      </c>
      <c r="J1070" s="204" t="s">
        <v>2276</v>
      </c>
      <c r="K1070" s="204" t="s">
        <v>2276</v>
      </c>
      <c r="L1070" s="204" t="s">
        <v>2276</v>
      </c>
      <c r="M1070" s="204" t="s">
        <v>2276</v>
      </c>
      <c r="N1070" s="204" t="s">
        <v>2276</v>
      </c>
      <c r="O1070" s="204" t="s">
        <v>2276</v>
      </c>
      <c r="P1070" s="204" t="s">
        <v>2276</v>
      </c>
      <c r="Q1070" s="204" t="s">
        <v>2276</v>
      </c>
      <c r="R1070" s="21">
        <v>60</v>
      </c>
      <c r="S1070" s="204" t="s">
        <v>2276</v>
      </c>
      <c r="T1070" s="204"/>
    </row>
    <row r="1071" spans="1:20" ht="23.5" customHeight="1">
      <c r="A1071" s="19" t="s">
        <v>7115</v>
      </c>
      <c r="B1071" s="204" t="s">
        <v>2276</v>
      </c>
      <c r="C1071" s="204" t="s">
        <v>12</v>
      </c>
      <c r="D1071" s="11" t="s">
        <v>45</v>
      </c>
      <c r="E1071" s="204" t="s">
        <v>5801</v>
      </c>
      <c r="F1071" s="4" t="s">
        <v>2276</v>
      </c>
      <c r="G1071" s="4" t="s">
        <v>2276</v>
      </c>
      <c r="H1071" s="4" t="s">
        <v>2276</v>
      </c>
      <c r="I1071" s="4" t="s">
        <v>2276</v>
      </c>
      <c r="J1071" s="204" t="s">
        <v>2276</v>
      </c>
      <c r="K1071" s="204" t="s">
        <v>2276</v>
      </c>
      <c r="L1071" s="204" t="s">
        <v>2276</v>
      </c>
      <c r="M1071" s="204" t="s">
        <v>2276</v>
      </c>
      <c r="N1071" s="204" t="s">
        <v>2276</v>
      </c>
      <c r="O1071" s="204" t="s">
        <v>2276</v>
      </c>
      <c r="P1071" s="204" t="s">
        <v>2276</v>
      </c>
      <c r="Q1071" s="204" t="s">
        <v>2276</v>
      </c>
      <c r="R1071" s="204" t="s">
        <v>2276</v>
      </c>
      <c r="S1071" s="204" t="s">
        <v>2276</v>
      </c>
      <c r="T1071" s="204"/>
    </row>
    <row r="1072" spans="1:20" ht="23.5" customHeight="1">
      <c r="A1072" s="19" t="s">
        <v>7116</v>
      </c>
      <c r="B1072" s="204" t="s">
        <v>2276</v>
      </c>
      <c r="C1072" s="204" t="s">
        <v>12</v>
      </c>
      <c r="D1072" s="11" t="s">
        <v>45</v>
      </c>
      <c r="E1072" s="204" t="s">
        <v>5801</v>
      </c>
      <c r="F1072" s="4" t="s">
        <v>2276</v>
      </c>
      <c r="G1072" s="4" t="s">
        <v>2276</v>
      </c>
      <c r="H1072" s="4" t="s">
        <v>2276</v>
      </c>
      <c r="I1072" s="4" t="s">
        <v>2276</v>
      </c>
      <c r="J1072" s="204" t="s">
        <v>2276</v>
      </c>
      <c r="K1072" s="204" t="s">
        <v>2276</v>
      </c>
      <c r="L1072" s="204" t="s">
        <v>2276</v>
      </c>
      <c r="M1072" s="204" t="s">
        <v>2276</v>
      </c>
      <c r="N1072" s="204" t="s">
        <v>2276</v>
      </c>
      <c r="O1072" s="204" t="s">
        <v>2276</v>
      </c>
      <c r="P1072" s="204" t="s">
        <v>2276</v>
      </c>
      <c r="Q1072" s="204" t="s">
        <v>2276</v>
      </c>
      <c r="R1072" s="204" t="s">
        <v>2276</v>
      </c>
      <c r="S1072" s="204" t="s">
        <v>2276</v>
      </c>
      <c r="T1072" s="204"/>
    </row>
    <row r="1073" spans="1:20" ht="23.5" customHeight="1">
      <c r="A1073" s="19" t="s">
        <v>7117</v>
      </c>
      <c r="B1073" s="204" t="s">
        <v>2276</v>
      </c>
      <c r="C1073" s="204" t="s">
        <v>12</v>
      </c>
      <c r="D1073" s="11" t="s">
        <v>45</v>
      </c>
      <c r="E1073" s="204" t="s">
        <v>5801</v>
      </c>
      <c r="F1073" s="4" t="s">
        <v>2276</v>
      </c>
      <c r="G1073" s="4" t="s">
        <v>2276</v>
      </c>
      <c r="H1073" s="4" t="s">
        <v>2276</v>
      </c>
      <c r="I1073" s="4" t="s">
        <v>2276</v>
      </c>
      <c r="J1073" s="204" t="s">
        <v>2276</v>
      </c>
      <c r="K1073" s="204" t="s">
        <v>2276</v>
      </c>
      <c r="L1073" s="204" t="s">
        <v>2276</v>
      </c>
      <c r="M1073" s="204" t="s">
        <v>2276</v>
      </c>
      <c r="N1073" s="204" t="s">
        <v>2276</v>
      </c>
      <c r="O1073" s="204" t="s">
        <v>2276</v>
      </c>
      <c r="P1073" s="204" t="s">
        <v>2276</v>
      </c>
      <c r="Q1073" s="204" t="s">
        <v>2276</v>
      </c>
      <c r="R1073" s="204" t="s">
        <v>2276</v>
      </c>
      <c r="S1073" s="204" t="s">
        <v>2276</v>
      </c>
      <c r="T1073" s="204"/>
    </row>
    <row r="1074" spans="1:20" ht="23.5" customHeight="1">
      <c r="A1074" s="19" t="s">
        <v>7118</v>
      </c>
      <c r="B1074" s="204" t="s">
        <v>69</v>
      </c>
      <c r="C1074" s="204" t="s">
        <v>12</v>
      </c>
      <c r="D1074" s="11" t="s">
        <v>45</v>
      </c>
      <c r="E1074" s="204" t="s">
        <v>2276</v>
      </c>
      <c r="F1074" s="4" t="s">
        <v>2276</v>
      </c>
      <c r="G1074" s="4" t="s">
        <v>2276</v>
      </c>
      <c r="H1074" s="4" t="s">
        <v>2276</v>
      </c>
      <c r="I1074" s="4" t="s">
        <v>2276</v>
      </c>
      <c r="J1074" s="204" t="s">
        <v>2276</v>
      </c>
      <c r="K1074" s="204" t="s">
        <v>2276</v>
      </c>
      <c r="L1074" s="204" t="s">
        <v>2276</v>
      </c>
      <c r="M1074" s="204" t="s">
        <v>2276</v>
      </c>
      <c r="N1074" s="204" t="s">
        <v>2276</v>
      </c>
      <c r="O1074" s="204" t="s">
        <v>2276</v>
      </c>
      <c r="P1074" s="204" t="s">
        <v>2276</v>
      </c>
      <c r="Q1074" s="204" t="s">
        <v>2276</v>
      </c>
      <c r="R1074" s="204" t="s">
        <v>2276</v>
      </c>
      <c r="S1074" s="204" t="s">
        <v>2276</v>
      </c>
      <c r="T1074" s="204"/>
    </row>
    <row r="1075" spans="1:20" ht="23.5" customHeight="1">
      <c r="A1075" s="19" t="s">
        <v>7119</v>
      </c>
      <c r="B1075" s="204" t="s">
        <v>2276</v>
      </c>
      <c r="C1075" s="204" t="s">
        <v>12</v>
      </c>
      <c r="D1075" s="11" t="s">
        <v>45</v>
      </c>
      <c r="E1075" s="204" t="s">
        <v>2276</v>
      </c>
      <c r="F1075" s="4" t="s">
        <v>2276</v>
      </c>
      <c r="G1075" s="4" t="s">
        <v>2276</v>
      </c>
      <c r="H1075" s="4" t="s">
        <v>2276</v>
      </c>
      <c r="I1075" s="4" t="s">
        <v>2276</v>
      </c>
      <c r="J1075" s="204" t="s">
        <v>2276</v>
      </c>
      <c r="K1075" s="204" t="s">
        <v>2276</v>
      </c>
      <c r="L1075" s="204" t="s">
        <v>2276</v>
      </c>
      <c r="M1075" s="204" t="s">
        <v>2276</v>
      </c>
      <c r="N1075" s="204" t="s">
        <v>2276</v>
      </c>
      <c r="O1075" s="204" t="s">
        <v>2276</v>
      </c>
      <c r="P1075" s="204" t="s">
        <v>2276</v>
      </c>
      <c r="Q1075" s="204" t="s">
        <v>2276</v>
      </c>
      <c r="R1075" s="204" t="s">
        <v>2276</v>
      </c>
      <c r="S1075" s="204" t="s">
        <v>2276</v>
      </c>
      <c r="T1075" s="204"/>
    </row>
    <row r="1076" spans="1:20" ht="32.5" customHeight="1">
      <c r="A1076" s="19" t="s">
        <v>7120</v>
      </c>
      <c r="B1076" s="204" t="s">
        <v>2276</v>
      </c>
      <c r="C1076" s="204" t="s">
        <v>12</v>
      </c>
      <c r="D1076" s="11" t="s">
        <v>45</v>
      </c>
      <c r="E1076" s="204" t="s">
        <v>5801</v>
      </c>
      <c r="F1076" s="4" t="s">
        <v>397</v>
      </c>
      <c r="G1076" s="4" t="s">
        <v>2276</v>
      </c>
      <c r="H1076" s="4" t="s">
        <v>2276</v>
      </c>
      <c r="I1076" s="4" t="s">
        <v>2276</v>
      </c>
      <c r="J1076" s="204" t="s">
        <v>2276</v>
      </c>
      <c r="K1076" s="204" t="s">
        <v>2276</v>
      </c>
      <c r="L1076" s="204" t="s">
        <v>2276</v>
      </c>
      <c r="M1076" s="204" t="s">
        <v>2276</v>
      </c>
      <c r="N1076" s="204" t="s">
        <v>2276</v>
      </c>
      <c r="O1076" s="204" t="s">
        <v>2276</v>
      </c>
      <c r="P1076" s="204" t="s">
        <v>2276</v>
      </c>
      <c r="Q1076" s="204" t="s">
        <v>2276</v>
      </c>
      <c r="R1076" s="204" t="s">
        <v>2276</v>
      </c>
      <c r="S1076" s="204" t="s">
        <v>2276</v>
      </c>
      <c r="T1076" s="204" t="s">
        <v>7199</v>
      </c>
    </row>
    <row r="1077" spans="1:20" ht="32.5" customHeight="1">
      <c r="A1077" s="19" t="s">
        <v>7121</v>
      </c>
      <c r="B1077" s="204" t="s">
        <v>2276</v>
      </c>
      <c r="C1077" s="204" t="s">
        <v>12</v>
      </c>
      <c r="D1077" s="11" t="s">
        <v>45</v>
      </c>
      <c r="E1077" s="204" t="s">
        <v>5801</v>
      </c>
      <c r="F1077" s="4" t="s">
        <v>397</v>
      </c>
      <c r="G1077" s="4" t="s">
        <v>2276</v>
      </c>
      <c r="H1077" s="4" t="s">
        <v>2276</v>
      </c>
      <c r="I1077" s="4" t="s">
        <v>2276</v>
      </c>
      <c r="J1077" s="204" t="s">
        <v>2276</v>
      </c>
      <c r="K1077" s="204" t="s">
        <v>2276</v>
      </c>
      <c r="L1077" s="204" t="s">
        <v>2276</v>
      </c>
      <c r="M1077" s="204" t="s">
        <v>2276</v>
      </c>
      <c r="N1077" s="204" t="s">
        <v>2276</v>
      </c>
      <c r="O1077" s="204" t="s">
        <v>2276</v>
      </c>
      <c r="P1077" s="204" t="s">
        <v>2276</v>
      </c>
      <c r="Q1077" s="204" t="s">
        <v>2276</v>
      </c>
      <c r="R1077" s="204" t="s">
        <v>2276</v>
      </c>
      <c r="S1077" s="204" t="s">
        <v>2276</v>
      </c>
      <c r="T1077" s="204" t="s">
        <v>7199</v>
      </c>
    </row>
    <row r="1078" spans="1:20" ht="23.5" customHeight="1">
      <c r="A1078" s="19" t="s">
        <v>7122</v>
      </c>
      <c r="B1078" s="204" t="s">
        <v>2276</v>
      </c>
      <c r="C1078" s="204" t="s">
        <v>12</v>
      </c>
      <c r="D1078" s="11" t="s">
        <v>45</v>
      </c>
      <c r="E1078" s="204" t="s">
        <v>5801</v>
      </c>
      <c r="F1078" s="4" t="s">
        <v>2276</v>
      </c>
      <c r="G1078" s="4" t="s">
        <v>2276</v>
      </c>
      <c r="H1078" s="21">
        <f>300000/1500000</f>
        <v>0.2</v>
      </c>
      <c r="I1078" s="4" t="s">
        <v>2276</v>
      </c>
      <c r="J1078" s="204" t="s">
        <v>2276</v>
      </c>
      <c r="K1078" s="204" t="s">
        <v>2276</v>
      </c>
      <c r="L1078" s="204" t="s">
        <v>2276</v>
      </c>
      <c r="M1078" s="204" t="s">
        <v>2276</v>
      </c>
      <c r="N1078" s="204" t="s">
        <v>2276</v>
      </c>
      <c r="O1078" s="204" t="s">
        <v>2276</v>
      </c>
      <c r="P1078" s="204" t="s">
        <v>2276</v>
      </c>
      <c r="Q1078" s="204" t="s">
        <v>2276</v>
      </c>
      <c r="R1078" s="204" t="s">
        <v>2276</v>
      </c>
      <c r="S1078" s="204" t="s">
        <v>2276</v>
      </c>
      <c r="T1078" s="204"/>
    </row>
    <row r="1079" spans="1:20" ht="29" customHeight="1">
      <c r="A1079" s="19" t="s">
        <v>7123</v>
      </c>
      <c r="B1079" s="204" t="s">
        <v>2276</v>
      </c>
      <c r="C1079" s="204" t="s">
        <v>12</v>
      </c>
      <c r="D1079" s="11" t="s">
        <v>45</v>
      </c>
      <c r="E1079" s="204" t="s">
        <v>5801</v>
      </c>
      <c r="F1079" s="4" t="s">
        <v>3855</v>
      </c>
      <c r="G1079" s="4" t="s">
        <v>2276</v>
      </c>
      <c r="H1079" s="21">
        <f>16000/'Record info'!K1079/100</f>
        <v>0.08</v>
      </c>
      <c r="I1079" s="4" t="s">
        <v>2276</v>
      </c>
      <c r="J1079" s="204" t="s">
        <v>2276</v>
      </c>
      <c r="K1079" s="204" t="s">
        <v>2276</v>
      </c>
      <c r="L1079" s="204" t="s">
        <v>2276</v>
      </c>
      <c r="M1079" s="204" t="s">
        <v>2276</v>
      </c>
      <c r="N1079" s="204" t="s">
        <v>2276</v>
      </c>
      <c r="O1079" s="204" t="s">
        <v>2276</v>
      </c>
      <c r="P1079" s="204" t="s">
        <v>2276</v>
      </c>
      <c r="Q1079" s="204" t="s">
        <v>2276</v>
      </c>
      <c r="R1079" s="204" t="s">
        <v>2276</v>
      </c>
      <c r="S1079" s="204" t="s">
        <v>2276</v>
      </c>
      <c r="T1079" s="204"/>
    </row>
    <row r="1080" spans="1:20" ht="23.5" customHeight="1">
      <c r="A1080" s="19" t="s">
        <v>7124</v>
      </c>
      <c r="B1080" s="204" t="s">
        <v>70</v>
      </c>
      <c r="C1080" s="204" t="s">
        <v>2646</v>
      </c>
      <c r="D1080" s="11" t="s">
        <v>45</v>
      </c>
      <c r="E1080" s="204" t="s">
        <v>5801</v>
      </c>
      <c r="F1080" s="204" t="s">
        <v>2652</v>
      </c>
      <c r="G1080" s="204" t="s">
        <v>137</v>
      </c>
      <c r="H1080" s="21">
        <v>0.33</v>
      </c>
      <c r="I1080" s="4" t="s">
        <v>2276</v>
      </c>
      <c r="J1080" s="204" t="s">
        <v>2276</v>
      </c>
      <c r="K1080" s="204" t="s">
        <v>2276</v>
      </c>
      <c r="L1080" s="204" t="s">
        <v>2276</v>
      </c>
      <c r="M1080" s="204" t="s">
        <v>2276</v>
      </c>
      <c r="N1080" s="204" t="s">
        <v>2276</v>
      </c>
      <c r="O1080" s="204" t="s">
        <v>2276</v>
      </c>
      <c r="P1080" s="204" t="s">
        <v>2276</v>
      </c>
      <c r="Q1080" s="204" t="s">
        <v>2276</v>
      </c>
      <c r="R1080" s="204" t="s">
        <v>2276</v>
      </c>
      <c r="S1080" s="204" t="s">
        <v>2276</v>
      </c>
      <c r="T1080" s="204" t="s">
        <v>7200</v>
      </c>
    </row>
    <row r="1081" spans="1:20" ht="23.5" customHeight="1">
      <c r="A1081" s="19" t="s">
        <v>7125</v>
      </c>
      <c r="B1081" s="204" t="s">
        <v>32</v>
      </c>
      <c r="C1081" s="204" t="s">
        <v>12</v>
      </c>
      <c r="D1081" s="11" t="s">
        <v>45</v>
      </c>
      <c r="E1081" s="204" t="s">
        <v>5801</v>
      </c>
      <c r="F1081" s="4" t="s">
        <v>2276</v>
      </c>
      <c r="G1081" s="4" t="s">
        <v>2276</v>
      </c>
      <c r="H1081" s="4" t="s">
        <v>2276</v>
      </c>
      <c r="I1081" s="4" t="s">
        <v>2276</v>
      </c>
      <c r="J1081" s="204" t="s">
        <v>2276</v>
      </c>
      <c r="K1081" s="204" t="s">
        <v>2276</v>
      </c>
      <c r="L1081" s="204" t="s">
        <v>2276</v>
      </c>
      <c r="M1081" s="204" t="s">
        <v>2276</v>
      </c>
      <c r="N1081" s="204" t="s">
        <v>2276</v>
      </c>
      <c r="O1081" s="204" t="s">
        <v>2276</v>
      </c>
      <c r="P1081" s="204" t="s">
        <v>2276</v>
      </c>
      <c r="Q1081" s="204" t="s">
        <v>2276</v>
      </c>
      <c r="R1081" s="204" t="s">
        <v>2276</v>
      </c>
      <c r="S1081" s="204" t="s">
        <v>2276</v>
      </c>
      <c r="T1081" s="204"/>
    </row>
    <row r="1082" spans="1:20" ht="31.5" customHeight="1">
      <c r="A1082" s="19" t="s">
        <v>7126</v>
      </c>
      <c r="B1082" s="204" t="s">
        <v>70</v>
      </c>
      <c r="C1082" s="204" t="s">
        <v>12</v>
      </c>
      <c r="D1082" s="11" t="s">
        <v>45</v>
      </c>
      <c r="E1082" s="4" t="s">
        <v>3855</v>
      </c>
      <c r="F1082" s="4" t="s">
        <v>2276</v>
      </c>
      <c r="G1082" s="4" t="s">
        <v>2276</v>
      </c>
      <c r="H1082" s="4" t="s">
        <v>2276</v>
      </c>
      <c r="I1082" s="4" t="s">
        <v>2276</v>
      </c>
      <c r="J1082" s="204" t="s">
        <v>2276</v>
      </c>
      <c r="K1082" s="204" t="s">
        <v>2276</v>
      </c>
      <c r="L1082" s="204" t="s">
        <v>2276</v>
      </c>
      <c r="M1082" s="204" t="s">
        <v>2276</v>
      </c>
      <c r="N1082" s="204" t="s">
        <v>2276</v>
      </c>
      <c r="O1082" s="204" t="s">
        <v>2276</v>
      </c>
      <c r="P1082" s="204" t="s">
        <v>2276</v>
      </c>
      <c r="Q1082" s="204" t="s">
        <v>2276</v>
      </c>
      <c r="R1082" s="204" t="s">
        <v>2276</v>
      </c>
      <c r="S1082" s="204" t="s">
        <v>2276</v>
      </c>
      <c r="T1082" s="204"/>
    </row>
    <row r="1083" spans="1:20" ht="36.5" customHeight="1">
      <c r="A1083" s="19" t="s">
        <v>7127</v>
      </c>
      <c r="B1083" s="204" t="s">
        <v>32</v>
      </c>
      <c r="C1083" s="204" t="s">
        <v>12</v>
      </c>
      <c r="D1083" s="11" t="s">
        <v>45</v>
      </c>
      <c r="E1083" s="4" t="s">
        <v>2276</v>
      </c>
      <c r="F1083" s="4" t="s">
        <v>2276</v>
      </c>
      <c r="G1083" s="4" t="s">
        <v>2276</v>
      </c>
      <c r="H1083" s="4" t="s">
        <v>2276</v>
      </c>
      <c r="I1083" s="4" t="s">
        <v>2276</v>
      </c>
      <c r="J1083" s="204" t="s">
        <v>2276</v>
      </c>
      <c r="K1083" s="204" t="s">
        <v>2276</v>
      </c>
      <c r="L1083" s="204" t="s">
        <v>2276</v>
      </c>
      <c r="M1083" s="204" t="s">
        <v>2276</v>
      </c>
      <c r="N1083" s="204" t="s">
        <v>2276</v>
      </c>
      <c r="O1083" s="204" t="s">
        <v>2276</v>
      </c>
      <c r="P1083" s="204" t="s">
        <v>2276</v>
      </c>
      <c r="Q1083" s="204" t="s">
        <v>2276</v>
      </c>
      <c r="R1083" s="204" t="s">
        <v>2276</v>
      </c>
      <c r="S1083" s="204" t="s">
        <v>2276</v>
      </c>
      <c r="T1083" s="204"/>
    </row>
    <row r="1084" spans="1:20" ht="33" customHeight="1">
      <c r="A1084" s="19" t="s">
        <v>7128</v>
      </c>
      <c r="B1084" s="204" t="s">
        <v>32</v>
      </c>
      <c r="C1084" s="204" t="s">
        <v>12</v>
      </c>
      <c r="D1084" s="11" t="s">
        <v>45</v>
      </c>
      <c r="E1084" s="4" t="s">
        <v>3855</v>
      </c>
      <c r="F1084" s="204" t="s">
        <v>5801</v>
      </c>
      <c r="G1084" s="204" t="s">
        <v>84</v>
      </c>
      <c r="H1084" s="4" t="s">
        <v>2276</v>
      </c>
      <c r="I1084" s="4" t="s">
        <v>2276</v>
      </c>
      <c r="J1084" s="204" t="s">
        <v>2276</v>
      </c>
      <c r="K1084" s="204" t="s">
        <v>2276</v>
      </c>
      <c r="L1084" s="204" t="s">
        <v>2276</v>
      </c>
      <c r="M1084" s="204" t="s">
        <v>2276</v>
      </c>
      <c r="N1084" s="204" t="s">
        <v>2276</v>
      </c>
      <c r="O1084" s="204" t="s">
        <v>2276</v>
      </c>
      <c r="P1084" s="204" t="s">
        <v>2276</v>
      </c>
      <c r="Q1084" s="204" t="s">
        <v>2276</v>
      </c>
      <c r="R1084" s="204" t="s">
        <v>2276</v>
      </c>
      <c r="S1084" s="204" t="s">
        <v>2276</v>
      </c>
      <c r="T1084" s="204"/>
    </row>
    <row r="1085" spans="1:20" ht="35" customHeight="1">
      <c r="A1085" s="19" t="s">
        <v>7129</v>
      </c>
      <c r="B1085" s="204" t="s">
        <v>32</v>
      </c>
      <c r="C1085" s="204" t="s">
        <v>12</v>
      </c>
      <c r="D1085" s="11" t="s">
        <v>45</v>
      </c>
      <c r="E1085" s="4" t="s">
        <v>3855</v>
      </c>
      <c r="F1085" s="204" t="s">
        <v>5801</v>
      </c>
      <c r="G1085" s="204" t="s">
        <v>84</v>
      </c>
      <c r="H1085" s="4" t="s">
        <v>2276</v>
      </c>
      <c r="I1085" s="4" t="s">
        <v>2276</v>
      </c>
      <c r="J1085" s="204" t="s">
        <v>2276</v>
      </c>
      <c r="K1085" s="204" t="s">
        <v>2276</v>
      </c>
      <c r="L1085" s="204" t="s">
        <v>2276</v>
      </c>
      <c r="M1085" s="204" t="s">
        <v>2276</v>
      </c>
      <c r="N1085" s="204" t="s">
        <v>2276</v>
      </c>
      <c r="O1085" s="204" t="s">
        <v>2276</v>
      </c>
      <c r="P1085" s="204" t="s">
        <v>2276</v>
      </c>
      <c r="Q1085" s="204" t="s">
        <v>2276</v>
      </c>
      <c r="R1085" s="204" t="s">
        <v>2276</v>
      </c>
      <c r="S1085" s="204" t="s">
        <v>2276</v>
      </c>
      <c r="T1085" s="204"/>
    </row>
    <row r="1086" spans="1:20" ht="43" customHeight="1">
      <c r="A1086" s="19" t="s">
        <v>7130</v>
      </c>
      <c r="B1086" s="204" t="s">
        <v>70</v>
      </c>
      <c r="C1086" s="204" t="s">
        <v>12</v>
      </c>
      <c r="D1086" s="11" t="s">
        <v>45</v>
      </c>
      <c r="E1086" s="4" t="s">
        <v>3855</v>
      </c>
      <c r="F1086" s="204" t="s">
        <v>5801</v>
      </c>
      <c r="G1086" s="204" t="s">
        <v>137</v>
      </c>
      <c r="H1086" s="21">
        <v>0.45</v>
      </c>
      <c r="I1086" s="4" t="s">
        <v>2276</v>
      </c>
      <c r="J1086" s="204" t="s">
        <v>2276</v>
      </c>
      <c r="K1086" s="204" t="s">
        <v>2276</v>
      </c>
      <c r="L1086" s="204" t="s">
        <v>2276</v>
      </c>
      <c r="M1086" s="204" t="s">
        <v>2276</v>
      </c>
      <c r="N1086" s="204" t="s">
        <v>2276</v>
      </c>
      <c r="O1086" s="204" t="s">
        <v>2276</v>
      </c>
      <c r="P1086" s="204" t="s">
        <v>2276</v>
      </c>
      <c r="Q1086" s="204" t="s">
        <v>2276</v>
      </c>
      <c r="R1086" s="204" t="s">
        <v>2276</v>
      </c>
      <c r="S1086" s="204" t="s">
        <v>2276</v>
      </c>
      <c r="T1086" s="204"/>
    </row>
    <row r="1087" spans="1:20" ht="32" customHeight="1">
      <c r="A1087" s="19" t="s">
        <v>7131</v>
      </c>
      <c r="B1087" s="204" t="s">
        <v>2276</v>
      </c>
      <c r="C1087" s="204" t="s">
        <v>12</v>
      </c>
      <c r="D1087" s="11" t="s">
        <v>45</v>
      </c>
      <c r="E1087" s="204" t="s">
        <v>5801</v>
      </c>
      <c r="F1087" s="204" t="s">
        <v>137</v>
      </c>
      <c r="G1087" s="4" t="s">
        <v>2276</v>
      </c>
      <c r="H1087" s="21">
        <v>0.35</v>
      </c>
      <c r="I1087" s="4" t="s">
        <v>2276</v>
      </c>
      <c r="J1087" s="204" t="s">
        <v>2276</v>
      </c>
      <c r="K1087" s="204" t="s">
        <v>2276</v>
      </c>
      <c r="L1087" s="204" t="s">
        <v>2276</v>
      </c>
      <c r="M1087" s="204" t="s">
        <v>2276</v>
      </c>
      <c r="N1087" s="204" t="s">
        <v>2276</v>
      </c>
      <c r="O1087" s="204" t="s">
        <v>2276</v>
      </c>
      <c r="P1087" s="204" t="s">
        <v>2276</v>
      </c>
      <c r="Q1087" s="204" t="s">
        <v>2276</v>
      </c>
      <c r="R1087" s="204" t="s">
        <v>2276</v>
      </c>
      <c r="S1087" s="204" t="s">
        <v>2276</v>
      </c>
      <c r="T1087" s="204"/>
    </row>
    <row r="1088" spans="1:20" ht="26.5" customHeight="1">
      <c r="A1088" s="19" t="s">
        <v>7132</v>
      </c>
      <c r="B1088" s="204" t="s">
        <v>32</v>
      </c>
      <c r="C1088" s="204" t="s">
        <v>12</v>
      </c>
      <c r="D1088" s="11" t="s">
        <v>45</v>
      </c>
      <c r="E1088" s="204" t="s">
        <v>137</v>
      </c>
      <c r="F1088" s="204" t="s">
        <v>2647</v>
      </c>
      <c r="G1088" s="4" t="s">
        <v>2276</v>
      </c>
      <c r="H1088" s="21">
        <v>0.61</v>
      </c>
      <c r="I1088" s="4" t="s">
        <v>2276</v>
      </c>
      <c r="J1088" s="204" t="s">
        <v>2276</v>
      </c>
      <c r="K1088" s="204" t="s">
        <v>2276</v>
      </c>
      <c r="L1088" s="204" t="s">
        <v>2276</v>
      </c>
      <c r="M1088" s="204" t="s">
        <v>2276</v>
      </c>
      <c r="N1088" s="204" t="s">
        <v>2276</v>
      </c>
      <c r="O1088" s="204" t="s">
        <v>2276</v>
      </c>
      <c r="P1088" s="204" t="s">
        <v>2276</v>
      </c>
      <c r="Q1088" s="204" t="s">
        <v>2276</v>
      </c>
      <c r="R1088" s="204" t="s">
        <v>2276</v>
      </c>
      <c r="S1088" s="204" t="s">
        <v>2276</v>
      </c>
      <c r="T1088" s="204"/>
    </row>
    <row r="1089" spans="1:20" ht="23.5" customHeight="1">
      <c r="A1089" s="19" t="s">
        <v>7133</v>
      </c>
      <c r="B1089" s="204" t="s">
        <v>32</v>
      </c>
      <c r="C1089" s="204" t="s">
        <v>12</v>
      </c>
      <c r="D1089" s="11" t="s">
        <v>45</v>
      </c>
      <c r="E1089" s="204" t="s">
        <v>5801</v>
      </c>
      <c r="F1089" s="204"/>
      <c r="G1089" s="4" t="s">
        <v>2276</v>
      </c>
      <c r="H1089" s="21">
        <v>0.3</v>
      </c>
      <c r="I1089" s="4" t="s">
        <v>2276</v>
      </c>
      <c r="J1089" s="204" t="s">
        <v>2276</v>
      </c>
      <c r="K1089" s="204" t="s">
        <v>2276</v>
      </c>
      <c r="L1089" s="204" t="s">
        <v>2276</v>
      </c>
      <c r="M1089" s="204" t="s">
        <v>2276</v>
      </c>
      <c r="N1089" s="204" t="s">
        <v>2276</v>
      </c>
      <c r="O1089" s="204" t="s">
        <v>2276</v>
      </c>
      <c r="P1089" s="204" t="s">
        <v>2276</v>
      </c>
      <c r="Q1089" s="204" t="s">
        <v>2276</v>
      </c>
      <c r="R1089" s="204" t="s">
        <v>2276</v>
      </c>
      <c r="S1089" s="204" t="s">
        <v>2276</v>
      </c>
      <c r="T1089" s="204"/>
    </row>
    <row r="1090" spans="1:20" ht="33" customHeight="1">
      <c r="A1090" s="19" t="s">
        <v>7134</v>
      </c>
      <c r="B1090" s="204" t="s">
        <v>32</v>
      </c>
      <c r="C1090" s="204" t="s">
        <v>12</v>
      </c>
      <c r="D1090" s="11" t="s">
        <v>45</v>
      </c>
      <c r="E1090" s="204" t="s">
        <v>137</v>
      </c>
      <c r="F1090" s="4" t="s">
        <v>3855</v>
      </c>
      <c r="G1090" s="204" t="s">
        <v>5801</v>
      </c>
      <c r="H1090" s="21">
        <v>0.3</v>
      </c>
      <c r="I1090" s="4" t="s">
        <v>2276</v>
      </c>
      <c r="J1090" s="204" t="s">
        <v>2276</v>
      </c>
      <c r="K1090" s="204" t="s">
        <v>2276</v>
      </c>
      <c r="L1090" s="204" t="s">
        <v>2276</v>
      </c>
      <c r="M1090" s="204" t="s">
        <v>2276</v>
      </c>
      <c r="N1090" s="204" t="s">
        <v>2276</v>
      </c>
      <c r="O1090" s="204" t="s">
        <v>2276</v>
      </c>
      <c r="P1090" s="204" t="s">
        <v>2276</v>
      </c>
      <c r="Q1090" s="204" t="s">
        <v>2276</v>
      </c>
      <c r="R1090" s="204" t="s">
        <v>2276</v>
      </c>
      <c r="S1090" s="204" t="s">
        <v>2276</v>
      </c>
      <c r="T1090" s="204"/>
    </row>
    <row r="1091" spans="1:20" ht="23.5" customHeight="1">
      <c r="A1091" s="19" t="s">
        <v>7135</v>
      </c>
      <c r="B1091" s="204" t="s">
        <v>32</v>
      </c>
      <c r="C1091" s="204" t="s">
        <v>2645</v>
      </c>
      <c r="D1091" s="11" t="s">
        <v>45</v>
      </c>
      <c r="E1091" s="204" t="s">
        <v>137</v>
      </c>
      <c r="F1091" s="204" t="s">
        <v>84</v>
      </c>
      <c r="G1091" s="204" t="s">
        <v>2647</v>
      </c>
      <c r="H1091" s="21">
        <v>0.3</v>
      </c>
      <c r="I1091" s="4" t="s">
        <v>2276</v>
      </c>
      <c r="J1091" s="204" t="s">
        <v>2276</v>
      </c>
      <c r="K1091" s="204" t="s">
        <v>2276</v>
      </c>
      <c r="L1091" s="204" t="s">
        <v>2276</v>
      </c>
      <c r="M1091" s="204" t="s">
        <v>2276</v>
      </c>
      <c r="N1091" s="204" t="s">
        <v>2276</v>
      </c>
      <c r="O1091" s="204" t="s">
        <v>2276</v>
      </c>
      <c r="P1091" s="204" t="s">
        <v>2276</v>
      </c>
      <c r="Q1091" s="204" t="s">
        <v>2276</v>
      </c>
      <c r="R1091" s="204" t="s">
        <v>2276</v>
      </c>
      <c r="S1091" s="204" t="s">
        <v>2276</v>
      </c>
      <c r="T1091" s="204"/>
    </row>
    <row r="1092" spans="1:20" ht="23.5" customHeight="1">
      <c r="A1092" s="19" t="s">
        <v>7136</v>
      </c>
      <c r="B1092" s="204" t="s">
        <v>32</v>
      </c>
      <c r="C1092" s="204" t="s">
        <v>12</v>
      </c>
      <c r="D1092" s="11" t="s">
        <v>45</v>
      </c>
      <c r="E1092" s="204" t="s">
        <v>5801</v>
      </c>
      <c r="F1092" s="204" t="s">
        <v>2653</v>
      </c>
      <c r="G1092" s="204" t="s">
        <v>137</v>
      </c>
      <c r="H1092" s="21">
        <v>0.5</v>
      </c>
      <c r="I1092" s="4" t="s">
        <v>2276</v>
      </c>
      <c r="J1092" s="204" t="s">
        <v>2276</v>
      </c>
      <c r="K1092" s="204" t="s">
        <v>2276</v>
      </c>
      <c r="L1092" s="204" t="s">
        <v>2276</v>
      </c>
      <c r="M1092" s="204" t="s">
        <v>2276</v>
      </c>
      <c r="N1092" s="204" t="s">
        <v>2276</v>
      </c>
      <c r="O1092" s="21">
        <v>10</v>
      </c>
      <c r="P1092" s="204" t="s">
        <v>2276</v>
      </c>
      <c r="Q1092" s="204" t="s">
        <v>2276</v>
      </c>
      <c r="R1092" s="204" t="s">
        <v>2276</v>
      </c>
      <c r="S1092" s="204" t="s">
        <v>2276</v>
      </c>
      <c r="T1092" s="204"/>
    </row>
    <row r="1093" spans="1:20" ht="32" customHeight="1">
      <c r="A1093" s="19" t="s">
        <v>7137</v>
      </c>
      <c r="B1093" s="204" t="s">
        <v>32</v>
      </c>
      <c r="C1093" s="204" t="s">
        <v>12</v>
      </c>
      <c r="D1093" s="11" t="s">
        <v>45</v>
      </c>
      <c r="E1093" s="4" t="s">
        <v>396</v>
      </c>
      <c r="F1093" s="204" t="s">
        <v>2653</v>
      </c>
      <c r="G1093" s="204" t="s">
        <v>137</v>
      </c>
      <c r="H1093" s="4" t="s">
        <v>2276</v>
      </c>
      <c r="I1093" s="4" t="s">
        <v>2276</v>
      </c>
      <c r="J1093" s="204" t="s">
        <v>2276</v>
      </c>
      <c r="K1093" s="204" t="s">
        <v>2276</v>
      </c>
      <c r="L1093" s="204" t="s">
        <v>2276</v>
      </c>
      <c r="M1093" s="204" t="s">
        <v>2276</v>
      </c>
      <c r="N1093" s="204" t="s">
        <v>2276</v>
      </c>
      <c r="O1093" s="204" t="s">
        <v>2276</v>
      </c>
      <c r="P1093" s="204" t="s">
        <v>2276</v>
      </c>
      <c r="Q1093" s="204" t="s">
        <v>2276</v>
      </c>
      <c r="R1093" s="204" t="s">
        <v>2276</v>
      </c>
      <c r="S1093" s="204" t="s">
        <v>2276</v>
      </c>
      <c r="T1093" s="204"/>
    </row>
    <row r="1094" spans="1:20" ht="28" customHeight="1">
      <c r="A1094" s="19" t="s">
        <v>7138</v>
      </c>
      <c r="B1094" s="204" t="s">
        <v>32</v>
      </c>
      <c r="C1094" s="204" t="s">
        <v>12</v>
      </c>
      <c r="D1094" s="11" t="s">
        <v>45</v>
      </c>
      <c r="E1094" s="204" t="s">
        <v>137</v>
      </c>
      <c r="F1094" s="204" t="s">
        <v>2653</v>
      </c>
      <c r="G1094" s="204" t="s">
        <v>5801</v>
      </c>
      <c r="H1094" s="4" t="s">
        <v>2276</v>
      </c>
      <c r="I1094" s="4" t="s">
        <v>2276</v>
      </c>
      <c r="J1094" s="204" t="s">
        <v>2276</v>
      </c>
      <c r="K1094" s="204" t="s">
        <v>2276</v>
      </c>
      <c r="L1094" s="204" t="s">
        <v>2276</v>
      </c>
      <c r="M1094" s="204" t="s">
        <v>2276</v>
      </c>
      <c r="N1094" s="204" t="s">
        <v>2276</v>
      </c>
      <c r="O1094" s="204" t="s">
        <v>2276</v>
      </c>
      <c r="P1094" s="204" t="s">
        <v>2276</v>
      </c>
      <c r="Q1094" s="204" t="s">
        <v>2276</v>
      </c>
      <c r="R1094" s="204" t="s">
        <v>2276</v>
      </c>
      <c r="S1094" s="204" t="s">
        <v>2276</v>
      </c>
      <c r="T1094" s="204"/>
    </row>
    <row r="1095" spans="1:20" ht="23.5" customHeight="1">
      <c r="A1095" s="19" t="s">
        <v>7139</v>
      </c>
      <c r="B1095" s="204" t="s">
        <v>32</v>
      </c>
      <c r="C1095" s="204" t="s">
        <v>12</v>
      </c>
      <c r="D1095" s="11" t="s">
        <v>45</v>
      </c>
      <c r="E1095" s="204" t="s">
        <v>137</v>
      </c>
      <c r="F1095" s="4" t="s">
        <v>2276</v>
      </c>
      <c r="G1095" s="4" t="s">
        <v>2276</v>
      </c>
      <c r="H1095" s="4" t="s">
        <v>2276</v>
      </c>
      <c r="I1095" s="4" t="s">
        <v>2276</v>
      </c>
      <c r="J1095" s="204" t="s">
        <v>2276</v>
      </c>
      <c r="K1095" s="204" t="s">
        <v>2276</v>
      </c>
      <c r="L1095" s="204" t="s">
        <v>2276</v>
      </c>
      <c r="M1095" s="204" t="s">
        <v>2276</v>
      </c>
      <c r="N1095" s="204" t="s">
        <v>2276</v>
      </c>
      <c r="O1095" s="204" t="s">
        <v>2276</v>
      </c>
      <c r="P1095" s="204" t="s">
        <v>2276</v>
      </c>
      <c r="Q1095" s="204" t="s">
        <v>2276</v>
      </c>
      <c r="R1095" s="204" t="s">
        <v>2276</v>
      </c>
      <c r="S1095" s="204" t="s">
        <v>2276</v>
      </c>
      <c r="T1095" s="204"/>
    </row>
    <row r="1096" spans="1:20" ht="23.5" customHeight="1">
      <c r="A1096" s="19" t="s">
        <v>7140</v>
      </c>
      <c r="B1096" s="204" t="s">
        <v>32</v>
      </c>
      <c r="C1096" s="204" t="s">
        <v>12</v>
      </c>
      <c r="D1096" s="11" t="s">
        <v>45</v>
      </c>
      <c r="E1096" s="4" t="s">
        <v>2276</v>
      </c>
      <c r="F1096" s="4" t="s">
        <v>2276</v>
      </c>
      <c r="G1096" s="4" t="s">
        <v>2276</v>
      </c>
      <c r="H1096" s="4" t="s">
        <v>2276</v>
      </c>
      <c r="I1096" s="4" t="s">
        <v>2276</v>
      </c>
      <c r="J1096" s="204" t="s">
        <v>2276</v>
      </c>
      <c r="K1096" s="204" t="s">
        <v>2276</v>
      </c>
      <c r="L1096" s="204" t="s">
        <v>2276</v>
      </c>
      <c r="M1096" s="204" t="s">
        <v>2276</v>
      </c>
      <c r="N1096" s="204" t="s">
        <v>2276</v>
      </c>
      <c r="O1096" s="204" t="s">
        <v>2276</v>
      </c>
      <c r="P1096" s="204" t="s">
        <v>2276</v>
      </c>
      <c r="Q1096" s="204" t="s">
        <v>2276</v>
      </c>
      <c r="R1096" s="204" t="s">
        <v>2276</v>
      </c>
      <c r="S1096" s="204" t="s">
        <v>2276</v>
      </c>
      <c r="T1096" s="204"/>
    </row>
    <row r="1097" spans="1:20" ht="23.5" customHeight="1">
      <c r="A1097" s="19" t="s">
        <v>7141</v>
      </c>
      <c r="B1097" s="204" t="s">
        <v>32</v>
      </c>
      <c r="C1097" s="204" t="s">
        <v>12</v>
      </c>
      <c r="D1097" s="11" t="s">
        <v>45</v>
      </c>
      <c r="E1097" s="4" t="s">
        <v>2276</v>
      </c>
      <c r="F1097" s="4" t="s">
        <v>2276</v>
      </c>
      <c r="G1097" s="4" t="s">
        <v>2276</v>
      </c>
      <c r="H1097" s="4" t="s">
        <v>2276</v>
      </c>
      <c r="I1097" s="4" t="s">
        <v>2276</v>
      </c>
      <c r="J1097" s="204" t="s">
        <v>2276</v>
      </c>
      <c r="K1097" s="204" t="s">
        <v>2276</v>
      </c>
      <c r="L1097" s="204" t="s">
        <v>2276</v>
      </c>
      <c r="M1097" s="204" t="s">
        <v>2276</v>
      </c>
      <c r="N1097" s="204" t="s">
        <v>2276</v>
      </c>
      <c r="O1097" s="204" t="s">
        <v>2276</v>
      </c>
      <c r="P1097" s="204" t="s">
        <v>2276</v>
      </c>
      <c r="Q1097" s="204" t="s">
        <v>2276</v>
      </c>
      <c r="R1097" s="204" t="s">
        <v>2276</v>
      </c>
      <c r="S1097" s="204" t="s">
        <v>2276</v>
      </c>
      <c r="T1097" s="204"/>
    </row>
    <row r="1098" spans="1:20" ht="23.5" customHeight="1">
      <c r="A1098" s="19" t="s">
        <v>7142</v>
      </c>
      <c r="B1098" s="204" t="s">
        <v>32</v>
      </c>
      <c r="C1098" s="204" t="s">
        <v>12</v>
      </c>
      <c r="D1098" s="11" t="s">
        <v>45</v>
      </c>
      <c r="E1098" s="4" t="s">
        <v>2276</v>
      </c>
      <c r="F1098" s="4" t="s">
        <v>2276</v>
      </c>
      <c r="G1098" s="4" t="s">
        <v>2276</v>
      </c>
      <c r="H1098" s="4" t="s">
        <v>2276</v>
      </c>
      <c r="I1098" s="4" t="s">
        <v>2276</v>
      </c>
      <c r="J1098" s="204" t="s">
        <v>2276</v>
      </c>
      <c r="K1098" s="204" t="s">
        <v>2276</v>
      </c>
      <c r="L1098" s="204" t="s">
        <v>2276</v>
      </c>
      <c r="M1098" s="204" t="s">
        <v>2276</v>
      </c>
      <c r="N1098" s="204" t="s">
        <v>2276</v>
      </c>
      <c r="O1098" s="204" t="s">
        <v>2276</v>
      </c>
      <c r="P1098" s="204" t="s">
        <v>2276</v>
      </c>
      <c r="Q1098" s="204" t="s">
        <v>2276</v>
      </c>
      <c r="R1098" s="204" t="s">
        <v>2276</v>
      </c>
      <c r="S1098" s="204" t="s">
        <v>2276</v>
      </c>
      <c r="T1098" s="204"/>
    </row>
    <row r="1099" spans="1:20" ht="23.5" customHeight="1">
      <c r="A1099" s="19" t="s">
        <v>7143</v>
      </c>
      <c r="B1099" s="204" t="s">
        <v>32</v>
      </c>
      <c r="C1099" s="204" t="s">
        <v>12</v>
      </c>
      <c r="D1099" s="11" t="s">
        <v>45</v>
      </c>
      <c r="E1099" s="4" t="s">
        <v>2276</v>
      </c>
      <c r="F1099" s="4" t="s">
        <v>2276</v>
      </c>
      <c r="G1099" s="4" t="s">
        <v>2276</v>
      </c>
      <c r="H1099" s="4" t="s">
        <v>2276</v>
      </c>
      <c r="I1099" s="4" t="s">
        <v>2276</v>
      </c>
      <c r="J1099" s="204" t="s">
        <v>2276</v>
      </c>
      <c r="K1099" s="204" t="s">
        <v>2276</v>
      </c>
      <c r="L1099" s="204" t="s">
        <v>2276</v>
      </c>
      <c r="M1099" s="204" t="s">
        <v>2276</v>
      </c>
      <c r="N1099" s="204" t="s">
        <v>2276</v>
      </c>
      <c r="O1099" s="204" t="s">
        <v>2276</v>
      </c>
      <c r="P1099" s="204" t="s">
        <v>2276</v>
      </c>
      <c r="Q1099" s="204" t="s">
        <v>2276</v>
      </c>
      <c r="R1099" s="204" t="s">
        <v>2276</v>
      </c>
      <c r="S1099" s="204" t="s">
        <v>2276</v>
      </c>
      <c r="T1099" s="204"/>
    </row>
    <row r="1100" spans="1:20" ht="27" customHeight="1">
      <c r="A1100" s="19" t="s">
        <v>7164</v>
      </c>
      <c r="B1100" s="204" t="s">
        <v>32</v>
      </c>
      <c r="C1100" s="204" t="s">
        <v>12</v>
      </c>
      <c r="D1100" s="11" t="s">
        <v>45</v>
      </c>
      <c r="E1100" s="204" t="s">
        <v>137</v>
      </c>
      <c r="F1100" s="204" t="s">
        <v>5005</v>
      </c>
      <c r="G1100" s="4" t="s">
        <v>2276</v>
      </c>
      <c r="H1100" s="21">
        <v>0.26</v>
      </c>
      <c r="I1100" s="4" t="s">
        <v>2276</v>
      </c>
      <c r="J1100" s="204" t="s">
        <v>2276</v>
      </c>
      <c r="K1100" s="204" t="s">
        <v>2276</v>
      </c>
      <c r="L1100" s="204" t="s">
        <v>2276</v>
      </c>
      <c r="M1100" s="204" t="s">
        <v>2276</v>
      </c>
      <c r="N1100" s="204" t="s">
        <v>2276</v>
      </c>
      <c r="O1100" s="21">
        <v>21</v>
      </c>
      <c r="P1100" s="204" t="s">
        <v>2276</v>
      </c>
      <c r="Q1100" s="204" t="s">
        <v>2276</v>
      </c>
      <c r="R1100" s="204" t="s">
        <v>2276</v>
      </c>
      <c r="S1100" s="204" t="s">
        <v>2276</v>
      </c>
      <c r="T1100" s="204" t="s">
        <v>7220</v>
      </c>
    </row>
    <row r="1101" spans="1:20" ht="28" customHeight="1">
      <c r="A1101" s="19" t="s">
        <v>7165</v>
      </c>
      <c r="B1101" s="204" t="s">
        <v>32</v>
      </c>
      <c r="C1101" s="204" t="s">
        <v>12</v>
      </c>
      <c r="D1101" s="11" t="s">
        <v>45</v>
      </c>
      <c r="E1101" s="204" t="s">
        <v>137</v>
      </c>
      <c r="F1101" s="4" t="s">
        <v>2276</v>
      </c>
      <c r="G1101" s="4" t="s">
        <v>2276</v>
      </c>
      <c r="H1101" s="21">
        <v>0.35</v>
      </c>
      <c r="I1101" s="4" t="s">
        <v>2276</v>
      </c>
      <c r="J1101" s="204" t="s">
        <v>2276</v>
      </c>
      <c r="K1101" s="204" t="s">
        <v>2276</v>
      </c>
      <c r="L1101" s="204" t="s">
        <v>2276</v>
      </c>
      <c r="M1101" s="204" t="s">
        <v>2276</v>
      </c>
      <c r="N1101" s="204" t="s">
        <v>2276</v>
      </c>
      <c r="O1101" s="21">
        <v>44</v>
      </c>
      <c r="P1101" s="204" t="s">
        <v>2276</v>
      </c>
      <c r="Q1101" s="204" t="s">
        <v>2276</v>
      </c>
      <c r="R1101" s="204" t="s">
        <v>2276</v>
      </c>
      <c r="S1101" s="204" t="s">
        <v>2276</v>
      </c>
      <c r="T1101" s="204" t="s">
        <v>7220</v>
      </c>
    </row>
    <row r="1102" spans="1:20" ht="29" customHeight="1">
      <c r="A1102" s="19" t="s">
        <v>7166</v>
      </c>
      <c r="B1102" s="204" t="s">
        <v>32</v>
      </c>
      <c r="C1102" s="204" t="s">
        <v>12</v>
      </c>
      <c r="D1102" s="11" t="s">
        <v>45</v>
      </c>
      <c r="E1102" s="4" t="s">
        <v>2276</v>
      </c>
      <c r="F1102" s="4" t="s">
        <v>2276</v>
      </c>
      <c r="G1102" s="4" t="s">
        <v>2276</v>
      </c>
      <c r="H1102" s="21">
        <v>0.75</v>
      </c>
      <c r="I1102" s="4" t="s">
        <v>2276</v>
      </c>
      <c r="J1102" s="204" t="s">
        <v>2276</v>
      </c>
      <c r="K1102" s="204" t="s">
        <v>2276</v>
      </c>
      <c r="L1102" s="204" t="s">
        <v>2276</v>
      </c>
      <c r="M1102" s="204" t="s">
        <v>2276</v>
      </c>
      <c r="N1102" s="204" t="s">
        <v>2276</v>
      </c>
      <c r="O1102" s="21">
        <v>35</v>
      </c>
      <c r="P1102" s="204" t="s">
        <v>2276</v>
      </c>
      <c r="Q1102" s="204" t="s">
        <v>2276</v>
      </c>
      <c r="R1102" s="204" t="s">
        <v>2276</v>
      </c>
      <c r="S1102" s="204" t="s">
        <v>2276</v>
      </c>
      <c r="T1102" s="204" t="s">
        <v>7220</v>
      </c>
    </row>
    <row r="1103" spans="1:20" ht="32.5" customHeight="1">
      <c r="A1103" s="19" t="s">
        <v>7167</v>
      </c>
      <c r="B1103" s="204" t="s">
        <v>2276</v>
      </c>
      <c r="C1103" s="204" t="s">
        <v>12</v>
      </c>
      <c r="D1103" s="11" t="s">
        <v>45</v>
      </c>
      <c r="E1103" s="204" t="s">
        <v>137</v>
      </c>
      <c r="F1103" s="4" t="s">
        <v>3855</v>
      </c>
      <c r="G1103" s="4" t="s">
        <v>2276</v>
      </c>
      <c r="H1103" s="21">
        <v>0.89</v>
      </c>
      <c r="I1103" s="4" t="s">
        <v>2276</v>
      </c>
      <c r="J1103" s="204" t="s">
        <v>2276</v>
      </c>
      <c r="K1103" s="204" t="s">
        <v>2276</v>
      </c>
      <c r="L1103" s="204" t="s">
        <v>2276</v>
      </c>
      <c r="M1103" s="204" t="s">
        <v>2276</v>
      </c>
      <c r="N1103" s="204" t="s">
        <v>2276</v>
      </c>
      <c r="O1103" s="21">
        <v>26</v>
      </c>
      <c r="P1103" s="204" t="s">
        <v>2276</v>
      </c>
      <c r="Q1103" s="204" t="s">
        <v>2276</v>
      </c>
      <c r="R1103" s="204" t="s">
        <v>2276</v>
      </c>
      <c r="S1103" s="204" t="s">
        <v>2276</v>
      </c>
      <c r="T1103" s="204" t="s">
        <v>7220</v>
      </c>
    </row>
    <row r="1104" spans="1:20" ht="32" customHeight="1">
      <c r="A1104" s="19" t="s">
        <v>7168</v>
      </c>
      <c r="B1104" s="204" t="s">
        <v>1197</v>
      </c>
      <c r="C1104" s="204" t="s">
        <v>12</v>
      </c>
      <c r="D1104" s="11" t="s">
        <v>45</v>
      </c>
      <c r="E1104" s="4" t="s">
        <v>3855</v>
      </c>
      <c r="F1104" s="4" t="s">
        <v>2276</v>
      </c>
      <c r="G1104" s="4" t="s">
        <v>2276</v>
      </c>
      <c r="H1104" s="21">
        <v>1.1000000000000001</v>
      </c>
      <c r="I1104" s="4" t="s">
        <v>2276</v>
      </c>
      <c r="J1104" s="204" t="s">
        <v>2276</v>
      </c>
      <c r="K1104" s="204" t="s">
        <v>2276</v>
      </c>
      <c r="L1104" s="204" t="s">
        <v>2276</v>
      </c>
      <c r="M1104" s="204" t="s">
        <v>2276</v>
      </c>
      <c r="N1104" s="204" t="s">
        <v>2276</v>
      </c>
      <c r="O1104" s="21">
        <v>26</v>
      </c>
      <c r="P1104" s="204" t="s">
        <v>2276</v>
      </c>
      <c r="Q1104" s="204" t="s">
        <v>2276</v>
      </c>
      <c r="R1104" s="204" t="s">
        <v>2276</v>
      </c>
      <c r="S1104" s="204" t="s">
        <v>2276</v>
      </c>
      <c r="T1104" s="204" t="s">
        <v>7220</v>
      </c>
    </row>
    <row r="1105" spans="1:20" ht="29" customHeight="1">
      <c r="A1105" s="19" t="s">
        <v>7169</v>
      </c>
      <c r="B1105" s="204" t="s">
        <v>2258</v>
      </c>
      <c r="C1105" s="204" t="s">
        <v>12</v>
      </c>
      <c r="D1105" s="11" t="s">
        <v>45</v>
      </c>
      <c r="E1105" s="4" t="s">
        <v>2276</v>
      </c>
      <c r="F1105" s="4" t="s">
        <v>2276</v>
      </c>
      <c r="G1105" s="4" t="s">
        <v>2276</v>
      </c>
      <c r="H1105" s="21">
        <v>0.9</v>
      </c>
      <c r="I1105" s="4" t="s">
        <v>2276</v>
      </c>
      <c r="J1105" s="204" t="s">
        <v>2276</v>
      </c>
      <c r="K1105" s="204" t="s">
        <v>2276</v>
      </c>
      <c r="L1105" s="204" t="s">
        <v>2276</v>
      </c>
      <c r="M1105" s="204" t="s">
        <v>2276</v>
      </c>
      <c r="N1105" s="204" t="s">
        <v>2276</v>
      </c>
      <c r="O1105" s="21">
        <v>64</v>
      </c>
      <c r="P1105" s="204" t="s">
        <v>2276</v>
      </c>
      <c r="Q1105" s="204" t="s">
        <v>2276</v>
      </c>
      <c r="R1105" s="204" t="s">
        <v>2276</v>
      </c>
      <c r="S1105" s="204" t="s">
        <v>2276</v>
      </c>
      <c r="T1105" s="204" t="s">
        <v>7220</v>
      </c>
    </row>
    <row r="1106" spans="1:20" ht="28" customHeight="1">
      <c r="A1106" s="19" t="s">
        <v>7170</v>
      </c>
      <c r="B1106" s="204" t="s">
        <v>32</v>
      </c>
      <c r="C1106" s="204" t="s">
        <v>12</v>
      </c>
      <c r="D1106" s="11" t="s">
        <v>45</v>
      </c>
      <c r="E1106" s="4" t="s">
        <v>2276</v>
      </c>
      <c r="F1106" s="4" t="s">
        <v>2276</v>
      </c>
      <c r="G1106" s="4" t="s">
        <v>2276</v>
      </c>
      <c r="H1106" s="21">
        <v>0.84</v>
      </c>
      <c r="I1106" s="4" t="s">
        <v>2276</v>
      </c>
      <c r="J1106" s="204" t="s">
        <v>2276</v>
      </c>
      <c r="K1106" s="204" t="s">
        <v>2276</v>
      </c>
      <c r="L1106" s="204" t="s">
        <v>2276</v>
      </c>
      <c r="M1106" s="204" t="s">
        <v>2276</v>
      </c>
      <c r="N1106" s="204" t="s">
        <v>2276</v>
      </c>
      <c r="O1106" s="21">
        <v>40</v>
      </c>
      <c r="P1106" s="204" t="s">
        <v>2276</v>
      </c>
      <c r="Q1106" s="204" t="s">
        <v>2276</v>
      </c>
      <c r="R1106" s="204" t="s">
        <v>2276</v>
      </c>
      <c r="S1106" s="204" t="s">
        <v>2276</v>
      </c>
      <c r="T1106" s="204" t="s">
        <v>7220</v>
      </c>
    </row>
    <row r="1107" spans="1:20" ht="23.5" customHeight="1">
      <c r="A1107" s="19" t="s">
        <v>7171</v>
      </c>
      <c r="B1107" s="204" t="s">
        <v>69</v>
      </c>
      <c r="C1107" s="204" t="s">
        <v>12</v>
      </c>
      <c r="D1107" s="11" t="s">
        <v>45</v>
      </c>
      <c r="E1107" s="204" t="s">
        <v>5801</v>
      </c>
      <c r="F1107" s="4" t="s">
        <v>2276</v>
      </c>
      <c r="G1107" s="4" t="s">
        <v>2276</v>
      </c>
      <c r="H1107" s="21">
        <v>0.2</v>
      </c>
      <c r="I1107" s="4" t="s">
        <v>2276</v>
      </c>
      <c r="J1107" s="204" t="s">
        <v>2276</v>
      </c>
      <c r="K1107" s="204" t="s">
        <v>2276</v>
      </c>
      <c r="L1107" s="204" t="s">
        <v>2276</v>
      </c>
      <c r="M1107" s="204" t="s">
        <v>2276</v>
      </c>
      <c r="N1107" s="204" t="s">
        <v>2276</v>
      </c>
      <c r="O1107" s="21">
        <v>35</v>
      </c>
      <c r="P1107" s="204" t="s">
        <v>2276</v>
      </c>
      <c r="Q1107" s="204" t="s">
        <v>2276</v>
      </c>
      <c r="R1107" s="204" t="s">
        <v>2276</v>
      </c>
      <c r="S1107" s="204" t="s">
        <v>2276</v>
      </c>
      <c r="T1107" s="204" t="s">
        <v>7220</v>
      </c>
    </row>
    <row r="1108" spans="1:20" ht="36.5" customHeight="1">
      <c r="A1108" s="19" t="s">
        <v>7172</v>
      </c>
      <c r="B1108" s="204" t="s">
        <v>2276</v>
      </c>
      <c r="C1108" s="204" t="s">
        <v>12</v>
      </c>
      <c r="D1108" s="11" t="s">
        <v>45</v>
      </c>
      <c r="E1108" s="204" t="s">
        <v>5005</v>
      </c>
      <c r="F1108" s="4" t="s">
        <v>3855</v>
      </c>
      <c r="G1108" s="4" t="s">
        <v>2276</v>
      </c>
      <c r="H1108" s="21">
        <v>1.6</v>
      </c>
      <c r="I1108" s="4" t="s">
        <v>2276</v>
      </c>
      <c r="J1108" s="204" t="s">
        <v>2276</v>
      </c>
      <c r="K1108" s="204" t="s">
        <v>2276</v>
      </c>
      <c r="L1108" s="204" t="s">
        <v>2276</v>
      </c>
      <c r="M1108" s="204" t="s">
        <v>2276</v>
      </c>
      <c r="N1108" s="204" t="s">
        <v>2276</v>
      </c>
      <c r="O1108" s="21">
        <v>46</v>
      </c>
      <c r="P1108" s="204" t="s">
        <v>2276</v>
      </c>
      <c r="Q1108" s="204" t="s">
        <v>2276</v>
      </c>
      <c r="R1108" s="204" t="s">
        <v>2276</v>
      </c>
      <c r="S1108" s="204" t="s">
        <v>2276</v>
      </c>
      <c r="T1108" s="204" t="s">
        <v>7220</v>
      </c>
    </row>
    <row r="1109" spans="1:20" ht="35" customHeight="1">
      <c r="A1109" s="19" t="s">
        <v>7173</v>
      </c>
      <c r="B1109" s="204" t="s">
        <v>2258</v>
      </c>
      <c r="C1109" s="204" t="s">
        <v>12</v>
      </c>
      <c r="D1109" s="11" t="s">
        <v>45</v>
      </c>
      <c r="E1109" s="204" t="s">
        <v>5005</v>
      </c>
      <c r="F1109" s="4" t="s">
        <v>3855</v>
      </c>
      <c r="G1109" s="4" t="s">
        <v>2276</v>
      </c>
      <c r="H1109" s="21">
        <v>0.38</v>
      </c>
      <c r="I1109" s="4" t="s">
        <v>2276</v>
      </c>
      <c r="J1109" s="204" t="s">
        <v>2276</v>
      </c>
      <c r="K1109" s="204" t="s">
        <v>2276</v>
      </c>
      <c r="L1109" s="204" t="s">
        <v>2276</v>
      </c>
      <c r="M1109" s="204" t="s">
        <v>2276</v>
      </c>
      <c r="N1109" s="204" t="s">
        <v>2276</v>
      </c>
      <c r="O1109" s="21">
        <v>46</v>
      </c>
      <c r="P1109" s="204" t="s">
        <v>2276</v>
      </c>
      <c r="Q1109" s="204" t="s">
        <v>2276</v>
      </c>
      <c r="R1109" s="204" t="s">
        <v>2276</v>
      </c>
      <c r="S1109" s="204" t="s">
        <v>2276</v>
      </c>
      <c r="T1109" s="204" t="s">
        <v>7220</v>
      </c>
    </row>
    <row r="1110" spans="1:20" ht="25" customHeight="1">
      <c r="A1110" s="19" t="s">
        <v>7234</v>
      </c>
      <c r="B1110" s="204" t="s">
        <v>2276</v>
      </c>
      <c r="C1110" s="204" t="s">
        <v>2276</v>
      </c>
      <c r="D1110" s="204" t="s">
        <v>2649</v>
      </c>
      <c r="E1110" s="204" t="s">
        <v>137</v>
      </c>
      <c r="F1110" s="204" t="s">
        <v>2276</v>
      </c>
      <c r="G1110" s="204" t="s">
        <v>2276</v>
      </c>
      <c r="H1110" s="204" t="s">
        <v>2276</v>
      </c>
      <c r="I1110" s="204" t="s">
        <v>2276</v>
      </c>
      <c r="J1110" s="204" t="s">
        <v>2276</v>
      </c>
      <c r="K1110" s="204" t="s">
        <v>2276</v>
      </c>
      <c r="L1110" s="204" t="s">
        <v>2276</v>
      </c>
      <c r="M1110" s="204" t="s">
        <v>2276</v>
      </c>
      <c r="N1110" s="204" t="s">
        <v>2276</v>
      </c>
      <c r="O1110" s="204" t="s">
        <v>2276</v>
      </c>
      <c r="P1110" s="204" t="s">
        <v>2276</v>
      </c>
      <c r="Q1110" s="204" t="s">
        <v>2276</v>
      </c>
      <c r="R1110" s="204" t="s">
        <v>2276</v>
      </c>
      <c r="S1110" s="204" t="s">
        <v>2276</v>
      </c>
      <c r="T1110" s="204"/>
    </row>
    <row r="1111" spans="1:20" ht="28" customHeight="1">
      <c r="A1111" s="19" t="s">
        <v>7235</v>
      </c>
      <c r="B1111" s="204" t="s">
        <v>2276</v>
      </c>
      <c r="C1111" s="204" t="s">
        <v>2645</v>
      </c>
      <c r="D1111" s="204" t="s">
        <v>2649</v>
      </c>
      <c r="E1111" s="204" t="s">
        <v>137</v>
      </c>
      <c r="F1111" s="204" t="s">
        <v>2276</v>
      </c>
      <c r="G1111" s="204" t="s">
        <v>2276</v>
      </c>
      <c r="H1111" s="204" t="s">
        <v>2276</v>
      </c>
      <c r="I1111" s="204" t="s">
        <v>2276</v>
      </c>
      <c r="J1111" s="204" t="s">
        <v>2276</v>
      </c>
      <c r="K1111" s="204" t="s">
        <v>2276</v>
      </c>
      <c r="L1111" s="204" t="s">
        <v>2276</v>
      </c>
      <c r="M1111" s="204" t="s">
        <v>2276</v>
      </c>
      <c r="N1111" s="204" t="s">
        <v>2276</v>
      </c>
      <c r="O1111" s="204" t="s">
        <v>2276</v>
      </c>
      <c r="P1111" s="204" t="s">
        <v>2276</v>
      </c>
      <c r="Q1111" s="204" t="s">
        <v>2276</v>
      </c>
      <c r="R1111" s="204" t="s">
        <v>2276</v>
      </c>
      <c r="S1111" s="204" t="s">
        <v>2276</v>
      </c>
      <c r="T1111" s="204"/>
    </row>
    <row r="1112" spans="1:20" ht="25" customHeight="1">
      <c r="A1112" s="19" t="s">
        <v>7236</v>
      </c>
      <c r="B1112" s="204" t="s">
        <v>2276</v>
      </c>
      <c r="C1112" s="204" t="s">
        <v>2646</v>
      </c>
      <c r="D1112" s="204" t="s">
        <v>137</v>
      </c>
      <c r="E1112" s="204" t="s">
        <v>45</v>
      </c>
      <c r="F1112" s="204" t="s">
        <v>2276</v>
      </c>
      <c r="G1112" s="204" t="s">
        <v>2276</v>
      </c>
      <c r="H1112" s="204" t="s">
        <v>2276</v>
      </c>
      <c r="I1112" s="204" t="s">
        <v>2276</v>
      </c>
      <c r="J1112" s="204" t="s">
        <v>2276</v>
      </c>
      <c r="K1112" s="204" t="s">
        <v>2276</v>
      </c>
      <c r="L1112" s="204" t="s">
        <v>2276</v>
      </c>
      <c r="M1112" s="204" t="s">
        <v>2276</v>
      </c>
      <c r="N1112" s="204" t="s">
        <v>2276</v>
      </c>
      <c r="O1112" s="204" t="s">
        <v>2276</v>
      </c>
      <c r="P1112" s="204" t="s">
        <v>2276</v>
      </c>
      <c r="Q1112" s="204" t="s">
        <v>2276</v>
      </c>
      <c r="R1112" s="204" t="s">
        <v>2276</v>
      </c>
      <c r="S1112" s="204" t="s">
        <v>2276</v>
      </c>
      <c r="T1112" s="204"/>
    </row>
    <row r="1113" spans="1:20" ht="25" customHeight="1">
      <c r="A1113" s="19" t="s">
        <v>7237</v>
      </c>
      <c r="B1113" s="204" t="s">
        <v>2276</v>
      </c>
      <c r="C1113" s="204" t="s">
        <v>2646</v>
      </c>
      <c r="D1113" s="204" t="s">
        <v>137</v>
      </c>
      <c r="E1113" s="204" t="s">
        <v>45</v>
      </c>
      <c r="F1113" s="204" t="s">
        <v>2276</v>
      </c>
      <c r="G1113" s="204" t="s">
        <v>2276</v>
      </c>
      <c r="H1113" s="204" t="s">
        <v>2276</v>
      </c>
      <c r="I1113" s="204" t="s">
        <v>2276</v>
      </c>
      <c r="J1113" s="204" t="s">
        <v>2276</v>
      </c>
      <c r="K1113" s="204" t="s">
        <v>2276</v>
      </c>
      <c r="L1113" s="204" t="s">
        <v>2276</v>
      </c>
      <c r="M1113" s="204" t="s">
        <v>2276</v>
      </c>
      <c r="N1113" s="204" t="s">
        <v>2276</v>
      </c>
      <c r="O1113" s="204" t="s">
        <v>2276</v>
      </c>
      <c r="P1113" s="204" t="s">
        <v>2276</v>
      </c>
      <c r="Q1113" s="204" t="s">
        <v>2276</v>
      </c>
      <c r="R1113" s="204" t="s">
        <v>2276</v>
      </c>
      <c r="S1113" s="204" t="s">
        <v>2276</v>
      </c>
      <c r="T1113" s="204"/>
    </row>
    <row r="1114" spans="1:20" ht="25" customHeight="1">
      <c r="A1114" s="19" t="s">
        <v>7238</v>
      </c>
      <c r="B1114" s="204" t="s">
        <v>2276</v>
      </c>
      <c r="C1114" s="204" t="s">
        <v>2646</v>
      </c>
      <c r="D1114" s="204" t="s">
        <v>137</v>
      </c>
      <c r="E1114" s="204" t="s">
        <v>45</v>
      </c>
      <c r="F1114" s="204" t="s">
        <v>2276</v>
      </c>
      <c r="G1114" s="204" t="s">
        <v>2276</v>
      </c>
      <c r="H1114" s="204" t="s">
        <v>2276</v>
      </c>
      <c r="I1114" s="204" t="s">
        <v>2276</v>
      </c>
      <c r="J1114" s="204" t="s">
        <v>2276</v>
      </c>
      <c r="K1114" s="204" t="s">
        <v>2276</v>
      </c>
      <c r="L1114" s="204" t="s">
        <v>2276</v>
      </c>
      <c r="M1114" s="204" t="s">
        <v>2276</v>
      </c>
      <c r="N1114" s="204" t="s">
        <v>2276</v>
      </c>
      <c r="O1114" s="204" t="s">
        <v>2276</v>
      </c>
      <c r="P1114" s="204" t="s">
        <v>2276</v>
      </c>
      <c r="Q1114" s="204" t="s">
        <v>2276</v>
      </c>
      <c r="R1114" s="204" t="s">
        <v>2276</v>
      </c>
      <c r="S1114" s="204" t="s">
        <v>2276</v>
      </c>
      <c r="T1114" s="204"/>
    </row>
    <row r="1115" spans="1:20" ht="41.5" customHeight="1">
      <c r="A1115" s="19" t="s">
        <v>7268</v>
      </c>
      <c r="B1115" s="204" t="s">
        <v>2276</v>
      </c>
      <c r="C1115" s="204" t="s">
        <v>2276</v>
      </c>
      <c r="D1115" s="204" t="s">
        <v>3209</v>
      </c>
      <c r="E1115" s="204" t="s">
        <v>2276</v>
      </c>
      <c r="F1115" s="204" t="s">
        <v>2276</v>
      </c>
      <c r="G1115" s="204" t="s">
        <v>2276</v>
      </c>
      <c r="H1115" s="204" t="s">
        <v>2276</v>
      </c>
      <c r="I1115" s="204" t="s">
        <v>2276</v>
      </c>
      <c r="J1115" s="204" t="s">
        <v>2276</v>
      </c>
      <c r="K1115" s="204" t="s">
        <v>2276</v>
      </c>
      <c r="L1115" s="204" t="s">
        <v>2276</v>
      </c>
      <c r="M1115" s="204" t="s">
        <v>2276</v>
      </c>
      <c r="N1115" s="204" t="s">
        <v>2276</v>
      </c>
      <c r="O1115" s="204" t="s">
        <v>2276</v>
      </c>
      <c r="P1115" s="204" t="s">
        <v>2276</v>
      </c>
      <c r="Q1115" s="204" t="s">
        <v>2276</v>
      </c>
      <c r="R1115" s="204" t="s">
        <v>2276</v>
      </c>
      <c r="S1115" s="204" t="s">
        <v>2276</v>
      </c>
      <c r="T1115" s="4" t="s">
        <v>7634</v>
      </c>
    </row>
    <row r="1116" spans="1:20" ht="41.5" customHeight="1">
      <c r="A1116" s="19" t="s">
        <v>7281</v>
      </c>
      <c r="B1116" s="204" t="s">
        <v>2276</v>
      </c>
      <c r="C1116" s="204" t="s">
        <v>2276</v>
      </c>
      <c r="D1116" s="204" t="s">
        <v>3209</v>
      </c>
      <c r="E1116" s="204" t="s">
        <v>2276</v>
      </c>
      <c r="F1116" s="204" t="s">
        <v>2276</v>
      </c>
      <c r="G1116" s="204" t="s">
        <v>2276</v>
      </c>
      <c r="H1116" s="204" t="s">
        <v>2276</v>
      </c>
      <c r="I1116" s="204" t="s">
        <v>2276</v>
      </c>
      <c r="J1116" s="204" t="s">
        <v>2276</v>
      </c>
      <c r="K1116" s="204" t="s">
        <v>2276</v>
      </c>
      <c r="L1116" s="204" t="s">
        <v>2276</v>
      </c>
      <c r="M1116" s="204" t="s">
        <v>2276</v>
      </c>
      <c r="N1116" s="204" t="s">
        <v>2276</v>
      </c>
      <c r="O1116" s="204" t="s">
        <v>2276</v>
      </c>
      <c r="P1116" s="204" t="s">
        <v>2276</v>
      </c>
      <c r="Q1116" s="204" t="s">
        <v>2276</v>
      </c>
      <c r="R1116" s="204" t="s">
        <v>2276</v>
      </c>
      <c r="S1116" s="204" t="s">
        <v>2276</v>
      </c>
      <c r="T1116" s="4" t="s">
        <v>7634</v>
      </c>
    </row>
    <row r="1117" spans="1:20" ht="41.5" customHeight="1">
      <c r="A1117" s="19" t="s">
        <v>7282</v>
      </c>
      <c r="B1117" s="204" t="s">
        <v>2276</v>
      </c>
      <c r="C1117" s="204" t="s">
        <v>2276</v>
      </c>
      <c r="D1117" s="204" t="s">
        <v>3209</v>
      </c>
      <c r="E1117" s="204" t="s">
        <v>2276</v>
      </c>
      <c r="F1117" s="204" t="s">
        <v>2276</v>
      </c>
      <c r="G1117" s="204" t="s">
        <v>2276</v>
      </c>
      <c r="H1117" s="204" t="s">
        <v>2276</v>
      </c>
      <c r="I1117" s="204" t="s">
        <v>2276</v>
      </c>
      <c r="J1117" s="204" t="s">
        <v>2276</v>
      </c>
      <c r="K1117" s="204" t="s">
        <v>2276</v>
      </c>
      <c r="L1117" s="204" t="s">
        <v>2276</v>
      </c>
      <c r="M1117" s="204" t="s">
        <v>2276</v>
      </c>
      <c r="N1117" s="204" t="s">
        <v>2276</v>
      </c>
      <c r="O1117" s="204" t="s">
        <v>2276</v>
      </c>
      <c r="P1117" s="204" t="s">
        <v>2276</v>
      </c>
      <c r="Q1117" s="204" t="s">
        <v>2276</v>
      </c>
      <c r="R1117" s="204" t="s">
        <v>2276</v>
      </c>
      <c r="S1117" s="204" t="s">
        <v>2276</v>
      </c>
      <c r="T1117" s="4" t="s">
        <v>7634</v>
      </c>
    </row>
    <row r="1118" spans="1:20" ht="41.5" customHeight="1">
      <c r="A1118" s="19" t="s">
        <v>7283</v>
      </c>
      <c r="B1118" s="204" t="s">
        <v>2276</v>
      </c>
      <c r="C1118" s="204" t="s">
        <v>2276</v>
      </c>
      <c r="D1118" s="204" t="s">
        <v>3209</v>
      </c>
      <c r="E1118" s="204" t="s">
        <v>2276</v>
      </c>
      <c r="F1118" s="204" t="s">
        <v>2276</v>
      </c>
      <c r="G1118" s="204" t="s">
        <v>2276</v>
      </c>
      <c r="H1118" s="204" t="s">
        <v>2276</v>
      </c>
      <c r="I1118" s="204" t="s">
        <v>2276</v>
      </c>
      <c r="J1118" s="204" t="s">
        <v>2276</v>
      </c>
      <c r="K1118" s="204" t="s">
        <v>2276</v>
      </c>
      <c r="L1118" s="204" t="s">
        <v>2276</v>
      </c>
      <c r="M1118" s="204" t="s">
        <v>2276</v>
      </c>
      <c r="N1118" s="204" t="s">
        <v>2276</v>
      </c>
      <c r="O1118" s="204" t="s">
        <v>2276</v>
      </c>
      <c r="P1118" s="204" t="s">
        <v>2276</v>
      </c>
      <c r="Q1118" s="204" t="s">
        <v>2276</v>
      </c>
      <c r="R1118" s="204" t="s">
        <v>2276</v>
      </c>
      <c r="S1118" s="204" t="s">
        <v>2276</v>
      </c>
      <c r="T1118" s="4" t="s">
        <v>7634</v>
      </c>
    </row>
    <row r="1119" spans="1:20" ht="41.5" customHeight="1">
      <c r="A1119" s="19" t="s">
        <v>7284</v>
      </c>
      <c r="B1119" s="204" t="s">
        <v>2276</v>
      </c>
      <c r="C1119" s="204" t="s">
        <v>2276</v>
      </c>
      <c r="D1119" s="204" t="s">
        <v>3209</v>
      </c>
      <c r="E1119" s="204" t="s">
        <v>2276</v>
      </c>
      <c r="F1119" s="204" t="s">
        <v>2276</v>
      </c>
      <c r="G1119" s="204" t="s">
        <v>2276</v>
      </c>
      <c r="H1119" s="204" t="s">
        <v>2276</v>
      </c>
      <c r="I1119" s="204" t="s">
        <v>2276</v>
      </c>
      <c r="J1119" s="204" t="s">
        <v>2276</v>
      </c>
      <c r="K1119" s="204" t="s">
        <v>2276</v>
      </c>
      <c r="L1119" s="204" t="s">
        <v>2276</v>
      </c>
      <c r="M1119" s="204" t="s">
        <v>2276</v>
      </c>
      <c r="N1119" s="204" t="s">
        <v>2276</v>
      </c>
      <c r="O1119" s="204" t="s">
        <v>2276</v>
      </c>
      <c r="P1119" s="204" t="s">
        <v>2276</v>
      </c>
      <c r="Q1119" s="204" t="s">
        <v>2276</v>
      </c>
      <c r="R1119" s="204" t="s">
        <v>2276</v>
      </c>
      <c r="S1119" s="204" t="s">
        <v>2276</v>
      </c>
      <c r="T1119" s="4" t="s">
        <v>7634</v>
      </c>
    </row>
    <row r="1120" spans="1:20" ht="41.5" customHeight="1">
      <c r="A1120" s="19" t="s">
        <v>7285</v>
      </c>
      <c r="B1120" s="204" t="s">
        <v>2276</v>
      </c>
      <c r="C1120" s="204" t="s">
        <v>2276</v>
      </c>
      <c r="D1120" s="204" t="s">
        <v>3209</v>
      </c>
      <c r="E1120" s="204" t="s">
        <v>2276</v>
      </c>
      <c r="F1120" s="204" t="s">
        <v>2276</v>
      </c>
      <c r="G1120" s="204" t="s">
        <v>2276</v>
      </c>
      <c r="H1120" s="204" t="s">
        <v>2276</v>
      </c>
      <c r="I1120" s="204" t="s">
        <v>2276</v>
      </c>
      <c r="J1120" s="204" t="s">
        <v>2276</v>
      </c>
      <c r="K1120" s="204" t="s">
        <v>2276</v>
      </c>
      <c r="L1120" s="204" t="s">
        <v>2276</v>
      </c>
      <c r="M1120" s="204" t="s">
        <v>2276</v>
      </c>
      <c r="N1120" s="204" t="s">
        <v>2276</v>
      </c>
      <c r="O1120" s="204" t="s">
        <v>2276</v>
      </c>
      <c r="P1120" s="204" t="s">
        <v>2276</v>
      </c>
      <c r="Q1120" s="204" t="s">
        <v>2276</v>
      </c>
      <c r="R1120" s="204" t="s">
        <v>2276</v>
      </c>
      <c r="S1120" s="204" t="s">
        <v>2276</v>
      </c>
      <c r="T1120" s="4" t="s">
        <v>7634</v>
      </c>
    </row>
    <row r="1121" spans="1:20" ht="41.5" customHeight="1">
      <c r="A1121" s="19" t="s">
        <v>7286</v>
      </c>
      <c r="B1121" s="204" t="s">
        <v>2276</v>
      </c>
      <c r="C1121" s="204" t="s">
        <v>2276</v>
      </c>
      <c r="D1121" s="204" t="s">
        <v>3209</v>
      </c>
      <c r="E1121" s="204" t="s">
        <v>2276</v>
      </c>
      <c r="F1121" s="204" t="s">
        <v>2276</v>
      </c>
      <c r="G1121" s="204" t="s">
        <v>2276</v>
      </c>
      <c r="H1121" s="204" t="s">
        <v>2276</v>
      </c>
      <c r="I1121" s="204" t="s">
        <v>2276</v>
      </c>
      <c r="J1121" s="204" t="s">
        <v>2276</v>
      </c>
      <c r="K1121" s="204" t="s">
        <v>2276</v>
      </c>
      <c r="L1121" s="204" t="s">
        <v>2276</v>
      </c>
      <c r="M1121" s="204" t="s">
        <v>2276</v>
      </c>
      <c r="N1121" s="204" t="s">
        <v>2276</v>
      </c>
      <c r="O1121" s="204" t="s">
        <v>2276</v>
      </c>
      <c r="P1121" s="204" t="s">
        <v>2276</v>
      </c>
      <c r="Q1121" s="204" t="s">
        <v>2276</v>
      </c>
      <c r="R1121" s="204" t="s">
        <v>2276</v>
      </c>
      <c r="S1121" s="204" t="s">
        <v>2276</v>
      </c>
      <c r="T1121" s="4" t="s">
        <v>7634</v>
      </c>
    </row>
    <row r="1122" spans="1:20" ht="41.5" customHeight="1">
      <c r="A1122" s="19" t="s">
        <v>7287</v>
      </c>
      <c r="B1122" s="204" t="s">
        <v>2276</v>
      </c>
      <c r="C1122" s="204" t="s">
        <v>2276</v>
      </c>
      <c r="D1122" s="204" t="s">
        <v>3209</v>
      </c>
      <c r="E1122" s="204" t="s">
        <v>2276</v>
      </c>
      <c r="F1122" s="204" t="s">
        <v>2276</v>
      </c>
      <c r="G1122" s="204" t="s">
        <v>2276</v>
      </c>
      <c r="H1122" s="204" t="s">
        <v>2276</v>
      </c>
      <c r="I1122" s="204" t="s">
        <v>2276</v>
      </c>
      <c r="J1122" s="204" t="s">
        <v>2276</v>
      </c>
      <c r="K1122" s="204" t="s">
        <v>2276</v>
      </c>
      <c r="L1122" s="204" t="s">
        <v>2276</v>
      </c>
      <c r="M1122" s="204" t="s">
        <v>2276</v>
      </c>
      <c r="N1122" s="204" t="s">
        <v>2276</v>
      </c>
      <c r="O1122" s="204" t="s">
        <v>2276</v>
      </c>
      <c r="P1122" s="204" t="s">
        <v>2276</v>
      </c>
      <c r="Q1122" s="204" t="s">
        <v>2276</v>
      </c>
      <c r="R1122" s="204" t="s">
        <v>2276</v>
      </c>
      <c r="S1122" s="204" t="s">
        <v>2276</v>
      </c>
      <c r="T1122" s="4" t="s">
        <v>7634</v>
      </c>
    </row>
    <row r="1123" spans="1:20" ht="41.5" customHeight="1">
      <c r="A1123" s="19" t="s">
        <v>7288</v>
      </c>
      <c r="B1123" s="204" t="s">
        <v>2276</v>
      </c>
      <c r="C1123" s="204" t="s">
        <v>2646</v>
      </c>
      <c r="D1123" s="204" t="s">
        <v>3209</v>
      </c>
      <c r="E1123" s="204" t="s">
        <v>2276</v>
      </c>
      <c r="F1123" s="204" t="s">
        <v>2276</v>
      </c>
      <c r="G1123" s="204" t="s">
        <v>2276</v>
      </c>
      <c r="H1123" s="204" t="s">
        <v>2276</v>
      </c>
      <c r="I1123" s="204" t="s">
        <v>2276</v>
      </c>
      <c r="J1123" s="204" t="s">
        <v>2276</v>
      </c>
      <c r="K1123" s="204" t="s">
        <v>2276</v>
      </c>
      <c r="L1123" s="204" t="s">
        <v>2276</v>
      </c>
      <c r="M1123" s="204" t="s">
        <v>2276</v>
      </c>
      <c r="N1123" s="204" t="s">
        <v>2276</v>
      </c>
      <c r="O1123" s="204" t="s">
        <v>2276</v>
      </c>
      <c r="P1123" s="204" t="s">
        <v>2276</v>
      </c>
      <c r="Q1123" s="204" t="s">
        <v>2276</v>
      </c>
      <c r="R1123" s="204" t="s">
        <v>2276</v>
      </c>
      <c r="S1123" s="204" t="s">
        <v>2276</v>
      </c>
      <c r="T1123" s="4" t="s">
        <v>7634</v>
      </c>
    </row>
    <row r="1124" spans="1:20" ht="41.5" customHeight="1">
      <c r="A1124" s="19" t="s">
        <v>7289</v>
      </c>
      <c r="B1124" s="204" t="s">
        <v>2276</v>
      </c>
      <c r="C1124" s="204" t="s">
        <v>2646</v>
      </c>
      <c r="D1124" s="204" t="s">
        <v>3209</v>
      </c>
      <c r="E1124" s="204" t="s">
        <v>2276</v>
      </c>
      <c r="F1124" s="204" t="s">
        <v>2276</v>
      </c>
      <c r="G1124" s="204" t="s">
        <v>2276</v>
      </c>
      <c r="H1124" s="204" t="s">
        <v>2276</v>
      </c>
      <c r="I1124" s="204" t="s">
        <v>2276</v>
      </c>
      <c r="J1124" s="204" t="s">
        <v>2276</v>
      </c>
      <c r="K1124" s="204" t="s">
        <v>2276</v>
      </c>
      <c r="L1124" s="204" t="s">
        <v>2276</v>
      </c>
      <c r="M1124" s="204" t="s">
        <v>2276</v>
      </c>
      <c r="N1124" s="204" t="s">
        <v>2276</v>
      </c>
      <c r="O1124" s="204" t="s">
        <v>2276</v>
      </c>
      <c r="P1124" s="204" t="s">
        <v>2276</v>
      </c>
      <c r="Q1124" s="204" t="s">
        <v>2276</v>
      </c>
      <c r="R1124" s="204" t="s">
        <v>2276</v>
      </c>
      <c r="S1124" s="204" t="s">
        <v>2276</v>
      </c>
      <c r="T1124" s="4" t="s">
        <v>7634</v>
      </c>
    </row>
    <row r="1125" spans="1:20" ht="41.5" customHeight="1">
      <c r="A1125" s="19" t="s">
        <v>7290</v>
      </c>
      <c r="B1125" s="204" t="s">
        <v>2276</v>
      </c>
      <c r="C1125" s="204" t="s">
        <v>2646</v>
      </c>
      <c r="D1125" s="204" t="s">
        <v>3209</v>
      </c>
      <c r="E1125" s="204" t="s">
        <v>2276</v>
      </c>
      <c r="F1125" s="204" t="s">
        <v>2276</v>
      </c>
      <c r="G1125" s="204" t="s">
        <v>2276</v>
      </c>
      <c r="H1125" s="204" t="s">
        <v>2276</v>
      </c>
      <c r="I1125" s="204" t="s">
        <v>2276</v>
      </c>
      <c r="J1125" s="204" t="s">
        <v>2276</v>
      </c>
      <c r="K1125" s="204" t="s">
        <v>2276</v>
      </c>
      <c r="L1125" s="204" t="s">
        <v>2276</v>
      </c>
      <c r="M1125" s="204" t="s">
        <v>2276</v>
      </c>
      <c r="N1125" s="204" t="s">
        <v>2276</v>
      </c>
      <c r="O1125" s="204" t="s">
        <v>2276</v>
      </c>
      <c r="P1125" s="204" t="s">
        <v>2276</v>
      </c>
      <c r="Q1125" s="204" t="s">
        <v>2276</v>
      </c>
      <c r="R1125" s="204" t="s">
        <v>2276</v>
      </c>
      <c r="S1125" s="204" t="s">
        <v>2276</v>
      </c>
      <c r="T1125" s="4" t="s">
        <v>7634</v>
      </c>
    </row>
    <row r="1126" spans="1:20" ht="41.5" customHeight="1">
      <c r="A1126" s="19" t="s">
        <v>7291</v>
      </c>
      <c r="B1126" s="204" t="s">
        <v>2276</v>
      </c>
      <c r="C1126" s="204" t="s">
        <v>2646</v>
      </c>
      <c r="D1126" s="204" t="s">
        <v>3209</v>
      </c>
      <c r="E1126" s="204" t="s">
        <v>2276</v>
      </c>
      <c r="F1126" s="204" t="s">
        <v>2276</v>
      </c>
      <c r="G1126" s="204" t="s">
        <v>2276</v>
      </c>
      <c r="H1126" s="204" t="s">
        <v>2276</v>
      </c>
      <c r="I1126" s="204" t="s">
        <v>2276</v>
      </c>
      <c r="J1126" s="204" t="s">
        <v>2276</v>
      </c>
      <c r="K1126" s="204" t="s">
        <v>2276</v>
      </c>
      <c r="L1126" s="204" t="s">
        <v>2276</v>
      </c>
      <c r="M1126" s="204" t="s">
        <v>2276</v>
      </c>
      <c r="N1126" s="204" t="s">
        <v>2276</v>
      </c>
      <c r="O1126" s="204" t="s">
        <v>2276</v>
      </c>
      <c r="P1126" s="204" t="s">
        <v>2276</v>
      </c>
      <c r="Q1126" s="204" t="s">
        <v>2276</v>
      </c>
      <c r="R1126" s="204" t="s">
        <v>2276</v>
      </c>
      <c r="S1126" s="204" t="s">
        <v>2276</v>
      </c>
      <c r="T1126" s="4" t="s">
        <v>7634</v>
      </c>
    </row>
    <row r="1127" spans="1:20" ht="41.5" customHeight="1">
      <c r="A1127" s="19" t="s">
        <v>7292</v>
      </c>
      <c r="B1127" s="204" t="s">
        <v>2276</v>
      </c>
      <c r="C1127" s="204" t="s">
        <v>2646</v>
      </c>
      <c r="D1127" s="204" t="s">
        <v>3209</v>
      </c>
      <c r="E1127" s="204" t="s">
        <v>2276</v>
      </c>
      <c r="F1127" s="204" t="s">
        <v>2276</v>
      </c>
      <c r="G1127" s="204" t="s">
        <v>2276</v>
      </c>
      <c r="H1127" s="204" t="s">
        <v>2276</v>
      </c>
      <c r="I1127" s="204" t="s">
        <v>2276</v>
      </c>
      <c r="J1127" s="204" t="s">
        <v>2276</v>
      </c>
      <c r="K1127" s="204" t="s">
        <v>2276</v>
      </c>
      <c r="L1127" s="204" t="s">
        <v>2276</v>
      </c>
      <c r="M1127" s="204" t="s">
        <v>2276</v>
      </c>
      <c r="N1127" s="204" t="s">
        <v>2276</v>
      </c>
      <c r="O1127" s="204" t="s">
        <v>2276</v>
      </c>
      <c r="P1127" s="204" t="s">
        <v>2276</v>
      </c>
      <c r="Q1127" s="204" t="s">
        <v>2276</v>
      </c>
      <c r="R1127" s="204" t="s">
        <v>2276</v>
      </c>
      <c r="S1127" s="204" t="s">
        <v>2276</v>
      </c>
      <c r="T1127" s="4" t="s">
        <v>7634</v>
      </c>
    </row>
    <row r="1128" spans="1:20" ht="41.5" customHeight="1">
      <c r="A1128" s="19" t="s">
        <v>7293</v>
      </c>
      <c r="B1128" s="204" t="s">
        <v>2276</v>
      </c>
      <c r="C1128" s="204" t="s">
        <v>2276</v>
      </c>
      <c r="D1128" s="204" t="s">
        <v>3209</v>
      </c>
      <c r="E1128" s="204" t="s">
        <v>2276</v>
      </c>
      <c r="F1128" s="204" t="s">
        <v>2276</v>
      </c>
      <c r="G1128" s="204" t="s">
        <v>2276</v>
      </c>
      <c r="H1128" s="204" t="s">
        <v>2276</v>
      </c>
      <c r="I1128" s="204" t="s">
        <v>2276</v>
      </c>
      <c r="J1128" s="204" t="s">
        <v>2276</v>
      </c>
      <c r="K1128" s="204" t="s">
        <v>2276</v>
      </c>
      <c r="L1128" s="204" t="s">
        <v>2276</v>
      </c>
      <c r="M1128" s="204" t="s">
        <v>2276</v>
      </c>
      <c r="N1128" s="204" t="s">
        <v>2276</v>
      </c>
      <c r="O1128" s="204" t="s">
        <v>2276</v>
      </c>
      <c r="P1128" s="204" t="s">
        <v>2276</v>
      </c>
      <c r="Q1128" s="204" t="s">
        <v>2276</v>
      </c>
      <c r="R1128" s="204" t="s">
        <v>2276</v>
      </c>
      <c r="S1128" s="204" t="s">
        <v>2276</v>
      </c>
      <c r="T1128" s="4" t="s">
        <v>7634</v>
      </c>
    </row>
    <row r="1129" spans="1:20" ht="41.5" customHeight="1">
      <c r="A1129" s="19" t="s">
        <v>7379</v>
      </c>
      <c r="B1129" s="204" t="s">
        <v>2276</v>
      </c>
      <c r="C1129" s="204" t="s">
        <v>2276</v>
      </c>
      <c r="D1129" s="204" t="s">
        <v>3209</v>
      </c>
      <c r="E1129" s="204" t="s">
        <v>2276</v>
      </c>
      <c r="F1129" s="204" t="s">
        <v>2276</v>
      </c>
      <c r="G1129" s="204" t="s">
        <v>2276</v>
      </c>
      <c r="H1129" s="204" t="s">
        <v>2276</v>
      </c>
      <c r="I1129" s="204" t="s">
        <v>2276</v>
      </c>
      <c r="J1129" s="204" t="s">
        <v>2276</v>
      </c>
      <c r="K1129" s="204" t="s">
        <v>2276</v>
      </c>
      <c r="L1129" s="204" t="s">
        <v>2276</v>
      </c>
      <c r="M1129" s="204" t="s">
        <v>2276</v>
      </c>
      <c r="N1129" s="204" t="s">
        <v>2276</v>
      </c>
      <c r="O1129" s="204" t="s">
        <v>2276</v>
      </c>
      <c r="P1129" s="204" t="s">
        <v>2276</v>
      </c>
      <c r="Q1129" s="204" t="s">
        <v>2276</v>
      </c>
      <c r="R1129" s="204" t="s">
        <v>2276</v>
      </c>
      <c r="S1129" s="204" t="s">
        <v>2276</v>
      </c>
      <c r="T1129" s="4" t="s">
        <v>7634</v>
      </c>
    </row>
    <row r="1130" spans="1:20" ht="41.5" customHeight="1">
      <c r="A1130" s="19" t="s">
        <v>7380</v>
      </c>
      <c r="B1130" s="204" t="s">
        <v>2276</v>
      </c>
      <c r="C1130" s="204" t="s">
        <v>2276</v>
      </c>
      <c r="D1130" s="204" t="s">
        <v>3209</v>
      </c>
      <c r="E1130" s="204" t="s">
        <v>2276</v>
      </c>
      <c r="F1130" s="204" t="s">
        <v>2276</v>
      </c>
      <c r="G1130" s="204" t="s">
        <v>2276</v>
      </c>
      <c r="H1130" s="204" t="s">
        <v>2276</v>
      </c>
      <c r="I1130" s="204" t="s">
        <v>2276</v>
      </c>
      <c r="J1130" s="204" t="s">
        <v>2276</v>
      </c>
      <c r="K1130" s="204" t="s">
        <v>2276</v>
      </c>
      <c r="L1130" s="204" t="s">
        <v>2276</v>
      </c>
      <c r="M1130" s="204" t="s">
        <v>2276</v>
      </c>
      <c r="N1130" s="204" t="s">
        <v>2276</v>
      </c>
      <c r="O1130" s="204" t="s">
        <v>2276</v>
      </c>
      <c r="P1130" s="204" t="s">
        <v>2276</v>
      </c>
      <c r="Q1130" s="204" t="s">
        <v>2276</v>
      </c>
      <c r="R1130" s="204" t="s">
        <v>2276</v>
      </c>
      <c r="S1130" s="204" t="s">
        <v>2276</v>
      </c>
      <c r="T1130" s="4" t="s">
        <v>7634</v>
      </c>
    </row>
    <row r="1131" spans="1:20" ht="41.5" customHeight="1">
      <c r="A1131" s="19" t="s">
        <v>7381</v>
      </c>
      <c r="B1131" s="204" t="s">
        <v>2276</v>
      </c>
      <c r="C1131" s="204" t="s">
        <v>2276</v>
      </c>
      <c r="D1131" s="204" t="s">
        <v>3209</v>
      </c>
      <c r="E1131" s="204" t="s">
        <v>2276</v>
      </c>
      <c r="F1131" s="204" t="s">
        <v>2276</v>
      </c>
      <c r="G1131" s="204" t="s">
        <v>2276</v>
      </c>
      <c r="H1131" s="204" t="s">
        <v>2276</v>
      </c>
      <c r="I1131" s="204" t="s">
        <v>2276</v>
      </c>
      <c r="J1131" s="204" t="s">
        <v>2276</v>
      </c>
      <c r="K1131" s="204" t="s">
        <v>2276</v>
      </c>
      <c r="L1131" s="204" t="s">
        <v>2276</v>
      </c>
      <c r="M1131" s="204" t="s">
        <v>2276</v>
      </c>
      <c r="N1131" s="204" t="s">
        <v>2276</v>
      </c>
      <c r="O1131" s="204" t="s">
        <v>2276</v>
      </c>
      <c r="P1131" s="204" t="s">
        <v>2276</v>
      </c>
      <c r="Q1131" s="204" t="s">
        <v>2276</v>
      </c>
      <c r="R1131" s="204" t="s">
        <v>2276</v>
      </c>
      <c r="S1131" s="204" t="s">
        <v>2276</v>
      </c>
      <c r="T1131" s="4" t="s">
        <v>7634</v>
      </c>
    </row>
    <row r="1132" spans="1:20" ht="41.5" customHeight="1">
      <c r="A1132" s="19" t="s">
        <v>7382</v>
      </c>
      <c r="B1132" s="204" t="s">
        <v>2276</v>
      </c>
      <c r="C1132" s="204" t="s">
        <v>2276</v>
      </c>
      <c r="D1132" s="204" t="s">
        <v>3209</v>
      </c>
      <c r="E1132" s="204" t="s">
        <v>2276</v>
      </c>
      <c r="F1132" s="204" t="s">
        <v>2276</v>
      </c>
      <c r="G1132" s="204" t="s">
        <v>2276</v>
      </c>
      <c r="H1132" s="204" t="s">
        <v>2276</v>
      </c>
      <c r="I1132" s="204" t="s">
        <v>2276</v>
      </c>
      <c r="J1132" s="204" t="s">
        <v>2276</v>
      </c>
      <c r="K1132" s="204" t="s">
        <v>2276</v>
      </c>
      <c r="L1132" s="204" t="s">
        <v>2276</v>
      </c>
      <c r="M1132" s="204" t="s">
        <v>2276</v>
      </c>
      <c r="N1132" s="204" t="s">
        <v>2276</v>
      </c>
      <c r="O1132" s="204" t="s">
        <v>2276</v>
      </c>
      <c r="P1132" s="204" t="s">
        <v>2276</v>
      </c>
      <c r="Q1132" s="204" t="s">
        <v>2276</v>
      </c>
      <c r="R1132" s="204" t="s">
        <v>2276</v>
      </c>
      <c r="S1132" s="204" t="s">
        <v>2276</v>
      </c>
      <c r="T1132" s="4" t="s">
        <v>7634</v>
      </c>
    </row>
    <row r="1133" spans="1:20" ht="41.5" customHeight="1">
      <c r="A1133" s="19" t="s">
        <v>7383</v>
      </c>
      <c r="B1133" s="204" t="s">
        <v>2276</v>
      </c>
      <c r="C1133" s="204" t="s">
        <v>2276</v>
      </c>
      <c r="D1133" s="204" t="s">
        <v>3209</v>
      </c>
      <c r="E1133" s="204" t="s">
        <v>2276</v>
      </c>
      <c r="F1133" s="204" t="s">
        <v>2276</v>
      </c>
      <c r="G1133" s="204" t="s">
        <v>2276</v>
      </c>
      <c r="H1133" s="204" t="s">
        <v>2276</v>
      </c>
      <c r="I1133" s="204" t="s">
        <v>2276</v>
      </c>
      <c r="J1133" s="204" t="s">
        <v>2276</v>
      </c>
      <c r="K1133" s="204" t="s">
        <v>2276</v>
      </c>
      <c r="L1133" s="204" t="s">
        <v>2276</v>
      </c>
      <c r="M1133" s="204" t="s">
        <v>2276</v>
      </c>
      <c r="N1133" s="204" t="s">
        <v>2276</v>
      </c>
      <c r="O1133" s="204" t="s">
        <v>2276</v>
      </c>
      <c r="P1133" s="204" t="s">
        <v>2276</v>
      </c>
      <c r="Q1133" s="204" t="s">
        <v>2276</v>
      </c>
      <c r="R1133" s="204" t="s">
        <v>2276</v>
      </c>
      <c r="S1133" s="204" t="s">
        <v>2276</v>
      </c>
      <c r="T1133" s="4" t="s">
        <v>7634</v>
      </c>
    </row>
    <row r="1134" spans="1:20" ht="41.5" customHeight="1">
      <c r="A1134" s="19" t="s">
        <v>7384</v>
      </c>
      <c r="B1134" s="204" t="s">
        <v>2276</v>
      </c>
      <c r="C1134" s="204" t="s">
        <v>2276</v>
      </c>
      <c r="D1134" s="204" t="s">
        <v>3209</v>
      </c>
      <c r="E1134" s="204" t="s">
        <v>2276</v>
      </c>
      <c r="F1134" s="204" t="s">
        <v>2276</v>
      </c>
      <c r="G1134" s="204" t="s">
        <v>2276</v>
      </c>
      <c r="H1134" s="204" t="s">
        <v>2276</v>
      </c>
      <c r="I1134" s="204" t="s">
        <v>2276</v>
      </c>
      <c r="J1134" s="204" t="s">
        <v>2276</v>
      </c>
      <c r="K1134" s="204" t="s">
        <v>2276</v>
      </c>
      <c r="L1134" s="204" t="s">
        <v>2276</v>
      </c>
      <c r="M1134" s="204" t="s">
        <v>2276</v>
      </c>
      <c r="N1134" s="204" t="s">
        <v>2276</v>
      </c>
      <c r="O1134" s="204" t="s">
        <v>2276</v>
      </c>
      <c r="P1134" s="204" t="s">
        <v>2276</v>
      </c>
      <c r="Q1134" s="204" t="s">
        <v>2276</v>
      </c>
      <c r="R1134" s="204" t="s">
        <v>2276</v>
      </c>
      <c r="S1134" s="204" t="s">
        <v>2276</v>
      </c>
      <c r="T1134" s="4" t="s">
        <v>7634</v>
      </c>
    </row>
    <row r="1135" spans="1:20" ht="41.5" customHeight="1">
      <c r="A1135" s="19" t="s">
        <v>7385</v>
      </c>
      <c r="B1135" s="204" t="s">
        <v>2276</v>
      </c>
      <c r="C1135" s="204" t="s">
        <v>2276</v>
      </c>
      <c r="D1135" s="204" t="s">
        <v>3209</v>
      </c>
      <c r="E1135" s="204" t="s">
        <v>2276</v>
      </c>
      <c r="F1135" s="204" t="s">
        <v>2276</v>
      </c>
      <c r="G1135" s="204" t="s">
        <v>2276</v>
      </c>
      <c r="H1135" s="204" t="s">
        <v>2276</v>
      </c>
      <c r="I1135" s="204" t="s">
        <v>2276</v>
      </c>
      <c r="J1135" s="204" t="s">
        <v>2276</v>
      </c>
      <c r="K1135" s="204" t="s">
        <v>2276</v>
      </c>
      <c r="L1135" s="204" t="s">
        <v>2276</v>
      </c>
      <c r="M1135" s="204" t="s">
        <v>2276</v>
      </c>
      <c r="N1135" s="204" t="s">
        <v>2276</v>
      </c>
      <c r="O1135" s="204" t="s">
        <v>2276</v>
      </c>
      <c r="P1135" s="204" t="s">
        <v>2276</v>
      </c>
      <c r="Q1135" s="204" t="s">
        <v>2276</v>
      </c>
      <c r="R1135" s="204" t="s">
        <v>2276</v>
      </c>
      <c r="S1135" s="204" t="s">
        <v>2276</v>
      </c>
      <c r="T1135" s="4" t="s">
        <v>7634</v>
      </c>
    </row>
    <row r="1136" spans="1:20" ht="41.5" customHeight="1">
      <c r="A1136" s="19" t="s">
        <v>7386</v>
      </c>
      <c r="B1136" s="204" t="s">
        <v>2276</v>
      </c>
      <c r="C1136" s="204" t="s">
        <v>2276</v>
      </c>
      <c r="D1136" s="204" t="s">
        <v>3209</v>
      </c>
      <c r="E1136" s="204" t="s">
        <v>2276</v>
      </c>
      <c r="F1136" s="204" t="s">
        <v>2276</v>
      </c>
      <c r="G1136" s="204" t="s">
        <v>2276</v>
      </c>
      <c r="H1136" s="204" t="s">
        <v>2276</v>
      </c>
      <c r="I1136" s="204" t="s">
        <v>2276</v>
      </c>
      <c r="J1136" s="204" t="s">
        <v>2276</v>
      </c>
      <c r="K1136" s="204" t="s">
        <v>2276</v>
      </c>
      <c r="L1136" s="204" t="s">
        <v>2276</v>
      </c>
      <c r="M1136" s="204" t="s">
        <v>2276</v>
      </c>
      <c r="N1136" s="204" t="s">
        <v>2276</v>
      </c>
      <c r="O1136" s="204" t="s">
        <v>2276</v>
      </c>
      <c r="P1136" s="204" t="s">
        <v>2276</v>
      </c>
      <c r="Q1136" s="204" t="s">
        <v>2276</v>
      </c>
      <c r="R1136" s="204" t="s">
        <v>2276</v>
      </c>
      <c r="S1136" s="204" t="s">
        <v>2276</v>
      </c>
      <c r="T1136" s="4" t="s">
        <v>7634</v>
      </c>
    </row>
    <row r="1137" spans="1:20" ht="41.5" customHeight="1">
      <c r="A1137" s="19" t="s">
        <v>7387</v>
      </c>
      <c r="B1137" s="204" t="s">
        <v>2276</v>
      </c>
      <c r="C1137" s="204" t="s">
        <v>2276</v>
      </c>
      <c r="D1137" s="204" t="s">
        <v>3209</v>
      </c>
      <c r="E1137" s="204" t="s">
        <v>2276</v>
      </c>
      <c r="F1137" s="204" t="s">
        <v>2276</v>
      </c>
      <c r="G1137" s="204" t="s">
        <v>2276</v>
      </c>
      <c r="H1137" s="204" t="s">
        <v>2276</v>
      </c>
      <c r="I1137" s="204" t="s">
        <v>2276</v>
      </c>
      <c r="J1137" s="204" t="s">
        <v>2276</v>
      </c>
      <c r="K1137" s="204" t="s">
        <v>2276</v>
      </c>
      <c r="L1137" s="204" t="s">
        <v>2276</v>
      </c>
      <c r="M1137" s="204" t="s">
        <v>2276</v>
      </c>
      <c r="N1137" s="204" t="s">
        <v>2276</v>
      </c>
      <c r="O1137" s="204" t="s">
        <v>2276</v>
      </c>
      <c r="P1137" s="204" t="s">
        <v>2276</v>
      </c>
      <c r="Q1137" s="204" t="s">
        <v>2276</v>
      </c>
      <c r="R1137" s="204" t="s">
        <v>2276</v>
      </c>
      <c r="S1137" s="204" t="s">
        <v>2276</v>
      </c>
      <c r="T1137" s="4" t="s">
        <v>7634</v>
      </c>
    </row>
    <row r="1138" spans="1:20" ht="41.5" customHeight="1">
      <c r="A1138" s="19" t="s">
        <v>7388</v>
      </c>
      <c r="B1138" s="204" t="s">
        <v>2276</v>
      </c>
      <c r="C1138" s="204" t="s">
        <v>2276</v>
      </c>
      <c r="D1138" s="204" t="s">
        <v>3209</v>
      </c>
      <c r="E1138" s="204" t="s">
        <v>2276</v>
      </c>
      <c r="F1138" s="204" t="s">
        <v>2276</v>
      </c>
      <c r="G1138" s="204" t="s">
        <v>2276</v>
      </c>
      <c r="H1138" s="204" t="s">
        <v>2276</v>
      </c>
      <c r="I1138" s="204" t="s">
        <v>2276</v>
      </c>
      <c r="J1138" s="204" t="s">
        <v>2276</v>
      </c>
      <c r="K1138" s="204" t="s">
        <v>2276</v>
      </c>
      <c r="L1138" s="204" t="s">
        <v>2276</v>
      </c>
      <c r="M1138" s="204" t="s">
        <v>2276</v>
      </c>
      <c r="N1138" s="204" t="s">
        <v>2276</v>
      </c>
      <c r="O1138" s="204" t="s">
        <v>2276</v>
      </c>
      <c r="P1138" s="204" t="s">
        <v>2276</v>
      </c>
      <c r="Q1138" s="204" t="s">
        <v>2276</v>
      </c>
      <c r="R1138" s="204" t="s">
        <v>2276</v>
      </c>
      <c r="S1138" s="204" t="s">
        <v>2276</v>
      </c>
      <c r="T1138" s="4" t="s">
        <v>7634</v>
      </c>
    </row>
    <row r="1139" spans="1:20" ht="41.5" customHeight="1">
      <c r="A1139" s="19" t="s">
        <v>7389</v>
      </c>
      <c r="B1139" s="204" t="s">
        <v>2276</v>
      </c>
      <c r="C1139" s="204" t="s">
        <v>2276</v>
      </c>
      <c r="D1139" s="204" t="s">
        <v>3209</v>
      </c>
      <c r="E1139" s="204" t="s">
        <v>2276</v>
      </c>
      <c r="F1139" s="204" t="s">
        <v>2276</v>
      </c>
      <c r="G1139" s="204" t="s">
        <v>2276</v>
      </c>
      <c r="H1139" s="204" t="s">
        <v>2276</v>
      </c>
      <c r="I1139" s="204" t="s">
        <v>2276</v>
      </c>
      <c r="J1139" s="204" t="s">
        <v>2276</v>
      </c>
      <c r="K1139" s="204" t="s">
        <v>2276</v>
      </c>
      <c r="L1139" s="204" t="s">
        <v>2276</v>
      </c>
      <c r="M1139" s="204" t="s">
        <v>2276</v>
      </c>
      <c r="N1139" s="204" t="s">
        <v>2276</v>
      </c>
      <c r="O1139" s="204" t="s">
        <v>2276</v>
      </c>
      <c r="P1139" s="204" t="s">
        <v>2276</v>
      </c>
      <c r="Q1139" s="204" t="s">
        <v>2276</v>
      </c>
      <c r="R1139" s="204" t="s">
        <v>2276</v>
      </c>
      <c r="S1139" s="204" t="s">
        <v>2276</v>
      </c>
      <c r="T1139" s="4" t="s">
        <v>7634</v>
      </c>
    </row>
    <row r="1140" spans="1:20" ht="41.5" customHeight="1">
      <c r="A1140" s="19" t="s">
        <v>7390</v>
      </c>
      <c r="B1140" s="204" t="s">
        <v>2276</v>
      </c>
      <c r="C1140" s="204" t="s">
        <v>2276</v>
      </c>
      <c r="D1140" s="204" t="s">
        <v>3209</v>
      </c>
      <c r="E1140" s="204" t="s">
        <v>2276</v>
      </c>
      <c r="F1140" s="204" t="s">
        <v>2276</v>
      </c>
      <c r="G1140" s="204" t="s">
        <v>2276</v>
      </c>
      <c r="H1140" s="204" t="s">
        <v>2276</v>
      </c>
      <c r="I1140" s="204" t="s">
        <v>2276</v>
      </c>
      <c r="J1140" s="204" t="s">
        <v>2276</v>
      </c>
      <c r="K1140" s="204" t="s">
        <v>2276</v>
      </c>
      <c r="L1140" s="204" t="s">
        <v>2276</v>
      </c>
      <c r="M1140" s="204" t="s">
        <v>2276</v>
      </c>
      <c r="N1140" s="204" t="s">
        <v>2276</v>
      </c>
      <c r="O1140" s="204" t="s">
        <v>2276</v>
      </c>
      <c r="P1140" s="204" t="s">
        <v>2276</v>
      </c>
      <c r="Q1140" s="204" t="s">
        <v>2276</v>
      </c>
      <c r="R1140" s="204" t="s">
        <v>2276</v>
      </c>
      <c r="S1140" s="204" t="s">
        <v>2276</v>
      </c>
      <c r="T1140" s="4" t="s">
        <v>7634</v>
      </c>
    </row>
    <row r="1141" spans="1:20" ht="41.5" customHeight="1">
      <c r="A1141" s="19" t="s">
        <v>7391</v>
      </c>
      <c r="B1141" s="204" t="s">
        <v>2276</v>
      </c>
      <c r="C1141" s="204" t="s">
        <v>2276</v>
      </c>
      <c r="D1141" s="204" t="s">
        <v>3209</v>
      </c>
      <c r="E1141" s="204" t="s">
        <v>2276</v>
      </c>
      <c r="F1141" s="204" t="s">
        <v>2276</v>
      </c>
      <c r="G1141" s="204" t="s">
        <v>2276</v>
      </c>
      <c r="H1141" s="204" t="s">
        <v>2276</v>
      </c>
      <c r="I1141" s="204" t="s">
        <v>2276</v>
      </c>
      <c r="J1141" s="204" t="s">
        <v>2276</v>
      </c>
      <c r="K1141" s="204" t="s">
        <v>2276</v>
      </c>
      <c r="L1141" s="204" t="s">
        <v>2276</v>
      </c>
      <c r="M1141" s="204" t="s">
        <v>2276</v>
      </c>
      <c r="N1141" s="204" t="s">
        <v>2276</v>
      </c>
      <c r="O1141" s="204" t="s">
        <v>2276</v>
      </c>
      <c r="P1141" s="204" t="s">
        <v>2276</v>
      </c>
      <c r="Q1141" s="204" t="s">
        <v>2276</v>
      </c>
      <c r="R1141" s="204" t="s">
        <v>2276</v>
      </c>
      <c r="S1141" s="204" t="s">
        <v>2276</v>
      </c>
      <c r="T1141" s="4" t="s">
        <v>7634</v>
      </c>
    </row>
    <row r="1142" spans="1:20" ht="41.5" customHeight="1">
      <c r="A1142" s="19" t="s">
        <v>7392</v>
      </c>
      <c r="B1142" s="204" t="s">
        <v>2276</v>
      </c>
      <c r="C1142" s="204" t="s">
        <v>2276</v>
      </c>
      <c r="D1142" s="204" t="s">
        <v>3209</v>
      </c>
      <c r="E1142" s="204" t="s">
        <v>2276</v>
      </c>
      <c r="F1142" s="204" t="s">
        <v>2276</v>
      </c>
      <c r="G1142" s="204" t="s">
        <v>2276</v>
      </c>
      <c r="H1142" s="204" t="s">
        <v>2276</v>
      </c>
      <c r="I1142" s="204" t="s">
        <v>2276</v>
      </c>
      <c r="J1142" s="204" t="s">
        <v>2276</v>
      </c>
      <c r="K1142" s="204" t="s">
        <v>2276</v>
      </c>
      <c r="L1142" s="204" t="s">
        <v>2276</v>
      </c>
      <c r="M1142" s="204" t="s">
        <v>2276</v>
      </c>
      <c r="N1142" s="204" t="s">
        <v>2276</v>
      </c>
      <c r="O1142" s="204" t="s">
        <v>2276</v>
      </c>
      <c r="P1142" s="204" t="s">
        <v>2276</v>
      </c>
      <c r="Q1142" s="204" t="s">
        <v>2276</v>
      </c>
      <c r="R1142" s="204" t="s">
        <v>2276</v>
      </c>
      <c r="S1142" s="204" t="s">
        <v>2276</v>
      </c>
      <c r="T1142" s="4" t="s">
        <v>7634</v>
      </c>
    </row>
    <row r="1143" spans="1:20" ht="41.5" customHeight="1">
      <c r="A1143" s="19" t="s">
        <v>7393</v>
      </c>
      <c r="B1143" s="204" t="s">
        <v>2276</v>
      </c>
      <c r="C1143" s="204" t="s">
        <v>2276</v>
      </c>
      <c r="D1143" s="204" t="s">
        <v>3209</v>
      </c>
      <c r="E1143" s="204" t="s">
        <v>2276</v>
      </c>
      <c r="F1143" s="204" t="s">
        <v>2276</v>
      </c>
      <c r="G1143" s="204" t="s">
        <v>2276</v>
      </c>
      <c r="H1143" s="204" t="s">
        <v>2276</v>
      </c>
      <c r="I1143" s="204" t="s">
        <v>2276</v>
      </c>
      <c r="J1143" s="204" t="s">
        <v>2276</v>
      </c>
      <c r="K1143" s="204" t="s">
        <v>2276</v>
      </c>
      <c r="L1143" s="204" t="s">
        <v>2276</v>
      </c>
      <c r="M1143" s="204" t="s">
        <v>2276</v>
      </c>
      <c r="N1143" s="204" t="s">
        <v>2276</v>
      </c>
      <c r="O1143" s="204" t="s">
        <v>2276</v>
      </c>
      <c r="P1143" s="204" t="s">
        <v>2276</v>
      </c>
      <c r="Q1143" s="204" t="s">
        <v>2276</v>
      </c>
      <c r="R1143" s="204" t="s">
        <v>2276</v>
      </c>
      <c r="S1143" s="204" t="s">
        <v>2276</v>
      </c>
      <c r="T1143" s="4" t="s">
        <v>7634</v>
      </c>
    </row>
    <row r="1144" spans="1:20" ht="41.5" customHeight="1">
      <c r="A1144" s="19" t="s">
        <v>7394</v>
      </c>
      <c r="B1144" s="204" t="s">
        <v>2276</v>
      </c>
      <c r="C1144" s="204" t="s">
        <v>2276</v>
      </c>
      <c r="D1144" s="204" t="s">
        <v>3209</v>
      </c>
      <c r="E1144" s="204" t="s">
        <v>2276</v>
      </c>
      <c r="F1144" s="204" t="s">
        <v>2276</v>
      </c>
      <c r="G1144" s="204" t="s">
        <v>2276</v>
      </c>
      <c r="H1144" s="204" t="s">
        <v>2276</v>
      </c>
      <c r="I1144" s="204" t="s">
        <v>2276</v>
      </c>
      <c r="J1144" s="204" t="s">
        <v>2276</v>
      </c>
      <c r="K1144" s="204" t="s">
        <v>2276</v>
      </c>
      <c r="L1144" s="204" t="s">
        <v>2276</v>
      </c>
      <c r="M1144" s="204" t="s">
        <v>2276</v>
      </c>
      <c r="N1144" s="204" t="s">
        <v>2276</v>
      </c>
      <c r="O1144" s="204" t="s">
        <v>2276</v>
      </c>
      <c r="P1144" s="204" t="s">
        <v>2276</v>
      </c>
      <c r="Q1144" s="204" t="s">
        <v>2276</v>
      </c>
      <c r="R1144" s="204" t="s">
        <v>2276</v>
      </c>
      <c r="S1144" s="204" t="s">
        <v>2276</v>
      </c>
      <c r="T1144" s="4" t="s">
        <v>7634</v>
      </c>
    </row>
    <row r="1145" spans="1:20" ht="41.5" customHeight="1">
      <c r="A1145" s="19" t="s">
        <v>7395</v>
      </c>
      <c r="B1145" s="204" t="s">
        <v>2276</v>
      </c>
      <c r="C1145" s="204" t="s">
        <v>2276</v>
      </c>
      <c r="D1145" s="204" t="s">
        <v>3209</v>
      </c>
      <c r="E1145" s="204" t="s">
        <v>2276</v>
      </c>
      <c r="F1145" s="204" t="s">
        <v>2276</v>
      </c>
      <c r="G1145" s="204" t="s">
        <v>2276</v>
      </c>
      <c r="H1145" s="204" t="s">
        <v>2276</v>
      </c>
      <c r="I1145" s="204" t="s">
        <v>2276</v>
      </c>
      <c r="J1145" s="204" t="s">
        <v>2276</v>
      </c>
      <c r="K1145" s="204" t="s">
        <v>2276</v>
      </c>
      <c r="L1145" s="204" t="s">
        <v>2276</v>
      </c>
      <c r="M1145" s="204" t="s">
        <v>2276</v>
      </c>
      <c r="N1145" s="204" t="s">
        <v>2276</v>
      </c>
      <c r="O1145" s="204" t="s">
        <v>2276</v>
      </c>
      <c r="P1145" s="204" t="s">
        <v>2276</v>
      </c>
      <c r="Q1145" s="204" t="s">
        <v>2276</v>
      </c>
      <c r="R1145" s="204" t="s">
        <v>2276</v>
      </c>
      <c r="S1145" s="204" t="s">
        <v>2276</v>
      </c>
      <c r="T1145" s="4" t="s">
        <v>7634</v>
      </c>
    </row>
    <row r="1146" spans="1:20" ht="41.5" customHeight="1">
      <c r="A1146" s="19" t="s">
        <v>7594</v>
      </c>
      <c r="B1146" s="204" t="s">
        <v>2276</v>
      </c>
      <c r="C1146" s="204" t="s">
        <v>2276</v>
      </c>
      <c r="D1146" s="204" t="s">
        <v>3209</v>
      </c>
      <c r="E1146" s="204" t="s">
        <v>2276</v>
      </c>
      <c r="F1146" s="204" t="s">
        <v>2276</v>
      </c>
      <c r="G1146" s="204" t="s">
        <v>2276</v>
      </c>
      <c r="H1146" s="204" t="s">
        <v>2276</v>
      </c>
      <c r="I1146" s="204" t="s">
        <v>2276</v>
      </c>
      <c r="J1146" s="204" t="s">
        <v>2276</v>
      </c>
      <c r="K1146" s="204" t="s">
        <v>2276</v>
      </c>
      <c r="L1146" s="204" t="s">
        <v>2276</v>
      </c>
      <c r="M1146" s="204" t="s">
        <v>2276</v>
      </c>
      <c r="N1146" s="204" t="s">
        <v>2276</v>
      </c>
      <c r="O1146" s="204" t="s">
        <v>2276</v>
      </c>
      <c r="P1146" s="204" t="s">
        <v>2276</v>
      </c>
      <c r="Q1146" s="204" t="s">
        <v>2276</v>
      </c>
      <c r="R1146" s="204" t="s">
        <v>2276</v>
      </c>
      <c r="S1146" s="204" t="s">
        <v>2276</v>
      </c>
      <c r="T1146" s="4" t="s">
        <v>7634</v>
      </c>
    </row>
    <row r="1147" spans="1:20" ht="41.5" customHeight="1">
      <c r="A1147" s="19" t="s">
        <v>7616</v>
      </c>
      <c r="B1147" s="204" t="s">
        <v>2276</v>
      </c>
      <c r="C1147" s="204" t="s">
        <v>2276</v>
      </c>
      <c r="D1147" s="204" t="s">
        <v>3209</v>
      </c>
      <c r="E1147" s="204" t="s">
        <v>2276</v>
      </c>
      <c r="F1147" s="204" t="s">
        <v>2276</v>
      </c>
      <c r="G1147" s="204" t="s">
        <v>2276</v>
      </c>
      <c r="H1147" s="204" t="s">
        <v>2276</v>
      </c>
      <c r="I1147" s="204" t="s">
        <v>2276</v>
      </c>
      <c r="J1147" s="204" t="s">
        <v>2276</v>
      </c>
      <c r="K1147" s="204" t="s">
        <v>2276</v>
      </c>
      <c r="L1147" s="204" t="s">
        <v>2276</v>
      </c>
      <c r="M1147" s="204" t="s">
        <v>2276</v>
      </c>
      <c r="N1147" s="204" t="s">
        <v>2276</v>
      </c>
      <c r="O1147" s="204" t="s">
        <v>2276</v>
      </c>
      <c r="P1147" s="204" t="s">
        <v>2276</v>
      </c>
      <c r="Q1147" s="204" t="s">
        <v>2276</v>
      </c>
      <c r="R1147" s="204" t="s">
        <v>2276</v>
      </c>
      <c r="S1147" s="204" t="s">
        <v>2276</v>
      </c>
      <c r="T1147" s="4" t="s">
        <v>7634</v>
      </c>
    </row>
    <row r="1148" spans="1:20" ht="41.5" customHeight="1">
      <c r="A1148" s="19" t="s">
        <v>7619</v>
      </c>
      <c r="B1148" s="204" t="s">
        <v>2276</v>
      </c>
      <c r="C1148" s="204" t="s">
        <v>2276</v>
      </c>
      <c r="D1148" s="204" t="s">
        <v>3209</v>
      </c>
      <c r="E1148" s="204" t="s">
        <v>2276</v>
      </c>
      <c r="F1148" s="204" t="s">
        <v>2276</v>
      </c>
      <c r="G1148" s="204" t="s">
        <v>2276</v>
      </c>
      <c r="H1148" s="204" t="s">
        <v>2276</v>
      </c>
      <c r="I1148" s="204" t="s">
        <v>2276</v>
      </c>
      <c r="J1148" s="204" t="s">
        <v>2276</v>
      </c>
      <c r="K1148" s="204" t="s">
        <v>2276</v>
      </c>
      <c r="L1148" s="204" t="s">
        <v>2276</v>
      </c>
      <c r="M1148" s="204" t="s">
        <v>2276</v>
      </c>
      <c r="N1148" s="204" t="s">
        <v>2276</v>
      </c>
      <c r="O1148" s="204" t="s">
        <v>2276</v>
      </c>
      <c r="P1148" s="204" t="s">
        <v>2276</v>
      </c>
      <c r="Q1148" s="204" t="s">
        <v>2276</v>
      </c>
      <c r="R1148" s="204" t="s">
        <v>2276</v>
      </c>
      <c r="S1148" s="204" t="s">
        <v>2276</v>
      </c>
      <c r="T1148" s="4" t="s">
        <v>7634</v>
      </c>
    </row>
    <row r="1149" spans="1:20" ht="41.5" customHeight="1">
      <c r="A1149" s="19" t="s">
        <v>7620</v>
      </c>
      <c r="B1149" s="204" t="s">
        <v>2276</v>
      </c>
      <c r="C1149" s="204" t="s">
        <v>2276</v>
      </c>
      <c r="D1149" s="204" t="s">
        <v>3209</v>
      </c>
      <c r="E1149" s="204" t="s">
        <v>2276</v>
      </c>
      <c r="F1149" s="204" t="s">
        <v>2276</v>
      </c>
      <c r="G1149" s="204" t="s">
        <v>2276</v>
      </c>
      <c r="H1149" s="204" t="s">
        <v>2276</v>
      </c>
      <c r="I1149" s="204" t="s">
        <v>2276</v>
      </c>
      <c r="J1149" s="204" t="s">
        <v>2276</v>
      </c>
      <c r="K1149" s="204" t="s">
        <v>2276</v>
      </c>
      <c r="L1149" s="204" t="s">
        <v>2276</v>
      </c>
      <c r="M1149" s="204" t="s">
        <v>2276</v>
      </c>
      <c r="N1149" s="204" t="s">
        <v>2276</v>
      </c>
      <c r="O1149" s="204" t="s">
        <v>2276</v>
      </c>
      <c r="P1149" s="204" t="s">
        <v>2276</v>
      </c>
      <c r="Q1149" s="204" t="s">
        <v>2276</v>
      </c>
      <c r="R1149" s="204" t="s">
        <v>2276</v>
      </c>
      <c r="S1149" s="204" t="s">
        <v>2276</v>
      </c>
      <c r="T1149" s="4" t="s">
        <v>7634</v>
      </c>
    </row>
    <row r="1150" spans="1:20" ht="37" customHeight="1">
      <c r="A1150" s="55" t="s">
        <v>7643</v>
      </c>
      <c r="B1150" s="4" t="s">
        <v>1197</v>
      </c>
      <c r="C1150" s="204" t="s">
        <v>2645</v>
      </c>
      <c r="D1150" s="165" t="s">
        <v>3209</v>
      </c>
      <c r="E1150" s="204" t="s">
        <v>2276</v>
      </c>
      <c r="F1150" s="204" t="s">
        <v>2276</v>
      </c>
      <c r="G1150" s="204" t="s">
        <v>2276</v>
      </c>
      <c r="H1150" s="204" t="s">
        <v>2276</v>
      </c>
      <c r="I1150" s="204" t="s">
        <v>2276</v>
      </c>
      <c r="J1150" s="204" t="s">
        <v>2276</v>
      </c>
      <c r="K1150" s="4" t="s">
        <v>534</v>
      </c>
      <c r="L1150" s="204" t="s">
        <v>2276</v>
      </c>
      <c r="M1150" s="204" t="s">
        <v>2276</v>
      </c>
      <c r="N1150" s="204" t="s">
        <v>2276</v>
      </c>
      <c r="O1150" s="204" t="s">
        <v>2276</v>
      </c>
      <c r="P1150" s="204" t="s">
        <v>2276</v>
      </c>
      <c r="Q1150" s="204" t="s">
        <v>2276</v>
      </c>
      <c r="R1150" s="204" t="s">
        <v>2276</v>
      </c>
      <c r="S1150" s="204" t="s">
        <v>2276</v>
      </c>
      <c r="T1150" s="4" t="s">
        <v>7778</v>
      </c>
    </row>
    <row r="1151" spans="1:20" ht="37" customHeight="1">
      <c r="A1151" s="19" t="s">
        <v>7644</v>
      </c>
      <c r="B1151" s="4" t="s">
        <v>1197</v>
      </c>
      <c r="C1151" s="204" t="s">
        <v>2645</v>
      </c>
      <c r="D1151" s="165" t="s">
        <v>3209</v>
      </c>
      <c r="E1151" s="204" t="s">
        <v>2276</v>
      </c>
      <c r="F1151" s="204" t="s">
        <v>2276</v>
      </c>
      <c r="G1151" s="204" t="s">
        <v>2276</v>
      </c>
      <c r="H1151" s="204" t="s">
        <v>2276</v>
      </c>
      <c r="I1151" s="204" t="s">
        <v>2276</v>
      </c>
      <c r="J1151" s="204" t="s">
        <v>2276</v>
      </c>
      <c r="K1151" s="204" t="s">
        <v>2276</v>
      </c>
      <c r="L1151" s="204" t="s">
        <v>2276</v>
      </c>
      <c r="M1151" s="204" t="s">
        <v>2276</v>
      </c>
      <c r="N1151" s="204" t="s">
        <v>2276</v>
      </c>
      <c r="O1151" s="204" t="s">
        <v>2276</v>
      </c>
      <c r="P1151" s="204" t="s">
        <v>2276</v>
      </c>
      <c r="Q1151" s="204" t="s">
        <v>2276</v>
      </c>
      <c r="R1151" s="204" t="s">
        <v>2276</v>
      </c>
      <c r="S1151" s="204" t="s">
        <v>2276</v>
      </c>
      <c r="T1151" s="204" t="s">
        <v>7776</v>
      </c>
    </row>
    <row r="1152" spans="1:20" ht="37" customHeight="1">
      <c r="A1152" s="19" t="s">
        <v>7645</v>
      </c>
      <c r="B1152" s="4" t="s">
        <v>1197</v>
      </c>
      <c r="C1152" s="204" t="s">
        <v>2645</v>
      </c>
      <c r="D1152" s="165" t="s">
        <v>3209</v>
      </c>
      <c r="E1152" s="204" t="s">
        <v>2276</v>
      </c>
      <c r="F1152" s="204" t="s">
        <v>2276</v>
      </c>
      <c r="G1152" s="204" t="s">
        <v>2276</v>
      </c>
      <c r="H1152" s="204" t="s">
        <v>2276</v>
      </c>
      <c r="I1152" s="204" t="s">
        <v>2276</v>
      </c>
      <c r="J1152" s="204" t="s">
        <v>2276</v>
      </c>
      <c r="K1152" s="204" t="s">
        <v>2276</v>
      </c>
      <c r="L1152" s="204" t="s">
        <v>2276</v>
      </c>
      <c r="M1152" s="204" t="s">
        <v>2276</v>
      </c>
      <c r="N1152" s="204" t="s">
        <v>2276</v>
      </c>
      <c r="O1152" s="204" t="s">
        <v>2276</v>
      </c>
      <c r="P1152" s="204" t="s">
        <v>2276</v>
      </c>
      <c r="Q1152" s="204" t="s">
        <v>2276</v>
      </c>
      <c r="R1152" s="204" t="s">
        <v>2276</v>
      </c>
      <c r="S1152" s="204" t="s">
        <v>2276</v>
      </c>
      <c r="T1152" s="204" t="s">
        <v>7776</v>
      </c>
    </row>
    <row r="1153" spans="1:20" ht="37" customHeight="1">
      <c r="A1153" s="19" t="s">
        <v>7646</v>
      </c>
      <c r="B1153" s="4" t="s">
        <v>1197</v>
      </c>
      <c r="C1153" s="204" t="s">
        <v>2645</v>
      </c>
      <c r="D1153" s="165" t="s">
        <v>3209</v>
      </c>
      <c r="E1153" s="204" t="s">
        <v>2276</v>
      </c>
      <c r="F1153" s="204" t="s">
        <v>2276</v>
      </c>
      <c r="G1153" s="204" t="s">
        <v>2276</v>
      </c>
      <c r="H1153" s="204" t="s">
        <v>2276</v>
      </c>
      <c r="I1153" s="204" t="s">
        <v>2276</v>
      </c>
      <c r="J1153" s="204" t="s">
        <v>2276</v>
      </c>
      <c r="K1153" s="204" t="s">
        <v>2276</v>
      </c>
      <c r="L1153" s="204" t="s">
        <v>2276</v>
      </c>
      <c r="M1153" s="204" t="s">
        <v>2276</v>
      </c>
      <c r="N1153" s="204" t="s">
        <v>2276</v>
      </c>
      <c r="O1153" s="204" t="s">
        <v>2276</v>
      </c>
      <c r="P1153" s="204" t="s">
        <v>2276</v>
      </c>
      <c r="Q1153" s="204" t="s">
        <v>2276</v>
      </c>
      <c r="R1153" s="204" t="s">
        <v>2276</v>
      </c>
      <c r="S1153" s="204" t="s">
        <v>2276</v>
      </c>
      <c r="T1153" s="204" t="s">
        <v>7776</v>
      </c>
    </row>
    <row r="1154" spans="1:20" ht="37" customHeight="1">
      <c r="A1154" s="19" t="s">
        <v>7647</v>
      </c>
      <c r="B1154" s="4" t="s">
        <v>1197</v>
      </c>
      <c r="C1154" s="204" t="s">
        <v>2645</v>
      </c>
      <c r="D1154" s="165" t="s">
        <v>3209</v>
      </c>
      <c r="E1154" s="204" t="s">
        <v>2276</v>
      </c>
      <c r="F1154" s="204" t="s">
        <v>2276</v>
      </c>
      <c r="G1154" s="204" t="s">
        <v>2276</v>
      </c>
      <c r="H1154" s="204" t="s">
        <v>2276</v>
      </c>
      <c r="I1154" s="204" t="s">
        <v>2276</v>
      </c>
      <c r="J1154" s="204" t="s">
        <v>2276</v>
      </c>
      <c r="K1154" s="204" t="s">
        <v>2276</v>
      </c>
      <c r="L1154" s="204" t="s">
        <v>2276</v>
      </c>
      <c r="M1154" s="204" t="s">
        <v>2276</v>
      </c>
      <c r="N1154" s="204" t="s">
        <v>2276</v>
      </c>
      <c r="O1154" s="204" t="s">
        <v>2276</v>
      </c>
      <c r="P1154" s="204" t="s">
        <v>2276</v>
      </c>
      <c r="Q1154" s="204" t="s">
        <v>2276</v>
      </c>
      <c r="R1154" s="204" t="s">
        <v>2276</v>
      </c>
      <c r="S1154" s="204" t="s">
        <v>2276</v>
      </c>
      <c r="T1154" s="204" t="s">
        <v>7776</v>
      </c>
    </row>
    <row r="1155" spans="1:20" ht="37" customHeight="1">
      <c r="A1155" s="19" t="s">
        <v>7648</v>
      </c>
      <c r="B1155" s="4" t="s">
        <v>1197</v>
      </c>
      <c r="C1155" s="204" t="s">
        <v>2645</v>
      </c>
      <c r="D1155" s="165" t="s">
        <v>3209</v>
      </c>
      <c r="E1155" s="204" t="s">
        <v>2276</v>
      </c>
      <c r="F1155" s="204" t="s">
        <v>2276</v>
      </c>
      <c r="G1155" s="204" t="s">
        <v>2276</v>
      </c>
      <c r="H1155" s="204" t="s">
        <v>2276</v>
      </c>
      <c r="I1155" s="204" t="s">
        <v>2276</v>
      </c>
      <c r="J1155" s="204" t="s">
        <v>2276</v>
      </c>
      <c r="K1155" s="204" t="s">
        <v>2276</v>
      </c>
      <c r="L1155" s="204" t="s">
        <v>2276</v>
      </c>
      <c r="M1155" s="204" t="s">
        <v>2276</v>
      </c>
      <c r="N1155" s="204" t="s">
        <v>2276</v>
      </c>
      <c r="O1155" s="204" t="s">
        <v>2276</v>
      </c>
      <c r="P1155" s="204" t="s">
        <v>2276</v>
      </c>
      <c r="Q1155" s="204" t="s">
        <v>2276</v>
      </c>
      <c r="R1155" s="204" t="s">
        <v>2276</v>
      </c>
      <c r="S1155" s="204" t="s">
        <v>2276</v>
      </c>
      <c r="T1155" s="204" t="s">
        <v>7776</v>
      </c>
    </row>
    <row r="1156" spans="1:20" ht="37" customHeight="1">
      <c r="A1156" s="19" t="s">
        <v>7649</v>
      </c>
      <c r="B1156" s="4" t="s">
        <v>1197</v>
      </c>
      <c r="C1156" s="204" t="s">
        <v>2645</v>
      </c>
      <c r="D1156" s="165" t="s">
        <v>3209</v>
      </c>
      <c r="E1156" s="204" t="s">
        <v>2276</v>
      </c>
      <c r="F1156" s="204" t="s">
        <v>2276</v>
      </c>
      <c r="G1156" s="204" t="s">
        <v>2276</v>
      </c>
      <c r="H1156" s="204" t="s">
        <v>2276</v>
      </c>
      <c r="I1156" s="204" t="s">
        <v>2276</v>
      </c>
      <c r="J1156" s="204" t="s">
        <v>2276</v>
      </c>
      <c r="K1156" s="204" t="s">
        <v>2276</v>
      </c>
      <c r="L1156" s="204" t="s">
        <v>2276</v>
      </c>
      <c r="M1156" s="204" t="s">
        <v>2276</v>
      </c>
      <c r="N1156" s="204" t="s">
        <v>2276</v>
      </c>
      <c r="O1156" s="204" t="s">
        <v>2276</v>
      </c>
      <c r="P1156" s="204" t="s">
        <v>2276</v>
      </c>
      <c r="Q1156" s="204" t="s">
        <v>2276</v>
      </c>
      <c r="R1156" s="204" t="s">
        <v>2276</v>
      </c>
      <c r="S1156" s="204" t="s">
        <v>2276</v>
      </c>
      <c r="T1156" s="204" t="s">
        <v>7776</v>
      </c>
    </row>
    <row r="1157" spans="1:20" ht="37" customHeight="1">
      <c r="A1157" s="19" t="s">
        <v>7650</v>
      </c>
      <c r="B1157" s="4" t="s">
        <v>1197</v>
      </c>
      <c r="C1157" s="204" t="s">
        <v>2645</v>
      </c>
      <c r="D1157" s="165" t="s">
        <v>3209</v>
      </c>
      <c r="E1157" s="204" t="s">
        <v>2276</v>
      </c>
      <c r="F1157" s="204" t="s">
        <v>2276</v>
      </c>
      <c r="G1157" s="204" t="s">
        <v>2276</v>
      </c>
      <c r="H1157" s="204" t="s">
        <v>2276</v>
      </c>
      <c r="I1157" s="204" t="s">
        <v>2276</v>
      </c>
      <c r="J1157" s="204" t="s">
        <v>2276</v>
      </c>
      <c r="K1157" s="204" t="s">
        <v>2276</v>
      </c>
      <c r="L1157" s="204" t="s">
        <v>2276</v>
      </c>
      <c r="M1157" s="204" t="s">
        <v>2276</v>
      </c>
      <c r="N1157" s="204" t="s">
        <v>2276</v>
      </c>
      <c r="O1157" s="204" t="s">
        <v>2276</v>
      </c>
      <c r="P1157" s="204" t="s">
        <v>2276</v>
      </c>
      <c r="Q1157" s="204" t="s">
        <v>2276</v>
      </c>
      <c r="R1157" s="204" t="s">
        <v>2276</v>
      </c>
      <c r="S1157" s="204" t="s">
        <v>2276</v>
      </c>
      <c r="T1157" s="204" t="s">
        <v>7776</v>
      </c>
    </row>
    <row r="1158" spans="1:20" ht="37" customHeight="1">
      <c r="A1158" s="19" t="s">
        <v>7651</v>
      </c>
      <c r="B1158" s="4" t="s">
        <v>1197</v>
      </c>
      <c r="C1158" s="204" t="s">
        <v>2645</v>
      </c>
      <c r="D1158" s="165" t="s">
        <v>3209</v>
      </c>
      <c r="E1158" s="204" t="s">
        <v>2276</v>
      </c>
      <c r="F1158" s="204" t="s">
        <v>2276</v>
      </c>
      <c r="G1158" s="204" t="s">
        <v>2276</v>
      </c>
      <c r="H1158" s="204" t="s">
        <v>2276</v>
      </c>
      <c r="I1158" s="204" t="s">
        <v>2276</v>
      </c>
      <c r="J1158" s="204" t="s">
        <v>2276</v>
      </c>
      <c r="K1158" s="204" t="s">
        <v>2276</v>
      </c>
      <c r="L1158" s="204" t="s">
        <v>2276</v>
      </c>
      <c r="M1158" s="204" t="s">
        <v>2276</v>
      </c>
      <c r="N1158" s="204" t="s">
        <v>2276</v>
      </c>
      <c r="O1158" s="204" t="s">
        <v>2276</v>
      </c>
      <c r="P1158" s="204" t="s">
        <v>2276</v>
      </c>
      <c r="Q1158" s="204" t="s">
        <v>2276</v>
      </c>
      <c r="R1158" s="204" t="s">
        <v>2276</v>
      </c>
      <c r="S1158" s="204" t="s">
        <v>2276</v>
      </c>
      <c r="T1158" s="204" t="s">
        <v>7776</v>
      </c>
    </row>
    <row r="1159" spans="1:20" ht="37" customHeight="1">
      <c r="A1159" s="19" t="s">
        <v>7652</v>
      </c>
      <c r="B1159" s="4" t="s">
        <v>1197</v>
      </c>
      <c r="C1159" s="204" t="s">
        <v>2645</v>
      </c>
      <c r="D1159" s="165" t="s">
        <v>3209</v>
      </c>
      <c r="E1159" s="204" t="s">
        <v>2276</v>
      </c>
      <c r="F1159" s="204" t="s">
        <v>2276</v>
      </c>
      <c r="G1159" s="204" t="s">
        <v>2276</v>
      </c>
      <c r="H1159" s="204" t="s">
        <v>2276</v>
      </c>
      <c r="I1159" s="204" t="s">
        <v>2276</v>
      </c>
      <c r="J1159" s="204" t="s">
        <v>2276</v>
      </c>
      <c r="K1159" s="204" t="s">
        <v>2276</v>
      </c>
      <c r="L1159" s="204" t="s">
        <v>2276</v>
      </c>
      <c r="M1159" s="204" t="s">
        <v>2276</v>
      </c>
      <c r="N1159" s="204" t="s">
        <v>2276</v>
      </c>
      <c r="O1159" s="204" t="s">
        <v>2276</v>
      </c>
      <c r="P1159" s="204" t="s">
        <v>2276</v>
      </c>
      <c r="Q1159" s="204" t="s">
        <v>2276</v>
      </c>
      <c r="R1159" s="204" t="s">
        <v>2276</v>
      </c>
      <c r="S1159" s="204" t="s">
        <v>2276</v>
      </c>
      <c r="T1159" s="204" t="s">
        <v>7776</v>
      </c>
    </row>
    <row r="1160" spans="1:20" ht="37" customHeight="1">
      <c r="A1160" s="19" t="s">
        <v>7653</v>
      </c>
      <c r="B1160" s="4" t="s">
        <v>1197</v>
      </c>
      <c r="C1160" s="204" t="s">
        <v>2645</v>
      </c>
      <c r="D1160" s="165" t="s">
        <v>3209</v>
      </c>
      <c r="E1160" s="204" t="s">
        <v>2276</v>
      </c>
      <c r="F1160" s="204" t="s">
        <v>2276</v>
      </c>
      <c r="G1160" s="204" t="s">
        <v>2276</v>
      </c>
      <c r="H1160" s="204" t="s">
        <v>2276</v>
      </c>
      <c r="I1160" s="204" t="s">
        <v>2276</v>
      </c>
      <c r="J1160" s="204" t="s">
        <v>2276</v>
      </c>
      <c r="K1160" s="204" t="s">
        <v>2276</v>
      </c>
      <c r="L1160" s="204" t="s">
        <v>2276</v>
      </c>
      <c r="M1160" s="204" t="s">
        <v>2276</v>
      </c>
      <c r="N1160" s="204" t="s">
        <v>2276</v>
      </c>
      <c r="O1160" s="204" t="s">
        <v>2276</v>
      </c>
      <c r="P1160" s="204" t="s">
        <v>2276</v>
      </c>
      <c r="Q1160" s="204" t="s">
        <v>2276</v>
      </c>
      <c r="R1160" s="204" t="s">
        <v>2276</v>
      </c>
      <c r="S1160" s="204" t="s">
        <v>2276</v>
      </c>
      <c r="T1160" s="204" t="s">
        <v>7776</v>
      </c>
    </row>
    <row r="1161" spans="1:20" ht="37" customHeight="1">
      <c r="A1161" s="19" t="s">
        <v>7654</v>
      </c>
      <c r="B1161" s="4" t="s">
        <v>1197</v>
      </c>
      <c r="C1161" s="204" t="s">
        <v>2645</v>
      </c>
      <c r="D1161" s="165" t="s">
        <v>3209</v>
      </c>
      <c r="E1161" s="204" t="s">
        <v>2276</v>
      </c>
      <c r="F1161" s="204" t="s">
        <v>2276</v>
      </c>
      <c r="G1161" s="204" t="s">
        <v>2276</v>
      </c>
      <c r="H1161" s="204" t="s">
        <v>2276</v>
      </c>
      <c r="I1161" s="204" t="s">
        <v>2276</v>
      </c>
      <c r="J1161" s="204" t="s">
        <v>2276</v>
      </c>
      <c r="K1161" s="204" t="s">
        <v>2276</v>
      </c>
      <c r="L1161" s="204" t="s">
        <v>2276</v>
      </c>
      <c r="M1161" s="204" t="s">
        <v>2276</v>
      </c>
      <c r="N1161" s="204" t="s">
        <v>2276</v>
      </c>
      <c r="O1161" s="204" t="s">
        <v>2276</v>
      </c>
      <c r="P1161" s="204" t="s">
        <v>2276</v>
      </c>
      <c r="Q1161" s="204" t="s">
        <v>2276</v>
      </c>
      <c r="R1161" s="204" t="s">
        <v>2276</v>
      </c>
      <c r="S1161" s="204" t="s">
        <v>2276</v>
      </c>
      <c r="T1161" s="204" t="s">
        <v>7776</v>
      </c>
    </row>
    <row r="1162" spans="1:20" ht="37" customHeight="1">
      <c r="A1162" s="19" t="s">
        <v>7655</v>
      </c>
      <c r="B1162" s="4" t="s">
        <v>1197</v>
      </c>
      <c r="C1162" s="204" t="s">
        <v>2645</v>
      </c>
      <c r="D1162" s="165" t="s">
        <v>3209</v>
      </c>
      <c r="E1162" s="204" t="s">
        <v>2276</v>
      </c>
      <c r="F1162" s="204" t="s">
        <v>2276</v>
      </c>
      <c r="G1162" s="204" t="s">
        <v>2276</v>
      </c>
      <c r="H1162" s="204" t="s">
        <v>2276</v>
      </c>
      <c r="I1162" s="204" t="s">
        <v>2276</v>
      </c>
      <c r="J1162" s="204" t="s">
        <v>2276</v>
      </c>
      <c r="K1162" s="204" t="s">
        <v>2276</v>
      </c>
      <c r="L1162" s="204" t="s">
        <v>2276</v>
      </c>
      <c r="M1162" s="204" t="s">
        <v>2276</v>
      </c>
      <c r="N1162" s="204" t="s">
        <v>2276</v>
      </c>
      <c r="O1162" s="204" t="s">
        <v>2276</v>
      </c>
      <c r="P1162" s="204" t="s">
        <v>2276</v>
      </c>
      <c r="Q1162" s="204" t="s">
        <v>2276</v>
      </c>
      <c r="R1162" s="204" t="s">
        <v>2276</v>
      </c>
      <c r="S1162" s="204" t="s">
        <v>2276</v>
      </c>
      <c r="T1162" s="204" t="s">
        <v>7776</v>
      </c>
    </row>
    <row r="1163" spans="1:20" ht="37" customHeight="1">
      <c r="A1163" s="19" t="s">
        <v>7656</v>
      </c>
      <c r="B1163" s="4" t="s">
        <v>1197</v>
      </c>
      <c r="C1163" s="204" t="s">
        <v>2645</v>
      </c>
      <c r="D1163" s="165" t="s">
        <v>3209</v>
      </c>
      <c r="E1163" s="204" t="s">
        <v>2276</v>
      </c>
      <c r="F1163" s="204" t="s">
        <v>2276</v>
      </c>
      <c r="G1163" s="204" t="s">
        <v>2276</v>
      </c>
      <c r="H1163" s="204" t="s">
        <v>2276</v>
      </c>
      <c r="I1163" s="204" t="s">
        <v>2276</v>
      </c>
      <c r="J1163" s="204" t="s">
        <v>2276</v>
      </c>
      <c r="K1163" s="204" t="s">
        <v>2276</v>
      </c>
      <c r="L1163" s="204" t="s">
        <v>2276</v>
      </c>
      <c r="M1163" s="204" t="s">
        <v>2276</v>
      </c>
      <c r="N1163" s="204" t="s">
        <v>2276</v>
      </c>
      <c r="O1163" s="204" t="s">
        <v>2276</v>
      </c>
      <c r="P1163" s="204" t="s">
        <v>2276</v>
      </c>
      <c r="Q1163" s="204" t="s">
        <v>2276</v>
      </c>
      <c r="R1163" s="204" t="s">
        <v>2276</v>
      </c>
      <c r="S1163" s="204" t="s">
        <v>2276</v>
      </c>
      <c r="T1163" s="204" t="s">
        <v>7776</v>
      </c>
    </row>
    <row r="1164" spans="1:20" ht="37" customHeight="1">
      <c r="A1164" s="19" t="s">
        <v>7657</v>
      </c>
      <c r="B1164" s="4" t="s">
        <v>1197</v>
      </c>
      <c r="C1164" s="204" t="s">
        <v>2645</v>
      </c>
      <c r="D1164" s="165" t="s">
        <v>3209</v>
      </c>
      <c r="E1164" s="204" t="s">
        <v>2276</v>
      </c>
      <c r="F1164" s="204" t="s">
        <v>2276</v>
      </c>
      <c r="G1164" s="204" t="s">
        <v>2276</v>
      </c>
      <c r="H1164" s="204" t="s">
        <v>2276</v>
      </c>
      <c r="I1164" s="204" t="s">
        <v>2276</v>
      </c>
      <c r="J1164" s="204" t="s">
        <v>2276</v>
      </c>
      <c r="K1164" s="204" t="s">
        <v>2276</v>
      </c>
      <c r="L1164" s="204" t="s">
        <v>2276</v>
      </c>
      <c r="M1164" s="204" t="s">
        <v>2276</v>
      </c>
      <c r="N1164" s="204" t="s">
        <v>2276</v>
      </c>
      <c r="O1164" s="204" t="s">
        <v>2276</v>
      </c>
      <c r="P1164" s="204" t="s">
        <v>2276</v>
      </c>
      <c r="Q1164" s="204" t="s">
        <v>2276</v>
      </c>
      <c r="R1164" s="204" t="s">
        <v>2276</v>
      </c>
      <c r="S1164" s="204" t="s">
        <v>2276</v>
      </c>
      <c r="T1164" s="204" t="s">
        <v>7776</v>
      </c>
    </row>
    <row r="1165" spans="1:20" ht="37" customHeight="1">
      <c r="A1165" s="19" t="s">
        <v>7658</v>
      </c>
      <c r="B1165" s="4" t="s">
        <v>1197</v>
      </c>
      <c r="C1165" s="204" t="s">
        <v>2645</v>
      </c>
      <c r="D1165" s="165" t="s">
        <v>3209</v>
      </c>
      <c r="E1165" s="204" t="s">
        <v>2276</v>
      </c>
      <c r="F1165" s="204" t="s">
        <v>2276</v>
      </c>
      <c r="G1165" s="204" t="s">
        <v>2276</v>
      </c>
      <c r="H1165" s="204" t="s">
        <v>2276</v>
      </c>
      <c r="I1165" s="204" t="s">
        <v>2276</v>
      </c>
      <c r="J1165" s="204" t="s">
        <v>2276</v>
      </c>
      <c r="K1165" s="204" t="s">
        <v>2276</v>
      </c>
      <c r="L1165" s="204" t="s">
        <v>2276</v>
      </c>
      <c r="M1165" s="204" t="s">
        <v>2276</v>
      </c>
      <c r="N1165" s="204" t="s">
        <v>2276</v>
      </c>
      <c r="O1165" s="204" t="s">
        <v>2276</v>
      </c>
      <c r="P1165" s="204" t="s">
        <v>2276</v>
      </c>
      <c r="Q1165" s="204" t="s">
        <v>2276</v>
      </c>
      <c r="R1165" s="204" t="s">
        <v>2276</v>
      </c>
      <c r="S1165" s="204" t="s">
        <v>2276</v>
      </c>
      <c r="T1165" s="204" t="s">
        <v>7776</v>
      </c>
    </row>
    <row r="1166" spans="1:20" ht="37" customHeight="1">
      <c r="A1166" s="19" t="s">
        <v>7659</v>
      </c>
      <c r="B1166" s="4" t="s">
        <v>1197</v>
      </c>
      <c r="C1166" s="204" t="s">
        <v>2645</v>
      </c>
      <c r="D1166" s="165" t="s">
        <v>3209</v>
      </c>
      <c r="E1166" s="204" t="s">
        <v>2276</v>
      </c>
      <c r="F1166" s="204" t="s">
        <v>2276</v>
      </c>
      <c r="G1166" s="204" t="s">
        <v>2276</v>
      </c>
      <c r="H1166" s="204" t="s">
        <v>2276</v>
      </c>
      <c r="I1166" s="204" t="s">
        <v>2276</v>
      </c>
      <c r="J1166" s="204" t="s">
        <v>2276</v>
      </c>
      <c r="K1166" s="204" t="s">
        <v>2276</v>
      </c>
      <c r="L1166" s="204" t="s">
        <v>2276</v>
      </c>
      <c r="M1166" s="204" t="s">
        <v>2276</v>
      </c>
      <c r="N1166" s="204" t="s">
        <v>2276</v>
      </c>
      <c r="O1166" s="204" t="s">
        <v>2276</v>
      </c>
      <c r="P1166" s="204" t="s">
        <v>2276</v>
      </c>
      <c r="Q1166" s="204" t="s">
        <v>2276</v>
      </c>
      <c r="R1166" s="204" t="s">
        <v>2276</v>
      </c>
      <c r="S1166" s="204" t="s">
        <v>2276</v>
      </c>
      <c r="T1166" s="204" t="s">
        <v>7776</v>
      </c>
    </row>
    <row r="1167" spans="1:20" ht="37" customHeight="1">
      <c r="A1167" s="19" t="s">
        <v>7660</v>
      </c>
      <c r="B1167" s="4" t="s">
        <v>1197</v>
      </c>
      <c r="C1167" s="204" t="s">
        <v>2645</v>
      </c>
      <c r="D1167" s="165" t="s">
        <v>3209</v>
      </c>
      <c r="E1167" s="204" t="s">
        <v>2276</v>
      </c>
      <c r="F1167" s="204" t="s">
        <v>2276</v>
      </c>
      <c r="G1167" s="204" t="s">
        <v>2276</v>
      </c>
      <c r="H1167" s="204" t="s">
        <v>2276</v>
      </c>
      <c r="I1167" s="204" t="s">
        <v>2276</v>
      </c>
      <c r="J1167" s="204" t="s">
        <v>2276</v>
      </c>
      <c r="K1167" s="204" t="s">
        <v>2276</v>
      </c>
      <c r="L1167" s="204" t="s">
        <v>2276</v>
      </c>
      <c r="M1167" s="204" t="s">
        <v>2276</v>
      </c>
      <c r="N1167" s="204" t="s">
        <v>2276</v>
      </c>
      <c r="O1167" s="204" t="s">
        <v>2276</v>
      </c>
      <c r="P1167" s="204" t="s">
        <v>2276</v>
      </c>
      <c r="Q1167" s="204" t="s">
        <v>2276</v>
      </c>
      <c r="R1167" s="204" t="s">
        <v>2276</v>
      </c>
      <c r="S1167" s="204" t="s">
        <v>2276</v>
      </c>
      <c r="T1167" s="204" t="s">
        <v>7776</v>
      </c>
    </row>
    <row r="1168" spans="1:20" ht="37" customHeight="1">
      <c r="A1168" s="19" t="s">
        <v>7661</v>
      </c>
      <c r="B1168" s="4" t="s">
        <v>1197</v>
      </c>
      <c r="C1168" s="204" t="s">
        <v>2645</v>
      </c>
      <c r="D1168" s="165" t="s">
        <v>3209</v>
      </c>
      <c r="E1168" s="204" t="s">
        <v>2276</v>
      </c>
      <c r="F1168" s="204" t="s">
        <v>2276</v>
      </c>
      <c r="G1168" s="204" t="s">
        <v>2276</v>
      </c>
      <c r="H1168" s="204" t="s">
        <v>2276</v>
      </c>
      <c r="I1168" s="204" t="s">
        <v>2276</v>
      </c>
      <c r="J1168" s="204" t="s">
        <v>2276</v>
      </c>
      <c r="K1168" s="204" t="s">
        <v>2276</v>
      </c>
      <c r="L1168" s="204" t="s">
        <v>2276</v>
      </c>
      <c r="M1168" s="204" t="s">
        <v>2276</v>
      </c>
      <c r="N1168" s="204" t="s">
        <v>2276</v>
      </c>
      <c r="O1168" s="204" t="s">
        <v>2276</v>
      </c>
      <c r="P1168" s="204" t="s">
        <v>2276</v>
      </c>
      <c r="Q1168" s="204" t="s">
        <v>2276</v>
      </c>
      <c r="R1168" s="204" t="s">
        <v>2276</v>
      </c>
      <c r="S1168" s="204" t="s">
        <v>2276</v>
      </c>
      <c r="T1168" s="204" t="s">
        <v>7776</v>
      </c>
    </row>
    <row r="1169" spans="1:20" ht="37" customHeight="1">
      <c r="A1169" s="19" t="s">
        <v>7662</v>
      </c>
      <c r="B1169" s="4" t="s">
        <v>1197</v>
      </c>
      <c r="C1169" s="204" t="s">
        <v>2645</v>
      </c>
      <c r="D1169" s="165" t="s">
        <v>3209</v>
      </c>
      <c r="E1169" s="204" t="s">
        <v>2276</v>
      </c>
      <c r="F1169" s="204" t="s">
        <v>2276</v>
      </c>
      <c r="G1169" s="204" t="s">
        <v>2276</v>
      </c>
      <c r="H1169" s="204" t="s">
        <v>2276</v>
      </c>
      <c r="I1169" s="204" t="s">
        <v>2276</v>
      </c>
      <c r="J1169" s="204" t="s">
        <v>2276</v>
      </c>
      <c r="K1169" s="204" t="s">
        <v>2276</v>
      </c>
      <c r="L1169" s="204" t="s">
        <v>2276</v>
      </c>
      <c r="M1169" s="204" t="s">
        <v>2276</v>
      </c>
      <c r="N1169" s="204" t="s">
        <v>2276</v>
      </c>
      <c r="O1169" s="204" t="s">
        <v>2276</v>
      </c>
      <c r="P1169" s="204" t="s">
        <v>2276</v>
      </c>
      <c r="Q1169" s="204" t="s">
        <v>2276</v>
      </c>
      <c r="R1169" s="204" t="s">
        <v>2276</v>
      </c>
      <c r="S1169" s="204" t="s">
        <v>2276</v>
      </c>
      <c r="T1169" s="204" t="s">
        <v>7776</v>
      </c>
    </row>
    <row r="1170" spans="1:20" ht="37" customHeight="1">
      <c r="A1170" s="19" t="s">
        <v>7663</v>
      </c>
      <c r="B1170" s="4" t="s">
        <v>1197</v>
      </c>
      <c r="C1170" s="204" t="s">
        <v>2645</v>
      </c>
      <c r="D1170" s="165" t="s">
        <v>3209</v>
      </c>
      <c r="E1170" s="204" t="s">
        <v>2276</v>
      </c>
      <c r="F1170" s="204" t="s">
        <v>2276</v>
      </c>
      <c r="G1170" s="204" t="s">
        <v>2276</v>
      </c>
      <c r="H1170" s="204" t="s">
        <v>2276</v>
      </c>
      <c r="I1170" s="204" t="s">
        <v>2276</v>
      </c>
      <c r="J1170" s="204" t="s">
        <v>2276</v>
      </c>
      <c r="K1170" s="204" t="s">
        <v>2276</v>
      </c>
      <c r="L1170" s="204" t="s">
        <v>2276</v>
      </c>
      <c r="M1170" s="204" t="s">
        <v>2276</v>
      </c>
      <c r="N1170" s="204" t="s">
        <v>2276</v>
      </c>
      <c r="O1170" s="204" t="s">
        <v>2276</v>
      </c>
      <c r="P1170" s="204" t="s">
        <v>2276</v>
      </c>
      <c r="Q1170" s="204" t="s">
        <v>2276</v>
      </c>
      <c r="R1170" s="204" t="s">
        <v>2276</v>
      </c>
      <c r="S1170" s="204" t="s">
        <v>2276</v>
      </c>
      <c r="T1170" s="204" t="s">
        <v>7776</v>
      </c>
    </row>
    <row r="1171" spans="1:20" ht="37" customHeight="1">
      <c r="A1171" s="19" t="s">
        <v>7664</v>
      </c>
      <c r="B1171" s="4" t="s">
        <v>1197</v>
      </c>
      <c r="C1171" s="204" t="s">
        <v>2645</v>
      </c>
      <c r="D1171" s="165" t="s">
        <v>3209</v>
      </c>
      <c r="E1171" s="204" t="s">
        <v>2276</v>
      </c>
      <c r="F1171" s="204" t="s">
        <v>2276</v>
      </c>
      <c r="G1171" s="204" t="s">
        <v>2276</v>
      </c>
      <c r="H1171" s="204" t="s">
        <v>2276</v>
      </c>
      <c r="I1171" s="204" t="s">
        <v>2276</v>
      </c>
      <c r="J1171" s="204" t="s">
        <v>2276</v>
      </c>
      <c r="K1171" s="204" t="s">
        <v>2276</v>
      </c>
      <c r="L1171" s="204" t="s">
        <v>2276</v>
      </c>
      <c r="M1171" s="204" t="s">
        <v>2276</v>
      </c>
      <c r="N1171" s="204" t="s">
        <v>2276</v>
      </c>
      <c r="O1171" s="204" t="s">
        <v>2276</v>
      </c>
      <c r="P1171" s="204" t="s">
        <v>2276</v>
      </c>
      <c r="Q1171" s="204" t="s">
        <v>2276</v>
      </c>
      <c r="R1171" s="204" t="s">
        <v>2276</v>
      </c>
      <c r="S1171" s="204" t="s">
        <v>2276</v>
      </c>
      <c r="T1171" s="204" t="s">
        <v>7776</v>
      </c>
    </row>
    <row r="1172" spans="1:20" ht="37" customHeight="1">
      <c r="A1172" s="19" t="s">
        <v>7665</v>
      </c>
      <c r="B1172" s="4" t="s">
        <v>1197</v>
      </c>
      <c r="C1172" s="204" t="s">
        <v>2645</v>
      </c>
      <c r="D1172" s="165" t="s">
        <v>3209</v>
      </c>
      <c r="E1172" s="204" t="s">
        <v>2276</v>
      </c>
      <c r="F1172" s="204" t="s">
        <v>2276</v>
      </c>
      <c r="G1172" s="204" t="s">
        <v>2276</v>
      </c>
      <c r="H1172" s="204" t="s">
        <v>2276</v>
      </c>
      <c r="I1172" s="204" t="s">
        <v>2276</v>
      </c>
      <c r="J1172" s="204" t="s">
        <v>2276</v>
      </c>
      <c r="K1172" s="204" t="s">
        <v>2276</v>
      </c>
      <c r="L1172" s="204" t="s">
        <v>2276</v>
      </c>
      <c r="M1172" s="204" t="s">
        <v>2276</v>
      </c>
      <c r="N1172" s="204" t="s">
        <v>2276</v>
      </c>
      <c r="O1172" s="204" t="s">
        <v>2276</v>
      </c>
      <c r="P1172" s="204" t="s">
        <v>2276</v>
      </c>
      <c r="Q1172" s="204" t="s">
        <v>2276</v>
      </c>
      <c r="R1172" s="204" t="s">
        <v>2276</v>
      </c>
      <c r="S1172" s="204" t="s">
        <v>2276</v>
      </c>
      <c r="T1172" s="204" t="s">
        <v>7776</v>
      </c>
    </row>
    <row r="1173" spans="1:20" ht="37" customHeight="1">
      <c r="A1173" s="19" t="s">
        <v>7666</v>
      </c>
      <c r="B1173" s="4" t="s">
        <v>1197</v>
      </c>
      <c r="C1173" s="204" t="s">
        <v>2645</v>
      </c>
      <c r="D1173" s="165" t="s">
        <v>3209</v>
      </c>
      <c r="E1173" s="204" t="s">
        <v>2276</v>
      </c>
      <c r="F1173" s="204" t="s">
        <v>2276</v>
      </c>
      <c r="G1173" s="204" t="s">
        <v>2276</v>
      </c>
      <c r="H1173" s="204" t="s">
        <v>2276</v>
      </c>
      <c r="I1173" s="204" t="s">
        <v>2276</v>
      </c>
      <c r="J1173" s="204" t="s">
        <v>2276</v>
      </c>
      <c r="K1173" s="204" t="s">
        <v>2276</v>
      </c>
      <c r="L1173" s="204" t="s">
        <v>2276</v>
      </c>
      <c r="M1173" s="204" t="s">
        <v>2276</v>
      </c>
      <c r="N1173" s="204" t="s">
        <v>2276</v>
      </c>
      <c r="O1173" s="204" t="s">
        <v>2276</v>
      </c>
      <c r="P1173" s="204" t="s">
        <v>2276</v>
      </c>
      <c r="Q1173" s="204" t="s">
        <v>2276</v>
      </c>
      <c r="R1173" s="204" t="s">
        <v>2276</v>
      </c>
      <c r="S1173" s="204" t="s">
        <v>2276</v>
      </c>
      <c r="T1173" s="204" t="s">
        <v>7776</v>
      </c>
    </row>
    <row r="1174" spans="1:20" ht="37" customHeight="1">
      <c r="A1174" s="19" t="s">
        <v>7667</v>
      </c>
      <c r="B1174" s="4" t="s">
        <v>1197</v>
      </c>
      <c r="C1174" s="204" t="s">
        <v>2645</v>
      </c>
      <c r="D1174" s="165" t="s">
        <v>3209</v>
      </c>
      <c r="E1174" s="204" t="s">
        <v>2276</v>
      </c>
      <c r="F1174" s="204" t="s">
        <v>2276</v>
      </c>
      <c r="G1174" s="204" t="s">
        <v>2276</v>
      </c>
      <c r="H1174" s="204" t="s">
        <v>2276</v>
      </c>
      <c r="I1174" s="204" t="s">
        <v>2276</v>
      </c>
      <c r="J1174" s="204" t="s">
        <v>2276</v>
      </c>
      <c r="K1174" s="204" t="s">
        <v>2276</v>
      </c>
      <c r="L1174" s="204" t="s">
        <v>2276</v>
      </c>
      <c r="M1174" s="204" t="s">
        <v>2276</v>
      </c>
      <c r="N1174" s="204" t="s">
        <v>2276</v>
      </c>
      <c r="O1174" s="204" t="s">
        <v>2276</v>
      </c>
      <c r="P1174" s="204" t="s">
        <v>2276</v>
      </c>
      <c r="Q1174" s="204" t="s">
        <v>2276</v>
      </c>
      <c r="R1174" s="204" t="s">
        <v>2276</v>
      </c>
      <c r="S1174" s="204" t="s">
        <v>2276</v>
      </c>
      <c r="T1174" s="204" t="s">
        <v>7776</v>
      </c>
    </row>
    <row r="1175" spans="1:20" ht="37" customHeight="1">
      <c r="A1175" s="19" t="s">
        <v>7668</v>
      </c>
      <c r="B1175" s="4" t="s">
        <v>1197</v>
      </c>
      <c r="C1175" s="204" t="s">
        <v>2645</v>
      </c>
      <c r="D1175" s="165" t="s">
        <v>3209</v>
      </c>
      <c r="E1175" s="204" t="s">
        <v>2276</v>
      </c>
      <c r="F1175" s="204" t="s">
        <v>2276</v>
      </c>
      <c r="G1175" s="204" t="s">
        <v>2276</v>
      </c>
      <c r="H1175" s="204" t="s">
        <v>2276</v>
      </c>
      <c r="I1175" s="204" t="s">
        <v>2276</v>
      </c>
      <c r="J1175" s="204" t="s">
        <v>2276</v>
      </c>
      <c r="K1175" s="204" t="s">
        <v>2276</v>
      </c>
      <c r="L1175" s="204" t="s">
        <v>2276</v>
      </c>
      <c r="M1175" s="204" t="s">
        <v>2276</v>
      </c>
      <c r="N1175" s="204" t="s">
        <v>2276</v>
      </c>
      <c r="O1175" s="204" t="s">
        <v>2276</v>
      </c>
      <c r="P1175" s="204" t="s">
        <v>2276</v>
      </c>
      <c r="Q1175" s="204" t="s">
        <v>2276</v>
      </c>
      <c r="R1175" s="204" t="s">
        <v>2276</v>
      </c>
      <c r="S1175" s="204" t="s">
        <v>2276</v>
      </c>
      <c r="T1175" s="204" t="s">
        <v>7776</v>
      </c>
    </row>
    <row r="1176" spans="1:20" ht="37" customHeight="1">
      <c r="A1176" s="19" t="s">
        <v>7669</v>
      </c>
      <c r="B1176" s="4" t="s">
        <v>1197</v>
      </c>
      <c r="C1176" s="204" t="s">
        <v>2645</v>
      </c>
      <c r="D1176" s="165" t="s">
        <v>3209</v>
      </c>
      <c r="E1176" s="204" t="s">
        <v>2276</v>
      </c>
      <c r="F1176" s="204" t="s">
        <v>2276</v>
      </c>
      <c r="G1176" s="204" t="s">
        <v>2276</v>
      </c>
      <c r="H1176" s="204" t="s">
        <v>2276</v>
      </c>
      <c r="I1176" s="204" t="s">
        <v>2276</v>
      </c>
      <c r="J1176" s="204" t="s">
        <v>2276</v>
      </c>
      <c r="K1176" s="204" t="s">
        <v>2276</v>
      </c>
      <c r="L1176" s="204" t="s">
        <v>2276</v>
      </c>
      <c r="M1176" s="204" t="s">
        <v>2276</v>
      </c>
      <c r="N1176" s="204" t="s">
        <v>2276</v>
      </c>
      <c r="O1176" s="204" t="s">
        <v>2276</v>
      </c>
      <c r="P1176" s="204" t="s">
        <v>2276</v>
      </c>
      <c r="Q1176" s="204" t="s">
        <v>2276</v>
      </c>
      <c r="R1176" s="204" t="s">
        <v>2276</v>
      </c>
      <c r="S1176" s="204" t="s">
        <v>2276</v>
      </c>
      <c r="T1176" s="204" t="s">
        <v>7776</v>
      </c>
    </row>
    <row r="1177" spans="1:20" ht="37" customHeight="1">
      <c r="A1177" s="19" t="s">
        <v>7670</v>
      </c>
      <c r="B1177" s="4" t="s">
        <v>1197</v>
      </c>
      <c r="C1177" s="204" t="s">
        <v>2645</v>
      </c>
      <c r="D1177" s="165" t="s">
        <v>3209</v>
      </c>
      <c r="E1177" s="204" t="s">
        <v>2276</v>
      </c>
      <c r="F1177" s="204" t="s">
        <v>2276</v>
      </c>
      <c r="G1177" s="204" t="s">
        <v>2276</v>
      </c>
      <c r="H1177" s="204" t="s">
        <v>2276</v>
      </c>
      <c r="I1177" s="204" t="s">
        <v>2276</v>
      </c>
      <c r="J1177" s="204" t="s">
        <v>2276</v>
      </c>
      <c r="K1177" s="204" t="s">
        <v>2276</v>
      </c>
      <c r="L1177" s="204" t="s">
        <v>2276</v>
      </c>
      <c r="M1177" s="204" t="s">
        <v>2276</v>
      </c>
      <c r="N1177" s="204" t="s">
        <v>2276</v>
      </c>
      <c r="O1177" s="204" t="s">
        <v>2276</v>
      </c>
      <c r="P1177" s="204" t="s">
        <v>2276</v>
      </c>
      <c r="Q1177" s="204" t="s">
        <v>2276</v>
      </c>
      <c r="R1177" s="204" t="s">
        <v>2276</v>
      </c>
      <c r="S1177" s="204" t="s">
        <v>2276</v>
      </c>
      <c r="T1177" s="204" t="s">
        <v>7776</v>
      </c>
    </row>
    <row r="1178" spans="1:20" ht="37" customHeight="1">
      <c r="A1178" s="19" t="s">
        <v>7671</v>
      </c>
      <c r="B1178" s="4" t="s">
        <v>1197</v>
      </c>
      <c r="C1178" s="204" t="s">
        <v>2645</v>
      </c>
      <c r="D1178" s="165" t="s">
        <v>3209</v>
      </c>
      <c r="E1178" s="204" t="s">
        <v>2276</v>
      </c>
      <c r="F1178" s="204" t="s">
        <v>2276</v>
      </c>
      <c r="G1178" s="204" t="s">
        <v>2276</v>
      </c>
      <c r="H1178" s="204" t="s">
        <v>2276</v>
      </c>
      <c r="I1178" s="204" t="s">
        <v>2276</v>
      </c>
      <c r="J1178" s="204" t="s">
        <v>2276</v>
      </c>
      <c r="K1178" s="204" t="s">
        <v>2276</v>
      </c>
      <c r="L1178" s="204" t="s">
        <v>2276</v>
      </c>
      <c r="M1178" s="204" t="s">
        <v>2276</v>
      </c>
      <c r="N1178" s="204" t="s">
        <v>2276</v>
      </c>
      <c r="O1178" s="204" t="s">
        <v>2276</v>
      </c>
      <c r="P1178" s="204" t="s">
        <v>2276</v>
      </c>
      <c r="Q1178" s="204" t="s">
        <v>2276</v>
      </c>
      <c r="R1178" s="204" t="s">
        <v>2276</v>
      </c>
      <c r="S1178" s="204" t="s">
        <v>2276</v>
      </c>
      <c r="T1178" s="204" t="s">
        <v>7776</v>
      </c>
    </row>
    <row r="1179" spans="1:20" ht="37" customHeight="1">
      <c r="A1179" s="19" t="s">
        <v>7672</v>
      </c>
      <c r="B1179" s="4" t="s">
        <v>1197</v>
      </c>
      <c r="C1179" s="204" t="s">
        <v>2645</v>
      </c>
      <c r="D1179" s="165" t="s">
        <v>3209</v>
      </c>
      <c r="E1179" s="204" t="s">
        <v>2276</v>
      </c>
      <c r="F1179" s="204" t="s">
        <v>2276</v>
      </c>
      <c r="G1179" s="204" t="s">
        <v>2276</v>
      </c>
      <c r="H1179" s="204" t="s">
        <v>2276</v>
      </c>
      <c r="I1179" s="204" t="s">
        <v>2276</v>
      </c>
      <c r="J1179" s="204" t="s">
        <v>2276</v>
      </c>
      <c r="K1179" s="204" t="s">
        <v>2276</v>
      </c>
      <c r="L1179" s="204" t="s">
        <v>2276</v>
      </c>
      <c r="M1179" s="204" t="s">
        <v>2276</v>
      </c>
      <c r="N1179" s="204" t="s">
        <v>2276</v>
      </c>
      <c r="O1179" s="204" t="s">
        <v>2276</v>
      </c>
      <c r="P1179" s="204" t="s">
        <v>2276</v>
      </c>
      <c r="Q1179" s="204" t="s">
        <v>2276</v>
      </c>
      <c r="R1179" s="204" t="s">
        <v>2276</v>
      </c>
      <c r="S1179" s="204" t="s">
        <v>2276</v>
      </c>
      <c r="T1179" s="204" t="s">
        <v>7776</v>
      </c>
    </row>
    <row r="1180" spans="1:20" ht="37" customHeight="1">
      <c r="A1180" s="19" t="s">
        <v>7673</v>
      </c>
      <c r="B1180" s="4" t="s">
        <v>1197</v>
      </c>
      <c r="C1180" s="204" t="s">
        <v>2645</v>
      </c>
      <c r="D1180" s="165" t="s">
        <v>3209</v>
      </c>
      <c r="E1180" s="204" t="s">
        <v>2276</v>
      </c>
      <c r="F1180" s="204" t="s">
        <v>2276</v>
      </c>
      <c r="G1180" s="204" t="s">
        <v>2276</v>
      </c>
      <c r="H1180" s="204" t="s">
        <v>2276</v>
      </c>
      <c r="I1180" s="204" t="s">
        <v>2276</v>
      </c>
      <c r="J1180" s="204" t="s">
        <v>2276</v>
      </c>
      <c r="K1180" s="204" t="s">
        <v>2276</v>
      </c>
      <c r="L1180" s="204" t="s">
        <v>2276</v>
      </c>
      <c r="M1180" s="204" t="s">
        <v>2276</v>
      </c>
      <c r="N1180" s="204" t="s">
        <v>2276</v>
      </c>
      <c r="O1180" s="204" t="s">
        <v>2276</v>
      </c>
      <c r="P1180" s="204" t="s">
        <v>2276</v>
      </c>
      <c r="Q1180" s="204" t="s">
        <v>2276</v>
      </c>
      <c r="R1180" s="204" t="s">
        <v>2276</v>
      </c>
      <c r="S1180" s="204" t="s">
        <v>2276</v>
      </c>
      <c r="T1180" s="204" t="s">
        <v>7776</v>
      </c>
    </row>
    <row r="1181" spans="1:20" ht="37" customHeight="1">
      <c r="A1181" s="19" t="s">
        <v>7593</v>
      </c>
      <c r="B1181" s="4" t="s">
        <v>1197</v>
      </c>
      <c r="C1181" s="204" t="s">
        <v>2645</v>
      </c>
      <c r="D1181" s="165" t="s">
        <v>3209</v>
      </c>
      <c r="E1181" s="204" t="s">
        <v>2276</v>
      </c>
      <c r="F1181" s="204" t="s">
        <v>2276</v>
      </c>
      <c r="G1181" s="204" t="s">
        <v>2276</v>
      </c>
      <c r="H1181" s="204" t="s">
        <v>2276</v>
      </c>
      <c r="I1181" s="204" t="s">
        <v>2276</v>
      </c>
      <c r="J1181" s="204" t="s">
        <v>2276</v>
      </c>
      <c r="K1181" s="204" t="s">
        <v>2276</v>
      </c>
      <c r="L1181" s="204" t="s">
        <v>2276</v>
      </c>
      <c r="M1181" s="204" t="s">
        <v>2276</v>
      </c>
      <c r="N1181" s="204" t="s">
        <v>2276</v>
      </c>
      <c r="O1181" s="204" t="s">
        <v>2276</v>
      </c>
      <c r="P1181" s="204" t="s">
        <v>2276</v>
      </c>
      <c r="Q1181" s="204" t="s">
        <v>2276</v>
      </c>
      <c r="R1181" s="204" t="s">
        <v>2276</v>
      </c>
      <c r="S1181" s="204" t="s">
        <v>2276</v>
      </c>
      <c r="T1181" s="204" t="s">
        <v>7776</v>
      </c>
    </row>
    <row r="1182" spans="1:20" ht="37" customHeight="1">
      <c r="A1182" s="19" t="s">
        <v>7614</v>
      </c>
      <c r="B1182" s="4" t="s">
        <v>1197</v>
      </c>
      <c r="C1182" s="204" t="s">
        <v>2645</v>
      </c>
      <c r="D1182" s="165" t="s">
        <v>3209</v>
      </c>
      <c r="E1182" s="204" t="s">
        <v>2276</v>
      </c>
      <c r="F1182" s="204" t="s">
        <v>2276</v>
      </c>
      <c r="G1182" s="204" t="s">
        <v>2276</v>
      </c>
      <c r="H1182" s="204" t="s">
        <v>2276</v>
      </c>
      <c r="I1182" s="204" t="s">
        <v>2276</v>
      </c>
      <c r="J1182" s="204" t="s">
        <v>2276</v>
      </c>
      <c r="K1182" s="204" t="s">
        <v>2276</v>
      </c>
      <c r="L1182" s="204" t="s">
        <v>2276</v>
      </c>
      <c r="M1182" s="204" t="s">
        <v>2276</v>
      </c>
      <c r="N1182" s="204" t="s">
        <v>2276</v>
      </c>
      <c r="O1182" s="204" t="s">
        <v>2276</v>
      </c>
      <c r="P1182" s="204" t="s">
        <v>2276</v>
      </c>
      <c r="Q1182" s="204" t="s">
        <v>2276</v>
      </c>
      <c r="R1182" s="204" t="s">
        <v>2276</v>
      </c>
      <c r="S1182" s="204" t="s">
        <v>2276</v>
      </c>
      <c r="T1182" s="204" t="s">
        <v>7776</v>
      </c>
    </row>
    <row r="1183" spans="1:20" ht="37" customHeight="1">
      <c r="A1183" s="19" t="s">
        <v>7674</v>
      </c>
      <c r="B1183" s="4" t="s">
        <v>1197</v>
      </c>
      <c r="C1183" s="204" t="s">
        <v>2645</v>
      </c>
      <c r="D1183" s="165" t="s">
        <v>3209</v>
      </c>
      <c r="E1183" s="204" t="s">
        <v>2276</v>
      </c>
      <c r="F1183" s="204" t="s">
        <v>2276</v>
      </c>
      <c r="G1183" s="204" t="s">
        <v>2276</v>
      </c>
      <c r="H1183" s="204" t="s">
        <v>2276</v>
      </c>
      <c r="I1183" s="204" t="s">
        <v>2276</v>
      </c>
      <c r="J1183" s="204" t="s">
        <v>2276</v>
      </c>
      <c r="K1183" s="204" t="s">
        <v>2276</v>
      </c>
      <c r="L1183" s="204" t="s">
        <v>2276</v>
      </c>
      <c r="M1183" s="204" t="s">
        <v>2276</v>
      </c>
      <c r="N1183" s="204" t="s">
        <v>2276</v>
      </c>
      <c r="O1183" s="204" t="s">
        <v>2276</v>
      </c>
      <c r="P1183" s="204" t="s">
        <v>2276</v>
      </c>
      <c r="Q1183" s="204" t="s">
        <v>2276</v>
      </c>
      <c r="R1183" s="204" t="s">
        <v>2276</v>
      </c>
      <c r="S1183" s="204" t="s">
        <v>2276</v>
      </c>
      <c r="T1183" s="204" t="s">
        <v>7776</v>
      </c>
    </row>
    <row r="1184" spans="1:20" ht="37" customHeight="1">
      <c r="A1184" s="19" t="s">
        <v>7675</v>
      </c>
      <c r="B1184" s="4" t="s">
        <v>1197</v>
      </c>
      <c r="C1184" s="204" t="s">
        <v>2645</v>
      </c>
      <c r="D1184" s="165" t="s">
        <v>3209</v>
      </c>
      <c r="E1184" s="204" t="s">
        <v>2276</v>
      </c>
      <c r="F1184" s="204" t="s">
        <v>2276</v>
      </c>
      <c r="G1184" s="204" t="s">
        <v>2276</v>
      </c>
      <c r="H1184" s="204" t="s">
        <v>2276</v>
      </c>
      <c r="I1184" s="204" t="s">
        <v>2276</v>
      </c>
      <c r="J1184" s="204" t="s">
        <v>2276</v>
      </c>
      <c r="K1184" s="204" t="s">
        <v>2276</v>
      </c>
      <c r="L1184" s="204" t="s">
        <v>2276</v>
      </c>
      <c r="M1184" s="204" t="s">
        <v>2276</v>
      </c>
      <c r="N1184" s="204" t="s">
        <v>2276</v>
      </c>
      <c r="O1184" s="204" t="s">
        <v>2276</v>
      </c>
      <c r="P1184" s="204" t="s">
        <v>2276</v>
      </c>
      <c r="Q1184" s="204" t="s">
        <v>2276</v>
      </c>
      <c r="R1184" s="204" t="s">
        <v>2276</v>
      </c>
      <c r="S1184" s="204" t="s">
        <v>2276</v>
      </c>
      <c r="T1184" s="204" t="s">
        <v>7776</v>
      </c>
    </row>
    <row r="1185" spans="1:20" ht="37" customHeight="1">
      <c r="A1185" s="19" t="s">
        <v>7676</v>
      </c>
      <c r="B1185" s="4" t="s">
        <v>1197</v>
      </c>
      <c r="C1185" s="204" t="s">
        <v>2645</v>
      </c>
      <c r="D1185" s="165" t="s">
        <v>3209</v>
      </c>
      <c r="E1185" s="204" t="s">
        <v>2276</v>
      </c>
      <c r="F1185" s="204" t="s">
        <v>2276</v>
      </c>
      <c r="G1185" s="204" t="s">
        <v>2276</v>
      </c>
      <c r="H1185" s="204" t="s">
        <v>2276</v>
      </c>
      <c r="I1185" s="204" t="s">
        <v>2276</v>
      </c>
      <c r="J1185" s="204" t="s">
        <v>2276</v>
      </c>
      <c r="K1185" s="204" t="s">
        <v>2276</v>
      </c>
      <c r="L1185" s="204" t="s">
        <v>2276</v>
      </c>
      <c r="M1185" s="204" t="s">
        <v>2276</v>
      </c>
      <c r="N1185" s="204" t="s">
        <v>2276</v>
      </c>
      <c r="O1185" s="204" t="s">
        <v>2276</v>
      </c>
      <c r="P1185" s="204" t="s">
        <v>2276</v>
      </c>
      <c r="Q1185" s="204" t="s">
        <v>2276</v>
      </c>
      <c r="R1185" s="204" t="s">
        <v>2276</v>
      </c>
      <c r="S1185" s="204" t="s">
        <v>2276</v>
      </c>
      <c r="T1185" s="204" t="s">
        <v>7776</v>
      </c>
    </row>
    <row r="1186" spans="1:20" ht="37" customHeight="1">
      <c r="A1186" s="19" t="s">
        <v>7677</v>
      </c>
      <c r="B1186" s="4" t="s">
        <v>1197</v>
      </c>
      <c r="C1186" s="204" t="s">
        <v>2645</v>
      </c>
      <c r="D1186" s="165" t="s">
        <v>3209</v>
      </c>
      <c r="E1186" s="204" t="s">
        <v>2276</v>
      </c>
      <c r="F1186" s="204" t="s">
        <v>2276</v>
      </c>
      <c r="G1186" s="204" t="s">
        <v>2276</v>
      </c>
      <c r="H1186" s="204" t="s">
        <v>2276</v>
      </c>
      <c r="I1186" s="204" t="s">
        <v>2276</v>
      </c>
      <c r="J1186" s="204" t="s">
        <v>2276</v>
      </c>
      <c r="K1186" s="204" t="s">
        <v>2276</v>
      </c>
      <c r="L1186" s="204" t="s">
        <v>2276</v>
      </c>
      <c r="M1186" s="204" t="s">
        <v>2276</v>
      </c>
      <c r="N1186" s="204" t="s">
        <v>2276</v>
      </c>
      <c r="O1186" s="204" t="s">
        <v>2276</v>
      </c>
      <c r="P1186" s="204" t="s">
        <v>2276</v>
      </c>
      <c r="Q1186" s="204" t="s">
        <v>2276</v>
      </c>
      <c r="R1186" s="204" t="s">
        <v>2276</v>
      </c>
      <c r="S1186" s="204" t="s">
        <v>2276</v>
      </c>
      <c r="T1186" s="204" t="s">
        <v>7776</v>
      </c>
    </row>
    <row r="1187" spans="1:20" ht="37" customHeight="1">
      <c r="A1187" s="19" t="s">
        <v>7678</v>
      </c>
      <c r="B1187" s="4" t="s">
        <v>1197</v>
      </c>
      <c r="C1187" s="204" t="s">
        <v>2645</v>
      </c>
      <c r="D1187" s="165" t="s">
        <v>3209</v>
      </c>
      <c r="E1187" s="204" t="s">
        <v>2276</v>
      </c>
      <c r="F1187" s="204" t="s">
        <v>2276</v>
      </c>
      <c r="G1187" s="204" t="s">
        <v>2276</v>
      </c>
      <c r="H1187" s="204" t="s">
        <v>2276</v>
      </c>
      <c r="I1187" s="204" t="s">
        <v>2276</v>
      </c>
      <c r="J1187" s="204" t="s">
        <v>2276</v>
      </c>
      <c r="K1187" s="204" t="s">
        <v>2276</v>
      </c>
      <c r="L1187" s="204" t="s">
        <v>2276</v>
      </c>
      <c r="M1187" s="204" t="s">
        <v>2276</v>
      </c>
      <c r="N1187" s="204" t="s">
        <v>2276</v>
      </c>
      <c r="O1187" s="204" t="s">
        <v>2276</v>
      </c>
      <c r="P1187" s="204" t="s">
        <v>2276</v>
      </c>
      <c r="Q1187" s="204" t="s">
        <v>2276</v>
      </c>
      <c r="R1187" s="204" t="s">
        <v>2276</v>
      </c>
      <c r="S1187" s="204" t="s">
        <v>2276</v>
      </c>
      <c r="T1187" s="204" t="s">
        <v>7776</v>
      </c>
    </row>
    <row r="1188" spans="1:20" ht="37" customHeight="1">
      <c r="A1188" s="19" t="s">
        <v>7679</v>
      </c>
      <c r="B1188" s="4" t="s">
        <v>1197</v>
      </c>
      <c r="C1188" s="204" t="s">
        <v>2645</v>
      </c>
      <c r="D1188" s="165" t="s">
        <v>3209</v>
      </c>
      <c r="E1188" s="204" t="s">
        <v>2276</v>
      </c>
      <c r="F1188" s="204" t="s">
        <v>2276</v>
      </c>
      <c r="G1188" s="204" t="s">
        <v>2276</v>
      </c>
      <c r="H1188" s="204" t="s">
        <v>2276</v>
      </c>
      <c r="I1188" s="204" t="s">
        <v>2276</v>
      </c>
      <c r="J1188" s="204" t="s">
        <v>2276</v>
      </c>
      <c r="K1188" s="204" t="s">
        <v>2276</v>
      </c>
      <c r="L1188" s="204" t="s">
        <v>2276</v>
      </c>
      <c r="M1188" s="204" t="s">
        <v>2276</v>
      </c>
      <c r="N1188" s="204" t="s">
        <v>2276</v>
      </c>
      <c r="O1188" s="204" t="s">
        <v>2276</v>
      </c>
      <c r="P1188" s="204" t="s">
        <v>2276</v>
      </c>
      <c r="Q1188" s="204" t="s">
        <v>2276</v>
      </c>
      <c r="R1188" s="204" t="s">
        <v>2276</v>
      </c>
      <c r="S1188" s="204" t="s">
        <v>2276</v>
      </c>
      <c r="T1188" s="204" t="s">
        <v>7776</v>
      </c>
    </row>
    <row r="1189" spans="1:20" ht="37" customHeight="1">
      <c r="A1189" s="19" t="s">
        <v>7680</v>
      </c>
      <c r="B1189" s="4" t="s">
        <v>1197</v>
      </c>
      <c r="C1189" s="204" t="s">
        <v>2645</v>
      </c>
      <c r="D1189" s="165" t="s">
        <v>3209</v>
      </c>
      <c r="E1189" s="204" t="s">
        <v>2276</v>
      </c>
      <c r="F1189" s="204" t="s">
        <v>2276</v>
      </c>
      <c r="G1189" s="204" t="s">
        <v>2276</v>
      </c>
      <c r="H1189" s="204" t="s">
        <v>2276</v>
      </c>
      <c r="I1189" s="204" t="s">
        <v>2276</v>
      </c>
      <c r="J1189" s="204" t="s">
        <v>2276</v>
      </c>
      <c r="K1189" s="204" t="s">
        <v>2276</v>
      </c>
      <c r="L1189" s="204" t="s">
        <v>2276</v>
      </c>
      <c r="M1189" s="204" t="s">
        <v>2276</v>
      </c>
      <c r="N1189" s="204" t="s">
        <v>2276</v>
      </c>
      <c r="O1189" s="204" t="s">
        <v>2276</v>
      </c>
      <c r="P1189" s="204" t="s">
        <v>2276</v>
      </c>
      <c r="Q1189" s="204" t="s">
        <v>2276</v>
      </c>
      <c r="R1189" s="204" t="s">
        <v>2276</v>
      </c>
      <c r="S1189" s="204" t="s">
        <v>2276</v>
      </c>
      <c r="T1189" s="204" t="s">
        <v>7776</v>
      </c>
    </row>
    <row r="1190" spans="1:20" ht="37" customHeight="1">
      <c r="A1190" s="19" t="s">
        <v>7681</v>
      </c>
      <c r="B1190" s="4" t="s">
        <v>1197</v>
      </c>
      <c r="C1190" s="204" t="s">
        <v>2645</v>
      </c>
      <c r="D1190" s="165" t="s">
        <v>3209</v>
      </c>
      <c r="E1190" s="204" t="s">
        <v>2276</v>
      </c>
      <c r="F1190" s="204" t="s">
        <v>2276</v>
      </c>
      <c r="G1190" s="204" t="s">
        <v>2276</v>
      </c>
      <c r="H1190" s="204" t="s">
        <v>2276</v>
      </c>
      <c r="I1190" s="204" t="s">
        <v>2276</v>
      </c>
      <c r="J1190" s="204" t="s">
        <v>2276</v>
      </c>
      <c r="K1190" s="204" t="s">
        <v>2276</v>
      </c>
      <c r="L1190" s="204" t="s">
        <v>2276</v>
      </c>
      <c r="M1190" s="204" t="s">
        <v>2276</v>
      </c>
      <c r="N1190" s="204" t="s">
        <v>2276</v>
      </c>
      <c r="O1190" s="204" t="s">
        <v>2276</v>
      </c>
      <c r="P1190" s="204" t="s">
        <v>2276</v>
      </c>
      <c r="Q1190" s="204" t="s">
        <v>2276</v>
      </c>
      <c r="R1190" s="204" t="s">
        <v>2276</v>
      </c>
      <c r="S1190" s="204" t="s">
        <v>2276</v>
      </c>
      <c r="T1190" s="204" t="s">
        <v>7776</v>
      </c>
    </row>
    <row r="1191" spans="1:20" ht="37" customHeight="1">
      <c r="A1191" s="19" t="s">
        <v>7682</v>
      </c>
      <c r="B1191" s="4" t="s">
        <v>1197</v>
      </c>
      <c r="C1191" s="204" t="s">
        <v>2645</v>
      </c>
      <c r="D1191" s="165" t="s">
        <v>3209</v>
      </c>
      <c r="E1191" s="204" t="s">
        <v>2276</v>
      </c>
      <c r="F1191" s="204" t="s">
        <v>2276</v>
      </c>
      <c r="G1191" s="204" t="s">
        <v>2276</v>
      </c>
      <c r="H1191" s="204" t="s">
        <v>2276</v>
      </c>
      <c r="I1191" s="204" t="s">
        <v>2276</v>
      </c>
      <c r="J1191" s="204" t="s">
        <v>2276</v>
      </c>
      <c r="K1191" s="204" t="s">
        <v>2276</v>
      </c>
      <c r="L1191" s="204" t="s">
        <v>2276</v>
      </c>
      <c r="M1191" s="204" t="s">
        <v>2276</v>
      </c>
      <c r="N1191" s="204" t="s">
        <v>2276</v>
      </c>
      <c r="O1191" s="204" t="s">
        <v>2276</v>
      </c>
      <c r="P1191" s="204" t="s">
        <v>2276</v>
      </c>
      <c r="Q1191" s="204" t="s">
        <v>2276</v>
      </c>
      <c r="R1191" s="204" t="s">
        <v>2276</v>
      </c>
      <c r="S1191" s="204" t="s">
        <v>2276</v>
      </c>
      <c r="T1191" s="204" t="s">
        <v>7776</v>
      </c>
    </row>
    <row r="1192" spans="1:20" ht="37" customHeight="1">
      <c r="A1192" s="19" t="s">
        <v>7683</v>
      </c>
      <c r="B1192" s="4" t="s">
        <v>1197</v>
      </c>
      <c r="C1192" s="204" t="s">
        <v>2645</v>
      </c>
      <c r="D1192" s="165" t="s">
        <v>3209</v>
      </c>
      <c r="E1192" s="204" t="s">
        <v>2276</v>
      </c>
      <c r="F1192" s="204" t="s">
        <v>2276</v>
      </c>
      <c r="G1192" s="204" t="s">
        <v>2276</v>
      </c>
      <c r="H1192" s="204" t="s">
        <v>2276</v>
      </c>
      <c r="I1192" s="204" t="s">
        <v>2276</v>
      </c>
      <c r="J1192" s="204" t="s">
        <v>2276</v>
      </c>
      <c r="K1192" s="204" t="s">
        <v>2276</v>
      </c>
      <c r="L1192" s="204" t="s">
        <v>2276</v>
      </c>
      <c r="M1192" s="204" t="s">
        <v>2276</v>
      </c>
      <c r="N1192" s="204" t="s">
        <v>2276</v>
      </c>
      <c r="O1192" s="204" t="s">
        <v>2276</v>
      </c>
      <c r="P1192" s="204" t="s">
        <v>2276</v>
      </c>
      <c r="Q1192" s="204" t="s">
        <v>2276</v>
      </c>
      <c r="R1192" s="204" t="s">
        <v>2276</v>
      </c>
      <c r="S1192" s="204" t="s">
        <v>2276</v>
      </c>
      <c r="T1192" s="204" t="s">
        <v>7776</v>
      </c>
    </row>
    <row r="1193" spans="1:20" ht="37" customHeight="1">
      <c r="A1193" s="19" t="s">
        <v>7684</v>
      </c>
      <c r="B1193" s="4" t="s">
        <v>1197</v>
      </c>
      <c r="C1193" s="204" t="s">
        <v>2645</v>
      </c>
      <c r="D1193" s="165" t="s">
        <v>3209</v>
      </c>
      <c r="E1193" s="204" t="s">
        <v>2276</v>
      </c>
      <c r="F1193" s="204" t="s">
        <v>2276</v>
      </c>
      <c r="G1193" s="204" t="s">
        <v>2276</v>
      </c>
      <c r="H1193" s="204" t="s">
        <v>2276</v>
      </c>
      <c r="I1193" s="204" t="s">
        <v>2276</v>
      </c>
      <c r="J1193" s="204" t="s">
        <v>2276</v>
      </c>
      <c r="K1193" s="204" t="s">
        <v>2276</v>
      </c>
      <c r="L1193" s="204" t="s">
        <v>2276</v>
      </c>
      <c r="M1193" s="204" t="s">
        <v>2276</v>
      </c>
      <c r="N1193" s="204" t="s">
        <v>2276</v>
      </c>
      <c r="O1193" s="204" t="s">
        <v>2276</v>
      </c>
      <c r="P1193" s="204" t="s">
        <v>2276</v>
      </c>
      <c r="Q1193" s="204" t="s">
        <v>2276</v>
      </c>
      <c r="R1193" s="204" t="s">
        <v>2276</v>
      </c>
      <c r="S1193" s="204" t="s">
        <v>2276</v>
      </c>
      <c r="T1193" s="204" t="s">
        <v>7776</v>
      </c>
    </row>
    <row r="1194" spans="1:20" ht="37" customHeight="1">
      <c r="A1194" s="19" t="s">
        <v>7685</v>
      </c>
      <c r="B1194" s="4" t="s">
        <v>1197</v>
      </c>
      <c r="C1194" s="204" t="s">
        <v>2645</v>
      </c>
      <c r="D1194" s="165" t="s">
        <v>3209</v>
      </c>
      <c r="E1194" s="204" t="s">
        <v>2276</v>
      </c>
      <c r="F1194" s="204" t="s">
        <v>2276</v>
      </c>
      <c r="G1194" s="204" t="s">
        <v>2276</v>
      </c>
      <c r="H1194" s="204" t="s">
        <v>2276</v>
      </c>
      <c r="I1194" s="204" t="s">
        <v>2276</v>
      </c>
      <c r="J1194" s="204" t="s">
        <v>2276</v>
      </c>
      <c r="K1194" s="204" t="s">
        <v>2276</v>
      </c>
      <c r="L1194" s="204" t="s">
        <v>2276</v>
      </c>
      <c r="M1194" s="204" t="s">
        <v>2276</v>
      </c>
      <c r="N1194" s="204" t="s">
        <v>2276</v>
      </c>
      <c r="O1194" s="204" t="s">
        <v>2276</v>
      </c>
      <c r="P1194" s="204" t="s">
        <v>2276</v>
      </c>
      <c r="Q1194" s="204" t="s">
        <v>2276</v>
      </c>
      <c r="R1194" s="204" t="s">
        <v>2276</v>
      </c>
      <c r="S1194" s="204" t="s">
        <v>2276</v>
      </c>
      <c r="T1194" s="204" t="s">
        <v>7776</v>
      </c>
    </row>
    <row r="1195" spans="1:20" ht="37" customHeight="1">
      <c r="A1195" s="19" t="s">
        <v>7686</v>
      </c>
      <c r="B1195" s="4" t="s">
        <v>1197</v>
      </c>
      <c r="C1195" s="204" t="s">
        <v>2645</v>
      </c>
      <c r="D1195" s="165" t="s">
        <v>3209</v>
      </c>
      <c r="E1195" s="204" t="s">
        <v>2276</v>
      </c>
      <c r="F1195" s="204" t="s">
        <v>2276</v>
      </c>
      <c r="G1195" s="204" t="s">
        <v>2276</v>
      </c>
      <c r="H1195" s="204" t="s">
        <v>2276</v>
      </c>
      <c r="I1195" s="204" t="s">
        <v>2276</v>
      </c>
      <c r="J1195" s="204" t="s">
        <v>2276</v>
      </c>
      <c r="K1195" s="204" t="s">
        <v>2276</v>
      </c>
      <c r="L1195" s="204" t="s">
        <v>2276</v>
      </c>
      <c r="M1195" s="204" t="s">
        <v>2276</v>
      </c>
      <c r="N1195" s="204" t="s">
        <v>2276</v>
      </c>
      <c r="O1195" s="204" t="s">
        <v>2276</v>
      </c>
      <c r="P1195" s="204" t="s">
        <v>2276</v>
      </c>
      <c r="Q1195" s="204" t="s">
        <v>2276</v>
      </c>
      <c r="R1195" s="204" t="s">
        <v>2276</v>
      </c>
      <c r="S1195" s="204" t="s">
        <v>2276</v>
      </c>
      <c r="T1195" s="204" t="s">
        <v>7776</v>
      </c>
    </row>
    <row r="1196" spans="1:20" ht="37" customHeight="1">
      <c r="A1196" s="19" t="s">
        <v>7687</v>
      </c>
      <c r="B1196" s="4" t="s">
        <v>1197</v>
      </c>
      <c r="C1196" s="204" t="s">
        <v>2645</v>
      </c>
      <c r="D1196" s="165" t="s">
        <v>3209</v>
      </c>
      <c r="E1196" s="204" t="s">
        <v>2276</v>
      </c>
      <c r="F1196" s="204" t="s">
        <v>2276</v>
      </c>
      <c r="G1196" s="204" t="s">
        <v>2276</v>
      </c>
      <c r="H1196" s="204" t="s">
        <v>2276</v>
      </c>
      <c r="I1196" s="204" t="s">
        <v>2276</v>
      </c>
      <c r="J1196" s="204" t="s">
        <v>2276</v>
      </c>
      <c r="K1196" s="204" t="s">
        <v>2276</v>
      </c>
      <c r="L1196" s="204" t="s">
        <v>2276</v>
      </c>
      <c r="M1196" s="204" t="s">
        <v>2276</v>
      </c>
      <c r="N1196" s="204" t="s">
        <v>2276</v>
      </c>
      <c r="O1196" s="204" t="s">
        <v>2276</v>
      </c>
      <c r="P1196" s="204" t="s">
        <v>2276</v>
      </c>
      <c r="Q1196" s="204" t="s">
        <v>2276</v>
      </c>
      <c r="R1196" s="204" t="s">
        <v>2276</v>
      </c>
      <c r="S1196" s="204" t="s">
        <v>2276</v>
      </c>
      <c r="T1196" s="204" t="s">
        <v>7776</v>
      </c>
    </row>
    <row r="1197" spans="1:20" ht="37" customHeight="1">
      <c r="A1197" s="19" t="s">
        <v>7688</v>
      </c>
      <c r="B1197" s="4" t="s">
        <v>1197</v>
      </c>
      <c r="C1197" s="204" t="s">
        <v>2645</v>
      </c>
      <c r="D1197" s="165" t="s">
        <v>3209</v>
      </c>
      <c r="E1197" s="204" t="s">
        <v>2276</v>
      </c>
      <c r="F1197" s="204" t="s">
        <v>2276</v>
      </c>
      <c r="G1197" s="204" t="s">
        <v>2276</v>
      </c>
      <c r="H1197" s="204" t="s">
        <v>2276</v>
      </c>
      <c r="I1197" s="204" t="s">
        <v>2276</v>
      </c>
      <c r="J1197" s="204" t="s">
        <v>2276</v>
      </c>
      <c r="K1197" s="204" t="s">
        <v>2276</v>
      </c>
      <c r="L1197" s="204" t="s">
        <v>2276</v>
      </c>
      <c r="M1197" s="204" t="s">
        <v>2276</v>
      </c>
      <c r="N1197" s="204" t="s">
        <v>2276</v>
      </c>
      <c r="O1197" s="204" t="s">
        <v>2276</v>
      </c>
      <c r="P1197" s="204" t="s">
        <v>2276</v>
      </c>
      <c r="Q1197" s="204" t="s">
        <v>2276</v>
      </c>
      <c r="R1197" s="204" t="s">
        <v>2276</v>
      </c>
      <c r="S1197" s="204" t="s">
        <v>2276</v>
      </c>
      <c r="T1197" s="204" t="s">
        <v>7776</v>
      </c>
    </row>
    <row r="1198" spans="1:20" ht="37" customHeight="1">
      <c r="A1198" s="19" t="s">
        <v>7689</v>
      </c>
      <c r="B1198" s="4" t="s">
        <v>1197</v>
      </c>
      <c r="C1198" s="204" t="s">
        <v>2645</v>
      </c>
      <c r="D1198" s="165" t="s">
        <v>3209</v>
      </c>
      <c r="E1198" s="204" t="s">
        <v>2276</v>
      </c>
      <c r="F1198" s="204" t="s">
        <v>2276</v>
      </c>
      <c r="G1198" s="204" t="s">
        <v>2276</v>
      </c>
      <c r="H1198" s="204" t="s">
        <v>2276</v>
      </c>
      <c r="I1198" s="204" t="s">
        <v>2276</v>
      </c>
      <c r="J1198" s="204" t="s">
        <v>2276</v>
      </c>
      <c r="K1198" s="204" t="s">
        <v>2276</v>
      </c>
      <c r="L1198" s="204" t="s">
        <v>2276</v>
      </c>
      <c r="M1198" s="204" t="s">
        <v>2276</v>
      </c>
      <c r="N1198" s="204" t="s">
        <v>2276</v>
      </c>
      <c r="O1198" s="204" t="s">
        <v>2276</v>
      </c>
      <c r="P1198" s="204" t="s">
        <v>2276</v>
      </c>
      <c r="Q1198" s="204" t="s">
        <v>2276</v>
      </c>
      <c r="R1198" s="204" t="s">
        <v>2276</v>
      </c>
      <c r="S1198" s="204" t="s">
        <v>2276</v>
      </c>
      <c r="T1198" s="204" t="s">
        <v>7776</v>
      </c>
    </row>
    <row r="1199" spans="1:20" ht="37" customHeight="1">
      <c r="A1199" s="19" t="s">
        <v>7690</v>
      </c>
      <c r="B1199" s="4" t="s">
        <v>1197</v>
      </c>
      <c r="C1199" s="204" t="s">
        <v>2645</v>
      </c>
      <c r="D1199" s="165" t="s">
        <v>3209</v>
      </c>
      <c r="E1199" s="204" t="s">
        <v>2276</v>
      </c>
      <c r="F1199" s="204" t="s">
        <v>2276</v>
      </c>
      <c r="G1199" s="204" t="s">
        <v>2276</v>
      </c>
      <c r="H1199" s="204" t="s">
        <v>2276</v>
      </c>
      <c r="I1199" s="204" t="s">
        <v>2276</v>
      </c>
      <c r="J1199" s="204" t="s">
        <v>2276</v>
      </c>
      <c r="K1199" s="204" t="s">
        <v>2276</v>
      </c>
      <c r="L1199" s="204" t="s">
        <v>2276</v>
      </c>
      <c r="M1199" s="204" t="s">
        <v>2276</v>
      </c>
      <c r="N1199" s="204" t="s">
        <v>2276</v>
      </c>
      <c r="O1199" s="204" t="s">
        <v>2276</v>
      </c>
      <c r="P1199" s="204" t="s">
        <v>2276</v>
      </c>
      <c r="Q1199" s="204" t="s">
        <v>2276</v>
      </c>
      <c r="R1199" s="204" t="s">
        <v>2276</v>
      </c>
      <c r="S1199" s="204" t="s">
        <v>2276</v>
      </c>
      <c r="T1199" s="204" t="s">
        <v>7776</v>
      </c>
    </row>
    <row r="1200" spans="1:20" ht="37" customHeight="1">
      <c r="A1200" s="19" t="s">
        <v>7691</v>
      </c>
      <c r="B1200" s="4" t="s">
        <v>1197</v>
      </c>
      <c r="C1200" s="204" t="s">
        <v>2645</v>
      </c>
      <c r="D1200" s="165" t="s">
        <v>3209</v>
      </c>
      <c r="E1200" s="204" t="s">
        <v>2276</v>
      </c>
      <c r="F1200" s="204" t="s">
        <v>2276</v>
      </c>
      <c r="G1200" s="204" t="s">
        <v>2276</v>
      </c>
      <c r="H1200" s="204" t="s">
        <v>2276</v>
      </c>
      <c r="I1200" s="204" t="s">
        <v>2276</v>
      </c>
      <c r="J1200" s="204" t="s">
        <v>2276</v>
      </c>
      <c r="K1200" s="204" t="s">
        <v>2276</v>
      </c>
      <c r="L1200" s="204" t="s">
        <v>2276</v>
      </c>
      <c r="M1200" s="204" t="s">
        <v>2276</v>
      </c>
      <c r="N1200" s="204" t="s">
        <v>2276</v>
      </c>
      <c r="O1200" s="204" t="s">
        <v>2276</v>
      </c>
      <c r="P1200" s="204" t="s">
        <v>2276</v>
      </c>
      <c r="Q1200" s="204" t="s">
        <v>2276</v>
      </c>
      <c r="R1200" s="204" t="s">
        <v>2276</v>
      </c>
      <c r="S1200" s="204" t="s">
        <v>2276</v>
      </c>
      <c r="T1200" s="204" t="s">
        <v>7776</v>
      </c>
    </row>
    <row r="1201" spans="1:20" ht="37" customHeight="1">
      <c r="A1201" s="19" t="s">
        <v>7692</v>
      </c>
      <c r="B1201" s="4" t="s">
        <v>1197</v>
      </c>
      <c r="C1201" s="204" t="s">
        <v>2645</v>
      </c>
      <c r="D1201" s="165" t="s">
        <v>3209</v>
      </c>
      <c r="E1201" s="204" t="s">
        <v>2276</v>
      </c>
      <c r="F1201" s="204" t="s">
        <v>2276</v>
      </c>
      <c r="G1201" s="204" t="s">
        <v>2276</v>
      </c>
      <c r="H1201" s="204" t="s">
        <v>2276</v>
      </c>
      <c r="I1201" s="204" t="s">
        <v>2276</v>
      </c>
      <c r="J1201" s="204" t="s">
        <v>2276</v>
      </c>
      <c r="K1201" s="204" t="s">
        <v>2276</v>
      </c>
      <c r="L1201" s="204" t="s">
        <v>2276</v>
      </c>
      <c r="M1201" s="204" t="s">
        <v>2276</v>
      </c>
      <c r="N1201" s="204" t="s">
        <v>2276</v>
      </c>
      <c r="O1201" s="204" t="s">
        <v>2276</v>
      </c>
      <c r="P1201" s="204" t="s">
        <v>2276</v>
      </c>
      <c r="Q1201" s="204" t="s">
        <v>2276</v>
      </c>
      <c r="R1201" s="204" t="s">
        <v>2276</v>
      </c>
      <c r="S1201" s="204" t="s">
        <v>2276</v>
      </c>
      <c r="T1201" s="204" t="s">
        <v>7776</v>
      </c>
    </row>
    <row r="1202" spans="1:20" ht="37" customHeight="1">
      <c r="A1202" s="19" t="s">
        <v>7760</v>
      </c>
      <c r="B1202" s="4" t="s">
        <v>1197</v>
      </c>
      <c r="C1202" s="204" t="s">
        <v>2645</v>
      </c>
      <c r="D1202" s="165" t="s">
        <v>3209</v>
      </c>
      <c r="E1202" s="204" t="s">
        <v>2276</v>
      </c>
      <c r="F1202" s="204" t="s">
        <v>2276</v>
      </c>
      <c r="G1202" s="204" t="s">
        <v>2276</v>
      </c>
      <c r="H1202" s="204" t="s">
        <v>2276</v>
      </c>
      <c r="I1202" s="204" t="s">
        <v>2276</v>
      </c>
      <c r="J1202" s="204" t="s">
        <v>2276</v>
      </c>
      <c r="K1202" s="204" t="s">
        <v>2276</v>
      </c>
      <c r="L1202" s="204" t="s">
        <v>2276</v>
      </c>
      <c r="M1202" s="204" t="s">
        <v>2276</v>
      </c>
      <c r="N1202" s="204" t="s">
        <v>2276</v>
      </c>
      <c r="O1202" s="204" t="s">
        <v>2276</v>
      </c>
      <c r="P1202" s="204" t="s">
        <v>2276</v>
      </c>
      <c r="Q1202" s="204" t="s">
        <v>2276</v>
      </c>
      <c r="R1202" s="204" t="s">
        <v>2276</v>
      </c>
      <c r="S1202" s="204" t="s">
        <v>2276</v>
      </c>
      <c r="T1202" s="204" t="s">
        <v>7776</v>
      </c>
    </row>
    <row r="1203" spans="1:20" ht="37" customHeight="1">
      <c r="A1203" s="19" t="s">
        <v>7761</v>
      </c>
      <c r="B1203" s="4" t="s">
        <v>1197</v>
      </c>
      <c r="C1203" s="204" t="s">
        <v>2645</v>
      </c>
      <c r="D1203" s="165" t="s">
        <v>3209</v>
      </c>
      <c r="E1203" s="204" t="s">
        <v>2276</v>
      </c>
      <c r="F1203" s="204" t="s">
        <v>2276</v>
      </c>
      <c r="G1203" s="204" t="s">
        <v>2276</v>
      </c>
      <c r="H1203" s="204" t="s">
        <v>2276</v>
      </c>
      <c r="I1203" s="204" t="s">
        <v>2276</v>
      </c>
      <c r="J1203" s="204" t="s">
        <v>2276</v>
      </c>
      <c r="K1203" s="204" t="s">
        <v>2276</v>
      </c>
      <c r="L1203" s="204" t="s">
        <v>2276</v>
      </c>
      <c r="M1203" s="204" t="s">
        <v>2276</v>
      </c>
      <c r="N1203" s="204" t="s">
        <v>2276</v>
      </c>
      <c r="O1203" s="204" t="s">
        <v>2276</v>
      </c>
      <c r="P1203" s="204" t="s">
        <v>2276</v>
      </c>
      <c r="Q1203" s="204" t="s">
        <v>2276</v>
      </c>
      <c r="R1203" s="204" t="s">
        <v>2276</v>
      </c>
      <c r="S1203" s="204" t="s">
        <v>2276</v>
      </c>
      <c r="T1203" s="204" t="s">
        <v>7776</v>
      </c>
    </row>
    <row r="1204" spans="1:20" ht="37" customHeight="1">
      <c r="A1204" s="19" t="s">
        <v>7762</v>
      </c>
      <c r="B1204" s="4" t="s">
        <v>1197</v>
      </c>
      <c r="C1204" s="204" t="s">
        <v>2645</v>
      </c>
      <c r="D1204" s="165" t="s">
        <v>3209</v>
      </c>
      <c r="E1204" s="204" t="s">
        <v>2276</v>
      </c>
      <c r="F1204" s="204" t="s">
        <v>2276</v>
      </c>
      <c r="G1204" s="204" t="s">
        <v>2276</v>
      </c>
      <c r="H1204" s="204" t="s">
        <v>2276</v>
      </c>
      <c r="I1204" s="204" t="s">
        <v>2276</v>
      </c>
      <c r="J1204" s="204" t="s">
        <v>2276</v>
      </c>
      <c r="K1204" s="204" t="s">
        <v>2276</v>
      </c>
      <c r="L1204" s="204" t="s">
        <v>2276</v>
      </c>
      <c r="M1204" s="204" t="s">
        <v>2276</v>
      </c>
      <c r="N1204" s="204" t="s">
        <v>2276</v>
      </c>
      <c r="O1204" s="204" t="s">
        <v>2276</v>
      </c>
      <c r="P1204" s="204" t="s">
        <v>2276</v>
      </c>
      <c r="Q1204" s="204" t="s">
        <v>2276</v>
      </c>
      <c r="R1204" s="204" t="s">
        <v>2276</v>
      </c>
      <c r="S1204" s="204" t="s">
        <v>2276</v>
      </c>
      <c r="T1204" s="204" t="s">
        <v>7776</v>
      </c>
    </row>
    <row r="1205" spans="1:20" ht="37" customHeight="1">
      <c r="A1205" s="19" t="s">
        <v>7763</v>
      </c>
      <c r="B1205" s="4" t="s">
        <v>1197</v>
      </c>
      <c r="C1205" s="204" t="s">
        <v>2645</v>
      </c>
      <c r="D1205" s="165" t="s">
        <v>3209</v>
      </c>
      <c r="E1205" s="204" t="s">
        <v>2276</v>
      </c>
      <c r="F1205" s="204" t="s">
        <v>2276</v>
      </c>
      <c r="G1205" s="204" t="s">
        <v>2276</v>
      </c>
      <c r="H1205" s="204" t="s">
        <v>2276</v>
      </c>
      <c r="I1205" s="204" t="s">
        <v>2276</v>
      </c>
      <c r="J1205" s="204" t="s">
        <v>2276</v>
      </c>
      <c r="K1205" s="204" t="s">
        <v>2276</v>
      </c>
      <c r="L1205" s="204" t="s">
        <v>2276</v>
      </c>
      <c r="M1205" s="204" t="s">
        <v>2276</v>
      </c>
      <c r="N1205" s="204" t="s">
        <v>2276</v>
      </c>
      <c r="O1205" s="204" t="s">
        <v>2276</v>
      </c>
      <c r="P1205" s="204" t="s">
        <v>2276</v>
      </c>
      <c r="Q1205" s="204" t="s">
        <v>2276</v>
      </c>
      <c r="R1205" s="204" t="s">
        <v>2276</v>
      </c>
      <c r="S1205" s="204" t="s">
        <v>2276</v>
      </c>
      <c r="T1205" s="204" t="s">
        <v>7776</v>
      </c>
    </row>
    <row r="1206" spans="1:20" ht="37" customHeight="1">
      <c r="A1206" s="19" t="s">
        <v>7764</v>
      </c>
      <c r="B1206" s="4" t="s">
        <v>1197</v>
      </c>
      <c r="C1206" s="204" t="s">
        <v>2645</v>
      </c>
      <c r="D1206" s="165" t="s">
        <v>3209</v>
      </c>
      <c r="E1206" s="204" t="s">
        <v>2276</v>
      </c>
      <c r="F1206" s="204" t="s">
        <v>2276</v>
      </c>
      <c r="G1206" s="204" t="s">
        <v>2276</v>
      </c>
      <c r="H1206" s="204" t="s">
        <v>2276</v>
      </c>
      <c r="I1206" s="204" t="s">
        <v>2276</v>
      </c>
      <c r="J1206" s="204" t="s">
        <v>2276</v>
      </c>
      <c r="K1206" s="204" t="s">
        <v>2276</v>
      </c>
      <c r="L1206" s="204" t="s">
        <v>2276</v>
      </c>
      <c r="M1206" s="204" t="s">
        <v>2276</v>
      </c>
      <c r="N1206" s="204" t="s">
        <v>2276</v>
      </c>
      <c r="O1206" s="204" t="s">
        <v>2276</v>
      </c>
      <c r="P1206" s="204" t="s">
        <v>2276</v>
      </c>
      <c r="Q1206" s="204" t="s">
        <v>2276</v>
      </c>
      <c r="R1206" s="204" t="s">
        <v>2276</v>
      </c>
      <c r="S1206" s="204" t="s">
        <v>2276</v>
      </c>
      <c r="T1206" s="204" t="s">
        <v>7776</v>
      </c>
    </row>
    <row r="1207" spans="1:20" ht="37" customHeight="1">
      <c r="A1207" s="19" t="s">
        <v>7765</v>
      </c>
      <c r="B1207" s="4" t="s">
        <v>1197</v>
      </c>
      <c r="C1207" s="204" t="s">
        <v>2645</v>
      </c>
      <c r="D1207" s="165" t="s">
        <v>3209</v>
      </c>
      <c r="E1207" s="204" t="s">
        <v>2276</v>
      </c>
      <c r="F1207" s="204" t="s">
        <v>2276</v>
      </c>
      <c r="G1207" s="204" t="s">
        <v>2276</v>
      </c>
      <c r="H1207" s="204" t="s">
        <v>2276</v>
      </c>
      <c r="I1207" s="204" t="s">
        <v>2276</v>
      </c>
      <c r="J1207" s="204" t="s">
        <v>2276</v>
      </c>
      <c r="K1207" s="204" t="s">
        <v>2276</v>
      </c>
      <c r="L1207" s="204" t="s">
        <v>2276</v>
      </c>
      <c r="M1207" s="204" t="s">
        <v>2276</v>
      </c>
      <c r="N1207" s="204" t="s">
        <v>2276</v>
      </c>
      <c r="O1207" s="204" t="s">
        <v>2276</v>
      </c>
      <c r="P1207" s="204" t="s">
        <v>2276</v>
      </c>
      <c r="Q1207" s="204" t="s">
        <v>2276</v>
      </c>
      <c r="R1207" s="204" t="s">
        <v>2276</v>
      </c>
      <c r="S1207" s="204" t="s">
        <v>2276</v>
      </c>
      <c r="T1207" s="204" t="s">
        <v>7776</v>
      </c>
    </row>
    <row r="1208" spans="1:20" ht="37" customHeight="1">
      <c r="A1208" s="19" t="s">
        <v>7766</v>
      </c>
      <c r="B1208" s="4" t="s">
        <v>1197</v>
      </c>
      <c r="C1208" s="204" t="s">
        <v>2645</v>
      </c>
      <c r="D1208" s="165" t="s">
        <v>3209</v>
      </c>
      <c r="E1208" s="204" t="s">
        <v>2276</v>
      </c>
      <c r="F1208" s="204" t="s">
        <v>2276</v>
      </c>
      <c r="G1208" s="204" t="s">
        <v>2276</v>
      </c>
      <c r="H1208" s="204" t="s">
        <v>2276</v>
      </c>
      <c r="I1208" s="204" t="s">
        <v>2276</v>
      </c>
      <c r="J1208" s="204" t="s">
        <v>2276</v>
      </c>
      <c r="K1208" s="204" t="s">
        <v>2276</v>
      </c>
      <c r="L1208" s="204" t="s">
        <v>2276</v>
      </c>
      <c r="M1208" s="204" t="s">
        <v>2276</v>
      </c>
      <c r="N1208" s="204" t="s">
        <v>2276</v>
      </c>
      <c r="O1208" s="204" t="s">
        <v>2276</v>
      </c>
      <c r="P1208" s="204" t="s">
        <v>2276</v>
      </c>
      <c r="Q1208" s="204" t="s">
        <v>2276</v>
      </c>
      <c r="R1208" s="204" t="s">
        <v>2276</v>
      </c>
      <c r="S1208" s="204" t="s">
        <v>2276</v>
      </c>
      <c r="T1208" s="204" t="s">
        <v>7776</v>
      </c>
    </row>
    <row r="1209" spans="1:20" ht="37" customHeight="1">
      <c r="A1209" s="19" t="s">
        <v>7670</v>
      </c>
      <c r="B1209" s="4" t="s">
        <v>1197</v>
      </c>
      <c r="C1209" s="204" t="s">
        <v>2645</v>
      </c>
      <c r="D1209" s="165" t="s">
        <v>3209</v>
      </c>
      <c r="E1209" s="204" t="s">
        <v>2276</v>
      </c>
      <c r="F1209" s="204" t="s">
        <v>2276</v>
      </c>
      <c r="G1209" s="204" t="s">
        <v>2276</v>
      </c>
      <c r="H1209" s="204" t="s">
        <v>2276</v>
      </c>
      <c r="I1209" s="204" t="s">
        <v>2276</v>
      </c>
      <c r="J1209" s="204" t="s">
        <v>2276</v>
      </c>
      <c r="K1209" s="204" t="s">
        <v>2276</v>
      </c>
      <c r="L1209" s="204" t="s">
        <v>2276</v>
      </c>
      <c r="M1209" s="204" t="s">
        <v>2276</v>
      </c>
      <c r="N1209" s="204" t="s">
        <v>2276</v>
      </c>
      <c r="O1209" s="204" t="s">
        <v>2276</v>
      </c>
      <c r="P1209" s="204" t="s">
        <v>2276</v>
      </c>
      <c r="Q1209" s="204" t="s">
        <v>2276</v>
      </c>
      <c r="R1209" s="204" t="s">
        <v>2276</v>
      </c>
      <c r="S1209" s="204" t="s">
        <v>2276</v>
      </c>
      <c r="T1209" s="204" t="s">
        <v>7776</v>
      </c>
    </row>
    <row r="1210" spans="1:20" ht="37" customHeight="1">
      <c r="A1210" s="19" t="s">
        <v>7767</v>
      </c>
      <c r="B1210" s="4" t="s">
        <v>1197</v>
      </c>
      <c r="C1210" s="204" t="s">
        <v>2645</v>
      </c>
      <c r="D1210" s="165" t="s">
        <v>3209</v>
      </c>
      <c r="E1210" s="204" t="s">
        <v>2276</v>
      </c>
      <c r="F1210" s="204" t="s">
        <v>2276</v>
      </c>
      <c r="G1210" s="204" t="s">
        <v>2276</v>
      </c>
      <c r="H1210" s="204" t="s">
        <v>2276</v>
      </c>
      <c r="I1210" s="204" t="s">
        <v>2276</v>
      </c>
      <c r="J1210" s="204" t="s">
        <v>2276</v>
      </c>
      <c r="K1210" s="204" t="s">
        <v>2276</v>
      </c>
      <c r="L1210" s="204" t="s">
        <v>2276</v>
      </c>
      <c r="M1210" s="204" t="s">
        <v>2276</v>
      </c>
      <c r="N1210" s="204" t="s">
        <v>2276</v>
      </c>
      <c r="O1210" s="204" t="s">
        <v>2276</v>
      </c>
      <c r="P1210" s="204" t="s">
        <v>2276</v>
      </c>
      <c r="Q1210" s="204" t="s">
        <v>2276</v>
      </c>
      <c r="R1210" s="204" t="s">
        <v>2276</v>
      </c>
      <c r="S1210" s="204" t="s">
        <v>2276</v>
      </c>
      <c r="T1210" s="204" t="s">
        <v>7776</v>
      </c>
    </row>
    <row r="1211" spans="1:20" ht="37" customHeight="1">
      <c r="A1211" s="19" t="s">
        <v>7768</v>
      </c>
      <c r="B1211" s="4" t="s">
        <v>1197</v>
      </c>
      <c r="C1211" s="204" t="s">
        <v>2645</v>
      </c>
      <c r="D1211" s="165" t="s">
        <v>3209</v>
      </c>
      <c r="E1211" s="204" t="s">
        <v>2276</v>
      </c>
      <c r="F1211" s="204" t="s">
        <v>2276</v>
      </c>
      <c r="G1211" s="204" t="s">
        <v>2276</v>
      </c>
      <c r="H1211" s="204" t="s">
        <v>2276</v>
      </c>
      <c r="I1211" s="204" t="s">
        <v>2276</v>
      </c>
      <c r="J1211" s="204" t="s">
        <v>2276</v>
      </c>
      <c r="K1211" s="204" t="s">
        <v>2276</v>
      </c>
      <c r="L1211" s="204" t="s">
        <v>2276</v>
      </c>
      <c r="M1211" s="204" t="s">
        <v>2276</v>
      </c>
      <c r="N1211" s="204" t="s">
        <v>2276</v>
      </c>
      <c r="O1211" s="204" t="s">
        <v>2276</v>
      </c>
      <c r="P1211" s="204" t="s">
        <v>2276</v>
      </c>
      <c r="Q1211" s="204" t="s">
        <v>2276</v>
      </c>
      <c r="R1211" s="204" t="s">
        <v>2276</v>
      </c>
      <c r="S1211" s="204" t="s">
        <v>2276</v>
      </c>
      <c r="T1211" s="204" t="s">
        <v>7776</v>
      </c>
    </row>
    <row r="1212" spans="1:20" ht="37" customHeight="1">
      <c r="A1212" s="19" t="s">
        <v>7769</v>
      </c>
      <c r="B1212" s="4" t="s">
        <v>1197</v>
      </c>
      <c r="C1212" s="204" t="s">
        <v>2645</v>
      </c>
      <c r="D1212" s="165" t="s">
        <v>3209</v>
      </c>
      <c r="E1212" s="204" t="s">
        <v>2276</v>
      </c>
      <c r="F1212" s="204" t="s">
        <v>2276</v>
      </c>
      <c r="G1212" s="204" t="s">
        <v>2276</v>
      </c>
      <c r="H1212" s="204" t="s">
        <v>2276</v>
      </c>
      <c r="I1212" s="204" t="s">
        <v>2276</v>
      </c>
      <c r="J1212" s="204" t="s">
        <v>2276</v>
      </c>
      <c r="K1212" s="204" t="s">
        <v>2276</v>
      </c>
      <c r="L1212" s="204" t="s">
        <v>2276</v>
      </c>
      <c r="M1212" s="204" t="s">
        <v>2276</v>
      </c>
      <c r="N1212" s="204" t="s">
        <v>2276</v>
      </c>
      <c r="O1212" s="204" t="s">
        <v>2276</v>
      </c>
      <c r="P1212" s="204" t="s">
        <v>2276</v>
      </c>
      <c r="Q1212" s="204" t="s">
        <v>2276</v>
      </c>
      <c r="R1212" s="204" t="s">
        <v>2276</v>
      </c>
      <c r="S1212" s="204" t="s">
        <v>2276</v>
      </c>
      <c r="T1212" s="204" t="s">
        <v>7776</v>
      </c>
    </row>
    <row r="1213" spans="1:20" ht="37" customHeight="1">
      <c r="A1213" s="19" t="s">
        <v>7770</v>
      </c>
      <c r="B1213" s="4" t="s">
        <v>1197</v>
      </c>
      <c r="C1213" s="204" t="s">
        <v>2645</v>
      </c>
      <c r="D1213" s="165" t="s">
        <v>3209</v>
      </c>
      <c r="E1213" s="204" t="s">
        <v>2276</v>
      </c>
      <c r="F1213" s="204" t="s">
        <v>2276</v>
      </c>
      <c r="G1213" s="204" t="s">
        <v>2276</v>
      </c>
      <c r="H1213" s="204" t="s">
        <v>2276</v>
      </c>
      <c r="I1213" s="204" t="s">
        <v>2276</v>
      </c>
      <c r="J1213" s="204" t="s">
        <v>2276</v>
      </c>
      <c r="K1213" s="204" t="s">
        <v>2276</v>
      </c>
      <c r="L1213" s="204" t="s">
        <v>2276</v>
      </c>
      <c r="M1213" s="204" t="s">
        <v>2276</v>
      </c>
      <c r="N1213" s="204" t="s">
        <v>2276</v>
      </c>
      <c r="O1213" s="204" t="s">
        <v>2276</v>
      </c>
      <c r="P1213" s="204" t="s">
        <v>2276</v>
      </c>
      <c r="Q1213" s="204" t="s">
        <v>2276</v>
      </c>
      <c r="R1213" s="204" t="s">
        <v>2276</v>
      </c>
      <c r="S1213" s="204" t="s">
        <v>2276</v>
      </c>
      <c r="T1213" s="204" t="s">
        <v>7776</v>
      </c>
    </row>
    <row r="1214" spans="1:20" ht="37" customHeight="1">
      <c r="A1214" s="19" t="s">
        <v>7771</v>
      </c>
      <c r="B1214" s="4" t="s">
        <v>1197</v>
      </c>
      <c r="C1214" s="204" t="s">
        <v>2645</v>
      </c>
      <c r="D1214" s="165" t="s">
        <v>3209</v>
      </c>
      <c r="E1214" s="204" t="s">
        <v>2276</v>
      </c>
      <c r="F1214" s="204" t="s">
        <v>2276</v>
      </c>
      <c r="G1214" s="204" t="s">
        <v>2276</v>
      </c>
      <c r="H1214" s="204" t="s">
        <v>2276</v>
      </c>
      <c r="I1214" s="204" t="s">
        <v>2276</v>
      </c>
      <c r="J1214" s="204" t="s">
        <v>2276</v>
      </c>
      <c r="K1214" s="204" t="s">
        <v>2276</v>
      </c>
      <c r="L1214" s="204" t="s">
        <v>2276</v>
      </c>
      <c r="M1214" s="204" t="s">
        <v>2276</v>
      </c>
      <c r="N1214" s="204" t="s">
        <v>2276</v>
      </c>
      <c r="O1214" s="204" t="s">
        <v>2276</v>
      </c>
      <c r="P1214" s="204" t="s">
        <v>2276</v>
      </c>
      <c r="Q1214" s="204" t="s">
        <v>2276</v>
      </c>
      <c r="R1214" s="204" t="s">
        <v>2276</v>
      </c>
      <c r="S1214" s="204" t="s">
        <v>2276</v>
      </c>
      <c r="T1214" s="204" t="s">
        <v>7776</v>
      </c>
    </row>
    <row r="1215" spans="1:20" ht="37" customHeight="1">
      <c r="A1215" s="19" t="s">
        <v>7772</v>
      </c>
      <c r="B1215" s="4" t="s">
        <v>1197</v>
      </c>
      <c r="C1215" s="204" t="s">
        <v>2645</v>
      </c>
      <c r="D1215" s="165" t="s">
        <v>3209</v>
      </c>
      <c r="E1215" s="204" t="s">
        <v>2276</v>
      </c>
      <c r="F1215" s="204" t="s">
        <v>2276</v>
      </c>
      <c r="G1215" s="204" t="s">
        <v>2276</v>
      </c>
      <c r="H1215" s="204" t="s">
        <v>2276</v>
      </c>
      <c r="I1215" s="204" t="s">
        <v>2276</v>
      </c>
      <c r="J1215" s="204" t="s">
        <v>2276</v>
      </c>
      <c r="K1215" s="204" t="s">
        <v>2276</v>
      </c>
      <c r="L1215" s="204" t="s">
        <v>2276</v>
      </c>
      <c r="M1215" s="204" t="s">
        <v>2276</v>
      </c>
      <c r="N1215" s="204" t="s">
        <v>2276</v>
      </c>
      <c r="O1215" s="204" t="s">
        <v>2276</v>
      </c>
      <c r="P1215" s="204" t="s">
        <v>2276</v>
      </c>
      <c r="Q1215" s="204" t="s">
        <v>2276</v>
      </c>
      <c r="R1215" s="204" t="s">
        <v>2276</v>
      </c>
      <c r="S1215" s="204" t="s">
        <v>2276</v>
      </c>
      <c r="T1215" s="204" t="s">
        <v>7776</v>
      </c>
    </row>
    <row r="1216" spans="1:20" ht="37" customHeight="1">
      <c r="A1216" s="19" t="s">
        <v>7773</v>
      </c>
      <c r="B1216" s="4" t="s">
        <v>1197</v>
      </c>
      <c r="C1216" s="204" t="s">
        <v>2645</v>
      </c>
      <c r="D1216" s="165" t="s">
        <v>3209</v>
      </c>
      <c r="E1216" s="204" t="s">
        <v>2276</v>
      </c>
      <c r="F1216" s="204" t="s">
        <v>2276</v>
      </c>
      <c r="G1216" s="204" t="s">
        <v>2276</v>
      </c>
      <c r="H1216" s="204" t="s">
        <v>2276</v>
      </c>
      <c r="I1216" s="204" t="s">
        <v>2276</v>
      </c>
      <c r="J1216" s="204" t="s">
        <v>2276</v>
      </c>
      <c r="K1216" s="204" t="s">
        <v>2276</v>
      </c>
      <c r="L1216" s="204" t="s">
        <v>2276</v>
      </c>
      <c r="M1216" s="204" t="s">
        <v>2276</v>
      </c>
      <c r="N1216" s="204" t="s">
        <v>2276</v>
      </c>
      <c r="O1216" s="204" t="s">
        <v>2276</v>
      </c>
      <c r="P1216" s="204" t="s">
        <v>2276</v>
      </c>
      <c r="Q1216" s="204" t="s">
        <v>2276</v>
      </c>
      <c r="R1216" s="204" t="s">
        <v>2276</v>
      </c>
      <c r="S1216" s="204" t="s">
        <v>2276</v>
      </c>
      <c r="T1216" s="204" t="s">
        <v>7776</v>
      </c>
    </row>
    <row r="1217" spans="1:20" ht="37" customHeight="1">
      <c r="A1217" s="19" t="s">
        <v>7774</v>
      </c>
      <c r="B1217" s="4" t="s">
        <v>1197</v>
      </c>
      <c r="C1217" s="204" t="s">
        <v>2645</v>
      </c>
      <c r="D1217" s="165" t="s">
        <v>3209</v>
      </c>
      <c r="E1217" s="204" t="s">
        <v>2276</v>
      </c>
      <c r="F1217" s="204" t="s">
        <v>2276</v>
      </c>
      <c r="G1217" s="204" t="s">
        <v>2276</v>
      </c>
      <c r="H1217" s="204" t="s">
        <v>2276</v>
      </c>
      <c r="I1217" s="204" t="s">
        <v>2276</v>
      </c>
      <c r="J1217" s="204" t="s">
        <v>2276</v>
      </c>
      <c r="K1217" s="204" t="s">
        <v>2276</v>
      </c>
      <c r="L1217" s="204" t="s">
        <v>2276</v>
      </c>
      <c r="M1217" s="204" t="s">
        <v>2276</v>
      </c>
      <c r="N1217" s="204" t="s">
        <v>2276</v>
      </c>
      <c r="O1217" s="204" t="s">
        <v>2276</v>
      </c>
      <c r="P1217" s="204" t="s">
        <v>2276</v>
      </c>
      <c r="Q1217" s="204" t="s">
        <v>2276</v>
      </c>
      <c r="R1217" s="204" t="s">
        <v>2276</v>
      </c>
      <c r="S1217" s="204" t="s">
        <v>2276</v>
      </c>
      <c r="T1217" s="204" t="s">
        <v>7776</v>
      </c>
    </row>
    <row r="1218" spans="1:20" ht="33.5" customHeight="1">
      <c r="A1218" s="19" t="s">
        <v>7852</v>
      </c>
      <c r="B1218" s="204" t="s">
        <v>32</v>
      </c>
      <c r="C1218" s="204" t="s">
        <v>2645</v>
      </c>
      <c r="D1218" s="204" t="s">
        <v>2649</v>
      </c>
      <c r="E1218" s="204" t="s">
        <v>137</v>
      </c>
      <c r="F1218" s="204" t="s">
        <v>2276</v>
      </c>
      <c r="G1218" s="204" t="s">
        <v>2276</v>
      </c>
      <c r="H1218" s="204" t="s">
        <v>2276</v>
      </c>
      <c r="I1218" s="204" t="s">
        <v>2276</v>
      </c>
      <c r="J1218" s="204" t="s">
        <v>2276</v>
      </c>
      <c r="K1218" s="204" t="s">
        <v>534</v>
      </c>
      <c r="L1218" s="204" t="s">
        <v>2276</v>
      </c>
      <c r="M1218" s="204" t="s">
        <v>2276</v>
      </c>
      <c r="N1218" s="204" t="s">
        <v>2276</v>
      </c>
      <c r="O1218" s="204" t="s">
        <v>2276</v>
      </c>
      <c r="P1218" s="204" t="s">
        <v>2276</v>
      </c>
      <c r="Q1218" s="204" t="s">
        <v>2276</v>
      </c>
      <c r="R1218" s="204" t="s">
        <v>2276</v>
      </c>
      <c r="S1218" s="204" t="s">
        <v>2276</v>
      </c>
      <c r="T1218" s="204"/>
    </row>
    <row r="1219" spans="1:20" ht="34.5" customHeight="1">
      <c r="A1219" s="19" t="s">
        <v>7855</v>
      </c>
      <c r="B1219" s="204" t="s">
        <v>1197</v>
      </c>
      <c r="C1219" s="204" t="s">
        <v>2646</v>
      </c>
      <c r="D1219" s="204" t="s">
        <v>137</v>
      </c>
      <c r="E1219" s="204" t="s">
        <v>2276</v>
      </c>
      <c r="F1219" s="204" t="s">
        <v>2276</v>
      </c>
      <c r="G1219" s="204" t="s">
        <v>2276</v>
      </c>
      <c r="H1219" s="204" t="s">
        <v>2276</v>
      </c>
      <c r="I1219" s="204" t="s">
        <v>2276</v>
      </c>
      <c r="J1219" s="204" t="s">
        <v>2276</v>
      </c>
      <c r="K1219" s="204" t="s">
        <v>534</v>
      </c>
      <c r="L1219" s="204" t="s">
        <v>2276</v>
      </c>
      <c r="M1219" s="204" t="s">
        <v>2276</v>
      </c>
      <c r="N1219" s="204" t="s">
        <v>2276</v>
      </c>
      <c r="O1219" s="204" t="s">
        <v>2276</v>
      </c>
      <c r="P1219" s="204" t="s">
        <v>2276</v>
      </c>
      <c r="Q1219" s="204" t="s">
        <v>2276</v>
      </c>
      <c r="R1219" s="204" t="s">
        <v>2276</v>
      </c>
      <c r="S1219" s="204" t="s">
        <v>2276</v>
      </c>
      <c r="T1219" s="204"/>
    </row>
    <row r="1220" spans="1:20" ht="36" customHeight="1">
      <c r="A1220" s="19" t="s">
        <v>7873</v>
      </c>
      <c r="B1220" s="204" t="s">
        <v>2276</v>
      </c>
      <c r="C1220" s="204" t="s">
        <v>12</v>
      </c>
      <c r="D1220" s="204" t="s">
        <v>45</v>
      </c>
      <c r="E1220" s="204" t="s">
        <v>130</v>
      </c>
      <c r="F1220" s="204" t="s">
        <v>863</v>
      </c>
      <c r="G1220" s="204" t="s">
        <v>3854</v>
      </c>
      <c r="H1220" s="204" t="s">
        <v>2276</v>
      </c>
      <c r="I1220" s="204" t="s">
        <v>2276</v>
      </c>
      <c r="J1220" s="204" t="s">
        <v>2276</v>
      </c>
      <c r="K1220" s="204" t="s">
        <v>534</v>
      </c>
      <c r="L1220" s="204" t="s">
        <v>2276</v>
      </c>
      <c r="M1220" s="204" t="s">
        <v>2276</v>
      </c>
      <c r="N1220" s="204" t="s">
        <v>2276</v>
      </c>
      <c r="O1220" s="204" t="s">
        <v>2276</v>
      </c>
      <c r="P1220" s="204" t="s">
        <v>2276</v>
      </c>
      <c r="Q1220" s="204" t="s">
        <v>2276</v>
      </c>
      <c r="R1220" s="204" t="s">
        <v>2276</v>
      </c>
      <c r="S1220" s="204" t="s">
        <v>2276</v>
      </c>
      <c r="T1220" s="204"/>
    </row>
    <row r="1221" spans="1:20" ht="32" customHeight="1">
      <c r="A1221" s="19" t="s">
        <v>7886</v>
      </c>
      <c r="B1221" s="204" t="s">
        <v>2276</v>
      </c>
      <c r="C1221" s="204" t="s">
        <v>395</v>
      </c>
      <c r="D1221" s="204" t="s">
        <v>5005</v>
      </c>
      <c r="E1221" s="204" t="s">
        <v>45</v>
      </c>
      <c r="F1221" s="204" t="s">
        <v>2276</v>
      </c>
      <c r="G1221" s="204" t="s">
        <v>2276</v>
      </c>
      <c r="H1221" s="204" t="s">
        <v>2276</v>
      </c>
      <c r="I1221" s="204" t="s">
        <v>2276</v>
      </c>
      <c r="J1221" s="204" t="s">
        <v>2276</v>
      </c>
      <c r="K1221" s="204" t="s">
        <v>2276</v>
      </c>
      <c r="L1221" s="204" t="s">
        <v>2276</v>
      </c>
      <c r="M1221" s="204" t="s">
        <v>2276</v>
      </c>
      <c r="N1221" s="204" t="s">
        <v>2276</v>
      </c>
      <c r="O1221" s="204" t="s">
        <v>2276</v>
      </c>
      <c r="P1221" s="204" t="s">
        <v>2276</v>
      </c>
      <c r="Q1221" s="204" t="s">
        <v>2276</v>
      </c>
      <c r="R1221" s="204" t="s">
        <v>2276</v>
      </c>
      <c r="S1221" s="204" t="s">
        <v>2276</v>
      </c>
      <c r="T1221" s="204"/>
    </row>
    <row r="1222" spans="1:20" ht="33.5" customHeight="1">
      <c r="A1222" s="19" t="s">
        <v>7895</v>
      </c>
      <c r="B1222" s="204" t="s">
        <v>1197</v>
      </c>
      <c r="C1222" s="204" t="s">
        <v>2645</v>
      </c>
      <c r="D1222" s="204" t="s">
        <v>137</v>
      </c>
      <c r="E1222" s="204" t="s">
        <v>45</v>
      </c>
      <c r="F1222" s="204" t="s">
        <v>2276</v>
      </c>
      <c r="G1222" s="204" t="s">
        <v>2276</v>
      </c>
      <c r="H1222" s="204" t="s">
        <v>2276</v>
      </c>
      <c r="I1222" s="204" t="s">
        <v>2276</v>
      </c>
      <c r="J1222" s="204" t="s">
        <v>2276</v>
      </c>
      <c r="K1222" s="204" t="s">
        <v>2276</v>
      </c>
      <c r="L1222" s="204" t="s">
        <v>2276</v>
      </c>
      <c r="M1222" s="204" t="s">
        <v>2276</v>
      </c>
      <c r="N1222" s="204" t="s">
        <v>2276</v>
      </c>
      <c r="O1222" s="204" t="s">
        <v>2276</v>
      </c>
      <c r="P1222" s="204" t="s">
        <v>2276</v>
      </c>
      <c r="Q1222" s="204" t="s">
        <v>2276</v>
      </c>
      <c r="R1222" s="204" t="s">
        <v>2276</v>
      </c>
      <c r="S1222" s="204" t="s">
        <v>2276</v>
      </c>
      <c r="T1222" s="204"/>
    </row>
    <row r="1223" spans="1:20" ht="32.5" customHeight="1">
      <c r="A1223" s="19" t="s">
        <v>7901</v>
      </c>
      <c r="B1223" s="204" t="s">
        <v>1197</v>
      </c>
      <c r="C1223" s="204" t="s">
        <v>2645</v>
      </c>
      <c r="D1223" s="204" t="s">
        <v>137</v>
      </c>
      <c r="E1223" s="204" t="s">
        <v>2649</v>
      </c>
      <c r="F1223" s="204" t="s">
        <v>2276</v>
      </c>
      <c r="G1223" s="204" t="s">
        <v>2276</v>
      </c>
      <c r="H1223" s="204" t="s">
        <v>2276</v>
      </c>
      <c r="I1223" s="204" t="s">
        <v>2276</v>
      </c>
      <c r="J1223" s="204" t="s">
        <v>2276</v>
      </c>
      <c r="K1223" s="204" t="s">
        <v>534</v>
      </c>
      <c r="L1223" s="204" t="s">
        <v>2276</v>
      </c>
      <c r="M1223" s="204" t="s">
        <v>2276</v>
      </c>
      <c r="N1223" s="204" t="s">
        <v>2276</v>
      </c>
      <c r="O1223" s="204" t="s">
        <v>2276</v>
      </c>
      <c r="P1223" s="204" t="s">
        <v>2276</v>
      </c>
      <c r="Q1223" s="204" t="s">
        <v>2276</v>
      </c>
      <c r="R1223" s="204" t="s">
        <v>2276</v>
      </c>
      <c r="S1223" s="204" t="s">
        <v>2276</v>
      </c>
      <c r="T1223" s="204"/>
    </row>
    <row r="1224" spans="1:20" ht="26" customHeight="1">
      <c r="A1224" s="55" t="s">
        <v>7907</v>
      </c>
      <c r="B1224" s="204" t="s">
        <v>1197</v>
      </c>
      <c r="C1224" s="204" t="s">
        <v>2646</v>
      </c>
      <c r="D1224" s="204" t="s">
        <v>137</v>
      </c>
      <c r="E1224" s="204" t="s">
        <v>2276</v>
      </c>
      <c r="F1224" s="204" t="s">
        <v>2276</v>
      </c>
      <c r="G1224" s="204" t="s">
        <v>2276</v>
      </c>
      <c r="H1224" s="21">
        <f>1/63.671</f>
        <v>1.5705737305837821E-2</v>
      </c>
      <c r="I1224" s="204" t="s">
        <v>2276</v>
      </c>
      <c r="J1224" s="204" t="s">
        <v>2276</v>
      </c>
      <c r="K1224" s="204" t="s">
        <v>2276</v>
      </c>
      <c r="L1224" s="204" t="s">
        <v>2276</v>
      </c>
      <c r="M1224" s="204" t="s">
        <v>2276</v>
      </c>
      <c r="N1224" s="204" t="s">
        <v>2276</v>
      </c>
      <c r="O1224" s="204" t="s">
        <v>2276</v>
      </c>
      <c r="P1224" s="204" t="s">
        <v>2276</v>
      </c>
      <c r="Q1224" s="204" t="s">
        <v>2276</v>
      </c>
      <c r="R1224" s="204" t="s">
        <v>2276</v>
      </c>
      <c r="S1224" s="204" t="s">
        <v>2276</v>
      </c>
      <c r="T1224" s="204"/>
    </row>
    <row r="1225" spans="1:20" ht="26" customHeight="1">
      <c r="A1225" s="19" t="s">
        <v>7910</v>
      </c>
      <c r="B1225" s="204" t="s">
        <v>1197</v>
      </c>
      <c r="C1225" s="204" t="s">
        <v>2646</v>
      </c>
      <c r="D1225" s="204" t="s">
        <v>137</v>
      </c>
      <c r="E1225" s="204" t="s">
        <v>2276</v>
      </c>
      <c r="F1225" s="204" t="s">
        <v>2276</v>
      </c>
      <c r="G1225" s="204" t="s">
        <v>2276</v>
      </c>
      <c r="H1225" s="21">
        <f>1/46.714</f>
        <v>2.1406858757545919E-2</v>
      </c>
      <c r="I1225" s="204" t="s">
        <v>2276</v>
      </c>
      <c r="J1225" s="204" t="s">
        <v>2276</v>
      </c>
      <c r="K1225" s="204" t="s">
        <v>2276</v>
      </c>
      <c r="L1225" s="204" t="s">
        <v>2276</v>
      </c>
      <c r="M1225" s="204" t="s">
        <v>2276</v>
      </c>
      <c r="N1225" s="204" t="s">
        <v>2276</v>
      </c>
      <c r="O1225" s="204" t="s">
        <v>2276</v>
      </c>
      <c r="P1225" s="204" t="s">
        <v>2276</v>
      </c>
      <c r="Q1225" s="204" t="s">
        <v>2276</v>
      </c>
      <c r="R1225" s="204" t="s">
        <v>2276</v>
      </c>
      <c r="S1225" s="204" t="s">
        <v>2276</v>
      </c>
      <c r="T1225" s="204"/>
    </row>
    <row r="1226" spans="1:20" ht="26" customHeight="1">
      <c r="A1226" s="19" t="s">
        <v>7911</v>
      </c>
      <c r="B1226" s="204" t="s">
        <v>1197</v>
      </c>
      <c r="C1226" s="204" t="s">
        <v>2646</v>
      </c>
      <c r="D1226" s="204" t="s">
        <v>137</v>
      </c>
      <c r="E1226" s="204" t="s">
        <v>2276</v>
      </c>
      <c r="F1226" s="204" t="s">
        <v>2276</v>
      </c>
      <c r="G1226" s="204" t="s">
        <v>2276</v>
      </c>
      <c r="H1226" s="21">
        <f>1/13.613</f>
        <v>7.3459193418056276E-2</v>
      </c>
      <c r="I1226" s="204" t="s">
        <v>2276</v>
      </c>
      <c r="J1226" s="204" t="s">
        <v>2276</v>
      </c>
      <c r="K1226" s="204" t="s">
        <v>2276</v>
      </c>
      <c r="L1226" s="204" t="s">
        <v>2276</v>
      </c>
      <c r="M1226" s="204" t="s">
        <v>2276</v>
      </c>
      <c r="N1226" s="204" t="s">
        <v>2276</v>
      </c>
      <c r="O1226" s="204" t="s">
        <v>2276</v>
      </c>
      <c r="P1226" s="204" t="s">
        <v>2276</v>
      </c>
      <c r="Q1226" s="204" t="s">
        <v>2276</v>
      </c>
      <c r="R1226" s="204" t="s">
        <v>2276</v>
      </c>
      <c r="S1226" s="204" t="s">
        <v>2276</v>
      </c>
      <c r="T1226" s="204"/>
    </row>
    <row r="1227" spans="1:20" ht="26" customHeight="1">
      <c r="A1227" s="19" t="s">
        <v>7912</v>
      </c>
      <c r="B1227" s="204" t="s">
        <v>1197</v>
      </c>
      <c r="C1227" s="204" t="s">
        <v>2646</v>
      </c>
      <c r="D1227" s="204" t="s">
        <v>137</v>
      </c>
      <c r="E1227" s="204" t="s">
        <v>2276</v>
      </c>
      <c r="F1227" s="204" t="s">
        <v>2276</v>
      </c>
      <c r="G1227" s="204" t="s">
        <v>2276</v>
      </c>
      <c r="H1227" s="21">
        <f>1/14.408</f>
        <v>6.9405885619100507E-2</v>
      </c>
      <c r="I1227" s="204" t="s">
        <v>2276</v>
      </c>
      <c r="J1227" s="204" t="s">
        <v>2276</v>
      </c>
      <c r="K1227" s="204" t="s">
        <v>2276</v>
      </c>
      <c r="L1227" s="204" t="s">
        <v>2276</v>
      </c>
      <c r="M1227" s="204" t="s">
        <v>2276</v>
      </c>
      <c r="N1227" s="204" t="s">
        <v>2276</v>
      </c>
      <c r="O1227" s="204" t="s">
        <v>2276</v>
      </c>
      <c r="P1227" s="204" t="s">
        <v>2276</v>
      </c>
      <c r="Q1227" s="204" t="s">
        <v>2276</v>
      </c>
      <c r="R1227" s="204" t="s">
        <v>2276</v>
      </c>
      <c r="S1227" s="204" t="s">
        <v>2276</v>
      </c>
      <c r="T1227" s="204"/>
    </row>
    <row r="1228" spans="1:20" ht="26" customHeight="1">
      <c r="A1228" s="19" t="s">
        <v>7913</v>
      </c>
      <c r="B1228" s="204" t="s">
        <v>70</v>
      </c>
      <c r="C1228" s="204" t="s">
        <v>2645</v>
      </c>
      <c r="D1228" s="204" t="s">
        <v>2647</v>
      </c>
      <c r="E1228" s="204" t="s">
        <v>2276</v>
      </c>
      <c r="F1228" s="204" t="s">
        <v>2276</v>
      </c>
      <c r="G1228" s="204" t="s">
        <v>2276</v>
      </c>
      <c r="H1228" s="21">
        <f>1/2.092</f>
        <v>0.47801147227533458</v>
      </c>
      <c r="I1228" s="204" t="s">
        <v>2276</v>
      </c>
      <c r="J1228" s="204" t="s">
        <v>2276</v>
      </c>
      <c r="K1228" s="204" t="s">
        <v>2276</v>
      </c>
      <c r="L1228" s="204" t="s">
        <v>2276</v>
      </c>
      <c r="M1228" s="204" t="s">
        <v>2276</v>
      </c>
      <c r="N1228" s="204" t="s">
        <v>2276</v>
      </c>
      <c r="O1228" s="204" t="s">
        <v>2276</v>
      </c>
      <c r="P1228" s="204" t="s">
        <v>2276</v>
      </c>
      <c r="Q1228" s="204" t="s">
        <v>2276</v>
      </c>
      <c r="R1228" s="204" t="s">
        <v>2276</v>
      </c>
      <c r="S1228" s="204" t="s">
        <v>2276</v>
      </c>
      <c r="T1228" s="204"/>
    </row>
    <row r="1229" spans="1:20" ht="26" customHeight="1">
      <c r="A1229" s="19" t="s">
        <v>7914</v>
      </c>
      <c r="B1229" s="204" t="s">
        <v>70</v>
      </c>
      <c r="C1229" s="204" t="s">
        <v>2645</v>
      </c>
      <c r="D1229" s="204" t="s">
        <v>2647</v>
      </c>
      <c r="E1229" s="204" t="s">
        <v>2276</v>
      </c>
      <c r="F1229" s="204" t="s">
        <v>2276</v>
      </c>
      <c r="G1229" s="204" t="s">
        <v>2276</v>
      </c>
      <c r="H1229" s="21">
        <f>1/1.963</f>
        <v>0.50942435048395307</v>
      </c>
      <c r="I1229" s="204" t="s">
        <v>2276</v>
      </c>
      <c r="J1229" s="204" t="s">
        <v>2276</v>
      </c>
      <c r="K1229" s="204" t="s">
        <v>2276</v>
      </c>
      <c r="L1229" s="204" t="s">
        <v>2276</v>
      </c>
      <c r="M1229" s="204" t="s">
        <v>2276</v>
      </c>
      <c r="N1229" s="204" t="s">
        <v>2276</v>
      </c>
      <c r="O1229" s="204" t="s">
        <v>2276</v>
      </c>
      <c r="P1229" s="204" t="s">
        <v>2276</v>
      </c>
      <c r="Q1229" s="204" t="s">
        <v>2276</v>
      </c>
      <c r="R1229" s="204" t="s">
        <v>2276</v>
      </c>
      <c r="S1229" s="204" t="s">
        <v>2276</v>
      </c>
      <c r="T1229" s="204"/>
    </row>
    <row r="1230" spans="1:20" ht="26" customHeight="1">
      <c r="A1230" s="19" t="s">
        <v>7915</v>
      </c>
      <c r="B1230" s="204" t="s">
        <v>70</v>
      </c>
      <c r="C1230" s="204" t="s">
        <v>2645</v>
      </c>
      <c r="D1230" s="204" t="s">
        <v>2647</v>
      </c>
      <c r="E1230" s="204" t="s">
        <v>2276</v>
      </c>
      <c r="F1230" s="204" t="s">
        <v>2276</v>
      </c>
      <c r="G1230" s="204" t="s">
        <v>2276</v>
      </c>
      <c r="H1230" s="21">
        <f>1/1.251</f>
        <v>0.79936051159072752</v>
      </c>
      <c r="I1230" s="204" t="s">
        <v>2276</v>
      </c>
      <c r="J1230" s="204" t="s">
        <v>2276</v>
      </c>
      <c r="K1230" s="204" t="s">
        <v>2276</v>
      </c>
      <c r="L1230" s="204" t="s">
        <v>2276</v>
      </c>
      <c r="M1230" s="204" t="s">
        <v>2276</v>
      </c>
      <c r="N1230" s="204" t="s">
        <v>2276</v>
      </c>
      <c r="O1230" s="204" t="s">
        <v>2276</v>
      </c>
      <c r="P1230" s="204" t="s">
        <v>2276</v>
      </c>
      <c r="Q1230" s="204" t="s">
        <v>2276</v>
      </c>
      <c r="R1230" s="204" t="s">
        <v>2276</v>
      </c>
      <c r="S1230" s="204" t="s">
        <v>2276</v>
      </c>
      <c r="T1230" s="204"/>
    </row>
    <row r="1231" spans="1:20" ht="26" customHeight="1">
      <c r="A1231" s="19" t="s">
        <v>7916</v>
      </c>
      <c r="B1231" s="204" t="s">
        <v>69</v>
      </c>
      <c r="C1231" s="204" t="s">
        <v>395</v>
      </c>
      <c r="D1231" s="204" t="s">
        <v>5005</v>
      </c>
      <c r="E1231" s="204" t="s">
        <v>2276</v>
      </c>
      <c r="F1231" s="204" t="s">
        <v>2276</v>
      </c>
      <c r="G1231" s="204" t="s">
        <v>2276</v>
      </c>
      <c r="H1231" s="21">
        <f>1/1.071</f>
        <v>0.93370681605975725</v>
      </c>
      <c r="I1231" s="204" t="s">
        <v>2276</v>
      </c>
      <c r="J1231" s="204" t="s">
        <v>2276</v>
      </c>
      <c r="K1231" s="204" t="s">
        <v>2276</v>
      </c>
      <c r="L1231" s="204" t="s">
        <v>2276</v>
      </c>
      <c r="M1231" s="204" t="s">
        <v>2276</v>
      </c>
      <c r="N1231" s="204" t="s">
        <v>2276</v>
      </c>
      <c r="O1231" s="204" t="s">
        <v>2276</v>
      </c>
      <c r="P1231" s="204" t="s">
        <v>2276</v>
      </c>
      <c r="Q1231" s="204" t="s">
        <v>2276</v>
      </c>
      <c r="R1231" s="204" t="s">
        <v>2276</v>
      </c>
      <c r="S1231" s="204" t="s">
        <v>2276</v>
      </c>
      <c r="T1231" s="204"/>
    </row>
    <row r="1232" spans="1:20" ht="36" customHeight="1">
      <c r="A1232" s="19" t="s">
        <v>7930</v>
      </c>
      <c r="B1232" s="204" t="s">
        <v>1197</v>
      </c>
      <c r="C1232" s="204" t="s">
        <v>12</v>
      </c>
      <c r="D1232" s="204" t="s">
        <v>137</v>
      </c>
      <c r="E1232" s="204" t="s">
        <v>45</v>
      </c>
      <c r="F1232" s="204" t="s">
        <v>863</v>
      </c>
      <c r="G1232" s="204" t="s">
        <v>2276</v>
      </c>
      <c r="H1232" s="204" t="s">
        <v>2276</v>
      </c>
      <c r="I1232" s="204" t="s">
        <v>2276</v>
      </c>
      <c r="J1232" s="204" t="s">
        <v>2276</v>
      </c>
      <c r="K1232" s="204" t="s">
        <v>534</v>
      </c>
      <c r="L1232" s="204" t="s">
        <v>2276</v>
      </c>
      <c r="M1232" s="204" t="s">
        <v>2276</v>
      </c>
      <c r="N1232" s="204" t="s">
        <v>2276</v>
      </c>
      <c r="O1232" s="204" t="s">
        <v>2276</v>
      </c>
      <c r="P1232" s="204" t="s">
        <v>2276</v>
      </c>
      <c r="Q1232" s="204" t="s">
        <v>2276</v>
      </c>
      <c r="R1232" s="204" t="s">
        <v>2276</v>
      </c>
      <c r="S1232" s="21">
        <v>0.33</v>
      </c>
      <c r="T1232" s="204"/>
    </row>
    <row r="1233" spans="1:20" ht="29.5" customHeight="1">
      <c r="A1233" s="19" t="s">
        <v>7939</v>
      </c>
      <c r="B1233" s="204" t="s">
        <v>1197</v>
      </c>
      <c r="C1233" s="204" t="s">
        <v>2645</v>
      </c>
      <c r="D1233" s="204" t="s">
        <v>84</v>
      </c>
      <c r="E1233" s="204" t="s">
        <v>45</v>
      </c>
      <c r="F1233" s="204" t="s">
        <v>2276</v>
      </c>
      <c r="G1233" s="204" t="s">
        <v>2276</v>
      </c>
      <c r="H1233" s="204" t="s">
        <v>2276</v>
      </c>
      <c r="I1233" s="204" t="s">
        <v>2276</v>
      </c>
      <c r="J1233" s="204" t="s">
        <v>2276</v>
      </c>
      <c r="K1233" s="204" t="s">
        <v>2276</v>
      </c>
      <c r="L1233" s="204" t="s">
        <v>2276</v>
      </c>
      <c r="M1233" s="204" t="s">
        <v>2276</v>
      </c>
      <c r="N1233" s="204" t="s">
        <v>2276</v>
      </c>
      <c r="O1233" s="21">
        <v>28.65</v>
      </c>
      <c r="P1233" s="21">
        <v>28.65</v>
      </c>
      <c r="Q1233" s="204" t="s">
        <v>2276</v>
      </c>
      <c r="R1233" s="21">
        <f>100-P1233-O1233</f>
        <v>42.699999999999996</v>
      </c>
      <c r="S1233" s="204" t="s">
        <v>2276</v>
      </c>
      <c r="T1233" s="4" t="s">
        <v>7957</v>
      </c>
    </row>
    <row r="1234" spans="1:20" ht="29.5" customHeight="1">
      <c r="A1234" s="19" t="s">
        <v>7940</v>
      </c>
      <c r="B1234" s="204" t="s">
        <v>1197</v>
      </c>
      <c r="C1234" s="204" t="s">
        <v>2645</v>
      </c>
      <c r="D1234" s="204" t="s">
        <v>84</v>
      </c>
      <c r="E1234" s="204" t="s">
        <v>45</v>
      </c>
      <c r="F1234" s="204" t="s">
        <v>2276</v>
      </c>
      <c r="G1234" s="204" t="s">
        <v>2276</v>
      </c>
      <c r="H1234" s="204" t="s">
        <v>2276</v>
      </c>
      <c r="I1234" s="204" t="s">
        <v>2276</v>
      </c>
      <c r="J1234" s="204" t="s">
        <v>2276</v>
      </c>
      <c r="K1234" s="204" t="s">
        <v>2276</v>
      </c>
      <c r="L1234" s="204" t="s">
        <v>2276</v>
      </c>
      <c r="M1234" s="204" t="s">
        <v>2276</v>
      </c>
      <c r="N1234" s="204" t="s">
        <v>2276</v>
      </c>
      <c r="O1234" s="21">
        <v>19.3</v>
      </c>
      <c r="P1234" s="21">
        <v>19.3</v>
      </c>
      <c r="Q1234" s="204" t="s">
        <v>2276</v>
      </c>
      <c r="R1234" s="21">
        <f t="shared" ref="R1234:R1242" si="4">100-P1234-O1234</f>
        <v>61.400000000000006</v>
      </c>
      <c r="S1234" s="204" t="s">
        <v>2276</v>
      </c>
      <c r="T1234" s="4" t="s">
        <v>7957</v>
      </c>
    </row>
    <row r="1235" spans="1:20" ht="29.5" customHeight="1">
      <c r="A1235" s="19" t="s">
        <v>7941</v>
      </c>
      <c r="B1235" s="204" t="s">
        <v>1197</v>
      </c>
      <c r="C1235" s="204" t="s">
        <v>2645</v>
      </c>
      <c r="D1235" s="204" t="s">
        <v>84</v>
      </c>
      <c r="E1235" s="204" t="s">
        <v>45</v>
      </c>
      <c r="F1235" s="204" t="s">
        <v>2276</v>
      </c>
      <c r="G1235" s="204" t="s">
        <v>2276</v>
      </c>
      <c r="H1235" s="204" t="s">
        <v>2276</v>
      </c>
      <c r="I1235" s="204" t="s">
        <v>2276</v>
      </c>
      <c r="J1235" s="204" t="s">
        <v>2276</v>
      </c>
      <c r="K1235" s="204" t="s">
        <v>2276</v>
      </c>
      <c r="L1235" s="204" t="s">
        <v>2276</v>
      </c>
      <c r="M1235" s="204" t="s">
        <v>2276</v>
      </c>
      <c r="N1235" s="204" t="s">
        <v>2276</v>
      </c>
      <c r="O1235" s="21">
        <v>24.5</v>
      </c>
      <c r="P1235" s="21">
        <v>24.5</v>
      </c>
      <c r="Q1235" s="204" t="s">
        <v>2276</v>
      </c>
      <c r="R1235" s="21">
        <f t="shared" si="4"/>
        <v>51</v>
      </c>
      <c r="S1235" s="204" t="s">
        <v>2276</v>
      </c>
      <c r="T1235" s="4" t="s">
        <v>7957</v>
      </c>
    </row>
    <row r="1236" spans="1:20" ht="29.5" customHeight="1">
      <c r="A1236" s="19" t="s">
        <v>7942</v>
      </c>
      <c r="B1236" s="204" t="s">
        <v>1197</v>
      </c>
      <c r="C1236" s="204" t="s">
        <v>2645</v>
      </c>
      <c r="D1236" s="204" t="s">
        <v>84</v>
      </c>
      <c r="E1236" s="204" t="s">
        <v>45</v>
      </c>
      <c r="F1236" s="204" t="s">
        <v>2276</v>
      </c>
      <c r="G1236" s="204" t="s">
        <v>2276</v>
      </c>
      <c r="H1236" s="204" t="s">
        <v>2276</v>
      </c>
      <c r="I1236" s="204" t="s">
        <v>2276</v>
      </c>
      <c r="J1236" s="204" t="s">
        <v>2276</v>
      </c>
      <c r="K1236" s="204" t="s">
        <v>2276</v>
      </c>
      <c r="L1236" s="204" t="s">
        <v>2276</v>
      </c>
      <c r="M1236" s="204" t="s">
        <v>2276</v>
      </c>
      <c r="N1236" s="204" t="s">
        <v>2276</v>
      </c>
      <c r="O1236" s="21">
        <v>9.1</v>
      </c>
      <c r="P1236" s="21">
        <v>9.1</v>
      </c>
      <c r="Q1236" s="204" t="s">
        <v>2276</v>
      </c>
      <c r="R1236" s="21">
        <f t="shared" si="4"/>
        <v>81.800000000000011</v>
      </c>
      <c r="S1236" s="204" t="s">
        <v>2276</v>
      </c>
      <c r="T1236" s="4" t="s">
        <v>7957</v>
      </c>
    </row>
    <row r="1237" spans="1:20" ht="29.5" customHeight="1">
      <c r="A1237" s="19" t="s">
        <v>7943</v>
      </c>
      <c r="B1237" s="204" t="s">
        <v>1197</v>
      </c>
      <c r="C1237" s="204" t="s">
        <v>2645</v>
      </c>
      <c r="D1237" s="204" t="s">
        <v>84</v>
      </c>
      <c r="E1237" s="204" t="s">
        <v>45</v>
      </c>
      <c r="F1237" s="204" t="s">
        <v>2276</v>
      </c>
      <c r="G1237" s="204" t="s">
        <v>2276</v>
      </c>
      <c r="H1237" s="204" t="s">
        <v>2276</v>
      </c>
      <c r="I1237" s="204" t="s">
        <v>2276</v>
      </c>
      <c r="J1237" s="204" t="s">
        <v>2276</v>
      </c>
      <c r="K1237" s="204" t="s">
        <v>2276</v>
      </c>
      <c r="L1237" s="204" t="s">
        <v>2276</v>
      </c>
      <c r="M1237" s="204" t="s">
        <v>2276</v>
      </c>
      <c r="N1237" s="204" t="s">
        <v>2276</v>
      </c>
      <c r="O1237" s="21">
        <v>26.45</v>
      </c>
      <c r="P1237" s="21">
        <v>26.45</v>
      </c>
      <c r="Q1237" s="204" t="s">
        <v>2276</v>
      </c>
      <c r="R1237" s="21">
        <f t="shared" si="4"/>
        <v>47.099999999999994</v>
      </c>
      <c r="S1237" s="204" t="s">
        <v>2276</v>
      </c>
      <c r="T1237" s="4" t="s">
        <v>7957</v>
      </c>
    </row>
    <row r="1238" spans="1:20" ht="29.5" customHeight="1">
      <c r="A1238" s="19" t="s">
        <v>7946</v>
      </c>
      <c r="B1238" s="204" t="s">
        <v>32</v>
      </c>
      <c r="C1238" s="204" t="s">
        <v>2646</v>
      </c>
      <c r="D1238" s="204" t="s">
        <v>137</v>
      </c>
      <c r="E1238" s="204" t="s">
        <v>5801</v>
      </c>
      <c r="F1238" s="204" t="s">
        <v>84</v>
      </c>
      <c r="G1238" s="204" t="s">
        <v>45</v>
      </c>
      <c r="H1238" s="204" t="s">
        <v>2276</v>
      </c>
      <c r="I1238" s="204" t="s">
        <v>2276</v>
      </c>
      <c r="J1238" s="204" t="s">
        <v>2276</v>
      </c>
      <c r="K1238" s="204" t="s">
        <v>2276</v>
      </c>
      <c r="L1238" s="204" t="s">
        <v>2276</v>
      </c>
      <c r="M1238" s="204" t="s">
        <v>2276</v>
      </c>
      <c r="N1238" s="204" t="s">
        <v>2276</v>
      </c>
      <c r="O1238" s="21">
        <v>23.45</v>
      </c>
      <c r="P1238" s="21">
        <v>23.45</v>
      </c>
      <c r="Q1238" s="21">
        <f>(P1233-P1238)*2</f>
        <v>10.399999999999999</v>
      </c>
      <c r="R1238" s="21">
        <f>100-P1238-O1238-Q1238</f>
        <v>42.699999999999996</v>
      </c>
      <c r="S1238" s="204" t="s">
        <v>2276</v>
      </c>
      <c r="T1238" s="4" t="s">
        <v>7957</v>
      </c>
    </row>
    <row r="1239" spans="1:20" ht="29.5" customHeight="1">
      <c r="A1239" s="19" t="s">
        <v>7947</v>
      </c>
      <c r="B1239" s="204" t="s">
        <v>32</v>
      </c>
      <c r="C1239" s="204" t="s">
        <v>2646</v>
      </c>
      <c r="D1239" s="204" t="s">
        <v>137</v>
      </c>
      <c r="E1239" s="204" t="s">
        <v>5801</v>
      </c>
      <c r="F1239" s="204" t="s">
        <v>84</v>
      </c>
      <c r="G1239" s="204" t="s">
        <v>45</v>
      </c>
      <c r="H1239" s="204" t="s">
        <v>2276</v>
      </c>
      <c r="I1239" s="204" t="s">
        <v>2276</v>
      </c>
      <c r="J1239" s="204" t="s">
        <v>2276</v>
      </c>
      <c r="K1239" s="204" t="s">
        <v>2276</v>
      </c>
      <c r="L1239" s="204" t="s">
        <v>2276</v>
      </c>
      <c r="M1239" s="204" t="s">
        <v>2276</v>
      </c>
      <c r="N1239" s="204" t="s">
        <v>2276</v>
      </c>
      <c r="O1239" s="21">
        <v>11.9</v>
      </c>
      <c r="P1239" s="21">
        <v>11.9</v>
      </c>
      <c r="Q1239" s="21">
        <f t="shared" ref="Q1239:Q1242" si="5">(P1234-P1239)*2</f>
        <v>14.8</v>
      </c>
      <c r="R1239" s="21">
        <f t="shared" ref="R1239:R1242" si="6">100-P1239-O1239-Q1239</f>
        <v>61.399999999999991</v>
      </c>
      <c r="S1239" s="204" t="s">
        <v>2276</v>
      </c>
      <c r="T1239" s="4" t="s">
        <v>7957</v>
      </c>
    </row>
    <row r="1240" spans="1:20" ht="29.5" customHeight="1">
      <c r="A1240" s="19" t="s">
        <v>7948</v>
      </c>
      <c r="B1240" s="204" t="s">
        <v>32</v>
      </c>
      <c r="C1240" s="204" t="s">
        <v>2646</v>
      </c>
      <c r="D1240" s="204" t="s">
        <v>137</v>
      </c>
      <c r="E1240" s="204" t="s">
        <v>5801</v>
      </c>
      <c r="F1240" s="204" t="s">
        <v>84</v>
      </c>
      <c r="G1240" s="204" t="s">
        <v>45</v>
      </c>
      <c r="H1240" s="204" t="s">
        <v>2276</v>
      </c>
      <c r="I1240" s="204" t="s">
        <v>2276</v>
      </c>
      <c r="J1240" s="204" t="s">
        <v>2276</v>
      </c>
      <c r="K1240" s="204" t="s">
        <v>2276</v>
      </c>
      <c r="L1240" s="204" t="s">
        <v>2276</v>
      </c>
      <c r="M1240" s="204" t="s">
        <v>2276</v>
      </c>
      <c r="N1240" s="204" t="s">
        <v>2276</v>
      </c>
      <c r="O1240" s="21">
        <v>9.1</v>
      </c>
      <c r="P1240" s="21">
        <v>9.1</v>
      </c>
      <c r="Q1240" s="21">
        <f t="shared" si="5"/>
        <v>30.8</v>
      </c>
      <c r="R1240" s="21">
        <f t="shared" si="6"/>
        <v>51.000000000000014</v>
      </c>
      <c r="S1240" s="204" t="s">
        <v>2276</v>
      </c>
      <c r="T1240" s="4" t="s">
        <v>7957</v>
      </c>
    </row>
    <row r="1241" spans="1:20" ht="29.5" customHeight="1">
      <c r="A1241" s="19" t="s">
        <v>7949</v>
      </c>
      <c r="B1241" s="204" t="s">
        <v>32</v>
      </c>
      <c r="C1241" s="204" t="s">
        <v>2646</v>
      </c>
      <c r="D1241" s="204" t="s">
        <v>137</v>
      </c>
      <c r="E1241" s="204" t="s">
        <v>5801</v>
      </c>
      <c r="F1241" s="204" t="s">
        <v>84</v>
      </c>
      <c r="G1241" s="204" t="s">
        <v>45</v>
      </c>
      <c r="H1241" s="204" t="s">
        <v>2276</v>
      </c>
      <c r="I1241" s="204" t="s">
        <v>2276</v>
      </c>
      <c r="J1241" s="204" t="s">
        <v>2276</v>
      </c>
      <c r="K1241" s="204" t="s">
        <v>2276</v>
      </c>
      <c r="L1241" s="204" t="s">
        <v>2276</v>
      </c>
      <c r="M1241" s="204" t="s">
        <v>2276</v>
      </c>
      <c r="N1241" s="204" t="s">
        <v>2276</v>
      </c>
      <c r="O1241" s="21">
        <v>3.55</v>
      </c>
      <c r="P1241" s="21">
        <v>3.55</v>
      </c>
      <c r="Q1241" s="21">
        <f t="shared" si="5"/>
        <v>11.1</v>
      </c>
      <c r="R1241" s="21">
        <f t="shared" si="6"/>
        <v>81.800000000000011</v>
      </c>
      <c r="S1241" s="204" t="s">
        <v>2276</v>
      </c>
      <c r="T1241" s="4" t="s">
        <v>7957</v>
      </c>
    </row>
    <row r="1242" spans="1:20" ht="29.5" customHeight="1">
      <c r="A1242" s="19" t="s">
        <v>7950</v>
      </c>
      <c r="B1242" s="204" t="s">
        <v>32</v>
      </c>
      <c r="C1242" s="204" t="s">
        <v>2646</v>
      </c>
      <c r="D1242" s="204" t="s">
        <v>137</v>
      </c>
      <c r="E1242" s="204" t="s">
        <v>5801</v>
      </c>
      <c r="F1242" s="204" t="s">
        <v>84</v>
      </c>
      <c r="G1242" s="204" t="s">
        <v>45</v>
      </c>
      <c r="H1242" s="204" t="s">
        <v>2276</v>
      </c>
      <c r="I1242" s="204" t="s">
        <v>2276</v>
      </c>
      <c r="J1242" s="204" t="s">
        <v>2276</v>
      </c>
      <c r="K1242" s="204" t="s">
        <v>2276</v>
      </c>
      <c r="L1242" s="204" t="s">
        <v>2276</v>
      </c>
      <c r="M1242" s="204" t="s">
        <v>2276</v>
      </c>
      <c r="N1242" s="204" t="s">
        <v>2276</v>
      </c>
      <c r="O1242" s="21">
        <v>14.35</v>
      </c>
      <c r="P1242" s="21">
        <v>14.35</v>
      </c>
      <c r="Q1242" s="21">
        <f t="shared" si="5"/>
        <v>24.2</v>
      </c>
      <c r="R1242" s="21">
        <f t="shared" si="6"/>
        <v>47.100000000000009</v>
      </c>
      <c r="S1242" s="204" t="s">
        <v>2276</v>
      </c>
      <c r="T1242" s="4" t="s">
        <v>7957</v>
      </c>
    </row>
    <row r="1243" spans="1:20" ht="35.5" customHeight="1">
      <c r="A1243" s="19" t="s">
        <v>7976</v>
      </c>
      <c r="B1243" s="204" t="s">
        <v>1197</v>
      </c>
      <c r="C1243" s="204" t="s">
        <v>2645</v>
      </c>
      <c r="D1243" s="204" t="s">
        <v>84</v>
      </c>
      <c r="E1243" s="204" t="s">
        <v>45</v>
      </c>
      <c r="F1243" s="204" t="s">
        <v>2647</v>
      </c>
      <c r="G1243" s="204" t="s">
        <v>2276</v>
      </c>
      <c r="H1243" s="204" t="s">
        <v>2276</v>
      </c>
      <c r="I1243" s="204" t="s">
        <v>2276</v>
      </c>
      <c r="J1243" s="204" t="s">
        <v>2276</v>
      </c>
      <c r="K1243" s="204" t="s">
        <v>2276</v>
      </c>
      <c r="L1243" s="204" t="s">
        <v>2276</v>
      </c>
      <c r="M1243" s="204" t="s">
        <v>2276</v>
      </c>
      <c r="N1243" s="204" t="s">
        <v>2276</v>
      </c>
      <c r="O1243" s="204" t="s">
        <v>2276</v>
      </c>
      <c r="P1243" s="204" t="s">
        <v>2276</v>
      </c>
      <c r="Q1243" s="204" t="s">
        <v>2276</v>
      </c>
      <c r="R1243" s="204" t="s">
        <v>2276</v>
      </c>
      <c r="S1243" s="204" t="s">
        <v>2276</v>
      </c>
      <c r="T1243" s="204"/>
    </row>
    <row r="1244" spans="1:20" ht="31" customHeight="1">
      <c r="A1244" s="19" t="s">
        <v>7977</v>
      </c>
      <c r="B1244" s="204" t="s">
        <v>70</v>
      </c>
      <c r="C1244" s="204" t="s">
        <v>2645</v>
      </c>
      <c r="D1244" s="204" t="s">
        <v>84</v>
      </c>
      <c r="E1244" s="204" t="s">
        <v>2647</v>
      </c>
      <c r="F1244" s="204" t="s">
        <v>5801</v>
      </c>
      <c r="G1244" s="204" t="s">
        <v>2276</v>
      </c>
      <c r="H1244" s="204" t="s">
        <v>2276</v>
      </c>
      <c r="I1244" s="204" t="s">
        <v>2276</v>
      </c>
      <c r="J1244" s="204" t="s">
        <v>2276</v>
      </c>
      <c r="K1244" s="204" t="s">
        <v>2276</v>
      </c>
      <c r="L1244" s="204" t="s">
        <v>2276</v>
      </c>
      <c r="M1244" s="204" t="s">
        <v>2276</v>
      </c>
      <c r="N1244" s="204" t="s">
        <v>2276</v>
      </c>
      <c r="O1244" s="204" t="s">
        <v>2276</v>
      </c>
      <c r="P1244" s="204" t="s">
        <v>2276</v>
      </c>
      <c r="Q1244" s="204" t="s">
        <v>2276</v>
      </c>
      <c r="R1244" s="204" t="s">
        <v>2276</v>
      </c>
      <c r="S1244" s="204" t="s">
        <v>2276</v>
      </c>
      <c r="T1244" s="204"/>
    </row>
    <row r="1245" spans="1:20" ht="29.5" customHeight="1">
      <c r="A1245" s="19" t="s">
        <v>7991</v>
      </c>
      <c r="B1245" s="204" t="s">
        <v>70</v>
      </c>
      <c r="C1245" s="204" t="s">
        <v>2645</v>
      </c>
      <c r="D1245" s="204" t="s">
        <v>2647</v>
      </c>
      <c r="E1245" s="204" t="s">
        <v>45</v>
      </c>
      <c r="F1245" s="204" t="s">
        <v>2276</v>
      </c>
      <c r="G1245" s="204" t="s">
        <v>2276</v>
      </c>
      <c r="H1245" s="204" t="s">
        <v>2276</v>
      </c>
      <c r="I1245" s="204">
        <v>263</v>
      </c>
      <c r="J1245" s="204" t="s">
        <v>2276</v>
      </c>
      <c r="K1245" s="204" t="s">
        <v>2276</v>
      </c>
      <c r="L1245" s="204" t="s">
        <v>2276</v>
      </c>
      <c r="M1245" s="204" t="s">
        <v>2276</v>
      </c>
      <c r="N1245" s="204" t="s">
        <v>2276</v>
      </c>
      <c r="O1245" s="204" t="s">
        <v>2276</v>
      </c>
      <c r="P1245" s="204" t="s">
        <v>2276</v>
      </c>
      <c r="Q1245" s="204" t="s">
        <v>2276</v>
      </c>
      <c r="R1245" s="204" t="s">
        <v>2276</v>
      </c>
      <c r="S1245" s="204" t="s">
        <v>2276</v>
      </c>
      <c r="T1245" s="204" t="s">
        <v>7993</v>
      </c>
    </row>
    <row r="1246" spans="1:20" ht="27" customHeight="1">
      <c r="A1246" s="19" t="s">
        <v>8000</v>
      </c>
      <c r="B1246" s="204" t="s">
        <v>1197</v>
      </c>
      <c r="C1246" s="204" t="s">
        <v>2646</v>
      </c>
      <c r="D1246" s="204" t="s">
        <v>137</v>
      </c>
      <c r="E1246" s="204" t="s">
        <v>2653</v>
      </c>
      <c r="F1246" s="204" t="s">
        <v>45</v>
      </c>
      <c r="G1246" s="204" t="s">
        <v>2647</v>
      </c>
      <c r="H1246" s="204" t="s">
        <v>2276</v>
      </c>
      <c r="I1246" s="204" t="s">
        <v>2276</v>
      </c>
      <c r="J1246" s="204" t="s">
        <v>2276</v>
      </c>
      <c r="K1246" s="204" t="s">
        <v>2276</v>
      </c>
      <c r="L1246" s="204" t="s">
        <v>2276</v>
      </c>
      <c r="M1246" s="204" t="s">
        <v>2276</v>
      </c>
      <c r="N1246" s="204" t="s">
        <v>2276</v>
      </c>
      <c r="O1246" s="204" t="s">
        <v>2276</v>
      </c>
      <c r="P1246" s="204" t="s">
        <v>2276</v>
      </c>
      <c r="Q1246" s="204" t="s">
        <v>2276</v>
      </c>
      <c r="R1246" s="204" t="s">
        <v>2276</v>
      </c>
      <c r="S1246" s="204" t="s">
        <v>2276</v>
      </c>
      <c r="T1246" s="204"/>
    </row>
    <row r="1247" spans="1:20" ht="27" customHeight="1">
      <c r="A1247" s="19" t="s">
        <v>8006</v>
      </c>
      <c r="B1247" s="204" t="s">
        <v>1197</v>
      </c>
      <c r="C1247" s="204" t="s">
        <v>2646</v>
      </c>
      <c r="D1247" s="204" t="s">
        <v>137</v>
      </c>
      <c r="E1247" s="204" t="s">
        <v>2653</v>
      </c>
      <c r="F1247" s="204" t="s">
        <v>45</v>
      </c>
      <c r="G1247" s="204" t="s">
        <v>2647</v>
      </c>
      <c r="H1247" s="204" t="s">
        <v>2276</v>
      </c>
      <c r="I1247" s="204" t="s">
        <v>2276</v>
      </c>
      <c r="J1247" s="204" t="s">
        <v>2276</v>
      </c>
      <c r="K1247" s="204" t="s">
        <v>2276</v>
      </c>
      <c r="L1247" s="204" t="s">
        <v>2276</v>
      </c>
      <c r="M1247" s="204" t="s">
        <v>2276</v>
      </c>
      <c r="N1247" s="204" t="s">
        <v>2276</v>
      </c>
      <c r="O1247" s="204" t="s">
        <v>2276</v>
      </c>
      <c r="P1247" s="204" t="s">
        <v>2276</v>
      </c>
      <c r="Q1247" s="204" t="s">
        <v>2276</v>
      </c>
      <c r="R1247" s="204" t="s">
        <v>2276</v>
      </c>
      <c r="S1247" s="204" t="s">
        <v>2276</v>
      </c>
      <c r="T1247" s="204"/>
    </row>
    <row r="1248" spans="1:20" ht="27" customHeight="1">
      <c r="A1248" s="19" t="s">
        <v>8007</v>
      </c>
      <c r="B1248" s="204" t="s">
        <v>1197</v>
      </c>
      <c r="C1248" s="204" t="s">
        <v>2646</v>
      </c>
      <c r="D1248" s="204" t="s">
        <v>137</v>
      </c>
      <c r="E1248" s="204" t="s">
        <v>2653</v>
      </c>
      <c r="F1248" s="204" t="s">
        <v>45</v>
      </c>
      <c r="G1248" s="204" t="s">
        <v>2647</v>
      </c>
      <c r="H1248" s="204" t="s">
        <v>2276</v>
      </c>
      <c r="I1248" s="204" t="s">
        <v>2276</v>
      </c>
      <c r="J1248" s="204" t="s">
        <v>2276</v>
      </c>
      <c r="K1248" s="204" t="s">
        <v>2276</v>
      </c>
      <c r="L1248" s="204" t="s">
        <v>2276</v>
      </c>
      <c r="M1248" s="204" t="s">
        <v>2276</v>
      </c>
      <c r="N1248" s="204" t="s">
        <v>2276</v>
      </c>
      <c r="O1248" s="204" t="s">
        <v>2276</v>
      </c>
      <c r="P1248" s="204" t="s">
        <v>2276</v>
      </c>
      <c r="Q1248" s="204" t="s">
        <v>2276</v>
      </c>
      <c r="R1248" s="204" t="s">
        <v>2276</v>
      </c>
      <c r="S1248" s="204" t="s">
        <v>2276</v>
      </c>
      <c r="T1248" s="204"/>
    </row>
    <row r="1249" spans="1:20" ht="35" customHeight="1">
      <c r="A1249" s="19" t="s">
        <v>8013</v>
      </c>
      <c r="B1249" s="204" t="s">
        <v>2276</v>
      </c>
      <c r="C1249" s="204" t="s">
        <v>12</v>
      </c>
      <c r="D1249" s="4" t="s">
        <v>396</v>
      </c>
      <c r="E1249" s="204" t="s">
        <v>45</v>
      </c>
      <c r="F1249" s="204" t="s">
        <v>5801</v>
      </c>
      <c r="G1249" s="204" t="s">
        <v>2653</v>
      </c>
      <c r="H1249" s="204" t="s">
        <v>2276</v>
      </c>
      <c r="I1249" s="204" t="s">
        <v>2276</v>
      </c>
      <c r="J1249" s="204" t="s">
        <v>2276</v>
      </c>
      <c r="K1249" s="204" t="s">
        <v>2276</v>
      </c>
      <c r="L1249" s="204" t="s">
        <v>2276</v>
      </c>
      <c r="M1249" s="204" t="s">
        <v>2276</v>
      </c>
      <c r="N1249" s="204" t="s">
        <v>2276</v>
      </c>
      <c r="O1249" s="204" t="s">
        <v>2276</v>
      </c>
      <c r="P1249" s="21">
        <f>100*110000/295200</f>
        <v>37.262872628726285</v>
      </c>
      <c r="Q1249" s="204" t="s">
        <v>2276</v>
      </c>
      <c r="R1249" s="21">
        <v>40</v>
      </c>
      <c r="S1249" s="204" t="s">
        <v>2276</v>
      </c>
      <c r="T1249" s="204"/>
    </row>
    <row r="1250" spans="1:20" ht="39.5" customHeight="1">
      <c r="A1250" s="19" t="s">
        <v>8019</v>
      </c>
      <c r="B1250" s="204" t="s">
        <v>1197</v>
      </c>
      <c r="C1250" s="204" t="s">
        <v>2645</v>
      </c>
      <c r="D1250" s="204" t="s">
        <v>137</v>
      </c>
      <c r="E1250" s="204" t="s">
        <v>2276</v>
      </c>
      <c r="F1250" s="204" t="s">
        <v>2276</v>
      </c>
      <c r="G1250" s="204" t="s">
        <v>2276</v>
      </c>
      <c r="H1250" s="21">
        <v>0</v>
      </c>
      <c r="I1250" s="204" t="s">
        <v>2276</v>
      </c>
      <c r="J1250" s="204" t="s">
        <v>2276</v>
      </c>
      <c r="K1250" s="204" t="s">
        <v>2276</v>
      </c>
      <c r="L1250" s="204" t="s">
        <v>2276</v>
      </c>
      <c r="M1250" s="204" t="s">
        <v>2276</v>
      </c>
      <c r="N1250" s="204" t="s">
        <v>2276</v>
      </c>
      <c r="O1250" s="204" t="s">
        <v>2276</v>
      </c>
      <c r="P1250" s="204" t="s">
        <v>2276</v>
      </c>
      <c r="Q1250" s="204" t="s">
        <v>2276</v>
      </c>
      <c r="R1250" s="204" t="s">
        <v>2276</v>
      </c>
      <c r="S1250" s="204" t="s">
        <v>2276</v>
      </c>
      <c r="T1250" s="204"/>
    </row>
    <row r="1251" spans="1:20" ht="36" customHeight="1">
      <c r="A1251" s="19" t="s">
        <v>8020</v>
      </c>
      <c r="B1251" s="204" t="s">
        <v>69</v>
      </c>
      <c r="C1251" s="204" t="s">
        <v>395</v>
      </c>
      <c r="D1251" s="204" t="s">
        <v>45</v>
      </c>
      <c r="E1251" s="204" t="s">
        <v>2276</v>
      </c>
      <c r="F1251" s="204" t="s">
        <v>2276</v>
      </c>
      <c r="G1251" s="204" t="s">
        <v>2276</v>
      </c>
      <c r="H1251" s="21">
        <v>0.39324300000000001</v>
      </c>
      <c r="I1251" s="204">
        <v>298.99299999999999</v>
      </c>
      <c r="J1251" s="204" t="s">
        <v>2276</v>
      </c>
      <c r="K1251" s="204" t="s">
        <v>2276</v>
      </c>
      <c r="L1251" s="204" t="s">
        <v>2276</v>
      </c>
      <c r="M1251" s="204" t="s">
        <v>2276</v>
      </c>
      <c r="N1251" s="204" t="s">
        <v>2276</v>
      </c>
      <c r="O1251" s="204" t="s">
        <v>2276</v>
      </c>
      <c r="P1251" s="204" t="s">
        <v>2276</v>
      </c>
      <c r="Q1251" s="204" t="s">
        <v>2276</v>
      </c>
      <c r="R1251" s="204" t="s">
        <v>2276</v>
      </c>
      <c r="S1251" s="204" t="s">
        <v>2276</v>
      </c>
      <c r="T1251" s="204"/>
    </row>
    <row r="1252" spans="1:20" ht="33.5" customHeight="1">
      <c r="A1252" s="19" t="s">
        <v>8030</v>
      </c>
      <c r="B1252" s="204" t="s">
        <v>69</v>
      </c>
      <c r="C1252" s="204" t="s">
        <v>395</v>
      </c>
      <c r="D1252" s="204" t="s">
        <v>116</v>
      </c>
      <c r="E1252" s="204" t="s">
        <v>2276</v>
      </c>
      <c r="F1252" s="204" t="s">
        <v>2276</v>
      </c>
      <c r="G1252" s="204" t="s">
        <v>2276</v>
      </c>
      <c r="H1252" s="204" t="s">
        <v>2276</v>
      </c>
      <c r="I1252" s="204" t="s">
        <v>2276</v>
      </c>
      <c r="J1252" s="204" t="s">
        <v>2276</v>
      </c>
      <c r="K1252" s="204" t="s">
        <v>2276</v>
      </c>
      <c r="L1252" s="204" t="s">
        <v>2276</v>
      </c>
      <c r="M1252" s="204" t="s">
        <v>2276</v>
      </c>
      <c r="N1252" s="204" t="s">
        <v>2276</v>
      </c>
      <c r="O1252" s="204" t="s">
        <v>2276</v>
      </c>
      <c r="P1252" s="204" t="s">
        <v>2276</v>
      </c>
      <c r="Q1252" s="204" t="s">
        <v>2276</v>
      </c>
      <c r="R1252" s="204" t="s">
        <v>2276</v>
      </c>
      <c r="S1252" s="204" t="s">
        <v>2276</v>
      </c>
      <c r="T1252" s="204" t="s">
        <v>8032</v>
      </c>
    </row>
    <row r="1253" spans="1:20" ht="33" customHeight="1">
      <c r="A1253" s="19" t="s">
        <v>8038</v>
      </c>
      <c r="B1253" s="204" t="s">
        <v>70</v>
      </c>
      <c r="C1253" s="204" t="s">
        <v>2645</v>
      </c>
      <c r="D1253" s="204" t="s">
        <v>2647</v>
      </c>
      <c r="E1253" s="204" t="s">
        <v>45</v>
      </c>
      <c r="F1253" s="204" t="s">
        <v>2276</v>
      </c>
      <c r="G1253" s="204" t="s">
        <v>2276</v>
      </c>
      <c r="H1253" s="204" t="s">
        <v>2276</v>
      </c>
      <c r="I1253" s="204">
        <v>500</v>
      </c>
      <c r="J1253" s="204" t="s">
        <v>2276</v>
      </c>
      <c r="K1253" s="204" t="s">
        <v>2276</v>
      </c>
      <c r="L1253" s="204" t="s">
        <v>2276</v>
      </c>
      <c r="M1253" s="204" t="s">
        <v>2276</v>
      </c>
      <c r="N1253" s="204" t="s">
        <v>2276</v>
      </c>
      <c r="O1253" s="204" t="s">
        <v>2276</v>
      </c>
      <c r="P1253" s="204" t="s">
        <v>2276</v>
      </c>
      <c r="Q1253" s="204" t="s">
        <v>2276</v>
      </c>
      <c r="R1253" s="204" t="s">
        <v>2276</v>
      </c>
      <c r="S1253" s="204" t="s">
        <v>2276</v>
      </c>
      <c r="T1253" s="204"/>
    </row>
    <row r="1254" spans="1:20" ht="33" customHeight="1">
      <c r="A1254" s="19" t="s">
        <v>8040</v>
      </c>
      <c r="B1254" s="204" t="s">
        <v>70</v>
      </c>
      <c r="C1254" s="204" t="s">
        <v>2645</v>
      </c>
      <c r="D1254" s="204" t="s">
        <v>2647</v>
      </c>
      <c r="E1254" s="204" t="s">
        <v>45</v>
      </c>
      <c r="F1254" s="204" t="s">
        <v>2276</v>
      </c>
      <c r="G1254" s="204" t="s">
        <v>2276</v>
      </c>
      <c r="H1254" s="204" t="s">
        <v>2276</v>
      </c>
      <c r="I1254" s="204">
        <v>500</v>
      </c>
      <c r="J1254" s="204" t="s">
        <v>2276</v>
      </c>
      <c r="K1254" s="204" t="s">
        <v>2276</v>
      </c>
      <c r="L1254" s="204" t="s">
        <v>2276</v>
      </c>
      <c r="M1254" s="204" t="s">
        <v>2276</v>
      </c>
      <c r="N1254" s="204" t="s">
        <v>2276</v>
      </c>
      <c r="O1254" s="204" t="s">
        <v>2276</v>
      </c>
      <c r="P1254" s="204" t="s">
        <v>2276</v>
      </c>
      <c r="Q1254" s="204" t="s">
        <v>2276</v>
      </c>
      <c r="R1254" s="204" t="s">
        <v>2276</v>
      </c>
      <c r="S1254" s="204" t="s">
        <v>2276</v>
      </c>
      <c r="T1254" s="204"/>
    </row>
    <row r="1255" spans="1:20" ht="33.5" customHeight="1">
      <c r="A1255" s="19" t="s">
        <v>8056</v>
      </c>
      <c r="B1255" s="204" t="s">
        <v>70</v>
      </c>
      <c r="C1255" s="204" t="s">
        <v>12</v>
      </c>
      <c r="D1255" s="204" t="s">
        <v>45</v>
      </c>
      <c r="E1255" s="204" t="s">
        <v>863</v>
      </c>
      <c r="F1255" s="204" t="s">
        <v>2276</v>
      </c>
      <c r="G1255" s="204" t="s">
        <v>2276</v>
      </c>
      <c r="H1255" s="204" t="s">
        <v>2276</v>
      </c>
      <c r="I1255" s="21">
        <f>49190/30/0.263</f>
        <v>6234.4740177439799</v>
      </c>
      <c r="J1255" s="204" t="s">
        <v>2276</v>
      </c>
      <c r="K1255" s="204" t="s">
        <v>534</v>
      </c>
      <c r="L1255" s="204" t="s">
        <v>2276</v>
      </c>
      <c r="M1255" s="204" t="s">
        <v>2276</v>
      </c>
      <c r="N1255" s="204" t="s">
        <v>2276</v>
      </c>
      <c r="O1255" s="21">
        <v>26.3</v>
      </c>
      <c r="P1255" s="204" t="s">
        <v>2276</v>
      </c>
      <c r="Q1255" s="204" t="s">
        <v>2276</v>
      </c>
      <c r="R1255" s="21">
        <v>73.7</v>
      </c>
      <c r="S1255" s="21">
        <v>1.7</v>
      </c>
      <c r="T1255" s="204"/>
    </row>
    <row r="1256" spans="1:20" ht="35.5" customHeight="1">
      <c r="A1256" s="19" t="s">
        <v>8063</v>
      </c>
      <c r="B1256" s="204" t="s">
        <v>32</v>
      </c>
      <c r="C1256" s="204" t="s">
        <v>2645</v>
      </c>
      <c r="D1256" s="204" t="s">
        <v>137</v>
      </c>
      <c r="E1256" s="204" t="s">
        <v>2276</v>
      </c>
      <c r="F1256" s="204" t="s">
        <v>2276</v>
      </c>
      <c r="G1256" s="204" t="s">
        <v>2276</v>
      </c>
      <c r="H1256" s="204" t="s">
        <v>2276</v>
      </c>
      <c r="I1256" s="204" t="s">
        <v>2276</v>
      </c>
      <c r="J1256" s="204" t="s">
        <v>2276</v>
      </c>
      <c r="K1256" s="204" t="s">
        <v>2276</v>
      </c>
      <c r="L1256" s="204" t="s">
        <v>2276</v>
      </c>
      <c r="M1256" s="204" t="s">
        <v>2276</v>
      </c>
      <c r="N1256" s="204" t="s">
        <v>2276</v>
      </c>
      <c r="O1256" s="204" t="s">
        <v>2276</v>
      </c>
      <c r="P1256" s="204" t="s">
        <v>2276</v>
      </c>
      <c r="Q1256" s="204" t="s">
        <v>2276</v>
      </c>
      <c r="R1256" s="204" t="s">
        <v>2276</v>
      </c>
      <c r="S1256" s="204" t="s">
        <v>2276</v>
      </c>
      <c r="T1256" s="204"/>
    </row>
    <row r="1257" spans="1:20" ht="33.5" customHeight="1">
      <c r="A1257" s="55" t="s">
        <v>8069</v>
      </c>
      <c r="B1257" s="38" t="s">
        <v>2276</v>
      </c>
      <c r="C1257" s="38" t="s">
        <v>12</v>
      </c>
      <c r="D1257" s="38" t="s">
        <v>45</v>
      </c>
      <c r="E1257" s="38" t="s">
        <v>2647</v>
      </c>
      <c r="F1257" s="38" t="s">
        <v>2276</v>
      </c>
      <c r="G1257" s="38" t="s">
        <v>2276</v>
      </c>
      <c r="H1257" s="38" t="s">
        <v>2276</v>
      </c>
      <c r="I1257" s="203">
        <f>(25*236+20*24)/45</f>
        <v>141.77777777777777</v>
      </c>
      <c r="J1257" s="38" t="s">
        <v>2276</v>
      </c>
      <c r="K1257" s="38" t="s">
        <v>2276</v>
      </c>
      <c r="L1257" s="38" t="s">
        <v>2276</v>
      </c>
      <c r="M1257" s="38" t="s">
        <v>2276</v>
      </c>
      <c r="N1257" s="38" t="s">
        <v>2276</v>
      </c>
      <c r="O1257" s="38" t="s">
        <v>2276</v>
      </c>
      <c r="P1257" s="38" t="s">
        <v>2276</v>
      </c>
      <c r="Q1257" s="38" t="s">
        <v>2276</v>
      </c>
      <c r="R1257" s="38" t="s">
        <v>2276</v>
      </c>
      <c r="S1257" s="38" t="s">
        <v>2276</v>
      </c>
      <c r="T1257" s="38"/>
    </row>
    <row r="1258" spans="1:20" ht="33" customHeight="1">
      <c r="A1258" s="19" t="s">
        <v>8076</v>
      </c>
      <c r="B1258" s="204" t="s">
        <v>70</v>
      </c>
      <c r="C1258" s="204" t="s">
        <v>12</v>
      </c>
      <c r="D1258" s="204" t="s">
        <v>45</v>
      </c>
      <c r="E1258" s="4" t="s">
        <v>3855</v>
      </c>
      <c r="F1258" s="204" t="s">
        <v>5801</v>
      </c>
      <c r="G1258" s="204" t="s">
        <v>2276</v>
      </c>
      <c r="H1258" s="21">
        <f>(0.15*165+36)/32.7</f>
        <v>1.8577981651376145</v>
      </c>
      <c r="I1258" s="204">
        <v>32.700000000000003</v>
      </c>
      <c r="J1258" s="204" t="s">
        <v>2276</v>
      </c>
      <c r="K1258" s="204" t="s">
        <v>2276</v>
      </c>
      <c r="L1258" s="204" t="s">
        <v>2276</v>
      </c>
      <c r="M1258" s="204" t="s">
        <v>2276</v>
      </c>
      <c r="N1258" s="204" t="s">
        <v>2276</v>
      </c>
      <c r="O1258" s="21">
        <f>(32.7*24)/125</f>
        <v>6.2784000000000004</v>
      </c>
      <c r="P1258" s="204" t="s">
        <v>2276</v>
      </c>
      <c r="Q1258" s="204" t="s">
        <v>2276</v>
      </c>
      <c r="R1258" s="204" t="s">
        <v>2276</v>
      </c>
      <c r="S1258" s="204" t="s">
        <v>2276</v>
      </c>
      <c r="T1258" s="204"/>
    </row>
    <row r="1259" spans="1:20" ht="49.5" customHeight="1">
      <c r="A1259" s="19" t="s">
        <v>8082</v>
      </c>
      <c r="B1259" s="204" t="s">
        <v>2276</v>
      </c>
      <c r="C1259" s="204" t="s">
        <v>395</v>
      </c>
      <c r="D1259" s="204" t="s">
        <v>5005</v>
      </c>
      <c r="E1259" s="4" t="s">
        <v>397</v>
      </c>
      <c r="F1259" s="4" t="s">
        <v>3854</v>
      </c>
      <c r="G1259" s="204" t="s">
        <v>2276</v>
      </c>
      <c r="H1259" s="204" t="s">
        <v>2276</v>
      </c>
      <c r="I1259" s="204" t="s">
        <v>2276</v>
      </c>
      <c r="J1259" s="204" t="s">
        <v>2276</v>
      </c>
      <c r="K1259" s="204" t="s">
        <v>534</v>
      </c>
      <c r="L1259" s="204" t="s">
        <v>2276</v>
      </c>
      <c r="M1259" s="204" t="s">
        <v>2276</v>
      </c>
      <c r="N1259" s="204" t="s">
        <v>2276</v>
      </c>
      <c r="O1259" s="204" t="s">
        <v>2276</v>
      </c>
      <c r="P1259" s="204" t="s">
        <v>2276</v>
      </c>
      <c r="Q1259" s="204" t="s">
        <v>2276</v>
      </c>
      <c r="R1259" s="204" t="s">
        <v>2276</v>
      </c>
      <c r="S1259" s="204" t="s">
        <v>2276</v>
      </c>
      <c r="T1259" s="204"/>
    </row>
    <row r="1260" spans="1:20" ht="50" customHeight="1">
      <c r="A1260" s="19" t="s">
        <v>8085</v>
      </c>
      <c r="B1260" s="204" t="s">
        <v>2276</v>
      </c>
      <c r="C1260" s="204" t="s">
        <v>12</v>
      </c>
      <c r="D1260" s="204" t="s">
        <v>5801</v>
      </c>
      <c r="E1260" s="204" t="s">
        <v>5005</v>
      </c>
      <c r="F1260" s="4" t="s">
        <v>397</v>
      </c>
      <c r="G1260" s="4" t="s">
        <v>3854</v>
      </c>
      <c r="H1260" s="204" t="s">
        <v>2276</v>
      </c>
      <c r="I1260" s="204" t="s">
        <v>2276</v>
      </c>
      <c r="J1260" s="204" t="s">
        <v>2276</v>
      </c>
      <c r="K1260" s="204" t="s">
        <v>534</v>
      </c>
      <c r="L1260" s="204" t="s">
        <v>2276</v>
      </c>
      <c r="M1260" s="204" t="s">
        <v>2276</v>
      </c>
      <c r="N1260" s="204" t="s">
        <v>2276</v>
      </c>
      <c r="O1260" s="204" t="s">
        <v>2276</v>
      </c>
      <c r="P1260" s="204" t="s">
        <v>2276</v>
      </c>
      <c r="Q1260" s="204" t="s">
        <v>2276</v>
      </c>
      <c r="R1260" s="204" t="s">
        <v>2276</v>
      </c>
      <c r="S1260" s="204" t="s">
        <v>2276</v>
      </c>
      <c r="T1260" s="204" t="s">
        <v>8087</v>
      </c>
    </row>
    <row r="1261" spans="1:20" ht="53.5" customHeight="1">
      <c r="A1261" s="19" t="s">
        <v>8095</v>
      </c>
      <c r="B1261" s="204" t="s">
        <v>70</v>
      </c>
      <c r="C1261" s="204" t="s">
        <v>12</v>
      </c>
      <c r="D1261" s="4" t="s">
        <v>3854</v>
      </c>
      <c r="E1261" s="4" t="s">
        <v>3855</v>
      </c>
      <c r="F1261" s="204" t="s">
        <v>45</v>
      </c>
      <c r="G1261" s="204" t="s">
        <v>2276</v>
      </c>
      <c r="H1261" s="21">
        <v>0.5</v>
      </c>
      <c r="I1261" s="204" t="s">
        <v>2276</v>
      </c>
      <c r="J1261" s="204" t="s">
        <v>2276</v>
      </c>
      <c r="K1261" s="204" t="s">
        <v>2276</v>
      </c>
      <c r="L1261" s="204" t="s">
        <v>2276</v>
      </c>
      <c r="M1261" s="204" t="s">
        <v>2276</v>
      </c>
      <c r="N1261" s="204" t="s">
        <v>2276</v>
      </c>
      <c r="O1261" s="204" t="s">
        <v>2276</v>
      </c>
      <c r="P1261" s="204" t="s">
        <v>2276</v>
      </c>
      <c r="Q1261" s="204" t="s">
        <v>2276</v>
      </c>
      <c r="R1261" s="204" t="s">
        <v>2276</v>
      </c>
      <c r="S1261" s="204" t="s">
        <v>2276</v>
      </c>
      <c r="T1261" s="204"/>
    </row>
    <row r="1262" spans="1:20" ht="39.5" customHeight="1">
      <c r="A1262" s="19" t="s">
        <v>8104</v>
      </c>
      <c r="B1262" s="4" t="s">
        <v>1197</v>
      </c>
      <c r="C1262" s="204" t="s">
        <v>12</v>
      </c>
      <c r="D1262" s="204" t="s">
        <v>137</v>
      </c>
      <c r="E1262" s="204" t="s">
        <v>45</v>
      </c>
      <c r="F1262" s="4" t="s">
        <v>396</v>
      </c>
      <c r="G1262" s="176" t="s">
        <v>5801</v>
      </c>
      <c r="H1262" s="204" t="s">
        <v>2276</v>
      </c>
      <c r="I1262" s="204" t="s">
        <v>2276</v>
      </c>
      <c r="J1262" s="204" t="s">
        <v>2276</v>
      </c>
      <c r="K1262" s="204" t="s">
        <v>2276</v>
      </c>
      <c r="L1262" s="204" t="s">
        <v>2276</v>
      </c>
      <c r="M1262" s="204" t="s">
        <v>2276</v>
      </c>
      <c r="N1262" s="204" t="s">
        <v>2276</v>
      </c>
      <c r="O1262" s="204" t="s">
        <v>2276</v>
      </c>
      <c r="P1262" s="204" t="s">
        <v>2276</v>
      </c>
      <c r="Q1262" s="204" t="s">
        <v>2276</v>
      </c>
      <c r="R1262" s="204" t="s">
        <v>2276</v>
      </c>
      <c r="S1262" s="204" t="s">
        <v>2276</v>
      </c>
      <c r="T1262" s="204" t="s">
        <v>8107</v>
      </c>
    </row>
    <row r="1263" spans="1:20" ht="32.5" customHeight="1">
      <c r="A1263" s="19" t="s">
        <v>8115</v>
      </c>
      <c r="B1263" s="4" t="s">
        <v>1197</v>
      </c>
      <c r="C1263" s="204" t="s">
        <v>12</v>
      </c>
      <c r="D1263" s="4" t="s">
        <v>396</v>
      </c>
      <c r="E1263" s="204" t="s">
        <v>2653</v>
      </c>
      <c r="F1263" s="204" t="s">
        <v>45</v>
      </c>
      <c r="G1263" s="204" t="s">
        <v>2276</v>
      </c>
      <c r="H1263" s="204" t="s">
        <v>2276</v>
      </c>
      <c r="I1263" s="204" t="s">
        <v>2276</v>
      </c>
      <c r="J1263" s="204" t="s">
        <v>2276</v>
      </c>
      <c r="K1263" s="204" t="s">
        <v>2276</v>
      </c>
      <c r="L1263" s="204" t="s">
        <v>2276</v>
      </c>
      <c r="M1263" s="204" t="s">
        <v>2276</v>
      </c>
      <c r="N1263" s="204" t="s">
        <v>2276</v>
      </c>
      <c r="O1263" s="204" t="s">
        <v>2276</v>
      </c>
      <c r="P1263" s="204" t="s">
        <v>2276</v>
      </c>
      <c r="Q1263" s="204" t="s">
        <v>2276</v>
      </c>
      <c r="R1263" s="21">
        <f>27884/'Record info'!K1263</f>
        <v>38.81511177928116</v>
      </c>
      <c r="S1263" s="204" t="s">
        <v>2276</v>
      </c>
      <c r="T1263" s="204"/>
    </row>
    <row r="1264" spans="1:20" ht="32.5" customHeight="1">
      <c r="A1264" s="19" t="s">
        <v>8122</v>
      </c>
      <c r="B1264" s="4" t="s">
        <v>1197</v>
      </c>
      <c r="C1264" s="204" t="s">
        <v>12</v>
      </c>
      <c r="D1264" s="204" t="s">
        <v>45</v>
      </c>
      <c r="E1264" s="204" t="s">
        <v>137</v>
      </c>
      <c r="F1264" s="4" t="s">
        <v>396</v>
      </c>
      <c r="G1264" s="204" t="s">
        <v>2276</v>
      </c>
      <c r="H1264" s="204" t="s">
        <v>2276</v>
      </c>
      <c r="I1264" s="204" t="s">
        <v>2276</v>
      </c>
      <c r="J1264" s="204" t="s">
        <v>2276</v>
      </c>
      <c r="K1264" s="204" t="s">
        <v>2276</v>
      </c>
      <c r="L1264" s="204" t="s">
        <v>2276</v>
      </c>
      <c r="M1264" s="204" t="s">
        <v>2276</v>
      </c>
      <c r="N1264" s="204" t="s">
        <v>2276</v>
      </c>
      <c r="O1264" s="204" t="s">
        <v>2276</v>
      </c>
      <c r="P1264" s="204" t="s">
        <v>2276</v>
      </c>
      <c r="Q1264" s="204" t="s">
        <v>2276</v>
      </c>
      <c r="R1264" s="21">
        <f>50640/'Record info'!K1264</f>
        <v>19.328244274809162</v>
      </c>
      <c r="S1264" s="204" t="s">
        <v>2276</v>
      </c>
      <c r="T1264" s="204"/>
    </row>
    <row r="1265" spans="1:20" ht="32.5" customHeight="1">
      <c r="A1265" s="19" t="s">
        <v>8123</v>
      </c>
      <c r="B1265" s="204" t="s">
        <v>32</v>
      </c>
      <c r="C1265" s="204" t="s">
        <v>12</v>
      </c>
      <c r="D1265" s="204" t="s">
        <v>45</v>
      </c>
      <c r="E1265" s="204" t="s">
        <v>137</v>
      </c>
      <c r="F1265" s="204" t="s">
        <v>2653</v>
      </c>
      <c r="G1265" s="4" t="s">
        <v>396</v>
      </c>
      <c r="H1265" s="204" t="s">
        <v>2276</v>
      </c>
      <c r="I1265" s="204" t="s">
        <v>2276</v>
      </c>
      <c r="J1265" s="204" t="s">
        <v>2276</v>
      </c>
      <c r="K1265" s="204" t="s">
        <v>2276</v>
      </c>
      <c r="L1265" s="204" t="s">
        <v>2276</v>
      </c>
      <c r="M1265" s="204" t="s">
        <v>2276</v>
      </c>
      <c r="N1265" s="204" t="s">
        <v>2276</v>
      </c>
      <c r="O1265" s="204" t="s">
        <v>2276</v>
      </c>
      <c r="P1265" s="204" t="s">
        <v>2276</v>
      </c>
      <c r="Q1265" s="204" t="s">
        <v>2276</v>
      </c>
      <c r="R1265" s="21">
        <f>24975/'Record info'!K1265</f>
        <v>4.8605475341114097</v>
      </c>
      <c r="S1265" s="204" t="s">
        <v>2276</v>
      </c>
      <c r="T1265" s="204"/>
    </row>
    <row r="1266" spans="1:20" ht="32.5" customHeight="1">
      <c r="A1266" s="19" t="s">
        <v>8124</v>
      </c>
      <c r="B1266" s="204" t="s">
        <v>32</v>
      </c>
      <c r="C1266" s="204" t="s">
        <v>12</v>
      </c>
      <c r="D1266" s="204" t="s">
        <v>137</v>
      </c>
      <c r="E1266" s="4" t="s">
        <v>396</v>
      </c>
      <c r="F1266" s="204" t="s">
        <v>2276</v>
      </c>
      <c r="G1266" s="204" t="s">
        <v>2276</v>
      </c>
      <c r="H1266" s="204" t="s">
        <v>2276</v>
      </c>
      <c r="I1266" s="204" t="s">
        <v>2276</v>
      </c>
      <c r="J1266" s="204" t="s">
        <v>2276</v>
      </c>
      <c r="K1266" s="204" t="s">
        <v>2276</v>
      </c>
      <c r="L1266" s="204" t="s">
        <v>2276</v>
      </c>
      <c r="M1266" s="204" t="s">
        <v>2276</v>
      </c>
      <c r="N1266" s="204" t="s">
        <v>2276</v>
      </c>
      <c r="O1266" s="204" t="s">
        <v>2276</v>
      </c>
      <c r="P1266" s="204" t="s">
        <v>2276</v>
      </c>
      <c r="Q1266" s="204" t="s">
        <v>2276</v>
      </c>
      <c r="R1266" s="21">
        <f>270000/'Record info'!K1266</f>
        <v>27.014560848297229</v>
      </c>
      <c r="S1266" s="204" t="s">
        <v>2276</v>
      </c>
      <c r="T1266" s="204"/>
    </row>
    <row r="1267" spans="1:20" ht="32.5" customHeight="1">
      <c r="A1267" s="19" t="s">
        <v>8158</v>
      </c>
      <c r="B1267" s="204" t="s">
        <v>69</v>
      </c>
      <c r="C1267" s="204" t="s">
        <v>395</v>
      </c>
      <c r="D1267" s="204" t="s">
        <v>116</v>
      </c>
      <c r="E1267" s="204" t="s">
        <v>2276</v>
      </c>
      <c r="F1267" s="204" t="s">
        <v>2276</v>
      </c>
      <c r="G1267" s="204" t="s">
        <v>2276</v>
      </c>
      <c r="H1267" s="204" t="s">
        <v>2276</v>
      </c>
      <c r="I1267" s="204" t="s">
        <v>2276</v>
      </c>
      <c r="J1267" s="204" t="s">
        <v>2276</v>
      </c>
      <c r="K1267" s="204" t="s">
        <v>2276</v>
      </c>
      <c r="L1267" s="204" t="s">
        <v>2276</v>
      </c>
      <c r="M1267" s="204" t="s">
        <v>2276</v>
      </c>
      <c r="N1267" s="204" t="s">
        <v>2276</v>
      </c>
      <c r="O1267" s="204" t="s">
        <v>2276</v>
      </c>
      <c r="P1267" s="204" t="s">
        <v>2276</v>
      </c>
      <c r="Q1267" s="204" t="s">
        <v>2276</v>
      </c>
      <c r="R1267" s="204" t="s">
        <v>2276</v>
      </c>
      <c r="S1267" s="204" t="s">
        <v>2276</v>
      </c>
      <c r="T1267" s="204"/>
    </row>
    <row r="1268" spans="1:20" ht="33.5" customHeight="1">
      <c r="A1268" s="19" t="s">
        <v>8167</v>
      </c>
      <c r="B1268" s="204" t="s">
        <v>69</v>
      </c>
      <c r="C1268" s="204" t="s">
        <v>395</v>
      </c>
      <c r="D1268" s="204" t="s">
        <v>130</v>
      </c>
      <c r="E1268" s="204" t="s">
        <v>116</v>
      </c>
      <c r="F1268" s="204" t="s">
        <v>45</v>
      </c>
      <c r="G1268" s="204" t="s">
        <v>2276</v>
      </c>
      <c r="H1268" s="204" t="s">
        <v>2276</v>
      </c>
      <c r="I1268" s="204" t="s">
        <v>2276</v>
      </c>
      <c r="J1268" s="204" t="s">
        <v>2276</v>
      </c>
      <c r="K1268" s="204" t="s">
        <v>2276</v>
      </c>
      <c r="L1268" s="204" t="s">
        <v>2276</v>
      </c>
      <c r="M1268" s="204" t="s">
        <v>2276</v>
      </c>
      <c r="N1268" s="204" t="s">
        <v>2276</v>
      </c>
      <c r="O1268" s="204" t="s">
        <v>2276</v>
      </c>
      <c r="P1268" s="204" t="s">
        <v>2276</v>
      </c>
      <c r="Q1268" s="204" t="s">
        <v>2276</v>
      </c>
      <c r="R1268" s="204" t="s">
        <v>2276</v>
      </c>
      <c r="S1268" s="204" t="s">
        <v>2276</v>
      </c>
      <c r="T1268" s="204"/>
    </row>
    <row r="1269" spans="1:20" ht="33.5" customHeight="1">
      <c r="A1269" s="19" t="s">
        <v>8168</v>
      </c>
      <c r="B1269" s="204" t="s">
        <v>69</v>
      </c>
      <c r="C1269" s="204" t="s">
        <v>395</v>
      </c>
      <c r="D1269" s="204" t="s">
        <v>130</v>
      </c>
      <c r="E1269" s="204" t="s">
        <v>116</v>
      </c>
      <c r="F1269" s="204" t="s">
        <v>45</v>
      </c>
      <c r="G1269" s="204" t="s">
        <v>2276</v>
      </c>
      <c r="H1269" s="204" t="s">
        <v>2276</v>
      </c>
      <c r="I1269" s="204" t="s">
        <v>2276</v>
      </c>
      <c r="J1269" s="204" t="s">
        <v>2276</v>
      </c>
      <c r="K1269" s="204" t="s">
        <v>2276</v>
      </c>
      <c r="L1269" s="204" t="s">
        <v>2276</v>
      </c>
      <c r="M1269" s="204" t="s">
        <v>2276</v>
      </c>
      <c r="N1269" s="204" t="s">
        <v>2276</v>
      </c>
      <c r="O1269" s="204" t="s">
        <v>2276</v>
      </c>
      <c r="P1269" s="204" t="s">
        <v>2276</v>
      </c>
      <c r="Q1269" s="204" t="s">
        <v>2276</v>
      </c>
      <c r="R1269" s="204" t="s">
        <v>2276</v>
      </c>
      <c r="S1269" s="204" t="s">
        <v>2276</v>
      </c>
      <c r="T1269" s="204"/>
    </row>
    <row r="1270" spans="1:20" ht="32.5" customHeight="1">
      <c r="A1270" s="19" t="s">
        <v>8191</v>
      </c>
      <c r="B1270" s="204" t="s">
        <v>2276</v>
      </c>
      <c r="C1270" s="204" t="s">
        <v>2646</v>
      </c>
      <c r="D1270" s="204" t="s">
        <v>137</v>
      </c>
      <c r="E1270" s="204" t="s">
        <v>2653</v>
      </c>
      <c r="F1270" s="204" t="s">
        <v>2276</v>
      </c>
      <c r="G1270" s="204" t="s">
        <v>2276</v>
      </c>
      <c r="H1270" s="204" t="s">
        <v>2276</v>
      </c>
      <c r="I1270" s="204" t="s">
        <v>2276</v>
      </c>
      <c r="J1270" s="204" t="s">
        <v>2276</v>
      </c>
      <c r="K1270" s="204" t="s">
        <v>2276</v>
      </c>
      <c r="L1270" s="204" t="s">
        <v>2276</v>
      </c>
      <c r="M1270" s="204" t="s">
        <v>2276</v>
      </c>
      <c r="N1270" s="204" t="s">
        <v>2276</v>
      </c>
      <c r="O1270" s="204" t="s">
        <v>2276</v>
      </c>
      <c r="P1270" s="204" t="s">
        <v>2276</v>
      </c>
      <c r="Q1270" s="204" t="s">
        <v>2276</v>
      </c>
      <c r="R1270" s="204" t="s">
        <v>2276</v>
      </c>
      <c r="S1270" s="204" t="s">
        <v>2276</v>
      </c>
      <c r="T1270" s="204"/>
    </row>
    <row r="1271" spans="1:20" ht="27" customHeight="1">
      <c r="A1271" s="19" t="s">
        <v>8202</v>
      </c>
      <c r="B1271" s="204" t="s">
        <v>32</v>
      </c>
      <c r="C1271" s="204" t="s">
        <v>2645</v>
      </c>
      <c r="D1271" s="204" t="s">
        <v>137</v>
      </c>
      <c r="E1271" s="204" t="s">
        <v>2652</v>
      </c>
      <c r="F1271" s="204" t="s">
        <v>2649</v>
      </c>
      <c r="G1271" s="204" t="s">
        <v>2276</v>
      </c>
      <c r="H1271" s="204" t="s">
        <v>2276</v>
      </c>
      <c r="I1271" s="204" t="s">
        <v>2276</v>
      </c>
      <c r="J1271" s="204" t="s">
        <v>2276</v>
      </c>
      <c r="K1271" s="204" t="s">
        <v>534</v>
      </c>
      <c r="L1271" s="204" t="s">
        <v>2276</v>
      </c>
      <c r="M1271" s="204" t="s">
        <v>2276</v>
      </c>
      <c r="N1271" s="204" t="s">
        <v>2276</v>
      </c>
      <c r="O1271" s="204" t="s">
        <v>2276</v>
      </c>
      <c r="P1271" s="204" t="s">
        <v>2276</v>
      </c>
      <c r="Q1271" s="204" t="s">
        <v>2276</v>
      </c>
      <c r="R1271" s="204" t="s">
        <v>2276</v>
      </c>
      <c r="S1271" s="204" t="s">
        <v>2276</v>
      </c>
      <c r="T1271" s="204"/>
    </row>
    <row r="1272" spans="1:20" ht="27" customHeight="1">
      <c r="A1272" s="19" t="s">
        <v>8208</v>
      </c>
      <c r="B1272" s="204" t="s">
        <v>32</v>
      </c>
      <c r="C1272" s="204" t="s">
        <v>2645</v>
      </c>
      <c r="D1272" s="204" t="s">
        <v>137</v>
      </c>
      <c r="E1272" s="204" t="s">
        <v>2652</v>
      </c>
      <c r="F1272" s="204" t="s">
        <v>2649</v>
      </c>
      <c r="G1272" s="204" t="s">
        <v>2276</v>
      </c>
      <c r="H1272" s="204" t="s">
        <v>2276</v>
      </c>
      <c r="I1272" s="204" t="s">
        <v>2276</v>
      </c>
      <c r="J1272" s="204" t="s">
        <v>2276</v>
      </c>
      <c r="K1272" s="204" t="s">
        <v>534</v>
      </c>
      <c r="L1272" s="204" t="s">
        <v>2276</v>
      </c>
      <c r="M1272" s="204" t="s">
        <v>2276</v>
      </c>
      <c r="N1272" s="204" t="s">
        <v>2276</v>
      </c>
      <c r="O1272" s="204" t="s">
        <v>2276</v>
      </c>
      <c r="P1272" s="204" t="s">
        <v>2276</v>
      </c>
      <c r="Q1272" s="204" t="s">
        <v>2276</v>
      </c>
      <c r="R1272" s="204" t="s">
        <v>2276</v>
      </c>
      <c r="S1272" s="204" t="s">
        <v>2276</v>
      </c>
      <c r="T1272" s="204"/>
    </row>
    <row r="1273" spans="1:20" ht="27" customHeight="1">
      <c r="A1273" s="19" t="s">
        <v>8209</v>
      </c>
      <c r="B1273" s="204" t="s">
        <v>32</v>
      </c>
      <c r="C1273" s="204" t="s">
        <v>2645</v>
      </c>
      <c r="D1273" s="204" t="s">
        <v>137</v>
      </c>
      <c r="E1273" s="204" t="s">
        <v>2652</v>
      </c>
      <c r="F1273" s="204" t="s">
        <v>2649</v>
      </c>
      <c r="G1273" s="204" t="s">
        <v>2276</v>
      </c>
      <c r="H1273" s="204" t="s">
        <v>2276</v>
      </c>
      <c r="I1273" s="204" t="s">
        <v>2276</v>
      </c>
      <c r="J1273" s="204" t="s">
        <v>2276</v>
      </c>
      <c r="K1273" s="204" t="s">
        <v>534</v>
      </c>
      <c r="L1273" s="204" t="s">
        <v>2276</v>
      </c>
      <c r="M1273" s="204" t="s">
        <v>2276</v>
      </c>
      <c r="N1273" s="204" t="s">
        <v>2276</v>
      </c>
      <c r="O1273" s="204" t="s">
        <v>2276</v>
      </c>
      <c r="P1273" s="204" t="s">
        <v>2276</v>
      </c>
      <c r="Q1273" s="204" t="s">
        <v>2276</v>
      </c>
      <c r="R1273" s="204" t="s">
        <v>2276</v>
      </c>
      <c r="S1273" s="204" t="s">
        <v>2276</v>
      </c>
      <c r="T1273" s="204"/>
    </row>
    <row r="1274" spans="1:20" ht="27" customHeight="1">
      <c r="A1274" s="19" t="s">
        <v>8210</v>
      </c>
      <c r="B1274" s="204" t="s">
        <v>32</v>
      </c>
      <c r="C1274" s="204" t="s">
        <v>2645</v>
      </c>
      <c r="D1274" s="204" t="s">
        <v>137</v>
      </c>
      <c r="E1274" s="204" t="s">
        <v>2652</v>
      </c>
      <c r="F1274" s="204" t="s">
        <v>2649</v>
      </c>
      <c r="G1274" s="204" t="s">
        <v>2276</v>
      </c>
      <c r="H1274" s="204" t="s">
        <v>2276</v>
      </c>
      <c r="I1274" s="204" t="s">
        <v>2276</v>
      </c>
      <c r="J1274" s="204" t="s">
        <v>2276</v>
      </c>
      <c r="K1274" s="204" t="s">
        <v>534</v>
      </c>
      <c r="L1274" s="204" t="s">
        <v>2276</v>
      </c>
      <c r="M1274" s="204" t="s">
        <v>2276</v>
      </c>
      <c r="N1274" s="204" t="s">
        <v>2276</v>
      </c>
      <c r="O1274" s="204" t="s">
        <v>2276</v>
      </c>
      <c r="P1274" s="204" t="s">
        <v>2276</v>
      </c>
      <c r="Q1274" s="204" t="s">
        <v>2276</v>
      </c>
      <c r="R1274" s="204" t="s">
        <v>2276</v>
      </c>
      <c r="S1274" s="204" t="s">
        <v>2276</v>
      </c>
      <c r="T1274" s="204"/>
    </row>
    <row r="1275" spans="1:20" ht="27" customHeight="1">
      <c r="A1275" s="19" t="s">
        <v>8217</v>
      </c>
      <c r="B1275" s="204" t="s">
        <v>32</v>
      </c>
      <c r="C1275" s="204" t="s">
        <v>2645</v>
      </c>
      <c r="D1275" s="204" t="s">
        <v>137</v>
      </c>
      <c r="E1275" s="204" t="s">
        <v>2652</v>
      </c>
      <c r="F1275" s="204" t="s">
        <v>2649</v>
      </c>
      <c r="G1275" s="204" t="s">
        <v>2276</v>
      </c>
      <c r="H1275" s="204" t="s">
        <v>2276</v>
      </c>
      <c r="I1275" s="204" t="s">
        <v>2276</v>
      </c>
      <c r="J1275" s="204" t="s">
        <v>2276</v>
      </c>
      <c r="K1275" s="204" t="s">
        <v>534</v>
      </c>
      <c r="L1275" s="204" t="s">
        <v>2276</v>
      </c>
      <c r="M1275" s="204" t="s">
        <v>2276</v>
      </c>
      <c r="N1275" s="204" t="s">
        <v>2276</v>
      </c>
      <c r="O1275" s="204" t="s">
        <v>2276</v>
      </c>
      <c r="P1275" s="204" t="s">
        <v>2276</v>
      </c>
      <c r="Q1275" s="204" t="s">
        <v>2276</v>
      </c>
      <c r="R1275" s="204" t="s">
        <v>2276</v>
      </c>
      <c r="S1275" s="204" t="s">
        <v>2276</v>
      </c>
      <c r="T1275" s="204"/>
    </row>
    <row r="1276" spans="1:20" ht="27" customHeight="1">
      <c r="A1276" s="19" t="s">
        <v>8218</v>
      </c>
      <c r="B1276" s="204" t="s">
        <v>32</v>
      </c>
      <c r="C1276" s="204" t="s">
        <v>2645</v>
      </c>
      <c r="D1276" s="204" t="s">
        <v>137</v>
      </c>
      <c r="E1276" s="204" t="s">
        <v>2652</v>
      </c>
      <c r="F1276" s="204" t="s">
        <v>2649</v>
      </c>
      <c r="G1276" s="204" t="s">
        <v>2276</v>
      </c>
      <c r="H1276" s="204" t="s">
        <v>2276</v>
      </c>
      <c r="I1276" s="204" t="s">
        <v>2276</v>
      </c>
      <c r="J1276" s="204" t="s">
        <v>2276</v>
      </c>
      <c r="K1276" s="204" t="s">
        <v>534</v>
      </c>
      <c r="L1276" s="204" t="s">
        <v>2276</v>
      </c>
      <c r="M1276" s="204" t="s">
        <v>2276</v>
      </c>
      <c r="N1276" s="204" t="s">
        <v>2276</v>
      </c>
      <c r="O1276" s="204" t="s">
        <v>2276</v>
      </c>
      <c r="P1276" s="204" t="s">
        <v>2276</v>
      </c>
      <c r="Q1276" s="204" t="s">
        <v>2276</v>
      </c>
      <c r="R1276" s="204" t="s">
        <v>2276</v>
      </c>
      <c r="S1276" s="204" t="s">
        <v>2276</v>
      </c>
      <c r="T1276" s="204"/>
    </row>
    <row r="1277" spans="1:20" ht="27" customHeight="1">
      <c r="A1277" s="19" t="s">
        <v>8219</v>
      </c>
      <c r="B1277" s="204" t="s">
        <v>32</v>
      </c>
      <c r="C1277" s="204" t="s">
        <v>2645</v>
      </c>
      <c r="D1277" s="204" t="s">
        <v>137</v>
      </c>
      <c r="E1277" s="204" t="s">
        <v>2652</v>
      </c>
      <c r="F1277" s="204" t="s">
        <v>2649</v>
      </c>
      <c r="G1277" s="204" t="s">
        <v>2276</v>
      </c>
      <c r="H1277" s="204" t="s">
        <v>2276</v>
      </c>
      <c r="I1277" s="204" t="s">
        <v>2276</v>
      </c>
      <c r="J1277" s="204" t="s">
        <v>2276</v>
      </c>
      <c r="K1277" s="204" t="s">
        <v>534</v>
      </c>
      <c r="L1277" s="204" t="s">
        <v>2276</v>
      </c>
      <c r="M1277" s="204" t="s">
        <v>2276</v>
      </c>
      <c r="N1277" s="204" t="s">
        <v>2276</v>
      </c>
      <c r="O1277" s="204" t="s">
        <v>2276</v>
      </c>
      <c r="P1277" s="204" t="s">
        <v>2276</v>
      </c>
      <c r="Q1277" s="204" t="s">
        <v>2276</v>
      </c>
      <c r="R1277" s="204" t="s">
        <v>2276</v>
      </c>
      <c r="S1277" s="204" t="s">
        <v>2276</v>
      </c>
      <c r="T1277" s="204"/>
    </row>
    <row r="1278" spans="1:20" ht="27" customHeight="1">
      <c r="A1278" s="19" t="s">
        <v>8236</v>
      </c>
      <c r="B1278" s="204" t="s">
        <v>32</v>
      </c>
      <c r="C1278" s="204" t="s">
        <v>2646</v>
      </c>
      <c r="D1278" s="204" t="s">
        <v>2652</v>
      </c>
      <c r="E1278" s="204" t="s">
        <v>116</v>
      </c>
      <c r="F1278" s="204" t="s">
        <v>2276</v>
      </c>
      <c r="G1278" s="204" t="s">
        <v>2276</v>
      </c>
      <c r="H1278" s="204" t="s">
        <v>2276</v>
      </c>
      <c r="I1278" s="204" t="s">
        <v>2276</v>
      </c>
      <c r="J1278" s="204" t="s">
        <v>2276</v>
      </c>
      <c r="K1278" s="204" t="s">
        <v>2276</v>
      </c>
      <c r="L1278" s="204" t="s">
        <v>2276</v>
      </c>
      <c r="M1278" s="204" t="s">
        <v>2276</v>
      </c>
      <c r="N1278" s="204" t="s">
        <v>2276</v>
      </c>
      <c r="O1278" s="204" t="s">
        <v>2276</v>
      </c>
      <c r="P1278" s="204" t="s">
        <v>2276</v>
      </c>
      <c r="Q1278" s="204" t="s">
        <v>2276</v>
      </c>
      <c r="R1278" s="204" t="s">
        <v>2276</v>
      </c>
      <c r="S1278" s="204" t="s">
        <v>2276</v>
      </c>
      <c r="T1278" s="204"/>
    </row>
    <row r="1279" spans="1:20" ht="27" customHeight="1">
      <c r="A1279" s="19" t="s">
        <v>8240</v>
      </c>
      <c r="B1279" s="204" t="s">
        <v>32</v>
      </c>
      <c r="C1279" s="204" t="s">
        <v>2646</v>
      </c>
      <c r="D1279" s="204" t="s">
        <v>2652</v>
      </c>
      <c r="E1279" s="204" t="s">
        <v>116</v>
      </c>
      <c r="F1279" s="204" t="s">
        <v>2276</v>
      </c>
      <c r="G1279" s="204" t="s">
        <v>2276</v>
      </c>
      <c r="H1279" s="204" t="s">
        <v>2276</v>
      </c>
      <c r="I1279" s="204" t="s">
        <v>2276</v>
      </c>
      <c r="J1279" s="204" t="s">
        <v>2276</v>
      </c>
      <c r="K1279" s="204" t="s">
        <v>2276</v>
      </c>
      <c r="L1279" s="204" t="s">
        <v>2276</v>
      </c>
      <c r="M1279" s="204" t="s">
        <v>2276</v>
      </c>
      <c r="N1279" s="204" t="s">
        <v>2276</v>
      </c>
      <c r="O1279" s="204" t="s">
        <v>2276</v>
      </c>
      <c r="P1279" s="204" t="s">
        <v>2276</v>
      </c>
      <c r="Q1279" s="204" t="s">
        <v>2276</v>
      </c>
      <c r="R1279" s="204" t="s">
        <v>2276</v>
      </c>
      <c r="S1279" s="204" t="s">
        <v>2276</v>
      </c>
      <c r="T1279" s="204"/>
    </row>
    <row r="1280" spans="1:20" ht="27" customHeight="1">
      <c r="A1280" s="19" t="s">
        <v>8241</v>
      </c>
      <c r="B1280" s="204" t="s">
        <v>32</v>
      </c>
      <c r="C1280" s="204" t="s">
        <v>2646</v>
      </c>
      <c r="D1280" s="204" t="s">
        <v>2652</v>
      </c>
      <c r="E1280" s="204" t="s">
        <v>116</v>
      </c>
      <c r="F1280" s="204" t="s">
        <v>2276</v>
      </c>
      <c r="G1280" s="204" t="s">
        <v>2276</v>
      </c>
      <c r="H1280" s="204" t="s">
        <v>2276</v>
      </c>
      <c r="I1280" s="204" t="s">
        <v>2276</v>
      </c>
      <c r="J1280" s="204" t="s">
        <v>2276</v>
      </c>
      <c r="K1280" s="204" t="s">
        <v>2276</v>
      </c>
      <c r="L1280" s="204" t="s">
        <v>2276</v>
      </c>
      <c r="M1280" s="204" t="s">
        <v>2276</v>
      </c>
      <c r="N1280" s="204" t="s">
        <v>2276</v>
      </c>
      <c r="O1280" s="204" t="s">
        <v>2276</v>
      </c>
      <c r="P1280" s="204" t="s">
        <v>2276</v>
      </c>
      <c r="Q1280" s="204" t="s">
        <v>2276</v>
      </c>
      <c r="R1280" s="204" t="s">
        <v>2276</v>
      </c>
      <c r="S1280" s="204" t="s">
        <v>2276</v>
      </c>
      <c r="T1280" s="204"/>
    </row>
    <row r="1281" spans="1:20" ht="27" customHeight="1">
      <c r="A1281" s="19" t="s">
        <v>8242</v>
      </c>
      <c r="B1281" s="204" t="s">
        <v>32</v>
      </c>
      <c r="C1281" s="204" t="s">
        <v>2646</v>
      </c>
      <c r="D1281" s="204" t="s">
        <v>2652</v>
      </c>
      <c r="E1281" s="204" t="s">
        <v>116</v>
      </c>
      <c r="F1281" s="204" t="s">
        <v>2276</v>
      </c>
      <c r="G1281" s="204" t="s">
        <v>2276</v>
      </c>
      <c r="H1281" s="204" t="s">
        <v>2276</v>
      </c>
      <c r="I1281" s="204" t="s">
        <v>2276</v>
      </c>
      <c r="J1281" s="204" t="s">
        <v>2276</v>
      </c>
      <c r="K1281" s="204" t="s">
        <v>2276</v>
      </c>
      <c r="L1281" s="204" t="s">
        <v>2276</v>
      </c>
      <c r="M1281" s="204" t="s">
        <v>2276</v>
      </c>
      <c r="N1281" s="204" t="s">
        <v>2276</v>
      </c>
      <c r="O1281" s="204" t="s">
        <v>2276</v>
      </c>
      <c r="P1281" s="204" t="s">
        <v>2276</v>
      </c>
      <c r="Q1281" s="204" t="s">
        <v>2276</v>
      </c>
      <c r="R1281" s="204" t="s">
        <v>2276</v>
      </c>
      <c r="S1281" s="204" t="s">
        <v>2276</v>
      </c>
      <c r="T1281" s="204"/>
    </row>
    <row r="1282" spans="1:20" ht="31" customHeight="1">
      <c r="A1282" s="19" t="s">
        <v>8257</v>
      </c>
      <c r="B1282" s="4" t="s">
        <v>1197</v>
      </c>
      <c r="C1282" s="204" t="s">
        <v>2646</v>
      </c>
      <c r="D1282" s="204" t="s">
        <v>116</v>
      </c>
      <c r="E1282" s="204" t="s">
        <v>137</v>
      </c>
      <c r="F1282" s="204" t="s">
        <v>2276</v>
      </c>
      <c r="G1282" s="204" t="s">
        <v>2276</v>
      </c>
      <c r="H1282" s="204" t="s">
        <v>2276</v>
      </c>
      <c r="I1282" s="204" t="s">
        <v>2276</v>
      </c>
      <c r="J1282" s="204" t="s">
        <v>2276</v>
      </c>
      <c r="K1282" s="204" t="s">
        <v>2276</v>
      </c>
      <c r="L1282" s="204" t="s">
        <v>2276</v>
      </c>
      <c r="M1282" s="204" t="s">
        <v>2276</v>
      </c>
      <c r="N1282" s="204" t="s">
        <v>2276</v>
      </c>
      <c r="O1282" s="204" t="s">
        <v>2276</v>
      </c>
      <c r="P1282" s="204" t="s">
        <v>2276</v>
      </c>
      <c r="Q1282" s="204" t="s">
        <v>2276</v>
      </c>
      <c r="R1282" s="204" t="s">
        <v>2276</v>
      </c>
      <c r="S1282" s="204" t="s">
        <v>2276</v>
      </c>
      <c r="T1282" s="204"/>
    </row>
    <row r="1283" spans="1:20" ht="34.5" customHeight="1">
      <c r="A1283" s="19" t="s">
        <v>8271</v>
      </c>
      <c r="B1283" s="204" t="s">
        <v>69</v>
      </c>
      <c r="C1283" s="204" t="s">
        <v>395</v>
      </c>
      <c r="D1283" s="204" t="s">
        <v>116</v>
      </c>
      <c r="E1283" s="204" t="s">
        <v>2276</v>
      </c>
      <c r="F1283" s="204" t="s">
        <v>2276</v>
      </c>
      <c r="G1283" s="204" t="s">
        <v>2276</v>
      </c>
      <c r="H1283" s="204" t="s">
        <v>2276</v>
      </c>
      <c r="I1283" s="204" t="s">
        <v>2276</v>
      </c>
      <c r="J1283" s="204" t="s">
        <v>2276</v>
      </c>
      <c r="K1283" s="204" t="s">
        <v>2276</v>
      </c>
      <c r="L1283" s="204" t="s">
        <v>2276</v>
      </c>
      <c r="M1283" s="204" t="s">
        <v>2276</v>
      </c>
      <c r="N1283" s="204" t="s">
        <v>2276</v>
      </c>
      <c r="O1283" s="204" t="s">
        <v>2276</v>
      </c>
      <c r="P1283" s="204" t="s">
        <v>2276</v>
      </c>
      <c r="Q1283" s="204" t="s">
        <v>2276</v>
      </c>
      <c r="R1283" s="204" t="s">
        <v>2276</v>
      </c>
      <c r="S1283" s="204" t="s">
        <v>2276</v>
      </c>
      <c r="T1283" s="204"/>
    </row>
    <row r="1284" spans="1:20" ht="29" customHeight="1">
      <c r="A1284" s="19" t="s">
        <v>8284</v>
      </c>
      <c r="B1284" s="204" t="s">
        <v>32</v>
      </c>
      <c r="C1284" s="204" t="s">
        <v>2646</v>
      </c>
      <c r="D1284" s="204" t="s">
        <v>116</v>
      </c>
      <c r="E1284" s="204" t="s">
        <v>137</v>
      </c>
      <c r="F1284" s="204" t="s">
        <v>3209</v>
      </c>
      <c r="G1284" s="204" t="s">
        <v>2276</v>
      </c>
      <c r="H1284" s="204" t="s">
        <v>2276</v>
      </c>
      <c r="I1284" s="204" t="s">
        <v>2276</v>
      </c>
      <c r="J1284" s="204" t="s">
        <v>2276</v>
      </c>
      <c r="K1284" s="204" t="s">
        <v>2276</v>
      </c>
      <c r="L1284" s="204" t="s">
        <v>2276</v>
      </c>
      <c r="M1284" s="204" t="s">
        <v>2276</v>
      </c>
      <c r="N1284" s="204" t="s">
        <v>2276</v>
      </c>
      <c r="O1284" s="204" t="s">
        <v>2276</v>
      </c>
      <c r="P1284" s="204" t="s">
        <v>2276</v>
      </c>
      <c r="Q1284" s="204" t="s">
        <v>2276</v>
      </c>
      <c r="R1284" s="204" t="s">
        <v>2276</v>
      </c>
      <c r="S1284" s="204" t="s">
        <v>2276</v>
      </c>
      <c r="T1284" s="204"/>
    </row>
    <row r="1285" spans="1:20" ht="29" customHeight="1">
      <c r="A1285" s="19" t="s">
        <v>8285</v>
      </c>
      <c r="B1285" s="204" t="s">
        <v>32</v>
      </c>
      <c r="C1285" s="204" t="s">
        <v>2646</v>
      </c>
      <c r="D1285" s="204" t="s">
        <v>116</v>
      </c>
      <c r="E1285" s="204" t="s">
        <v>137</v>
      </c>
      <c r="F1285" s="204" t="s">
        <v>3209</v>
      </c>
      <c r="G1285" s="204" t="s">
        <v>2276</v>
      </c>
      <c r="H1285" s="204" t="s">
        <v>2276</v>
      </c>
      <c r="I1285" s="204" t="s">
        <v>2276</v>
      </c>
      <c r="J1285" s="204" t="s">
        <v>2276</v>
      </c>
      <c r="K1285" s="204" t="s">
        <v>2276</v>
      </c>
      <c r="L1285" s="204" t="s">
        <v>2276</v>
      </c>
      <c r="M1285" s="204" t="s">
        <v>2276</v>
      </c>
      <c r="N1285" s="204" t="s">
        <v>2276</v>
      </c>
      <c r="O1285" s="204" t="s">
        <v>2276</v>
      </c>
      <c r="P1285" s="204" t="s">
        <v>2276</v>
      </c>
      <c r="Q1285" s="204" t="s">
        <v>2276</v>
      </c>
      <c r="R1285" s="204" t="s">
        <v>2276</v>
      </c>
      <c r="S1285" s="204" t="s">
        <v>2276</v>
      </c>
      <c r="T1285" s="204"/>
    </row>
    <row r="1286" spans="1:20" ht="29" customHeight="1">
      <c r="A1286" s="19" t="s">
        <v>8286</v>
      </c>
      <c r="B1286" s="204" t="s">
        <v>32</v>
      </c>
      <c r="C1286" s="204" t="s">
        <v>2646</v>
      </c>
      <c r="D1286" s="204" t="s">
        <v>116</v>
      </c>
      <c r="E1286" s="204" t="s">
        <v>137</v>
      </c>
      <c r="F1286" s="204" t="s">
        <v>3209</v>
      </c>
      <c r="G1286" s="204" t="s">
        <v>2276</v>
      </c>
      <c r="H1286" s="204" t="s">
        <v>2276</v>
      </c>
      <c r="I1286" s="204" t="s">
        <v>2276</v>
      </c>
      <c r="J1286" s="204" t="s">
        <v>2276</v>
      </c>
      <c r="K1286" s="204" t="s">
        <v>2276</v>
      </c>
      <c r="L1286" s="204" t="s">
        <v>2276</v>
      </c>
      <c r="M1286" s="204" t="s">
        <v>2276</v>
      </c>
      <c r="N1286" s="204" t="s">
        <v>2276</v>
      </c>
      <c r="O1286" s="204" t="s">
        <v>2276</v>
      </c>
      <c r="P1286" s="204" t="s">
        <v>2276</v>
      </c>
      <c r="Q1286" s="204" t="s">
        <v>2276</v>
      </c>
      <c r="R1286" s="204" t="s">
        <v>2276</v>
      </c>
      <c r="S1286" s="204" t="s">
        <v>2276</v>
      </c>
      <c r="T1286" s="204"/>
    </row>
    <row r="1287" spans="1:20" ht="37.5" customHeight="1">
      <c r="A1287" s="19" t="s">
        <v>8299</v>
      </c>
      <c r="B1287" s="204" t="s">
        <v>32</v>
      </c>
      <c r="C1287" s="204" t="s">
        <v>2645</v>
      </c>
      <c r="D1287" s="204" t="s">
        <v>116</v>
      </c>
      <c r="E1287" s="204" t="s">
        <v>2649</v>
      </c>
      <c r="F1287" s="4" t="s">
        <v>397</v>
      </c>
      <c r="G1287" s="204" t="s">
        <v>2653</v>
      </c>
      <c r="H1287" s="204" t="s">
        <v>2276</v>
      </c>
      <c r="I1287" s="204" t="s">
        <v>2276</v>
      </c>
      <c r="J1287" s="204" t="s">
        <v>2276</v>
      </c>
      <c r="K1287" s="204" t="s">
        <v>534</v>
      </c>
      <c r="L1287" s="204" t="s">
        <v>2276</v>
      </c>
      <c r="M1287" s="204" t="s">
        <v>2276</v>
      </c>
      <c r="N1287" s="204" t="s">
        <v>2276</v>
      </c>
      <c r="O1287" s="204" t="s">
        <v>2276</v>
      </c>
      <c r="P1287" s="204" t="s">
        <v>2276</v>
      </c>
      <c r="Q1287" s="204" t="s">
        <v>2276</v>
      </c>
      <c r="R1287" s="204" t="s">
        <v>2276</v>
      </c>
      <c r="S1287" s="204" t="s">
        <v>2276</v>
      </c>
      <c r="T1287" s="204"/>
    </row>
    <row r="1288" spans="1:20" ht="50" customHeight="1">
      <c r="A1288" s="19" t="s">
        <v>8314</v>
      </c>
      <c r="B1288" s="204" t="s">
        <v>2258</v>
      </c>
      <c r="C1288" s="204" t="s">
        <v>12</v>
      </c>
      <c r="D1288" s="4" t="s">
        <v>3854</v>
      </c>
      <c r="E1288" s="204" t="s">
        <v>2276</v>
      </c>
      <c r="F1288" s="204" t="s">
        <v>2276</v>
      </c>
      <c r="G1288" s="204" t="s">
        <v>2276</v>
      </c>
      <c r="H1288" s="204" t="s">
        <v>2276</v>
      </c>
      <c r="I1288" s="204" t="s">
        <v>2276</v>
      </c>
      <c r="J1288" s="204" t="s">
        <v>2276</v>
      </c>
      <c r="K1288" s="204" t="s">
        <v>2276</v>
      </c>
      <c r="L1288" s="204" t="s">
        <v>2276</v>
      </c>
      <c r="M1288" s="204" t="s">
        <v>2276</v>
      </c>
      <c r="N1288" s="204" t="s">
        <v>2276</v>
      </c>
      <c r="O1288" s="204" t="s">
        <v>2276</v>
      </c>
      <c r="P1288" s="204">
        <v>2.2000000000000002</v>
      </c>
      <c r="Q1288" s="204">
        <v>13.8</v>
      </c>
      <c r="R1288" s="204">
        <f>14.5+71.7</f>
        <v>86.2</v>
      </c>
      <c r="S1288" s="204" t="s">
        <v>2276</v>
      </c>
      <c r="T1288" s="204"/>
    </row>
    <row r="1289" spans="1:20" ht="50" customHeight="1">
      <c r="A1289" s="19" t="s">
        <v>8315</v>
      </c>
      <c r="B1289" s="204" t="s">
        <v>2258</v>
      </c>
      <c r="C1289" s="204" t="s">
        <v>12</v>
      </c>
      <c r="D1289" s="4" t="s">
        <v>3854</v>
      </c>
      <c r="E1289" s="204" t="s">
        <v>2276</v>
      </c>
      <c r="F1289" s="204" t="s">
        <v>2276</v>
      </c>
      <c r="G1289" s="204" t="s">
        <v>2276</v>
      </c>
      <c r="H1289" s="204" t="s">
        <v>2276</v>
      </c>
      <c r="I1289" s="204" t="s">
        <v>2276</v>
      </c>
      <c r="J1289" s="204" t="s">
        <v>2276</v>
      </c>
      <c r="K1289" s="204" t="s">
        <v>2276</v>
      </c>
      <c r="L1289" s="204" t="s">
        <v>2276</v>
      </c>
      <c r="M1289" s="204" t="s">
        <v>2276</v>
      </c>
      <c r="N1289" s="204" t="s">
        <v>2276</v>
      </c>
      <c r="O1289" s="204" t="s">
        <v>2276</v>
      </c>
      <c r="P1289" s="204">
        <v>2.4</v>
      </c>
      <c r="Q1289" s="21">
        <f>10</f>
        <v>10</v>
      </c>
      <c r="R1289" s="21">
        <f>80.7+6.9</f>
        <v>87.600000000000009</v>
      </c>
      <c r="S1289" s="204" t="s">
        <v>2276</v>
      </c>
      <c r="T1289" s="204"/>
    </row>
    <row r="1290" spans="1:20" ht="50" customHeight="1">
      <c r="A1290" s="19" t="s">
        <v>8318</v>
      </c>
      <c r="B1290" s="204" t="s">
        <v>2258</v>
      </c>
      <c r="C1290" s="204" t="s">
        <v>12</v>
      </c>
      <c r="D1290" s="4" t="s">
        <v>3854</v>
      </c>
      <c r="E1290" s="204" t="s">
        <v>2653</v>
      </c>
      <c r="F1290" s="204" t="s">
        <v>2276</v>
      </c>
      <c r="G1290" s="204" t="s">
        <v>2276</v>
      </c>
      <c r="H1290" s="204" t="s">
        <v>2276</v>
      </c>
      <c r="I1290" s="204" t="s">
        <v>2276</v>
      </c>
      <c r="J1290" s="204" t="s">
        <v>2276</v>
      </c>
      <c r="K1290" s="204" t="s">
        <v>2276</v>
      </c>
      <c r="L1290" s="204" t="s">
        <v>2276</v>
      </c>
      <c r="M1290" s="204" t="s">
        <v>2276</v>
      </c>
      <c r="N1290" s="204" t="s">
        <v>2276</v>
      </c>
      <c r="O1290" s="204" t="s">
        <v>2276</v>
      </c>
      <c r="P1290" s="204">
        <v>49.6</v>
      </c>
      <c r="Q1290" s="204">
        <v>4.3</v>
      </c>
      <c r="R1290" s="21">
        <f>6.5+39.6</f>
        <v>46.1</v>
      </c>
      <c r="S1290" s="204" t="s">
        <v>2276</v>
      </c>
      <c r="T1290" s="204" t="s">
        <v>8324</v>
      </c>
    </row>
    <row r="1291" spans="1:20" ht="50" customHeight="1">
      <c r="A1291" s="19" t="s">
        <v>8319</v>
      </c>
      <c r="B1291" s="204" t="s">
        <v>2258</v>
      </c>
      <c r="C1291" s="204" t="s">
        <v>12</v>
      </c>
      <c r="D1291" s="4" t="s">
        <v>3854</v>
      </c>
      <c r="E1291" s="204" t="s">
        <v>2653</v>
      </c>
      <c r="F1291" s="204" t="s">
        <v>2276</v>
      </c>
      <c r="G1291" s="204" t="s">
        <v>2276</v>
      </c>
      <c r="H1291" s="204" t="s">
        <v>2276</v>
      </c>
      <c r="I1291" s="204" t="s">
        <v>2276</v>
      </c>
      <c r="J1291" s="204" t="s">
        <v>2276</v>
      </c>
      <c r="K1291" s="204" t="s">
        <v>2276</v>
      </c>
      <c r="L1291" s="204" t="s">
        <v>2276</v>
      </c>
      <c r="M1291" s="204" t="s">
        <v>2276</v>
      </c>
      <c r="N1291" s="204" t="s">
        <v>2276</v>
      </c>
      <c r="O1291" s="204" t="s">
        <v>2276</v>
      </c>
      <c r="P1291" s="204">
        <v>30.6</v>
      </c>
      <c r="Q1291" s="204">
        <v>8.3000000000000007</v>
      </c>
      <c r="R1291" s="21">
        <f>57.6+2.2</f>
        <v>59.800000000000004</v>
      </c>
      <c r="S1291" s="204" t="s">
        <v>2276</v>
      </c>
      <c r="T1291" s="204" t="s">
        <v>8324</v>
      </c>
    </row>
    <row r="1292" spans="1:20" ht="50" customHeight="1">
      <c r="A1292" s="19" t="s">
        <v>8356</v>
      </c>
      <c r="B1292" s="204" t="s">
        <v>2258</v>
      </c>
      <c r="C1292" s="204" t="s">
        <v>12</v>
      </c>
      <c r="D1292" s="4" t="s">
        <v>3854</v>
      </c>
      <c r="E1292" s="204" t="s">
        <v>2653</v>
      </c>
      <c r="F1292" s="204" t="s">
        <v>2276</v>
      </c>
      <c r="G1292" s="204" t="s">
        <v>2276</v>
      </c>
      <c r="H1292" s="204" t="s">
        <v>2276</v>
      </c>
      <c r="I1292" s="204" t="s">
        <v>2276</v>
      </c>
      <c r="J1292" s="204" t="s">
        <v>2276</v>
      </c>
      <c r="K1292" s="204" t="s">
        <v>2276</v>
      </c>
      <c r="L1292" s="204" t="s">
        <v>2276</v>
      </c>
      <c r="M1292" s="204" t="s">
        <v>2276</v>
      </c>
      <c r="N1292" s="204" t="s">
        <v>2276</v>
      </c>
      <c r="O1292" s="204" t="s">
        <v>2276</v>
      </c>
      <c r="P1292" s="204" t="s">
        <v>2276</v>
      </c>
      <c r="Q1292" s="204" t="s">
        <v>2276</v>
      </c>
      <c r="R1292" s="204" t="s">
        <v>2276</v>
      </c>
      <c r="S1292" s="204" t="s">
        <v>2276</v>
      </c>
      <c r="T1292" s="11" t="s">
        <v>8360</v>
      </c>
    </row>
    <row r="1293" spans="1:20" ht="50" customHeight="1">
      <c r="A1293" s="19" t="s">
        <v>8357</v>
      </c>
      <c r="B1293" s="204" t="s">
        <v>2258</v>
      </c>
      <c r="C1293" s="204" t="s">
        <v>12</v>
      </c>
      <c r="D1293" s="4" t="s">
        <v>3854</v>
      </c>
      <c r="E1293" s="204" t="s">
        <v>2653</v>
      </c>
      <c r="F1293" s="204" t="s">
        <v>2276</v>
      </c>
      <c r="G1293" s="204" t="s">
        <v>2276</v>
      </c>
      <c r="H1293" s="204" t="s">
        <v>2276</v>
      </c>
      <c r="I1293" s="204" t="s">
        <v>2276</v>
      </c>
      <c r="J1293" s="204" t="s">
        <v>2276</v>
      </c>
      <c r="K1293" s="204" t="s">
        <v>2276</v>
      </c>
      <c r="L1293" s="204" t="s">
        <v>2276</v>
      </c>
      <c r="M1293" s="204" t="s">
        <v>2276</v>
      </c>
      <c r="N1293" s="204" t="s">
        <v>2276</v>
      </c>
      <c r="O1293" s="204" t="s">
        <v>2276</v>
      </c>
      <c r="P1293" s="204" t="s">
        <v>2276</v>
      </c>
      <c r="Q1293" s="204" t="s">
        <v>2276</v>
      </c>
      <c r="R1293" s="204" t="s">
        <v>2276</v>
      </c>
      <c r="S1293" s="204" t="s">
        <v>2276</v>
      </c>
      <c r="T1293" s="11" t="s">
        <v>8361</v>
      </c>
    </row>
    <row r="1294" spans="1:20" ht="50" customHeight="1">
      <c r="A1294" s="19" t="s">
        <v>8355</v>
      </c>
      <c r="B1294" s="204" t="s">
        <v>2276</v>
      </c>
      <c r="C1294" s="204" t="s">
        <v>12</v>
      </c>
      <c r="D1294" s="4" t="s">
        <v>396</v>
      </c>
      <c r="E1294" s="204" t="s">
        <v>2276</v>
      </c>
      <c r="F1294" s="204" t="s">
        <v>2276</v>
      </c>
      <c r="G1294" s="204" t="s">
        <v>2276</v>
      </c>
      <c r="H1294" s="204" t="s">
        <v>2276</v>
      </c>
      <c r="I1294" s="204" t="s">
        <v>2276</v>
      </c>
      <c r="J1294" s="204" t="s">
        <v>2276</v>
      </c>
      <c r="K1294" s="204" t="s">
        <v>2276</v>
      </c>
      <c r="L1294" s="204" t="s">
        <v>2276</v>
      </c>
      <c r="M1294" s="204" t="s">
        <v>2276</v>
      </c>
      <c r="N1294" s="204" t="s">
        <v>2276</v>
      </c>
      <c r="O1294" s="204" t="s">
        <v>2276</v>
      </c>
      <c r="P1294" s="204" t="s">
        <v>2276</v>
      </c>
      <c r="Q1294" s="204" t="s">
        <v>2276</v>
      </c>
      <c r="R1294" s="204" t="s">
        <v>2276</v>
      </c>
      <c r="S1294" s="204" t="s">
        <v>2276</v>
      </c>
      <c r="T1294" s="204"/>
    </row>
    <row r="1295" spans="1:20" ht="50" customHeight="1">
      <c r="A1295" s="19" t="s">
        <v>8384</v>
      </c>
      <c r="B1295" s="204" t="s">
        <v>2276</v>
      </c>
      <c r="C1295" s="204" t="s">
        <v>12</v>
      </c>
      <c r="D1295" s="4" t="s">
        <v>396</v>
      </c>
      <c r="E1295" s="204" t="s">
        <v>2276</v>
      </c>
      <c r="F1295" s="204" t="s">
        <v>2276</v>
      </c>
      <c r="G1295" s="204" t="s">
        <v>2276</v>
      </c>
      <c r="H1295" s="204" t="s">
        <v>2276</v>
      </c>
      <c r="I1295" s="204" t="s">
        <v>2276</v>
      </c>
      <c r="J1295" s="204" t="s">
        <v>2276</v>
      </c>
      <c r="K1295" s="204" t="s">
        <v>2276</v>
      </c>
      <c r="L1295" s="204" t="s">
        <v>2276</v>
      </c>
      <c r="M1295" s="204" t="s">
        <v>2276</v>
      </c>
      <c r="N1295" s="204" t="s">
        <v>2276</v>
      </c>
      <c r="O1295" s="204" t="s">
        <v>2276</v>
      </c>
      <c r="P1295" s="204" t="s">
        <v>2276</v>
      </c>
      <c r="Q1295" s="204" t="s">
        <v>2276</v>
      </c>
      <c r="R1295" s="204" t="s">
        <v>2276</v>
      </c>
      <c r="S1295" s="204" t="s">
        <v>2276</v>
      </c>
      <c r="T1295" s="204"/>
    </row>
    <row r="1296" spans="1:20" ht="43.5" customHeight="1">
      <c r="A1296" s="19" t="s">
        <v>8390</v>
      </c>
      <c r="B1296" s="204" t="s">
        <v>2276</v>
      </c>
      <c r="C1296" s="204" t="s">
        <v>12</v>
      </c>
      <c r="D1296" s="4" t="s">
        <v>396</v>
      </c>
      <c r="E1296" s="4" t="s">
        <v>397</v>
      </c>
      <c r="F1296" s="204" t="s">
        <v>2276</v>
      </c>
      <c r="G1296" s="204" t="s">
        <v>2276</v>
      </c>
      <c r="H1296" s="204" t="s">
        <v>2276</v>
      </c>
      <c r="I1296" s="204" t="s">
        <v>2276</v>
      </c>
      <c r="J1296" s="204" t="s">
        <v>2276</v>
      </c>
      <c r="K1296" s="204" t="s">
        <v>2276</v>
      </c>
      <c r="L1296" s="204" t="s">
        <v>2276</v>
      </c>
      <c r="M1296" s="204" t="s">
        <v>2276</v>
      </c>
      <c r="N1296" s="204" t="s">
        <v>2276</v>
      </c>
      <c r="O1296" s="204" t="s">
        <v>2276</v>
      </c>
      <c r="P1296" s="204" t="s">
        <v>2276</v>
      </c>
      <c r="Q1296" s="204" t="s">
        <v>2276</v>
      </c>
      <c r="R1296" s="204" t="s">
        <v>2276</v>
      </c>
      <c r="S1296" s="204" t="s">
        <v>2276</v>
      </c>
      <c r="T1296" s="204"/>
    </row>
    <row r="1297" spans="1:20" ht="42" customHeight="1">
      <c r="A1297" s="19" t="s">
        <v>8416</v>
      </c>
      <c r="B1297" s="204" t="s">
        <v>2276</v>
      </c>
      <c r="C1297" s="204" t="s">
        <v>2645</v>
      </c>
      <c r="D1297" s="204" t="s">
        <v>84</v>
      </c>
      <c r="E1297" s="204" t="s">
        <v>2276</v>
      </c>
      <c r="F1297" s="204" t="s">
        <v>2276</v>
      </c>
      <c r="G1297" s="204" t="s">
        <v>2276</v>
      </c>
      <c r="H1297" s="204" t="s">
        <v>2276</v>
      </c>
      <c r="I1297" s="204" t="s">
        <v>2276</v>
      </c>
      <c r="J1297" s="204" t="s">
        <v>2276</v>
      </c>
      <c r="K1297" s="204" t="s">
        <v>2276</v>
      </c>
      <c r="L1297" s="204" t="s">
        <v>2276</v>
      </c>
      <c r="M1297" s="204" t="s">
        <v>2276</v>
      </c>
      <c r="N1297" s="204" t="s">
        <v>2276</v>
      </c>
      <c r="O1297" s="204" t="s">
        <v>2276</v>
      </c>
      <c r="P1297" s="204" t="s">
        <v>2276</v>
      </c>
      <c r="Q1297" s="204" t="s">
        <v>2276</v>
      </c>
      <c r="R1297" s="204" t="s">
        <v>2276</v>
      </c>
      <c r="S1297" s="204" t="s">
        <v>2276</v>
      </c>
      <c r="T1297" s="204"/>
    </row>
    <row r="1298" spans="1:20" ht="37" customHeight="1">
      <c r="A1298" s="19" t="s">
        <v>8421</v>
      </c>
      <c r="B1298" s="204" t="s">
        <v>2276</v>
      </c>
      <c r="C1298" s="204" t="s">
        <v>2645</v>
      </c>
      <c r="D1298" s="204" t="s">
        <v>84</v>
      </c>
      <c r="E1298" s="204" t="s">
        <v>2276</v>
      </c>
      <c r="F1298" s="204" t="s">
        <v>2276</v>
      </c>
      <c r="G1298" s="204" t="s">
        <v>2276</v>
      </c>
      <c r="H1298" s="204" t="s">
        <v>2276</v>
      </c>
      <c r="I1298" s="204" t="s">
        <v>2276</v>
      </c>
      <c r="J1298" s="204" t="s">
        <v>2276</v>
      </c>
      <c r="K1298" s="204" t="s">
        <v>2276</v>
      </c>
      <c r="L1298" s="204" t="s">
        <v>2276</v>
      </c>
      <c r="M1298" s="204" t="s">
        <v>2276</v>
      </c>
      <c r="N1298" s="204" t="s">
        <v>2276</v>
      </c>
      <c r="O1298" s="204" t="s">
        <v>2276</v>
      </c>
      <c r="P1298" s="204" t="s">
        <v>2276</v>
      </c>
      <c r="Q1298" s="204" t="s">
        <v>2276</v>
      </c>
      <c r="R1298" s="204" t="s">
        <v>2276</v>
      </c>
      <c r="S1298" s="204" t="s">
        <v>2276</v>
      </c>
      <c r="T1298" s="204"/>
    </row>
    <row r="1299" spans="1:20" ht="36.5" customHeight="1">
      <c r="A1299" s="19" t="s">
        <v>8425</v>
      </c>
      <c r="B1299" s="204" t="s">
        <v>2276</v>
      </c>
      <c r="C1299" s="204" t="s">
        <v>2645</v>
      </c>
      <c r="D1299" s="204" t="s">
        <v>84</v>
      </c>
      <c r="E1299" s="204" t="s">
        <v>2276</v>
      </c>
      <c r="F1299" s="204" t="s">
        <v>2276</v>
      </c>
      <c r="G1299" s="204" t="s">
        <v>2276</v>
      </c>
      <c r="H1299" s="204" t="s">
        <v>2276</v>
      </c>
      <c r="I1299" s="204" t="s">
        <v>2276</v>
      </c>
      <c r="J1299" s="204" t="s">
        <v>2276</v>
      </c>
      <c r="K1299" s="204" t="s">
        <v>2276</v>
      </c>
      <c r="L1299" s="204" t="s">
        <v>2276</v>
      </c>
      <c r="M1299" s="204" t="s">
        <v>2276</v>
      </c>
      <c r="N1299" s="204" t="s">
        <v>2276</v>
      </c>
      <c r="O1299" s="204" t="s">
        <v>2276</v>
      </c>
      <c r="P1299" s="204" t="s">
        <v>2276</v>
      </c>
      <c r="Q1299" s="204" t="s">
        <v>2276</v>
      </c>
      <c r="R1299" s="204" t="s">
        <v>2276</v>
      </c>
      <c r="S1299" s="204" t="s">
        <v>2276</v>
      </c>
      <c r="T1299" s="204"/>
    </row>
    <row r="1300" spans="1:20" ht="32.5" customHeight="1">
      <c r="A1300" s="151" t="s">
        <v>8434</v>
      </c>
      <c r="B1300" s="38" t="s">
        <v>2276</v>
      </c>
      <c r="C1300" s="38" t="s">
        <v>2645</v>
      </c>
      <c r="D1300" s="38" t="s">
        <v>84</v>
      </c>
      <c r="E1300" s="38" t="s">
        <v>2276</v>
      </c>
      <c r="F1300" s="38" t="s">
        <v>2276</v>
      </c>
      <c r="G1300" s="38" t="s">
        <v>2276</v>
      </c>
      <c r="H1300" s="38" t="s">
        <v>2276</v>
      </c>
      <c r="I1300" s="38" t="s">
        <v>2276</v>
      </c>
      <c r="J1300" s="38" t="s">
        <v>2276</v>
      </c>
      <c r="K1300" s="38" t="s">
        <v>2276</v>
      </c>
      <c r="L1300" s="38" t="s">
        <v>2276</v>
      </c>
      <c r="M1300" s="38" t="s">
        <v>2276</v>
      </c>
      <c r="N1300" s="38" t="s">
        <v>2276</v>
      </c>
      <c r="O1300" s="38" t="s">
        <v>2276</v>
      </c>
      <c r="P1300" s="38" t="s">
        <v>2276</v>
      </c>
      <c r="Q1300" s="38" t="s">
        <v>2276</v>
      </c>
      <c r="R1300" s="38" t="s">
        <v>2276</v>
      </c>
      <c r="S1300" s="38" t="s">
        <v>2276</v>
      </c>
      <c r="T1300" s="38"/>
    </row>
    <row r="1301" spans="1:20" ht="41" customHeight="1">
      <c r="A1301" s="19" t="s">
        <v>8439</v>
      </c>
      <c r="B1301" s="204" t="s">
        <v>2276</v>
      </c>
      <c r="C1301" s="204" t="s">
        <v>12</v>
      </c>
      <c r="D1301" s="4" t="s">
        <v>397</v>
      </c>
      <c r="E1301" s="4" t="s">
        <v>396</v>
      </c>
      <c r="F1301" s="4" t="s">
        <v>130</v>
      </c>
      <c r="G1301" s="204" t="s">
        <v>2276</v>
      </c>
      <c r="H1301" s="204" t="s">
        <v>2276</v>
      </c>
      <c r="I1301" s="204">
        <v>13</v>
      </c>
      <c r="J1301" s="204" t="s">
        <v>2276</v>
      </c>
      <c r="K1301" s="204" t="s">
        <v>2276</v>
      </c>
      <c r="L1301" s="204" t="s">
        <v>2276</v>
      </c>
      <c r="M1301" s="204" t="s">
        <v>2276</v>
      </c>
      <c r="N1301" s="204" t="s">
        <v>2276</v>
      </c>
      <c r="O1301" s="204" t="s">
        <v>2276</v>
      </c>
      <c r="P1301" s="204" t="s">
        <v>2276</v>
      </c>
      <c r="Q1301" s="204" t="s">
        <v>2276</v>
      </c>
      <c r="R1301" s="204" t="s">
        <v>2276</v>
      </c>
      <c r="S1301" s="204" t="s">
        <v>2276</v>
      </c>
      <c r="T1301" s="204"/>
    </row>
    <row r="1302" spans="1:20" ht="40" customHeight="1">
      <c r="A1302" s="19" t="s">
        <v>8451</v>
      </c>
      <c r="B1302" s="204" t="s">
        <v>2276</v>
      </c>
      <c r="C1302" s="204" t="s">
        <v>12</v>
      </c>
      <c r="D1302" s="4" t="s">
        <v>397</v>
      </c>
      <c r="E1302" s="204" t="s">
        <v>2276</v>
      </c>
      <c r="F1302" s="204" t="s">
        <v>2276</v>
      </c>
      <c r="G1302" s="204" t="s">
        <v>2276</v>
      </c>
      <c r="H1302" s="204" t="s">
        <v>2276</v>
      </c>
      <c r="I1302" s="204" t="s">
        <v>2276</v>
      </c>
      <c r="J1302" s="204" t="s">
        <v>2276</v>
      </c>
      <c r="K1302" s="204" t="s">
        <v>2276</v>
      </c>
      <c r="L1302" s="204" t="s">
        <v>2276</v>
      </c>
      <c r="M1302" s="204" t="s">
        <v>2276</v>
      </c>
      <c r="N1302" s="204" t="s">
        <v>2276</v>
      </c>
      <c r="O1302" s="204" t="s">
        <v>2276</v>
      </c>
      <c r="P1302" s="204" t="s">
        <v>2276</v>
      </c>
      <c r="Q1302" s="204" t="s">
        <v>2276</v>
      </c>
      <c r="R1302" s="204" t="s">
        <v>2276</v>
      </c>
      <c r="S1302" s="204" t="s">
        <v>2276</v>
      </c>
      <c r="T1302" s="204"/>
    </row>
    <row r="1303" spans="1:20" ht="34.5" customHeight="1">
      <c r="A1303" s="151" t="s">
        <v>8461</v>
      </c>
      <c r="B1303" s="38" t="s">
        <v>2276</v>
      </c>
      <c r="C1303" s="38" t="s">
        <v>12</v>
      </c>
      <c r="D1303" s="168" t="s">
        <v>396</v>
      </c>
      <c r="E1303" s="38" t="s">
        <v>2276</v>
      </c>
      <c r="F1303" s="38" t="s">
        <v>2276</v>
      </c>
      <c r="G1303" s="38" t="s">
        <v>2276</v>
      </c>
      <c r="H1303" s="38" t="s">
        <v>2276</v>
      </c>
      <c r="I1303" s="38" t="s">
        <v>2276</v>
      </c>
      <c r="J1303" s="38" t="s">
        <v>2276</v>
      </c>
      <c r="K1303" s="38" t="s">
        <v>2276</v>
      </c>
      <c r="L1303" s="38" t="s">
        <v>2276</v>
      </c>
      <c r="M1303" s="38" t="s">
        <v>2276</v>
      </c>
      <c r="N1303" s="4">
        <v>0</v>
      </c>
      <c r="O1303" s="4">
        <v>0</v>
      </c>
      <c r="P1303" s="73">
        <v>100</v>
      </c>
      <c r="Q1303" s="4">
        <v>0</v>
      </c>
      <c r="R1303" s="4">
        <v>0</v>
      </c>
      <c r="S1303" s="4">
        <v>0</v>
      </c>
      <c r="T1303" s="38"/>
    </row>
    <row r="1304" spans="1:20" ht="38" customHeight="1">
      <c r="A1304" s="55" t="s">
        <v>8465</v>
      </c>
      <c r="B1304" s="38" t="s">
        <v>2276</v>
      </c>
      <c r="C1304" s="38" t="s">
        <v>12</v>
      </c>
      <c r="D1304" s="168" t="s">
        <v>396</v>
      </c>
      <c r="E1304" s="38" t="s">
        <v>2276</v>
      </c>
      <c r="F1304" s="38" t="s">
        <v>2276</v>
      </c>
      <c r="G1304" s="38" t="s">
        <v>2276</v>
      </c>
      <c r="H1304" s="38" t="s">
        <v>2276</v>
      </c>
      <c r="I1304" s="38" t="s">
        <v>2276</v>
      </c>
      <c r="J1304" s="38" t="s">
        <v>2276</v>
      </c>
      <c r="K1304" s="38" t="s">
        <v>2276</v>
      </c>
      <c r="L1304" s="38" t="s">
        <v>2276</v>
      </c>
      <c r="M1304" s="38" t="s">
        <v>2276</v>
      </c>
      <c r="N1304" s="4">
        <v>0</v>
      </c>
      <c r="O1304" s="4">
        <v>0</v>
      </c>
      <c r="P1304" s="73">
        <v>100</v>
      </c>
      <c r="Q1304" s="4">
        <v>0</v>
      </c>
      <c r="R1304" s="4">
        <v>0</v>
      </c>
      <c r="S1304" s="4">
        <v>0</v>
      </c>
      <c r="T1304" s="38"/>
    </row>
    <row r="1305" spans="1:20" ht="40" customHeight="1">
      <c r="A1305" s="19" t="s">
        <v>8472</v>
      </c>
      <c r="B1305" s="204" t="s">
        <v>2276</v>
      </c>
      <c r="C1305" s="204" t="s">
        <v>2645</v>
      </c>
      <c r="D1305" s="204" t="s">
        <v>84</v>
      </c>
      <c r="E1305" s="4" t="s">
        <v>396</v>
      </c>
      <c r="F1305" s="204" t="s">
        <v>2276</v>
      </c>
      <c r="G1305" s="204" t="s">
        <v>2276</v>
      </c>
      <c r="H1305" s="204" t="s">
        <v>2276</v>
      </c>
      <c r="I1305" s="204" t="s">
        <v>2276</v>
      </c>
      <c r="J1305" s="204" t="s">
        <v>2276</v>
      </c>
      <c r="K1305" s="204" t="s">
        <v>2276</v>
      </c>
      <c r="L1305" s="204" t="s">
        <v>2276</v>
      </c>
      <c r="M1305" s="204" t="s">
        <v>2276</v>
      </c>
      <c r="N1305" s="4">
        <v>0</v>
      </c>
      <c r="O1305" s="4">
        <v>0</v>
      </c>
      <c r="P1305" s="21">
        <v>100</v>
      </c>
      <c r="Q1305" s="4">
        <v>0</v>
      </c>
      <c r="R1305" s="4">
        <v>0</v>
      </c>
      <c r="S1305" s="4">
        <v>0</v>
      </c>
      <c r="T1305" s="204"/>
    </row>
    <row r="1306" spans="1:20" ht="39" customHeight="1">
      <c r="A1306" s="19" t="s">
        <v>8474</v>
      </c>
      <c r="B1306" s="204" t="s">
        <v>2276</v>
      </c>
      <c r="C1306" s="204" t="s">
        <v>2276</v>
      </c>
      <c r="D1306" s="204" t="s">
        <v>2653</v>
      </c>
      <c r="E1306" s="204" t="s">
        <v>2276</v>
      </c>
      <c r="F1306" s="204" t="s">
        <v>2276</v>
      </c>
      <c r="G1306" s="204" t="s">
        <v>2276</v>
      </c>
      <c r="H1306" s="204" t="s">
        <v>2276</v>
      </c>
      <c r="I1306" s="204" t="s">
        <v>2276</v>
      </c>
      <c r="J1306" s="204" t="s">
        <v>2276</v>
      </c>
      <c r="K1306" s="204" t="s">
        <v>2276</v>
      </c>
      <c r="L1306" s="204" t="s">
        <v>2276</v>
      </c>
      <c r="M1306" s="204" t="s">
        <v>2276</v>
      </c>
      <c r="N1306" s="204" t="s">
        <v>2276</v>
      </c>
      <c r="O1306" s="204" t="s">
        <v>2276</v>
      </c>
      <c r="P1306" s="204" t="s">
        <v>2276</v>
      </c>
      <c r="Q1306" s="204" t="s">
        <v>2276</v>
      </c>
      <c r="R1306" s="204" t="s">
        <v>2276</v>
      </c>
      <c r="S1306" s="204" t="s">
        <v>2276</v>
      </c>
      <c r="T1306" s="204"/>
    </row>
    <row r="1307" spans="1:20" ht="29">
      <c r="A1307" s="19" t="s">
        <v>8475</v>
      </c>
      <c r="B1307" s="204" t="s">
        <v>2276</v>
      </c>
      <c r="C1307" s="204" t="s">
        <v>2645</v>
      </c>
      <c r="D1307" s="204" t="s">
        <v>84</v>
      </c>
      <c r="E1307" s="4" t="s">
        <v>396</v>
      </c>
      <c r="F1307" s="204" t="s">
        <v>2276</v>
      </c>
      <c r="G1307" s="204" t="s">
        <v>2276</v>
      </c>
      <c r="H1307" s="204" t="s">
        <v>2276</v>
      </c>
      <c r="I1307" s="204" t="s">
        <v>2276</v>
      </c>
      <c r="J1307" s="204" t="s">
        <v>2276</v>
      </c>
      <c r="K1307" s="204" t="s">
        <v>2276</v>
      </c>
      <c r="L1307" s="204" t="s">
        <v>2276</v>
      </c>
      <c r="M1307" s="204" t="s">
        <v>2276</v>
      </c>
      <c r="N1307" s="4">
        <v>0</v>
      </c>
      <c r="O1307" s="4">
        <v>0</v>
      </c>
      <c r="P1307" s="21">
        <v>100</v>
      </c>
      <c r="Q1307" s="4">
        <v>0</v>
      </c>
      <c r="R1307" s="4">
        <v>0</v>
      </c>
      <c r="S1307" s="4">
        <v>0</v>
      </c>
      <c r="T1307" s="204"/>
    </row>
    <row r="1308" spans="1:20" ht="29">
      <c r="A1308" s="19" t="s">
        <v>8476</v>
      </c>
      <c r="B1308" s="204" t="s">
        <v>2276</v>
      </c>
      <c r="C1308" s="204" t="s">
        <v>2645</v>
      </c>
      <c r="D1308" s="204" t="s">
        <v>84</v>
      </c>
      <c r="E1308" s="4" t="s">
        <v>396</v>
      </c>
      <c r="F1308" s="204" t="s">
        <v>2276</v>
      </c>
      <c r="G1308" s="204" t="s">
        <v>2276</v>
      </c>
      <c r="H1308" s="204" t="s">
        <v>2276</v>
      </c>
      <c r="I1308" s="204" t="s">
        <v>2276</v>
      </c>
      <c r="J1308" s="204" t="s">
        <v>2276</v>
      </c>
      <c r="K1308" s="204" t="s">
        <v>2276</v>
      </c>
      <c r="L1308" s="204" t="s">
        <v>2276</v>
      </c>
      <c r="M1308" s="204" t="s">
        <v>2276</v>
      </c>
      <c r="N1308" s="4">
        <v>0</v>
      </c>
      <c r="O1308" s="4">
        <v>0</v>
      </c>
      <c r="P1308" s="21">
        <v>100</v>
      </c>
      <c r="Q1308" s="4">
        <v>0</v>
      </c>
      <c r="R1308" s="4">
        <v>0</v>
      </c>
      <c r="S1308" s="4">
        <v>0</v>
      </c>
      <c r="T1308" s="204"/>
    </row>
    <row r="1309" spans="1:20" ht="29">
      <c r="A1309" s="19" t="s">
        <v>8477</v>
      </c>
      <c r="B1309" s="204" t="s">
        <v>2276</v>
      </c>
      <c r="C1309" s="204" t="s">
        <v>2645</v>
      </c>
      <c r="D1309" s="204" t="s">
        <v>84</v>
      </c>
      <c r="E1309" s="4" t="s">
        <v>396</v>
      </c>
      <c r="F1309" s="204" t="s">
        <v>2276</v>
      </c>
      <c r="G1309" s="204" t="s">
        <v>2276</v>
      </c>
      <c r="H1309" s="204" t="s">
        <v>2276</v>
      </c>
      <c r="I1309" s="204" t="s">
        <v>2276</v>
      </c>
      <c r="J1309" s="204" t="s">
        <v>2276</v>
      </c>
      <c r="K1309" s="204" t="s">
        <v>2276</v>
      </c>
      <c r="L1309" s="204" t="s">
        <v>2276</v>
      </c>
      <c r="M1309" s="204" t="s">
        <v>2276</v>
      </c>
      <c r="N1309" s="4">
        <v>0</v>
      </c>
      <c r="O1309" s="4">
        <v>0</v>
      </c>
      <c r="P1309" s="21">
        <v>100</v>
      </c>
      <c r="Q1309" s="4">
        <v>0</v>
      </c>
      <c r="R1309" s="4">
        <v>0</v>
      </c>
      <c r="S1309" s="4">
        <v>0</v>
      </c>
      <c r="T1309" s="204"/>
    </row>
    <row r="1310" spans="1:20" ht="29">
      <c r="A1310" s="19" t="s">
        <v>8478</v>
      </c>
      <c r="B1310" s="204" t="s">
        <v>2276</v>
      </c>
      <c r="C1310" s="204" t="s">
        <v>2645</v>
      </c>
      <c r="D1310" s="204" t="s">
        <v>84</v>
      </c>
      <c r="E1310" s="4" t="s">
        <v>396</v>
      </c>
      <c r="F1310" s="204" t="s">
        <v>2276</v>
      </c>
      <c r="G1310" s="204" t="s">
        <v>2276</v>
      </c>
      <c r="H1310" s="204" t="s">
        <v>2276</v>
      </c>
      <c r="I1310" s="204" t="s">
        <v>2276</v>
      </c>
      <c r="J1310" s="204" t="s">
        <v>2276</v>
      </c>
      <c r="K1310" s="204" t="s">
        <v>2276</v>
      </c>
      <c r="L1310" s="204" t="s">
        <v>2276</v>
      </c>
      <c r="M1310" s="204" t="s">
        <v>2276</v>
      </c>
      <c r="N1310" s="4">
        <v>0</v>
      </c>
      <c r="O1310" s="4">
        <v>0</v>
      </c>
      <c r="P1310" s="21">
        <v>100</v>
      </c>
      <c r="Q1310" s="4">
        <v>0</v>
      </c>
      <c r="R1310" s="4">
        <v>0</v>
      </c>
      <c r="S1310" s="4">
        <v>0</v>
      </c>
      <c r="T1310" s="204"/>
    </row>
    <row r="1311" spans="1:20" ht="29">
      <c r="A1311" s="19" t="s">
        <v>8479</v>
      </c>
      <c r="B1311" s="204" t="s">
        <v>2276</v>
      </c>
      <c r="C1311" s="204" t="s">
        <v>2645</v>
      </c>
      <c r="D1311" s="204" t="s">
        <v>84</v>
      </c>
      <c r="E1311" s="4" t="s">
        <v>396</v>
      </c>
      <c r="F1311" s="204" t="s">
        <v>2276</v>
      </c>
      <c r="G1311" s="204" t="s">
        <v>2276</v>
      </c>
      <c r="H1311" s="204" t="s">
        <v>2276</v>
      </c>
      <c r="I1311" s="204" t="s">
        <v>2276</v>
      </c>
      <c r="J1311" s="204" t="s">
        <v>2276</v>
      </c>
      <c r="K1311" s="204" t="s">
        <v>2276</v>
      </c>
      <c r="L1311" s="204" t="s">
        <v>2276</v>
      </c>
      <c r="M1311" s="204" t="s">
        <v>2276</v>
      </c>
      <c r="N1311" s="4">
        <v>0</v>
      </c>
      <c r="O1311" s="4">
        <v>0</v>
      </c>
      <c r="P1311" s="21">
        <v>100</v>
      </c>
      <c r="Q1311" s="4">
        <v>0</v>
      </c>
      <c r="R1311" s="4">
        <v>0</v>
      </c>
      <c r="S1311" s="4">
        <v>0</v>
      </c>
      <c r="T1311" s="204"/>
    </row>
    <row r="1312" spans="1:20" ht="29">
      <c r="A1312" s="19" t="s">
        <v>8480</v>
      </c>
      <c r="B1312" s="204" t="s">
        <v>2276</v>
      </c>
      <c r="C1312" s="204" t="s">
        <v>2645</v>
      </c>
      <c r="D1312" s="204" t="s">
        <v>84</v>
      </c>
      <c r="E1312" s="4" t="s">
        <v>396</v>
      </c>
      <c r="F1312" s="204" t="s">
        <v>2276</v>
      </c>
      <c r="G1312" s="204" t="s">
        <v>2276</v>
      </c>
      <c r="H1312" s="204" t="s">
        <v>2276</v>
      </c>
      <c r="I1312" s="204" t="s">
        <v>2276</v>
      </c>
      <c r="J1312" s="204" t="s">
        <v>2276</v>
      </c>
      <c r="K1312" s="204" t="s">
        <v>2276</v>
      </c>
      <c r="L1312" s="204" t="s">
        <v>2276</v>
      </c>
      <c r="M1312" s="204" t="s">
        <v>2276</v>
      </c>
      <c r="N1312" s="4">
        <v>0</v>
      </c>
      <c r="O1312" s="4">
        <v>0</v>
      </c>
      <c r="P1312" s="21">
        <v>100</v>
      </c>
      <c r="Q1312" s="4">
        <v>0</v>
      </c>
      <c r="R1312" s="4">
        <v>0</v>
      </c>
      <c r="S1312" s="4">
        <v>0</v>
      </c>
      <c r="T1312" s="204"/>
    </row>
    <row r="1313" spans="1:20" ht="29">
      <c r="A1313" s="19" t="s">
        <v>8481</v>
      </c>
      <c r="B1313" s="204" t="s">
        <v>2276</v>
      </c>
      <c r="C1313" s="204" t="s">
        <v>2645</v>
      </c>
      <c r="D1313" s="204" t="s">
        <v>84</v>
      </c>
      <c r="E1313" s="4" t="s">
        <v>396</v>
      </c>
      <c r="F1313" s="204" t="s">
        <v>2276</v>
      </c>
      <c r="G1313" s="204" t="s">
        <v>2276</v>
      </c>
      <c r="H1313" s="204" t="s">
        <v>2276</v>
      </c>
      <c r="I1313" s="204" t="s">
        <v>2276</v>
      </c>
      <c r="J1313" s="204" t="s">
        <v>2276</v>
      </c>
      <c r="K1313" s="204" t="s">
        <v>2276</v>
      </c>
      <c r="L1313" s="204" t="s">
        <v>2276</v>
      </c>
      <c r="M1313" s="204" t="s">
        <v>2276</v>
      </c>
      <c r="N1313" s="4">
        <v>0</v>
      </c>
      <c r="O1313" s="4">
        <v>0</v>
      </c>
      <c r="P1313" s="21">
        <v>100</v>
      </c>
      <c r="Q1313" s="4">
        <v>0</v>
      </c>
      <c r="R1313" s="4">
        <v>0</v>
      </c>
      <c r="S1313" s="4">
        <v>0</v>
      </c>
      <c r="T1313" s="204"/>
    </row>
    <row r="1314" spans="1:20" ht="42.5" customHeight="1">
      <c r="A1314" s="19" t="s">
        <v>8482</v>
      </c>
      <c r="B1314" s="204" t="s">
        <v>2276</v>
      </c>
      <c r="C1314" s="204" t="s">
        <v>2276</v>
      </c>
      <c r="D1314" s="204" t="s">
        <v>2653</v>
      </c>
      <c r="E1314" s="204" t="s">
        <v>2276</v>
      </c>
      <c r="F1314" s="204" t="s">
        <v>2276</v>
      </c>
      <c r="G1314" s="204" t="s">
        <v>2276</v>
      </c>
      <c r="H1314" s="204" t="s">
        <v>2276</v>
      </c>
      <c r="I1314" s="204" t="s">
        <v>2276</v>
      </c>
      <c r="J1314" s="204" t="s">
        <v>2276</v>
      </c>
      <c r="K1314" s="204" t="s">
        <v>2276</v>
      </c>
      <c r="L1314" s="204" t="s">
        <v>2276</v>
      </c>
      <c r="M1314" s="204" t="s">
        <v>2276</v>
      </c>
      <c r="N1314" s="204" t="s">
        <v>2276</v>
      </c>
      <c r="O1314" s="204" t="s">
        <v>2276</v>
      </c>
      <c r="P1314" s="204" t="s">
        <v>2276</v>
      </c>
      <c r="Q1314" s="204" t="s">
        <v>2276</v>
      </c>
      <c r="R1314" s="204" t="s">
        <v>2276</v>
      </c>
      <c r="S1314" s="204" t="s">
        <v>2276</v>
      </c>
      <c r="T1314" s="204"/>
    </row>
    <row r="1315" spans="1:20" ht="29">
      <c r="A1315" s="19" t="s">
        <v>8483</v>
      </c>
      <c r="B1315" s="204" t="s">
        <v>2276</v>
      </c>
      <c r="C1315" s="204" t="s">
        <v>2645</v>
      </c>
      <c r="D1315" s="204" t="s">
        <v>84</v>
      </c>
      <c r="E1315" s="4" t="s">
        <v>396</v>
      </c>
      <c r="F1315" s="204" t="s">
        <v>2276</v>
      </c>
      <c r="G1315" s="204" t="s">
        <v>2276</v>
      </c>
      <c r="H1315" s="204" t="s">
        <v>2276</v>
      </c>
      <c r="I1315" s="204" t="s">
        <v>2276</v>
      </c>
      <c r="J1315" s="204" t="s">
        <v>2276</v>
      </c>
      <c r="K1315" s="204" t="s">
        <v>2276</v>
      </c>
      <c r="L1315" s="204" t="s">
        <v>2276</v>
      </c>
      <c r="M1315" s="204" t="s">
        <v>2276</v>
      </c>
      <c r="N1315" s="4">
        <v>0</v>
      </c>
      <c r="O1315" s="4">
        <v>0</v>
      </c>
      <c r="P1315" s="21">
        <v>100</v>
      </c>
      <c r="Q1315" s="4">
        <v>0</v>
      </c>
      <c r="R1315" s="4">
        <v>0</v>
      </c>
      <c r="S1315" s="4">
        <v>0</v>
      </c>
      <c r="T1315" s="204"/>
    </row>
    <row r="1316" spans="1:20" ht="29">
      <c r="A1316" s="19" t="s">
        <v>8484</v>
      </c>
      <c r="B1316" s="204" t="s">
        <v>2276</v>
      </c>
      <c r="C1316" s="204" t="s">
        <v>2645</v>
      </c>
      <c r="D1316" s="204" t="s">
        <v>84</v>
      </c>
      <c r="E1316" s="4" t="s">
        <v>396</v>
      </c>
      <c r="F1316" s="204" t="s">
        <v>2276</v>
      </c>
      <c r="G1316" s="204" t="s">
        <v>2276</v>
      </c>
      <c r="H1316" s="204" t="s">
        <v>2276</v>
      </c>
      <c r="I1316" s="204" t="s">
        <v>2276</v>
      </c>
      <c r="J1316" s="204" t="s">
        <v>2276</v>
      </c>
      <c r="K1316" s="204" t="s">
        <v>2276</v>
      </c>
      <c r="L1316" s="204" t="s">
        <v>2276</v>
      </c>
      <c r="M1316" s="204" t="s">
        <v>2276</v>
      </c>
      <c r="N1316" s="4">
        <v>0</v>
      </c>
      <c r="O1316" s="4">
        <v>0</v>
      </c>
      <c r="P1316" s="21">
        <v>100</v>
      </c>
      <c r="Q1316" s="4">
        <v>0</v>
      </c>
      <c r="R1316" s="4">
        <v>0</v>
      </c>
      <c r="S1316" s="4">
        <v>0</v>
      </c>
      <c r="T1316" s="204"/>
    </row>
    <row r="1317" spans="1:20" ht="31" customHeight="1">
      <c r="A1317" s="19" t="s">
        <v>8485</v>
      </c>
      <c r="B1317" s="204" t="s">
        <v>2276</v>
      </c>
      <c r="C1317" s="204" t="s">
        <v>2276</v>
      </c>
      <c r="D1317" s="204" t="s">
        <v>2653</v>
      </c>
      <c r="E1317" s="204" t="s">
        <v>2276</v>
      </c>
      <c r="F1317" s="204" t="s">
        <v>2276</v>
      </c>
      <c r="G1317" s="204" t="s">
        <v>2276</v>
      </c>
      <c r="H1317" s="204" t="s">
        <v>2276</v>
      </c>
      <c r="I1317" s="204" t="s">
        <v>2276</v>
      </c>
      <c r="J1317" s="204" t="s">
        <v>2276</v>
      </c>
      <c r="K1317" s="204" t="s">
        <v>2276</v>
      </c>
      <c r="L1317" s="204" t="s">
        <v>2276</v>
      </c>
      <c r="M1317" s="204" t="s">
        <v>2276</v>
      </c>
      <c r="N1317" s="204" t="s">
        <v>2276</v>
      </c>
      <c r="O1317" s="204" t="s">
        <v>2276</v>
      </c>
      <c r="P1317" s="204" t="s">
        <v>2276</v>
      </c>
      <c r="Q1317" s="204" t="s">
        <v>2276</v>
      </c>
      <c r="R1317" s="204" t="s">
        <v>2276</v>
      </c>
      <c r="S1317" s="204" t="s">
        <v>2276</v>
      </c>
      <c r="T1317" s="204"/>
    </row>
    <row r="1318" spans="1:20" ht="31" customHeight="1">
      <c r="A1318" s="19" t="s">
        <v>8486</v>
      </c>
      <c r="B1318" s="204" t="s">
        <v>2276</v>
      </c>
      <c r="C1318" s="204" t="s">
        <v>2276</v>
      </c>
      <c r="D1318" s="204" t="s">
        <v>2653</v>
      </c>
      <c r="E1318" s="204" t="s">
        <v>2276</v>
      </c>
      <c r="F1318" s="204" t="s">
        <v>2276</v>
      </c>
      <c r="G1318" s="204" t="s">
        <v>2276</v>
      </c>
      <c r="H1318" s="204" t="s">
        <v>2276</v>
      </c>
      <c r="I1318" s="204" t="s">
        <v>2276</v>
      </c>
      <c r="J1318" s="204" t="s">
        <v>2276</v>
      </c>
      <c r="K1318" s="204" t="s">
        <v>2276</v>
      </c>
      <c r="L1318" s="204" t="s">
        <v>2276</v>
      </c>
      <c r="M1318" s="204" t="s">
        <v>2276</v>
      </c>
      <c r="N1318" s="204" t="s">
        <v>2276</v>
      </c>
      <c r="O1318" s="204" t="s">
        <v>2276</v>
      </c>
      <c r="P1318" s="204" t="s">
        <v>2276</v>
      </c>
      <c r="Q1318" s="204" t="s">
        <v>2276</v>
      </c>
      <c r="R1318" s="204" t="s">
        <v>2276</v>
      </c>
      <c r="S1318" s="204" t="s">
        <v>2276</v>
      </c>
      <c r="T1318" s="204"/>
    </row>
    <row r="1319" spans="1:20" ht="29">
      <c r="A1319" s="19" t="s">
        <v>8487</v>
      </c>
      <c r="B1319" s="204" t="s">
        <v>2276</v>
      </c>
      <c r="C1319" s="204" t="s">
        <v>2645</v>
      </c>
      <c r="D1319" s="204" t="s">
        <v>84</v>
      </c>
      <c r="E1319" s="4" t="s">
        <v>396</v>
      </c>
      <c r="F1319" s="204" t="s">
        <v>2276</v>
      </c>
      <c r="G1319" s="204" t="s">
        <v>2276</v>
      </c>
      <c r="H1319" s="204" t="s">
        <v>2276</v>
      </c>
      <c r="I1319" s="204" t="s">
        <v>2276</v>
      </c>
      <c r="J1319" s="204" t="s">
        <v>2276</v>
      </c>
      <c r="K1319" s="204" t="s">
        <v>2276</v>
      </c>
      <c r="L1319" s="204" t="s">
        <v>2276</v>
      </c>
      <c r="M1319" s="204" t="s">
        <v>2276</v>
      </c>
      <c r="N1319" s="4">
        <v>0</v>
      </c>
      <c r="O1319" s="4">
        <v>0</v>
      </c>
      <c r="P1319" s="21">
        <v>100</v>
      </c>
      <c r="Q1319" s="4">
        <v>0</v>
      </c>
      <c r="R1319" s="4">
        <v>0</v>
      </c>
      <c r="S1319" s="4">
        <v>0</v>
      </c>
      <c r="T1319" s="204"/>
    </row>
    <row r="1320" spans="1:20" ht="40" customHeight="1">
      <c r="A1320" s="19" t="s">
        <v>8488</v>
      </c>
      <c r="B1320" s="204" t="s">
        <v>2276</v>
      </c>
      <c r="C1320" s="204" t="s">
        <v>2645</v>
      </c>
      <c r="D1320" s="204" t="s">
        <v>84</v>
      </c>
      <c r="E1320" s="4" t="s">
        <v>396</v>
      </c>
      <c r="F1320" s="204" t="s">
        <v>2276</v>
      </c>
      <c r="G1320" s="204" t="s">
        <v>2276</v>
      </c>
      <c r="H1320" s="204" t="s">
        <v>2276</v>
      </c>
      <c r="I1320" s="204" t="s">
        <v>2276</v>
      </c>
      <c r="J1320" s="204" t="s">
        <v>2276</v>
      </c>
      <c r="K1320" s="204" t="s">
        <v>2276</v>
      </c>
      <c r="L1320" s="204" t="s">
        <v>2276</v>
      </c>
      <c r="M1320" s="204" t="s">
        <v>2276</v>
      </c>
      <c r="N1320" s="4">
        <v>0</v>
      </c>
      <c r="O1320" s="4">
        <v>0</v>
      </c>
      <c r="P1320" s="21">
        <v>100</v>
      </c>
      <c r="Q1320" s="4">
        <v>0</v>
      </c>
      <c r="R1320" s="4">
        <v>0</v>
      </c>
      <c r="S1320" s="4">
        <v>0</v>
      </c>
      <c r="T1320" s="204"/>
    </row>
    <row r="1321" spans="1:20" ht="44.5" customHeight="1">
      <c r="A1321" s="19" t="s">
        <v>8527</v>
      </c>
      <c r="B1321" s="204" t="s">
        <v>2276</v>
      </c>
      <c r="C1321" s="204" t="s">
        <v>12</v>
      </c>
      <c r="D1321" s="4" t="s">
        <v>397</v>
      </c>
      <c r="E1321" s="4" t="s">
        <v>396</v>
      </c>
      <c r="F1321" s="204" t="s">
        <v>2276</v>
      </c>
      <c r="G1321" s="204" t="s">
        <v>2276</v>
      </c>
      <c r="H1321" s="204" t="s">
        <v>2276</v>
      </c>
      <c r="I1321" s="204" t="s">
        <v>2276</v>
      </c>
      <c r="J1321" s="204" t="s">
        <v>2276</v>
      </c>
      <c r="K1321" s="204" t="s">
        <v>2276</v>
      </c>
      <c r="L1321" s="204" t="s">
        <v>2276</v>
      </c>
      <c r="M1321" s="204" t="s">
        <v>2276</v>
      </c>
      <c r="N1321" s="4">
        <v>0</v>
      </c>
      <c r="O1321" s="4">
        <v>0</v>
      </c>
      <c r="P1321" s="21">
        <v>100</v>
      </c>
      <c r="Q1321" s="4">
        <v>0</v>
      </c>
      <c r="R1321" s="4">
        <v>0</v>
      </c>
      <c r="S1321" s="4">
        <v>0</v>
      </c>
      <c r="T1321" s="204"/>
    </row>
    <row r="1322" spans="1:20" ht="44" customHeight="1">
      <c r="A1322" s="19" t="s">
        <v>8537</v>
      </c>
      <c r="B1322" s="204" t="s">
        <v>2276</v>
      </c>
      <c r="C1322" s="204" t="s">
        <v>2645</v>
      </c>
      <c r="D1322" s="4" t="s">
        <v>84</v>
      </c>
      <c r="E1322" s="4" t="s">
        <v>396</v>
      </c>
      <c r="F1322" s="204" t="s">
        <v>2276</v>
      </c>
      <c r="G1322" s="204" t="s">
        <v>2276</v>
      </c>
      <c r="H1322" s="204" t="s">
        <v>2276</v>
      </c>
      <c r="I1322" s="204" t="s">
        <v>2276</v>
      </c>
      <c r="J1322" s="204" t="s">
        <v>2276</v>
      </c>
      <c r="K1322" s="204" t="s">
        <v>2276</v>
      </c>
      <c r="L1322" s="204" t="s">
        <v>2276</v>
      </c>
      <c r="M1322" s="204" t="s">
        <v>2276</v>
      </c>
      <c r="N1322" s="204" t="s">
        <v>2276</v>
      </c>
      <c r="O1322" s="204" t="s">
        <v>2276</v>
      </c>
      <c r="P1322" s="204" t="s">
        <v>2276</v>
      </c>
      <c r="Q1322" s="204" t="s">
        <v>2276</v>
      </c>
      <c r="R1322" s="204" t="s">
        <v>2276</v>
      </c>
      <c r="S1322" s="204" t="s">
        <v>2276</v>
      </c>
      <c r="T1322" s="204"/>
    </row>
    <row r="1323" spans="1:20" ht="44" customHeight="1">
      <c r="A1323" s="53" t="s">
        <v>8540</v>
      </c>
      <c r="B1323" s="204" t="s">
        <v>2276</v>
      </c>
      <c r="C1323" s="204" t="s">
        <v>2645</v>
      </c>
      <c r="D1323" s="4" t="s">
        <v>84</v>
      </c>
      <c r="E1323" s="204" t="s">
        <v>2276</v>
      </c>
      <c r="F1323" s="204" t="s">
        <v>2276</v>
      </c>
      <c r="G1323" s="204" t="s">
        <v>2276</v>
      </c>
      <c r="H1323" s="204" t="s">
        <v>2276</v>
      </c>
      <c r="I1323" s="204" t="s">
        <v>2276</v>
      </c>
      <c r="J1323" s="204" t="s">
        <v>2276</v>
      </c>
      <c r="K1323" s="204" t="s">
        <v>2276</v>
      </c>
      <c r="L1323" s="204" t="s">
        <v>2276</v>
      </c>
      <c r="M1323" s="204" t="s">
        <v>2276</v>
      </c>
      <c r="N1323" s="204" t="s">
        <v>2276</v>
      </c>
      <c r="O1323" s="204" t="s">
        <v>2276</v>
      </c>
      <c r="P1323" s="204" t="s">
        <v>2276</v>
      </c>
      <c r="Q1323" s="204" t="s">
        <v>2276</v>
      </c>
      <c r="R1323" s="204" t="s">
        <v>2276</v>
      </c>
      <c r="S1323" s="204" t="s">
        <v>2276</v>
      </c>
      <c r="T1323" s="204"/>
    </row>
    <row r="1324" spans="1:20" ht="44" customHeight="1">
      <c r="A1324" s="19" t="s">
        <v>8541</v>
      </c>
      <c r="B1324" s="204" t="s">
        <v>2276</v>
      </c>
      <c r="C1324" s="204" t="s">
        <v>2645</v>
      </c>
      <c r="D1324" s="4" t="s">
        <v>84</v>
      </c>
      <c r="E1324" s="204" t="s">
        <v>2276</v>
      </c>
      <c r="F1324" s="204" t="s">
        <v>2276</v>
      </c>
      <c r="G1324" s="204" t="s">
        <v>2276</v>
      </c>
      <c r="H1324" s="204" t="s">
        <v>2276</v>
      </c>
      <c r="I1324" s="204" t="s">
        <v>2276</v>
      </c>
      <c r="J1324" s="204" t="s">
        <v>2276</v>
      </c>
      <c r="K1324" s="204" t="s">
        <v>2276</v>
      </c>
      <c r="L1324" s="204" t="s">
        <v>2276</v>
      </c>
      <c r="M1324" s="204" t="s">
        <v>2276</v>
      </c>
      <c r="N1324" s="204" t="s">
        <v>2276</v>
      </c>
      <c r="O1324" s="204" t="s">
        <v>2276</v>
      </c>
      <c r="P1324" s="204" t="s">
        <v>2276</v>
      </c>
      <c r="Q1324" s="204" t="s">
        <v>2276</v>
      </c>
      <c r="R1324" s="204" t="s">
        <v>2276</v>
      </c>
      <c r="S1324" s="204" t="s">
        <v>2276</v>
      </c>
      <c r="T1324" s="204"/>
    </row>
    <row r="1325" spans="1:20" ht="36.5" customHeight="1">
      <c r="A1325" s="19" t="s">
        <v>8550</v>
      </c>
      <c r="B1325" s="204" t="s">
        <v>2276</v>
      </c>
      <c r="C1325" s="204" t="s">
        <v>2645</v>
      </c>
      <c r="D1325" s="4" t="s">
        <v>396</v>
      </c>
      <c r="E1325" s="4" t="s">
        <v>84</v>
      </c>
      <c r="F1325" s="204" t="s">
        <v>2276</v>
      </c>
      <c r="G1325" s="204" t="s">
        <v>2276</v>
      </c>
      <c r="H1325" s="204" t="s">
        <v>2276</v>
      </c>
      <c r="I1325" s="204" t="s">
        <v>2276</v>
      </c>
      <c r="J1325" s="204" t="s">
        <v>2276</v>
      </c>
      <c r="K1325" s="204" t="s">
        <v>2276</v>
      </c>
      <c r="L1325" s="204" t="s">
        <v>2276</v>
      </c>
      <c r="M1325" s="204" t="s">
        <v>2276</v>
      </c>
      <c r="N1325" s="204" t="s">
        <v>2276</v>
      </c>
      <c r="O1325" s="204" t="s">
        <v>2276</v>
      </c>
      <c r="P1325" s="204" t="s">
        <v>2276</v>
      </c>
      <c r="Q1325" s="204" t="s">
        <v>2276</v>
      </c>
      <c r="R1325" s="204" t="s">
        <v>2276</v>
      </c>
      <c r="S1325" s="204" t="s">
        <v>2276</v>
      </c>
      <c r="T1325" s="204"/>
    </row>
    <row r="1326" spans="1:20" ht="28" customHeight="1">
      <c r="A1326" s="19" t="s">
        <v>8555</v>
      </c>
      <c r="B1326" s="204" t="s">
        <v>2276</v>
      </c>
      <c r="C1326" s="204" t="s">
        <v>2276</v>
      </c>
      <c r="D1326" s="204" t="s">
        <v>2653</v>
      </c>
      <c r="E1326" s="204" t="s">
        <v>2276</v>
      </c>
      <c r="F1326" s="204" t="s">
        <v>2276</v>
      </c>
      <c r="G1326" s="204" t="s">
        <v>2276</v>
      </c>
      <c r="H1326" s="204" t="s">
        <v>2276</v>
      </c>
      <c r="I1326" s="204" t="s">
        <v>2276</v>
      </c>
      <c r="J1326" s="204" t="s">
        <v>2276</v>
      </c>
      <c r="K1326" s="204" t="s">
        <v>2276</v>
      </c>
      <c r="L1326" s="204" t="s">
        <v>2276</v>
      </c>
      <c r="M1326" s="204" t="s">
        <v>2276</v>
      </c>
      <c r="N1326" s="204" t="s">
        <v>2276</v>
      </c>
      <c r="O1326" s="204" t="s">
        <v>2276</v>
      </c>
      <c r="P1326" s="204" t="s">
        <v>2276</v>
      </c>
      <c r="Q1326" s="204" t="s">
        <v>2276</v>
      </c>
      <c r="R1326" s="204" t="s">
        <v>2276</v>
      </c>
      <c r="S1326" s="204" t="s">
        <v>2276</v>
      </c>
      <c r="T1326" s="204"/>
    </row>
    <row r="1327" spans="1:20" ht="28" customHeight="1">
      <c r="A1327" s="19" t="s">
        <v>8556</v>
      </c>
      <c r="B1327" s="204" t="s">
        <v>2276</v>
      </c>
      <c r="C1327" s="204" t="s">
        <v>2276</v>
      </c>
      <c r="D1327" s="4" t="s">
        <v>396</v>
      </c>
      <c r="E1327" s="204" t="s">
        <v>2276</v>
      </c>
      <c r="F1327" s="204" t="s">
        <v>2276</v>
      </c>
      <c r="G1327" s="204" t="s">
        <v>2276</v>
      </c>
      <c r="H1327" s="204" t="s">
        <v>2276</v>
      </c>
      <c r="I1327" s="204" t="s">
        <v>2276</v>
      </c>
      <c r="J1327" s="204" t="s">
        <v>2276</v>
      </c>
      <c r="K1327" s="204" t="s">
        <v>2276</v>
      </c>
      <c r="L1327" s="204" t="s">
        <v>2276</v>
      </c>
      <c r="M1327" s="204" t="s">
        <v>2276</v>
      </c>
      <c r="N1327" s="204" t="s">
        <v>2276</v>
      </c>
      <c r="O1327" s="204" t="s">
        <v>2276</v>
      </c>
      <c r="P1327" s="204" t="s">
        <v>2276</v>
      </c>
      <c r="Q1327" s="204" t="s">
        <v>2276</v>
      </c>
      <c r="R1327" s="204" t="s">
        <v>2276</v>
      </c>
      <c r="S1327" s="204" t="s">
        <v>2276</v>
      </c>
      <c r="T1327" s="204"/>
    </row>
    <row r="1328" spans="1:20" ht="28" customHeight="1">
      <c r="A1328" s="19" t="s">
        <v>8557</v>
      </c>
      <c r="B1328" s="204" t="s">
        <v>2276</v>
      </c>
      <c r="C1328" s="204" t="s">
        <v>2276</v>
      </c>
      <c r="D1328" s="4" t="s">
        <v>396</v>
      </c>
      <c r="E1328" s="204" t="s">
        <v>2276</v>
      </c>
      <c r="F1328" s="204" t="s">
        <v>2276</v>
      </c>
      <c r="G1328" s="204" t="s">
        <v>2276</v>
      </c>
      <c r="H1328" s="204" t="s">
        <v>2276</v>
      </c>
      <c r="I1328" s="204" t="s">
        <v>2276</v>
      </c>
      <c r="J1328" s="204" t="s">
        <v>2276</v>
      </c>
      <c r="K1328" s="204" t="s">
        <v>2276</v>
      </c>
      <c r="L1328" s="204" t="s">
        <v>2276</v>
      </c>
      <c r="M1328" s="204" t="s">
        <v>2276</v>
      </c>
      <c r="N1328" s="204" t="s">
        <v>2276</v>
      </c>
      <c r="O1328" s="204" t="s">
        <v>2276</v>
      </c>
      <c r="P1328" s="204" t="s">
        <v>2276</v>
      </c>
      <c r="Q1328" s="204" t="s">
        <v>2276</v>
      </c>
      <c r="R1328" s="204" t="s">
        <v>2276</v>
      </c>
      <c r="S1328" s="204" t="s">
        <v>2276</v>
      </c>
      <c r="T1328" s="204"/>
    </row>
    <row r="1329" spans="1:20" ht="35.5" customHeight="1">
      <c r="A1329" s="204" t="s">
        <v>8571</v>
      </c>
      <c r="B1329" s="204" t="s">
        <v>2276</v>
      </c>
      <c r="C1329" s="204" t="s">
        <v>12</v>
      </c>
      <c r="D1329" s="4" t="s">
        <v>396</v>
      </c>
      <c r="E1329" s="4" t="s">
        <v>397</v>
      </c>
      <c r="F1329" s="204" t="s">
        <v>2276</v>
      </c>
      <c r="G1329" s="204" t="s">
        <v>2276</v>
      </c>
      <c r="H1329" s="204" t="s">
        <v>2276</v>
      </c>
      <c r="I1329" s="204" t="s">
        <v>2276</v>
      </c>
      <c r="J1329" s="204" t="s">
        <v>2276</v>
      </c>
      <c r="K1329" s="204" t="s">
        <v>2276</v>
      </c>
      <c r="L1329" s="204" t="s">
        <v>2276</v>
      </c>
      <c r="M1329" s="204" t="s">
        <v>2276</v>
      </c>
      <c r="N1329" s="204" t="s">
        <v>2276</v>
      </c>
      <c r="O1329" s="204" t="s">
        <v>2276</v>
      </c>
      <c r="P1329" s="204" t="s">
        <v>2276</v>
      </c>
      <c r="Q1329" s="204" t="s">
        <v>2276</v>
      </c>
      <c r="R1329" s="204" t="s">
        <v>2276</v>
      </c>
      <c r="S1329" s="204" t="s">
        <v>2276</v>
      </c>
      <c r="T1329" s="204"/>
    </row>
    <row r="1330" spans="1:20" ht="35.5" customHeight="1">
      <c r="A1330" s="19" t="s">
        <v>8572</v>
      </c>
      <c r="B1330" s="204" t="s">
        <v>2276</v>
      </c>
      <c r="C1330" s="204" t="s">
        <v>12</v>
      </c>
      <c r="D1330" s="4" t="s">
        <v>396</v>
      </c>
      <c r="E1330" s="4" t="s">
        <v>397</v>
      </c>
      <c r="F1330" s="204" t="s">
        <v>2276</v>
      </c>
      <c r="G1330" s="204" t="s">
        <v>2276</v>
      </c>
      <c r="H1330" s="204" t="s">
        <v>2276</v>
      </c>
      <c r="I1330" s="204" t="s">
        <v>2276</v>
      </c>
      <c r="J1330" s="204" t="s">
        <v>2276</v>
      </c>
      <c r="K1330" s="204" t="s">
        <v>2276</v>
      </c>
      <c r="L1330" s="204" t="s">
        <v>2276</v>
      </c>
      <c r="M1330" s="204" t="s">
        <v>2276</v>
      </c>
      <c r="N1330" s="204" t="s">
        <v>2276</v>
      </c>
      <c r="O1330" s="204" t="s">
        <v>2276</v>
      </c>
      <c r="P1330" s="204" t="s">
        <v>2276</v>
      </c>
      <c r="Q1330" s="204" t="s">
        <v>2276</v>
      </c>
      <c r="R1330" s="204" t="s">
        <v>2276</v>
      </c>
      <c r="S1330" s="204" t="s">
        <v>2276</v>
      </c>
      <c r="T1330" s="204"/>
    </row>
    <row r="1331" spans="1:20" ht="33.5" customHeight="1">
      <c r="A1331" s="19" t="s">
        <v>8577</v>
      </c>
      <c r="B1331" s="204" t="s">
        <v>2276</v>
      </c>
      <c r="C1331" s="204" t="s">
        <v>12</v>
      </c>
      <c r="D1331" s="204" t="s">
        <v>45</v>
      </c>
      <c r="E1331" s="204" t="s">
        <v>2276</v>
      </c>
      <c r="F1331" s="204" t="s">
        <v>2276</v>
      </c>
      <c r="G1331" s="204" t="s">
        <v>2276</v>
      </c>
      <c r="H1331" s="204" t="s">
        <v>2276</v>
      </c>
      <c r="I1331" s="204" t="s">
        <v>2276</v>
      </c>
      <c r="J1331" s="204" t="s">
        <v>2276</v>
      </c>
      <c r="K1331" s="204" t="s">
        <v>2276</v>
      </c>
      <c r="L1331" s="204" t="s">
        <v>2276</v>
      </c>
      <c r="M1331" s="204" t="s">
        <v>2276</v>
      </c>
      <c r="N1331" s="204" t="s">
        <v>2276</v>
      </c>
      <c r="O1331" s="204" t="s">
        <v>2276</v>
      </c>
      <c r="P1331" s="204" t="s">
        <v>2276</v>
      </c>
      <c r="Q1331" s="204" t="s">
        <v>2276</v>
      </c>
      <c r="R1331" s="204" t="s">
        <v>2276</v>
      </c>
      <c r="S1331" s="204" t="s">
        <v>2276</v>
      </c>
      <c r="T1331" s="204"/>
    </row>
    <row r="1332" spans="1:20" ht="33.5" customHeight="1">
      <c r="A1332" s="19" t="s">
        <v>8583</v>
      </c>
      <c r="B1332" s="204" t="s">
        <v>2276</v>
      </c>
      <c r="C1332" s="204" t="s">
        <v>12</v>
      </c>
      <c r="D1332" s="204" t="s">
        <v>45</v>
      </c>
      <c r="E1332" s="204" t="s">
        <v>2276</v>
      </c>
      <c r="F1332" s="204" t="s">
        <v>2276</v>
      </c>
      <c r="G1332" s="204" t="s">
        <v>2276</v>
      </c>
      <c r="H1332" s="204" t="s">
        <v>2276</v>
      </c>
      <c r="I1332" s="204" t="s">
        <v>2276</v>
      </c>
      <c r="J1332" s="204" t="s">
        <v>2276</v>
      </c>
      <c r="K1332" s="204" t="s">
        <v>2276</v>
      </c>
      <c r="L1332" s="204" t="s">
        <v>2276</v>
      </c>
      <c r="M1332" s="204" t="s">
        <v>2276</v>
      </c>
      <c r="N1332" s="204" t="s">
        <v>2276</v>
      </c>
      <c r="O1332" s="204" t="s">
        <v>2276</v>
      </c>
      <c r="P1332" s="204" t="s">
        <v>2276</v>
      </c>
      <c r="Q1332" s="204" t="s">
        <v>2276</v>
      </c>
      <c r="R1332" s="204" t="s">
        <v>2276</v>
      </c>
      <c r="S1332" s="204" t="s">
        <v>2276</v>
      </c>
      <c r="T1332" s="204"/>
    </row>
    <row r="1333" spans="1:20" ht="33.5" customHeight="1">
      <c r="A1333" s="19" t="s">
        <v>8584</v>
      </c>
      <c r="B1333" s="204" t="s">
        <v>2276</v>
      </c>
      <c r="C1333" s="204" t="s">
        <v>12</v>
      </c>
      <c r="D1333" s="204" t="s">
        <v>45</v>
      </c>
      <c r="E1333" s="204" t="s">
        <v>2276</v>
      </c>
      <c r="F1333" s="204" t="s">
        <v>2276</v>
      </c>
      <c r="G1333" s="204" t="s">
        <v>2276</v>
      </c>
      <c r="H1333" s="204" t="s">
        <v>2276</v>
      </c>
      <c r="I1333" s="204" t="s">
        <v>2276</v>
      </c>
      <c r="J1333" s="204" t="s">
        <v>2276</v>
      </c>
      <c r="K1333" s="204" t="s">
        <v>2276</v>
      </c>
      <c r="L1333" s="204" t="s">
        <v>2276</v>
      </c>
      <c r="M1333" s="204" t="s">
        <v>2276</v>
      </c>
      <c r="N1333" s="204" t="s">
        <v>2276</v>
      </c>
      <c r="O1333" s="204" t="s">
        <v>2276</v>
      </c>
      <c r="P1333" s="204" t="s">
        <v>2276</v>
      </c>
      <c r="Q1333" s="204" t="s">
        <v>2276</v>
      </c>
      <c r="R1333" s="204" t="s">
        <v>2276</v>
      </c>
      <c r="S1333" s="204" t="s">
        <v>2276</v>
      </c>
      <c r="T1333" s="204"/>
    </row>
    <row r="1334" spans="1:20" ht="33.5" customHeight="1">
      <c r="A1334" s="19" t="s">
        <v>8585</v>
      </c>
      <c r="B1334" s="204" t="s">
        <v>2276</v>
      </c>
      <c r="C1334" s="204" t="s">
        <v>12</v>
      </c>
      <c r="D1334" s="204" t="s">
        <v>45</v>
      </c>
      <c r="E1334" s="204" t="s">
        <v>2276</v>
      </c>
      <c r="F1334" s="204" t="s">
        <v>2276</v>
      </c>
      <c r="G1334" s="204" t="s">
        <v>2276</v>
      </c>
      <c r="H1334" s="204" t="s">
        <v>2276</v>
      </c>
      <c r="I1334" s="204" t="s">
        <v>2276</v>
      </c>
      <c r="J1334" s="204" t="s">
        <v>2276</v>
      </c>
      <c r="K1334" s="204" t="s">
        <v>2276</v>
      </c>
      <c r="L1334" s="204" t="s">
        <v>2276</v>
      </c>
      <c r="M1334" s="204" t="s">
        <v>2276</v>
      </c>
      <c r="N1334" s="204" t="s">
        <v>2276</v>
      </c>
      <c r="O1334" s="204" t="s">
        <v>2276</v>
      </c>
      <c r="P1334" s="204" t="s">
        <v>2276</v>
      </c>
      <c r="Q1334" s="204" t="s">
        <v>2276</v>
      </c>
      <c r="R1334" s="204" t="s">
        <v>2276</v>
      </c>
      <c r="S1334" s="204" t="s">
        <v>2276</v>
      </c>
      <c r="T1334" s="204"/>
    </row>
    <row r="1335" spans="1:20" ht="36.5" customHeight="1">
      <c r="A1335" s="19" t="s">
        <v>8598</v>
      </c>
      <c r="B1335" s="204" t="s">
        <v>2276</v>
      </c>
      <c r="C1335" s="204" t="s">
        <v>2645</v>
      </c>
      <c r="D1335" s="204" t="s">
        <v>84</v>
      </c>
      <c r="E1335" s="204" t="s">
        <v>2276</v>
      </c>
      <c r="F1335" s="204" t="s">
        <v>2276</v>
      </c>
      <c r="G1335" s="204" t="s">
        <v>2276</v>
      </c>
      <c r="H1335" s="204" t="s">
        <v>2276</v>
      </c>
      <c r="I1335" s="204" t="s">
        <v>2276</v>
      </c>
      <c r="J1335" s="204" t="s">
        <v>2276</v>
      </c>
      <c r="K1335" s="204" t="s">
        <v>2276</v>
      </c>
      <c r="L1335" s="204" t="s">
        <v>2276</v>
      </c>
      <c r="M1335" s="204" t="s">
        <v>2276</v>
      </c>
      <c r="N1335" s="204" t="s">
        <v>2276</v>
      </c>
      <c r="O1335" s="204" t="s">
        <v>2276</v>
      </c>
      <c r="P1335" s="21">
        <f>100*4660/8600</f>
        <v>54.186046511627907</v>
      </c>
      <c r="Q1335" s="204" t="s">
        <v>2276</v>
      </c>
      <c r="R1335" s="204" t="s">
        <v>2276</v>
      </c>
      <c r="S1335" s="204" t="s">
        <v>2276</v>
      </c>
      <c r="T1335" s="204"/>
    </row>
    <row r="1336" spans="1:20" ht="44" customHeight="1">
      <c r="A1336" s="19" t="s">
        <v>8608</v>
      </c>
      <c r="B1336" s="204" t="s">
        <v>2276</v>
      </c>
      <c r="C1336" s="204" t="s">
        <v>12</v>
      </c>
      <c r="D1336" s="204" t="s">
        <v>84</v>
      </c>
      <c r="E1336" s="4" t="s">
        <v>396</v>
      </c>
      <c r="F1336" s="4" t="s">
        <v>397</v>
      </c>
      <c r="G1336" s="204" t="s">
        <v>2276</v>
      </c>
      <c r="H1336" s="204" t="s">
        <v>2276</v>
      </c>
      <c r="I1336" s="204" t="s">
        <v>2276</v>
      </c>
      <c r="J1336" s="204" t="s">
        <v>2276</v>
      </c>
      <c r="K1336" s="204" t="s">
        <v>2276</v>
      </c>
      <c r="L1336" s="204" t="s">
        <v>2276</v>
      </c>
      <c r="M1336" s="204" t="s">
        <v>2276</v>
      </c>
      <c r="N1336" s="204" t="s">
        <v>2276</v>
      </c>
      <c r="O1336" s="204" t="s">
        <v>2276</v>
      </c>
      <c r="P1336" s="204" t="s">
        <v>2276</v>
      </c>
      <c r="Q1336" s="204" t="s">
        <v>2276</v>
      </c>
      <c r="R1336" s="204" t="s">
        <v>2276</v>
      </c>
      <c r="S1336" s="204" t="s">
        <v>2276</v>
      </c>
      <c r="T1336" s="204" t="s">
        <v>8609</v>
      </c>
    </row>
    <row r="1337" spans="1:20" ht="44" customHeight="1">
      <c r="A1337" s="26" t="s">
        <v>8611</v>
      </c>
      <c r="B1337" s="204" t="s">
        <v>2276</v>
      </c>
      <c r="C1337" s="204" t="s">
        <v>2276</v>
      </c>
      <c r="D1337" s="204" t="s">
        <v>2276</v>
      </c>
      <c r="E1337" s="204" t="s">
        <v>2276</v>
      </c>
      <c r="F1337" s="204" t="s">
        <v>2276</v>
      </c>
      <c r="G1337" s="204" t="s">
        <v>2276</v>
      </c>
      <c r="H1337" s="204" t="s">
        <v>2276</v>
      </c>
      <c r="I1337" s="204" t="s">
        <v>2276</v>
      </c>
      <c r="J1337" s="204" t="s">
        <v>2276</v>
      </c>
      <c r="K1337" s="204" t="s">
        <v>2276</v>
      </c>
      <c r="L1337" s="204" t="s">
        <v>2276</v>
      </c>
      <c r="M1337" s="204" t="s">
        <v>2276</v>
      </c>
      <c r="N1337" s="204" t="s">
        <v>2276</v>
      </c>
      <c r="O1337" s="204" t="s">
        <v>2276</v>
      </c>
      <c r="P1337" s="204" t="s">
        <v>2276</v>
      </c>
      <c r="Q1337" s="204" t="s">
        <v>2276</v>
      </c>
      <c r="R1337" s="204" t="s">
        <v>2276</v>
      </c>
      <c r="S1337" s="204" t="s">
        <v>2276</v>
      </c>
      <c r="T1337" s="204"/>
    </row>
    <row r="1338" spans="1:20" ht="44" customHeight="1">
      <c r="A1338" s="26" t="s">
        <v>8612</v>
      </c>
      <c r="B1338" s="204" t="s">
        <v>2276</v>
      </c>
      <c r="C1338" s="204" t="s">
        <v>2276</v>
      </c>
      <c r="D1338" s="204" t="s">
        <v>2276</v>
      </c>
      <c r="E1338" s="204" t="s">
        <v>2276</v>
      </c>
      <c r="F1338" s="204" t="s">
        <v>2276</v>
      </c>
      <c r="G1338" s="204" t="s">
        <v>2276</v>
      </c>
      <c r="H1338" s="204" t="s">
        <v>2276</v>
      </c>
      <c r="I1338" s="204" t="s">
        <v>2276</v>
      </c>
      <c r="J1338" s="204" t="s">
        <v>2276</v>
      </c>
      <c r="K1338" s="204" t="s">
        <v>2276</v>
      </c>
      <c r="L1338" s="204" t="s">
        <v>2276</v>
      </c>
      <c r="M1338" s="204" t="s">
        <v>2276</v>
      </c>
      <c r="N1338" s="204" t="s">
        <v>2276</v>
      </c>
      <c r="O1338" s="204" t="s">
        <v>2276</v>
      </c>
      <c r="P1338" s="204" t="s">
        <v>2276</v>
      </c>
      <c r="Q1338" s="204" t="s">
        <v>2276</v>
      </c>
      <c r="R1338" s="204" t="s">
        <v>2276</v>
      </c>
      <c r="S1338" s="204" t="s">
        <v>2276</v>
      </c>
      <c r="T1338" s="204"/>
    </row>
    <row r="1339" spans="1:20" ht="44" customHeight="1">
      <c r="A1339" s="26" t="s">
        <v>8613</v>
      </c>
      <c r="B1339" s="204" t="s">
        <v>2276</v>
      </c>
      <c r="C1339" s="204" t="s">
        <v>2276</v>
      </c>
      <c r="D1339" s="204" t="s">
        <v>2276</v>
      </c>
      <c r="E1339" s="204" t="s">
        <v>2276</v>
      </c>
      <c r="F1339" s="204" t="s">
        <v>2276</v>
      </c>
      <c r="G1339" s="204" t="s">
        <v>2276</v>
      </c>
      <c r="H1339" s="204" t="s">
        <v>2276</v>
      </c>
      <c r="I1339" s="204" t="s">
        <v>2276</v>
      </c>
      <c r="J1339" s="204" t="s">
        <v>2276</v>
      </c>
      <c r="K1339" s="204" t="s">
        <v>2276</v>
      </c>
      <c r="L1339" s="204" t="s">
        <v>2276</v>
      </c>
      <c r="M1339" s="204" t="s">
        <v>2276</v>
      </c>
      <c r="N1339" s="204" t="s">
        <v>2276</v>
      </c>
      <c r="O1339" s="204" t="s">
        <v>2276</v>
      </c>
      <c r="P1339" s="204" t="s">
        <v>2276</v>
      </c>
      <c r="Q1339" s="204" t="s">
        <v>2276</v>
      </c>
      <c r="R1339" s="204" t="s">
        <v>2276</v>
      </c>
      <c r="S1339" s="204" t="s">
        <v>2276</v>
      </c>
      <c r="T1339" s="204"/>
    </row>
    <row r="1340" spans="1:20" ht="44" customHeight="1">
      <c r="A1340" s="26" t="s">
        <v>8614</v>
      </c>
      <c r="B1340" s="204" t="s">
        <v>2276</v>
      </c>
      <c r="C1340" s="204" t="s">
        <v>2276</v>
      </c>
      <c r="D1340" s="204" t="s">
        <v>2276</v>
      </c>
      <c r="E1340" s="204" t="s">
        <v>2276</v>
      </c>
      <c r="F1340" s="204" t="s">
        <v>2276</v>
      </c>
      <c r="G1340" s="204" t="s">
        <v>2276</v>
      </c>
      <c r="H1340" s="204" t="s">
        <v>2276</v>
      </c>
      <c r="I1340" s="204" t="s">
        <v>2276</v>
      </c>
      <c r="J1340" s="204" t="s">
        <v>2276</v>
      </c>
      <c r="K1340" s="204" t="s">
        <v>2276</v>
      </c>
      <c r="L1340" s="204" t="s">
        <v>2276</v>
      </c>
      <c r="M1340" s="204" t="s">
        <v>2276</v>
      </c>
      <c r="N1340" s="204" t="s">
        <v>2276</v>
      </c>
      <c r="O1340" s="204" t="s">
        <v>2276</v>
      </c>
      <c r="P1340" s="204" t="s">
        <v>2276</v>
      </c>
      <c r="Q1340" s="204" t="s">
        <v>2276</v>
      </c>
      <c r="R1340" s="204" t="s">
        <v>2276</v>
      </c>
      <c r="S1340" s="204" t="s">
        <v>2276</v>
      </c>
      <c r="T1340" s="204"/>
    </row>
    <row r="1341" spans="1:20" ht="44" customHeight="1">
      <c r="A1341" s="26" t="s">
        <v>8615</v>
      </c>
      <c r="B1341" s="204" t="s">
        <v>2276</v>
      </c>
      <c r="C1341" s="204" t="s">
        <v>2276</v>
      </c>
      <c r="D1341" s="204" t="s">
        <v>2276</v>
      </c>
      <c r="E1341" s="204" t="s">
        <v>2276</v>
      </c>
      <c r="F1341" s="204" t="s">
        <v>2276</v>
      </c>
      <c r="G1341" s="204" t="s">
        <v>2276</v>
      </c>
      <c r="H1341" s="204" t="s">
        <v>2276</v>
      </c>
      <c r="I1341" s="204" t="s">
        <v>2276</v>
      </c>
      <c r="J1341" s="204" t="s">
        <v>2276</v>
      </c>
      <c r="K1341" s="204" t="s">
        <v>2276</v>
      </c>
      <c r="L1341" s="204" t="s">
        <v>2276</v>
      </c>
      <c r="M1341" s="204" t="s">
        <v>2276</v>
      </c>
      <c r="N1341" s="204" t="s">
        <v>2276</v>
      </c>
      <c r="O1341" s="204" t="s">
        <v>2276</v>
      </c>
      <c r="P1341" s="204" t="s">
        <v>2276</v>
      </c>
      <c r="Q1341" s="204" t="s">
        <v>2276</v>
      </c>
      <c r="R1341" s="204" t="s">
        <v>2276</v>
      </c>
      <c r="S1341" s="204" t="s">
        <v>2276</v>
      </c>
      <c r="T1341" s="204"/>
    </row>
    <row r="1342" spans="1:20" ht="44" customHeight="1">
      <c r="A1342" s="235" t="s">
        <v>8616</v>
      </c>
      <c r="B1342" s="5" t="s">
        <v>2276</v>
      </c>
      <c r="C1342" s="5" t="s">
        <v>2276</v>
      </c>
      <c r="D1342" s="204" t="s">
        <v>2276</v>
      </c>
      <c r="E1342" s="204" t="s">
        <v>2276</v>
      </c>
      <c r="F1342" s="204" t="s">
        <v>2276</v>
      </c>
      <c r="G1342" s="204" t="s">
        <v>2276</v>
      </c>
      <c r="H1342" s="204" t="s">
        <v>2276</v>
      </c>
      <c r="I1342" s="204" t="s">
        <v>2276</v>
      </c>
      <c r="J1342" s="204" t="s">
        <v>2276</v>
      </c>
      <c r="K1342" s="204" t="s">
        <v>2276</v>
      </c>
      <c r="L1342" s="204" t="s">
        <v>2276</v>
      </c>
      <c r="M1342" s="204" t="s">
        <v>2276</v>
      </c>
      <c r="N1342" s="204" t="s">
        <v>2276</v>
      </c>
      <c r="O1342" s="204" t="s">
        <v>2276</v>
      </c>
      <c r="P1342" s="204" t="s">
        <v>2276</v>
      </c>
      <c r="Q1342" s="204" t="s">
        <v>2276</v>
      </c>
      <c r="R1342" s="204" t="s">
        <v>2276</v>
      </c>
      <c r="S1342" s="204" t="s">
        <v>2276</v>
      </c>
      <c r="T1342" s="204"/>
    </row>
    <row r="1343" spans="1:20" ht="30" customHeight="1">
      <c r="A1343" s="26" t="s">
        <v>8633</v>
      </c>
      <c r="B1343" s="204" t="s">
        <v>2276</v>
      </c>
      <c r="C1343" s="204" t="s">
        <v>2276</v>
      </c>
      <c r="D1343" s="204" t="s">
        <v>2276</v>
      </c>
      <c r="E1343" s="204" t="s">
        <v>2276</v>
      </c>
      <c r="F1343" s="204" t="s">
        <v>2276</v>
      </c>
      <c r="G1343" s="204" t="s">
        <v>2276</v>
      </c>
      <c r="H1343" s="204" t="s">
        <v>2276</v>
      </c>
      <c r="I1343" s="204" t="s">
        <v>2276</v>
      </c>
      <c r="J1343" s="204" t="s">
        <v>2276</v>
      </c>
      <c r="K1343" s="204" t="s">
        <v>2276</v>
      </c>
      <c r="L1343" s="204" t="s">
        <v>2276</v>
      </c>
      <c r="M1343" s="204" t="s">
        <v>2276</v>
      </c>
      <c r="N1343" s="204" t="s">
        <v>2276</v>
      </c>
      <c r="O1343" s="204" t="s">
        <v>2276</v>
      </c>
      <c r="P1343" s="204" t="s">
        <v>2276</v>
      </c>
      <c r="Q1343" s="204" t="s">
        <v>2276</v>
      </c>
      <c r="R1343" s="204" t="s">
        <v>2276</v>
      </c>
      <c r="S1343" s="204" t="s">
        <v>2276</v>
      </c>
      <c r="T1343" s="204"/>
    </row>
    <row r="1344" spans="1:20" ht="30" customHeight="1">
      <c r="A1344" s="26" t="s">
        <v>8637</v>
      </c>
      <c r="B1344" s="204" t="s">
        <v>2276</v>
      </c>
      <c r="C1344" s="204" t="s">
        <v>2645</v>
      </c>
      <c r="D1344" s="204" t="s">
        <v>84</v>
      </c>
      <c r="E1344" s="204" t="s">
        <v>2276</v>
      </c>
      <c r="F1344" s="204" t="s">
        <v>2276</v>
      </c>
      <c r="G1344" s="204" t="s">
        <v>2276</v>
      </c>
      <c r="H1344" s="204" t="s">
        <v>2276</v>
      </c>
      <c r="I1344" s="204" t="s">
        <v>2276</v>
      </c>
      <c r="J1344" s="204" t="s">
        <v>2276</v>
      </c>
      <c r="K1344" s="204" t="s">
        <v>2276</v>
      </c>
      <c r="L1344" s="204" t="s">
        <v>2276</v>
      </c>
      <c r="M1344" s="204" t="s">
        <v>2276</v>
      </c>
      <c r="N1344" s="204" t="s">
        <v>2276</v>
      </c>
      <c r="O1344" s="204" t="s">
        <v>2276</v>
      </c>
      <c r="P1344" s="204" t="s">
        <v>2276</v>
      </c>
      <c r="Q1344" s="204" t="s">
        <v>2276</v>
      </c>
      <c r="R1344" s="204" t="s">
        <v>2276</v>
      </c>
      <c r="S1344" s="204" t="s">
        <v>2276</v>
      </c>
      <c r="T1344" s="204"/>
    </row>
    <row r="1345" spans="1:20" ht="30" customHeight="1">
      <c r="A1345" s="26" t="s">
        <v>8636</v>
      </c>
      <c r="B1345" s="204" t="s">
        <v>2276</v>
      </c>
      <c r="C1345" s="204" t="s">
        <v>2645</v>
      </c>
      <c r="D1345" s="204" t="s">
        <v>84</v>
      </c>
      <c r="E1345" s="204" t="s">
        <v>2276</v>
      </c>
      <c r="F1345" s="204" t="s">
        <v>2276</v>
      </c>
      <c r="G1345" s="204" t="s">
        <v>2276</v>
      </c>
      <c r="H1345" s="204" t="s">
        <v>2276</v>
      </c>
      <c r="I1345" s="204" t="s">
        <v>2276</v>
      </c>
      <c r="J1345" s="204" t="s">
        <v>2276</v>
      </c>
      <c r="K1345" s="204" t="s">
        <v>2276</v>
      </c>
      <c r="L1345" s="204" t="s">
        <v>2276</v>
      </c>
      <c r="M1345" s="204" t="s">
        <v>2276</v>
      </c>
      <c r="N1345" s="204" t="s">
        <v>2276</v>
      </c>
      <c r="O1345" s="204" t="s">
        <v>2276</v>
      </c>
      <c r="P1345" s="204" t="s">
        <v>2276</v>
      </c>
      <c r="Q1345" s="204" t="s">
        <v>2276</v>
      </c>
      <c r="R1345" s="204" t="s">
        <v>2276</v>
      </c>
      <c r="S1345" s="204" t="s">
        <v>2276</v>
      </c>
      <c r="T1345" s="204"/>
    </row>
    <row r="1346" spans="1:20" ht="35.5" customHeight="1">
      <c r="A1346" s="26" t="s">
        <v>8644</v>
      </c>
      <c r="B1346" s="204" t="s">
        <v>2276</v>
      </c>
      <c r="C1346" s="204" t="s">
        <v>12</v>
      </c>
      <c r="D1346" s="4" t="s">
        <v>397</v>
      </c>
      <c r="E1346" s="4" t="s">
        <v>396</v>
      </c>
      <c r="F1346" s="4" t="s">
        <v>84</v>
      </c>
      <c r="G1346" s="204" t="s">
        <v>2276</v>
      </c>
      <c r="H1346" s="204" t="s">
        <v>2276</v>
      </c>
      <c r="I1346" s="204" t="s">
        <v>2276</v>
      </c>
      <c r="J1346" s="204" t="s">
        <v>2276</v>
      </c>
      <c r="K1346" s="204" t="s">
        <v>2276</v>
      </c>
      <c r="L1346" s="204" t="s">
        <v>2276</v>
      </c>
      <c r="M1346" s="204" t="s">
        <v>2276</v>
      </c>
      <c r="N1346" s="204" t="s">
        <v>2276</v>
      </c>
      <c r="O1346" s="204" t="s">
        <v>2276</v>
      </c>
      <c r="P1346" s="204" t="s">
        <v>2276</v>
      </c>
      <c r="Q1346" s="204" t="s">
        <v>2276</v>
      </c>
      <c r="R1346" s="204" t="s">
        <v>2276</v>
      </c>
      <c r="S1346" s="204" t="s">
        <v>2276</v>
      </c>
      <c r="T1346" s="204"/>
    </row>
    <row r="1347" spans="1:20" ht="51" customHeight="1">
      <c r="A1347" s="26" t="s">
        <v>8648</v>
      </c>
      <c r="B1347" s="4" t="s">
        <v>2276</v>
      </c>
      <c r="C1347" s="4" t="s">
        <v>395</v>
      </c>
      <c r="D1347" s="4" t="s">
        <v>3854</v>
      </c>
      <c r="E1347" s="4" t="s">
        <v>2276</v>
      </c>
      <c r="F1347" s="4" t="s">
        <v>2276</v>
      </c>
      <c r="G1347" s="4" t="s">
        <v>2276</v>
      </c>
      <c r="H1347" s="4" t="s">
        <v>2276</v>
      </c>
      <c r="I1347" s="4" t="s">
        <v>2276</v>
      </c>
      <c r="J1347" s="4" t="s">
        <v>2276</v>
      </c>
      <c r="K1347" s="4" t="s">
        <v>2276</v>
      </c>
      <c r="L1347" s="4" t="s">
        <v>2276</v>
      </c>
      <c r="M1347" s="4" t="s">
        <v>2276</v>
      </c>
      <c r="N1347" s="4" t="s">
        <v>2276</v>
      </c>
      <c r="O1347" s="4" t="s">
        <v>2276</v>
      </c>
      <c r="P1347" s="4" t="s">
        <v>2276</v>
      </c>
      <c r="Q1347" s="4" t="s">
        <v>2276</v>
      </c>
      <c r="R1347" s="4" t="s">
        <v>2276</v>
      </c>
      <c r="S1347" s="4" t="s">
        <v>2276</v>
      </c>
      <c r="T1347" s="4"/>
    </row>
    <row r="1348" spans="1:20" ht="52.5" customHeight="1">
      <c r="A1348" s="26" t="s">
        <v>8650</v>
      </c>
      <c r="B1348" s="4" t="s">
        <v>2276</v>
      </c>
      <c r="C1348" s="4" t="s">
        <v>12</v>
      </c>
      <c r="D1348" s="4" t="s">
        <v>3854</v>
      </c>
      <c r="E1348" s="4" t="s">
        <v>396</v>
      </c>
      <c r="F1348" s="4" t="s">
        <v>84</v>
      </c>
      <c r="G1348" s="4" t="s">
        <v>2276</v>
      </c>
      <c r="H1348" s="4" t="s">
        <v>2276</v>
      </c>
      <c r="I1348" s="4" t="s">
        <v>2276</v>
      </c>
      <c r="J1348" s="4" t="s">
        <v>2276</v>
      </c>
      <c r="K1348" s="4" t="s">
        <v>2276</v>
      </c>
      <c r="L1348" s="4" t="s">
        <v>2276</v>
      </c>
      <c r="M1348" s="4" t="s">
        <v>2276</v>
      </c>
      <c r="N1348" s="4" t="s">
        <v>2276</v>
      </c>
      <c r="O1348" s="4" t="s">
        <v>2276</v>
      </c>
      <c r="P1348" s="4" t="s">
        <v>2276</v>
      </c>
      <c r="Q1348" s="4" t="s">
        <v>2276</v>
      </c>
      <c r="R1348" s="4" t="s">
        <v>2276</v>
      </c>
      <c r="S1348" s="4" t="s">
        <v>2276</v>
      </c>
      <c r="T1348" s="4"/>
    </row>
    <row r="1349" spans="1:20" ht="32.5" customHeight="1">
      <c r="A1349" s="26" t="s">
        <v>8655</v>
      </c>
      <c r="B1349" s="4" t="s">
        <v>2276</v>
      </c>
      <c r="C1349" s="4" t="s">
        <v>12</v>
      </c>
      <c r="D1349" s="4" t="s">
        <v>396</v>
      </c>
      <c r="E1349" s="4" t="s">
        <v>397</v>
      </c>
      <c r="F1349" s="4" t="s">
        <v>2276</v>
      </c>
      <c r="G1349" s="4" t="s">
        <v>2276</v>
      </c>
      <c r="H1349" s="4" t="s">
        <v>2276</v>
      </c>
      <c r="I1349" s="4" t="s">
        <v>2276</v>
      </c>
      <c r="J1349" s="4" t="s">
        <v>2276</v>
      </c>
      <c r="K1349" s="4" t="s">
        <v>2276</v>
      </c>
      <c r="L1349" s="4" t="s">
        <v>2276</v>
      </c>
      <c r="M1349" s="4" t="s">
        <v>2276</v>
      </c>
      <c r="N1349" s="4" t="s">
        <v>2276</v>
      </c>
      <c r="O1349" s="4" t="s">
        <v>2276</v>
      </c>
      <c r="P1349" s="4" t="s">
        <v>2276</v>
      </c>
      <c r="Q1349" s="4" t="s">
        <v>2276</v>
      </c>
      <c r="R1349" s="4" t="s">
        <v>2276</v>
      </c>
      <c r="S1349" s="4" t="s">
        <v>2276</v>
      </c>
      <c r="T1349" s="204"/>
    </row>
    <row r="1350" spans="1:20" ht="32.5" customHeight="1">
      <c r="A1350" s="26" t="s">
        <v>8656</v>
      </c>
      <c r="B1350" s="4" t="s">
        <v>2276</v>
      </c>
      <c r="C1350" s="4" t="s">
        <v>12</v>
      </c>
      <c r="D1350" s="4" t="s">
        <v>396</v>
      </c>
      <c r="E1350" s="4" t="s">
        <v>397</v>
      </c>
      <c r="F1350" s="4" t="s">
        <v>2276</v>
      </c>
      <c r="G1350" s="4" t="s">
        <v>2276</v>
      </c>
      <c r="H1350" s="4" t="s">
        <v>2276</v>
      </c>
      <c r="I1350" s="4" t="s">
        <v>2276</v>
      </c>
      <c r="J1350" s="4" t="s">
        <v>2276</v>
      </c>
      <c r="K1350" s="4" t="s">
        <v>2276</v>
      </c>
      <c r="L1350" s="4" t="s">
        <v>2276</v>
      </c>
      <c r="M1350" s="4" t="s">
        <v>2276</v>
      </c>
      <c r="N1350" s="4" t="s">
        <v>2276</v>
      </c>
      <c r="O1350" s="4" t="s">
        <v>2276</v>
      </c>
      <c r="P1350" s="4" t="s">
        <v>2276</v>
      </c>
      <c r="Q1350" s="4" t="s">
        <v>2276</v>
      </c>
      <c r="R1350" s="4" t="s">
        <v>2276</v>
      </c>
      <c r="S1350" s="4" t="s">
        <v>2276</v>
      </c>
      <c r="T1350" s="204"/>
    </row>
    <row r="1351" spans="1:20" ht="37" customHeight="1">
      <c r="A1351" s="26" t="s">
        <v>8664</v>
      </c>
      <c r="B1351" s="4" t="s">
        <v>2276</v>
      </c>
      <c r="C1351" s="204" t="s">
        <v>2645</v>
      </c>
      <c r="D1351" s="204" t="s">
        <v>84</v>
      </c>
      <c r="E1351" s="204" t="s">
        <v>2653</v>
      </c>
      <c r="F1351" s="4" t="s">
        <v>2276</v>
      </c>
      <c r="G1351" s="4" t="s">
        <v>2276</v>
      </c>
      <c r="H1351" s="4" t="s">
        <v>2276</v>
      </c>
      <c r="I1351" s="4" t="s">
        <v>2276</v>
      </c>
      <c r="J1351" s="4" t="s">
        <v>2276</v>
      </c>
      <c r="K1351" s="4" t="s">
        <v>2276</v>
      </c>
      <c r="L1351" s="4" t="s">
        <v>2276</v>
      </c>
      <c r="M1351" s="4" t="s">
        <v>2276</v>
      </c>
      <c r="N1351" s="4" t="s">
        <v>2276</v>
      </c>
      <c r="O1351" s="4" t="s">
        <v>2276</v>
      </c>
      <c r="P1351" s="4" t="s">
        <v>2276</v>
      </c>
      <c r="Q1351" s="4" t="s">
        <v>2276</v>
      </c>
      <c r="R1351" s="4" t="s">
        <v>2276</v>
      </c>
      <c r="S1351" s="4" t="s">
        <v>2276</v>
      </c>
      <c r="T1351" s="204"/>
    </row>
    <row r="1352" spans="1:20" ht="32.5" customHeight="1">
      <c r="A1352" s="26" t="s">
        <v>8669</v>
      </c>
      <c r="B1352" s="4" t="s">
        <v>2276</v>
      </c>
      <c r="C1352" s="4" t="s">
        <v>2276</v>
      </c>
      <c r="D1352" s="4" t="s">
        <v>2276</v>
      </c>
      <c r="E1352" s="4" t="s">
        <v>2276</v>
      </c>
      <c r="F1352" s="4" t="s">
        <v>2276</v>
      </c>
      <c r="G1352" s="4" t="s">
        <v>2276</v>
      </c>
      <c r="H1352" s="4" t="s">
        <v>2276</v>
      </c>
      <c r="I1352" s="4" t="s">
        <v>2276</v>
      </c>
      <c r="J1352" s="21">
        <f>AVERAGE(3.47, 3.15, 3.35, 3.51, 3.55, 3.51, 3.69, 3.94)</f>
        <v>3.5212500000000002</v>
      </c>
      <c r="K1352" s="4" t="s">
        <v>2276</v>
      </c>
      <c r="L1352" s="4" t="s">
        <v>2276</v>
      </c>
      <c r="M1352" s="4" t="s">
        <v>2276</v>
      </c>
      <c r="N1352" s="4">
        <v>0</v>
      </c>
      <c r="O1352" s="4">
        <v>0</v>
      </c>
      <c r="P1352" s="21">
        <v>100</v>
      </c>
      <c r="Q1352" s="4">
        <v>0</v>
      </c>
      <c r="R1352" s="4">
        <v>0</v>
      </c>
      <c r="S1352" s="4">
        <v>0</v>
      </c>
      <c r="T1352" s="151" t="s">
        <v>8680</v>
      </c>
    </row>
    <row r="1353" spans="1:20" ht="32.5" customHeight="1">
      <c r="A1353" s="26" t="s">
        <v>8670</v>
      </c>
      <c r="B1353" s="4" t="s">
        <v>2276</v>
      </c>
      <c r="C1353" s="4" t="s">
        <v>2276</v>
      </c>
      <c r="D1353" s="4" t="s">
        <v>2276</v>
      </c>
      <c r="E1353" s="4" t="s">
        <v>2276</v>
      </c>
      <c r="F1353" s="4" t="s">
        <v>2276</v>
      </c>
      <c r="G1353" s="4" t="s">
        <v>2276</v>
      </c>
      <c r="H1353" s="4" t="s">
        <v>2276</v>
      </c>
      <c r="I1353" s="4" t="s">
        <v>2276</v>
      </c>
      <c r="J1353" s="21">
        <f>AVERAGE(2.8, 2.24, 2.36, 2.56, 2.65, 2.72, 2.75, 2.94)</f>
        <v>2.6275000000000004</v>
      </c>
      <c r="K1353" s="4" t="s">
        <v>2276</v>
      </c>
      <c r="L1353" s="4" t="s">
        <v>2276</v>
      </c>
      <c r="M1353" s="4" t="s">
        <v>2276</v>
      </c>
      <c r="N1353" s="4">
        <v>0</v>
      </c>
      <c r="O1353" s="4">
        <v>0</v>
      </c>
      <c r="P1353" s="21">
        <v>100</v>
      </c>
      <c r="Q1353" s="4">
        <v>0</v>
      </c>
      <c r="R1353" s="4">
        <v>0</v>
      </c>
      <c r="S1353" s="4">
        <v>0</v>
      </c>
      <c r="T1353" s="19" t="s">
        <v>8680</v>
      </c>
    </row>
    <row r="1354" spans="1:20" ht="32.5" customHeight="1">
      <c r="A1354" s="26" t="s">
        <v>8671</v>
      </c>
      <c r="B1354" s="4" t="s">
        <v>2276</v>
      </c>
      <c r="C1354" s="4" t="s">
        <v>2276</v>
      </c>
      <c r="D1354" s="4" t="s">
        <v>2276</v>
      </c>
      <c r="E1354" s="4" t="s">
        <v>2276</v>
      </c>
      <c r="F1354" s="4" t="s">
        <v>2276</v>
      </c>
      <c r="G1354" s="4" t="s">
        <v>2276</v>
      </c>
      <c r="H1354" s="4" t="s">
        <v>2276</v>
      </c>
      <c r="I1354" s="4" t="s">
        <v>2276</v>
      </c>
      <c r="J1354" s="21">
        <f>AVERAGE(2.15, 1.94, 2.18, 1.98, 2.12, 1.84, 2.19, 1.79)</f>
        <v>2.0237500000000002</v>
      </c>
      <c r="K1354" s="4" t="s">
        <v>2276</v>
      </c>
      <c r="L1354" s="4" t="s">
        <v>2276</v>
      </c>
      <c r="M1354" s="4" t="s">
        <v>2276</v>
      </c>
      <c r="N1354" s="4">
        <v>0</v>
      </c>
      <c r="O1354" s="4">
        <v>0</v>
      </c>
      <c r="P1354" s="21">
        <v>100</v>
      </c>
      <c r="Q1354" s="4">
        <v>0</v>
      </c>
      <c r="R1354" s="4">
        <v>0</v>
      </c>
      <c r="S1354" s="4">
        <v>0</v>
      </c>
      <c r="T1354" s="19" t="s">
        <v>8680</v>
      </c>
    </row>
    <row r="1355" spans="1:20" ht="32.5" customHeight="1">
      <c r="A1355" s="26" t="s">
        <v>8673</v>
      </c>
      <c r="B1355" s="4" t="s">
        <v>2276</v>
      </c>
      <c r="C1355" s="4" t="s">
        <v>2276</v>
      </c>
      <c r="D1355" s="4" t="s">
        <v>2276</v>
      </c>
      <c r="E1355" s="4" t="s">
        <v>2276</v>
      </c>
      <c r="F1355" s="4" t="s">
        <v>2276</v>
      </c>
      <c r="G1355" s="4" t="s">
        <v>2276</v>
      </c>
      <c r="H1355" s="4" t="s">
        <v>2276</v>
      </c>
      <c r="I1355" s="4" t="s">
        <v>2276</v>
      </c>
      <c r="J1355" s="21">
        <f>AVERAGE(28321.1/9653.5, 29990.6/10165.1, 29820.2/10163.8, 30648.2/10224.9)</f>
        <v>2.9538711691464989</v>
      </c>
      <c r="K1355" s="4" t="s">
        <v>2276</v>
      </c>
      <c r="L1355" s="4" t="s">
        <v>2276</v>
      </c>
      <c r="M1355" s="4" t="s">
        <v>2276</v>
      </c>
      <c r="N1355" s="4">
        <v>0</v>
      </c>
      <c r="O1355" s="4">
        <v>0</v>
      </c>
      <c r="P1355" s="21">
        <v>100</v>
      </c>
      <c r="Q1355" s="4">
        <v>0</v>
      </c>
      <c r="R1355" s="4">
        <v>0</v>
      </c>
      <c r="S1355" s="4">
        <v>0</v>
      </c>
      <c r="T1355" s="19" t="s">
        <v>8680</v>
      </c>
    </row>
    <row r="1356" spans="1:20" ht="32.5" customHeight="1">
      <c r="A1356" s="26" t="s">
        <v>8674</v>
      </c>
      <c r="B1356" s="4" t="s">
        <v>2276</v>
      </c>
      <c r="C1356" s="4" t="s">
        <v>2276</v>
      </c>
      <c r="D1356" s="4" t="s">
        <v>2276</v>
      </c>
      <c r="E1356" s="4" t="s">
        <v>2276</v>
      </c>
      <c r="F1356" s="4" t="s">
        <v>2276</v>
      </c>
      <c r="G1356" s="4" t="s">
        <v>2276</v>
      </c>
      <c r="H1356" s="4" t="s">
        <v>2276</v>
      </c>
      <c r="I1356" s="4" t="s">
        <v>2276</v>
      </c>
      <c r="J1356" s="21">
        <f>AVERAGE(13270.6/4046.3, 13499.8/4006.4, 14496.7/4126.6, 14603/4070.4, 15326.7/4159.9)</f>
        <v>3.4868469544786769</v>
      </c>
      <c r="K1356" s="4" t="s">
        <v>2276</v>
      </c>
      <c r="L1356" s="4" t="s">
        <v>2276</v>
      </c>
      <c r="M1356" s="4" t="s">
        <v>2276</v>
      </c>
      <c r="N1356" s="4">
        <v>0</v>
      </c>
      <c r="O1356" s="4">
        <v>0</v>
      </c>
      <c r="P1356" s="21">
        <v>100</v>
      </c>
      <c r="Q1356" s="4">
        <v>0</v>
      </c>
      <c r="R1356" s="4">
        <v>0</v>
      </c>
      <c r="S1356" s="4">
        <v>0</v>
      </c>
      <c r="T1356" s="19" t="s">
        <v>8680</v>
      </c>
    </row>
    <row r="1357" spans="1:20" ht="35.5" customHeight="1">
      <c r="A1357" s="26" t="s">
        <v>8683</v>
      </c>
      <c r="B1357" s="4" t="s">
        <v>2276</v>
      </c>
      <c r="C1357" s="4" t="s">
        <v>12</v>
      </c>
      <c r="D1357" s="204" t="s">
        <v>2653</v>
      </c>
      <c r="E1357" s="204" t="s">
        <v>45</v>
      </c>
      <c r="F1357" s="4" t="s">
        <v>2276</v>
      </c>
      <c r="G1357" s="4" t="s">
        <v>2276</v>
      </c>
      <c r="H1357" s="4" t="s">
        <v>2276</v>
      </c>
      <c r="I1357" s="4" t="s">
        <v>2276</v>
      </c>
      <c r="J1357" s="4" t="s">
        <v>2276</v>
      </c>
      <c r="K1357" s="4" t="s">
        <v>2276</v>
      </c>
      <c r="L1357" s="4" t="s">
        <v>2276</v>
      </c>
      <c r="M1357" s="4" t="s">
        <v>2276</v>
      </c>
      <c r="N1357" s="4" t="s">
        <v>2276</v>
      </c>
      <c r="O1357" s="4" t="s">
        <v>2276</v>
      </c>
      <c r="P1357" s="4" t="s">
        <v>2276</v>
      </c>
      <c r="Q1357" s="4" t="s">
        <v>2276</v>
      </c>
      <c r="R1357" s="4" t="s">
        <v>2276</v>
      </c>
      <c r="S1357" s="4" t="s">
        <v>2276</v>
      </c>
      <c r="T1357" s="204"/>
    </row>
    <row r="1358" spans="1:20" ht="32" customHeight="1">
      <c r="A1358" s="204" t="s">
        <v>8694</v>
      </c>
      <c r="B1358" s="204" t="s">
        <v>2276</v>
      </c>
      <c r="C1358" s="204" t="s">
        <v>12</v>
      </c>
      <c r="D1358" s="204" t="s">
        <v>2653</v>
      </c>
      <c r="E1358" s="204" t="s">
        <v>45</v>
      </c>
      <c r="F1358" s="4" t="s">
        <v>2276</v>
      </c>
      <c r="G1358" s="4" t="s">
        <v>2276</v>
      </c>
      <c r="H1358" s="4" t="s">
        <v>2276</v>
      </c>
      <c r="I1358" s="4" t="s">
        <v>2276</v>
      </c>
      <c r="J1358" s="4" t="s">
        <v>2276</v>
      </c>
      <c r="K1358" s="4" t="s">
        <v>2276</v>
      </c>
      <c r="L1358" s="4" t="s">
        <v>2276</v>
      </c>
      <c r="M1358" s="4" t="s">
        <v>2276</v>
      </c>
      <c r="N1358" s="4" t="s">
        <v>2276</v>
      </c>
      <c r="O1358" s="4" t="s">
        <v>2276</v>
      </c>
      <c r="P1358" s="4" t="s">
        <v>2276</v>
      </c>
      <c r="Q1358" s="4" t="s">
        <v>2276</v>
      </c>
      <c r="R1358" s="4" t="s">
        <v>2276</v>
      </c>
      <c r="S1358" s="4" t="s">
        <v>2276</v>
      </c>
      <c r="T1358" s="204"/>
    </row>
    <row r="1359" spans="1:20" ht="40" customHeight="1">
      <c r="A1359" s="26" t="s">
        <v>8707</v>
      </c>
      <c r="B1359" s="204" t="s">
        <v>2276</v>
      </c>
      <c r="C1359" s="204" t="s">
        <v>12</v>
      </c>
      <c r="D1359" s="4" t="s">
        <v>396</v>
      </c>
      <c r="E1359" s="4" t="s">
        <v>2276</v>
      </c>
      <c r="F1359" s="4" t="s">
        <v>2276</v>
      </c>
      <c r="G1359" s="4" t="s">
        <v>2276</v>
      </c>
      <c r="H1359" s="4" t="s">
        <v>2276</v>
      </c>
      <c r="I1359" s="204">
        <v>0.9</v>
      </c>
      <c r="J1359" s="204">
        <v>18.8</v>
      </c>
      <c r="K1359" s="4" t="s">
        <v>2276</v>
      </c>
      <c r="L1359" s="4" t="s">
        <v>2276</v>
      </c>
      <c r="M1359" s="4" t="s">
        <v>2276</v>
      </c>
      <c r="N1359" s="4">
        <v>0</v>
      </c>
      <c r="O1359" s="4">
        <v>0</v>
      </c>
      <c r="P1359" s="21">
        <v>100</v>
      </c>
      <c r="Q1359" s="4" t="s">
        <v>2276</v>
      </c>
      <c r="R1359" s="4">
        <v>0</v>
      </c>
      <c r="S1359" s="4">
        <v>0</v>
      </c>
      <c r="T1359" s="19" t="s">
        <v>8712</v>
      </c>
    </row>
    <row r="1360" spans="1:20" ht="37" customHeight="1">
      <c r="A1360" s="26" t="s">
        <v>8717</v>
      </c>
      <c r="B1360" s="204" t="s">
        <v>2276</v>
      </c>
      <c r="C1360" s="204" t="s">
        <v>12</v>
      </c>
      <c r="D1360" s="4" t="s">
        <v>396</v>
      </c>
      <c r="E1360" s="4" t="s">
        <v>397</v>
      </c>
      <c r="F1360" s="204" t="s">
        <v>2653</v>
      </c>
      <c r="G1360" s="4" t="s">
        <v>2276</v>
      </c>
      <c r="H1360" s="4" t="s">
        <v>2276</v>
      </c>
      <c r="I1360" s="4" t="s">
        <v>2276</v>
      </c>
      <c r="J1360" s="4" t="s">
        <v>2276</v>
      </c>
      <c r="K1360" s="4" t="s">
        <v>2276</v>
      </c>
      <c r="L1360" s="4" t="s">
        <v>2276</v>
      </c>
      <c r="M1360" s="4" t="s">
        <v>2276</v>
      </c>
      <c r="N1360" s="4" t="s">
        <v>2276</v>
      </c>
      <c r="O1360" s="4" t="s">
        <v>2276</v>
      </c>
      <c r="P1360" s="21">
        <f>220000/'Record info'!K1360</f>
        <v>70.512820512820511</v>
      </c>
      <c r="Q1360" s="4" t="s">
        <v>2276</v>
      </c>
      <c r="R1360" s="4" t="s">
        <v>2276</v>
      </c>
      <c r="S1360" s="4" t="s">
        <v>2276</v>
      </c>
      <c r="T1360" s="204"/>
    </row>
    <row r="1361" spans="1:20" ht="46.5" customHeight="1">
      <c r="A1361" s="26" t="s">
        <v>8731</v>
      </c>
      <c r="B1361" s="204" t="s">
        <v>2276</v>
      </c>
      <c r="C1361" s="204" t="s">
        <v>2645</v>
      </c>
      <c r="D1361" s="204" t="s">
        <v>84</v>
      </c>
      <c r="E1361" s="204" t="s">
        <v>45</v>
      </c>
      <c r="F1361" s="4" t="s">
        <v>2276</v>
      </c>
      <c r="G1361" s="4" t="s">
        <v>2276</v>
      </c>
      <c r="H1361" s="4" t="s">
        <v>2276</v>
      </c>
      <c r="I1361" s="4" t="s">
        <v>2276</v>
      </c>
      <c r="J1361" s="4" t="s">
        <v>2276</v>
      </c>
      <c r="K1361" s="4" t="s">
        <v>2276</v>
      </c>
      <c r="L1361" s="4" t="s">
        <v>2276</v>
      </c>
      <c r="M1361" s="4" t="s">
        <v>2276</v>
      </c>
      <c r="N1361" s="4" t="s">
        <v>2276</v>
      </c>
      <c r="O1361" s="21">
        <f>100*(41277.935508-37950)/'Record info'!K1361</f>
        <v>2.1622747909478992</v>
      </c>
      <c r="P1361" s="21">
        <f>(100*(41277.935508)/'Record info'!K1361)-O1361</f>
        <v>24.657427440890395</v>
      </c>
      <c r="Q1361" s="4" t="s">
        <v>2276</v>
      </c>
      <c r="R1361" s="4" t="s">
        <v>2276</v>
      </c>
      <c r="S1361" s="4" t="s">
        <v>2276</v>
      </c>
      <c r="T1361" s="204" t="s">
        <v>8735</v>
      </c>
    </row>
    <row r="1362" spans="1:20" ht="46.5" customHeight="1">
      <c r="A1362" s="26" t="s">
        <v>8736</v>
      </c>
      <c r="B1362" s="204" t="s">
        <v>32</v>
      </c>
      <c r="C1362" s="204" t="s">
        <v>2646</v>
      </c>
      <c r="D1362" s="204" t="s">
        <v>137</v>
      </c>
      <c r="E1362" s="204" t="s">
        <v>45</v>
      </c>
      <c r="F1362" s="4" t="s">
        <v>2276</v>
      </c>
      <c r="G1362" s="4" t="s">
        <v>2276</v>
      </c>
      <c r="H1362" s="4" t="s">
        <v>2276</v>
      </c>
      <c r="I1362" s="4" t="s">
        <v>2276</v>
      </c>
      <c r="J1362" s="4" t="s">
        <v>2276</v>
      </c>
      <c r="K1362" s="4" t="s">
        <v>2276</v>
      </c>
      <c r="L1362" s="4" t="s">
        <v>2276</v>
      </c>
      <c r="M1362" s="4" t="s">
        <v>2276</v>
      </c>
      <c r="N1362" s="4" t="s">
        <v>2276</v>
      </c>
      <c r="O1362" s="4" t="s">
        <v>2276</v>
      </c>
      <c r="P1362" s="4" t="s">
        <v>2276</v>
      </c>
      <c r="Q1362" s="4" t="s">
        <v>2276</v>
      </c>
      <c r="R1362" s="4" t="s">
        <v>2276</v>
      </c>
      <c r="S1362" s="4" t="s">
        <v>2276</v>
      </c>
      <c r="T1362" s="204"/>
    </row>
    <row r="1363" spans="1:20" ht="46.5" customHeight="1">
      <c r="A1363" s="26" t="s">
        <v>8737</v>
      </c>
      <c r="B1363" s="204" t="s">
        <v>32</v>
      </c>
      <c r="C1363" s="204" t="s">
        <v>2646</v>
      </c>
      <c r="D1363" s="204" t="s">
        <v>137</v>
      </c>
      <c r="E1363" s="204" t="s">
        <v>45</v>
      </c>
      <c r="F1363" s="4" t="s">
        <v>2276</v>
      </c>
      <c r="G1363" s="4" t="s">
        <v>2276</v>
      </c>
      <c r="H1363" s="4" t="s">
        <v>2276</v>
      </c>
      <c r="I1363" s="4" t="s">
        <v>2276</v>
      </c>
      <c r="J1363" s="4" t="s">
        <v>2276</v>
      </c>
      <c r="K1363" s="4" t="s">
        <v>2276</v>
      </c>
      <c r="L1363" s="4" t="s">
        <v>2276</v>
      </c>
      <c r="M1363" s="4" t="s">
        <v>2276</v>
      </c>
      <c r="N1363" s="4" t="s">
        <v>2276</v>
      </c>
      <c r="O1363" s="4" t="s">
        <v>2276</v>
      </c>
      <c r="P1363" s="4" t="s">
        <v>2276</v>
      </c>
      <c r="Q1363" s="4" t="s">
        <v>2276</v>
      </c>
      <c r="R1363" s="4" t="s">
        <v>2276</v>
      </c>
      <c r="S1363" s="4" t="s">
        <v>2276</v>
      </c>
      <c r="T1363" s="204"/>
    </row>
    <row r="1364" spans="1:20" ht="47" customHeight="1">
      <c r="A1364" s="26" t="s">
        <v>8748</v>
      </c>
      <c r="B1364" s="204" t="s">
        <v>32</v>
      </c>
      <c r="C1364" s="204" t="s">
        <v>2645</v>
      </c>
      <c r="D1364" s="204" t="s">
        <v>5801</v>
      </c>
      <c r="E1364" s="204" t="s">
        <v>2653</v>
      </c>
      <c r="F1364" s="204" t="s">
        <v>84</v>
      </c>
      <c r="G1364" s="204" t="s">
        <v>45</v>
      </c>
      <c r="H1364" s="4" t="s">
        <v>2276</v>
      </c>
      <c r="I1364" s="4" t="s">
        <v>2276</v>
      </c>
      <c r="J1364" s="4" t="s">
        <v>2276</v>
      </c>
      <c r="K1364" s="4" t="s">
        <v>2276</v>
      </c>
      <c r="L1364" s="4" t="s">
        <v>2276</v>
      </c>
      <c r="M1364" s="4" t="s">
        <v>2276</v>
      </c>
      <c r="N1364" s="4" t="s">
        <v>2276</v>
      </c>
      <c r="O1364" s="4" t="s">
        <v>2276</v>
      </c>
      <c r="P1364" s="4" t="s">
        <v>2276</v>
      </c>
      <c r="Q1364" s="4" t="s">
        <v>2276</v>
      </c>
      <c r="R1364" s="4" t="s">
        <v>2276</v>
      </c>
      <c r="S1364" s="4" t="s">
        <v>2276</v>
      </c>
      <c r="T1364" s="204"/>
    </row>
    <row r="1365" spans="1:20" ht="47" customHeight="1">
      <c r="A1365" s="26" t="s">
        <v>8755</v>
      </c>
      <c r="B1365" s="204" t="s">
        <v>1197</v>
      </c>
      <c r="C1365" s="204" t="s">
        <v>2645</v>
      </c>
      <c r="D1365" s="204" t="s">
        <v>84</v>
      </c>
      <c r="E1365" s="204" t="s">
        <v>45</v>
      </c>
      <c r="F1365" s="4" t="s">
        <v>2276</v>
      </c>
      <c r="G1365" s="4" t="s">
        <v>2276</v>
      </c>
      <c r="H1365" s="4" t="s">
        <v>2276</v>
      </c>
      <c r="I1365" s="4" t="s">
        <v>2276</v>
      </c>
      <c r="J1365" s="4" t="s">
        <v>2276</v>
      </c>
      <c r="K1365" s="4" t="s">
        <v>2276</v>
      </c>
      <c r="L1365" s="4" t="s">
        <v>2276</v>
      </c>
      <c r="M1365" s="4" t="s">
        <v>2276</v>
      </c>
      <c r="N1365" s="4" t="s">
        <v>2276</v>
      </c>
      <c r="O1365" s="4" t="s">
        <v>2276</v>
      </c>
      <c r="P1365" s="4" t="s">
        <v>2276</v>
      </c>
      <c r="Q1365" s="4" t="s">
        <v>2276</v>
      </c>
      <c r="R1365" s="4" t="s">
        <v>2276</v>
      </c>
      <c r="S1365" s="4" t="s">
        <v>2276</v>
      </c>
      <c r="T1365" s="204"/>
    </row>
    <row r="1366" spans="1:20" ht="47" customHeight="1">
      <c r="A1366" s="26" t="s">
        <v>8756</v>
      </c>
      <c r="B1366" s="204" t="s">
        <v>70</v>
      </c>
      <c r="C1366" s="204" t="s">
        <v>2645</v>
      </c>
      <c r="D1366" s="204" t="s">
        <v>84</v>
      </c>
      <c r="E1366" s="204" t="s">
        <v>45</v>
      </c>
      <c r="F1366" s="4" t="s">
        <v>2276</v>
      </c>
      <c r="G1366" s="4" t="s">
        <v>2276</v>
      </c>
      <c r="H1366" s="4" t="s">
        <v>2276</v>
      </c>
      <c r="I1366" s="4" t="s">
        <v>2276</v>
      </c>
      <c r="J1366" s="4" t="s">
        <v>2276</v>
      </c>
      <c r="K1366" s="4" t="s">
        <v>2276</v>
      </c>
      <c r="L1366" s="4" t="s">
        <v>2276</v>
      </c>
      <c r="M1366" s="4" t="s">
        <v>2276</v>
      </c>
      <c r="N1366" s="4" t="s">
        <v>2276</v>
      </c>
      <c r="O1366" s="4" t="s">
        <v>2276</v>
      </c>
      <c r="P1366" s="4" t="s">
        <v>2276</v>
      </c>
      <c r="Q1366" s="4" t="s">
        <v>2276</v>
      </c>
      <c r="R1366" s="4" t="s">
        <v>2276</v>
      </c>
      <c r="S1366" s="4" t="s">
        <v>2276</v>
      </c>
      <c r="T1366" s="204"/>
    </row>
    <row r="1367" spans="1:20" ht="44.5" customHeight="1">
      <c r="A1367" s="204" t="s">
        <v>8772</v>
      </c>
      <c r="B1367" s="204" t="s">
        <v>2276</v>
      </c>
      <c r="C1367" s="204" t="s">
        <v>12</v>
      </c>
      <c r="D1367" s="4" t="s">
        <v>396</v>
      </c>
      <c r="E1367" s="204" t="s">
        <v>2653</v>
      </c>
      <c r="F1367" s="4" t="s">
        <v>2276</v>
      </c>
      <c r="G1367" s="4" t="s">
        <v>2276</v>
      </c>
      <c r="H1367" s="4" t="s">
        <v>2276</v>
      </c>
      <c r="I1367" s="4" t="s">
        <v>2276</v>
      </c>
      <c r="J1367" s="4" t="s">
        <v>2276</v>
      </c>
      <c r="K1367" s="4" t="s">
        <v>2276</v>
      </c>
      <c r="L1367" s="4" t="s">
        <v>2276</v>
      </c>
      <c r="M1367" s="4" t="s">
        <v>2276</v>
      </c>
      <c r="N1367" s="4">
        <v>0</v>
      </c>
      <c r="O1367" s="4">
        <v>0</v>
      </c>
      <c r="P1367" s="21">
        <v>100</v>
      </c>
      <c r="Q1367" s="4">
        <v>0</v>
      </c>
      <c r="R1367" s="4">
        <v>0</v>
      </c>
      <c r="S1367" s="4">
        <v>0</v>
      </c>
      <c r="T1367" s="204" t="s">
        <v>8805</v>
      </c>
    </row>
    <row r="1368" spans="1:20" ht="44.5" customHeight="1">
      <c r="A1368" s="11" t="s">
        <v>8773</v>
      </c>
      <c r="B1368" s="204" t="s">
        <v>2276</v>
      </c>
      <c r="C1368" s="204" t="s">
        <v>12</v>
      </c>
      <c r="D1368" s="4" t="s">
        <v>396</v>
      </c>
      <c r="E1368" s="204" t="s">
        <v>2653</v>
      </c>
      <c r="F1368" s="4" t="s">
        <v>2276</v>
      </c>
      <c r="G1368" s="4" t="s">
        <v>2276</v>
      </c>
      <c r="H1368" s="4" t="s">
        <v>2276</v>
      </c>
      <c r="I1368" s="4" t="s">
        <v>2276</v>
      </c>
      <c r="J1368" s="4" t="s">
        <v>2276</v>
      </c>
      <c r="K1368" s="4" t="s">
        <v>2276</v>
      </c>
      <c r="L1368" s="4" t="s">
        <v>2276</v>
      </c>
      <c r="M1368" s="4" t="s">
        <v>2276</v>
      </c>
      <c r="N1368" s="4">
        <v>0</v>
      </c>
      <c r="O1368" s="4">
        <v>0</v>
      </c>
      <c r="P1368" s="21">
        <v>100</v>
      </c>
      <c r="Q1368" s="4">
        <v>0</v>
      </c>
      <c r="R1368" s="4">
        <v>0</v>
      </c>
      <c r="S1368" s="4">
        <v>0</v>
      </c>
      <c r="T1368" s="204" t="s">
        <v>8805</v>
      </c>
    </row>
    <row r="1369" spans="1:20" ht="44.5" customHeight="1">
      <c r="A1369" s="11" t="s">
        <v>8774</v>
      </c>
      <c r="B1369" s="204" t="s">
        <v>2276</v>
      </c>
      <c r="C1369" s="204" t="s">
        <v>12</v>
      </c>
      <c r="D1369" s="4" t="s">
        <v>396</v>
      </c>
      <c r="E1369" s="204" t="s">
        <v>2653</v>
      </c>
      <c r="F1369" s="4" t="s">
        <v>2276</v>
      </c>
      <c r="G1369" s="4" t="s">
        <v>2276</v>
      </c>
      <c r="H1369" s="4" t="s">
        <v>2276</v>
      </c>
      <c r="I1369" s="4" t="s">
        <v>2276</v>
      </c>
      <c r="J1369" s="4" t="s">
        <v>2276</v>
      </c>
      <c r="K1369" s="4" t="s">
        <v>2276</v>
      </c>
      <c r="L1369" s="4" t="s">
        <v>2276</v>
      </c>
      <c r="M1369" s="4" t="s">
        <v>2276</v>
      </c>
      <c r="N1369" s="4">
        <v>0</v>
      </c>
      <c r="O1369" s="4">
        <v>0</v>
      </c>
      <c r="P1369" s="21">
        <v>100</v>
      </c>
      <c r="Q1369" s="4">
        <v>0</v>
      </c>
      <c r="R1369" s="4">
        <v>0</v>
      </c>
      <c r="S1369" s="4">
        <v>0</v>
      </c>
      <c r="T1369" s="204" t="s">
        <v>8805</v>
      </c>
    </row>
    <row r="1370" spans="1:20" ht="44.5" customHeight="1">
      <c r="A1370" s="11" t="s">
        <v>8775</v>
      </c>
      <c r="B1370" s="204" t="s">
        <v>2276</v>
      </c>
      <c r="C1370" s="204" t="s">
        <v>12</v>
      </c>
      <c r="D1370" s="4" t="s">
        <v>396</v>
      </c>
      <c r="E1370" s="204" t="s">
        <v>2653</v>
      </c>
      <c r="F1370" s="4" t="s">
        <v>2276</v>
      </c>
      <c r="G1370" s="4" t="s">
        <v>2276</v>
      </c>
      <c r="H1370" s="4" t="s">
        <v>2276</v>
      </c>
      <c r="I1370" s="4" t="s">
        <v>2276</v>
      </c>
      <c r="J1370" s="4" t="s">
        <v>2276</v>
      </c>
      <c r="K1370" s="4" t="s">
        <v>2276</v>
      </c>
      <c r="L1370" s="4" t="s">
        <v>2276</v>
      </c>
      <c r="M1370" s="4" t="s">
        <v>2276</v>
      </c>
      <c r="N1370" s="4">
        <v>0</v>
      </c>
      <c r="O1370" s="4">
        <v>0</v>
      </c>
      <c r="P1370" s="21">
        <v>100</v>
      </c>
      <c r="Q1370" s="4">
        <v>0</v>
      </c>
      <c r="R1370" s="4">
        <v>0</v>
      </c>
      <c r="S1370" s="4">
        <v>0</v>
      </c>
      <c r="T1370" s="204" t="s">
        <v>8805</v>
      </c>
    </row>
    <row r="1371" spans="1:20" ht="44.5" customHeight="1">
      <c r="A1371" s="11" t="s">
        <v>8776</v>
      </c>
      <c r="B1371" s="204" t="s">
        <v>2276</v>
      </c>
      <c r="C1371" s="204" t="s">
        <v>12</v>
      </c>
      <c r="D1371" s="4" t="s">
        <v>396</v>
      </c>
      <c r="E1371" s="204" t="s">
        <v>2653</v>
      </c>
      <c r="F1371" s="4" t="s">
        <v>2276</v>
      </c>
      <c r="G1371" s="4" t="s">
        <v>2276</v>
      </c>
      <c r="H1371" s="4" t="s">
        <v>2276</v>
      </c>
      <c r="I1371" s="4" t="s">
        <v>2276</v>
      </c>
      <c r="J1371" s="4" t="s">
        <v>2276</v>
      </c>
      <c r="K1371" s="4" t="s">
        <v>2276</v>
      </c>
      <c r="L1371" s="4" t="s">
        <v>2276</v>
      </c>
      <c r="M1371" s="4" t="s">
        <v>2276</v>
      </c>
      <c r="N1371" s="4">
        <v>0</v>
      </c>
      <c r="O1371" s="4">
        <v>0</v>
      </c>
      <c r="P1371" s="21">
        <v>100</v>
      </c>
      <c r="Q1371" s="4">
        <v>0</v>
      </c>
      <c r="R1371" s="4">
        <v>0</v>
      </c>
      <c r="S1371" s="4">
        <v>0</v>
      </c>
      <c r="T1371" s="204" t="s">
        <v>8805</v>
      </c>
    </row>
    <row r="1372" spans="1:20" ht="44.5" customHeight="1">
      <c r="A1372" s="11" t="s">
        <v>8777</v>
      </c>
      <c r="B1372" s="204" t="s">
        <v>2276</v>
      </c>
      <c r="C1372" s="204" t="s">
        <v>12</v>
      </c>
      <c r="D1372" s="4" t="s">
        <v>396</v>
      </c>
      <c r="E1372" s="204" t="s">
        <v>2653</v>
      </c>
      <c r="F1372" s="4" t="s">
        <v>2276</v>
      </c>
      <c r="G1372" s="4" t="s">
        <v>2276</v>
      </c>
      <c r="H1372" s="4" t="s">
        <v>2276</v>
      </c>
      <c r="I1372" s="4" t="s">
        <v>2276</v>
      </c>
      <c r="J1372" s="4" t="s">
        <v>2276</v>
      </c>
      <c r="K1372" s="4" t="s">
        <v>2276</v>
      </c>
      <c r="L1372" s="4" t="s">
        <v>2276</v>
      </c>
      <c r="M1372" s="4" t="s">
        <v>2276</v>
      </c>
      <c r="N1372" s="4">
        <v>0</v>
      </c>
      <c r="O1372" s="4">
        <v>0</v>
      </c>
      <c r="P1372" s="21">
        <v>100</v>
      </c>
      <c r="Q1372" s="4">
        <v>0</v>
      </c>
      <c r="R1372" s="4">
        <v>0</v>
      </c>
      <c r="S1372" s="4">
        <v>0</v>
      </c>
      <c r="T1372" s="204" t="s">
        <v>8805</v>
      </c>
    </row>
    <row r="1373" spans="1:20" ht="44.5" customHeight="1">
      <c r="A1373" s="11" t="s">
        <v>8778</v>
      </c>
      <c r="B1373" s="204" t="s">
        <v>2276</v>
      </c>
      <c r="C1373" s="204" t="s">
        <v>12</v>
      </c>
      <c r="D1373" s="4" t="s">
        <v>396</v>
      </c>
      <c r="E1373" s="204" t="s">
        <v>2653</v>
      </c>
      <c r="F1373" s="4" t="s">
        <v>2276</v>
      </c>
      <c r="G1373" s="4" t="s">
        <v>2276</v>
      </c>
      <c r="H1373" s="4" t="s">
        <v>2276</v>
      </c>
      <c r="I1373" s="4" t="s">
        <v>2276</v>
      </c>
      <c r="J1373" s="4" t="s">
        <v>2276</v>
      </c>
      <c r="K1373" s="4" t="s">
        <v>2276</v>
      </c>
      <c r="L1373" s="4" t="s">
        <v>2276</v>
      </c>
      <c r="M1373" s="4" t="s">
        <v>2276</v>
      </c>
      <c r="N1373" s="4">
        <v>0</v>
      </c>
      <c r="O1373" s="4">
        <v>0</v>
      </c>
      <c r="P1373" s="21">
        <v>100</v>
      </c>
      <c r="Q1373" s="4">
        <v>0</v>
      </c>
      <c r="R1373" s="4">
        <v>0</v>
      </c>
      <c r="S1373" s="4">
        <v>0</v>
      </c>
      <c r="T1373" s="204" t="s">
        <v>8805</v>
      </c>
    </row>
    <row r="1374" spans="1:20" ht="44.5" customHeight="1">
      <c r="A1374" s="11" t="s">
        <v>8779</v>
      </c>
      <c r="B1374" s="204" t="s">
        <v>2276</v>
      </c>
      <c r="C1374" s="204" t="s">
        <v>12</v>
      </c>
      <c r="D1374" s="4" t="s">
        <v>396</v>
      </c>
      <c r="E1374" s="204" t="s">
        <v>2653</v>
      </c>
      <c r="F1374" s="4" t="s">
        <v>2276</v>
      </c>
      <c r="G1374" s="4" t="s">
        <v>2276</v>
      </c>
      <c r="H1374" s="4" t="s">
        <v>2276</v>
      </c>
      <c r="I1374" s="4" t="s">
        <v>2276</v>
      </c>
      <c r="J1374" s="4" t="s">
        <v>2276</v>
      </c>
      <c r="K1374" s="4" t="s">
        <v>2276</v>
      </c>
      <c r="L1374" s="4" t="s">
        <v>2276</v>
      </c>
      <c r="M1374" s="4" t="s">
        <v>2276</v>
      </c>
      <c r="N1374" s="4">
        <v>0</v>
      </c>
      <c r="O1374" s="4">
        <v>0</v>
      </c>
      <c r="P1374" s="21">
        <v>100</v>
      </c>
      <c r="Q1374" s="4">
        <v>0</v>
      </c>
      <c r="R1374" s="4">
        <v>0</v>
      </c>
      <c r="S1374" s="4">
        <v>0</v>
      </c>
      <c r="T1374" s="204" t="s">
        <v>8805</v>
      </c>
    </row>
    <row r="1375" spans="1:20" ht="44.5" customHeight="1">
      <c r="A1375" s="11" t="s">
        <v>8780</v>
      </c>
      <c r="B1375" s="204" t="s">
        <v>2276</v>
      </c>
      <c r="C1375" s="204" t="s">
        <v>12</v>
      </c>
      <c r="D1375" s="4" t="s">
        <v>396</v>
      </c>
      <c r="E1375" s="204" t="s">
        <v>2653</v>
      </c>
      <c r="F1375" s="4" t="s">
        <v>2276</v>
      </c>
      <c r="G1375" s="4" t="s">
        <v>2276</v>
      </c>
      <c r="H1375" s="4" t="s">
        <v>2276</v>
      </c>
      <c r="I1375" s="4" t="s">
        <v>2276</v>
      </c>
      <c r="J1375" s="4" t="s">
        <v>2276</v>
      </c>
      <c r="K1375" s="4" t="s">
        <v>2276</v>
      </c>
      <c r="L1375" s="4" t="s">
        <v>2276</v>
      </c>
      <c r="M1375" s="4" t="s">
        <v>2276</v>
      </c>
      <c r="N1375" s="4">
        <v>0</v>
      </c>
      <c r="O1375" s="4">
        <v>0</v>
      </c>
      <c r="P1375" s="21">
        <v>100</v>
      </c>
      <c r="Q1375" s="4">
        <v>0</v>
      </c>
      <c r="R1375" s="4">
        <v>0</v>
      </c>
      <c r="S1375" s="4">
        <v>0</v>
      </c>
      <c r="T1375" s="204" t="s">
        <v>8805</v>
      </c>
    </row>
    <row r="1376" spans="1:20" ht="44.5" customHeight="1">
      <c r="A1376" s="11" t="s">
        <v>8781</v>
      </c>
      <c r="B1376" s="204" t="s">
        <v>2276</v>
      </c>
      <c r="C1376" s="204" t="s">
        <v>12</v>
      </c>
      <c r="D1376" s="4" t="s">
        <v>396</v>
      </c>
      <c r="E1376" s="204" t="s">
        <v>2653</v>
      </c>
      <c r="F1376" s="4" t="s">
        <v>2276</v>
      </c>
      <c r="G1376" s="4" t="s">
        <v>2276</v>
      </c>
      <c r="H1376" s="4" t="s">
        <v>2276</v>
      </c>
      <c r="I1376" s="4" t="s">
        <v>2276</v>
      </c>
      <c r="J1376" s="4" t="s">
        <v>2276</v>
      </c>
      <c r="K1376" s="4" t="s">
        <v>2276</v>
      </c>
      <c r="L1376" s="4" t="s">
        <v>2276</v>
      </c>
      <c r="M1376" s="4" t="s">
        <v>2276</v>
      </c>
      <c r="N1376" s="4">
        <v>0</v>
      </c>
      <c r="O1376" s="4">
        <v>0</v>
      </c>
      <c r="P1376" s="21">
        <v>100</v>
      </c>
      <c r="Q1376" s="4">
        <v>0</v>
      </c>
      <c r="R1376" s="4">
        <v>0</v>
      </c>
      <c r="S1376" s="4">
        <v>0</v>
      </c>
      <c r="T1376" s="204" t="s">
        <v>8805</v>
      </c>
    </row>
    <row r="1377" spans="1:20" ht="44.5" customHeight="1">
      <c r="A1377" s="11" t="s">
        <v>8782</v>
      </c>
      <c r="B1377" s="204" t="s">
        <v>2276</v>
      </c>
      <c r="C1377" s="204" t="s">
        <v>12</v>
      </c>
      <c r="D1377" s="204" t="s">
        <v>2653</v>
      </c>
      <c r="E1377" s="4" t="s">
        <v>2276</v>
      </c>
      <c r="F1377" s="4" t="s">
        <v>2276</v>
      </c>
      <c r="G1377" s="4" t="s">
        <v>2276</v>
      </c>
      <c r="H1377" s="4" t="s">
        <v>2276</v>
      </c>
      <c r="I1377" s="4" t="s">
        <v>2276</v>
      </c>
      <c r="J1377" s="4" t="s">
        <v>2276</v>
      </c>
      <c r="K1377" s="4" t="s">
        <v>2276</v>
      </c>
      <c r="L1377" s="4" t="s">
        <v>2276</v>
      </c>
      <c r="M1377" s="4" t="s">
        <v>2276</v>
      </c>
      <c r="N1377" s="4">
        <v>0</v>
      </c>
      <c r="O1377" s="4">
        <v>0</v>
      </c>
      <c r="P1377" s="21">
        <v>100</v>
      </c>
      <c r="Q1377" s="4">
        <v>0</v>
      </c>
      <c r="R1377" s="4">
        <v>0</v>
      </c>
      <c r="S1377" s="4">
        <v>0</v>
      </c>
      <c r="T1377" s="204" t="s">
        <v>8805</v>
      </c>
    </row>
    <row r="1378" spans="1:20" ht="44.5" customHeight="1">
      <c r="A1378" s="11" t="s">
        <v>8783</v>
      </c>
      <c r="B1378" s="204" t="s">
        <v>2276</v>
      </c>
      <c r="C1378" s="204" t="s">
        <v>12</v>
      </c>
      <c r="D1378" s="4" t="s">
        <v>396</v>
      </c>
      <c r="E1378" s="204" t="s">
        <v>2653</v>
      </c>
      <c r="F1378" s="4" t="s">
        <v>2276</v>
      </c>
      <c r="G1378" s="4" t="s">
        <v>2276</v>
      </c>
      <c r="H1378" s="4" t="s">
        <v>2276</v>
      </c>
      <c r="I1378" s="4" t="s">
        <v>2276</v>
      </c>
      <c r="J1378" s="4" t="s">
        <v>2276</v>
      </c>
      <c r="K1378" s="4" t="s">
        <v>2276</v>
      </c>
      <c r="L1378" s="4" t="s">
        <v>2276</v>
      </c>
      <c r="M1378" s="4" t="s">
        <v>2276</v>
      </c>
      <c r="N1378" s="4">
        <v>0</v>
      </c>
      <c r="O1378" s="4">
        <v>0</v>
      </c>
      <c r="P1378" s="21">
        <v>100</v>
      </c>
      <c r="Q1378" s="4">
        <v>0</v>
      </c>
      <c r="R1378" s="4">
        <v>0</v>
      </c>
      <c r="S1378" s="4">
        <v>0</v>
      </c>
      <c r="T1378" s="204" t="s">
        <v>8805</v>
      </c>
    </row>
    <row r="1379" spans="1:20" ht="44.5" customHeight="1">
      <c r="A1379" s="11" t="s">
        <v>8784</v>
      </c>
      <c r="B1379" s="204" t="s">
        <v>2276</v>
      </c>
      <c r="C1379" s="204" t="s">
        <v>12</v>
      </c>
      <c r="D1379" s="204" t="s">
        <v>2653</v>
      </c>
      <c r="E1379" s="4" t="s">
        <v>2276</v>
      </c>
      <c r="F1379" s="4" t="s">
        <v>2276</v>
      </c>
      <c r="G1379" s="4" t="s">
        <v>2276</v>
      </c>
      <c r="H1379" s="4" t="s">
        <v>2276</v>
      </c>
      <c r="I1379" s="4" t="s">
        <v>2276</v>
      </c>
      <c r="J1379" s="4" t="s">
        <v>2276</v>
      </c>
      <c r="K1379" s="4" t="s">
        <v>2276</v>
      </c>
      <c r="L1379" s="4" t="s">
        <v>2276</v>
      </c>
      <c r="M1379" s="4" t="s">
        <v>2276</v>
      </c>
      <c r="N1379" s="4">
        <v>0</v>
      </c>
      <c r="O1379" s="4">
        <v>0</v>
      </c>
      <c r="P1379" s="21">
        <v>100</v>
      </c>
      <c r="Q1379" s="4">
        <v>0</v>
      </c>
      <c r="R1379" s="4">
        <v>0</v>
      </c>
      <c r="S1379" s="4">
        <v>0</v>
      </c>
      <c r="T1379" s="204" t="s">
        <v>8805</v>
      </c>
    </row>
    <row r="1380" spans="1:20" ht="44.5" customHeight="1">
      <c r="A1380" s="11" t="s">
        <v>8785</v>
      </c>
      <c r="B1380" s="204" t="s">
        <v>2276</v>
      </c>
      <c r="C1380" s="204" t="s">
        <v>12</v>
      </c>
      <c r="D1380" s="4" t="s">
        <v>396</v>
      </c>
      <c r="E1380" s="204" t="s">
        <v>2653</v>
      </c>
      <c r="F1380" s="4" t="s">
        <v>2276</v>
      </c>
      <c r="G1380" s="4" t="s">
        <v>2276</v>
      </c>
      <c r="H1380" s="4" t="s">
        <v>2276</v>
      </c>
      <c r="I1380" s="4" t="s">
        <v>2276</v>
      </c>
      <c r="J1380" s="4" t="s">
        <v>2276</v>
      </c>
      <c r="K1380" s="4" t="s">
        <v>2276</v>
      </c>
      <c r="L1380" s="4" t="s">
        <v>2276</v>
      </c>
      <c r="M1380" s="4" t="s">
        <v>2276</v>
      </c>
      <c r="N1380" s="4">
        <v>0</v>
      </c>
      <c r="O1380" s="4">
        <v>0</v>
      </c>
      <c r="P1380" s="21">
        <v>100</v>
      </c>
      <c r="Q1380" s="4">
        <v>0</v>
      </c>
      <c r="R1380" s="4">
        <v>0</v>
      </c>
      <c r="S1380" s="4">
        <v>0</v>
      </c>
      <c r="T1380" s="204" t="s">
        <v>8805</v>
      </c>
    </row>
    <row r="1381" spans="1:20" ht="44.5" customHeight="1">
      <c r="A1381" s="11" t="s">
        <v>8799</v>
      </c>
      <c r="B1381" s="204" t="s">
        <v>2276</v>
      </c>
      <c r="C1381" s="204" t="s">
        <v>12</v>
      </c>
      <c r="D1381" s="4" t="s">
        <v>396</v>
      </c>
      <c r="E1381" s="204" t="s">
        <v>2653</v>
      </c>
      <c r="F1381" s="4" t="s">
        <v>2276</v>
      </c>
      <c r="G1381" s="4" t="s">
        <v>2276</v>
      </c>
      <c r="H1381" s="4" t="s">
        <v>2276</v>
      </c>
      <c r="I1381" s="4" t="s">
        <v>2276</v>
      </c>
      <c r="J1381" s="4" t="s">
        <v>2276</v>
      </c>
      <c r="K1381" s="4" t="s">
        <v>2276</v>
      </c>
      <c r="L1381" s="4" t="s">
        <v>2276</v>
      </c>
      <c r="M1381" s="4" t="s">
        <v>2276</v>
      </c>
      <c r="N1381" s="4">
        <v>0</v>
      </c>
      <c r="O1381" s="4">
        <v>0</v>
      </c>
      <c r="P1381" s="21">
        <v>100</v>
      </c>
      <c r="Q1381" s="4">
        <v>0</v>
      </c>
      <c r="R1381" s="4">
        <v>0</v>
      </c>
      <c r="S1381" s="4">
        <v>0</v>
      </c>
      <c r="T1381" s="204" t="s">
        <v>8805</v>
      </c>
    </row>
    <row r="1382" spans="1:20" ht="36.5" customHeight="1">
      <c r="A1382" s="11" t="s">
        <v>8806</v>
      </c>
      <c r="B1382" s="204" t="s">
        <v>2276</v>
      </c>
      <c r="C1382" s="204" t="s">
        <v>2276</v>
      </c>
      <c r="D1382" s="204" t="s">
        <v>2276</v>
      </c>
      <c r="E1382" s="204" t="s">
        <v>2276</v>
      </c>
      <c r="F1382" s="204" t="s">
        <v>2276</v>
      </c>
      <c r="G1382" s="204" t="s">
        <v>2276</v>
      </c>
      <c r="H1382" s="204" t="s">
        <v>2276</v>
      </c>
      <c r="I1382" s="204" t="s">
        <v>2276</v>
      </c>
      <c r="J1382" s="204" t="s">
        <v>2276</v>
      </c>
      <c r="K1382" s="204" t="s">
        <v>2276</v>
      </c>
      <c r="L1382" s="204" t="s">
        <v>2276</v>
      </c>
      <c r="M1382" s="204" t="s">
        <v>2276</v>
      </c>
      <c r="N1382" s="204" t="s">
        <v>2276</v>
      </c>
      <c r="O1382" s="204" t="s">
        <v>2276</v>
      </c>
      <c r="P1382" s="204" t="s">
        <v>2276</v>
      </c>
      <c r="Q1382" s="204" t="s">
        <v>2276</v>
      </c>
      <c r="R1382" s="204" t="s">
        <v>2276</v>
      </c>
      <c r="S1382" s="204" t="s">
        <v>2276</v>
      </c>
      <c r="T1382" s="204"/>
    </row>
    <row r="1383" spans="1:20" ht="36.5" customHeight="1">
      <c r="A1383" s="11" t="s">
        <v>8811</v>
      </c>
      <c r="B1383" s="204" t="s">
        <v>2276</v>
      </c>
      <c r="C1383" s="204" t="s">
        <v>2276</v>
      </c>
      <c r="D1383" s="204" t="s">
        <v>2276</v>
      </c>
      <c r="E1383" s="204" t="s">
        <v>2276</v>
      </c>
      <c r="F1383" s="204" t="s">
        <v>2276</v>
      </c>
      <c r="G1383" s="204" t="s">
        <v>2276</v>
      </c>
      <c r="H1383" s="204" t="s">
        <v>2276</v>
      </c>
      <c r="I1383" s="204" t="s">
        <v>2276</v>
      </c>
      <c r="J1383" s="204" t="s">
        <v>2276</v>
      </c>
      <c r="K1383" s="204" t="s">
        <v>2276</v>
      </c>
      <c r="L1383" s="204" t="s">
        <v>2276</v>
      </c>
      <c r="M1383" s="204" t="s">
        <v>2276</v>
      </c>
      <c r="N1383" s="204" t="s">
        <v>2276</v>
      </c>
      <c r="O1383" s="204" t="s">
        <v>2276</v>
      </c>
      <c r="P1383" s="204" t="s">
        <v>2276</v>
      </c>
      <c r="Q1383" s="204" t="s">
        <v>2276</v>
      </c>
      <c r="R1383" s="204" t="s">
        <v>2276</v>
      </c>
      <c r="S1383" s="204" t="s">
        <v>2276</v>
      </c>
      <c r="T1383" s="204"/>
    </row>
    <row r="1384" spans="1:20" ht="36.5" customHeight="1">
      <c r="A1384" s="11" t="s">
        <v>8812</v>
      </c>
      <c r="B1384" s="204" t="s">
        <v>2276</v>
      </c>
      <c r="C1384" s="204" t="s">
        <v>2276</v>
      </c>
      <c r="D1384" s="203" t="s">
        <v>137</v>
      </c>
      <c r="E1384" s="204" t="s">
        <v>2276</v>
      </c>
      <c r="F1384" s="204" t="s">
        <v>2276</v>
      </c>
      <c r="G1384" s="204" t="s">
        <v>2276</v>
      </c>
      <c r="H1384" s="204" t="s">
        <v>2276</v>
      </c>
      <c r="I1384" s="204" t="s">
        <v>2276</v>
      </c>
      <c r="J1384" s="204" t="s">
        <v>2276</v>
      </c>
      <c r="K1384" s="204" t="s">
        <v>2276</v>
      </c>
      <c r="L1384" s="204" t="s">
        <v>2276</v>
      </c>
      <c r="M1384" s="204" t="s">
        <v>2276</v>
      </c>
      <c r="N1384" s="204" t="s">
        <v>2276</v>
      </c>
      <c r="O1384" s="204" t="s">
        <v>2276</v>
      </c>
      <c r="P1384" s="204" t="s">
        <v>2276</v>
      </c>
      <c r="Q1384" s="204" t="s">
        <v>2276</v>
      </c>
      <c r="R1384" s="204" t="s">
        <v>2276</v>
      </c>
      <c r="S1384" s="204" t="s">
        <v>2276</v>
      </c>
      <c r="T1384" s="204"/>
    </row>
    <row r="1385" spans="1:20" ht="36.5" customHeight="1">
      <c r="A1385" s="11" t="s">
        <v>8813</v>
      </c>
      <c r="B1385" s="204" t="s">
        <v>2276</v>
      </c>
      <c r="C1385" s="204" t="s">
        <v>2276</v>
      </c>
      <c r="D1385" s="204" t="s">
        <v>2276</v>
      </c>
      <c r="E1385" s="204" t="s">
        <v>2276</v>
      </c>
      <c r="F1385" s="204" t="s">
        <v>2276</v>
      </c>
      <c r="G1385" s="204" t="s">
        <v>2276</v>
      </c>
      <c r="H1385" s="204" t="s">
        <v>2276</v>
      </c>
      <c r="I1385" s="204" t="s">
        <v>2276</v>
      </c>
      <c r="J1385" s="204" t="s">
        <v>2276</v>
      </c>
      <c r="K1385" s="204" t="s">
        <v>2276</v>
      </c>
      <c r="L1385" s="204" t="s">
        <v>2276</v>
      </c>
      <c r="M1385" s="204" t="s">
        <v>2276</v>
      </c>
      <c r="N1385" s="204" t="s">
        <v>2276</v>
      </c>
      <c r="O1385" s="204" t="s">
        <v>2276</v>
      </c>
      <c r="P1385" s="204" t="s">
        <v>2276</v>
      </c>
      <c r="Q1385" s="204" t="s">
        <v>2276</v>
      </c>
      <c r="R1385" s="204" t="s">
        <v>2276</v>
      </c>
      <c r="S1385" s="204" t="s">
        <v>2276</v>
      </c>
      <c r="T1385" s="204"/>
    </row>
    <row r="1386" spans="1:20" ht="36.5" customHeight="1">
      <c r="A1386" s="11" t="s">
        <v>8814</v>
      </c>
      <c r="B1386" s="204" t="s">
        <v>2276</v>
      </c>
      <c r="C1386" s="204" t="s">
        <v>2276</v>
      </c>
      <c r="D1386" s="204" t="s">
        <v>2276</v>
      </c>
      <c r="E1386" s="204" t="s">
        <v>2276</v>
      </c>
      <c r="F1386" s="204" t="s">
        <v>2276</v>
      </c>
      <c r="G1386" s="204" t="s">
        <v>2276</v>
      </c>
      <c r="H1386" s="204" t="s">
        <v>2276</v>
      </c>
      <c r="I1386" s="204" t="s">
        <v>2276</v>
      </c>
      <c r="J1386" s="204" t="s">
        <v>2276</v>
      </c>
      <c r="K1386" s="204" t="s">
        <v>2276</v>
      </c>
      <c r="L1386" s="204" t="s">
        <v>2276</v>
      </c>
      <c r="M1386" s="204" t="s">
        <v>2276</v>
      </c>
      <c r="N1386" s="204" t="s">
        <v>2276</v>
      </c>
      <c r="O1386" s="204" t="s">
        <v>2276</v>
      </c>
      <c r="P1386" s="204" t="s">
        <v>2276</v>
      </c>
      <c r="Q1386" s="204" t="s">
        <v>2276</v>
      </c>
      <c r="R1386" s="204" t="s">
        <v>2276</v>
      </c>
      <c r="S1386" s="204" t="s">
        <v>2276</v>
      </c>
      <c r="T1386" s="204"/>
    </row>
    <row r="1387" spans="1:20" ht="36.5" customHeight="1">
      <c r="A1387" s="11" t="s">
        <v>8815</v>
      </c>
      <c r="B1387" s="204" t="s">
        <v>2276</v>
      </c>
      <c r="C1387" s="204" t="s">
        <v>2276</v>
      </c>
      <c r="D1387" s="204" t="s">
        <v>2276</v>
      </c>
      <c r="E1387" s="204" t="s">
        <v>2276</v>
      </c>
      <c r="F1387" s="204" t="s">
        <v>2276</v>
      </c>
      <c r="G1387" s="204" t="s">
        <v>2276</v>
      </c>
      <c r="H1387" s="204" t="s">
        <v>2276</v>
      </c>
      <c r="I1387" s="204" t="s">
        <v>2276</v>
      </c>
      <c r="J1387" s="204" t="s">
        <v>2276</v>
      </c>
      <c r="K1387" s="204" t="s">
        <v>2276</v>
      </c>
      <c r="L1387" s="204" t="s">
        <v>2276</v>
      </c>
      <c r="M1387" s="204" t="s">
        <v>2276</v>
      </c>
      <c r="N1387" s="204" t="s">
        <v>2276</v>
      </c>
      <c r="O1387" s="204" t="s">
        <v>2276</v>
      </c>
      <c r="P1387" s="204" t="s">
        <v>2276</v>
      </c>
      <c r="Q1387" s="204" t="s">
        <v>2276</v>
      </c>
      <c r="R1387" s="204" t="s">
        <v>2276</v>
      </c>
      <c r="S1387" s="204" t="s">
        <v>2276</v>
      </c>
      <c r="T1387" s="204"/>
    </row>
    <row r="1388" spans="1:20" ht="49" customHeight="1">
      <c r="A1388" s="204" t="s">
        <v>8831</v>
      </c>
      <c r="B1388" s="204" t="s">
        <v>70</v>
      </c>
      <c r="C1388" s="204" t="s">
        <v>12</v>
      </c>
      <c r="D1388" s="4" t="s">
        <v>3854</v>
      </c>
      <c r="E1388" s="4" t="s">
        <v>397</v>
      </c>
      <c r="F1388" s="204" t="s">
        <v>2276</v>
      </c>
      <c r="G1388" s="204" t="s">
        <v>2276</v>
      </c>
      <c r="H1388" s="21">
        <f>(2*145+107*5+22*8+10*12)/300/I1388</f>
        <v>4.1441774491682075</v>
      </c>
      <c r="I1388" s="21">
        <f>(114*0.25+100*0.75+67*1.5+19*3.5)/300</f>
        <v>0.90166666666666662</v>
      </c>
      <c r="J1388" s="204" t="s">
        <v>2276</v>
      </c>
      <c r="K1388" s="204" t="s">
        <v>2276</v>
      </c>
      <c r="L1388" s="204" t="s">
        <v>2276</v>
      </c>
      <c r="M1388" s="204" t="s">
        <v>2276</v>
      </c>
      <c r="N1388" s="204" t="s">
        <v>2276</v>
      </c>
      <c r="O1388" s="204" t="s">
        <v>2276</v>
      </c>
      <c r="P1388" s="204" t="s">
        <v>2276</v>
      </c>
      <c r="Q1388" s="204" t="s">
        <v>2276</v>
      </c>
      <c r="R1388" s="204" t="s">
        <v>2276</v>
      </c>
      <c r="S1388" s="204" t="s">
        <v>2276</v>
      </c>
      <c r="T1388" s="204"/>
    </row>
    <row r="1389" spans="1:20" ht="41.5" customHeight="1">
      <c r="A1389" s="11" t="s">
        <v>8838</v>
      </c>
      <c r="B1389" s="204" t="s">
        <v>2276</v>
      </c>
      <c r="C1389" s="204" t="s">
        <v>12</v>
      </c>
      <c r="D1389" s="4" t="s">
        <v>396</v>
      </c>
      <c r="E1389" s="204" t="s">
        <v>2276</v>
      </c>
      <c r="F1389" s="204" t="s">
        <v>2276</v>
      </c>
      <c r="G1389" s="204" t="s">
        <v>2276</v>
      </c>
      <c r="H1389" s="204" t="s">
        <v>2276</v>
      </c>
      <c r="I1389" s="204" t="s">
        <v>2276</v>
      </c>
      <c r="J1389" s="204" t="s">
        <v>2276</v>
      </c>
      <c r="K1389" s="204" t="s">
        <v>2276</v>
      </c>
      <c r="L1389" s="204" t="s">
        <v>2276</v>
      </c>
      <c r="M1389" s="204" t="s">
        <v>2276</v>
      </c>
      <c r="N1389" s="204" t="s">
        <v>2276</v>
      </c>
      <c r="O1389" s="204" t="s">
        <v>2276</v>
      </c>
      <c r="P1389" s="204" t="s">
        <v>2276</v>
      </c>
      <c r="Q1389" s="204" t="s">
        <v>2276</v>
      </c>
      <c r="R1389" s="204" t="s">
        <v>2276</v>
      </c>
      <c r="S1389" s="204" t="s">
        <v>2276</v>
      </c>
      <c r="T1389" s="204"/>
    </row>
    <row r="1390" spans="1:20" ht="52.5" customHeight="1">
      <c r="A1390" s="11" t="s">
        <v>8844</v>
      </c>
      <c r="B1390" s="204" t="s">
        <v>2258</v>
      </c>
      <c r="C1390" s="204" t="s">
        <v>12</v>
      </c>
      <c r="D1390" s="204" t="s">
        <v>84</v>
      </c>
      <c r="E1390" s="204" t="s">
        <v>130</v>
      </c>
      <c r="F1390" s="204" t="s">
        <v>116</v>
      </c>
      <c r="G1390" s="204" t="s">
        <v>2649</v>
      </c>
      <c r="H1390" s="204" t="s">
        <v>2276</v>
      </c>
      <c r="I1390" s="204" t="s">
        <v>2276</v>
      </c>
      <c r="J1390" s="204" t="s">
        <v>2276</v>
      </c>
      <c r="K1390" s="204" t="s">
        <v>534</v>
      </c>
      <c r="L1390" s="204" t="s">
        <v>2276</v>
      </c>
      <c r="M1390" s="204" t="s">
        <v>2276</v>
      </c>
      <c r="N1390" s="21">
        <f>585000/'Record info'!K1390</f>
        <v>30.751487504645574</v>
      </c>
      <c r="O1390" s="204" t="s">
        <v>2276</v>
      </c>
      <c r="P1390" s="204" t="s">
        <v>2276</v>
      </c>
      <c r="Q1390" s="204" t="s">
        <v>2276</v>
      </c>
      <c r="R1390" s="204" t="s">
        <v>2276</v>
      </c>
      <c r="S1390" s="204" t="s">
        <v>2276</v>
      </c>
      <c r="T1390" s="204"/>
    </row>
    <row r="1391" spans="1:20" ht="46.5" customHeight="1">
      <c r="A1391" s="11" t="s">
        <v>8853</v>
      </c>
      <c r="B1391" s="204" t="s">
        <v>2276</v>
      </c>
      <c r="C1391" s="204" t="s">
        <v>12</v>
      </c>
      <c r="D1391" s="4" t="s">
        <v>397</v>
      </c>
      <c r="E1391" s="4" t="s">
        <v>130</v>
      </c>
      <c r="F1391" s="4" t="s">
        <v>2653</v>
      </c>
      <c r="G1391" s="4" t="s">
        <v>3854</v>
      </c>
      <c r="H1391" s="204" t="s">
        <v>2276</v>
      </c>
      <c r="I1391" s="204" t="s">
        <v>2276</v>
      </c>
      <c r="J1391" s="204" t="s">
        <v>2276</v>
      </c>
      <c r="K1391" s="204" t="s">
        <v>534</v>
      </c>
      <c r="L1391" s="204" t="s">
        <v>2276</v>
      </c>
      <c r="M1391" s="204" t="s">
        <v>2276</v>
      </c>
      <c r="N1391" s="204" t="s">
        <v>2276</v>
      </c>
      <c r="O1391" s="204" t="s">
        <v>2276</v>
      </c>
      <c r="P1391" s="204" t="s">
        <v>2276</v>
      </c>
      <c r="Q1391" s="204" t="s">
        <v>2276</v>
      </c>
      <c r="R1391" s="204" t="s">
        <v>2276</v>
      </c>
      <c r="S1391" s="204" t="s">
        <v>2276</v>
      </c>
      <c r="T1391" s="204"/>
    </row>
    <row r="1392" spans="1:20" ht="46.5" customHeight="1">
      <c r="A1392" s="11" t="s">
        <v>8861</v>
      </c>
      <c r="B1392" s="204" t="s">
        <v>2276</v>
      </c>
      <c r="C1392" s="204" t="s">
        <v>12</v>
      </c>
      <c r="D1392" s="4" t="s">
        <v>397</v>
      </c>
      <c r="E1392" s="4" t="s">
        <v>130</v>
      </c>
      <c r="F1392" s="4" t="s">
        <v>2653</v>
      </c>
      <c r="G1392" s="4" t="s">
        <v>3854</v>
      </c>
      <c r="H1392" s="204" t="s">
        <v>2276</v>
      </c>
      <c r="I1392" s="204" t="s">
        <v>2276</v>
      </c>
      <c r="J1392" s="204" t="s">
        <v>2276</v>
      </c>
      <c r="K1392" s="204" t="s">
        <v>534</v>
      </c>
      <c r="L1392" s="204" t="s">
        <v>2276</v>
      </c>
      <c r="M1392" s="204" t="s">
        <v>2276</v>
      </c>
      <c r="N1392" s="204" t="s">
        <v>2276</v>
      </c>
      <c r="O1392" s="204" t="s">
        <v>2276</v>
      </c>
      <c r="P1392" s="204" t="s">
        <v>2276</v>
      </c>
      <c r="Q1392" s="204" t="s">
        <v>2276</v>
      </c>
      <c r="R1392" s="204" t="s">
        <v>2276</v>
      </c>
      <c r="S1392" s="204" t="s">
        <v>2276</v>
      </c>
      <c r="T1392" s="204"/>
    </row>
    <row r="1393" spans="1:20" ht="46.5" customHeight="1">
      <c r="A1393" s="11" t="s">
        <v>8862</v>
      </c>
      <c r="B1393" s="204" t="s">
        <v>2276</v>
      </c>
      <c r="C1393" s="204" t="s">
        <v>12</v>
      </c>
      <c r="D1393" s="4" t="s">
        <v>397</v>
      </c>
      <c r="E1393" s="4" t="s">
        <v>130</v>
      </c>
      <c r="F1393" s="4" t="s">
        <v>2653</v>
      </c>
      <c r="G1393" s="4" t="s">
        <v>3854</v>
      </c>
      <c r="H1393" s="204" t="s">
        <v>2276</v>
      </c>
      <c r="I1393" s="204" t="s">
        <v>2276</v>
      </c>
      <c r="J1393" s="204" t="s">
        <v>2276</v>
      </c>
      <c r="K1393" s="204" t="s">
        <v>534</v>
      </c>
      <c r="L1393" s="204" t="s">
        <v>2276</v>
      </c>
      <c r="M1393" s="204" t="s">
        <v>2276</v>
      </c>
      <c r="N1393" s="204" t="s">
        <v>2276</v>
      </c>
      <c r="O1393" s="204" t="s">
        <v>2276</v>
      </c>
      <c r="P1393" s="204" t="s">
        <v>2276</v>
      </c>
      <c r="Q1393" s="204" t="s">
        <v>2276</v>
      </c>
      <c r="R1393" s="204" t="s">
        <v>2276</v>
      </c>
      <c r="S1393" s="204" t="s">
        <v>2276</v>
      </c>
      <c r="T1393" s="204"/>
    </row>
    <row r="1394" spans="1:20" ht="46.5" customHeight="1">
      <c r="A1394" s="11" t="s">
        <v>8863</v>
      </c>
      <c r="B1394" s="204" t="s">
        <v>2276</v>
      </c>
      <c r="C1394" s="204" t="s">
        <v>12</v>
      </c>
      <c r="D1394" s="4" t="s">
        <v>397</v>
      </c>
      <c r="E1394" s="4" t="s">
        <v>130</v>
      </c>
      <c r="F1394" s="4" t="s">
        <v>2653</v>
      </c>
      <c r="G1394" s="4" t="s">
        <v>3854</v>
      </c>
      <c r="H1394" s="204" t="s">
        <v>2276</v>
      </c>
      <c r="I1394" s="204" t="s">
        <v>2276</v>
      </c>
      <c r="J1394" s="204" t="s">
        <v>2276</v>
      </c>
      <c r="K1394" s="204" t="s">
        <v>534</v>
      </c>
      <c r="L1394" s="204" t="s">
        <v>2276</v>
      </c>
      <c r="M1394" s="204" t="s">
        <v>2276</v>
      </c>
      <c r="N1394" s="204" t="s">
        <v>2276</v>
      </c>
      <c r="O1394" s="204" t="s">
        <v>2276</v>
      </c>
      <c r="P1394" s="204" t="s">
        <v>2276</v>
      </c>
      <c r="Q1394" s="204" t="s">
        <v>2276</v>
      </c>
      <c r="R1394" s="204" t="s">
        <v>2276</v>
      </c>
      <c r="S1394" s="204" t="s">
        <v>2276</v>
      </c>
      <c r="T1394" s="204"/>
    </row>
    <row r="1395" spans="1:20" ht="44.5" customHeight="1">
      <c r="A1395" s="11" t="s">
        <v>8877</v>
      </c>
      <c r="B1395" s="204" t="s">
        <v>2276</v>
      </c>
      <c r="C1395" s="204" t="s">
        <v>12</v>
      </c>
      <c r="D1395" s="4" t="s">
        <v>2653</v>
      </c>
      <c r="E1395" s="204" t="s">
        <v>2652</v>
      </c>
      <c r="F1395" s="4" t="s">
        <v>130</v>
      </c>
      <c r="G1395" s="204" t="s">
        <v>2647</v>
      </c>
      <c r="H1395" s="204" t="s">
        <v>2276</v>
      </c>
      <c r="I1395" s="204" t="s">
        <v>2276</v>
      </c>
      <c r="J1395" s="204" t="s">
        <v>2276</v>
      </c>
      <c r="K1395" s="204" t="s">
        <v>2276</v>
      </c>
      <c r="L1395" s="204" t="s">
        <v>2276</v>
      </c>
      <c r="M1395" s="204" t="s">
        <v>2276</v>
      </c>
      <c r="N1395" s="204" t="s">
        <v>2276</v>
      </c>
      <c r="O1395" s="204" t="s">
        <v>2276</v>
      </c>
      <c r="P1395" s="204" t="s">
        <v>2276</v>
      </c>
      <c r="Q1395" s="204" t="s">
        <v>2276</v>
      </c>
      <c r="R1395" s="204" t="s">
        <v>2276</v>
      </c>
      <c r="S1395" s="204" t="s">
        <v>2276</v>
      </c>
      <c r="T1395" s="204"/>
    </row>
    <row r="1396" spans="1:20" ht="49.5" customHeight="1">
      <c r="A1396" s="11" t="s">
        <v>8894</v>
      </c>
      <c r="B1396" s="204" t="s">
        <v>70</v>
      </c>
      <c r="C1396" s="204" t="s">
        <v>12</v>
      </c>
      <c r="D1396" s="204" t="s">
        <v>45</v>
      </c>
      <c r="E1396" s="4" t="s">
        <v>130</v>
      </c>
      <c r="F1396" s="4" t="s">
        <v>3855</v>
      </c>
      <c r="G1396" s="204" t="s">
        <v>2276</v>
      </c>
      <c r="H1396" s="21">
        <f>15.37/I1396</f>
        <v>0.32378344217400462</v>
      </c>
      <c r="I1396" s="204">
        <v>47.47</v>
      </c>
      <c r="J1396" s="204" t="s">
        <v>2276</v>
      </c>
      <c r="K1396" s="204" t="s">
        <v>2276</v>
      </c>
      <c r="L1396" s="204" t="s">
        <v>2276</v>
      </c>
      <c r="M1396" s="204" t="s">
        <v>2276</v>
      </c>
      <c r="N1396" s="204" t="s">
        <v>2276</v>
      </c>
      <c r="O1396" s="204" t="s">
        <v>2276</v>
      </c>
      <c r="P1396" s="204" t="s">
        <v>2276</v>
      </c>
      <c r="Q1396" s="204" t="s">
        <v>2276</v>
      </c>
      <c r="R1396" s="204" t="s">
        <v>2276</v>
      </c>
      <c r="S1396" s="204" t="s">
        <v>2276</v>
      </c>
      <c r="T1396" s="204"/>
    </row>
    <row r="1397" spans="1:20" ht="49.5" customHeight="1">
      <c r="A1397" s="11" t="s">
        <v>8896</v>
      </c>
      <c r="B1397" s="204" t="s">
        <v>70</v>
      </c>
      <c r="C1397" s="204" t="s">
        <v>12</v>
      </c>
      <c r="D1397" s="204" t="s">
        <v>45</v>
      </c>
      <c r="E1397" s="4" t="s">
        <v>130</v>
      </c>
      <c r="F1397" s="4" t="s">
        <v>3855</v>
      </c>
      <c r="G1397" s="204" t="s">
        <v>2276</v>
      </c>
      <c r="H1397" s="21">
        <f>15.37/I1397</f>
        <v>0.32378344217400462</v>
      </c>
      <c r="I1397" s="204">
        <v>47.47</v>
      </c>
      <c r="J1397" s="204" t="s">
        <v>2276</v>
      </c>
      <c r="K1397" s="204" t="s">
        <v>2276</v>
      </c>
      <c r="L1397" s="204" t="s">
        <v>2276</v>
      </c>
      <c r="M1397" s="204" t="s">
        <v>2276</v>
      </c>
      <c r="N1397" s="204" t="s">
        <v>2276</v>
      </c>
      <c r="O1397" s="204" t="s">
        <v>2276</v>
      </c>
      <c r="P1397" s="204" t="s">
        <v>2276</v>
      </c>
      <c r="Q1397" s="204" t="s">
        <v>2276</v>
      </c>
      <c r="R1397" s="204" t="s">
        <v>2276</v>
      </c>
      <c r="S1397" s="204" t="s">
        <v>2276</v>
      </c>
      <c r="T1397" s="204"/>
    </row>
    <row r="1398" spans="1:20" ht="47" customHeight="1">
      <c r="A1398" s="11" t="s">
        <v>8922</v>
      </c>
      <c r="B1398" s="204" t="s">
        <v>2276</v>
      </c>
      <c r="C1398" s="204" t="s">
        <v>12</v>
      </c>
      <c r="D1398" s="204" t="s">
        <v>137</v>
      </c>
      <c r="E1398" s="204" t="s">
        <v>84</v>
      </c>
      <c r="F1398" s="204" t="s">
        <v>116</v>
      </c>
      <c r="G1398" s="204" t="s">
        <v>863</v>
      </c>
      <c r="H1398" s="204" t="s">
        <v>2276</v>
      </c>
      <c r="I1398" s="204" t="s">
        <v>2276</v>
      </c>
      <c r="J1398" s="204" t="s">
        <v>2276</v>
      </c>
      <c r="K1398" s="204" t="s">
        <v>534</v>
      </c>
      <c r="L1398" s="204" t="s">
        <v>2276</v>
      </c>
      <c r="M1398" s="204" t="s">
        <v>2276</v>
      </c>
      <c r="N1398" s="204" t="s">
        <v>2276</v>
      </c>
      <c r="O1398" s="204" t="s">
        <v>2276</v>
      </c>
      <c r="P1398" s="204" t="s">
        <v>2276</v>
      </c>
      <c r="Q1398" s="204" t="s">
        <v>2276</v>
      </c>
      <c r="R1398" s="21">
        <v>100</v>
      </c>
      <c r="S1398" s="204" t="s">
        <v>2276</v>
      </c>
      <c r="T1398" s="204" t="s">
        <v>8937</v>
      </c>
    </row>
    <row r="1399" spans="1:20" ht="42" customHeight="1">
      <c r="A1399" s="19" t="s">
        <v>8941</v>
      </c>
      <c r="B1399" s="4" t="s">
        <v>2276</v>
      </c>
      <c r="C1399" s="4" t="s">
        <v>12</v>
      </c>
      <c r="D1399" s="4" t="s">
        <v>116</v>
      </c>
      <c r="E1399" s="4" t="s">
        <v>397</v>
      </c>
      <c r="F1399" s="4" t="s">
        <v>2653</v>
      </c>
      <c r="G1399" s="4" t="s">
        <v>45</v>
      </c>
      <c r="H1399" s="204" t="s">
        <v>2276</v>
      </c>
      <c r="I1399" s="204" t="s">
        <v>2276</v>
      </c>
      <c r="J1399" s="204" t="s">
        <v>2276</v>
      </c>
      <c r="K1399" s="204" t="s">
        <v>534</v>
      </c>
      <c r="L1399" s="204" t="s">
        <v>2276</v>
      </c>
      <c r="M1399" s="204" t="s">
        <v>2276</v>
      </c>
      <c r="N1399" s="204" t="s">
        <v>2276</v>
      </c>
      <c r="O1399" s="204" t="s">
        <v>2276</v>
      </c>
      <c r="P1399" s="204" t="s">
        <v>2276</v>
      </c>
      <c r="Q1399" s="204" t="s">
        <v>2276</v>
      </c>
      <c r="R1399" s="204" t="s">
        <v>2276</v>
      </c>
      <c r="S1399" s="204" t="s">
        <v>2276</v>
      </c>
      <c r="T1399" s="204"/>
    </row>
    <row r="1400" spans="1:20" ht="36.5" customHeight="1">
      <c r="A1400" s="19" t="s">
        <v>8943</v>
      </c>
      <c r="B1400" s="4" t="s">
        <v>2276</v>
      </c>
      <c r="C1400" s="4" t="s">
        <v>2276</v>
      </c>
      <c r="D1400" s="4" t="s">
        <v>2276</v>
      </c>
      <c r="E1400" s="4" t="s">
        <v>2276</v>
      </c>
      <c r="F1400" s="4" t="s">
        <v>2276</v>
      </c>
      <c r="G1400" s="4" t="s">
        <v>2276</v>
      </c>
      <c r="H1400" s="4" t="s">
        <v>2276</v>
      </c>
      <c r="I1400" s="204" t="s">
        <v>2276</v>
      </c>
      <c r="J1400" s="204" t="s">
        <v>2276</v>
      </c>
      <c r="K1400" s="204" t="s">
        <v>534</v>
      </c>
      <c r="L1400" s="204" t="s">
        <v>2276</v>
      </c>
      <c r="M1400" s="204" t="s">
        <v>2276</v>
      </c>
      <c r="N1400" s="204" t="s">
        <v>2276</v>
      </c>
      <c r="O1400" s="204" t="s">
        <v>2276</v>
      </c>
      <c r="P1400" s="204" t="s">
        <v>2276</v>
      </c>
      <c r="Q1400" s="204" t="s">
        <v>2276</v>
      </c>
      <c r="R1400" s="204" t="s">
        <v>2276</v>
      </c>
      <c r="S1400" s="204" t="s">
        <v>2276</v>
      </c>
      <c r="T1400" s="204"/>
    </row>
    <row r="1401" spans="1:20" ht="39" customHeight="1">
      <c r="A1401" s="11" t="s">
        <v>8962</v>
      </c>
      <c r="B1401" s="204" t="s">
        <v>32</v>
      </c>
      <c r="C1401" s="204" t="s">
        <v>395</v>
      </c>
      <c r="D1401" s="204" t="s">
        <v>2653</v>
      </c>
      <c r="E1401" s="4" t="s">
        <v>397</v>
      </c>
      <c r="F1401" s="4" t="s">
        <v>45</v>
      </c>
      <c r="G1401" s="204" t="s">
        <v>137</v>
      </c>
      <c r="H1401" s="4" t="s">
        <v>2276</v>
      </c>
      <c r="I1401" s="4" t="s">
        <v>2276</v>
      </c>
      <c r="J1401" s="4" t="s">
        <v>2276</v>
      </c>
      <c r="K1401" s="4" t="s">
        <v>2276</v>
      </c>
      <c r="L1401" s="4" t="s">
        <v>2276</v>
      </c>
      <c r="M1401" s="4" t="s">
        <v>2276</v>
      </c>
      <c r="N1401" s="4" t="s">
        <v>2276</v>
      </c>
      <c r="O1401" s="21">
        <f>AVERAGE(24.8, 25.7, 25.2, 25.4)</f>
        <v>25.274999999999999</v>
      </c>
      <c r="P1401" s="21">
        <f>AVERAGE(6.2, 7.5, 11.2, 11.8)</f>
        <v>9.1750000000000007</v>
      </c>
      <c r="Q1401" s="4" t="s">
        <v>2276</v>
      </c>
      <c r="R1401" s="21">
        <f>AVERAGE(67.2, 64.8, 61.5, 60.6)</f>
        <v>63.524999999999999</v>
      </c>
      <c r="S1401" s="21">
        <f>100*(67.2-60.6)/67.2/23</f>
        <v>0.42701863354037273</v>
      </c>
      <c r="T1401" s="204"/>
    </row>
    <row r="1402" spans="1:20" ht="36.5" customHeight="1">
      <c r="A1402" s="11" t="s">
        <v>8969</v>
      </c>
      <c r="B1402" s="4" t="s">
        <v>2276</v>
      </c>
      <c r="C1402" s="204" t="s">
        <v>12</v>
      </c>
      <c r="D1402" s="4" t="s">
        <v>396</v>
      </c>
      <c r="E1402" s="4" t="s">
        <v>397</v>
      </c>
      <c r="F1402" s="204" t="s">
        <v>130</v>
      </c>
      <c r="G1402" s="4" t="s">
        <v>45</v>
      </c>
      <c r="H1402" s="4" t="s">
        <v>2276</v>
      </c>
      <c r="I1402" s="204">
        <f>AVERAGE(1.07, 2.15)</f>
        <v>1.6099999999999999</v>
      </c>
      <c r="J1402" s="4" t="s">
        <v>2276</v>
      </c>
      <c r="K1402" s="4" t="s">
        <v>2276</v>
      </c>
      <c r="L1402" s="4" t="s">
        <v>2276</v>
      </c>
      <c r="M1402" s="4" t="s">
        <v>2276</v>
      </c>
      <c r="N1402" s="4" t="s">
        <v>2276</v>
      </c>
      <c r="O1402" s="4" t="s">
        <v>2276</v>
      </c>
      <c r="P1402" s="4" t="s">
        <v>2276</v>
      </c>
      <c r="Q1402" s="4" t="s">
        <v>2276</v>
      </c>
      <c r="R1402" s="4" t="s">
        <v>2276</v>
      </c>
      <c r="S1402" s="4" t="s">
        <v>2276</v>
      </c>
      <c r="T1402" s="204"/>
    </row>
    <row r="1403" spans="1:20" ht="52" customHeight="1">
      <c r="A1403" s="11" t="s">
        <v>8976</v>
      </c>
      <c r="B1403" s="204" t="s">
        <v>32</v>
      </c>
      <c r="C1403" s="204" t="s">
        <v>12</v>
      </c>
      <c r="D1403" s="204" t="s">
        <v>45</v>
      </c>
      <c r="E1403" s="204" t="s">
        <v>5801</v>
      </c>
      <c r="F1403" s="4" t="s">
        <v>2276</v>
      </c>
      <c r="G1403" s="4" t="s">
        <v>2276</v>
      </c>
      <c r="H1403" s="4" t="s">
        <v>2276</v>
      </c>
      <c r="I1403" s="4" t="s">
        <v>2276</v>
      </c>
      <c r="J1403" s="4" t="s">
        <v>2276</v>
      </c>
      <c r="K1403" s="4" t="s">
        <v>2276</v>
      </c>
      <c r="L1403" s="4" t="s">
        <v>2276</v>
      </c>
      <c r="M1403" s="4" t="s">
        <v>2276</v>
      </c>
      <c r="N1403" s="4" t="s">
        <v>2276</v>
      </c>
      <c r="O1403" s="4" t="s">
        <v>2276</v>
      </c>
      <c r="P1403" s="4" t="s">
        <v>2276</v>
      </c>
      <c r="Q1403" s="4" t="s">
        <v>2276</v>
      </c>
      <c r="R1403" s="4" t="s">
        <v>2276</v>
      </c>
      <c r="S1403" s="4" t="s">
        <v>2276</v>
      </c>
      <c r="T1403" s="204"/>
    </row>
    <row r="1404" spans="1:20" ht="42" customHeight="1">
      <c r="A1404" s="11" t="s">
        <v>8984</v>
      </c>
      <c r="B1404" s="204" t="s">
        <v>1197</v>
      </c>
      <c r="C1404" s="204" t="s">
        <v>395</v>
      </c>
      <c r="D1404" s="204" t="s">
        <v>116</v>
      </c>
      <c r="E1404" s="204" t="s">
        <v>130</v>
      </c>
      <c r="F1404" s="4" t="s">
        <v>2276</v>
      </c>
      <c r="G1404" s="4" t="s">
        <v>2276</v>
      </c>
      <c r="H1404" s="4" t="s">
        <v>2276</v>
      </c>
      <c r="I1404" s="4" t="s">
        <v>2276</v>
      </c>
      <c r="J1404" s="4" t="s">
        <v>2276</v>
      </c>
      <c r="K1404" s="4" t="s">
        <v>2276</v>
      </c>
      <c r="L1404" s="4" t="s">
        <v>2276</v>
      </c>
      <c r="M1404" s="4" t="s">
        <v>2276</v>
      </c>
      <c r="N1404" s="4" t="s">
        <v>2276</v>
      </c>
      <c r="O1404" s="4" t="s">
        <v>2276</v>
      </c>
      <c r="P1404" s="4" t="s">
        <v>2276</v>
      </c>
      <c r="Q1404" s="4" t="s">
        <v>2276</v>
      </c>
      <c r="R1404" s="4" t="s">
        <v>2276</v>
      </c>
      <c r="S1404" s="21">
        <v>0.6</v>
      </c>
      <c r="T1404" s="204"/>
    </row>
    <row r="1405" spans="1:20" ht="37" customHeight="1">
      <c r="A1405" s="11" t="s">
        <v>8985</v>
      </c>
      <c r="B1405" s="204" t="s">
        <v>70</v>
      </c>
      <c r="C1405" s="204" t="s">
        <v>2645</v>
      </c>
      <c r="D1405" s="204" t="s">
        <v>84</v>
      </c>
      <c r="E1405" s="204" t="s">
        <v>45</v>
      </c>
      <c r="F1405" s="4" t="s">
        <v>2276</v>
      </c>
      <c r="G1405" s="4" t="s">
        <v>2276</v>
      </c>
      <c r="H1405" s="4" t="s">
        <v>2276</v>
      </c>
      <c r="I1405" s="4" t="s">
        <v>2276</v>
      </c>
      <c r="J1405" s="4" t="s">
        <v>2276</v>
      </c>
      <c r="K1405" s="4" t="s">
        <v>2276</v>
      </c>
      <c r="L1405" s="4" t="s">
        <v>2276</v>
      </c>
      <c r="M1405" s="4" t="s">
        <v>2276</v>
      </c>
      <c r="N1405" s="4" t="s">
        <v>2276</v>
      </c>
      <c r="O1405" s="4" t="s">
        <v>2276</v>
      </c>
      <c r="P1405" s="4" t="s">
        <v>2276</v>
      </c>
      <c r="Q1405" s="4" t="s">
        <v>2276</v>
      </c>
      <c r="R1405" s="4" t="s">
        <v>2276</v>
      </c>
      <c r="S1405" s="21">
        <f>AVERAGE(1.5, 26)</f>
        <v>13.75</v>
      </c>
      <c r="T1405" s="204"/>
    </row>
    <row r="1406" spans="1:20" ht="32" customHeight="1">
      <c r="A1406" s="11" t="s">
        <v>8993</v>
      </c>
      <c r="B1406" s="204" t="s">
        <v>2276</v>
      </c>
      <c r="C1406" s="204" t="s">
        <v>12</v>
      </c>
      <c r="D1406" s="4" t="s">
        <v>396</v>
      </c>
      <c r="E1406" s="4" t="s">
        <v>397</v>
      </c>
      <c r="F1406" s="4" t="s">
        <v>2276</v>
      </c>
      <c r="G1406" s="4" t="s">
        <v>2276</v>
      </c>
      <c r="H1406" s="4" t="s">
        <v>2276</v>
      </c>
      <c r="I1406" s="4" t="s">
        <v>2276</v>
      </c>
      <c r="J1406" s="4" t="s">
        <v>2276</v>
      </c>
      <c r="K1406" s="4" t="s">
        <v>2276</v>
      </c>
      <c r="L1406" s="4" t="s">
        <v>2276</v>
      </c>
      <c r="M1406" s="4" t="s">
        <v>2276</v>
      </c>
      <c r="N1406" s="4">
        <v>0</v>
      </c>
      <c r="O1406" s="4">
        <v>0</v>
      </c>
      <c r="P1406" s="21">
        <v>100</v>
      </c>
      <c r="Q1406" s="4">
        <v>0</v>
      </c>
      <c r="R1406" s="4">
        <v>0</v>
      </c>
      <c r="S1406" s="4">
        <v>0</v>
      </c>
      <c r="T1406" s="4"/>
    </row>
    <row r="1407" spans="1:20" ht="32" customHeight="1">
      <c r="A1407" s="11" t="s">
        <v>9002</v>
      </c>
      <c r="B1407" s="204" t="s">
        <v>2276</v>
      </c>
      <c r="C1407" s="204" t="s">
        <v>12</v>
      </c>
      <c r="D1407" s="4" t="s">
        <v>396</v>
      </c>
      <c r="E1407" s="4" t="s">
        <v>397</v>
      </c>
      <c r="F1407" s="4" t="s">
        <v>2276</v>
      </c>
      <c r="G1407" s="4" t="s">
        <v>2276</v>
      </c>
      <c r="H1407" s="4" t="s">
        <v>2276</v>
      </c>
      <c r="I1407" s="4" t="s">
        <v>2276</v>
      </c>
      <c r="J1407" s="4" t="s">
        <v>2276</v>
      </c>
      <c r="K1407" s="4" t="s">
        <v>2276</v>
      </c>
      <c r="L1407" s="4" t="s">
        <v>2276</v>
      </c>
      <c r="M1407" s="4" t="s">
        <v>2276</v>
      </c>
      <c r="N1407" s="4">
        <v>0</v>
      </c>
      <c r="O1407" s="4">
        <v>0</v>
      </c>
      <c r="P1407" s="21">
        <v>100</v>
      </c>
      <c r="Q1407" s="4">
        <v>0</v>
      </c>
      <c r="R1407" s="4">
        <v>0</v>
      </c>
      <c r="S1407" s="4">
        <v>0</v>
      </c>
      <c r="T1407" s="4"/>
    </row>
    <row r="1408" spans="1:20" ht="32" customHeight="1">
      <c r="A1408" s="11" t="s">
        <v>9009</v>
      </c>
      <c r="B1408" s="204" t="s">
        <v>2276</v>
      </c>
      <c r="C1408" s="204" t="s">
        <v>12</v>
      </c>
      <c r="D1408" s="4" t="s">
        <v>396</v>
      </c>
      <c r="E1408" s="4" t="s">
        <v>397</v>
      </c>
      <c r="F1408" s="4" t="s">
        <v>2276</v>
      </c>
      <c r="G1408" s="4" t="s">
        <v>2276</v>
      </c>
      <c r="H1408" s="4" t="s">
        <v>2276</v>
      </c>
      <c r="I1408" s="4" t="s">
        <v>2276</v>
      </c>
      <c r="J1408" s="4" t="s">
        <v>2276</v>
      </c>
      <c r="K1408" s="4" t="s">
        <v>2276</v>
      </c>
      <c r="L1408" s="4" t="s">
        <v>2276</v>
      </c>
      <c r="M1408" s="4" t="s">
        <v>2276</v>
      </c>
      <c r="N1408" s="4">
        <v>0</v>
      </c>
      <c r="O1408" s="4">
        <v>0</v>
      </c>
      <c r="P1408" s="21">
        <v>100</v>
      </c>
      <c r="Q1408" s="4">
        <v>0</v>
      </c>
      <c r="R1408" s="4">
        <v>0</v>
      </c>
      <c r="S1408" s="4">
        <v>0</v>
      </c>
      <c r="T1408" s="4"/>
    </row>
    <row r="1409" spans="1:20" ht="32" customHeight="1">
      <c r="A1409" s="11" t="s">
        <v>9003</v>
      </c>
      <c r="B1409" s="204" t="s">
        <v>2276</v>
      </c>
      <c r="C1409" s="204" t="s">
        <v>12</v>
      </c>
      <c r="D1409" s="4" t="s">
        <v>397</v>
      </c>
      <c r="E1409" s="4" t="s">
        <v>396</v>
      </c>
      <c r="F1409" s="4" t="s">
        <v>2276</v>
      </c>
      <c r="G1409" s="4" t="s">
        <v>2276</v>
      </c>
      <c r="H1409" s="4" t="s">
        <v>2276</v>
      </c>
      <c r="I1409" s="4" t="s">
        <v>2276</v>
      </c>
      <c r="J1409" s="4" t="s">
        <v>2276</v>
      </c>
      <c r="K1409" s="4" t="s">
        <v>2276</v>
      </c>
      <c r="L1409" s="4" t="s">
        <v>2276</v>
      </c>
      <c r="M1409" s="4" t="s">
        <v>2276</v>
      </c>
      <c r="N1409" s="4">
        <v>0</v>
      </c>
      <c r="O1409" s="4">
        <v>0</v>
      </c>
      <c r="P1409" s="21">
        <v>100</v>
      </c>
      <c r="Q1409" s="4">
        <v>0</v>
      </c>
      <c r="R1409" s="4">
        <v>0</v>
      </c>
      <c r="S1409" s="4">
        <v>0</v>
      </c>
      <c r="T1409" s="4"/>
    </row>
    <row r="1410" spans="1:20" ht="32" customHeight="1">
      <c r="A1410" s="11" t="s">
        <v>9004</v>
      </c>
      <c r="B1410" s="204" t="s">
        <v>2276</v>
      </c>
      <c r="C1410" s="204" t="s">
        <v>12</v>
      </c>
      <c r="D1410" s="4" t="s">
        <v>396</v>
      </c>
      <c r="E1410" s="4" t="s">
        <v>397</v>
      </c>
      <c r="F1410" s="4" t="s">
        <v>2276</v>
      </c>
      <c r="G1410" s="4" t="s">
        <v>2276</v>
      </c>
      <c r="H1410" s="4" t="s">
        <v>2276</v>
      </c>
      <c r="I1410" s="4" t="s">
        <v>2276</v>
      </c>
      <c r="J1410" s="4" t="s">
        <v>2276</v>
      </c>
      <c r="K1410" s="4" t="s">
        <v>2276</v>
      </c>
      <c r="L1410" s="4" t="s">
        <v>2276</v>
      </c>
      <c r="M1410" s="4" t="s">
        <v>2276</v>
      </c>
      <c r="N1410" s="4">
        <v>0</v>
      </c>
      <c r="O1410" s="4">
        <v>0</v>
      </c>
      <c r="P1410" s="21">
        <v>100</v>
      </c>
      <c r="Q1410" s="4">
        <v>0</v>
      </c>
      <c r="R1410" s="4">
        <v>0</v>
      </c>
      <c r="S1410" s="4">
        <v>0</v>
      </c>
      <c r="T1410" s="4"/>
    </row>
    <row r="1411" spans="1:20" ht="32" customHeight="1">
      <c r="A1411" s="11" t="s">
        <v>9005</v>
      </c>
      <c r="B1411" s="204" t="s">
        <v>2276</v>
      </c>
      <c r="C1411" s="204" t="s">
        <v>12</v>
      </c>
      <c r="D1411" s="4" t="s">
        <v>396</v>
      </c>
      <c r="E1411" s="4" t="s">
        <v>397</v>
      </c>
      <c r="F1411" s="4" t="s">
        <v>2276</v>
      </c>
      <c r="G1411" s="4" t="s">
        <v>2276</v>
      </c>
      <c r="H1411" s="4" t="s">
        <v>2276</v>
      </c>
      <c r="I1411" s="4" t="s">
        <v>2276</v>
      </c>
      <c r="J1411" s="4" t="s">
        <v>2276</v>
      </c>
      <c r="K1411" s="4" t="s">
        <v>2276</v>
      </c>
      <c r="L1411" s="4" t="s">
        <v>2276</v>
      </c>
      <c r="M1411" s="4" t="s">
        <v>2276</v>
      </c>
      <c r="N1411" s="4">
        <v>0</v>
      </c>
      <c r="O1411" s="4">
        <v>0</v>
      </c>
      <c r="P1411" s="21">
        <v>100</v>
      </c>
      <c r="Q1411" s="4">
        <v>0</v>
      </c>
      <c r="R1411" s="4">
        <v>0</v>
      </c>
      <c r="S1411" s="4">
        <v>0</v>
      </c>
      <c r="T1411" s="4"/>
    </row>
    <row r="1412" spans="1:20" ht="32" customHeight="1">
      <c r="A1412" s="11" t="s">
        <v>9006</v>
      </c>
      <c r="B1412" s="204" t="s">
        <v>2276</v>
      </c>
      <c r="C1412" s="204" t="s">
        <v>12</v>
      </c>
      <c r="D1412" s="4" t="s">
        <v>396</v>
      </c>
      <c r="E1412" s="4" t="s">
        <v>397</v>
      </c>
      <c r="F1412" s="4" t="s">
        <v>2276</v>
      </c>
      <c r="G1412" s="4" t="s">
        <v>2276</v>
      </c>
      <c r="H1412" s="4" t="s">
        <v>2276</v>
      </c>
      <c r="I1412" s="4" t="s">
        <v>2276</v>
      </c>
      <c r="J1412" s="4" t="s">
        <v>2276</v>
      </c>
      <c r="K1412" s="4" t="s">
        <v>2276</v>
      </c>
      <c r="L1412" s="4" t="s">
        <v>2276</v>
      </c>
      <c r="M1412" s="4" t="s">
        <v>2276</v>
      </c>
      <c r="N1412" s="4">
        <v>0</v>
      </c>
      <c r="O1412" s="4">
        <v>0</v>
      </c>
      <c r="P1412" s="21">
        <v>100</v>
      </c>
      <c r="Q1412" s="4">
        <v>0</v>
      </c>
      <c r="R1412" s="4">
        <v>0</v>
      </c>
      <c r="S1412" s="4">
        <v>0</v>
      </c>
      <c r="T1412" s="4"/>
    </row>
    <row r="1413" spans="1:20" ht="32" customHeight="1">
      <c r="A1413" s="11" t="s">
        <v>9007</v>
      </c>
      <c r="B1413" s="204" t="s">
        <v>2276</v>
      </c>
      <c r="C1413" s="204" t="s">
        <v>12</v>
      </c>
      <c r="D1413" s="4" t="s">
        <v>396</v>
      </c>
      <c r="E1413" s="4" t="s">
        <v>397</v>
      </c>
      <c r="F1413" s="4" t="s">
        <v>2276</v>
      </c>
      <c r="G1413" s="4" t="s">
        <v>2276</v>
      </c>
      <c r="H1413" s="4" t="s">
        <v>2276</v>
      </c>
      <c r="I1413" s="4" t="s">
        <v>2276</v>
      </c>
      <c r="J1413" s="4" t="s">
        <v>2276</v>
      </c>
      <c r="K1413" s="4" t="s">
        <v>2276</v>
      </c>
      <c r="L1413" s="4" t="s">
        <v>2276</v>
      </c>
      <c r="M1413" s="4" t="s">
        <v>2276</v>
      </c>
      <c r="N1413" s="4">
        <v>0</v>
      </c>
      <c r="O1413" s="4">
        <v>0</v>
      </c>
      <c r="P1413" s="21">
        <v>100</v>
      </c>
      <c r="Q1413" s="4">
        <v>0</v>
      </c>
      <c r="R1413" s="4">
        <v>0</v>
      </c>
      <c r="S1413" s="4">
        <v>0</v>
      </c>
      <c r="T1413" s="4"/>
    </row>
    <row r="1414" spans="1:20" ht="32" customHeight="1">
      <c r="A1414" s="11" t="s">
        <v>9008</v>
      </c>
      <c r="B1414" s="204" t="s">
        <v>2276</v>
      </c>
      <c r="C1414" s="204" t="s">
        <v>12</v>
      </c>
      <c r="D1414" s="4" t="s">
        <v>396</v>
      </c>
      <c r="E1414" s="4" t="s">
        <v>397</v>
      </c>
      <c r="F1414" s="4" t="s">
        <v>2276</v>
      </c>
      <c r="G1414" s="4" t="s">
        <v>2276</v>
      </c>
      <c r="H1414" s="4" t="s">
        <v>2276</v>
      </c>
      <c r="I1414" s="4" t="s">
        <v>2276</v>
      </c>
      <c r="J1414" s="4" t="s">
        <v>2276</v>
      </c>
      <c r="K1414" s="4" t="s">
        <v>2276</v>
      </c>
      <c r="L1414" s="4" t="s">
        <v>2276</v>
      </c>
      <c r="M1414" s="4" t="s">
        <v>2276</v>
      </c>
      <c r="N1414" s="4">
        <v>0</v>
      </c>
      <c r="O1414" s="4">
        <v>0</v>
      </c>
      <c r="P1414" s="21">
        <v>100</v>
      </c>
      <c r="Q1414" s="4">
        <v>0</v>
      </c>
      <c r="R1414" s="4">
        <v>0</v>
      </c>
      <c r="S1414" s="4">
        <v>0</v>
      </c>
      <c r="T1414" s="4"/>
    </row>
    <row r="1415" spans="1:20" ht="43" customHeight="1">
      <c r="A1415" s="11" t="s">
        <v>9120</v>
      </c>
      <c r="B1415" s="204" t="s">
        <v>2276</v>
      </c>
      <c r="C1415" s="204" t="s">
        <v>2645</v>
      </c>
      <c r="D1415" s="204" t="s">
        <v>2649</v>
      </c>
      <c r="E1415" s="204" t="s">
        <v>2653</v>
      </c>
      <c r="F1415" s="4" t="s">
        <v>5801</v>
      </c>
      <c r="G1415" s="4" t="s">
        <v>2276</v>
      </c>
      <c r="H1415" s="4" t="s">
        <v>2276</v>
      </c>
      <c r="I1415" s="4" t="s">
        <v>2276</v>
      </c>
      <c r="J1415" s="4" t="s">
        <v>2276</v>
      </c>
      <c r="K1415" s="204" t="s">
        <v>534</v>
      </c>
      <c r="L1415" s="4" t="s">
        <v>2276</v>
      </c>
      <c r="M1415" s="4" t="s">
        <v>2276</v>
      </c>
      <c r="N1415" s="21">
        <v>16</v>
      </c>
      <c r="O1415" s="4" t="s">
        <v>2276</v>
      </c>
      <c r="P1415" s="4" t="s">
        <v>2276</v>
      </c>
      <c r="Q1415" s="4" t="s">
        <v>2276</v>
      </c>
      <c r="R1415" s="4" t="s">
        <v>2276</v>
      </c>
      <c r="S1415" s="4" t="s">
        <v>2276</v>
      </c>
      <c r="T1415" s="204" t="s">
        <v>9130</v>
      </c>
    </row>
    <row r="1416" spans="1:20" ht="40.5" customHeight="1">
      <c r="A1416" s="11" t="s">
        <v>9121</v>
      </c>
      <c r="B1416" s="204" t="s">
        <v>2276</v>
      </c>
      <c r="C1416" s="204" t="s">
        <v>2645</v>
      </c>
      <c r="D1416" s="204" t="s">
        <v>2649</v>
      </c>
      <c r="E1416" s="4" t="s">
        <v>2276</v>
      </c>
      <c r="F1416" s="4" t="s">
        <v>2276</v>
      </c>
      <c r="G1416" s="4" t="s">
        <v>2276</v>
      </c>
      <c r="H1416" s="4" t="s">
        <v>2276</v>
      </c>
      <c r="I1416" s="4" t="s">
        <v>2276</v>
      </c>
      <c r="J1416" s="4" t="s">
        <v>2276</v>
      </c>
      <c r="K1416" s="204" t="s">
        <v>534</v>
      </c>
      <c r="L1416" s="4" t="s">
        <v>2276</v>
      </c>
      <c r="M1416" s="4" t="s">
        <v>2276</v>
      </c>
      <c r="N1416" s="21">
        <v>3.9</v>
      </c>
      <c r="O1416" s="4" t="s">
        <v>2276</v>
      </c>
      <c r="P1416" s="4" t="s">
        <v>2276</v>
      </c>
      <c r="Q1416" s="4" t="s">
        <v>2276</v>
      </c>
      <c r="R1416" s="4" t="s">
        <v>2276</v>
      </c>
      <c r="S1416" s="4" t="s">
        <v>2276</v>
      </c>
      <c r="T1416" s="204" t="s">
        <v>9130</v>
      </c>
    </row>
    <row r="1417" spans="1:20" ht="46.5" customHeight="1">
      <c r="A1417" s="11" t="s">
        <v>9135</v>
      </c>
      <c r="B1417" s="204" t="s">
        <v>70</v>
      </c>
      <c r="C1417" s="204" t="s">
        <v>2645</v>
      </c>
      <c r="D1417" s="204" t="s">
        <v>2649</v>
      </c>
      <c r="E1417" s="4" t="s">
        <v>2276</v>
      </c>
      <c r="F1417" s="4" t="s">
        <v>2276</v>
      </c>
      <c r="G1417" s="4" t="s">
        <v>2276</v>
      </c>
      <c r="H1417" s="4" t="s">
        <v>2276</v>
      </c>
      <c r="I1417" s="4" t="s">
        <v>2276</v>
      </c>
      <c r="J1417" s="4" t="s">
        <v>2276</v>
      </c>
      <c r="K1417" s="204" t="s">
        <v>534</v>
      </c>
      <c r="L1417" s="4" t="s">
        <v>2276</v>
      </c>
      <c r="M1417" s="4" t="s">
        <v>2276</v>
      </c>
      <c r="N1417" s="21">
        <f>'Reported burning'!V3492/'Reported burning'!X3492</f>
        <v>7.1658755274261603</v>
      </c>
      <c r="O1417" s="4" t="s">
        <v>2276</v>
      </c>
      <c r="P1417" s="4" t="s">
        <v>2276</v>
      </c>
      <c r="Q1417" s="4" t="s">
        <v>2276</v>
      </c>
      <c r="R1417" s="4" t="s">
        <v>2276</v>
      </c>
      <c r="S1417" s="4" t="s">
        <v>2276</v>
      </c>
      <c r="T1417" s="204"/>
    </row>
    <row r="1418" spans="1:20" ht="43.5" customHeight="1">
      <c r="A1418" s="35" t="s">
        <v>9148</v>
      </c>
      <c r="B1418" s="204" t="s">
        <v>2276</v>
      </c>
      <c r="C1418" s="204" t="s">
        <v>12</v>
      </c>
      <c r="D1418" s="204" t="s">
        <v>2649</v>
      </c>
      <c r="E1418" s="204" t="s">
        <v>2653</v>
      </c>
      <c r="F1418" s="4" t="s">
        <v>396</v>
      </c>
      <c r="G1418" s="204" t="s">
        <v>137</v>
      </c>
      <c r="H1418" s="4" t="s">
        <v>2276</v>
      </c>
      <c r="I1418" s="4" t="s">
        <v>2276</v>
      </c>
      <c r="J1418" s="4" t="s">
        <v>2276</v>
      </c>
      <c r="K1418" s="38" t="s">
        <v>534</v>
      </c>
      <c r="L1418" s="4" t="s">
        <v>2276</v>
      </c>
      <c r="M1418" s="4" t="s">
        <v>2276</v>
      </c>
      <c r="N1418" s="73">
        <f>2960000/756102</f>
        <v>3.9148157259205769</v>
      </c>
      <c r="O1418" s="73">
        <f>P1418</f>
        <v>23.042592137039712</v>
      </c>
      <c r="P1418" s="73">
        <f>(50-N1418)/2</f>
        <v>23.042592137039712</v>
      </c>
      <c r="Q1418" s="168" t="s">
        <v>2276</v>
      </c>
      <c r="R1418" s="73">
        <f>18.7</f>
        <v>18.7</v>
      </c>
      <c r="S1418" s="168" t="s">
        <v>2276</v>
      </c>
      <c r="T1418" s="35" t="s">
        <v>9180</v>
      </c>
    </row>
    <row r="1419" spans="1:20" ht="43.5" customHeight="1">
      <c r="A1419" s="11" t="s">
        <v>9164</v>
      </c>
      <c r="B1419" s="204" t="s">
        <v>2276</v>
      </c>
      <c r="C1419" s="204" t="s">
        <v>2276</v>
      </c>
      <c r="D1419" s="204" t="s">
        <v>2276</v>
      </c>
      <c r="E1419" s="204" t="s">
        <v>2276</v>
      </c>
      <c r="F1419" s="204" t="s">
        <v>2276</v>
      </c>
      <c r="G1419" s="204" t="s">
        <v>2276</v>
      </c>
      <c r="H1419" s="4" t="s">
        <v>2276</v>
      </c>
      <c r="I1419" s="4" t="s">
        <v>2276</v>
      </c>
      <c r="J1419" s="4" t="s">
        <v>2276</v>
      </c>
      <c r="K1419" s="4" t="s">
        <v>2276</v>
      </c>
      <c r="L1419" s="4" t="s">
        <v>2276</v>
      </c>
      <c r="M1419" s="4" t="s">
        <v>2276</v>
      </c>
      <c r="N1419" s="4" t="s">
        <v>2276</v>
      </c>
      <c r="O1419" s="4" t="s">
        <v>2276</v>
      </c>
      <c r="P1419" s="4" t="s">
        <v>2276</v>
      </c>
      <c r="Q1419" s="4" t="s">
        <v>2276</v>
      </c>
      <c r="R1419" s="4" t="s">
        <v>2276</v>
      </c>
      <c r="S1419" s="4" t="s">
        <v>2276</v>
      </c>
      <c r="T1419" s="204"/>
    </row>
    <row r="1420" spans="1:20" ht="43.5" customHeight="1">
      <c r="A1420" s="11" t="s">
        <v>9165</v>
      </c>
      <c r="B1420" s="204" t="s">
        <v>2276</v>
      </c>
      <c r="C1420" s="204" t="s">
        <v>2276</v>
      </c>
      <c r="D1420" s="204" t="s">
        <v>2276</v>
      </c>
      <c r="E1420" s="204" t="s">
        <v>2276</v>
      </c>
      <c r="F1420" s="204" t="s">
        <v>2276</v>
      </c>
      <c r="G1420" s="204" t="s">
        <v>2276</v>
      </c>
      <c r="H1420" s="4" t="s">
        <v>2276</v>
      </c>
      <c r="I1420" s="4" t="s">
        <v>2276</v>
      </c>
      <c r="J1420" s="4" t="s">
        <v>2276</v>
      </c>
      <c r="K1420" s="4" t="s">
        <v>2276</v>
      </c>
      <c r="L1420" s="4" t="s">
        <v>2276</v>
      </c>
      <c r="M1420" s="4" t="s">
        <v>2276</v>
      </c>
      <c r="N1420" s="4" t="s">
        <v>2276</v>
      </c>
      <c r="O1420" s="4" t="s">
        <v>2276</v>
      </c>
      <c r="P1420" s="4" t="s">
        <v>2276</v>
      </c>
      <c r="Q1420" s="4" t="s">
        <v>2276</v>
      </c>
      <c r="R1420" s="4" t="s">
        <v>2276</v>
      </c>
      <c r="S1420" s="4" t="s">
        <v>2276</v>
      </c>
      <c r="T1420" s="204"/>
    </row>
    <row r="1421" spans="1:20" ht="43.5" customHeight="1">
      <c r="A1421" s="11" t="s">
        <v>9166</v>
      </c>
      <c r="B1421" s="204" t="s">
        <v>2276</v>
      </c>
      <c r="C1421" s="204" t="s">
        <v>2276</v>
      </c>
      <c r="D1421" s="204" t="s">
        <v>2276</v>
      </c>
      <c r="E1421" s="204" t="s">
        <v>2276</v>
      </c>
      <c r="F1421" s="204" t="s">
        <v>2276</v>
      </c>
      <c r="G1421" s="204" t="s">
        <v>2276</v>
      </c>
      <c r="H1421" s="4" t="s">
        <v>2276</v>
      </c>
      <c r="I1421" s="4" t="s">
        <v>2276</v>
      </c>
      <c r="J1421" s="4" t="s">
        <v>2276</v>
      </c>
      <c r="K1421" s="4" t="s">
        <v>2276</v>
      </c>
      <c r="L1421" s="4" t="s">
        <v>2276</v>
      </c>
      <c r="M1421" s="4" t="s">
        <v>2276</v>
      </c>
      <c r="N1421" s="4" t="s">
        <v>2276</v>
      </c>
      <c r="O1421" s="4" t="s">
        <v>2276</v>
      </c>
      <c r="P1421" s="4" t="s">
        <v>2276</v>
      </c>
      <c r="Q1421" s="4" t="s">
        <v>2276</v>
      </c>
      <c r="R1421" s="4" t="s">
        <v>2276</v>
      </c>
      <c r="S1421" s="4" t="s">
        <v>2276</v>
      </c>
      <c r="T1421" s="204"/>
    </row>
    <row r="1422" spans="1:20" ht="43.5" customHeight="1">
      <c r="A1422" s="11" t="s">
        <v>9167</v>
      </c>
      <c r="B1422" s="204" t="s">
        <v>2276</v>
      </c>
      <c r="C1422" s="204" t="s">
        <v>2276</v>
      </c>
      <c r="D1422" s="204" t="s">
        <v>2276</v>
      </c>
      <c r="E1422" s="204" t="s">
        <v>2276</v>
      </c>
      <c r="F1422" s="204" t="s">
        <v>2276</v>
      </c>
      <c r="G1422" s="204" t="s">
        <v>2276</v>
      </c>
      <c r="H1422" s="4" t="s">
        <v>2276</v>
      </c>
      <c r="I1422" s="4" t="s">
        <v>2276</v>
      </c>
      <c r="J1422" s="4" t="s">
        <v>2276</v>
      </c>
      <c r="K1422" s="4" t="s">
        <v>2276</v>
      </c>
      <c r="L1422" s="4" t="s">
        <v>2276</v>
      </c>
      <c r="M1422" s="4" t="s">
        <v>2276</v>
      </c>
      <c r="N1422" s="4" t="s">
        <v>2276</v>
      </c>
      <c r="O1422" s="4" t="s">
        <v>2276</v>
      </c>
      <c r="P1422" s="4" t="s">
        <v>2276</v>
      </c>
      <c r="Q1422" s="4" t="s">
        <v>2276</v>
      </c>
      <c r="R1422" s="4" t="s">
        <v>2276</v>
      </c>
      <c r="S1422" s="4" t="s">
        <v>2276</v>
      </c>
      <c r="T1422" s="204"/>
    </row>
    <row r="1423" spans="1:20" ht="43.5" customHeight="1">
      <c r="A1423" s="11" t="s">
        <v>9168</v>
      </c>
      <c r="B1423" s="204" t="s">
        <v>2276</v>
      </c>
      <c r="C1423" s="204" t="s">
        <v>2276</v>
      </c>
      <c r="D1423" s="204" t="s">
        <v>2276</v>
      </c>
      <c r="E1423" s="204" t="s">
        <v>2276</v>
      </c>
      <c r="F1423" s="204" t="s">
        <v>2276</v>
      </c>
      <c r="G1423" s="204" t="s">
        <v>2276</v>
      </c>
      <c r="H1423" s="4" t="s">
        <v>2276</v>
      </c>
      <c r="I1423" s="4" t="s">
        <v>2276</v>
      </c>
      <c r="J1423" s="4" t="s">
        <v>2276</v>
      </c>
      <c r="K1423" s="4" t="s">
        <v>2276</v>
      </c>
      <c r="L1423" s="4" t="s">
        <v>2276</v>
      </c>
      <c r="M1423" s="4" t="s">
        <v>2276</v>
      </c>
      <c r="N1423" s="4" t="s">
        <v>2276</v>
      </c>
      <c r="O1423" s="4" t="s">
        <v>2276</v>
      </c>
      <c r="P1423" s="4" t="s">
        <v>2276</v>
      </c>
      <c r="Q1423" s="4" t="s">
        <v>2276</v>
      </c>
      <c r="R1423" s="4" t="s">
        <v>2276</v>
      </c>
      <c r="S1423" s="4" t="s">
        <v>2276</v>
      </c>
      <c r="T1423" s="204"/>
    </row>
    <row r="1424" spans="1:20" ht="43.5" customHeight="1">
      <c r="A1424" s="11" t="s">
        <v>9169</v>
      </c>
      <c r="B1424" s="204" t="s">
        <v>2276</v>
      </c>
      <c r="C1424" s="204" t="s">
        <v>2276</v>
      </c>
      <c r="D1424" s="204" t="s">
        <v>2653</v>
      </c>
      <c r="E1424" s="204" t="s">
        <v>2276</v>
      </c>
      <c r="F1424" s="204" t="s">
        <v>2276</v>
      </c>
      <c r="G1424" s="204" t="s">
        <v>2276</v>
      </c>
      <c r="H1424" s="4" t="s">
        <v>2276</v>
      </c>
      <c r="I1424" s="4" t="s">
        <v>2276</v>
      </c>
      <c r="J1424" s="4" t="s">
        <v>2276</v>
      </c>
      <c r="K1424" s="4" t="s">
        <v>2276</v>
      </c>
      <c r="L1424" s="4" t="s">
        <v>2276</v>
      </c>
      <c r="M1424" s="4" t="s">
        <v>2276</v>
      </c>
      <c r="N1424" s="4" t="s">
        <v>2276</v>
      </c>
      <c r="O1424" s="4" t="s">
        <v>2276</v>
      </c>
      <c r="P1424" s="4" t="s">
        <v>2276</v>
      </c>
      <c r="Q1424" s="4" t="s">
        <v>2276</v>
      </c>
      <c r="R1424" s="4" t="s">
        <v>2276</v>
      </c>
      <c r="S1424" s="4" t="s">
        <v>2276</v>
      </c>
      <c r="T1424" s="204"/>
    </row>
    <row r="1425" spans="1:20" ht="43.5" customHeight="1">
      <c r="A1425" s="11" t="s">
        <v>9170</v>
      </c>
      <c r="B1425" s="204" t="s">
        <v>2276</v>
      </c>
      <c r="C1425" s="204" t="s">
        <v>2276</v>
      </c>
      <c r="D1425" s="204" t="s">
        <v>2653</v>
      </c>
      <c r="E1425" s="204" t="s">
        <v>2276</v>
      </c>
      <c r="F1425" s="204" t="s">
        <v>2276</v>
      </c>
      <c r="G1425" s="204" t="s">
        <v>2276</v>
      </c>
      <c r="H1425" s="4" t="s">
        <v>2276</v>
      </c>
      <c r="I1425" s="4" t="s">
        <v>2276</v>
      </c>
      <c r="J1425" s="4" t="s">
        <v>2276</v>
      </c>
      <c r="K1425" s="4" t="s">
        <v>2276</v>
      </c>
      <c r="L1425" s="4" t="s">
        <v>2276</v>
      </c>
      <c r="M1425" s="4" t="s">
        <v>2276</v>
      </c>
      <c r="N1425" s="4" t="s">
        <v>2276</v>
      </c>
      <c r="O1425" s="4" t="s">
        <v>2276</v>
      </c>
      <c r="P1425" s="4" t="s">
        <v>2276</v>
      </c>
      <c r="Q1425" s="4" t="s">
        <v>2276</v>
      </c>
      <c r="R1425" s="4" t="s">
        <v>2276</v>
      </c>
      <c r="S1425" s="4" t="s">
        <v>2276</v>
      </c>
      <c r="T1425" s="204"/>
    </row>
    <row r="1426" spans="1:20" ht="43.5" customHeight="1">
      <c r="A1426" s="11" t="s">
        <v>9171</v>
      </c>
      <c r="B1426" s="204" t="s">
        <v>2276</v>
      </c>
      <c r="C1426" s="204" t="s">
        <v>2276</v>
      </c>
      <c r="D1426" s="204" t="s">
        <v>2276</v>
      </c>
      <c r="E1426" s="204" t="s">
        <v>2276</v>
      </c>
      <c r="F1426" s="204" t="s">
        <v>2276</v>
      </c>
      <c r="G1426" s="204" t="s">
        <v>2276</v>
      </c>
      <c r="H1426" s="4" t="s">
        <v>2276</v>
      </c>
      <c r="I1426" s="4" t="s">
        <v>2276</v>
      </c>
      <c r="J1426" s="4" t="s">
        <v>2276</v>
      </c>
      <c r="K1426" s="4" t="s">
        <v>2276</v>
      </c>
      <c r="L1426" s="4" t="s">
        <v>2276</v>
      </c>
      <c r="M1426" s="4" t="s">
        <v>2276</v>
      </c>
      <c r="N1426" s="4" t="s">
        <v>2276</v>
      </c>
      <c r="O1426" s="4" t="s">
        <v>2276</v>
      </c>
      <c r="P1426" s="4" t="s">
        <v>2276</v>
      </c>
      <c r="Q1426" s="4" t="s">
        <v>2276</v>
      </c>
      <c r="R1426" s="4" t="s">
        <v>2276</v>
      </c>
      <c r="S1426" s="4" t="s">
        <v>2276</v>
      </c>
      <c r="T1426" s="204"/>
    </row>
    <row r="1427" spans="1:20" ht="43.5" customHeight="1">
      <c r="A1427" s="11" t="s">
        <v>9172</v>
      </c>
      <c r="B1427" s="204" t="s">
        <v>2276</v>
      </c>
      <c r="C1427" s="204" t="s">
        <v>2276</v>
      </c>
      <c r="D1427" s="204" t="s">
        <v>2276</v>
      </c>
      <c r="E1427" s="204" t="s">
        <v>2276</v>
      </c>
      <c r="F1427" s="204" t="s">
        <v>2276</v>
      </c>
      <c r="G1427" s="204" t="s">
        <v>2276</v>
      </c>
      <c r="H1427" s="4" t="s">
        <v>2276</v>
      </c>
      <c r="I1427" s="4" t="s">
        <v>2276</v>
      </c>
      <c r="J1427" s="4" t="s">
        <v>2276</v>
      </c>
      <c r="K1427" s="4" t="s">
        <v>2276</v>
      </c>
      <c r="L1427" s="4" t="s">
        <v>2276</v>
      </c>
      <c r="M1427" s="4" t="s">
        <v>2276</v>
      </c>
      <c r="N1427" s="4" t="s">
        <v>2276</v>
      </c>
      <c r="O1427" s="4" t="s">
        <v>2276</v>
      </c>
      <c r="P1427" s="4" t="s">
        <v>2276</v>
      </c>
      <c r="Q1427" s="4" t="s">
        <v>2276</v>
      </c>
      <c r="R1427" s="4" t="s">
        <v>2276</v>
      </c>
      <c r="S1427" s="4" t="s">
        <v>2276</v>
      </c>
      <c r="T1427" s="204"/>
    </row>
    <row r="1428" spans="1:20" ht="43.5" customHeight="1">
      <c r="A1428" s="11" t="s">
        <v>9173</v>
      </c>
      <c r="B1428" s="204" t="s">
        <v>2276</v>
      </c>
      <c r="C1428" s="204" t="s">
        <v>2276</v>
      </c>
      <c r="D1428" s="204" t="s">
        <v>2276</v>
      </c>
      <c r="E1428" s="204" t="s">
        <v>2276</v>
      </c>
      <c r="F1428" s="204" t="s">
        <v>2276</v>
      </c>
      <c r="G1428" s="204" t="s">
        <v>2276</v>
      </c>
      <c r="H1428" s="4" t="s">
        <v>2276</v>
      </c>
      <c r="I1428" s="4" t="s">
        <v>2276</v>
      </c>
      <c r="J1428" s="4" t="s">
        <v>2276</v>
      </c>
      <c r="K1428" s="4" t="s">
        <v>2276</v>
      </c>
      <c r="L1428" s="4" t="s">
        <v>2276</v>
      </c>
      <c r="M1428" s="4" t="s">
        <v>2276</v>
      </c>
      <c r="N1428" s="4" t="s">
        <v>2276</v>
      </c>
      <c r="O1428" s="4" t="s">
        <v>2276</v>
      </c>
      <c r="P1428" s="4" t="s">
        <v>2276</v>
      </c>
      <c r="Q1428" s="4" t="s">
        <v>2276</v>
      </c>
      <c r="R1428" s="4" t="s">
        <v>2276</v>
      </c>
      <c r="S1428" s="4" t="s">
        <v>2276</v>
      </c>
      <c r="T1428" s="204"/>
    </row>
    <row r="1429" spans="1:20" ht="43.5" customHeight="1">
      <c r="A1429" s="11" t="s">
        <v>9174</v>
      </c>
      <c r="B1429" s="204" t="s">
        <v>2276</v>
      </c>
      <c r="C1429" s="204" t="s">
        <v>2645</v>
      </c>
      <c r="D1429" s="204" t="s">
        <v>2649</v>
      </c>
      <c r="E1429" s="204" t="s">
        <v>2276</v>
      </c>
      <c r="F1429" s="204" t="s">
        <v>2276</v>
      </c>
      <c r="G1429" s="204" t="s">
        <v>2276</v>
      </c>
      <c r="H1429" s="4" t="s">
        <v>2276</v>
      </c>
      <c r="I1429" s="4" t="s">
        <v>2276</v>
      </c>
      <c r="J1429" s="4" t="s">
        <v>2276</v>
      </c>
      <c r="K1429" s="204" t="s">
        <v>534</v>
      </c>
      <c r="L1429" s="4" t="s">
        <v>2276</v>
      </c>
      <c r="M1429" s="4" t="s">
        <v>2276</v>
      </c>
      <c r="N1429" s="4" t="s">
        <v>2276</v>
      </c>
      <c r="O1429" s="4" t="s">
        <v>2276</v>
      </c>
      <c r="P1429" s="4" t="s">
        <v>2276</v>
      </c>
      <c r="Q1429" s="4" t="s">
        <v>2276</v>
      </c>
      <c r="R1429" s="4" t="s">
        <v>2276</v>
      </c>
      <c r="S1429" s="4" t="s">
        <v>2276</v>
      </c>
      <c r="T1429" s="204"/>
    </row>
    <row r="1430" spans="1:20" ht="43.5" customHeight="1">
      <c r="A1430" s="11" t="s">
        <v>9175</v>
      </c>
      <c r="B1430" s="204" t="s">
        <v>2276</v>
      </c>
      <c r="C1430" s="204" t="s">
        <v>2645</v>
      </c>
      <c r="D1430" s="204" t="s">
        <v>2649</v>
      </c>
      <c r="E1430" s="4" t="s">
        <v>396</v>
      </c>
      <c r="F1430" s="204" t="s">
        <v>2276</v>
      </c>
      <c r="G1430" s="204" t="s">
        <v>2276</v>
      </c>
      <c r="H1430" s="4" t="s">
        <v>2276</v>
      </c>
      <c r="I1430" s="4" t="s">
        <v>2276</v>
      </c>
      <c r="J1430" s="4" t="s">
        <v>2276</v>
      </c>
      <c r="K1430" s="204" t="s">
        <v>534</v>
      </c>
      <c r="L1430" s="4" t="s">
        <v>2276</v>
      </c>
      <c r="M1430" s="4" t="s">
        <v>2276</v>
      </c>
      <c r="N1430" s="4" t="s">
        <v>2276</v>
      </c>
      <c r="O1430" s="4" t="s">
        <v>2276</v>
      </c>
      <c r="P1430" s="4" t="s">
        <v>2276</v>
      </c>
      <c r="Q1430" s="4" t="s">
        <v>2276</v>
      </c>
      <c r="R1430" s="4" t="s">
        <v>2276</v>
      </c>
      <c r="S1430" s="4" t="s">
        <v>2276</v>
      </c>
      <c r="T1430" s="204"/>
    </row>
    <row r="1431" spans="1:20" ht="43.5" customHeight="1">
      <c r="A1431" s="11" t="s">
        <v>9176</v>
      </c>
      <c r="B1431" s="204" t="s">
        <v>2276</v>
      </c>
      <c r="C1431" s="204" t="s">
        <v>2276</v>
      </c>
      <c r="D1431" s="204" t="s">
        <v>2276</v>
      </c>
      <c r="E1431" s="204" t="s">
        <v>2276</v>
      </c>
      <c r="F1431" s="204" t="s">
        <v>2276</v>
      </c>
      <c r="G1431" s="204" t="s">
        <v>2276</v>
      </c>
      <c r="H1431" s="4" t="s">
        <v>2276</v>
      </c>
      <c r="I1431" s="4" t="s">
        <v>2276</v>
      </c>
      <c r="J1431" s="4" t="s">
        <v>2276</v>
      </c>
      <c r="K1431" s="4" t="s">
        <v>2276</v>
      </c>
      <c r="L1431" s="4" t="s">
        <v>2276</v>
      </c>
      <c r="M1431" s="4" t="s">
        <v>2276</v>
      </c>
      <c r="N1431" s="4" t="s">
        <v>2276</v>
      </c>
      <c r="O1431" s="4" t="s">
        <v>2276</v>
      </c>
      <c r="P1431" s="4" t="s">
        <v>2276</v>
      </c>
      <c r="Q1431" s="4" t="s">
        <v>2276</v>
      </c>
      <c r="R1431" s="4" t="s">
        <v>2276</v>
      </c>
      <c r="S1431" s="4" t="s">
        <v>2276</v>
      </c>
      <c r="T1431" s="204"/>
    </row>
    <row r="1432" spans="1:20" ht="43.5" customHeight="1">
      <c r="A1432" s="11" t="s">
        <v>9177</v>
      </c>
      <c r="B1432" s="204" t="s">
        <v>2276</v>
      </c>
      <c r="C1432" s="204" t="s">
        <v>2276</v>
      </c>
      <c r="D1432" s="204" t="s">
        <v>2276</v>
      </c>
      <c r="E1432" s="204" t="s">
        <v>2276</v>
      </c>
      <c r="F1432" s="204" t="s">
        <v>2276</v>
      </c>
      <c r="G1432" s="204" t="s">
        <v>2276</v>
      </c>
      <c r="H1432" s="4" t="s">
        <v>2276</v>
      </c>
      <c r="I1432" s="4" t="s">
        <v>2276</v>
      </c>
      <c r="J1432" s="4" t="s">
        <v>2276</v>
      </c>
      <c r="K1432" s="4" t="s">
        <v>2276</v>
      </c>
      <c r="L1432" s="4" t="s">
        <v>2276</v>
      </c>
      <c r="M1432" s="4" t="s">
        <v>2276</v>
      </c>
      <c r="N1432" s="4" t="s">
        <v>2276</v>
      </c>
      <c r="O1432" s="4" t="s">
        <v>2276</v>
      </c>
      <c r="P1432" s="4" t="s">
        <v>2276</v>
      </c>
      <c r="Q1432" s="4" t="s">
        <v>2276</v>
      </c>
      <c r="R1432" s="4" t="s">
        <v>2276</v>
      </c>
      <c r="S1432" s="4" t="s">
        <v>2276</v>
      </c>
      <c r="T1432" s="204"/>
    </row>
    <row r="1433" spans="1:20" ht="43.5" customHeight="1">
      <c r="A1433" s="11" t="s">
        <v>9178</v>
      </c>
      <c r="B1433" s="204" t="s">
        <v>2276</v>
      </c>
      <c r="C1433" s="204" t="s">
        <v>2276</v>
      </c>
      <c r="D1433" s="204" t="s">
        <v>2276</v>
      </c>
      <c r="E1433" s="204" t="s">
        <v>2276</v>
      </c>
      <c r="F1433" s="204" t="s">
        <v>2276</v>
      </c>
      <c r="G1433" s="204" t="s">
        <v>2276</v>
      </c>
      <c r="H1433" s="4" t="s">
        <v>2276</v>
      </c>
      <c r="I1433" s="4" t="s">
        <v>2276</v>
      </c>
      <c r="J1433" s="4" t="s">
        <v>2276</v>
      </c>
      <c r="K1433" s="4" t="s">
        <v>2276</v>
      </c>
      <c r="L1433" s="4" t="s">
        <v>2276</v>
      </c>
      <c r="M1433" s="4" t="s">
        <v>2276</v>
      </c>
      <c r="N1433" s="4" t="s">
        <v>2276</v>
      </c>
      <c r="O1433" s="4" t="s">
        <v>2276</v>
      </c>
      <c r="P1433" s="4" t="s">
        <v>2276</v>
      </c>
      <c r="Q1433" s="4" t="s">
        <v>2276</v>
      </c>
      <c r="R1433" s="4" t="s">
        <v>2276</v>
      </c>
      <c r="S1433" s="4" t="s">
        <v>2276</v>
      </c>
      <c r="T1433" s="204"/>
    </row>
    <row r="1434" spans="1:20" s="203" customFormat="1" ht="43.5" customHeight="1">
      <c r="A1434" s="11" t="s">
        <v>9179</v>
      </c>
      <c r="B1434" s="204" t="s">
        <v>2276</v>
      </c>
      <c r="C1434" s="204" t="s">
        <v>2276</v>
      </c>
      <c r="D1434" s="204" t="s">
        <v>137</v>
      </c>
      <c r="E1434" s="204" t="s">
        <v>2276</v>
      </c>
      <c r="F1434" s="204" t="s">
        <v>2276</v>
      </c>
      <c r="G1434" s="204" t="s">
        <v>2276</v>
      </c>
      <c r="H1434" s="4" t="s">
        <v>2276</v>
      </c>
      <c r="I1434" s="4" t="s">
        <v>2276</v>
      </c>
      <c r="J1434" s="4" t="s">
        <v>2276</v>
      </c>
      <c r="K1434" s="4" t="s">
        <v>2276</v>
      </c>
      <c r="L1434" s="4" t="s">
        <v>2276</v>
      </c>
      <c r="M1434" s="4" t="s">
        <v>2276</v>
      </c>
      <c r="N1434" s="4" t="s">
        <v>2276</v>
      </c>
      <c r="O1434" s="4" t="s">
        <v>2276</v>
      </c>
      <c r="P1434" s="4" t="s">
        <v>2276</v>
      </c>
      <c r="Q1434" s="4" t="s">
        <v>2276</v>
      </c>
      <c r="R1434" s="4" t="s">
        <v>2276</v>
      </c>
      <c r="S1434" s="4" t="s">
        <v>2276</v>
      </c>
      <c r="T1434" s="204"/>
    </row>
    <row r="1435" spans="1:20" ht="43.5" customHeight="1">
      <c r="A1435" s="11" t="s">
        <v>9185</v>
      </c>
      <c r="B1435" s="204" t="s">
        <v>2276</v>
      </c>
      <c r="C1435" s="204" t="s">
        <v>12</v>
      </c>
      <c r="D1435" s="204" t="s">
        <v>2649</v>
      </c>
      <c r="E1435" s="204" t="s">
        <v>2653</v>
      </c>
      <c r="F1435" s="4" t="s">
        <v>396</v>
      </c>
      <c r="G1435" s="204" t="s">
        <v>137</v>
      </c>
      <c r="H1435" s="4" t="s">
        <v>2276</v>
      </c>
      <c r="I1435" s="4" t="s">
        <v>2276</v>
      </c>
      <c r="J1435" s="4" t="s">
        <v>2276</v>
      </c>
      <c r="K1435" s="204" t="s">
        <v>534</v>
      </c>
      <c r="L1435" s="4" t="s">
        <v>2276</v>
      </c>
      <c r="M1435" s="4" t="s">
        <v>2276</v>
      </c>
      <c r="N1435" s="21">
        <f>2960000/756102</f>
        <v>3.9148157259205769</v>
      </c>
      <c r="O1435" s="21">
        <f>P1435</f>
        <v>23.042592137039712</v>
      </c>
      <c r="P1435" s="21">
        <f>(50-N1435)/2</f>
        <v>23.042592137039712</v>
      </c>
      <c r="Q1435" s="4" t="s">
        <v>2276</v>
      </c>
      <c r="R1435" s="21">
        <f>18.7</f>
        <v>18.7</v>
      </c>
      <c r="S1435" s="4" t="s">
        <v>2276</v>
      </c>
      <c r="T1435" s="11" t="s">
        <v>9180</v>
      </c>
    </row>
    <row r="1436" spans="1:20" ht="43.5" customHeight="1">
      <c r="A1436" s="11" t="s">
        <v>9186</v>
      </c>
      <c r="B1436" s="204" t="s">
        <v>2276</v>
      </c>
      <c r="C1436" s="204" t="s">
        <v>12</v>
      </c>
      <c r="D1436" s="204" t="s">
        <v>2649</v>
      </c>
      <c r="E1436" s="204" t="s">
        <v>2653</v>
      </c>
      <c r="F1436" s="4" t="s">
        <v>396</v>
      </c>
      <c r="G1436" s="204" t="s">
        <v>137</v>
      </c>
      <c r="H1436" s="4" t="s">
        <v>2276</v>
      </c>
      <c r="I1436" s="4" t="s">
        <v>2276</v>
      </c>
      <c r="J1436" s="4" t="s">
        <v>2276</v>
      </c>
      <c r="K1436" s="204" t="s">
        <v>534</v>
      </c>
      <c r="L1436" s="4" t="s">
        <v>2276</v>
      </c>
      <c r="M1436" s="4" t="s">
        <v>2276</v>
      </c>
      <c r="N1436" s="21">
        <f>2960000/756102</f>
        <v>3.9148157259205769</v>
      </c>
      <c r="O1436" s="21">
        <f>P1436</f>
        <v>23.042592137039712</v>
      </c>
      <c r="P1436" s="21">
        <f>(50-N1436)/2</f>
        <v>23.042592137039712</v>
      </c>
      <c r="Q1436" s="4" t="s">
        <v>2276</v>
      </c>
      <c r="R1436" s="21">
        <f>18.7</f>
        <v>18.7</v>
      </c>
      <c r="S1436" s="4" t="s">
        <v>2276</v>
      </c>
      <c r="T1436" s="11" t="s">
        <v>9180</v>
      </c>
    </row>
    <row r="1437" spans="1:20" ht="43.5" customHeight="1">
      <c r="A1437" s="11" t="s">
        <v>9189</v>
      </c>
      <c r="B1437" s="204" t="s">
        <v>2276</v>
      </c>
      <c r="C1437" s="204" t="s">
        <v>2276</v>
      </c>
      <c r="D1437" s="204" t="s">
        <v>2276</v>
      </c>
      <c r="E1437" s="204" t="s">
        <v>2276</v>
      </c>
      <c r="F1437" s="204" t="s">
        <v>2276</v>
      </c>
      <c r="G1437" s="204" t="s">
        <v>2276</v>
      </c>
      <c r="H1437" s="4" t="s">
        <v>2276</v>
      </c>
      <c r="I1437" s="4" t="s">
        <v>2276</v>
      </c>
      <c r="J1437" s="4" t="s">
        <v>2276</v>
      </c>
      <c r="K1437" s="4" t="s">
        <v>2276</v>
      </c>
      <c r="L1437" s="4" t="s">
        <v>2276</v>
      </c>
      <c r="M1437" s="4" t="s">
        <v>2276</v>
      </c>
      <c r="N1437" s="4" t="s">
        <v>2276</v>
      </c>
      <c r="O1437" s="4" t="s">
        <v>2276</v>
      </c>
      <c r="P1437" s="4" t="s">
        <v>2276</v>
      </c>
      <c r="Q1437" s="4" t="s">
        <v>2276</v>
      </c>
      <c r="R1437" s="4" t="s">
        <v>2276</v>
      </c>
      <c r="S1437" s="4" t="s">
        <v>2276</v>
      </c>
      <c r="T1437" s="204"/>
    </row>
    <row r="1438" spans="1:20" ht="43.5" customHeight="1">
      <c r="A1438" s="11" t="s">
        <v>9190</v>
      </c>
      <c r="B1438" s="204" t="s">
        <v>2276</v>
      </c>
      <c r="C1438" s="204" t="s">
        <v>2276</v>
      </c>
      <c r="D1438" s="204" t="s">
        <v>2276</v>
      </c>
      <c r="E1438" s="204" t="s">
        <v>2276</v>
      </c>
      <c r="F1438" s="204" t="s">
        <v>2276</v>
      </c>
      <c r="G1438" s="204" t="s">
        <v>2276</v>
      </c>
      <c r="H1438" s="4" t="s">
        <v>2276</v>
      </c>
      <c r="I1438" s="4" t="s">
        <v>2276</v>
      </c>
      <c r="J1438" s="4" t="s">
        <v>2276</v>
      </c>
      <c r="K1438" s="4" t="s">
        <v>2276</v>
      </c>
      <c r="L1438" s="4" t="s">
        <v>2276</v>
      </c>
      <c r="M1438" s="4" t="s">
        <v>2276</v>
      </c>
      <c r="N1438" s="4" t="s">
        <v>2276</v>
      </c>
      <c r="O1438" s="4" t="s">
        <v>2276</v>
      </c>
      <c r="P1438" s="4" t="s">
        <v>2276</v>
      </c>
      <c r="Q1438" s="4" t="s">
        <v>2276</v>
      </c>
      <c r="R1438" s="4" t="s">
        <v>2276</v>
      </c>
      <c r="S1438" s="4" t="s">
        <v>2276</v>
      </c>
      <c r="T1438" s="204"/>
    </row>
    <row r="1439" spans="1:20" ht="43.5" customHeight="1">
      <c r="A1439" s="11" t="s">
        <v>9191</v>
      </c>
      <c r="B1439" s="204" t="s">
        <v>2276</v>
      </c>
      <c r="C1439" s="204" t="s">
        <v>2276</v>
      </c>
      <c r="D1439" s="204" t="s">
        <v>2276</v>
      </c>
      <c r="E1439" s="204" t="s">
        <v>2276</v>
      </c>
      <c r="F1439" s="204" t="s">
        <v>2276</v>
      </c>
      <c r="G1439" s="204" t="s">
        <v>2276</v>
      </c>
      <c r="H1439" s="4" t="s">
        <v>2276</v>
      </c>
      <c r="I1439" s="4" t="s">
        <v>2276</v>
      </c>
      <c r="J1439" s="4" t="s">
        <v>2276</v>
      </c>
      <c r="K1439" s="4" t="s">
        <v>2276</v>
      </c>
      <c r="L1439" s="4" t="s">
        <v>2276</v>
      </c>
      <c r="M1439" s="4" t="s">
        <v>2276</v>
      </c>
      <c r="N1439" s="4" t="s">
        <v>2276</v>
      </c>
      <c r="O1439" s="4" t="s">
        <v>2276</v>
      </c>
      <c r="P1439" s="4" t="s">
        <v>2276</v>
      </c>
      <c r="Q1439" s="4" t="s">
        <v>2276</v>
      </c>
      <c r="R1439" s="4" t="s">
        <v>2276</v>
      </c>
      <c r="S1439" s="4" t="s">
        <v>2276</v>
      </c>
      <c r="T1439" s="204"/>
    </row>
    <row r="1440" spans="1:20" ht="43.5" customHeight="1">
      <c r="A1440" s="11" t="s">
        <v>9192</v>
      </c>
      <c r="B1440" s="204" t="s">
        <v>2276</v>
      </c>
      <c r="C1440" s="204" t="s">
        <v>2276</v>
      </c>
      <c r="D1440" s="204" t="s">
        <v>2276</v>
      </c>
      <c r="E1440" s="204" t="s">
        <v>2276</v>
      </c>
      <c r="F1440" s="204" t="s">
        <v>2276</v>
      </c>
      <c r="G1440" s="204" t="s">
        <v>2276</v>
      </c>
      <c r="H1440" s="4" t="s">
        <v>2276</v>
      </c>
      <c r="I1440" s="4" t="s">
        <v>2276</v>
      </c>
      <c r="J1440" s="4" t="s">
        <v>2276</v>
      </c>
      <c r="K1440" s="4" t="s">
        <v>2276</v>
      </c>
      <c r="L1440" s="4" t="s">
        <v>2276</v>
      </c>
      <c r="M1440" s="4" t="s">
        <v>2276</v>
      </c>
      <c r="N1440" s="4" t="s">
        <v>2276</v>
      </c>
      <c r="O1440" s="4" t="s">
        <v>2276</v>
      </c>
      <c r="P1440" s="4" t="s">
        <v>2276</v>
      </c>
      <c r="Q1440" s="4" t="s">
        <v>2276</v>
      </c>
      <c r="R1440" s="4" t="s">
        <v>2276</v>
      </c>
      <c r="S1440" s="4" t="s">
        <v>2276</v>
      </c>
      <c r="T1440" s="204"/>
    </row>
    <row r="1441" spans="1:20" ht="43.5" customHeight="1">
      <c r="A1441" s="11" t="s">
        <v>9193</v>
      </c>
      <c r="B1441" s="204" t="s">
        <v>2276</v>
      </c>
      <c r="C1441" s="204" t="s">
        <v>2276</v>
      </c>
      <c r="D1441" s="204" t="s">
        <v>2276</v>
      </c>
      <c r="E1441" s="204" t="s">
        <v>2276</v>
      </c>
      <c r="F1441" s="204" t="s">
        <v>2276</v>
      </c>
      <c r="G1441" s="204" t="s">
        <v>2276</v>
      </c>
      <c r="H1441" s="4" t="s">
        <v>2276</v>
      </c>
      <c r="I1441" s="4" t="s">
        <v>2276</v>
      </c>
      <c r="J1441" s="4" t="s">
        <v>2276</v>
      </c>
      <c r="K1441" s="4" t="s">
        <v>2276</v>
      </c>
      <c r="L1441" s="4" t="s">
        <v>2276</v>
      </c>
      <c r="M1441" s="4" t="s">
        <v>2276</v>
      </c>
      <c r="N1441" s="4" t="s">
        <v>2276</v>
      </c>
      <c r="O1441" s="4" t="s">
        <v>2276</v>
      </c>
      <c r="P1441" s="4" t="s">
        <v>2276</v>
      </c>
      <c r="Q1441" s="4" t="s">
        <v>2276</v>
      </c>
      <c r="R1441" s="4" t="s">
        <v>2276</v>
      </c>
      <c r="S1441" s="4" t="s">
        <v>2276</v>
      </c>
      <c r="T1441" s="204"/>
    </row>
    <row r="1442" spans="1:20" ht="43.5" customHeight="1">
      <c r="A1442" s="11" t="s">
        <v>9194</v>
      </c>
      <c r="B1442" s="204" t="s">
        <v>2276</v>
      </c>
      <c r="C1442" s="204" t="s">
        <v>2646</v>
      </c>
      <c r="D1442" s="204" t="s">
        <v>2653</v>
      </c>
      <c r="E1442" s="204" t="s">
        <v>2276</v>
      </c>
      <c r="F1442" s="204" t="s">
        <v>2276</v>
      </c>
      <c r="G1442" s="204" t="s">
        <v>2276</v>
      </c>
      <c r="H1442" s="4" t="s">
        <v>2276</v>
      </c>
      <c r="I1442" s="4" t="s">
        <v>2276</v>
      </c>
      <c r="J1442" s="4" t="s">
        <v>2276</v>
      </c>
      <c r="K1442" s="4" t="s">
        <v>2276</v>
      </c>
      <c r="L1442" s="4" t="s">
        <v>2276</v>
      </c>
      <c r="M1442" s="4" t="s">
        <v>2276</v>
      </c>
      <c r="N1442" s="4" t="s">
        <v>2276</v>
      </c>
      <c r="O1442" s="4" t="s">
        <v>2276</v>
      </c>
      <c r="P1442" s="4" t="s">
        <v>2276</v>
      </c>
      <c r="Q1442" s="4" t="s">
        <v>2276</v>
      </c>
      <c r="R1442" s="4" t="s">
        <v>2276</v>
      </c>
      <c r="S1442" s="4" t="s">
        <v>2276</v>
      </c>
      <c r="T1442" s="204" t="s">
        <v>9238</v>
      </c>
    </row>
    <row r="1443" spans="1:20" ht="43.5" customHeight="1">
      <c r="A1443" s="11" t="s">
        <v>9195</v>
      </c>
      <c r="B1443" s="204" t="s">
        <v>2276</v>
      </c>
      <c r="C1443" s="204" t="s">
        <v>2646</v>
      </c>
      <c r="D1443" s="204" t="s">
        <v>2653</v>
      </c>
      <c r="E1443" s="204" t="s">
        <v>2276</v>
      </c>
      <c r="F1443" s="204" t="s">
        <v>2276</v>
      </c>
      <c r="G1443" s="204" t="s">
        <v>2276</v>
      </c>
      <c r="H1443" s="4" t="s">
        <v>2276</v>
      </c>
      <c r="I1443" s="4" t="s">
        <v>2276</v>
      </c>
      <c r="J1443" s="4" t="s">
        <v>2276</v>
      </c>
      <c r="K1443" s="4" t="s">
        <v>2276</v>
      </c>
      <c r="L1443" s="4" t="s">
        <v>2276</v>
      </c>
      <c r="M1443" s="4" t="s">
        <v>2276</v>
      </c>
      <c r="N1443" s="4" t="s">
        <v>2276</v>
      </c>
      <c r="O1443" s="4" t="s">
        <v>2276</v>
      </c>
      <c r="P1443" s="4" t="s">
        <v>2276</v>
      </c>
      <c r="Q1443" s="4" t="s">
        <v>2276</v>
      </c>
      <c r="R1443" s="4" t="s">
        <v>2276</v>
      </c>
      <c r="S1443" s="4" t="s">
        <v>2276</v>
      </c>
      <c r="T1443" s="204" t="s">
        <v>9238</v>
      </c>
    </row>
    <row r="1444" spans="1:20" ht="43.5" customHeight="1">
      <c r="A1444" s="11" t="s">
        <v>9196</v>
      </c>
      <c r="B1444" s="204" t="s">
        <v>2276</v>
      </c>
      <c r="C1444" s="204" t="s">
        <v>2276</v>
      </c>
      <c r="D1444" s="204" t="s">
        <v>2276</v>
      </c>
      <c r="E1444" s="204" t="s">
        <v>2276</v>
      </c>
      <c r="F1444" s="204" t="s">
        <v>2276</v>
      </c>
      <c r="G1444" s="204" t="s">
        <v>2276</v>
      </c>
      <c r="H1444" s="4" t="s">
        <v>2276</v>
      </c>
      <c r="I1444" s="4" t="s">
        <v>2276</v>
      </c>
      <c r="J1444" s="4" t="s">
        <v>2276</v>
      </c>
      <c r="K1444" s="4" t="s">
        <v>2276</v>
      </c>
      <c r="L1444" s="4" t="s">
        <v>2276</v>
      </c>
      <c r="M1444" s="4" t="s">
        <v>2276</v>
      </c>
      <c r="N1444" s="4" t="s">
        <v>2276</v>
      </c>
      <c r="O1444" s="4" t="s">
        <v>2276</v>
      </c>
      <c r="P1444" s="4" t="s">
        <v>2276</v>
      </c>
      <c r="Q1444" s="4" t="s">
        <v>2276</v>
      </c>
      <c r="R1444" s="4" t="s">
        <v>2276</v>
      </c>
      <c r="S1444" s="4" t="s">
        <v>2276</v>
      </c>
      <c r="T1444" s="204"/>
    </row>
    <row r="1445" spans="1:20" ht="43.5" customHeight="1">
      <c r="A1445" s="11" t="s">
        <v>9197</v>
      </c>
      <c r="B1445" s="204" t="s">
        <v>2276</v>
      </c>
      <c r="C1445" s="204" t="s">
        <v>2276</v>
      </c>
      <c r="D1445" s="204" t="s">
        <v>2276</v>
      </c>
      <c r="E1445" s="204" t="s">
        <v>2276</v>
      </c>
      <c r="F1445" s="204" t="s">
        <v>2276</v>
      </c>
      <c r="G1445" s="204" t="s">
        <v>2276</v>
      </c>
      <c r="H1445" s="4" t="s">
        <v>2276</v>
      </c>
      <c r="I1445" s="4" t="s">
        <v>2276</v>
      </c>
      <c r="J1445" s="4" t="s">
        <v>2276</v>
      </c>
      <c r="K1445" s="4" t="s">
        <v>2276</v>
      </c>
      <c r="L1445" s="4" t="s">
        <v>2276</v>
      </c>
      <c r="M1445" s="4" t="s">
        <v>2276</v>
      </c>
      <c r="N1445" s="4" t="s">
        <v>2276</v>
      </c>
      <c r="O1445" s="4" t="s">
        <v>2276</v>
      </c>
      <c r="P1445" s="4" t="s">
        <v>2276</v>
      </c>
      <c r="Q1445" s="4" t="s">
        <v>2276</v>
      </c>
      <c r="R1445" s="4" t="s">
        <v>2276</v>
      </c>
      <c r="S1445" s="4" t="s">
        <v>2276</v>
      </c>
      <c r="T1445" s="204"/>
    </row>
    <row r="1446" spans="1:20" ht="43.5" customHeight="1">
      <c r="A1446" s="11" t="s">
        <v>9198</v>
      </c>
      <c r="B1446" s="204" t="s">
        <v>2276</v>
      </c>
      <c r="C1446" s="204" t="s">
        <v>2276</v>
      </c>
      <c r="D1446" s="204" t="s">
        <v>2276</v>
      </c>
      <c r="E1446" s="204" t="s">
        <v>2276</v>
      </c>
      <c r="F1446" s="204" t="s">
        <v>2276</v>
      </c>
      <c r="G1446" s="204" t="s">
        <v>2276</v>
      </c>
      <c r="H1446" s="4" t="s">
        <v>2276</v>
      </c>
      <c r="I1446" s="4" t="s">
        <v>2276</v>
      </c>
      <c r="J1446" s="4" t="s">
        <v>2276</v>
      </c>
      <c r="K1446" s="4" t="s">
        <v>2276</v>
      </c>
      <c r="L1446" s="4" t="s">
        <v>2276</v>
      </c>
      <c r="M1446" s="4" t="s">
        <v>2276</v>
      </c>
      <c r="N1446" s="4" t="s">
        <v>2276</v>
      </c>
      <c r="O1446" s="4" t="s">
        <v>2276</v>
      </c>
      <c r="P1446" s="4" t="s">
        <v>2276</v>
      </c>
      <c r="Q1446" s="4" t="s">
        <v>2276</v>
      </c>
      <c r="R1446" s="4" t="s">
        <v>2276</v>
      </c>
      <c r="S1446" s="4" t="s">
        <v>2276</v>
      </c>
      <c r="T1446" s="204"/>
    </row>
    <row r="1447" spans="1:20" ht="43.5" customHeight="1">
      <c r="A1447" s="11" t="s">
        <v>9199</v>
      </c>
      <c r="B1447" s="204" t="s">
        <v>2276</v>
      </c>
      <c r="C1447" s="204" t="s">
        <v>2645</v>
      </c>
      <c r="D1447" s="204" t="s">
        <v>2649</v>
      </c>
      <c r="E1447" s="204" t="s">
        <v>2276</v>
      </c>
      <c r="F1447" s="204" t="s">
        <v>2276</v>
      </c>
      <c r="G1447" s="204" t="s">
        <v>2276</v>
      </c>
      <c r="H1447" s="4" t="s">
        <v>2276</v>
      </c>
      <c r="I1447" s="4" t="s">
        <v>2276</v>
      </c>
      <c r="J1447" s="4" t="s">
        <v>2276</v>
      </c>
      <c r="K1447" s="204" t="s">
        <v>534</v>
      </c>
      <c r="L1447" s="4" t="s">
        <v>2276</v>
      </c>
      <c r="M1447" s="4" t="s">
        <v>2276</v>
      </c>
      <c r="N1447" s="4" t="s">
        <v>2276</v>
      </c>
      <c r="O1447" s="4" t="s">
        <v>2276</v>
      </c>
      <c r="P1447" s="4" t="s">
        <v>2276</v>
      </c>
      <c r="Q1447" s="4" t="s">
        <v>2276</v>
      </c>
      <c r="R1447" s="4" t="s">
        <v>2276</v>
      </c>
      <c r="S1447" s="4" t="s">
        <v>2276</v>
      </c>
      <c r="T1447" s="204"/>
    </row>
    <row r="1448" spans="1:20" ht="43.5" customHeight="1">
      <c r="A1448" s="11" t="s">
        <v>9200</v>
      </c>
      <c r="B1448" s="204" t="s">
        <v>2276</v>
      </c>
      <c r="C1448" s="204" t="s">
        <v>2645</v>
      </c>
      <c r="D1448" s="204" t="s">
        <v>2649</v>
      </c>
      <c r="E1448" s="4" t="s">
        <v>396</v>
      </c>
      <c r="F1448" s="204" t="s">
        <v>2276</v>
      </c>
      <c r="G1448" s="204" t="s">
        <v>2276</v>
      </c>
      <c r="H1448" s="4" t="s">
        <v>2276</v>
      </c>
      <c r="I1448" s="4" t="s">
        <v>2276</v>
      </c>
      <c r="J1448" s="4" t="s">
        <v>2276</v>
      </c>
      <c r="K1448" s="204" t="s">
        <v>534</v>
      </c>
      <c r="L1448" s="4" t="s">
        <v>2276</v>
      </c>
      <c r="M1448" s="4" t="s">
        <v>2276</v>
      </c>
      <c r="N1448" s="4" t="s">
        <v>2276</v>
      </c>
      <c r="O1448" s="4" t="s">
        <v>2276</v>
      </c>
      <c r="P1448" s="4" t="s">
        <v>2276</v>
      </c>
      <c r="Q1448" s="4" t="s">
        <v>2276</v>
      </c>
      <c r="R1448" s="4" t="s">
        <v>2276</v>
      </c>
      <c r="S1448" s="4" t="s">
        <v>2276</v>
      </c>
      <c r="T1448" s="204"/>
    </row>
    <row r="1449" spans="1:20" ht="43.5" customHeight="1">
      <c r="A1449" s="11" t="s">
        <v>9201</v>
      </c>
      <c r="B1449" s="204" t="s">
        <v>2276</v>
      </c>
      <c r="C1449" s="204" t="s">
        <v>2276</v>
      </c>
      <c r="D1449" s="204" t="s">
        <v>2276</v>
      </c>
      <c r="E1449" s="204" t="s">
        <v>2276</v>
      </c>
      <c r="F1449" s="204" t="s">
        <v>2276</v>
      </c>
      <c r="G1449" s="204" t="s">
        <v>2276</v>
      </c>
      <c r="H1449" s="4" t="s">
        <v>2276</v>
      </c>
      <c r="I1449" s="4" t="s">
        <v>2276</v>
      </c>
      <c r="J1449" s="4" t="s">
        <v>2276</v>
      </c>
      <c r="K1449" s="4" t="s">
        <v>2276</v>
      </c>
      <c r="L1449" s="4" t="s">
        <v>2276</v>
      </c>
      <c r="M1449" s="4" t="s">
        <v>2276</v>
      </c>
      <c r="N1449" s="4" t="s">
        <v>2276</v>
      </c>
      <c r="O1449" s="4" t="s">
        <v>2276</v>
      </c>
      <c r="P1449" s="4" t="s">
        <v>2276</v>
      </c>
      <c r="Q1449" s="4" t="s">
        <v>2276</v>
      </c>
      <c r="R1449" s="4" t="s">
        <v>2276</v>
      </c>
      <c r="S1449" s="4" t="s">
        <v>2276</v>
      </c>
      <c r="T1449" s="204"/>
    </row>
    <row r="1450" spans="1:20" ht="43.5" customHeight="1">
      <c r="A1450" s="11" t="s">
        <v>9202</v>
      </c>
      <c r="B1450" s="204" t="s">
        <v>2276</v>
      </c>
      <c r="C1450" s="204" t="s">
        <v>2276</v>
      </c>
      <c r="D1450" s="204" t="s">
        <v>2276</v>
      </c>
      <c r="E1450" s="204" t="s">
        <v>2276</v>
      </c>
      <c r="F1450" s="204" t="s">
        <v>2276</v>
      </c>
      <c r="G1450" s="204" t="s">
        <v>2276</v>
      </c>
      <c r="H1450" s="4" t="s">
        <v>2276</v>
      </c>
      <c r="I1450" s="4" t="s">
        <v>2276</v>
      </c>
      <c r="J1450" s="4" t="s">
        <v>2276</v>
      </c>
      <c r="K1450" s="4" t="s">
        <v>2276</v>
      </c>
      <c r="L1450" s="4" t="s">
        <v>2276</v>
      </c>
      <c r="M1450" s="4" t="s">
        <v>2276</v>
      </c>
      <c r="N1450" s="4" t="s">
        <v>2276</v>
      </c>
      <c r="O1450" s="4" t="s">
        <v>2276</v>
      </c>
      <c r="P1450" s="4" t="s">
        <v>2276</v>
      </c>
      <c r="Q1450" s="4" t="s">
        <v>2276</v>
      </c>
      <c r="R1450" s="4" t="s">
        <v>2276</v>
      </c>
      <c r="S1450" s="4" t="s">
        <v>2276</v>
      </c>
      <c r="T1450" s="204"/>
    </row>
    <row r="1451" spans="1:20" ht="43.5" customHeight="1">
      <c r="A1451" s="11" t="s">
        <v>9203</v>
      </c>
      <c r="B1451" s="204" t="s">
        <v>2276</v>
      </c>
      <c r="C1451" s="204" t="s">
        <v>2276</v>
      </c>
      <c r="D1451" s="204" t="s">
        <v>2276</v>
      </c>
      <c r="E1451" s="204" t="s">
        <v>2276</v>
      </c>
      <c r="F1451" s="204" t="s">
        <v>2276</v>
      </c>
      <c r="G1451" s="204" t="s">
        <v>2276</v>
      </c>
      <c r="H1451" s="4" t="s">
        <v>2276</v>
      </c>
      <c r="I1451" s="4" t="s">
        <v>2276</v>
      </c>
      <c r="J1451" s="4" t="s">
        <v>2276</v>
      </c>
      <c r="K1451" s="4" t="s">
        <v>2276</v>
      </c>
      <c r="L1451" s="4" t="s">
        <v>2276</v>
      </c>
      <c r="M1451" s="4" t="s">
        <v>2276</v>
      </c>
      <c r="N1451" s="4" t="s">
        <v>2276</v>
      </c>
      <c r="O1451" s="4" t="s">
        <v>2276</v>
      </c>
      <c r="P1451" s="4" t="s">
        <v>2276</v>
      </c>
      <c r="Q1451" s="4" t="s">
        <v>2276</v>
      </c>
      <c r="R1451" s="4" t="s">
        <v>2276</v>
      </c>
      <c r="S1451" s="4" t="s">
        <v>2276</v>
      </c>
      <c r="T1451" s="204"/>
    </row>
    <row r="1452" spans="1:20" ht="51" customHeight="1">
      <c r="A1452" s="11" t="s">
        <v>9235</v>
      </c>
      <c r="B1452" s="204" t="s">
        <v>2276</v>
      </c>
      <c r="C1452" s="204" t="s">
        <v>2646</v>
      </c>
      <c r="D1452" s="204" t="s">
        <v>137</v>
      </c>
      <c r="E1452" s="204" t="s">
        <v>2652</v>
      </c>
      <c r="F1452" s="204" t="s">
        <v>2276</v>
      </c>
      <c r="G1452" s="204" t="s">
        <v>2276</v>
      </c>
      <c r="H1452" s="4" t="s">
        <v>2276</v>
      </c>
      <c r="I1452" s="4" t="s">
        <v>2276</v>
      </c>
      <c r="J1452" s="4" t="s">
        <v>2276</v>
      </c>
      <c r="K1452" s="4" t="s">
        <v>2276</v>
      </c>
      <c r="L1452" s="4" t="s">
        <v>2276</v>
      </c>
      <c r="M1452" s="4" t="s">
        <v>2276</v>
      </c>
      <c r="N1452" s="4" t="s">
        <v>2276</v>
      </c>
      <c r="O1452" s="4" t="s">
        <v>2276</v>
      </c>
      <c r="P1452" s="4" t="s">
        <v>2276</v>
      </c>
      <c r="Q1452" s="4" t="s">
        <v>2276</v>
      </c>
      <c r="R1452" s="4" t="s">
        <v>2276</v>
      </c>
      <c r="S1452" s="4" t="s">
        <v>2276</v>
      </c>
      <c r="T1452" s="204"/>
    </row>
    <row r="1453" spans="1:20" ht="48" customHeight="1">
      <c r="A1453" s="11" t="s">
        <v>9257</v>
      </c>
      <c r="B1453" s="204" t="s">
        <v>1197</v>
      </c>
      <c r="C1453" s="204" t="s">
        <v>2276</v>
      </c>
      <c r="D1453" s="204" t="s">
        <v>137</v>
      </c>
      <c r="E1453" s="204" t="s">
        <v>2276</v>
      </c>
      <c r="F1453" s="204" t="s">
        <v>2276</v>
      </c>
      <c r="G1453" s="204" t="s">
        <v>2276</v>
      </c>
      <c r="H1453" s="204" t="s">
        <v>2276</v>
      </c>
      <c r="I1453" s="204" t="s">
        <v>2276</v>
      </c>
      <c r="J1453" s="204" t="s">
        <v>2276</v>
      </c>
      <c r="K1453" s="204" t="s">
        <v>2276</v>
      </c>
      <c r="L1453" s="204" t="s">
        <v>2276</v>
      </c>
      <c r="M1453" s="204" t="s">
        <v>2276</v>
      </c>
      <c r="N1453" s="4">
        <v>0</v>
      </c>
      <c r="O1453" s="4">
        <v>0</v>
      </c>
      <c r="P1453" s="4">
        <v>0</v>
      </c>
      <c r="Q1453" s="4">
        <v>0</v>
      </c>
      <c r="R1453" s="21">
        <v>100</v>
      </c>
      <c r="S1453" s="4" t="s">
        <v>2276</v>
      </c>
      <c r="T1453" s="204"/>
    </row>
    <row r="1454" spans="1:20" ht="50" customHeight="1">
      <c r="A1454" s="11" t="s">
        <v>9258</v>
      </c>
      <c r="B1454" s="204" t="s">
        <v>2276</v>
      </c>
      <c r="C1454" s="204" t="s">
        <v>12</v>
      </c>
      <c r="D1454" s="4" t="s">
        <v>396</v>
      </c>
      <c r="E1454" s="204" t="s">
        <v>2276</v>
      </c>
      <c r="F1454" s="204" t="s">
        <v>2276</v>
      </c>
      <c r="G1454" s="204" t="s">
        <v>2276</v>
      </c>
      <c r="H1454" s="204" t="s">
        <v>2276</v>
      </c>
      <c r="I1454" s="204" t="s">
        <v>2276</v>
      </c>
      <c r="J1454" s="204" t="s">
        <v>2276</v>
      </c>
      <c r="K1454" s="204" t="s">
        <v>2276</v>
      </c>
      <c r="L1454" s="204" t="s">
        <v>2276</v>
      </c>
      <c r="M1454" s="204" t="s">
        <v>2276</v>
      </c>
      <c r="N1454" s="4">
        <v>0</v>
      </c>
      <c r="O1454" s="4">
        <v>0</v>
      </c>
      <c r="P1454" s="21">
        <v>100</v>
      </c>
      <c r="Q1454" s="4">
        <v>0</v>
      </c>
      <c r="R1454" s="4">
        <v>0</v>
      </c>
      <c r="S1454" s="4" t="s">
        <v>2276</v>
      </c>
      <c r="T1454" s="204"/>
    </row>
    <row r="1455" spans="1:20" ht="48" customHeight="1">
      <c r="A1455" s="11" t="s">
        <v>9265</v>
      </c>
      <c r="B1455" s="204" t="s">
        <v>70</v>
      </c>
      <c r="C1455" s="204" t="s">
        <v>2645</v>
      </c>
      <c r="D1455" s="204" t="s">
        <v>2649</v>
      </c>
      <c r="E1455" s="204" t="s">
        <v>2276</v>
      </c>
      <c r="F1455" s="204" t="s">
        <v>2276</v>
      </c>
      <c r="G1455" s="204" t="s">
        <v>2276</v>
      </c>
      <c r="H1455" s="204" t="s">
        <v>2276</v>
      </c>
      <c r="I1455" s="204" t="s">
        <v>2276</v>
      </c>
      <c r="J1455" s="204" t="s">
        <v>2276</v>
      </c>
      <c r="K1455" s="204" t="s">
        <v>534</v>
      </c>
      <c r="L1455" s="204" t="s">
        <v>2276</v>
      </c>
      <c r="M1455" s="204" t="s">
        <v>2276</v>
      </c>
      <c r="N1455" s="21">
        <v>100</v>
      </c>
      <c r="O1455" s="4">
        <v>0</v>
      </c>
      <c r="P1455" s="4">
        <v>0</v>
      </c>
      <c r="Q1455" s="4">
        <v>0</v>
      </c>
      <c r="R1455" s="4">
        <v>0</v>
      </c>
      <c r="S1455" s="204" t="s">
        <v>2276</v>
      </c>
      <c r="T1455" s="204"/>
    </row>
    <row r="1456" spans="1:20" ht="45.5" customHeight="1">
      <c r="A1456" s="11" t="s">
        <v>9276</v>
      </c>
      <c r="B1456" s="204" t="s">
        <v>70</v>
      </c>
      <c r="C1456" s="204" t="s">
        <v>2645</v>
      </c>
      <c r="D1456" s="204" t="s">
        <v>2649</v>
      </c>
      <c r="E1456" s="204" t="s">
        <v>2276</v>
      </c>
      <c r="F1456" s="204" t="s">
        <v>2276</v>
      </c>
      <c r="G1456" s="204" t="s">
        <v>2276</v>
      </c>
      <c r="H1456" s="204" t="s">
        <v>2276</v>
      </c>
      <c r="I1456" s="204" t="s">
        <v>2276</v>
      </c>
      <c r="J1456" s="204" t="s">
        <v>2276</v>
      </c>
      <c r="K1456" s="204" t="s">
        <v>534</v>
      </c>
      <c r="L1456" s="204" t="s">
        <v>2276</v>
      </c>
      <c r="M1456" s="204">
        <v>6.7690000000000001</v>
      </c>
      <c r="N1456" s="21">
        <v>100</v>
      </c>
      <c r="O1456" s="4">
        <v>0</v>
      </c>
      <c r="P1456" s="4">
        <v>0</v>
      </c>
      <c r="Q1456" s="4">
        <v>0</v>
      </c>
      <c r="R1456" s="4">
        <v>0</v>
      </c>
      <c r="S1456" s="204" t="s">
        <v>2276</v>
      </c>
      <c r="T1456" s="204"/>
    </row>
    <row r="1457" spans="1:20" ht="45.5" customHeight="1">
      <c r="A1457" s="11" t="s">
        <v>9279</v>
      </c>
      <c r="B1457" s="204" t="s">
        <v>2276</v>
      </c>
      <c r="C1457" s="204" t="s">
        <v>2645</v>
      </c>
      <c r="D1457" s="204" t="s">
        <v>2649</v>
      </c>
      <c r="E1457" s="204" t="s">
        <v>2653</v>
      </c>
      <c r="F1457" s="4" t="s">
        <v>396</v>
      </c>
      <c r="G1457" s="4" t="s">
        <v>397</v>
      </c>
      <c r="H1457" s="204" t="s">
        <v>2276</v>
      </c>
      <c r="I1457" s="204" t="s">
        <v>2276</v>
      </c>
      <c r="J1457" s="204" t="s">
        <v>2276</v>
      </c>
      <c r="K1457" s="204" t="s">
        <v>534</v>
      </c>
      <c r="L1457" s="204" t="s">
        <v>2276</v>
      </c>
      <c r="M1457" s="204" t="s">
        <v>2276</v>
      </c>
      <c r="N1457" s="21">
        <v>14</v>
      </c>
      <c r="O1457" s="21">
        <v>12</v>
      </c>
      <c r="P1457" s="21">
        <v>10</v>
      </c>
      <c r="Q1457" s="204" t="s">
        <v>2276</v>
      </c>
      <c r="R1457" s="21">
        <v>50</v>
      </c>
      <c r="S1457" s="204" t="s">
        <v>2276</v>
      </c>
      <c r="T1457" s="204" t="s">
        <v>9292</v>
      </c>
    </row>
    <row r="1458" spans="1:20" ht="51" customHeight="1">
      <c r="A1458" s="11" t="s">
        <v>9288</v>
      </c>
      <c r="B1458" s="204" t="s">
        <v>32</v>
      </c>
      <c r="C1458" s="204" t="s">
        <v>12</v>
      </c>
      <c r="D1458" s="204" t="s">
        <v>2649</v>
      </c>
      <c r="E1458" s="4" t="s">
        <v>397</v>
      </c>
      <c r="F1458" s="204" t="s">
        <v>5801</v>
      </c>
      <c r="G1458" s="204" t="s">
        <v>2276</v>
      </c>
      <c r="H1458" s="204" t="s">
        <v>2276</v>
      </c>
      <c r="I1458" s="204" t="s">
        <v>2276</v>
      </c>
      <c r="J1458" s="204" t="s">
        <v>2276</v>
      </c>
      <c r="K1458" s="204" t="s">
        <v>534</v>
      </c>
      <c r="L1458" s="204" t="s">
        <v>2276</v>
      </c>
      <c r="M1458" s="204" t="s">
        <v>2276</v>
      </c>
      <c r="N1458" s="204" t="s">
        <v>2276</v>
      </c>
      <c r="O1458" s="204" t="s">
        <v>2276</v>
      </c>
      <c r="P1458" s="204" t="s">
        <v>2276</v>
      </c>
      <c r="Q1458" s="204" t="s">
        <v>2276</v>
      </c>
      <c r="R1458" s="204" t="s">
        <v>2276</v>
      </c>
      <c r="S1458" s="204" t="s">
        <v>2276</v>
      </c>
      <c r="T1458" s="204"/>
    </row>
    <row r="1459" spans="1:20" ht="44.5" customHeight="1">
      <c r="A1459" s="35" t="s">
        <v>9293</v>
      </c>
      <c r="B1459" s="38" t="s">
        <v>32</v>
      </c>
      <c r="C1459" s="38" t="s">
        <v>2645</v>
      </c>
      <c r="D1459" s="38" t="s">
        <v>2649</v>
      </c>
      <c r="E1459" t="s">
        <v>137</v>
      </c>
      <c r="F1459" t="s">
        <v>116</v>
      </c>
      <c r="G1459" s="204" t="s">
        <v>2276</v>
      </c>
      <c r="H1459" s="204" t="s">
        <v>2276</v>
      </c>
      <c r="I1459" s="204" t="s">
        <v>2276</v>
      </c>
      <c r="J1459" s="204" t="s">
        <v>2276</v>
      </c>
      <c r="K1459" s="204" t="s">
        <v>534</v>
      </c>
      <c r="L1459" s="204" t="s">
        <v>2276</v>
      </c>
      <c r="M1459" s="204" t="s">
        <v>2276</v>
      </c>
      <c r="N1459" s="204" t="s">
        <v>2276</v>
      </c>
      <c r="O1459" s="204" t="s">
        <v>2276</v>
      </c>
      <c r="P1459" s="204" t="s">
        <v>2276</v>
      </c>
      <c r="Q1459" s="204" t="s">
        <v>2276</v>
      </c>
      <c r="R1459" s="204" t="s">
        <v>2276</v>
      </c>
      <c r="S1459" s="204" t="s">
        <v>2276</v>
      </c>
      <c r="T1459" s="41" t="s">
        <v>9296</v>
      </c>
    </row>
    <row r="1460" spans="1:20" ht="40" customHeight="1">
      <c r="A1460" s="11" t="s">
        <v>9302</v>
      </c>
      <c r="B1460" s="204" t="s">
        <v>32</v>
      </c>
      <c r="C1460" s="204" t="s">
        <v>2645</v>
      </c>
      <c r="D1460" s="204" t="s">
        <v>2649</v>
      </c>
      <c r="E1460" s="204" t="s">
        <v>137</v>
      </c>
      <c r="F1460" s="204" t="s">
        <v>2653</v>
      </c>
      <c r="G1460" s="204" t="s">
        <v>2276</v>
      </c>
      <c r="H1460" s="204" t="s">
        <v>2276</v>
      </c>
      <c r="I1460" s="204" t="s">
        <v>2276</v>
      </c>
      <c r="J1460" s="204" t="s">
        <v>2276</v>
      </c>
      <c r="K1460" s="204" t="s">
        <v>534</v>
      </c>
      <c r="L1460" s="204" t="s">
        <v>2276</v>
      </c>
      <c r="M1460" s="204" t="s">
        <v>2276</v>
      </c>
      <c r="N1460" s="204" t="s">
        <v>2276</v>
      </c>
      <c r="O1460" s="204" t="s">
        <v>2276</v>
      </c>
      <c r="P1460" s="204" t="s">
        <v>2276</v>
      </c>
      <c r="Q1460" s="204" t="s">
        <v>2276</v>
      </c>
      <c r="R1460" s="204" t="s">
        <v>2276</v>
      </c>
      <c r="S1460" s="204" t="s">
        <v>2276</v>
      </c>
      <c r="T1460" s="204"/>
    </row>
    <row r="1461" spans="1:20" ht="42.5" customHeight="1">
      <c r="A1461" s="11" t="s">
        <v>9303</v>
      </c>
      <c r="B1461" s="204" t="s">
        <v>32</v>
      </c>
      <c r="C1461" s="204" t="s">
        <v>2645</v>
      </c>
      <c r="D1461" s="204" t="s">
        <v>2649</v>
      </c>
      <c r="E1461" s="204" t="s">
        <v>137</v>
      </c>
      <c r="F1461" s="204" t="s">
        <v>2653</v>
      </c>
      <c r="G1461" s="204" t="s">
        <v>2276</v>
      </c>
      <c r="H1461" s="204" t="s">
        <v>2276</v>
      </c>
      <c r="I1461" s="204" t="s">
        <v>2276</v>
      </c>
      <c r="J1461" s="204" t="s">
        <v>2276</v>
      </c>
      <c r="K1461" s="204" t="s">
        <v>534</v>
      </c>
      <c r="L1461" s="204" t="s">
        <v>2276</v>
      </c>
      <c r="M1461" s="204" t="s">
        <v>2276</v>
      </c>
      <c r="N1461" s="204" t="s">
        <v>2276</v>
      </c>
      <c r="O1461" s="204" t="s">
        <v>2276</v>
      </c>
      <c r="P1461" s="204" t="s">
        <v>2276</v>
      </c>
      <c r="Q1461" s="204" t="s">
        <v>2276</v>
      </c>
      <c r="R1461" s="204" t="s">
        <v>2276</v>
      </c>
      <c r="S1461" s="204" t="s">
        <v>2276</v>
      </c>
      <c r="T1461" s="204"/>
    </row>
    <row r="1462" spans="1:20" ht="37" customHeight="1">
      <c r="A1462" s="11" t="s">
        <v>9314</v>
      </c>
      <c r="B1462" s="204" t="s">
        <v>1197</v>
      </c>
      <c r="C1462" s="204" t="s">
        <v>2645</v>
      </c>
      <c r="D1462" s="204" t="s">
        <v>3209</v>
      </c>
      <c r="E1462" s="204" t="s">
        <v>2649</v>
      </c>
      <c r="F1462" s="204" t="s">
        <v>137</v>
      </c>
      <c r="G1462" s="204" t="s">
        <v>2276</v>
      </c>
      <c r="H1462" s="204" t="s">
        <v>2276</v>
      </c>
      <c r="I1462" s="204" t="s">
        <v>2276</v>
      </c>
      <c r="J1462" s="204" t="s">
        <v>2276</v>
      </c>
      <c r="K1462" s="204" t="s">
        <v>2276</v>
      </c>
      <c r="L1462" s="204" t="s">
        <v>2276</v>
      </c>
      <c r="M1462" s="204" t="s">
        <v>2276</v>
      </c>
      <c r="N1462" s="204" t="s">
        <v>2276</v>
      </c>
      <c r="O1462" s="204" t="s">
        <v>2276</v>
      </c>
      <c r="P1462" s="204" t="s">
        <v>2276</v>
      </c>
      <c r="Q1462" s="204" t="s">
        <v>2276</v>
      </c>
      <c r="R1462" s="204" t="s">
        <v>2276</v>
      </c>
      <c r="S1462" s="204" t="s">
        <v>2276</v>
      </c>
      <c r="T1462" s="204"/>
    </row>
  </sheetData>
  <autoFilter ref="A1:A1219" xr:uid="{62D053E4-8C45-470C-A9A6-766705764215}"/>
  <phoneticPr fontId="6" type="noConversion"/>
  <conditionalFormatting sqref="B284">
    <cfRule type="duplicateValues" dxfId="308" priority="5"/>
  </conditionalFormatting>
  <conditionalFormatting sqref="A344 A283:A288 A290:A291">
    <cfRule type="duplicateValues" dxfId="307" priority="41"/>
  </conditionalFormatting>
  <conditionalFormatting sqref="A366 A346:A348 A354:A363">
    <cfRule type="duplicateValues" dxfId="306" priority="2"/>
  </conditionalFormatting>
  <conditionalFormatting sqref="A364:A365">
    <cfRule type="duplicateValues" dxfId="305" priority="1"/>
  </conditionalFormatting>
  <dataValidations xWindow="812" yWindow="549" count="11">
    <dataValidation allowBlank="1" showInputMessage="1" showErrorMessage="1" prompt="The same as Case study ID in Record Info_x000a_" sqref="A506:A583 A1:A489 A673:A704 A716:A783 A808:A828 A834:A837 A848:A854 A868:A881 A598:A660 A886:A926 A1058:A1069 A1110:A1114 A1146:A1149 A1218:A1223 A1232 A1243:A1270 A1278:A1336 A1343:A1366 A1388:A1390 A1395:A1405 A1415:A1417 A1435:A1436 A1455:A1048576" xr:uid="{958EE0FA-D633-4373-8F3F-23CC800D0ACC}"/>
    <dataValidation allowBlank="1" showInputMessage="1" showErrorMessage="1" prompt="See AFT table, page 1 of database protocol" sqref="L508:S508 L509:Q509 S509:S511 L510:R511 L512:O512 L488:T489 J488:J489 J534:N534 L513:S527 T519:T522 K528:S531 Q533:S535 O532:O548 L532:N532 P532:S532 K533:N533 S541:S548 J569:S570 P534 N535:N548 K535:L535 P536:Q540 L609:O610 J609:J613 Q541:Q548 J549:S549 J550:J551 J536:M548 P544:P548 R544:R548 J552:S552 L550:S551 K553:S554 K571:S571 J555:S555 J556:J561 L556:S559 O560:O568 L560:M561 K562:N562 J508:J532 J563:N568 P562:S568 J571:J581 L572:S581 J583:N583 L582:M582 T583 K584:N597 O582:O597 B552 B562:B565 B572:B577 B584:B597 J598:O605 T600:T602 J606 L606:O606 K611:O613 P583:R613 S582:S613 H488:H612 J607:O608" xr:uid="{E1D806FE-C7FC-4990-A91D-0671FBC38A5E}"/>
    <dataValidation type="decimal" allowBlank="1" showInputMessage="1" showErrorMessage="1" prompt="Float (max 9999)_x000a_" sqref="M395:M487 M535 M638 M357:M392 M695 O844:S844 O847 L837:S843 S845:S847 O846:R846 M1:M354 M963 M927:M928 M1456 M1463:M1048576" xr:uid="{D2836D06-B347-4762-B8E5-C74BA2231C1E}">
      <formula1>0</formula1>
      <formula2>9999</formula2>
    </dataValidation>
    <dataValidation type="decimal" allowBlank="1" showInputMessage="1" showErrorMessage="1" prompt="Float (max 100)" sqref="R509 P512:S512 O532 K533:P533 P535 S536:S540 R536:R543 P541:P543 N560:N561 P560:S561 P582:R582 N582 P626:P630 P637 N357:O392 P357:S393 N395:S487 R698 O698:P698 N702:P704 R702:R715 R719 P722:S723 P719 O757:P757 R757 P760:P761 S765 P770:P771 R778 O810:P810 R810 P847:R847 P845:R845 R886:R888 O886:P888 P891:R891 P894:Q894 R906 N906 N2:N354 O1:S354 O980:Q981 Q978 Q932:S932 N932:O932 R937 P937 P940:P942 R940:R944 Q983 P1028 R1054 N927:S928 N944 P949:R950 O949 N963:S963 Q988 O964:P965 O969:P970 R964:R965 R970:R973 P971:Q971 R975:R976 R978:R983 Q985:R985 R987 P979:Q979 O975:P978 O983:P985 O972:Q973 Q975 Q1289:R1289 Q1059 R1059:R1060 P1060 O1059:O1060 S1060 R1070 O1092 O1100:O1109 P1054 S1232 R1233:R1242 O1233:P1242 Q1238:Q1242 R1249 P1249 O1255 R1255:S1255 O1258 R1263:R1266 R1290:R1291 P1315:P1316 P1303:P1305 P1319:P1321 P1307:P1313 P1335 P1352:P1356 P1359:P1361 O1361 P1367:P1381 N1390 R1398 O1401:P1401 R1401:S1401 S1404:S1405 P1406:P1414 N1415:N1417 R1435:R1436 N1435:P1436 Q1435 N1418:P1418 S1435 R1418 R1453 P1454 R1457 O1457:P1457 N1455:N1457 N1463:S1048576" xr:uid="{4AE504A1-A17A-4A45-9E7B-24380358934C}">
      <formula1>0</formula1>
      <formula2>100</formula2>
    </dataValidation>
    <dataValidation type="decimal" allowBlank="1" showInputMessage="1" showErrorMessage="1" prompt="Float_x000a_" sqref="P394:S394 H616:H617 H624 H684:H690 H886:H888 L393:O394 H697:H698 H702:H704 H716 H719 H733:H734 H736 H755:H756 H762:H764 H770:H771 H773 H357:H487 I921:I922 H921:H923 H1:H354 F933:S933 G932:M932 C935:S935 H963 P932 H1000:H1012 H1025:H1028 H1100:H1109 H927:H931 F929:G931 I929:J931 H1086:H1092 H1065 H1078:H1080 H1224:H1231 H1250:H1251 H1258 H1261 H1020:H1021 H1396:H1397 H1463:H1048576" xr:uid="{E7172500-EFC1-4BA2-A1C5-13FEACEF1489}">
      <formula1>0</formula1>
      <formula2>9999</formula2>
    </dataValidation>
    <dataValidation type="decimal" allowBlank="1" showInputMessage="1" showErrorMessage="1" prompt="Float" sqref="L395:L487 J584:J597 J582 J490:J505 J562 L357:L392 J533 J535 J357:J487 J553:J554 J860:J867 J1:J354 L1:L354 I927:J928 I1024:I1028 J1022:J1028 L927:L931 M929:S931 L963 J1004:J1012 J963 I1055:J1055 H1030:I1030 J1001:J1002 I997:I1012 I1020:I1022 J1352:J1356 J1359 J1463:J1048576 L1463:L1048576" xr:uid="{6282E749-1F3D-45A5-920E-B954C0C0A3E8}">
      <formula1>0</formula1>
      <formula2>9999</formula2>
    </dataValidation>
    <dataValidation type="textLength" allowBlank="1" showInputMessage="1" showErrorMessage="1" sqref="L490:M507 J506:J507 N490:S505" xr:uid="{76E9490B-1180-435E-8D38-251D81E60D8F}">
      <formula1>2</formula1>
      <formula2>3</formula2>
    </dataValidation>
    <dataValidation allowBlank="1" showInputMessage="1" showErrorMessage="1" prompt="Float (max 100)" sqref="N1" xr:uid="{042066D9-8BC2-4827-9561-8287F1C3FF5B}"/>
    <dataValidation allowBlank="1" showInputMessage="1" showErrorMessage="1" prompt="Study ID + letter denoting case study: 1a, 1b, 1c etc." sqref="A490:A505 A584:A597 A661:A672 A705:A715 A784:A807 A829:A833 A838:A847 A855:A867 A882:A885 A927:A1057 A1070:A1109 A1115:A1145 A1150:A1217 A1224:A1231 A1233:A1242 A1271:A1277 A1337:A1342 A1367:A1387 A1391:A1394 A1406:A1414 A1437:A1454 A1418:A1434" xr:uid="{D2A7C982-2471-4155-846A-CEEAEF0EB95B}"/>
    <dataValidation type="decimal" allowBlank="1" showInputMessage="1" showErrorMessage="1" sqref="N506:S507" xr:uid="{4FBE7DC1-F108-471C-9AF8-AA98AECC94E8}">
      <formula1>0</formula1>
      <formula2>100</formula2>
    </dataValidation>
    <dataValidation type="decimal" allowBlank="1" showInputMessage="1" showErrorMessage="1" sqref="I822:I851 I860:I868 I872:I875 I880 I886:I888 I623:I648 I650:I819 I904 I911 I923 I1:I621 H925 I944 I949 I963:I981 I983 I985:I987 I925:I926 I1245 I1251 I1253:I1255 I1257:I1258 I1301 I1359 H1388:I1388 I1396:I1397 I1402 I1463:I1048576" xr:uid="{F7D4EAB2-4AF5-41E9-921A-C117323BA598}">
      <formula1>0</formula1>
      <formula2>99999999</formula2>
    </dataValidation>
  </dataValidations>
  <hyperlinks>
    <hyperlink ref="T810" r:id="rId1" display="Land use cross-checked against Balestieri (2018)" xr:uid="{3F51AD0E-D35F-45A9-BF60-02BF08D4EDAD}"/>
    <hyperlink ref="T1459" r:id="rId2" location=":~:text=Eucalypts%20are%20iconic%20Australian%20forest,genera%20Eucalyptus%2C%20Corymbia%20and%20Angophora." xr:uid="{46FE4FF7-0092-4C53-9860-D2A46AAB70D8}"/>
  </hyperlinks>
  <pageMargins left="0.70866141732283472" right="0.70866141732283472" top="0.74803149606299213" bottom="0.74803149606299213" header="0.31496062992125984" footer="0.31496062992125984"/>
  <pageSetup orientation="portrait" r:id="rId3"/>
  <extLst>
    <ext xmlns:x14="http://schemas.microsoft.com/office/spreadsheetml/2009/9/main" uri="{CCE6A557-97BC-4b89-ADB6-D9C93CAAB3DF}">
      <x14:dataValidations xmlns:xm="http://schemas.microsoft.com/office/excel/2006/main" xWindow="812" yWindow="549" count="19">
        <x14:dataValidation type="list" allowBlank="1" showInputMessage="1" showErrorMessage="1" xr:uid="{DBFDBDFC-402D-4452-9CE1-F2863412BC66}">
          <x14:formula1>
            <xm:f>'IGNORE Lookups'!$A$32:$A$33</xm:f>
          </x14:formula1>
          <xm:sqref>K357:K527 K532 K836:K843 K645 K638 K623:K624 K620 K609:K610 K606 K572:K582 K556:K561 K550:K551 K651:K660 K672:K675 K679 K695:K696 K702:K704 K722 K724 K754:K756 K769:K771 K778:K781 K808:K809 K811 K813:K814 K818 K834 K647:K648 K852 K870:K871 K880 K898 K906 K910:K913 K917 K1:K354 K1218:K1220 K1223 K1232 K1255 K1259:K1260 K1271:K1277 K1287 K1390:K1394 K1398:K1400 K1415:K1418 K1429:K1430 K1435:K1436 K1447:K1448 K1463:K1048576 K1455:K1461</xm:sqref>
        </x14:dataValidation>
        <x14:dataValidation type="list" allowBlank="1" showInputMessage="1" showErrorMessage="1" prompt="One of: Traditional , Private, Centrally-allocated, Insecure, Mixed. _x000a_" xr:uid="{CFC07E51-516C-4F27-96A0-04B87F715968}">
          <x14:formula1>
            <xm:f>'IGNORE Lookups'!$A$23:$A$28</xm:f>
          </x14:formula1>
          <xm:sqref>H622:S622 B553:B561 B566:B571 B578:B583 B393:B394 B396 S891:S894 B400:B551 H889:S890 G891:O891 C622 F894:O894 H892:R893 R894 F903:S903 G904:H904 J904:S904 F905:S905 O906:Q906 L907:R913 L906:M906 H906:J906 G907:J910 K907:K909 K918:R920 E914:F915 F916 K914:R916 L917:R917 S906:S920 I912:I920 G912:G920 J911:J920 H911:H920 B1:B390 F920 F922:G923 E921:G921 J921:S926 B946:B996 G925 B598:B944 H926 H924:I924 C1110 C1115:C1122 C1128:C1149 F1221:S1222 E1115:J1217 K1115:K1149 K1151:K1217 E1219:J1219 F1218:J1218 L1115:S1220 H1220:J1220 L1223:S1223 F1223:J1223 L1232:R1232 E1224:G1231 I1224:S1231 G1232:J1232 J1245:R1245 F1233:G1237 Q1233:Q1237 K1253:K1254 H1233:N1242 G1243:R1244 F1245:H1245 H1246:R1248 R1250:R1262 H1249:O1249 E1250:G1251 I1250:P1250 J1251:P1251 E1252:P1252 L1253:P1255 K1258:N1258 K1256:P1257 I1256 F1253:H1257 E1256 G1258:G1259 I1261:I1300 H1259:I1260 L1259:O1260 F1266:G1266 K1288:O1293 G1261 G1263:G1264 E1267:G1267 K1261:O1270 G1268:G1286 F1270 L1271:O1277 F1278:F1283 E1283 K1278:O1286 L1287:O1287 E1288:G1289 R1267:R1287 P1292:R1293 F1290:G1293 Q1249:Q1287 P1258:P1287 E1294:G1295 F1296:G1296 E1297:G1300 K1294:R1302 E1302:F1304 H1262:H1380 S1233:S1305 Q1306:S1356 I1302:I1358 F1305:F1335 P1306 E1306 E1314 P1314 E1317:E1318 P1317:P1318 E1323:E1324 C1326:C1328 E1326:E1328 E1331:E1335 C1337:F1343 E1344:F1345 E1347:F1347 C1352:E1356 J1253:J1351 P1322:P1351 Q1359:S1361 Q1303:R1305 G1301:G1363 J1357:S1358 Q1367:S1381 E1359 F1349:F1359 I1360:N1361 O1359:O1360 F1361:F1363 K1359:N1359 E1377 F1365:G1366 I1362:S1366 F1367:F1389 E1379 I1367:O1380 G1367:G1380 S1406:S1453 J1388:S1388 G1382:S1387 C1382:C1387 E1382:E1387 D1382:D1383 D1385:D1387 G1388:G1389 N1389 E1389 K1389 L1389:M1390 O1389:S1390 H1395:S1395 H1389:J1394 L1391:S1394 S1398:S1400 J1396:S1397 G1396:G1397 L1398:Q1398 L1399:R1400 C1400:G1400 H1401:N1401 H1398:J1400 H1402:H1452 J1402:P1402 T1406:T1414 R1402:S1403 I1403:P1405 O1455:R1456 N1454:O1454 G1403:G1417 F1403:F1414 E1416:F1417 O1415:P1417 B1058:B1417 I1406:O1414 K1419:K1428 K1431:K1434 K1437:K1446 K1449:K1452 I1415:J1452 N1419:P1434 L1415:M1452 R1419:R1434 R1437:R1452 K1303:O1356 N1437:P1453 Q1454:S1454 Q1401:Q1453 R1404:R1417 G1381:O1381 B1453:B1048576</xm:sqref>
        </x14:dataValidation>
        <x14:dataValidation type="list" allowBlank="1" showInputMessage="1" showErrorMessage="1" xr:uid="{88CFF800-DF56-4555-B0F3-AE555EFB2C06}">
          <x14:formula1>
            <xm:f>'IGNORE Lookups'!$C$23:$C$43</xm:f>
          </x14:formula1>
          <xm:sqref>J836:J843 J848:N851 I852:J852 L852:N852 I853:N854 D778:F778 H855:N859 J868:J888 I876:I879 I869:I871 K860:N869 F835 N845:N847 S845:S888 L870:N880 K872:K879 I881:I885 P848:R885 H613:H615 O845:O885 J614:S619 K621 L623:S624 J625:S625 J626:O637 P631:P636 Q626:S637 K639:K644 Q886:Q888 J623:J624 K646 K649:K650 L638:L696 K661:K671 K676:K678 H691:H696 B397:B399 K680:K694 B391:B392 B395 M696:S696 R697 K697:N698 O697:P697 K699:P700 R699:R700 S697:S700 Q697:Q700 J701:S701 J721:S721 H699:H701 L702:M704 J702:J720 S702:S720 Q702:Q720 R716:R718 R720 H705:H715 L722:O722 J722 J723:O723 J724 K705:P718 K719:O719 I649 K720:P720 H717:H718 L724:S724 J725:S751 H735 I820:P821 K752:K753 L752:S756 J752:J756 Q761:S761 J757:N757 H617:H621 Q757:Q760 S757:S760 J762:S764 J819:P819 J758:O761 R758:R760 P758:P759 J765:R768 J769:J771 P769 L769:O771 Q769:R771 H772 J810:N810 J772:R777 S766:S828 J778:J809 L778:Q778 K782:K807 J811:J814 L779:R809 L811:P811 K812:P812 L813:P814 J815:P817 J822:P828 Q810:Q828 J355:S356 R811:R828 J818 L620:S621 H623 J620:J621 L818:P818 J829:S833 J834 L834:S834 J835:S835 L836:S843 N844:S844 N638:S695 K881:N888 H860:H885 P846:R846 J844:M847 J638:J700 H355:H356 M639:M694 H765:H769 H757:H761 H737:H754 H720:H732 H774:H854 H625:H683 E906</xm:sqref>
        </x14:dataValidation>
        <x14:dataValidation type="list" allowBlank="1" showInputMessage="1" showErrorMessage="1" xr:uid="{F2DB2DF3-B881-43DA-9B74-25DF856249B0}">
          <x14:formula1>
            <xm:f>'IGNORE Lookups'!$B$23:$B$27</xm:f>
          </x14:formula1>
          <xm:sqref>C1:C621 C623:C926 C963 C929:C931 C949:C950 C1058:C1109 C1111:C1114 C1123:C1127 C1150:C1325 C1329:C1336 C1344:C1351 C1357:C1381 C1388:C1399 C1401:C1418 C1425 C1442:C1443 C1447:C1448 C1434:C1436 C1429:C1430 C1452:C1048576</xm:sqref>
        </x14:dataValidation>
        <x14:dataValidation type="list" allowBlank="1" showInputMessage="1" showErrorMessage="1" xr:uid="{233C3D7D-13C9-4E38-AAC9-5E3F822FC6ED}">
          <x14:formula1>
            <xm:f>'IGNORE Lookups'!$C$23:$C$45</xm:f>
          </x14:formula1>
          <xm:sqref>G892:G893 F895:S897 K899:K902 E894:E897 L898:S902 E898:J902 F904 E903:E905 G906 F906:F910 F911:G911 E907:E913 F917:F919 F912:F913 E916:E920 G1:G890 E1:F893 G924 I982 G926 E922:E926 F932 E933 F936:F942 F989 F944:F945 D964:E977 D950 E946:E949 F951:F962 D963:G963 I984 D978:D988 E978:E987 F964:F974 Q986:Q987 O966:P968 O971 R986 R977 S964:S987 R966:R969 Q964:Q970 O974:R974 Q976:Q977 O982:P987 Q982 Q984:R984 G964:H987 J964:N987 D1:D926 F924:F926 E1058:E1063 E1065:F1065 G1066:G1068 F1079:F1080 G1084:G1086 G1090:G1094 F1076:F1077 F1103 F1100 F1084:F1094 G1080 F1066:F1069 E1066:E1082 E1084:E1095 E1100:E1101 E1103:E1104 E1107:E1114 F1108:F1114 G1110:S1114 E1218 F1220:G1220 E1220:E1223 F1232 G1238:G1242 F1238:F1244 E1232:E1249 F1246:G1249 E1253:E1255 E1257 E1258:F1259 F1260:G1260 F1261:F1264 F1265:G1265 G1262 E1260:E1266 F1268:F1269 F1271:F1277 E1268:E1282 E1284:F1287 G1287 D1007:D1012 E1001:E1006 E1290:E1293 E1030 D1022 E1296 E1301:F1301 E1305 E1307:E1313 E1315:E1316 E1319:E1322 E1325 E1329:E1330 E1336:F1336 D1058:D1336 E1346:F1346 F1348 E1348:E1351 D1344:D1351 E1357:E1358 F1360 F1364:G1364 E1378 E1360:E1376 E1380:E1381 D1357:D1381 D1384 D1388:E1388 E1390 D1389:D1390 F1390:G1395 E1396:F1397 F1398:G1399 D1391:E1399 E1401:G1402 F1415 E1403:E1415 D1447:G1448 C1437:G1441 D1442:G1443 C1444:G1446 E1418:G1425 C1449:G1451 C1419:C1424 C1431:G1433 C1426:G1428 D1429:G1430 D1434:G1436 D1401:D1425 B1418:B1452 E1452:G1452 E1453:M1454 S1455:S1462 L1455:M1455 Q1457:Q1462 L1456:L1462 R1458:R1462 M1457:M1462 D1452:D1461 E1455:J1461 D1463:G1048576 D1462:K1462 N1458:P1462</xm:sqref>
        </x14:dataValidation>
        <x14:dataValidation type="list" allowBlank="1" showInputMessage="1" showErrorMessage="1" xr:uid="{158D657E-0EFC-479E-937A-E8A6390C6096}">
          <x14:formula1>
            <xm:f>'C:\Users\Oli\Documents\PhD\Model development\Data\Collaborators\Current Contributor Versions\[Fire Database Ben v2.xlsx]IGNORE Lookups'!#REF!</xm:f>
          </x14:formula1>
          <xm:sqref>R988:S989 Q937:Q942 E943:Q943 O944:Q944 F937:O942 F927:G928 K927:K931 E927:E932 F932 E934:S934 D927:D934 F936:S936 E936:E942 S937:S944 E944:M944 E945:S945 D936:D945 E963:E967 K963:K987 I989:P989 O950 E988:P988 E989:G989 S946:S950 D946:N950 O946:R948 D951:S962 D968:E987 D964:D967 I984 Q986:Q987 L964:N987 O966:P968 O971 R986 R977 S964:S987 R966:R969 Q964:Q970 O974:R974 Q976:Q977 O982:P987 Q982 Q984:R984 F964:H987 J964:J987 I982 D989:D996 H989:H994 H996:S996 I990:J994 L990:S994 F990:F996 K990:K995 D1001:E1006 J1003 J997:J1000 D1007:D1012 D1020:D1022 D1025:D1026</xm:sqref>
        </x14:dataValidation>
        <x14:dataValidation type="list" allowBlank="1" showInputMessage="1" showErrorMessage="1" prompt="One of: pre-industrial, transition, Industrial, post-industrial" xr:uid="{BEB61944-AFC7-4CB8-B992-BE110C2832A8}">
          <x14:formula1>
            <xm:f>'C:\Users\Oli\Documents\PhD\Model development\Data\Collaborators\Current Contributor Versions\[Fire Database Ben v2.xlsx]IGNORE Lookups'!#REF!</xm:f>
          </x14:formula1>
          <xm:sqref>C927:C928 C932:C934 C936:C948 C951:C962 C964:C989</xm:sqref>
        </x14:dataValidation>
        <x14:dataValidation type="list" allowBlank="1" showInputMessage="1" showErrorMessage="1" xr:uid="{98CF3C97-143C-4547-8459-EF3859691ACC}">
          <x14:formula1>
            <xm:f>'C:\Users\Oli\Documents\PhD\Model development\Data\Collaborators\Current Contributor Versions\[Adam''s fire data.xlsx]IGNORE Lookups'!#REF!</xm:f>
          </x14:formula1>
          <xm:sqref>Q1028:S1028 K1028:O1029 P1029:S1029 J1013:J1021 L1031:S1052 K997:S1027 L995:S995 G995:J995 G990:G994 G996 F1058:S1058 F1059:N1060 P1059 S1059 E1064 F1061:P1064 R1061:S1064 Q1060:Q1064 G1065 I1065:S1065 H1066:S1068 G1069:S1069 I1070:I1109 H1093:H1099 H1081:H1085 G1087:G1089 G1095:G1109 F1104:F1107 F1101:F1102 F1095:F1099 F1081:G1083 F1078:G1078 G1079 G1070:H1077 F1070:F1075 E1083 E1096:E1099 E1102 E1105:E1106 E1054:J1054 F1053:J1053 L1053:O1054 P1053:S1053 Q1054:Q1057 S1054:S1057 G1055 E1033:F1043 E1046:F1050 E1056:J1056 F1057:J1057 G1031:J1052 F1031 R1055:R1057 L1055:P1057 F997:G1030 D997:E1000 H1022:H1024 H1013:I1019 D1013:D1019 J1030:S1030 I1023 D1023:D1024 D1027:D1030 H1029:J1029 E1007:E1029</xm:sqref>
        </x14:dataValidation>
        <x14:dataValidation type="list" allowBlank="1" showInputMessage="1" showErrorMessage="1" prompt="One of: pre-industrial, transition, Industrial, post-industrial" xr:uid="{5643D444-365F-40C4-8260-931177BCA866}">
          <x14:formula1>
            <xm:f>'C:\Users\Oli\Documents\PhD\Model development\Data\Collaborators\Current Contributor Versions\[Adam''s fire data.xlsx]IGNORE Lookups'!#REF!</xm:f>
          </x14:formula1>
          <xm:sqref>C997:C1030</xm:sqref>
        </x14:dataValidation>
        <x14:dataValidation type="list" allowBlank="1" showInputMessage="1" showErrorMessage="1" prompt="One of: Traditional , Private, Centrally-allocated, Insecure, Mixed. _x000a_" xr:uid="{C4BDE193-B05F-4D7E-AEED-2B54BB3B7247}">
          <x14:formula1>
            <xm:f>'C:\Users\Oli\Documents\PhD\Model development\Data\Collaborators\Current Contributor Versions\[Adam''s fire data.xlsx]IGNORE Lookups'!#REF!</xm:f>
          </x14:formula1>
          <xm:sqref>B997:B1030</xm:sqref>
        </x14:dataValidation>
        <x14:dataValidation type="list" allowBlank="1" showInputMessage="1" showErrorMessage="1" prompt="One of: pre-industrial, transition, Industrial, post-industrial" xr:uid="{A070D641-3D6A-4FB9-972D-924C1461474D}">
          <x14:formula1>
            <xm:f>'C:\Users\Oli\Documents\PhD\Model development\Data\Collaborators\Current Contributor Versions\[AnthroFireDB_IndustrialForestry_2020-07-17.xlsx]IGNORE Lookups'!#REF!</xm:f>
          </x14:formula1>
          <xm:sqref>C1055:C1057</xm:sqref>
        </x14:dataValidation>
        <x14:dataValidation type="list" allowBlank="1" showInputMessage="1" showErrorMessage="1" prompt="See AFT table, page 1 of database protocol" xr:uid="{AAC73340-5F43-4C70-B962-14020B16FA89}">
          <x14:formula1>
            <xm:f>'C:\home\james\OneDrive\Research\Projects\GlobalFireUseDatabase\Industrial Forestry\[AnthroFireDB_IndustrialForestry_2020-06-15.xlsx]IGNORE Lookups'!#REF!</xm:f>
          </x14:formula1>
          <xm:sqref>E990:E996 D1033:D1052 E1031:E1032 F1032</xm:sqref>
        </x14:dataValidation>
        <x14:dataValidation type="list" allowBlank="1" showInputMessage="1" showErrorMessage="1" prompt="One of: Traditional , Private, Centrally-allocated, Insecure, Mixed. _x000a_" xr:uid="{32EE3E63-C911-4651-B6FD-02C220DC414F}">
          <x14:formula1>
            <xm:f>'C:\Users\Oli\Documents\PhD\Model development\Data\Collaborators\Current Contributor Versions\[AnthroFireDB_IndustrialForestry_2020-07-17.xlsx]IGNORE Lookups'!#REF!</xm:f>
          </x14:formula1>
          <xm:sqref>B1055:B1057 B1038:B1053</xm:sqref>
        </x14:dataValidation>
        <x14:dataValidation type="list" allowBlank="1" showInputMessage="1" showErrorMessage="1" xr:uid="{60E92447-DFA5-4232-B8D6-B38B07E8DCFE}">
          <x14:formula1>
            <xm:f>'C:\Users\Oli\Documents\PhD\Model development\Data\Collaborators\Current Contributor Versions\[AnthroFireDB_IndustrialForestry_2020-07-17.xlsx]IGNORE Lookups'!#REF!</xm:f>
          </x14:formula1>
          <xm:sqref>K1035:K1057 E1053 D1053:D1057 D1031:D1032 K1150 E1051:F1052 E1044:F1045 E1057 E1055:F1055</xm:sqref>
        </x14:dataValidation>
        <x14:dataValidation type="list" allowBlank="1" showInputMessage="1" showErrorMessage="1" prompt="One of: Traditional , Private, Centrally-allocated, Insecure, Mixed. _x000a_" xr:uid="{FA5D1144-2110-4AA5-BB2B-9FE6B05D8549}">
          <x14:formula1>
            <xm:f>'C:\home\james\OneDrive\Research\Projects\GlobalFireUseDatabase\Industrial Forestry\[AnthroFireDB_IndustrialForestry_2020-06-15.xlsx]IGNORE Lookups'!#REF!</xm:f>
          </x14:formula1>
          <xm:sqref>B1031:B1037 B1054</xm:sqref>
        </x14:dataValidation>
        <x14:dataValidation type="list" allowBlank="1" showInputMessage="1" showErrorMessage="1" prompt="One of: pre-industrial, transition, Industrial, post-industrial" xr:uid="{2A852D18-71F5-4B91-9D38-0339E47DA062}">
          <x14:formula1>
            <xm:f>'C:\home\james\OneDrive\Research\Projects\GlobalFireUseDatabase\Industrial Forestry\[AnthroFireDB_IndustrialForestry_2020-06-15.xlsx]IGNORE Lookups'!#REF!</xm:f>
          </x14:formula1>
          <xm:sqref>C990:C996 C1031:C1054</xm:sqref>
        </x14:dataValidation>
        <x14:dataValidation type="list" allowBlank="1" showInputMessage="1" showErrorMessage="1" xr:uid="{C78F21DB-B818-483D-A79D-0F764F905224}">
          <x14:formula1>
            <xm:f>'C:\home\james\OneDrive\Research\Projects\GlobalFireUseDatabase\Industrial Forestry\[AnthroFireDB_IndustrialForestry_2020-06-15.xlsx]IGNORE Lookups'!#REF!</xm:f>
          </x14:formula1>
          <xm:sqref>K1031:K1034</xm:sqref>
        </x14:dataValidation>
        <x14:dataValidation type="list" allowBlank="1" showInputMessage="1" showErrorMessage="1" prompt="One of: Traditional , Private, Centrally-allocated, Insecure, Mixed. _x000a_" xr:uid="{A465B69A-21A4-4835-BD5D-47C9FBAB0219}">
          <x14:formula1>
            <xm:f>'C:\Users\Oli\Documents\PhD\Model development\Data\Collaborators\Current Contributor Versions\[Fire Database Ben v2.xlsx]IGNORE Lookups'!#REF!</xm:f>
          </x14:formula1>
          <xm:sqref>B945</xm:sqref>
        </x14:dataValidation>
        <x14:dataValidation type="list" allowBlank="1" showInputMessage="1" showErrorMessage="1" xr:uid="{1CBE11BA-EC56-4733-A24C-D2F42A1166DE}">
          <x14:formula1>
            <xm:f>'IGNORE Lookups'!$L$3:$L$7</xm:f>
          </x14:formula1>
          <xm:sqref>J1070:N1109 O1093:O1099 O1070:O1091 P1070:Q1109 R1071:S1109 S1070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7E04E-06DD-4B94-B488-9014E2549ECF}">
  <dimension ref="A1:AD3556"/>
  <sheetViews>
    <sheetView topLeftCell="Z1" zoomScale="55" zoomScaleNormal="55" workbookViewId="0">
      <pane ySplit="1" topLeftCell="A3551" activePane="bottomLeft" state="frozen"/>
      <selection pane="bottomLeft" activeCell="AD3555" sqref="AB3555:AD3555"/>
    </sheetView>
  </sheetViews>
  <sheetFormatPr defaultRowHeight="14.5"/>
  <cols>
    <col min="1" max="1" width="18.36328125" customWidth="1"/>
    <col min="2" max="2" width="20.54296875" customWidth="1"/>
    <col min="3" max="3" width="20.453125" customWidth="1"/>
    <col min="4" max="4" width="27" customWidth="1"/>
    <col min="5" max="5" width="26.90625" customWidth="1"/>
    <col min="6" max="6" width="25.7265625" style="60" customWidth="1"/>
    <col min="7" max="7" width="25.7265625" customWidth="1"/>
    <col min="8" max="9" width="21" customWidth="1"/>
    <col min="10" max="11" width="23" style="14" customWidth="1"/>
    <col min="12" max="13" width="19.36328125" style="14" customWidth="1"/>
    <col min="14" max="19" width="18.6328125" style="14" customWidth="1"/>
    <col min="20" max="21" width="19.90625" style="14" customWidth="1"/>
    <col min="22" max="23" width="21.81640625" style="14" customWidth="1"/>
    <col min="24" max="24" width="23" style="14" customWidth="1"/>
    <col min="25" max="25" width="21.1796875" style="14" customWidth="1"/>
    <col min="26" max="26" width="22.54296875" customWidth="1"/>
    <col min="27" max="27" width="23.26953125" customWidth="1"/>
    <col min="28" max="28" width="29.26953125" customWidth="1"/>
    <col min="29" max="29" width="46.36328125" customWidth="1"/>
    <col min="30" max="30" width="48" customWidth="1"/>
  </cols>
  <sheetData>
    <row r="1" spans="1:30" ht="72.5" customHeight="1" thickBot="1">
      <c r="A1" s="1" t="s">
        <v>2264</v>
      </c>
      <c r="B1" s="15" t="s">
        <v>5054</v>
      </c>
      <c r="C1" s="2" t="s">
        <v>7</v>
      </c>
      <c r="D1" s="2" t="s">
        <v>8</v>
      </c>
      <c r="E1" s="2" t="s">
        <v>2285</v>
      </c>
      <c r="F1" s="15" t="s">
        <v>2440</v>
      </c>
      <c r="G1" s="15" t="s">
        <v>2450</v>
      </c>
      <c r="H1" s="15" t="s">
        <v>522</v>
      </c>
      <c r="I1" s="2" t="s">
        <v>168</v>
      </c>
      <c r="J1" s="71" t="s">
        <v>2363</v>
      </c>
      <c r="K1" s="71" t="s">
        <v>1250</v>
      </c>
      <c r="L1" s="71" t="s">
        <v>2357</v>
      </c>
      <c r="M1" s="71" t="s">
        <v>1249</v>
      </c>
      <c r="N1" s="71" t="s">
        <v>2356</v>
      </c>
      <c r="O1" s="71" t="s">
        <v>1248</v>
      </c>
      <c r="P1" s="71" t="s">
        <v>2358</v>
      </c>
      <c r="Q1" s="71" t="s">
        <v>2438</v>
      </c>
      <c r="R1" s="71" t="s">
        <v>2439</v>
      </c>
      <c r="S1" s="71" t="s">
        <v>1227</v>
      </c>
      <c r="T1" s="71" t="s">
        <v>2359</v>
      </c>
      <c r="U1" s="71" t="s">
        <v>1228</v>
      </c>
      <c r="V1" s="71" t="s">
        <v>2360</v>
      </c>
      <c r="W1" s="71" t="s">
        <v>1465</v>
      </c>
      <c r="X1" s="71" t="s">
        <v>2361</v>
      </c>
      <c r="Y1" s="71" t="s">
        <v>36</v>
      </c>
      <c r="Z1" s="2" t="s">
        <v>9</v>
      </c>
      <c r="AA1" s="2" t="s">
        <v>10</v>
      </c>
      <c r="AB1" s="17" t="s">
        <v>37</v>
      </c>
      <c r="AC1" s="17" t="s">
        <v>0</v>
      </c>
      <c r="AD1" s="16" t="s">
        <v>117</v>
      </c>
    </row>
    <row r="2" spans="1:30" ht="33" customHeight="1">
      <c r="A2" s="32" t="s">
        <v>15</v>
      </c>
      <c r="B2" t="s">
        <v>40</v>
      </c>
      <c r="C2" s="32" t="s">
        <v>24</v>
      </c>
      <c r="D2" s="32" t="s">
        <v>25</v>
      </c>
      <c r="E2" s="32" t="s">
        <v>45</v>
      </c>
      <c r="F2" s="183" t="s">
        <v>29</v>
      </c>
      <c r="G2" s="32"/>
      <c r="H2" s="32" t="s">
        <v>523</v>
      </c>
      <c r="I2" s="32"/>
      <c r="J2" s="81">
        <v>1.63157895E-2</v>
      </c>
      <c r="K2" s="81" t="s">
        <v>2276</v>
      </c>
      <c r="L2" s="86" t="s">
        <v>2276</v>
      </c>
      <c r="M2" s="86" t="s">
        <v>2276</v>
      </c>
      <c r="N2" s="86" t="s">
        <v>2276</v>
      </c>
      <c r="O2" s="86" t="s">
        <v>2276</v>
      </c>
      <c r="P2" s="86" t="s">
        <v>2276</v>
      </c>
      <c r="Q2" s="21" t="s">
        <v>2276</v>
      </c>
      <c r="R2" s="21" t="s">
        <v>2276</v>
      </c>
      <c r="S2" s="86" t="s">
        <v>2276</v>
      </c>
      <c r="T2" s="86">
        <v>342</v>
      </c>
      <c r="U2" s="86" t="s">
        <v>2276</v>
      </c>
      <c r="V2" s="86">
        <v>31</v>
      </c>
      <c r="W2" s="86" t="s">
        <v>2276</v>
      </c>
      <c r="X2" s="86" t="s">
        <v>2276</v>
      </c>
      <c r="Y2" s="86">
        <v>2</v>
      </c>
      <c r="Z2" s="32" t="s">
        <v>34</v>
      </c>
      <c r="AA2" s="32" t="s">
        <v>35</v>
      </c>
      <c r="AB2" s="32" t="s">
        <v>64</v>
      </c>
      <c r="AC2" s="32"/>
      <c r="AD2" s="32"/>
    </row>
    <row r="3" spans="1:30" ht="55.5" customHeight="1">
      <c r="A3" s="3" t="s">
        <v>15</v>
      </c>
      <c r="B3" s="3" t="s">
        <v>41</v>
      </c>
      <c r="C3" s="3" t="s">
        <v>24</v>
      </c>
      <c r="D3" s="3" t="s">
        <v>26</v>
      </c>
      <c r="E3" s="3" t="s">
        <v>45</v>
      </c>
      <c r="F3" s="4" t="s">
        <v>29</v>
      </c>
      <c r="G3" s="3"/>
      <c r="H3" s="3" t="s">
        <v>523</v>
      </c>
      <c r="I3" s="3"/>
      <c r="J3" s="77">
        <v>6.5839694700000007E-2</v>
      </c>
      <c r="K3" s="77" t="s">
        <v>2276</v>
      </c>
      <c r="L3" s="21" t="s">
        <v>2276</v>
      </c>
      <c r="M3" s="21" t="s">
        <v>2276</v>
      </c>
      <c r="N3" s="21" t="s">
        <v>2276</v>
      </c>
      <c r="O3" s="21" t="s">
        <v>2276</v>
      </c>
      <c r="P3" s="21" t="s">
        <v>2276</v>
      </c>
      <c r="Q3" s="21" t="s">
        <v>2276</v>
      </c>
      <c r="R3" s="21" t="s">
        <v>2276</v>
      </c>
      <c r="S3" s="21" t="s">
        <v>2276</v>
      </c>
      <c r="T3" s="21">
        <v>262</v>
      </c>
      <c r="U3" s="21" t="s">
        <v>2276</v>
      </c>
      <c r="V3" s="21">
        <v>23</v>
      </c>
      <c r="W3" s="21" t="s">
        <v>2276</v>
      </c>
      <c r="X3" s="21" t="s">
        <v>2276</v>
      </c>
      <c r="Y3" s="21">
        <v>2</v>
      </c>
      <c r="Z3" s="3" t="s">
        <v>38</v>
      </c>
      <c r="AA3" s="3" t="s">
        <v>34</v>
      </c>
      <c r="AB3" s="3" t="s">
        <v>64</v>
      </c>
      <c r="AC3" s="4" t="s">
        <v>39</v>
      </c>
      <c r="AD3" s="3"/>
    </row>
    <row r="4" spans="1:30" ht="43.5" customHeight="1">
      <c r="A4" s="22" t="s">
        <v>15</v>
      </c>
      <c r="B4" s="3" t="s">
        <v>42</v>
      </c>
      <c r="C4" s="22" t="s">
        <v>24</v>
      </c>
      <c r="D4" s="22" t="s">
        <v>27</v>
      </c>
      <c r="E4" s="22" t="s">
        <v>130</v>
      </c>
      <c r="F4" s="24" t="s">
        <v>161</v>
      </c>
      <c r="G4" s="24"/>
      <c r="H4" s="3" t="s">
        <v>523</v>
      </c>
      <c r="I4" s="22"/>
      <c r="J4" s="72">
        <v>3.3</v>
      </c>
      <c r="K4" s="77" t="s">
        <v>2276</v>
      </c>
      <c r="L4" s="77">
        <v>0.01</v>
      </c>
      <c r="M4" s="77" t="s">
        <v>2276</v>
      </c>
      <c r="N4" s="77">
        <v>0.2</v>
      </c>
      <c r="O4" s="77" t="s">
        <v>2276</v>
      </c>
      <c r="P4" s="77" t="s">
        <v>2276</v>
      </c>
      <c r="Q4" s="21" t="s">
        <v>2276</v>
      </c>
      <c r="R4" s="21" t="s">
        <v>2276</v>
      </c>
      <c r="S4" s="77" t="s">
        <v>2276</v>
      </c>
      <c r="T4" s="77">
        <v>4</v>
      </c>
      <c r="U4" s="77" t="s">
        <v>2276</v>
      </c>
      <c r="V4" s="72">
        <v>33</v>
      </c>
      <c r="W4" s="72" t="s">
        <v>2276</v>
      </c>
      <c r="X4" s="72" t="s">
        <v>2276</v>
      </c>
      <c r="Y4" s="72">
        <v>3</v>
      </c>
      <c r="Z4" s="22" t="s">
        <v>68</v>
      </c>
      <c r="AA4" s="22" t="s">
        <v>35</v>
      </c>
      <c r="AB4" s="22" t="s">
        <v>64</v>
      </c>
      <c r="AC4" s="22"/>
      <c r="AD4" s="22"/>
    </row>
    <row r="5" spans="1:30" ht="44.5" customHeight="1">
      <c r="A5" s="3" t="s">
        <v>15</v>
      </c>
      <c r="B5" s="3" t="s">
        <v>43</v>
      </c>
      <c r="C5" s="3" t="s">
        <v>2458</v>
      </c>
      <c r="D5" s="8" t="s">
        <v>25</v>
      </c>
      <c r="E5" s="3" t="s">
        <v>45</v>
      </c>
      <c r="F5" s="9" t="s">
        <v>32</v>
      </c>
      <c r="G5" s="3"/>
      <c r="H5" s="3" t="s">
        <v>523</v>
      </c>
      <c r="I5" s="3"/>
      <c r="J5" s="77">
        <v>2.6811593999999999E-3</v>
      </c>
      <c r="K5" s="77" t="s">
        <v>2276</v>
      </c>
      <c r="L5" s="21" t="s">
        <v>2276</v>
      </c>
      <c r="M5" s="21" t="s">
        <v>2276</v>
      </c>
      <c r="N5" s="21" t="s">
        <v>2276</v>
      </c>
      <c r="O5" s="21" t="s">
        <v>2276</v>
      </c>
      <c r="P5" s="21" t="s">
        <v>2276</v>
      </c>
      <c r="Q5" s="21" t="s">
        <v>2276</v>
      </c>
      <c r="R5" s="21" t="s">
        <v>2276</v>
      </c>
      <c r="S5" s="21" t="s">
        <v>2276</v>
      </c>
      <c r="T5" s="21">
        <v>69</v>
      </c>
      <c r="U5" s="21" t="s">
        <v>2276</v>
      </c>
      <c r="V5" s="21">
        <v>3.7</v>
      </c>
      <c r="W5" s="21" t="s">
        <v>2276</v>
      </c>
      <c r="X5" s="21" t="s">
        <v>2276</v>
      </c>
      <c r="Y5" s="72" t="s">
        <v>2276</v>
      </c>
      <c r="Z5" s="3" t="s">
        <v>34</v>
      </c>
      <c r="AA5" s="3" t="s">
        <v>35</v>
      </c>
      <c r="AB5" s="3" t="s">
        <v>64</v>
      </c>
      <c r="AC5" s="3"/>
      <c r="AD5" s="3"/>
    </row>
    <row r="6" spans="1:30" ht="41.5" customHeight="1">
      <c r="A6" s="3" t="s">
        <v>15</v>
      </c>
      <c r="B6" s="3" t="s">
        <v>44</v>
      </c>
      <c r="C6" s="3" t="s">
        <v>24</v>
      </c>
      <c r="D6" s="3" t="s">
        <v>2346</v>
      </c>
      <c r="E6" s="3" t="s">
        <v>2276</v>
      </c>
      <c r="F6" s="9" t="s">
        <v>32</v>
      </c>
      <c r="G6" s="3"/>
      <c r="H6" s="3" t="s">
        <v>523</v>
      </c>
      <c r="I6" s="3"/>
      <c r="J6" s="77">
        <v>1.0526316E-3</v>
      </c>
      <c r="K6" s="77" t="s">
        <v>2276</v>
      </c>
      <c r="L6" s="21" t="s">
        <v>2276</v>
      </c>
      <c r="M6" s="21" t="s">
        <v>2276</v>
      </c>
      <c r="N6" s="21" t="s">
        <v>2276</v>
      </c>
      <c r="O6" s="21" t="s">
        <v>2276</v>
      </c>
      <c r="P6" s="21" t="s">
        <v>2276</v>
      </c>
      <c r="Q6" s="21" t="s">
        <v>2276</v>
      </c>
      <c r="R6" s="21" t="s">
        <v>2276</v>
      </c>
      <c r="S6" s="21" t="s">
        <v>2276</v>
      </c>
      <c r="T6" s="21">
        <v>7</v>
      </c>
      <c r="U6" s="21" t="s">
        <v>2276</v>
      </c>
      <c r="V6" s="21" t="s">
        <v>2276</v>
      </c>
      <c r="W6" s="21" t="s">
        <v>2276</v>
      </c>
      <c r="X6" s="21" t="s">
        <v>2276</v>
      </c>
      <c r="Y6" s="21" t="s">
        <v>2276</v>
      </c>
      <c r="Z6" s="3" t="s">
        <v>34</v>
      </c>
      <c r="AA6" s="3" t="s">
        <v>35</v>
      </c>
      <c r="AB6" s="3" t="s">
        <v>64</v>
      </c>
      <c r="AC6" s="3"/>
      <c r="AD6" s="3"/>
    </row>
    <row r="7" spans="1:30" ht="61" customHeight="1">
      <c r="A7" s="3" t="s">
        <v>15</v>
      </c>
      <c r="B7" s="3" t="s">
        <v>60</v>
      </c>
      <c r="C7" s="3" t="s">
        <v>24</v>
      </c>
      <c r="D7" s="3" t="s">
        <v>61</v>
      </c>
      <c r="E7" s="22" t="s">
        <v>116</v>
      </c>
      <c r="F7" s="9" t="s">
        <v>2662</v>
      </c>
      <c r="G7" s="3"/>
      <c r="H7" s="3" t="s">
        <v>523</v>
      </c>
      <c r="I7" s="3"/>
      <c r="J7" s="21" t="s">
        <v>2276</v>
      </c>
      <c r="K7" s="21" t="s">
        <v>2276</v>
      </c>
      <c r="L7" s="21" t="s">
        <v>2276</v>
      </c>
      <c r="M7" s="21" t="s">
        <v>2276</v>
      </c>
      <c r="N7" s="21" t="s">
        <v>2276</v>
      </c>
      <c r="O7" s="21" t="s">
        <v>2276</v>
      </c>
      <c r="P7" s="21" t="s">
        <v>2276</v>
      </c>
      <c r="Q7" s="21" t="s">
        <v>2276</v>
      </c>
      <c r="R7" s="21" t="s">
        <v>2276</v>
      </c>
      <c r="S7" s="21" t="s">
        <v>2276</v>
      </c>
      <c r="T7" s="21" t="s">
        <v>2276</v>
      </c>
      <c r="U7" s="21" t="s">
        <v>2276</v>
      </c>
      <c r="V7" s="21" t="s">
        <v>2276</v>
      </c>
      <c r="W7" s="21" t="s">
        <v>2276</v>
      </c>
      <c r="X7" s="21" t="s">
        <v>2276</v>
      </c>
      <c r="Y7" s="21" t="s">
        <v>2276</v>
      </c>
      <c r="Z7" s="3" t="s">
        <v>38</v>
      </c>
      <c r="AA7" s="3" t="s">
        <v>35</v>
      </c>
      <c r="AB7" s="3" t="s">
        <v>64</v>
      </c>
      <c r="AC7" s="4" t="s">
        <v>63</v>
      </c>
      <c r="AD7" s="3"/>
    </row>
    <row r="8" spans="1:30" ht="49.5" customHeight="1">
      <c r="A8" s="11" t="s">
        <v>16</v>
      </c>
      <c r="B8" s="3" t="s">
        <v>46</v>
      </c>
      <c r="C8" s="11" t="s">
        <v>24</v>
      </c>
      <c r="D8" s="11" t="s">
        <v>25</v>
      </c>
      <c r="E8" s="3" t="s">
        <v>45</v>
      </c>
      <c r="F8" s="19" t="s">
        <v>29</v>
      </c>
      <c r="G8" s="11"/>
      <c r="H8" s="3" t="s">
        <v>523</v>
      </c>
      <c r="I8" s="11"/>
      <c r="J8" s="21" t="s">
        <v>2276</v>
      </c>
      <c r="K8" s="21" t="s">
        <v>2276</v>
      </c>
      <c r="L8" s="21" t="s">
        <v>2276</v>
      </c>
      <c r="M8" s="21" t="s">
        <v>2276</v>
      </c>
      <c r="N8" s="21" t="s">
        <v>2276</v>
      </c>
      <c r="O8" s="21" t="s">
        <v>2276</v>
      </c>
      <c r="P8" s="21" t="s">
        <v>2276</v>
      </c>
      <c r="Q8" s="21" t="s">
        <v>2276</v>
      </c>
      <c r="R8" s="21" t="s">
        <v>2276</v>
      </c>
      <c r="S8" s="21" t="s">
        <v>2276</v>
      </c>
      <c r="T8" s="21" t="s">
        <v>2276</v>
      </c>
      <c r="U8" s="21" t="s">
        <v>2276</v>
      </c>
      <c r="V8" s="21" t="s">
        <v>2276</v>
      </c>
      <c r="W8" s="21" t="s">
        <v>2276</v>
      </c>
      <c r="X8" s="21" t="s">
        <v>2276</v>
      </c>
      <c r="Y8" s="21" t="s">
        <v>2276</v>
      </c>
      <c r="Z8" s="3" t="s">
        <v>34</v>
      </c>
      <c r="AA8" s="3" t="s">
        <v>35</v>
      </c>
      <c r="AB8" s="3" t="s">
        <v>64</v>
      </c>
      <c r="AC8" s="18" t="s">
        <v>48</v>
      </c>
      <c r="AD8" s="3"/>
    </row>
    <row r="9" spans="1:30" ht="48" customHeight="1">
      <c r="A9" s="11" t="s">
        <v>17</v>
      </c>
      <c r="B9" s="3" t="s">
        <v>47</v>
      </c>
      <c r="C9" s="11" t="s">
        <v>24</v>
      </c>
      <c r="D9" s="11" t="s">
        <v>27</v>
      </c>
      <c r="E9" s="4" t="s">
        <v>397</v>
      </c>
      <c r="F9" s="19" t="s">
        <v>28</v>
      </c>
      <c r="G9" s="11"/>
      <c r="H9" s="3" t="s">
        <v>523</v>
      </c>
      <c r="I9" s="11"/>
      <c r="J9" s="21" t="s">
        <v>2276</v>
      </c>
      <c r="K9" s="21" t="s">
        <v>2276</v>
      </c>
      <c r="L9" s="21" t="s">
        <v>2276</v>
      </c>
      <c r="M9" s="21" t="s">
        <v>2276</v>
      </c>
      <c r="N9" s="21" t="s">
        <v>2276</v>
      </c>
      <c r="O9" s="21" t="s">
        <v>2276</v>
      </c>
      <c r="P9" s="21" t="s">
        <v>2276</v>
      </c>
      <c r="Q9" s="21" t="s">
        <v>2276</v>
      </c>
      <c r="R9" s="21" t="s">
        <v>2276</v>
      </c>
      <c r="S9" s="21" t="s">
        <v>2276</v>
      </c>
      <c r="T9" s="21" t="s">
        <v>2276</v>
      </c>
      <c r="U9" s="21" t="s">
        <v>2276</v>
      </c>
      <c r="V9" s="21" t="s">
        <v>2276</v>
      </c>
      <c r="W9" s="21" t="s">
        <v>2276</v>
      </c>
      <c r="X9" s="21" t="s">
        <v>2276</v>
      </c>
      <c r="Y9" s="21" t="s">
        <v>2276</v>
      </c>
      <c r="Z9" s="3" t="s">
        <v>68</v>
      </c>
      <c r="AA9" s="3" t="s">
        <v>35</v>
      </c>
      <c r="AB9" s="3" t="s">
        <v>64</v>
      </c>
      <c r="AC9" s="4" t="s">
        <v>50</v>
      </c>
      <c r="AD9" s="3"/>
    </row>
    <row r="10" spans="1:30" ht="49.5" customHeight="1">
      <c r="A10" s="11" t="s">
        <v>18</v>
      </c>
      <c r="B10" s="3" t="s">
        <v>51</v>
      </c>
      <c r="C10" s="11" t="s">
        <v>24</v>
      </c>
      <c r="D10" s="11" t="s">
        <v>25</v>
      </c>
      <c r="E10" s="3" t="s">
        <v>45</v>
      </c>
      <c r="F10" s="19" t="s">
        <v>29</v>
      </c>
      <c r="G10" s="11"/>
      <c r="H10" s="3" t="s">
        <v>523</v>
      </c>
      <c r="I10" s="11"/>
      <c r="J10" s="21" t="s">
        <v>2276</v>
      </c>
      <c r="K10" s="21" t="s">
        <v>2276</v>
      </c>
      <c r="L10" s="21" t="s">
        <v>2276</v>
      </c>
      <c r="M10" s="21" t="s">
        <v>2276</v>
      </c>
      <c r="N10" s="21" t="s">
        <v>2276</v>
      </c>
      <c r="O10" s="21" t="s">
        <v>2276</v>
      </c>
      <c r="P10" s="21" t="s">
        <v>2276</v>
      </c>
      <c r="Q10" s="21" t="s">
        <v>2276</v>
      </c>
      <c r="R10" s="21" t="s">
        <v>2276</v>
      </c>
      <c r="S10" s="21" t="s">
        <v>2276</v>
      </c>
      <c r="T10" s="21" t="s">
        <v>2276</v>
      </c>
      <c r="U10" s="21" t="s">
        <v>2276</v>
      </c>
      <c r="V10" s="21" t="s">
        <v>2276</v>
      </c>
      <c r="W10" s="21" t="s">
        <v>2276</v>
      </c>
      <c r="X10" s="21" t="s">
        <v>2276</v>
      </c>
      <c r="Y10" s="21" t="s">
        <v>2276</v>
      </c>
      <c r="Z10" s="3" t="s">
        <v>34</v>
      </c>
      <c r="AA10" s="3" t="s">
        <v>35</v>
      </c>
      <c r="AB10" s="3" t="s">
        <v>64</v>
      </c>
      <c r="AC10" s="4" t="s">
        <v>49</v>
      </c>
      <c r="AD10" s="3"/>
    </row>
    <row r="11" spans="1:30" ht="60.5" customHeight="1">
      <c r="A11" s="3" t="s">
        <v>19</v>
      </c>
      <c r="B11" s="3" t="s">
        <v>53</v>
      </c>
      <c r="C11" s="3" t="s">
        <v>24</v>
      </c>
      <c r="D11" s="3" t="s">
        <v>25</v>
      </c>
      <c r="E11" s="3" t="s">
        <v>45</v>
      </c>
      <c r="F11" s="4" t="s">
        <v>29</v>
      </c>
      <c r="G11" s="3"/>
      <c r="H11" s="3" t="s">
        <v>523</v>
      </c>
      <c r="I11" s="3"/>
      <c r="J11" s="21" t="s">
        <v>2276</v>
      </c>
      <c r="K11" s="21" t="s">
        <v>2276</v>
      </c>
      <c r="L11" s="21" t="s">
        <v>2276</v>
      </c>
      <c r="M11" s="21" t="s">
        <v>2276</v>
      </c>
      <c r="N11" s="21" t="s">
        <v>2276</v>
      </c>
      <c r="O11" s="21" t="s">
        <v>2276</v>
      </c>
      <c r="P11" s="21" t="s">
        <v>2276</v>
      </c>
      <c r="Q11" s="21" t="s">
        <v>2276</v>
      </c>
      <c r="R11" s="21" t="s">
        <v>2276</v>
      </c>
      <c r="S11" s="21" t="s">
        <v>2276</v>
      </c>
      <c r="T11" s="21" t="s">
        <v>2276</v>
      </c>
      <c r="U11" s="21" t="s">
        <v>2276</v>
      </c>
      <c r="V11" s="21" t="s">
        <v>2276</v>
      </c>
      <c r="W11" s="21" t="s">
        <v>2276</v>
      </c>
      <c r="X11" s="21" t="s">
        <v>2276</v>
      </c>
      <c r="Y11" s="21" t="s">
        <v>2276</v>
      </c>
      <c r="Z11" s="3" t="s">
        <v>34</v>
      </c>
      <c r="AA11" s="3" t="s">
        <v>35</v>
      </c>
      <c r="AB11" s="3" t="s">
        <v>64</v>
      </c>
      <c r="AC11" s="4" t="s">
        <v>56</v>
      </c>
      <c r="AD11" s="3"/>
    </row>
    <row r="12" spans="1:30" ht="53.5" customHeight="1">
      <c r="A12" s="3" t="s">
        <v>19</v>
      </c>
      <c r="B12" s="3" t="s">
        <v>54</v>
      </c>
      <c r="C12" s="3" t="s">
        <v>24</v>
      </c>
      <c r="D12" s="4" t="s">
        <v>144</v>
      </c>
      <c r="E12" s="3" t="s">
        <v>137</v>
      </c>
      <c r="F12" s="4" t="s">
        <v>55</v>
      </c>
      <c r="G12" s="3"/>
      <c r="H12" s="3" t="s">
        <v>523</v>
      </c>
      <c r="I12" s="3"/>
      <c r="J12" s="21" t="s">
        <v>2276</v>
      </c>
      <c r="K12" s="21" t="s">
        <v>2276</v>
      </c>
      <c r="L12" s="21" t="s">
        <v>2276</v>
      </c>
      <c r="M12" s="21" t="s">
        <v>2276</v>
      </c>
      <c r="N12" s="21" t="s">
        <v>2276</v>
      </c>
      <c r="O12" s="21" t="s">
        <v>2276</v>
      </c>
      <c r="P12" s="21" t="s">
        <v>2276</v>
      </c>
      <c r="Q12" s="21" t="s">
        <v>2276</v>
      </c>
      <c r="R12" s="21" t="s">
        <v>2276</v>
      </c>
      <c r="S12" s="21" t="s">
        <v>2276</v>
      </c>
      <c r="T12" s="21" t="s">
        <v>2276</v>
      </c>
      <c r="U12" s="21" t="s">
        <v>2276</v>
      </c>
      <c r="V12" s="21" t="s">
        <v>2276</v>
      </c>
      <c r="W12" s="21" t="s">
        <v>2276</v>
      </c>
      <c r="X12" s="21" t="s">
        <v>2276</v>
      </c>
      <c r="Y12" s="21" t="s">
        <v>2276</v>
      </c>
      <c r="Z12" s="3" t="s">
        <v>34</v>
      </c>
      <c r="AA12" s="3" t="s">
        <v>35</v>
      </c>
      <c r="AB12" s="3" t="s">
        <v>64</v>
      </c>
      <c r="AC12" s="19" t="s">
        <v>52</v>
      </c>
      <c r="AD12" s="3"/>
    </row>
    <row r="13" spans="1:30" ht="62.5" customHeight="1">
      <c r="A13" s="20" t="s">
        <v>71</v>
      </c>
      <c r="B13" s="3" t="s">
        <v>73</v>
      </c>
      <c r="C13" s="20" t="s">
        <v>24</v>
      </c>
      <c r="D13" s="20" t="s">
        <v>27</v>
      </c>
      <c r="E13" s="9" t="s">
        <v>130</v>
      </c>
      <c r="F13" s="34" t="s">
        <v>161</v>
      </c>
      <c r="G13" s="34"/>
      <c r="H13" s="3" t="s">
        <v>523</v>
      </c>
      <c r="I13" s="20"/>
      <c r="J13" s="72" t="s">
        <v>2276</v>
      </c>
      <c r="K13" s="72" t="s">
        <v>2276</v>
      </c>
      <c r="L13" s="72" t="s">
        <v>2276</v>
      </c>
      <c r="M13" s="72" t="s">
        <v>2276</v>
      </c>
      <c r="N13" s="72" t="s">
        <v>2276</v>
      </c>
      <c r="O13" s="72" t="s">
        <v>2276</v>
      </c>
      <c r="P13" s="72" t="s">
        <v>2276</v>
      </c>
      <c r="Q13" s="21" t="s">
        <v>2276</v>
      </c>
      <c r="R13" s="21" t="s">
        <v>2276</v>
      </c>
      <c r="S13" s="72" t="s">
        <v>2276</v>
      </c>
      <c r="T13" s="72" t="s">
        <v>2276</v>
      </c>
      <c r="U13" s="72" t="s">
        <v>2276</v>
      </c>
      <c r="V13" s="72" t="s">
        <v>2276</v>
      </c>
      <c r="W13" s="72" t="s">
        <v>2276</v>
      </c>
      <c r="X13" s="72" t="s">
        <v>2276</v>
      </c>
      <c r="Y13" s="72" t="s">
        <v>2276</v>
      </c>
      <c r="Z13" s="8" t="s">
        <v>75</v>
      </c>
      <c r="AA13" s="8" t="s">
        <v>35</v>
      </c>
      <c r="AB13" s="8" t="s">
        <v>76</v>
      </c>
      <c r="AC13" s="9" t="s">
        <v>77</v>
      </c>
      <c r="AD13" s="3"/>
    </row>
    <row r="14" spans="1:30" ht="122.5" customHeight="1">
      <c r="A14" s="11" t="s">
        <v>81</v>
      </c>
      <c r="B14" s="3" t="s">
        <v>82</v>
      </c>
      <c r="C14" s="11" t="s">
        <v>24</v>
      </c>
      <c r="D14" s="11" t="s">
        <v>2659</v>
      </c>
      <c r="E14" s="4" t="s">
        <v>396</v>
      </c>
      <c r="F14" s="19" t="s">
        <v>28</v>
      </c>
      <c r="G14" s="11" t="s">
        <v>2276</v>
      </c>
      <c r="H14" s="3" t="s">
        <v>523</v>
      </c>
      <c r="I14" s="11"/>
      <c r="J14" s="21" t="s">
        <v>2276</v>
      </c>
      <c r="K14" s="21" t="s">
        <v>2276</v>
      </c>
      <c r="L14" s="21" t="s">
        <v>2276</v>
      </c>
      <c r="M14" s="21" t="s">
        <v>2276</v>
      </c>
      <c r="N14" s="21" t="s">
        <v>2276</v>
      </c>
      <c r="O14" s="21" t="s">
        <v>2276</v>
      </c>
      <c r="P14" s="21" t="s">
        <v>2276</v>
      </c>
      <c r="Q14" s="21" t="s">
        <v>2276</v>
      </c>
      <c r="R14" s="21" t="s">
        <v>2276</v>
      </c>
      <c r="S14" s="21" t="s">
        <v>2276</v>
      </c>
      <c r="T14" s="21" t="s">
        <v>2276</v>
      </c>
      <c r="U14" s="21" t="s">
        <v>2276</v>
      </c>
      <c r="V14" s="87" t="s">
        <v>2276</v>
      </c>
      <c r="W14" s="87" t="s">
        <v>2276</v>
      </c>
      <c r="X14" s="87" t="s">
        <v>2276</v>
      </c>
      <c r="Y14" s="87" t="s">
        <v>2276</v>
      </c>
      <c r="Z14" s="3" t="s">
        <v>75</v>
      </c>
      <c r="AA14" s="3" t="s">
        <v>35</v>
      </c>
      <c r="AB14" s="3" t="s">
        <v>64</v>
      </c>
      <c r="AC14" s="4" t="s">
        <v>5053</v>
      </c>
      <c r="AD14" s="4" t="s">
        <v>5048</v>
      </c>
    </row>
    <row r="15" spans="1:30" ht="124.5" customHeight="1">
      <c r="A15" s="23" t="s">
        <v>81</v>
      </c>
      <c r="B15" s="3" t="s">
        <v>85</v>
      </c>
      <c r="C15" s="23" t="s">
        <v>24</v>
      </c>
      <c r="D15" s="3" t="s">
        <v>2659</v>
      </c>
      <c r="E15" s="4" t="s">
        <v>397</v>
      </c>
      <c r="F15" s="26" t="s">
        <v>28</v>
      </c>
      <c r="G15" s="11" t="s">
        <v>2276</v>
      </c>
      <c r="H15" s="3" t="s">
        <v>523</v>
      </c>
      <c r="I15" s="23"/>
      <c r="J15" s="77" t="s">
        <v>2276</v>
      </c>
      <c r="K15" s="77" t="s">
        <v>2276</v>
      </c>
      <c r="L15" s="77" t="s">
        <v>2276</v>
      </c>
      <c r="M15" s="21" t="s">
        <v>2276</v>
      </c>
      <c r="N15" s="77" t="s">
        <v>2276</v>
      </c>
      <c r="O15" s="77" t="s">
        <v>2276</v>
      </c>
      <c r="P15" s="77" t="s">
        <v>2276</v>
      </c>
      <c r="Q15" s="21" t="s">
        <v>2276</v>
      </c>
      <c r="R15" s="21" t="s">
        <v>2276</v>
      </c>
      <c r="S15" s="77" t="s">
        <v>2276</v>
      </c>
      <c r="T15" s="77" t="s">
        <v>2276</v>
      </c>
      <c r="U15" s="87" t="s">
        <v>2276</v>
      </c>
      <c r="V15" s="87" t="s">
        <v>2276</v>
      </c>
      <c r="W15" s="87" t="s">
        <v>2276</v>
      </c>
      <c r="X15" s="87" t="s">
        <v>2276</v>
      </c>
      <c r="Y15" s="87" t="s">
        <v>2276</v>
      </c>
      <c r="Z15" s="3" t="s">
        <v>75</v>
      </c>
      <c r="AA15" s="3" t="s">
        <v>35</v>
      </c>
      <c r="AB15" s="3" t="s">
        <v>64</v>
      </c>
      <c r="AC15" s="4" t="s">
        <v>5053</v>
      </c>
      <c r="AD15" s="4" t="s">
        <v>5049</v>
      </c>
    </row>
    <row r="16" spans="1:30" ht="122.5" customHeight="1">
      <c r="A16" s="31" t="s">
        <v>221</v>
      </c>
      <c r="B16" s="3" t="s">
        <v>5047</v>
      </c>
      <c r="C16" s="11" t="s">
        <v>24</v>
      </c>
      <c r="D16" s="3" t="s">
        <v>2659</v>
      </c>
      <c r="E16" s="4" t="s">
        <v>396</v>
      </c>
      <c r="F16" s="19" t="s">
        <v>28</v>
      </c>
      <c r="G16" s="11" t="s">
        <v>2276</v>
      </c>
      <c r="H16" s="3" t="s">
        <v>523</v>
      </c>
      <c r="I16" s="11"/>
      <c r="J16" s="21" t="s">
        <v>2276</v>
      </c>
      <c r="K16" s="21" t="s">
        <v>2276</v>
      </c>
      <c r="L16" s="21" t="s">
        <v>2276</v>
      </c>
      <c r="M16" s="21" t="s">
        <v>2276</v>
      </c>
      <c r="N16" s="21" t="s">
        <v>2276</v>
      </c>
      <c r="O16" s="21" t="s">
        <v>2276</v>
      </c>
      <c r="P16" s="21" t="s">
        <v>2276</v>
      </c>
      <c r="Q16" s="21" t="s">
        <v>2276</v>
      </c>
      <c r="R16" s="21" t="s">
        <v>2276</v>
      </c>
      <c r="S16" s="21" t="s">
        <v>2276</v>
      </c>
      <c r="T16" s="21" t="s">
        <v>2276</v>
      </c>
      <c r="U16" s="87" t="s">
        <v>2276</v>
      </c>
      <c r="V16" s="87" t="s">
        <v>2276</v>
      </c>
      <c r="W16" s="87" t="s">
        <v>2276</v>
      </c>
      <c r="X16" s="87" t="s">
        <v>2276</v>
      </c>
      <c r="Y16" s="87" t="s">
        <v>2276</v>
      </c>
      <c r="Z16" s="3" t="s">
        <v>75</v>
      </c>
      <c r="AA16" s="3" t="s">
        <v>35</v>
      </c>
      <c r="AB16" s="3" t="s">
        <v>64</v>
      </c>
      <c r="AC16" s="4" t="s">
        <v>5053</v>
      </c>
      <c r="AD16" s="4" t="s">
        <v>5050</v>
      </c>
    </row>
    <row r="17" spans="1:30" ht="114.5" customHeight="1">
      <c r="A17" s="31" t="s">
        <v>222</v>
      </c>
      <c r="B17" s="3" t="s">
        <v>313</v>
      </c>
      <c r="C17" s="11" t="s">
        <v>24</v>
      </c>
      <c r="D17" s="3" t="s">
        <v>2659</v>
      </c>
      <c r="E17" s="4" t="s">
        <v>396</v>
      </c>
      <c r="F17" s="19" t="s">
        <v>28</v>
      </c>
      <c r="G17" s="11" t="s">
        <v>2276</v>
      </c>
      <c r="H17" s="3" t="s">
        <v>523</v>
      </c>
      <c r="I17" s="11"/>
      <c r="J17" s="21" t="s">
        <v>2276</v>
      </c>
      <c r="K17" s="21" t="s">
        <v>2276</v>
      </c>
      <c r="L17" s="21" t="s">
        <v>2276</v>
      </c>
      <c r="M17" s="21" t="s">
        <v>2276</v>
      </c>
      <c r="N17" s="21" t="s">
        <v>2276</v>
      </c>
      <c r="O17" s="21" t="s">
        <v>2276</v>
      </c>
      <c r="P17" s="21" t="s">
        <v>2276</v>
      </c>
      <c r="Q17" s="21" t="s">
        <v>2276</v>
      </c>
      <c r="R17" s="21" t="s">
        <v>2276</v>
      </c>
      <c r="S17" s="21" t="s">
        <v>2276</v>
      </c>
      <c r="T17" s="21" t="s">
        <v>2276</v>
      </c>
      <c r="U17" s="87" t="s">
        <v>2276</v>
      </c>
      <c r="V17" s="87" t="s">
        <v>2276</v>
      </c>
      <c r="W17" s="87" t="s">
        <v>2276</v>
      </c>
      <c r="X17" s="87" t="s">
        <v>2276</v>
      </c>
      <c r="Y17" s="87" t="s">
        <v>2276</v>
      </c>
      <c r="Z17" s="3" t="s">
        <v>75</v>
      </c>
      <c r="AA17" s="3" t="s">
        <v>35</v>
      </c>
      <c r="AB17" s="3" t="s">
        <v>64</v>
      </c>
      <c r="AC17" s="4" t="s">
        <v>5053</v>
      </c>
      <c r="AD17" s="4" t="s">
        <v>5050</v>
      </c>
    </row>
    <row r="18" spans="1:30" ht="111.5" customHeight="1">
      <c r="A18" s="31" t="s">
        <v>223</v>
      </c>
      <c r="B18" s="3" t="s">
        <v>314</v>
      </c>
      <c r="C18" s="11" t="s">
        <v>24</v>
      </c>
      <c r="D18" s="3" t="s">
        <v>2659</v>
      </c>
      <c r="E18" s="4" t="s">
        <v>396</v>
      </c>
      <c r="F18" s="19" t="s">
        <v>28</v>
      </c>
      <c r="G18" s="11" t="s">
        <v>2276</v>
      </c>
      <c r="H18" s="3" t="s">
        <v>523</v>
      </c>
      <c r="I18" s="11"/>
      <c r="J18" s="21" t="s">
        <v>2276</v>
      </c>
      <c r="K18" s="21" t="s">
        <v>2276</v>
      </c>
      <c r="L18" s="21" t="s">
        <v>2276</v>
      </c>
      <c r="M18" s="21" t="s">
        <v>2276</v>
      </c>
      <c r="N18" s="21" t="s">
        <v>2276</v>
      </c>
      <c r="O18" s="21" t="s">
        <v>2276</v>
      </c>
      <c r="P18" s="21" t="s">
        <v>2276</v>
      </c>
      <c r="Q18" s="21" t="s">
        <v>2276</v>
      </c>
      <c r="R18" s="21" t="s">
        <v>2276</v>
      </c>
      <c r="S18" s="21" t="s">
        <v>2276</v>
      </c>
      <c r="T18" s="21" t="s">
        <v>2276</v>
      </c>
      <c r="U18" s="87" t="s">
        <v>2276</v>
      </c>
      <c r="V18" s="87" t="s">
        <v>2276</v>
      </c>
      <c r="W18" s="87" t="s">
        <v>2276</v>
      </c>
      <c r="X18" s="87" t="s">
        <v>2276</v>
      </c>
      <c r="Y18" s="87" t="s">
        <v>2276</v>
      </c>
      <c r="Z18" s="3" t="s">
        <v>75</v>
      </c>
      <c r="AA18" s="3" t="s">
        <v>35</v>
      </c>
      <c r="AB18" s="3" t="s">
        <v>64</v>
      </c>
      <c r="AC18" s="4" t="s">
        <v>5053</v>
      </c>
      <c r="AD18" s="4" t="s">
        <v>5050</v>
      </c>
    </row>
    <row r="19" spans="1:30" ht="115" customHeight="1">
      <c r="A19" s="31" t="s">
        <v>224</v>
      </c>
      <c r="B19" s="3" t="s">
        <v>315</v>
      </c>
      <c r="C19" s="11" t="s">
        <v>24</v>
      </c>
      <c r="D19" s="3" t="s">
        <v>2659</v>
      </c>
      <c r="E19" s="4" t="s">
        <v>396</v>
      </c>
      <c r="F19" s="19" t="s">
        <v>28</v>
      </c>
      <c r="G19" s="11" t="s">
        <v>2276</v>
      </c>
      <c r="H19" s="3" t="s">
        <v>523</v>
      </c>
      <c r="I19" s="11"/>
      <c r="J19" s="21" t="s">
        <v>2276</v>
      </c>
      <c r="K19" s="21" t="s">
        <v>2276</v>
      </c>
      <c r="L19" s="21" t="s">
        <v>2276</v>
      </c>
      <c r="M19" s="21" t="s">
        <v>2276</v>
      </c>
      <c r="N19" s="21" t="s">
        <v>2276</v>
      </c>
      <c r="O19" s="21" t="s">
        <v>2276</v>
      </c>
      <c r="P19" s="21" t="s">
        <v>2276</v>
      </c>
      <c r="Q19" s="21" t="s">
        <v>2276</v>
      </c>
      <c r="R19" s="21" t="s">
        <v>2276</v>
      </c>
      <c r="S19" s="21" t="s">
        <v>2276</v>
      </c>
      <c r="T19" s="21" t="s">
        <v>2276</v>
      </c>
      <c r="U19" s="87" t="s">
        <v>2276</v>
      </c>
      <c r="V19" s="87" t="s">
        <v>2276</v>
      </c>
      <c r="W19" s="87" t="s">
        <v>2276</v>
      </c>
      <c r="X19" s="87" t="s">
        <v>2276</v>
      </c>
      <c r="Y19" s="87" t="s">
        <v>2276</v>
      </c>
      <c r="Z19" s="3" t="s">
        <v>75</v>
      </c>
      <c r="AA19" s="3" t="s">
        <v>35</v>
      </c>
      <c r="AB19" s="3" t="s">
        <v>64</v>
      </c>
      <c r="AC19" s="4" t="s">
        <v>5053</v>
      </c>
      <c r="AD19" s="4" t="s">
        <v>5050</v>
      </c>
    </row>
    <row r="20" spans="1:30" ht="76.5" customHeight="1">
      <c r="A20" s="31" t="s">
        <v>225</v>
      </c>
      <c r="B20" s="3" t="s">
        <v>316</v>
      </c>
      <c r="C20" s="11" t="s">
        <v>24</v>
      </c>
      <c r="D20" s="3" t="s">
        <v>2659</v>
      </c>
      <c r="E20" s="4" t="s">
        <v>396</v>
      </c>
      <c r="F20" s="19" t="s">
        <v>28</v>
      </c>
      <c r="G20" s="11" t="s">
        <v>2276</v>
      </c>
      <c r="H20" s="3" t="s">
        <v>523</v>
      </c>
      <c r="I20" s="11"/>
      <c r="J20" s="21" t="s">
        <v>2276</v>
      </c>
      <c r="K20" s="21" t="s">
        <v>2276</v>
      </c>
      <c r="L20" s="21" t="s">
        <v>2276</v>
      </c>
      <c r="M20" s="21" t="s">
        <v>2276</v>
      </c>
      <c r="N20" s="21" t="s">
        <v>2276</v>
      </c>
      <c r="O20" s="21" t="s">
        <v>2276</v>
      </c>
      <c r="P20" s="21" t="s">
        <v>2276</v>
      </c>
      <c r="Q20" s="21" t="s">
        <v>2276</v>
      </c>
      <c r="R20" s="21" t="s">
        <v>2276</v>
      </c>
      <c r="S20" s="21" t="s">
        <v>2276</v>
      </c>
      <c r="T20" s="21" t="s">
        <v>2276</v>
      </c>
      <c r="U20" s="87" t="s">
        <v>2276</v>
      </c>
      <c r="V20" s="87" t="s">
        <v>2276</v>
      </c>
      <c r="W20" s="87" t="s">
        <v>2276</v>
      </c>
      <c r="X20" s="87" t="s">
        <v>2276</v>
      </c>
      <c r="Y20" s="87" t="s">
        <v>2276</v>
      </c>
      <c r="Z20" s="3" t="s">
        <v>75</v>
      </c>
      <c r="AA20" s="3" t="s">
        <v>35</v>
      </c>
      <c r="AB20" s="3" t="s">
        <v>64</v>
      </c>
      <c r="AC20" s="4" t="s">
        <v>5053</v>
      </c>
      <c r="AD20" s="4" t="s">
        <v>5050</v>
      </c>
    </row>
    <row r="21" spans="1:30" ht="78" customHeight="1">
      <c r="A21" s="31" t="s">
        <v>257</v>
      </c>
      <c r="B21" s="3" t="s">
        <v>317</v>
      </c>
      <c r="C21" s="11" t="s">
        <v>24</v>
      </c>
      <c r="D21" s="3" t="s">
        <v>2659</v>
      </c>
      <c r="E21" s="4" t="s">
        <v>396</v>
      </c>
      <c r="F21" s="19" t="s">
        <v>28</v>
      </c>
      <c r="G21" s="11" t="s">
        <v>2276</v>
      </c>
      <c r="H21" s="3" t="s">
        <v>523</v>
      </c>
      <c r="I21" s="11"/>
      <c r="J21" s="21" t="s">
        <v>2276</v>
      </c>
      <c r="K21" s="21" t="s">
        <v>2276</v>
      </c>
      <c r="L21" s="21" t="s">
        <v>2276</v>
      </c>
      <c r="M21" s="21" t="s">
        <v>2276</v>
      </c>
      <c r="N21" s="21" t="s">
        <v>2276</v>
      </c>
      <c r="O21" s="21" t="s">
        <v>2276</v>
      </c>
      <c r="P21" s="21" t="s">
        <v>2276</v>
      </c>
      <c r="Q21" s="21" t="s">
        <v>2276</v>
      </c>
      <c r="R21" s="21" t="s">
        <v>2276</v>
      </c>
      <c r="S21" s="21" t="s">
        <v>2276</v>
      </c>
      <c r="T21" s="21" t="s">
        <v>2276</v>
      </c>
      <c r="U21" s="87" t="s">
        <v>2276</v>
      </c>
      <c r="V21" s="87" t="s">
        <v>2276</v>
      </c>
      <c r="W21" s="87" t="s">
        <v>2276</v>
      </c>
      <c r="X21" s="87" t="s">
        <v>2276</v>
      </c>
      <c r="Y21" s="87" t="s">
        <v>2276</v>
      </c>
      <c r="Z21" s="3" t="s">
        <v>75</v>
      </c>
      <c r="AA21" s="3" t="s">
        <v>35</v>
      </c>
      <c r="AB21" s="3" t="s">
        <v>64</v>
      </c>
      <c r="AC21" s="4" t="s">
        <v>5053</v>
      </c>
      <c r="AD21" s="4" t="s">
        <v>5050</v>
      </c>
    </row>
    <row r="22" spans="1:30" ht="70.5" customHeight="1">
      <c r="A22" s="31" t="s">
        <v>258</v>
      </c>
      <c r="B22" s="3" t="s">
        <v>318</v>
      </c>
      <c r="C22" s="11" t="s">
        <v>24</v>
      </c>
      <c r="D22" s="3" t="s">
        <v>2659</v>
      </c>
      <c r="E22" s="4" t="s">
        <v>396</v>
      </c>
      <c r="F22" s="19" t="s">
        <v>28</v>
      </c>
      <c r="G22" s="11" t="s">
        <v>2276</v>
      </c>
      <c r="H22" s="3" t="s">
        <v>523</v>
      </c>
      <c r="I22" s="11"/>
      <c r="J22" s="21" t="s">
        <v>2276</v>
      </c>
      <c r="K22" s="21" t="s">
        <v>2276</v>
      </c>
      <c r="L22" s="21" t="s">
        <v>2276</v>
      </c>
      <c r="M22" s="21" t="s">
        <v>2276</v>
      </c>
      <c r="N22" s="21" t="s">
        <v>2276</v>
      </c>
      <c r="O22" s="21" t="s">
        <v>2276</v>
      </c>
      <c r="P22" s="21" t="s">
        <v>2276</v>
      </c>
      <c r="Q22" s="21" t="s">
        <v>2276</v>
      </c>
      <c r="R22" s="21" t="s">
        <v>2276</v>
      </c>
      <c r="S22" s="21" t="s">
        <v>2276</v>
      </c>
      <c r="T22" s="21" t="s">
        <v>2276</v>
      </c>
      <c r="U22" s="87" t="s">
        <v>2276</v>
      </c>
      <c r="V22" s="87" t="s">
        <v>2276</v>
      </c>
      <c r="W22" s="87" t="s">
        <v>2276</v>
      </c>
      <c r="X22" s="87" t="s">
        <v>2276</v>
      </c>
      <c r="Y22" s="87" t="s">
        <v>2276</v>
      </c>
      <c r="Z22" s="3" t="s">
        <v>75</v>
      </c>
      <c r="AA22" s="3" t="s">
        <v>35</v>
      </c>
      <c r="AB22" s="3" t="s">
        <v>64</v>
      </c>
      <c r="AC22" s="4" t="s">
        <v>5053</v>
      </c>
      <c r="AD22" s="4" t="s">
        <v>5050</v>
      </c>
    </row>
    <row r="23" spans="1:30" ht="89" customHeight="1">
      <c r="A23" s="31" t="s">
        <v>259</v>
      </c>
      <c r="B23" s="3" t="s">
        <v>319</v>
      </c>
      <c r="C23" s="11" t="s">
        <v>24</v>
      </c>
      <c r="D23" s="3" t="s">
        <v>2659</v>
      </c>
      <c r="E23" s="4" t="s">
        <v>396</v>
      </c>
      <c r="F23" s="19" t="s">
        <v>28</v>
      </c>
      <c r="G23" s="11" t="s">
        <v>2276</v>
      </c>
      <c r="H23" s="3" t="s">
        <v>523</v>
      </c>
      <c r="I23" s="11"/>
      <c r="J23" s="21" t="s">
        <v>2276</v>
      </c>
      <c r="K23" s="21" t="s">
        <v>2276</v>
      </c>
      <c r="L23" s="21" t="s">
        <v>2276</v>
      </c>
      <c r="M23" s="21" t="s">
        <v>2276</v>
      </c>
      <c r="N23" s="21" t="s">
        <v>2276</v>
      </c>
      <c r="O23" s="21" t="s">
        <v>2276</v>
      </c>
      <c r="P23" s="21" t="s">
        <v>2276</v>
      </c>
      <c r="Q23" s="21" t="s">
        <v>2276</v>
      </c>
      <c r="R23" s="21" t="s">
        <v>2276</v>
      </c>
      <c r="S23" s="21" t="s">
        <v>2276</v>
      </c>
      <c r="T23" s="21" t="s">
        <v>2276</v>
      </c>
      <c r="U23" s="87" t="s">
        <v>2276</v>
      </c>
      <c r="V23" s="87" t="s">
        <v>2276</v>
      </c>
      <c r="W23" s="87" t="s">
        <v>2276</v>
      </c>
      <c r="X23" s="87" t="s">
        <v>2276</v>
      </c>
      <c r="Y23" s="87" t="s">
        <v>2276</v>
      </c>
      <c r="Z23" s="3" t="s">
        <v>75</v>
      </c>
      <c r="AA23" s="3" t="s">
        <v>35</v>
      </c>
      <c r="AB23" s="3" t="s">
        <v>64</v>
      </c>
      <c r="AC23" s="4" t="s">
        <v>5053</v>
      </c>
      <c r="AD23" s="4" t="s">
        <v>5050</v>
      </c>
    </row>
    <row r="24" spans="1:30" ht="88.5" customHeight="1">
      <c r="A24" s="31" t="s">
        <v>260</v>
      </c>
      <c r="B24" s="3" t="s">
        <v>320</v>
      </c>
      <c r="C24" s="11" t="s">
        <v>24</v>
      </c>
      <c r="D24" s="3" t="s">
        <v>2659</v>
      </c>
      <c r="E24" s="4" t="s">
        <v>396</v>
      </c>
      <c r="F24" s="19" t="s">
        <v>28</v>
      </c>
      <c r="G24" s="11" t="s">
        <v>2276</v>
      </c>
      <c r="H24" s="3" t="s">
        <v>523</v>
      </c>
      <c r="I24" s="11"/>
      <c r="J24" s="21" t="s">
        <v>2276</v>
      </c>
      <c r="K24" s="21" t="s">
        <v>2276</v>
      </c>
      <c r="L24" s="21" t="s">
        <v>2276</v>
      </c>
      <c r="M24" s="21" t="s">
        <v>2276</v>
      </c>
      <c r="N24" s="21" t="s">
        <v>2276</v>
      </c>
      <c r="O24" s="21" t="s">
        <v>2276</v>
      </c>
      <c r="P24" s="21" t="s">
        <v>2276</v>
      </c>
      <c r="Q24" s="21" t="s">
        <v>2276</v>
      </c>
      <c r="R24" s="21" t="s">
        <v>2276</v>
      </c>
      <c r="S24" s="21" t="s">
        <v>2276</v>
      </c>
      <c r="T24" s="21" t="s">
        <v>2276</v>
      </c>
      <c r="U24" s="87" t="s">
        <v>2276</v>
      </c>
      <c r="V24" s="87" t="s">
        <v>2276</v>
      </c>
      <c r="W24" s="87" t="s">
        <v>2276</v>
      </c>
      <c r="X24" s="87" t="s">
        <v>2276</v>
      </c>
      <c r="Y24" s="87" t="s">
        <v>2276</v>
      </c>
      <c r="Z24" s="3" t="s">
        <v>75</v>
      </c>
      <c r="AA24" s="3" t="s">
        <v>35</v>
      </c>
      <c r="AB24" s="3" t="s">
        <v>64</v>
      </c>
      <c r="AC24" s="4" t="s">
        <v>5053</v>
      </c>
      <c r="AD24" s="4" t="s">
        <v>5050</v>
      </c>
    </row>
    <row r="25" spans="1:30" ht="87" customHeight="1">
      <c r="A25" s="31" t="s">
        <v>261</v>
      </c>
      <c r="B25" s="3" t="s">
        <v>321</v>
      </c>
      <c r="C25" s="11" t="s">
        <v>24</v>
      </c>
      <c r="D25" s="3" t="s">
        <v>2659</v>
      </c>
      <c r="E25" s="4" t="s">
        <v>396</v>
      </c>
      <c r="F25" s="19" t="s">
        <v>28</v>
      </c>
      <c r="G25" s="11" t="s">
        <v>2276</v>
      </c>
      <c r="H25" s="3" t="s">
        <v>523</v>
      </c>
      <c r="I25" s="11"/>
      <c r="J25" s="21" t="s">
        <v>2276</v>
      </c>
      <c r="K25" s="21" t="s">
        <v>2276</v>
      </c>
      <c r="L25" s="21" t="s">
        <v>2276</v>
      </c>
      <c r="M25" s="21" t="s">
        <v>2276</v>
      </c>
      <c r="N25" s="21" t="s">
        <v>2276</v>
      </c>
      <c r="O25" s="21" t="s">
        <v>2276</v>
      </c>
      <c r="P25" s="21" t="s">
        <v>2276</v>
      </c>
      <c r="Q25" s="21" t="s">
        <v>2276</v>
      </c>
      <c r="R25" s="21" t="s">
        <v>2276</v>
      </c>
      <c r="S25" s="21" t="s">
        <v>2276</v>
      </c>
      <c r="T25" s="21" t="s">
        <v>2276</v>
      </c>
      <c r="U25" s="87" t="s">
        <v>2276</v>
      </c>
      <c r="V25" s="87" t="s">
        <v>2276</v>
      </c>
      <c r="W25" s="87" t="s">
        <v>2276</v>
      </c>
      <c r="X25" s="87" t="s">
        <v>2276</v>
      </c>
      <c r="Y25" s="87" t="s">
        <v>2276</v>
      </c>
      <c r="Z25" s="3" t="s">
        <v>75</v>
      </c>
      <c r="AA25" s="3" t="s">
        <v>35</v>
      </c>
      <c r="AB25" s="3" t="s">
        <v>64</v>
      </c>
      <c r="AC25" s="4" t="s">
        <v>5053</v>
      </c>
      <c r="AD25" s="4" t="s">
        <v>5050</v>
      </c>
    </row>
    <row r="26" spans="1:30" ht="152" customHeight="1">
      <c r="A26" s="31" t="s">
        <v>262</v>
      </c>
      <c r="B26" s="3" t="s">
        <v>322</v>
      </c>
      <c r="C26" s="11" t="s">
        <v>24</v>
      </c>
      <c r="D26" s="3" t="s">
        <v>2659</v>
      </c>
      <c r="E26" s="4" t="s">
        <v>396</v>
      </c>
      <c r="F26" s="19" t="s">
        <v>28</v>
      </c>
      <c r="G26" s="11" t="s">
        <v>2276</v>
      </c>
      <c r="H26" s="3" t="s">
        <v>523</v>
      </c>
      <c r="I26" s="11"/>
      <c r="J26" s="21" t="s">
        <v>2276</v>
      </c>
      <c r="K26" s="21" t="s">
        <v>2276</v>
      </c>
      <c r="L26" s="21" t="s">
        <v>2276</v>
      </c>
      <c r="M26" s="21" t="s">
        <v>2276</v>
      </c>
      <c r="N26" s="21" t="s">
        <v>2276</v>
      </c>
      <c r="O26" s="21" t="s">
        <v>2276</v>
      </c>
      <c r="P26" s="21" t="s">
        <v>2276</v>
      </c>
      <c r="Q26" s="21" t="s">
        <v>2276</v>
      </c>
      <c r="R26" s="21" t="s">
        <v>2276</v>
      </c>
      <c r="S26" s="21" t="s">
        <v>2276</v>
      </c>
      <c r="T26" s="21" t="s">
        <v>2276</v>
      </c>
      <c r="U26" s="87" t="s">
        <v>2276</v>
      </c>
      <c r="V26" s="87" t="s">
        <v>2276</v>
      </c>
      <c r="W26" s="87" t="s">
        <v>2276</v>
      </c>
      <c r="X26" s="87" t="s">
        <v>2276</v>
      </c>
      <c r="Y26" s="87" t="s">
        <v>2276</v>
      </c>
      <c r="Z26" s="3" t="s">
        <v>75</v>
      </c>
      <c r="AA26" s="3" t="s">
        <v>35</v>
      </c>
      <c r="AB26" s="3" t="s">
        <v>64</v>
      </c>
      <c r="AC26" s="4" t="s">
        <v>5053</v>
      </c>
      <c r="AD26" s="4" t="s">
        <v>5050</v>
      </c>
    </row>
    <row r="27" spans="1:30" ht="140" customHeight="1">
      <c r="A27" s="31" t="s">
        <v>263</v>
      </c>
      <c r="B27" s="3" t="s">
        <v>323</v>
      </c>
      <c r="C27" s="11" t="s">
        <v>24</v>
      </c>
      <c r="D27" s="3" t="s">
        <v>2659</v>
      </c>
      <c r="E27" s="4" t="s">
        <v>396</v>
      </c>
      <c r="F27" s="19" t="s">
        <v>28</v>
      </c>
      <c r="G27" s="11" t="s">
        <v>2276</v>
      </c>
      <c r="H27" s="3" t="s">
        <v>523</v>
      </c>
      <c r="I27" s="11"/>
      <c r="J27" s="21" t="s">
        <v>2276</v>
      </c>
      <c r="K27" s="21" t="s">
        <v>2276</v>
      </c>
      <c r="L27" s="21" t="s">
        <v>2276</v>
      </c>
      <c r="M27" s="21" t="s">
        <v>2276</v>
      </c>
      <c r="N27" s="21" t="s">
        <v>2276</v>
      </c>
      <c r="O27" s="21" t="s">
        <v>2276</v>
      </c>
      <c r="P27" s="21" t="s">
        <v>2276</v>
      </c>
      <c r="Q27" s="21" t="s">
        <v>2276</v>
      </c>
      <c r="R27" s="21" t="s">
        <v>2276</v>
      </c>
      <c r="S27" s="21" t="s">
        <v>2276</v>
      </c>
      <c r="T27" s="21" t="s">
        <v>2276</v>
      </c>
      <c r="U27" s="87" t="s">
        <v>2276</v>
      </c>
      <c r="V27" s="87" t="s">
        <v>2276</v>
      </c>
      <c r="W27" s="87" t="s">
        <v>2276</v>
      </c>
      <c r="X27" s="87" t="s">
        <v>2276</v>
      </c>
      <c r="Y27" s="87" t="s">
        <v>2276</v>
      </c>
      <c r="Z27" s="3" t="s">
        <v>75</v>
      </c>
      <c r="AA27" s="3" t="s">
        <v>35</v>
      </c>
      <c r="AB27" s="3" t="s">
        <v>64</v>
      </c>
      <c r="AC27" s="4" t="s">
        <v>5053</v>
      </c>
      <c r="AD27" s="4" t="s">
        <v>5050</v>
      </c>
    </row>
    <row r="28" spans="1:30" ht="43" customHeight="1">
      <c r="A28" s="31" t="s">
        <v>264</v>
      </c>
      <c r="B28" s="3" t="s">
        <v>324</v>
      </c>
      <c r="C28" s="11" t="s">
        <v>24</v>
      </c>
      <c r="D28" s="3" t="s">
        <v>2659</v>
      </c>
      <c r="E28" s="4" t="s">
        <v>396</v>
      </c>
      <c r="F28" s="19" t="s">
        <v>28</v>
      </c>
      <c r="G28" s="11" t="s">
        <v>2276</v>
      </c>
      <c r="H28" s="3" t="s">
        <v>523</v>
      </c>
      <c r="I28" s="11"/>
      <c r="J28" s="21" t="s">
        <v>2276</v>
      </c>
      <c r="K28" s="21" t="s">
        <v>2276</v>
      </c>
      <c r="L28" s="21" t="s">
        <v>2276</v>
      </c>
      <c r="M28" s="21" t="s">
        <v>2276</v>
      </c>
      <c r="N28" s="21" t="s">
        <v>2276</v>
      </c>
      <c r="O28" s="21" t="s">
        <v>2276</v>
      </c>
      <c r="P28" s="21" t="s">
        <v>2276</v>
      </c>
      <c r="Q28" s="21" t="s">
        <v>2276</v>
      </c>
      <c r="R28" s="21" t="s">
        <v>2276</v>
      </c>
      <c r="S28" s="21" t="s">
        <v>2276</v>
      </c>
      <c r="T28" s="21" t="s">
        <v>2276</v>
      </c>
      <c r="U28" s="87" t="s">
        <v>2276</v>
      </c>
      <c r="V28" s="87" t="s">
        <v>2276</v>
      </c>
      <c r="W28" s="87" t="s">
        <v>2276</v>
      </c>
      <c r="X28" s="87" t="s">
        <v>2276</v>
      </c>
      <c r="Y28" s="87" t="s">
        <v>2276</v>
      </c>
      <c r="Z28" s="3" t="s">
        <v>75</v>
      </c>
      <c r="AA28" s="3" t="s">
        <v>35</v>
      </c>
      <c r="AB28" s="3" t="s">
        <v>64</v>
      </c>
      <c r="AC28" s="4" t="s">
        <v>5053</v>
      </c>
      <c r="AD28" s="4" t="s">
        <v>5050</v>
      </c>
    </row>
    <row r="29" spans="1:30" ht="56" customHeight="1">
      <c r="A29" s="31" t="s">
        <v>265</v>
      </c>
      <c r="B29" s="3" t="s">
        <v>325</v>
      </c>
      <c r="C29" s="11" t="s">
        <v>24</v>
      </c>
      <c r="D29" s="3" t="s">
        <v>2659</v>
      </c>
      <c r="E29" s="4" t="s">
        <v>396</v>
      </c>
      <c r="F29" s="19" t="s">
        <v>28</v>
      </c>
      <c r="G29" s="11" t="s">
        <v>2276</v>
      </c>
      <c r="H29" s="3" t="s">
        <v>523</v>
      </c>
      <c r="I29" s="11"/>
      <c r="J29" s="21" t="s">
        <v>2276</v>
      </c>
      <c r="K29" s="21" t="s">
        <v>2276</v>
      </c>
      <c r="L29" s="21" t="s">
        <v>2276</v>
      </c>
      <c r="M29" s="21" t="s">
        <v>2276</v>
      </c>
      <c r="N29" s="21" t="s">
        <v>2276</v>
      </c>
      <c r="O29" s="21" t="s">
        <v>2276</v>
      </c>
      <c r="P29" s="21" t="s">
        <v>2276</v>
      </c>
      <c r="Q29" s="21" t="s">
        <v>2276</v>
      </c>
      <c r="R29" s="21" t="s">
        <v>2276</v>
      </c>
      <c r="S29" s="21" t="s">
        <v>2276</v>
      </c>
      <c r="T29" s="21" t="s">
        <v>2276</v>
      </c>
      <c r="U29" s="87" t="s">
        <v>2276</v>
      </c>
      <c r="V29" s="87" t="s">
        <v>2276</v>
      </c>
      <c r="W29" s="87" t="s">
        <v>2276</v>
      </c>
      <c r="X29" s="87" t="s">
        <v>2276</v>
      </c>
      <c r="Y29" s="87" t="s">
        <v>2276</v>
      </c>
      <c r="Z29" s="3" t="s">
        <v>75</v>
      </c>
      <c r="AA29" s="3" t="s">
        <v>35</v>
      </c>
      <c r="AB29" s="3" t="s">
        <v>64</v>
      </c>
      <c r="AC29" s="4" t="s">
        <v>5053</v>
      </c>
      <c r="AD29" s="4" t="s">
        <v>5050</v>
      </c>
    </row>
    <row r="30" spans="1:30" ht="55" customHeight="1">
      <c r="A30" s="31" t="s">
        <v>266</v>
      </c>
      <c r="B30" s="3" t="s">
        <v>326</v>
      </c>
      <c r="C30" s="11" t="s">
        <v>24</v>
      </c>
      <c r="D30" s="3" t="s">
        <v>2659</v>
      </c>
      <c r="E30" s="4" t="s">
        <v>396</v>
      </c>
      <c r="F30" s="19" t="s">
        <v>28</v>
      </c>
      <c r="G30" s="11" t="s">
        <v>2276</v>
      </c>
      <c r="H30" s="3" t="s">
        <v>523</v>
      </c>
      <c r="I30" s="11"/>
      <c r="J30" s="21" t="s">
        <v>2276</v>
      </c>
      <c r="K30" s="21" t="s">
        <v>2276</v>
      </c>
      <c r="L30" s="21" t="s">
        <v>2276</v>
      </c>
      <c r="M30" s="21" t="s">
        <v>2276</v>
      </c>
      <c r="N30" s="21" t="s">
        <v>2276</v>
      </c>
      <c r="O30" s="21" t="s">
        <v>2276</v>
      </c>
      <c r="P30" s="21" t="s">
        <v>2276</v>
      </c>
      <c r="Q30" s="21" t="s">
        <v>2276</v>
      </c>
      <c r="R30" s="21" t="s">
        <v>2276</v>
      </c>
      <c r="S30" s="21" t="s">
        <v>2276</v>
      </c>
      <c r="T30" s="21" t="s">
        <v>2276</v>
      </c>
      <c r="U30" s="87" t="s">
        <v>2276</v>
      </c>
      <c r="V30" s="87" t="s">
        <v>2276</v>
      </c>
      <c r="W30" s="87" t="s">
        <v>2276</v>
      </c>
      <c r="X30" s="87" t="s">
        <v>2276</v>
      </c>
      <c r="Y30" s="87" t="s">
        <v>2276</v>
      </c>
      <c r="Z30" s="3" t="s">
        <v>75</v>
      </c>
      <c r="AA30" s="3" t="s">
        <v>35</v>
      </c>
      <c r="AB30" s="3" t="s">
        <v>64</v>
      </c>
      <c r="AC30" s="4" t="s">
        <v>5053</v>
      </c>
      <c r="AD30" s="4" t="s">
        <v>5050</v>
      </c>
    </row>
    <row r="31" spans="1:30" ht="63.5" customHeight="1">
      <c r="A31" s="31" t="s">
        <v>267</v>
      </c>
      <c r="B31" s="3" t="s">
        <v>327</v>
      </c>
      <c r="C31" s="11" t="s">
        <v>24</v>
      </c>
      <c r="D31" s="3" t="s">
        <v>2659</v>
      </c>
      <c r="E31" s="4" t="s">
        <v>396</v>
      </c>
      <c r="F31" s="19" t="s">
        <v>28</v>
      </c>
      <c r="G31" s="11" t="s">
        <v>2276</v>
      </c>
      <c r="H31" s="3" t="s">
        <v>523</v>
      </c>
      <c r="I31" s="11"/>
      <c r="J31" s="21" t="s">
        <v>2276</v>
      </c>
      <c r="K31" s="21" t="s">
        <v>2276</v>
      </c>
      <c r="L31" s="21" t="s">
        <v>2276</v>
      </c>
      <c r="M31" s="21" t="s">
        <v>2276</v>
      </c>
      <c r="N31" s="21" t="s">
        <v>2276</v>
      </c>
      <c r="O31" s="21" t="s">
        <v>2276</v>
      </c>
      <c r="P31" s="21" t="s">
        <v>2276</v>
      </c>
      <c r="Q31" s="21" t="s">
        <v>2276</v>
      </c>
      <c r="R31" s="21" t="s">
        <v>2276</v>
      </c>
      <c r="S31" s="21" t="s">
        <v>2276</v>
      </c>
      <c r="T31" s="21" t="s">
        <v>2276</v>
      </c>
      <c r="U31" s="87" t="s">
        <v>2276</v>
      </c>
      <c r="V31" s="87" t="s">
        <v>2276</v>
      </c>
      <c r="W31" s="87" t="s">
        <v>2276</v>
      </c>
      <c r="X31" s="87" t="s">
        <v>2276</v>
      </c>
      <c r="Y31" s="87" t="s">
        <v>2276</v>
      </c>
      <c r="Z31" s="3" t="s">
        <v>75</v>
      </c>
      <c r="AA31" s="3" t="s">
        <v>35</v>
      </c>
      <c r="AB31" s="3" t="s">
        <v>64</v>
      </c>
      <c r="AC31" s="4" t="s">
        <v>5053</v>
      </c>
      <c r="AD31" s="4" t="s">
        <v>5050</v>
      </c>
    </row>
    <row r="32" spans="1:30" ht="72.5">
      <c r="A32" s="31" t="s">
        <v>268</v>
      </c>
      <c r="B32" s="3" t="s">
        <v>328</v>
      </c>
      <c r="C32" s="11" t="s">
        <v>24</v>
      </c>
      <c r="D32" s="3" t="s">
        <v>2659</v>
      </c>
      <c r="E32" s="4" t="s">
        <v>396</v>
      </c>
      <c r="F32" s="19" t="s">
        <v>28</v>
      </c>
      <c r="G32" s="11" t="s">
        <v>2276</v>
      </c>
      <c r="H32" s="3" t="s">
        <v>523</v>
      </c>
      <c r="I32" s="11"/>
      <c r="J32" s="21" t="s">
        <v>2276</v>
      </c>
      <c r="K32" s="21" t="s">
        <v>2276</v>
      </c>
      <c r="L32" s="21" t="s">
        <v>2276</v>
      </c>
      <c r="M32" s="21" t="s">
        <v>2276</v>
      </c>
      <c r="N32" s="21" t="s">
        <v>2276</v>
      </c>
      <c r="O32" s="21" t="s">
        <v>2276</v>
      </c>
      <c r="P32" s="21" t="s">
        <v>2276</v>
      </c>
      <c r="Q32" s="21" t="s">
        <v>2276</v>
      </c>
      <c r="R32" s="21" t="s">
        <v>2276</v>
      </c>
      <c r="S32" s="21" t="s">
        <v>2276</v>
      </c>
      <c r="T32" s="21" t="s">
        <v>2276</v>
      </c>
      <c r="U32" s="87" t="s">
        <v>2276</v>
      </c>
      <c r="V32" s="87" t="s">
        <v>2276</v>
      </c>
      <c r="W32" s="87" t="s">
        <v>2276</v>
      </c>
      <c r="X32" s="87" t="s">
        <v>2276</v>
      </c>
      <c r="Y32" s="87" t="s">
        <v>2276</v>
      </c>
      <c r="Z32" s="3" t="s">
        <v>75</v>
      </c>
      <c r="AA32" s="3" t="s">
        <v>35</v>
      </c>
      <c r="AB32" s="3" t="s">
        <v>64</v>
      </c>
      <c r="AC32" s="4" t="s">
        <v>5053</v>
      </c>
      <c r="AD32" s="4" t="s">
        <v>5050</v>
      </c>
    </row>
    <row r="33" spans="1:30" ht="72.5">
      <c r="A33" s="31" t="s">
        <v>269</v>
      </c>
      <c r="B33" s="3" t="s">
        <v>329</v>
      </c>
      <c r="C33" s="11" t="s">
        <v>24</v>
      </c>
      <c r="D33" s="3" t="s">
        <v>2659</v>
      </c>
      <c r="E33" s="4" t="s">
        <v>396</v>
      </c>
      <c r="F33" s="19" t="s">
        <v>28</v>
      </c>
      <c r="G33" s="11" t="s">
        <v>2276</v>
      </c>
      <c r="H33" s="3" t="s">
        <v>523</v>
      </c>
      <c r="I33" s="11"/>
      <c r="J33" s="21" t="s">
        <v>2276</v>
      </c>
      <c r="K33" s="21" t="s">
        <v>2276</v>
      </c>
      <c r="L33" s="21" t="s">
        <v>2276</v>
      </c>
      <c r="M33" s="21" t="s">
        <v>2276</v>
      </c>
      <c r="N33" s="21" t="s">
        <v>2276</v>
      </c>
      <c r="O33" s="21" t="s">
        <v>2276</v>
      </c>
      <c r="P33" s="21" t="s">
        <v>2276</v>
      </c>
      <c r="Q33" s="21" t="s">
        <v>2276</v>
      </c>
      <c r="R33" s="21" t="s">
        <v>2276</v>
      </c>
      <c r="S33" s="21" t="s">
        <v>2276</v>
      </c>
      <c r="T33" s="21" t="s">
        <v>2276</v>
      </c>
      <c r="U33" s="87" t="s">
        <v>2276</v>
      </c>
      <c r="V33" s="87" t="s">
        <v>2276</v>
      </c>
      <c r="W33" s="87" t="s">
        <v>2276</v>
      </c>
      <c r="X33" s="87" t="s">
        <v>2276</v>
      </c>
      <c r="Y33" s="87" t="s">
        <v>2276</v>
      </c>
      <c r="Z33" s="3" t="s">
        <v>75</v>
      </c>
      <c r="AA33" s="3" t="s">
        <v>35</v>
      </c>
      <c r="AB33" s="3" t="s">
        <v>64</v>
      </c>
      <c r="AC33" s="4" t="s">
        <v>5053</v>
      </c>
      <c r="AD33" s="4" t="s">
        <v>5050</v>
      </c>
    </row>
    <row r="34" spans="1:30" ht="72.5">
      <c r="A34" s="31" t="s">
        <v>270</v>
      </c>
      <c r="B34" s="3" t="s">
        <v>330</v>
      </c>
      <c r="C34" s="11" t="s">
        <v>24</v>
      </c>
      <c r="D34" s="3" t="s">
        <v>2659</v>
      </c>
      <c r="E34" s="4" t="s">
        <v>396</v>
      </c>
      <c r="F34" s="19" t="s">
        <v>28</v>
      </c>
      <c r="G34" s="11" t="s">
        <v>2276</v>
      </c>
      <c r="H34" s="3" t="s">
        <v>523</v>
      </c>
      <c r="I34" s="11"/>
      <c r="J34" s="21" t="s">
        <v>2276</v>
      </c>
      <c r="K34" s="21" t="s">
        <v>2276</v>
      </c>
      <c r="L34" s="21" t="s">
        <v>2276</v>
      </c>
      <c r="M34" s="21" t="s">
        <v>2276</v>
      </c>
      <c r="N34" s="21" t="s">
        <v>2276</v>
      </c>
      <c r="O34" s="21" t="s">
        <v>2276</v>
      </c>
      <c r="P34" s="21" t="s">
        <v>2276</v>
      </c>
      <c r="Q34" s="21" t="s">
        <v>2276</v>
      </c>
      <c r="R34" s="21" t="s">
        <v>2276</v>
      </c>
      <c r="S34" s="21" t="s">
        <v>2276</v>
      </c>
      <c r="T34" s="21" t="s">
        <v>2276</v>
      </c>
      <c r="U34" s="87" t="s">
        <v>2276</v>
      </c>
      <c r="V34" s="87" t="s">
        <v>2276</v>
      </c>
      <c r="W34" s="87" t="s">
        <v>2276</v>
      </c>
      <c r="X34" s="87" t="s">
        <v>2276</v>
      </c>
      <c r="Y34" s="87" t="s">
        <v>2276</v>
      </c>
      <c r="Z34" s="3" t="s">
        <v>75</v>
      </c>
      <c r="AA34" s="3" t="s">
        <v>35</v>
      </c>
      <c r="AB34" s="3" t="s">
        <v>64</v>
      </c>
      <c r="AC34" s="4" t="s">
        <v>5053</v>
      </c>
      <c r="AD34" s="4" t="s">
        <v>5050</v>
      </c>
    </row>
    <row r="35" spans="1:30" ht="72.5">
      <c r="A35" s="31" t="s">
        <v>271</v>
      </c>
      <c r="B35" s="3" t="s">
        <v>331</v>
      </c>
      <c r="C35" s="11" t="s">
        <v>24</v>
      </c>
      <c r="D35" s="3" t="s">
        <v>2659</v>
      </c>
      <c r="E35" s="4" t="s">
        <v>396</v>
      </c>
      <c r="F35" s="19" t="s">
        <v>28</v>
      </c>
      <c r="G35" s="11" t="s">
        <v>2276</v>
      </c>
      <c r="H35" s="3" t="s">
        <v>523</v>
      </c>
      <c r="I35" s="11"/>
      <c r="J35" s="21" t="s">
        <v>2276</v>
      </c>
      <c r="K35" s="21" t="s">
        <v>2276</v>
      </c>
      <c r="L35" s="21" t="s">
        <v>2276</v>
      </c>
      <c r="M35" s="21" t="s">
        <v>2276</v>
      </c>
      <c r="N35" s="21" t="s">
        <v>2276</v>
      </c>
      <c r="O35" s="21" t="s">
        <v>2276</v>
      </c>
      <c r="P35" s="21" t="s">
        <v>2276</v>
      </c>
      <c r="Q35" s="21" t="s">
        <v>2276</v>
      </c>
      <c r="R35" s="21" t="s">
        <v>2276</v>
      </c>
      <c r="S35" s="21" t="s">
        <v>2276</v>
      </c>
      <c r="T35" s="21" t="s">
        <v>2276</v>
      </c>
      <c r="U35" s="87" t="s">
        <v>2276</v>
      </c>
      <c r="V35" s="87" t="s">
        <v>2276</v>
      </c>
      <c r="W35" s="87" t="s">
        <v>2276</v>
      </c>
      <c r="X35" s="87" t="s">
        <v>2276</v>
      </c>
      <c r="Y35" s="87" t="s">
        <v>2276</v>
      </c>
      <c r="Z35" s="3" t="s">
        <v>75</v>
      </c>
      <c r="AA35" s="3" t="s">
        <v>35</v>
      </c>
      <c r="AB35" s="3" t="s">
        <v>64</v>
      </c>
      <c r="AC35" s="4" t="s">
        <v>5053</v>
      </c>
      <c r="AD35" s="4" t="s">
        <v>5050</v>
      </c>
    </row>
    <row r="36" spans="1:30" ht="72.5">
      <c r="A36" s="31" t="s">
        <v>272</v>
      </c>
      <c r="B36" s="3" t="s">
        <v>332</v>
      </c>
      <c r="C36" s="11" t="s">
        <v>24</v>
      </c>
      <c r="D36" s="3" t="s">
        <v>2659</v>
      </c>
      <c r="E36" s="4" t="s">
        <v>396</v>
      </c>
      <c r="F36" s="19" t="s">
        <v>28</v>
      </c>
      <c r="G36" s="11" t="s">
        <v>2276</v>
      </c>
      <c r="H36" s="3" t="s">
        <v>523</v>
      </c>
      <c r="I36" s="11"/>
      <c r="J36" s="21" t="s">
        <v>2276</v>
      </c>
      <c r="K36" s="21" t="s">
        <v>2276</v>
      </c>
      <c r="L36" s="21" t="s">
        <v>2276</v>
      </c>
      <c r="M36" s="21" t="s">
        <v>2276</v>
      </c>
      <c r="N36" s="21" t="s">
        <v>2276</v>
      </c>
      <c r="O36" s="21" t="s">
        <v>2276</v>
      </c>
      <c r="P36" s="21" t="s">
        <v>2276</v>
      </c>
      <c r="Q36" s="21" t="s">
        <v>2276</v>
      </c>
      <c r="R36" s="21" t="s">
        <v>2276</v>
      </c>
      <c r="S36" s="21" t="s">
        <v>2276</v>
      </c>
      <c r="T36" s="21" t="s">
        <v>2276</v>
      </c>
      <c r="U36" s="87" t="s">
        <v>2276</v>
      </c>
      <c r="V36" s="87" t="s">
        <v>2276</v>
      </c>
      <c r="W36" s="87" t="s">
        <v>2276</v>
      </c>
      <c r="X36" s="87" t="s">
        <v>2276</v>
      </c>
      <c r="Y36" s="87" t="s">
        <v>2276</v>
      </c>
      <c r="Z36" s="3" t="s">
        <v>75</v>
      </c>
      <c r="AA36" s="3" t="s">
        <v>35</v>
      </c>
      <c r="AB36" s="3" t="s">
        <v>64</v>
      </c>
      <c r="AC36" s="4" t="s">
        <v>5053</v>
      </c>
      <c r="AD36" s="4" t="s">
        <v>5050</v>
      </c>
    </row>
    <row r="37" spans="1:30" ht="72.5">
      <c r="A37" s="31" t="s">
        <v>273</v>
      </c>
      <c r="B37" s="3" t="s">
        <v>333</v>
      </c>
      <c r="C37" s="11" t="s">
        <v>24</v>
      </c>
      <c r="D37" s="3" t="s">
        <v>2659</v>
      </c>
      <c r="E37" s="4" t="s">
        <v>396</v>
      </c>
      <c r="F37" s="19" t="s">
        <v>28</v>
      </c>
      <c r="G37" s="11" t="s">
        <v>2276</v>
      </c>
      <c r="H37" s="3" t="s">
        <v>523</v>
      </c>
      <c r="I37" s="11"/>
      <c r="J37" s="21" t="s">
        <v>2276</v>
      </c>
      <c r="K37" s="21" t="s">
        <v>2276</v>
      </c>
      <c r="L37" s="21" t="s">
        <v>2276</v>
      </c>
      <c r="M37" s="21" t="s">
        <v>2276</v>
      </c>
      <c r="N37" s="21" t="s">
        <v>2276</v>
      </c>
      <c r="O37" s="21" t="s">
        <v>2276</v>
      </c>
      <c r="P37" s="21" t="s">
        <v>2276</v>
      </c>
      <c r="Q37" s="21" t="s">
        <v>2276</v>
      </c>
      <c r="R37" s="21" t="s">
        <v>2276</v>
      </c>
      <c r="S37" s="21" t="s">
        <v>2276</v>
      </c>
      <c r="T37" s="21" t="s">
        <v>2276</v>
      </c>
      <c r="U37" s="87" t="s">
        <v>2276</v>
      </c>
      <c r="V37" s="87" t="s">
        <v>2276</v>
      </c>
      <c r="W37" s="87" t="s">
        <v>2276</v>
      </c>
      <c r="X37" s="87" t="s">
        <v>2276</v>
      </c>
      <c r="Y37" s="87" t="s">
        <v>2276</v>
      </c>
      <c r="Z37" s="3" t="s">
        <v>75</v>
      </c>
      <c r="AA37" s="3" t="s">
        <v>35</v>
      </c>
      <c r="AB37" s="3" t="s">
        <v>64</v>
      </c>
      <c r="AC37" s="4" t="s">
        <v>5053</v>
      </c>
      <c r="AD37" s="4" t="s">
        <v>5050</v>
      </c>
    </row>
    <row r="38" spans="1:30" ht="125.5" customHeight="1">
      <c r="A38" s="31" t="s">
        <v>274</v>
      </c>
      <c r="B38" s="3" t="s">
        <v>334</v>
      </c>
      <c r="C38" s="11" t="s">
        <v>24</v>
      </c>
      <c r="D38" s="3" t="s">
        <v>2659</v>
      </c>
      <c r="E38" s="4" t="s">
        <v>396</v>
      </c>
      <c r="F38" s="19" t="s">
        <v>28</v>
      </c>
      <c r="G38" s="11" t="s">
        <v>2276</v>
      </c>
      <c r="H38" s="3" t="s">
        <v>523</v>
      </c>
      <c r="I38" s="11"/>
      <c r="J38" s="21" t="s">
        <v>2276</v>
      </c>
      <c r="K38" s="21" t="s">
        <v>2276</v>
      </c>
      <c r="L38" s="21" t="s">
        <v>2276</v>
      </c>
      <c r="M38" s="21" t="s">
        <v>2276</v>
      </c>
      <c r="N38" s="21" t="s">
        <v>2276</v>
      </c>
      <c r="O38" s="21" t="s">
        <v>2276</v>
      </c>
      <c r="P38" s="21" t="s">
        <v>2276</v>
      </c>
      <c r="Q38" s="21" t="s">
        <v>2276</v>
      </c>
      <c r="R38" s="21" t="s">
        <v>2276</v>
      </c>
      <c r="S38" s="21" t="s">
        <v>2276</v>
      </c>
      <c r="T38" s="21" t="s">
        <v>2276</v>
      </c>
      <c r="U38" s="87" t="s">
        <v>2276</v>
      </c>
      <c r="V38" s="87" t="s">
        <v>2276</v>
      </c>
      <c r="W38" s="87" t="s">
        <v>2276</v>
      </c>
      <c r="X38" s="87" t="s">
        <v>2276</v>
      </c>
      <c r="Y38" s="87" t="s">
        <v>2276</v>
      </c>
      <c r="Z38" s="3" t="s">
        <v>75</v>
      </c>
      <c r="AA38" s="3" t="s">
        <v>35</v>
      </c>
      <c r="AB38" s="3" t="s">
        <v>64</v>
      </c>
      <c r="AC38" s="4" t="s">
        <v>5053</v>
      </c>
      <c r="AD38" s="4" t="s">
        <v>5050</v>
      </c>
    </row>
    <row r="39" spans="1:30" ht="127" customHeight="1">
      <c r="A39" s="31" t="s">
        <v>275</v>
      </c>
      <c r="B39" s="3" t="s">
        <v>335</v>
      </c>
      <c r="C39" s="11" t="s">
        <v>24</v>
      </c>
      <c r="D39" s="3" t="s">
        <v>2659</v>
      </c>
      <c r="E39" s="4" t="s">
        <v>396</v>
      </c>
      <c r="F39" s="19" t="s">
        <v>28</v>
      </c>
      <c r="G39" s="11" t="s">
        <v>2276</v>
      </c>
      <c r="H39" s="3" t="s">
        <v>523</v>
      </c>
      <c r="I39" s="11"/>
      <c r="J39" s="21" t="s">
        <v>2276</v>
      </c>
      <c r="K39" s="21" t="s">
        <v>2276</v>
      </c>
      <c r="L39" s="21" t="s">
        <v>2276</v>
      </c>
      <c r="M39" s="21" t="s">
        <v>2276</v>
      </c>
      <c r="N39" s="21" t="s">
        <v>2276</v>
      </c>
      <c r="O39" s="21" t="s">
        <v>2276</v>
      </c>
      <c r="P39" s="21" t="s">
        <v>2276</v>
      </c>
      <c r="Q39" s="21" t="s">
        <v>2276</v>
      </c>
      <c r="R39" s="21" t="s">
        <v>2276</v>
      </c>
      <c r="S39" s="21" t="s">
        <v>2276</v>
      </c>
      <c r="T39" s="21" t="s">
        <v>2276</v>
      </c>
      <c r="U39" s="87" t="s">
        <v>2276</v>
      </c>
      <c r="V39" s="87" t="s">
        <v>2276</v>
      </c>
      <c r="W39" s="87" t="s">
        <v>2276</v>
      </c>
      <c r="X39" s="87" t="s">
        <v>2276</v>
      </c>
      <c r="Y39" s="87" t="s">
        <v>2276</v>
      </c>
      <c r="Z39" s="3" t="s">
        <v>75</v>
      </c>
      <c r="AA39" s="3" t="s">
        <v>35</v>
      </c>
      <c r="AB39" s="3" t="s">
        <v>64</v>
      </c>
      <c r="AC39" s="4" t="s">
        <v>5053</v>
      </c>
      <c r="AD39" s="4" t="s">
        <v>5050</v>
      </c>
    </row>
    <row r="40" spans="1:30" ht="124" customHeight="1">
      <c r="A40" s="31" t="s">
        <v>276</v>
      </c>
      <c r="B40" s="3" t="s">
        <v>336</v>
      </c>
      <c r="C40" s="11" t="s">
        <v>24</v>
      </c>
      <c r="D40" s="3" t="s">
        <v>2659</v>
      </c>
      <c r="E40" s="4" t="s">
        <v>396</v>
      </c>
      <c r="F40" s="19" t="s">
        <v>28</v>
      </c>
      <c r="G40" s="11" t="s">
        <v>2276</v>
      </c>
      <c r="H40" s="3" t="s">
        <v>523</v>
      </c>
      <c r="I40" s="11"/>
      <c r="J40" s="21" t="s">
        <v>2276</v>
      </c>
      <c r="K40" s="21" t="s">
        <v>2276</v>
      </c>
      <c r="L40" s="21" t="s">
        <v>2276</v>
      </c>
      <c r="M40" s="21" t="s">
        <v>2276</v>
      </c>
      <c r="N40" s="21" t="s">
        <v>2276</v>
      </c>
      <c r="O40" s="21" t="s">
        <v>2276</v>
      </c>
      <c r="P40" s="21" t="s">
        <v>2276</v>
      </c>
      <c r="Q40" s="21" t="s">
        <v>2276</v>
      </c>
      <c r="R40" s="21" t="s">
        <v>2276</v>
      </c>
      <c r="S40" s="21" t="s">
        <v>2276</v>
      </c>
      <c r="T40" s="21" t="s">
        <v>2276</v>
      </c>
      <c r="U40" s="87" t="s">
        <v>2276</v>
      </c>
      <c r="V40" s="87" t="s">
        <v>2276</v>
      </c>
      <c r="W40" s="87" t="s">
        <v>2276</v>
      </c>
      <c r="X40" s="87" t="s">
        <v>2276</v>
      </c>
      <c r="Y40" s="87" t="s">
        <v>2276</v>
      </c>
      <c r="Z40" s="3" t="s">
        <v>75</v>
      </c>
      <c r="AA40" s="3" t="s">
        <v>35</v>
      </c>
      <c r="AB40" s="3" t="s">
        <v>64</v>
      </c>
      <c r="AC40" s="4" t="s">
        <v>5053</v>
      </c>
      <c r="AD40" s="4" t="s">
        <v>5050</v>
      </c>
    </row>
    <row r="41" spans="1:30" ht="46" customHeight="1">
      <c r="A41" s="31" t="s">
        <v>277</v>
      </c>
      <c r="B41" s="3" t="s">
        <v>337</v>
      </c>
      <c r="C41" s="11" t="s">
        <v>24</v>
      </c>
      <c r="D41" s="3" t="s">
        <v>2659</v>
      </c>
      <c r="E41" s="4" t="s">
        <v>396</v>
      </c>
      <c r="F41" s="19" t="s">
        <v>28</v>
      </c>
      <c r="G41" s="11" t="s">
        <v>2276</v>
      </c>
      <c r="H41" s="3" t="s">
        <v>523</v>
      </c>
      <c r="I41" s="11"/>
      <c r="J41" s="21" t="s">
        <v>2276</v>
      </c>
      <c r="K41" s="21" t="s">
        <v>2276</v>
      </c>
      <c r="L41" s="21" t="s">
        <v>2276</v>
      </c>
      <c r="M41" s="21" t="s">
        <v>2276</v>
      </c>
      <c r="N41" s="21" t="s">
        <v>2276</v>
      </c>
      <c r="O41" s="21" t="s">
        <v>2276</v>
      </c>
      <c r="P41" s="21" t="s">
        <v>2276</v>
      </c>
      <c r="Q41" s="21" t="s">
        <v>2276</v>
      </c>
      <c r="R41" s="21" t="s">
        <v>2276</v>
      </c>
      <c r="S41" s="21" t="s">
        <v>2276</v>
      </c>
      <c r="T41" s="21" t="s">
        <v>2276</v>
      </c>
      <c r="U41" s="87" t="s">
        <v>2276</v>
      </c>
      <c r="V41" s="87" t="s">
        <v>2276</v>
      </c>
      <c r="W41" s="87" t="s">
        <v>2276</v>
      </c>
      <c r="X41" s="87" t="s">
        <v>2276</v>
      </c>
      <c r="Y41" s="87" t="s">
        <v>2276</v>
      </c>
      <c r="Z41" s="3" t="s">
        <v>75</v>
      </c>
      <c r="AA41" s="3" t="s">
        <v>35</v>
      </c>
      <c r="AB41" s="3" t="s">
        <v>64</v>
      </c>
      <c r="AC41" s="4" t="s">
        <v>5053</v>
      </c>
      <c r="AD41" s="4" t="s">
        <v>5050</v>
      </c>
    </row>
    <row r="42" spans="1:30" ht="49" customHeight="1">
      <c r="A42" s="31" t="s">
        <v>290</v>
      </c>
      <c r="B42" s="3" t="s">
        <v>338</v>
      </c>
      <c r="C42" s="11" t="s">
        <v>24</v>
      </c>
      <c r="D42" s="3" t="s">
        <v>2659</v>
      </c>
      <c r="E42" s="4" t="s">
        <v>396</v>
      </c>
      <c r="F42" s="19" t="s">
        <v>28</v>
      </c>
      <c r="G42" s="11" t="s">
        <v>2276</v>
      </c>
      <c r="H42" s="3" t="s">
        <v>523</v>
      </c>
      <c r="I42" s="11"/>
      <c r="J42" s="21" t="s">
        <v>2276</v>
      </c>
      <c r="K42" s="21" t="s">
        <v>2276</v>
      </c>
      <c r="L42" s="21" t="s">
        <v>2276</v>
      </c>
      <c r="M42" s="21" t="s">
        <v>2276</v>
      </c>
      <c r="N42" s="21" t="s">
        <v>2276</v>
      </c>
      <c r="O42" s="21" t="s">
        <v>2276</v>
      </c>
      <c r="P42" s="21" t="s">
        <v>2276</v>
      </c>
      <c r="Q42" s="21" t="s">
        <v>2276</v>
      </c>
      <c r="R42" s="21" t="s">
        <v>2276</v>
      </c>
      <c r="S42" s="21" t="s">
        <v>2276</v>
      </c>
      <c r="T42" s="21" t="s">
        <v>2276</v>
      </c>
      <c r="U42" s="87" t="s">
        <v>2276</v>
      </c>
      <c r="V42" s="87" t="s">
        <v>2276</v>
      </c>
      <c r="W42" s="87" t="s">
        <v>2276</v>
      </c>
      <c r="X42" s="87" t="s">
        <v>2276</v>
      </c>
      <c r="Y42" s="87" t="s">
        <v>2276</v>
      </c>
      <c r="Z42" s="3" t="s">
        <v>75</v>
      </c>
      <c r="AA42" s="3" t="s">
        <v>35</v>
      </c>
      <c r="AB42" s="3" t="s">
        <v>64</v>
      </c>
      <c r="AC42" s="4" t="s">
        <v>5053</v>
      </c>
      <c r="AD42" s="4" t="s">
        <v>5050</v>
      </c>
    </row>
    <row r="43" spans="1:30" ht="67" customHeight="1">
      <c r="A43" s="31" t="s">
        <v>291</v>
      </c>
      <c r="B43" s="3" t="s">
        <v>339</v>
      </c>
      <c r="C43" s="11" t="s">
        <v>24</v>
      </c>
      <c r="D43" s="3" t="s">
        <v>2659</v>
      </c>
      <c r="E43" s="4" t="s">
        <v>396</v>
      </c>
      <c r="F43" s="19" t="s">
        <v>28</v>
      </c>
      <c r="G43" s="11" t="s">
        <v>2276</v>
      </c>
      <c r="H43" s="3" t="s">
        <v>523</v>
      </c>
      <c r="I43" s="11"/>
      <c r="J43" s="21" t="s">
        <v>2276</v>
      </c>
      <c r="K43" s="21" t="s">
        <v>2276</v>
      </c>
      <c r="L43" s="21" t="s">
        <v>2276</v>
      </c>
      <c r="M43" s="21" t="s">
        <v>2276</v>
      </c>
      <c r="N43" s="21" t="s">
        <v>2276</v>
      </c>
      <c r="O43" s="21" t="s">
        <v>2276</v>
      </c>
      <c r="P43" s="21" t="s">
        <v>2276</v>
      </c>
      <c r="Q43" s="21" t="s">
        <v>2276</v>
      </c>
      <c r="R43" s="21" t="s">
        <v>2276</v>
      </c>
      <c r="S43" s="21" t="s">
        <v>2276</v>
      </c>
      <c r="T43" s="21" t="s">
        <v>2276</v>
      </c>
      <c r="U43" s="87" t="s">
        <v>2276</v>
      </c>
      <c r="V43" s="87" t="s">
        <v>2276</v>
      </c>
      <c r="W43" s="87" t="s">
        <v>2276</v>
      </c>
      <c r="X43" s="87" t="s">
        <v>2276</v>
      </c>
      <c r="Y43" s="87" t="s">
        <v>2276</v>
      </c>
      <c r="Z43" s="3" t="s">
        <v>75</v>
      </c>
      <c r="AA43" s="3" t="s">
        <v>35</v>
      </c>
      <c r="AB43" s="3" t="s">
        <v>64</v>
      </c>
      <c r="AC43" s="4" t="s">
        <v>5053</v>
      </c>
      <c r="AD43" s="4" t="s">
        <v>5050</v>
      </c>
    </row>
    <row r="44" spans="1:30" ht="72" customHeight="1">
      <c r="A44" s="31" t="s">
        <v>292</v>
      </c>
      <c r="B44" s="3" t="s">
        <v>340</v>
      </c>
      <c r="C44" s="11" t="s">
        <v>24</v>
      </c>
      <c r="D44" s="3" t="s">
        <v>2659</v>
      </c>
      <c r="E44" s="4" t="s">
        <v>396</v>
      </c>
      <c r="F44" s="19" t="s">
        <v>28</v>
      </c>
      <c r="G44" s="11" t="s">
        <v>2276</v>
      </c>
      <c r="H44" s="3" t="s">
        <v>523</v>
      </c>
      <c r="I44" s="11"/>
      <c r="J44" s="21" t="s">
        <v>2276</v>
      </c>
      <c r="K44" s="21" t="s">
        <v>2276</v>
      </c>
      <c r="L44" s="21" t="s">
        <v>2276</v>
      </c>
      <c r="M44" s="21" t="s">
        <v>2276</v>
      </c>
      <c r="N44" s="21" t="s">
        <v>2276</v>
      </c>
      <c r="O44" s="21" t="s">
        <v>2276</v>
      </c>
      <c r="P44" s="21" t="s">
        <v>2276</v>
      </c>
      <c r="Q44" s="21" t="s">
        <v>2276</v>
      </c>
      <c r="R44" s="21" t="s">
        <v>2276</v>
      </c>
      <c r="S44" s="21" t="s">
        <v>2276</v>
      </c>
      <c r="T44" s="21" t="s">
        <v>2276</v>
      </c>
      <c r="U44" s="87" t="s">
        <v>2276</v>
      </c>
      <c r="V44" s="87" t="s">
        <v>2276</v>
      </c>
      <c r="W44" s="87" t="s">
        <v>2276</v>
      </c>
      <c r="X44" s="87" t="s">
        <v>2276</v>
      </c>
      <c r="Y44" s="87" t="s">
        <v>2276</v>
      </c>
      <c r="Z44" s="3" t="s">
        <v>75</v>
      </c>
      <c r="AA44" s="3" t="s">
        <v>35</v>
      </c>
      <c r="AB44" s="3" t="s">
        <v>64</v>
      </c>
      <c r="AC44" s="4" t="s">
        <v>5053</v>
      </c>
      <c r="AD44" s="4" t="s">
        <v>5050</v>
      </c>
    </row>
    <row r="45" spans="1:30" ht="72" customHeight="1">
      <c r="A45" s="31" t="s">
        <v>293</v>
      </c>
      <c r="B45" s="3" t="s">
        <v>341</v>
      </c>
      <c r="C45" s="11" t="s">
        <v>24</v>
      </c>
      <c r="D45" s="3" t="s">
        <v>2659</v>
      </c>
      <c r="E45" s="4" t="s">
        <v>396</v>
      </c>
      <c r="F45" s="19" t="s">
        <v>28</v>
      </c>
      <c r="G45" s="11" t="s">
        <v>2276</v>
      </c>
      <c r="H45" s="3" t="s">
        <v>523</v>
      </c>
      <c r="I45" s="11"/>
      <c r="J45" s="21" t="s">
        <v>2276</v>
      </c>
      <c r="K45" s="21" t="s">
        <v>2276</v>
      </c>
      <c r="L45" s="21" t="s">
        <v>2276</v>
      </c>
      <c r="M45" s="21" t="s">
        <v>2276</v>
      </c>
      <c r="N45" s="21" t="s">
        <v>2276</v>
      </c>
      <c r="O45" s="21" t="s">
        <v>2276</v>
      </c>
      <c r="P45" s="21" t="s">
        <v>2276</v>
      </c>
      <c r="Q45" s="21" t="s">
        <v>2276</v>
      </c>
      <c r="R45" s="21" t="s">
        <v>2276</v>
      </c>
      <c r="S45" s="21" t="s">
        <v>2276</v>
      </c>
      <c r="T45" s="21" t="s">
        <v>2276</v>
      </c>
      <c r="U45" s="87" t="s">
        <v>2276</v>
      </c>
      <c r="V45" s="87" t="s">
        <v>2276</v>
      </c>
      <c r="W45" s="87" t="s">
        <v>2276</v>
      </c>
      <c r="X45" s="87" t="s">
        <v>2276</v>
      </c>
      <c r="Y45" s="87" t="s">
        <v>2276</v>
      </c>
      <c r="Z45" s="3" t="s">
        <v>75</v>
      </c>
      <c r="AA45" s="3" t="s">
        <v>35</v>
      </c>
      <c r="AB45" s="3" t="s">
        <v>64</v>
      </c>
      <c r="AC45" s="4" t="s">
        <v>5053</v>
      </c>
      <c r="AD45" s="4" t="s">
        <v>5050</v>
      </c>
    </row>
    <row r="46" spans="1:30" ht="97" customHeight="1">
      <c r="A46" s="23" t="s">
        <v>89</v>
      </c>
      <c r="B46" s="3" t="s">
        <v>91</v>
      </c>
      <c r="C46" s="23" t="s">
        <v>24</v>
      </c>
      <c r="D46" s="3" t="s">
        <v>2659</v>
      </c>
      <c r="E46" s="4" t="s">
        <v>396</v>
      </c>
      <c r="F46" s="26" t="s">
        <v>28</v>
      </c>
      <c r="G46" s="11" t="s">
        <v>2276</v>
      </c>
      <c r="H46" s="3" t="s">
        <v>523</v>
      </c>
      <c r="I46" s="23"/>
      <c r="J46" s="77" t="s">
        <v>2276</v>
      </c>
      <c r="K46" s="77" t="s">
        <v>2276</v>
      </c>
      <c r="L46" s="77" t="s">
        <v>2276</v>
      </c>
      <c r="M46" s="21" t="s">
        <v>2276</v>
      </c>
      <c r="N46" s="77" t="s">
        <v>2276</v>
      </c>
      <c r="O46" s="77" t="s">
        <v>2276</v>
      </c>
      <c r="P46" s="77" t="s">
        <v>2276</v>
      </c>
      <c r="Q46" s="21" t="s">
        <v>2276</v>
      </c>
      <c r="R46" s="21" t="s">
        <v>2276</v>
      </c>
      <c r="S46" s="77" t="s">
        <v>2276</v>
      </c>
      <c r="T46" s="77" t="s">
        <v>2276</v>
      </c>
      <c r="U46" s="87" t="s">
        <v>2276</v>
      </c>
      <c r="V46" s="87" t="s">
        <v>2276</v>
      </c>
      <c r="W46" s="87" t="s">
        <v>2276</v>
      </c>
      <c r="X46" s="87" t="s">
        <v>2276</v>
      </c>
      <c r="Y46" s="87" t="s">
        <v>2276</v>
      </c>
      <c r="Z46" s="22" t="s">
        <v>75</v>
      </c>
      <c r="AA46" s="22" t="s">
        <v>35</v>
      </c>
      <c r="AB46" s="3" t="s">
        <v>64</v>
      </c>
      <c r="AC46" s="4" t="s">
        <v>5053</v>
      </c>
      <c r="AD46" s="4" t="s">
        <v>5051</v>
      </c>
    </row>
    <row r="47" spans="1:30" ht="92" customHeight="1">
      <c r="A47" s="23" t="s">
        <v>89</v>
      </c>
      <c r="B47" s="3" t="s">
        <v>92</v>
      </c>
      <c r="C47" s="23" t="s">
        <v>24</v>
      </c>
      <c r="D47" s="3" t="s">
        <v>2659</v>
      </c>
      <c r="E47" s="4" t="s">
        <v>397</v>
      </c>
      <c r="F47" s="26" t="s">
        <v>28</v>
      </c>
      <c r="G47" s="11" t="s">
        <v>2276</v>
      </c>
      <c r="H47" s="3" t="s">
        <v>523</v>
      </c>
      <c r="I47" s="23"/>
      <c r="J47" s="77" t="s">
        <v>2276</v>
      </c>
      <c r="K47" s="77" t="s">
        <v>2276</v>
      </c>
      <c r="L47" s="77" t="s">
        <v>2276</v>
      </c>
      <c r="M47" s="21" t="s">
        <v>2276</v>
      </c>
      <c r="N47" s="77" t="s">
        <v>2276</v>
      </c>
      <c r="O47" s="77" t="s">
        <v>2276</v>
      </c>
      <c r="P47" s="77" t="s">
        <v>2276</v>
      </c>
      <c r="Q47" s="21" t="s">
        <v>2276</v>
      </c>
      <c r="R47" s="21" t="s">
        <v>2276</v>
      </c>
      <c r="S47" s="77" t="s">
        <v>2276</v>
      </c>
      <c r="T47" s="77" t="s">
        <v>2276</v>
      </c>
      <c r="U47" s="87" t="s">
        <v>2276</v>
      </c>
      <c r="V47" s="87" t="s">
        <v>2276</v>
      </c>
      <c r="W47" s="87" t="s">
        <v>2276</v>
      </c>
      <c r="X47" s="87" t="s">
        <v>2276</v>
      </c>
      <c r="Y47" s="87" t="s">
        <v>2276</v>
      </c>
      <c r="Z47" s="3" t="s">
        <v>75</v>
      </c>
      <c r="AA47" s="3" t="s">
        <v>35</v>
      </c>
      <c r="AB47" s="3" t="s">
        <v>64</v>
      </c>
      <c r="AC47" s="4" t="s">
        <v>5053</v>
      </c>
      <c r="AD47" s="4" t="s">
        <v>5052</v>
      </c>
    </row>
    <row r="48" spans="1:30" ht="69.5" customHeight="1">
      <c r="A48" s="31" t="s">
        <v>278</v>
      </c>
      <c r="B48" s="3" t="s">
        <v>342</v>
      </c>
      <c r="C48" s="23" t="s">
        <v>24</v>
      </c>
      <c r="D48" s="3" t="s">
        <v>2659</v>
      </c>
      <c r="E48" s="4" t="s">
        <v>396</v>
      </c>
      <c r="F48" s="26" t="s">
        <v>28</v>
      </c>
      <c r="G48" s="11" t="s">
        <v>2276</v>
      </c>
      <c r="H48" s="3" t="s">
        <v>523</v>
      </c>
      <c r="I48" s="23"/>
      <c r="J48" s="77" t="s">
        <v>2276</v>
      </c>
      <c r="K48" s="77" t="s">
        <v>2276</v>
      </c>
      <c r="L48" s="77" t="s">
        <v>2276</v>
      </c>
      <c r="M48" s="21" t="s">
        <v>2276</v>
      </c>
      <c r="N48" s="77" t="s">
        <v>2276</v>
      </c>
      <c r="O48" s="77" t="s">
        <v>2276</v>
      </c>
      <c r="P48" s="77" t="s">
        <v>2276</v>
      </c>
      <c r="Q48" s="21" t="s">
        <v>2276</v>
      </c>
      <c r="R48" s="21" t="s">
        <v>2276</v>
      </c>
      <c r="S48" s="77" t="s">
        <v>2276</v>
      </c>
      <c r="T48" s="77" t="s">
        <v>2276</v>
      </c>
      <c r="U48" s="87" t="s">
        <v>2276</v>
      </c>
      <c r="V48" s="87" t="s">
        <v>2276</v>
      </c>
      <c r="W48" s="87" t="s">
        <v>2276</v>
      </c>
      <c r="X48" s="87" t="s">
        <v>2276</v>
      </c>
      <c r="Y48" s="87" t="s">
        <v>2276</v>
      </c>
      <c r="Z48" s="3" t="s">
        <v>75</v>
      </c>
      <c r="AA48" s="3" t="s">
        <v>35</v>
      </c>
      <c r="AB48" s="3" t="s">
        <v>64</v>
      </c>
      <c r="AC48" s="4" t="s">
        <v>5053</v>
      </c>
      <c r="AD48" s="4" t="s">
        <v>2261</v>
      </c>
    </row>
    <row r="49" spans="1:30" ht="69.5" customHeight="1">
      <c r="A49" s="31" t="s">
        <v>279</v>
      </c>
      <c r="B49" s="3" t="s">
        <v>343</v>
      </c>
      <c r="C49" s="23" t="s">
        <v>24</v>
      </c>
      <c r="D49" s="3" t="s">
        <v>2659</v>
      </c>
      <c r="E49" s="4" t="s">
        <v>396</v>
      </c>
      <c r="F49" s="26" t="s">
        <v>28</v>
      </c>
      <c r="G49" s="11" t="s">
        <v>2276</v>
      </c>
      <c r="H49" s="3" t="s">
        <v>523</v>
      </c>
      <c r="I49" s="23"/>
      <c r="J49" s="77" t="s">
        <v>2276</v>
      </c>
      <c r="K49" s="77" t="s">
        <v>2276</v>
      </c>
      <c r="L49" s="77" t="s">
        <v>2276</v>
      </c>
      <c r="M49" s="21" t="s">
        <v>2276</v>
      </c>
      <c r="N49" s="77" t="s">
        <v>2276</v>
      </c>
      <c r="O49" s="77" t="s">
        <v>2276</v>
      </c>
      <c r="P49" s="77" t="s">
        <v>2276</v>
      </c>
      <c r="Q49" s="21" t="s">
        <v>2276</v>
      </c>
      <c r="R49" s="21" t="s">
        <v>2276</v>
      </c>
      <c r="S49" s="77" t="s">
        <v>2276</v>
      </c>
      <c r="T49" s="77" t="s">
        <v>2276</v>
      </c>
      <c r="U49" s="87" t="s">
        <v>2276</v>
      </c>
      <c r="V49" s="87" t="s">
        <v>2276</v>
      </c>
      <c r="W49" s="87" t="s">
        <v>2276</v>
      </c>
      <c r="X49" s="87" t="s">
        <v>2276</v>
      </c>
      <c r="Y49" s="87" t="s">
        <v>2276</v>
      </c>
      <c r="Z49" s="3" t="s">
        <v>75</v>
      </c>
      <c r="AA49" s="3" t="s">
        <v>35</v>
      </c>
      <c r="AB49" s="3" t="s">
        <v>64</v>
      </c>
      <c r="AC49" s="4" t="s">
        <v>5053</v>
      </c>
      <c r="AD49" s="4" t="s">
        <v>2261</v>
      </c>
    </row>
    <row r="50" spans="1:30" ht="69.5" customHeight="1">
      <c r="A50" s="31" t="s">
        <v>280</v>
      </c>
      <c r="B50" s="3" t="s">
        <v>344</v>
      </c>
      <c r="C50" s="23" t="s">
        <v>24</v>
      </c>
      <c r="D50" s="3" t="s">
        <v>2659</v>
      </c>
      <c r="E50" s="4" t="s">
        <v>396</v>
      </c>
      <c r="F50" s="26" t="s">
        <v>28</v>
      </c>
      <c r="G50" s="11" t="s">
        <v>2276</v>
      </c>
      <c r="H50" s="3" t="s">
        <v>523</v>
      </c>
      <c r="I50" s="23"/>
      <c r="J50" s="77" t="s">
        <v>2276</v>
      </c>
      <c r="K50" s="77" t="s">
        <v>2276</v>
      </c>
      <c r="L50" s="77" t="s">
        <v>2276</v>
      </c>
      <c r="M50" s="21" t="s">
        <v>2276</v>
      </c>
      <c r="N50" s="77" t="s">
        <v>2276</v>
      </c>
      <c r="O50" s="77" t="s">
        <v>2276</v>
      </c>
      <c r="P50" s="77" t="s">
        <v>2276</v>
      </c>
      <c r="Q50" s="21" t="s">
        <v>2276</v>
      </c>
      <c r="R50" s="21" t="s">
        <v>2276</v>
      </c>
      <c r="S50" s="77" t="s">
        <v>2276</v>
      </c>
      <c r="T50" s="77" t="s">
        <v>2276</v>
      </c>
      <c r="U50" s="87" t="s">
        <v>2276</v>
      </c>
      <c r="V50" s="87" t="s">
        <v>2276</v>
      </c>
      <c r="W50" s="87" t="s">
        <v>2276</v>
      </c>
      <c r="X50" s="87" t="s">
        <v>2276</v>
      </c>
      <c r="Y50" s="87" t="s">
        <v>2276</v>
      </c>
      <c r="Z50" s="3" t="s">
        <v>75</v>
      </c>
      <c r="AA50" s="3" t="s">
        <v>35</v>
      </c>
      <c r="AB50" s="3" t="s">
        <v>64</v>
      </c>
      <c r="AC50" s="4" t="s">
        <v>5053</v>
      </c>
      <c r="AD50" s="4" t="s">
        <v>2261</v>
      </c>
    </row>
    <row r="51" spans="1:30" ht="69.5" customHeight="1">
      <c r="A51" s="31" t="s">
        <v>281</v>
      </c>
      <c r="B51" s="3" t="s">
        <v>345</v>
      </c>
      <c r="C51" s="23" t="s">
        <v>24</v>
      </c>
      <c r="D51" s="3" t="s">
        <v>2659</v>
      </c>
      <c r="E51" s="4" t="s">
        <v>396</v>
      </c>
      <c r="F51" s="26" t="s">
        <v>28</v>
      </c>
      <c r="G51" s="11" t="s">
        <v>2276</v>
      </c>
      <c r="H51" s="3" t="s">
        <v>523</v>
      </c>
      <c r="I51" s="23"/>
      <c r="J51" s="77" t="s">
        <v>2276</v>
      </c>
      <c r="K51" s="77" t="s">
        <v>2276</v>
      </c>
      <c r="L51" s="77" t="s">
        <v>2276</v>
      </c>
      <c r="M51" s="21" t="s">
        <v>2276</v>
      </c>
      <c r="N51" s="77" t="s">
        <v>2276</v>
      </c>
      <c r="O51" s="77" t="s">
        <v>2276</v>
      </c>
      <c r="P51" s="77" t="s">
        <v>2276</v>
      </c>
      <c r="Q51" s="21" t="s">
        <v>2276</v>
      </c>
      <c r="R51" s="21" t="s">
        <v>2276</v>
      </c>
      <c r="S51" s="77" t="s">
        <v>2276</v>
      </c>
      <c r="T51" s="77" t="s">
        <v>2276</v>
      </c>
      <c r="U51" s="87" t="s">
        <v>2276</v>
      </c>
      <c r="V51" s="87" t="s">
        <v>2276</v>
      </c>
      <c r="W51" s="87" t="s">
        <v>2276</v>
      </c>
      <c r="X51" s="87" t="s">
        <v>2276</v>
      </c>
      <c r="Y51" s="87" t="s">
        <v>2276</v>
      </c>
      <c r="Z51" s="3" t="s">
        <v>75</v>
      </c>
      <c r="AA51" s="3" t="s">
        <v>35</v>
      </c>
      <c r="AB51" s="3" t="s">
        <v>64</v>
      </c>
      <c r="AC51" s="4" t="s">
        <v>5053</v>
      </c>
      <c r="AD51" s="4" t="s">
        <v>2261</v>
      </c>
    </row>
    <row r="52" spans="1:30" ht="69.5" customHeight="1">
      <c r="A52" s="31" t="s">
        <v>282</v>
      </c>
      <c r="B52" s="3" t="s">
        <v>346</v>
      </c>
      <c r="C52" s="23" t="s">
        <v>24</v>
      </c>
      <c r="D52" s="3" t="s">
        <v>2659</v>
      </c>
      <c r="E52" s="4" t="s">
        <v>396</v>
      </c>
      <c r="F52" s="26" t="s">
        <v>28</v>
      </c>
      <c r="G52" s="11" t="s">
        <v>2276</v>
      </c>
      <c r="H52" s="3" t="s">
        <v>523</v>
      </c>
      <c r="I52" s="23"/>
      <c r="J52" s="77" t="s">
        <v>2276</v>
      </c>
      <c r="K52" s="77" t="s">
        <v>2276</v>
      </c>
      <c r="L52" s="77" t="s">
        <v>2276</v>
      </c>
      <c r="M52" s="21" t="s">
        <v>2276</v>
      </c>
      <c r="N52" s="77" t="s">
        <v>2276</v>
      </c>
      <c r="O52" s="77" t="s">
        <v>2276</v>
      </c>
      <c r="P52" s="77" t="s">
        <v>2276</v>
      </c>
      <c r="Q52" s="21" t="s">
        <v>2276</v>
      </c>
      <c r="R52" s="21" t="s">
        <v>2276</v>
      </c>
      <c r="S52" s="77" t="s">
        <v>2276</v>
      </c>
      <c r="T52" s="77" t="s">
        <v>2276</v>
      </c>
      <c r="U52" s="87" t="s">
        <v>2276</v>
      </c>
      <c r="V52" s="87" t="s">
        <v>2276</v>
      </c>
      <c r="W52" s="87" t="s">
        <v>2276</v>
      </c>
      <c r="X52" s="87" t="s">
        <v>2276</v>
      </c>
      <c r="Y52" s="87" t="s">
        <v>2276</v>
      </c>
      <c r="Z52" s="3" t="s">
        <v>75</v>
      </c>
      <c r="AA52" s="3" t="s">
        <v>35</v>
      </c>
      <c r="AB52" s="3" t="s">
        <v>64</v>
      </c>
      <c r="AC52" s="4" t="s">
        <v>5053</v>
      </c>
      <c r="AD52" s="4" t="s">
        <v>2261</v>
      </c>
    </row>
    <row r="53" spans="1:30" ht="69.5" customHeight="1">
      <c r="A53" s="31" t="s">
        <v>283</v>
      </c>
      <c r="B53" s="3" t="s">
        <v>347</v>
      </c>
      <c r="C53" s="23" t="s">
        <v>24</v>
      </c>
      <c r="D53" s="3" t="s">
        <v>2659</v>
      </c>
      <c r="E53" s="4" t="s">
        <v>396</v>
      </c>
      <c r="F53" s="26" t="s">
        <v>28</v>
      </c>
      <c r="G53" s="11" t="s">
        <v>2276</v>
      </c>
      <c r="H53" s="3" t="s">
        <v>523</v>
      </c>
      <c r="I53" s="23"/>
      <c r="J53" s="77" t="s">
        <v>2276</v>
      </c>
      <c r="K53" s="77" t="s">
        <v>2276</v>
      </c>
      <c r="L53" s="77" t="s">
        <v>2276</v>
      </c>
      <c r="M53" s="21" t="s">
        <v>2276</v>
      </c>
      <c r="N53" s="77" t="s">
        <v>2276</v>
      </c>
      <c r="O53" s="77" t="s">
        <v>2276</v>
      </c>
      <c r="P53" s="77" t="s">
        <v>2276</v>
      </c>
      <c r="Q53" s="21" t="s">
        <v>2276</v>
      </c>
      <c r="R53" s="21" t="s">
        <v>2276</v>
      </c>
      <c r="S53" s="77" t="s">
        <v>2276</v>
      </c>
      <c r="T53" s="77" t="s">
        <v>2276</v>
      </c>
      <c r="U53" s="87" t="s">
        <v>2276</v>
      </c>
      <c r="V53" s="87" t="s">
        <v>2276</v>
      </c>
      <c r="W53" s="87" t="s">
        <v>2276</v>
      </c>
      <c r="X53" s="87" t="s">
        <v>2276</v>
      </c>
      <c r="Y53" s="87" t="s">
        <v>2276</v>
      </c>
      <c r="Z53" s="3" t="s">
        <v>75</v>
      </c>
      <c r="AA53" s="3" t="s">
        <v>35</v>
      </c>
      <c r="AB53" s="3" t="s">
        <v>64</v>
      </c>
      <c r="AC53" s="4" t="s">
        <v>5053</v>
      </c>
      <c r="AD53" s="4" t="s">
        <v>2261</v>
      </c>
    </row>
    <row r="54" spans="1:30" ht="69.5" customHeight="1">
      <c r="A54" s="31" t="s">
        <v>284</v>
      </c>
      <c r="B54" s="3" t="s">
        <v>348</v>
      </c>
      <c r="C54" s="23" t="s">
        <v>24</v>
      </c>
      <c r="D54" s="3" t="s">
        <v>2659</v>
      </c>
      <c r="E54" s="4" t="s">
        <v>396</v>
      </c>
      <c r="F54" s="26" t="s">
        <v>28</v>
      </c>
      <c r="G54" s="11" t="s">
        <v>2276</v>
      </c>
      <c r="H54" s="3" t="s">
        <v>523</v>
      </c>
      <c r="I54" s="23"/>
      <c r="J54" s="77" t="s">
        <v>2276</v>
      </c>
      <c r="K54" s="77" t="s">
        <v>2276</v>
      </c>
      <c r="L54" s="77" t="s">
        <v>2276</v>
      </c>
      <c r="M54" s="21" t="s">
        <v>2276</v>
      </c>
      <c r="N54" s="77" t="s">
        <v>2276</v>
      </c>
      <c r="O54" s="77" t="s">
        <v>2276</v>
      </c>
      <c r="P54" s="77" t="s">
        <v>2276</v>
      </c>
      <c r="Q54" s="21" t="s">
        <v>2276</v>
      </c>
      <c r="R54" s="21" t="s">
        <v>2276</v>
      </c>
      <c r="S54" s="77" t="s">
        <v>2276</v>
      </c>
      <c r="T54" s="77" t="s">
        <v>2276</v>
      </c>
      <c r="U54" s="87" t="s">
        <v>2276</v>
      </c>
      <c r="V54" s="87" t="s">
        <v>2276</v>
      </c>
      <c r="W54" s="87" t="s">
        <v>2276</v>
      </c>
      <c r="X54" s="87" t="s">
        <v>2276</v>
      </c>
      <c r="Y54" s="87" t="s">
        <v>2276</v>
      </c>
      <c r="Z54" s="3" t="s">
        <v>75</v>
      </c>
      <c r="AA54" s="3" t="s">
        <v>35</v>
      </c>
      <c r="AB54" s="3" t="s">
        <v>64</v>
      </c>
      <c r="AC54" s="4" t="s">
        <v>5053</v>
      </c>
      <c r="AD54" s="4" t="s">
        <v>2261</v>
      </c>
    </row>
    <row r="55" spans="1:30" ht="69.5" customHeight="1">
      <c r="A55" s="31" t="s">
        <v>285</v>
      </c>
      <c r="B55" s="3" t="s">
        <v>349</v>
      </c>
      <c r="C55" s="23" t="s">
        <v>24</v>
      </c>
      <c r="D55" s="3" t="s">
        <v>2659</v>
      </c>
      <c r="E55" s="4" t="s">
        <v>396</v>
      </c>
      <c r="F55" s="26" t="s">
        <v>28</v>
      </c>
      <c r="G55" s="11" t="s">
        <v>2276</v>
      </c>
      <c r="H55" s="3" t="s">
        <v>523</v>
      </c>
      <c r="I55" s="23"/>
      <c r="J55" s="77" t="s">
        <v>2276</v>
      </c>
      <c r="K55" s="77" t="s">
        <v>2276</v>
      </c>
      <c r="L55" s="77" t="s">
        <v>2276</v>
      </c>
      <c r="M55" s="21" t="s">
        <v>2276</v>
      </c>
      <c r="N55" s="77" t="s">
        <v>2276</v>
      </c>
      <c r="O55" s="77" t="s">
        <v>2276</v>
      </c>
      <c r="P55" s="77" t="s">
        <v>2276</v>
      </c>
      <c r="Q55" s="21" t="s">
        <v>2276</v>
      </c>
      <c r="R55" s="21" t="s">
        <v>2276</v>
      </c>
      <c r="S55" s="77" t="s">
        <v>2276</v>
      </c>
      <c r="T55" s="77" t="s">
        <v>2276</v>
      </c>
      <c r="U55" s="87" t="s">
        <v>2276</v>
      </c>
      <c r="V55" s="87" t="s">
        <v>2276</v>
      </c>
      <c r="W55" s="87" t="s">
        <v>2276</v>
      </c>
      <c r="X55" s="87" t="s">
        <v>2276</v>
      </c>
      <c r="Y55" s="87" t="s">
        <v>2276</v>
      </c>
      <c r="Z55" s="3" t="s">
        <v>75</v>
      </c>
      <c r="AA55" s="3" t="s">
        <v>35</v>
      </c>
      <c r="AB55" s="3" t="s">
        <v>64</v>
      </c>
      <c r="AC55" s="4" t="s">
        <v>5053</v>
      </c>
      <c r="AD55" s="4" t="s">
        <v>2261</v>
      </c>
    </row>
    <row r="56" spans="1:30" ht="69.5" customHeight="1">
      <c r="A56" s="31" t="s">
        <v>286</v>
      </c>
      <c r="B56" s="3" t="s">
        <v>350</v>
      </c>
      <c r="C56" s="23" t="s">
        <v>24</v>
      </c>
      <c r="D56" s="3" t="s">
        <v>2659</v>
      </c>
      <c r="E56" s="4" t="s">
        <v>396</v>
      </c>
      <c r="F56" s="26" t="s">
        <v>28</v>
      </c>
      <c r="G56" s="11" t="s">
        <v>2276</v>
      </c>
      <c r="H56" s="3" t="s">
        <v>523</v>
      </c>
      <c r="I56" s="23"/>
      <c r="J56" s="77" t="s">
        <v>2276</v>
      </c>
      <c r="K56" s="77" t="s">
        <v>2276</v>
      </c>
      <c r="L56" s="77" t="s">
        <v>2276</v>
      </c>
      <c r="M56" s="21" t="s">
        <v>2276</v>
      </c>
      <c r="N56" s="77" t="s">
        <v>2276</v>
      </c>
      <c r="O56" s="77" t="s">
        <v>2276</v>
      </c>
      <c r="P56" s="77" t="s">
        <v>2276</v>
      </c>
      <c r="Q56" s="21" t="s">
        <v>2276</v>
      </c>
      <c r="R56" s="21" t="s">
        <v>2276</v>
      </c>
      <c r="S56" s="77" t="s">
        <v>2276</v>
      </c>
      <c r="T56" s="77" t="s">
        <v>2276</v>
      </c>
      <c r="U56" s="87" t="s">
        <v>2276</v>
      </c>
      <c r="V56" s="87" t="s">
        <v>2276</v>
      </c>
      <c r="W56" s="87" t="s">
        <v>2276</v>
      </c>
      <c r="X56" s="87" t="s">
        <v>2276</v>
      </c>
      <c r="Y56" s="87" t="s">
        <v>2276</v>
      </c>
      <c r="Z56" s="3" t="s">
        <v>75</v>
      </c>
      <c r="AA56" s="3" t="s">
        <v>35</v>
      </c>
      <c r="AB56" s="3" t="s">
        <v>64</v>
      </c>
      <c r="AC56" s="4" t="s">
        <v>5053</v>
      </c>
      <c r="AD56" s="4" t="s">
        <v>2261</v>
      </c>
    </row>
    <row r="57" spans="1:30" ht="69.5" customHeight="1">
      <c r="A57" s="31" t="s">
        <v>287</v>
      </c>
      <c r="B57" s="3" t="s">
        <v>351</v>
      </c>
      <c r="C57" s="23" t="s">
        <v>24</v>
      </c>
      <c r="D57" s="3" t="s">
        <v>2659</v>
      </c>
      <c r="E57" s="4" t="s">
        <v>396</v>
      </c>
      <c r="F57" s="26" t="s">
        <v>28</v>
      </c>
      <c r="G57" s="11" t="s">
        <v>2276</v>
      </c>
      <c r="H57" s="3" t="s">
        <v>523</v>
      </c>
      <c r="I57" s="23"/>
      <c r="J57" s="77" t="s">
        <v>2276</v>
      </c>
      <c r="K57" s="77" t="s">
        <v>2276</v>
      </c>
      <c r="L57" s="77" t="s">
        <v>2276</v>
      </c>
      <c r="M57" s="21" t="s">
        <v>2276</v>
      </c>
      <c r="N57" s="77" t="s">
        <v>2276</v>
      </c>
      <c r="O57" s="77" t="s">
        <v>2276</v>
      </c>
      <c r="P57" s="77" t="s">
        <v>2276</v>
      </c>
      <c r="Q57" s="21" t="s">
        <v>2276</v>
      </c>
      <c r="R57" s="21" t="s">
        <v>2276</v>
      </c>
      <c r="S57" s="77" t="s">
        <v>2276</v>
      </c>
      <c r="T57" s="77" t="s">
        <v>2276</v>
      </c>
      <c r="U57" s="87" t="s">
        <v>2276</v>
      </c>
      <c r="V57" s="87" t="s">
        <v>2276</v>
      </c>
      <c r="W57" s="87" t="s">
        <v>2276</v>
      </c>
      <c r="X57" s="87" t="s">
        <v>2276</v>
      </c>
      <c r="Y57" s="87" t="s">
        <v>2276</v>
      </c>
      <c r="Z57" s="3" t="s">
        <v>75</v>
      </c>
      <c r="AA57" s="3" t="s">
        <v>35</v>
      </c>
      <c r="AB57" s="3" t="s">
        <v>64</v>
      </c>
      <c r="AC57" s="4" t="s">
        <v>5053</v>
      </c>
      <c r="AD57" s="4" t="s">
        <v>2261</v>
      </c>
    </row>
    <row r="58" spans="1:30" ht="69.5" customHeight="1">
      <c r="A58" s="31" t="s">
        <v>288</v>
      </c>
      <c r="B58" s="3" t="s">
        <v>352</v>
      </c>
      <c r="C58" s="23" t="s">
        <v>24</v>
      </c>
      <c r="D58" s="3" t="s">
        <v>2659</v>
      </c>
      <c r="E58" s="4" t="s">
        <v>396</v>
      </c>
      <c r="F58" s="26" t="s">
        <v>28</v>
      </c>
      <c r="G58" s="11" t="s">
        <v>2276</v>
      </c>
      <c r="H58" s="3" t="s">
        <v>523</v>
      </c>
      <c r="I58" s="23"/>
      <c r="J58" s="77" t="s">
        <v>2276</v>
      </c>
      <c r="K58" s="77" t="s">
        <v>2276</v>
      </c>
      <c r="L58" s="77" t="s">
        <v>2276</v>
      </c>
      <c r="M58" s="21" t="s">
        <v>2276</v>
      </c>
      <c r="N58" s="77" t="s">
        <v>2276</v>
      </c>
      <c r="O58" s="77" t="s">
        <v>2276</v>
      </c>
      <c r="P58" s="77" t="s">
        <v>2276</v>
      </c>
      <c r="Q58" s="21" t="s">
        <v>2276</v>
      </c>
      <c r="R58" s="21" t="s">
        <v>2276</v>
      </c>
      <c r="S58" s="77" t="s">
        <v>2276</v>
      </c>
      <c r="T58" s="77" t="s">
        <v>2276</v>
      </c>
      <c r="U58" s="87" t="s">
        <v>2276</v>
      </c>
      <c r="V58" s="87" t="s">
        <v>2276</v>
      </c>
      <c r="W58" s="87" t="s">
        <v>2276</v>
      </c>
      <c r="X58" s="87" t="s">
        <v>2276</v>
      </c>
      <c r="Y58" s="87" t="s">
        <v>2276</v>
      </c>
      <c r="Z58" s="3" t="s">
        <v>75</v>
      </c>
      <c r="AA58" s="3" t="s">
        <v>35</v>
      </c>
      <c r="AB58" s="3" t="s">
        <v>64</v>
      </c>
      <c r="AC58" s="4" t="s">
        <v>5053</v>
      </c>
      <c r="AD58" s="4" t="s">
        <v>2261</v>
      </c>
    </row>
    <row r="59" spans="1:30" ht="69.5" customHeight="1">
      <c r="A59" s="31" t="s">
        <v>289</v>
      </c>
      <c r="B59" s="3" t="s">
        <v>353</v>
      </c>
      <c r="C59" s="23" t="s">
        <v>24</v>
      </c>
      <c r="D59" s="3" t="s">
        <v>2659</v>
      </c>
      <c r="E59" s="4" t="s">
        <v>396</v>
      </c>
      <c r="F59" s="26" t="s">
        <v>28</v>
      </c>
      <c r="G59" s="11" t="s">
        <v>2276</v>
      </c>
      <c r="H59" s="3" t="s">
        <v>523</v>
      </c>
      <c r="I59" s="23"/>
      <c r="J59" s="77" t="s">
        <v>2276</v>
      </c>
      <c r="K59" s="77" t="s">
        <v>2276</v>
      </c>
      <c r="L59" s="77" t="s">
        <v>2276</v>
      </c>
      <c r="M59" s="21" t="s">
        <v>2276</v>
      </c>
      <c r="N59" s="77" t="s">
        <v>2276</v>
      </c>
      <c r="O59" s="77" t="s">
        <v>2276</v>
      </c>
      <c r="P59" s="77" t="s">
        <v>2276</v>
      </c>
      <c r="Q59" s="21" t="s">
        <v>2276</v>
      </c>
      <c r="R59" s="21" t="s">
        <v>2276</v>
      </c>
      <c r="S59" s="77" t="s">
        <v>2276</v>
      </c>
      <c r="T59" s="77" t="s">
        <v>2276</v>
      </c>
      <c r="U59" s="87" t="s">
        <v>2276</v>
      </c>
      <c r="V59" s="87" t="s">
        <v>2276</v>
      </c>
      <c r="W59" s="87" t="s">
        <v>2276</v>
      </c>
      <c r="X59" s="87" t="s">
        <v>2276</v>
      </c>
      <c r="Y59" s="87" t="s">
        <v>2276</v>
      </c>
      <c r="Z59" s="3" t="s">
        <v>75</v>
      </c>
      <c r="AA59" s="3" t="s">
        <v>35</v>
      </c>
      <c r="AB59" s="3" t="s">
        <v>64</v>
      </c>
      <c r="AC59" s="4" t="s">
        <v>5053</v>
      </c>
      <c r="AD59" s="4" t="s">
        <v>2261</v>
      </c>
    </row>
    <row r="60" spans="1:30" ht="69.5" customHeight="1">
      <c r="A60" s="31" t="s">
        <v>294</v>
      </c>
      <c r="B60" s="3" t="s">
        <v>354</v>
      </c>
      <c r="C60" s="23" t="s">
        <v>24</v>
      </c>
      <c r="D60" s="3" t="s">
        <v>2659</v>
      </c>
      <c r="E60" s="4" t="s">
        <v>396</v>
      </c>
      <c r="F60" s="26" t="s">
        <v>28</v>
      </c>
      <c r="G60" s="11" t="s">
        <v>2276</v>
      </c>
      <c r="H60" s="3" t="s">
        <v>523</v>
      </c>
      <c r="I60" s="23"/>
      <c r="J60" s="77" t="s">
        <v>2276</v>
      </c>
      <c r="K60" s="77" t="s">
        <v>2276</v>
      </c>
      <c r="L60" s="77" t="s">
        <v>2276</v>
      </c>
      <c r="M60" s="21" t="s">
        <v>2276</v>
      </c>
      <c r="N60" s="77" t="s">
        <v>2276</v>
      </c>
      <c r="O60" s="77" t="s">
        <v>2276</v>
      </c>
      <c r="P60" s="77" t="s">
        <v>2276</v>
      </c>
      <c r="Q60" s="21" t="s">
        <v>2276</v>
      </c>
      <c r="R60" s="21" t="s">
        <v>2276</v>
      </c>
      <c r="S60" s="77" t="s">
        <v>2276</v>
      </c>
      <c r="T60" s="77" t="s">
        <v>2276</v>
      </c>
      <c r="U60" s="87" t="s">
        <v>2276</v>
      </c>
      <c r="V60" s="87" t="s">
        <v>2276</v>
      </c>
      <c r="W60" s="87" t="s">
        <v>2276</v>
      </c>
      <c r="X60" s="87" t="s">
        <v>2276</v>
      </c>
      <c r="Y60" s="87" t="s">
        <v>2276</v>
      </c>
      <c r="Z60" s="3" t="s">
        <v>75</v>
      </c>
      <c r="AA60" s="3" t="s">
        <v>35</v>
      </c>
      <c r="AB60" s="3" t="s">
        <v>64</v>
      </c>
      <c r="AC60" s="4" t="s">
        <v>5053</v>
      </c>
      <c r="AD60" s="4" t="s">
        <v>2261</v>
      </c>
    </row>
    <row r="61" spans="1:30" ht="69.5" customHeight="1">
      <c r="A61" s="31" t="s">
        <v>295</v>
      </c>
      <c r="B61" s="3" t="s">
        <v>355</v>
      </c>
      <c r="C61" s="23" t="s">
        <v>24</v>
      </c>
      <c r="D61" s="3" t="s">
        <v>2659</v>
      </c>
      <c r="E61" s="4" t="s">
        <v>396</v>
      </c>
      <c r="F61" s="26" t="s">
        <v>28</v>
      </c>
      <c r="G61" s="11" t="s">
        <v>2276</v>
      </c>
      <c r="H61" s="3" t="s">
        <v>523</v>
      </c>
      <c r="I61" s="23"/>
      <c r="J61" s="77" t="s">
        <v>2276</v>
      </c>
      <c r="K61" s="77" t="s">
        <v>2276</v>
      </c>
      <c r="L61" s="77" t="s">
        <v>2276</v>
      </c>
      <c r="M61" s="21" t="s">
        <v>2276</v>
      </c>
      <c r="N61" s="77" t="s">
        <v>2276</v>
      </c>
      <c r="O61" s="77" t="s">
        <v>2276</v>
      </c>
      <c r="P61" s="77" t="s">
        <v>2276</v>
      </c>
      <c r="Q61" s="21" t="s">
        <v>2276</v>
      </c>
      <c r="R61" s="21" t="s">
        <v>2276</v>
      </c>
      <c r="S61" s="77" t="s">
        <v>2276</v>
      </c>
      <c r="T61" s="77" t="s">
        <v>2276</v>
      </c>
      <c r="U61" s="87" t="s">
        <v>2276</v>
      </c>
      <c r="V61" s="87" t="s">
        <v>2276</v>
      </c>
      <c r="W61" s="87" t="s">
        <v>2276</v>
      </c>
      <c r="X61" s="87" t="s">
        <v>2276</v>
      </c>
      <c r="Y61" s="87" t="s">
        <v>2276</v>
      </c>
      <c r="Z61" s="3" t="s">
        <v>75</v>
      </c>
      <c r="AA61" s="3" t="s">
        <v>35</v>
      </c>
      <c r="AB61" s="3" t="s">
        <v>64</v>
      </c>
      <c r="AC61" s="4" t="s">
        <v>5053</v>
      </c>
      <c r="AD61" s="4" t="s">
        <v>2261</v>
      </c>
    </row>
    <row r="62" spans="1:30" ht="69.5" customHeight="1">
      <c r="A62" s="31" t="s">
        <v>296</v>
      </c>
      <c r="B62" s="3" t="s">
        <v>356</v>
      </c>
      <c r="C62" s="23" t="s">
        <v>24</v>
      </c>
      <c r="D62" s="3" t="s">
        <v>2659</v>
      </c>
      <c r="E62" s="4" t="s">
        <v>396</v>
      </c>
      <c r="F62" s="26" t="s">
        <v>28</v>
      </c>
      <c r="G62" s="11" t="s">
        <v>2276</v>
      </c>
      <c r="H62" s="3" t="s">
        <v>523</v>
      </c>
      <c r="I62" s="23"/>
      <c r="J62" s="77" t="s">
        <v>2276</v>
      </c>
      <c r="K62" s="77" t="s">
        <v>2276</v>
      </c>
      <c r="L62" s="77" t="s">
        <v>2276</v>
      </c>
      <c r="M62" s="21" t="s">
        <v>2276</v>
      </c>
      <c r="N62" s="77" t="s">
        <v>2276</v>
      </c>
      <c r="O62" s="77" t="s">
        <v>2276</v>
      </c>
      <c r="P62" s="77" t="s">
        <v>2276</v>
      </c>
      <c r="Q62" s="21" t="s">
        <v>2276</v>
      </c>
      <c r="R62" s="21" t="s">
        <v>2276</v>
      </c>
      <c r="S62" s="77" t="s">
        <v>2276</v>
      </c>
      <c r="T62" s="77" t="s">
        <v>2276</v>
      </c>
      <c r="U62" s="87" t="s">
        <v>2276</v>
      </c>
      <c r="V62" s="87" t="s">
        <v>2276</v>
      </c>
      <c r="W62" s="87" t="s">
        <v>2276</v>
      </c>
      <c r="X62" s="87" t="s">
        <v>2276</v>
      </c>
      <c r="Y62" s="87" t="s">
        <v>2276</v>
      </c>
      <c r="Z62" s="3" t="s">
        <v>75</v>
      </c>
      <c r="AA62" s="3" t="s">
        <v>35</v>
      </c>
      <c r="AB62" s="3" t="s">
        <v>64</v>
      </c>
      <c r="AC62" s="4" t="s">
        <v>5053</v>
      </c>
      <c r="AD62" s="4" t="s">
        <v>2261</v>
      </c>
    </row>
    <row r="63" spans="1:30" ht="69.5" customHeight="1">
      <c r="A63" s="31" t="s">
        <v>297</v>
      </c>
      <c r="B63" s="3" t="s">
        <v>357</v>
      </c>
      <c r="C63" s="23" t="s">
        <v>24</v>
      </c>
      <c r="D63" s="3" t="s">
        <v>2659</v>
      </c>
      <c r="E63" s="4" t="s">
        <v>396</v>
      </c>
      <c r="F63" s="26" t="s">
        <v>28</v>
      </c>
      <c r="G63" s="11" t="s">
        <v>2276</v>
      </c>
      <c r="H63" s="3" t="s">
        <v>523</v>
      </c>
      <c r="I63" s="23"/>
      <c r="J63" s="77" t="s">
        <v>2276</v>
      </c>
      <c r="K63" s="77" t="s">
        <v>2276</v>
      </c>
      <c r="L63" s="77" t="s">
        <v>2276</v>
      </c>
      <c r="M63" s="21" t="s">
        <v>2276</v>
      </c>
      <c r="N63" s="77" t="s">
        <v>2276</v>
      </c>
      <c r="O63" s="77" t="s">
        <v>2276</v>
      </c>
      <c r="P63" s="77" t="s">
        <v>2276</v>
      </c>
      <c r="Q63" s="21" t="s">
        <v>2276</v>
      </c>
      <c r="R63" s="21" t="s">
        <v>2276</v>
      </c>
      <c r="S63" s="77" t="s">
        <v>2276</v>
      </c>
      <c r="T63" s="77" t="s">
        <v>2276</v>
      </c>
      <c r="U63" s="87" t="s">
        <v>2276</v>
      </c>
      <c r="V63" s="87" t="s">
        <v>2276</v>
      </c>
      <c r="W63" s="87" t="s">
        <v>2276</v>
      </c>
      <c r="X63" s="87" t="s">
        <v>2276</v>
      </c>
      <c r="Y63" s="87" t="s">
        <v>2276</v>
      </c>
      <c r="Z63" s="3" t="s">
        <v>75</v>
      </c>
      <c r="AA63" s="3" t="s">
        <v>35</v>
      </c>
      <c r="AB63" s="3" t="s">
        <v>64</v>
      </c>
      <c r="AC63" s="4" t="s">
        <v>5053</v>
      </c>
      <c r="AD63" s="4" t="s">
        <v>2261</v>
      </c>
    </row>
    <row r="64" spans="1:30" ht="69.5" customHeight="1">
      <c r="A64" s="31" t="s">
        <v>298</v>
      </c>
      <c r="B64" s="3" t="s">
        <v>358</v>
      </c>
      <c r="C64" s="23" t="s">
        <v>24</v>
      </c>
      <c r="D64" s="3" t="s">
        <v>2659</v>
      </c>
      <c r="E64" s="4" t="s">
        <v>396</v>
      </c>
      <c r="F64" s="26" t="s">
        <v>28</v>
      </c>
      <c r="G64" s="11" t="s">
        <v>2276</v>
      </c>
      <c r="H64" s="3" t="s">
        <v>523</v>
      </c>
      <c r="I64" s="23"/>
      <c r="J64" s="77" t="s">
        <v>2276</v>
      </c>
      <c r="K64" s="77" t="s">
        <v>2276</v>
      </c>
      <c r="L64" s="77" t="s">
        <v>2276</v>
      </c>
      <c r="M64" s="21" t="s">
        <v>2276</v>
      </c>
      <c r="N64" s="77" t="s">
        <v>2276</v>
      </c>
      <c r="O64" s="77" t="s">
        <v>2276</v>
      </c>
      <c r="P64" s="77" t="s">
        <v>2276</v>
      </c>
      <c r="Q64" s="21" t="s">
        <v>2276</v>
      </c>
      <c r="R64" s="21" t="s">
        <v>2276</v>
      </c>
      <c r="S64" s="77" t="s">
        <v>2276</v>
      </c>
      <c r="T64" s="77" t="s">
        <v>2276</v>
      </c>
      <c r="U64" s="87" t="s">
        <v>2276</v>
      </c>
      <c r="V64" s="87" t="s">
        <v>2276</v>
      </c>
      <c r="W64" s="87" t="s">
        <v>2276</v>
      </c>
      <c r="X64" s="87" t="s">
        <v>2276</v>
      </c>
      <c r="Y64" s="87" t="s">
        <v>2276</v>
      </c>
      <c r="Z64" s="3" t="s">
        <v>75</v>
      </c>
      <c r="AA64" s="3" t="s">
        <v>35</v>
      </c>
      <c r="AB64" s="3" t="s">
        <v>64</v>
      </c>
      <c r="AC64" s="4" t="s">
        <v>5053</v>
      </c>
      <c r="AD64" s="4" t="s">
        <v>2261</v>
      </c>
    </row>
    <row r="65" spans="1:30" ht="69.5" customHeight="1">
      <c r="A65" s="31" t="s">
        <v>299</v>
      </c>
      <c r="B65" s="3" t="s">
        <v>359</v>
      </c>
      <c r="C65" s="23" t="s">
        <v>24</v>
      </c>
      <c r="D65" s="3" t="s">
        <v>2659</v>
      </c>
      <c r="E65" s="4" t="s">
        <v>396</v>
      </c>
      <c r="F65" s="26" t="s">
        <v>28</v>
      </c>
      <c r="G65" s="11" t="s">
        <v>2276</v>
      </c>
      <c r="H65" s="3" t="s">
        <v>523</v>
      </c>
      <c r="I65" s="23"/>
      <c r="J65" s="77" t="s">
        <v>2276</v>
      </c>
      <c r="K65" s="77" t="s">
        <v>2276</v>
      </c>
      <c r="L65" s="77" t="s">
        <v>2276</v>
      </c>
      <c r="M65" s="21" t="s">
        <v>2276</v>
      </c>
      <c r="N65" s="77" t="s">
        <v>2276</v>
      </c>
      <c r="O65" s="77" t="s">
        <v>2276</v>
      </c>
      <c r="P65" s="77" t="s">
        <v>2276</v>
      </c>
      <c r="Q65" s="21" t="s">
        <v>2276</v>
      </c>
      <c r="R65" s="21" t="s">
        <v>2276</v>
      </c>
      <c r="S65" s="77" t="s">
        <v>2276</v>
      </c>
      <c r="T65" s="77" t="s">
        <v>2276</v>
      </c>
      <c r="U65" s="87" t="s">
        <v>2276</v>
      </c>
      <c r="V65" s="87" t="s">
        <v>2276</v>
      </c>
      <c r="W65" s="87" t="s">
        <v>2276</v>
      </c>
      <c r="X65" s="87" t="s">
        <v>2276</v>
      </c>
      <c r="Y65" s="87" t="s">
        <v>2276</v>
      </c>
      <c r="Z65" s="3" t="s">
        <v>75</v>
      </c>
      <c r="AA65" s="3" t="s">
        <v>35</v>
      </c>
      <c r="AB65" s="3" t="s">
        <v>64</v>
      </c>
      <c r="AC65" s="4" t="s">
        <v>5053</v>
      </c>
      <c r="AD65" s="4" t="s">
        <v>2261</v>
      </c>
    </row>
    <row r="66" spans="1:30" ht="69.5" customHeight="1">
      <c r="A66" s="31" t="s">
        <v>300</v>
      </c>
      <c r="B66" s="3" t="s">
        <v>360</v>
      </c>
      <c r="C66" s="23" t="s">
        <v>24</v>
      </c>
      <c r="D66" s="3" t="s">
        <v>2659</v>
      </c>
      <c r="E66" s="4" t="s">
        <v>396</v>
      </c>
      <c r="F66" s="26" t="s">
        <v>28</v>
      </c>
      <c r="G66" s="11" t="s">
        <v>2276</v>
      </c>
      <c r="H66" s="3" t="s">
        <v>523</v>
      </c>
      <c r="I66" s="23"/>
      <c r="J66" s="77" t="s">
        <v>2276</v>
      </c>
      <c r="K66" s="77" t="s">
        <v>2276</v>
      </c>
      <c r="L66" s="77" t="s">
        <v>2276</v>
      </c>
      <c r="M66" s="21" t="s">
        <v>2276</v>
      </c>
      <c r="N66" s="77" t="s">
        <v>2276</v>
      </c>
      <c r="O66" s="77" t="s">
        <v>2276</v>
      </c>
      <c r="P66" s="77" t="s">
        <v>2276</v>
      </c>
      <c r="Q66" s="21" t="s">
        <v>2276</v>
      </c>
      <c r="R66" s="21" t="s">
        <v>2276</v>
      </c>
      <c r="S66" s="77" t="s">
        <v>2276</v>
      </c>
      <c r="T66" s="77" t="s">
        <v>2276</v>
      </c>
      <c r="U66" s="87" t="s">
        <v>2276</v>
      </c>
      <c r="V66" s="87" t="s">
        <v>2276</v>
      </c>
      <c r="W66" s="87" t="s">
        <v>2276</v>
      </c>
      <c r="X66" s="87" t="s">
        <v>2276</v>
      </c>
      <c r="Y66" s="87" t="s">
        <v>2276</v>
      </c>
      <c r="Z66" s="3" t="s">
        <v>75</v>
      </c>
      <c r="AA66" s="3" t="s">
        <v>35</v>
      </c>
      <c r="AB66" s="3" t="s">
        <v>64</v>
      </c>
      <c r="AC66" s="4" t="s">
        <v>5053</v>
      </c>
      <c r="AD66" s="4" t="s">
        <v>2261</v>
      </c>
    </row>
    <row r="67" spans="1:30" ht="69.5" customHeight="1">
      <c r="A67" s="31" t="s">
        <v>301</v>
      </c>
      <c r="B67" s="3" t="s">
        <v>361</v>
      </c>
      <c r="C67" s="23" t="s">
        <v>24</v>
      </c>
      <c r="D67" s="3" t="s">
        <v>2659</v>
      </c>
      <c r="E67" s="4" t="s">
        <v>396</v>
      </c>
      <c r="F67" s="26" t="s">
        <v>28</v>
      </c>
      <c r="G67" s="11" t="s">
        <v>2276</v>
      </c>
      <c r="H67" s="3" t="s">
        <v>523</v>
      </c>
      <c r="I67" s="23"/>
      <c r="J67" s="77" t="s">
        <v>2276</v>
      </c>
      <c r="K67" s="77" t="s">
        <v>2276</v>
      </c>
      <c r="L67" s="77" t="s">
        <v>2276</v>
      </c>
      <c r="M67" s="21" t="s">
        <v>2276</v>
      </c>
      <c r="N67" s="77" t="s">
        <v>2276</v>
      </c>
      <c r="O67" s="77" t="s">
        <v>2276</v>
      </c>
      <c r="P67" s="77" t="s">
        <v>2276</v>
      </c>
      <c r="Q67" s="21" t="s">
        <v>2276</v>
      </c>
      <c r="R67" s="21" t="s">
        <v>2276</v>
      </c>
      <c r="S67" s="77" t="s">
        <v>2276</v>
      </c>
      <c r="T67" s="77" t="s">
        <v>2276</v>
      </c>
      <c r="U67" s="87" t="s">
        <v>2276</v>
      </c>
      <c r="V67" s="87" t="s">
        <v>2276</v>
      </c>
      <c r="W67" s="87" t="s">
        <v>2276</v>
      </c>
      <c r="X67" s="87" t="s">
        <v>2276</v>
      </c>
      <c r="Y67" s="87" t="s">
        <v>2276</v>
      </c>
      <c r="Z67" s="3" t="s">
        <v>75</v>
      </c>
      <c r="AA67" s="3" t="s">
        <v>35</v>
      </c>
      <c r="AB67" s="3" t="s">
        <v>64</v>
      </c>
      <c r="AC67" s="4" t="s">
        <v>5053</v>
      </c>
      <c r="AD67" s="4" t="s">
        <v>2261</v>
      </c>
    </row>
    <row r="68" spans="1:30" ht="69.5" customHeight="1">
      <c r="A68" s="31" t="s">
        <v>302</v>
      </c>
      <c r="B68" s="3" t="s">
        <v>362</v>
      </c>
      <c r="C68" s="23" t="s">
        <v>24</v>
      </c>
      <c r="D68" s="3" t="s">
        <v>2659</v>
      </c>
      <c r="E68" s="4" t="s">
        <v>396</v>
      </c>
      <c r="F68" s="26" t="s">
        <v>28</v>
      </c>
      <c r="G68" s="11" t="s">
        <v>2276</v>
      </c>
      <c r="H68" s="3" t="s">
        <v>523</v>
      </c>
      <c r="I68" s="23"/>
      <c r="J68" s="77" t="s">
        <v>2276</v>
      </c>
      <c r="K68" s="77" t="s">
        <v>2276</v>
      </c>
      <c r="L68" s="77" t="s">
        <v>2276</v>
      </c>
      <c r="M68" s="21" t="s">
        <v>2276</v>
      </c>
      <c r="N68" s="77" t="s">
        <v>2276</v>
      </c>
      <c r="O68" s="77" t="s">
        <v>2276</v>
      </c>
      <c r="P68" s="77" t="s">
        <v>2276</v>
      </c>
      <c r="Q68" s="21" t="s">
        <v>2276</v>
      </c>
      <c r="R68" s="21" t="s">
        <v>2276</v>
      </c>
      <c r="S68" s="77" t="s">
        <v>2276</v>
      </c>
      <c r="T68" s="77" t="s">
        <v>2276</v>
      </c>
      <c r="U68" s="87" t="s">
        <v>2276</v>
      </c>
      <c r="V68" s="87" t="s">
        <v>2276</v>
      </c>
      <c r="W68" s="87" t="s">
        <v>2276</v>
      </c>
      <c r="X68" s="87" t="s">
        <v>2276</v>
      </c>
      <c r="Y68" s="87" t="s">
        <v>2276</v>
      </c>
      <c r="Z68" s="3" t="s">
        <v>75</v>
      </c>
      <c r="AA68" s="3" t="s">
        <v>35</v>
      </c>
      <c r="AB68" s="3" t="s">
        <v>64</v>
      </c>
      <c r="AC68" s="4" t="s">
        <v>5053</v>
      </c>
      <c r="AD68" s="4" t="s">
        <v>2261</v>
      </c>
    </row>
    <row r="69" spans="1:30" ht="69.5" customHeight="1">
      <c r="A69" s="31" t="s">
        <v>303</v>
      </c>
      <c r="B69" s="3" t="s">
        <v>363</v>
      </c>
      <c r="C69" s="23" t="s">
        <v>24</v>
      </c>
      <c r="D69" s="3" t="s">
        <v>2659</v>
      </c>
      <c r="E69" s="4" t="s">
        <v>396</v>
      </c>
      <c r="F69" s="26" t="s">
        <v>28</v>
      </c>
      <c r="G69" s="11" t="s">
        <v>2276</v>
      </c>
      <c r="H69" s="3" t="s">
        <v>523</v>
      </c>
      <c r="I69" s="23"/>
      <c r="J69" s="77" t="s">
        <v>2276</v>
      </c>
      <c r="K69" s="77" t="s">
        <v>2276</v>
      </c>
      <c r="L69" s="77" t="s">
        <v>2276</v>
      </c>
      <c r="M69" s="21" t="s">
        <v>2276</v>
      </c>
      <c r="N69" s="77" t="s">
        <v>2276</v>
      </c>
      <c r="O69" s="77" t="s">
        <v>2276</v>
      </c>
      <c r="P69" s="77" t="s">
        <v>2276</v>
      </c>
      <c r="Q69" s="21" t="s">
        <v>2276</v>
      </c>
      <c r="R69" s="21" t="s">
        <v>2276</v>
      </c>
      <c r="S69" s="77" t="s">
        <v>2276</v>
      </c>
      <c r="T69" s="77" t="s">
        <v>2276</v>
      </c>
      <c r="U69" s="87" t="s">
        <v>2276</v>
      </c>
      <c r="V69" s="87" t="s">
        <v>2276</v>
      </c>
      <c r="W69" s="87" t="s">
        <v>2276</v>
      </c>
      <c r="X69" s="87" t="s">
        <v>2276</v>
      </c>
      <c r="Y69" s="87" t="s">
        <v>2276</v>
      </c>
      <c r="Z69" s="3" t="s">
        <v>75</v>
      </c>
      <c r="AA69" s="3" t="s">
        <v>35</v>
      </c>
      <c r="AB69" s="3" t="s">
        <v>64</v>
      </c>
      <c r="AC69" s="4" t="s">
        <v>5053</v>
      </c>
      <c r="AD69" s="4" t="s">
        <v>2261</v>
      </c>
    </row>
    <row r="70" spans="1:30" ht="69.5" customHeight="1">
      <c r="A70" s="31" t="s">
        <v>304</v>
      </c>
      <c r="B70" s="3" t="s">
        <v>364</v>
      </c>
      <c r="C70" s="23" t="s">
        <v>24</v>
      </c>
      <c r="D70" s="3" t="s">
        <v>2659</v>
      </c>
      <c r="E70" s="4" t="s">
        <v>396</v>
      </c>
      <c r="F70" s="26" t="s">
        <v>28</v>
      </c>
      <c r="G70" s="11" t="s">
        <v>2276</v>
      </c>
      <c r="H70" s="3" t="s">
        <v>523</v>
      </c>
      <c r="I70" s="23"/>
      <c r="J70" s="77" t="s">
        <v>2276</v>
      </c>
      <c r="K70" s="77" t="s">
        <v>2276</v>
      </c>
      <c r="L70" s="77" t="s">
        <v>2276</v>
      </c>
      <c r="M70" s="21" t="s">
        <v>2276</v>
      </c>
      <c r="N70" s="77" t="s">
        <v>2276</v>
      </c>
      <c r="O70" s="77" t="s">
        <v>2276</v>
      </c>
      <c r="P70" s="77" t="s">
        <v>2276</v>
      </c>
      <c r="Q70" s="21" t="s">
        <v>2276</v>
      </c>
      <c r="R70" s="21" t="s">
        <v>2276</v>
      </c>
      <c r="S70" s="77" t="s">
        <v>2276</v>
      </c>
      <c r="T70" s="77" t="s">
        <v>2276</v>
      </c>
      <c r="U70" s="87" t="s">
        <v>2276</v>
      </c>
      <c r="V70" s="87" t="s">
        <v>2276</v>
      </c>
      <c r="W70" s="87" t="s">
        <v>2276</v>
      </c>
      <c r="X70" s="87" t="s">
        <v>2276</v>
      </c>
      <c r="Y70" s="87" t="s">
        <v>2276</v>
      </c>
      <c r="Z70" s="3" t="s">
        <v>75</v>
      </c>
      <c r="AA70" s="3" t="s">
        <v>35</v>
      </c>
      <c r="AB70" s="3" t="s">
        <v>64</v>
      </c>
      <c r="AC70" s="4" t="s">
        <v>5053</v>
      </c>
      <c r="AD70" s="4" t="s">
        <v>2261</v>
      </c>
    </row>
    <row r="71" spans="1:30" ht="69.5" customHeight="1">
      <c r="A71" s="31" t="s">
        <v>305</v>
      </c>
      <c r="B71" s="3" t="s">
        <v>365</v>
      </c>
      <c r="C71" s="23" t="s">
        <v>24</v>
      </c>
      <c r="D71" s="3" t="s">
        <v>2659</v>
      </c>
      <c r="E71" s="4" t="s">
        <v>396</v>
      </c>
      <c r="F71" s="26" t="s">
        <v>28</v>
      </c>
      <c r="G71" s="11" t="s">
        <v>2276</v>
      </c>
      <c r="H71" s="3" t="s">
        <v>523</v>
      </c>
      <c r="I71" s="23"/>
      <c r="J71" s="77" t="s">
        <v>2276</v>
      </c>
      <c r="K71" s="77" t="s">
        <v>2276</v>
      </c>
      <c r="L71" s="77" t="s">
        <v>2276</v>
      </c>
      <c r="M71" s="21" t="s">
        <v>2276</v>
      </c>
      <c r="N71" s="77" t="s">
        <v>2276</v>
      </c>
      <c r="O71" s="77" t="s">
        <v>2276</v>
      </c>
      <c r="P71" s="77" t="s">
        <v>2276</v>
      </c>
      <c r="Q71" s="21" t="s">
        <v>2276</v>
      </c>
      <c r="R71" s="21" t="s">
        <v>2276</v>
      </c>
      <c r="S71" s="77" t="s">
        <v>2276</v>
      </c>
      <c r="T71" s="77" t="s">
        <v>2276</v>
      </c>
      <c r="U71" s="87" t="s">
        <v>2276</v>
      </c>
      <c r="V71" s="87" t="s">
        <v>2276</v>
      </c>
      <c r="W71" s="87" t="s">
        <v>2276</v>
      </c>
      <c r="X71" s="87" t="s">
        <v>2276</v>
      </c>
      <c r="Y71" s="87" t="s">
        <v>2276</v>
      </c>
      <c r="Z71" s="3" t="s">
        <v>75</v>
      </c>
      <c r="AA71" s="3" t="s">
        <v>35</v>
      </c>
      <c r="AB71" s="3" t="s">
        <v>64</v>
      </c>
      <c r="AC71" s="4" t="s">
        <v>5053</v>
      </c>
      <c r="AD71" s="4" t="s">
        <v>2261</v>
      </c>
    </row>
    <row r="72" spans="1:30" ht="69.5" customHeight="1">
      <c r="A72" s="31" t="s">
        <v>306</v>
      </c>
      <c r="B72" s="3" t="s">
        <v>366</v>
      </c>
      <c r="C72" s="23" t="s">
        <v>24</v>
      </c>
      <c r="D72" s="3" t="s">
        <v>2659</v>
      </c>
      <c r="E72" s="4" t="s">
        <v>396</v>
      </c>
      <c r="F72" s="26" t="s">
        <v>28</v>
      </c>
      <c r="G72" s="11" t="s">
        <v>2276</v>
      </c>
      <c r="H72" s="3" t="s">
        <v>523</v>
      </c>
      <c r="I72" s="23"/>
      <c r="J72" s="77" t="s">
        <v>2276</v>
      </c>
      <c r="K72" s="77" t="s">
        <v>2276</v>
      </c>
      <c r="L72" s="77" t="s">
        <v>2276</v>
      </c>
      <c r="M72" s="21" t="s">
        <v>2276</v>
      </c>
      <c r="N72" s="77" t="s">
        <v>2276</v>
      </c>
      <c r="O72" s="77" t="s">
        <v>2276</v>
      </c>
      <c r="P72" s="77" t="s">
        <v>2276</v>
      </c>
      <c r="Q72" s="21" t="s">
        <v>2276</v>
      </c>
      <c r="R72" s="21" t="s">
        <v>2276</v>
      </c>
      <c r="S72" s="77" t="s">
        <v>2276</v>
      </c>
      <c r="T72" s="77" t="s">
        <v>2276</v>
      </c>
      <c r="U72" s="87" t="s">
        <v>2276</v>
      </c>
      <c r="V72" s="87" t="s">
        <v>2276</v>
      </c>
      <c r="W72" s="87" t="s">
        <v>2276</v>
      </c>
      <c r="X72" s="87" t="s">
        <v>2276</v>
      </c>
      <c r="Y72" s="87" t="s">
        <v>2276</v>
      </c>
      <c r="Z72" s="3" t="s">
        <v>75</v>
      </c>
      <c r="AA72" s="3" t="s">
        <v>35</v>
      </c>
      <c r="AB72" s="3" t="s">
        <v>64</v>
      </c>
      <c r="AC72" s="4" t="s">
        <v>5053</v>
      </c>
      <c r="AD72" s="4" t="s">
        <v>2261</v>
      </c>
    </row>
    <row r="73" spans="1:30" ht="69.5" customHeight="1">
      <c r="A73" s="31" t="s">
        <v>307</v>
      </c>
      <c r="B73" s="3" t="s">
        <v>367</v>
      </c>
      <c r="C73" s="23" t="s">
        <v>24</v>
      </c>
      <c r="D73" s="3" t="s">
        <v>2659</v>
      </c>
      <c r="E73" s="4" t="s">
        <v>396</v>
      </c>
      <c r="F73" s="26" t="s">
        <v>28</v>
      </c>
      <c r="G73" s="11" t="s">
        <v>2276</v>
      </c>
      <c r="H73" s="3" t="s">
        <v>523</v>
      </c>
      <c r="I73" s="23"/>
      <c r="J73" s="77" t="s">
        <v>2276</v>
      </c>
      <c r="K73" s="77" t="s">
        <v>2276</v>
      </c>
      <c r="L73" s="77" t="s">
        <v>2276</v>
      </c>
      <c r="M73" s="21" t="s">
        <v>2276</v>
      </c>
      <c r="N73" s="77" t="s">
        <v>2276</v>
      </c>
      <c r="O73" s="77" t="s">
        <v>2276</v>
      </c>
      <c r="P73" s="77" t="s">
        <v>2276</v>
      </c>
      <c r="Q73" s="21" t="s">
        <v>2276</v>
      </c>
      <c r="R73" s="21" t="s">
        <v>2276</v>
      </c>
      <c r="S73" s="77" t="s">
        <v>2276</v>
      </c>
      <c r="T73" s="77" t="s">
        <v>2276</v>
      </c>
      <c r="U73" s="87" t="s">
        <v>2276</v>
      </c>
      <c r="V73" s="87" t="s">
        <v>2276</v>
      </c>
      <c r="W73" s="87" t="s">
        <v>2276</v>
      </c>
      <c r="X73" s="87" t="s">
        <v>2276</v>
      </c>
      <c r="Y73" s="87" t="s">
        <v>2276</v>
      </c>
      <c r="Z73" s="3" t="s">
        <v>75</v>
      </c>
      <c r="AA73" s="3" t="s">
        <v>35</v>
      </c>
      <c r="AB73" s="3" t="s">
        <v>64</v>
      </c>
      <c r="AC73" s="4" t="s">
        <v>5053</v>
      </c>
      <c r="AD73" s="4" t="s">
        <v>2261</v>
      </c>
    </row>
    <row r="74" spans="1:30" ht="69.5" customHeight="1">
      <c r="A74" s="31" t="s">
        <v>308</v>
      </c>
      <c r="B74" s="3" t="s">
        <v>368</v>
      </c>
      <c r="C74" s="23" t="s">
        <v>24</v>
      </c>
      <c r="D74" s="3" t="s">
        <v>2659</v>
      </c>
      <c r="E74" s="4" t="s">
        <v>396</v>
      </c>
      <c r="F74" s="26" t="s">
        <v>28</v>
      </c>
      <c r="G74" s="11" t="s">
        <v>2276</v>
      </c>
      <c r="H74" s="3" t="s">
        <v>523</v>
      </c>
      <c r="I74" s="23"/>
      <c r="J74" s="77" t="s">
        <v>2276</v>
      </c>
      <c r="K74" s="77" t="s">
        <v>2276</v>
      </c>
      <c r="L74" s="77" t="s">
        <v>2276</v>
      </c>
      <c r="M74" s="21" t="s">
        <v>2276</v>
      </c>
      <c r="N74" s="77" t="s">
        <v>2276</v>
      </c>
      <c r="O74" s="77" t="s">
        <v>2276</v>
      </c>
      <c r="P74" s="77" t="s">
        <v>2276</v>
      </c>
      <c r="Q74" s="21" t="s">
        <v>2276</v>
      </c>
      <c r="R74" s="21" t="s">
        <v>2276</v>
      </c>
      <c r="S74" s="77" t="s">
        <v>2276</v>
      </c>
      <c r="T74" s="77" t="s">
        <v>2276</v>
      </c>
      <c r="U74" s="87" t="s">
        <v>2276</v>
      </c>
      <c r="V74" s="87" t="s">
        <v>2276</v>
      </c>
      <c r="W74" s="87" t="s">
        <v>2276</v>
      </c>
      <c r="X74" s="87" t="s">
        <v>2276</v>
      </c>
      <c r="Y74" s="87" t="s">
        <v>2276</v>
      </c>
      <c r="Z74" s="3" t="s">
        <v>75</v>
      </c>
      <c r="AA74" s="3" t="s">
        <v>35</v>
      </c>
      <c r="AB74" s="3" t="s">
        <v>64</v>
      </c>
      <c r="AC74" s="4" t="s">
        <v>5053</v>
      </c>
      <c r="AD74" s="4" t="s">
        <v>2261</v>
      </c>
    </row>
    <row r="75" spans="1:30" ht="69.5" customHeight="1">
      <c r="A75" s="31" t="s">
        <v>309</v>
      </c>
      <c r="B75" s="3" t="s">
        <v>369</v>
      </c>
      <c r="C75" s="23" t="s">
        <v>24</v>
      </c>
      <c r="D75" s="3" t="s">
        <v>2659</v>
      </c>
      <c r="E75" s="4" t="s">
        <v>396</v>
      </c>
      <c r="F75" s="26" t="s">
        <v>28</v>
      </c>
      <c r="G75" s="11" t="s">
        <v>2276</v>
      </c>
      <c r="H75" s="3" t="s">
        <v>523</v>
      </c>
      <c r="I75" s="23"/>
      <c r="J75" s="77" t="s">
        <v>2276</v>
      </c>
      <c r="K75" s="77" t="s">
        <v>2276</v>
      </c>
      <c r="L75" s="77" t="s">
        <v>2276</v>
      </c>
      <c r="M75" s="21" t="s">
        <v>2276</v>
      </c>
      <c r="N75" s="77" t="s">
        <v>2276</v>
      </c>
      <c r="O75" s="77" t="s">
        <v>2276</v>
      </c>
      <c r="P75" s="77" t="s">
        <v>2276</v>
      </c>
      <c r="Q75" s="21" t="s">
        <v>2276</v>
      </c>
      <c r="R75" s="21" t="s">
        <v>2276</v>
      </c>
      <c r="S75" s="77" t="s">
        <v>2276</v>
      </c>
      <c r="T75" s="77" t="s">
        <v>2276</v>
      </c>
      <c r="U75" s="87" t="s">
        <v>2276</v>
      </c>
      <c r="V75" s="87" t="s">
        <v>2276</v>
      </c>
      <c r="W75" s="87" t="s">
        <v>2276</v>
      </c>
      <c r="X75" s="87" t="s">
        <v>2276</v>
      </c>
      <c r="Y75" s="87" t="s">
        <v>2276</v>
      </c>
      <c r="Z75" s="3" t="s">
        <v>75</v>
      </c>
      <c r="AA75" s="3" t="s">
        <v>35</v>
      </c>
      <c r="AB75" s="3" t="s">
        <v>64</v>
      </c>
      <c r="AC75" s="4" t="s">
        <v>5053</v>
      </c>
      <c r="AD75" s="4" t="s">
        <v>2261</v>
      </c>
    </row>
    <row r="76" spans="1:30" ht="69.5" customHeight="1">
      <c r="A76" s="31" t="s">
        <v>310</v>
      </c>
      <c r="B76" s="3" t="s">
        <v>370</v>
      </c>
      <c r="C76" s="23" t="s">
        <v>24</v>
      </c>
      <c r="D76" s="3" t="s">
        <v>2659</v>
      </c>
      <c r="E76" s="4" t="s">
        <v>396</v>
      </c>
      <c r="F76" s="26" t="s">
        <v>28</v>
      </c>
      <c r="G76" s="11" t="s">
        <v>2276</v>
      </c>
      <c r="H76" s="3" t="s">
        <v>523</v>
      </c>
      <c r="I76" s="23"/>
      <c r="J76" s="77" t="s">
        <v>2276</v>
      </c>
      <c r="K76" s="77" t="s">
        <v>2276</v>
      </c>
      <c r="L76" s="77" t="s">
        <v>2276</v>
      </c>
      <c r="M76" s="21" t="s">
        <v>2276</v>
      </c>
      <c r="N76" s="77" t="s">
        <v>2276</v>
      </c>
      <c r="O76" s="77" t="s">
        <v>2276</v>
      </c>
      <c r="P76" s="77" t="s">
        <v>2276</v>
      </c>
      <c r="Q76" s="21" t="s">
        <v>2276</v>
      </c>
      <c r="R76" s="21" t="s">
        <v>2276</v>
      </c>
      <c r="S76" s="77" t="s">
        <v>2276</v>
      </c>
      <c r="T76" s="77" t="s">
        <v>2276</v>
      </c>
      <c r="U76" s="87" t="s">
        <v>2276</v>
      </c>
      <c r="V76" s="87" t="s">
        <v>2276</v>
      </c>
      <c r="W76" s="87" t="s">
        <v>2276</v>
      </c>
      <c r="X76" s="87" t="s">
        <v>2276</v>
      </c>
      <c r="Y76" s="87" t="s">
        <v>2276</v>
      </c>
      <c r="Z76" s="3" t="s">
        <v>75</v>
      </c>
      <c r="AA76" s="3" t="s">
        <v>35</v>
      </c>
      <c r="AB76" s="3" t="s">
        <v>64</v>
      </c>
      <c r="AC76" s="4" t="s">
        <v>5053</v>
      </c>
      <c r="AD76" s="4" t="s">
        <v>2261</v>
      </c>
    </row>
    <row r="77" spans="1:30" ht="69.5" customHeight="1">
      <c r="A77" s="31" t="s">
        <v>311</v>
      </c>
      <c r="B77" s="3" t="s">
        <v>371</v>
      </c>
      <c r="C77" s="23" t="s">
        <v>24</v>
      </c>
      <c r="D77" s="3" t="s">
        <v>2659</v>
      </c>
      <c r="E77" s="4" t="s">
        <v>396</v>
      </c>
      <c r="F77" s="26" t="s">
        <v>28</v>
      </c>
      <c r="G77" s="11" t="s">
        <v>2276</v>
      </c>
      <c r="H77" s="3" t="s">
        <v>523</v>
      </c>
      <c r="I77" s="23"/>
      <c r="J77" s="77" t="s">
        <v>2276</v>
      </c>
      <c r="K77" s="77" t="s">
        <v>2276</v>
      </c>
      <c r="L77" s="77" t="s">
        <v>2276</v>
      </c>
      <c r="M77" s="21" t="s">
        <v>2276</v>
      </c>
      <c r="N77" s="77" t="s">
        <v>2276</v>
      </c>
      <c r="O77" s="77" t="s">
        <v>2276</v>
      </c>
      <c r="P77" s="77" t="s">
        <v>2276</v>
      </c>
      <c r="Q77" s="21" t="s">
        <v>2276</v>
      </c>
      <c r="R77" s="21" t="s">
        <v>2276</v>
      </c>
      <c r="S77" s="77" t="s">
        <v>2276</v>
      </c>
      <c r="T77" s="77" t="s">
        <v>2276</v>
      </c>
      <c r="U77" s="87" t="s">
        <v>2276</v>
      </c>
      <c r="V77" s="87" t="s">
        <v>2276</v>
      </c>
      <c r="W77" s="87" t="s">
        <v>2276</v>
      </c>
      <c r="X77" s="87" t="s">
        <v>2276</v>
      </c>
      <c r="Y77" s="87" t="s">
        <v>2276</v>
      </c>
      <c r="Z77" s="3" t="s">
        <v>75</v>
      </c>
      <c r="AA77" s="3" t="s">
        <v>35</v>
      </c>
      <c r="AB77" s="3" t="s">
        <v>64</v>
      </c>
      <c r="AC77" s="4" t="s">
        <v>5053</v>
      </c>
      <c r="AD77" s="4" t="s">
        <v>2261</v>
      </c>
    </row>
    <row r="78" spans="1:30" ht="69.5" customHeight="1">
      <c r="A78" s="31" t="s">
        <v>312</v>
      </c>
      <c r="B78" s="3" t="s">
        <v>372</v>
      </c>
      <c r="C78" s="23" t="s">
        <v>24</v>
      </c>
      <c r="D78" s="3" t="s">
        <v>2659</v>
      </c>
      <c r="E78" s="4" t="s">
        <v>396</v>
      </c>
      <c r="F78" s="26" t="s">
        <v>28</v>
      </c>
      <c r="G78" s="11" t="s">
        <v>2276</v>
      </c>
      <c r="H78" s="3" t="s">
        <v>523</v>
      </c>
      <c r="I78" s="23"/>
      <c r="J78" s="77" t="s">
        <v>2276</v>
      </c>
      <c r="K78" s="77" t="s">
        <v>2276</v>
      </c>
      <c r="L78" s="77" t="s">
        <v>2276</v>
      </c>
      <c r="M78" s="21" t="s">
        <v>2276</v>
      </c>
      <c r="N78" s="77" t="s">
        <v>2276</v>
      </c>
      <c r="O78" s="77" t="s">
        <v>2276</v>
      </c>
      <c r="P78" s="77" t="s">
        <v>2276</v>
      </c>
      <c r="Q78" s="21" t="s">
        <v>2276</v>
      </c>
      <c r="R78" s="21" t="s">
        <v>2276</v>
      </c>
      <c r="S78" s="77" t="s">
        <v>2276</v>
      </c>
      <c r="T78" s="77" t="s">
        <v>2276</v>
      </c>
      <c r="U78" s="87" t="s">
        <v>2276</v>
      </c>
      <c r="V78" s="87" t="s">
        <v>2276</v>
      </c>
      <c r="W78" s="87" t="s">
        <v>2276</v>
      </c>
      <c r="X78" s="87" t="s">
        <v>2276</v>
      </c>
      <c r="Y78" s="87" t="s">
        <v>2276</v>
      </c>
      <c r="Z78" s="3" t="s">
        <v>75</v>
      </c>
      <c r="AA78" s="3" t="s">
        <v>35</v>
      </c>
      <c r="AB78" s="3" t="s">
        <v>64</v>
      </c>
      <c r="AC78" s="4" t="s">
        <v>5053</v>
      </c>
      <c r="AD78" s="4" t="s">
        <v>2261</v>
      </c>
    </row>
    <row r="79" spans="1:30" ht="106" customHeight="1">
      <c r="A79" s="11" t="s">
        <v>94</v>
      </c>
      <c r="B79" s="3" t="s">
        <v>95</v>
      </c>
      <c r="C79" s="11" t="s">
        <v>24</v>
      </c>
      <c r="D79" s="3" t="s">
        <v>2659</v>
      </c>
      <c r="E79" s="4" t="s">
        <v>396</v>
      </c>
      <c r="F79" s="19" t="s">
        <v>28</v>
      </c>
      <c r="G79" s="11" t="s">
        <v>2276</v>
      </c>
      <c r="H79" s="3" t="s">
        <v>523</v>
      </c>
      <c r="I79" s="11"/>
      <c r="J79" s="21" t="s">
        <v>2276</v>
      </c>
      <c r="K79" s="21" t="s">
        <v>2276</v>
      </c>
      <c r="L79" s="21" t="s">
        <v>2276</v>
      </c>
      <c r="M79" s="21" t="s">
        <v>2276</v>
      </c>
      <c r="N79" s="21" t="s">
        <v>2276</v>
      </c>
      <c r="O79" s="21" t="s">
        <v>2276</v>
      </c>
      <c r="P79" s="21" t="s">
        <v>2276</v>
      </c>
      <c r="Q79" s="21" t="s">
        <v>2276</v>
      </c>
      <c r="R79" s="21" t="s">
        <v>2276</v>
      </c>
      <c r="S79" s="21" t="s">
        <v>2276</v>
      </c>
      <c r="T79" s="88" t="s">
        <v>2276</v>
      </c>
      <c r="U79" s="87" t="s">
        <v>2276</v>
      </c>
      <c r="V79" s="21" t="s">
        <v>2276</v>
      </c>
      <c r="W79" s="21" t="s">
        <v>2276</v>
      </c>
      <c r="X79" s="21" t="s">
        <v>2276</v>
      </c>
      <c r="Y79" s="87" t="s">
        <v>2276</v>
      </c>
      <c r="Z79" s="3" t="s">
        <v>75</v>
      </c>
      <c r="AA79" s="3" t="s">
        <v>35</v>
      </c>
      <c r="AB79" s="3" t="s">
        <v>64</v>
      </c>
      <c r="AC79" s="4" t="s">
        <v>1261</v>
      </c>
      <c r="AD79" s="4" t="s">
        <v>1269</v>
      </c>
    </row>
    <row r="80" spans="1:30" ht="100" customHeight="1">
      <c r="A80" s="11" t="s">
        <v>94</v>
      </c>
      <c r="B80" s="3" t="s">
        <v>96</v>
      </c>
      <c r="C80" s="11" t="s">
        <v>24</v>
      </c>
      <c r="D80" s="3" t="s">
        <v>2659</v>
      </c>
      <c r="E80" s="4" t="s">
        <v>396</v>
      </c>
      <c r="F80" s="19" t="s">
        <v>28</v>
      </c>
      <c r="G80" s="11" t="s">
        <v>2276</v>
      </c>
      <c r="H80" s="3" t="s">
        <v>523</v>
      </c>
      <c r="I80" s="11"/>
      <c r="J80" s="21" t="s">
        <v>2276</v>
      </c>
      <c r="K80" s="21" t="s">
        <v>2276</v>
      </c>
      <c r="L80" s="21" t="s">
        <v>2276</v>
      </c>
      <c r="M80" s="21" t="s">
        <v>2276</v>
      </c>
      <c r="N80" s="21" t="s">
        <v>2276</v>
      </c>
      <c r="O80" s="21" t="s">
        <v>2276</v>
      </c>
      <c r="P80" s="21" t="s">
        <v>2276</v>
      </c>
      <c r="Q80" s="21" t="s">
        <v>2276</v>
      </c>
      <c r="R80" s="21" t="s">
        <v>2276</v>
      </c>
      <c r="S80" s="21" t="s">
        <v>2276</v>
      </c>
      <c r="T80" s="88" t="s">
        <v>2276</v>
      </c>
      <c r="U80" s="87" t="s">
        <v>2276</v>
      </c>
      <c r="V80" s="21" t="s">
        <v>2276</v>
      </c>
      <c r="W80" s="21" t="s">
        <v>2276</v>
      </c>
      <c r="X80" s="21" t="s">
        <v>2276</v>
      </c>
      <c r="Y80" s="87" t="s">
        <v>2276</v>
      </c>
      <c r="Z80" s="3" t="s">
        <v>38</v>
      </c>
      <c r="AA80" s="3" t="s">
        <v>86</v>
      </c>
      <c r="AB80" s="3" t="s">
        <v>64</v>
      </c>
      <c r="AC80" s="4" t="s">
        <v>1262</v>
      </c>
      <c r="AD80" s="4" t="s">
        <v>1270</v>
      </c>
    </row>
    <row r="81" spans="1:30" ht="110" customHeight="1">
      <c r="A81" s="11" t="s">
        <v>94</v>
      </c>
      <c r="B81" s="3" t="s">
        <v>1259</v>
      </c>
      <c r="C81" s="11" t="s">
        <v>24</v>
      </c>
      <c r="D81" s="3" t="s">
        <v>2659</v>
      </c>
      <c r="E81" s="4" t="s">
        <v>397</v>
      </c>
      <c r="F81" s="19" t="s">
        <v>28</v>
      </c>
      <c r="G81" s="11" t="s">
        <v>2276</v>
      </c>
      <c r="H81" s="3" t="s">
        <v>523</v>
      </c>
      <c r="I81" s="11"/>
      <c r="J81" s="21" t="s">
        <v>2276</v>
      </c>
      <c r="K81" s="21" t="s">
        <v>2276</v>
      </c>
      <c r="L81" s="21" t="s">
        <v>2276</v>
      </c>
      <c r="M81" s="21" t="s">
        <v>2276</v>
      </c>
      <c r="N81" s="21" t="s">
        <v>2276</v>
      </c>
      <c r="O81" s="21" t="s">
        <v>2276</v>
      </c>
      <c r="P81" s="21" t="s">
        <v>2276</v>
      </c>
      <c r="Q81" s="21" t="s">
        <v>2276</v>
      </c>
      <c r="R81" s="21" t="s">
        <v>2276</v>
      </c>
      <c r="S81" s="21" t="s">
        <v>2276</v>
      </c>
      <c r="T81" s="88" t="s">
        <v>2276</v>
      </c>
      <c r="U81" s="87" t="s">
        <v>2276</v>
      </c>
      <c r="V81" s="21" t="s">
        <v>2276</v>
      </c>
      <c r="W81" s="21" t="s">
        <v>2276</v>
      </c>
      <c r="X81" s="21" t="s">
        <v>2276</v>
      </c>
      <c r="Y81" s="87" t="s">
        <v>2276</v>
      </c>
      <c r="Z81" s="3" t="s">
        <v>75</v>
      </c>
      <c r="AA81" s="3" t="s">
        <v>35</v>
      </c>
      <c r="AB81" s="3" t="s">
        <v>64</v>
      </c>
      <c r="AC81" s="4" t="s">
        <v>1261</v>
      </c>
      <c r="AD81" s="4" t="s">
        <v>1271</v>
      </c>
    </row>
    <row r="82" spans="1:30" ht="100" customHeight="1">
      <c r="A82" s="11" t="s">
        <v>94</v>
      </c>
      <c r="B82" s="3" t="s">
        <v>1260</v>
      </c>
      <c r="C82" s="11" t="s">
        <v>24</v>
      </c>
      <c r="D82" s="3" t="s">
        <v>2659</v>
      </c>
      <c r="E82" s="4" t="s">
        <v>397</v>
      </c>
      <c r="F82" s="19" t="s">
        <v>28</v>
      </c>
      <c r="G82" s="11" t="s">
        <v>2276</v>
      </c>
      <c r="H82" s="3" t="s">
        <v>523</v>
      </c>
      <c r="I82" s="11"/>
      <c r="J82" s="21" t="s">
        <v>2276</v>
      </c>
      <c r="K82" s="21" t="s">
        <v>2276</v>
      </c>
      <c r="L82" s="21" t="s">
        <v>2276</v>
      </c>
      <c r="M82" s="21" t="s">
        <v>2276</v>
      </c>
      <c r="N82" s="21" t="s">
        <v>2276</v>
      </c>
      <c r="O82" s="21" t="s">
        <v>2276</v>
      </c>
      <c r="P82" s="21" t="s">
        <v>2276</v>
      </c>
      <c r="Q82" s="21" t="s">
        <v>2276</v>
      </c>
      <c r="R82" s="21" t="s">
        <v>2276</v>
      </c>
      <c r="S82" s="21" t="s">
        <v>2276</v>
      </c>
      <c r="T82" s="88" t="s">
        <v>2276</v>
      </c>
      <c r="U82" s="87" t="s">
        <v>2276</v>
      </c>
      <c r="V82" s="21" t="s">
        <v>2276</v>
      </c>
      <c r="W82" s="21" t="s">
        <v>2276</v>
      </c>
      <c r="X82" s="21" t="s">
        <v>2276</v>
      </c>
      <c r="Y82" s="87" t="s">
        <v>2276</v>
      </c>
      <c r="Z82" s="3" t="s">
        <v>38</v>
      </c>
      <c r="AA82" s="3" t="s">
        <v>86</v>
      </c>
      <c r="AB82" s="3" t="s">
        <v>64</v>
      </c>
      <c r="AC82" s="4" t="s">
        <v>1262</v>
      </c>
      <c r="AD82" s="4" t="s">
        <v>1270</v>
      </c>
    </row>
    <row r="83" spans="1:30" ht="100" customHeight="1">
      <c r="A83" s="11" t="s">
        <v>1253</v>
      </c>
      <c r="B83" s="3" t="s">
        <v>1257</v>
      </c>
      <c r="C83" s="11" t="s">
        <v>24</v>
      </c>
      <c r="D83" s="3" t="s">
        <v>2659</v>
      </c>
      <c r="E83" s="4" t="s">
        <v>396</v>
      </c>
      <c r="F83" s="19" t="s">
        <v>28</v>
      </c>
      <c r="G83" s="11" t="s">
        <v>2276</v>
      </c>
      <c r="H83" s="3" t="s">
        <v>523</v>
      </c>
      <c r="I83" s="11"/>
      <c r="J83" s="21" t="s">
        <v>2276</v>
      </c>
      <c r="K83" s="21" t="s">
        <v>2276</v>
      </c>
      <c r="L83" s="21" t="s">
        <v>2276</v>
      </c>
      <c r="M83" s="21" t="s">
        <v>2276</v>
      </c>
      <c r="N83" s="21" t="s">
        <v>2276</v>
      </c>
      <c r="O83" s="21" t="s">
        <v>2276</v>
      </c>
      <c r="P83" s="21" t="s">
        <v>2276</v>
      </c>
      <c r="Q83" s="21" t="s">
        <v>2276</v>
      </c>
      <c r="R83" s="21" t="s">
        <v>2276</v>
      </c>
      <c r="S83" s="21" t="s">
        <v>2276</v>
      </c>
      <c r="T83" s="88" t="s">
        <v>2276</v>
      </c>
      <c r="U83" s="87" t="s">
        <v>2276</v>
      </c>
      <c r="V83" s="21" t="s">
        <v>2276</v>
      </c>
      <c r="W83" s="21" t="s">
        <v>2276</v>
      </c>
      <c r="X83" s="21" t="s">
        <v>2276</v>
      </c>
      <c r="Y83" s="87" t="s">
        <v>2276</v>
      </c>
      <c r="Z83" s="3" t="s">
        <v>75</v>
      </c>
      <c r="AA83" s="3" t="s">
        <v>35</v>
      </c>
      <c r="AB83" s="3" t="s">
        <v>64</v>
      </c>
      <c r="AC83" s="4" t="s">
        <v>1261</v>
      </c>
      <c r="AD83" s="4" t="s">
        <v>1269</v>
      </c>
    </row>
    <row r="84" spans="1:30" ht="100" customHeight="1">
      <c r="A84" s="11" t="s">
        <v>1253</v>
      </c>
      <c r="B84" s="3" t="s">
        <v>1258</v>
      </c>
      <c r="C84" s="11" t="s">
        <v>24</v>
      </c>
      <c r="D84" s="3" t="s">
        <v>2659</v>
      </c>
      <c r="E84" s="4" t="s">
        <v>396</v>
      </c>
      <c r="F84" s="19" t="s">
        <v>28</v>
      </c>
      <c r="G84" s="11" t="s">
        <v>2276</v>
      </c>
      <c r="H84" s="3" t="s">
        <v>523</v>
      </c>
      <c r="I84" s="11"/>
      <c r="J84" s="21" t="s">
        <v>2276</v>
      </c>
      <c r="K84" s="21" t="s">
        <v>2276</v>
      </c>
      <c r="L84" s="21" t="s">
        <v>2276</v>
      </c>
      <c r="M84" s="21" t="s">
        <v>2276</v>
      </c>
      <c r="N84" s="21" t="s">
        <v>2276</v>
      </c>
      <c r="O84" s="21" t="s">
        <v>2276</v>
      </c>
      <c r="P84" s="21" t="s">
        <v>2276</v>
      </c>
      <c r="Q84" s="21" t="s">
        <v>2276</v>
      </c>
      <c r="R84" s="21" t="s">
        <v>2276</v>
      </c>
      <c r="S84" s="21" t="s">
        <v>2276</v>
      </c>
      <c r="T84" s="88" t="s">
        <v>2276</v>
      </c>
      <c r="U84" s="87" t="s">
        <v>2276</v>
      </c>
      <c r="V84" s="21" t="s">
        <v>2276</v>
      </c>
      <c r="W84" s="21" t="s">
        <v>2276</v>
      </c>
      <c r="X84" s="21" t="s">
        <v>2276</v>
      </c>
      <c r="Y84" s="87" t="s">
        <v>2276</v>
      </c>
      <c r="Z84" s="3" t="s">
        <v>38</v>
      </c>
      <c r="AA84" s="3" t="s">
        <v>86</v>
      </c>
      <c r="AB84" s="3" t="s">
        <v>64</v>
      </c>
      <c r="AC84" s="4" t="s">
        <v>1262</v>
      </c>
      <c r="AD84" s="4" t="s">
        <v>1270</v>
      </c>
    </row>
    <row r="85" spans="1:30" ht="100" customHeight="1">
      <c r="A85" s="11" t="s">
        <v>1253</v>
      </c>
      <c r="B85" s="3" t="s">
        <v>1263</v>
      </c>
      <c r="C85" s="11" t="s">
        <v>24</v>
      </c>
      <c r="D85" s="3" t="s">
        <v>2659</v>
      </c>
      <c r="E85" s="4" t="s">
        <v>397</v>
      </c>
      <c r="F85" s="19" t="s">
        <v>28</v>
      </c>
      <c r="G85" s="11" t="s">
        <v>2276</v>
      </c>
      <c r="H85" s="3" t="s">
        <v>523</v>
      </c>
      <c r="I85" s="11"/>
      <c r="J85" s="21" t="s">
        <v>2276</v>
      </c>
      <c r="K85" s="21" t="s">
        <v>2276</v>
      </c>
      <c r="L85" s="21" t="s">
        <v>2276</v>
      </c>
      <c r="M85" s="21" t="s">
        <v>2276</v>
      </c>
      <c r="N85" s="21" t="s">
        <v>2276</v>
      </c>
      <c r="O85" s="21" t="s">
        <v>2276</v>
      </c>
      <c r="P85" s="21" t="s">
        <v>2276</v>
      </c>
      <c r="Q85" s="21" t="s">
        <v>2276</v>
      </c>
      <c r="R85" s="21" t="s">
        <v>2276</v>
      </c>
      <c r="S85" s="21" t="s">
        <v>2276</v>
      </c>
      <c r="T85" s="88" t="s">
        <v>2276</v>
      </c>
      <c r="U85" s="87" t="s">
        <v>2276</v>
      </c>
      <c r="V85" s="21" t="s">
        <v>2276</v>
      </c>
      <c r="W85" s="21" t="s">
        <v>2276</v>
      </c>
      <c r="X85" s="21" t="s">
        <v>2276</v>
      </c>
      <c r="Y85" s="87" t="s">
        <v>2276</v>
      </c>
      <c r="Z85" s="3" t="s">
        <v>75</v>
      </c>
      <c r="AA85" s="3" t="s">
        <v>35</v>
      </c>
      <c r="AB85" s="3" t="s">
        <v>64</v>
      </c>
      <c r="AC85" s="4" t="s">
        <v>1261</v>
      </c>
      <c r="AD85" s="4" t="s">
        <v>1271</v>
      </c>
    </row>
    <row r="86" spans="1:30" ht="100" customHeight="1">
      <c r="A86" s="11" t="s">
        <v>1253</v>
      </c>
      <c r="B86" s="3" t="s">
        <v>1264</v>
      </c>
      <c r="C86" s="11" t="s">
        <v>24</v>
      </c>
      <c r="D86" s="3" t="s">
        <v>2659</v>
      </c>
      <c r="E86" s="4" t="s">
        <v>397</v>
      </c>
      <c r="F86" s="19" t="s">
        <v>28</v>
      </c>
      <c r="G86" s="11" t="s">
        <v>2276</v>
      </c>
      <c r="H86" s="3" t="s">
        <v>523</v>
      </c>
      <c r="I86" s="11"/>
      <c r="J86" s="21" t="s">
        <v>2276</v>
      </c>
      <c r="K86" s="21" t="s">
        <v>2276</v>
      </c>
      <c r="L86" s="21" t="s">
        <v>2276</v>
      </c>
      <c r="M86" s="21" t="s">
        <v>2276</v>
      </c>
      <c r="N86" s="21" t="s">
        <v>2276</v>
      </c>
      <c r="O86" s="21" t="s">
        <v>2276</v>
      </c>
      <c r="P86" s="21" t="s">
        <v>2276</v>
      </c>
      <c r="Q86" s="21" t="s">
        <v>2276</v>
      </c>
      <c r="R86" s="21" t="s">
        <v>2276</v>
      </c>
      <c r="S86" s="21" t="s">
        <v>2276</v>
      </c>
      <c r="T86" s="88" t="s">
        <v>2276</v>
      </c>
      <c r="U86" s="87" t="s">
        <v>2276</v>
      </c>
      <c r="V86" s="21" t="s">
        <v>2276</v>
      </c>
      <c r="W86" s="21" t="s">
        <v>2276</v>
      </c>
      <c r="X86" s="21" t="s">
        <v>2276</v>
      </c>
      <c r="Y86" s="87" t="s">
        <v>2276</v>
      </c>
      <c r="Z86" s="3" t="s">
        <v>38</v>
      </c>
      <c r="AA86" s="3" t="s">
        <v>86</v>
      </c>
      <c r="AB86" s="3" t="s">
        <v>64</v>
      </c>
      <c r="AC86" s="4" t="s">
        <v>1262</v>
      </c>
      <c r="AD86" s="4" t="s">
        <v>1270</v>
      </c>
    </row>
    <row r="87" spans="1:30" ht="100" customHeight="1">
      <c r="A87" s="11" t="s">
        <v>1254</v>
      </c>
      <c r="B87" s="3" t="s">
        <v>1265</v>
      </c>
      <c r="C87" s="11" t="s">
        <v>24</v>
      </c>
      <c r="D87" s="3" t="s">
        <v>2659</v>
      </c>
      <c r="E87" s="4" t="s">
        <v>396</v>
      </c>
      <c r="F87" s="19" t="s">
        <v>28</v>
      </c>
      <c r="G87" s="11" t="s">
        <v>2276</v>
      </c>
      <c r="H87" s="3" t="s">
        <v>523</v>
      </c>
      <c r="I87" s="11"/>
      <c r="J87" s="21" t="s">
        <v>2276</v>
      </c>
      <c r="K87" s="21" t="s">
        <v>2276</v>
      </c>
      <c r="L87" s="21" t="s">
        <v>2276</v>
      </c>
      <c r="M87" s="21" t="s">
        <v>2276</v>
      </c>
      <c r="N87" s="21" t="s">
        <v>2276</v>
      </c>
      <c r="O87" s="21" t="s">
        <v>2276</v>
      </c>
      <c r="P87" s="21" t="s">
        <v>2276</v>
      </c>
      <c r="Q87" s="21" t="s">
        <v>2276</v>
      </c>
      <c r="R87" s="21" t="s">
        <v>2276</v>
      </c>
      <c r="S87" s="21" t="s">
        <v>2276</v>
      </c>
      <c r="T87" s="88" t="s">
        <v>2276</v>
      </c>
      <c r="U87" s="87" t="s">
        <v>2276</v>
      </c>
      <c r="V87" s="21" t="s">
        <v>2276</v>
      </c>
      <c r="W87" s="21" t="s">
        <v>2276</v>
      </c>
      <c r="X87" s="21" t="s">
        <v>2276</v>
      </c>
      <c r="Y87" s="87" t="s">
        <v>2276</v>
      </c>
      <c r="Z87" s="3" t="s">
        <v>75</v>
      </c>
      <c r="AA87" s="3" t="s">
        <v>35</v>
      </c>
      <c r="AB87" s="3" t="s">
        <v>64</v>
      </c>
      <c r="AC87" s="4" t="s">
        <v>1261</v>
      </c>
      <c r="AD87" s="4" t="s">
        <v>1269</v>
      </c>
    </row>
    <row r="88" spans="1:30" ht="100" customHeight="1">
      <c r="A88" s="11" t="s">
        <v>1254</v>
      </c>
      <c r="B88" s="3" t="s">
        <v>1266</v>
      </c>
      <c r="C88" s="11" t="s">
        <v>24</v>
      </c>
      <c r="D88" s="3" t="s">
        <v>2659</v>
      </c>
      <c r="E88" s="4" t="s">
        <v>396</v>
      </c>
      <c r="F88" s="19" t="s">
        <v>28</v>
      </c>
      <c r="G88" s="11" t="s">
        <v>2276</v>
      </c>
      <c r="H88" s="3" t="s">
        <v>523</v>
      </c>
      <c r="I88" s="11"/>
      <c r="J88" s="21" t="s">
        <v>2276</v>
      </c>
      <c r="K88" s="21" t="s">
        <v>2276</v>
      </c>
      <c r="L88" s="21" t="s">
        <v>2276</v>
      </c>
      <c r="M88" s="21" t="s">
        <v>2276</v>
      </c>
      <c r="N88" s="21" t="s">
        <v>2276</v>
      </c>
      <c r="O88" s="21" t="s">
        <v>2276</v>
      </c>
      <c r="P88" s="21" t="s">
        <v>2276</v>
      </c>
      <c r="Q88" s="21" t="s">
        <v>2276</v>
      </c>
      <c r="R88" s="21" t="s">
        <v>2276</v>
      </c>
      <c r="S88" s="21" t="s">
        <v>2276</v>
      </c>
      <c r="T88" s="88" t="s">
        <v>2276</v>
      </c>
      <c r="U88" s="87" t="s">
        <v>2276</v>
      </c>
      <c r="V88" s="21" t="s">
        <v>2276</v>
      </c>
      <c r="W88" s="21" t="s">
        <v>2276</v>
      </c>
      <c r="X88" s="21" t="s">
        <v>2276</v>
      </c>
      <c r="Y88" s="87" t="s">
        <v>2276</v>
      </c>
      <c r="Z88" s="3" t="s">
        <v>38</v>
      </c>
      <c r="AA88" s="3" t="s">
        <v>86</v>
      </c>
      <c r="AB88" s="3" t="s">
        <v>64</v>
      </c>
      <c r="AC88" s="4" t="s">
        <v>1262</v>
      </c>
      <c r="AD88" s="4" t="s">
        <v>1270</v>
      </c>
    </row>
    <row r="89" spans="1:30" ht="100" customHeight="1">
      <c r="A89" s="11" t="s">
        <v>1254</v>
      </c>
      <c r="B89" s="3" t="s">
        <v>1267</v>
      </c>
      <c r="C89" s="11" t="s">
        <v>24</v>
      </c>
      <c r="D89" s="3" t="s">
        <v>2659</v>
      </c>
      <c r="E89" s="4" t="s">
        <v>397</v>
      </c>
      <c r="F89" s="19" t="s">
        <v>28</v>
      </c>
      <c r="G89" s="11" t="s">
        <v>2276</v>
      </c>
      <c r="H89" s="3" t="s">
        <v>523</v>
      </c>
      <c r="I89" s="11"/>
      <c r="J89" s="21" t="s">
        <v>2276</v>
      </c>
      <c r="K89" s="21" t="s">
        <v>2276</v>
      </c>
      <c r="L89" s="21" t="s">
        <v>2276</v>
      </c>
      <c r="M89" s="21" t="s">
        <v>2276</v>
      </c>
      <c r="N89" s="21" t="s">
        <v>2276</v>
      </c>
      <c r="O89" s="21" t="s">
        <v>2276</v>
      </c>
      <c r="P89" s="21" t="s">
        <v>2276</v>
      </c>
      <c r="Q89" s="21" t="s">
        <v>2276</v>
      </c>
      <c r="R89" s="21" t="s">
        <v>2276</v>
      </c>
      <c r="S89" s="21" t="s">
        <v>2276</v>
      </c>
      <c r="T89" s="88" t="s">
        <v>2276</v>
      </c>
      <c r="U89" s="87" t="s">
        <v>2276</v>
      </c>
      <c r="V89" s="21" t="s">
        <v>2276</v>
      </c>
      <c r="W89" s="21" t="s">
        <v>2276</v>
      </c>
      <c r="X89" s="21" t="s">
        <v>2276</v>
      </c>
      <c r="Y89" s="87" t="s">
        <v>2276</v>
      </c>
      <c r="Z89" s="3" t="s">
        <v>75</v>
      </c>
      <c r="AA89" s="3" t="s">
        <v>35</v>
      </c>
      <c r="AB89" s="3" t="s">
        <v>64</v>
      </c>
      <c r="AC89" s="4" t="s">
        <v>1261</v>
      </c>
      <c r="AD89" s="4" t="s">
        <v>1271</v>
      </c>
    </row>
    <row r="90" spans="1:30" ht="100" customHeight="1">
      <c r="A90" s="11" t="s">
        <v>1254</v>
      </c>
      <c r="B90" s="3" t="s">
        <v>1268</v>
      </c>
      <c r="C90" s="11" t="s">
        <v>24</v>
      </c>
      <c r="D90" s="3" t="s">
        <v>2659</v>
      </c>
      <c r="E90" s="4" t="s">
        <v>397</v>
      </c>
      <c r="F90" s="19" t="s">
        <v>28</v>
      </c>
      <c r="G90" s="11" t="s">
        <v>2276</v>
      </c>
      <c r="H90" s="3" t="s">
        <v>523</v>
      </c>
      <c r="I90" s="11"/>
      <c r="J90" s="21" t="s">
        <v>2276</v>
      </c>
      <c r="K90" s="21" t="s">
        <v>2276</v>
      </c>
      <c r="L90" s="21" t="s">
        <v>2276</v>
      </c>
      <c r="M90" s="21" t="s">
        <v>2276</v>
      </c>
      <c r="N90" s="21" t="s">
        <v>2276</v>
      </c>
      <c r="O90" s="21" t="s">
        <v>2276</v>
      </c>
      <c r="P90" s="21" t="s">
        <v>2276</v>
      </c>
      <c r="Q90" s="21" t="s">
        <v>2276</v>
      </c>
      <c r="R90" s="21" t="s">
        <v>2276</v>
      </c>
      <c r="S90" s="21" t="s">
        <v>2276</v>
      </c>
      <c r="T90" s="88" t="s">
        <v>2276</v>
      </c>
      <c r="U90" s="87" t="s">
        <v>2276</v>
      </c>
      <c r="V90" s="21" t="s">
        <v>2276</v>
      </c>
      <c r="W90" s="21" t="s">
        <v>2276</v>
      </c>
      <c r="X90" s="21" t="s">
        <v>2276</v>
      </c>
      <c r="Y90" s="87" t="s">
        <v>2276</v>
      </c>
      <c r="Z90" s="3" t="s">
        <v>38</v>
      </c>
      <c r="AA90" s="3" t="s">
        <v>86</v>
      </c>
      <c r="AB90" s="3" t="s">
        <v>64</v>
      </c>
      <c r="AC90" s="4" t="s">
        <v>1262</v>
      </c>
      <c r="AD90" s="4" t="s">
        <v>1270</v>
      </c>
    </row>
    <row r="91" spans="1:30" ht="100" customHeight="1">
      <c r="A91" s="11" t="s">
        <v>98</v>
      </c>
      <c r="B91" s="11" t="s">
        <v>100</v>
      </c>
      <c r="C91" s="11" t="s">
        <v>24</v>
      </c>
      <c r="D91" s="11" t="s">
        <v>2659</v>
      </c>
      <c r="E91" s="19" t="s">
        <v>396</v>
      </c>
      <c r="F91" s="19" t="s">
        <v>28</v>
      </c>
      <c r="G91" s="11" t="s">
        <v>2276</v>
      </c>
      <c r="H91" s="11" t="s">
        <v>523</v>
      </c>
      <c r="I91" s="11"/>
      <c r="J91" s="74" t="s">
        <v>2276</v>
      </c>
      <c r="K91" s="74" t="s">
        <v>2276</v>
      </c>
      <c r="L91" s="74" t="s">
        <v>2276</v>
      </c>
      <c r="M91" s="74" t="s">
        <v>2276</v>
      </c>
      <c r="N91" s="74" t="s">
        <v>2276</v>
      </c>
      <c r="O91" s="74" t="s">
        <v>2276</v>
      </c>
      <c r="P91" s="74" t="s">
        <v>2276</v>
      </c>
      <c r="Q91" s="74" t="s">
        <v>2276</v>
      </c>
      <c r="R91" s="74" t="s">
        <v>2276</v>
      </c>
      <c r="S91" s="74" t="s">
        <v>2276</v>
      </c>
      <c r="T91" s="74" t="s">
        <v>2276</v>
      </c>
      <c r="U91" s="74" t="s">
        <v>2276</v>
      </c>
      <c r="V91" s="74" t="s">
        <v>2276</v>
      </c>
      <c r="W91" s="74" t="s">
        <v>2276</v>
      </c>
      <c r="X91" s="74" t="s">
        <v>2276</v>
      </c>
      <c r="Y91" s="181" t="s">
        <v>2276</v>
      </c>
      <c r="Z91" s="11" t="s">
        <v>75</v>
      </c>
      <c r="AA91" s="11" t="s">
        <v>35</v>
      </c>
      <c r="AB91" s="11" t="s">
        <v>64</v>
      </c>
      <c r="AC91" s="19" t="s">
        <v>1315</v>
      </c>
      <c r="AD91" s="19" t="s">
        <v>5025</v>
      </c>
    </row>
    <row r="92" spans="1:30" ht="95.5" customHeight="1">
      <c r="A92" s="11" t="s">
        <v>98</v>
      </c>
      <c r="B92" s="11" t="s">
        <v>101</v>
      </c>
      <c r="C92" s="11" t="s">
        <v>24</v>
      </c>
      <c r="D92" s="11" t="s">
        <v>2659</v>
      </c>
      <c r="E92" s="19" t="s">
        <v>396</v>
      </c>
      <c r="F92" s="19" t="s">
        <v>28</v>
      </c>
      <c r="G92" s="11" t="s">
        <v>2276</v>
      </c>
      <c r="H92" s="11" t="s">
        <v>523</v>
      </c>
      <c r="I92" s="11"/>
      <c r="J92" s="74" t="s">
        <v>2276</v>
      </c>
      <c r="K92" s="74" t="s">
        <v>2276</v>
      </c>
      <c r="L92" s="74" t="s">
        <v>2276</v>
      </c>
      <c r="M92" s="74" t="s">
        <v>2276</v>
      </c>
      <c r="N92" s="74" t="s">
        <v>2276</v>
      </c>
      <c r="O92" s="74" t="s">
        <v>2276</v>
      </c>
      <c r="P92" s="74" t="s">
        <v>2276</v>
      </c>
      <c r="Q92" s="74" t="s">
        <v>2276</v>
      </c>
      <c r="R92" s="74" t="s">
        <v>2276</v>
      </c>
      <c r="S92" s="74" t="s">
        <v>2276</v>
      </c>
      <c r="T92" s="74" t="s">
        <v>2276</v>
      </c>
      <c r="U92" s="74" t="s">
        <v>2276</v>
      </c>
      <c r="V92" s="74" t="s">
        <v>2276</v>
      </c>
      <c r="W92" s="74" t="s">
        <v>2276</v>
      </c>
      <c r="X92" s="74" t="s">
        <v>2276</v>
      </c>
      <c r="Y92" s="181" t="s">
        <v>2276</v>
      </c>
      <c r="Z92" s="11" t="s">
        <v>38</v>
      </c>
      <c r="AA92" s="11" t="s">
        <v>86</v>
      </c>
      <c r="AB92" s="11" t="s">
        <v>64</v>
      </c>
      <c r="AC92" s="19" t="s">
        <v>1314</v>
      </c>
      <c r="AD92" s="19" t="s">
        <v>5026</v>
      </c>
    </row>
    <row r="93" spans="1:30" ht="109" customHeight="1">
      <c r="A93" s="11" t="s">
        <v>1272</v>
      </c>
      <c r="B93" s="11" t="s">
        <v>1294</v>
      </c>
      <c r="C93" s="11" t="s">
        <v>24</v>
      </c>
      <c r="D93" s="11" t="s">
        <v>2659</v>
      </c>
      <c r="E93" s="19" t="s">
        <v>396</v>
      </c>
      <c r="F93" s="19" t="s">
        <v>28</v>
      </c>
      <c r="G93" s="11" t="s">
        <v>2276</v>
      </c>
      <c r="H93" s="11" t="s">
        <v>523</v>
      </c>
      <c r="I93" s="11"/>
      <c r="J93" s="74" t="s">
        <v>2276</v>
      </c>
      <c r="K93" s="74" t="s">
        <v>2276</v>
      </c>
      <c r="L93" s="74" t="s">
        <v>2276</v>
      </c>
      <c r="M93" s="74" t="s">
        <v>2276</v>
      </c>
      <c r="N93" s="74" t="s">
        <v>2276</v>
      </c>
      <c r="O93" s="74" t="s">
        <v>2276</v>
      </c>
      <c r="P93" s="74" t="s">
        <v>2276</v>
      </c>
      <c r="Q93" s="74" t="s">
        <v>2276</v>
      </c>
      <c r="R93" s="74" t="s">
        <v>2276</v>
      </c>
      <c r="S93" s="74" t="s">
        <v>2276</v>
      </c>
      <c r="T93" s="74" t="s">
        <v>2276</v>
      </c>
      <c r="U93" s="74" t="s">
        <v>2276</v>
      </c>
      <c r="V93" s="74" t="s">
        <v>2276</v>
      </c>
      <c r="W93" s="74" t="s">
        <v>2276</v>
      </c>
      <c r="X93" s="74" t="s">
        <v>2276</v>
      </c>
      <c r="Y93" s="181" t="s">
        <v>2276</v>
      </c>
      <c r="Z93" s="11" t="s">
        <v>75</v>
      </c>
      <c r="AA93" s="11" t="s">
        <v>35</v>
      </c>
      <c r="AB93" s="11" t="s">
        <v>64</v>
      </c>
      <c r="AC93" s="19" t="s">
        <v>1315</v>
      </c>
      <c r="AD93" s="19" t="s">
        <v>5025</v>
      </c>
    </row>
    <row r="94" spans="1:30" ht="88" customHeight="1">
      <c r="A94" s="11" t="s">
        <v>1272</v>
      </c>
      <c r="B94" s="11" t="s">
        <v>1295</v>
      </c>
      <c r="C94" s="11" t="s">
        <v>24</v>
      </c>
      <c r="D94" s="11" t="s">
        <v>2659</v>
      </c>
      <c r="E94" s="19" t="s">
        <v>396</v>
      </c>
      <c r="F94" s="19" t="s">
        <v>28</v>
      </c>
      <c r="G94" s="11" t="s">
        <v>2276</v>
      </c>
      <c r="H94" s="11" t="s">
        <v>523</v>
      </c>
      <c r="I94" s="11"/>
      <c r="J94" s="74" t="s">
        <v>2276</v>
      </c>
      <c r="K94" s="74" t="s">
        <v>2276</v>
      </c>
      <c r="L94" s="74" t="s">
        <v>2276</v>
      </c>
      <c r="M94" s="74" t="s">
        <v>2276</v>
      </c>
      <c r="N94" s="74" t="s">
        <v>2276</v>
      </c>
      <c r="O94" s="74" t="s">
        <v>2276</v>
      </c>
      <c r="P94" s="74" t="s">
        <v>2276</v>
      </c>
      <c r="Q94" s="74" t="s">
        <v>2276</v>
      </c>
      <c r="R94" s="74" t="s">
        <v>2276</v>
      </c>
      <c r="S94" s="74" t="s">
        <v>2276</v>
      </c>
      <c r="T94" s="74" t="s">
        <v>2276</v>
      </c>
      <c r="U94" s="74" t="s">
        <v>2276</v>
      </c>
      <c r="V94" s="74" t="s">
        <v>2276</v>
      </c>
      <c r="W94" s="74" t="s">
        <v>2276</v>
      </c>
      <c r="X94" s="74" t="s">
        <v>2276</v>
      </c>
      <c r="Y94" s="181" t="s">
        <v>2276</v>
      </c>
      <c r="Z94" s="11" t="s">
        <v>38</v>
      </c>
      <c r="AA94" s="11" t="s">
        <v>86</v>
      </c>
      <c r="AB94" s="11" t="s">
        <v>64</v>
      </c>
      <c r="AC94" s="19" t="s">
        <v>1314</v>
      </c>
      <c r="AD94" s="19" t="s">
        <v>5026</v>
      </c>
    </row>
    <row r="95" spans="1:30" ht="88" customHeight="1">
      <c r="A95" s="11" t="s">
        <v>1273</v>
      </c>
      <c r="B95" s="11" t="s">
        <v>1296</v>
      </c>
      <c r="C95" s="11" t="s">
        <v>24</v>
      </c>
      <c r="D95" s="11" t="s">
        <v>2659</v>
      </c>
      <c r="E95" s="19" t="s">
        <v>396</v>
      </c>
      <c r="F95" s="19" t="s">
        <v>28</v>
      </c>
      <c r="G95" s="11" t="s">
        <v>2276</v>
      </c>
      <c r="H95" s="11" t="s">
        <v>523</v>
      </c>
      <c r="I95" s="11"/>
      <c r="J95" s="74" t="s">
        <v>2276</v>
      </c>
      <c r="K95" s="74" t="s">
        <v>2276</v>
      </c>
      <c r="L95" s="74" t="s">
        <v>2276</v>
      </c>
      <c r="M95" s="74" t="s">
        <v>2276</v>
      </c>
      <c r="N95" s="74" t="s">
        <v>2276</v>
      </c>
      <c r="O95" s="74" t="s">
        <v>2276</v>
      </c>
      <c r="P95" s="74" t="s">
        <v>2276</v>
      </c>
      <c r="Q95" s="74" t="s">
        <v>2276</v>
      </c>
      <c r="R95" s="74" t="s">
        <v>2276</v>
      </c>
      <c r="S95" s="74" t="s">
        <v>2276</v>
      </c>
      <c r="T95" s="74" t="s">
        <v>2276</v>
      </c>
      <c r="U95" s="74" t="s">
        <v>2276</v>
      </c>
      <c r="V95" s="74" t="s">
        <v>2276</v>
      </c>
      <c r="W95" s="74" t="s">
        <v>2276</v>
      </c>
      <c r="X95" s="74" t="s">
        <v>2276</v>
      </c>
      <c r="Y95" s="181" t="s">
        <v>2276</v>
      </c>
      <c r="Z95" s="11" t="s">
        <v>75</v>
      </c>
      <c r="AA95" s="11" t="s">
        <v>35</v>
      </c>
      <c r="AB95" s="11" t="s">
        <v>64</v>
      </c>
      <c r="AC95" s="19" t="s">
        <v>1315</v>
      </c>
      <c r="AD95" s="19" t="s">
        <v>5025</v>
      </c>
    </row>
    <row r="96" spans="1:30" ht="88" customHeight="1">
      <c r="A96" s="11" t="s">
        <v>1273</v>
      </c>
      <c r="B96" s="11" t="s">
        <v>1297</v>
      </c>
      <c r="C96" s="11" t="s">
        <v>24</v>
      </c>
      <c r="D96" s="11" t="s">
        <v>2659</v>
      </c>
      <c r="E96" s="19" t="s">
        <v>396</v>
      </c>
      <c r="F96" s="19" t="s">
        <v>28</v>
      </c>
      <c r="G96" s="11" t="s">
        <v>2276</v>
      </c>
      <c r="H96" s="11" t="s">
        <v>523</v>
      </c>
      <c r="I96" s="11"/>
      <c r="J96" s="74" t="s">
        <v>2276</v>
      </c>
      <c r="K96" s="74" t="s">
        <v>2276</v>
      </c>
      <c r="L96" s="74" t="s">
        <v>2276</v>
      </c>
      <c r="M96" s="74" t="s">
        <v>2276</v>
      </c>
      <c r="N96" s="74" t="s">
        <v>2276</v>
      </c>
      <c r="O96" s="74" t="s">
        <v>2276</v>
      </c>
      <c r="P96" s="74" t="s">
        <v>2276</v>
      </c>
      <c r="Q96" s="74" t="s">
        <v>2276</v>
      </c>
      <c r="R96" s="74" t="s">
        <v>2276</v>
      </c>
      <c r="S96" s="74" t="s">
        <v>2276</v>
      </c>
      <c r="T96" s="74" t="s">
        <v>2276</v>
      </c>
      <c r="U96" s="74" t="s">
        <v>2276</v>
      </c>
      <c r="V96" s="74" t="s">
        <v>2276</v>
      </c>
      <c r="W96" s="74" t="s">
        <v>2276</v>
      </c>
      <c r="X96" s="74" t="s">
        <v>2276</v>
      </c>
      <c r="Y96" s="181" t="s">
        <v>2276</v>
      </c>
      <c r="Z96" s="11" t="s">
        <v>38</v>
      </c>
      <c r="AA96" s="11" t="s">
        <v>86</v>
      </c>
      <c r="AB96" s="11" t="s">
        <v>64</v>
      </c>
      <c r="AC96" s="19" t="s">
        <v>1314</v>
      </c>
      <c r="AD96" s="19" t="s">
        <v>5026</v>
      </c>
    </row>
    <row r="97" spans="1:30" ht="88" customHeight="1">
      <c r="A97" s="11" t="s">
        <v>1274</v>
      </c>
      <c r="B97" s="11" t="s">
        <v>1298</v>
      </c>
      <c r="C97" s="11" t="s">
        <v>24</v>
      </c>
      <c r="D97" s="11" t="s">
        <v>2659</v>
      </c>
      <c r="E97" s="19" t="s">
        <v>396</v>
      </c>
      <c r="F97" s="19" t="s">
        <v>28</v>
      </c>
      <c r="G97" s="11" t="s">
        <v>2276</v>
      </c>
      <c r="H97" s="11" t="s">
        <v>523</v>
      </c>
      <c r="I97" s="11"/>
      <c r="J97" s="74" t="s">
        <v>2276</v>
      </c>
      <c r="K97" s="74" t="s">
        <v>2276</v>
      </c>
      <c r="L97" s="74" t="s">
        <v>2276</v>
      </c>
      <c r="M97" s="74" t="s">
        <v>2276</v>
      </c>
      <c r="N97" s="74" t="s">
        <v>2276</v>
      </c>
      <c r="O97" s="74" t="s">
        <v>2276</v>
      </c>
      <c r="P97" s="74" t="s">
        <v>2276</v>
      </c>
      <c r="Q97" s="74" t="s">
        <v>2276</v>
      </c>
      <c r="R97" s="74" t="s">
        <v>2276</v>
      </c>
      <c r="S97" s="74" t="s">
        <v>2276</v>
      </c>
      <c r="T97" s="74" t="s">
        <v>2276</v>
      </c>
      <c r="U97" s="74" t="s">
        <v>2276</v>
      </c>
      <c r="V97" s="74" t="s">
        <v>2276</v>
      </c>
      <c r="W97" s="74" t="s">
        <v>2276</v>
      </c>
      <c r="X97" s="74" t="s">
        <v>2276</v>
      </c>
      <c r="Y97" s="181" t="s">
        <v>2276</v>
      </c>
      <c r="Z97" s="11" t="s">
        <v>75</v>
      </c>
      <c r="AA97" s="11" t="s">
        <v>35</v>
      </c>
      <c r="AB97" s="11" t="s">
        <v>64</v>
      </c>
      <c r="AC97" s="19" t="s">
        <v>1315</v>
      </c>
      <c r="AD97" s="19" t="s">
        <v>5025</v>
      </c>
    </row>
    <row r="98" spans="1:30" ht="88" customHeight="1">
      <c r="A98" s="11" t="s">
        <v>1274</v>
      </c>
      <c r="B98" s="11" t="s">
        <v>1299</v>
      </c>
      <c r="C98" s="11" t="s">
        <v>24</v>
      </c>
      <c r="D98" s="11" t="s">
        <v>2659</v>
      </c>
      <c r="E98" s="19" t="s">
        <v>396</v>
      </c>
      <c r="F98" s="19" t="s">
        <v>28</v>
      </c>
      <c r="G98" s="11" t="s">
        <v>2276</v>
      </c>
      <c r="H98" s="11" t="s">
        <v>523</v>
      </c>
      <c r="I98" s="11"/>
      <c r="J98" s="74" t="s">
        <v>2276</v>
      </c>
      <c r="K98" s="74" t="s">
        <v>2276</v>
      </c>
      <c r="L98" s="74" t="s">
        <v>2276</v>
      </c>
      <c r="M98" s="74" t="s">
        <v>2276</v>
      </c>
      <c r="N98" s="74" t="s">
        <v>2276</v>
      </c>
      <c r="O98" s="74" t="s">
        <v>2276</v>
      </c>
      <c r="P98" s="74" t="s">
        <v>2276</v>
      </c>
      <c r="Q98" s="74" t="s">
        <v>2276</v>
      </c>
      <c r="R98" s="74" t="s">
        <v>2276</v>
      </c>
      <c r="S98" s="74" t="s">
        <v>2276</v>
      </c>
      <c r="T98" s="74" t="s">
        <v>2276</v>
      </c>
      <c r="U98" s="74" t="s">
        <v>2276</v>
      </c>
      <c r="V98" s="74" t="s">
        <v>2276</v>
      </c>
      <c r="W98" s="74" t="s">
        <v>2276</v>
      </c>
      <c r="X98" s="74" t="s">
        <v>2276</v>
      </c>
      <c r="Y98" s="181" t="s">
        <v>2276</v>
      </c>
      <c r="Z98" s="11" t="s">
        <v>38</v>
      </c>
      <c r="AA98" s="11" t="s">
        <v>86</v>
      </c>
      <c r="AB98" s="11" t="s">
        <v>64</v>
      </c>
      <c r="AC98" s="19" t="s">
        <v>1314</v>
      </c>
      <c r="AD98" s="19" t="s">
        <v>5026</v>
      </c>
    </row>
    <row r="99" spans="1:30" ht="88" customHeight="1">
      <c r="A99" s="11" t="s">
        <v>1275</v>
      </c>
      <c r="B99" s="11" t="s">
        <v>1300</v>
      </c>
      <c r="C99" s="11" t="s">
        <v>24</v>
      </c>
      <c r="D99" s="11" t="s">
        <v>2659</v>
      </c>
      <c r="E99" s="19" t="s">
        <v>396</v>
      </c>
      <c r="F99" s="19" t="s">
        <v>28</v>
      </c>
      <c r="G99" s="11" t="s">
        <v>2276</v>
      </c>
      <c r="H99" s="11" t="s">
        <v>523</v>
      </c>
      <c r="I99" s="11"/>
      <c r="J99" s="74" t="s">
        <v>2276</v>
      </c>
      <c r="K99" s="74" t="s">
        <v>2276</v>
      </c>
      <c r="L99" s="74" t="s">
        <v>2276</v>
      </c>
      <c r="M99" s="74" t="s">
        <v>2276</v>
      </c>
      <c r="N99" s="74" t="s">
        <v>2276</v>
      </c>
      <c r="O99" s="74" t="s">
        <v>2276</v>
      </c>
      <c r="P99" s="74" t="s">
        <v>2276</v>
      </c>
      <c r="Q99" s="74" t="s">
        <v>2276</v>
      </c>
      <c r="R99" s="74" t="s">
        <v>2276</v>
      </c>
      <c r="S99" s="74" t="s">
        <v>2276</v>
      </c>
      <c r="T99" s="74" t="s">
        <v>2276</v>
      </c>
      <c r="U99" s="74" t="s">
        <v>2276</v>
      </c>
      <c r="V99" s="74" t="s">
        <v>2276</v>
      </c>
      <c r="W99" s="74" t="s">
        <v>2276</v>
      </c>
      <c r="X99" s="74" t="s">
        <v>2276</v>
      </c>
      <c r="Y99" s="181" t="s">
        <v>2276</v>
      </c>
      <c r="Z99" s="11" t="s">
        <v>75</v>
      </c>
      <c r="AA99" s="11" t="s">
        <v>35</v>
      </c>
      <c r="AB99" s="11" t="s">
        <v>64</v>
      </c>
      <c r="AC99" s="19" t="s">
        <v>1315</v>
      </c>
      <c r="AD99" s="19" t="s">
        <v>5025</v>
      </c>
    </row>
    <row r="100" spans="1:30" ht="88" customHeight="1">
      <c r="A100" s="11" t="s">
        <v>1275</v>
      </c>
      <c r="B100" s="11" t="s">
        <v>1301</v>
      </c>
      <c r="C100" s="11" t="s">
        <v>24</v>
      </c>
      <c r="D100" s="11" t="s">
        <v>2659</v>
      </c>
      <c r="E100" s="19" t="s">
        <v>396</v>
      </c>
      <c r="F100" s="19" t="s">
        <v>28</v>
      </c>
      <c r="G100" s="11" t="s">
        <v>2276</v>
      </c>
      <c r="H100" s="11" t="s">
        <v>523</v>
      </c>
      <c r="I100" s="11"/>
      <c r="J100" s="74" t="s">
        <v>2276</v>
      </c>
      <c r="K100" s="74" t="s">
        <v>2276</v>
      </c>
      <c r="L100" s="74" t="s">
        <v>2276</v>
      </c>
      <c r="M100" s="74" t="s">
        <v>2276</v>
      </c>
      <c r="N100" s="74" t="s">
        <v>2276</v>
      </c>
      <c r="O100" s="74" t="s">
        <v>2276</v>
      </c>
      <c r="P100" s="74" t="s">
        <v>2276</v>
      </c>
      <c r="Q100" s="74" t="s">
        <v>2276</v>
      </c>
      <c r="R100" s="74" t="s">
        <v>2276</v>
      </c>
      <c r="S100" s="74" t="s">
        <v>2276</v>
      </c>
      <c r="T100" s="74" t="s">
        <v>2276</v>
      </c>
      <c r="U100" s="74" t="s">
        <v>2276</v>
      </c>
      <c r="V100" s="74" t="s">
        <v>2276</v>
      </c>
      <c r="W100" s="74" t="s">
        <v>2276</v>
      </c>
      <c r="X100" s="74" t="s">
        <v>2276</v>
      </c>
      <c r="Y100" s="181" t="s">
        <v>2276</v>
      </c>
      <c r="Z100" s="11" t="s">
        <v>38</v>
      </c>
      <c r="AA100" s="11" t="s">
        <v>86</v>
      </c>
      <c r="AB100" s="11" t="s">
        <v>64</v>
      </c>
      <c r="AC100" s="19" t="s">
        <v>1314</v>
      </c>
      <c r="AD100" s="19" t="s">
        <v>5026</v>
      </c>
    </row>
    <row r="101" spans="1:30" ht="88" customHeight="1">
      <c r="A101" s="11" t="s">
        <v>1276</v>
      </c>
      <c r="B101" s="11" t="s">
        <v>1302</v>
      </c>
      <c r="C101" s="11" t="s">
        <v>24</v>
      </c>
      <c r="D101" s="11" t="s">
        <v>2659</v>
      </c>
      <c r="E101" s="19" t="s">
        <v>396</v>
      </c>
      <c r="F101" s="19" t="s">
        <v>28</v>
      </c>
      <c r="G101" s="11" t="s">
        <v>2276</v>
      </c>
      <c r="H101" s="11" t="s">
        <v>523</v>
      </c>
      <c r="I101" s="11"/>
      <c r="J101" s="74" t="s">
        <v>2276</v>
      </c>
      <c r="K101" s="74" t="s">
        <v>2276</v>
      </c>
      <c r="L101" s="74" t="s">
        <v>2276</v>
      </c>
      <c r="M101" s="74" t="s">
        <v>2276</v>
      </c>
      <c r="N101" s="74" t="s">
        <v>2276</v>
      </c>
      <c r="O101" s="74" t="s">
        <v>2276</v>
      </c>
      <c r="P101" s="74" t="s">
        <v>2276</v>
      </c>
      <c r="Q101" s="74" t="s">
        <v>2276</v>
      </c>
      <c r="R101" s="74" t="s">
        <v>2276</v>
      </c>
      <c r="S101" s="74" t="s">
        <v>2276</v>
      </c>
      <c r="T101" s="74" t="s">
        <v>2276</v>
      </c>
      <c r="U101" s="74" t="s">
        <v>2276</v>
      </c>
      <c r="V101" s="74" t="s">
        <v>2276</v>
      </c>
      <c r="W101" s="74" t="s">
        <v>2276</v>
      </c>
      <c r="X101" s="74" t="s">
        <v>2276</v>
      </c>
      <c r="Y101" s="181" t="s">
        <v>2276</v>
      </c>
      <c r="Z101" s="11" t="s">
        <v>75</v>
      </c>
      <c r="AA101" s="11" t="s">
        <v>35</v>
      </c>
      <c r="AB101" s="11" t="s">
        <v>64</v>
      </c>
      <c r="AC101" s="19" t="s">
        <v>1315</v>
      </c>
      <c r="AD101" s="19" t="s">
        <v>5025</v>
      </c>
    </row>
    <row r="102" spans="1:30" ht="88" customHeight="1">
      <c r="A102" s="11" t="s">
        <v>1276</v>
      </c>
      <c r="B102" s="11" t="s">
        <v>1303</v>
      </c>
      <c r="C102" s="11" t="s">
        <v>24</v>
      </c>
      <c r="D102" s="11" t="s">
        <v>2659</v>
      </c>
      <c r="E102" s="19" t="s">
        <v>396</v>
      </c>
      <c r="F102" s="19" t="s">
        <v>28</v>
      </c>
      <c r="G102" s="11" t="s">
        <v>2276</v>
      </c>
      <c r="H102" s="11" t="s">
        <v>523</v>
      </c>
      <c r="I102" s="11"/>
      <c r="J102" s="74" t="s">
        <v>2276</v>
      </c>
      <c r="K102" s="74" t="s">
        <v>2276</v>
      </c>
      <c r="L102" s="74" t="s">
        <v>2276</v>
      </c>
      <c r="M102" s="74" t="s">
        <v>2276</v>
      </c>
      <c r="N102" s="74" t="s">
        <v>2276</v>
      </c>
      <c r="O102" s="74" t="s">
        <v>2276</v>
      </c>
      <c r="P102" s="74" t="s">
        <v>2276</v>
      </c>
      <c r="Q102" s="74" t="s">
        <v>2276</v>
      </c>
      <c r="R102" s="74" t="s">
        <v>2276</v>
      </c>
      <c r="S102" s="74" t="s">
        <v>2276</v>
      </c>
      <c r="T102" s="74" t="s">
        <v>2276</v>
      </c>
      <c r="U102" s="74" t="s">
        <v>2276</v>
      </c>
      <c r="V102" s="74" t="s">
        <v>2276</v>
      </c>
      <c r="W102" s="74" t="s">
        <v>2276</v>
      </c>
      <c r="X102" s="74" t="s">
        <v>2276</v>
      </c>
      <c r="Y102" s="181" t="s">
        <v>2276</v>
      </c>
      <c r="Z102" s="11" t="s">
        <v>38</v>
      </c>
      <c r="AA102" s="11" t="s">
        <v>86</v>
      </c>
      <c r="AB102" s="11" t="s">
        <v>64</v>
      </c>
      <c r="AC102" s="19" t="s">
        <v>1314</v>
      </c>
      <c r="AD102" s="19" t="s">
        <v>5026</v>
      </c>
    </row>
    <row r="103" spans="1:30" ht="88" customHeight="1">
      <c r="A103" s="11" t="s">
        <v>1277</v>
      </c>
      <c r="B103" s="11" t="s">
        <v>1304</v>
      </c>
      <c r="C103" s="11" t="s">
        <v>24</v>
      </c>
      <c r="D103" s="11" t="s">
        <v>2659</v>
      </c>
      <c r="E103" s="19" t="s">
        <v>396</v>
      </c>
      <c r="F103" s="19" t="s">
        <v>28</v>
      </c>
      <c r="G103" s="11" t="s">
        <v>2276</v>
      </c>
      <c r="H103" s="11" t="s">
        <v>523</v>
      </c>
      <c r="I103" s="11"/>
      <c r="J103" s="74" t="s">
        <v>2276</v>
      </c>
      <c r="K103" s="74" t="s">
        <v>2276</v>
      </c>
      <c r="L103" s="74" t="s">
        <v>2276</v>
      </c>
      <c r="M103" s="74" t="s">
        <v>2276</v>
      </c>
      <c r="N103" s="74" t="s">
        <v>2276</v>
      </c>
      <c r="O103" s="74" t="s">
        <v>2276</v>
      </c>
      <c r="P103" s="74" t="s">
        <v>2276</v>
      </c>
      <c r="Q103" s="74" t="s">
        <v>2276</v>
      </c>
      <c r="R103" s="74" t="s">
        <v>2276</v>
      </c>
      <c r="S103" s="74" t="s">
        <v>2276</v>
      </c>
      <c r="T103" s="74" t="s">
        <v>2276</v>
      </c>
      <c r="U103" s="74" t="s">
        <v>2276</v>
      </c>
      <c r="V103" s="74" t="s">
        <v>2276</v>
      </c>
      <c r="W103" s="74" t="s">
        <v>2276</v>
      </c>
      <c r="X103" s="74" t="s">
        <v>2276</v>
      </c>
      <c r="Y103" s="181" t="s">
        <v>2276</v>
      </c>
      <c r="Z103" s="11" t="s">
        <v>75</v>
      </c>
      <c r="AA103" s="11" t="s">
        <v>35</v>
      </c>
      <c r="AB103" s="11" t="s">
        <v>64</v>
      </c>
      <c r="AC103" s="19" t="s">
        <v>1315</v>
      </c>
      <c r="AD103" s="19" t="s">
        <v>5025</v>
      </c>
    </row>
    <row r="104" spans="1:30" ht="88" customHeight="1">
      <c r="A104" s="11" t="s">
        <v>1277</v>
      </c>
      <c r="B104" s="11" t="s">
        <v>1305</v>
      </c>
      <c r="C104" s="11" t="s">
        <v>24</v>
      </c>
      <c r="D104" s="11" t="s">
        <v>2659</v>
      </c>
      <c r="E104" s="19" t="s">
        <v>396</v>
      </c>
      <c r="F104" s="19" t="s">
        <v>28</v>
      </c>
      <c r="G104" s="11" t="s">
        <v>2276</v>
      </c>
      <c r="H104" s="11" t="s">
        <v>523</v>
      </c>
      <c r="I104" s="11"/>
      <c r="J104" s="74" t="s">
        <v>2276</v>
      </c>
      <c r="K104" s="74" t="s">
        <v>2276</v>
      </c>
      <c r="L104" s="74" t="s">
        <v>2276</v>
      </c>
      <c r="M104" s="74" t="s">
        <v>2276</v>
      </c>
      <c r="N104" s="74" t="s">
        <v>2276</v>
      </c>
      <c r="O104" s="74" t="s">
        <v>2276</v>
      </c>
      <c r="P104" s="74" t="s">
        <v>2276</v>
      </c>
      <c r="Q104" s="74" t="s">
        <v>2276</v>
      </c>
      <c r="R104" s="74" t="s">
        <v>2276</v>
      </c>
      <c r="S104" s="74" t="s">
        <v>2276</v>
      </c>
      <c r="T104" s="74" t="s">
        <v>2276</v>
      </c>
      <c r="U104" s="74" t="s">
        <v>2276</v>
      </c>
      <c r="V104" s="74" t="s">
        <v>2276</v>
      </c>
      <c r="W104" s="74" t="s">
        <v>2276</v>
      </c>
      <c r="X104" s="74" t="s">
        <v>2276</v>
      </c>
      <c r="Y104" s="181" t="s">
        <v>2276</v>
      </c>
      <c r="Z104" s="11" t="s">
        <v>38</v>
      </c>
      <c r="AA104" s="11" t="s">
        <v>86</v>
      </c>
      <c r="AB104" s="11" t="s">
        <v>64</v>
      </c>
      <c r="AC104" s="19" t="s">
        <v>1314</v>
      </c>
      <c r="AD104" s="19" t="s">
        <v>5026</v>
      </c>
    </row>
    <row r="105" spans="1:30" ht="88" customHeight="1">
      <c r="A105" s="11" t="s">
        <v>1278</v>
      </c>
      <c r="B105" s="11" t="s">
        <v>1306</v>
      </c>
      <c r="C105" s="11" t="s">
        <v>24</v>
      </c>
      <c r="D105" s="11" t="s">
        <v>2659</v>
      </c>
      <c r="E105" s="19" t="s">
        <v>396</v>
      </c>
      <c r="F105" s="19" t="s">
        <v>28</v>
      </c>
      <c r="G105" s="11" t="s">
        <v>2276</v>
      </c>
      <c r="H105" s="11" t="s">
        <v>523</v>
      </c>
      <c r="I105" s="11"/>
      <c r="J105" s="74" t="s">
        <v>2276</v>
      </c>
      <c r="K105" s="74" t="s">
        <v>2276</v>
      </c>
      <c r="L105" s="74" t="s">
        <v>2276</v>
      </c>
      <c r="M105" s="74" t="s">
        <v>2276</v>
      </c>
      <c r="N105" s="74" t="s">
        <v>2276</v>
      </c>
      <c r="O105" s="74" t="s">
        <v>2276</v>
      </c>
      <c r="P105" s="74" t="s">
        <v>2276</v>
      </c>
      <c r="Q105" s="74" t="s">
        <v>2276</v>
      </c>
      <c r="R105" s="74" t="s">
        <v>2276</v>
      </c>
      <c r="S105" s="74" t="s">
        <v>2276</v>
      </c>
      <c r="T105" s="74" t="s">
        <v>2276</v>
      </c>
      <c r="U105" s="74" t="s">
        <v>2276</v>
      </c>
      <c r="V105" s="74" t="s">
        <v>2276</v>
      </c>
      <c r="W105" s="74" t="s">
        <v>2276</v>
      </c>
      <c r="X105" s="74" t="s">
        <v>2276</v>
      </c>
      <c r="Y105" s="181" t="s">
        <v>2276</v>
      </c>
      <c r="Z105" s="11" t="s">
        <v>75</v>
      </c>
      <c r="AA105" s="11" t="s">
        <v>35</v>
      </c>
      <c r="AB105" s="11" t="s">
        <v>64</v>
      </c>
      <c r="AC105" s="19" t="s">
        <v>1315</v>
      </c>
      <c r="AD105" s="19" t="s">
        <v>5025</v>
      </c>
    </row>
    <row r="106" spans="1:30" ht="88" customHeight="1">
      <c r="A106" s="11" t="s">
        <v>1278</v>
      </c>
      <c r="B106" s="11" t="s">
        <v>1307</v>
      </c>
      <c r="C106" s="11" t="s">
        <v>24</v>
      </c>
      <c r="D106" s="11" t="s">
        <v>2659</v>
      </c>
      <c r="E106" s="19" t="s">
        <v>396</v>
      </c>
      <c r="F106" s="19" t="s">
        <v>28</v>
      </c>
      <c r="G106" s="11" t="s">
        <v>2276</v>
      </c>
      <c r="H106" s="11" t="s">
        <v>523</v>
      </c>
      <c r="I106" s="11"/>
      <c r="J106" s="74" t="s">
        <v>2276</v>
      </c>
      <c r="K106" s="74" t="s">
        <v>2276</v>
      </c>
      <c r="L106" s="74" t="s">
        <v>2276</v>
      </c>
      <c r="M106" s="74" t="s">
        <v>2276</v>
      </c>
      <c r="N106" s="74" t="s">
        <v>2276</v>
      </c>
      <c r="O106" s="74" t="s">
        <v>2276</v>
      </c>
      <c r="P106" s="74" t="s">
        <v>2276</v>
      </c>
      <c r="Q106" s="74" t="s">
        <v>2276</v>
      </c>
      <c r="R106" s="74" t="s">
        <v>2276</v>
      </c>
      <c r="S106" s="74" t="s">
        <v>2276</v>
      </c>
      <c r="T106" s="74" t="s">
        <v>2276</v>
      </c>
      <c r="U106" s="74" t="s">
        <v>2276</v>
      </c>
      <c r="V106" s="74" t="s">
        <v>2276</v>
      </c>
      <c r="W106" s="74" t="s">
        <v>2276</v>
      </c>
      <c r="X106" s="74" t="s">
        <v>2276</v>
      </c>
      <c r="Y106" s="181" t="s">
        <v>2276</v>
      </c>
      <c r="Z106" s="11" t="s">
        <v>38</v>
      </c>
      <c r="AA106" s="11" t="s">
        <v>86</v>
      </c>
      <c r="AB106" s="11" t="s">
        <v>64</v>
      </c>
      <c r="AC106" s="19" t="s">
        <v>1314</v>
      </c>
      <c r="AD106" s="19" t="s">
        <v>5026</v>
      </c>
    </row>
    <row r="107" spans="1:30" ht="88" customHeight="1">
      <c r="A107" s="11" t="s">
        <v>1279</v>
      </c>
      <c r="B107" s="11" t="s">
        <v>1308</v>
      </c>
      <c r="C107" s="11" t="s">
        <v>24</v>
      </c>
      <c r="D107" s="11" t="s">
        <v>2659</v>
      </c>
      <c r="E107" s="19" t="s">
        <v>396</v>
      </c>
      <c r="F107" s="19" t="s">
        <v>28</v>
      </c>
      <c r="G107" s="11" t="s">
        <v>2276</v>
      </c>
      <c r="H107" s="11" t="s">
        <v>523</v>
      </c>
      <c r="I107" s="11"/>
      <c r="J107" s="74" t="s">
        <v>2276</v>
      </c>
      <c r="K107" s="74" t="s">
        <v>2276</v>
      </c>
      <c r="L107" s="74" t="s">
        <v>2276</v>
      </c>
      <c r="M107" s="74" t="s">
        <v>2276</v>
      </c>
      <c r="N107" s="74" t="s">
        <v>2276</v>
      </c>
      <c r="O107" s="74" t="s">
        <v>2276</v>
      </c>
      <c r="P107" s="74" t="s">
        <v>2276</v>
      </c>
      <c r="Q107" s="74" t="s">
        <v>2276</v>
      </c>
      <c r="R107" s="74" t="s">
        <v>2276</v>
      </c>
      <c r="S107" s="74" t="s">
        <v>2276</v>
      </c>
      <c r="T107" s="74" t="s">
        <v>2276</v>
      </c>
      <c r="U107" s="74" t="s">
        <v>2276</v>
      </c>
      <c r="V107" s="74" t="s">
        <v>2276</v>
      </c>
      <c r="W107" s="74" t="s">
        <v>2276</v>
      </c>
      <c r="X107" s="74" t="s">
        <v>2276</v>
      </c>
      <c r="Y107" s="181" t="s">
        <v>2276</v>
      </c>
      <c r="Z107" s="11" t="s">
        <v>75</v>
      </c>
      <c r="AA107" s="11" t="s">
        <v>35</v>
      </c>
      <c r="AB107" s="11" t="s">
        <v>64</v>
      </c>
      <c r="AC107" s="19" t="s">
        <v>1315</v>
      </c>
      <c r="AD107" s="19" t="s">
        <v>5025</v>
      </c>
    </row>
    <row r="108" spans="1:30" ht="88" customHeight="1">
      <c r="A108" s="11" t="s">
        <v>1279</v>
      </c>
      <c r="B108" s="11" t="s">
        <v>1309</v>
      </c>
      <c r="C108" s="11" t="s">
        <v>24</v>
      </c>
      <c r="D108" s="11" t="s">
        <v>2659</v>
      </c>
      <c r="E108" s="19" t="s">
        <v>396</v>
      </c>
      <c r="F108" s="19" t="s">
        <v>28</v>
      </c>
      <c r="G108" s="11" t="s">
        <v>2276</v>
      </c>
      <c r="H108" s="11" t="s">
        <v>523</v>
      </c>
      <c r="I108" s="11"/>
      <c r="J108" s="74" t="s">
        <v>2276</v>
      </c>
      <c r="K108" s="74" t="s">
        <v>2276</v>
      </c>
      <c r="L108" s="74" t="s">
        <v>2276</v>
      </c>
      <c r="M108" s="74" t="s">
        <v>2276</v>
      </c>
      <c r="N108" s="74" t="s">
        <v>2276</v>
      </c>
      <c r="O108" s="74" t="s">
        <v>2276</v>
      </c>
      <c r="P108" s="74" t="s">
        <v>2276</v>
      </c>
      <c r="Q108" s="74" t="s">
        <v>2276</v>
      </c>
      <c r="R108" s="74" t="s">
        <v>2276</v>
      </c>
      <c r="S108" s="74" t="s">
        <v>2276</v>
      </c>
      <c r="T108" s="74" t="s">
        <v>2276</v>
      </c>
      <c r="U108" s="74" t="s">
        <v>2276</v>
      </c>
      <c r="V108" s="74" t="s">
        <v>2276</v>
      </c>
      <c r="W108" s="74" t="s">
        <v>2276</v>
      </c>
      <c r="X108" s="74" t="s">
        <v>2276</v>
      </c>
      <c r="Y108" s="181" t="s">
        <v>2276</v>
      </c>
      <c r="Z108" s="11" t="s">
        <v>38</v>
      </c>
      <c r="AA108" s="11" t="s">
        <v>86</v>
      </c>
      <c r="AB108" s="11" t="s">
        <v>64</v>
      </c>
      <c r="AC108" s="19" t="s">
        <v>1314</v>
      </c>
      <c r="AD108" s="19" t="s">
        <v>5026</v>
      </c>
    </row>
    <row r="109" spans="1:30" ht="88" customHeight="1">
      <c r="A109" s="11" t="s">
        <v>1280</v>
      </c>
      <c r="B109" s="11" t="s">
        <v>1310</v>
      </c>
      <c r="C109" s="11" t="s">
        <v>24</v>
      </c>
      <c r="D109" s="11" t="s">
        <v>2659</v>
      </c>
      <c r="E109" s="19" t="s">
        <v>396</v>
      </c>
      <c r="F109" s="19" t="s">
        <v>28</v>
      </c>
      <c r="G109" s="11" t="s">
        <v>2276</v>
      </c>
      <c r="H109" s="11" t="s">
        <v>523</v>
      </c>
      <c r="I109" s="11"/>
      <c r="J109" s="74" t="s">
        <v>2276</v>
      </c>
      <c r="K109" s="74" t="s">
        <v>2276</v>
      </c>
      <c r="L109" s="74" t="s">
        <v>2276</v>
      </c>
      <c r="M109" s="74" t="s">
        <v>2276</v>
      </c>
      <c r="N109" s="74" t="s">
        <v>2276</v>
      </c>
      <c r="O109" s="74" t="s">
        <v>2276</v>
      </c>
      <c r="P109" s="74" t="s">
        <v>2276</v>
      </c>
      <c r="Q109" s="74" t="s">
        <v>2276</v>
      </c>
      <c r="R109" s="74" t="s">
        <v>2276</v>
      </c>
      <c r="S109" s="74" t="s">
        <v>2276</v>
      </c>
      <c r="T109" s="74" t="s">
        <v>2276</v>
      </c>
      <c r="U109" s="74" t="s">
        <v>2276</v>
      </c>
      <c r="V109" s="74" t="s">
        <v>2276</v>
      </c>
      <c r="W109" s="74" t="s">
        <v>2276</v>
      </c>
      <c r="X109" s="74" t="s">
        <v>2276</v>
      </c>
      <c r="Y109" s="181" t="s">
        <v>2276</v>
      </c>
      <c r="Z109" s="11" t="s">
        <v>75</v>
      </c>
      <c r="AA109" s="11" t="s">
        <v>35</v>
      </c>
      <c r="AB109" s="11" t="s">
        <v>64</v>
      </c>
      <c r="AC109" s="19" t="s">
        <v>1315</v>
      </c>
      <c r="AD109" s="19" t="s">
        <v>5025</v>
      </c>
    </row>
    <row r="110" spans="1:30" ht="88" customHeight="1">
      <c r="A110" s="11" t="s">
        <v>1280</v>
      </c>
      <c r="B110" s="11" t="s">
        <v>1311</v>
      </c>
      <c r="C110" s="11" t="s">
        <v>24</v>
      </c>
      <c r="D110" s="11" t="s">
        <v>2659</v>
      </c>
      <c r="E110" s="19" t="s">
        <v>396</v>
      </c>
      <c r="F110" s="19" t="s">
        <v>28</v>
      </c>
      <c r="G110" s="11" t="s">
        <v>2276</v>
      </c>
      <c r="H110" s="11" t="s">
        <v>523</v>
      </c>
      <c r="I110" s="11"/>
      <c r="J110" s="74" t="s">
        <v>2276</v>
      </c>
      <c r="K110" s="74" t="s">
        <v>2276</v>
      </c>
      <c r="L110" s="74" t="s">
        <v>2276</v>
      </c>
      <c r="M110" s="74" t="s">
        <v>2276</v>
      </c>
      <c r="N110" s="74" t="s">
        <v>2276</v>
      </c>
      <c r="O110" s="74" t="s">
        <v>2276</v>
      </c>
      <c r="P110" s="74" t="s">
        <v>2276</v>
      </c>
      <c r="Q110" s="74" t="s">
        <v>2276</v>
      </c>
      <c r="R110" s="74" t="s">
        <v>2276</v>
      </c>
      <c r="S110" s="74" t="s">
        <v>2276</v>
      </c>
      <c r="T110" s="74" t="s">
        <v>2276</v>
      </c>
      <c r="U110" s="74" t="s">
        <v>2276</v>
      </c>
      <c r="V110" s="74" t="s">
        <v>2276</v>
      </c>
      <c r="W110" s="74" t="s">
        <v>2276</v>
      </c>
      <c r="X110" s="74" t="s">
        <v>2276</v>
      </c>
      <c r="Y110" s="181" t="s">
        <v>2276</v>
      </c>
      <c r="Z110" s="11" t="s">
        <v>38</v>
      </c>
      <c r="AA110" s="11" t="s">
        <v>86</v>
      </c>
      <c r="AB110" s="11" t="s">
        <v>64</v>
      </c>
      <c r="AC110" s="19" t="s">
        <v>1314</v>
      </c>
      <c r="AD110" s="19" t="s">
        <v>5026</v>
      </c>
    </row>
    <row r="111" spans="1:30" ht="88" customHeight="1">
      <c r="A111" s="11" t="s">
        <v>1281</v>
      </c>
      <c r="B111" s="11" t="s">
        <v>1312</v>
      </c>
      <c r="C111" s="11" t="s">
        <v>24</v>
      </c>
      <c r="D111" s="11" t="s">
        <v>2659</v>
      </c>
      <c r="E111" s="19" t="s">
        <v>396</v>
      </c>
      <c r="F111" s="19" t="s">
        <v>28</v>
      </c>
      <c r="G111" s="11" t="s">
        <v>2276</v>
      </c>
      <c r="H111" s="11" t="s">
        <v>523</v>
      </c>
      <c r="I111" s="11"/>
      <c r="J111" s="74" t="s">
        <v>2276</v>
      </c>
      <c r="K111" s="74" t="s">
        <v>2276</v>
      </c>
      <c r="L111" s="74" t="s">
        <v>2276</v>
      </c>
      <c r="M111" s="74" t="s">
        <v>2276</v>
      </c>
      <c r="N111" s="74" t="s">
        <v>2276</v>
      </c>
      <c r="O111" s="74" t="s">
        <v>2276</v>
      </c>
      <c r="P111" s="74" t="s">
        <v>2276</v>
      </c>
      <c r="Q111" s="74" t="s">
        <v>2276</v>
      </c>
      <c r="R111" s="74" t="s">
        <v>2276</v>
      </c>
      <c r="S111" s="74" t="s">
        <v>2276</v>
      </c>
      <c r="T111" s="74" t="s">
        <v>2276</v>
      </c>
      <c r="U111" s="74" t="s">
        <v>2276</v>
      </c>
      <c r="V111" s="74" t="s">
        <v>2276</v>
      </c>
      <c r="W111" s="74" t="s">
        <v>2276</v>
      </c>
      <c r="X111" s="74" t="s">
        <v>2276</v>
      </c>
      <c r="Y111" s="181" t="s">
        <v>2276</v>
      </c>
      <c r="Z111" s="11" t="s">
        <v>75</v>
      </c>
      <c r="AA111" s="11" t="s">
        <v>35</v>
      </c>
      <c r="AB111" s="11" t="s">
        <v>64</v>
      </c>
      <c r="AC111" s="19" t="s">
        <v>1315</v>
      </c>
      <c r="AD111" s="19" t="s">
        <v>5025</v>
      </c>
    </row>
    <row r="112" spans="1:30" ht="88" customHeight="1">
      <c r="A112" s="11" t="s">
        <v>1281</v>
      </c>
      <c r="B112" s="11" t="s">
        <v>1313</v>
      </c>
      <c r="C112" s="11" t="s">
        <v>24</v>
      </c>
      <c r="D112" s="11" t="s">
        <v>2659</v>
      </c>
      <c r="E112" s="19" t="s">
        <v>396</v>
      </c>
      <c r="F112" s="19" t="s">
        <v>28</v>
      </c>
      <c r="G112" s="11" t="s">
        <v>2276</v>
      </c>
      <c r="H112" s="11" t="s">
        <v>523</v>
      </c>
      <c r="I112" s="11"/>
      <c r="J112" s="74" t="s">
        <v>2276</v>
      </c>
      <c r="K112" s="74" t="s">
        <v>2276</v>
      </c>
      <c r="L112" s="74" t="s">
        <v>2276</v>
      </c>
      <c r="M112" s="74" t="s">
        <v>2276</v>
      </c>
      <c r="N112" s="74" t="s">
        <v>2276</v>
      </c>
      <c r="O112" s="74" t="s">
        <v>2276</v>
      </c>
      <c r="P112" s="74" t="s">
        <v>2276</v>
      </c>
      <c r="Q112" s="74" t="s">
        <v>2276</v>
      </c>
      <c r="R112" s="74" t="s">
        <v>2276</v>
      </c>
      <c r="S112" s="74" t="s">
        <v>2276</v>
      </c>
      <c r="T112" s="74" t="s">
        <v>2276</v>
      </c>
      <c r="U112" s="74" t="s">
        <v>2276</v>
      </c>
      <c r="V112" s="74" t="s">
        <v>2276</v>
      </c>
      <c r="W112" s="74" t="s">
        <v>2276</v>
      </c>
      <c r="X112" s="74" t="s">
        <v>2276</v>
      </c>
      <c r="Y112" s="181" t="s">
        <v>2276</v>
      </c>
      <c r="Z112" s="11" t="s">
        <v>38</v>
      </c>
      <c r="AA112" s="11" t="s">
        <v>86</v>
      </c>
      <c r="AB112" s="11" t="s">
        <v>64</v>
      </c>
      <c r="AC112" s="19" t="s">
        <v>1314</v>
      </c>
      <c r="AD112" s="19" t="s">
        <v>5026</v>
      </c>
    </row>
    <row r="113" spans="1:30" ht="50" customHeight="1">
      <c r="A113" s="11" t="s">
        <v>103</v>
      </c>
      <c r="B113" s="3" t="s">
        <v>104</v>
      </c>
      <c r="C113" s="11" t="s">
        <v>24</v>
      </c>
      <c r="D113" s="3" t="s">
        <v>2659</v>
      </c>
      <c r="E113" s="4" t="s">
        <v>396</v>
      </c>
      <c r="F113" s="19" t="s">
        <v>28</v>
      </c>
      <c r="G113" s="11" t="s">
        <v>2276</v>
      </c>
      <c r="H113" s="3" t="s">
        <v>523</v>
      </c>
      <c r="I113" s="11"/>
      <c r="J113" s="21" t="s">
        <v>2276</v>
      </c>
      <c r="K113" s="21" t="s">
        <v>2276</v>
      </c>
      <c r="L113" s="21" t="s">
        <v>2276</v>
      </c>
      <c r="M113" s="21" t="s">
        <v>2276</v>
      </c>
      <c r="N113" s="21" t="s">
        <v>2276</v>
      </c>
      <c r="O113" s="21" t="s">
        <v>2276</v>
      </c>
      <c r="P113" s="21" t="s">
        <v>2276</v>
      </c>
      <c r="Q113" s="21" t="s">
        <v>2276</v>
      </c>
      <c r="R113" s="21" t="s">
        <v>2276</v>
      </c>
      <c r="S113" s="21" t="s">
        <v>2276</v>
      </c>
      <c r="T113" s="21" t="s">
        <v>2276</v>
      </c>
      <c r="U113" s="21" t="s">
        <v>2276</v>
      </c>
      <c r="V113" s="76" t="s">
        <v>2276</v>
      </c>
      <c r="W113" s="76" t="s">
        <v>2276</v>
      </c>
      <c r="X113" s="76" t="s">
        <v>2276</v>
      </c>
      <c r="Y113" s="21" t="s">
        <v>2276</v>
      </c>
      <c r="Z113" s="3" t="s">
        <v>75</v>
      </c>
      <c r="AA113" s="3" t="s">
        <v>35</v>
      </c>
      <c r="AB113" s="3" t="s">
        <v>64</v>
      </c>
      <c r="AC113" s="4" t="s">
        <v>105</v>
      </c>
      <c r="AD113" s="3" t="s">
        <v>5027</v>
      </c>
    </row>
    <row r="114" spans="1:30" ht="140" customHeight="1">
      <c r="A114" s="11" t="s">
        <v>107</v>
      </c>
      <c r="B114" s="3" t="s">
        <v>110</v>
      </c>
      <c r="C114" s="11" t="s">
        <v>24</v>
      </c>
      <c r="D114" s="3" t="s">
        <v>2659</v>
      </c>
      <c r="E114" s="4" t="s">
        <v>396</v>
      </c>
      <c r="F114" s="19" t="s">
        <v>28</v>
      </c>
      <c r="G114" s="11" t="s">
        <v>2276</v>
      </c>
      <c r="H114" s="3" t="s">
        <v>523</v>
      </c>
      <c r="I114" s="11"/>
      <c r="J114" s="21" t="s">
        <v>2276</v>
      </c>
      <c r="K114" s="21" t="s">
        <v>2276</v>
      </c>
      <c r="L114" s="21" t="s">
        <v>2276</v>
      </c>
      <c r="M114" s="21" t="s">
        <v>2276</v>
      </c>
      <c r="N114" s="21" t="s">
        <v>2276</v>
      </c>
      <c r="O114" s="21" t="s">
        <v>2276</v>
      </c>
      <c r="P114" s="21" t="s">
        <v>2276</v>
      </c>
      <c r="Q114" s="21" t="s">
        <v>2276</v>
      </c>
      <c r="R114" s="21" t="s">
        <v>2276</v>
      </c>
      <c r="S114" s="21" t="s">
        <v>2276</v>
      </c>
      <c r="T114" s="21" t="s">
        <v>2276</v>
      </c>
      <c r="U114" s="21" t="s">
        <v>2276</v>
      </c>
      <c r="V114" s="21" t="s">
        <v>2276</v>
      </c>
      <c r="W114" s="21" t="s">
        <v>2276</v>
      </c>
      <c r="X114" s="21" t="s">
        <v>2276</v>
      </c>
      <c r="Y114" s="21">
        <f>5/2.95</f>
        <v>1.6949152542372881</v>
      </c>
      <c r="Z114" s="3" t="s">
        <v>75</v>
      </c>
      <c r="AA114" s="3" t="s">
        <v>35</v>
      </c>
      <c r="AB114" s="3" t="s">
        <v>64</v>
      </c>
      <c r="AC114" s="4" t="s">
        <v>5030</v>
      </c>
      <c r="AD114" s="4" t="s">
        <v>1359</v>
      </c>
    </row>
    <row r="115" spans="1:30" ht="100.5" customHeight="1">
      <c r="A115" s="11" t="s">
        <v>107</v>
      </c>
      <c r="B115" s="3" t="s">
        <v>111</v>
      </c>
      <c r="C115" s="11" t="s">
        <v>24</v>
      </c>
      <c r="D115" s="3" t="s">
        <v>2659</v>
      </c>
      <c r="E115" s="4" t="s">
        <v>397</v>
      </c>
      <c r="F115" s="19" t="s">
        <v>28</v>
      </c>
      <c r="G115" s="11" t="s">
        <v>2276</v>
      </c>
      <c r="H115" s="3" t="s">
        <v>523</v>
      </c>
      <c r="I115" s="11"/>
      <c r="J115" s="21" t="s">
        <v>2276</v>
      </c>
      <c r="K115" s="21" t="s">
        <v>2276</v>
      </c>
      <c r="L115" s="21" t="s">
        <v>2276</v>
      </c>
      <c r="M115" s="21" t="s">
        <v>2276</v>
      </c>
      <c r="N115" s="21" t="s">
        <v>2276</v>
      </c>
      <c r="O115" s="21" t="s">
        <v>2276</v>
      </c>
      <c r="P115" s="21" t="s">
        <v>2276</v>
      </c>
      <c r="Q115" s="21" t="s">
        <v>2276</v>
      </c>
      <c r="R115" s="21" t="s">
        <v>2276</v>
      </c>
      <c r="S115" s="21" t="s">
        <v>2276</v>
      </c>
      <c r="T115" s="21" t="s">
        <v>2276</v>
      </c>
      <c r="U115" s="21" t="s">
        <v>2276</v>
      </c>
      <c r="V115" s="21" t="s">
        <v>2276</v>
      </c>
      <c r="W115" s="21" t="s">
        <v>2276</v>
      </c>
      <c r="X115" s="21" t="s">
        <v>2276</v>
      </c>
      <c r="Y115" s="21">
        <f>5/2.95</f>
        <v>1.6949152542372881</v>
      </c>
      <c r="Z115" s="3" t="s">
        <v>75</v>
      </c>
      <c r="AA115" s="3" t="s">
        <v>35</v>
      </c>
      <c r="AB115" s="3" t="s">
        <v>64</v>
      </c>
      <c r="AC115" s="4" t="s">
        <v>5030</v>
      </c>
      <c r="AD115" s="4" t="s">
        <v>1358</v>
      </c>
    </row>
    <row r="116" spans="1:30" ht="150.5" customHeight="1">
      <c r="A116" s="11" t="s">
        <v>1317</v>
      </c>
      <c r="B116" s="3" t="s">
        <v>1327</v>
      </c>
      <c r="C116" s="11" t="s">
        <v>24</v>
      </c>
      <c r="D116" s="3" t="s">
        <v>2659</v>
      </c>
      <c r="E116" s="4" t="s">
        <v>396</v>
      </c>
      <c r="F116" s="19" t="s">
        <v>28</v>
      </c>
      <c r="G116" s="11" t="s">
        <v>2276</v>
      </c>
      <c r="H116" s="3" t="s">
        <v>523</v>
      </c>
      <c r="I116" s="11"/>
      <c r="J116" s="21" t="s">
        <v>2276</v>
      </c>
      <c r="K116" s="21" t="s">
        <v>2276</v>
      </c>
      <c r="L116" s="21" t="s">
        <v>2276</v>
      </c>
      <c r="M116" s="21" t="s">
        <v>2276</v>
      </c>
      <c r="N116" s="21" t="s">
        <v>2276</v>
      </c>
      <c r="O116" s="21" t="s">
        <v>2276</v>
      </c>
      <c r="P116" s="21" t="s">
        <v>2276</v>
      </c>
      <c r="Q116" s="21" t="s">
        <v>2276</v>
      </c>
      <c r="R116" s="21" t="s">
        <v>2276</v>
      </c>
      <c r="S116" s="21" t="s">
        <v>2276</v>
      </c>
      <c r="T116" s="21" t="s">
        <v>2276</v>
      </c>
      <c r="U116" s="21" t="s">
        <v>2276</v>
      </c>
      <c r="V116" s="21" t="s">
        <v>2276</v>
      </c>
      <c r="W116" s="21" t="s">
        <v>2276</v>
      </c>
      <c r="X116" s="21" t="s">
        <v>2276</v>
      </c>
      <c r="Y116" s="21">
        <f>5/3.29</f>
        <v>1.519756838905775</v>
      </c>
      <c r="Z116" s="3" t="s">
        <v>75</v>
      </c>
      <c r="AA116" s="3" t="s">
        <v>35</v>
      </c>
      <c r="AB116" s="3" t="s">
        <v>64</v>
      </c>
      <c r="AC116" s="4" t="s">
        <v>5030</v>
      </c>
      <c r="AD116" s="4" t="s">
        <v>1359</v>
      </c>
    </row>
    <row r="117" spans="1:30" ht="109.5" customHeight="1">
      <c r="A117" s="11" t="s">
        <v>1317</v>
      </c>
      <c r="B117" s="3" t="s">
        <v>1328</v>
      </c>
      <c r="C117" s="11" t="s">
        <v>24</v>
      </c>
      <c r="D117" s="3" t="s">
        <v>2659</v>
      </c>
      <c r="E117" s="4" t="s">
        <v>397</v>
      </c>
      <c r="F117" s="19" t="s">
        <v>28</v>
      </c>
      <c r="G117" s="11" t="s">
        <v>2276</v>
      </c>
      <c r="H117" s="11" t="s">
        <v>523</v>
      </c>
      <c r="I117" s="11"/>
      <c r="J117" s="21" t="s">
        <v>2276</v>
      </c>
      <c r="K117" s="21" t="s">
        <v>2276</v>
      </c>
      <c r="L117" s="21" t="s">
        <v>2276</v>
      </c>
      <c r="M117" s="21" t="s">
        <v>2276</v>
      </c>
      <c r="N117" s="21" t="s">
        <v>2276</v>
      </c>
      <c r="O117" s="21" t="s">
        <v>2276</v>
      </c>
      <c r="P117" s="21" t="s">
        <v>2276</v>
      </c>
      <c r="Q117" s="21" t="s">
        <v>2276</v>
      </c>
      <c r="R117" s="21" t="s">
        <v>2276</v>
      </c>
      <c r="S117" s="21" t="s">
        <v>2276</v>
      </c>
      <c r="T117" s="21" t="s">
        <v>2276</v>
      </c>
      <c r="U117" s="21" t="s">
        <v>2276</v>
      </c>
      <c r="V117" s="21" t="s">
        <v>2276</v>
      </c>
      <c r="W117" s="21" t="s">
        <v>2276</v>
      </c>
      <c r="X117" s="21" t="s">
        <v>2276</v>
      </c>
      <c r="Y117" s="21">
        <f>5/3.29</f>
        <v>1.519756838905775</v>
      </c>
      <c r="Z117" s="3" t="s">
        <v>75</v>
      </c>
      <c r="AA117" s="3" t="s">
        <v>35</v>
      </c>
      <c r="AB117" s="3" t="s">
        <v>64</v>
      </c>
      <c r="AC117" s="4" t="s">
        <v>5030</v>
      </c>
      <c r="AD117" s="4" t="s">
        <v>1358</v>
      </c>
    </row>
    <row r="118" spans="1:30" ht="146.5" customHeight="1">
      <c r="A118" s="11" t="s">
        <v>1318</v>
      </c>
      <c r="B118" s="3" t="s">
        <v>1340</v>
      </c>
      <c r="C118" s="11" t="s">
        <v>24</v>
      </c>
      <c r="D118" s="3" t="s">
        <v>2659</v>
      </c>
      <c r="E118" s="4" t="s">
        <v>396</v>
      </c>
      <c r="F118" s="19" t="s">
        <v>28</v>
      </c>
      <c r="G118" s="11" t="s">
        <v>2276</v>
      </c>
      <c r="H118" s="3" t="s">
        <v>523</v>
      </c>
      <c r="I118" s="11"/>
      <c r="J118" s="21" t="s">
        <v>2276</v>
      </c>
      <c r="K118" s="21" t="s">
        <v>2276</v>
      </c>
      <c r="L118" s="21" t="s">
        <v>2276</v>
      </c>
      <c r="M118" s="21" t="s">
        <v>2276</v>
      </c>
      <c r="N118" s="21" t="s">
        <v>2276</v>
      </c>
      <c r="O118" s="21" t="s">
        <v>2276</v>
      </c>
      <c r="P118" s="21" t="s">
        <v>2276</v>
      </c>
      <c r="Q118" s="21" t="s">
        <v>2276</v>
      </c>
      <c r="R118" s="21" t="s">
        <v>2276</v>
      </c>
      <c r="S118" s="21" t="s">
        <v>2276</v>
      </c>
      <c r="T118" s="21" t="s">
        <v>2276</v>
      </c>
      <c r="U118" s="21" t="s">
        <v>2276</v>
      </c>
      <c r="V118" s="21" t="s">
        <v>2276</v>
      </c>
      <c r="W118" s="21" t="s">
        <v>2276</v>
      </c>
      <c r="X118" s="21" t="s">
        <v>2276</v>
      </c>
      <c r="Y118" s="21">
        <f>5/3.67</f>
        <v>1.3623978201634879</v>
      </c>
      <c r="Z118" s="3" t="s">
        <v>75</v>
      </c>
      <c r="AA118" s="3" t="s">
        <v>35</v>
      </c>
      <c r="AB118" s="3" t="s">
        <v>64</v>
      </c>
      <c r="AC118" s="4" t="s">
        <v>5030</v>
      </c>
      <c r="AD118" s="4" t="s">
        <v>1359</v>
      </c>
    </row>
    <row r="119" spans="1:30" ht="110.5" customHeight="1">
      <c r="A119" s="11" t="s">
        <v>1318</v>
      </c>
      <c r="B119" s="3" t="s">
        <v>1341</v>
      </c>
      <c r="C119" s="11" t="s">
        <v>24</v>
      </c>
      <c r="D119" s="3" t="s">
        <v>2659</v>
      </c>
      <c r="E119" s="4" t="s">
        <v>397</v>
      </c>
      <c r="F119" s="19" t="s">
        <v>28</v>
      </c>
      <c r="G119" s="11" t="s">
        <v>2276</v>
      </c>
      <c r="H119" s="11" t="s">
        <v>523</v>
      </c>
      <c r="I119" s="11"/>
      <c r="J119" s="21" t="s">
        <v>2276</v>
      </c>
      <c r="K119" s="21" t="s">
        <v>2276</v>
      </c>
      <c r="L119" s="21" t="s">
        <v>2276</v>
      </c>
      <c r="M119" s="21" t="s">
        <v>2276</v>
      </c>
      <c r="N119" s="21" t="s">
        <v>2276</v>
      </c>
      <c r="O119" s="21" t="s">
        <v>2276</v>
      </c>
      <c r="P119" s="21" t="s">
        <v>2276</v>
      </c>
      <c r="Q119" s="21" t="s">
        <v>2276</v>
      </c>
      <c r="R119" s="21" t="s">
        <v>2276</v>
      </c>
      <c r="S119" s="21" t="s">
        <v>2276</v>
      </c>
      <c r="T119" s="21" t="s">
        <v>2276</v>
      </c>
      <c r="U119" s="21" t="s">
        <v>2276</v>
      </c>
      <c r="V119" s="21" t="s">
        <v>2276</v>
      </c>
      <c r="W119" s="21" t="s">
        <v>2276</v>
      </c>
      <c r="X119" s="21" t="s">
        <v>2276</v>
      </c>
      <c r="Y119" s="21">
        <f>5/3.67</f>
        <v>1.3623978201634879</v>
      </c>
      <c r="Z119" s="3" t="s">
        <v>75</v>
      </c>
      <c r="AA119" s="3" t="s">
        <v>35</v>
      </c>
      <c r="AB119" s="3" t="s">
        <v>64</v>
      </c>
      <c r="AC119" s="4" t="s">
        <v>5030</v>
      </c>
      <c r="AD119" s="4" t="s">
        <v>1358</v>
      </c>
    </row>
    <row r="120" spans="1:30" ht="144.5" customHeight="1">
      <c r="A120" s="11" t="s">
        <v>1319</v>
      </c>
      <c r="B120" s="3" t="s">
        <v>1342</v>
      </c>
      <c r="C120" s="11" t="s">
        <v>24</v>
      </c>
      <c r="D120" s="3" t="s">
        <v>2659</v>
      </c>
      <c r="E120" s="4" t="s">
        <v>396</v>
      </c>
      <c r="F120" s="19" t="s">
        <v>28</v>
      </c>
      <c r="G120" s="11" t="s">
        <v>2276</v>
      </c>
      <c r="H120" s="3" t="s">
        <v>523</v>
      </c>
      <c r="I120" s="11"/>
      <c r="J120" s="21" t="s">
        <v>2276</v>
      </c>
      <c r="K120" s="21" t="s">
        <v>2276</v>
      </c>
      <c r="L120" s="21" t="s">
        <v>2276</v>
      </c>
      <c r="M120" s="21" t="s">
        <v>2276</v>
      </c>
      <c r="N120" s="21" t="s">
        <v>2276</v>
      </c>
      <c r="O120" s="21" t="s">
        <v>2276</v>
      </c>
      <c r="P120" s="21" t="s">
        <v>2276</v>
      </c>
      <c r="Q120" s="21" t="s">
        <v>2276</v>
      </c>
      <c r="R120" s="21" t="s">
        <v>2276</v>
      </c>
      <c r="S120" s="21" t="s">
        <v>2276</v>
      </c>
      <c r="T120" s="21" t="s">
        <v>2276</v>
      </c>
      <c r="U120" s="21" t="s">
        <v>2276</v>
      </c>
      <c r="V120" s="21" t="s">
        <v>2276</v>
      </c>
      <c r="W120" s="21" t="s">
        <v>2276</v>
      </c>
      <c r="X120" s="21" t="s">
        <v>2276</v>
      </c>
      <c r="Y120" s="21">
        <f>5/2.51</f>
        <v>1.9920318725099604</v>
      </c>
      <c r="Z120" s="3" t="s">
        <v>75</v>
      </c>
      <c r="AA120" s="3" t="s">
        <v>35</v>
      </c>
      <c r="AB120" s="3" t="s">
        <v>64</v>
      </c>
      <c r="AC120" s="4" t="s">
        <v>5030</v>
      </c>
      <c r="AD120" s="4" t="s">
        <v>1359</v>
      </c>
    </row>
    <row r="121" spans="1:30" ht="110.5" customHeight="1">
      <c r="A121" s="11" t="s">
        <v>1319</v>
      </c>
      <c r="B121" s="3" t="s">
        <v>1343</v>
      </c>
      <c r="C121" s="11" t="s">
        <v>24</v>
      </c>
      <c r="D121" s="3" t="s">
        <v>2659</v>
      </c>
      <c r="E121" s="4" t="s">
        <v>397</v>
      </c>
      <c r="F121" s="19" t="s">
        <v>28</v>
      </c>
      <c r="G121" s="11" t="s">
        <v>2276</v>
      </c>
      <c r="H121" s="11" t="s">
        <v>523</v>
      </c>
      <c r="I121" s="11"/>
      <c r="J121" s="21" t="s">
        <v>2276</v>
      </c>
      <c r="K121" s="21" t="s">
        <v>2276</v>
      </c>
      <c r="L121" s="21" t="s">
        <v>2276</v>
      </c>
      <c r="M121" s="21" t="s">
        <v>2276</v>
      </c>
      <c r="N121" s="21" t="s">
        <v>2276</v>
      </c>
      <c r="O121" s="21" t="s">
        <v>2276</v>
      </c>
      <c r="P121" s="21" t="s">
        <v>2276</v>
      </c>
      <c r="Q121" s="21" t="s">
        <v>2276</v>
      </c>
      <c r="R121" s="21" t="s">
        <v>2276</v>
      </c>
      <c r="S121" s="21" t="s">
        <v>2276</v>
      </c>
      <c r="T121" s="21" t="s">
        <v>2276</v>
      </c>
      <c r="U121" s="21" t="s">
        <v>2276</v>
      </c>
      <c r="V121" s="21" t="s">
        <v>2276</v>
      </c>
      <c r="W121" s="21" t="s">
        <v>2276</v>
      </c>
      <c r="X121" s="21" t="s">
        <v>2276</v>
      </c>
      <c r="Y121" s="21">
        <f>5/2.51</f>
        <v>1.9920318725099604</v>
      </c>
      <c r="Z121" s="3" t="s">
        <v>75</v>
      </c>
      <c r="AA121" s="3" t="s">
        <v>35</v>
      </c>
      <c r="AB121" s="3" t="s">
        <v>64</v>
      </c>
      <c r="AC121" s="4" t="s">
        <v>5030</v>
      </c>
      <c r="AD121" s="4" t="s">
        <v>1358</v>
      </c>
    </row>
    <row r="122" spans="1:30" ht="153" customHeight="1">
      <c r="A122" s="11" t="s">
        <v>1320</v>
      </c>
      <c r="B122" s="3" t="s">
        <v>1344</v>
      </c>
      <c r="C122" s="11" t="s">
        <v>24</v>
      </c>
      <c r="D122" s="3" t="s">
        <v>2659</v>
      </c>
      <c r="E122" s="4" t="s">
        <v>396</v>
      </c>
      <c r="F122" s="19" t="s">
        <v>28</v>
      </c>
      <c r="G122" s="11" t="s">
        <v>2276</v>
      </c>
      <c r="H122" s="3" t="s">
        <v>523</v>
      </c>
      <c r="I122" s="11"/>
      <c r="J122" s="21" t="s">
        <v>2276</v>
      </c>
      <c r="K122" s="21" t="s">
        <v>2276</v>
      </c>
      <c r="L122" s="21" t="s">
        <v>2276</v>
      </c>
      <c r="M122" s="21" t="s">
        <v>2276</v>
      </c>
      <c r="N122" s="21" t="s">
        <v>2276</v>
      </c>
      <c r="O122" s="21" t="s">
        <v>2276</v>
      </c>
      <c r="P122" s="21" t="s">
        <v>2276</v>
      </c>
      <c r="Q122" s="21" t="s">
        <v>2276</v>
      </c>
      <c r="R122" s="21" t="s">
        <v>2276</v>
      </c>
      <c r="S122" s="21" t="s">
        <v>2276</v>
      </c>
      <c r="T122" s="21" t="s">
        <v>2276</v>
      </c>
      <c r="U122" s="21" t="s">
        <v>2276</v>
      </c>
      <c r="V122" s="21" t="s">
        <v>2276</v>
      </c>
      <c r="W122" s="21" t="s">
        <v>2276</v>
      </c>
      <c r="X122" s="21" t="s">
        <v>2276</v>
      </c>
      <c r="Y122" s="21">
        <f>5/3.26</f>
        <v>1.5337423312883436</v>
      </c>
      <c r="Z122" s="3" t="s">
        <v>75</v>
      </c>
      <c r="AA122" s="3" t="s">
        <v>35</v>
      </c>
      <c r="AB122" s="3" t="s">
        <v>64</v>
      </c>
      <c r="AC122" s="4" t="s">
        <v>5030</v>
      </c>
      <c r="AD122" s="4" t="s">
        <v>1359</v>
      </c>
    </row>
    <row r="123" spans="1:30" ht="101" customHeight="1">
      <c r="A123" s="11" t="s">
        <v>1320</v>
      </c>
      <c r="B123" s="3" t="s">
        <v>1345</v>
      </c>
      <c r="C123" s="11" t="s">
        <v>24</v>
      </c>
      <c r="D123" s="3" t="s">
        <v>2659</v>
      </c>
      <c r="E123" s="4" t="s">
        <v>397</v>
      </c>
      <c r="F123" s="19" t="s">
        <v>28</v>
      </c>
      <c r="G123" s="11" t="s">
        <v>2276</v>
      </c>
      <c r="H123" s="11" t="s">
        <v>523</v>
      </c>
      <c r="I123" s="11"/>
      <c r="J123" s="21" t="s">
        <v>2276</v>
      </c>
      <c r="K123" s="21" t="s">
        <v>2276</v>
      </c>
      <c r="L123" s="21" t="s">
        <v>2276</v>
      </c>
      <c r="M123" s="21" t="s">
        <v>2276</v>
      </c>
      <c r="N123" s="21" t="s">
        <v>2276</v>
      </c>
      <c r="O123" s="21" t="s">
        <v>2276</v>
      </c>
      <c r="P123" s="21" t="s">
        <v>2276</v>
      </c>
      <c r="Q123" s="21" t="s">
        <v>2276</v>
      </c>
      <c r="R123" s="21" t="s">
        <v>2276</v>
      </c>
      <c r="S123" s="21" t="s">
        <v>2276</v>
      </c>
      <c r="T123" s="21" t="s">
        <v>2276</v>
      </c>
      <c r="U123" s="21" t="s">
        <v>2276</v>
      </c>
      <c r="V123" s="21" t="s">
        <v>2276</v>
      </c>
      <c r="W123" s="21" t="s">
        <v>2276</v>
      </c>
      <c r="X123" s="21" t="s">
        <v>2276</v>
      </c>
      <c r="Y123" s="21">
        <f>5/3.26</f>
        <v>1.5337423312883436</v>
      </c>
      <c r="Z123" s="3" t="s">
        <v>75</v>
      </c>
      <c r="AA123" s="3" t="s">
        <v>35</v>
      </c>
      <c r="AB123" s="3" t="s">
        <v>64</v>
      </c>
      <c r="AC123" s="4" t="s">
        <v>5030</v>
      </c>
      <c r="AD123" s="4" t="s">
        <v>1358</v>
      </c>
    </row>
    <row r="124" spans="1:30" ht="142" customHeight="1">
      <c r="A124" s="11" t="s">
        <v>1321</v>
      </c>
      <c r="B124" s="3" t="s">
        <v>1346</v>
      </c>
      <c r="C124" s="11" t="s">
        <v>24</v>
      </c>
      <c r="D124" s="3" t="s">
        <v>2659</v>
      </c>
      <c r="E124" s="4" t="s">
        <v>396</v>
      </c>
      <c r="F124" s="19" t="s">
        <v>28</v>
      </c>
      <c r="G124" s="11" t="s">
        <v>2276</v>
      </c>
      <c r="H124" s="3" t="s">
        <v>523</v>
      </c>
      <c r="I124" s="11"/>
      <c r="J124" s="21" t="s">
        <v>2276</v>
      </c>
      <c r="K124" s="21" t="s">
        <v>2276</v>
      </c>
      <c r="L124" s="21" t="s">
        <v>2276</v>
      </c>
      <c r="M124" s="21" t="s">
        <v>2276</v>
      </c>
      <c r="N124" s="21" t="s">
        <v>2276</v>
      </c>
      <c r="O124" s="21" t="s">
        <v>2276</v>
      </c>
      <c r="P124" s="21" t="s">
        <v>2276</v>
      </c>
      <c r="Q124" s="21" t="s">
        <v>2276</v>
      </c>
      <c r="R124" s="21" t="s">
        <v>2276</v>
      </c>
      <c r="S124" s="21" t="s">
        <v>2276</v>
      </c>
      <c r="T124" s="21" t="s">
        <v>2276</v>
      </c>
      <c r="U124" s="21" t="s">
        <v>2276</v>
      </c>
      <c r="V124" s="21" t="s">
        <v>2276</v>
      </c>
      <c r="W124" s="21" t="s">
        <v>2276</v>
      </c>
      <c r="X124" s="21" t="s">
        <v>2276</v>
      </c>
      <c r="Y124" s="21">
        <f>5/2.75</f>
        <v>1.8181818181818181</v>
      </c>
      <c r="Z124" s="3" t="s">
        <v>75</v>
      </c>
      <c r="AA124" s="3" t="s">
        <v>35</v>
      </c>
      <c r="AB124" s="3" t="s">
        <v>64</v>
      </c>
      <c r="AC124" s="4" t="s">
        <v>5030</v>
      </c>
      <c r="AD124" s="4" t="s">
        <v>1359</v>
      </c>
    </row>
    <row r="125" spans="1:30" ht="105.5" customHeight="1">
      <c r="A125" s="11" t="s">
        <v>1321</v>
      </c>
      <c r="B125" s="3" t="s">
        <v>1347</v>
      </c>
      <c r="C125" s="11" t="s">
        <v>24</v>
      </c>
      <c r="D125" s="3" t="s">
        <v>2659</v>
      </c>
      <c r="E125" s="4" t="s">
        <v>397</v>
      </c>
      <c r="F125" s="19" t="s">
        <v>28</v>
      </c>
      <c r="G125" s="11" t="s">
        <v>2276</v>
      </c>
      <c r="H125" s="11" t="s">
        <v>523</v>
      </c>
      <c r="I125" s="11"/>
      <c r="J125" s="21" t="s">
        <v>2276</v>
      </c>
      <c r="K125" s="21" t="s">
        <v>2276</v>
      </c>
      <c r="L125" s="21" t="s">
        <v>2276</v>
      </c>
      <c r="M125" s="21" t="s">
        <v>2276</v>
      </c>
      <c r="N125" s="21" t="s">
        <v>2276</v>
      </c>
      <c r="O125" s="21" t="s">
        <v>2276</v>
      </c>
      <c r="P125" s="21" t="s">
        <v>2276</v>
      </c>
      <c r="Q125" s="21" t="s">
        <v>2276</v>
      </c>
      <c r="R125" s="21" t="s">
        <v>2276</v>
      </c>
      <c r="S125" s="21" t="s">
        <v>2276</v>
      </c>
      <c r="T125" s="21" t="s">
        <v>2276</v>
      </c>
      <c r="U125" s="21" t="s">
        <v>2276</v>
      </c>
      <c r="V125" s="21" t="s">
        <v>2276</v>
      </c>
      <c r="W125" s="21" t="s">
        <v>2276</v>
      </c>
      <c r="X125" s="21" t="s">
        <v>2276</v>
      </c>
      <c r="Y125" s="21">
        <f>5/2.75</f>
        <v>1.8181818181818181</v>
      </c>
      <c r="Z125" s="3" t="s">
        <v>75</v>
      </c>
      <c r="AA125" s="3" t="s">
        <v>35</v>
      </c>
      <c r="AB125" s="3" t="s">
        <v>64</v>
      </c>
      <c r="AC125" s="4" t="s">
        <v>5030</v>
      </c>
      <c r="AD125" s="4" t="s">
        <v>1358</v>
      </c>
    </row>
    <row r="126" spans="1:30" ht="151" customHeight="1">
      <c r="A126" s="11" t="s">
        <v>1322</v>
      </c>
      <c r="B126" s="3" t="s">
        <v>1348</v>
      </c>
      <c r="C126" s="11" t="s">
        <v>24</v>
      </c>
      <c r="D126" s="3" t="s">
        <v>2659</v>
      </c>
      <c r="E126" s="4" t="s">
        <v>396</v>
      </c>
      <c r="F126" s="19" t="s">
        <v>28</v>
      </c>
      <c r="G126" s="11" t="s">
        <v>2276</v>
      </c>
      <c r="H126" s="3" t="s">
        <v>523</v>
      </c>
      <c r="I126" s="11"/>
      <c r="J126" s="21" t="s">
        <v>2276</v>
      </c>
      <c r="K126" s="21" t="s">
        <v>2276</v>
      </c>
      <c r="L126" s="21" t="s">
        <v>2276</v>
      </c>
      <c r="M126" s="21" t="s">
        <v>2276</v>
      </c>
      <c r="N126" s="21" t="s">
        <v>2276</v>
      </c>
      <c r="O126" s="21" t="s">
        <v>2276</v>
      </c>
      <c r="P126" s="21" t="s">
        <v>2276</v>
      </c>
      <c r="Q126" s="21" t="s">
        <v>2276</v>
      </c>
      <c r="R126" s="21" t="s">
        <v>2276</v>
      </c>
      <c r="S126" s="21" t="s">
        <v>2276</v>
      </c>
      <c r="T126" s="21" t="s">
        <v>2276</v>
      </c>
      <c r="U126" s="21" t="s">
        <v>2276</v>
      </c>
      <c r="V126" s="21" t="s">
        <v>2276</v>
      </c>
      <c r="W126" s="21" t="s">
        <v>2276</v>
      </c>
      <c r="X126" s="21" t="s">
        <v>2276</v>
      </c>
      <c r="Y126" s="21">
        <f>5/2.62</f>
        <v>1.9083969465648853</v>
      </c>
      <c r="Z126" s="3" t="s">
        <v>75</v>
      </c>
      <c r="AA126" s="3" t="s">
        <v>35</v>
      </c>
      <c r="AB126" s="3" t="s">
        <v>64</v>
      </c>
      <c r="AC126" s="4" t="s">
        <v>5030</v>
      </c>
      <c r="AD126" s="4" t="s">
        <v>1359</v>
      </c>
    </row>
    <row r="127" spans="1:30" ht="110.5" customHeight="1">
      <c r="A127" s="11" t="s">
        <v>1322</v>
      </c>
      <c r="B127" s="3" t="s">
        <v>1349</v>
      </c>
      <c r="C127" s="11" t="s">
        <v>24</v>
      </c>
      <c r="D127" s="3" t="s">
        <v>2659</v>
      </c>
      <c r="E127" s="4" t="s">
        <v>397</v>
      </c>
      <c r="F127" s="19" t="s">
        <v>28</v>
      </c>
      <c r="G127" s="11" t="s">
        <v>2276</v>
      </c>
      <c r="H127" s="11" t="s">
        <v>523</v>
      </c>
      <c r="I127" s="11"/>
      <c r="J127" s="21" t="s">
        <v>2276</v>
      </c>
      <c r="K127" s="21" t="s">
        <v>2276</v>
      </c>
      <c r="L127" s="21" t="s">
        <v>2276</v>
      </c>
      <c r="M127" s="21" t="s">
        <v>2276</v>
      </c>
      <c r="N127" s="21" t="s">
        <v>2276</v>
      </c>
      <c r="O127" s="21" t="s">
        <v>2276</v>
      </c>
      <c r="P127" s="21" t="s">
        <v>2276</v>
      </c>
      <c r="Q127" s="21" t="s">
        <v>2276</v>
      </c>
      <c r="R127" s="21" t="s">
        <v>2276</v>
      </c>
      <c r="S127" s="21" t="s">
        <v>2276</v>
      </c>
      <c r="T127" s="21" t="s">
        <v>2276</v>
      </c>
      <c r="U127" s="21" t="s">
        <v>2276</v>
      </c>
      <c r="V127" s="21" t="s">
        <v>2276</v>
      </c>
      <c r="W127" s="21" t="s">
        <v>2276</v>
      </c>
      <c r="X127" s="21" t="s">
        <v>2276</v>
      </c>
      <c r="Y127" s="21">
        <f>5/2.62</f>
        <v>1.9083969465648853</v>
      </c>
      <c r="Z127" s="3" t="s">
        <v>75</v>
      </c>
      <c r="AA127" s="3" t="s">
        <v>35</v>
      </c>
      <c r="AB127" s="3" t="s">
        <v>64</v>
      </c>
      <c r="AC127" s="4" t="s">
        <v>5030</v>
      </c>
      <c r="AD127" s="4" t="s">
        <v>1358</v>
      </c>
    </row>
    <row r="128" spans="1:30" ht="110.5" customHeight="1">
      <c r="A128" s="11" t="s">
        <v>1323</v>
      </c>
      <c r="B128" s="3" t="s">
        <v>1350</v>
      </c>
      <c r="C128" s="11" t="s">
        <v>24</v>
      </c>
      <c r="D128" s="3" t="s">
        <v>2659</v>
      </c>
      <c r="E128" s="4" t="s">
        <v>396</v>
      </c>
      <c r="F128" s="19" t="s">
        <v>28</v>
      </c>
      <c r="G128" s="11" t="s">
        <v>2276</v>
      </c>
      <c r="H128" s="3" t="s">
        <v>523</v>
      </c>
      <c r="I128" s="11"/>
      <c r="J128" s="21" t="s">
        <v>2276</v>
      </c>
      <c r="K128" s="21" t="s">
        <v>2276</v>
      </c>
      <c r="L128" s="21" t="s">
        <v>2276</v>
      </c>
      <c r="M128" s="21" t="s">
        <v>2276</v>
      </c>
      <c r="N128" s="21" t="s">
        <v>2276</v>
      </c>
      <c r="O128" s="21" t="s">
        <v>2276</v>
      </c>
      <c r="P128" s="21" t="s">
        <v>2276</v>
      </c>
      <c r="Q128" s="21" t="s">
        <v>2276</v>
      </c>
      <c r="R128" s="21" t="s">
        <v>2276</v>
      </c>
      <c r="S128" s="21" t="s">
        <v>2276</v>
      </c>
      <c r="T128" s="21" t="s">
        <v>2276</v>
      </c>
      <c r="U128" s="21" t="s">
        <v>2276</v>
      </c>
      <c r="V128" s="21" t="s">
        <v>2276</v>
      </c>
      <c r="W128" s="21" t="s">
        <v>2276</v>
      </c>
      <c r="X128" s="21" t="s">
        <v>2276</v>
      </c>
      <c r="Y128" s="21">
        <f>5/2.38</f>
        <v>2.1008403361344539</v>
      </c>
      <c r="Z128" s="3" t="s">
        <v>75</v>
      </c>
      <c r="AA128" s="3" t="s">
        <v>35</v>
      </c>
      <c r="AB128" s="3" t="s">
        <v>64</v>
      </c>
      <c r="AC128" s="4" t="s">
        <v>5030</v>
      </c>
      <c r="AD128" s="4" t="s">
        <v>1359</v>
      </c>
    </row>
    <row r="129" spans="1:30" ht="110.5" customHeight="1">
      <c r="A129" s="11" t="s">
        <v>1323</v>
      </c>
      <c r="B129" s="3" t="s">
        <v>1351</v>
      </c>
      <c r="C129" s="11" t="s">
        <v>24</v>
      </c>
      <c r="D129" s="3" t="s">
        <v>2659</v>
      </c>
      <c r="E129" s="4" t="s">
        <v>397</v>
      </c>
      <c r="F129" s="19" t="s">
        <v>28</v>
      </c>
      <c r="G129" s="11" t="s">
        <v>2276</v>
      </c>
      <c r="H129" s="11" t="s">
        <v>523</v>
      </c>
      <c r="I129" s="11"/>
      <c r="J129" s="21" t="s">
        <v>2276</v>
      </c>
      <c r="K129" s="21" t="s">
        <v>2276</v>
      </c>
      <c r="L129" s="21" t="s">
        <v>2276</v>
      </c>
      <c r="M129" s="21" t="s">
        <v>2276</v>
      </c>
      <c r="N129" s="21" t="s">
        <v>2276</v>
      </c>
      <c r="O129" s="21" t="s">
        <v>2276</v>
      </c>
      <c r="P129" s="21" t="s">
        <v>2276</v>
      </c>
      <c r="Q129" s="21" t="s">
        <v>2276</v>
      </c>
      <c r="R129" s="21" t="s">
        <v>2276</v>
      </c>
      <c r="S129" s="21" t="s">
        <v>2276</v>
      </c>
      <c r="T129" s="21" t="s">
        <v>2276</v>
      </c>
      <c r="U129" s="21" t="s">
        <v>2276</v>
      </c>
      <c r="V129" s="21" t="s">
        <v>2276</v>
      </c>
      <c r="W129" s="21" t="s">
        <v>2276</v>
      </c>
      <c r="X129" s="21" t="s">
        <v>2276</v>
      </c>
      <c r="Y129" s="21">
        <f>5/2.38</f>
        <v>2.1008403361344539</v>
      </c>
      <c r="Z129" s="3" t="s">
        <v>75</v>
      </c>
      <c r="AA129" s="3" t="s">
        <v>35</v>
      </c>
      <c r="AB129" s="3" t="s">
        <v>64</v>
      </c>
      <c r="AC129" s="4" t="s">
        <v>5030</v>
      </c>
      <c r="AD129" s="4" t="s">
        <v>1358</v>
      </c>
    </row>
    <row r="130" spans="1:30" ht="132.5" customHeight="1">
      <c r="A130" s="11" t="s">
        <v>1324</v>
      </c>
      <c r="B130" s="3" t="s">
        <v>1352</v>
      </c>
      <c r="C130" s="11" t="s">
        <v>24</v>
      </c>
      <c r="D130" s="3" t="s">
        <v>2659</v>
      </c>
      <c r="E130" s="4" t="s">
        <v>396</v>
      </c>
      <c r="F130" s="19" t="s">
        <v>28</v>
      </c>
      <c r="G130" s="11" t="s">
        <v>2276</v>
      </c>
      <c r="H130" s="3" t="s">
        <v>523</v>
      </c>
      <c r="I130" s="11"/>
      <c r="J130" s="21" t="s">
        <v>2276</v>
      </c>
      <c r="K130" s="21" t="s">
        <v>2276</v>
      </c>
      <c r="L130" s="21" t="s">
        <v>2276</v>
      </c>
      <c r="M130" s="21" t="s">
        <v>2276</v>
      </c>
      <c r="N130" s="21" t="s">
        <v>2276</v>
      </c>
      <c r="O130" s="21" t="s">
        <v>2276</v>
      </c>
      <c r="P130" s="21" t="s">
        <v>2276</v>
      </c>
      <c r="Q130" s="21" t="s">
        <v>2276</v>
      </c>
      <c r="R130" s="21" t="s">
        <v>2276</v>
      </c>
      <c r="S130" s="21" t="s">
        <v>2276</v>
      </c>
      <c r="T130" s="21" t="s">
        <v>2276</v>
      </c>
      <c r="U130" s="21" t="s">
        <v>2276</v>
      </c>
      <c r="V130" s="21" t="s">
        <v>2276</v>
      </c>
      <c r="W130" s="21" t="s">
        <v>2276</v>
      </c>
      <c r="X130" s="21" t="s">
        <v>2276</v>
      </c>
      <c r="Y130" s="21">
        <f>5/2.22</f>
        <v>2.2522522522522519</v>
      </c>
      <c r="Z130" s="3" t="s">
        <v>75</v>
      </c>
      <c r="AA130" s="3" t="s">
        <v>35</v>
      </c>
      <c r="AB130" s="3" t="s">
        <v>64</v>
      </c>
      <c r="AC130" s="4" t="s">
        <v>5030</v>
      </c>
      <c r="AD130" s="4" t="s">
        <v>1359</v>
      </c>
    </row>
    <row r="131" spans="1:30" ht="118" customHeight="1">
      <c r="A131" s="11" t="s">
        <v>1324</v>
      </c>
      <c r="B131" s="3" t="s">
        <v>1353</v>
      </c>
      <c r="C131" s="11" t="s">
        <v>24</v>
      </c>
      <c r="D131" s="3" t="s">
        <v>2659</v>
      </c>
      <c r="E131" s="4" t="s">
        <v>397</v>
      </c>
      <c r="F131" s="19" t="s">
        <v>28</v>
      </c>
      <c r="G131" s="11" t="s">
        <v>2276</v>
      </c>
      <c r="H131" s="11" t="s">
        <v>523</v>
      </c>
      <c r="I131" s="11"/>
      <c r="J131" s="21" t="s">
        <v>2276</v>
      </c>
      <c r="K131" s="21" t="s">
        <v>2276</v>
      </c>
      <c r="L131" s="21" t="s">
        <v>2276</v>
      </c>
      <c r="M131" s="21" t="s">
        <v>2276</v>
      </c>
      <c r="N131" s="21" t="s">
        <v>2276</v>
      </c>
      <c r="O131" s="21" t="s">
        <v>2276</v>
      </c>
      <c r="P131" s="21" t="s">
        <v>2276</v>
      </c>
      <c r="Q131" s="21" t="s">
        <v>2276</v>
      </c>
      <c r="R131" s="21" t="s">
        <v>2276</v>
      </c>
      <c r="S131" s="21" t="s">
        <v>2276</v>
      </c>
      <c r="T131" s="21" t="s">
        <v>2276</v>
      </c>
      <c r="U131" s="21" t="s">
        <v>2276</v>
      </c>
      <c r="V131" s="21" t="s">
        <v>2276</v>
      </c>
      <c r="W131" s="21" t="s">
        <v>2276</v>
      </c>
      <c r="X131" s="21" t="s">
        <v>2276</v>
      </c>
      <c r="Y131" s="21">
        <f>5/2.22</f>
        <v>2.2522522522522519</v>
      </c>
      <c r="Z131" s="3" t="s">
        <v>75</v>
      </c>
      <c r="AA131" s="3" t="s">
        <v>35</v>
      </c>
      <c r="AB131" s="3" t="s">
        <v>64</v>
      </c>
      <c r="AC131" s="4" t="s">
        <v>5030</v>
      </c>
      <c r="AD131" s="4" t="s">
        <v>1358</v>
      </c>
    </row>
    <row r="132" spans="1:30" ht="149.5" customHeight="1">
      <c r="A132" s="11" t="s">
        <v>1325</v>
      </c>
      <c r="B132" s="3" t="s">
        <v>1354</v>
      </c>
      <c r="C132" s="11" t="s">
        <v>24</v>
      </c>
      <c r="D132" s="3" t="s">
        <v>2659</v>
      </c>
      <c r="E132" s="4" t="s">
        <v>396</v>
      </c>
      <c r="F132" s="19" t="s">
        <v>28</v>
      </c>
      <c r="G132" s="11" t="s">
        <v>2276</v>
      </c>
      <c r="H132" s="3" t="s">
        <v>523</v>
      </c>
      <c r="I132" s="11"/>
      <c r="J132" s="21" t="s">
        <v>2276</v>
      </c>
      <c r="K132" s="21" t="s">
        <v>2276</v>
      </c>
      <c r="L132" s="21" t="s">
        <v>2276</v>
      </c>
      <c r="M132" s="21" t="s">
        <v>2276</v>
      </c>
      <c r="N132" s="21" t="s">
        <v>2276</v>
      </c>
      <c r="O132" s="21" t="s">
        <v>2276</v>
      </c>
      <c r="P132" s="21" t="s">
        <v>2276</v>
      </c>
      <c r="Q132" s="21" t="s">
        <v>2276</v>
      </c>
      <c r="R132" s="21" t="s">
        <v>2276</v>
      </c>
      <c r="S132" s="21" t="s">
        <v>2276</v>
      </c>
      <c r="T132" s="21" t="s">
        <v>2276</v>
      </c>
      <c r="U132" s="21" t="s">
        <v>2276</v>
      </c>
      <c r="V132" s="21" t="s">
        <v>2276</v>
      </c>
      <c r="W132" s="21" t="s">
        <v>2276</v>
      </c>
      <c r="X132" s="21" t="s">
        <v>2276</v>
      </c>
      <c r="Y132" s="21">
        <f>5/2.81</f>
        <v>1.7793594306049823</v>
      </c>
      <c r="Z132" s="3" t="s">
        <v>75</v>
      </c>
      <c r="AA132" s="3" t="s">
        <v>35</v>
      </c>
      <c r="AB132" s="3" t="s">
        <v>64</v>
      </c>
      <c r="AC132" s="4" t="s">
        <v>5030</v>
      </c>
      <c r="AD132" s="4" t="s">
        <v>1359</v>
      </c>
    </row>
    <row r="133" spans="1:30" ht="116.5" customHeight="1">
      <c r="A133" s="11" t="s">
        <v>1325</v>
      </c>
      <c r="B133" s="3" t="s">
        <v>1355</v>
      </c>
      <c r="C133" s="11" t="s">
        <v>24</v>
      </c>
      <c r="D133" s="3" t="s">
        <v>2659</v>
      </c>
      <c r="E133" s="4" t="s">
        <v>397</v>
      </c>
      <c r="F133" s="19" t="s">
        <v>28</v>
      </c>
      <c r="G133" s="11" t="s">
        <v>2276</v>
      </c>
      <c r="H133" s="11" t="s">
        <v>523</v>
      </c>
      <c r="I133" s="11"/>
      <c r="J133" s="21" t="s">
        <v>2276</v>
      </c>
      <c r="K133" s="21" t="s">
        <v>2276</v>
      </c>
      <c r="L133" s="21" t="s">
        <v>2276</v>
      </c>
      <c r="M133" s="21" t="s">
        <v>2276</v>
      </c>
      <c r="N133" s="21" t="s">
        <v>2276</v>
      </c>
      <c r="O133" s="21" t="s">
        <v>2276</v>
      </c>
      <c r="P133" s="21" t="s">
        <v>2276</v>
      </c>
      <c r="Q133" s="21" t="s">
        <v>2276</v>
      </c>
      <c r="R133" s="21" t="s">
        <v>2276</v>
      </c>
      <c r="S133" s="21" t="s">
        <v>2276</v>
      </c>
      <c r="T133" s="21" t="s">
        <v>2276</v>
      </c>
      <c r="U133" s="21" t="s">
        <v>2276</v>
      </c>
      <c r="V133" s="21" t="s">
        <v>2276</v>
      </c>
      <c r="W133" s="21" t="s">
        <v>2276</v>
      </c>
      <c r="X133" s="21" t="s">
        <v>2276</v>
      </c>
      <c r="Y133" s="21">
        <f>5/2.81</f>
        <v>1.7793594306049823</v>
      </c>
      <c r="Z133" s="3" t="s">
        <v>75</v>
      </c>
      <c r="AA133" s="3" t="s">
        <v>35</v>
      </c>
      <c r="AB133" s="3" t="s">
        <v>64</v>
      </c>
      <c r="AC133" s="4" t="s">
        <v>5030</v>
      </c>
      <c r="AD133" s="4" t="s">
        <v>1358</v>
      </c>
    </row>
    <row r="134" spans="1:30" ht="149.5" customHeight="1">
      <c r="A134" s="11" t="s">
        <v>1326</v>
      </c>
      <c r="B134" s="3" t="s">
        <v>1356</v>
      </c>
      <c r="C134" s="11" t="s">
        <v>24</v>
      </c>
      <c r="D134" s="3" t="s">
        <v>2659</v>
      </c>
      <c r="E134" s="4" t="s">
        <v>396</v>
      </c>
      <c r="F134" s="19" t="s">
        <v>28</v>
      </c>
      <c r="G134" s="11" t="s">
        <v>2276</v>
      </c>
      <c r="H134" s="3" t="s">
        <v>523</v>
      </c>
      <c r="I134" s="11"/>
      <c r="J134" s="21" t="s">
        <v>2276</v>
      </c>
      <c r="K134" s="21" t="s">
        <v>2276</v>
      </c>
      <c r="L134" s="21" t="s">
        <v>2276</v>
      </c>
      <c r="M134" s="21" t="s">
        <v>2276</v>
      </c>
      <c r="N134" s="21" t="s">
        <v>2276</v>
      </c>
      <c r="O134" s="21" t="s">
        <v>2276</v>
      </c>
      <c r="P134" s="21" t="s">
        <v>2276</v>
      </c>
      <c r="Q134" s="21" t="s">
        <v>2276</v>
      </c>
      <c r="R134" s="21" t="s">
        <v>2276</v>
      </c>
      <c r="S134" s="21" t="s">
        <v>2276</v>
      </c>
      <c r="T134" s="21" t="s">
        <v>2276</v>
      </c>
      <c r="U134" s="21" t="s">
        <v>2276</v>
      </c>
      <c r="V134" s="21" t="s">
        <v>2276</v>
      </c>
      <c r="W134" s="21" t="s">
        <v>2276</v>
      </c>
      <c r="X134" s="21" t="s">
        <v>2276</v>
      </c>
      <c r="Y134" s="21">
        <f>5/3.42</f>
        <v>1.4619883040935673</v>
      </c>
      <c r="Z134" s="3" t="s">
        <v>75</v>
      </c>
      <c r="AA134" s="3" t="s">
        <v>35</v>
      </c>
      <c r="AB134" s="3" t="s">
        <v>64</v>
      </c>
      <c r="AC134" s="4" t="s">
        <v>5030</v>
      </c>
      <c r="AD134" s="4" t="s">
        <v>1359</v>
      </c>
    </row>
    <row r="135" spans="1:30" ht="101.5" customHeight="1">
      <c r="A135" s="11" t="s">
        <v>1326</v>
      </c>
      <c r="B135" s="3" t="s">
        <v>1357</v>
      </c>
      <c r="C135" s="11" t="s">
        <v>24</v>
      </c>
      <c r="D135" s="3" t="s">
        <v>2659</v>
      </c>
      <c r="E135" s="4" t="s">
        <v>397</v>
      </c>
      <c r="F135" s="19" t="s">
        <v>28</v>
      </c>
      <c r="G135" s="11" t="s">
        <v>2276</v>
      </c>
      <c r="H135" s="11" t="s">
        <v>523</v>
      </c>
      <c r="I135" s="11"/>
      <c r="J135" s="21" t="s">
        <v>2276</v>
      </c>
      <c r="K135" s="21" t="s">
        <v>2276</v>
      </c>
      <c r="L135" s="21" t="s">
        <v>2276</v>
      </c>
      <c r="M135" s="21" t="s">
        <v>2276</v>
      </c>
      <c r="N135" s="21" t="s">
        <v>2276</v>
      </c>
      <c r="O135" s="21" t="s">
        <v>2276</v>
      </c>
      <c r="P135" s="21" t="s">
        <v>2276</v>
      </c>
      <c r="Q135" s="21" t="s">
        <v>2276</v>
      </c>
      <c r="R135" s="21" t="s">
        <v>2276</v>
      </c>
      <c r="S135" s="21" t="s">
        <v>2276</v>
      </c>
      <c r="T135" s="21" t="s">
        <v>2276</v>
      </c>
      <c r="U135" s="21" t="s">
        <v>2276</v>
      </c>
      <c r="V135" s="21" t="s">
        <v>2276</v>
      </c>
      <c r="W135" s="21" t="s">
        <v>2276</v>
      </c>
      <c r="X135" s="21" t="s">
        <v>2276</v>
      </c>
      <c r="Y135" s="21">
        <f>5/3.42</f>
        <v>1.4619883040935673</v>
      </c>
      <c r="Z135" s="3" t="s">
        <v>75</v>
      </c>
      <c r="AA135" s="3" t="s">
        <v>35</v>
      </c>
      <c r="AB135" s="3" t="s">
        <v>64</v>
      </c>
      <c r="AC135" s="4" t="s">
        <v>5030</v>
      </c>
      <c r="AD135" s="4" t="s">
        <v>1358</v>
      </c>
    </row>
    <row r="136" spans="1:30" ht="150.5" customHeight="1">
      <c r="A136" s="11" t="s">
        <v>1361</v>
      </c>
      <c r="B136" s="3" t="s">
        <v>1363</v>
      </c>
      <c r="C136" s="11" t="s">
        <v>24</v>
      </c>
      <c r="D136" s="3" t="s">
        <v>2659</v>
      </c>
      <c r="E136" s="4" t="s">
        <v>396</v>
      </c>
      <c r="F136" s="19" t="s">
        <v>28</v>
      </c>
      <c r="G136" s="11" t="s">
        <v>2276</v>
      </c>
      <c r="H136" s="3" t="s">
        <v>523</v>
      </c>
      <c r="I136" s="11"/>
      <c r="J136" s="21" t="s">
        <v>2276</v>
      </c>
      <c r="K136" s="21" t="s">
        <v>2276</v>
      </c>
      <c r="L136" s="21" t="s">
        <v>2276</v>
      </c>
      <c r="M136" s="21" t="s">
        <v>2276</v>
      </c>
      <c r="N136" s="21" t="s">
        <v>2276</v>
      </c>
      <c r="O136" s="21" t="s">
        <v>2276</v>
      </c>
      <c r="P136" s="21" t="s">
        <v>2276</v>
      </c>
      <c r="Q136" s="21" t="s">
        <v>2276</v>
      </c>
      <c r="R136" s="21" t="s">
        <v>2276</v>
      </c>
      <c r="S136" s="21" t="s">
        <v>2276</v>
      </c>
      <c r="T136" s="21" t="s">
        <v>2276</v>
      </c>
      <c r="U136" s="21" t="s">
        <v>2276</v>
      </c>
      <c r="V136" s="21" t="s">
        <v>2276</v>
      </c>
      <c r="W136" s="21" t="s">
        <v>2276</v>
      </c>
      <c r="X136" s="21" t="s">
        <v>2276</v>
      </c>
      <c r="Y136" s="21">
        <f>5/3.14</f>
        <v>1.592356687898089</v>
      </c>
      <c r="Z136" s="3" t="s">
        <v>75</v>
      </c>
      <c r="AA136" s="3" t="s">
        <v>35</v>
      </c>
      <c r="AB136" s="3" t="s">
        <v>64</v>
      </c>
      <c r="AC136" s="4" t="s">
        <v>5030</v>
      </c>
      <c r="AD136" s="4" t="s">
        <v>1359</v>
      </c>
    </row>
    <row r="137" spans="1:30" ht="103" customHeight="1">
      <c r="A137" s="11" t="s">
        <v>1361</v>
      </c>
      <c r="B137" s="3" t="s">
        <v>1364</v>
      </c>
      <c r="C137" s="11" t="s">
        <v>24</v>
      </c>
      <c r="D137" s="3" t="s">
        <v>2659</v>
      </c>
      <c r="E137" s="4" t="s">
        <v>397</v>
      </c>
      <c r="F137" s="19" t="s">
        <v>28</v>
      </c>
      <c r="G137" s="11" t="s">
        <v>2276</v>
      </c>
      <c r="H137" s="11" t="s">
        <v>523</v>
      </c>
      <c r="I137" s="11"/>
      <c r="J137" s="21" t="s">
        <v>2276</v>
      </c>
      <c r="K137" s="21" t="s">
        <v>2276</v>
      </c>
      <c r="L137" s="21" t="s">
        <v>2276</v>
      </c>
      <c r="M137" s="21" t="s">
        <v>2276</v>
      </c>
      <c r="N137" s="21" t="s">
        <v>2276</v>
      </c>
      <c r="O137" s="21" t="s">
        <v>2276</v>
      </c>
      <c r="P137" s="21" t="s">
        <v>2276</v>
      </c>
      <c r="Q137" s="21" t="s">
        <v>2276</v>
      </c>
      <c r="R137" s="21" t="s">
        <v>2276</v>
      </c>
      <c r="S137" s="21" t="s">
        <v>2276</v>
      </c>
      <c r="T137" s="21" t="s">
        <v>2276</v>
      </c>
      <c r="U137" s="21" t="s">
        <v>2276</v>
      </c>
      <c r="V137" s="21" t="s">
        <v>2276</v>
      </c>
      <c r="W137" s="21" t="s">
        <v>2276</v>
      </c>
      <c r="X137" s="21" t="s">
        <v>2276</v>
      </c>
      <c r="Y137" s="21">
        <f>5/3.14</f>
        <v>1.592356687898089</v>
      </c>
      <c r="Z137" s="3" t="s">
        <v>75</v>
      </c>
      <c r="AA137" s="3" t="s">
        <v>35</v>
      </c>
      <c r="AB137" s="3" t="s">
        <v>64</v>
      </c>
      <c r="AC137" s="4" t="s">
        <v>5030</v>
      </c>
      <c r="AD137" s="4" t="s">
        <v>1358</v>
      </c>
    </row>
    <row r="138" spans="1:30" ht="119.5" customHeight="1">
      <c r="A138" s="11" t="s">
        <v>112</v>
      </c>
      <c r="B138" s="3" t="s">
        <v>115</v>
      </c>
      <c r="C138" s="11" t="s">
        <v>24</v>
      </c>
      <c r="D138" s="3" t="s">
        <v>2659</v>
      </c>
      <c r="E138" s="4" t="s">
        <v>84</v>
      </c>
      <c r="F138" s="19" t="s">
        <v>28</v>
      </c>
      <c r="G138" s="11" t="s">
        <v>2276</v>
      </c>
      <c r="H138" s="3" t="s">
        <v>523</v>
      </c>
      <c r="I138" s="11">
        <v>2001</v>
      </c>
      <c r="J138" s="21" t="s">
        <v>2276</v>
      </c>
      <c r="K138" s="21" t="s">
        <v>2276</v>
      </c>
      <c r="L138" s="21" t="s">
        <v>2276</v>
      </c>
      <c r="M138" s="21" t="s">
        <v>2276</v>
      </c>
      <c r="N138" s="21" t="s">
        <v>2276</v>
      </c>
      <c r="O138" s="21" t="s">
        <v>2276</v>
      </c>
      <c r="P138" s="21" t="s">
        <v>2276</v>
      </c>
      <c r="Q138" s="21" t="s">
        <v>2276</v>
      </c>
      <c r="R138" s="21" t="s">
        <v>2276</v>
      </c>
      <c r="S138" s="21" t="s">
        <v>2276</v>
      </c>
      <c r="T138" s="21" t="s">
        <v>2276</v>
      </c>
      <c r="U138" s="21" t="s">
        <v>2276</v>
      </c>
      <c r="V138" s="21" t="s">
        <v>2276</v>
      </c>
      <c r="W138" s="21" t="s">
        <v>2276</v>
      </c>
      <c r="X138" s="21" t="s">
        <v>2276</v>
      </c>
      <c r="Y138" s="21" t="s">
        <v>2276</v>
      </c>
      <c r="Z138" s="3" t="s">
        <v>34</v>
      </c>
      <c r="AA138" s="3" t="s">
        <v>34</v>
      </c>
      <c r="AB138" s="3" t="s">
        <v>64</v>
      </c>
      <c r="AC138" s="4" t="s">
        <v>5030</v>
      </c>
      <c r="AD138" s="4" t="s">
        <v>1377</v>
      </c>
    </row>
    <row r="139" spans="1:30" ht="116" customHeight="1">
      <c r="A139" s="11" t="s">
        <v>112</v>
      </c>
      <c r="B139" s="3" t="s">
        <v>1366</v>
      </c>
      <c r="C139" s="11" t="s">
        <v>24</v>
      </c>
      <c r="D139" s="3" t="s">
        <v>2659</v>
      </c>
      <c r="E139" s="4" t="s">
        <v>84</v>
      </c>
      <c r="F139" s="19" t="s">
        <v>28</v>
      </c>
      <c r="G139" s="11" t="s">
        <v>2276</v>
      </c>
      <c r="H139" s="3" t="s">
        <v>523</v>
      </c>
      <c r="I139" s="11">
        <v>2001</v>
      </c>
      <c r="J139" s="21" t="s">
        <v>2276</v>
      </c>
      <c r="K139" s="21" t="s">
        <v>2276</v>
      </c>
      <c r="L139" s="21" t="s">
        <v>2276</v>
      </c>
      <c r="M139" s="21" t="s">
        <v>2276</v>
      </c>
      <c r="N139" s="21" t="s">
        <v>2276</v>
      </c>
      <c r="O139" s="21" t="s">
        <v>2276</v>
      </c>
      <c r="P139" s="21" t="s">
        <v>2276</v>
      </c>
      <c r="Q139" s="21" t="s">
        <v>2276</v>
      </c>
      <c r="R139" s="21" t="s">
        <v>2276</v>
      </c>
      <c r="S139" s="21" t="s">
        <v>2276</v>
      </c>
      <c r="T139" s="21" t="s">
        <v>2276</v>
      </c>
      <c r="U139" s="21" t="s">
        <v>2276</v>
      </c>
      <c r="V139" s="21" t="s">
        <v>2276</v>
      </c>
      <c r="W139" s="21" t="s">
        <v>2276</v>
      </c>
      <c r="X139" s="21" t="s">
        <v>2276</v>
      </c>
      <c r="Y139" s="21" t="s">
        <v>2276</v>
      </c>
      <c r="Z139" s="3" t="s">
        <v>68</v>
      </c>
      <c r="AA139" s="3" t="s">
        <v>68</v>
      </c>
      <c r="AB139" s="3" t="s">
        <v>64</v>
      </c>
      <c r="AC139" s="4" t="s">
        <v>5030</v>
      </c>
      <c r="AD139" s="4" t="s">
        <v>1377</v>
      </c>
    </row>
    <row r="140" spans="1:30" ht="116" customHeight="1">
      <c r="A140" s="11" t="s">
        <v>112</v>
      </c>
      <c r="B140" s="3" t="s">
        <v>1367</v>
      </c>
      <c r="C140" s="11" t="s">
        <v>24</v>
      </c>
      <c r="D140" s="3" t="s">
        <v>2659</v>
      </c>
      <c r="E140" s="4" t="s">
        <v>84</v>
      </c>
      <c r="F140" s="19" t="s">
        <v>28</v>
      </c>
      <c r="G140" s="11" t="s">
        <v>2276</v>
      </c>
      <c r="H140" s="3" t="s">
        <v>523</v>
      </c>
      <c r="I140" s="11">
        <v>2002</v>
      </c>
      <c r="J140" s="21" t="s">
        <v>2276</v>
      </c>
      <c r="K140" s="21" t="s">
        <v>2276</v>
      </c>
      <c r="L140" s="21" t="s">
        <v>2276</v>
      </c>
      <c r="M140" s="21" t="s">
        <v>2276</v>
      </c>
      <c r="N140" s="21" t="s">
        <v>2276</v>
      </c>
      <c r="O140" s="21" t="s">
        <v>2276</v>
      </c>
      <c r="P140" s="21" t="s">
        <v>2276</v>
      </c>
      <c r="Q140" s="21" t="s">
        <v>2276</v>
      </c>
      <c r="R140" s="21" t="s">
        <v>2276</v>
      </c>
      <c r="S140" s="21" t="s">
        <v>2276</v>
      </c>
      <c r="T140" s="21" t="s">
        <v>2276</v>
      </c>
      <c r="U140" s="21" t="s">
        <v>2276</v>
      </c>
      <c r="V140" s="21" t="s">
        <v>2276</v>
      </c>
      <c r="W140" s="21" t="s">
        <v>2276</v>
      </c>
      <c r="X140" s="21" t="s">
        <v>2276</v>
      </c>
      <c r="Y140" s="21" t="s">
        <v>2276</v>
      </c>
      <c r="Z140" s="3" t="s">
        <v>34</v>
      </c>
      <c r="AA140" s="3" t="s">
        <v>34</v>
      </c>
      <c r="AB140" s="3" t="s">
        <v>64</v>
      </c>
      <c r="AC140" s="4" t="s">
        <v>5030</v>
      </c>
      <c r="AD140" s="4" t="s">
        <v>1377</v>
      </c>
    </row>
    <row r="141" spans="1:30" ht="131" customHeight="1">
      <c r="A141" s="11" t="s">
        <v>112</v>
      </c>
      <c r="B141" s="3" t="s">
        <v>1368</v>
      </c>
      <c r="C141" s="11" t="s">
        <v>24</v>
      </c>
      <c r="D141" s="3" t="s">
        <v>2659</v>
      </c>
      <c r="E141" s="4" t="s">
        <v>84</v>
      </c>
      <c r="F141" s="19" t="s">
        <v>28</v>
      </c>
      <c r="G141" s="11" t="s">
        <v>2276</v>
      </c>
      <c r="H141" s="3" t="s">
        <v>523</v>
      </c>
      <c r="I141" s="11">
        <v>2002</v>
      </c>
      <c r="J141" s="21" t="s">
        <v>2276</v>
      </c>
      <c r="K141" s="21" t="s">
        <v>2276</v>
      </c>
      <c r="L141" s="21" t="s">
        <v>2276</v>
      </c>
      <c r="M141" s="21" t="s">
        <v>2276</v>
      </c>
      <c r="N141" s="21" t="s">
        <v>2276</v>
      </c>
      <c r="O141" s="21" t="s">
        <v>2276</v>
      </c>
      <c r="P141" s="21" t="s">
        <v>2276</v>
      </c>
      <c r="Q141" s="21" t="s">
        <v>2276</v>
      </c>
      <c r="R141" s="21" t="s">
        <v>2276</v>
      </c>
      <c r="S141" s="21" t="s">
        <v>2276</v>
      </c>
      <c r="T141" s="21" t="s">
        <v>2276</v>
      </c>
      <c r="U141" s="21" t="s">
        <v>2276</v>
      </c>
      <c r="V141" s="21" t="s">
        <v>2276</v>
      </c>
      <c r="W141" s="21" t="s">
        <v>2276</v>
      </c>
      <c r="X141" s="21" t="s">
        <v>2276</v>
      </c>
      <c r="Y141" s="21" t="s">
        <v>2276</v>
      </c>
      <c r="Z141" s="3" t="s">
        <v>68</v>
      </c>
      <c r="AA141" s="3" t="s">
        <v>68</v>
      </c>
      <c r="AB141" s="3" t="s">
        <v>64</v>
      </c>
      <c r="AC141" s="4" t="s">
        <v>5030</v>
      </c>
      <c r="AD141" s="4" t="s">
        <v>1377</v>
      </c>
    </row>
    <row r="142" spans="1:30" ht="121" customHeight="1">
      <c r="A142" s="11" t="s">
        <v>112</v>
      </c>
      <c r="B142" s="3" t="s">
        <v>1369</v>
      </c>
      <c r="C142" s="11" t="s">
        <v>24</v>
      </c>
      <c r="D142" s="3" t="s">
        <v>2659</v>
      </c>
      <c r="E142" s="4" t="s">
        <v>84</v>
      </c>
      <c r="F142" s="19" t="s">
        <v>28</v>
      </c>
      <c r="G142" s="11" t="s">
        <v>2276</v>
      </c>
      <c r="H142" s="3" t="s">
        <v>523</v>
      </c>
      <c r="I142" s="11">
        <v>2003</v>
      </c>
      <c r="J142" s="21" t="s">
        <v>2276</v>
      </c>
      <c r="K142" s="21" t="s">
        <v>2276</v>
      </c>
      <c r="L142" s="21" t="s">
        <v>2276</v>
      </c>
      <c r="M142" s="21" t="s">
        <v>2276</v>
      </c>
      <c r="N142" s="21" t="s">
        <v>2276</v>
      </c>
      <c r="O142" s="21" t="s">
        <v>2276</v>
      </c>
      <c r="P142" s="21" t="s">
        <v>2276</v>
      </c>
      <c r="Q142" s="21" t="s">
        <v>2276</v>
      </c>
      <c r="R142" s="21" t="s">
        <v>2276</v>
      </c>
      <c r="S142" s="21" t="s">
        <v>2276</v>
      </c>
      <c r="T142" s="21" t="s">
        <v>2276</v>
      </c>
      <c r="U142" s="21" t="s">
        <v>2276</v>
      </c>
      <c r="V142" s="21" t="s">
        <v>2276</v>
      </c>
      <c r="W142" s="21" t="s">
        <v>2276</v>
      </c>
      <c r="X142" s="21" t="s">
        <v>2276</v>
      </c>
      <c r="Y142" s="21" t="s">
        <v>2276</v>
      </c>
      <c r="Z142" s="3" t="s">
        <v>34</v>
      </c>
      <c r="AA142" s="3" t="s">
        <v>34</v>
      </c>
      <c r="AB142" s="3" t="s">
        <v>64</v>
      </c>
      <c r="AC142" s="4" t="s">
        <v>5030</v>
      </c>
      <c r="AD142" s="4" t="s">
        <v>1377</v>
      </c>
    </row>
    <row r="143" spans="1:30" ht="122" customHeight="1">
      <c r="A143" s="11" t="s">
        <v>112</v>
      </c>
      <c r="B143" s="3" t="s">
        <v>1370</v>
      </c>
      <c r="C143" s="11" t="s">
        <v>24</v>
      </c>
      <c r="D143" s="3" t="s">
        <v>2659</v>
      </c>
      <c r="E143" s="4" t="s">
        <v>84</v>
      </c>
      <c r="F143" s="19" t="s">
        <v>28</v>
      </c>
      <c r="G143" s="11" t="s">
        <v>2276</v>
      </c>
      <c r="H143" s="3" t="s">
        <v>523</v>
      </c>
      <c r="I143" s="11">
        <v>2003</v>
      </c>
      <c r="J143" s="21" t="s">
        <v>2276</v>
      </c>
      <c r="K143" s="21" t="s">
        <v>2276</v>
      </c>
      <c r="L143" s="21" t="s">
        <v>2276</v>
      </c>
      <c r="M143" s="21" t="s">
        <v>2276</v>
      </c>
      <c r="N143" s="21" t="s">
        <v>2276</v>
      </c>
      <c r="O143" s="21" t="s">
        <v>2276</v>
      </c>
      <c r="P143" s="21" t="s">
        <v>2276</v>
      </c>
      <c r="Q143" s="21" t="s">
        <v>2276</v>
      </c>
      <c r="R143" s="21" t="s">
        <v>2276</v>
      </c>
      <c r="S143" s="21" t="s">
        <v>2276</v>
      </c>
      <c r="T143" s="21" t="s">
        <v>2276</v>
      </c>
      <c r="U143" s="21" t="s">
        <v>2276</v>
      </c>
      <c r="V143" s="21" t="s">
        <v>2276</v>
      </c>
      <c r="W143" s="21" t="s">
        <v>2276</v>
      </c>
      <c r="X143" s="21" t="s">
        <v>2276</v>
      </c>
      <c r="Y143" s="21" t="s">
        <v>2276</v>
      </c>
      <c r="Z143" s="3" t="s">
        <v>68</v>
      </c>
      <c r="AA143" s="3" t="s">
        <v>68</v>
      </c>
      <c r="AB143" s="3" t="s">
        <v>64</v>
      </c>
      <c r="AC143" s="4" t="s">
        <v>5030</v>
      </c>
      <c r="AD143" s="4" t="s">
        <v>1377</v>
      </c>
    </row>
    <row r="144" spans="1:30" ht="122" customHeight="1">
      <c r="A144" s="11" t="s">
        <v>112</v>
      </c>
      <c r="B144" s="3" t="s">
        <v>1371</v>
      </c>
      <c r="C144" s="11" t="s">
        <v>24</v>
      </c>
      <c r="D144" s="3" t="s">
        <v>2659</v>
      </c>
      <c r="E144" s="4" t="s">
        <v>84</v>
      </c>
      <c r="F144" s="19" t="s">
        <v>28</v>
      </c>
      <c r="G144" s="11" t="s">
        <v>2276</v>
      </c>
      <c r="H144" s="3" t="s">
        <v>523</v>
      </c>
      <c r="I144" s="11">
        <v>2004</v>
      </c>
      <c r="J144" s="21" t="s">
        <v>2276</v>
      </c>
      <c r="K144" s="21" t="s">
        <v>2276</v>
      </c>
      <c r="L144" s="21" t="s">
        <v>2276</v>
      </c>
      <c r="M144" s="21" t="s">
        <v>2276</v>
      </c>
      <c r="N144" s="21" t="s">
        <v>2276</v>
      </c>
      <c r="O144" s="21" t="s">
        <v>2276</v>
      </c>
      <c r="P144" s="21" t="s">
        <v>2276</v>
      </c>
      <c r="Q144" s="21" t="s">
        <v>2276</v>
      </c>
      <c r="R144" s="21" t="s">
        <v>2276</v>
      </c>
      <c r="S144" s="21" t="s">
        <v>2276</v>
      </c>
      <c r="T144" s="21" t="s">
        <v>2276</v>
      </c>
      <c r="U144" s="21" t="s">
        <v>2276</v>
      </c>
      <c r="V144" s="21" t="s">
        <v>2276</v>
      </c>
      <c r="W144" s="21" t="s">
        <v>2276</v>
      </c>
      <c r="X144" s="21" t="s">
        <v>2276</v>
      </c>
      <c r="Y144" s="21" t="s">
        <v>2276</v>
      </c>
      <c r="Z144" s="3" t="s">
        <v>34</v>
      </c>
      <c r="AA144" s="3" t="s">
        <v>34</v>
      </c>
      <c r="AB144" s="3" t="s">
        <v>64</v>
      </c>
      <c r="AC144" s="4" t="s">
        <v>5030</v>
      </c>
      <c r="AD144" s="4" t="s">
        <v>1377</v>
      </c>
    </row>
    <row r="145" spans="1:30" ht="121" customHeight="1">
      <c r="A145" s="11" t="s">
        <v>112</v>
      </c>
      <c r="B145" s="3" t="s">
        <v>1372</v>
      </c>
      <c r="C145" s="11" t="s">
        <v>24</v>
      </c>
      <c r="D145" s="3" t="s">
        <v>2659</v>
      </c>
      <c r="E145" s="4" t="s">
        <v>84</v>
      </c>
      <c r="F145" s="19" t="s">
        <v>28</v>
      </c>
      <c r="G145" s="11" t="s">
        <v>2276</v>
      </c>
      <c r="H145" s="3" t="s">
        <v>523</v>
      </c>
      <c r="I145" s="11">
        <v>2004</v>
      </c>
      <c r="J145" s="21" t="s">
        <v>2276</v>
      </c>
      <c r="K145" s="21" t="s">
        <v>2276</v>
      </c>
      <c r="L145" s="21" t="s">
        <v>2276</v>
      </c>
      <c r="M145" s="21" t="s">
        <v>2276</v>
      </c>
      <c r="N145" s="21" t="s">
        <v>2276</v>
      </c>
      <c r="O145" s="21" t="s">
        <v>2276</v>
      </c>
      <c r="P145" s="21" t="s">
        <v>2276</v>
      </c>
      <c r="Q145" s="21" t="s">
        <v>2276</v>
      </c>
      <c r="R145" s="21" t="s">
        <v>2276</v>
      </c>
      <c r="S145" s="21" t="s">
        <v>2276</v>
      </c>
      <c r="T145" s="21" t="s">
        <v>2276</v>
      </c>
      <c r="U145" s="21" t="s">
        <v>2276</v>
      </c>
      <c r="V145" s="21" t="s">
        <v>2276</v>
      </c>
      <c r="W145" s="21" t="s">
        <v>2276</v>
      </c>
      <c r="X145" s="21" t="s">
        <v>2276</v>
      </c>
      <c r="Y145" s="21" t="s">
        <v>2276</v>
      </c>
      <c r="Z145" s="3" t="s">
        <v>68</v>
      </c>
      <c r="AA145" s="3" t="s">
        <v>68</v>
      </c>
      <c r="AB145" s="3" t="s">
        <v>64</v>
      </c>
      <c r="AC145" s="4" t="s">
        <v>5030</v>
      </c>
      <c r="AD145" s="4" t="s">
        <v>1377</v>
      </c>
    </row>
    <row r="146" spans="1:30" ht="121" customHeight="1">
      <c r="A146" s="11" t="s">
        <v>112</v>
      </c>
      <c r="B146" s="3" t="s">
        <v>1373</v>
      </c>
      <c r="C146" s="11" t="s">
        <v>24</v>
      </c>
      <c r="D146" s="3" t="s">
        <v>2659</v>
      </c>
      <c r="E146" s="4" t="s">
        <v>84</v>
      </c>
      <c r="F146" s="19" t="s">
        <v>28</v>
      </c>
      <c r="G146" s="11" t="s">
        <v>2276</v>
      </c>
      <c r="H146" s="3" t="s">
        <v>523</v>
      </c>
      <c r="I146" s="11">
        <v>2005</v>
      </c>
      <c r="J146" s="21" t="s">
        <v>2276</v>
      </c>
      <c r="K146" s="21" t="s">
        <v>2276</v>
      </c>
      <c r="L146" s="21" t="s">
        <v>2276</v>
      </c>
      <c r="M146" s="21" t="s">
        <v>2276</v>
      </c>
      <c r="N146" s="21" t="s">
        <v>2276</v>
      </c>
      <c r="O146" s="21" t="s">
        <v>2276</v>
      </c>
      <c r="P146" s="21" t="s">
        <v>2276</v>
      </c>
      <c r="Q146" s="21" t="s">
        <v>2276</v>
      </c>
      <c r="R146" s="21" t="s">
        <v>2276</v>
      </c>
      <c r="S146" s="21" t="s">
        <v>2276</v>
      </c>
      <c r="T146" s="21" t="s">
        <v>2276</v>
      </c>
      <c r="U146" s="21" t="s">
        <v>2276</v>
      </c>
      <c r="V146" s="21" t="s">
        <v>2276</v>
      </c>
      <c r="W146" s="21" t="s">
        <v>2276</v>
      </c>
      <c r="X146" s="21" t="s">
        <v>2276</v>
      </c>
      <c r="Y146" s="21" t="s">
        <v>2276</v>
      </c>
      <c r="Z146" s="3" t="s">
        <v>34</v>
      </c>
      <c r="AA146" s="3" t="s">
        <v>34</v>
      </c>
      <c r="AB146" s="3" t="s">
        <v>64</v>
      </c>
      <c r="AC146" s="4" t="s">
        <v>5030</v>
      </c>
      <c r="AD146" s="4" t="s">
        <v>1377</v>
      </c>
    </row>
    <row r="147" spans="1:30" ht="115" customHeight="1">
      <c r="A147" s="11" t="s">
        <v>112</v>
      </c>
      <c r="B147" s="3" t="s">
        <v>1374</v>
      </c>
      <c r="C147" s="11" t="s">
        <v>24</v>
      </c>
      <c r="D147" s="3" t="s">
        <v>2659</v>
      </c>
      <c r="E147" s="4" t="s">
        <v>84</v>
      </c>
      <c r="F147" s="19" t="s">
        <v>28</v>
      </c>
      <c r="G147" s="11" t="s">
        <v>2276</v>
      </c>
      <c r="H147" s="3" t="s">
        <v>523</v>
      </c>
      <c r="I147" s="11">
        <v>2005</v>
      </c>
      <c r="J147" s="21" t="s">
        <v>2276</v>
      </c>
      <c r="K147" s="21" t="s">
        <v>2276</v>
      </c>
      <c r="L147" s="21" t="s">
        <v>2276</v>
      </c>
      <c r="M147" s="21" t="s">
        <v>2276</v>
      </c>
      <c r="N147" s="21" t="s">
        <v>2276</v>
      </c>
      <c r="O147" s="21" t="s">
        <v>2276</v>
      </c>
      <c r="P147" s="21" t="s">
        <v>2276</v>
      </c>
      <c r="Q147" s="21" t="s">
        <v>2276</v>
      </c>
      <c r="R147" s="21" t="s">
        <v>2276</v>
      </c>
      <c r="S147" s="21" t="s">
        <v>2276</v>
      </c>
      <c r="T147" s="21" t="s">
        <v>2276</v>
      </c>
      <c r="U147" s="21" t="s">
        <v>2276</v>
      </c>
      <c r="V147" s="21" t="s">
        <v>2276</v>
      </c>
      <c r="W147" s="21" t="s">
        <v>2276</v>
      </c>
      <c r="X147" s="21" t="s">
        <v>2276</v>
      </c>
      <c r="Y147" s="21" t="s">
        <v>2276</v>
      </c>
      <c r="Z147" s="3" t="s">
        <v>68</v>
      </c>
      <c r="AA147" s="3" t="s">
        <v>68</v>
      </c>
      <c r="AB147" s="3" t="s">
        <v>64</v>
      </c>
      <c r="AC147" s="4" t="s">
        <v>5030</v>
      </c>
      <c r="AD147" s="4" t="s">
        <v>1377</v>
      </c>
    </row>
    <row r="148" spans="1:30" ht="155.5" customHeight="1">
      <c r="A148" s="23" t="s">
        <v>123</v>
      </c>
      <c r="B148" s="3" t="s">
        <v>124</v>
      </c>
      <c r="C148" s="23" t="s">
        <v>24</v>
      </c>
      <c r="D148" s="23" t="s">
        <v>27</v>
      </c>
      <c r="E148" s="23" t="s">
        <v>130</v>
      </c>
      <c r="F148" s="26" t="s">
        <v>74</v>
      </c>
      <c r="G148" s="26" t="s">
        <v>74</v>
      </c>
      <c r="H148" s="3" t="s">
        <v>523</v>
      </c>
      <c r="I148" s="23"/>
      <c r="J148" s="77" t="s">
        <v>2276</v>
      </c>
      <c r="K148" s="77" t="s">
        <v>2276</v>
      </c>
      <c r="L148" s="77" t="s">
        <v>2276</v>
      </c>
      <c r="M148" s="77" t="s">
        <v>2276</v>
      </c>
      <c r="N148" s="77" t="s">
        <v>2276</v>
      </c>
      <c r="O148" s="77" t="s">
        <v>2276</v>
      </c>
      <c r="P148" s="77" t="s">
        <v>2276</v>
      </c>
      <c r="Q148" s="21" t="s">
        <v>2276</v>
      </c>
      <c r="R148" s="21" t="s">
        <v>2276</v>
      </c>
      <c r="S148" s="77" t="s">
        <v>2276</v>
      </c>
      <c r="T148" s="77" t="s">
        <v>2276</v>
      </c>
      <c r="U148" s="21" t="s">
        <v>2276</v>
      </c>
      <c r="V148" s="77" t="s">
        <v>2276</v>
      </c>
      <c r="W148" s="77" t="s">
        <v>2276</v>
      </c>
      <c r="X148" s="77" t="s">
        <v>2276</v>
      </c>
      <c r="Y148" s="77" t="s">
        <v>2276</v>
      </c>
      <c r="Z148" s="22" t="s">
        <v>68</v>
      </c>
      <c r="AA148" s="22" t="s">
        <v>68</v>
      </c>
      <c r="AB148" s="22" t="s">
        <v>76</v>
      </c>
      <c r="AC148" s="24" t="s">
        <v>131</v>
      </c>
      <c r="AD148" s="22"/>
    </row>
    <row r="149" spans="1:30" ht="149.5" customHeight="1">
      <c r="A149" s="23" t="s">
        <v>123</v>
      </c>
      <c r="B149" s="3" t="s">
        <v>125</v>
      </c>
      <c r="C149" s="23" t="s">
        <v>24</v>
      </c>
      <c r="D149" s="23" t="s">
        <v>27</v>
      </c>
      <c r="E149" s="23" t="s">
        <v>130</v>
      </c>
      <c r="F149" s="26" t="s">
        <v>161</v>
      </c>
      <c r="G149" s="11" t="s">
        <v>2276</v>
      </c>
      <c r="H149" s="3" t="s">
        <v>523</v>
      </c>
      <c r="I149" s="23"/>
      <c r="J149" s="77" t="s">
        <v>2276</v>
      </c>
      <c r="K149" s="77" t="s">
        <v>2276</v>
      </c>
      <c r="L149" s="77" t="s">
        <v>2276</v>
      </c>
      <c r="M149" s="77" t="s">
        <v>2276</v>
      </c>
      <c r="N149" s="77" t="s">
        <v>2276</v>
      </c>
      <c r="O149" s="77" t="s">
        <v>2276</v>
      </c>
      <c r="P149" s="77" t="s">
        <v>2276</v>
      </c>
      <c r="Q149" s="21" t="s">
        <v>2276</v>
      </c>
      <c r="R149" s="21" t="s">
        <v>2276</v>
      </c>
      <c r="S149" s="77" t="s">
        <v>2276</v>
      </c>
      <c r="T149" s="77" t="s">
        <v>2276</v>
      </c>
      <c r="U149" s="21" t="s">
        <v>2276</v>
      </c>
      <c r="V149" s="77" t="s">
        <v>2276</v>
      </c>
      <c r="W149" s="77" t="s">
        <v>2276</v>
      </c>
      <c r="X149" s="77" t="s">
        <v>2276</v>
      </c>
      <c r="Y149" s="77" t="s">
        <v>2276</v>
      </c>
      <c r="Z149" s="22" t="s">
        <v>35</v>
      </c>
      <c r="AA149" s="22" t="s">
        <v>127</v>
      </c>
      <c r="AB149" s="22" t="s">
        <v>128</v>
      </c>
      <c r="AC149" s="24" t="s">
        <v>132</v>
      </c>
      <c r="AD149" s="22"/>
    </row>
    <row r="150" spans="1:30" ht="47" customHeight="1">
      <c r="A150" s="23" t="s">
        <v>133</v>
      </c>
      <c r="B150" s="3" t="s">
        <v>138</v>
      </c>
      <c r="C150" s="23" t="s">
        <v>24</v>
      </c>
      <c r="D150" s="4" t="s">
        <v>144</v>
      </c>
      <c r="E150" s="3" t="s">
        <v>137</v>
      </c>
      <c r="F150" s="4" t="s">
        <v>74</v>
      </c>
      <c r="G150" s="11" t="s">
        <v>2276</v>
      </c>
      <c r="H150" s="3" t="s">
        <v>524</v>
      </c>
      <c r="I150" s="3"/>
      <c r="J150" s="21">
        <v>0</v>
      </c>
      <c r="K150" s="21">
        <v>0</v>
      </c>
      <c r="L150" s="21">
        <v>0</v>
      </c>
      <c r="M150" s="21">
        <v>0</v>
      </c>
      <c r="N150" s="21">
        <v>0</v>
      </c>
      <c r="O150" s="21">
        <v>0</v>
      </c>
      <c r="P150" s="21">
        <v>0</v>
      </c>
      <c r="Q150" s="21">
        <v>0</v>
      </c>
      <c r="R150" s="21">
        <v>0</v>
      </c>
      <c r="S150" s="21">
        <v>0</v>
      </c>
      <c r="T150" s="21">
        <v>0</v>
      </c>
      <c r="U150" s="21">
        <v>0</v>
      </c>
      <c r="V150" s="21">
        <v>0</v>
      </c>
      <c r="W150" s="21">
        <v>0</v>
      </c>
      <c r="X150" s="21">
        <v>0</v>
      </c>
      <c r="Y150" s="77" t="s">
        <v>2276</v>
      </c>
      <c r="Z150" s="3" t="s">
        <v>2276</v>
      </c>
      <c r="AA150" s="3" t="s">
        <v>2276</v>
      </c>
      <c r="AB150" s="3" t="s">
        <v>2276</v>
      </c>
      <c r="AC150" s="3" t="s">
        <v>139</v>
      </c>
      <c r="AD150" s="3"/>
    </row>
    <row r="151" spans="1:30" ht="60" customHeight="1">
      <c r="A151" s="23" t="s">
        <v>133</v>
      </c>
      <c r="B151" s="3" t="s">
        <v>140</v>
      </c>
      <c r="C151" s="23" t="s">
        <v>24</v>
      </c>
      <c r="D151" s="23" t="s">
        <v>27</v>
      </c>
      <c r="E151" s="23" t="s">
        <v>130</v>
      </c>
      <c r="F151" s="26" t="s">
        <v>161</v>
      </c>
      <c r="G151" s="11" t="s">
        <v>2276</v>
      </c>
      <c r="H151" s="3" t="s">
        <v>523</v>
      </c>
      <c r="I151" s="23"/>
      <c r="J151" s="21" t="s">
        <v>2276</v>
      </c>
      <c r="K151" s="21" t="s">
        <v>2276</v>
      </c>
      <c r="L151" s="21" t="s">
        <v>2276</v>
      </c>
      <c r="M151" s="21" t="s">
        <v>2276</v>
      </c>
      <c r="N151" s="21" t="s">
        <v>2276</v>
      </c>
      <c r="O151" s="21" t="s">
        <v>2276</v>
      </c>
      <c r="P151" s="21" t="s">
        <v>2276</v>
      </c>
      <c r="Q151" s="21" t="s">
        <v>2276</v>
      </c>
      <c r="R151" s="21" t="s">
        <v>2276</v>
      </c>
      <c r="S151" s="21" t="s">
        <v>2276</v>
      </c>
      <c r="T151" s="21" t="s">
        <v>2276</v>
      </c>
      <c r="U151" s="21" t="s">
        <v>2276</v>
      </c>
      <c r="V151" s="21" t="s">
        <v>2276</v>
      </c>
      <c r="W151" s="21" t="s">
        <v>2276</v>
      </c>
      <c r="X151" s="21" t="s">
        <v>2276</v>
      </c>
      <c r="Y151" s="21" t="s">
        <v>2276</v>
      </c>
      <c r="Z151" s="3" t="s">
        <v>2276</v>
      </c>
      <c r="AA151" s="3" t="s">
        <v>2276</v>
      </c>
      <c r="AB151" s="3" t="s">
        <v>2276</v>
      </c>
      <c r="AC151" s="3"/>
      <c r="AD151" s="4" t="s">
        <v>1378</v>
      </c>
    </row>
    <row r="152" spans="1:30" ht="77.5" customHeight="1">
      <c r="A152" s="23" t="s">
        <v>136</v>
      </c>
      <c r="B152" s="3" t="s">
        <v>142</v>
      </c>
      <c r="C152" s="23" t="s">
        <v>24</v>
      </c>
      <c r="D152" s="11" t="s">
        <v>25</v>
      </c>
      <c r="E152" s="3" t="s">
        <v>45</v>
      </c>
      <c r="F152" s="4" t="s">
        <v>29</v>
      </c>
      <c r="G152" s="3" t="s">
        <v>2276</v>
      </c>
      <c r="H152" s="3" t="s">
        <v>523</v>
      </c>
      <c r="I152" s="3"/>
      <c r="J152" s="21" t="s">
        <v>2276</v>
      </c>
      <c r="K152" s="21" t="s">
        <v>2276</v>
      </c>
      <c r="L152" s="21" t="s">
        <v>2276</v>
      </c>
      <c r="M152" s="21" t="s">
        <v>2276</v>
      </c>
      <c r="N152" s="21" t="s">
        <v>2276</v>
      </c>
      <c r="O152" s="21" t="s">
        <v>2276</v>
      </c>
      <c r="P152" s="21" t="s">
        <v>2276</v>
      </c>
      <c r="Q152" s="21" t="s">
        <v>2276</v>
      </c>
      <c r="R152" s="21" t="s">
        <v>2276</v>
      </c>
      <c r="S152" s="21" t="s">
        <v>2276</v>
      </c>
      <c r="T152" s="21" t="s">
        <v>2276</v>
      </c>
      <c r="U152" s="21" t="s">
        <v>2276</v>
      </c>
      <c r="V152" s="21" t="s">
        <v>2276</v>
      </c>
      <c r="W152" s="21" t="s">
        <v>2276</v>
      </c>
      <c r="X152" s="21" t="s">
        <v>2276</v>
      </c>
      <c r="Y152" s="21" t="s">
        <v>2276</v>
      </c>
      <c r="Z152" s="3" t="s">
        <v>2276</v>
      </c>
      <c r="AA152" s="3" t="s">
        <v>2276</v>
      </c>
      <c r="AB152" s="3" t="s">
        <v>2276</v>
      </c>
      <c r="AC152" s="4" t="s">
        <v>1380</v>
      </c>
      <c r="AD152" s="4" t="s">
        <v>1379</v>
      </c>
    </row>
    <row r="153" spans="1:30" ht="77.5" customHeight="1">
      <c r="A153" s="23" t="s">
        <v>136</v>
      </c>
      <c r="B153" s="3" t="s">
        <v>5031</v>
      </c>
      <c r="C153" s="23" t="s">
        <v>24</v>
      </c>
      <c r="D153" s="11" t="s">
        <v>143</v>
      </c>
      <c r="E153" s="3" t="s">
        <v>45</v>
      </c>
      <c r="F153" s="4" t="s">
        <v>29</v>
      </c>
      <c r="G153" s="3" t="s">
        <v>2276</v>
      </c>
      <c r="H153" s="3" t="s">
        <v>523</v>
      </c>
      <c r="I153" s="3"/>
      <c r="J153" s="21" t="s">
        <v>2276</v>
      </c>
      <c r="K153" s="21" t="s">
        <v>2276</v>
      </c>
      <c r="L153" s="21" t="s">
        <v>2276</v>
      </c>
      <c r="M153" s="21" t="s">
        <v>2276</v>
      </c>
      <c r="N153" s="21" t="s">
        <v>2276</v>
      </c>
      <c r="O153" s="21" t="s">
        <v>2276</v>
      </c>
      <c r="P153" s="21" t="s">
        <v>2276</v>
      </c>
      <c r="Q153" s="21" t="s">
        <v>2276</v>
      </c>
      <c r="R153" s="21" t="s">
        <v>2276</v>
      </c>
      <c r="S153" s="21" t="s">
        <v>2276</v>
      </c>
      <c r="T153" s="21" t="s">
        <v>2276</v>
      </c>
      <c r="U153" s="21" t="s">
        <v>2276</v>
      </c>
      <c r="V153" s="21" t="s">
        <v>2276</v>
      </c>
      <c r="W153" s="21" t="s">
        <v>2276</v>
      </c>
      <c r="X153" s="21" t="s">
        <v>2276</v>
      </c>
      <c r="Y153" s="21" t="s">
        <v>2276</v>
      </c>
      <c r="Z153" s="3" t="s">
        <v>2276</v>
      </c>
      <c r="AA153" s="3" t="s">
        <v>2276</v>
      </c>
      <c r="AB153" s="3" t="s">
        <v>2276</v>
      </c>
      <c r="AC153" s="4" t="s">
        <v>1380</v>
      </c>
      <c r="AD153" s="4" t="s">
        <v>1379</v>
      </c>
    </row>
    <row r="154" spans="1:30" ht="77.5" customHeight="1">
      <c r="A154" s="23" t="s">
        <v>136</v>
      </c>
      <c r="B154" s="3" t="s">
        <v>5032</v>
      </c>
      <c r="C154" s="23" t="s">
        <v>24</v>
      </c>
      <c r="D154" s="11" t="s">
        <v>143</v>
      </c>
      <c r="E154" s="3" t="s">
        <v>45</v>
      </c>
      <c r="F154" s="4" t="s">
        <v>29</v>
      </c>
      <c r="G154" s="3" t="s">
        <v>2276</v>
      </c>
      <c r="H154" s="3" t="s">
        <v>523</v>
      </c>
      <c r="I154" s="3"/>
      <c r="J154" s="21" t="s">
        <v>2276</v>
      </c>
      <c r="K154" s="21" t="s">
        <v>2276</v>
      </c>
      <c r="L154" s="21" t="s">
        <v>2276</v>
      </c>
      <c r="M154" s="21" t="s">
        <v>2276</v>
      </c>
      <c r="N154" s="21" t="s">
        <v>2276</v>
      </c>
      <c r="O154" s="21" t="s">
        <v>2276</v>
      </c>
      <c r="P154" s="21" t="s">
        <v>2276</v>
      </c>
      <c r="Q154" s="21" t="s">
        <v>2276</v>
      </c>
      <c r="R154" s="21" t="s">
        <v>2276</v>
      </c>
      <c r="S154" s="21" t="s">
        <v>2276</v>
      </c>
      <c r="T154" s="21" t="s">
        <v>2276</v>
      </c>
      <c r="U154" s="21" t="s">
        <v>2276</v>
      </c>
      <c r="V154" s="21" t="s">
        <v>2276</v>
      </c>
      <c r="W154" s="21" t="s">
        <v>2276</v>
      </c>
      <c r="X154" s="21" t="s">
        <v>2276</v>
      </c>
      <c r="Y154" s="21" t="s">
        <v>2276</v>
      </c>
      <c r="Z154" s="3" t="s">
        <v>2276</v>
      </c>
      <c r="AA154" s="3" t="s">
        <v>2276</v>
      </c>
      <c r="AB154" s="3" t="s">
        <v>2276</v>
      </c>
      <c r="AC154" s="4" t="s">
        <v>1380</v>
      </c>
      <c r="AD154" s="4" t="s">
        <v>1379</v>
      </c>
    </row>
    <row r="155" spans="1:30" ht="77.5" customHeight="1">
      <c r="A155" s="23" t="s">
        <v>145</v>
      </c>
      <c r="B155" s="3" t="s">
        <v>2300</v>
      </c>
      <c r="C155" s="23" t="s">
        <v>24</v>
      </c>
      <c r="D155" s="11" t="s">
        <v>2305</v>
      </c>
      <c r="E155" s="3" t="s">
        <v>116</v>
      </c>
      <c r="F155" s="4" t="s">
        <v>74</v>
      </c>
      <c r="G155" s="3" t="s">
        <v>2276</v>
      </c>
      <c r="H155" s="3" t="s">
        <v>523</v>
      </c>
      <c r="I155" s="3"/>
      <c r="J155" s="21" t="s">
        <v>2276</v>
      </c>
      <c r="K155" s="21" t="s">
        <v>2276</v>
      </c>
      <c r="L155" s="21" t="s">
        <v>2276</v>
      </c>
      <c r="M155" s="21" t="s">
        <v>2276</v>
      </c>
      <c r="N155" s="21" t="s">
        <v>2276</v>
      </c>
      <c r="O155" s="21" t="s">
        <v>2276</v>
      </c>
      <c r="P155" s="21" t="s">
        <v>2276</v>
      </c>
      <c r="Q155" s="21" t="s">
        <v>2276</v>
      </c>
      <c r="R155" s="21" t="s">
        <v>2276</v>
      </c>
      <c r="S155" s="21" t="s">
        <v>2276</v>
      </c>
      <c r="T155" s="21" t="s">
        <v>2276</v>
      </c>
      <c r="U155" s="21" t="s">
        <v>2276</v>
      </c>
      <c r="V155" s="21" t="s">
        <v>2276</v>
      </c>
      <c r="W155" s="21" t="s">
        <v>2276</v>
      </c>
      <c r="X155" s="21" t="s">
        <v>2276</v>
      </c>
      <c r="Y155" s="21" t="s">
        <v>2276</v>
      </c>
      <c r="Z155" s="21" t="s">
        <v>2276</v>
      </c>
      <c r="AA155" s="21" t="s">
        <v>2276</v>
      </c>
      <c r="AB155" s="21" t="s">
        <v>2276</v>
      </c>
      <c r="AC155" s="4" t="s">
        <v>2303</v>
      </c>
      <c r="AD155" s="4"/>
    </row>
    <row r="156" spans="1:30" ht="77.5" customHeight="1">
      <c r="A156" s="23" t="s">
        <v>145</v>
      </c>
      <c r="B156" s="3" t="s">
        <v>2301</v>
      </c>
      <c r="C156" s="23" t="s">
        <v>24</v>
      </c>
      <c r="D156" s="11" t="s">
        <v>27</v>
      </c>
      <c r="E156" s="3" t="s">
        <v>130</v>
      </c>
      <c r="F156" s="4" t="s">
        <v>74</v>
      </c>
      <c r="G156" s="3" t="s">
        <v>2276</v>
      </c>
      <c r="H156" s="3" t="s">
        <v>523</v>
      </c>
      <c r="I156" s="3"/>
      <c r="J156" s="21" t="s">
        <v>2276</v>
      </c>
      <c r="K156" s="21" t="s">
        <v>2276</v>
      </c>
      <c r="L156" s="21" t="s">
        <v>2276</v>
      </c>
      <c r="M156" s="21" t="s">
        <v>2276</v>
      </c>
      <c r="N156" s="21" t="s">
        <v>2276</v>
      </c>
      <c r="O156" s="21" t="s">
        <v>2276</v>
      </c>
      <c r="P156" s="21" t="s">
        <v>2276</v>
      </c>
      <c r="Q156" s="21" t="s">
        <v>2276</v>
      </c>
      <c r="R156" s="21" t="s">
        <v>2276</v>
      </c>
      <c r="S156" s="21" t="s">
        <v>2276</v>
      </c>
      <c r="T156" s="21" t="s">
        <v>2276</v>
      </c>
      <c r="U156" s="21" t="s">
        <v>2276</v>
      </c>
      <c r="V156" s="21" t="s">
        <v>2276</v>
      </c>
      <c r="W156" s="21" t="s">
        <v>2276</v>
      </c>
      <c r="X156" s="21" t="s">
        <v>2276</v>
      </c>
      <c r="Y156" s="21" t="s">
        <v>2276</v>
      </c>
      <c r="Z156" s="21" t="s">
        <v>2276</v>
      </c>
      <c r="AA156" s="21" t="s">
        <v>2276</v>
      </c>
      <c r="AB156" s="21" t="s">
        <v>2276</v>
      </c>
      <c r="AC156" s="4" t="s">
        <v>2302</v>
      </c>
      <c r="AD156" s="4"/>
    </row>
    <row r="157" spans="1:30" ht="131" customHeight="1">
      <c r="A157" s="11" t="s">
        <v>150</v>
      </c>
      <c r="B157" s="3" t="s">
        <v>157</v>
      </c>
      <c r="C157" s="23" t="s">
        <v>24</v>
      </c>
      <c r="D157" s="11" t="s">
        <v>143</v>
      </c>
      <c r="E157" s="11" t="s">
        <v>45</v>
      </c>
      <c r="F157" s="19" t="s">
        <v>74</v>
      </c>
      <c r="G157" s="11" t="s">
        <v>74</v>
      </c>
      <c r="H157" s="3" t="s">
        <v>523</v>
      </c>
      <c r="I157" s="11"/>
      <c r="J157" s="21" t="s">
        <v>2276</v>
      </c>
      <c r="K157" s="21" t="s">
        <v>2276</v>
      </c>
      <c r="L157" s="21" t="s">
        <v>2276</v>
      </c>
      <c r="M157" s="21" t="s">
        <v>2276</v>
      </c>
      <c r="N157" s="21" t="s">
        <v>2276</v>
      </c>
      <c r="O157" s="21" t="s">
        <v>2276</v>
      </c>
      <c r="P157" s="21" t="s">
        <v>2276</v>
      </c>
      <c r="Q157" s="21" t="s">
        <v>2276</v>
      </c>
      <c r="R157" s="21" t="s">
        <v>2276</v>
      </c>
      <c r="S157" s="21" t="s">
        <v>2276</v>
      </c>
      <c r="T157" s="21" t="s">
        <v>2276</v>
      </c>
      <c r="U157" s="21" t="s">
        <v>2276</v>
      </c>
      <c r="V157" s="21" t="s">
        <v>2276</v>
      </c>
      <c r="W157" s="21" t="s">
        <v>2276</v>
      </c>
      <c r="X157" s="21" t="s">
        <v>2276</v>
      </c>
      <c r="Y157" s="21" t="s">
        <v>2276</v>
      </c>
      <c r="Z157" s="3" t="s">
        <v>2276</v>
      </c>
      <c r="AA157" s="3" t="s">
        <v>2276</v>
      </c>
      <c r="AB157" s="3" t="s">
        <v>2276</v>
      </c>
      <c r="AC157" s="4"/>
      <c r="AD157" s="4" t="s">
        <v>5023</v>
      </c>
    </row>
    <row r="158" spans="1:30" ht="138.5" customHeight="1">
      <c r="A158" s="11" t="s">
        <v>150</v>
      </c>
      <c r="B158" s="3" t="s">
        <v>158</v>
      </c>
      <c r="C158" s="23" t="s">
        <v>24</v>
      </c>
      <c r="D158" s="11" t="s">
        <v>25</v>
      </c>
      <c r="E158" s="11" t="s">
        <v>45</v>
      </c>
      <c r="F158" s="19" t="s">
        <v>29</v>
      </c>
      <c r="G158" s="11" t="s">
        <v>29</v>
      </c>
      <c r="H158" s="3" t="s">
        <v>523</v>
      </c>
      <c r="I158" s="11"/>
      <c r="J158" s="21" t="s">
        <v>2276</v>
      </c>
      <c r="K158" s="21" t="s">
        <v>2276</v>
      </c>
      <c r="L158" s="21" t="s">
        <v>2276</v>
      </c>
      <c r="M158" s="21" t="s">
        <v>2276</v>
      </c>
      <c r="N158" s="21" t="s">
        <v>2276</v>
      </c>
      <c r="O158" s="21" t="s">
        <v>2276</v>
      </c>
      <c r="P158" s="21" t="s">
        <v>2276</v>
      </c>
      <c r="Q158" s="21" t="s">
        <v>2276</v>
      </c>
      <c r="R158" s="21" t="s">
        <v>2276</v>
      </c>
      <c r="S158" s="21" t="s">
        <v>2276</v>
      </c>
      <c r="T158" s="21" t="s">
        <v>2276</v>
      </c>
      <c r="U158" s="21" t="s">
        <v>2276</v>
      </c>
      <c r="V158" s="21" t="s">
        <v>2276</v>
      </c>
      <c r="W158" s="21" t="s">
        <v>2276</v>
      </c>
      <c r="X158" s="21" t="s">
        <v>2276</v>
      </c>
      <c r="Y158" s="21" t="s">
        <v>2276</v>
      </c>
      <c r="Z158" s="3" t="s">
        <v>2276</v>
      </c>
      <c r="AA158" s="3" t="s">
        <v>2276</v>
      </c>
      <c r="AB158" s="3" t="s">
        <v>2276</v>
      </c>
      <c r="AC158" s="3"/>
      <c r="AD158" s="4" t="s">
        <v>5023</v>
      </c>
    </row>
    <row r="159" spans="1:30" ht="132.5" customHeight="1">
      <c r="A159" s="11" t="s">
        <v>150</v>
      </c>
      <c r="B159" s="3" t="s">
        <v>159</v>
      </c>
      <c r="C159" s="23" t="s">
        <v>24</v>
      </c>
      <c r="D159" s="23" t="s">
        <v>27</v>
      </c>
      <c r="E159" s="23" t="s">
        <v>130</v>
      </c>
      <c r="F159" s="26" t="s">
        <v>161</v>
      </c>
      <c r="G159" s="26" t="s">
        <v>2276</v>
      </c>
      <c r="H159" s="3" t="s">
        <v>523</v>
      </c>
      <c r="I159" s="26"/>
      <c r="J159" s="21" t="s">
        <v>2276</v>
      </c>
      <c r="K159" s="21" t="s">
        <v>2276</v>
      </c>
      <c r="L159" s="21" t="s">
        <v>2276</v>
      </c>
      <c r="M159" s="21" t="s">
        <v>2276</v>
      </c>
      <c r="N159" s="21" t="s">
        <v>2276</v>
      </c>
      <c r="O159" s="21" t="s">
        <v>2276</v>
      </c>
      <c r="P159" s="21" t="s">
        <v>2276</v>
      </c>
      <c r="Q159" s="21" t="s">
        <v>2276</v>
      </c>
      <c r="R159" s="21" t="s">
        <v>2276</v>
      </c>
      <c r="S159" s="21" t="s">
        <v>2276</v>
      </c>
      <c r="T159" s="21" t="s">
        <v>2276</v>
      </c>
      <c r="U159" s="21" t="s">
        <v>2276</v>
      </c>
      <c r="V159" s="21" t="s">
        <v>2276</v>
      </c>
      <c r="W159" s="21" t="s">
        <v>2276</v>
      </c>
      <c r="X159" s="21" t="s">
        <v>2276</v>
      </c>
      <c r="Y159" s="21" t="s">
        <v>2276</v>
      </c>
      <c r="Z159" s="3" t="s">
        <v>2276</v>
      </c>
      <c r="AA159" s="3" t="s">
        <v>2276</v>
      </c>
      <c r="AB159" s="3" t="s">
        <v>2276</v>
      </c>
      <c r="AC159" s="3"/>
      <c r="AD159" s="4" t="s">
        <v>5023</v>
      </c>
    </row>
    <row r="160" spans="1:30" ht="150.5" customHeight="1">
      <c r="A160" s="11" t="s">
        <v>162</v>
      </c>
      <c r="B160" s="3" t="s">
        <v>167</v>
      </c>
      <c r="C160" s="23" t="s">
        <v>24</v>
      </c>
      <c r="D160" s="11" t="s">
        <v>143</v>
      </c>
      <c r="E160" s="11" t="s">
        <v>84</v>
      </c>
      <c r="F160" s="19" t="s">
        <v>74</v>
      </c>
      <c r="G160" s="11" t="s">
        <v>74</v>
      </c>
      <c r="H160" s="3" t="s">
        <v>523</v>
      </c>
      <c r="I160" s="3">
        <v>2002</v>
      </c>
      <c r="J160" s="21" t="s">
        <v>2276</v>
      </c>
      <c r="K160" s="21" t="s">
        <v>2276</v>
      </c>
      <c r="L160" s="21" t="s">
        <v>2276</v>
      </c>
      <c r="M160" s="21" t="s">
        <v>2276</v>
      </c>
      <c r="N160" s="21" t="s">
        <v>2276</v>
      </c>
      <c r="O160" s="21" t="s">
        <v>2276</v>
      </c>
      <c r="P160" s="21" t="s">
        <v>2276</v>
      </c>
      <c r="Q160" s="21" t="s">
        <v>2276</v>
      </c>
      <c r="R160" s="21" t="s">
        <v>2276</v>
      </c>
      <c r="S160" s="21" t="s">
        <v>2276</v>
      </c>
      <c r="T160" s="21" t="s">
        <v>2276</v>
      </c>
      <c r="U160" s="21" t="s">
        <v>2276</v>
      </c>
      <c r="V160" s="21" t="s">
        <v>2276</v>
      </c>
      <c r="W160" s="21" t="s">
        <v>2276</v>
      </c>
      <c r="X160" s="21" t="s">
        <v>2276</v>
      </c>
      <c r="Y160" s="21" t="s">
        <v>2276</v>
      </c>
      <c r="Z160" s="3" t="s">
        <v>2276</v>
      </c>
      <c r="AA160" s="3" t="s">
        <v>2276</v>
      </c>
      <c r="AB160" s="3" t="s">
        <v>2276</v>
      </c>
      <c r="AC160" s="4" t="s">
        <v>1398</v>
      </c>
      <c r="AD160" s="4" t="s">
        <v>1443</v>
      </c>
    </row>
    <row r="161" spans="1:30" ht="151.5" customHeight="1">
      <c r="A161" s="11" t="s">
        <v>162</v>
      </c>
      <c r="B161" s="3" t="s">
        <v>169</v>
      </c>
      <c r="C161" s="23" t="s">
        <v>24</v>
      </c>
      <c r="D161" s="11" t="s">
        <v>143</v>
      </c>
      <c r="E161" s="11" t="s">
        <v>84</v>
      </c>
      <c r="F161" s="19" t="s">
        <v>74</v>
      </c>
      <c r="G161" s="11" t="s">
        <v>74</v>
      </c>
      <c r="H161" s="3" t="s">
        <v>523</v>
      </c>
      <c r="I161" s="3">
        <v>2003</v>
      </c>
      <c r="J161" s="21" t="s">
        <v>2276</v>
      </c>
      <c r="K161" s="21" t="s">
        <v>2276</v>
      </c>
      <c r="L161" s="21" t="s">
        <v>2276</v>
      </c>
      <c r="M161" s="21" t="s">
        <v>2276</v>
      </c>
      <c r="N161" s="21" t="s">
        <v>2276</v>
      </c>
      <c r="O161" s="21" t="s">
        <v>2276</v>
      </c>
      <c r="P161" s="21" t="s">
        <v>2276</v>
      </c>
      <c r="Q161" s="21" t="s">
        <v>2276</v>
      </c>
      <c r="R161" s="21" t="s">
        <v>2276</v>
      </c>
      <c r="S161" s="21" t="s">
        <v>2276</v>
      </c>
      <c r="T161" s="21" t="s">
        <v>2276</v>
      </c>
      <c r="U161" s="21" t="s">
        <v>2276</v>
      </c>
      <c r="V161" s="21" t="s">
        <v>2276</v>
      </c>
      <c r="W161" s="21" t="s">
        <v>2276</v>
      </c>
      <c r="X161" s="21" t="s">
        <v>2276</v>
      </c>
      <c r="Y161" s="21" t="s">
        <v>2276</v>
      </c>
      <c r="Z161" s="3" t="s">
        <v>2276</v>
      </c>
      <c r="AA161" s="3" t="s">
        <v>2276</v>
      </c>
      <c r="AB161" s="3" t="s">
        <v>2276</v>
      </c>
      <c r="AC161" s="4" t="s">
        <v>1398</v>
      </c>
      <c r="AD161" s="4" t="s">
        <v>1443</v>
      </c>
    </row>
    <row r="162" spans="1:30" ht="137.5" customHeight="1">
      <c r="A162" s="11" t="s">
        <v>162</v>
      </c>
      <c r="B162" s="3" t="s">
        <v>170</v>
      </c>
      <c r="C162" s="23" t="s">
        <v>24</v>
      </c>
      <c r="D162" s="11" t="s">
        <v>143</v>
      </c>
      <c r="E162" s="11" t="s">
        <v>84</v>
      </c>
      <c r="F162" s="19" t="s">
        <v>74</v>
      </c>
      <c r="G162" s="11" t="s">
        <v>74</v>
      </c>
      <c r="H162" s="3" t="s">
        <v>523</v>
      </c>
      <c r="I162" s="3">
        <v>2004</v>
      </c>
      <c r="J162" s="21" t="s">
        <v>2276</v>
      </c>
      <c r="K162" s="21" t="s">
        <v>2276</v>
      </c>
      <c r="L162" s="21" t="s">
        <v>2276</v>
      </c>
      <c r="M162" s="21" t="s">
        <v>2276</v>
      </c>
      <c r="N162" s="21" t="s">
        <v>2276</v>
      </c>
      <c r="O162" s="21" t="s">
        <v>2276</v>
      </c>
      <c r="P162" s="21" t="s">
        <v>2276</v>
      </c>
      <c r="Q162" s="21" t="s">
        <v>2276</v>
      </c>
      <c r="R162" s="21" t="s">
        <v>2276</v>
      </c>
      <c r="S162" s="21" t="s">
        <v>2276</v>
      </c>
      <c r="T162" s="21" t="s">
        <v>2276</v>
      </c>
      <c r="U162" s="21" t="s">
        <v>2276</v>
      </c>
      <c r="V162" s="21" t="s">
        <v>2276</v>
      </c>
      <c r="W162" s="21" t="s">
        <v>2276</v>
      </c>
      <c r="X162" s="21" t="s">
        <v>2276</v>
      </c>
      <c r="Y162" s="21" t="s">
        <v>2276</v>
      </c>
      <c r="Z162" s="3" t="s">
        <v>2276</v>
      </c>
      <c r="AA162" s="3" t="s">
        <v>2276</v>
      </c>
      <c r="AB162" s="3" t="s">
        <v>2276</v>
      </c>
      <c r="AC162" s="4" t="s">
        <v>1398</v>
      </c>
      <c r="AD162" s="4" t="s">
        <v>5035</v>
      </c>
    </row>
    <row r="163" spans="1:30" ht="124" customHeight="1">
      <c r="A163" s="11" t="s">
        <v>162</v>
      </c>
      <c r="B163" s="3" t="s">
        <v>1390</v>
      </c>
      <c r="C163" s="23" t="s">
        <v>24</v>
      </c>
      <c r="D163" s="11" t="s">
        <v>143</v>
      </c>
      <c r="E163" s="11" t="s">
        <v>84</v>
      </c>
      <c r="F163" s="19" t="s">
        <v>74</v>
      </c>
      <c r="G163" s="11" t="s">
        <v>74</v>
      </c>
      <c r="H163" s="3" t="s">
        <v>523</v>
      </c>
      <c r="I163" s="3">
        <v>2005</v>
      </c>
      <c r="J163" s="21" t="s">
        <v>2276</v>
      </c>
      <c r="K163" s="21" t="s">
        <v>2276</v>
      </c>
      <c r="L163" s="21" t="s">
        <v>2276</v>
      </c>
      <c r="M163" s="21" t="s">
        <v>2276</v>
      </c>
      <c r="N163" s="21" t="s">
        <v>2276</v>
      </c>
      <c r="O163" s="21" t="s">
        <v>2276</v>
      </c>
      <c r="P163" s="21" t="s">
        <v>2276</v>
      </c>
      <c r="Q163" s="21" t="s">
        <v>2276</v>
      </c>
      <c r="R163" s="21" t="s">
        <v>2276</v>
      </c>
      <c r="S163" s="21" t="s">
        <v>2276</v>
      </c>
      <c r="T163" s="21" t="s">
        <v>2276</v>
      </c>
      <c r="U163" s="21" t="s">
        <v>2276</v>
      </c>
      <c r="V163" s="21" t="s">
        <v>2276</v>
      </c>
      <c r="W163" s="21" t="s">
        <v>2276</v>
      </c>
      <c r="X163" s="21" t="s">
        <v>2276</v>
      </c>
      <c r="Y163" s="21" t="s">
        <v>2276</v>
      </c>
      <c r="Z163" s="3" t="s">
        <v>2276</v>
      </c>
      <c r="AA163" s="3" t="s">
        <v>2276</v>
      </c>
      <c r="AB163" s="3" t="s">
        <v>2276</v>
      </c>
      <c r="AC163" s="4" t="s">
        <v>1398</v>
      </c>
      <c r="AD163" s="4" t="s">
        <v>1443</v>
      </c>
    </row>
    <row r="164" spans="1:30" ht="135" customHeight="1">
      <c r="A164" s="11" t="s">
        <v>162</v>
      </c>
      <c r="B164" s="3" t="s">
        <v>1391</v>
      </c>
      <c r="C164" s="23" t="s">
        <v>24</v>
      </c>
      <c r="D164" s="11" t="s">
        <v>143</v>
      </c>
      <c r="E164" s="11" t="s">
        <v>84</v>
      </c>
      <c r="F164" s="19" t="s">
        <v>74</v>
      </c>
      <c r="G164" s="11" t="s">
        <v>74</v>
      </c>
      <c r="H164" s="3" t="s">
        <v>523</v>
      </c>
      <c r="I164" s="3">
        <v>2006</v>
      </c>
      <c r="J164" s="21" t="s">
        <v>2276</v>
      </c>
      <c r="K164" s="21" t="s">
        <v>2276</v>
      </c>
      <c r="L164" s="21" t="s">
        <v>2276</v>
      </c>
      <c r="M164" s="21" t="s">
        <v>2276</v>
      </c>
      <c r="N164" s="21" t="s">
        <v>2276</v>
      </c>
      <c r="O164" s="21" t="s">
        <v>2276</v>
      </c>
      <c r="P164" s="21" t="s">
        <v>2276</v>
      </c>
      <c r="Q164" s="21" t="s">
        <v>2276</v>
      </c>
      <c r="R164" s="21" t="s">
        <v>2276</v>
      </c>
      <c r="S164" s="21" t="s">
        <v>2276</v>
      </c>
      <c r="T164" s="21" t="s">
        <v>2276</v>
      </c>
      <c r="U164" s="21" t="s">
        <v>2276</v>
      </c>
      <c r="V164" s="21" t="s">
        <v>2276</v>
      </c>
      <c r="W164" s="21" t="s">
        <v>2276</v>
      </c>
      <c r="X164" s="21" t="s">
        <v>2276</v>
      </c>
      <c r="Y164" s="21" t="s">
        <v>2276</v>
      </c>
      <c r="Z164" s="3" t="s">
        <v>2276</v>
      </c>
      <c r="AA164" s="3" t="s">
        <v>2276</v>
      </c>
      <c r="AB164" s="3" t="s">
        <v>2276</v>
      </c>
      <c r="AC164" s="4" t="s">
        <v>1398</v>
      </c>
      <c r="AD164" s="4" t="s">
        <v>1443</v>
      </c>
    </row>
    <row r="165" spans="1:30" ht="147.5" customHeight="1">
      <c r="A165" s="11" t="s">
        <v>162</v>
      </c>
      <c r="B165" s="3" t="s">
        <v>1392</v>
      </c>
      <c r="C165" s="23" t="s">
        <v>24</v>
      </c>
      <c r="D165" s="11" t="s">
        <v>143</v>
      </c>
      <c r="E165" s="11" t="s">
        <v>84</v>
      </c>
      <c r="F165" s="19" t="s">
        <v>74</v>
      </c>
      <c r="G165" s="11" t="s">
        <v>74</v>
      </c>
      <c r="H165" s="3" t="s">
        <v>523</v>
      </c>
      <c r="I165" s="3">
        <v>2007</v>
      </c>
      <c r="J165" s="21" t="s">
        <v>2276</v>
      </c>
      <c r="K165" s="21" t="s">
        <v>2276</v>
      </c>
      <c r="L165" s="21" t="s">
        <v>2276</v>
      </c>
      <c r="M165" s="21" t="s">
        <v>2276</v>
      </c>
      <c r="N165" s="21" t="s">
        <v>2276</v>
      </c>
      <c r="O165" s="21" t="s">
        <v>2276</v>
      </c>
      <c r="P165" s="21" t="s">
        <v>2276</v>
      </c>
      <c r="Q165" s="21" t="s">
        <v>2276</v>
      </c>
      <c r="R165" s="21" t="s">
        <v>2276</v>
      </c>
      <c r="S165" s="21" t="s">
        <v>2276</v>
      </c>
      <c r="T165" s="21" t="s">
        <v>2276</v>
      </c>
      <c r="U165" s="21" t="s">
        <v>2276</v>
      </c>
      <c r="V165" s="21" t="s">
        <v>2276</v>
      </c>
      <c r="W165" s="21" t="s">
        <v>2276</v>
      </c>
      <c r="X165" s="21" t="s">
        <v>2276</v>
      </c>
      <c r="Y165" s="21" t="s">
        <v>2276</v>
      </c>
      <c r="Z165" s="3" t="s">
        <v>2276</v>
      </c>
      <c r="AA165" s="3" t="s">
        <v>2276</v>
      </c>
      <c r="AB165" s="3" t="s">
        <v>2276</v>
      </c>
      <c r="AC165" s="4" t="s">
        <v>1398</v>
      </c>
      <c r="AD165" s="4" t="s">
        <v>1443</v>
      </c>
    </row>
    <row r="166" spans="1:30" ht="139" customHeight="1">
      <c r="A166" s="11" t="s">
        <v>162</v>
      </c>
      <c r="B166" s="3" t="s">
        <v>1393</v>
      </c>
      <c r="C166" s="23" t="s">
        <v>24</v>
      </c>
      <c r="D166" s="11" t="s">
        <v>143</v>
      </c>
      <c r="E166" s="11" t="s">
        <v>84</v>
      </c>
      <c r="F166" s="19" t="s">
        <v>74</v>
      </c>
      <c r="G166" s="11" t="s">
        <v>74</v>
      </c>
      <c r="H166" s="3" t="s">
        <v>523</v>
      </c>
      <c r="I166" s="3">
        <v>2008</v>
      </c>
      <c r="J166" s="21" t="s">
        <v>2276</v>
      </c>
      <c r="K166" s="21" t="s">
        <v>2276</v>
      </c>
      <c r="L166" s="21" t="s">
        <v>2276</v>
      </c>
      <c r="M166" s="21" t="s">
        <v>2276</v>
      </c>
      <c r="N166" s="21" t="s">
        <v>2276</v>
      </c>
      <c r="O166" s="21" t="s">
        <v>2276</v>
      </c>
      <c r="P166" s="21" t="s">
        <v>2276</v>
      </c>
      <c r="Q166" s="21" t="s">
        <v>2276</v>
      </c>
      <c r="R166" s="21" t="s">
        <v>2276</v>
      </c>
      <c r="S166" s="21" t="s">
        <v>2276</v>
      </c>
      <c r="T166" s="21" t="s">
        <v>2276</v>
      </c>
      <c r="U166" s="21" t="s">
        <v>2276</v>
      </c>
      <c r="V166" s="21" t="s">
        <v>2276</v>
      </c>
      <c r="W166" s="21" t="s">
        <v>2276</v>
      </c>
      <c r="X166" s="21" t="s">
        <v>2276</v>
      </c>
      <c r="Y166" s="21" t="s">
        <v>2276</v>
      </c>
      <c r="Z166" s="3" t="s">
        <v>2276</v>
      </c>
      <c r="AA166" s="3" t="s">
        <v>2276</v>
      </c>
      <c r="AB166" s="3" t="s">
        <v>2276</v>
      </c>
      <c r="AC166" s="4" t="s">
        <v>1398</v>
      </c>
      <c r="AD166" s="4" t="s">
        <v>1443</v>
      </c>
    </row>
    <row r="167" spans="1:30" ht="155" customHeight="1">
      <c r="A167" s="11" t="s">
        <v>162</v>
      </c>
      <c r="B167" s="3" t="s">
        <v>1394</v>
      </c>
      <c r="C167" s="23" t="s">
        <v>24</v>
      </c>
      <c r="D167" s="11" t="s">
        <v>143</v>
      </c>
      <c r="E167" s="11" t="s">
        <v>84</v>
      </c>
      <c r="F167" s="19" t="s">
        <v>74</v>
      </c>
      <c r="G167" s="11" t="s">
        <v>74</v>
      </c>
      <c r="H167" s="3" t="s">
        <v>523</v>
      </c>
      <c r="I167" s="3">
        <v>2009</v>
      </c>
      <c r="J167" s="21" t="s">
        <v>2276</v>
      </c>
      <c r="K167" s="21" t="s">
        <v>2276</v>
      </c>
      <c r="L167" s="21" t="s">
        <v>2276</v>
      </c>
      <c r="M167" s="21" t="s">
        <v>2276</v>
      </c>
      <c r="N167" s="21" t="s">
        <v>2276</v>
      </c>
      <c r="O167" s="21" t="s">
        <v>2276</v>
      </c>
      <c r="P167" s="21" t="s">
        <v>2276</v>
      </c>
      <c r="Q167" s="21" t="s">
        <v>2276</v>
      </c>
      <c r="R167" s="21" t="s">
        <v>2276</v>
      </c>
      <c r="S167" s="21" t="s">
        <v>2276</v>
      </c>
      <c r="T167" s="21" t="s">
        <v>2276</v>
      </c>
      <c r="U167" s="21" t="s">
        <v>2276</v>
      </c>
      <c r="V167" s="21" t="s">
        <v>2276</v>
      </c>
      <c r="W167" s="21" t="s">
        <v>2276</v>
      </c>
      <c r="X167" s="21" t="s">
        <v>2276</v>
      </c>
      <c r="Y167" s="21" t="s">
        <v>2276</v>
      </c>
      <c r="Z167" s="3" t="s">
        <v>2276</v>
      </c>
      <c r="AA167" s="3" t="s">
        <v>2276</v>
      </c>
      <c r="AB167" s="3" t="s">
        <v>2276</v>
      </c>
      <c r="AC167" s="4" t="s">
        <v>1398</v>
      </c>
      <c r="AD167" s="4" t="s">
        <v>1443</v>
      </c>
    </row>
    <row r="168" spans="1:30" ht="146.5" customHeight="1">
      <c r="A168" s="11" t="s">
        <v>162</v>
      </c>
      <c r="B168" s="3" t="s">
        <v>1395</v>
      </c>
      <c r="C168" s="23" t="s">
        <v>24</v>
      </c>
      <c r="D168" s="11" t="s">
        <v>143</v>
      </c>
      <c r="E168" s="11" t="s">
        <v>84</v>
      </c>
      <c r="F168" s="19" t="s">
        <v>74</v>
      </c>
      <c r="G168" s="11" t="s">
        <v>74</v>
      </c>
      <c r="H168" s="3" t="s">
        <v>523</v>
      </c>
      <c r="I168" s="3">
        <v>2010</v>
      </c>
      <c r="J168" s="21" t="s">
        <v>2276</v>
      </c>
      <c r="K168" s="21" t="s">
        <v>2276</v>
      </c>
      <c r="L168" s="21" t="s">
        <v>2276</v>
      </c>
      <c r="M168" s="21" t="s">
        <v>2276</v>
      </c>
      <c r="N168" s="21" t="s">
        <v>2276</v>
      </c>
      <c r="O168" s="21" t="s">
        <v>2276</v>
      </c>
      <c r="P168" s="21" t="s">
        <v>2276</v>
      </c>
      <c r="Q168" s="21" t="s">
        <v>2276</v>
      </c>
      <c r="R168" s="21" t="s">
        <v>2276</v>
      </c>
      <c r="S168" s="21" t="s">
        <v>2276</v>
      </c>
      <c r="T168" s="21" t="s">
        <v>2276</v>
      </c>
      <c r="U168" s="21" t="s">
        <v>2276</v>
      </c>
      <c r="V168" s="21" t="s">
        <v>2276</v>
      </c>
      <c r="W168" s="21" t="s">
        <v>2276</v>
      </c>
      <c r="X168" s="21" t="s">
        <v>2276</v>
      </c>
      <c r="Y168" s="21" t="s">
        <v>2276</v>
      </c>
      <c r="Z168" s="3" t="s">
        <v>2276</v>
      </c>
      <c r="AA168" s="3" t="s">
        <v>2276</v>
      </c>
      <c r="AB168" s="3" t="s">
        <v>2276</v>
      </c>
      <c r="AC168" s="4" t="s">
        <v>1398</v>
      </c>
      <c r="AD168" s="4" t="s">
        <v>1443</v>
      </c>
    </row>
    <row r="169" spans="1:30" ht="147.5" customHeight="1">
      <c r="A169" s="11" t="s">
        <v>162</v>
      </c>
      <c r="B169" s="3" t="s">
        <v>1396</v>
      </c>
      <c r="C169" s="23" t="s">
        <v>24</v>
      </c>
      <c r="D169" s="11" t="s">
        <v>143</v>
      </c>
      <c r="E169" s="11" t="s">
        <v>84</v>
      </c>
      <c r="F169" s="19" t="s">
        <v>74</v>
      </c>
      <c r="G169" s="11" t="s">
        <v>74</v>
      </c>
      <c r="H169" s="3" t="s">
        <v>523</v>
      </c>
      <c r="I169" s="3">
        <v>2011</v>
      </c>
      <c r="J169" s="21" t="s">
        <v>2276</v>
      </c>
      <c r="K169" s="21" t="s">
        <v>2276</v>
      </c>
      <c r="L169" s="21" t="s">
        <v>2276</v>
      </c>
      <c r="M169" s="21" t="s">
        <v>2276</v>
      </c>
      <c r="N169" s="21" t="s">
        <v>2276</v>
      </c>
      <c r="O169" s="21" t="s">
        <v>2276</v>
      </c>
      <c r="P169" s="21" t="s">
        <v>2276</v>
      </c>
      <c r="Q169" s="21" t="s">
        <v>2276</v>
      </c>
      <c r="R169" s="21" t="s">
        <v>2276</v>
      </c>
      <c r="S169" s="21" t="s">
        <v>2276</v>
      </c>
      <c r="T169" s="21" t="s">
        <v>2276</v>
      </c>
      <c r="U169" s="21" t="s">
        <v>2276</v>
      </c>
      <c r="V169" s="21" t="s">
        <v>2276</v>
      </c>
      <c r="W169" s="21" t="s">
        <v>2276</v>
      </c>
      <c r="X169" s="21" t="s">
        <v>2276</v>
      </c>
      <c r="Y169" s="21" t="s">
        <v>2276</v>
      </c>
      <c r="Z169" s="3" t="s">
        <v>2276</v>
      </c>
      <c r="AA169" s="3" t="s">
        <v>2276</v>
      </c>
      <c r="AB169" s="3" t="s">
        <v>2276</v>
      </c>
      <c r="AC169" s="4" t="s">
        <v>1398</v>
      </c>
      <c r="AD169" s="4" t="s">
        <v>1443</v>
      </c>
    </row>
    <row r="170" spans="1:30" ht="142" customHeight="1">
      <c r="A170" s="11" t="s">
        <v>162</v>
      </c>
      <c r="B170" s="3" t="s">
        <v>1397</v>
      </c>
      <c r="C170" s="23" t="s">
        <v>24</v>
      </c>
      <c r="D170" s="11" t="s">
        <v>143</v>
      </c>
      <c r="E170" s="11" t="s">
        <v>84</v>
      </c>
      <c r="F170" s="19" t="s">
        <v>74</v>
      </c>
      <c r="G170" s="11" t="s">
        <v>74</v>
      </c>
      <c r="H170" s="3" t="s">
        <v>523</v>
      </c>
      <c r="I170" s="3">
        <v>2012</v>
      </c>
      <c r="J170" s="21" t="s">
        <v>2276</v>
      </c>
      <c r="K170" s="21" t="s">
        <v>2276</v>
      </c>
      <c r="L170" s="21" t="s">
        <v>2276</v>
      </c>
      <c r="M170" s="21" t="s">
        <v>2276</v>
      </c>
      <c r="N170" s="21" t="s">
        <v>2276</v>
      </c>
      <c r="O170" s="21" t="s">
        <v>2276</v>
      </c>
      <c r="P170" s="21" t="s">
        <v>2276</v>
      </c>
      <c r="Q170" s="21" t="s">
        <v>2276</v>
      </c>
      <c r="R170" s="21" t="s">
        <v>2276</v>
      </c>
      <c r="S170" s="21" t="s">
        <v>2276</v>
      </c>
      <c r="T170" s="21" t="s">
        <v>2276</v>
      </c>
      <c r="U170" s="21" t="s">
        <v>2276</v>
      </c>
      <c r="V170" s="21" t="s">
        <v>2276</v>
      </c>
      <c r="W170" s="21" t="s">
        <v>2276</v>
      </c>
      <c r="X170" s="21" t="s">
        <v>2276</v>
      </c>
      <c r="Y170" s="21" t="s">
        <v>2276</v>
      </c>
      <c r="Z170" s="3" t="s">
        <v>2276</v>
      </c>
      <c r="AA170" s="3" t="s">
        <v>2276</v>
      </c>
      <c r="AB170" s="3" t="s">
        <v>2276</v>
      </c>
      <c r="AC170" s="4" t="s">
        <v>1398</v>
      </c>
      <c r="AD170" s="4" t="s">
        <v>1443</v>
      </c>
    </row>
    <row r="171" spans="1:30" ht="112.5" customHeight="1">
      <c r="A171" s="11" t="s">
        <v>162</v>
      </c>
      <c r="B171" s="3" t="s">
        <v>1399</v>
      </c>
      <c r="C171" s="23" t="s">
        <v>24</v>
      </c>
      <c r="D171" s="11" t="s">
        <v>143</v>
      </c>
      <c r="E171" s="19" t="s">
        <v>396</v>
      </c>
      <c r="F171" s="19" t="s">
        <v>74</v>
      </c>
      <c r="G171" s="11" t="s">
        <v>74</v>
      </c>
      <c r="H171" s="3" t="s">
        <v>523</v>
      </c>
      <c r="I171" s="3">
        <v>2002</v>
      </c>
      <c r="J171" s="21" t="s">
        <v>2276</v>
      </c>
      <c r="K171" s="21" t="s">
        <v>2276</v>
      </c>
      <c r="L171" s="21" t="s">
        <v>2276</v>
      </c>
      <c r="M171" s="21" t="s">
        <v>2276</v>
      </c>
      <c r="N171" s="21" t="s">
        <v>2276</v>
      </c>
      <c r="O171" s="21" t="s">
        <v>2276</v>
      </c>
      <c r="P171" s="21" t="s">
        <v>2276</v>
      </c>
      <c r="Q171" s="21" t="s">
        <v>2276</v>
      </c>
      <c r="R171" s="21" t="s">
        <v>2276</v>
      </c>
      <c r="S171" s="21" t="s">
        <v>2276</v>
      </c>
      <c r="T171" s="21" t="s">
        <v>2276</v>
      </c>
      <c r="U171" s="21" t="s">
        <v>2276</v>
      </c>
      <c r="V171" s="21" t="s">
        <v>2276</v>
      </c>
      <c r="W171" s="21" t="s">
        <v>2276</v>
      </c>
      <c r="X171" s="21" t="s">
        <v>2276</v>
      </c>
      <c r="Y171" s="21" t="s">
        <v>2276</v>
      </c>
      <c r="Z171" s="3" t="s">
        <v>2276</v>
      </c>
      <c r="AA171" s="3" t="s">
        <v>2276</v>
      </c>
      <c r="AB171" s="3" t="s">
        <v>2276</v>
      </c>
      <c r="AC171" s="4" t="s">
        <v>1398</v>
      </c>
      <c r="AD171" s="4" t="s">
        <v>1442</v>
      </c>
    </row>
    <row r="172" spans="1:30" ht="112.5" customHeight="1">
      <c r="A172" s="11" t="s">
        <v>162</v>
      </c>
      <c r="B172" s="3" t="s">
        <v>1400</v>
      </c>
      <c r="C172" s="23" t="s">
        <v>24</v>
      </c>
      <c r="D172" s="11" t="s">
        <v>143</v>
      </c>
      <c r="E172" s="19" t="s">
        <v>396</v>
      </c>
      <c r="F172" s="19" t="s">
        <v>74</v>
      </c>
      <c r="G172" s="11" t="s">
        <v>74</v>
      </c>
      <c r="H172" s="3" t="s">
        <v>523</v>
      </c>
      <c r="I172" s="3">
        <v>2003</v>
      </c>
      <c r="J172" s="21" t="s">
        <v>2276</v>
      </c>
      <c r="K172" s="21" t="s">
        <v>2276</v>
      </c>
      <c r="L172" s="21" t="s">
        <v>2276</v>
      </c>
      <c r="M172" s="21" t="s">
        <v>2276</v>
      </c>
      <c r="N172" s="21" t="s">
        <v>2276</v>
      </c>
      <c r="O172" s="21" t="s">
        <v>2276</v>
      </c>
      <c r="P172" s="21" t="s">
        <v>2276</v>
      </c>
      <c r="Q172" s="21" t="s">
        <v>2276</v>
      </c>
      <c r="R172" s="21" t="s">
        <v>2276</v>
      </c>
      <c r="S172" s="21" t="s">
        <v>2276</v>
      </c>
      <c r="T172" s="21" t="s">
        <v>2276</v>
      </c>
      <c r="U172" s="21" t="s">
        <v>2276</v>
      </c>
      <c r="V172" s="21" t="s">
        <v>2276</v>
      </c>
      <c r="W172" s="21" t="s">
        <v>2276</v>
      </c>
      <c r="X172" s="21" t="s">
        <v>2276</v>
      </c>
      <c r="Y172" s="21" t="s">
        <v>2276</v>
      </c>
      <c r="Z172" s="3" t="s">
        <v>2276</v>
      </c>
      <c r="AA172" s="3" t="s">
        <v>2276</v>
      </c>
      <c r="AB172" s="3" t="s">
        <v>2276</v>
      </c>
      <c r="AC172" s="4" t="s">
        <v>1398</v>
      </c>
      <c r="AD172" s="4" t="s">
        <v>1442</v>
      </c>
    </row>
    <row r="173" spans="1:30" ht="112.5" customHeight="1">
      <c r="A173" s="11" t="s">
        <v>162</v>
      </c>
      <c r="B173" s="3" t="s">
        <v>1401</v>
      </c>
      <c r="C173" s="23" t="s">
        <v>24</v>
      </c>
      <c r="D173" s="11" t="s">
        <v>143</v>
      </c>
      <c r="E173" s="19" t="s">
        <v>396</v>
      </c>
      <c r="F173" s="19" t="s">
        <v>74</v>
      </c>
      <c r="G173" s="11" t="s">
        <v>74</v>
      </c>
      <c r="H173" s="3" t="s">
        <v>523</v>
      </c>
      <c r="I173" s="3">
        <v>2004</v>
      </c>
      <c r="J173" s="21" t="s">
        <v>2276</v>
      </c>
      <c r="K173" s="21" t="s">
        <v>2276</v>
      </c>
      <c r="L173" s="21" t="s">
        <v>2276</v>
      </c>
      <c r="M173" s="21" t="s">
        <v>2276</v>
      </c>
      <c r="N173" s="21" t="s">
        <v>2276</v>
      </c>
      <c r="O173" s="21" t="s">
        <v>2276</v>
      </c>
      <c r="P173" s="21" t="s">
        <v>2276</v>
      </c>
      <c r="Q173" s="21" t="s">
        <v>2276</v>
      </c>
      <c r="R173" s="21" t="s">
        <v>2276</v>
      </c>
      <c r="S173" s="21" t="s">
        <v>2276</v>
      </c>
      <c r="T173" s="21" t="s">
        <v>2276</v>
      </c>
      <c r="U173" s="21" t="s">
        <v>2276</v>
      </c>
      <c r="V173" s="21" t="s">
        <v>2276</v>
      </c>
      <c r="W173" s="21" t="s">
        <v>2276</v>
      </c>
      <c r="X173" s="21" t="s">
        <v>2276</v>
      </c>
      <c r="Y173" s="21" t="s">
        <v>2276</v>
      </c>
      <c r="Z173" s="3" t="s">
        <v>2276</v>
      </c>
      <c r="AA173" s="3" t="s">
        <v>2276</v>
      </c>
      <c r="AB173" s="3" t="s">
        <v>2276</v>
      </c>
      <c r="AC173" s="4" t="s">
        <v>1398</v>
      </c>
      <c r="AD173" s="4" t="s">
        <v>1442</v>
      </c>
    </row>
    <row r="174" spans="1:30" ht="112.5" customHeight="1">
      <c r="A174" s="11" t="s">
        <v>162</v>
      </c>
      <c r="B174" s="3" t="s">
        <v>1402</v>
      </c>
      <c r="C174" s="23" t="s">
        <v>24</v>
      </c>
      <c r="D174" s="11" t="s">
        <v>143</v>
      </c>
      <c r="E174" s="19" t="s">
        <v>396</v>
      </c>
      <c r="F174" s="19" t="s">
        <v>74</v>
      </c>
      <c r="G174" s="11" t="s">
        <v>74</v>
      </c>
      <c r="H174" s="3" t="s">
        <v>523</v>
      </c>
      <c r="I174" s="3">
        <v>2005</v>
      </c>
      <c r="J174" s="21" t="s">
        <v>2276</v>
      </c>
      <c r="K174" s="21" t="s">
        <v>2276</v>
      </c>
      <c r="L174" s="21" t="s">
        <v>2276</v>
      </c>
      <c r="M174" s="21" t="s">
        <v>2276</v>
      </c>
      <c r="N174" s="21" t="s">
        <v>2276</v>
      </c>
      <c r="O174" s="21" t="s">
        <v>2276</v>
      </c>
      <c r="P174" s="21" t="s">
        <v>2276</v>
      </c>
      <c r="Q174" s="21" t="s">
        <v>2276</v>
      </c>
      <c r="R174" s="21" t="s">
        <v>2276</v>
      </c>
      <c r="S174" s="21" t="s">
        <v>2276</v>
      </c>
      <c r="T174" s="21" t="s">
        <v>2276</v>
      </c>
      <c r="U174" s="21" t="s">
        <v>2276</v>
      </c>
      <c r="V174" s="21" t="s">
        <v>2276</v>
      </c>
      <c r="W174" s="21" t="s">
        <v>2276</v>
      </c>
      <c r="X174" s="21" t="s">
        <v>2276</v>
      </c>
      <c r="Y174" s="21" t="s">
        <v>2276</v>
      </c>
      <c r="Z174" s="3" t="s">
        <v>2276</v>
      </c>
      <c r="AA174" s="3" t="s">
        <v>2276</v>
      </c>
      <c r="AB174" s="3" t="s">
        <v>2276</v>
      </c>
      <c r="AC174" s="4" t="s">
        <v>1398</v>
      </c>
      <c r="AD174" s="4" t="s">
        <v>1442</v>
      </c>
    </row>
    <row r="175" spans="1:30" ht="112.5" customHeight="1">
      <c r="A175" s="11" t="s">
        <v>162</v>
      </c>
      <c r="B175" s="3" t="s">
        <v>1403</v>
      </c>
      <c r="C175" s="23" t="s">
        <v>24</v>
      </c>
      <c r="D175" s="11" t="s">
        <v>143</v>
      </c>
      <c r="E175" s="19" t="s">
        <v>396</v>
      </c>
      <c r="F175" s="19" t="s">
        <v>74</v>
      </c>
      <c r="G175" s="11" t="s">
        <v>74</v>
      </c>
      <c r="H175" s="3" t="s">
        <v>523</v>
      </c>
      <c r="I175" s="3">
        <v>2006</v>
      </c>
      <c r="J175" s="21" t="s">
        <v>2276</v>
      </c>
      <c r="K175" s="21" t="s">
        <v>2276</v>
      </c>
      <c r="L175" s="21" t="s">
        <v>2276</v>
      </c>
      <c r="M175" s="21" t="s">
        <v>2276</v>
      </c>
      <c r="N175" s="21" t="s">
        <v>2276</v>
      </c>
      <c r="O175" s="21" t="s">
        <v>2276</v>
      </c>
      <c r="P175" s="21" t="s">
        <v>2276</v>
      </c>
      <c r="Q175" s="21" t="s">
        <v>2276</v>
      </c>
      <c r="R175" s="21" t="s">
        <v>2276</v>
      </c>
      <c r="S175" s="21" t="s">
        <v>2276</v>
      </c>
      <c r="T175" s="21" t="s">
        <v>2276</v>
      </c>
      <c r="U175" s="21" t="s">
        <v>2276</v>
      </c>
      <c r="V175" s="21" t="s">
        <v>2276</v>
      </c>
      <c r="W175" s="21" t="s">
        <v>2276</v>
      </c>
      <c r="X175" s="21" t="s">
        <v>2276</v>
      </c>
      <c r="Y175" s="21" t="s">
        <v>2276</v>
      </c>
      <c r="Z175" s="3" t="s">
        <v>2276</v>
      </c>
      <c r="AA175" s="3" t="s">
        <v>2276</v>
      </c>
      <c r="AB175" s="3" t="s">
        <v>2276</v>
      </c>
      <c r="AC175" s="4" t="s">
        <v>1398</v>
      </c>
      <c r="AD175" s="4" t="s">
        <v>1442</v>
      </c>
    </row>
    <row r="176" spans="1:30" ht="112.5" customHeight="1">
      <c r="A176" s="11" t="s">
        <v>162</v>
      </c>
      <c r="B176" s="3" t="s">
        <v>1404</v>
      </c>
      <c r="C176" s="23" t="s">
        <v>24</v>
      </c>
      <c r="D176" s="11" t="s">
        <v>143</v>
      </c>
      <c r="E176" s="19" t="s">
        <v>396</v>
      </c>
      <c r="F176" s="19" t="s">
        <v>74</v>
      </c>
      <c r="G176" s="11" t="s">
        <v>74</v>
      </c>
      <c r="H176" s="3" t="s">
        <v>523</v>
      </c>
      <c r="I176" s="3">
        <v>2007</v>
      </c>
      <c r="J176" s="21" t="s">
        <v>2276</v>
      </c>
      <c r="K176" s="21" t="s">
        <v>2276</v>
      </c>
      <c r="L176" s="21" t="s">
        <v>2276</v>
      </c>
      <c r="M176" s="21" t="s">
        <v>2276</v>
      </c>
      <c r="N176" s="21" t="s">
        <v>2276</v>
      </c>
      <c r="O176" s="21" t="s">
        <v>2276</v>
      </c>
      <c r="P176" s="21" t="s">
        <v>2276</v>
      </c>
      <c r="Q176" s="21" t="s">
        <v>2276</v>
      </c>
      <c r="R176" s="21" t="s">
        <v>2276</v>
      </c>
      <c r="S176" s="21" t="s">
        <v>2276</v>
      </c>
      <c r="T176" s="21" t="s">
        <v>2276</v>
      </c>
      <c r="U176" s="21" t="s">
        <v>2276</v>
      </c>
      <c r="V176" s="21" t="s">
        <v>2276</v>
      </c>
      <c r="W176" s="21" t="s">
        <v>2276</v>
      </c>
      <c r="X176" s="21" t="s">
        <v>2276</v>
      </c>
      <c r="Y176" s="21" t="s">
        <v>2276</v>
      </c>
      <c r="Z176" s="3" t="s">
        <v>2276</v>
      </c>
      <c r="AA176" s="3" t="s">
        <v>2276</v>
      </c>
      <c r="AB176" s="3" t="s">
        <v>2276</v>
      </c>
      <c r="AC176" s="4" t="s">
        <v>1398</v>
      </c>
      <c r="AD176" s="4" t="s">
        <v>1442</v>
      </c>
    </row>
    <row r="177" spans="1:30" ht="112.5" customHeight="1">
      <c r="A177" s="11" t="s">
        <v>162</v>
      </c>
      <c r="B177" s="3" t="s">
        <v>1405</v>
      </c>
      <c r="C177" s="23" t="s">
        <v>24</v>
      </c>
      <c r="D177" s="11" t="s">
        <v>143</v>
      </c>
      <c r="E177" s="19" t="s">
        <v>396</v>
      </c>
      <c r="F177" s="19" t="s">
        <v>74</v>
      </c>
      <c r="G177" s="11" t="s">
        <v>74</v>
      </c>
      <c r="H177" s="3" t="s">
        <v>523</v>
      </c>
      <c r="I177" s="3">
        <v>2008</v>
      </c>
      <c r="J177" s="21" t="s">
        <v>2276</v>
      </c>
      <c r="K177" s="21" t="s">
        <v>2276</v>
      </c>
      <c r="L177" s="21" t="s">
        <v>2276</v>
      </c>
      <c r="M177" s="21" t="s">
        <v>2276</v>
      </c>
      <c r="N177" s="21" t="s">
        <v>2276</v>
      </c>
      <c r="O177" s="21" t="s">
        <v>2276</v>
      </c>
      <c r="P177" s="21" t="s">
        <v>2276</v>
      </c>
      <c r="Q177" s="21" t="s">
        <v>2276</v>
      </c>
      <c r="R177" s="21" t="s">
        <v>2276</v>
      </c>
      <c r="S177" s="21" t="s">
        <v>2276</v>
      </c>
      <c r="T177" s="21" t="s">
        <v>2276</v>
      </c>
      <c r="U177" s="21" t="s">
        <v>2276</v>
      </c>
      <c r="V177" s="21" t="s">
        <v>2276</v>
      </c>
      <c r="W177" s="21" t="s">
        <v>2276</v>
      </c>
      <c r="X177" s="21" t="s">
        <v>2276</v>
      </c>
      <c r="Y177" s="21" t="s">
        <v>2276</v>
      </c>
      <c r="Z177" s="3" t="s">
        <v>2276</v>
      </c>
      <c r="AA177" s="3" t="s">
        <v>2276</v>
      </c>
      <c r="AB177" s="3" t="s">
        <v>2276</v>
      </c>
      <c r="AC177" s="4" t="s">
        <v>1398</v>
      </c>
      <c r="AD177" s="4" t="s">
        <v>1442</v>
      </c>
    </row>
    <row r="178" spans="1:30" ht="112.5" customHeight="1">
      <c r="A178" s="11" t="s">
        <v>162</v>
      </c>
      <c r="B178" s="3" t="s">
        <v>1406</v>
      </c>
      <c r="C178" s="23" t="s">
        <v>24</v>
      </c>
      <c r="D178" s="11" t="s">
        <v>143</v>
      </c>
      <c r="E178" s="19" t="s">
        <v>396</v>
      </c>
      <c r="F178" s="19" t="s">
        <v>74</v>
      </c>
      <c r="G178" s="11" t="s">
        <v>74</v>
      </c>
      <c r="H178" s="3" t="s">
        <v>523</v>
      </c>
      <c r="I178" s="3">
        <v>2009</v>
      </c>
      <c r="J178" s="21" t="s">
        <v>2276</v>
      </c>
      <c r="K178" s="21" t="s">
        <v>2276</v>
      </c>
      <c r="L178" s="21" t="s">
        <v>2276</v>
      </c>
      <c r="M178" s="21" t="s">
        <v>2276</v>
      </c>
      <c r="N178" s="21" t="s">
        <v>2276</v>
      </c>
      <c r="O178" s="21" t="s">
        <v>2276</v>
      </c>
      <c r="P178" s="21" t="s">
        <v>2276</v>
      </c>
      <c r="Q178" s="21" t="s">
        <v>2276</v>
      </c>
      <c r="R178" s="21" t="s">
        <v>2276</v>
      </c>
      <c r="S178" s="21" t="s">
        <v>2276</v>
      </c>
      <c r="T178" s="21" t="s">
        <v>2276</v>
      </c>
      <c r="U178" s="21" t="s">
        <v>2276</v>
      </c>
      <c r="V178" s="21" t="s">
        <v>2276</v>
      </c>
      <c r="W178" s="21" t="s">
        <v>2276</v>
      </c>
      <c r="X178" s="21" t="s">
        <v>2276</v>
      </c>
      <c r="Y178" s="21" t="s">
        <v>2276</v>
      </c>
      <c r="Z178" s="3" t="s">
        <v>2276</v>
      </c>
      <c r="AA178" s="3" t="s">
        <v>2276</v>
      </c>
      <c r="AB178" s="3" t="s">
        <v>2276</v>
      </c>
      <c r="AC178" s="4" t="s">
        <v>1398</v>
      </c>
      <c r="AD178" s="4" t="s">
        <v>1442</v>
      </c>
    </row>
    <row r="179" spans="1:30" ht="112.5" customHeight="1">
      <c r="A179" s="11" t="s">
        <v>162</v>
      </c>
      <c r="B179" s="3" t="s">
        <v>1407</v>
      </c>
      <c r="C179" s="23" t="s">
        <v>24</v>
      </c>
      <c r="D179" s="11" t="s">
        <v>143</v>
      </c>
      <c r="E179" s="19" t="s">
        <v>396</v>
      </c>
      <c r="F179" s="19" t="s">
        <v>74</v>
      </c>
      <c r="G179" s="11" t="s">
        <v>74</v>
      </c>
      <c r="H179" s="3" t="s">
        <v>523</v>
      </c>
      <c r="I179" s="3">
        <v>2010</v>
      </c>
      <c r="J179" s="21" t="s">
        <v>2276</v>
      </c>
      <c r="K179" s="21" t="s">
        <v>2276</v>
      </c>
      <c r="L179" s="21" t="s">
        <v>2276</v>
      </c>
      <c r="M179" s="21" t="s">
        <v>2276</v>
      </c>
      <c r="N179" s="21" t="s">
        <v>2276</v>
      </c>
      <c r="O179" s="21" t="s">
        <v>2276</v>
      </c>
      <c r="P179" s="21" t="s">
        <v>2276</v>
      </c>
      <c r="Q179" s="21" t="s">
        <v>2276</v>
      </c>
      <c r="R179" s="21" t="s">
        <v>2276</v>
      </c>
      <c r="S179" s="21" t="s">
        <v>2276</v>
      </c>
      <c r="T179" s="21" t="s">
        <v>2276</v>
      </c>
      <c r="U179" s="21" t="s">
        <v>2276</v>
      </c>
      <c r="V179" s="21" t="s">
        <v>2276</v>
      </c>
      <c r="W179" s="21" t="s">
        <v>2276</v>
      </c>
      <c r="X179" s="21" t="s">
        <v>2276</v>
      </c>
      <c r="Y179" s="21" t="s">
        <v>2276</v>
      </c>
      <c r="Z179" s="3" t="s">
        <v>2276</v>
      </c>
      <c r="AA179" s="3" t="s">
        <v>2276</v>
      </c>
      <c r="AB179" s="3" t="s">
        <v>2276</v>
      </c>
      <c r="AC179" s="4" t="s">
        <v>1398</v>
      </c>
      <c r="AD179" s="4" t="s">
        <v>1442</v>
      </c>
    </row>
    <row r="180" spans="1:30" ht="112.5" customHeight="1">
      <c r="A180" s="11" t="s">
        <v>162</v>
      </c>
      <c r="B180" s="3" t="s">
        <v>1408</v>
      </c>
      <c r="C180" s="23" t="s">
        <v>24</v>
      </c>
      <c r="D180" s="11" t="s">
        <v>143</v>
      </c>
      <c r="E180" s="19" t="s">
        <v>396</v>
      </c>
      <c r="F180" s="19" t="s">
        <v>74</v>
      </c>
      <c r="G180" s="11" t="s">
        <v>74</v>
      </c>
      <c r="H180" s="3" t="s">
        <v>523</v>
      </c>
      <c r="I180" s="3">
        <v>2011</v>
      </c>
      <c r="J180" s="21" t="s">
        <v>2276</v>
      </c>
      <c r="K180" s="21" t="s">
        <v>2276</v>
      </c>
      <c r="L180" s="21" t="s">
        <v>2276</v>
      </c>
      <c r="M180" s="21" t="s">
        <v>2276</v>
      </c>
      <c r="N180" s="21" t="s">
        <v>2276</v>
      </c>
      <c r="O180" s="21" t="s">
        <v>2276</v>
      </c>
      <c r="P180" s="21" t="s">
        <v>2276</v>
      </c>
      <c r="Q180" s="21" t="s">
        <v>2276</v>
      </c>
      <c r="R180" s="21" t="s">
        <v>2276</v>
      </c>
      <c r="S180" s="21" t="s">
        <v>2276</v>
      </c>
      <c r="T180" s="21" t="s">
        <v>2276</v>
      </c>
      <c r="U180" s="21" t="s">
        <v>2276</v>
      </c>
      <c r="V180" s="21" t="s">
        <v>2276</v>
      </c>
      <c r="W180" s="21" t="s">
        <v>2276</v>
      </c>
      <c r="X180" s="21" t="s">
        <v>2276</v>
      </c>
      <c r="Y180" s="21" t="s">
        <v>2276</v>
      </c>
      <c r="Z180" s="3" t="s">
        <v>2276</v>
      </c>
      <c r="AA180" s="3" t="s">
        <v>2276</v>
      </c>
      <c r="AB180" s="3" t="s">
        <v>2276</v>
      </c>
      <c r="AC180" s="4" t="s">
        <v>1398</v>
      </c>
      <c r="AD180" s="4" t="s">
        <v>1442</v>
      </c>
    </row>
    <row r="181" spans="1:30" ht="112.5" customHeight="1">
      <c r="A181" s="11" t="s">
        <v>162</v>
      </c>
      <c r="B181" s="3" t="s">
        <v>1409</v>
      </c>
      <c r="C181" s="23" t="s">
        <v>24</v>
      </c>
      <c r="D181" s="11" t="s">
        <v>143</v>
      </c>
      <c r="E181" s="19" t="s">
        <v>396</v>
      </c>
      <c r="F181" s="19" t="s">
        <v>74</v>
      </c>
      <c r="G181" s="11" t="s">
        <v>74</v>
      </c>
      <c r="H181" s="3" t="s">
        <v>523</v>
      </c>
      <c r="I181" s="3">
        <v>2012</v>
      </c>
      <c r="J181" s="21" t="s">
        <v>2276</v>
      </c>
      <c r="K181" s="21" t="s">
        <v>2276</v>
      </c>
      <c r="L181" s="21" t="s">
        <v>2276</v>
      </c>
      <c r="M181" s="21" t="s">
        <v>2276</v>
      </c>
      <c r="N181" s="21" t="s">
        <v>2276</v>
      </c>
      <c r="O181" s="21" t="s">
        <v>2276</v>
      </c>
      <c r="P181" s="21" t="s">
        <v>2276</v>
      </c>
      <c r="Q181" s="21" t="s">
        <v>2276</v>
      </c>
      <c r="R181" s="21" t="s">
        <v>2276</v>
      </c>
      <c r="S181" s="21" t="s">
        <v>2276</v>
      </c>
      <c r="T181" s="21" t="s">
        <v>2276</v>
      </c>
      <c r="U181" s="21" t="s">
        <v>2276</v>
      </c>
      <c r="V181" s="21" t="s">
        <v>2276</v>
      </c>
      <c r="W181" s="21" t="s">
        <v>2276</v>
      </c>
      <c r="X181" s="21" t="s">
        <v>2276</v>
      </c>
      <c r="Y181" s="21" t="s">
        <v>2276</v>
      </c>
      <c r="Z181" s="3" t="s">
        <v>2276</v>
      </c>
      <c r="AA181" s="3" t="s">
        <v>2276</v>
      </c>
      <c r="AB181" s="3" t="s">
        <v>2276</v>
      </c>
      <c r="AC181" s="4" t="s">
        <v>1398</v>
      </c>
      <c r="AD181" s="4" t="s">
        <v>1442</v>
      </c>
    </row>
    <row r="182" spans="1:30" ht="112.5" customHeight="1">
      <c r="A182" s="11" t="s">
        <v>162</v>
      </c>
      <c r="B182" s="3" t="s">
        <v>1423</v>
      </c>
      <c r="C182" s="23" t="s">
        <v>24</v>
      </c>
      <c r="D182" s="11" t="s">
        <v>143</v>
      </c>
      <c r="E182" s="19" t="s">
        <v>45</v>
      </c>
      <c r="F182" s="19" t="s">
        <v>74</v>
      </c>
      <c r="G182" s="11" t="s">
        <v>74</v>
      </c>
      <c r="H182" s="3" t="s">
        <v>523</v>
      </c>
      <c r="I182" s="3">
        <v>2002</v>
      </c>
      <c r="J182" s="21" t="s">
        <v>2276</v>
      </c>
      <c r="K182" s="21" t="s">
        <v>2276</v>
      </c>
      <c r="L182" s="21" t="s">
        <v>2276</v>
      </c>
      <c r="M182" s="21" t="s">
        <v>2276</v>
      </c>
      <c r="N182" s="21" t="s">
        <v>2276</v>
      </c>
      <c r="O182" s="21" t="s">
        <v>2276</v>
      </c>
      <c r="P182" s="21" t="s">
        <v>2276</v>
      </c>
      <c r="Q182" s="21" t="s">
        <v>2276</v>
      </c>
      <c r="R182" s="21" t="s">
        <v>2276</v>
      </c>
      <c r="S182" s="21" t="s">
        <v>2276</v>
      </c>
      <c r="T182" s="21" t="s">
        <v>2276</v>
      </c>
      <c r="U182" s="21" t="s">
        <v>2276</v>
      </c>
      <c r="V182" s="21" t="s">
        <v>2276</v>
      </c>
      <c r="W182" s="21" t="s">
        <v>2276</v>
      </c>
      <c r="X182" s="21" t="s">
        <v>2276</v>
      </c>
      <c r="Y182" s="21" t="s">
        <v>2276</v>
      </c>
      <c r="Z182" s="3" t="s">
        <v>2276</v>
      </c>
      <c r="AA182" s="3" t="s">
        <v>2276</v>
      </c>
      <c r="AB182" s="3" t="s">
        <v>2276</v>
      </c>
      <c r="AC182" s="4" t="s">
        <v>1398</v>
      </c>
      <c r="AD182" s="4" t="s">
        <v>1442</v>
      </c>
    </row>
    <row r="183" spans="1:30" ht="112.5" customHeight="1">
      <c r="A183" s="11" t="s">
        <v>162</v>
      </c>
      <c r="B183" s="3" t="s">
        <v>1424</v>
      </c>
      <c r="C183" s="23" t="s">
        <v>24</v>
      </c>
      <c r="D183" s="11" t="s">
        <v>143</v>
      </c>
      <c r="E183" s="19" t="s">
        <v>45</v>
      </c>
      <c r="F183" s="19" t="s">
        <v>74</v>
      </c>
      <c r="G183" s="11" t="s">
        <v>74</v>
      </c>
      <c r="H183" s="3" t="s">
        <v>523</v>
      </c>
      <c r="I183" s="3">
        <v>2003</v>
      </c>
      <c r="J183" s="21" t="s">
        <v>2276</v>
      </c>
      <c r="K183" s="21" t="s">
        <v>2276</v>
      </c>
      <c r="L183" s="21" t="s">
        <v>2276</v>
      </c>
      <c r="M183" s="21" t="s">
        <v>2276</v>
      </c>
      <c r="N183" s="21" t="s">
        <v>2276</v>
      </c>
      <c r="O183" s="21" t="s">
        <v>2276</v>
      </c>
      <c r="P183" s="21" t="s">
        <v>2276</v>
      </c>
      <c r="Q183" s="21" t="s">
        <v>2276</v>
      </c>
      <c r="R183" s="21" t="s">
        <v>2276</v>
      </c>
      <c r="S183" s="21" t="s">
        <v>2276</v>
      </c>
      <c r="T183" s="21" t="s">
        <v>2276</v>
      </c>
      <c r="U183" s="21" t="s">
        <v>2276</v>
      </c>
      <c r="V183" s="21" t="s">
        <v>2276</v>
      </c>
      <c r="W183" s="21" t="s">
        <v>2276</v>
      </c>
      <c r="X183" s="21" t="s">
        <v>2276</v>
      </c>
      <c r="Y183" s="21" t="s">
        <v>2276</v>
      </c>
      <c r="Z183" s="3" t="s">
        <v>2276</v>
      </c>
      <c r="AA183" s="3" t="s">
        <v>2276</v>
      </c>
      <c r="AB183" s="3" t="s">
        <v>2276</v>
      </c>
      <c r="AC183" s="4" t="s">
        <v>1398</v>
      </c>
      <c r="AD183" s="4" t="s">
        <v>1442</v>
      </c>
    </row>
    <row r="184" spans="1:30" ht="112.5" customHeight="1">
      <c r="A184" s="11" t="s">
        <v>162</v>
      </c>
      <c r="B184" s="3" t="s">
        <v>1425</v>
      </c>
      <c r="C184" s="23" t="s">
        <v>24</v>
      </c>
      <c r="D184" s="11" t="s">
        <v>143</v>
      </c>
      <c r="E184" s="19" t="s">
        <v>45</v>
      </c>
      <c r="F184" s="19" t="s">
        <v>74</v>
      </c>
      <c r="G184" s="11" t="s">
        <v>74</v>
      </c>
      <c r="H184" s="3" t="s">
        <v>523</v>
      </c>
      <c r="I184" s="3">
        <v>2004</v>
      </c>
      <c r="J184" s="21" t="s">
        <v>2276</v>
      </c>
      <c r="K184" s="21" t="s">
        <v>2276</v>
      </c>
      <c r="L184" s="21" t="s">
        <v>2276</v>
      </c>
      <c r="M184" s="21" t="s">
        <v>2276</v>
      </c>
      <c r="N184" s="21" t="s">
        <v>2276</v>
      </c>
      <c r="O184" s="21" t="s">
        <v>2276</v>
      </c>
      <c r="P184" s="21" t="s">
        <v>2276</v>
      </c>
      <c r="Q184" s="21" t="s">
        <v>2276</v>
      </c>
      <c r="R184" s="21" t="s">
        <v>2276</v>
      </c>
      <c r="S184" s="21" t="s">
        <v>2276</v>
      </c>
      <c r="T184" s="21" t="s">
        <v>2276</v>
      </c>
      <c r="U184" s="21" t="s">
        <v>2276</v>
      </c>
      <c r="V184" s="21" t="s">
        <v>2276</v>
      </c>
      <c r="W184" s="21" t="s">
        <v>2276</v>
      </c>
      <c r="X184" s="21" t="s">
        <v>2276</v>
      </c>
      <c r="Y184" s="21" t="s">
        <v>2276</v>
      </c>
      <c r="Z184" s="3" t="s">
        <v>2276</v>
      </c>
      <c r="AA184" s="3" t="s">
        <v>2276</v>
      </c>
      <c r="AB184" s="3" t="s">
        <v>2276</v>
      </c>
      <c r="AC184" s="4" t="s">
        <v>1398</v>
      </c>
      <c r="AD184" s="4" t="s">
        <v>1442</v>
      </c>
    </row>
    <row r="185" spans="1:30" ht="112.5" customHeight="1">
      <c r="A185" s="11" t="s">
        <v>162</v>
      </c>
      <c r="B185" s="3" t="s">
        <v>1426</v>
      </c>
      <c r="C185" s="23" t="s">
        <v>24</v>
      </c>
      <c r="D185" s="11" t="s">
        <v>143</v>
      </c>
      <c r="E185" s="19" t="s">
        <v>45</v>
      </c>
      <c r="F185" s="19" t="s">
        <v>74</v>
      </c>
      <c r="G185" s="11" t="s">
        <v>74</v>
      </c>
      <c r="H185" s="3" t="s">
        <v>523</v>
      </c>
      <c r="I185" s="3">
        <v>2005</v>
      </c>
      <c r="J185" s="21" t="s">
        <v>2276</v>
      </c>
      <c r="K185" s="21" t="s">
        <v>2276</v>
      </c>
      <c r="L185" s="21" t="s">
        <v>2276</v>
      </c>
      <c r="M185" s="21" t="s">
        <v>2276</v>
      </c>
      <c r="N185" s="21" t="s">
        <v>2276</v>
      </c>
      <c r="O185" s="21" t="s">
        <v>2276</v>
      </c>
      <c r="P185" s="21" t="s">
        <v>2276</v>
      </c>
      <c r="Q185" s="21" t="s">
        <v>2276</v>
      </c>
      <c r="R185" s="21" t="s">
        <v>2276</v>
      </c>
      <c r="S185" s="21" t="s">
        <v>2276</v>
      </c>
      <c r="T185" s="21" t="s">
        <v>2276</v>
      </c>
      <c r="U185" s="21" t="s">
        <v>2276</v>
      </c>
      <c r="V185" s="21" t="s">
        <v>2276</v>
      </c>
      <c r="W185" s="21" t="s">
        <v>2276</v>
      </c>
      <c r="X185" s="21" t="s">
        <v>2276</v>
      </c>
      <c r="Y185" s="21" t="s">
        <v>2276</v>
      </c>
      <c r="Z185" s="3" t="s">
        <v>2276</v>
      </c>
      <c r="AA185" s="3" t="s">
        <v>2276</v>
      </c>
      <c r="AB185" s="3" t="s">
        <v>2276</v>
      </c>
      <c r="AC185" s="4" t="s">
        <v>1398</v>
      </c>
      <c r="AD185" s="4" t="s">
        <v>1442</v>
      </c>
    </row>
    <row r="186" spans="1:30" ht="112.5" customHeight="1">
      <c r="A186" s="11" t="s">
        <v>162</v>
      </c>
      <c r="B186" s="3" t="s">
        <v>1427</v>
      </c>
      <c r="C186" s="23" t="s">
        <v>24</v>
      </c>
      <c r="D186" s="11" t="s">
        <v>143</v>
      </c>
      <c r="E186" s="19" t="s">
        <v>45</v>
      </c>
      <c r="F186" s="19" t="s">
        <v>74</v>
      </c>
      <c r="G186" s="11" t="s">
        <v>74</v>
      </c>
      <c r="H186" s="3" t="s">
        <v>523</v>
      </c>
      <c r="I186" s="3">
        <v>2006</v>
      </c>
      <c r="J186" s="21" t="s">
        <v>2276</v>
      </c>
      <c r="K186" s="21" t="s">
        <v>2276</v>
      </c>
      <c r="L186" s="21" t="s">
        <v>2276</v>
      </c>
      <c r="M186" s="21" t="s">
        <v>2276</v>
      </c>
      <c r="N186" s="21" t="s">
        <v>2276</v>
      </c>
      <c r="O186" s="21" t="s">
        <v>2276</v>
      </c>
      <c r="P186" s="21" t="s">
        <v>2276</v>
      </c>
      <c r="Q186" s="21" t="s">
        <v>2276</v>
      </c>
      <c r="R186" s="21" t="s">
        <v>2276</v>
      </c>
      <c r="S186" s="21" t="s">
        <v>2276</v>
      </c>
      <c r="T186" s="21" t="s">
        <v>2276</v>
      </c>
      <c r="U186" s="21" t="s">
        <v>2276</v>
      </c>
      <c r="V186" s="21" t="s">
        <v>2276</v>
      </c>
      <c r="W186" s="21" t="s">
        <v>2276</v>
      </c>
      <c r="X186" s="21" t="s">
        <v>2276</v>
      </c>
      <c r="Y186" s="21" t="s">
        <v>2276</v>
      </c>
      <c r="Z186" s="3" t="s">
        <v>2276</v>
      </c>
      <c r="AA186" s="3" t="s">
        <v>2276</v>
      </c>
      <c r="AB186" s="3" t="s">
        <v>2276</v>
      </c>
      <c r="AC186" s="4" t="s">
        <v>1398</v>
      </c>
      <c r="AD186" s="4" t="s">
        <v>1442</v>
      </c>
    </row>
    <row r="187" spans="1:30" ht="112.5" customHeight="1">
      <c r="A187" s="11" t="s">
        <v>162</v>
      </c>
      <c r="B187" s="3" t="s">
        <v>1428</v>
      </c>
      <c r="C187" s="23" t="s">
        <v>24</v>
      </c>
      <c r="D187" s="11" t="s">
        <v>143</v>
      </c>
      <c r="E187" s="19" t="s">
        <v>45</v>
      </c>
      <c r="F187" s="19" t="s">
        <v>74</v>
      </c>
      <c r="G187" s="11" t="s">
        <v>74</v>
      </c>
      <c r="H187" s="3" t="s">
        <v>523</v>
      </c>
      <c r="I187" s="3">
        <v>2007</v>
      </c>
      <c r="J187" s="21" t="s">
        <v>2276</v>
      </c>
      <c r="K187" s="21" t="s">
        <v>2276</v>
      </c>
      <c r="L187" s="21" t="s">
        <v>2276</v>
      </c>
      <c r="M187" s="21" t="s">
        <v>2276</v>
      </c>
      <c r="N187" s="21" t="s">
        <v>2276</v>
      </c>
      <c r="O187" s="21" t="s">
        <v>2276</v>
      </c>
      <c r="P187" s="21" t="s">
        <v>2276</v>
      </c>
      <c r="Q187" s="21" t="s">
        <v>2276</v>
      </c>
      <c r="R187" s="21" t="s">
        <v>2276</v>
      </c>
      <c r="S187" s="21" t="s">
        <v>2276</v>
      </c>
      <c r="T187" s="21" t="s">
        <v>2276</v>
      </c>
      <c r="U187" s="21" t="s">
        <v>2276</v>
      </c>
      <c r="V187" s="21" t="s">
        <v>2276</v>
      </c>
      <c r="W187" s="21" t="s">
        <v>2276</v>
      </c>
      <c r="X187" s="21" t="s">
        <v>2276</v>
      </c>
      <c r="Y187" s="21" t="s">
        <v>2276</v>
      </c>
      <c r="Z187" s="3" t="s">
        <v>2276</v>
      </c>
      <c r="AA187" s="3" t="s">
        <v>2276</v>
      </c>
      <c r="AB187" s="3" t="s">
        <v>2276</v>
      </c>
      <c r="AC187" s="4" t="s">
        <v>1398</v>
      </c>
      <c r="AD187" s="4" t="s">
        <v>1442</v>
      </c>
    </row>
    <row r="188" spans="1:30" ht="112.5" customHeight="1">
      <c r="A188" s="11" t="s">
        <v>162</v>
      </c>
      <c r="B188" s="3" t="s">
        <v>1429</v>
      </c>
      <c r="C188" s="23" t="s">
        <v>24</v>
      </c>
      <c r="D188" s="11" t="s">
        <v>143</v>
      </c>
      <c r="E188" s="19" t="s">
        <v>45</v>
      </c>
      <c r="F188" s="19" t="s">
        <v>74</v>
      </c>
      <c r="G188" s="11" t="s">
        <v>74</v>
      </c>
      <c r="H188" s="3" t="s">
        <v>523</v>
      </c>
      <c r="I188" s="3">
        <v>2008</v>
      </c>
      <c r="J188" s="21" t="s">
        <v>2276</v>
      </c>
      <c r="K188" s="21" t="s">
        <v>2276</v>
      </c>
      <c r="L188" s="21" t="s">
        <v>2276</v>
      </c>
      <c r="M188" s="21" t="s">
        <v>2276</v>
      </c>
      <c r="N188" s="21" t="s">
        <v>2276</v>
      </c>
      <c r="O188" s="21" t="s">
        <v>2276</v>
      </c>
      <c r="P188" s="21" t="s">
        <v>2276</v>
      </c>
      <c r="Q188" s="21" t="s">
        <v>2276</v>
      </c>
      <c r="R188" s="21" t="s">
        <v>2276</v>
      </c>
      <c r="S188" s="21" t="s">
        <v>2276</v>
      </c>
      <c r="T188" s="21" t="s">
        <v>2276</v>
      </c>
      <c r="U188" s="21" t="s">
        <v>2276</v>
      </c>
      <c r="V188" s="21" t="s">
        <v>2276</v>
      </c>
      <c r="W188" s="21" t="s">
        <v>2276</v>
      </c>
      <c r="X188" s="21" t="s">
        <v>2276</v>
      </c>
      <c r="Y188" s="21" t="s">
        <v>2276</v>
      </c>
      <c r="Z188" s="3" t="s">
        <v>2276</v>
      </c>
      <c r="AA188" s="3" t="s">
        <v>2276</v>
      </c>
      <c r="AB188" s="3" t="s">
        <v>2276</v>
      </c>
      <c r="AC188" s="4" t="s">
        <v>1398</v>
      </c>
      <c r="AD188" s="4" t="s">
        <v>1442</v>
      </c>
    </row>
    <row r="189" spans="1:30" ht="112.5" customHeight="1">
      <c r="A189" s="11" t="s">
        <v>162</v>
      </c>
      <c r="B189" s="3" t="s">
        <v>1430</v>
      </c>
      <c r="C189" s="23" t="s">
        <v>24</v>
      </c>
      <c r="D189" s="11" t="s">
        <v>143</v>
      </c>
      <c r="E189" s="19" t="s">
        <v>45</v>
      </c>
      <c r="F189" s="19" t="s">
        <v>74</v>
      </c>
      <c r="G189" s="11" t="s">
        <v>74</v>
      </c>
      <c r="H189" s="3" t="s">
        <v>523</v>
      </c>
      <c r="I189" s="3">
        <v>2009</v>
      </c>
      <c r="J189" s="21" t="s">
        <v>2276</v>
      </c>
      <c r="K189" s="21" t="s">
        <v>2276</v>
      </c>
      <c r="L189" s="21" t="s">
        <v>2276</v>
      </c>
      <c r="M189" s="21" t="s">
        <v>2276</v>
      </c>
      <c r="N189" s="21" t="s">
        <v>2276</v>
      </c>
      <c r="O189" s="21" t="s">
        <v>2276</v>
      </c>
      <c r="P189" s="21" t="s">
        <v>2276</v>
      </c>
      <c r="Q189" s="21" t="s">
        <v>2276</v>
      </c>
      <c r="R189" s="21" t="s">
        <v>2276</v>
      </c>
      <c r="S189" s="21" t="s">
        <v>2276</v>
      </c>
      <c r="T189" s="21" t="s">
        <v>2276</v>
      </c>
      <c r="U189" s="21" t="s">
        <v>2276</v>
      </c>
      <c r="V189" s="21" t="s">
        <v>2276</v>
      </c>
      <c r="W189" s="21" t="s">
        <v>2276</v>
      </c>
      <c r="X189" s="21" t="s">
        <v>2276</v>
      </c>
      <c r="Y189" s="21" t="s">
        <v>2276</v>
      </c>
      <c r="Z189" s="3" t="s">
        <v>2276</v>
      </c>
      <c r="AA189" s="3" t="s">
        <v>2276</v>
      </c>
      <c r="AB189" s="3" t="s">
        <v>2276</v>
      </c>
      <c r="AC189" s="4" t="s">
        <v>1398</v>
      </c>
      <c r="AD189" s="4" t="s">
        <v>1442</v>
      </c>
    </row>
    <row r="190" spans="1:30" ht="112.5" customHeight="1">
      <c r="A190" s="11" t="s">
        <v>162</v>
      </c>
      <c r="B190" s="3" t="s">
        <v>1431</v>
      </c>
      <c r="C190" s="23" t="s">
        <v>24</v>
      </c>
      <c r="D190" s="11" t="s">
        <v>143</v>
      </c>
      <c r="E190" s="19" t="s">
        <v>45</v>
      </c>
      <c r="F190" s="19" t="s">
        <v>74</v>
      </c>
      <c r="G190" s="11" t="s">
        <v>74</v>
      </c>
      <c r="H190" s="3" t="s">
        <v>523</v>
      </c>
      <c r="I190" s="3">
        <v>2010</v>
      </c>
      <c r="J190" s="21" t="s">
        <v>2276</v>
      </c>
      <c r="K190" s="21" t="s">
        <v>2276</v>
      </c>
      <c r="L190" s="21" t="s">
        <v>2276</v>
      </c>
      <c r="M190" s="21" t="s">
        <v>2276</v>
      </c>
      <c r="N190" s="21" t="s">
        <v>2276</v>
      </c>
      <c r="O190" s="21" t="s">
        <v>2276</v>
      </c>
      <c r="P190" s="21" t="s">
        <v>2276</v>
      </c>
      <c r="Q190" s="21" t="s">
        <v>2276</v>
      </c>
      <c r="R190" s="21" t="s">
        <v>2276</v>
      </c>
      <c r="S190" s="21" t="s">
        <v>2276</v>
      </c>
      <c r="T190" s="21" t="s">
        <v>2276</v>
      </c>
      <c r="U190" s="21" t="s">
        <v>2276</v>
      </c>
      <c r="V190" s="21" t="s">
        <v>2276</v>
      </c>
      <c r="W190" s="21" t="s">
        <v>2276</v>
      </c>
      <c r="X190" s="21" t="s">
        <v>2276</v>
      </c>
      <c r="Y190" s="21" t="s">
        <v>2276</v>
      </c>
      <c r="Z190" s="3" t="s">
        <v>2276</v>
      </c>
      <c r="AA190" s="3" t="s">
        <v>2276</v>
      </c>
      <c r="AB190" s="3" t="s">
        <v>2276</v>
      </c>
      <c r="AC190" s="4" t="s">
        <v>1398</v>
      </c>
      <c r="AD190" s="4" t="s">
        <v>1442</v>
      </c>
    </row>
    <row r="191" spans="1:30" ht="112.5" customHeight="1">
      <c r="A191" s="11" t="s">
        <v>162</v>
      </c>
      <c r="B191" s="3" t="s">
        <v>1432</v>
      </c>
      <c r="C191" s="23" t="s">
        <v>24</v>
      </c>
      <c r="D191" s="11" t="s">
        <v>143</v>
      </c>
      <c r="E191" s="19" t="s">
        <v>45</v>
      </c>
      <c r="F191" s="19" t="s">
        <v>74</v>
      </c>
      <c r="G191" s="11" t="s">
        <v>74</v>
      </c>
      <c r="H191" s="3" t="s">
        <v>523</v>
      </c>
      <c r="I191" s="3">
        <v>2011</v>
      </c>
      <c r="J191" s="21" t="s">
        <v>2276</v>
      </c>
      <c r="K191" s="21" t="s">
        <v>2276</v>
      </c>
      <c r="L191" s="21" t="s">
        <v>2276</v>
      </c>
      <c r="M191" s="21" t="s">
        <v>2276</v>
      </c>
      <c r="N191" s="21" t="s">
        <v>2276</v>
      </c>
      <c r="O191" s="21" t="s">
        <v>2276</v>
      </c>
      <c r="P191" s="21" t="s">
        <v>2276</v>
      </c>
      <c r="Q191" s="21" t="s">
        <v>2276</v>
      </c>
      <c r="R191" s="21" t="s">
        <v>2276</v>
      </c>
      <c r="S191" s="21" t="s">
        <v>2276</v>
      </c>
      <c r="T191" s="21" t="s">
        <v>2276</v>
      </c>
      <c r="U191" s="21" t="s">
        <v>2276</v>
      </c>
      <c r="V191" s="21" t="s">
        <v>2276</v>
      </c>
      <c r="W191" s="21" t="s">
        <v>2276</v>
      </c>
      <c r="X191" s="21" t="s">
        <v>2276</v>
      </c>
      <c r="Y191" s="21" t="s">
        <v>2276</v>
      </c>
      <c r="Z191" s="3" t="s">
        <v>2276</v>
      </c>
      <c r="AA191" s="3" t="s">
        <v>2276</v>
      </c>
      <c r="AB191" s="3" t="s">
        <v>2276</v>
      </c>
      <c r="AC191" s="4" t="s">
        <v>1398</v>
      </c>
      <c r="AD191" s="4" t="s">
        <v>1442</v>
      </c>
    </row>
    <row r="192" spans="1:30" ht="112.5" customHeight="1">
      <c r="A192" s="11" t="s">
        <v>162</v>
      </c>
      <c r="B192" s="3" t="s">
        <v>1433</v>
      </c>
      <c r="C192" s="23" t="s">
        <v>24</v>
      </c>
      <c r="D192" s="11" t="s">
        <v>143</v>
      </c>
      <c r="E192" s="19" t="s">
        <v>45</v>
      </c>
      <c r="F192" s="19" t="s">
        <v>74</v>
      </c>
      <c r="G192" s="11" t="s">
        <v>74</v>
      </c>
      <c r="H192" s="3" t="s">
        <v>523</v>
      </c>
      <c r="I192" s="3">
        <v>2012</v>
      </c>
      <c r="J192" s="21" t="s">
        <v>2276</v>
      </c>
      <c r="K192" s="21" t="s">
        <v>2276</v>
      </c>
      <c r="L192" s="21" t="s">
        <v>2276</v>
      </c>
      <c r="M192" s="21" t="s">
        <v>2276</v>
      </c>
      <c r="N192" s="21" t="s">
        <v>2276</v>
      </c>
      <c r="O192" s="21" t="s">
        <v>2276</v>
      </c>
      <c r="P192" s="21" t="s">
        <v>2276</v>
      </c>
      <c r="Q192" s="21" t="s">
        <v>2276</v>
      </c>
      <c r="R192" s="21" t="s">
        <v>2276</v>
      </c>
      <c r="S192" s="21" t="s">
        <v>2276</v>
      </c>
      <c r="T192" s="21" t="s">
        <v>2276</v>
      </c>
      <c r="U192" s="21" t="s">
        <v>2276</v>
      </c>
      <c r="V192" s="21" t="s">
        <v>2276</v>
      </c>
      <c r="W192" s="21" t="s">
        <v>2276</v>
      </c>
      <c r="X192" s="21" t="s">
        <v>2276</v>
      </c>
      <c r="Y192" s="21" t="s">
        <v>2276</v>
      </c>
      <c r="Z192" s="3" t="s">
        <v>2276</v>
      </c>
      <c r="AA192" s="3" t="s">
        <v>2276</v>
      </c>
      <c r="AB192" s="3" t="s">
        <v>2276</v>
      </c>
      <c r="AC192" s="4" t="s">
        <v>1398</v>
      </c>
      <c r="AD192" s="4" t="s">
        <v>1442</v>
      </c>
    </row>
    <row r="193" spans="1:30" ht="112.5" customHeight="1">
      <c r="A193" s="11" t="s">
        <v>163</v>
      </c>
      <c r="B193" s="3" t="s">
        <v>171</v>
      </c>
      <c r="C193" s="23" t="s">
        <v>24</v>
      </c>
      <c r="D193" s="11" t="s">
        <v>143</v>
      </c>
      <c r="E193" s="19" t="s">
        <v>396</v>
      </c>
      <c r="F193" s="19" t="s">
        <v>74</v>
      </c>
      <c r="G193" s="11" t="s">
        <v>74</v>
      </c>
      <c r="H193" s="3" t="s">
        <v>523</v>
      </c>
      <c r="I193" s="3">
        <v>2002</v>
      </c>
      <c r="J193" s="21" t="s">
        <v>2276</v>
      </c>
      <c r="K193" s="21" t="s">
        <v>2276</v>
      </c>
      <c r="L193" s="21" t="s">
        <v>2276</v>
      </c>
      <c r="M193" s="21" t="s">
        <v>2276</v>
      </c>
      <c r="N193" s="21" t="s">
        <v>2276</v>
      </c>
      <c r="O193" s="21" t="s">
        <v>2276</v>
      </c>
      <c r="P193" s="21" t="s">
        <v>2276</v>
      </c>
      <c r="Q193" s="21" t="s">
        <v>2276</v>
      </c>
      <c r="R193" s="21" t="s">
        <v>2276</v>
      </c>
      <c r="S193" s="21" t="s">
        <v>2276</v>
      </c>
      <c r="T193" s="21" t="s">
        <v>2276</v>
      </c>
      <c r="U193" s="21" t="s">
        <v>2276</v>
      </c>
      <c r="V193" s="21" t="s">
        <v>2276</v>
      </c>
      <c r="W193" s="21" t="s">
        <v>2276</v>
      </c>
      <c r="X193" s="21" t="s">
        <v>2276</v>
      </c>
      <c r="Y193" s="21" t="s">
        <v>2276</v>
      </c>
      <c r="Z193" s="3" t="s">
        <v>2276</v>
      </c>
      <c r="AA193" s="3" t="s">
        <v>2276</v>
      </c>
      <c r="AB193" s="3" t="s">
        <v>2276</v>
      </c>
      <c r="AC193" s="4" t="s">
        <v>1398</v>
      </c>
      <c r="AD193" s="4" t="s">
        <v>1442</v>
      </c>
    </row>
    <row r="194" spans="1:30" ht="112.5" customHeight="1">
      <c r="A194" s="11" t="s">
        <v>163</v>
      </c>
      <c r="B194" s="3" t="s">
        <v>172</v>
      </c>
      <c r="C194" s="23" t="s">
        <v>24</v>
      </c>
      <c r="D194" s="11" t="s">
        <v>143</v>
      </c>
      <c r="E194" s="19" t="s">
        <v>396</v>
      </c>
      <c r="F194" s="19" t="s">
        <v>74</v>
      </c>
      <c r="G194" s="11" t="s">
        <v>74</v>
      </c>
      <c r="H194" s="3" t="s">
        <v>523</v>
      </c>
      <c r="I194" s="3">
        <v>2003</v>
      </c>
      <c r="J194" s="21" t="s">
        <v>2276</v>
      </c>
      <c r="K194" s="21" t="s">
        <v>2276</v>
      </c>
      <c r="L194" s="21" t="s">
        <v>2276</v>
      </c>
      <c r="M194" s="21" t="s">
        <v>2276</v>
      </c>
      <c r="N194" s="21" t="s">
        <v>2276</v>
      </c>
      <c r="O194" s="21" t="s">
        <v>2276</v>
      </c>
      <c r="P194" s="21" t="s">
        <v>2276</v>
      </c>
      <c r="Q194" s="21" t="s">
        <v>2276</v>
      </c>
      <c r="R194" s="21" t="s">
        <v>2276</v>
      </c>
      <c r="S194" s="21" t="s">
        <v>2276</v>
      </c>
      <c r="T194" s="21" t="s">
        <v>2276</v>
      </c>
      <c r="U194" s="21" t="s">
        <v>2276</v>
      </c>
      <c r="V194" s="21" t="s">
        <v>2276</v>
      </c>
      <c r="W194" s="21" t="s">
        <v>2276</v>
      </c>
      <c r="X194" s="21" t="s">
        <v>2276</v>
      </c>
      <c r="Y194" s="21" t="s">
        <v>2276</v>
      </c>
      <c r="Z194" s="3" t="s">
        <v>2276</v>
      </c>
      <c r="AA194" s="3" t="s">
        <v>2276</v>
      </c>
      <c r="AB194" s="3" t="s">
        <v>2276</v>
      </c>
      <c r="AC194" s="4" t="s">
        <v>1398</v>
      </c>
      <c r="AD194" s="4" t="s">
        <v>1442</v>
      </c>
    </row>
    <row r="195" spans="1:30" ht="112.5" customHeight="1">
      <c r="A195" s="11" t="s">
        <v>163</v>
      </c>
      <c r="B195" s="3" t="s">
        <v>173</v>
      </c>
      <c r="C195" s="23" t="s">
        <v>24</v>
      </c>
      <c r="D195" s="11" t="s">
        <v>143</v>
      </c>
      <c r="E195" s="19" t="s">
        <v>396</v>
      </c>
      <c r="F195" s="19" t="s">
        <v>74</v>
      </c>
      <c r="G195" s="11" t="s">
        <v>74</v>
      </c>
      <c r="H195" s="3" t="s">
        <v>523</v>
      </c>
      <c r="I195" s="3">
        <v>2004</v>
      </c>
      <c r="J195" s="21" t="s">
        <v>2276</v>
      </c>
      <c r="K195" s="21" t="s">
        <v>2276</v>
      </c>
      <c r="L195" s="21" t="s">
        <v>2276</v>
      </c>
      <c r="M195" s="21" t="s">
        <v>2276</v>
      </c>
      <c r="N195" s="21" t="s">
        <v>2276</v>
      </c>
      <c r="O195" s="21" t="s">
        <v>2276</v>
      </c>
      <c r="P195" s="21" t="s">
        <v>2276</v>
      </c>
      <c r="Q195" s="21" t="s">
        <v>2276</v>
      </c>
      <c r="R195" s="21" t="s">
        <v>2276</v>
      </c>
      <c r="S195" s="21" t="s">
        <v>2276</v>
      </c>
      <c r="T195" s="21" t="s">
        <v>2276</v>
      </c>
      <c r="U195" s="21" t="s">
        <v>2276</v>
      </c>
      <c r="V195" s="21" t="s">
        <v>2276</v>
      </c>
      <c r="W195" s="21" t="s">
        <v>2276</v>
      </c>
      <c r="X195" s="21" t="s">
        <v>2276</v>
      </c>
      <c r="Y195" s="21" t="s">
        <v>2276</v>
      </c>
      <c r="Z195" s="3" t="s">
        <v>2276</v>
      </c>
      <c r="AA195" s="3" t="s">
        <v>2276</v>
      </c>
      <c r="AB195" s="3" t="s">
        <v>2276</v>
      </c>
      <c r="AC195" s="4" t="s">
        <v>1398</v>
      </c>
      <c r="AD195" s="4" t="s">
        <v>1442</v>
      </c>
    </row>
    <row r="196" spans="1:30" ht="112.5" customHeight="1">
      <c r="A196" s="11" t="s">
        <v>163</v>
      </c>
      <c r="B196" s="3" t="s">
        <v>1412</v>
      </c>
      <c r="C196" s="23" t="s">
        <v>24</v>
      </c>
      <c r="D196" s="11" t="s">
        <v>143</v>
      </c>
      <c r="E196" s="19" t="s">
        <v>396</v>
      </c>
      <c r="F196" s="19" t="s">
        <v>74</v>
      </c>
      <c r="G196" s="11" t="s">
        <v>74</v>
      </c>
      <c r="H196" s="3" t="s">
        <v>523</v>
      </c>
      <c r="I196" s="3">
        <v>2005</v>
      </c>
      <c r="J196" s="21" t="s">
        <v>2276</v>
      </c>
      <c r="K196" s="21" t="s">
        <v>2276</v>
      </c>
      <c r="L196" s="21" t="s">
        <v>2276</v>
      </c>
      <c r="M196" s="21" t="s">
        <v>2276</v>
      </c>
      <c r="N196" s="21" t="s">
        <v>2276</v>
      </c>
      <c r="O196" s="21" t="s">
        <v>2276</v>
      </c>
      <c r="P196" s="21" t="s">
        <v>2276</v>
      </c>
      <c r="Q196" s="21" t="s">
        <v>2276</v>
      </c>
      <c r="R196" s="21" t="s">
        <v>2276</v>
      </c>
      <c r="S196" s="21" t="s">
        <v>2276</v>
      </c>
      <c r="T196" s="21" t="s">
        <v>2276</v>
      </c>
      <c r="U196" s="21" t="s">
        <v>2276</v>
      </c>
      <c r="V196" s="21" t="s">
        <v>2276</v>
      </c>
      <c r="W196" s="21" t="s">
        <v>2276</v>
      </c>
      <c r="X196" s="21" t="s">
        <v>2276</v>
      </c>
      <c r="Y196" s="21" t="s">
        <v>2276</v>
      </c>
      <c r="Z196" s="3" t="s">
        <v>2276</v>
      </c>
      <c r="AA196" s="3" t="s">
        <v>2276</v>
      </c>
      <c r="AB196" s="3" t="s">
        <v>2276</v>
      </c>
      <c r="AC196" s="4" t="s">
        <v>1398</v>
      </c>
      <c r="AD196" s="4" t="s">
        <v>1442</v>
      </c>
    </row>
    <row r="197" spans="1:30" ht="112.5" customHeight="1">
      <c r="A197" s="11" t="s">
        <v>163</v>
      </c>
      <c r="B197" s="3" t="s">
        <v>1413</v>
      </c>
      <c r="C197" s="23" t="s">
        <v>24</v>
      </c>
      <c r="D197" s="11" t="s">
        <v>143</v>
      </c>
      <c r="E197" s="19" t="s">
        <v>396</v>
      </c>
      <c r="F197" s="19" t="s">
        <v>74</v>
      </c>
      <c r="G197" s="11" t="s">
        <v>74</v>
      </c>
      <c r="H197" s="3" t="s">
        <v>523</v>
      </c>
      <c r="I197" s="3">
        <v>2006</v>
      </c>
      <c r="J197" s="21" t="s">
        <v>2276</v>
      </c>
      <c r="K197" s="21" t="s">
        <v>2276</v>
      </c>
      <c r="L197" s="21" t="s">
        <v>2276</v>
      </c>
      <c r="M197" s="21" t="s">
        <v>2276</v>
      </c>
      <c r="N197" s="21" t="s">
        <v>2276</v>
      </c>
      <c r="O197" s="21" t="s">
        <v>2276</v>
      </c>
      <c r="P197" s="21" t="s">
        <v>2276</v>
      </c>
      <c r="Q197" s="21" t="s">
        <v>2276</v>
      </c>
      <c r="R197" s="21" t="s">
        <v>2276</v>
      </c>
      <c r="S197" s="21" t="s">
        <v>2276</v>
      </c>
      <c r="T197" s="21" t="s">
        <v>2276</v>
      </c>
      <c r="U197" s="21" t="s">
        <v>2276</v>
      </c>
      <c r="V197" s="21" t="s">
        <v>2276</v>
      </c>
      <c r="W197" s="21" t="s">
        <v>2276</v>
      </c>
      <c r="X197" s="21" t="s">
        <v>2276</v>
      </c>
      <c r="Y197" s="21" t="s">
        <v>2276</v>
      </c>
      <c r="Z197" s="3" t="s">
        <v>2276</v>
      </c>
      <c r="AA197" s="3" t="s">
        <v>2276</v>
      </c>
      <c r="AB197" s="3" t="s">
        <v>2276</v>
      </c>
      <c r="AC197" s="4" t="s">
        <v>1398</v>
      </c>
      <c r="AD197" s="4" t="s">
        <v>1442</v>
      </c>
    </row>
    <row r="198" spans="1:30" ht="112.5" customHeight="1">
      <c r="A198" s="11" t="s">
        <v>163</v>
      </c>
      <c r="B198" s="3" t="s">
        <v>1414</v>
      </c>
      <c r="C198" s="23" t="s">
        <v>24</v>
      </c>
      <c r="D198" s="11" t="s">
        <v>143</v>
      </c>
      <c r="E198" s="19" t="s">
        <v>396</v>
      </c>
      <c r="F198" s="19" t="s">
        <v>74</v>
      </c>
      <c r="G198" s="11" t="s">
        <v>74</v>
      </c>
      <c r="H198" s="3" t="s">
        <v>523</v>
      </c>
      <c r="I198" s="3">
        <v>2007</v>
      </c>
      <c r="J198" s="21" t="s">
        <v>2276</v>
      </c>
      <c r="K198" s="21" t="s">
        <v>2276</v>
      </c>
      <c r="L198" s="21" t="s">
        <v>2276</v>
      </c>
      <c r="M198" s="21" t="s">
        <v>2276</v>
      </c>
      <c r="N198" s="21" t="s">
        <v>2276</v>
      </c>
      <c r="O198" s="21" t="s">
        <v>2276</v>
      </c>
      <c r="P198" s="21" t="s">
        <v>2276</v>
      </c>
      <c r="Q198" s="21" t="s">
        <v>2276</v>
      </c>
      <c r="R198" s="21" t="s">
        <v>2276</v>
      </c>
      <c r="S198" s="21" t="s">
        <v>2276</v>
      </c>
      <c r="T198" s="21" t="s">
        <v>2276</v>
      </c>
      <c r="U198" s="21" t="s">
        <v>2276</v>
      </c>
      <c r="V198" s="21" t="s">
        <v>2276</v>
      </c>
      <c r="W198" s="21" t="s">
        <v>2276</v>
      </c>
      <c r="X198" s="21" t="s">
        <v>2276</v>
      </c>
      <c r="Y198" s="21" t="s">
        <v>2276</v>
      </c>
      <c r="Z198" s="3" t="s">
        <v>2276</v>
      </c>
      <c r="AA198" s="3" t="s">
        <v>2276</v>
      </c>
      <c r="AB198" s="3" t="s">
        <v>2276</v>
      </c>
      <c r="AC198" s="4" t="s">
        <v>1398</v>
      </c>
      <c r="AD198" s="4" t="s">
        <v>1442</v>
      </c>
    </row>
    <row r="199" spans="1:30" ht="112.5" customHeight="1">
      <c r="A199" s="11" t="s">
        <v>163</v>
      </c>
      <c r="B199" s="3" t="s">
        <v>1415</v>
      </c>
      <c r="C199" s="23" t="s">
        <v>24</v>
      </c>
      <c r="D199" s="11" t="s">
        <v>143</v>
      </c>
      <c r="E199" s="19" t="s">
        <v>396</v>
      </c>
      <c r="F199" s="19" t="s">
        <v>74</v>
      </c>
      <c r="G199" s="11" t="s">
        <v>74</v>
      </c>
      <c r="H199" s="3" t="s">
        <v>523</v>
      </c>
      <c r="I199" s="3">
        <v>2008</v>
      </c>
      <c r="J199" s="21" t="s">
        <v>2276</v>
      </c>
      <c r="K199" s="21" t="s">
        <v>2276</v>
      </c>
      <c r="L199" s="21" t="s">
        <v>2276</v>
      </c>
      <c r="M199" s="21" t="s">
        <v>2276</v>
      </c>
      <c r="N199" s="21" t="s">
        <v>2276</v>
      </c>
      <c r="O199" s="21" t="s">
        <v>2276</v>
      </c>
      <c r="P199" s="21" t="s">
        <v>2276</v>
      </c>
      <c r="Q199" s="21" t="s">
        <v>2276</v>
      </c>
      <c r="R199" s="21" t="s">
        <v>2276</v>
      </c>
      <c r="S199" s="21" t="s">
        <v>2276</v>
      </c>
      <c r="T199" s="21" t="s">
        <v>2276</v>
      </c>
      <c r="U199" s="21" t="s">
        <v>2276</v>
      </c>
      <c r="V199" s="21" t="s">
        <v>2276</v>
      </c>
      <c r="W199" s="21" t="s">
        <v>2276</v>
      </c>
      <c r="X199" s="21" t="s">
        <v>2276</v>
      </c>
      <c r="Y199" s="21" t="s">
        <v>2276</v>
      </c>
      <c r="Z199" s="3" t="s">
        <v>2276</v>
      </c>
      <c r="AA199" s="3" t="s">
        <v>2276</v>
      </c>
      <c r="AB199" s="3" t="s">
        <v>2276</v>
      </c>
      <c r="AC199" s="4" t="s">
        <v>1398</v>
      </c>
      <c r="AD199" s="4" t="s">
        <v>1442</v>
      </c>
    </row>
    <row r="200" spans="1:30" ht="112.5" customHeight="1">
      <c r="A200" s="11" t="s">
        <v>163</v>
      </c>
      <c r="B200" s="3" t="s">
        <v>1416</v>
      </c>
      <c r="C200" s="23" t="s">
        <v>24</v>
      </c>
      <c r="D200" s="11" t="s">
        <v>143</v>
      </c>
      <c r="E200" s="19" t="s">
        <v>396</v>
      </c>
      <c r="F200" s="19" t="s">
        <v>74</v>
      </c>
      <c r="G200" s="11" t="s">
        <v>74</v>
      </c>
      <c r="H200" s="3" t="s">
        <v>523</v>
      </c>
      <c r="I200" s="3">
        <v>2009</v>
      </c>
      <c r="J200" s="21" t="s">
        <v>2276</v>
      </c>
      <c r="K200" s="21" t="s">
        <v>2276</v>
      </c>
      <c r="L200" s="21" t="s">
        <v>2276</v>
      </c>
      <c r="M200" s="21" t="s">
        <v>2276</v>
      </c>
      <c r="N200" s="21" t="s">
        <v>2276</v>
      </c>
      <c r="O200" s="21" t="s">
        <v>2276</v>
      </c>
      <c r="P200" s="21" t="s">
        <v>2276</v>
      </c>
      <c r="Q200" s="21" t="s">
        <v>2276</v>
      </c>
      <c r="R200" s="21" t="s">
        <v>2276</v>
      </c>
      <c r="S200" s="21" t="s">
        <v>2276</v>
      </c>
      <c r="T200" s="21" t="s">
        <v>2276</v>
      </c>
      <c r="U200" s="21" t="s">
        <v>2276</v>
      </c>
      <c r="V200" s="21" t="s">
        <v>2276</v>
      </c>
      <c r="W200" s="21" t="s">
        <v>2276</v>
      </c>
      <c r="X200" s="21" t="s">
        <v>2276</v>
      </c>
      <c r="Y200" s="21" t="s">
        <v>2276</v>
      </c>
      <c r="Z200" s="3" t="s">
        <v>2276</v>
      </c>
      <c r="AA200" s="3" t="s">
        <v>2276</v>
      </c>
      <c r="AB200" s="3" t="s">
        <v>2276</v>
      </c>
      <c r="AC200" s="4" t="s">
        <v>1398</v>
      </c>
      <c r="AD200" s="4" t="s">
        <v>1442</v>
      </c>
    </row>
    <row r="201" spans="1:30" ht="112.5" customHeight="1">
      <c r="A201" s="11" t="s">
        <v>163</v>
      </c>
      <c r="B201" s="3" t="s">
        <v>1417</v>
      </c>
      <c r="C201" s="23" t="s">
        <v>24</v>
      </c>
      <c r="D201" s="11" t="s">
        <v>143</v>
      </c>
      <c r="E201" s="19" t="s">
        <v>396</v>
      </c>
      <c r="F201" s="19" t="s">
        <v>74</v>
      </c>
      <c r="G201" s="11" t="s">
        <v>74</v>
      </c>
      <c r="H201" s="3" t="s">
        <v>523</v>
      </c>
      <c r="I201" s="3">
        <v>2010</v>
      </c>
      <c r="J201" s="21" t="s">
        <v>2276</v>
      </c>
      <c r="K201" s="21" t="s">
        <v>2276</v>
      </c>
      <c r="L201" s="21" t="s">
        <v>2276</v>
      </c>
      <c r="M201" s="21" t="s">
        <v>2276</v>
      </c>
      <c r="N201" s="21" t="s">
        <v>2276</v>
      </c>
      <c r="O201" s="21" t="s">
        <v>2276</v>
      </c>
      <c r="P201" s="21" t="s">
        <v>2276</v>
      </c>
      <c r="Q201" s="21" t="s">
        <v>2276</v>
      </c>
      <c r="R201" s="21" t="s">
        <v>2276</v>
      </c>
      <c r="S201" s="21" t="s">
        <v>2276</v>
      </c>
      <c r="T201" s="21" t="s">
        <v>2276</v>
      </c>
      <c r="U201" s="21" t="s">
        <v>2276</v>
      </c>
      <c r="V201" s="21" t="s">
        <v>2276</v>
      </c>
      <c r="W201" s="21" t="s">
        <v>2276</v>
      </c>
      <c r="X201" s="21" t="s">
        <v>2276</v>
      </c>
      <c r="Y201" s="21" t="s">
        <v>2276</v>
      </c>
      <c r="Z201" s="3" t="s">
        <v>2276</v>
      </c>
      <c r="AA201" s="3" t="s">
        <v>2276</v>
      </c>
      <c r="AB201" s="3" t="s">
        <v>2276</v>
      </c>
      <c r="AC201" s="4" t="s">
        <v>1398</v>
      </c>
      <c r="AD201" s="4" t="s">
        <v>1442</v>
      </c>
    </row>
    <row r="202" spans="1:30" ht="112.5" customHeight="1">
      <c r="A202" s="11" t="s">
        <v>163</v>
      </c>
      <c r="B202" s="3" t="s">
        <v>1418</v>
      </c>
      <c r="C202" s="23" t="s">
        <v>24</v>
      </c>
      <c r="D202" s="11" t="s">
        <v>143</v>
      </c>
      <c r="E202" s="19" t="s">
        <v>396</v>
      </c>
      <c r="F202" s="19" t="s">
        <v>74</v>
      </c>
      <c r="G202" s="11" t="s">
        <v>74</v>
      </c>
      <c r="H202" s="3" t="s">
        <v>523</v>
      </c>
      <c r="I202" s="3">
        <v>2011</v>
      </c>
      <c r="J202" s="21" t="s">
        <v>2276</v>
      </c>
      <c r="K202" s="21" t="s">
        <v>2276</v>
      </c>
      <c r="L202" s="21" t="s">
        <v>2276</v>
      </c>
      <c r="M202" s="21" t="s">
        <v>2276</v>
      </c>
      <c r="N202" s="21" t="s">
        <v>2276</v>
      </c>
      <c r="O202" s="21" t="s">
        <v>2276</v>
      </c>
      <c r="P202" s="21" t="s">
        <v>2276</v>
      </c>
      <c r="Q202" s="21" t="s">
        <v>2276</v>
      </c>
      <c r="R202" s="21" t="s">
        <v>2276</v>
      </c>
      <c r="S202" s="21" t="s">
        <v>2276</v>
      </c>
      <c r="T202" s="21" t="s">
        <v>2276</v>
      </c>
      <c r="U202" s="21" t="s">
        <v>2276</v>
      </c>
      <c r="V202" s="21" t="s">
        <v>2276</v>
      </c>
      <c r="W202" s="21" t="s">
        <v>2276</v>
      </c>
      <c r="X202" s="21" t="s">
        <v>2276</v>
      </c>
      <c r="Y202" s="21" t="s">
        <v>2276</v>
      </c>
      <c r="Z202" s="3" t="s">
        <v>2276</v>
      </c>
      <c r="AA202" s="3" t="s">
        <v>2276</v>
      </c>
      <c r="AB202" s="3" t="s">
        <v>2276</v>
      </c>
      <c r="AC202" s="4" t="s">
        <v>1398</v>
      </c>
      <c r="AD202" s="4" t="s">
        <v>1442</v>
      </c>
    </row>
    <row r="203" spans="1:30" ht="112.5" customHeight="1">
      <c r="A203" s="11" t="s">
        <v>163</v>
      </c>
      <c r="B203" s="3" t="s">
        <v>1419</v>
      </c>
      <c r="C203" s="23" t="s">
        <v>24</v>
      </c>
      <c r="D203" s="11" t="s">
        <v>143</v>
      </c>
      <c r="E203" s="19" t="s">
        <v>396</v>
      </c>
      <c r="F203" s="19" t="s">
        <v>74</v>
      </c>
      <c r="G203" s="11" t="s">
        <v>74</v>
      </c>
      <c r="H203" s="3" t="s">
        <v>523</v>
      </c>
      <c r="I203" s="3">
        <v>2012</v>
      </c>
      <c r="J203" s="21" t="s">
        <v>2276</v>
      </c>
      <c r="K203" s="21" t="s">
        <v>2276</v>
      </c>
      <c r="L203" s="21" t="s">
        <v>2276</v>
      </c>
      <c r="M203" s="21" t="s">
        <v>2276</v>
      </c>
      <c r="N203" s="21" t="s">
        <v>2276</v>
      </c>
      <c r="O203" s="21" t="s">
        <v>2276</v>
      </c>
      <c r="P203" s="21" t="s">
        <v>2276</v>
      </c>
      <c r="Q203" s="21" t="s">
        <v>2276</v>
      </c>
      <c r="R203" s="21" t="s">
        <v>2276</v>
      </c>
      <c r="S203" s="21" t="s">
        <v>2276</v>
      </c>
      <c r="T203" s="21" t="s">
        <v>2276</v>
      </c>
      <c r="U203" s="21" t="s">
        <v>2276</v>
      </c>
      <c r="V203" s="21" t="s">
        <v>2276</v>
      </c>
      <c r="W203" s="21" t="s">
        <v>2276</v>
      </c>
      <c r="X203" s="21" t="s">
        <v>2276</v>
      </c>
      <c r="Y203" s="21" t="s">
        <v>2276</v>
      </c>
      <c r="Z203" s="3" t="s">
        <v>2276</v>
      </c>
      <c r="AA203" s="3" t="s">
        <v>2276</v>
      </c>
      <c r="AB203" s="3" t="s">
        <v>2276</v>
      </c>
      <c r="AC203" s="4" t="s">
        <v>1398</v>
      </c>
      <c r="AD203" s="4" t="s">
        <v>1442</v>
      </c>
    </row>
    <row r="204" spans="1:30" ht="112.5" customHeight="1">
      <c r="A204" s="11" t="s">
        <v>163</v>
      </c>
      <c r="B204" s="3" t="s">
        <v>1420</v>
      </c>
      <c r="C204" s="23" t="s">
        <v>24</v>
      </c>
      <c r="D204" s="11" t="s">
        <v>143</v>
      </c>
      <c r="E204" s="19" t="s">
        <v>45</v>
      </c>
      <c r="F204" s="19" t="s">
        <v>74</v>
      </c>
      <c r="G204" s="11" t="s">
        <v>74</v>
      </c>
      <c r="H204" s="3" t="s">
        <v>523</v>
      </c>
      <c r="I204" s="3">
        <v>2002</v>
      </c>
      <c r="J204" s="21" t="s">
        <v>2276</v>
      </c>
      <c r="K204" s="21" t="s">
        <v>2276</v>
      </c>
      <c r="L204" s="21" t="s">
        <v>2276</v>
      </c>
      <c r="M204" s="21" t="s">
        <v>2276</v>
      </c>
      <c r="N204" s="21" t="s">
        <v>2276</v>
      </c>
      <c r="O204" s="21" t="s">
        <v>2276</v>
      </c>
      <c r="P204" s="21" t="s">
        <v>2276</v>
      </c>
      <c r="Q204" s="21" t="s">
        <v>2276</v>
      </c>
      <c r="R204" s="21" t="s">
        <v>2276</v>
      </c>
      <c r="S204" s="21" t="s">
        <v>2276</v>
      </c>
      <c r="T204" s="21" t="s">
        <v>2276</v>
      </c>
      <c r="U204" s="21" t="s">
        <v>2276</v>
      </c>
      <c r="V204" s="21" t="s">
        <v>2276</v>
      </c>
      <c r="W204" s="21" t="s">
        <v>2276</v>
      </c>
      <c r="X204" s="21" t="s">
        <v>2276</v>
      </c>
      <c r="Y204" s="21" t="s">
        <v>2276</v>
      </c>
      <c r="Z204" s="3" t="s">
        <v>2276</v>
      </c>
      <c r="AA204" s="3" t="s">
        <v>2276</v>
      </c>
      <c r="AB204" s="3" t="s">
        <v>2276</v>
      </c>
      <c r="AC204" s="4" t="s">
        <v>1398</v>
      </c>
      <c r="AD204" s="4" t="s">
        <v>1442</v>
      </c>
    </row>
    <row r="205" spans="1:30" ht="112.5" customHeight="1">
      <c r="A205" s="11" t="s">
        <v>163</v>
      </c>
      <c r="B205" s="3" t="s">
        <v>1421</v>
      </c>
      <c r="C205" s="23" t="s">
        <v>24</v>
      </c>
      <c r="D205" s="11" t="s">
        <v>143</v>
      </c>
      <c r="E205" s="19" t="s">
        <v>45</v>
      </c>
      <c r="F205" s="19" t="s">
        <v>74</v>
      </c>
      <c r="G205" s="11" t="s">
        <v>74</v>
      </c>
      <c r="H205" s="3" t="s">
        <v>523</v>
      </c>
      <c r="I205" s="3">
        <v>2003</v>
      </c>
      <c r="J205" s="21" t="s">
        <v>2276</v>
      </c>
      <c r="K205" s="21" t="s">
        <v>2276</v>
      </c>
      <c r="L205" s="21" t="s">
        <v>2276</v>
      </c>
      <c r="M205" s="21" t="s">
        <v>2276</v>
      </c>
      <c r="N205" s="21" t="s">
        <v>2276</v>
      </c>
      <c r="O205" s="21" t="s">
        <v>2276</v>
      </c>
      <c r="P205" s="21" t="s">
        <v>2276</v>
      </c>
      <c r="Q205" s="21" t="s">
        <v>2276</v>
      </c>
      <c r="R205" s="21" t="s">
        <v>2276</v>
      </c>
      <c r="S205" s="21" t="s">
        <v>2276</v>
      </c>
      <c r="T205" s="21" t="s">
        <v>2276</v>
      </c>
      <c r="U205" s="21" t="s">
        <v>2276</v>
      </c>
      <c r="V205" s="21" t="s">
        <v>2276</v>
      </c>
      <c r="W205" s="21" t="s">
        <v>2276</v>
      </c>
      <c r="X205" s="21" t="s">
        <v>2276</v>
      </c>
      <c r="Y205" s="21" t="s">
        <v>2276</v>
      </c>
      <c r="Z205" s="3" t="s">
        <v>2276</v>
      </c>
      <c r="AA205" s="3" t="s">
        <v>2276</v>
      </c>
      <c r="AB205" s="3" t="s">
        <v>2276</v>
      </c>
      <c r="AC205" s="4" t="s">
        <v>1398</v>
      </c>
      <c r="AD205" s="4" t="s">
        <v>1442</v>
      </c>
    </row>
    <row r="206" spans="1:30" ht="112.5" customHeight="1">
      <c r="A206" s="11" t="s">
        <v>163</v>
      </c>
      <c r="B206" s="3" t="s">
        <v>1422</v>
      </c>
      <c r="C206" s="23" t="s">
        <v>24</v>
      </c>
      <c r="D206" s="11" t="s">
        <v>143</v>
      </c>
      <c r="E206" s="19" t="s">
        <v>45</v>
      </c>
      <c r="F206" s="19" t="s">
        <v>74</v>
      </c>
      <c r="G206" s="11" t="s">
        <v>74</v>
      </c>
      <c r="H206" s="3" t="s">
        <v>523</v>
      </c>
      <c r="I206" s="3">
        <v>2004</v>
      </c>
      <c r="J206" s="21" t="s">
        <v>2276</v>
      </c>
      <c r="K206" s="21" t="s">
        <v>2276</v>
      </c>
      <c r="L206" s="21" t="s">
        <v>2276</v>
      </c>
      <c r="M206" s="21" t="s">
        <v>2276</v>
      </c>
      <c r="N206" s="21" t="s">
        <v>2276</v>
      </c>
      <c r="O206" s="21" t="s">
        <v>2276</v>
      </c>
      <c r="P206" s="21" t="s">
        <v>2276</v>
      </c>
      <c r="Q206" s="21" t="s">
        <v>2276</v>
      </c>
      <c r="R206" s="21" t="s">
        <v>2276</v>
      </c>
      <c r="S206" s="21" t="s">
        <v>2276</v>
      </c>
      <c r="T206" s="21" t="s">
        <v>2276</v>
      </c>
      <c r="U206" s="21" t="s">
        <v>2276</v>
      </c>
      <c r="V206" s="21" t="s">
        <v>2276</v>
      </c>
      <c r="W206" s="21" t="s">
        <v>2276</v>
      </c>
      <c r="X206" s="21" t="s">
        <v>2276</v>
      </c>
      <c r="Y206" s="21" t="s">
        <v>2276</v>
      </c>
      <c r="Z206" s="3" t="s">
        <v>2276</v>
      </c>
      <c r="AA206" s="3" t="s">
        <v>2276</v>
      </c>
      <c r="AB206" s="3" t="s">
        <v>2276</v>
      </c>
      <c r="AC206" s="4" t="s">
        <v>1398</v>
      </c>
      <c r="AD206" s="4" t="s">
        <v>1442</v>
      </c>
    </row>
    <row r="207" spans="1:30" ht="112.5" customHeight="1">
      <c r="A207" s="11" t="s">
        <v>163</v>
      </c>
      <c r="B207" s="3" t="s">
        <v>1434</v>
      </c>
      <c r="C207" s="23" t="s">
        <v>24</v>
      </c>
      <c r="D207" s="11" t="s">
        <v>143</v>
      </c>
      <c r="E207" s="19" t="s">
        <v>45</v>
      </c>
      <c r="F207" s="19" t="s">
        <v>74</v>
      </c>
      <c r="G207" s="11" t="s">
        <v>74</v>
      </c>
      <c r="H207" s="3" t="s">
        <v>523</v>
      </c>
      <c r="I207" s="3">
        <v>2005</v>
      </c>
      <c r="J207" s="21" t="s">
        <v>2276</v>
      </c>
      <c r="K207" s="21" t="s">
        <v>2276</v>
      </c>
      <c r="L207" s="21" t="s">
        <v>2276</v>
      </c>
      <c r="M207" s="21" t="s">
        <v>2276</v>
      </c>
      <c r="N207" s="21" t="s">
        <v>2276</v>
      </c>
      <c r="O207" s="21" t="s">
        <v>2276</v>
      </c>
      <c r="P207" s="21" t="s">
        <v>2276</v>
      </c>
      <c r="Q207" s="21" t="s">
        <v>2276</v>
      </c>
      <c r="R207" s="21" t="s">
        <v>2276</v>
      </c>
      <c r="S207" s="21" t="s">
        <v>2276</v>
      </c>
      <c r="T207" s="21" t="s">
        <v>2276</v>
      </c>
      <c r="U207" s="21" t="s">
        <v>2276</v>
      </c>
      <c r="V207" s="21" t="s">
        <v>2276</v>
      </c>
      <c r="W207" s="21" t="s">
        <v>2276</v>
      </c>
      <c r="X207" s="21" t="s">
        <v>2276</v>
      </c>
      <c r="Y207" s="21" t="s">
        <v>2276</v>
      </c>
      <c r="Z207" s="3" t="s">
        <v>2276</v>
      </c>
      <c r="AA207" s="3" t="s">
        <v>2276</v>
      </c>
      <c r="AB207" s="3" t="s">
        <v>2276</v>
      </c>
      <c r="AC207" s="4" t="s">
        <v>1398</v>
      </c>
      <c r="AD207" s="4" t="s">
        <v>1442</v>
      </c>
    </row>
    <row r="208" spans="1:30" ht="112.5" customHeight="1">
      <c r="A208" s="11" t="s">
        <v>163</v>
      </c>
      <c r="B208" s="3" t="s">
        <v>1435</v>
      </c>
      <c r="C208" s="23" t="s">
        <v>24</v>
      </c>
      <c r="D208" s="11" t="s">
        <v>143</v>
      </c>
      <c r="E208" s="19" t="s">
        <v>45</v>
      </c>
      <c r="F208" s="19" t="s">
        <v>74</v>
      </c>
      <c r="G208" s="11" t="s">
        <v>74</v>
      </c>
      <c r="H208" s="3" t="s">
        <v>523</v>
      </c>
      <c r="I208" s="3">
        <v>2006</v>
      </c>
      <c r="J208" s="21" t="s">
        <v>2276</v>
      </c>
      <c r="K208" s="21" t="s">
        <v>2276</v>
      </c>
      <c r="L208" s="21" t="s">
        <v>2276</v>
      </c>
      <c r="M208" s="21" t="s">
        <v>2276</v>
      </c>
      <c r="N208" s="21" t="s">
        <v>2276</v>
      </c>
      <c r="O208" s="21" t="s">
        <v>2276</v>
      </c>
      <c r="P208" s="21" t="s">
        <v>2276</v>
      </c>
      <c r="Q208" s="21" t="s">
        <v>2276</v>
      </c>
      <c r="R208" s="21" t="s">
        <v>2276</v>
      </c>
      <c r="S208" s="21" t="s">
        <v>2276</v>
      </c>
      <c r="T208" s="21" t="s">
        <v>2276</v>
      </c>
      <c r="U208" s="21" t="s">
        <v>2276</v>
      </c>
      <c r="V208" s="21" t="s">
        <v>2276</v>
      </c>
      <c r="W208" s="21" t="s">
        <v>2276</v>
      </c>
      <c r="X208" s="21" t="s">
        <v>2276</v>
      </c>
      <c r="Y208" s="21" t="s">
        <v>2276</v>
      </c>
      <c r="Z208" s="3" t="s">
        <v>2276</v>
      </c>
      <c r="AA208" s="3" t="s">
        <v>2276</v>
      </c>
      <c r="AB208" s="3" t="s">
        <v>2276</v>
      </c>
      <c r="AC208" s="4" t="s">
        <v>1398</v>
      </c>
      <c r="AD208" s="4" t="s">
        <v>1442</v>
      </c>
    </row>
    <row r="209" spans="1:30" ht="112.5" customHeight="1">
      <c r="A209" s="11" t="s">
        <v>163</v>
      </c>
      <c r="B209" s="3" t="s">
        <v>1436</v>
      </c>
      <c r="C209" s="23" t="s">
        <v>24</v>
      </c>
      <c r="D209" s="11" t="s">
        <v>143</v>
      </c>
      <c r="E209" s="19" t="s">
        <v>45</v>
      </c>
      <c r="F209" s="19" t="s">
        <v>74</v>
      </c>
      <c r="G209" s="11" t="s">
        <v>74</v>
      </c>
      <c r="H209" s="3" t="s">
        <v>523</v>
      </c>
      <c r="I209" s="3">
        <v>2007</v>
      </c>
      <c r="J209" s="21" t="s">
        <v>2276</v>
      </c>
      <c r="K209" s="21" t="s">
        <v>2276</v>
      </c>
      <c r="L209" s="21" t="s">
        <v>2276</v>
      </c>
      <c r="M209" s="21" t="s">
        <v>2276</v>
      </c>
      <c r="N209" s="21" t="s">
        <v>2276</v>
      </c>
      <c r="O209" s="21" t="s">
        <v>2276</v>
      </c>
      <c r="P209" s="21" t="s">
        <v>2276</v>
      </c>
      <c r="Q209" s="21" t="s">
        <v>2276</v>
      </c>
      <c r="R209" s="21" t="s">
        <v>2276</v>
      </c>
      <c r="S209" s="21" t="s">
        <v>2276</v>
      </c>
      <c r="T209" s="21" t="s">
        <v>2276</v>
      </c>
      <c r="U209" s="21" t="s">
        <v>2276</v>
      </c>
      <c r="V209" s="21" t="s">
        <v>2276</v>
      </c>
      <c r="W209" s="21" t="s">
        <v>2276</v>
      </c>
      <c r="X209" s="21" t="s">
        <v>2276</v>
      </c>
      <c r="Y209" s="21" t="s">
        <v>2276</v>
      </c>
      <c r="Z209" s="3" t="s">
        <v>2276</v>
      </c>
      <c r="AA209" s="3" t="s">
        <v>2276</v>
      </c>
      <c r="AB209" s="3" t="s">
        <v>2276</v>
      </c>
      <c r="AC209" s="4" t="s">
        <v>1398</v>
      </c>
      <c r="AD209" s="4" t="s">
        <v>1442</v>
      </c>
    </row>
    <row r="210" spans="1:30" ht="112.5" customHeight="1">
      <c r="A210" s="11" t="s">
        <v>163</v>
      </c>
      <c r="B210" s="3" t="s">
        <v>1437</v>
      </c>
      <c r="C210" s="23" t="s">
        <v>24</v>
      </c>
      <c r="D210" s="11" t="s">
        <v>143</v>
      </c>
      <c r="E210" s="19" t="s">
        <v>45</v>
      </c>
      <c r="F210" s="19" t="s">
        <v>74</v>
      </c>
      <c r="G210" s="11" t="s">
        <v>74</v>
      </c>
      <c r="H210" s="3" t="s">
        <v>523</v>
      </c>
      <c r="I210" s="3">
        <v>2008</v>
      </c>
      <c r="J210" s="21" t="s">
        <v>2276</v>
      </c>
      <c r="K210" s="21" t="s">
        <v>2276</v>
      </c>
      <c r="L210" s="21" t="s">
        <v>2276</v>
      </c>
      <c r="M210" s="21" t="s">
        <v>2276</v>
      </c>
      <c r="N210" s="21" t="s">
        <v>2276</v>
      </c>
      <c r="O210" s="21" t="s">
        <v>2276</v>
      </c>
      <c r="P210" s="21" t="s">
        <v>2276</v>
      </c>
      <c r="Q210" s="21" t="s">
        <v>2276</v>
      </c>
      <c r="R210" s="21" t="s">
        <v>2276</v>
      </c>
      <c r="S210" s="21" t="s">
        <v>2276</v>
      </c>
      <c r="T210" s="21" t="s">
        <v>2276</v>
      </c>
      <c r="U210" s="21" t="s">
        <v>2276</v>
      </c>
      <c r="V210" s="21" t="s">
        <v>2276</v>
      </c>
      <c r="W210" s="21" t="s">
        <v>2276</v>
      </c>
      <c r="X210" s="21" t="s">
        <v>2276</v>
      </c>
      <c r="Y210" s="21" t="s">
        <v>2276</v>
      </c>
      <c r="Z210" s="3" t="s">
        <v>2276</v>
      </c>
      <c r="AA210" s="3" t="s">
        <v>2276</v>
      </c>
      <c r="AB210" s="3" t="s">
        <v>2276</v>
      </c>
      <c r="AC210" s="4" t="s">
        <v>1398</v>
      </c>
      <c r="AD210" s="4" t="s">
        <v>1442</v>
      </c>
    </row>
    <row r="211" spans="1:30" ht="112.5" customHeight="1">
      <c r="A211" s="11" t="s">
        <v>163</v>
      </c>
      <c r="B211" s="3" t="s">
        <v>1438</v>
      </c>
      <c r="C211" s="23" t="s">
        <v>24</v>
      </c>
      <c r="D211" s="11" t="s">
        <v>143</v>
      </c>
      <c r="E211" s="19" t="s">
        <v>45</v>
      </c>
      <c r="F211" s="19" t="s">
        <v>74</v>
      </c>
      <c r="G211" s="11" t="s">
        <v>74</v>
      </c>
      <c r="H211" s="3" t="s">
        <v>523</v>
      </c>
      <c r="I211" s="3">
        <v>2009</v>
      </c>
      <c r="J211" s="21" t="s">
        <v>2276</v>
      </c>
      <c r="K211" s="21" t="s">
        <v>2276</v>
      </c>
      <c r="L211" s="21" t="s">
        <v>2276</v>
      </c>
      <c r="M211" s="21" t="s">
        <v>2276</v>
      </c>
      <c r="N211" s="21" t="s">
        <v>2276</v>
      </c>
      <c r="O211" s="21" t="s">
        <v>2276</v>
      </c>
      <c r="P211" s="21" t="s">
        <v>2276</v>
      </c>
      <c r="Q211" s="21" t="s">
        <v>2276</v>
      </c>
      <c r="R211" s="21" t="s">
        <v>2276</v>
      </c>
      <c r="S211" s="21" t="s">
        <v>2276</v>
      </c>
      <c r="T211" s="21" t="s">
        <v>2276</v>
      </c>
      <c r="U211" s="21" t="s">
        <v>2276</v>
      </c>
      <c r="V211" s="21" t="s">
        <v>2276</v>
      </c>
      <c r="W211" s="21" t="s">
        <v>2276</v>
      </c>
      <c r="X211" s="21" t="s">
        <v>2276</v>
      </c>
      <c r="Y211" s="21" t="s">
        <v>2276</v>
      </c>
      <c r="Z211" s="3" t="s">
        <v>2276</v>
      </c>
      <c r="AA211" s="3" t="s">
        <v>2276</v>
      </c>
      <c r="AB211" s="3" t="s">
        <v>2276</v>
      </c>
      <c r="AC211" s="4" t="s">
        <v>1398</v>
      </c>
      <c r="AD211" s="4" t="s">
        <v>1442</v>
      </c>
    </row>
    <row r="212" spans="1:30" ht="112.5" customHeight="1">
      <c r="A212" s="11" t="s">
        <v>163</v>
      </c>
      <c r="B212" s="3" t="s">
        <v>1439</v>
      </c>
      <c r="C212" s="23" t="s">
        <v>24</v>
      </c>
      <c r="D212" s="11" t="s">
        <v>143</v>
      </c>
      <c r="E212" s="19" t="s">
        <v>45</v>
      </c>
      <c r="F212" s="19" t="s">
        <v>74</v>
      </c>
      <c r="G212" s="11" t="s">
        <v>74</v>
      </c>
      <c r="H212" s="3" t="s">
        <v>523</v>
      </c>
      <c r="I212" s="3">
        <v>2010</v>
      </c>
      <c r="J212" s="21" t="s">
        <v>2276</v>
      </c>
      <c r="K212" s="21" t="s">
        <v>2276</v>
      </c>
      <c r="L212" s="21" t="s">
        <v>2276</v>
      </c>
      <c r="M212" s="21" t="s">
        <v>2276</v>
      </c>
      <c r="N212" s="21" t="s">
        <v>2276</v>
      </c>
      <c r="O212" s="21" t="s">
        <v>2276</v>
      </c>
      <c r="P212" s="21" t="s">
        <v>2276</v>
      </c>
      <c r="Q212" s="21" t="s">
        <v>2276</v>
      </c>
      <c r="R212" s="21" t="s">
        <v>2276</v>
      </c>
      <c r="S212" s="21" t="s">
        <v>2276</v>
      </c>
      <c r="T212" s="21" t="s">
        <v>2276</v>
      </c>
      <c r="U212" s="21" t="s">
        <v>2276</v>
      </c>
      <c r="V212" s="21" t="s">
        <v>2276</v>
      </c>
      <c r="W212" s="21" t="s">
        <v>2276</v>
      </c>
      <c r="X212" s="21" t="s">
        <v>2276</v>
      </c>
      <c r="Y212" s="21" t="s">
        <v>2276</v>
      </c>
      <c r="Z212" s="3" t="s">
        <v>2276</v>
      </c>
      <c r="AA212" s="3" t="s">
        <v>2276</v>
      </c>
      <c r="AB212" s="3" t="s">
        <v>2276</v>
      </c>
      <c r="AC212" s="4" t="s">
        <v>1398</v>
      </c>
      <c r="AD212" s="4" t="s">
        <v>1442</v>
      </c>
    </row>
    <row r="213" spans="1:30" ht="112.5" customHeight="1">
      <c r="A213" s="11" t="s">
        <v>163</v>
      </c>
      <c r="B213" s="3" t="s">
        <v>1440</v>
      </c>
      <c r="C213" s="23" t="s">
        <v>24</v>
      </c>
      <c r="D213" s="11" t="s">
        <v>143</v>
      </c>
      <c r="E213" s="19" t="s">
        <v>45</v>
      </c>
      <c r="F213" s="19" t="s">
        <v>74</v>
      </c>
      <c r="G213" s="11" t="s">
        <v>74</v>
      </c>
      <c r="H213" s="3" t="s">
        <v>523</v>
      </c>
      <c r="I213" s="3">
        <v>2011</v>
      </c>
      <c r="J213" s="21" t="s">
        <v>2276</v>
      </c>
      <c r="K213" s="21" t="s">
        <v>2276</v>
      </c>
      <c r="L213" s="21" t="s">
        <v>2276</v>
      </c>
      <c r="M213" s="21" t="s">
        <v>2276</v>
      </c>
      <c r="N213" s="21" t="s">
        <v>2276</v>
      </c>
      <c r="O213" s="21" t="s">
        <v>2276</v>
      </c>
      <c r="P213" s="21" t="s">
        <v>2276</v>
      </c>
      <c r="Q213" s="21" t="s">
        <v>2276</v>
      </c>
      <c r="R213" s="21" t="s">
        <v>2276</v>
      </c>
      <c r="S213" s="21" t="s">
        <v>2276</v>
      </c>
      <c r="T213" s="21" t="s">
        <v>2276</v>
      </c>
      <c r="U213" s="21" t="s">
        <v>2276</v>
      </c>
      <c r="V213" s="21" t="s">
        <v>2276</v>
      </c>
      <c r="W213" s="21" t="s">
        <v>2276</v>
      </c>
      <c r="X213" s="21" t="s">
        <v>2276</v>
      </c>
      <c r="Y213" s="21" t="s">
        <v>2276</v>
      </c>
      <c r="Z213" s="3" t="s">
        <v>2276</v>
      </c>
      <c r="AA213" s="3" t="s">
        <v>2276</v>
      </c>
      <c r="AB213" s="3" t="s">
        <v>2276</v>
      </c>
      <c r="AC213" s="4" t="s">
        <v>1398</v>
      </c>
      <c r="AD213" s="4" t="s">
        <v>1442</v>
      </c>
    </row>
    <row r="214" spans="1:30" ht="120" customHeight="1">
      <c r="A214" s="11" t="s">
        <v>163</v>
      </c>
      <c r="B214" s="3" t="s">
        <v>1441</v>
      </c>
      <c r="C214" s="23" t="s">
        <v>24</v>
      </c>
      <c r="D214" s="11" t="s">
        <v>143</v>
      </c>
      <c r="E214" s="19" t="s">
        <v>45</v>
      </c>
      <c r="F214" s="19" t="s">
        <v>74</v>
      </c>
      <c r="G214" s="11" t="s">
        <v>74</v>
      </c>
      <c r="H214" s="3" t="s">
        <v>523</v>
      </c>
      <c r="I214" s="3">
        <v>2012</v>
      </c>
      <c r="J214" s="21" t="s">
        <v>2276</v>
      </c>
      <c r="K214" s="21" t="s">
        <v>2276</v>
      </c>
      <c r="L214" s="21" t="s">
        <v>2276</v>
      </c>
      <c r="M214" s="21" t="s">
        <v>2276</v>
      </c>
      <c r="N214" s="21" t="s">
        <v>2276</v>
      </c>
      <c r="O214" s="21" t="s">
        <v>2276</v>
      </c>
      <c r="P214" s="21" t="s">
        <v>2276</v>
      </c>
      <c r="Q214" s="21" t="s">
        <v>2276</v>
      </c>
      <c r="R214" s="21" t="s">
        <v>2276</v>
      </c>
      <c r="S214" s="21" t="s">
        <v>2276</v>
      </c>
      <c r="T214" s="21" t="s">
        <v>2276</v>
      </c>
      <c r="U214" s="21" t="s">
        <v>2276</v>
      </c>
      <c r="V214" s="21" t="s">
        <v>2276</v>
      </c>
      <c r="W214" s="21" t="s">
        <v>2276</v>
      </c>
      <c r="X214" s="21" t="s">
        <v>2276</v>
      </c>
      <c r="Y214" s="21" t="s">
        <v>2276</v>
      </c>
      <c r="Z214" s="3" t="s">
        <v>2276</v>
      </c>
      <c r="AA214" s="3" t="s">
        <v>2276</v>
      </c>
      <c r="AB214" s="3" t="s">
        <v>2276</v>
      </c>
      <c r="AC214" s="4" t="s">
        <v>1398</v>
      </c>
      <c r="AD214" s="4" t="s">
        <v>1442</v>
      </c>
    </row>
    <row r="215" spans="1:30" ht="151.5" customHeight="1">
      <c r="A215" s="11" t="s">
        <v>163</v>
      </c>
      <c r="B215" s="3" t="s">
        <v>1444</v>
      </c>
      <c r="C215" s="23" t="s">
        <v>24</v>
      </c>
      <c r="D215" s="11" t="s">
        <v>143</v>
      </c>
      <c r="E215" s="11" t="s">
        <v>84</v>
      </c>
      <c r="F215" s="19" t="s">
        <v>74</v>
      </c>
      <c r="G215" s="11" t="s">
        <v>74</v>
      </c>
      <c r="H215" s="3" t="s">
        <v>523</v>
      </c>
      <c r="I215" s="3">
        <v>2002</v>
      </c>
      <c r="J215" s="21" t="s">
        <v>2276</v>
      </c>
      <c r="K215" s="21" t="s">
        <v>2276</v>
      </c>
      <c r="L215" s="21" t="s">
        <v>2276</v>
      </c>
      <c r="M215" s="21" t="s">
        <v>2276</v>
      </c>
      <c r="N215" s="21" t="s">
        <v>2276</v>
      </c>
      <c r="O215" s="21" t="s">
        <v>2276</v>
      </c>
      <c r="P215" s="21" t="s">
        <v>2276</v>
      </c>
      <c r="Q215" s="21" t="s">
        <v>2276</v>
      </c>
      <c r="R215" s="21" t="s">
        <v>2276</v>
      </c>
      <c r="S215" s="21" t="s">
        <v>2276</v>
      </c>
      <c r="T215" s="21" t="s">
        <v>2276</v>
      </c>
      <c r="U215" s="21" t="s">
        <v>2276</v>
      </c>
      <c r="V215" s="21" t="s">
        <v>2276</v>
      </c>
      <c r="W215" s="21" t="s">
        <v>2276</v>
      </c>
      <c r="X215" s="21" t="s">
        <v>2276</v>
      </c>
      <c r="Y215" s="21" t="s">
        <v>2276</v>
      </c>
      <c r="Z215" s="3" t="s">
        <v>2276</v>
      </c>
      <c r="AA215" s="3" t="s">
        <v>2276</v>
      </c>
      <c r="AB215" s="3" t="s">
        <v>2276</v>
      </c>
      <c r="AC215" s="4" t="s">
        <v>1398</v>
      </c>
      <c r="AD215" s="4" t="s">
        <v>1455</v>
      </c>
    </row>
    <row r="216" spans="1:30" ht="160.5" customHeight="1">
      <c r="A216" s="11" t="s">
        <v>163</v>
      </c>
      <c r="B216" s="3" t="s">
        <v>1445</v>
      </c>
      <c r="C216" s="23" t="s">
        <v>24</v>
      </c>
      <c r="D216" s="11" t="s">
        <v>143</v>
      </c>
      <c r="E216" s="11" t="s">
        <v>84</v>
      </c>
      <c r="F216" s="19" t="s">
        <v>74</v>
      </c>
      <c r="G216" s="11" t="s">
        <v>74</v>
      </c>
      <c r="H216" s="3" t="s">
        <v>523</v>
      </c>
      <c r="I216" s="3">
        <v>2003</v>
      </c>
      <c r="J216" s="21" t="s">
        <v>2276</v>
      </c>
      <c r="K216" s="21" t="s">
        <v>2276</v>
      </c>
      <c r="L216" s="21" t="s">
        <v>2276</v>
      </c>
      <c r="M216" s="21" t="s">
        <v>2276</v>
      </c>
      <c r="N216" s="21" t="s">
        <v>2276</v>
      </c>
      <c r="O216" s="21" t="s">
        <v>2276</v>
      </c>
      <c r="P216" s="21" t="s">
        <v>2276</v>
      </c>
      <c r="Q216" s="21" t="s">
        <v>2276</v>
      </c>
      <c r="R216" s="21" t="s">
        <v>2276</v>
      </c>
      <c r="S216" s="21" t="s">
        <v>2276</v>
      </c>
      <c r="T216" s="21" t="s">
        <v>2276</v>
      </c>
      <c r="U216" s="21" t="s">
        <v>2276</v>
      </c>
      <c r="V216" s="21" t="s">
        <v>2276</v>
      </c>
      <c r="W216" s="21" t="s">
        <v>2276</v>
      </c>
      <c r="X216" s="21" t="s">
        <v>2276</v>
      </c>
      <c r="Y216" s="21" t="s">
        <v>2276</v>
      </c>
      <c r="Z216" s="3" t="s">
        <v>2276</v>
      </c>
      <c r="AA216" s="3" t="s">
        <v>2276</v>
      </c>
      <c r="AB216" s="3" t="s">
        <v>2276</v>
      </c>
      <c r="AC216" s="4" t="s">
        <v>1398</v>
      </c>
      <c r="AD216" s="4" t="s">
        <v>1455</v>
      </c>
    </row>
    <row r="217" spans="1:30" ht="160.5" customHeight="1">
      <c r="A217" s="11" t="s">
        <v>163</v>
      </c>
      <c r="B217" s="3" t="s">
        <v>1446</v>
      </c>
      <c r="C217" s="23" t="s">
        <v>24</v>
      </c>
      <c r="D217" s="11" t="s">
        <v>143</v>
      </c>
      <c r="E217" s="11" t="s">
        <v>84</v>
      </c>
      <c r="F217" s="19" t="s">
        <v>74</v>
      </c>
      <c r="G217" s="11" t="s">
        <v>74</v>
      </c>
      <c r="H217" s="3" t="s">
        <v>523</v>
      </c>
      <c r="I217" s="3">
        <v>2004</v>
      </c>
      <c r="J217" s="21" t="s">
        <v>2276</v>
      </c>
      <c r="K217" s="21" t="s">
        <v>2276</v>
      </c>
      <c r="L217" s="21" t="s">
        <v>2276</v>
      </c>
      <c r="M217" s="21" t="s">
        <v>2276</v>
      </c>
      <c r="N217" s="21" t="s">
        <v>2276</v>
      </c>
      <c r="O217" s="21" t="s">
        <v>2276</v>
      </c>
      <c r="P217" s="21" t="s">
        <v>2276</v>
      </c>
      <c r="Q217" s="21" t="s">
        <v>2276</v>
      </c>
      <c r="R217" s="21" t="s">
        <v>2276</v>
      </c>
      <c r="S217" s="21" t="s">
        <v>2276</v>
      </c>
      <c r="T217" s="21" t="s">
        <v>2276</v>
      </c>
      <c r="U217" s="21" t="s">
        <v>2276</v>
      </c>
      <c r="V217" s="21" t="s">
        <v>2276</v>
      </c>
      <c r="W217" s="21" t="s">
        <v>2276</v>
      </c>
      <c r="X217" s="21" t="s">
        <v>2276</v>
      </c>
      <c r="Y217" s="21" t="s">
        <v>2276</v>
      </c>
      <c r="Z217" s="3" t="s">
        <v>2276</v>
      </c>
      <c r="AA217" s="3" t="s">
        <v>2276</v>
      </c>
      <c r="AB217" s="3" t="s">
        <v>2276</v>
      </c>
      <c r="AC217" s="4" t="s">
        <v>1398</v>
      </c>
      <c r="AD217" s="4" t="s">
        <v>1455</v>
      </c>
    </row>
    <row r="218" spans="1:30" ht="160.5" customHeight="1">
      <c r="A218" s="11" t="s">
        <v>163</v>
      </c>
      <c r="B218" s="3" t="s">
        <v>1447</v>
      </c>
      <c r="C218" s="23" t="s">
        <v>24</v>
      </c>
      <c r="D218" s="11" t="s">
        <v>143</v>
      </c>
      <c r="E218" s="11" t="s">
        <v>84</v>
      </c>
      <c r="F218" s="19" t="s">
        <v>74</v>
      </c>
      <c r="G218" s="11" t="s">
        <v>74</v>
      </c>
      <c r="H218" s="3" t="s">
        <v>523</v>
      </c>
      <c r="I218" s="3">
        <v>2005</v>
      </c>
      <c r="J218" s="21" t="s">
        <v>2276</v>
      </c>
      <c r="K218" s="21" t="s">
        <v>2276</v>
      </c>
      <c r="L218" s="21" t="s">
        <v>2276</v>
      </c>
      <c r="M218" s="21" t="s">
        <v>2276</v>
      </c>
      <c r="N218" s="21" t="s">
        <v>2276</v>
      </c>
      <c r="O218" s="21" t="s">
        <v>2276</v>
      </c>
      <c r="P218" s="21" t="s">
        <v>2276</v>
      </c>
      <c r="Q218" s="21" t="s">
        <v>2276</v>
      </c>
      <c r="R218" s="21" t="s">
        <v>2276</v>
      </c>
      <c r="S218" s="21" t="s">
        <v>2276</v>
      </c>
      <c r="T218" s="21" t="s">
        <v>2276</v>
      </c>
      <c r="U218" s="21" t="s">
        <v>2276</v>
      </c>
      <c r="V218" s="21" t="s">
        <v>2276</v>
      </c>
      <c r="W218" s="21" t="s">
        <v>2276</v>
      </c>
      <c r="X218" s="21" t="s">
        <v>2276</v>
      </c>
      <c r="Y218" s="21" t="s">
        <v>2276</v>
      </c>
      <c r="Z218" s="3" t="s">
        <v>2276</v>
      </c>
      <c r="AA218" s="3" t="s">
        <v>2276</v>
      </c>
      <c r="AB218" s="3" t="s">
        <v>2276</v>
      </c>
      <c r="AC218" s="4" t="s">
        <v>1398</v>
      </c>
      <c r="AD218" s="4" t="s">
        <v>1455</v>
      </c>
    </row>
    <row r="219" spans="1:30" ht="160.5" customHeight="1">
      <c r="A219" s="11" t="s">
        <v>163</v>
      </c>
      <c r="B219" s="3" t="s">
        <v>1448</v>
      </c>
      <c r="C219" s="23" t="s">
        <v>24</v>
      </c>
      <c r="D219" s="11" t="s">
        <v>143</v>
      </c>
      <c r="E219" s="11" t="s">
        <v>84</v>
      </c>
      <c r="F219" s="19" t="s">
        <v>74</v>
      </c>
      <c r="G219" s="11" t="s">
        <v>74</v>
      </c>
      <c r="H219" s="3" t="s">
        <v>523</v>
      </c>
      <c r="I219" s="3">
        <v>2006</v>
      </c>
      <c r="J219" s="21" t="s">
        <v>2276</v>
      </c>
      <c r="K219" s="21" t="s">
        <v>2276</v>
      </c>
      <c r="L219" s="21" t="s">
        <v>2276</v>
      </c>
      <c r="M219" s="21" t="s">
        <v>2276</v>
      </c>
      <c r="N219" s="21" t="s">
        <v>2276</v>
      </c>
      <c r="O219" s="21" t="s">
        <v>2276</v>
      </c>
      <c r="P219" s="21" t="s">
        <v>2276</v>
      </c>
      <c r="Q219" s="21" t="s">
        <v>2276</v>
      </c>
      <c r="R219" s="21" t="s">
        <v>2276</v>
      </c>
      <c r="S219" s="21" t="s">
        <v>2276</v>
      </c>
      <c r="T219" s="21" t="s">
        <v>2276</v>
      </c>
      <c r="U219" s="21" t="s">
        <v>2276</v>
      </c>
      <c r="V219" s="21" t="s">
        <v>2276</v>
      </c>
      <c r="W219" s="21" t="s">
        <v>2276</v>
      </c>
      <c r="X219" s="21" t="s">
        <v>2276</v>
      </c>
      <c r="Y219" s="21" t="s">
        <v>2276</v>
      </c>
      <c r="Z219" s="3" t="s">
        <v>2276</v>
      </c>
      <c r="AA219" s="3" t="s">
        <v>2276</v>
      </c>
      <c r="AB219" s="3" t="s">
        <v>2276</v>
      </c>
      <c r="AC219" s="4" t="s">
        <v>1398</v>
      </c>
      <c r="AD219" s="4" t="s">
        <v>1455</v>
      </c>
    </row>
    <row r="220" spans="1:30" ht="160.5" customHeight="1">
      <c r="A220" s="11" t="s">
        <v>163</v>
      </c>
      <c r="B220" s="3" t="s">
        <v>1449</v>
      </c>
      <c r="C220" s="23" t="s">
        <v>24</v>
      </c>
      <c r="D220" s="11" t="s">
        <v>143</v>
      </c>
      <c r="E220" s="11" t="s">
        <v>84</v>
      </c>
      <c r="F220" s="19" t="s">
        <v>74</v>
      </c>
      <c r="G220" s="11" t="s">
        <v>74</v>
      </c>
      <c r="H220" s="3" t="s">
        <v>523</v>
      </c>
      <c r="I220" s="3">
        <v>2007</v>
      </c>
      <c r="J220" s="21" t="s">
        <v>2276</v>
      </c>
      <c r="K220" s="21" t="s">
        <v>2276</v>
      </c>
      <c r="L220" s="21" t="s">
        <v>2276</v>
      </c>
      <c r="M220" s="21" t="s">
        <v>2276</v>
      </c>
      <c r="N220" s="21" t="s">
        <v>2276</v>
      </c>
      <c r="O220" s="21" t="s">
        <v>2276</v>
      </c>
      <c r="P220" s="21" t="s">
        <v>2276</v>
      </c>
      <c r="Q220" s="21" t="s">
        <v>2276</v>
      </c>
      <c r="R220" s="21" t="s">
        <v>2276</v>
      </c>
      <c r="S220" s="21" t="s">
        <v>2276</v>
      </c>
      <c r="T220" s="21" t="s">
        <v>2276</v>
      </c>
      <c r="U220" s="21" t="s">
        <v>2276</v>
      </c>
      <c r="V220" s="21" t="s">
        <v>2276</v>
      </c>
      <c r="W220" s="21" t="s">
        <v>2276</v>
      </c>
      <c r="X220" s="21" t="s">
        <v>2276</v>
      </c>
      <c r="Y220" s="21" t="s">
        <v>2276</v>
      </c>
      <c r="Z220" s="3" t="s">
        <v>2276</v>
      </c>
      <c r="AA220" s="3" t="s">
        <v>2276</v>
      </c>
      <c r="AB220" s="3" t="s">
        <v>2276</v>
      </c>
      <c r="AC220" s="4" t="s">
        <v>1398</v>
      </c>
      <c r="AD220" s="4" t="s">
        <v>1455</v>
      </c>
    </row>
    <row r="221" spans="1:30" ht="160.5" customHeight="1">
      <c r="A221" s="11" t="s">
        <v>163</v>
      </c>
      <c r="B221" s="3" t="s">
        <v>1450</v>
      </c>
      <c r="C221" s="23" t="s">
        <v>24</v>
      </c>
      <c r="D221" s="11" t="s">
        <v>143</v>
      </c>
      <c r="E221" s="11" t="s">
        <v>84</v>
      </c>
      <c r="F221" s="19" t="s">
        <v>74</v>
      </c>
      <c r="G221" s="11" t="s">
        <v>74</v>
      </c>
      <c r="H221" s="3" t="s">
        <v>523</v>
      </c>
      <c r="I221" s="3">
        <v>2008</v>
      </c>
      <c r="J221" s="21" t="s">
        <v>2276</v>
      </c>
      <c r="K221" s="21" t="s">
        <v>2276</v>
      </c>
      <c r="L221" s="21" t="s">
        <v>2276</v>
      </c>
      <c r="M221" s="21" t="s">
        <v>2276</v>
      </c>
      <c r="N221" s="21" t="s">
        <v>2276</v>
      </c>
      <c r="O221" s="21" t="s">
        <v>2276</v>
      </c>
      <c r="P221" s="21" t="s">
        <v>2276</v>
      </c>
      <c r="Q221" s="21" t="s">
        <v>2276</v>
      </c>
      <c r="R221" s="21" t="s">
        <v>2276</v>
      </c>
      <c r="S221" s="21" t="s">
        <v>2276</v>
      </c>
      <c r="T221" s="21" t="s">
        <v>2276</v>
      </c>
      <c r="U221" s="21" t="s">
        <v>2276</v>
      </c>
      <c r="V221" s="21" t="s">
        <v>2276</v>
      </c>
      <c r="W221" s="21" t="s">
        <v>2276</v>
      </c>
      <c r="X221" s="21" t="s">
        <v>2276</v>
      </c>
      <c r="Y221" s="21" t="s">
        <v>2276</v>
      </c>
      <c r="Z221" s="3" t="s">
        <v>2276</v>
      </c>
      <c r="AA221" s="3" t="s">
        <v>2276</v>
      </c>
      <c r="AB221" s="3" t="s">
        <v>2276</v>
      </c>
      <c r="AC221" s="4" t="s">
        <v>1398</v>
      </c>
      <c r="AD221" s="4" t="s">
        <v>1455</v>
      </c>
    </row>
    <row r="222" spans="1:30" ht="160.5" customHeight="1">
      <c r="A222" s="11" t="s">
        <v>163</v>
      </c>
      <c r="B222" s="3" t="s">
        <v>1451</v>
      </c>
      <c r="C222" s="23" t="s">
        <v>24</v>
      </c>
      <c r="D222" s="11" t="s">
        <v>143</v>
      </c>
      <c r="E222" s="11" t="s">
        <v>84</v>
      </c>
      <c r="F222" s="19" t="s">
        <v>74</v>
      </c>
      <c r="G222" s="11" t="s">
        <v>74</v>
      </c>
      <c r="H222" s="3" t="s">
        <v>523</v>
      </c>
      <c r="I222" s="3">
        <v>2009</v>
      </c>
      <c r="J222" s="21" t="s">
        <v>2276</v>
      </c>
      <c r="K222" s="21" t="s">
        <v>2276</v>
      </c>
      <c r="L222" s="21" t="s">
        <v>2276</v>
      </c>
      <c r="M222" s="21" t="s">
        <v>2276</v>
      </c>
      <c r="N222" s="21" t="s">
        <v>2276</v>
      </c>
      <c r="O222" s="21" t="s">
        <v>2276</v>
      </c>
      <c r="P222" s="21" t="s">
        <v>2276</v>
      </c>
      <c r="Q222" s="21" t="s">
        <v>2276</v>
      </c>
      <c r="R222" s="21" t="s">
        <v>2276</v>
      </c>
      <c r="S222" s="21" t="s">
        <v>2276</v>
      </c>
      <c r="T222" s="21" t="s">
        <v>2276</v>
      </c>
      <c r="U222" s="21" t="s">
        <v>2276</v>
      </c>
      <c r="V222" s="21" t="s">
        <v>2276</v>
      </c>
      <c r="W222" s="21" t="s">
        <v>2276</v>
      </c>
      <c r="X222" s="21" t="s">
        <v>2276</v>
      </c>
      <c r="Y222" s="21" t="s">
        <v>2276</v>
      </c>
      <c r="Z222" s="3" t="s">
        <v>2276</v>
      </c>
      <c r="AA222" s="3" t="s">
        <v>2276</v>
      </c>
      <c r="AB222" s="3" t="s">
        <v>2276</v>
      </c>
      <c r="AC222" s="4" t="s">
        <v>1398</v>
      </c>
      <c r="AD222" s="4" t="s">
        <v>1455</v>
      </c>
    </row>
    <row r="223" spans="1:30" ht="160.5" customHeight="1">
      <c r="A223" s="11" t="s">
        <v>163</v>
      </c>
      <c r="B223" s="3" t="s">
        <v>1452</v>
      </c>
      <c r="C223" s="23" t="s">
        <v>24</v>
      </c>
      <c r="D223" s="11" t="s">
        <v>143</v>
      </c>
      <c r="E223" s="11" t="s">
        <v>84</v>
      </c>
      <c r="F223" s="19" t="s">
        <v>74</v>
      </c>
      <c r="G223" s="11" t="s">
        <v>74</v>
      </c>
      <c r="H223" s="3" t="s">
        <v>523</v>
      </c>
      <c r="I223" s="3">
        <v>2010</v>
      </c>
      <c r="J223" s="21" t="s">
        <v>2276</v>
      </c>
      <c r="K223" s="21" t="s">
        <v>2276</v>
      </c>
      <c r="L223" s="21" t="s">
        <v>2276</v>
      </c>
      <c r="M223" s="21" t="s">
        <v>2276</v>
      </c>
      <c r="N223" s="21" t="s">
        <v>2276</v>
      </c>
      <c r="O223" s="21" t="s">
        <v>2276</v>
      </c>
      <c r="P223" s="21" t="s">
        <v>2276</v>
      </c>
      <c r="Q223" s="21" t="s">
        <v>2276</v>
      </c>
      <c r="R223" s="21" t="s">
        <v>2276</v>
      </c>
      <c r="S223" s="21" t="s">
        <v>2276</v>
      </c>
      <c r="T223" s="21" t="s">
        <v>2276</v>
      </c>
      <c r="U223" s="21" t="s">
        <v>2276</v>
      </c>
      <c r="V223" s="21" t="s">
        <v>2276</v>
      </c>
      <c r="W223" s="21" t="s">
        <v>2276</v>
      </c>
      <c r="X223" s="21" t="s">
        <v>2276</v>
      </c>
      <c r="Y223" s="21" t="s">
        <v>2276</v>
      </c>
      <c r="Z223" s="3" t="s">
        <v>2276</v>
      </c>
      <c r="AA223" s="3" t="s">
        <v>2276</v>
      </c>
      <c r="AB223" s="3" t="s">
        <v>2276</v>
      </c>
      <c r="AC223" s="4" t="s">
        <v>1398</v>
      </c>
      <c r="AD223" s="4" t="s">
        <v>1455</v>
      </c>
    </row>
    <row r="224" spans="1:30" ht="160.5" customHeight="1">
      <c r="A224" s="11" t="s">
        <v>163</v>
      </c>
      <c r="B224" s="3" t="s">
        <v>1453</v>
      </c>
      <c r="C224" s="23" t="s">
        <v>24</v>
      </c>
      <c r="D224" s="11" t="s">
        <v>143</v>
      </c>
      <c r="E224" s="11" t="s">
        <v>84</v>
      </c>
      <c r="F224" s="19" t="s">
        <v>74</v>
      </c>
      <c r="G224" s="11" t="s">
        <v>74</v>
      </c>
      <c r="H224" s="3" t="s">
        <v>523</v>
      </c>
      <c r="I224" s="3">
        <v>2011</v>
      </c>
      <c r="J224" s="21" t="s">
        <v>2276</v>
      </c>
      <c r="K224" s="21" t="s">
        <v>2276</v>
      </c>
      <c r="L224" s="21" t="s">
        <v>2276</v>
      </c>
      <c r="M224" s="21" t="s">
        <v>2276</v>
      </c>
      <c r="N224" s="21" t="s">
        <v>2276</v>
      </c>
      <c r="O224" s="21" t="s">
        <v>2276</v>
      </c>
      <c r="P224" s="21" t="s">
        <v>2276</v>
      </c>
      <c r="Q224" s="21" t="s">
        <v>2276</v>
      </c>
      <c r="R224" s="21" t="s">
        <v>2276</v>
      </c>
      <c r="S224" s="21" t="s">
        <v>2276</v>
      </c>
      <c r="T224" s="21" t="s">
        <v>2276</v>
      </c>
      <c r="U224" s="21" t="s">
        <v>2276</v>
      </c>
      <c r="V224" s="21" t="s">
        <v>2276</v>
      </c>
      <c r="W224" s="21" t="s">
        <v>2276</v>
      </c>
      <c r="X224" s="21" t="s">
        <v>2276</v>
      </c>
      <c r="Y224" s="21" t="s">
        <v>2276</v>
      </c>
      <c r="Z224" s="3" t="s">
        <v>2276</v>
      </c>
      <c r="AA224" s="3" t="s">
        <v>2276</v>
      </c>
      <c r="AB224" s="3" t="s">
        <v>2276</v>
      </c>
      <c r="AC224" s="4" t="s">
        <v>1398</v>
      </c>
      <c r="AD224" s="4" t="s">
        <v>1455</v>
      </c>
    </row>
    <row r="225" spans="1:30" ht="160.5" customHeight="1">
      <c r="A225" s="11" t="s">
        <v>163</v>
      </c>
      <c r="B225" s="3" t="s">
        <v>1454</v>
      </c>
      <c r="C225" s="23" t="s">
        <v>24</v>
      </c>
      <c r="D225" s="11" t="s">
        <v>143</v>
      </c>
      <c r="E225" s="11" t="s">
        <v>84</v>
      </c>
      <c r="F225" s="19" t="s">
        <v>74</v>
      </c>
      <c r="G225" s="11" t="s">
        <v>74</v>
      </c>
      <c r="H225" s="3" t="s">
        <v>523</v>
      </c>
      <c r="I225" s="3">
        <v>2012</v>
      </c>
      <c r="J225" s="21" t="s">
        <v>2276</v>
      </c>
      <c r="K225" s="21" t="s">
        <v>2276</v>
      </c>
      <c r="L225" s="21" t="s">
        <v>2276</v>
      </c>
      <c r="M225" s="21" t="s">
        <v>2276</v>
      </c>
      <c r="N225" s="21" t="s">
        <v>2276</v>
      </c>
      <c r="O225" s="21" t="s">
        <v>2276</v>
      </c>
      <c r="P225" s="21" t="s">
        <v>2276</v>
      </c>
      <c r="Q225" s="21" t="s">
        <v>2276</v>
      </c>
      <c r="R225" s="21" t="s">
        <v>2276</v>
      </c>
      <c r="S225" s="21" t="s">
        <v>2276</v>
      </c>
      <c r="T225" s="21" t="s">
        <v>2276</v>
      </c>
      <c r="U225" s="21" t="s">
        <v>2276</v>
      </c>
      <c r="V225" s="21" t="s">
        <v>2276</v>
      </c>
      <c r="W225" s="21" t="s">
        <v>2276</v>
      </c>
      <c r="X225" s="21" t="s">
        <v>2276</v>
      </c>
      <c r="Y225" s="21" t="s">
        <v>2276</v>
      </c>
      <c r="Z225" s="3" t="s">
        <v>2276</v>
      </c>
      <c r="AA225" s="3" t="s">
        <v>2276</v>
      </c>
      <c r="AB225" s="3" t="s">
        <v>2276</v>
      </c>
      <c r="AC225" s="4" t="s">
        <v>1398</v>
      </c>
      <c r="AD225" s="4" t="s">
        <v>1455</v>
      </c>
    </row>
    <row r="226" spans="1:30" ht="56" customHeight="1">
      <c r="A226" s="11" t="s">
        <v>174</v>
      </c>
      <c r="B226" s="3" t="s">
        <v>185</v>
      </c>
      <c r="C226" s="23" t="s">
        <v>24</v>
      </c>
      <c r="D226" s="23" t="s">
        <v>27</v>
      </c>
      <c r="E226" s="4" t="s">
        <v>397</v>
      </c>
      <c r="F226" s="19" t="s">
        <v>161</v>
      </c>
      <c r="G226" s="19" t="s">
        <v>2276</v>
      </c>
      <c r="H226" s="3" t="s">
        <v>523</v>
      </c>
      <c r="I226" s="3"/>
      <c r="J226" s="21" t="s">
        <v>2276</v>
      </c>
      <c r="K226" s="21" t="s">
        <v>2276</v>
      </c>
      <c r="L226" s="21" t="s">
        <v>2276</v>
      </c>
      <c r="M226" s="21" t="s">
        <v>2276</v>
      </c>
      <c r="N226" s="21" t="s">
        <v>2276</v>
      </c>
      <c r="O226" s="21" t="s">
        <v>2276</v>
      </c>
      <c r="P226" s="21" t="s">
        <v>2276</v>
      </c>
      <c r="Q226" s="21" t="s">
        <v>2276</v>
      </c>
      <c r="R226" s="21" t="s">
        <v>2276</v>
      </c>
      <c r="S226" s="21" t="s">
        <v>2276</v>
      </c>
      <c r="T226" s="21" t="s">
        <v>2276</v>
      </c>
      <c r="U226" s="21" t="s">
        <v>2276</v>
      </c>
      <c r="V226" s="21" t="s">
        <v>2276</v>
      </c>
      <c r="W226" s="21" t="s">
        <v>2276</v>
      </c>
      <c r="X226" s="21" t="s">
        <v>2276</v>
      </c>
      <c r="Y226" s="21">
        <v>7.15</v>
      </c>
      <c r="Z226" s="3" t="s">
        <v>188</v>
      </c>
      <c r="AA226" s="3" t="s">
        <v>189</v>
      </c>
      <c r="AB226" s="3" t="s">
        <v>64</v>
      </c>
      <c r="AC226" s="3"/>
      <c r="AD226" s="4" t="s">
        <v>1459</v>
      </c>
    </row>
    <row r="227" spans="1:30" ht="52.5" customHeight="1">
      <c r="A227" s="11" t="s">
        <v>175</v>
      </c>
      <c r="B227" s="3" t="s">
        <v>186</v>
      </c>
      <c r="C227" s="23" t="s">
        <v>24</v>
      </c>
      <c r="D227" s="23" t="s">
        <v>27</v>
      </c>
      <c r="E227" s="30" t="s">
        <v>130</v>
      </c>
      <c r="F227" s="19" t="s">
        <v>161</v>
      </c>
      <c r="G227" s="19" t="s">
        <v>2276</v>
      </c>
      <c r="H227" s="3" t="s">
        <v>523</v>
      </c>
      <c r="I227" s="3"/>
      <c r="J227" s="21" t="s">
        <v>2276</v>
      </c>
      <c r="K227" s="21" t="s">
        <v>2276</v>
      </c>
      <c r="L227" s="21" t="s">
        <v>2276</v>
      </c>
      <c r="M227" s="21" t="s">
        <v>2276</v>
      </c>
      <c r="N227" s="21" t="s">
        <v>2276</v>
      </c>
      <c r="O227" s="21" t="s">
        <v>2276</v>
      </c>
      <c r="P227" s="21" t="s">
        <v>2276</v>
      </c>
      <c r="Q227" s="21" t="s">
        <v>2276</v>
      </c>
      <c r="R227" s="21" t="s">
        <v>2276</v>
      </c>
      <c r="S227" s="21" t="s">
        <v>2276</v>
      </c>
      <c r="T227" s="21" t="s">
        <v>2276</v>
      </c>
      <c r="U227" s="21" t="s">
        <v>2276</v>
      </c>
      <c r="V227" s="21" t="s">
        <v>2276</v>
      </c>
      <c r="W227" s="21" t="s">
        <v>2276</v>
      </c>
      <c r="X227" s="21" t="s">
        <v>2276</v>
      </c>
      <c r="Y227" s="21">
        <v>11.97</v>
      </c>
      <c r="Z227" s="3" t="s">
        <v>188</v>
      </c>
      <c r="AA227" s="3" t="s">
        <v>189</v>
      </c>
      <c r="AB227" s="3" t="s">
        <v>64</v>
      </c>
      <c r="AC227" s="3"/>
      <c r="AD227" s="4" t="s">
        <v>1459</v>
      </c>
    </row>
    <row r="228" spans="1:30" ht="59.5" customHeight="1">
      <c r="A228" s="11" t="s">
        <v>176</v>
      </c>
      <c r="B228" s="3" t="s">
        <v>187</v>
      </c>
      <c r="C228" s="23" t="s">
        <v>24</v>
      </c>
      <c r="D228" s="23" t="s">
        <v>27</v>
      </c>
      <c r="E228" s="11" t="s">
        <v>130</v>
      </c>
      <c r="F228" s="19" t="s">
        <v>161</v>
      </c>
      <c r="G228" s="19" t="s">
        <v>2276</v>
      </c>
      <c r="H228" s="3" t="s">
        <v>523</v>
      </c>
      <c r="I228" s="3"/>
      <c r="J228" s="21" t="s">
        <v>2276</v>
      </c>
      <c r="K228" s="21" t="s">
        <v>2276</v>
      </c>
      <c r="L228" s="21" t="s">
        <v>2276</v>
      </c>
      <c r="M228" s="21" t="s">
        <v>2276</v>
      </c>
      <c r="N228" s="21" t="s">
        <v>2276</v>
      </c>
      <c r="O228" s="21" t="s">
        <v>2276</v>
      </c>
      <c r="P228" s="21" t="s">
        <v>2276</v>
      </c>
      <c r="Q228" s="21" t="s">
        <v>2276</v>
      </c>
      <c r="R228" s="21" t="s">
        <v>2276</v>
      </c>
      <c r="S228" s="21" t="s">
        <v>2276</v>
      </c>
      <c r="T228" s="21" t="s">
        <v>2276</v>
      </c>
      <c r="U228" s="21" t="s">
        <v>2276</v>
      </c>
      <c r="V228" s="21" t="s">
        <v>2276</v>
      </c>
      <c r="W228" s="21" t="s">
        <v>2276</v>
      </c>
      <c r="X228" s="21" t="s">
        <v>2276</v>
      </c>
      <c r="Y228" s="21">
        <v>14.16</v>
      </c>
      <c r="Z228" s="3" t="s">
        <v>188</v>
      </c>
      <c r="AA228" s="3" t="s">
        <v>189</v>
      </c>
      <c r="AB228" s="3" t="s">
        <v>64</v>
      </c>
      <c r="AC228" s="3"/>
      <c r="AD228" s="4" t="s">
        <v>1459</v>
      </c>
    </row>
    <row r="229" spans="1:30" ht="84" customHeight="1">
      <c r="A229" s="11" t="s">
        <v>373</v>
      </c>
      <c r="B229" s="11" t="s">
        <v>378</v>
      </c>
      <c r="C229" s="23" t="s">
        <v>24</v>
      </c>
      <c r="D229" s="23" t="s">
        <v>27</v>
      </c>
      <c r="E229" s="4" t="s">
        <v>396</v>
      </c>
      <c r="F229" s="19" t="s">
        <v>161</v>
      </c>
      <c r="G229" s="19"/>
      <c r="H229" s="3" t="s">
        <v>523</v>
      </c>
      <c r="I229" s="3"/>
      <c r="J229" s="21" t="s">
        <v>2276</v>
      </c>
      <c r="K229" s="21" t="s">
        <v>2276</v>
      </c>
      <c r="L229" s="21" t="s">
        <v>2276</v>
      </c>
      <c r="M229" s="21" t="s">
        <v>2276</v>
      </c>
      <c r="N229" s="21" t="s">
        <v>2276</v>
      </c>
      <c r="O229" s="21" t="s">
        <v>2276</v>
      </c>
      <c r="P229" s="21" t="s">
        <v>2276</v>
      </c>
      <c r="Q229" s="21" t="s">
        <v>2276</v>
      </c>
      <c r="R229" s="21" t="s">
        <v>2276</v>
      </c>
      <c r="S229" s="21" t="s">
        <v>2276</v>
      </c>
      <c r="T229" s="21" t="s">
        <v>2276</v>
      </c>
      <c r="U229" s="21" t="s">
        <v>2276</v>
      </c>
      <c r="V229" s="21" t="s">
        <v>2276</v>
      </c>
      <c r="W229" s="21" t="s">
        <v>2276</v>
      </c>
      <c r="X229" s="21" t="s">
        <v>2276</v>
      </c>
      <c r="Y229" s="21" t="s">
        <v>2276</v>
      </c>
      <c r="Z229" s="3" t="s">
        <v>189</v>
      </c>
      <c r="AA229" s="3" t="s">
        <v>38</v>
      </c>
      <c r="AB229" s="3" t="s">
        <v>64</v>
      </c>
      <c r="AC229" s="4" t="s">
        <v>380</v>
      </c>
      <c r="AD229" s="4" t="s">
        <v>394</v>
      </c>
    </row>
    <row r="230" spans="1:30" ht="90.5" customHeight="1">
      <c r="A230" s="11" t="s">
        <v>373</v>
      </c>
      <c r="B230" s="11" t="s">
        <v>379</v>
      </c>
      <c r="C230" s="23" t="s">
        <v>24</v>
      </c>
      <c r="D230" s="23" t="s">
        <v>27</v>
      </c>
      <c r="E230" s="4" t="s">
        <v>397</v>
      </c>
      <c r="F230" s="19" t="s">
        <v>161</v>
      </c>
      <c r="G230" s="19"/>
      <c r="H230" s="3" t="s">
        <v>523</v>
      </c>
      <c r="I230" s="3"/>
      <c r="J230" s="21" t="s">
        <v>2276</v>
      </c>
      <c r="K230" s="21" t="s">
        <v>2276</v>
      </c>
      <c r="L230" s="21" t="s">
        <v>2276</v>
      </c>
      <c r="M230" s="21" t="s">
        <v>2276</v>
      </c>
      <c r="N230" s="21" t="s">
        <v>2276</v>
      </c>
      <c r="O230" s="21" t="s">
        <v>2276</v>
      </c>
      <c r="P230" s="21" t="s">
        <v>2276</v>
      </c>
      <c r="Q230" s="21" t="s">
        <v>2276</v>
      </c>
      <c r="R230" s="21" t="s">
        <v>2276</v>
      </c>
      <c r="S230" s="21" t="s">
        <v>2276</v>
      </c>
      <c r="T230" s="21" t="s">
        <v>2276</v>
      </c>
      <c r="U230" s="21" t="s">
        <v>2276</v>
      </c>
      <c r="V230" s="21" t="s">
        <v>2276</v>
      </c>
      <c r="W230" s="21" t="s">
        <v>2276</v>
      </c>
      <c r="X230" s="21" t="s">
        <v>2276</v>
      </c>
      <c r="Y230" s="21" t="s">
        <v>2276</v>
      </c>
      <c r="Z230" s="3" t="s">
        <v>189</v>
      </c>
      <c r="AA230" s="3" t="s">
        <v>38</v>
      </c>
      <c r="AB230" s="3" t="s">
        <v>64</v>
      </c>
      <c r="AC230" s="4" t="s">
        <v>381</v>
      </c>
      <c r="AD230" s="4" t="s">
        <v>394</v>
      </c>
    </row>
    <row r="231" spans="1:30" ht="76.5" customHeight="1">
      <c r="A231" s="3" t="s">
        <v>382</v>
      </c>
      <c r="B231" s="11" t="s">
        <v>390</v>
      </c>
      <c r="C231" s="23" t="s">
        <v>24</v>
      </c>
      <c r="D231" s="23" t="s">
        <v>27</v>
      </c>
      <c r="E231" s="4" t="s">
        <v>397</v>
      </c>
      <c r="F231" s="19" t="s">
        <v>28</v>
      </c>
      <c r="G231" s="11" t="s">
        <v>2276</v>
      </c>
      <c r="H231" s="11" t="s">
        <v>524</v>
      </c>
      <c r="I231" s="3"/>
      <c r="J231" s="21">
        <v>0</v>
      </c>
      <c r="K231" s="21">
        <v>0</v>
      </c>
      <c r="L231" s="21">
        <v>0</v>
      </c>
      <c r="M231" s="21">
        <v>0</v>
      </c>
      <c r="N231" s="21">
        <v>0</v>
      </c>
      <c r="O231" s="21">
        <v>0</v>
      </c>
      <c r="P231" s="21">
        <v>0</v>
      </c>
      <c r="Q231" s="21">
        <v>0</v>
      </c>
      <c r="R231" s="21">
        <v>0</v>
      </c>
      <c r="S231" s="21">
        <v>0</v>
      </c>
      <c r="T231" s="21">
        <v>0</v>
      </c>
      <c r="U231" s="21">
        <v>0</v>
      </c>
      <c r="V231" s="21">
        <v>0</v>
      </c>
      <c r="W231" s="21">
        <v>0</v>
      </c>
      <c r="X231" s="21">
        <v>0</v>
      </c>
      <c r="Y231" s="21" t="s">
        <v>2276</v>
      </c>
      <c r="Z231" s="3" t="s">
        <v>400</v>
      </c>
      <c r="AA231" s="3" t="s">
        <v>399</v>
      </c>
      <c r="AB231" s="3" t="s">
        <v>64</v>
      </c>
      <c r="AC231" s="3"/>
      <c r="AD231" s="10"/>
    </row>
    <row r="232" spans="1:30" ht="108" customHeight="1">
      <c r="A232" s="3" t="s">
        <v>382</v>
      </c>
      <c r="B232" s="11" t="s">
        <v>403</v>
      </c>
      <c r="C232" s="23" t="s">
        <v>24</v>
      </c>
      <c r="D232" s="23" t="s">
        <v>27</v>
      </c>
      <c r="E232" s="4" t="s">
        <v>130</v>
      </c>
      <c r="F232" s="19" t="s">
        <v>161</v>
      </c>
      <c r="G232" s="11" t="s">
        <v>2276</v>
      </c>
      <c r="H232" s="3" t="s">
        <v>523</v>
      </c>
      <c r="I232" s="3"/>
      <c r="J232" s="21" t="s">
        <v>2276</v>
      </c>
      <c r="K232" s="21" t="s">
        <v>2276</v>
      </c>
      <c r="L232" s="21" t="s">
        <v>2276</v>
      </c>
      <c r="M232" s="21" t="s">
        <v>2276</v>
      </c>
      <c r="N232" s="21" t="s">
        <v>2276</v>
      </c>
      <c r="O232" s="21" t="s">
        <v>2276</v>
      </c>
      <c r="P232" s="21" t="s">
        <v>2276</v>
      </c>
      <c r="Q232" s="21" t="s">
        <v>2276</v>
      </c>
      <c r="R232" s="21" t="s">
        <v>2276</v>
      </c>
      <c r="S232" s="21" t="s">
        <v>2276</v>
      </c>
      <c r="T232" s="21" t="s">
        <v>2276</v>
      </c>
      <c r="U232" s="21" t="s">
        <v>2276</v>
      </c>
      <c r="V232" s="21" t="s">
        <v>2276</v>
      </c>
      <c r="W232" s="21" t="s">
        <v>2276</v>
      </c>
      <c r="X232" s="21" t="s">
        <v>2276</v>
      </c>
      <c r="Y232" s="21">
        <v>3.310162</v>
      </c>
      <c r="Z232" s="3" t="s">
        <v>400</v>
      </c>
      <c r="AA232" s="3" t="s">
        <v>399</v>
      </c>
      <c r="AB232" s="3" t="s">
        <v>64</v>
      </c>
      <c r="AC232" s="3"/>
      <c r="AD232" s="10" t="s">
        <v>415</v>
      </c>
    </row>
    <row r="233" spans="1:30" ht="76.5" customHeight="1">
      <c r="A233" s="3" t="s">
        <v>382</v>
      </c>
      <c r="B233" s="11" t="s">
        <v>410</v>
      </c>
      <c r="C233" s="23" t="s">
        <v>24</v>
      </c>
      <c r="D233" s="23" t="s">
        <v>406</v>
      </c>
      <c r="E233" s="4" t="s">
        <v>130</v>
      </c>
      <c r="F233" s="19" t="s">
        <v>161</v>
      </c>
      <c r="G233" s="11" t="s">
        <v>2276</v>
      </c>
      <c r="H233" s="3" t="s">
        <v>523</v>
      </c>
      <c r="I233" s="3"/>
      <c r="J233" s="21" t="s">
        <v>2276</v>
      </c>
      <c r="K233" s="21" t="s">
        <v>2276</v>
      </c>
      <c r="L233" s="21" t="s">
        <v>2276</v>
      </c>
      <c r="M233" s="21" t="s">
        <v>2276</v>
      </c>
      <c r="N233" s="21" t="s">
        <v>2276</v>
      </c>
      <c r="O233" s="21" t="s">
        <v>2276</v>
      </c>
      <c r="P233" s="21" t="s">
        <v>2276</v>
      </c>
      <c r="Q233" s="21" t="s">
        <v>2276</v>
      </c>
      <c r="R233" s="21" t="s">
        <v>2276</v>
      </c>
      <c r="S233" s="21" t="s">
        <v>2276</v>
      </c>
      <c r="T233" s="21" t="s">
        <v>2276</v>
      </c>
      <c r="U233" s="21" t="s">
        <v>2276</v>
      </c>
      <c r="V233" s="21" t="s">
        <v>2276</v>
      </c>
      <c r="W233" s="21" t="s">
        <v>2276</v>
      </c>
      <c r="X233" s="21" t="s">
        <v>2276</v>
      </c>
      <c r="Y233" s="21" t="s">
        <v>2276</v>
      </c>
      <c r="Z233" s="3" t="s">
        <v>404</v>
      </c>
      <c r="AA233" s="3" t="s">
        <v>405</v>
      </c>
      <c r="AB233" s="3" t="s">
        <v>64</v>
      </c>
      <c r="AC233" s="4" t="s">
        <v>408</v>
      </c>
      <c r="AD233" s="10" t="s">
        <v>409</v>
      </c>
    </row>
    <row r="234" spans="1:30" ht="76.5" customHeight="1">
      <c r="A234" s="3" t="s">
        <v>382</v>
      </c>
      <c r="B234" s="11" t="s">
        <v>1464</v>
      </c>
      <c r="C234" s="23" t="s">
        <v>24</v>
      </c>
      <c r="D234" s="23" t="s">
        <v>26</v>
      </c>
      <c r="E234" s="4" t="s">
        <v>130</v>
      </c>
      <c r="F234" s="19" t="s">
        <v>2662</v>
      </c>
      <c r="G234" s="11" t="s">
        <v>2276</v>
      </c>
      <c r="H234" s="3" t="s">
        <v>523</v>
      </c>
      <c r="I234" s="3"/>
      <c r="J234" s="21" t="s">
        <v>2276</v>
      </c>
      <c r="K234" s="21" t="s">
        <v>2276</v>
      </c>
      <c r="L234" s="21" t="s">
        <v>2276</v>
      </c>
      <c r="M234" s="21" t="s">
        <v>2276</v>
      </c>
      <c r="N234" s="21" t="s">
        <v>2276</v>
      </c>
      <c r="O234" s="21" t="s">
        <v>2276</v>
      </c>
      <c r="P234" s="21" t="s">
        <v>2276</v>
      </c>
      <c r="Q234" s="21" t="s">
        <v>2276</v>
      </c>
      <c r="R234" s="21" t="s">
        <v>2276</v>
      </c>
      <c r="S234" s="21" t="s">
        <v>2276</v>
      </c>
      <c r="T234" s="21" t="s">
        <v>2276</v>
      </c>
      <c r="U234" s="21" t="s">
        <v>2276</v>
      </c>
      <c r="V234" s="21" t="s">
        <v>2276</v>
      </c>
      <c r="W234" s="21" t="s">
        <v>2276</v>
      </c>
      <c r="X234" s="21" t="s">
        <v>2276</v>
      </c>
      <c r="Y234" s="21" t="s">
        <v>2276</v>
      </c>
      <c r="Z234" s="3" t="s">
        <v>404</v>
      </c>
      <c r="AA234" s="3" t="s">
        <v>405</v>
      </c>
      <c r="AB234" s="3" t="s">
        <v>64</v>
      </c>
      <c r="AC234" s="4" t="s">
        <v>408</v>
      </c>
      <c r="AD234" s="10" t="s">
        <v>409</v>
      </c>
    </row>
    <row r="235" spans="1:30" ht="97" customHeight="1">
      <c r="A235" s="3" t="s">
        <v>383</v>
      </c>
      <c r="B235" s="3" t="s">
        <v>391</v>
      </c>
      <c r="C235" s="23" t="s">
        <v>24</v>
      </c>
      <c r="D235" s="23" t="s">
        <v>27</v>
      </c>
      <c r="E235" s="4" t="s">
        <v>397</v>
      </c>
      <c r="F235" s="19" t="s">
        <v>28</v>
      </c>
      <c r="G235" s="11" t="s">
        <v>2276</v>
      </c>
      <c r="H235" s="11" t="s">
        <v>524</v>
      </c>
      <c r="I235" s="3"/>
      <c r="J235" s="21">
        <v>0</v>
      </c>
      <c r="K235" s="21">
        <v>0</v>
      </c>
      <c r="L235" s="21">
        <v>0</v>
      </c>
      <c r="M235" s="21">
        <v>0</v>
      </c>
      <c r="N235" s="21">
        <v>0</v>
      </c>
      <c r="O235" s="21">
        <v>0</v>
      </c>
      <c r="P235" s="21">
        <v>0</v>
      </c>
      <c r="Q235" s="21" t="s">
        <v>2276</v>
      </c>
      <c r="R235" s="21" t="s">
        <v>2276</v>
      </c>
      <c r="S235" s="21">
        <v>0</v>
      </c>
      <c r="T235" s="21">
        <v>0</v>
      </c>
      <c r="U235" s="21">
        <v>0</v>
      </c>
      <c r="V235" s="21">
        <v>0</v>
      </c>
      <c r="W235" s="21">
        <v>0</v>
      </c>
      <c r="X235" s="21">
        <v>0</v>
      </c>
      <c r="Y235" s="21" t="s">
        <v>2276</v>
      </c>
      <c r="Z235" s="3" t="s">
        <v>400</v>
      </c>
      <c r="AA235" s="3" t="s">
        <v>399</v>
      </c>
      <c r="AB235" s="3" t="s">
        <v>64</v>
      </c>
      <c r="AC235" s="3"/>
      <c r="AD235" s="10"/>
    </row>
    <row r="236" spans="1:30" ht="103" customHeight="1">
      <c r="A236" s="3" t="s">
        <v>383</v>
      </c>
      <c r="B236" s="3" t="s">
        <v>407</v>
      </c>
      <c r="C236" s="23" t="s">
        <v>24</v>
      </c>
      <c r="D236" s="23" t="s">
        <v>27</v>
      </c>
      <c r="E236" s="4" t="s">
        <v>130</v>
      </c>
      <c r="F236" s="19" t="s">
        <v>161</v>
      </c>
      <c r="G236" s="11" t="s">
        <v>2276</v>
      </c>
      <c r="H236" s="3" t="s">
        <v>523</v>
      </c>
      <c r="I236" s="3"/>
      <c r="J236" s="21" t="s">
        <v>2276</v>
      </c>
      <c r="K236" s="21" t="s">
        <v>2276</v>
      </c>
      <c r="L236" s="21" t="s">
        <v>2276</v>
      </c>
      <c r="M236" s="21" t="s">
        <v>2276</v>
      </c>
      <c r="N236" s="21" t="s">
        <v>2276</v>
      </c>
      <c r="O236" s="21" t="s">
        <v>2276</v>
      </c>
      <c r="P236" s="21" t="s">
        <v>2276</v>
      </c>
      <c r="Q236" s="21" t="s">
        <v>2276</v>
      </c>
      <c r="R236" s="21" t="s">
        <v>2276</v>
      </c>
      <c r="S236" s="21" t="s">
        <v>2276</v>
      </c>
      <c r="T236" s="21" t="s">
        <v>2276</v>
      </c>
      <c r="U236" s="21" t="s">
        <v>2276</v>
      </c>
      <c r="V236" s="21" t="s">
        <v>2276</v>
      </c>
      <c r="W236" s="21" t="s">
        <v>2276</v>
      </c>
      <c r="X236" s="21" t="s">
        <v>2276</v>
      </c>
      <c r="Y236" s="21">
        <v>5.2383449999999998</v>
      </c>
      <c r="Z236" s="3" t="s">
        <v>400</v>
      </c>
      <c r="AA236" s="3" t="s">
        <v>399</v>
      </c>
      <c r="AB236" s="3" t="s">
        <v>64</v>
      </c>
      <c r="AC236" s="3"/>
      <c r="AD236" s="10" t="s">
        <v>415</v>
      </c>
    </row>
    <row r="237" spans="1:30" ht="66.5" customHeight="1">
      <c r="A237" s="3" t="s">
        <v>383</v>
      </c>
      <c r="B237" s="11" t="s">
        <v>411</v>
      </c>
      <c r="C237" s="23" t="s">
        <v>24</v>
      </c>
      <c r="D237" s="23" t="s">
        <v>406</v>
      </c>
      <c r="E237" s="4" t="s">
        <v>130</v>
      </c>
      <c r="F237" s="19" t="s">
        <v>161</v>
      </c>
      <c r="G237" s="11" t="s">
        <v>2276</v>
      </c>
      <c r="H237" s="3" t="s">
        <v>523</v>
      </c>
      <c r="I237" s="3"/>
      <c r="J237" s="21" t="s">
        <v>2276</v>
      </c>
      <c r="K237" s="21" t="s">
        <v>2276</v>
      </c>
      <c r="L237" s="21" t="s">
        <v>2276</v>
      </c>
      <c r="M237" s="21" t="s">
        <v>2276</v>
      </c>
      <c r="N237" s="21" t="s">
        <v>2276</v>
      </c>
      <c r="O237" s="21" t="s">
        <v>2276</v>
      </c>
      <c r="P237" s="21" t="s">
        <v>2276</v>
      </c>
      <c r="Q237" s="21" t="s">
        <v>2276</v>
      </c>
      <c r="R237" s="21" t="s">
        <v>2276</v>
      </c>
      <c r="S237" s="21" t="s">
        <v>2276</v>
      </c>
      <c r="T237" s="21" t="s">
        <v>2276</v>
      </c>
      <c r="U237" s="21" t="s">
        <v>2276</v>
      </c>
      <c r="V237" s="21" t="s">
        <v>2276</v>
      </c>
      <c r="W237" s="21" t="s">
        <v>2276</v>
      </c>
      <c r="X237" s="21" t="s">
        <v>2276</v>
      </c>
      <c r="Y237" s="21" t="s">
        <v>2276</v>
      </c>
      <c r="Z237" s="3" t="s">
        <v>404</v>
      </c>
      <c r="AA237" s="3" t="s">
        <v>405</v>
      </c>
      <c r="AB237" s="3" t="s">
        <v>64</v>
      </c>
      <c r="AC237" s="4" t="s">
        <v>408</v>
      </c>
      <c r="AD237" s="10" t="s">
        <v>409</v>
      </c>
    </row>
    <row r="238" spans="1:30" ht="73" customHeight="1">
      <c r="A238" s="3" t="s">
        <v>388</v>
      </c>
      <c r="B238" s="3" t="s">
        <v>392</v>
      </c>
      <c r="C238" s="23" t="s">
        <v>24</v>
      </c>
      <c r="D238" s="23" t="s">
        <v>27</v>
      </c>
      <c r="E238" s="4" t="s">
        <v>397</v>
      </c>
      <c r="F238" s="19" t="s">
        <v>28</v>
      </c>
      <c r="G238" s="11" t="s">
        <v>2276</v>
      </c>
      <c r="H238" s="11" t="s">
        <v>524</v>
      </c>
      <c r="I238" s="3"/>
      <c r="J238" s="21">
        <v>0</v>
      </c>
      <c r="K238" s="21">
        <v>0</v>
      </c>
      <c r="L238" s="21">
        <v>0</v>
      </c>
      <c r="M238" s="21">
        <v>0</v>
      </c>
      <c r="N238" s="21">
        <v>0</v>
      </c>
      <c r="O238" s="21">
        <v>0</v>
      </c>
      <c r="P238" s="21">
        <v>0</v>
      </c>
      <c r="Q238" s="21" t="s">
        <v>2276</v>
      </c>
      <c r="R238" s="21" t="s">
        <v>2276</v>
      </c>
      <c r="S238" s="21">
        <v>0</v>
      </c>
      <c r="T238" s="21">
        <v>0</v>
      </c>
      <c r="U238" s="21">
        <v>0</v>
      </c>
      <c r="V238" s="21">
        <v>0</v>
      </c>
      <c r="W238" s="21">
        <v>0</v>
      </c>
      <c r="X238" s="21">
        <v>0</v>
      </c>
      <c r="Y238" s="21" t="s">
        <v>2276</v>
      </c>
      <c r="Z238" s="3" t="s">
        <v>400</v>
      </c>
      <c r="AA238" s="3" t="s">
        <v>399</v>
      </c>
      <c r="AB238" s="3" t="s">
        <v>64</v>
      </c>
      <c r="AC238" s="10" t="s">
        <v>401</v>
      </c>
      <c r="AD238" s="10"/>
    </row>
    <row r="239" spans="1:30" ht="73" customHeight="1">
      <c r="A239" s="3" t="s">
        <v>388</v>
      </c>
      <c r="B239" s="3" t="s">
        <v>412</v>
      </c>
      <c r="C239" s="23" t="s">
        <v>24</v>
      </c>
      <c r="D239" s="23" t="s">
        <v>27</v>
      </c>
      <c r="E239" s="4" t="s">
        <v>130</v>
      </c>
      <c r="F239" s="19" t="s">
        <v>161</v>
      </c>
      <c r="G239" s="11" t="s">
        <v>2276</v>
      </c>
      <c r="H239" s="11" t="s">
        <v>524</v>
      </c>
      <c r="I239" s="3"/>
      <c r="J239" s="21">
        <v>0</v>
      </c>
      <c r="K239" s="21">
        <v>0</v>
      </c>
      <c r="L239" s="21">
        <v>0</v>
      </c>
      <c r="M239" s="21">
        <v>0</v>
      </c>
      <c r="N239" s="21">
        <v>0</v>
      </c>
      <c r="O239" s="21">
        <v>0</v>
      </c>
      <c r="P239" s="21">
        <v>0</v>
      </c>
      <c r="Q239" s="21" t="s">
        <v>2276</v>
      </c>
      <c r="R239" s="21" t="s">
        <v>2276</v>
      </c>
      <c r="S239" s="21">
        <v>0</v>
      </c>
      <c r="T239" s="21">
        <v>0</v>
      </c>
      <c r="U239" s="21">
        <v>0</v>
      </c>
      <c r="V239" s="21">
        <v>0</v>
      </c>
      <c r="W239" s="21">
        <v>0</v>
      </c>
      <c r="X239" s="21">
        <v>0</v>
      </c>
      <c r="Y239" s="21" t="s">
        <v>2276</v>
      </c>
      <c r="Z239" s="3" t="s">
        <v>400</v>
      </c>
      <c r="AA239" s="3" t="s">
        <v>399</v>
      </c>
      <c r="AB239" s="3" t="s">
        <v>64</v>
      </c>
      <c r="AC239" s="10" t="s">
        <v>1466</v>
      </c>
      <c r="AD239" s="10"/>
    </row>
    <row r="240" spans="1:30" ht="108" customHeight="1">
      <c r="A240" s="3" t="s">
        <v>389</v>
      </c>
      <c r="B240" s="3" t="s">
        <v>393</v>
      </c>
      <c r="C240" s="23" t="s">
        <v>24</v>
      </c>
      <c r="D240" s="23" t="s">
        <v>27</v>
      </c>
      <c r="E240" s="4" t="s">
        <v>397</v>
      </c>
      <c r="F240" s="19" t="s">
        <v>28</v>
      </c>
      <c r="G240" s="11" t="s">
        <v>2276</v>
      </c>
      <c r="H240" s="11" t="s">
        <v>524</v>
      </c>
      <c r="I240" s="3"/>
      <c r="J240" s="21">
        <v>0</v>
      </c>
      <c r="K240" s="21">
        <v>0</v>
      </c>
      <c r="L240" s="21">
        <v>0</v>
      </c>
      <c r="M240" s="21">
        <v>0</v>
      </c>
      <c r="N240" s="21">
        <v>0</v>
      </c>
      <c r="O240" s="21">
        <v>0</v>
      </c>
      <c r="P240" s="21">
        <v>0</v>
      </c>
      <c r="Q240" s="21" t="s">
        <v>2276</v>
      </c>
      <c r="R240" s="21" t="s">
        <v>2276</v>
      </c>
      <c r="S240" s="21">
        <v>0</v>
      </c>
      <c r="T240" s="21">
        <v>0</v>
      </c>
      <c r="U240" s="21">
        <v>0</v>
      </c>
      <c r="V240" s="21">
        <v>0</v>
      </c>
      <c r="W240" s="21">
        <v>0</v>
      </c>
      <c r="X240" s="21">
        <v>0</v>
      </c>
      <c r="Y240" s="21" t="s">
        <v>2276</v>
      </c>
      <c r="Z240" s="3" t="s">
        <v>35</v>
      </c>
      <c r="AA240" s="3" t="s">
        <v>399</v>
      </c>
      <c r="AB240" s="3" t="s">
        <v>64</v>
      </c>
      <c r="AC240" s="10" t="s">
        <v>402</v>
      </c>
      <c r="AD240" s="10"/>
    </row>
    <row r="241" spans="1:30" ht="108" customHeight="1">
      <c r="A241" s="3" t="s">
        <v>389</v>
      </c>
      <c r="B241" s="3" t="s">
        <v>413</v>
      </c>
      <c r="C241" s="23" t="s">
        <v>24</v>
      </c>
      <c r="D241" s="23" t="s">
        <v>143</v>
      </c>
      <c r="E241" s="4" t="s">
        <v>397</v>
      </c>
      <c r="F241" s="19" t="s">
        <v>2662</v>
      </c>
      <c r="G241" s="11" t="s">
        <v>2276</v>
      </c>
      <c r="H241" s="3" t="s">
        <v>523</v>
      </c>
      <c r="I241" s="3"/>
      <c r="J241" s="21" t="s">
        <v>2276</v>
      </c>
      <c r="K241" s="21" t="s">
        <v>2276</v>
      </c>
      <c r="L241" s="21" t="s">
        <v>2276</v>
      </c>
      <c r="M241" s="21" t="s">
        <v>2276</v>
      </c>
      <c r="N241" s="21" t="s">
        <v>2276</v>
      </c>
      <c r="O241" s="21" t="s">
        <v>2276</v>
      </c>
      <c r="P241" s="21" t="s">
        <v>2276</v>
      </c>
      <c r="Q241" s="21" t="s">
        <v>2276</v>
      </c>
      <c r="R241" s="21" t="s">
        <v>2276</v>
      </c>
      <c r="S241" s="21" t="s">
        <v>2276</v>
      </c>
      <c r="T241" s="21" t="s">
        <v>2276</v>
      </c>
      <c r="U241" s="21" t="s">
        <v>2276</v>
      </c>
      <c r="V241" s="21" t="s">
        <v>2276</v>
      </c>
      <c r="W241" s="21" t="s">
        <v>2276</v>
      </c>
      <c r="X241" s="21" t="s">
        <v>2276</v>
      </c>
      <c r="Y241" s="21" t="s">
        <v>2276</v>
      </c>
      <c r="Z241" s="3" t="s">
        <v>35</v>
      </c>
      <c r="AA241" s="3" t="s">
        <v>399</v>
      </c>
      <c r="AB241" s="3" t="s">
        <v>64</v>
      </c>
      <c r="AC241" s="10" t="s">
        <v>402</v>
      </c>
      <c r="AD241" s="10" t="s">
        <v>414</v>
      </c>
    </row>
    <row r="242" spans="1:30" ht="108" customHeight="1">
      <c r="A242" s="3" t="s">
        <v>389</v>
      </c>
      <c r="B242" s="3" t="s">
        <v>1469</v>
      </c>
      <c r="C242" s="23" t="s">
        <v>24</v>
      </c>
      <c r="D242" s="23" t="s">
        <v>27</v>
      </c>
      <c r="E242" s="4" t="s">
        <v>130</v>
      </c>
      <c r="F242" s="19" t="s">
        <v>161</v>
      </c>
      <c r="G242" s="11" t="s">
        <v>2276</v>
      </c>
      <c r="H242" s="3" t="s">
        <v>523</v>
      </c>
      <c r="I242" s="3"/>
      <c r="J242" s="21" t="s">
        <v>2276</v>
      </c>
      <c r="K242" s="21" t="s">
        <v>2276</v>
      </c>
      <c r="L242" s="21" t="s">
        <v>2276</v>
      </c>
      <c r="M242" s="21" t="s">
        <v>2276</v>
      </c>
      <c r="N242" s="21" t="s">
        <v>2276</v>
      </c>
      <c r="O242" s="21" t="s">
        <v>2276</v>
      </c>
      <c r="P242" s="21" t="s">
        <v>2276</v>
      </c>
      <c r="Q242" s="21" t="s">
        <v>2276</v>
      </c>
      <c r="R242" s="21" t="s">
        <v>2276</v>
      </c>
      <c r="S242" s="21" t="s">
        <v>2276</v>
      </c>
      <c r="T242" s="21" t="s">
        <v>2276</v>
      </c>
      <c r="U242" s="21" t="s">
        <v>2276</v>
      </c>
      <c r="V242" s="21" t="s">
        <v>2276</v>
      </c>
      <c r="W242" s="21" t="s">
        <v>2276</v>
      </c>
      <c r="X242" s="21" t="s">
        <v>2276</v>
      </c>
      <c r="Y242" s="21">
        <v>8.6058520000000005</v>
      </c>
      <c r="Z242" s="3" t="s">
        <v>35</v>
      </c>
      <c r="AA242" s="3" t="s">
        <v>399</v>
      </c>
      <c r="AB242" s="3" t="s">
        <v>64</v>
      </c>
      <c r="AC242" s="10" t="s">
        <v>402</v>
      </c>
      <c r="AD242" s="10" t="s">
        <v>415</v>
      </c>
    </row>
    <row r="243" spans="1:30" ht="63.5" customHeight="1">
      <c r="A243" s="11" t="s">
        <v>416</v>
      </c>
      <c r="B243" s="3" t="s">
        <v>419</v>
      </c>
      <c r="C243" s="23" t="s">
        <v>24</v>
      </c>
      <c r="D243" s="23" t="s">
        <v>27</v>
      </c>
      <c r="E243" s="4" t="s">
        <v>130</v>
      </c>
      <c r="F243" s="19" t="s">
        <v>161</v>
      </c>
      <c r="G243" s="11" t="s">
        <v>2276</v>
      </c>
      <c r="H243" s="3" t="s">
        <v>523</v>
      </c>
      <c r="I243" s="3"/>
      <c r="J243" s="21" t="s">
        <v>2276</v>
      </c>
      <c r="K243" s="21" t="s">
        <v>2276</v>
      </c>
      <c r="L243" s="21" t="s">
        <v>2276</v>
      </c>
      <c r="M243" s="21" t="s">
        <v>2276</v>
      </c>
      <c r="N243" s="21" t="s">
        <v>2276</v>
      </c>
      <c r="O243" s="21" t="s">
        <v>2276</v>
      </c>
      <c r="P243" s="21" t="s">
        <v>2276</v>
      </c>
      <c r="Q243" s="21" t="s">
        <v>2276</v>
      </c>
      <c r="R243" s="21" t="s">
        <v>2276</v>
      </c>
      <c r="S243" s="21" t="s">
        <v>2276</v>
      </c>
      <c r="T243" s="21" t="s">
        <v>2276</v>
      </c>
      <c r="U243" s="21" t="s">
        <v>2276</v>
      </c>
      <c r="V243" s="21" t="s">
        <v>2276</v>
      </c>
      <c r="W243" s="21" t="s">
        <v>2276</v>
      </c>
      <c r="X243" s="21" t="s">
        <v>2276</v>
      </c>
      <c r="Y243" s="21">
        <v>10</v>
      </c>
      <c r="Z243" s="3" t="s">
        <v>2276</v>
      </c>
      <c r="AA243" s="3" t="s">
        <v>2276</v>
      </c>
      <c r="AB243" s="3" t="s">
        <v>2276</v>
      </c>
      <c r="AC243" s="3"/>
      <c r="AD243" s="4" t="s">
        <v>1475</v>
      </c>
    </row>
    <row r="244" spans="1:30" ht="77" customHeight="1">
      <c r="A244" s="11" t="s">
        <v>420</v>
      </c>
      <c r="B244" s="11" t="s">
        <v>424</v>
      </c>
      <c r="C244" s="23" t="s">
        <v>24</v>
      </c>
      <c r="D244" s="23" t="s">
        <v>27</v>
      </c>
      <c r="E244" s="4" t="s">
        <v>130</v>
      </c>
      <c r="F244" s="19" t="s">
        <v>161</v>
      </c>
      <c r="G244" s="11" t="s">
        <v>2276</v>
      </c>
      <c r="H244" s="3" t="s">
        <v>523</v>
      </c>
      <c r="I244" s="3"/>
      <c r="J244" s="21" t="s">
        <v>2276</v>
      </c>
      <c r="K244" s="21" t="s">
        <v>2276</v>
      </c>
      <c r="L244" s="21" t="s">
        <v>2276</v>
      </c>
      <c r="M244" s="21" t="s">
        <v>2276</v>
      </c>
      <c r="N244" s="21" t="s">
        <v>2276</v>
      </c>
      <c r="O244" s="21" t="s">
        <v>2276</v>
      </c>
      <c r="P244" s="21" t="s">
        <v>2276</v>
      </c>
      <c r="Q244" s="21" t="s">
        <v>2276</v>
      </c>
      <c r="R244" s="21" t="s">
        <v>2276</v>
      </c>
      <c r="S244" s="21" t="s">
        <v>2276</v>
      </c>
      <c r="T244" s="21" t="s">
        <v>2276</v>
      </c>
      <c r="U244" s="21" t="s">
        <v>2276</v>
      </c>
      <c r="V244" s="21" t="s">
        <v>2276</v>
      </c>
      <c r="W244" s="21" t="s">
        <v>2276</v>
      </c>
      <c r="X244" s="21" t="s">
        <v>2276</v>
      </c>
      <c r="Y244" s="21">
        <v>13</v>
      </c>
      <c r="Z244" s="3" t="s">
        <v>425</v>
      </c>
      <c r="AA244" s="3" t="s">
        <v>68</v>
      </c>
      <c r="AB244" s="3" t="s">
        <v>2276</v>
      </c>
      <c r="AC244" s="4" t="s">
        <v>1478</v>
      </c>
      <c r="AD244" s="4" t="s">
        <v>1479</v>
      </c>
    </row>
    <row r="245" spans="1:30" ht="67.5" customHeight="1">
      <c r="A245" s="11" t="s">
        <v>427</v>
      </c>
      <c r="B245" s="11" t="s">
        <v>428</v>
      </c>
      <c r="C245" s="23" t="s">
        <v>24</v>
      </c>
      <c r="D245" s="23" t="s">
        <v>27</v>
      </c>
      <c r="E245" s="4" t="s">
        <v>130</v>
      </c>
      <c r="F245" s="19" t="s">
        <v>161</v>
      </c>
      <c r="G245" s="11" t="s">
        <v>2276</v>
      </c>
      <c r="H245" s="3" t="s">
        <v>523</v>
      </c>
      <c r="I245" s="3"/>
      <c r="J245" s="21" t="s">
        <v>2276</v>
      </c>
      <c r="K245" s="21" t="s">
        <v>2276</v>
      </c>
      <c r="L245" s="21" t="s">
        <v>2276</v>
      </c>
      <c r="M245" s="21" t="s">
        <v>2276</v>
      </c>
      <c r="N245" s="21" t="s">
        <v>2276</v>
      </c>
      <c r="O245" s="21" t="s">
        <v>2276</v>
      </c>
      <c r="P245" s="21" t="s">
        <v>2276</v>
      </c>
      <c r="Q245" s="21" t="s">
        <v>2276</v>
      </c>
      <c r="R245" s="21" t="s">
        <v>2276</v>
      </c>
      <c r="S245" s="21" t="s">
        <v>2276</v>
      </c>
      <c r="T245" s="21" t="s">
        <v>2276</v>
      </c>
      <c r="U245" s="21" t="s">
        <v>2276</v>
      </c>
      <c r="V245" s="21" t="s">
        <v>2276</v>
      </c>
      <c r="W245" s="21" t="s">
        <v>2276</v>
      </c>
      <c r="X245" s="21" t="s">
        <v>2276</v>
      </c>
      <c r="Y245" s="21">
        <v>26</v>
      </c>
      <c r="Z245" s="3" t="s">
        <v>425</v>
      </c>
      <c r="AA245" s="3" t="s">
        <v>68</v>
      </c>
      <c r="AB245" s="3" t="s">
        <v>2276</v>
      </c>
      <c r="AC245" s="4" t="s">
        <v>426</v>
      </c>
      <c r="AD245" s="4" t="s">
        <v>1480</v>
      </c>
    </row>
    <row r="246" spans="1:30" ht="67" customHeight="1">
      <c r="A246" s="23" t="s">
        <v>430</v>
      </c>
      <c r="B246" s="23" t="s">
        <v>432</v>
      </c>
      <c r="C246" s="23" t="s">
        <v>24</v>
      </c>
      <c r="D246" s="23" t="s">
        <v>27</v>
      </c>
      <c r="E246" s="24" t="s">
        <v>130</v>
      </c>
      <c r="F246" s="26" t="s">
        <v>28</v>
      </c>
      <c r="G246" s="11" t="s">
        <v>2276</v>
      </c>
      <c r="H246" s="22" t="s">
        <v>523</v>
      </c>
      <c r="I246" s="22"/>
      <c r="J246" s="77" t="s">
        <v>2276</v>
      </c>
      <c r="K246" s="77" t="s">
        <v>2276</v>
      </c>
      <c r="L246" s="77" t="s">
        <v>2276</v>
      </c>
      <c r="M246" s="77" t="s">
        <v>2276</v>
      </c>
      <c r="N246" s="77" t="s">
        <v>2276</v>
      </c>
      <c r="O246" s="77" t="s">
        <v>2276</v>
      </c>
      <c r="P246" s="77" t="s">
        <v>2276</v>
      </c>
      <c r="Q246" s="21" t="s">
        <v>2276</v>
      </c>
      <c r="R246" s="21" t="s">
        <v>2276</v>
      </c>
      <c r="S246" s="77" t="s">
        <v>2276</v>
      </c>
      <c r="T246" s="77" t="s">
        <v>2276</v>
      </c>
      <c r="U246" s="77" t="s">
        <v>2276</v>
      </c>
      <c r="V246" s="77" t="s">
        <v>2276</v>
      </c>
      <c r="W246" s="77" t="s">
        <v>2276</v>
      </c>
      <c r="X246" s="77" t="s">
        <v>2276</v>
      </c>
      <c r="Y246" s="77">
        <v>1</v>
      </c>
      <c r="Z246" s="22" t="s">
        <v>2276</v>
      </c>
      <c r="AA246" s="22" t="s">
        <v>2276</v>
      </c>
      <c r="AB246" s="3" t="s">
        <v>2276</v>
      </c>
      <c r="AC246" s="24" t="s">
        <v>434</v>
      </c>
      <c r="AD246" s="24" t="s">
        <v>435</v>
      </c>
    </row>
    <row r="247" spans="1:30" ht="63.5" customHeight="1">
      <c r="A247" s="23" t="s">
        <v>430</v>
      </c>
      <c r="B247" s="23" t="s">
        <v>433</v>
      </c>
      <c r="C247" s="23" t="s">
        <v>24</v>
      </c>
      <c r="D247" s="23" t="s">
        <v>27</v>
      </c>
      <c r="E247" s="24" t="s">
        <v>130</v>
      </c>
      <c r="F247" s="26" t="s">
        <v>161</v>
      </c>
      <c r="G247" s="11" t="s">
        <v>2276</v>
      </c>
      <c r="H247" s="22" t="s">
        <v>523</v>
      </c>
      <c r="I247" s="22"/>
      <c r="J247" s="77" t="s">
        <v>2276</v>
      </c>
      <c r="K247" s="77" t="s">
        <v>2276</v>
      </c>
      <c r="L247" s="77" t="s">
        <v>2276</v>
      </c>
      <c r="M247" s="77" t="s">
        <v>2276</v>
      </c>
      <c r="N247" s="77" t="s">
        <v>2276</v>
      </c>
      <c r="O247" s="77" t="s">
        <v>2276</v>
      </c>
      <c r="P247" s="77" t="s">
        <v>2276</v>
      </c>
      <c r="Q247" s="21" t="s">
        <v>2276</v>
      </c>
      <c r="R247" s="21" t="s">
        <v>2276</v>
      </c>
      <c r="S247" s="77" t="s">
        <v>2276</v>
      </c>
      <c r="T247" s="77" t="s">
        <v>2276</v>
      </c>
      <c r="U247" s="77" t="s">
        <v>2276</v>
      </c>
      <c r="V247" s="77" t="s">
        <v>2276</v>
      </c>
      <c r="W247" s="77" t="s">
        <v>2276</v>
      </c>
      <c r="X247" s="77" t="s">
        <v>2276</v>
      </c>
      <c r="Y247" s="77">
        <v>20</v>
      </c>
      <c r="Z247" s="22" t="s">
        <v>2276</v>
      </c>
      <c r="AA247" s="22" t="s">
        <v>2276</v>
      </c>
      <c r="AB247" s="3" t="s">
        <v>2276</v>
      </c>
      <c r="AC247" s="24" t="s">
        <v>437</v>
      </c>
      <c r="AD247" s="24" t="s">
        <v>5013</v>
      </c>
    </row>
    <row r="248" spans="1:30" ht="60" customHeight="1">
      <c r="A248" s="3" t="s">
        <v>438</v>
      </c>
      <c r="B248" s="3" t="s">
        <v>442</v>
      </c>
      <c r="C248" s="23" t="s">
        <v>24</v>
      </c>
      <c r="D248" s="23" t="s">
        <v>27</v>
      </c>
      <c r="E248" s="24" t="s">
        <v>130</v>
      </c>
      <c r="F248" s="26" t="s">
        <v>161</v>
      </c>
      <c r="G248" s="11" t="s">
        <v>2276</v>
      </c>
      <c r="H248" s="3" t="s">
        <v>523</v>
      </c>
      <c r="I248" s="3"/>
      <c r="J248" s="21" t="s">
        <v>2276</v>
      </c>
      <c r="K248" s="21" t="s">
        <v>2276</v>
      </c>
      <c r="L248" s="21" t="s">
        <v>2276</v>
      </c>
      <c r="M248" s="21" t="s">
        <v>2276</v>
      </c>
      <c r="N248" s="21" t="s">
        <v>2276</v>
      </c>
      <c r="O248" s="21" t="s">
        <v>2276</v>
      </c>
      <c r="P248" s="21" t="s">
        <v>2276</v>
      </c>
      <c r="Q248" s="21" t="s">
        <v>2276</v>
      </c>
      <c r="R248" s="21" t="s">
        <v>2276</v>
      </c>
      <c r="S248" s="21" t="s">
        <v>2276</v>
      </c>
      <c r="T248" s="21" t="s">
        <v>2276</v>
      </c>
      <c r="U248" s="21" t="s">
        <v>2276</v>
      </c>
      <c r="V248" s="21" t="s">
        <v>2276</v>
      </c>
      <c r="W248" s="21" t="s">
        <v>2276</v>
      </c>
      <c r="X248" s="21" t="s">
        <v>2276</v>
      </c>
      <c r="Y248" s="21">
        <v>11</v>
      </c>
      <c r="Z248" s="3" t="s">
        <v>68</v>
      </c>
      <c r="AA248" s="3" t="s">
        <v>68</v>
      </c>
      <c r="AB248" s="3" t="s">
        <v>2276</v>
      </c>
      <c r="AC248" s="3"/>
      <c r="AD248" s="4" t="s">
        <v>1481</v>
      </c>
    </row>
    <row r="249" spans="1:30" ht="69.5" customHeight="1">
      <c r="A249" s="11" t="s">
        <v>446</v>
      </c>
      <c r="B249" s="11" t="s">
        <v>447</v>
      </c>
      <c r="C249" s="23" t="s">
        <v>24</v>
      </c>
      <c r="D249" s="23" t="s">
        <v>27</v>
      </c>
      <c r="E249" s="4" t="s">
        <v>396</v>
      </c>
      <c r="F249" s="19" t="s">
        <v>28</v>
      </c>
      <c r="G249" s="11" t="s">
        <v>2276</v>
      </c>
      <c r="H249" s="11" t="s">
        <v>524</v>
      </c>
      <c r="I249" s="3"/>
      <c r="J249" s="21">
        <v>0</v>
      </c>
      <c r="K249" s="21">
        <v>0</v>
      </c>
      <c r="L249" s="21">
        <v>0</v>
      </c>
      <c r="M249" s="21">
        <v>0</v>
      </c>
      <c r="N249" s="21">
        <v>0</v>
      </c>
      <c r="O249" s="21">
        <v>0</v>
      </c>
      <c r="P249" s="21">
        <v>0</v>
      </c>
      <c r="Q249" s="21" t="s">
        <v>2276</v>
      </c>
      <c r="R249" s="21" t="s">
        <v>2276</v>
      </c>
      <c r="S249" s="21">
        <v>0</v>
      </c>
      <c r="T249" s="21">
        <v>0</v>
      </c>
      <c r="U249" s="21">
        <v>0</v>
      </c>
      <c r="V249" s="21">
        <v>0</v>
      </c>
      <c r="W249" s="21">
        <v>0</v>
      </c>
      <c r="X249" s="21">
        <v>0</v>
      </c>
      <c r="Y249" s="21" t="s">
        <v>2276</v>
      </c>
      <c r="Z249" s="3" t="s">
        <v>2276</v>
      </c>
      <c r="AA249" s="3" t="s">
        <v>2276</v>
      </c>
      <c r="AB249" s="3" t="s">
        <v>2276</v>
      </c>
      <c r="AC249" s="4" t="s">
        <v>448</v>
      </c>
      <c r="AD249" s="4"/>
    </row>
    <row r="250" spans="1:30" ht="121.5" customHeight="1">
      <c r="A250" s="11" t="s">
        <v>446</v>
      </c>
      <c r="B250" s="11" t="s">
        <v>451</v>
      </c>
      <c r="C250" s="23" t="s">
        <v>24</v>
      </c>
      <c r="D250" s="23" t="s">
        <v>27</v>
      </c>
      <c r="E250" s="24" t="s">
        <v>130</v>
      </c>
      <c r="F250" s="19" t="s">
        <v>55</v>
      </c>
      <c r="G250" s="11" t="s">
        <v>2276</v>
      </c>
      <c r="H250" s="11" t="s">
        <v>524</v>
      </c>
      <c r="I250" s="3"/>
      <c r="J250" s="21">
        <v>0</v>
      </c>
      <c r="K250" s="21">
        <v>0</v>
      </c>
      <c r="L250" s="21">
        <v>0</v>
      </c>
      <c r="M250" s="21">
        <v>0</v>
      </c>
      <c r="N250" s="21">
        <v>0</v>
      </c>
      <c r="O250" s="21">
        <v>0</v>
      </c>
      <c r="P250" s="21">
        <v>0</v>
      </c>
      <c r="Q250" s="21" t="s">
        <v>2276</v>
      </c>
      <c r="R250" s="21" t="s">
        <v>2276</v>
      </c>
      <c r="S250" s="21">
        <v>0</v>
      </c>
      <c r="T250" s="21">
        <v>0</v>
      </c>
      <c r="U250" s="21">
        <v>0</v>
      </c>
      <c r="V250" s="21">
        <v>0</v>
      </c>
      <c r="W250" s="21">
        <v>0</v>
      </c>
      <c r="X250" s="21">
        <v>0</v>
      </c>
      <c r="Y250" s="21" t="s">
        <v>2276</v>
      </c>
      <c r="Z250" s="3" t="s">
        <v>2276</v>
      </c>
      <c r="AA250" s="3" t="s">
        <v>2276</v>
      </c>
      <c r="AB250" s="3" t="s">
        <v>2276</v>
      </c>
      <c r="AC250" s="4" t="s">
        <v>449</v>
      </c>
      <c r="AD250" s="4"/>
    </row>
    <row r="251" spans="1:30" ht="101" customHeight="1">
      <c r="A251" s="11" t="s">
        <v>446</v>
      </c>
      <c r="B251" s="11" t="s">
        <v>452</v>
      </c>
      <c r="C251" s="23" t="s">
        <v>24</v>
      </c>
      <c r="D251" s="23" t="s">
        <v>27</v>
      </c>
      <c r="E251" s="24" t="s">
        <v>130</v>
      </c>
      <c r="F251" s="19" t="s">
        <v>2662</v>
      </c>
      <c r="G251" s="11" t="s">
        <v>2276</v>
      </c>
      <c r="H251" s="19" t="s">
        <v>523</v>
      </c>
      <c r="I251" s="3"/>
      <c r="J251" s="21" t="s">
        <v>2276</v>
      </c>
      <c r="K251" s="21" t="s">
        <v>2276</v>
      </c>
      <c r="L251" s="21" t="s">
        <v>2276</v>
      </c>
      <c r="M251" s="21" t="s">
        <v>2276</v>
      </c>
      <c r="N251" s="21" t="s">
        <v>2276</v>
      </c>
      <c r="O251" s="21" t="s">
        <v>2276</v>
      </c>
      <c r="P251" s="21" t="s">
        <v>2276</v>
      </c>
      <c r="Q251" s="21" t="s">
        <v>2276</v>
      </c>
      <c r="R251" s="21" t="s">
        <v>2276</v>
      </c>
      <c r="S251" s="21" t="s">
        <v>2276</v>
      </c>
      <c r="T251" s="21" t="s">
        <v>2276</v>
      </c>
      <c r="U251" s="21" t="s">
        <v>2276</v>
      </c>
      <c r="V251" s="21" t="s">
        <v>2276</v>
      </c>
      <c r="W251" s="21" t="s">
        <v>2276</v>
      </c>
      <c r="X251" s="21" t="s">
        <v>2276</v>
      </c>
      <c r="Y251" s="21" t="s">
        <v>2276</v>
      </c>
      <c r="Z251" s="3" t="s">
        <v>2276</v>
      </c>
      <c r="AA251" s="3" t="s">
        <v>2276</v>
      </c>
      <c r="AB251" s="3" t="s">
        <v>2276</v>
      </c>
      <c r="AC251" s="4" t="s">
        <v>1484</v>
      </c>
      <c r="AD251" s="4" t="s">
        <v>450</v>
      </c>
    </row>
    <row r="252" spans="1:30" ht="95" customHeight="1">
      <c r="A252" s="3" t="s">
        <v>454</v>
      </c>
      <c r="B252" s="3" t="s">
        <v>461</v>
      </c>
      <c r="C252" s="23" t="s">
        <v>24</v>
      </c>
      <c r="D252" s="23" t="s">
        <v>27</v>
      </c>
      <c r="E252" s="4" t="s">
        <v>396</v>
      </c>
      <c r="F252" s="19" t="s">
        <v>28</v>
      </c>
      <c r="G252" s="11" t="s">
        <v>2276</v>
      </c>
      <c r="H252" s="11" t="s">
        <v>524</v>
      </c>
      <c r="I252" s="3"/>
      <c r="J252" s="21">
        <v>0</v>
      </c>
      <c r="K252" s="21">
        <v>0</v>
      </c>
      <c r="L252" s="21">
        <v>0</v>
      </c>
      <c r="M252" s="21">
        <v>0</v>
      </c>
      <c r="N252" s="21">
        <v>0</v>
      </c>
      <c r="O252" s="21">
        <v>0</v>
      </c>
      <c r="P252" s="21">
        <v>0</v>
      </c>
      <c r="Q252" s="21" t="s">
        <v>2276</v>
      </c>
      <c r="R252" s="21" t="s">
        <v>2276</v>
      </c>
      <c r="S252" s="21">
        <v>0</v>
      </c>
      <c r="T252" s="21">
        <v>0</v>
      </c>
      <c r="U252" s="21">
        <v>0</v>
      </c>
      <c r="V252" s="21">
        <v>0</v>
      </c>
      <c r="W252" s="21">
        <v>0</v>
      </c>
      <c r="X252" s="21">
        <v>0</v>
      </c>
      <c r="Y252" s="21" t="s">
        <v>2276</v>
      </c>
      <c r="Z252" s="3" t="s">
        <v>2276</v>
      </c>
      <c r="AA252" s="3" t="s">
        <v>2276</v>
      </c>
      <c r="AB252" s="3" t="s">
        <v>2276</v>
      </c>
      <c r="AC252" s="4" t="s">
        <v>462</v>
      </c>
      <c r="AD252" s="3"/>
    </row>
    <row r="253" spans="1:30" ht="66" customHeight="1">
      <c r="A253" s="3" t="s">
        <v>455</v>
      </c>
      <c r="B253" s="3" t="s">
        <v>463</v>
      </c>
      <c r="C253" s="23" t="s">
        <v>24</v>
      </c>
      <c r="D253" s="23" t="s">
        <v>27</v>
      </c>
      <c r="E253" s="4" t="s">
        <v>396</v>
      </c>
      <c r="F253" s="19" t="s">
        <v>28</v>
      </c>
      <c r="G253" s="11" t="s">
        <v>2276</v>
      </c>
      <c r="H253" s="11" t="s">
        <v>524</v>
      </c>
      <c r="I253" s="3"/>
      <c r="J253" s="21">
        <v>0</v>
      </c>
      <c r="K253" s="21">
        <v>0</v>
      </c>
      <c r="L253" s="21">
        <v>0</v>
      </c>
      <c r="M253" s="21">
        <v>0</v>
      </c>
      <c r="N253" s="21">
        <v>0</v>
      </c>
      <c r="O253" s="21">
        <v>0</v>
      </c>
      <c r="P253" s="21">
        <v>0</v>
      </c>
      <c r="Q253" s="21" t="s">
        <v>2276</v>
      </c>
      <c r="R253" s="21" t="s">
        <v>2276</v>
      </c>
      <c r="S253" s="21">
        <v>0</v>
      </c>
      <c r="T253" s="21">
        <v>0</v>
      </c>
      <c r="U253" s="21">
        <v>0</v>
      </c>
      <c r="V253" s="21">
        <v>0</v>
      </c>
      <c r="W253" s="21">
        <v>0</v>
      </c>
      <c r="X253" s="21">
        <v>0</v>
      </c>
      <c r="Y253" s="21" t="s">
        <v>2276</v>
      </c>
      <c r="Z253" s="3" t="s">
        <v>2276</v>
      </c>
      <c r="AA253" s="3" t="s">
        <v>2276</v>
      </c>
      <c r="AB253" s="3" t="s">
        <v>2276</v>
      </c>
      <c r="AC253" s="4" t="s">
        <v>462</v>
      </c>
      <c r="AD253" s="3"/>
    </row>
    <row r="254" spans="1:30" ht="79.5" customHeight="1">
      <c r="A254" s="3" t="s">
        <v>455</v>
      </c>
      <c r="B254" s="3" t="s">
        <v>1485</v>
      </c>
      <c r="C254" s="23" t="s">
        <v>24</v>
      </c>
      <c r="D254" s="23" t="s">
        <v>27</v>
      </c>
      <c r="E254" s="24" t="s">
        <v>130</v>
      </c>
      <c r="F254" s="19" t="s">
        <v>55</v>
      </c>
      <c r="G254" s="11" t="s">
        <v>2276</v>
      </c>
      <c r="H254" s="11" t="s">
        <v>524</v>
      </c>
      <c r="I254" s="3"/>
      <c r="J254" s="21">
        <v>0</v>
      </c>
      <c r="K254" s="21">
        <v>0</v>
      </c>
      <c r="L254" s="21">
        <v>0</v>
      </c>
      <c r="M254" s="21">
        <v>0</v>
      </c>
      <c r="N254" s="21">
        <v>0</v>
      </c>
      <c r="O254" s="21">
        <v>0</v>
      </c>
      <c r="P254" s="21">
        <v>0</v>
      </c>
      <c r="Q254" s="21" t="s">
        <v>2276</v>
      </c>
      <c r="R254" s="21" t="s">
        <v>2276</v>
      </c>
      <c r="S254" s="21">
        <v>0</v>
      </c>
      <c r="T254" s="21">
        <v>0</v>
      </c>
      <c r="U254" s="21">
        <v>0</v>
      </c>
      <c r="V254" s="21">
        <v>0</v>
      </c>
      <c r="W254" s="21">
        <v>0</v>
      </c>
      <c r="X254" s="21">
        <v>0</v>
      </c>
      <c r="Y254" s="21" t="s">
        <v>2276</v>
      </c>
      <c r="Z254" s="3" t="s">
        <v>2276</v>
      </c>
      <c r="AA254" s="3" t="s">
        <v>2276</v>
      </c>
      <c r="AB254" s="3" t="s">
        <v>2276</v>
      </c>
      <c r="AC254" s="4" t="s">
        <v>464</v>
      </c>
      <c r="AD254" s="3"/>
    </row>
    <row r="255" spans="1:30" ht="97.5" customHeight="1">
      <c r="A255" s="11" t="s">
        <v>466</v>
      </c>
      <c r="B255" s="11" t="s">
        <v>476</v>
      </c>
      <c r="C255" s="23" t="s">
        <v>24</v>
      </c>
      <c r="D255" s="23" t="s">
        <v>27</v>
      </c>
      <c r="E255" s="4" t="s">
        <v>397</v>
      </c>
      <c r="F255" s="19" t="s">
        <v>28</v>
      </c>
      <c r="G255" s="11" t="s">
        <v>2276</v>
      </c>
      <c r="H255" s="11" t="s">
        <v>524</v>
      </c>
      <c r="I255" s="3">
        <v>2010</v>
      </c>
      <c r="J255" s="21">
        <v>0</v>
      </c>
      <c r="K255" s="21">
        <v>0</v>
      </c>
      <c r="L255" s="21">
        <v>0</v>
      </c>
      <c r="M255" s="21">
        <v>0</v>
      </c>
      <c r="N255" s="21">
        <v>0</v>
      </c>
      <c r="O255" s="21">
        <v>0</v>
      </c>
      <c r="P255" s="21">
        <v>0</v>
      </c>
      <c r="Q255" s="21" t="s">
        <v>2276</v>
      </c>
      <c r="R255" s="21" t="s">
        <v>2276</v>
      </c>
      <c r="S255" s="21">
        <v>0</v>
      </c>
      <c r="T255" s="21">
        <v>0</v>
      </c>
      <c r="U255" s="21">
        <v>0</v>
      </c>
      <c r="V255" s="21">
        <v>0</v>
      </c>
      <c r="W255" s="21">
        <v>0</v>
      </c>
      <c r="X255" s="21">
        <v>0</v>
      </c>
      <c r="Y255" s="21" t="s">
        <v>2276</v>
      </c>
      <c r="Z255" s="3" t="s">
        <v>2276</v>
      </c>
      <c r="AA255" s="3" t="s">
        <v>2276</v>
      </c>
      <c r="AB255" s="3" t="s">
        <v>2276</v>
      </c>
      <c r="AC255" s="4" t="s">
        <v>479</v>
      </c>
      <c r="AD255" s="3"/>
    </row>
    <row r="256" spans="1:30" ht="93.5" customHeight="1">
      <c r="A256" s="11" t="s">
        <v>466</v>
      </c>
      <c r="B256" s="11" t="s">
        <v>477</v>
      </c>
      <c r="C256" s="23" t="s">
        <v>24</v>
      </c>
      <c r="D256" s="23" t="s">
        <v>27</v>
      </c>
      <c r="E256" s="24" t="s">
        <v>130</v>
      </c>
      <c r="F256" s="19" t="s">
        <v>2662</v>
      </c>
      <c r="G256" s="11" t="s">
        <v>2276</v>
      </c>
      <c r="H256" s="11" t="s">
        <v>524</v>
      </c>
      <c r="I256" s="3">
        <v>2010</v>
      </c>
      <c r="J256" s="21">
        <v>0</v>
      </c>
      <c r="K256" s="21">
        <v>0</v>
      </c>
      <c r="L256" s="21">
        <v>0</v>
      </c>
      <c r="M256" s="21">
        <v>0</v>
      </c>
      <c r="N256" s="21">
        <v>0</v>
      </c>
      <c r="O256" s="21">
        <v>0</v>
      </c>
      <c r="P256" s="21">
        <v>0</v>
      </c>
      <c r="Q256" s="21" t="s">
        <v>2276</v>
      </c>
      <c r="R256" s="21" t="s">
        <v>2276</v>
      </c>
      <c r="S256" s="21">
        <v>0</v>
      </c>
      <c r="T256" s="21">
        <v>0</v>
      </c>
      <c r="U256" s="21">
        <v>0</v>
      </c>
      <c r="V256" s="21">
        <v>0</v>
      </c>
      <c r="W256" s="21">
        <v>0</v>
      </c>
      <c r="X256" s="21">
        <v>0</v>
      </c>
      <c r="Y256" s="21" t="s">
        <v>2276</v>
      </c>
      <c r="Z256" s="3" t="s">
        <v>2276</v>
      </c>
      <c r="AA256" s="3" t="s">
        <v>2276</v>
      </c>
      <c r="AB256" s="3" t="s">
        <v>2276</v>
      </c>
      <c r="AC256" s="4" t="s">
        <v>478</v>
      </c>
      <c r="AD256" s="3"/>
    </row>
    <row r="257" spans="1:30" ht="87.5" customHeight="1">
      <c r="A257" s="33" t="s">
        <v>467</v>
      </c>
      <c r="B257" s="33" t="s">
        <v>480</v>
      </c>
      <c r="C257" s="23" t="s">
        <v>24</v>
      </c>
      <c r="D257" s="23" t="s">
        <v>27</v>
      </c>
      <c r="E257" s="4" t="s">
        <v>397</v>
      </c>
      <c r="F257" s="19" t="s">
        <v>28</v>
      </c>
      <c r="G257" s="11" t="s">
        <v>2276</v>
      </c>
      <c r="H257" s="11" t="s">
        <v>524</v>
      </c>
      <c r="I257" s="3">
        <v>2010</v>
      </c>
      <c r="J257" s="21">
        <v>0</v>
      </c>
      <c r="K257" s="21">
        <v>0</v>
      </c>
      <c r="L257" s="21">
        <v>0</v>
      </c>
      <c r="M257" s="21">
        <v>0</v>
      </c>
      <c r="N257" s="21">
        <v>0</v>
      </c>
      <c r="O257" s="21">
        <v>0</v>
      </c>
      <c r="P257" s="21">
        <v>0</v>
      </c>
      <c r="Q257" s="21" t="s">
        <v>2276</v>
      </c>
      <c r="R257" s="21" t="s">
        <v>2276</v>
      </c>
      <c r="S257" s="21">
        <v>0</v>
      </c>
      <c r="T257" s="21">
        <v>0</v>
      </c>
      <c r="U257" s="21">
        <v>0</v>
      </c>
      <c r="V257" s="21">
        <v>0</v>
      </c>
      <c r="W257" s="21">
        <v>0</v>
      </c>
      <c r="X257" s="21">
        <v>0</v>
      </c>
      <c r="Y257" s="21" t="s">
        <v>2276</v>
      </c>
      <c r="Z257" s="3" t="s">
        <v>2276</v>
      </c>
      <c r="AA257" s="3" t="s">
        <v>2276</v>
      </c>
      <c r="AB257" s="3" t="s">
        <v>2276</v>
      </c>
      <c r="AC257" s="3"/>
      <c r="AD257" s="3"/>
    </row>
    <row r="258" spans="1:30" ht="83.5" customHeight="1">
      <c r="A258" s="35" t="s">
        <v>467</v>
      </c>
      <c r="B258" s="35" t="s">
        <v>481</v>
      </c>
      <c r="C258" s="36" t="s">
        <v>24</v>
      </c>
      <c r="D258" s="36" t="s">
        <v>27</v>
      </c>
      <c r="E258" s="37" t="s">
        <v>130</v>
      </c>
      <c r="F258" s="55" t="s">
        <v>55</v>
      </c>
      <c r="G258" s="11" t="s">
        <v>2276</v>
      </c>
      <c r="H258" s="11" t="s">
        <v>524</v>
      </c>
      <c r="I258" s="3">
        <v>2010</v>
      </c>
      <c r="J258" s="21">
        <v>0</v>
      </c>
      <c r="K258" s="21">
        <v>0</v>
      </c>
      <c r="L258" s="21">
        <v>0</v>
      </c>
      <c r="M258" s="21">
        <v>0</v>
      </c>
      <c r="N258" s="21">
        <v>0</v>
      </c>
      <c r="O258" s="21">
        <v>0</v>
      </c>
      <c r="P258" s="21">
        <v>0</v>
      </c>
      <c r="Q258" s="21" t="s">
        <v>2276</v>
      </c>
      <c r="R258" s="21" t="s">
        <v>2276</v>
      </c>
      <c r="S258" s="21">
        <v>0</v>
      </c>
      <c r="T258" s="21">
        <v>0</v>
      </c>
      <c r="U258" s="21">
        <v>0</v>
      </c>
      <c r="V258" s="21">
        <v>0</v>
      </c>
      <c r="W258" s="21">
        <v>0</v>
      </c>
      <c r="X258" s="21">
        <v>0</v>
      </c>
      <c r="Y258" s="21" t="s">
        <v>2276</v>
      </c>
      <c r="Z258" s="3" t="s">
        <v>2276</v>
      </c>
      <c r="AA258" s="3" t="s">
        <v>2276</v>
      </c>
      <c r="AB258" s="3" t="s">
        <v>2276</v>
      </c>
      <c r="AC258" s="4" t="s">
        <v>464</v>
      </c>
      <c r="AD258" s="3"/>
    </row>
    <row r="259" spans="1:30" ht="66" customHeight="1">
      <c r="A259" s="11" t="s">
        <v>467</v>
      </c>
      <c r="B259" s="11" t="s">
        <v>482</v>
      </c>
      <c r="C259" s="23" t="s">
        <v>24</v>
      </c>
      <c r="D259" s="23" t="s">
        <v>27</v>
      </c>
      <c r="E259" s="24" t="s">
        <v>130</v>
      </c>
      <c r="F259" s="19" t="s">
        <v>161</v>
      </c>
      <c r="G259" s="11" t="s">
        <v>2276</v>
      </c>
      <c r="H259" s="19" t="s">
        <v>523</v>
      </c>
      <c r="I259" s="3">
        <v>2010</v>
      </c>
      <c r="J259" s="21" t="s">
        <v>2276</v>
      </c>
      <c r="K259" s="21" t="s">
        <v>2276</v>
      </c>
      <c r="L259" s="21" t="s">
        <v>2276</v>
      </c>
      <c r="M259" s="21" t="s">
        <v>2276</v>
      </c>
      <c r="N259" s="21" t="s">
        <v>2276</v>
      </c>
      <c r="O259" s="21" t="s">
        <v>2276</v>
      </c>
      <c r="P259" s="21" t="s">
        <v>2276</v>
      </c>
      <c r="Q259" s="21" t="s">
        <v>2276</v>
      </c>
      <c r="R259" s="21" t="s">
        <v>2276</v>
      </c>
      <c r="S259" s="21" t="s">
        <v>2276</v>
      </c>
      <c r="T259" s="21" t="s">
        <v>2276</v>
      </c>
      <c r="U259" s="21" t="s">
        <v>2276</v>
      </c>
      <c r="V259" s="21" t="s">
        <v>2276</v>
      </c>
      <c r="W259" s="21" t="s">
        <v>2276</v>
      </c>
      <c r="X259" s="21" t="s">
        <v>2276</v>
      </c>
      <c r="Y259" s="21">
        <v>7</v>
      </c>
      <c r="Z259" s="3" t="s">
        <v>68</v>
      </c>
      <c r="AA259" s="3" t="s">
        <v>35</v>
      </c>
      <c r="AB259" s="3" t="s">
        <v>64</v>
      </c>
      <c r="AC259" s="4" t="s">
        <v>483</v>
      </c>
      <c r="AD259" s="4" t="s">
        <v>2412</v>
      </c>
    </row>
    <row r="260" spans="1:30" ht="68.5" customHeight="1">
      <c r="A260" s="11" t="s">
        <v>468</v>
      </c>
      <c r="B260" s="33" t="s">
        <v>484</v>
      </c>
      <c r="C260" s="23" t="s">
        <v>24</v>
      </c>
      <c r="D260" s="23" t="s">
        <v>27</v>
      </c>
      <c r="E260" s="4" t="s">
        <v>397</v>
      </c>
      <c r="F260" s="19" t="s">
        <v>28</v>
      </c>
      <c r="G260" s="11" t="s">
        <v>2276</v>
      </c>
      <c r="H260" s="11" t="s">
        <v>524</v>
      </c>
      <c r="I260" s="3">
        <v>2010</v>
      </c>
      <c r="J260" s="21">
        <v>0</v>
      </c>
      <c r="K260" s="21">
        <v>0</v>
      </c>
      <c r="L260" s="21">
        <v>0</v>
      </c>
      <c r="M260" s="21">
        <v>0</v>
      </c>
      <c r="N260" s="21">
        <v>0</v>
      </c>
      <c r="O260" s="21">
        <v>0</v>
      </c>
      <c r="P260" s="21">
        <v>0</v>
      </c>
      <c r="Q260" s="21" t="s">
        <v>2276</v>
      </c>
      <c r="R260" s="21" t="s">
        <v>2276</v>
      </c>
      <c r="S260" s="21">
        <v>0</v>
      </c>
      <c r="T260" s="21">
        <v>0</v>
      </c>
      <c r="U260" s="21">
        <v>0</v>
      </c>
      <c r="V260" s="21">
        <v>0</v>
      </c>
      <c r="W260" s="21">
        <v>0</v>
      </c>
      <c r="X260" s="21">
        <v>0</v>
      </c>
      <c r="Y260" s="21" t="s">
        <v>2276</v>
      </c>
      <c r="Z260" s="3" t="s">
        <v>2276</v>
      </c>
      <c r="AA260" s="3" t="s">
        <v>2276</v>
      </c>
      <c r="AB260" s="3" t="s">
        <v>2276</v>
      </c>
      <c r="AC260" s="3"/>
      <c r="AD260" s="4"/>
    </row>
    <row r="261" spans="1:30" ht="62.5" customHeight="1">
      <c r="A261" s="11" t="s">
        <v>468</v>
      </c>
      <c r="B261" s="35" t="s">
        <v>485</v>
      </c>
      <c r="C261" s="36" t="s">
        <v>24</v>
      </c>
      <c r="D261" s="36" t="s">
        <v>27</v>
      </c>
      <c r="E261" s="37" t="s">
        <v>130</v>
      </c>
      <c r="F261" s="55" t="s">
        <v>55</v>
      </c>
      <c r="G261" s="11" t="s">
        <v>2276</v>
      </c>
      <c r="H261" s="11" t="s">
        <v>524</v>
      </c>
      <c r="I261" s="3">
        <v>2010</v>
      </c>
      <c r="J261" s="21">
        <v>0</v>
      </c>
      <c r="K261" s="21">
        <v>0</v>
      </c>
      <c r="L261" s="21">
        <v>0</v>
      </c>
      <c r="M261" s="21">
        <v>0</v>
      </c>
      <c r="N261" s="21">
        <v>0</v>
      </c>
      <c r="O261" s="21">
        <v>0</v>
      </c>
      <c r="P261" s="21">
        <v>0</v>
      </c>
      <c r="Q261" s="21" t="s">
        <v>2276</v>
      </c>
      <c r="R261" s="21" t="s">
        <v>2276</v>
      </c>
      <c r="S261" s="21">
        <v>0</v>
      </c>
      <c r="T261" s="21">
        <v>0</v>
      </c>
      <c r="U261" s="21">
        <v>0</v>
      </c>
      <c r="V261" s="21">
        <v>0</v>
      </c>
      <c r="W261" s="21">
        <v>0</v>
      </c>
      <c r="X261" s="21">
        <v>0</v>
      </c>
      <c r="Y261" s="21" t="s">
        <v>2276</v>
      </c>
      <c r="Z261" s="3" t="s">
        <v>2276</v>
      </c>
      <c r="AA261" s="3" t="s">
        <v>2276</v>
      </c>
      <c r="AB261" s="3" t="s">
        <v>2276</v>
      </c>
      <c r="AC261" s="4" t="s">
        <v>464</v>
      </c>
      <c r="AD261" s="4"/>
    </row>
    <row r="262" spans="1:30" ht="65" customHeight="1">
      <c r="A262" s="11" t="s">
        <v>468</v>
      </c>
      <c r="B262" s="11" t="s">
        <v>486</v>
      </c>
      <c r="C262" s="23" t="s">
        <v>24</v>
      </c>
      <c r="D262" s="23" t="s">
        <v>27</v>
      </c>
      <c r="E262" s="24" t="s">
        <v>130</v>
      </c>
      <c r="F262" s="19" t="s">
        <v>161</v>
      </c>
      <c r="G262" s="11" t="s">
        <v>2276</v>
      </c>
      <c r="H262" s="19" t="s">
        <v>523</v>
      </c>
      <c r="I262" s="3">
        <v>2010</v>
      </c>
      <c r="J262" s="21" t="s">
        <v>2276</v>
      </c>
      <c r="K262" s="21" t="s">
        <v>2276</v>
      </c>
      <c r="L262" s="21" t="s">
        <v>2276</v>
      </c>
      <c r="M262" s="21" t="s">
        <v>2276</v>
      </c>
      <c r="N262" s="21" t="s">
        <v>2276</v>
      </c>
      <c r="O262" s="21" t="s">
        <v>2276</v>
      </c>
      <c r="P262" s="21" t="s">
        <v>2276</v>
      </c>
      <c r="Q262" s="21" t="s">
        <v>2276</v>
      </c>
      <c r="R262" s="21" t="s">
        <v>2276</v>
      </c>
      <c r="S262" s="21" t="s">
        <v>2276</v>
      </c>
      <c r="T262" s="21" t="s">
        <v>2276</v>
      </c>
      <c r="U262" s="21" t="s">
        <v>2276</v>
      </c>
      <c r="V262" s="21" t="s">
        <v>2276</v>
      </c>
      <c r="W262" s="21" t="s">
        <v>2276</v>
      </c>
      <c r="X262" s="21" t="s">
        <v>2276</v>
      </c>
      <c r="Y262" s="21">
        <v>7</v>
      </c>
      <c r="Z262" s="3" t="s">
        <v>68</v>
      </c>
      <c r="AA262" s="3" t="s">
        <v>35</v>
      </c>
      <c r="AB262" s="3" t="s">
        <v>64</v>
      </c>
      <c r="AC262" s="4" t="s">
        <v>491</v>
      </c>
      <c r="AD262" s="4" t="s">
        <v>2412</v>
      </c>
    </row>
    <row r="263" spans="1:30" ht="60.5" customHeight="1">
      <c r="A263" s="11" t="s">
        <v>469</v>
      </c>
      <c r="B263" s="11" t="s">
        <v>487</v>
      </c>
      <c r="C263" s="23" t="s">
        <v>24</v>
      </c>
      <c r="D263" s="23" t="s">
        <v>27</v>
      </c>
      <c r="E263" s="4" t="s">
        <v>397</v>
      </c>
      <c r="F263" s="19" t="s">
        <v>28</v>
      </c>
      <c r="G263" s="11" t="s">
        <v>2276</v>
      </c>
      <c r="H263" s="11" t="s">
        <v>524</v>
      </c>
      <c r="I263" s="3">
        <v>2010</v>
      </c>
      <c r="J263" s="21">
        <v>0</v>
      </c>
      <c r="K263" s="21">
        <v>0</v>
      </c>
      <c r="L263" s="21">
        <v>0</v>
      </c>
      <c r="M263" s="21">
        <v>0</v>
      </c>
      <c r="N263" s="21">
        <v>0</v>
      </c>
      <c r="O263" s="21">
        <v>0</v>
      </c>
      <c r="P263" s="21">
        <v>0</v>
      </c>
      <c r="Q263" s="21" t="s">
        <v>2276</v>
      </c>
      <c r="R263" s="21" t="s">
        <v>2276</v>
      </c>
      <c r="S263" s="21">
        <v>0</v>
      </c>
      <c r="T263" s="21">
        <v>0</v>
      </c>
      <c r="U263" s="21">
        <v>0</v>
      </c>
      <c r="V263" s="21">
        <v>0</v>
      </c>
      <c r="W263" s="21">
        <v>0</v>
      </c>
      <c r="X263" s="21">
        <v>0</v>
      </c>
      <c r="Y263" s="21" t="s">
        <v>2276</v>
      </c>
      <c r="Z263" s="3" t="s">
        <v>2276</v>
      </c>
      <c r="AA263" s="3" t="s">
        <v>2276</v>
      </c>
      <c r="AB263" s="3" t="s">
        <v>2276</v>
      </c>
      <c r="AC263" s="3"/>
      <c r="AD263" s="4"/>
    </row>
    <row r="264" spans="1:30" ht="61" customHeight="1">
      <c r="A264" s="11" t="s">
        <v>469</v>
      </c>
      <c r="B264" s="11" t="s">
        <v>488</v>
      </c>
      <c r="C264" s="36" t="s">
        <v>24</v>
      </c>
      <c r="D264" s="36" t="s">
        <v>27</v>
      </c>
      <c r="E264" s="37" t="s">
        <v>130</v>
      </c>
      <c r="F264" s="55" t="s">
        <v>55</v>
      </c>
      <c r="G264" s="11" t="s">
        <v>2276</v>
      </c>
      <c r="H264" s="11" t="s">
        <v>524</v>
      </c>
      <c r="I264" s="3">
        <v>2010</v>
      </c>
      <c r="J264" s="73">
        <v>0</v>
      </c>
      <c r="K264" s="73">
        <v>0</v>
      </c>
      <c r="L264" s="73">
        <v>0</v>
      </c>
      <c r="M264" s="73">
        <v>0</v>
      </c>
      <c r="N264" s="73">
        <v>0</v>
      </c>
      <c r="O264" s="73">
        <v>0</v>
      </c>
      <c r="P264" s="73">
        <v>0</v>
      </c>
      <c r="Q264" s="21" t="s">
        <v>2276</v>
      </c>
      <c r="R264" s="21" t="s">
        <v>2276</v>
      </c>
      <c r="S264" s="73">
        <v>0</v>
      </c>
      <c r="T264" s="73">
        <v>0</v>
      </c>
      <c r="U264" s="73">
        <v>0</v>
      </c>
      <c r="V264" s="73">
        <v>0</v>
      </c>
      <c r="W264" s="73">
        <v>0</v>
      </c>
      <c r="X264" s="73">
        <v>0</v>
      </c>
      <c r="Y264" s="21" t="s">
        <v>2276</v>
      </c>
      <c r="Z264" s="3" t="s">
        <v>2276</v>
      </c>
      <c r="AA264" s="3" t="s">
        <v>2276</v>
      </c>
      <c r="AB264" s="3" t="s">
        <v>2276</v>
      </c>
      <c r="AC264" s="3"/>
      <c r="AD264" s="4"/>
    </row>
    <row r="265" spans="1:30" ht="101" customHeight="1">
      <c r="A265" s="11" t="s">
        <v>469</v>
      </c>
      <c r="B265" s="11" t="s">
        <v>489</v>
      </c>
      <c r="C265" s="23" t="s">
        <v>24</v>
      </c>
      <c r="D265" s="23" t="s">
        <v>27</v>
      </c>
      <c r="E265" s="24" t="s">
        <v>130</v>
      </c>
      <c r="F265" s="19" t="s">
        <v>161</v>
      </c>
      <c r="G265" s="11" t="s">
        <v>2276</v>
      </c>
      <c r="H265" s="19" t="s">
        <v>523</v>
      </c>
      <c r="I265" s="3">
        <v>2010</v>
      </c>
      <c r="J265" s="21" t="s">
        <v>2276</v>
      </c>
      <c r="K265" s="21" t="s">
        <v>2276</v>
      </c>
      <c r="L265" s="21" t="s">
        <v>2276</v>
      </c>
      <c r="M265" s="21" t="s">
        <v>2276</v>
      </c>
      <c r="N265" s="21" t="s">
        <v>2276</v>
      </c>
      <c r="O265" s="21" t="s">
        <v>2276</v>
      </c>
      <c r="P265" s="21" t="s">
        <v>2276</v>
      </c>
      <c r="Q265" s="21" t="s">
        <v>2276</v>
      </c>
      <c r="R265" s="21" t="s">
        <v>2276</v>
      </c>
      <c r="S265" s="21" t="s">
        <v>2276</v>
      </c>
      <c r="T265" s="21" t="s">
        <v>2276</v>
      </c>
      <c r="U265" s="21" t="s">
        <v>2276</v>
      </c>
      <c r="V265" s="21" t="s">
        <v>2276</v>
      </c>
      <c r="W265" s="21" t="s">
        <v>2276</v>
      </c>
      <c r="X265" s="21" t="s">
        <v>2276</v>
      </c>
      <c r="Y265" s="21">
        <v>6</v>
      </c>
      <c r="Z265" s="3" t="s">
        <v>68</v>
      </c>
      <c r="AA265" s="3" t="s">
        <v>35</v>
      </c>
      <c r="AB265" s="3" t="s">
        <v>64</v>
      </c>
      <c r="AC265" s="4" t="s">
        <v>490</v>
      </c>
      <c r="AD265" s="4" t="s">
        <v>2412</v>
      </c>
    </row>
    <row r="266" spans="1:30" ht="44" customHeight="1">
      <c r="A266" s="11" t="s">
        <v>497</v>
      </c>
      <c r="B266" s="11" t="s">
        <v>500</v>
      </c>
      <c r="C266" s="23" t="s">
        <v>24</v>
      </c>
      <c r="D266" s="23" t="s">
        <v>27</v>
      </c>
      <c r="E266" s="4" t="s">
        <v>397</v>
      </c>
      <c r="F266" s="19" t="s">
        <v>28</v>
      </c>
      <c r="G266" s="11" t="s">
        <v>2276</v>
      </c>
      <c r="H266" s="11" t="s">
        <v>524</v>
      </c>
      <c r="I266" s="3">
        <v>1990</v>
      </c>
      <c r="J266" s="21">
        <v>0</v>
      </c>
      <c r="K266" s="21">
        <v>0</v>
      </c>
      <c r="L266" s="21">
        <v>0</v>
      </c>
      <c r="M266" s="21">
        <v>0</v>
      </c>
      <c r="N266" s="21">
        <v>0</v>
      </c>
      <c r="O266" s="21">
        <v>0</v>
      </c>
      <c r="P266" s="21">
        <v>0</v>
      </c>
      <c r="Q266" s="21" t="s">
        <v>2276</v>
      </c>
      <c r="R266" s="21" t="s">
        <v>2276</v>
      </c>
      <c r="S266" s="21">
        <v>0</v>
      </c>
      <c r="T266" s="21">
        <v>0</v>
      </c>
      <c r="U266" s="21">
        <v>0</v>
      </c>
      <c r="V266" s="21">
        <v>0</v>
      </c>
      <c r="W266" s="21">
        <v>0</v>
      </c>
      <c r="X266" s="21">
        <v>0</v>
      </c>
      <c r="Y266" s="21" t="s">
        <v>2276</v>
      </c>
      <c r="Z266" s="3" t="s">
        <v>2276</v>
      </c>
      <c r="AA266" s="3" t="s">
        <v>2276</v>
      </c>
      <c r="AB266" s="3" t="s">
        <v>2276</v>
      </c>
      <c r="AC266" s="3"/>
      <c r="AD266" s="4"/>
    </row>
    <row r="267" spans="1:30" ht="39.5" customHeight="1">
      <c r="A267" s="11" t="s">
        <v>497</v>
      </c>
      <c r="B267" s="11" t="s">
        <v>501</v>
      </c>
      <c r="C267" s="23" t="s">
        <v>24</v>
      </c>
      <c r="D267" s="23" t="s">
        <v>27</v>
      </c>
      <c r="E267" s="24" t="s">
        <v>130</v>
      </c>
      <c r="F267" s="19" t="s">
        <v>55</v>
      </c>
      <c r="G267" s="11" t="s">
        <v>2276</v>
      </c>
      <c r="H267" s="11" t="s">
        <v>524</v>
      </c>
      <c r="I267" s="3">
        <v>1990</v>
      </c>
      <c r="J267" s="21">
        <v>0</v>
      </c>
      <c r="K267" s="21">
        <v>0</v>
      </c>
      <c r="L267" s="21">
        <v>0</v>
      </c>
      <c r="M267" s="21">
        <v>0</v>
      </c>
      <c r="N267" s="21">
        <v>0</v>
      </c>
      <c r="O267" s="21">
        <v>0</v>
      </c>
      <c r="P267" s="21">
        <v>0</v>
      </c>
      <c r="Q267" s="21" t="s">
        <v>2276</v>
      </c>
      <c r="R267" s="21" t="s">
        <v>2276</v>
      </c>
      <c r="S267" s="21">
        <v>0</v>
      </c>
      <c r="T267" s="21">
        <v>0</v>
      </c>
      <c r="U267" s="21">
        <v>0</v>
      </c>
      <c r="V267" s="21">
        <v>0</v>
      </c>
      <c r="W267" s="21">
        <v>0</v>
      </c>
      <c r="X267" s="21">
        <v>0</v>
      </c>
      <c r="Y267" s="21" t="s">
        <v>2276</v>
      </c>
      <c r="Z267" s="3" t="s">
        <v>2276</v>
      </c>
      <c r="AA267" s="3" t="s">
        <v>2276</v>
      </c>
      <c r="AB267" s="3" t="s">
        <v>2276</v>
      </c>
      <c r="AC267" s="3"/>
      <c r="AD267" s="4"/>
    </row>
    <row r="268" spans="1:30" ht="47.5" customHeight="1">
      <c r="A268" s="11" t="s">
        <v>498</v>
      </c>
      <c r="B268" s="33" t="s">
        <v>502</v>
      </c>
      <c r="C268" s="23" t="s">
        <v>24</v>
      </c>
      <c r="D268" s="23" t="s">
        <v>27</v>
      </c>
      <c r="E268" s="4" t="s">
        <v>397</v>
      </c>
      <c r="F268" s="19" t="s">
        <v>28</v>
      </c>
      <c r="G268" s="11" t="s">
        <v>2276</v>
      </c>
      <c r="H268" s="11" t="s">
        <v>524</v>
      </c>
      <c r="I268" s="3">
        <v>1997</v>
      </c>
      <c r="J268" s="21">
        <v>0</v>
      </c>
      <c r="K268" s="21">
        <v>0</v>
      </c>
      <c r="L268" s="21">
        <v>0</v>
      </c>
      <c r="M268" s="21">
        <v>0</v>
      </c>
      <c r="N268" s="21">
        <v>0</v>
      </c>
      <c r="O268" s="21">
        <v>0</v>
      </c>
      <c r="P268" s="21">
        <v>0</v>
      </c>
      <c r="Q268" s="21" t="s">
        <v>2276</v>
      </c>
      <c r="R268" s="21" t="s">
        <v>2276</v>
      </c>
      <c r="S268" s="21">
        <v>0</v>
      </c>
      <c r="T268" s="21">
        <v>0</v>
      </c>
      <c r="U268" s="21">
        <v>0</v>
      </c>
      <c r="V268" s="21">
        <v>0</v>
      </c>
      <c r="W268" s="21">
        <v>0</v>
      </c>
      <c r="X268" s="21">
        <v>0</v>
      </c>
      <c r="Y268" s="21" t="s">
        <v>2276</v>
      </c>
      <c r="Z268" s="3" t="s">
        <v>2276</v>
      </c>
      <c r="AA268" s="3" t="s">
        <v>2276</v>
      </c>
      <c r="AB268" s="3" t="s">
        <v>2276</v>
      </c>
      <c r="AC268" s="3"/>
      <c r="AD268" s="4"/>
    </row>
    <row r="269" spans="1:30" ht="34.5" customHeight="1">
      <c r="A269" s="11" t="s">
        <v>498</v>
      </c>
      <c r="B269" s="35" t="s">
        <v>503</v>
      </c>
      <c r="C269" s="36" t="s">
        <v>24</v>
      </c>
      <c r="D269" s="36" t="s">
        <v>27</v>
      </c>
      <c r="E269" s="37" t="s">
        <v>130</v>
      </c>
      <c r="F269" s="55" t="s">
        <v>55</v>
      </c>
      <c r="G269" s="11" t="s">
        <v>2276</v>
      </c>
      <c r="H269" s="11" t="s">
        <v>524</v>
      </c>
      <c r="I269" s="3">
        <v>1997</v>
      </c>
      <c r="J269" s="73">
        <v>0</v>
      </c>
      <c r="K269" s="73">
        <v>0</v>
      </c>
      <c r="L269" s="73">
        <v>0</v>
      </c>
      <c r="M269" s="73">
        <v>0</v>
      </c>
      <c r="N269" s="73">
        <v>0</v>
      </c>
      <c r="O269" s="73">
        <v>0</v>
      </c>
      <c r="P269" s="73">
        <v>0</v>
      </c>
      <c r="Q269" s="21" t="s">
        <v>2276</v>
      </c>
      <c r="R269" s="21" t="s">
        <v>2276</v>
      </c>
      <c r="S269" s="73">
        <v>0</v>
      </c>
      <c r="T269" s="73">
        <v>0</v>
      </c>
      <c r="U269" s="73">
        <v>0</v>
      </c>
      <c r="V269" s="73">
        <v>0</v>
      </c>
      <c r="W269" s="73">
        <v>0</v>
      </c>
      <c r="X269" s="73">
        <v>0</v>
      </c>
      <c r="Y269" s="21" t="s">
        <v>2276</v>
      </c>
      <c r="Z269" s="3" t="s">
        <v>2276</v>
      </c>
      <c r="AA269" s="3" t="s">
        <v>2276</v>
      </c>
      <c r="AB269" s="3" t="s">
        <v>2276</v>
      </c>
      <c r="AC269" s="3"/>
      <c r="AD269" s="4"/>
    </row>
    <row r="270" spans="1:30" ht="52" customHeight="1">
      <c r="A270" s="11" t="s">
        <v>498</v>
      </c>
      <c r="B270" s="11" t="s">
        <v>504</v>
      </c>
      <c r="C270" s="23" t="s">
        <v>24</v>
      </c>
      <c r="D270" s="23" t="s">
        <v>27</v>
      </c>
      <c r="E270" s="24" t="s">
        <v>130</v>
      </c>
      <c r="F270" s="19" t="s">
        <v>161</v>
      </c>
      <c r="G270" s="11" t="s">
        <v>2276</v>
      </c>
      <c r="H270" s="19" t="s">
        <v>523</v>
      </c>
      <c r="I270" s="3">
        <v>1997</v>
      </c>
      <c r="J270" s="21" t="s">
        <v>2276</v>
      </c>
      <c r="K270" s="21" t="s">
        <v>2276</v>
      </c>
      <c r="L270" s="21" t="s">
        <v>2276</v>
      </c>
      <c r="M270" s="21" t="s">
        <v>2276</v>
      </c>
      <c r="N270" s="21" t="s">
        <v>2276</v>
      </c>
      <c r="O270" s="21" t="s">
        <v>2276</v>
      </c>
      <c r="P270" s="21" t="s">
        <v>2276</v>
      </c>
      <c r="Q270" s="21" t="s">
        <v>2276</v>
      </c>
      <c r="R270" s="21" t="s">
        <v>2276</v>
      </c>
      <c r="S270" s="21" t="s">
        <v>2276</v>
      </c>
      <c r="T270" s="21" t="s">
        <v>2276</v>
      </c>
      <c r="U270" s="21" t="s">
        <v>2276</v>
      </c>
      <c r="V270" s="21" t="s">
        <v>2276</v>
      </c>
      <c r="W270" s="21" t="s">
        <v>2276</v>
      </c>
      <c r="X270" s="21" t="s">
        <v>2276</v>
      </c>
      <c r="Y270" s="21">
        <v>7</v>
      </c>
      <c r="Z270" s="3" t="s">
        <v>68</v>
      </c>
      <c r="AA270" s="3" t="s">
        <v>35</v>
      </c>
      <c r="AB270" s="3" t="s">
        <v>64</v>
      </c>
      <c r="AC270" s="3"/>
      <c r="AD270" s="4" t="s">
        <v>2412</v>
      </c>
    </row>
    <row r="271" spans="1:30" ht="41.5" customHeight="1">
      <c r="A271" s="11" t="s">
        <v>499</v>
      </c>
      <c r="B271" s="33" t="s">
        <v>505</v>
      </c>
      <c r="C271" s="23" t="s">
        <v>24</v>
      </c>
      <c r="D271" s="23" t="s">
        <v>27</v>
      </c>
      <c r="E271" s="4" t="s">
        <v>397</v>
      </c>
      <c r="F271" s="19" t="s">
        <v>28</v>
      </c>
      <c r="G271" s="11" t="s">
        <v>2276</v>
      </c>
      <c r="H271" s="11" t="s">
        <v>524</v>
      </c>
      <c r="I271" s="3">
        <v>1990</v>
      </c>
      <c r="J271" s="21">
        <v>0</v>
      </c>
      <c r="K271" s="21">
        <v>0</v>
      </c>
      <c r="L271" s="21">
        <v>0</v>
      </c>
      <c r="M271" s="21">
        <v>0</v>
      </c>
      <c r="N271" s="21">
        <v>0</v>
      </c>
      <c r="O271" s="21">
        <v>0</v>
      </c>
      <c r="P271" s="21">
        <v>0</v>
      </c>
      <c r="Q271" s="21" t="s">
        <v>2276</v>
      </c>
      <c r="R271" s="21" t="s">
        <v>2276</v>
      </c>
      <c r="S271" s="21">
        <v>0</v>
      </c>
      <c r="T271" s="21">
        <v>0</v>
      </c>
      <c r="U271" s="21">
        <v>0</v>
      </c>
      <c r="V271" s="21">
        <v>0</v>
      </c>
      <c r="W271" s="21">
        <v>0</v>
      </c>
      <c r="X271" s="21">
        <v>0</v>
      </c>
      <c r="Y271" s="21" t="s">
        <v>2276</v>
      </c>
      <c r="Z271" s="3" t="s">
        <v>2276</v>
      </c>
      <c r="AA271" s="3" t="s">
        <v>2276</v>
      </c>
      <c r="AB271" s="3" t="s">
        <v>2276</v>
      </c>
      <c r="AC271" s="3"/>
      <c r="AD271" s="4"/>
    </row>
    <row r="272" spans="1:30" ht="39.5" customHeight="1">
      <c r="A272" s="11" t="s">
        <v>499</v>
      </c>
      <c r="B272" s="35" t="s">
        <v>506</v>
      </c>
      <c r="C272" s="36" t="s">
        <v>24</v>
      </c>
      <c r="D272" s="36" t="s">
        <v>27</v>
      </c>
      <c r="E272" s="37" t="s">
        <v>130</v>
      </c>
      <c r="F272" s="55" t="s">
        <v>55</v>
      </c>
      <c r="G272" s="11" t="s">
        <v>2276</v>
      </c>
      <c r="H272" s="11" t="s">
        <v>524</v>
      </c>
      <c r="I272" s="3">
        <v>1990</v>
      </c>
      <c r="J272" s="73">
        <v>0</v>
      </c>
      <c r="K272" s="73">
        <v>0</v>
      </c>
      <c r="L272" s="73">
        <v>0</v>
      </c>
      <c r="M272" s="73">
        <v>0</v>
      </c>
      <c r="N272" s="73">
        <v>0</v>
      </c>
      <c r="O272" s="73">
        <v>0</v>
      </c>
      <c r="P272" s="73">
        <v>0</v>
      </c>
      <c r="Q272" s="21" t="s">
        <v>2276</v>
      </c>
      <c r="R272" s="21" t="s">
        <v>2276</v>
      </c>
      <c r="S272" s="73">
        <v>0</v>
      </c>
      <c r="T272" s="73">
        <v>0</v>
      </c>
      <c r="U272" s="73">
        <v>0</v>
      </c>
      <c r="V272" s="73">
        <v>0</v>
      </c>
      <c r="W272" s="73">
        <v>0</v>
      </c>
      <c r="X272" s="73">
        <v>0</v>
      </c>
      <c r="Y272" s="21" t="s">
        <v>2276</v>
      </c>
      <c r="Z272" s="3" t="s">
        <v>2276</v>
      </c>
      <c r="AA272" s="3" t="s">
        <v>2276</v>
      </c>
      <c r="AB272" s="3" t="s">
        <v>2276</v>
      </c>
      <c r="AC272" s="3"/>
      <c r="AD272" s="4"/>
    </row>
    <row r="273" spans="1:30" ht="59" customHeight="1">
      <c r="A273" s="11" t="s">
        <v>499</v>
      </c>
      <c r="B273" s="11" t="s">
        <v>507</v>
      </c>
      <c r="C273" s="23" t="s">
        <v>24</v>
      </c>
      <c r="D273" s="23" t="s">
        <v>27</v>
      </c>
      <c r="E273" s="24" t="s">
        <v>130</v>
      </c>
      <c r="F273" s="19" t="s">
        <v>161</v>
      </c>
      <c r="G273" s="11" t="s">
        <v>2276</v>
      </c>
      <c r="H273" s="19" t="s">
        <v>523</v>
      </c>
      <c r="I273" s="3">
        <v>1990</v>
      </c>
      <c r="J273" s="21" t="s">
        <v>2276</v>
      </c>
      <c r="K273" s="21" t="s">
        <v>2276</v>
      </c>
      <c r="L273" s="21" t="s">
        <v>2276</v>
      </c>
      <c r="M273" s="21" t="s">
        <v>2276</v>
      </c>
      <c r="N273" s="21" t="s">
        <v>2276</v>
      </c>
      <c r="O273" s="21" t="s">
        <v>2276</v>
      </c>
      <c r="P273" s="21" t="s">
        <v>2276</v>
      </c>
      <c r="Q273" s="21" t="s">
        <v>2276</v>
      </c>
      <c r="R273" s="21" t="s">
        <v>2276</v>
      </c>
      <c r="S273" s="21" t="s">
        <v>2276</v>
      </c>
      <c r="T273" s="21" t="s">
        <v>2276</v>
      </c>
      <c r="U273" s="21" t="s">
        <v>2276</v>
      </c>
      <c r="V273" s="21" t="s">
        <v>2276</v>
      </c>
      <c r="W273" s="21" t="s">
        <v>2276</v>
      </c>
      <c r="X273" s="21" t="s">
        <v>2276</v>
      </c>
      <c r="Y273" s="21">
        <v>12</v>
      </c>
      <c r="Z273" s="3" t="s">
        <v>68</v>
      </c>
      <c r="AA273" s="3" t="s">
        <v>35</v>
      </c>
      <c r="AB273" s="3" t="s">
        <v>64</v>
      </c>
      <c r="AC273" s="3"/>
      <c r="AD273" s="4" t="s">
        <v>2412</v>
      </c>
    </row>
    <row r="274" spans="1:30" ht="154.5" customHeight="1">
      <c r="A274" s="11" t="s">
        <v>509</v>
      </c>
      <c r="B274" s="11" t="s">
        <v>2309</v>
      </c>
      <c r="C274" s="23" t="s">
        <v>24</v>
      </c>
      <c r="D274" s="23" t="s">
        <v>1245</v>
      </c>
      <c r="E274" s="24" t="s">
        <v>116</v>
      </c>
      <c r="F274" s="19" t="s">
        <v>161</v>
      </c>
      <c r="G274" s="11" t="s">
        <v>2276</v>
      </c>
      <c r="H274" s="19" t="s">
        <v>523</v>
      </c>
      <c r="I274" s="3"/>
      <c r="J274" s="21" t="s">
        <v>2276</v>
      </c>
      <c r="K274" s="21" t="s">
        <v>2276</v>
      </c>
      <c r="L274" s="21" t="s">
        <v>2276</v>
      </c>
      <c r="M274" s="21" t="s">
        <v>2276</v>
      </c>
      <c r="N274" s="21" t="s">
        <v>2276</v>
      </c>
      <c r="O274" s="21" t="s">
        <v>2276</v>
      </c>
      <c r="P274" s="21" t="s">
        <v>2276</v>
      </c>
      <c r="Q274" s="21" t="s">
        <v>2276</v>
      </c>
      <c r="R274" s="21" t="s">
        <v>2276</v>
      </c>
      <c r="S274" s="21" t="s">
        <v>2276</v>
      </c>
      <c r="T274" s="21" t="s">
        <v>2276</v>
      </c>
      <c r="U274" s="21" t="s">
        <v>2276</v>
      </c>
      <c r="V274" s="21" t="s">
        <v>2276</v>
      </c>
      <c r="W274" s="21" t="s">
        <v>2276</v>
      </c>
      <c r="X274" s="21" t="s">
        <v>2276</v>
      </c>
      <c r="Y274" s="21" t="s">
        <v>2276</v>
      </c>
      <c r="Z274" s="3" t="s">
        <v>2276</v>
      </c>
      <c r="AA274" s="3" t="s">
        <v>2276</v>
      </c>
      <c r="AB274" s="3" t="s">
        <v>2312</v>
      </c>
      <c r="AC274" s="4" t="s">
        <v>2313</v>
      </c>
      <c r="AD274" s="4" t="s">
        <v>2323</v>
      </c>
    </row>
    <row r="275" spans="1:30" ht="138" customHeight="1">
      <c r="A275" s="11" t="s">
        <v>509</v>
      </c>
      <c r="B275" s="11" t="s">
        <v>2310</v>
      </c>
      <c r="C275" s="23" t="s">
        <v>24</v>
      </c>
      <c r="D275" s="23" t="s">
        <v>1245</v>
      </c>
      <c r="E275" s="24" t="s">
        <v>116</v>
      </c>
      <c r="F275" s="19" t="s">
        <v>74</v>
      </c>
      <c r="G275" s="11" t="s">
        <v>2276</v>
      </c>
      <c r="H275" s="19" t="s">
        <v>523</v>
      </c>
      <c r="I275" s="3"/>
      <c r="J275" s="21" t="s">
        <v>2276</v>
      </c>
      <c r="K275" s="21" t="s">
        <v>2276</v>
      </c>
      <c r="L275" s="21" t="s">
        <v>2276</v>
      </c>
      <c r="M275" s="21" t="s">
        <v>2276</v>
      </c>
      <c r="N275" s="21" t="s">
        <v>2276</v>
      </c>
      <c r="O275" s="21" t="s">
        <v>2276</v>
      </c>
      <c r="P275" s="21" t="s">
        <v>2276</v>
      </c>
      <c r="Q275" s="21" t="s">
        <v>2276</v>
      </c>
      <c r="R275" s="21" t="s">
        <v>2276</v>
      </c>
      <c r="S275" s="21" t="s">
        <v>2276</v>
      </c>
      <c r="T275" s="21" t="s">
        <v>2276</v>
      </c>
      <c r="U275" s="21" t="s">
        <v>2276</v>
      </c>
      <c r="V275" s="21" t="s">
        <v>2276</v>
      </c>
      <c r="W275" s="21" t="s">
        <v>2276</v>
      </c>
      <c r="X275" s="21" t="s">
        <v>2276</v>
      </c>
      <c r="Y275" s="21" t="s">
        <v>2276</v>
      </c>
      <c r="Z275" s="3" t="s">
        <v>2276</v>
      </c>
      <c r="AA275" s="3" t="s">
        <v>2276</v>
      </c>
      <c r="AB275" s="3" t="s">
        <v>2312</v>
      </c>
      <c r="AC275" s="4" t="s">
        <v>2313</v>
      </c>
      <c r="AD275" s="4" t="s">
        <v>2324</v>
      </c>
    </row>
    <row r="276" spans="1:30" ht="108" customHeight="1">
      <c r="A276" s="11" t="s">
        <v>509</v>
      </c>
      <c r="B276" s="11" t="s">
        <v>2311</v>
      </c>
      <c r="C276" s="23" t="s">
        <v>24</v>
      </c>
      <c r="D276" s="23" t="s">
        <v>143</v>
      </c>
      <c r="E276" s="24" t="s">
        <v>1105</v>
      </c>
      <c r="F276" s="19" t="s">
        <v>74</v>
      </c>
      <c r="G276" s="11" t="s">
        <v>2276</v>
      </c>
      <c r="H276" s="19" t="s">
        <v>524</v>
      </c>
      <c r="I276" s="3"/>
      <c r="J276" s="21">
        <v>0</v>
      </c>
      <c r="K276" s="21">
        <v>0</v>
      </c>
      <c r="L276" s="21">
        <v>0</v>
      </c>
      <c r="M276" s="21">
        <v>0</v>
      </c>
      <c r="N276" s="21">
        <v>0</v>
      </c>
      <c r="O276" s="21">
        <v>0</v>
      </c>
      <c r="P276" s="21">
        <v>0</v>
      </c>
      <c r="Q276" s="21" t="s">
        <v>2276</v>
      </c>
      <c r="R276" s="21" t="s">
        <v>2276</v>
      </c>
      <c r="S276" s="21">
        <v>0</v>
      </c>
      <c r="T276" s="21">
        <v>0</v>
      </c>
      <c r="U276" s="21">
        <v>0</v>
      </c>
      <c r="V276" s="21">
        <v>0</v>
      </c>
      <c r="W276" s="21">
        <v>0</v>
      </c>
      <c r="X276" s="21">
        <v>0</v>
      </c>
      <c r="Y276" s="21">
        <v>0</v>
      </c>
      <c r="Z276" s="3" t="s">
        <v>2276</v>
      </c>
      <c r="AA276" s="3" t="s">
        <v>2276</v>
      </c>
      <c r="AB276" s="3"/>
      <c r="AC276" s="4" t="s">
        <v>2314</v>
      </c>
      <c r="AD276" s="4"/>
    </row>
    <row r="277" spans="1:30" ht="147" customHeight="1">
      <c r="A277" s="11" t="s">
        <v>2315</v>
      </c>
      <c r="B277" s="11" t="s">
        <v>2317</v>
      </c>
      <c r="C277" s="23" t="s">
        <v>24</v>
      </c>
      <c r="D277" s="23" t="s">
        <v>2305</v>
      </c>
      <c r="E277" s="24" t="s">
        <v>116</v>
      </c>
      <c r="F277" s="19" t="s">
        <v>161</v>
      </c>
      <c r="G277" s="11" t="s">
        <v>2276</v>
      </c>
      <c r="H277" s="19" t="s">
        <v>523</v>
      </c>
      <c r="I277" s="3"/>
      <c r="J277" s="21" t="s">
        <v>2276</v>
      </c>
      <c r="K277" s="21" t="s">
        <v>2276</v>
      </c>
      <c r="L277" s="21" t="s">
        <v>2276</v>
      </c>
      <c r="M277" s="21" t="s">
        <v>2276</v>
      </c>
      <c r="N277" s="21" t="s">
        <v>2276</v>
      </c>
      <c r="O277" s="21" t="s">
        <v>2276</v>
      </c>
      <c r="P277" s="21" t="s">
        <v>2276</v>
      </c>
      <c r="Q277" s="21" t="s">
        <v>2276</v>
      </c>
      <c r="R277" s="21" t="s">
        <v>2276</v>
      </c>
      <c r="S277" s="21" t="s">
        <v>2276</v>
      </c>
      <c r="T277" s="21" t="s">
        <v>2276</v>
      </c>
      <c r="U277" s="21" t="s">
        <v>2276</v>
      </c>
      <c r="V277" s="21" t="s">
        <v>2276</v>
      </c>
      <c r="W277" s="21" t="s">
        <v>2276</v>
      </c>
      <c r="X277" s="21" t="s">
        <v>2276</v>
      </c>
      <c r="Y277" s="21" t="s">
        <v>2276</v>
      </c>
      <c r="Z277" s="3" t="s">
        <v>2276</v>
      </c>
      <c r="AA277" s="3" t="s">
        <v>2276</v>
      </c>
      <c r="AB277" s="3" t="s">
        <v>2312</v>
      </c>
      <c r="AC277" s="4" t="s">
        <v>2313</v>
      </c>
      <c r="AD277" s="4" t="s">
        <v>2325</v>
      </c>
    </row>
    <row r="278" spans="1:30" ht="138" customHeight="1">
      <c r="A278" s="11" t="s">
        <v>2315</v>
      </c>
      <c r="B278" s="11" t="s">
        <v>2318</v>
      </c>
      <c r="C278" s="23" t="s">
        <v>24</v>
      </c>
      <c r="D278" s="23" t="s">
        <v>2305</v>
      </c>
      <c r="E278" s="24" t="s">
        <v>116</v>
      </c>
      <c r="F278" s="19" t="s">
        <v>74</v>
      </c>
      <c r="G278" s="11" t="s">
        <v>2276</v>
      </c>
      <c r="H278" s="19" t="s">
        <v>523</v>
      </c>
      <c r="I278" s="3"/>
      <c r="J278" s="21" t="s">
        <v>2276</v>
      </c>
      <c r="K278" s="21" t="s">
        <v>2276</v>
      </c>
      <c r="L278" s="21" t="s">
        <v>2276</v>
      </c>
      <c r="M278" s="21" t="s">
        <v>2276</v>
      </c>
      <c r="N278" s="21" t="s">
        <v>2276</v>
      </c>
      <c r="O278" s="21" t="s">
        <v>2276</v>
      </c>
      <c r="P278" s="21" t="s">
        <v>2276</v>
      </c>
      <c r="Q278" s="21" t="s">
        <v>2276</v>
      </c>
      <c r="R278" s="21" t="s">
        <v>2276</v>
      </c>
      <c r="S278" s="21" t="s">
        <v>2276</v>
      </c>
      <c r="T278" s="21" t="s">
        <v>2276</v>
      </c>
      <c r="U278" s="21" t="s">
        <v>2276</v>
      </c>
      <c r="V278" s="21" t="s">
        <v>2276</v>
      </c>
      <c r="W278" s="21" t="s">
        <v>2276</v>
      </c>
      <c r="X278" s="21" t="s">
        <v>2276</v>
      </c>
      <c r="Y278" s="21" t="s">
        <v>2276</v>
      </c>
      <c r="Z278" s="3" t="s">
        <v>2276</v>
      </c>
      <c r="AA278" s="3" t="s">
        <v>2276</v>
      </c>
      <c r="AB278" s="3" t="s">
        <v>2312</v>
      </c>
      <c r="AC278" s="4" t="s">
        <v>2313</v>
      </c>
      <c r="AD278" s="4" t="s">
        <v>2326</v>
      </c>
    </row>
    <row r="279" spans="1:30" ht="138" customHeight="1">
      <c r="A279" s="11" t="s">
        <v>2315</v>
      </c>
      <c r="B279" s="11" t="s">
        <v>2319</v>
      </c>
      <c r="C279" s="23" t="s">
        <v>24</v>
      </c>
      <c r="D279" s="23" t="s">
        <v>143</v>
      </c>
      <c r="E279" s="24" t="s">
        <v>1105</v>
      </c>
      <c r="F279" s="19" t="s">
        <v>74</v>
      </c>
      <c r="G279" s="11" t="s">
        <v>2276</v>
      </c>
      <c r="H279" s="19" t="s">
        <v>524</v>
      </c>
      <c r="I279" s="3"/>
      <c r="J279" s="21">
        <v>0</v>
      </c>
      <c r="K279" s="21">
        <v>0</v>
      </c>
      <c r="L279" s="21">
        <v>0</v>
      </c>
      <c r="M279" s="21">
        <v>0</v>
      </c>
      <c r="N279" s="21">
        <v>0</v>
      </c>
      <c r="O279" s="21">
        <v>0</v>
      </c>
      <c r="P279" s="21">
        <v>0</v>
      </c>
      <c r="Q279" s="21" t="s">
        <v>2276</v>
      </c>
      <c r="R279" s="21" t="s">
        <v>2276</v>
      </c>
      <c r="S279" s="21">
        <v>0</v>
      </c>
      <c r="T279" s="21">
        <v>0</v>
      </c>
      <c r="U279" s="21">
        <v>0</v>
      </c>
      <c r="V279" s="21">
        <v>0</v>
      </c>
      <c r="W279" s="21">
        <v>0</v>
      </c>
      <c r="X279" s="21">
        <v>0</v>
      </c>
      <c r="Y279" s="21">
        <v>0</v>
      </c>
      <c r="Z279" s="3" t="s">
        <v>2276</v>
      </c>
      <c r="AA279" s="3" t="s">
        <v>2276</v>
      </c>
      <c r="AB279" s="3"/>
      <c r="AC279" s="4" t="s">
        <v>2314</v>
      </c>
      <c r="AD279" s="4"/>
    </row>
    <row r="280" spans="1:30" ht="152" customHeight="1">
      <c r="A280" s="11" t="s">
        <v>2316</v>
      </c>
      <c r="B280" s="11" t="s">
        <v>2320</v>
      </c>
      <c r="C280" s="23" t="s">
        <v>24</v>
      </c>
      <c r="D280" s="23" t="s">
        <v>2305</v>
      </c>
      <c r="E280" s="24" t="s">
        <v>116</v>
      </c>
      <c r="F280" s="19" t="s">
        <v>161</v>
      </c>
      <c r="G280" s="11" t="s">
        <v>2276</v>
      </c>
      <c r="H280" s="19" t="s">
        <v>523</v>
      </c>
      <c r="I280" s="3"/>
      <c r="J280" s="21" t="s">
        <v>2276</v>
      </c>
      <c r="K280" s="21" t="s">
        <v>2276</v>
      </c>
      <c r="L280" s="21" t="s">
        <v>2276</v>
      </c>
      <c r="M280" s="21" t="s">
        <v>2276</v>
      </c>
      <c r="N280" s="21" t="s">
        <v>2276</v>
      </c>
      <c r="O280" s="21" t="s">
        <v>2276</v>
      </c>
      <c r="P280" s="21" t="s">
        <v>2276</v>
      </c>
      <c r="Q280" s="21" t="s">
        <v>2276</v>
      </c>
      <c r="R280" s="21" t="s">
        <v>2276</v>
      </c>
      <c r="S280" s="21" t="s">
        <v>2276</v>
      </c>
      <c r="T280" s="21" t="s">
        <v>2276</v>
      </c>
      <c r="U280" s="21" t="s">
        <v>2276</v>
      </c>
      <c r="V280" s="21" t="s">
        <v>2276</v>
      </c>
      <c r="W280" s="21" t="s">
        <v>2276</v>
      </c>
      <c r="X280" s="21" t="s">
        <v>2276</v>
      </c>
      <c r="Y280" s="21" t="s">
        <v>2276</v>
      </c>
      <c r="Z280" s="3" t="s">
        <v>2276</v>
      </c>
      <c r="AA280" s="3" t="s">
        <v>2276</v>
      </c>
      <c r="AB280" s="3" t="s">
        <v>2312</v>
      </c>
      <c r="AC280" s="4" t="s">
        <v>2313</v>
      </c>
      <c r="AD280" s="4" t="s">
        <v>2327</v>
      </c>
    </row>
    <row r="281" spans="1:30" ht="138" customHeight="1">
      <c r="A281" s="11" t="s">
        <v>2316</v>
      </c>
      <c r="B281" s="11" t="s">
        <v>2321</v>
      </c>
      <c r="C281" s="23" t="s">
        <v>24</v>
      </c>
      <c r="D281" s="23" t="s">
        <v>2305</v>
      </c>
      <c r="E281" s="24" t="s">
        <v>116</v>
      </c>
      <c r="F281" s="19" t="s">
        <v>74</v>
      </c>
      <c r="G281" s="11" t="s">
        <v>2276</v>
      </c>
      <c r="H281" s="19" t="s">
        <v>523</v>
      </c>
      <c r="I281" s="3"/>
      <c r="J281" s="21" t="s">
        <v>2276</v>
      </c>
      <c r="K281" s="21" t="s">
        <v>2276</v>
      </c>
      <c r="L281" s="21" t="s">
        <v>2276</v>
      </c>
      <c r="M281" s="21" t="s">
        <v>2276</v>
      </c>
      <c r="N281" s="21" t="s">
        <v>2276</v>
      </c>
      <c r="O281" s="21" t="s">
        <v>2276</v>
      </c>
      <c r="P281" s="21" t="s">
        <v>2276</v>
      </c>
      <c r="Q281" s="21" t="s">
        <v>2276</v>
      </c>
      <c r="R281" s="21" t="s">
        <v>2276</v>
      </c>
      <c r="S281" s="21" t="s">
        <v>2276</v>
      </c>
      <c r="T281" s="21" t="s">
        <v>2276</v>
      </c>
      <c r="U281" s="21" t="s">
        <v>2276</v>
      </c>
      <c r="V281" s="21" t="s">
        <v>2276</v>
      </c>
      <c r="W281" s="21" t="s">
        <v>2276</v>
      </c>
      <c r="X281" s="21" t="s">
        <v>2276</v>
      </c>
      <c r="Y281" s="21" t="s">
        <v>2276</v>
      </c>
      <c r="Z281" s="3" t="s">
        <v>2276</v>
      </c>
      <c r="AA281" s="3" t="s">
        <v>2276</v>
      </c>
      <c r="AB281" s="3" t="s">
        <v>2312</v>
      </c>
      <c r="AC281" s="4" t="s">
        <v>2313</v>
      </c>
      <c r="AD281" s="4" t="s">
        <v>5014</v>
      </c>
    </row>
    <row r="282" spans="1:30" ht="138" customHeight="1">
      <c r="A282" s="11" t="s">
        <v>2316</v>
      </c>
      <c r="B282" s="11" t="s">
        <v>2322</v>
      </c>
      <c r="C282" s="23" t="s">
        <v>24</v>
      </c>
      <c r="D282" s="23" t="s">
        <v>143</v>
      </c>
      <c r="E282" s="24" t="s">
        <v>1105</v>
      </c>
      <c r="F282" s="19" t="s">
        <v>74</v>
      </c>
      <c r="G282" s="11" t="s">
        <v>2276</v>
      </c>
      <c r="H282" s="19" t="s">
        <v>524</v>
      </c>
      <c r="I282" s="3"/>
      <c r="J282" s="21">
        <v>0</v>
      </c>
      <c r="K282" s="21">
        <v>0</v>
      </c>
      <c r="L282" s="21">
        <v>0</v>
      </c>
      <c r="M282" s="21">
        <v>0</v>
      </c>
      <c r="N282" s="21">
        <v>0</v>
      </c>
      <c r="O282" s="21">
        <v>0</v>
      </c>
      <c r="P282" s="21">
        <v>0</v>
      </c>
      <c r="Q282" s="21" t="s">
        <v>2276</v>
      </c>
      <c r="R282" s="21" t="s">
        <v>2276</v>
      </c>
      <c r="S282" s="21">
        <v>0</v>
      </c>
      <c r="T282" s="21">
        <v>0</v>
      </c>
      <c r="U282" s="21">
        <v>0</v>
      </c>
      <c r="V282" s="21">
        <v>0</v>
      </c>
      <c r="W282" s="21">
        <v>0</v>
      </c>
      <c r="X282" s="21">
        <v>0</v>
      </c>
      <c r="Y282" s="21">
        <v>0</v>
      </c>
      <c r="Z282" s="3" t="s">
        <v>2276</v>
      </c>
      <c r="AA282" s="3" t="s">
        <v>2276</v>
      </c>
      <c r="AB282" s="3"/>
      <c r="AC282" s="4" t="s">
        <v>2314</v>
      </c>
      <c r="AD282" s="4"/>
    </row>
    <row r="283" spans="1:30" ht="75" customHeight="1">
      <c r="A283" s="11" t="s">
        <v>510</v>
      </c>
      <c r="B283" s="11" t="s">
        <v>514</v>
      </c>
      <c r="C283" s="23" t="s">
        <v>24</v>
      </c>
      <c r="D283" s="23" t="s">
        <v>27</v>
      </c>
      <c r="E283" s="24" t="s">
        <v>130</v>
      </c>
      <c r="F283" s="19" t="s">
        <v>161</v>
      </c>
      <c r="G283" s="11" t="s">
        <v>2276</v>
      </c>
      <c r="H283" s="19" t="s">
        <v>523</v>
      </c>
      <c r="I283" s="3"/>
      <c r="J283" s="21" t="s">
        <v>2276</v>
      </c>
      <c r="K283" s="21" t="s">
        <v>2276</v>
      </c>
      <c r="L283" s="21" t="s">
        <v>2276</v>
      </c>
      <c r="M283" s="21" t="s">
        <v>2276</v>
      </c>
      <c r="N283" s="21" t="s">
        <v>2276</v>
      </c>
      <c r="O283" s="21" t="s">
        <v>2276</v>
      </c>
      <c r="P283" s="21" t="s">
        <v>2276</v>
      </c>
      <c r="Q283" s="21" t="s">
        <v>2276</v>
      </c>
      <c r="R283" s="21" t="s">
        <v>2276</v>
      </c>
      <c r="S283" s="21" t="s">
        <v>2276</v>
      </c>
      <c r="T283" s="21" t="s">
        <v>2276</v>
      </c>
      <c r="U283" s="21" t="s">
        <v>2276</v>
      </c>
      <c r="V283" s="21" t="s">
        <v>2276</v>
      </c>
      <c r="W283" s="21" t="s">
        <v>2276</v>
      </c>
      <c r="X283" s="21" t="s">
        <v>2276</v>
      </c>
      <c r="Y283" s="21">
        <v>8</v>
      </c>
      <c r="Z283" s="3" t="s">
        <v>2276</v>
      </c>
      <c r="AA283" s="3" t="s">
        <v>2276</v>
      </c>
      <c r="AB283" s="3" t="s">
        <v>2276</v>
      </c>
      <c r="AC283" s="4" t="s">
        <v>515</v>
      </c>
      <c r="AD283" s="4" t="s">
        <v>1494</v>
      </c>
    </row>
    <row r="284" spans="1:30" ht="109.5" customHeight="1">
      <c r="A284" s="11" t="s">
        <v>510</v>
      </c>
      <c r="B284" s="11" t="s">
        <v>517</v>
      </c>
      <c r="C284" s="23" t="s">
        <v>24</v>
      </c>
      <c r="D284" s="23" t="s">
        <v>27</v>
      </c>
      <c r="E284" s="24" t="s">
        <v>130</v>
      </c>
      <c r="F284" s="19" t="s">
        <v>28</v>
      </c>
      <c r="G284" s="11" t="s">
        <v>2276</v>
      </c>
      <c r="H284" s="19" t="s">
        <v>523</v>
      </c>
      <c r="I284" s="3"/>
      <c r="J284" s="21" t="s">
        <v>2276</v>
      </c>
      <c r="K284" s="21" t="s">
        <v>2276</v>
      </c>
      <c r="L284" s="21" t="s">
        <v>2276</v>
      </c>
      <c r="M284" s="21" t="s">
        <v>2276</v>
      </c>
      <c r="N284" s="21" t="s">
        <v>2276</v>
      </c>
      <c r="O284" s="21" t="s">
        <v>2276</v>
      </c>
      <c r="P284" s="21" t="s">
        <v>2276</v>
      </c>
      <c r="Q284" s="21" t="s">
        <v>2276</v>
      </c>
      <c r="R284" s="21" t="s">
        <v>2276</v>
      </c>
      <c r="S284" s="21" t="s">
        <v>2276</v>
      </c>
      <c r="T284" s="21" t="s">
        <v>2276</v>
      </c>
      <c r="U284" s="21" t="s">
        <v>2276</v>
      </c>
      <c r="V284" s="21" t="s">
        <v>2276</v>
      </c>
      <c r="W284" s="21" t="s">
        <v>2276</v>
      </c>
      <c r="X284" s="21" t="s">
        <v>2276</v>
      </c>
      <c r="Y284" s="21">
        <v>1</v>
      </c>
      <c r="Z284" s="3" t="s">
        <v>2276</v>
      </c>
      <c r="AA284" s="3" t="s">
        <v>2276</v>
      </c>
      <c r="AB284" s="3" t="s">
        <v>2276</v>
      </c>
      <c r="AC284" s="18" t="s">
        <v>516</v>
      </c>
      <c r="AD284" s="3"/>
    </row>
    <row r="285" spans="1:30" ht="79.5" customHeight="1">
      <c r="A285" s="11" t="s">
        <v>510</v>
      </c>
      <c r="B285" s="11" t="s">
        <v>518</v>
      </c>
      <c r="C285" s="23" t="s">
        <v>24</v>
      </c>
      <c r="D285" s="23" t="s">
        <v>27</v>
      </c>
      <c r="E285" s="4" t="s">
        <v>397</v>
      </c>
      <c r="F285" s="19" t="s">
        <v>28</v>
      </c>
      <c r="G285" s="11" t="s">
        <v>2276</v>
      </c>
      <c r="H285" s="19" t="s">
        <v>524</v>
      </c>
      <c r="I285" s="3"/>
      <c r="J285" s="21">
        <v>0</v>
      </c>
      <c r="K285" s="21">
        <v>0</v>
      </c>
      <c r="L285" s="21">
        <v>0</v>
      </c>
      <c r="M285" s="21">
        <v>0</v>
      </c>
      <c r="N285" s="21">
        <v>0</v>
      </c>
      <c r="O285" s="21">
        <v>0</v>
      </c>
      <c r="P285" s="21">
        <v>0</v>
      </c>
      <c r="Q285" s="21" t="s">
        <v>2276</v>
      </c>
      <c r="R285" s="21" t="s">
        <v>2276</v>
      </c>
      <c r="S285" s="21">
        <v>0</v>
      </c>
      <c r="T285" s="21">
        <v>0</v>
      </c>
      <c r="U285" s="21">
        <v>0</v>
      </c>
      <c r="V285" s="21">
        <v>0</v>
      </c>
      <c r="W285" s="21">
        <v>0</v>
      </c>
      <c r="X285" s="21">
        <v>0</v>
      </c>
      <c r="Y285" s="21" t="s">
        <v>2276</v>
      </c>
      <c r="Z285" s="3" t="s">
        <v>2276</v>
      </c>
      <c r="AA285" s="3" t="s">
        <v>2276</v>
      </c>
      <c r="AB285" s="3" t="s">
        <v>2276</v>
      </c>
      <c r="AC285" s="18" t="s">
        <v>519</v>
      </c>
      <c r="AD285" s="3"/>
    </row>
    <row r="286" spans="1:30" ht="135" customHeight="1">
      <c r="A286" s="3" t="s">
        <v>520</v>
      </c>
      <c r="B286" s="3" t="s">
        <v>538</v>
      </c>
      <c r="C286" s="23" t="s">
        <v>24</v>
      </c>
      <c r="D286" s="11" t="s">
        <v>143</v>
      </c>
      <c r="E286" s="24" t="s">
        <v>130</v>
      </c>
      <c r="F286" s="19" t="s">
        <v>74</v>
      </c>
      <c r="G286" s="11" t="s">
        <v>2276</v>
      </c>
      <c r="H286" s="19" t="s">
        <v>523</v>
      </c>
      <c r="I286" s="3"/>
      <c r="J286" s="21" t="s">
        <v>2276</v>
      </c>
      <c r="K286" s="21" t="s">
        <v>2276</v>
      </c>
      <c r="L286" s="21" t="s">
        <v>2276</v>
      </c>
      <c r="M286" s="21" t="s">
        <v>2276</v>
      </c>
      <c r="N286" s="21" t="s">
        <v>2276</v>
      </c>
      <c r="O286" s="21" t="s">
        <v>2276</v>
      </c>
      <c r="P286" s="21" t="s">
        <v>2276</v>
      </c>
      <c r="Q286" s="21" t="s">
        <v>2276</v>
      </c>
      <c r="R286" s="21" t="s">
        <v>2276</v>
      </c>
      <c r="S286" s="21" t="s">
        <v>2276</v>
      </c>
      <c r="T286" s="21" t="s">
        <v>2276</v>
      </c>
      <c r="U286" s="21" t="s">
        <v>2276</v>
      </c>
      <c r="V286" s="21" t="s">
        <v>2276</v>
      </c>
      <c r="W286" s="21" t="s">
        <v>2276</v>
      </c>
      <c r="X286" s="21" t="s">
        <v>2276</v>
      </c>
      <c r="Y286" s="21" t="s">
        <v>2276</v>
      </c>
      <c r="Z286" s="3" t="s">
        <v>2276</v>
      </c>
      <c r="AA286" s="3" t="s">
        <v>2276</v>
      </c>
      <c r="AB286" s="3" t="s">
        <v>2276</v>
      </c>
      <c r="AC286" s="4" t="s">
        <v>540</v>
      </c>
      <c r="AD286" s="4"/>
    </row>
    <row r="287" spans="1:30" ht="75.5" customHeight="1">
      <c r="A287" s="3" t="s">
        <v>520</v>
      </c>
      <c r="B287" s="3" t="s">
        <v>539</v>
      </c>
      <c r="C287" s="23" t="s">
        <v>24</v>
      </c>
      <c r="D287" s="11" t="s">
        <v>143</v>
      </c>
      <c r="E287" s="24" t="s">
        <v>45</v>
      </c>
      <c r="F287" s="19" t="s">
        <v>74</v>
      </c>
      <c r="G287" s="11" t="s">
        <v>2276</v>
      </c>
      <c r="H287" s="19" t="s">
        <v>524</v>
      </c>
      <c r="I287" s="3"/>
      <c r="J287" s="21">
        <v>0</v>
      </c>
      <c r="K287" s="21">
        <v>0</v>
      </c>
      <c r="L287" s="21">
        <v>0</v>
      </c>
      <c r="M287" s="21">
        <v>0</v>
      </c>
      <c r="N287" s="21">
        <v>0</v>
      </c>
      <c r="O287" s="21">
        <v>0</v>
      </c>
      <c r="P287" s="21">
        <v>0</v>
      </c>
      <c r="Q287" s="21" t="s">
        <v>2276</v>
      </c>
      <c r="R287" s="21" t="s">
        <v>2276</v>
      </c>
      <c r="S287" s="21">
        <v>0</v>
      </c>
      <c r="T287" s="21">
        <v>0</v>
      </c>
      <c r="U287" s="21">
        <v>0</v>
      </c>
      <c r="V287" s="21">
        <v>0</v>
      </c>
      <c r="W287" s="21">
        <v>0</v>
      </c>
      <c r="X287" s="21">
        <v>0</v>
      </c>
      <c r="Y287" s="21" t="s">
        <v>2276</v>
      </c>
      <c r="Z287" s="3" t="s">
        <v>2276</v>
      </c>
      <c r="AA287" s="3" t="s">
        <v>2276</v>
      </c>
      <c r="AB287" s="3" t="s">
        <v>2276</v>
      </c>
      <c r="AC287" s="4" t="s">
        <v>542</v>
      </c>
      <c r="AD287" s="4"/>
    </row>
    <row r="288" spans="1:30" ht="132" customHeight="1">
      <c r="A288" s="11" t="s">
        <v>546</v>
      </c>
      <c r="B288" s="11" t="s">
        <v>548</v>
      </c>
      <c r="C288" s="23" t="s">
        <v>24</v>
      </c>
      <c r="D288" s="23" t="s">
        <v>27</v>
      </c>
      <c r="E288" s="26" t="s">
        <v>130</v>
      </c>
      <c r="F288" s="19" t="s">
        <v>2276</v>
      </c>
      <c r="G288" s="19" t="s">
        <v>161</v>
      </c>
      <c r="H288" s="19" t="s">
        <v>523</v>
      </c>
      <c r="I288" s="3">
        <v>1987</v>
      </c>
      <c r="J288" s="21" t="s">
        <v>2276</v>
      </c>
      <c r="K288" s="21" t="s">
        <v>2276</v>
      </c>
      <c r="L288" s="21" t="s">
        <v>2276</v>
      </c>
      <c r="M288" s="21" t="s">
        <v>2276</v>
      </c>
      <c r="N288" s="21" t="s">
        <v>2276</v>
      </c>
      <c r="O288" s="21" t="s">
        <v>2276</v>
      </c>
      <c r="P288" s="21" t="s">
        <v>2276</v>
      </c>
      <c r="Q288" s="21" t="s">
        <v>2276</v>
      </c>
      <c r="R288" s="21" t="s">
        <v>2276</v>
      </c>
      <c r="S288" s="21" t="s">
        <v>2276</v>
      </c>
      <c r="T288" s="21">
        <v>300</v>
      </c>
      <c r="U288" s="21" t="s">
        <v>2276</v>
      </c>
      <c r="V288" s="21">
        <v>17.706738130000002</v>
      </c>
      <c r="W288" s="21" t="s">
        <v>2276</v>
      </c>
      <c r="X288" s="21">
        <v>3.8216561000000003E-2</v>
      </c>
      <c r="Y288" s="21">
        <v>7.4</v>
      </c>
      <c r="Z288" s="3" t="s">
        <v>2276</v>
      </c>
      <c r="AA288" s="3" t="s">
        <v>2276</v>
      </c>
      <c r="AB288" s="3" t="s">
        <v>2276</v>
      </c>
      <c r="AC288" s="4" t="s">
        <v>552</v>
      </c>
      <c r="AD288" s="4" t="s">
        <v>2413</v>
      </c>
    </row>
    <row r="289" spans="1:30" ht="118" customHeight="1">
      <c r="A289" s="11" t="s">
        <v>546</v>
      </c>
      <c r="B289" s="11" t="s">
        <v>549</v>
      </c>
      <c r="C289" s="23" t="s">
        <v>24</v>
      </c>
      <c r="D289" s="11" t="s">
        <v>143</v>
      </c>
      <c r="E289" s="26" t="s">
        <v>130</v>
      </c>
      <c r="F289" s="19" t="s">
        <v>2276</v>
      </c>
      <c r="G289" s="19" t="s">
        <v>74</v>
      </c>
      <c r="H289" s="19" t="s">
        <v>523</v>
      </c>
      <c r="I289" s="3">
        <v>1987</v>
      </c>
      <c r="J289" s="21" t="s">
        <v>2276</v>
      </c>
      <c r="K289" s="21" t="s">
        <v>2276</v>
      </c>
      <c r="L289" s="21" t="s">
        <v>2276</v>
      </c>
      <c r="M289" s="21" t="s">
        <v>2276</v>
      </c>
      <c r="N289" s="21" t="s">
        <v>2276</v>
      </c>
      <c r="O289" s="21" t="s">
        <v>2276</v>
      </c>
      <c r="P289" s="21" t="s">
        <v>2276</v>
      </c>
      <c r="Q289" s="21" t="s">
        <v>2276</v>
      </c>
      <c r="R289" s="21" t="s">
        <v>2276</v>
      </c>
      <c r="S289" s="21" t="s">
        <v>2276</v>
      </c>
      <c r="T289" s="21">
        <v>200</v>
      </c>
      <c r="U289" s="21" t="s">
        <v>2276</v>
      </c>
      <c r="V289" s="21">
        <v>2.5477710000000001E-2</v>
      </c>
      <c r="W289" s="21" t="s">
        <v>2276</v>
      </c>
      <c r="X289" s="21">
        <v>2.5477706999999999E-2</v>
      </c>
      <c r="Y289" s="21" t="s">
        <v>2276</v>
      </c>
      <c r="Z289" s="3" t="s">
        <v>2276</v>
      </c>
      <c r="AA289" s="3" t="s">
        <v>2276</v>
      </c>
      <c r="AB289" s="3" t="s">
        <v>2276</v>
      </c>
      <c r="AC289" s="4" t="s">
        <v>552</v>
      </c>
      <c r="AD289" s="4" t="s">
        <v>2413</v>
      </c>
    </row>
    <row r="290" spans="1:30" ht="121" customHeight="1">
      <c r="A290" s="11" t="s">
        <v>547</v>
      </c>
      <c r="B290" s="11" t="s">
        <v>550</v>
      </c>
      <c r="C290" s="23" t="s">
        <v>24</v>
      </c>
      <c r="D290" s="23" t="s">
        <v>27</v>
      </c>
      <c r="E290" s="26" t="s">
        <v>130</v>
      </c>
      <c r="F290" s="19" t="s">
        <v>2276</v>
      </c>
      <c r="G290" s="19" t="s">
        <v>161</v>
      </c>
      <c r="H290" s="19" t="s">
        <v>523</v>
      </c>
      <c r="I290" s="3">
        <v>2014</v>
      </c>
      <c r="J290" s="21" t="s">
        <v>2276</v>
      </c>
      <c r="K290" s="21" t="s">
        <v>2276</v>
      </c>
      <c r="L290" s="21" t="s">
        <v>2276</v>
      </c>
      <c r="M290" s="21" t="s">
        <v>2276</v>
      </c>
      <c r="N290" s="21" t="s">
        <v>2276</v>
      </c>
      <c r="O290" s="21" t="s">
        <v>2276</v>
      </c>
      <c r="P290" s="21" t="s">
        <v>2276</v>
      </c>
      <c r="Q290" s="21" t="s">
        <v>2276</v>
      </c>
      <c r="R290" s="21" t="s">
        <v>2276</v>
      </c>
      <c r="S290" s="21" t="s">
        <v>2276</v>
      </c>
      <c r="T290" s="21">
        <v>850</v>
      </c>
      <c r="U290" s="21" t="s">
        <v>2276</v>
      </c>
      <c r="V290" s="21">
        <v>12.73699156</v>
      </c>
      <c r="W290" s="21" t="s">
        <v>2276</v>
      </c>
      <c r="X290" s="21">
        <v>0.10828025500000001</v>
      </c>
      <c r="Y290" s="21">
        <v>6.1</v>
      </c>
      <c r="Z290" s="3" t="s">
        <v>2276</v>
      </c>
      <c r="AA290" s="3" t="s">
        <v>2276</v>
      </c>
      <c r="AB290" s="3" t="s">
        <v>2276</v>
      </c>
      <c r="AC290" s="4" t="s">
        <v>552</v>
      </c>
      <c r="AD290" s="4" t="s">
        <v>2413</v>
      </c>
    </row>
    <row r="291" spans="1:30" ht="112" customHeight="1">
      <c r="A291" s="11" t="s">
        <v>547</v>
      </c>
      <c r="B291" s="11" t="s">
        <v>551</v>
      </c>
      <c r="C291" s="23" t="s">
        <v>24</v>
      </c>
      <c r="D291" s="23" t="s">
        <v>27</v>
      </c>
      <c r="E291" s="26" t="s">
        <v>130</v>
      </c>
      <c r="F291" s="19" t="s">
        <v>2276</v>
      </c>
      <c r="G291" s="19" t="s">
        <v>161</v>
      </c>
      <c r="H291" s="19" t="s">
        <v>523</v>
      </c>
      <c r="I291" s="3">
        <v>2014</v>
      </c>
      <c r="J291" s="21" t="s">
        <v>2276</v>
      </c>
      <c r="K291" s="21" t="s">
        <v>2276</v>
      </c>
      <c r="L291" s="21" t="s">
        <v>2276</v>
      </c>
      <c r="M291" s="21" t="s">
        <v>2276</v>
      </c>
      <c r="N291" s="21" t="s">
        <v>2276</v>
      </c>
      <c r="O291" s="21" t="s">
        <v>2276</v>
      </c>
      <c r="P291" s="21" t="s">
        <v>2276</v>
      </c>
      <c r="Q291" s="21" t="s">
        <v>2276</v>
      </c>
      <c r="R291" s="21" t="s">
        <v>2276</v>
      </c>
      <c r="S291" s="21" t="s">
        <v>2276</v>
      </c>
      <c r="T291" s="21">
        <v>150</v>
      </c>
      <c r="U291" s="21" t="s">
        <v>2276</v>
      </c>
      <c r="V291" s="21">
        <v>1.9108279999999998E-2</v>
      </c>
      <c r="W291" s="21" t="s">
        <v>2276</v>
      </c>
      <c r="X291" s="21">
        <v>1.9108279999999998E-2</v>
      </c>
      <c r="Y291" s="21" t="s">
        <v>2276</v>
      </c>
      <c r="Z291" s="3" t="s">
        <v>2276</v>
      </c>
      <c r="AA291" s="3" t="s">
        <v>2276</v>
      </c>
      <c r="AB291" s="3" t="s">
        <v>2276</v>
      </c>
      <c r="AC291" s="4" t="s">
        <v>552</v>
      </c>
      <c r="AD291" s="4" t="s">
        <v>2413</v>
      </c>
    </row>
    <row r="292" spans="1:30" ht="112" customHeight="1">
      <c r="A292" s="11" t="s">
        <v>1728</v>
      </c>
      <c r="B292" s="11" t="s">
        <v>1775</v>
      </c>
      <c r="C292" s="23" t="s">
        <v>24</v>
      </c>
      <c r="D292" s="23" t="s">
        <v>143</v>
      </c>
      <c r="E292" s="26" t="s">
        <v>397</v>
      </c>
      <c r="F292" s="19" t="s">
        <v>74</v>
      </c>
      <c r="G292" s="11" t="s">
        <v>2276</v>
      </c>
      <c r="H292" s="19" t="s">
        <v>523</v>
      </c>
      <c r="I292" s="3"/>
      <c r="J292" s="21" t="s">
        <v>2276</v>
      </c>
      <c r="K292" s="21" t="s">
        <v>2276</v>
      </c>
      <c r="L292" s="21" t="s">
        <v>2276</v>
      </c>
      <c r="M292" s="21" t="s">
        <v>2276</v>
      </c>
      <c r="N292" s="21" t="s">
        <v>2276</v>
      </c>
      <c r="O292" s="21" t="s">
        <v>2276</v>
      </c>
      <c r="P292" s="21" t="s">
        <v>2276</v>
      </c>
      <c r="Q292" s="21" t="s">
        <v>2276</v>
      </c>
      <c r="R292" s="21" t="s">
        <v>2276</v>
      </c>
      <c r="S292" s="21" t="s">
        <v>2276</v>
      </c>
      <c r="T292" s="21" t="s">
        <v>2276</v>
      </c>
      <c r="U292" s="21" t="s">
        <v>2276</v>
      </c>
      <c r="V292" s="21" t="s">
        <v>2276</v>
      </c>
      <c r="W292" s="21" t="s">
        <v>2276</v>
      </c>
      <c r="X292" s="21" t="s">
        <v>2276</v>
      </c>
      <c r="Y292" s="21" t="s">
        <v>2276</v>
      </c>
      <c r="Z292" s="3" t="s">
        <v>2276</v>
      </c>
      <c r="AA292" s="3" t="s">
        <v>2276</v>
      </c>
      <c r="AB292" s="3" t="s">
        <v>2276</v>
      </c>
      <c r="AC292" s="4"/>
      <c r="AD292" s="4"/>
    </row>
    <row r="293" spans="1:30" ht="112" customHeight="1">
      <c r="A293" s="11" t="s">
        <v>1727</v>
      </c>
      <c r="B293" s="11" t="s">
        <v>1776</v>
      </c>
      <c r="C293" s="23" t="s">
        <v>24</v>
      </c>
      <c r="D293" s="23" t="s">
        <v>143</v>
      </c>
      <c r="E293" s="26" t="s">
        <v>397</v>
      </c>
      <c r="F293" s="19" t="s">
        <v>74</v>
      </c>
      <c r="G293" s="11" t="s">
        <v>2276</v>
      </c>
      <c r="H293" s="19" t="s">
        <v>523</v>
      </c>
      <c r="I293" s="3"/>
      <c r="J293" s="21" t="s">
        <v>2276</v>
      </c>
      <c r="K293" s="21" t="s">
        <v>2276</v>
      </c>
      <c r="L293" s="21" t="s">
        <v>2276</v>
      </c>
      <c r="M293" s="21" t="s">
        <v>2276</v>
      </c>
      <c r="N293" s="21" t="s">
        <v>2276</v>
      </c>
      <c r="O293" s="21" t="s">
        <v>2276</v>
      </c>
      <c r="P293" s="21" t="s">
        <v>2276</v>
      </c>
      <c r="Q293" s="21" t="s">
        <v>2276</v>
      </c>
      <c r="R293" s="21" t="s">
        <v>2276</v>
      </c>
      <c r="S293" s="21" t="s">
        <v>2276</v>
      </c>
      <c r="T293" s="21" t="s">
        <v>2276</v>
      </c>
      <c r="U293" s="21" t="s">
        <v>2276</v>
      </c>
      <c r="V293" s="21" t="s">
        <v>2276</v>
      </c>
      <c r="W293" s="21" t="s">
        <v>2276</v>
      </c>
      <c r="X293" s="21" t="s">
        <v>2276</v>
      </c>
      <c r="Y293" s="21" t="s">
        <v>2276</v>
      </c>
      <c r="Z293" s="3" t="s">
        <v>2276</v>
      </c>
      <c r="AA293" s="3" t="s">
        <v>2276</v>
      </c>
      <c r="AB293" s="3" t="s">
        <v>2276</v>
      </c>
      <c r="AC293" s="4"/>
      <c r="AD293" s="4"/>
    </row>
    <row r="294" spans="1:30" ht="112" customHeight="1">
      <c r="A294" s="11" t="s">
        <v>1729</v>
      </c>
      <c r="B294" s="11" t="s">
        <v>1777</v>
      </c>
      <c r="C294" s="23" t="s">
        <v>24</v>
      </c>
      <c r="D294" s="23" t="s">
        <v>143</v>
      </c>
      <c r="E294" s="26" t="s">
        <v>397</v>
      </c>
      <c r="F294" s="19" t="s">
        <v>74</v>
      </c>
      <c r="G294" s="11" t="s">
        <v>2276</v>
      </c>
      <c r="H294" s="19" t="s">
        <v>523</v>
      </c>
      <c r="I294" s="3"/>
      <c r="J294" s="21" t="s">
        <v>2276</v>
      </c>
      <c r="K294" s="21" t="s">
        <v>2276</v>
      </c>
      <c r="L294" s="21" t="s">
        <v>2276</v>
      </c>
      <c r="M294" s="21" t="s">
        <v>2276</v>
      </c>
      <c r="N294" s="21" t="s">
        <v>2276</v>
      </c>
      <c r="O294" s="21" t="s">
        <v>2276</v>
      </c>
      <c r="P294" s="21" t="s">
        <v>2276</v>
      </c>
      <c r="Q294" s="21" t="s">
        <v>2276</v>
      </c>
      <c r="R294" s="21" t="s">
        <v>2276</v>
      </c>
      <c r="S294" s="21" t="s">
        <v>2276</v>
      </c>
      <c r="T294" s="21" t="s">
        <v>2276</v>
      </c>
      <c r="U294" s="21" t="s">
        <v>2276</v>
      </c>
      <c r="V294" s="21" t="s">
        <v>2276</v>
      </c>
      <c r="W294" s="21" t="s">
        <v>2276</v>
      </c>
      <c r="X294" s="21" t="s">
        <v>2276</v>
      </c>
      <c r="Y294" s="21" t="s">
        <v>2276</v>
      </c>
      <c r="Z294" s="3" t="s">
        <v>2276</v>
      </c>
      <c r="AA294" s="3" t="s">
        <v>2276</v>
      </c>
      <c r="AB294" s="3" t="s">
        <v>2276</v>
      </c>
      <c r="AC294" s="4"/>
      <c r="AD294" s="4"/>
    </row>
    <row r="295" spans="1:30" ht="112" customHeight="1">
      <c r="A295" s="11" t="s">
        <v>1730</v>
      </c>
      <c r="B295" s="11" t="s">
        <v>1778</v>
      </c>
      <c r="C295" s="23" t="s">
        <v>24</v>
      </c>
      <c r="D295" s="23" t="s">
        <v>143</v>
      </c>
      <c r="E295" s="26" t="s">
        <v>130</v>
      </c>
      <c r="F295" s="19" t="s">
        <v>74</v>
      </c>
      <c r="G295" s="11" t="s">
        <v>2276</v>
      </c>
      <c r="H295" s="19" t="s">
        <v>523</v>
      </c>
      <c r="I295" s="3"/>
      <c r="J295" s="21" t="s">
        <v>2276</v>
      </c>
      <c r="K295" s="21" t="s">
        <v>2276</v>
      </c>
      <c r="L295" s="21" t="s">
        <v>2276</v>
      </c>
      <c r="M295" s="21" t="s">
        <v>2276</v>
      </c>
      <c r="N295" s="21" t="s">
        <v>2276</v>
      </c>
      <c r="O295" s="21" t="s">
        <v>2276</v>
      </c>
      <c r="P295" s="21" t="s">
        <v>2276</v>
      </c>
      <c r="Q295" s="21" t="s">
        <v>2276</v>
      </c>
      <c r="R295" s="21" t="s">
        <v>2276</v>
      </c>
      <c r="S295" s="21" t="s">
        <v>2276</v>
      </c>
      <c r="T295" s="21" t="s">
        <v>2276</v>
      </c>
      <c r="U295" s="21" t="s">
        <v>2276</v>
      </c>
      <c r="V295" s="21" t="s">
        <v>2276</v>
      </c>
      <c r="W295" s="21" t="s">
        <v>2276</v>
      </c>
      <c r="X295" s="21" t="s">
        <v>2276</v>
      </c>
      <c r="Y295" s="21" t="s">
        <v>2276</v>
      </c>
      <c r="Z295" s="3" t="s">
        <v>2276</v>
      </c>
      <c r="AA295" s="3" t="s">
        <v>2276</v>
      </c>
      <c r="AB295" s="3" t="s">
        <v>2276</v>
      </c>
      <c r="AC295" s="4"/>
      <c r="AD295" s="4"/>
    </row>
    <row r="296" spans="1:30" ht="112" customHeight="1">
      <c r="A296" s="11" t="s">
        <v>1730</v>
      </c>
      <c r="B296" s="11" t="s">
        <v>1779</v>
      </c>
      <c r="C296" s="23" t="s">
        <v>24</v>
      </c>
      <c r="D296" s="23" t="s">
        <v>27</v>
      </c>
      <c r="E296" s="26" t="s">
        <v>130</v>
      </c>
      <c r="F296" s="19" t="s">
        <v>161</v>
      </c>
      <c r="G296" s="11" t="s">
        <v>2276</v>
      </c>
      <c r="H296" s="19" t="s">
        <v>523</v>
      </c>
      <c r="I296" s="3"/>
      <c r="J296" s="21" t="s">
        <v>2276</v>
      </c>
      <c r="K296" s="21" t="s">
        <v>2276</v>
      </c>
      <c r="L296" s="21" t="s">
        <v>2276</v>
      </c>
      <c r="M296" s="21" t="s">
        <v>2276</v>
      </c>
      <c r="N296" s="21" t="s">
        <v>2276</v>
      </c>
      <c r="O296" s="21" t="s">
        <v>2276</v>
      </c>
      <c r="P296" s="21" t="s">
        <v>2276</v>
      </c>
      <c r="Q296" s="21" t="s">
        <v>2276</v>
      </c>
      <c r="R296" s="21" t="s">
        <v>2276</v>
      </c>
      <c r="S296" s="21" t="s">
        <v>2276</v>
      </c>
      <c r="T296" s="21" t="s">
        <v>2276</v>
      </c>
      <c r="U296" s="21" t="s">
        <v>2276</v>
      </c>
      <c r="V296" s="21" t="s">
        <v>2276</v>
      </c>
      <c r="W296" s="21" t="s">
        <v>2276</v>
      </c>
      <c r="X296" s="21" t="s">
        <v>2276</v>
      </c>
      <c r="Y296" s="21" t="s">
        <v>2276</v>
      </c>
      <c r="Z296" s="3" t="s">
        <v>2276</v>
      </c>
      <c r="AA296" s="3" t="s">
        <v>2276</v>
      </c>
      <c r="AB296" s="3" t="s">
        <v>2276</v>
      </c>
      <c r="AC296" s="4"/>
      <c r="AD296" s="4"/>
    </row>
    <row r="297" spans="1:30" ht="112" customHeight="1">
      <c r="A297" s="11" t="s">
        <v>1731</v>
      </c>
      <c r="B297" s="11" t="s">
        <v>1780</v>
      </c>
      <c r="C297" s="23" t="s">
        <v>24</v>
      </c>
      <c r="D297" s="23" t="s">
        <v>143</v>
      </c>
      <c r="E297" s="26" t="s">
        <v>397</v>
      </c>
      <c r="F297" s="19" t="s">
        <v>74</v>
      </c>
      <c r="G297" s="11" t="s">
        <v>2276</v>
      </c>
      <c r="H297" s="19" t="s">
        <v>523</v>
      </c>
      <c r="I297" s="3"/>
      <c r="J297" s="21" t="s">
        <v>2276</v>
      </c>
      <c r="K297" s="21" t="s">
        <v>2276</v>
      </c>
      <c r="L297" s="21" t="s">
        <v>2276</v>
      </c>
      <c r="M297" s="21" t="s">
        <v>2276</v>
      </c>
      <c r="N297" s="21" t="s">
        <v>2276</v>
      </c>
      <c r="O297" s="21" t="s">
        <v>2276</v>
      </c>
      <c r="P297" s="21" t="s">
        <v>2276</v>
      </c>
      <c r="Q297" s="21" t="s">
        <v>2276</v>
      </c>
      <c r="R297" s="21" t="s">
        <v>2276</v>
      </c>
      <c r="S297" s="21" t="s">
        <v>2276</v>
      </c>
      <c r="T297" s="21" t="s">
        <v>2276</v>
      </c>
      <c r="U297" s="21" t="s">
        <v>2276</v>
      </c>
      <c r="V297" s="21" t="s">
        <v>2276</v>
      </c>
      <c r="W297" s="21" t="s">
        <v>2276</v>
      </c>
      <c r="X297" s="21" t="s">
        <v>2276</v>
      </c>
      <c r="Y297" s="21" t="s">
        <v>2276</v>
      </c>
      <c r="Z297" s="3" t="s">
        <v>2276</v>
      </c>
      <c r="AA297" s="3" t="s">
        <v>2276</v>
      </c>
      <c r="AB297" s="3" t="s">
        <v>2276</v>
      </c>
      <c r="AC297" s="4"/>
      <c r="AD297" s="4"/>
    </row>
    <row r="298" spans="1:30" ht="112" customHeight="1">
      <c r="A298" s="11" t="s">
        <v>1734</v>
      </c>
      <c r="B298" s="11" t="s">
        <v>1781</v>
      </c>
      <c r="C298" s="23" t="s">
        <v>24</v>
      </c>
      <c r="D298" s="23" t="s">
        <v>143</v>
      </c>
      <c r="E298" s="26" t="s">
        <v>130</v>
      </c>
      <c r="F298" s="19" t="s">
        <v>74</v>
      </c>
      <c r="G298" s="11" t="s">
        <v>2276</v>
      </c>
      <c r="H298" s="19" t="s">
        <v>523</v>
      </c>
      <c r="I298" s="3"/>
      <c r="J298" s="21" t="s">
        <v>2276</v>
      </c>
      <c r="K298" s="21" t="s">
        <v>2276</v>
      </c>
      <c r="L298" s="21" t="s">
        <v>2276</v>
      </c>
      <c r="M298" s="21" t="s">
        <v>2276</v>
      </c>
      <c r="N298" s="21" t="s">
        <v>2276</v>
      </c>
      <c r="O298" s="21" t="s">
        <v>2276</v>
      </c>
      <c r="P298" s="21" t="s">
        <v>2276</v>
      </c>
      <c r="Q298" s="21" t="s">
        <v>2276</v>
      </c>
      <c r="R298" s="21" t="s">
        <v>2276</v>
      </c>
      <c r="S298" s="21" t="s">
        <v>2276</v>
      </c>
      <c r="T298" s="21" t="s">
        <v>2276</v>
      </c>
      <c r="U298" s="21" t="s">
        <v>2276</v>
      </c>
      <c r="V298" s="21" t="s">
        <v>2276</v>
      </c>
      <c r="W298" s="21" t="s">
        <v>2276</v>
      </c>
      <c r="X298" s="21" t="s">
        <v>2276</v>
      </c>
      <c r="Y298" s="21" t="s">
        <v>2276</v>
      </c>
      <c r="Z298" s="3" t="s">
        <v>2276</v>
      </c>
      <c r="AA298" s="3" t="s">
        <v>2276</v>
      </c>
      <c r="AB298" s="3" t="s">
        <v>2276</v>
      </c>
      <c r="AC298" s="4"/>
      <c r="AD298" s="4"/>
    </row>
    <row r="299" spans="1:30" ht="112" customHeight="1">
      <c r="A299" s="11" t="s">
        <v>1734</v>
      </c>
      <c r="B299" s="11" t="s">
        <v>1782</v>
      </c>
      <c r="C299" s="23" t="s">
        <v>24</v>
      </c>
      <c r="D299" s="23" t="s">
        <v>27</v>
      </c>
      <c r="E299" s="26" t="s">
        <v>130</v>
      </c>
      <c r="F299" s="19" t="s">
        <v>161</v>
      </c>
      <c r="G299" s="11" t="s">
        <v>2276</v>
      </c>
      <c r="H299" s="19" t="s">
        <v>523</v>
      </c>
      <c r="I299" s="3"/>
      <c r="J299" s="21" t="s">
        <v>2276</v>
      </c>
      <c r="K299" s="21" t="s">
        <v>2276</v>
      </c>
      <c r="L299" s="21" t="s">
        <v>2276</v>
      </c>
      <c r="M299" s="21" t="s">
        <v>2276</v>
      </c>
      <c r="N299" s="21" t="s">
        <v>2276</v>
      </c>
      <c r="O299" s="21" t="s">
        <v>2276</v>
      </c>
      <c r="P299" s="21" t="s">
        <v>2276</v>
      </c>
      <c r="Q299" s="21" t="s">
        <v>2276</v>
      </c>
      <c r="R299" s="21" t="s">
        <v>2276</v>
      </c>
      <c r="S299" s="21" t="s">
        <v>2276</v>
      </c>
      <c r="T299" s="21" t="s">
        <v>2276</v>
      </c>
      <c r="U299" s="21" t="s">
        <v>2276</v>
      </c>
      <c r="V299" s="21" t="s">
        <v>2276</v>
      </c>
      <c r="W299" s="21" t="s">
        <v>2276</v>
      </c>
      <c r="X299" s="21" t="s">
        <v>2276</v>
      </c>
      <c r="Y299" s="21" t="s">
        <v>2276</v>
      </c>
      <c r="Z299" s="3" t="s">
        <v>2276</v>
      </c>
      <c r="AA299" s="3" t="s">
        <v>2276</v>
      </c>
      <c r="AB299" s="3" t="s">
        <v>2276</v>
      </c>
      <c r="AC299" s="4"/>
      <c r="AD299" s="4"/>
    </row>
    <row r="300" spans="1:30" ht="112" customHeight="1">
      <c r="A300" s="11" t="s">
        <v>1735</v>
      </c>
      <c r="B300" s="11" t="s">
        <v>1783</v>
      </c>
      <c r="C300" s="23" t="s">
        <v>24</v>
      </c>
      <c r="D300" s="23" t="s">
        <v>143</v>
      </c>
      <c r="E300" s="26" t="s">
        <v>130</v>
      </c>
      <c r="F300" s="19" t="s">
        <v>74</v>
      </c>
      <c r="G300" s="11" t="s">
        <v>2276</v>
      </c>
      <c r="H300" s="19" t="s">
        <v>523</v>
      </c>
      <c r="I300" s="3"/>
      <c r="J300" s="21" t="s">
        <v>2276</v>
      </c>
      <c r="K300" s="21" t="s">
        <v>2276</v>
      </c>
      <c r="L300" s="21" t="s">
        <v>2276</v>
      </c>
      <c r="M300" s="21" t="s">
        <v>2276</v>
      </c>
      <c r="N300" s="21" t="s">
        <v>2276</v>
      </c>
      <c r="O300" s="21" t="s">
        <v>2276</v>
      </c>
      <c r="P300" s="21" t="s">
        <v>2276</v>
      </c>
      <c r="Q300" s="21" t="s">
        <v>2276</v>
      </c>
      <c r="R300" s="21" t="s">
        <v>2276</v>
      </c>
      <c r="S300" s="21" t="s">
        <v>2276</v>
      </c>
      <c r="T300" s="21" t="s">
        <v>2276</v>
      </c>
      <c r="U300" s="21" t="s">
        <v>2276</v>
      </c>
      <c r="V300" s="21" t="s">
        <v>2276</v>
      </c>
      <c r="W300" s="21" t="s">
        <v>2276</v>
      </c>
      <c r="X300" s="21" t="s">
        <v>2276</v>
      </c>
      <c r="Y300" s="21" t="s">
        <v>2276</v>
      </c>
      <c r="Z300" s="3" t="s">
        <v>2276</v>
      </c>
      <c r="AA300" s="3" t="s">
        <v>2276</v>
      </c>
      <c r="AB300" s="3" t="s">
        <v>2276</v>
      </c>
      <c r="AC300" s="4"/>
      <c r="AD300" s="4"/>
    </row>
    <row r="301" spans="1:30" ht="112" customHeight="1">
      <c r="A301" s="11" t="s">
        <v>1735</v>
      </c>
      <c r="B301" s="11" t="s">
        <v>1784</v>
      </c>
      <c r="C301" s="23" t="s">
        <v>24</v>
      </c>
      <c r="D301" s="23" t="s">
        <v>27</v>
      </c>
      <c r="E301" s="26" t="s">
        <v>130</v>
      </c>
      <c r="F301" s="26" t="s">
        <v>161</v>
      </c>
      <c r="G301" s="11" t="s">
        <v>2276</v>
      </c>
      <c r="H301" s="19" t="s">
        <v>523</v>
      </c>
      <c r="I301" s="3"/>
      <c r="J301" s="21" t="s">
        <v>2276</v>
      </c>
      <c r="K301" s="21" t="s">
        <v>2276</v>
      </c>
      <c r="L301" s="21" t="s">
        <v>2276</v>
      </c>
      <c r="M301" s="21" t="s">
        <v>2276</v>
      </c>
      <c r="N301" s="21" t="s">
        <v>2276</v>
      </c>
      <c r="O301" s="21" t="s">
        <v>2276</v>
      </c>
      <c r="P301" s="21" t="s">
        <v>2276</v>
      </c>
      <c r="Q301" s="21" t="s">
        <v>2276</v>
      </c>
      <c r="R301" s="21" t="s">
        <v>2276</v>
      </c>
      <c r="S301" s="21" t="s">
        <v>2276</v>
      </c>
      <c r="T301" s="21" t="s">
        <v>2276</v>
      </c>
      <c r="U301" s="21" t="s">
        <v>2276</v>
      </c>
      <c r="V301" s="21" t="s">
        <v>2276</v>
      </c>
      <c r="W301" s="21" t="s">
        <v>2276</v>
      </c>
      <c r="X301" s="21" t="s">
        <v>2276</v>
      </c>
      <c r="Y301" s="21" t="s">
        <v>2276</v>
      </c>
      <c r="Z301" s="3" t="s">
        <v>2276</v>
      </c>
      <c r="AA301" s="3" t="s">
        <v>2276</v>
      </c>
      <c r="AB301" s="3" t="s">
        <v>2276</v>
      </c>
      <c r="AC301" s="4"/>
      <c r="AD301" s="4"/>
    </row>
    <row r="302" spans="1:30" ht="112" customHeight="1">
      <c r="A302" s="11" t="s">
        <v>1732</v>
      </c>
      <c r="B302" s="11" t="s">
        <v>1785</v>
      </c>
      <c r="C302" s="23" t="s">
        <v>24</v>
      </c>
      <c r="D302" s="23" t="s">
        <v>143</v>
      </c>
      <c r="E302" s="26" t="s">
        <v>130</v>
      </c>
      <c r="F302" s="19" t="s">
        <v>74</v>
      </c>
      <c r="G302" s="11" t="s">
        <v>2276</v>
      </c>
      <c r="H302" s="19" t="s">
        <v>523</v>
      </c>
      <c r="I302" s="3"/>
      <c r="J302" s="21" t="s">
        <v>2276</v>
      </c>
      <c r="K302" s="21" t="s">
        <v>2276</v>
      </c>
      <c r="L302" s="21" t="s">
        <v>2276</v>
      </c>
      <c r="M302" s="21" t="s">
        <v>2276</v>
      </c>
      <c r="N302" s="21" t="s">
        <v>2276</v>
      </c>
      <c r="O302" s="21" t="s">
        <v>2276</v>
      </c>
      <c r="P302" s="21" t="s">
        <v>2276</v>
      </c>
      <c r="Q302" s="21" t="s">
        <v>2276</v>
      </c>
      <c r="R302" s="21" t="s">
        <v>2276</v>
      </c>
      <c r="S302" s="21" t="s">
        <v>2276</v>
      </c>
      <c r="T302" s="21" t="s">
        <v>2276</v>
      </c>
      <c r="U302" s="21" t="s">
        <v>2276</v>
      </c>
      <c r="V302" s="21" t="s">
        <v>2276</v>
      </c>
      <c r="W302" s="21" t="s">
        <v>2276</v>
      </c>
      <c r="X302" s="21" t="s">
        <v>2276</v>
      </c>
      <c r="Y302" s="21" t="s">
        <v>2276</v>
      </c>
      <c r="Z302" s="3" t="s">
        <v>2276</v>
      </c>
      <c r="AA302" s="3" t="s">
        <v>2276</v>
      </c>
      <c r="AB302" s="3" t="s">
        <v>2276</v>
      </c>
      <c r="AC302" s="4"/>
      <c r="AD302" s="4"/>
    </row>
    <row r="303" spans="1:30" ht="112" customHeight="1">
      <c r="A303" s="11" t="s">
        <v>1732</v>
      </c>
      <c r="B303" s="11" t="s">
        <v>1786</v>
      </c>
      <c r="C303" s="23" t="s">
        <v>24</v>
      </c>
      <c r="D303" s="23" t="s">
        <v>27</v>
      </c>
      <c r="E303" s="26" t="s">
        <v>130</v>
      </c>
      <c r="F303" s="26" t="s">
        <v>161</v>
      </c>
      <c r="G303" s="11" t="s">
        <v>2276</v>
      </c>
      <c r="H303" s="19" t="s">
        <v>523</v>
      </c>
      <c r="I303" s="3"/>
      <c r="J303" s="21" t="s">
        <v>2276</v>
      </c>
      <c r="K303" s="21" t="s">
        <v>2276</v>
      </c>
      <c r="L303" s="21" t="s">
        <v>2276</v>
      </c>
      <c r="M303" s="21" t="s">
        <v>2276</v>
      </c>
      <c r="N303" s="21" t="s">
        <v>2276</v>
      </c>
      <c r="O303" s="21" t="s">
        <v>2276</v>
      </c>
      <c r="P303" s="21" t="s">
        <v>2276</v>
      </c>
      <c r="Q303" s="21" t="s">
        <v>2276</v>
      </c>
      <c r="R303" s="21" t="s">
        <v>2276</v>
      </c>
      <c r="S303" s="21" t="s">
        <v>2276</v>
      </c>
      <c r="T303" s="21" t="s">
        <v>2276</v>
      </c>
      <c r="U303" s="21" t="s">
        <v>2276</v>
      </c>
      <c r="V303" s="21" t="s">
        <v>2276</v>
      </c>
      <c r="W303" s="21" t="s">
        <v>2276</v>
      </c>
      <c r="X303" s="21" t="s">
        <v>2276</v>
      </c>
      <c r="Y303" s="21" t="s">
        <v>2276</v>
      </c>
      <c r="Z303" s="3" t="s">
        <v>2276</v>
      </c>
      <c r="AA303" s="3" t="s">
        <v>2276</v>
      </c>
      <c r="AB303" s="3" t="s">
        <v>2276</v>
      </c>
      <c r="AC303" s="4"/>
      <c r="AD303" s="4"/>
    </row>
    <row r="304" spans="1:30" ht="112" customHeight="1">
      <c r="A304" s="11" t="s">
        <v>1733</v>
      </c>
      <c r="B304" s="11" t="s">
        <v>1787</v>
      </c>
      <c r="C304" s="23" t="s">
        <v>24</v>
      </c>
      <c r="D304" s="23" t="s">
        <v>143</v>
      </c>
      <c r="E304" s="26" t="s">
        <v>130</v>
      </c>
      <c r="F304" s="19" t="s">
        <v>74</v>
      </c>
      <c r="G304" s="11" t="s">
        <v>2276</v>
      </c>
      <c r="H304" s="19" t="s">
        <v>523</v>
      </c>
      <c r="I304" s="3"/>
      <c r="J304" s="21" t="s">
        <v>2276</v>
      </c>
      <c r="K304" s="21" t="s">
        <v>2276</v>
      </c>
      <c r="L304" s="21" t="s">
        <v>2276</v>
      </c>
      <c r="M304" s="21" t="s">
        <v>2276</v>
      </c>
      <c r="N304" s="21" t="s">
        <v>2276</v>
      </c>
      <c r="O304" s="21" t="s">
        <v>2276</v>
      </c>
      <c r="P304" s="21" t="s">
        <v>2276</v>
      </c>
      <c r="Q304" s="21" t="s">
        <v>2276</v>
      </c>
      <c r="R304" s="21" t="s">
        <v>2276</v>
      </c>
      <c r="S304" s="21" t="s">
        <v>2276</v>
      </c>
      <c r="T304" s="21" t="s">
        <v>2276</v>
      </c>
      <c r="U304" s="21" t="s">
        <v>2276</v>
      </c>
      <c r="V304" s="21" t="s">
        <v>2276</v>
      </c>
      <c r="W304" s="21" t="s">
        <v>2276</v>
      </c>
      <c r="X304" s="21" t="s">
        <v>2276</v>
      </c>
      <c r="Y304" s="21" t="s">
        <v>2276</v>
      </c>
      <c r="Z304" s="3" t="s">
        <v>2276</v>
      </c>
      <c r="AA304" s="3" t="s">
        <v>2276</v>
      </c>
      <c r="AB304" s="3" t="s">
        <v>2276</v>
      </c>
      <c r="AC304" s="4"/>
      <c r="AD304" s="4"/>
    </row>
    <row r="305" spans="1:30" ht="112" customHeight="1">
      <c r="A305" s="11" t="s">
        <v>1733</v>
      </c>
      <c r="B305" s="11" t="s">
        <v>1788</v>
      </c>
      <c r="C305" s="23" t="s">
        <v>24</v>
      </c>
      <c r="D305" s="23" t="s">
        <v>27</v>
      </c>
      <c r="E305" s="26" t="s">
        <v>130</v>
      </c>
      <c r="F305" s="19" t="s">
        <v>161</v>
      </c>
      <c r="G305" s="11" t="s">
        <v>2276</v>
      </c>
      <c r="H305" s="19" t="s">
        <v>523</v>
      </c>
      <c r="I305" s="3"/>
      <c r="J305" s="21" t="s">
        <v>2276</v>
      </c>
      <c r="K305" s="21" t="s">
        <v>2276</v>
      </c>
      <c r="L305" s="21" t="s">
        <v>2276</v>
      </c>
      <c r="M305" s="21" t="s">
        <v>2276</v>
      </c>
      <c r="N305" s="21" t="s">
        <v>2276</v>
      </c>
      <c r="O305" s="21" t="s">
        <v>2276</v>
      </c>
      <c r="P305" s="21" t="s">
        <v>2276</v>
      </c>
      <c r="Q305" s="21" t="s">
        <v>2276</v>
      </c>
      <c r="R305" s="21" t="s">
        <v>2276</v>
      </c>
      <c r="S305" s="21" t="s">
        <v>2276</v>
      </c>
      <c r="T305" s="21" t="s">
        <v>2276</v>
      </c>
      <c r="U305" s="21" t="s">
        <v>2276</v>
      </c>
      <c r="V305" s="21" t="s">
        <v>2276</v>
      </c>
      <c r="W305" s="21" t="s">
        <v>2276</v>
      </c>
      <c r="X305" s="21" t="s">
        <v>2276</v>
      </c>
      <c r="Y305" s="21" t="s">
        <v>2276</v>
      </c>
      <c r="Z305" s="3" t="s">
        <v>2276</v>
      </c>
      <c r="AA305" s="3" t="s">
        <v>2276</v>
      </c>
      <c r="AB305" s="3" t="s">
        <v>2276</v>
      </c>
      <c r="AC305" s="4"/>
      <c r="AD305" s="4"/>
    </row>
    <row r="306" spans="1:30" ht="112" customHeight="1">
      <c r="A306" s="11" t="s">
        <v>1736</v>
      </c>
      <c r="B306" s="11" t="s">
        <v>1789</v>
      </c>
      <c r="C306" s="23" t="s">
        <v>24</v>
      </c>
      <c r="D306" s="23" t="s">
        <v>143</v>
      </c>
      <c r="E306" s="26" t="s">
        <v>130</v>
      </c>
      <c r="F306" s="19" t="s">
        <v>74</v>
      </c>
      <c r="G306" s="11" t="s">
        <v>2276</v>
      </c>
      <c r="H306" s="19" t="s">
        <v>523</v>
      </c>
      <c r="I306" s="3"/>
      <c r="J306" s="21" t="s">
        <v>2276</v>
      </c>
      <c r="K306" s="21" t="s">
        <v>2276</v>
      </c>
      <c r="L306" s="21" t="s">
        <v>2276</v>
      </c>
      <c r="M306" s="21" t="s">
        <v>2276</v>
      </c>
      <c r="N306" s="21" t="s">
        <v>2276</v>
      </c>
      <c r="O306" s="21" t="s">
        <v>2276</v>
      </c>
      <c r="P306" s="21" t="s">
        <v>2276</v>
      </c>
      <c r="Q306" s="21" t="s">
        <v>2276</v>
      </c>
      <c r="R306" s="21" t="s">
        <v>2276</v>
      </c>
      <c r="S306" s="21" t="s">
        <v>2276</v>
      </c>
      <c r="T306" s="21" t="s">
        <v>2276</v>
      </c>
      <c r="U306" s="21" t="s">
        <v>2276</v>
      </c>
      <c r="V306" s="21" t="s">
        <v>2276</v>
      </c>
      <c r="W306" s="21" t="s">
        <v>2276</v>
      </c>
      <c r="X306" s="21" t="s">
        <v>2276</v>
      </c>
      <c r="Y306" s="21" t="s">
        <v>2276</v>
      </c>
      <c r="Z306" s="3" t="s">
        <v>2276</v>
      </c>
      <c r="AA306" s="3" t="s">
        <v>2276</v>
      </c>
      <c r="AB306" s="3" t="s">
        <v>2276</v>
      </c>
      <c r="AC306" s="4"/>
      <c r="AD306" s="4"/>
    </row>
    <row r="307" spans="1:30" ht="112" customHeight="1">
      <c r="A307" s="11" t="s">
        <v>1736</v>
      </c>
      <c r="B307" s="11" t="s">
        <v>1790</v>
      </c>
      <c r="C307" s="23" t="s">
        <v>24</v>
      </c>
      <c r="D307" s="23" t="s">
        <v>27</v>
      </c>
      <c r="E307" s="26" t="s">
        <v>130</v>
      </c>
      <c r="F307" s="19" t="s">
        <v>161</v>
      </c>
      <c r="G307" s="11" t="s">
        <v>2276</v>
      </c>
      <c r="H307" s="19" t="s">
        <v>523</v>
      </c>
      <c r="I307" s="3"/>
      <c r="J307" s="21" t="s">
        <v>2276</v>
      </c>
      <c r="K307" s="21" t="s">
        <v>2276</v>
      </c>
      <c r="L307" s="21" t="s">
        <v>2276</v>
      </c>
      <c r="M307" s="21" t="s">
        <v>2276</v>
      </c>
      <c r="N307" s="21" t="s">
        <v>2276</v>
      </c>
      <c r="O307" s="21" t="s">
        <v>2276</v>
      </c>
      <c r="P307" s="21" t="s">
        <v>2276</v>
      </c>
      <c r="Q307" s="21" t="s">
        <v>2276</v>
      </c>
      <c r="R307" s="21" t="s">
        <v>2276</v>
      </c>
      <c r="S307" s="21" t="s">
        <v>2276</v>
      </c>
      <c r="T307" s="21" t="s">
        <v>2276</v>
      </c>
      <c r="U307" s="21" t="s">
        <v>2276</v>
      </c>
      <c r="V307" s="21" t="s">
        <v>2276</v>
      </c>
      <c r="W307" s="21" t="s">
        <v>2276</v>
      </c>
      <c r="X307" s="21" t="s">
        <v>2276</v>
      </c>
      <c r="Y307" s="21" t="s">
        <v>2276</v>
      </c>
      <c r="Z307" s="3" t="s">
        <v>2276</v>
      </c>
      <c r="AA307" s="3" t="s">
        <v>2276</v>
      </c>
      <c r="AB307" s="3" t="s">
        <v>2276</v>
      </c>
      <c r="AC307" s="4"/>
      <c r="AD307" s="4"/>
    </row>
    <row r="308" spans="1:30" ht="112" customHeight="1">
      <c r="A308" s="11" t="s">
        <v>1737</v>
      </c>
      <c r="B308" s="11" t="s">
        <v>1791</v>
      </c>
      <c r="C308" s="23" t="s">
        <v>24</v>
      </c>
      <c r="D308" s="23" t="s">
        <v>143</v>
      </c>
      <c r="E308" s="26" t="s">
        <v>397</v>
      </c>
      <c r="F308" s="19" t="s">
        <v>74</v>
      </c>
      <c r="G308" s="11" t="s">
        <v>2276</v>
      </c>
      <c r="H308" s="19" t="s">
        <v>523</v>
      </c>
      <c r="I308" s="3"/>
      <c r="J308" s="21" t="s">
        <v>2276</v>
      </c>
      <c r="K308" s="21" t="s">
        <v>2276</v>
      </c>
      <c r="L308" s="21" t="s">
        <v>2276</v>
      </c>
      <c r="M308" s="21" t="s">
        <v>2276</v>
      </c>
      <c r="N308" s="21" t="s">
        <v>2276</v>
      </c>
      <c r="O308" s="21" t="s">
        <v>2276</v>
      </c>
      <c r="P308" s="21" t="s">
        <v>2276</v>
      </c>
      <c r="Q308" s="21" t="s">
        <v>2276</v>
      </c>
      <c r="R308" s="21" t="s">
        <v>2276</v>
      </c>
      <c r="S308" s="21" t="s">
        <v>2276</v>
      </c>
      <c r="T308" s="21" t="s">
        <v>2276</v>
      </c>
      <c r="U308" s="21" t="s">
        <v>2276</v>
      </c>
      <c r="V308" s="21" t="s">
        <v>2276</v>
      </c>
      <c r="W308" s="21" t="s">
        <v>2276</v>
      </c>
      <c r="X308" s="21" t="s">
        <v>2276</v>
      </c>
      <c r="Y308" s="21" t="s">
        <v>2276</v>
      </c>
      <c r="Z308" s="3" t="s">
        <v>2276</v>
      </c>
      <c r="AA308" s="3" t="s">
        <v>2276</v>
      </c>
      <c r="AB308" s="3" t="s">
        <v>2276</v>
      </c>
      <c r="AC308" s="4"/>
      <c r="AD308" s="4"/>
    </row>
    <row r="309" spans="1:30" ht="112" customHeight="1">
      <c r="A309" s="11" t="s">
        <v>1738</v>
      </c>
      <c r="B309" s="11" t="s">
        <v>1792</v>
      </c>
      <c r="C309" s="23" t="s">
        <v>24</v>
      </c>
      <c r="D309" s="23" t="s">
        <v>143</v>
      </c>
      <c r="E309" s="26" t="s">
        <v>130</v>
      </c>
      <c r="F309" s="19" t="s">
        <v>74</v>
      </c>
      <c r="G309" s="11" t="s">
        <v>2276</v>
      </c>
      <c r="H309" s="19" t="s">
        <v>523</v>
      </c>
      <c r="I309" s="3"/>
      <c r="J309" s="21" t="s">
        <v>2276</v>
      </c>
      <c r="K309" s="21" t="s">
        <v>2276</v>
      </c>
      <c r="L309" s="21" t="s">
        <v>2276</v>
      </c>
      <c r="M309" s="21" t="s">
        <v>2276</v>
      </c>
      <c r="N309" s="21" t="s">
        <v>2276</v>
      </c>
      <c r="O309" s="21" t="s">
        <v>2276</v>
      </c>
      <c r="P309" s="21" t="s">
        <v>2276</v>
      </c>
      <c r="Q309" s="21" t="s">
        <v>2276</v>
      </c>
      <c r="R309" s="21" t="s">
        <v>2276</v>
      </c>
      <c r="S309" s="21" t="s">
        <v>2276</v>
      </c>
      <c r="T309" s="21" t="s">
        <v>2276</v>
      </c>
      <c r="U309" s="21" t="s">
        <v>2276</v>
      </c>
      <c r="V309" s="21" t="s">
        <v>2276</v>
      </c>
      <c r="W309" s="21" t="s">
        <v>2276</v>
      </c>
      <c r="X309" s="21" t="s">
        <v>2276</v>
      </c>
      <c r="Y309" s="21" t="s">
        <v>2276</v>
      </c>
      <c r="Z309" s="3" t="s">
        <v>2276</v>
      </c>
      <c r="AA309" s="3" t="s">
        <v>2276</v>
      </c>
      <c r="AB309" s="3" t="s">
        <v>2276</v>
      </c>
      <c r="AC309" s="4"/>
      <c r="AD309" s="4"/>
    </row>
    <row r="310" spans="1:30" ht="112" customHeight="1">
      <c r="A310" s="11" t="s">
        <v>1738</v>
      </c>
      <c r="B310" s="11" t="s">
        <v>1793</v>
      </c>
      <c r="C310" s="23" t="s">
        <v>24</v>
      </c>
      <c r="D310" s="23" t="s">
        <v>27</v>
      </c>
      <c r="E310" s="26" t="s">
        <v>130</v>
      </c>
      <c r="F310" s="19" t="s">
        <v>161</v>
      </c>
      <c r="G310" s="11" t="s">
        <v>2276</v>
      </c>
      <c r="H310" s="19" t="s">
        <v>523</v>
      </c>
      <c r="I310" s="3"/>
      <c r="J310" s="21" t="s">
        <v>2276</v>
      </c>
      <c r="K310" s="21" t="s">
        <v>2276</v>
      </c>
      <c r="L310" s="21" t="s">
        <v>2276</v>
      </c>
      <c r="M310" s="21" t="s">
        <v>2276</v>
      </c>
      <c r="N310" s="21" t="s">
        <v>2276</v>
      </c>
      <c r="O310" s="21" t="s">
        <v>2276</v>
      </c>
      <c r="P310" s="21" t="s">
        <v>2276</v>
      </c>
      <c r="Q310" s="21" t="s">
        <v>2276</v>
      </c>
      <c r="R310" s="21" t="s">
        <v>2276</v>
      </c>
      <c r="S310" s="21" t="s">
        <v>2276</v>
      </c>
      <c r="T310" s="21" t="s">
        <v>2276</v>
      </c>
      <c r="U310" s="21" t="s">
        <v>2276</v>
      </c>
      <c r="V310" s="21" t="s">
        <v>2276</v>
      </c>
      <c r="W310" s="21" t="s">
        <v>2276</v>
      </c>
      <c r="X310" s="21" t="s">
        <v>2276</v>
      </c>
      <c r="Y310" s="21" t="s">
        <v>2276</v>
      </c>
      <c r="Z310" s="3" t="s">
        <v>2276</v>
      </c>
      <c r="AA310" s="3" t="s">
        <v>2276</v>
      </c>
      <c r="AB310" s="3" t="s">
        <v>2276</v>
      </c>
      <c r="AC310" s="4"/>
      <c r="AD310" s="4"/>
    </row>
    <row r="311" spans="1:30" ht="112" customHeight="1">
      <c r="A311" s="11" t="s">
        <v>1739</v>
      </c>
      <c r="B311" s="11" t="s">
        <v>1794</v>
      </c>
      <c r="C311" s="23" t="s">
        <v>24</v>
      </c>
      <c r="D311" s="23" t="s">
        <v>143</v>
      </c>
      <c r="E311" s="26" t="s">
        <v>397</v>
      </c>
      <c r="F311" s="19" t="s">
        <v>74</v>
      </c>
      <c r="G311" s="11" t="s">
        <v>2276</v>
      </c>
      <c r="H311" s="19" t="s">
        <v>523</v>
      </c>
      <c r="I311" s="3"/>
      <c r="J311" s="21" t="s">
        <v>2276</v>
      </c>
      <c r="K311" s="21" t="s">
        <v>2276</v>
      </c>
      <c r="L311" s="21" t="s">
        <v>2276</v>
      </c>
      <c r="M311" s="21" t="s">
        <v>2276</v>
      </c>
      <c r="N311" s="21" t="s">
        <v>2276</v>
      </c>
      <c r="O311" s="21" t="s">
        <v>2276</v>
      </c>
      <c r="P311" s="21" t="s">
        <v>2276</v>
      </c>
      <c r="Q311" s="21" t="s">
        <v>2276</v>
      </c>
      <c r="R311" s="21" t="s">
        <v>2276</v>
      </c>
      <c r="S311" s="21" t="s">
        <v>2276</v>
      </c>
      <c r="T311" s="21" t="s">
        <v>2276</v>
      </c>
      <c r="U311" s="21" t="s">
        <v>2276</v>
      </c>
      <c r="V311" s="21" t="s">
        <v>2276</v>
      </c>
      <c r="W311" s="21" t="s">
        <v>2276</v>
      </c>
      <c r="X311" s="21" t="s">
        <v>2276</v>
      </c>
      <c r="Y311" s="21" t="s">
        <v>2276</v>
      </c>
      <c r="Z311" s="3" t="s">
        <v>2276</v>
      </c>
      <c r="AA311" s="3" t="s">
        <v>2276</v>
      </c>
      <c r="AB311" s="3" t="s">
        <v>2276</v>
      </c>
      <c r="AC311" s="4"/>
      <c r="AD311" s="4"/>
    </row>
    <row r="312" spans="1:30" ht="112" customHeight="1">
      <c r="A312" s="11" t="s">
        <v>1739</v>
      </c>
      <c r="B312" s="11" t="s">
        <v>1795</v>
      </c>
      <c r="C312" s="23" t="s">
        <v>24</v>
      </c>
      <c r="D312" s="23" t="s">
        <v>143</v>
      </c>
      <c r="E312" s="26" t="s">
        <v>130</v>
      </c>
      <c r="F312" s="19" t="s">
        <v>74</v>
      </c>
      <c r="G312" s="11" t="s">
        <v>2276</v>
      </c>
      <c r="H312" s="19" t="s">
        <v>523</v>
      </c>
      <c r="I312" s="3"/>
      <c r="J312" s="21" t="s">
        <v>2276</v>
      </c>
      <c r="K312" s="21" t="s">
        <v>2276</v>
      </c>
      <c r="L312" s="21" t="s">
        <v>2276</v>
      </c>
      <c r="M312" s="21" t="s">
        <v>2276</v>
      </c>
      <c r="N312" s="21" t="s">
        <v>2276</v>
      </c>
      <c r="O312" s="21" t="s">
        <v>2276</v>
      </c>
      <c r="P312" s="21" t="s">
        <v>2276</v>
      </c>
      <c r="Q312" s="21" t="s">
        <v>2276</v>
      </c>
      <c r="R312" s="21" t="s">
        <v>2276</v>
      </c>
      <c r="S312" s="21" t="s">
        <v>2276</v>
      </c>
      <c r="T312" s="21" t="s">
        <v>2276</v>
      </c>
      <c r="U312" s="21" t="s">
        <v>2276</v>
      </c>
      <c r="V312" s="21" t="s">
        <v>2276</v>
      </c>
      <c r="W312" s="21" t="s">
        <v>2276</v>
      </c>
      <c r="X312" s="21" t="s">
        <v>2276</v>
      </c>
      <c r="Y312" s="21" t="s">
        <v>2276</v>
      </c>
      <c r="Z312" s="3" t="s">
        <v>2276</v>
      </c>
      <c r="AA312" s="3" t="s">
        <v>2276</v>
      </c>
      <c r="AB312" s="3" t="s">
        <v>2276</v>
      </c>
      <c r="AC312" s="4"/>
      <c r="AD312" s="4"/>
    </row>
    <row r="313" spans="1:30" ht="112" customHeight="1">
      <c r="A313" s="11" t="s">
        <v>1739</v>
      </c>
      <c r="B313" s="11" t="s">
        <v>1796</v>
      </c>
      <c r="C313" s="23" t="s">
        <v>24</v>
      </c>
      <c r="D313" s="23" t="s">
        <v>27</v>
      </c>
      <c r="E313" s="26" t="s">
        <v>130</v>
      </c>
      <c r="F313" s="19" t="s">
        <v>161</v>
      </c>
      <c r="G313" s="11" t="s">
        <v>2276</v>
      </c>
      <c r="H313" s="19" t="s">
        <v>523</v>
      </c>
      <c r="I313" s="3"/>
      <c r="J313" s="21" t="s">
        <v>2276</v>
      </c>
      <c r="K313" s="21" t="s">
        <v>2276</v>
      </c>
      <c r="L313" s="21" t="s">
        <v>2276</v>
      </c>
      <c r="M313" s="21" t="s">
        <v>2276</v>
      </c>
      <c r="N313" s="21" t="s">
        <v>2276</v>
      </c>
      <c r="O313" s="21" t="s">
        <v>2276</v>
      </c>
      <c r="P313" s="21" t="s">
        <v>2276</v>
      </c>
      <c r="Q313" s="21" t="s">
        <v>2276</v>
      </c>
      <c r="R313" s="21" t="s">
        <v>2276</v>
      </c>
      <c r="S313" s="21" t="s">
        <v>2276</v>
      </c>
      <c r="T313" s="21" t="s">
        <v>2276</v>
      </c>
      <c r="U313" s="21" t="s">
        <v>2276</v>
      </c>
      <c r="V313" s="21" t="s">
        <v>2276</v>
      </c>
      <c r="W313" s="21" t="s">
        <v>2276</v>
      </c>
      <c r="X313" s="21" t="s">
        <v>2276</v>
      </c>
      <c r="Y313" s="21" t="s">
        <v>2276</v>
      </c>
      <c r="Z313" s="3" t="s">
        <v>2276</v>
      </c>
      <c r="AA313" s="3" t="s">
        <v>2276</v>
      </c>
      <c r="AB313" s="3" t="s">
        <v>2276</v>
      </c>
      <c r="AC313" s="4"/>
      <c r="AD313" s="4"/>
    </row>
    <row r="314" spans="1:30" ht="112" customHeight="1">
      <c r="A314" s="11" t="s">
        <v>1740</v>
      </c>
      <c r="B314" s="11" t="s">
        <v>1797</v>
      </c>
      <c r="C314" s="23" t="s">
        <v>24</v>
      </c>
      <c r="D314" s="23" t="s">
        <v>143</v>
      </c>
      <c r="E314" s="26" t="s">
        <v>397</v>
      </c>
      <c r="F314" s="19" t="s">
        <v>74</v>
      </c>
      <c r="G314" s="11" t="s">
        <v>2276</v>
      </c>
      <c r="H314" s="19" t="s">
        <v>523</v>
      </c>
      <c r="I314" s="3"/>
      <c r="J314" s="21" t="s">
        <v>2276</v>
      </c>
      <c r="K314" s="21" t="s">
        <v>2276</v>
      </c>
      <c r="L314" s="21" t="s">
        <v>2276</v>
      </c>
      <c r="M314" s="21" t="s">
        <v>2276</v>
      </c>
      <c r="N314" s="21" t="s">
        <v>2276</v>
      </c>
      <c r="O314" s="21" t="s">
        <v>2276</v>
      </c>
      <c r="P314" s="21" t="s">
        <v>2276</v>
      </c>
      <c r="Q314" s="21" t="s">
        <v>2276</v>
      </c>
      <c r="R314" s="21" t="s">
        <v>2276</v>
      </c>
      <c r="S314" s="21" t="s">
        <v>2276</v>
      </c>
      <c r="T314" s="21" t="s">
        <v>2276</v>
      </c>
      <c r="U314" s="21" t="s">
        <v>2276</v>
      </c>
      <c r="V314" s="21" t="s">
        <v>2276</v>
      </c>
      <c r="W314" s="21" t="s">
        <v>2276</v>
      </c>
      <c r="X314" s="21" t="s">
        <v>2276</v>
      </c>
      <c r="Y314" s="21" t="s">
        <v>2276</v>
      </c>
      <c r="Z314" s="3" t="s">
        <v>2276</v>
      </c>
      <c r="AA314" s="3" t="s">
        <v>2276</v>
      </c>
      <c r="AB314" s="3" t="s">
        <v>2276</v>
      </c>
      <c r="AC314" s="4"/>
      <c r="AD314" s="4"/>
    </row>
    <row r="315" spans="1:30" ht="112" customHeight="1">
      <c r="A315" s="11" t="s">
        <v>1741</v>
      </c>
      <c r="B315" s="11" t="s">
        <v>1798</v>
      </c>
      <c r="C315" s="23" t="s">
        <v>24</v>
      </c>
      <c r="D315" s="23" t="s">
        <v>143</v>
      </c>
      <c r="E315" s="26" t="s">
        <v>130</v>
      </c>
      <c r="F315" s="19" t="s">
        <v>74</v>
      </c>
      <c r="G315" s="11" t="s">
        <v>2276</v>
      </c>
      <c r="H315" s="19" t="s">
        <v>523</v>
      </c>
      <c r="I315" s="3"/>
      <c r="J315" s="21" t="s">
        <v>2276</v>
      </c>
      <c r="K315" s="21" t="s">
        <v>2276</v>
      </c>
      <c r="L315" s="21" t="s">
        <v>2276</v>
      </c>
      <c r="M315" s="21" t="s">
        <v>2276</v>
      </c>
      <c r="N315" s="21" t="s">
        <v>2276</v>
      </c>
      <c r="O315" s="21" t="s">
        <v>2276</v>
      </c>
      <c r="P315" s="21" t="s">
        <v>2276</v>
      </c>
      <c r="Q315" s="21" t="s">
        <v>2276</v>
      </c>
      <c r="R315" s="21" t="s">
        <v>2276</v>
      </c>
      <c r="S315" s="21" t="s">
        <v>2276</v>
      </c>
      <c r="T315" s="21" t="s">
        <v>2276</v>
      </c>
      <c r="U315" s="21" t="s">
        <v>2276</v>
      </c>
      <c r="V315" s="21" t="s">
        <v>2276</v>
      </c>
      <c r="W315" s="21" t="s">
        <v>2276</v>
      </c>
      <c r="X315" s="21" t="s">
        <v>2276</v>
      </c>
      <c r="Y315" s="21" t="s">
        <v>2276</v>
      </c>
      <c r="Z315" s="3" t="s">
        <v>2276</v>
      </c>
      <c r="AA315" s="3" t="s">
        <v>2276</v>
      </c>
      <c r="AB315" s="3" t="s">
        <v>2276</v>
      </c>
      <c r="AC315" s="4"/>
      <c r="AD315" s="4"/>
    </row>
    <row r="316" spans="1:30" ht="112" customHeight="1">
      <c r="A316" s="11" t="s">
        <v>1741</v>
      </c>
      <c r="B316" s="11" t="s">
        <v>1799</v>
      </c>
      <c r="C316" s="23" t="s">
        <v>24</v>
      </c>
      <c r="D316" s="23" t="s">
        <v>27</v>
      </c>
      <c r="E316" s="26" t="s">
        <v>130</v>
      </c>
      <c r="F316" s="19" t="s">
        <v>161</v>
      </c>
      <c r="G316" s="11" t="s">
        <v>2276</v>
      </c>
      <c r="H316" s="19" t="s">
        <v>523</v>
      </c>
      <c r="I316" s="3"/>
      <c r="J316" s="21" t="s">
        <v>2276</v>
      </c>
      <c r="K316" s="21" t="s">
        <v>2276</v>
      </c>
      <c r="L316" s="21" t="s">
        <v>2276</v>
      </c>
      <c r="M316" s="21" t="s">
        <v>2276</v>
      </c>
      <c r="N316" s="21" t="s">
        <v>2276</v>
      </c>
      <c r="O316" s="21" t="s">
        <v>2276</v>
      </c>
      <c r="P316" s="21" t="s">
        <v>2276</v>
      </c>
      <c r="Q316" s="21" t="s">
        <v>2276</v>
      </c>
      <c r="R316" s="21" t="s">
        <v>2276</v>
      </c>
      <c r="S316" s="21" t="s">
        <v>2276</v>
      </c>
      <c r="T316" s="21" t="s">
        <v>2276</v>
      </c>
      <c r="U316" s="21" t="s">
        <v>2276</v>
      </c>
      <c r="V316" s="21" t="s">
        <v>2276</v>
      </c>
      <c r="W316" s="21" t="s">
        <v>2276</v>
      </c>
      <c r="X316" s="21" t="s">
        <v>2276</v>
      </c>
      <c r="Y316" s="21" t="s">
        <v>2276</v>
      </c>
      <c r="Z316" s="3" t="s">
        <v>2276</v>
      </c>
      <c r="AA316" s="3" t="s">
        <v>2276</v>
      </c>
      <c r="AB316" s="3" t="s">
        <v>2276</v>
      </c>
      <c r="AC316" s="4"/>
      <c r="AD316" s="4"/>
    </row>
    <row r="317" spans="1:30" ht="112" customHeight="1">
      <c r="A317" s="11" t="s">
        <v>1742</v>
      </c>
      <c r="B317" s="11" t="s">
        <v>1800</v>
      </c>
      <c r="C317" s="23" t="s">
        <v>24</v>
      </c>
      <c r="D317" s="23" t="s">
        <v>143</v>
      </c>
      <c r="E317" s="26" t="s">
        <v>130</v>
      </c>
      <c r="F317" s="19" t="s">
        <v>74</v>
      </c>
      <c r="G317" s="11" t="s">
        <v>2276</v>
      </c>
      <c r="H317" s="19" t="s">
        <v>523</v>
      </c>
      <c r="I317" s="3"/>
      <c r="J317" s="21" t="s">
        <v>2276</v>
      </c>
      <c r="K317" s="21" t="s">
        <v>2276</v>
      </c>
      <c r="L317" s="21" t="s">
        <v>2276</v>
      </c>
      <c r="M317" s="21" t="s">
        <v>2276</v>
      </c>
      <c r="N317" s="21" t="s">
        <v>2276</v>
      </c>
      <c r="O317" s="21" t="s">
        <v>2276</v>
      </c>
      <c r="P317" s="21" t="s">
        <v>2276</v>
      </c>
      <c r="Q317" s="21" t="s">
        <v>2276</v>
      </c>
      <c r="R317" s="21" t="s">
        <v>2276</v>
      </c>
      <c r="S317" s="21" t="s">
        <v>2276</v>
      </c>
      <c r="T317" s="21" t="s">
        <v>2276</v>
      </c>
      <c r="U317" s="21" t="s">
        <v>2276</v>
      </c>
      <c r="V317" s="21" t="s">
        <v>2276</v>
      </c>
      <c r="W317" s="21" t="s">
        <v>2276</v>
      </c>
      <c r="X317" s="21" t="s">
        <v>2276</v>
      </c>
      <c r="Y317" s="21" t="s">
        <v>2276</v>
      </c>
      <c r="Z317" s="3" t="s">
        <v>2276</v>
      </c>
      <c r="AA317" s="3" t="s">
        <v>2276</v>
      </c>
      <c r="AB317" s="3" t="s">
        <v>2276</v>
      </c>
      <c r="AC317" s="4"/>
      <c r="AD317" s="4"/>
    </row>
    <row r="318" spans="1:30" ht="112" customHeight="1">
      <c r="A318" s="11" t="s">
        <v>1742</v>
      </c>
      <c r="B318" s="11" t="s">
        <v>1801</v>
      </c>
      <c r="C318" s="23" t="s">
        <v>24</v>
      </c>
      <c r="D318" s="23" t="s">
        <v>27</v>
      </c>
      <c r="E318" s="26" t="s">
        <v>130</v>
      </c>
      <c r="F318" s="19" t="s">
        <v>161</v>
      </c>
      <c r="G318" s="11" t="s">
        <v>2276</v>
      </c>
      <c r="H318" s="19" t="s">
        <v>523</v>
      </c>
      <c r="I318" s="3"/>
      <c r="J318" s="21" t="s">
        <v>2276</v>
      </c>
      <c r="K318" s="21" t="s">
        <v>2276</v>
      </c>
      <c r="L318" s="21" t="s">
        <v>2276</v>
      </c>
      <c r="M318" s="21" t="s">
        <v>2276</v>
      </c>
      <c r="N318" s="21" t="s">
        <v>2276</v>
      </c>
      <c r="O318" s="21" t="s">
        <v>2276</v>
      </c>
      <c r="P318" s="21" t="s">
        <v>2276</v>
      </c>
      <c r="Q318" s="21" t="s">
        <v>2276</v>
      </c>
      <c r="R318" s="21" t="s">
        <v>2276</v>
      </c>
      <c r="S318" s="21" t="s">
        <v>2276</v>
      </c>
      <c r="T318" s="21" t="s">
        <v>2276</v>
      </c>
      <c r="U318" s="21" t="s">
        <v>2276</v>
      </c>
      <c r="V318" s="21" t="s">
        <v>2276</v>
      </c>
      <c r="W318" s="21" t="s">
        <v>2276</v>
      </c>
      <c r="X318" s="21" t="s">
        <v>2276</v>
      </c>
      <c r="Y318" s="21" t="s">
        <v>2276</v>
      </c>
      <c r="Z318" s="3" t="s">
        <v>2276</v>
      </c>
      <c r="AA318" s="3" t="s">
        <v>2276</v>
      </c>
      <c r="AB318" s="3" t="s">
        <v>2276</v>
      </c>
      <c r="AC318" s="4"/>
      <c r="AD318" s="4"/>
    </row>
    <row r="319" spans="1:30" ht="112" customHeight="1">
      <c r="A319" s="11" t="s">
        <v>1743</v>
      </c>
      <c r="B319" s="11" t="s">
        <v>1802</v>
      </c>
      <c r="C319" s="23" t="s">
        <v>24</v>
      </c>
      <c r="D319" s="23" t="s">
        <v>143</v>
      </c>
      <c r="E319" s="26" t="s">
        <v>130</v>
      </c>
      <c r="F319" s="19" t="s">
        <v>74</v>
      </c>
      <c r="G319" s="11" t="s">
        <v>2276</v>
      </c>
      <c r="H319" s="19" t="s">
        <v>523</v>
      </c>
      <c r="I319" s="3"/>
      <c r="J319" s="21" t="s">
        <v>2276</v>
      </c>
      <c r="K319" s="21" t="s">
        <v>2276</v>
      </c>
      <c r="L319" s="21" t="s">
        <v>2276</v>
      </c>
      <c r="M319" s="21" t="s">
        <v>2276</v>
      </c>
      <c r="N319" s="21" t="s">
        <v>2276</v>
      </c>
      <c r="O319" s="21" t="s">
        <v>2276</v>
      </c>
      <c r="P319" s="21" t="s">
        <v>2276</v>
      </c>
      <c r="Q319" s="21" t="s">
        <v>2276</v>
      </c>
      <c r="R319" s="21" t="s">
        <v>2276</v>
      </c>
      <c r="S319" s="21" t="s">
        <v>2276</v>
      </c>
      <c r="T319" s="21" t="s">
        <v>2276</v>
      </c>
      <c r="U319" s="21" t="s">
        <v>2276</v>
      </c>
      <c r="V319" s="21" t="s">
        <v>2276</v>
      </c>
      <c r="W319" s="21" t="s">
        <v>2276</v>
      </c>
      <c r="X319" s="21" t="s">
        <v>2276</v>
      </c>
      <c r="Y319" s="21" t="s">
        <v>2276</v>
      </c>
      <c r="Z319" s="3" t="s">
        <v>2276</v>
      </c>
      <c r="AA319" s="3" t="s">
        <v>2276</v>
      </c>
      <c r="AB319" s="3" t="s">
        <v>2276</v>
      </c>
      <c r="AC319" s="4"/>
      <c r="AD319" s="4"/>
    </row>
    <row r="320" spans="1:30" ht="112" customHeight="1">
      <c r="A320" s="11" t="s">
        <v>1743</v>
      </c>
      <c r="B320" s="11" t="s">
        <v>1803</v>
      </c>
      <c r="C320" s="23" t="s">
        <v>24</v>
      </c>
      <c r="D320" s="23" t="s">
        <v>27</v>
      </c>
      <c r="E320" s="26" t="s">
        <v>130</v>
      </c>
      <c r="F320" s="19" t="s">
        <v>161</v>
      </c>
      <c r="G320" s="11" t="s">
        <v>2276</v>
      </c>
      <c r="H320" s="19" t="s">
        <v>523</v>
      </c>
      <c r="I320" s="3"/>
      <c r="J320" s="21" t="s">
        <v>2276</v>
      </c>
      <c r="K320" s="21" t="s">
        <v>2276</v>
      </c>
      <c r="L320" s="21" t="s">
        <v>2276</v>
      </c>
      <c r="M320" s="21" t="s">
        <v>2276</v>
      </c>
      <c r="N320" s="21" t="s">
        <v>2276</v>
      </c>
      <c r="O320" s="21" t="s">
        <v>2276</v>
      </c>
      <c r="P320" s="21" t="s">
        <v>2276</v>
      </c>
      <c r="Q320" s="21" t="s">
        <v>2276</v>
      </c>
      <c r="R320" s="21" t="s">
        <v>2276</v>
      </c>
      <c r="S320" s="21" t="s">
        <v>2276</v>
      </c>
      <c r="T320" s="21" t="s">
        <v>2276</v>
      </c>
      <c r="U320" s="21" t="s">
        <v>2276</v>
      </c>
      <c r="V320" s="21" t="s">
        <v>2276</v>
      </c>
      <c r="W320" s="21" t="s">
        <v>2276</v>
      </c>
      <c r="X320" s="21" t="s">
        <v>2276</v>
      </c>
      <c r="Y320" s="21" t="s">
        <v>2276</v>
      </c>
      <c r="Z320" s="3" t="s">
        <v>2276</v>
      </c>
      <c r="AA320" s="3" t="s">
        <v>2276</v>
      </c>
      <c r="AB320" s="3" t="s">
        <v>2276</v>
      </c>
      <c r="AC320" s="4"/>
      <c r="AD320" s="4"/>
    </row>
    <row r="321" spans="1:30" ht="112" customHeight="1">
      <c r="A321" s="11" t="s">
        <v>1743</v>
      </c>
      <c r="B321" s="11" t="s">
        <v>1804</v>
      </c>
      <c r="C321" s="23" t="s">
        <v>24</v>
      </c>
      <c r="D321" s="23" t="s">
        <v>143</v>
      </c>
      <c r="E321" s="26" t="s">
        <v>397</v>
      </c>
      <c r="F321" s="19" t="s">
        <v>74</v>
      </c>
      <c r="G321" s="11" t="s">
        <v>2276</v>
      </c>
      <c r="H321" s="19" t="s">
        <v>523</v>
      </c>
      <c r="I321" s="3"/>
      <c r="J321" s="21" t="s">
        <v>2276</v>
      </c>
      <c r="K321" s="21" t="s">
        <v>2276</v>
      </c>
      <c r="L321" s="21" t="s">
        <v>2276</v>
      </c>
      <c r="M321" s="21" t="s">
        <v>2276</v>
      </c>
      <c r="N321" s="21" t="s">
        <v>2276</v>
      </c>
      <c r="O321" s="21" t="s">
        <v>2276</v>
      </c>
      <c r="P321" s="21" t="s">
        <v>2276</v>
      </c>
      <c r="Q321" s="21" t="s">
        <v>2276</v>
      </c>
      <c r="R321" s="21" t="s">
        <v>2276</v>
      </c>
      <c r="S321" s="21" t="s">
        <v>2276</v>
      </c>
      <c r="T321" s="21" t="s">
        <v>2276</v>
      </c>
      <c r="U321" s="21" t="s">
        <v>2276</v>
      </c>
      <c r="V321" s="21" t="s">
        <v>2276</v>
      </c>
      <c r="W321" s="21" t="s">
        <v>2276</v>
      </c>
      <c r="X321" s="21" t="s">
        <v>2276</v>
      </c>
      <c r="Y321" s="21" t="s">
        <v>2276</v>
      </c>
      <c r="Z321" s="3" t="s">
        <v>2276</v>
      </c>
      <c r="AA321" s="3" t="s">
        <v>2276</v>
      </c>
      <c r="AB321" s="3" t="s">
        <v>2276</v>
      </c>
      <c r="AC321" s="4"/>
      <c r="AD321" s="4"/>
    </row>
    <row r="322" spans="1:30" ht="112" customHeight="1">
      <c r="A322" s="11" t="s">
        <v>1744</v>
      </c>
      <c r="B322" s="11" t="s">
        <v>1805</v>
      </c>
      <c r="C322" s="23" t="s">
        <v>24</v>
      </c>
      <c r="D322" s="23" t="s">
        <v>143</v>
      </c>
      <c r="E322" s="26" t="s">
        <v>130</v>
      </c>
      <c r="F322" s="19" t="s">
        <v>74</v>
      </c>
      <c r="G322" s="11" t="s">
        <v>2276</v>
      </c>
      <c r="H322" s="19" t="s">
        <v>523</v>
      </c>
      <c r="I322" s="3"/>
      <c r="J322" s="21" t="s">
        <v>2276</v>
      </c>
      <c r="K322" s="21" t="s">
        <v>2276</v>
      </c>
      <c r="L322" s="21" t="s">
        <v>2276</v>
      </c>
      <c r="M322" s="21" t="s">
        <v>2276</v>
      </c>
      <c r="N322" s="21" t="s">
        <v>2276</v>
      </c>
      <c r="O322" s="21" t="s">
        <v>2276</v>
      </c>
      <c r="P322" s="21" t="s">
        <v>2276</v>
      </c>
      <c r="Q322" s="21" t="s">
        <v>2276</v>
      </c>
      <c r="R322" s="21" t="s">
        <v>2276</v>
      </c>
      <c r="S322" s="21" t="s">
        <v>2276</v>
      </c>
      <c r="T322" s="21" t="s">
        <v>2276</v>
      </c>
      <c r="U322" s="21" t="s">
        <v>2276</v>
      </c>
      <c r="V322" s="21" t="s">
        <v>2276</v>
      </c>
      <c r="W322" s="21" t="s">
        <v>2276</v>
      </c>
      <c r="X322" s="21" t="s">
        <v>2276</v>
      </c>
      <c r="Y322" s="21" t="s">
        <v>2276</v>
      </c>
      <c r="Z322" s="3" t="s">
        <v>2276</v>
      </c>
      <c r="AA322" s="3" t="s">
        <v>2276</v>
      </c>
      <c r="AB322" s="3" t="s">
        <v>2276</v>
      </c>
      <c r="AC322" s="4"/>
      <c r="AD322" s="4"/>
    </row>
    <row r="323" spans="1:30" ht="112" customHeight="1">
      <c r="A323" s="11" t="s">
        <v>1744</v>
      </c>
      <c r="B323" s="11" t="s">
        <v>1806</v>
      </c>
      <c r="C323" s="23" t="s">
        <v>24</v>
      </c>
      <c r="D323" s="23" t="s">
        <v>27</v>
      </c>
      <c r="E323" s="26" t="s">
        <v>130</v>
      </c>
      <c r="F323" s="19" t="s">
        <v>161</v>
      </c>
      <c r="G323" s="11" t="s">
        <v>2276</v>
      </c>
      <c r="H323" s="19" t="s">
        <v>523</v>
      </c>
      <c r="I323" s="3"/>
      <c r="J323" s="21" t="s">
        <v>2276</v>
      </c>
      <c r="K323" s="21" t="s">
        <v>2276</v>
      </c>
      <c r="L323" s="21" t="s">
        <v>2276</v>
      </c>
      <c r="M323" s="21" t="s">
        <v>2276</v>
      </c>
      <c r="N323" s="21" t="s">
        <v>2276</v>
      </c>
      <c r="O323" s="21" t="s">
        <v>2276</v>
      </c>
      <c r="P323" s="21" t="s">
        <v>2276</v>
      </c>
      <c r="Q323" s="21" t="s">
        <v>2276</v>
      </c>
      <c r="R323" s="21" t="s">
        <v>2276</v>
      </c>
      <c r="S323" s="21" t="s">
        <v>2276</v>
      </c>
      <c r="T323" s="21" t="s">
        <v>2276</v>
      </c>
      <c r="U323" s="21" t="s">
        <v>2276</v>
      </c>
      <c r="V323" s="21" t="s">
        <v>2276</v>
      </c>
      <c r="W323" s="21" t="s">
        <v>2276</v>
      </c>
      <c r="X323" s="21" t="s">
        <v>2276</v>
      </c>
      <c r="Y323" s="21" t="s">
        <v>2276</v>
      </c>
      <c r="Z323" s="3" t="s">
        <v>2276</v>
      </c>
      <c r="AA323" s="3" t="s">
        <v>2276</v>
      </c>
      <c r="AB323" s="3" t="s">
        <v>2276</v>
      </c>
      <c r="AC323" s="4"/>
      <c r="AD323" s="4"/>
    </row>
    <row r="324" spans="1:30" ht="112" customHeight="1">
      <c r="A324" s="11" t="s">
        <v>1744</v>
      </c>
      <c r="B324" s="11" t="s">
        <v>1807</v>
      </c>
      <c r="C324" s="23" t="s">
        <v>24</v>
      </c>
      <c r="D324" s="23" t="s">
        <v>143</v>
      </c>
      <c r="E324" s="26" t="s">
        <v>397</v>
      </c>
      <c r="F324" s="19" t="s">
        <v>74</v>
      </c>
      <c r="G324" s="11" t="s">
        <v>2276</v>
      </c>
      <c r="H324" s="19" t="s">
        <v>523</v>
      </c>
      <c r="I324" s="3"/>
      <c r="J324" s="21" t="s">
        <v>2276</v>
      </c>
      <c r="K324" s="21" t="s">
        <v>2276</v>
      </c>
      <c r="L324" s="21" t="s">
        <v>2276</v>
      </c>
      <c r="M324" s="21" t="s">
        <v>2276</v>
      </c>
      <c r="N324" s="21" t="s">
        <v>2276</v>
      </c>
      <c r="O324" s="21" t="s">
        <v>2276</v>
      </c>
      <c r="P324" s="21" t="s">
        <v>2276</v>
      </c>
      <c r="Q324" s="21" t="s">
        <v>2276</v>
      </c>
      <c r="R324" s="21" t="s">
        <v>2276</v>
      </c>
      <c r="S324" s="21" t="s">
        <v>2276</v>
      </c>
      <c r="T324" s="21" t="s">
        <v>2276</v>
      </c>
      <c r="U324" s="21" t="s">
        <v>2276</v>
      </c>
      <c r="V324" s="21" t="s">
        <v>2276</v>
      </c>
      <c r="W324" s="21" t="s">
        <v>2276</v>
      </c>
      <c r="X324" s="21" t="s">
        <v>2276</v>
      </c>
      <c r="Y324" s="21" t="s">
        <v>2276</v>
      </c>
      <c r="Z324" s="3" t="s">
        <v>2276</v>
      </c>
      <c r="AA324" s="3" t="s">
        <v>2276</v>
      </c>
      <c r="AB324" s="3" t="s">
        <v>2276</v>
      </c>
      <c r="AC324" s="4"/>
      <c r="AD324" s="4"/>
    </row>
    <row r="325" spans="1:30" ht="112" customHeight="1">
      <c r="A325" s="11" t="s">
        <v>1745</v>
      </c>
      <c r="B325" s="11" t="s">
        <v>1808</v>
      </c>
      <c r="C325" s="23" t="s">
        <v>24</v>
      </c>
      <c r="D325" s="23" t="s">
        <v>143</v>
      </c>
      <c r="E325" s="26" t="s">
        <v>397</v>
      </c>
      <c r="F325" s="19" t="s">
        <v>74</v>
      </c>
      <c r="G325" s="11" t="s">
        <v>2276</v>
      </c>
      <c r="H325" s="19" t="s">
        <v>523</v>
      </c>
      <c r="I325" s="3"/>
      <c r="J325" s="21" t="s">
        <v>2276</v>
      </c>
      <c r="K325" s="21" t="s">
        <v>2276</v>
      </c>
      <c r="L325" s="21" t="s">
        <v>2276</v>
      </c>
      <c r="M325" s="21" t="s">
        <v>2276</v>
      </c>
      <c r="N325" s="21" t="s">
        <v>2276</v>
      </c>
      <c r="O325" s="21" t="s">
        <v>2276</v>
      </c>
      <c r="P325" s="21" t="s">
        <v>2276</v>
      </c>
      <c r="Q325" s="21" t="s">
        <v>2276</v>
      </c>
      <c r="R325" s="21" t="s">
        <v>2276</v>
      </c>
      <c r="S325" s="21" t="s">
        <v>2276</v>
      </c>
      <c r="T325" s="21" t="s">
        <v>2276</v>
      </c>
      <c r="U325" s="21" t="s">
        <v>2276</v>
      </c>
      <c r="V325" s="21" t="s">
        <v>2276</v>
      </c>
      <c r="W325" s="21" t="s">
        <v>2276</v>
      </c>
      <c r="X325" s="21" t="s">
        <v>2276</v>
      </c>
      <c r="Y325" s="21" t="s">
        <v>2276</v>
      </c>
      <c r="Z325" s="3" t="s">
        <v>2276</v>
      </c>
      <c r="AA325" s="3" t="s">
        <v>2276</v>
      </c>
      <c r="AB325" s="3" t="s">
        <v>2276</v>
      </c>
      <c r="AC325" s="4"/>
      <c r="AD325" s="4"/>
    </row>
    <row r="326" spans="1:30" ht="112" customHeight="1">
      <c r="A326" s="11" t="s">
        <v>1746</v>
      </c>
      <c r="B326" s="11" t="s">
        <v>1809</v>
      </c>
      <c r="C326" s="23" t="s">
        <v>24</v>
      </c>
      <c r="D326" s="23" t="s">
        <v>143</v>
      </c>
      <c r="E326" s="26" t="s">
        <v>130</v>
      </c>
      <c r="F326" s="19" t="s">
        <v>74</v>
      </c>
      <c r="G326" s="11" t="s">
        <v>2276</v>
      </c>
      <c r="H326" s="19" t="s">
        <v>523</v>
      </c>
      <c r="I326" s="3"/>
      <c r="J326" s="21" t="s">
        <v>2276</v>
      </c>
      <c r="K326" s="21" t="s">
        <v>2276</v>
      </c>
      <c r="L326" s="21" t="s">
        <v>2276</v>
      </c>
      <c r="M326" s="21" t="s">
        <v>2276</v>
      </c>
      <c r="N326" s="21" t="s">
        <v>2276</v>
      </c>
      <c r="O326" s="21" t="s">
        <v>2276</v>
      </c>
      <c r="P326" s="21" t="s">
        <v>2276</v>
      </c>
      <c r="Q326" s="21" t="s">
        <v>2276</v>
      </c>
      <c r="R326" s="21" t="s">
        <v>2276</v>
      </c>
      <c r="S326" s="21" t="s">
        <v>2276</v>
      </c>
      <c r="T326" s="21" t="s">
        <v>2276</v>
      </c>
      <c r="U326" s="21" t="s">
        <v>2276</v>
      </c>
      <c r="V326" s="21" t="s">
        <v>2276</v>
      </c>
      <c r="W326" s="21" t="s">
        <v>2276</v>
      </c>
      <c r="X326" s="21" t="s">
        <v>2276</v>
      </c>
      <c r="Y326" s="21" t="s">
        <v>2276</v>
      </c>
      <c r="Z326" s="3" t="s">
        <v>2276</v>
      </c>
      <c r="AA326" s="3" t="s">
        <v>2276</v>
      </c>
      <c r="AB326" s="3" t="s">
        <v>2276</v>
      </c>
      <c r="AC326" s="4"/>
      <c r="AD326" s="4"/>
    </row>
    <row r="327" spans="1:30" ht="112" customHeight="1">
      <c r="A327" s="11" t="s">
        <v>1746</v>
      </c>
      <c r="B327" s="11" t="s">
        <v>1810</v>
      </c>
      <c r="C327" s="23" t="s">
        <v>24</v>
      </c>
      <c r="D327" s="23" t="s">
        <v>27</v>
      </c>
      <c r="E327" s="26" t="s">
        <v>130</v>
      </c>
      <c r="F327" s="19" t="s">
        <v>161</v>
      </c>
      <c r="G327" s="11" t="s">
        <v>2276</v>
      </c>
      <c r="H327" s="19" t="s">
        <v>523</v>
      </c>
      <c r="I327" s="3"/>
      <c r="J327" s="21" t="s">
        <v>2276</v>
      </c>
      <c r="K327" s="21" t="s">
        <v>2276</v>
      </c>
      <c r="L327" s="21" t="s">
        <v>2276</v>
      </c>
      <c r="M327" s="21" t="s">
        <v>2276</v>
      </c>
      <c r="N327" s="21" t="s">
        <v>2276</v>
      </c>
      <c r="O327" s="21" t="s">
        <v>2276</v>
      </c>
      <c r="P327" s="21" t="s">
        <v>2276</v>
      </c>
      <c r="Q327" s="21" t="s">
        <v>2276</v>
      </c>
      <c r="R327" s="21" t="s">
        <v>2276</v>
      </c>
      <c r="S327" s="21" t="s">
        <v>2276</v>
      </c>
      <c r="T327" s="21" t="s">
        <v>2276</v>
      </c>
      <c r="U327" s="21" t="s">
        <v>2276</v>
      </c>
      <c r="V327" s="21" t="s">
        <v>2276</v>
      </c>
      <c r="W327" s="21" t="s">
        <v>2276</v>
      </c>
      <c r="X327" s="21" t="s">
        <v>2276</v>
      </c>
      <c r="Y327" s="21" t="s">
        <v>2276</v>
      </c>
      <c r="Z327" s="3" t="s">
        <v>2276</v>
      </c>
      <c r="AA327" s="3" t="s">
        <v>2276</v>
      </c>
      <c r="AB327" s="3" t="s">
        <v>2276</v>
      </c>
      <c r="AC327" s="4"/>
      <c r="AD327" s="4"/>
    </row>
    <row r="328" spans="1:30" ht="112" customHeight="1">
      <c r="A328" s="11" t="s">
        <v>1746</v>
      </c>
      <c r="B328" s="11" t="s">
        <v>1811</v>
      </c>
      <c r="C328" s="23" t="s">
        <v>24</v>
      </c>
      <c r="D328" s="23" t="s">
        <v>143</v>
      </c>
      <c r="E328" s="26" t="s">
        <v>397</v>
      </c>
      <c r="F328" s="19" t="s">
        <v>74</v>
      </c>
      <c r="G328" s="11" t="s">
        <v>2276</v>
      </c>
      <c r="H328" s="19" t="s">
        <v>523</v>
      </c>
      <c r="I328" s="3"/>
      <c r="J328" s="21" t="s">
        <v>2276</v>
      </c>
      <c r="K328" s="21" t="s">
        <v>2276</v>
      </c>
      <c r="L328" s="21" t="s">
        <v>2276</v>
      </c>
      <c r="M328" s="21" t="s">
        <v>2276</v>
      </c>
      <c r="N328" s="21" t="s">
        <v>2276</v>
      </c>
      <c r="O328" s="21" t="s">
        <v>2276</v>
      </c>
      <c r="P328" s="21" t="s">
        <v>2276</v>
      </c>
      <c r="Q328" s="21" t="s">
        <v>2276</v>
      </c>
      <c r="R328" s="21" t="s">
        <v>2276</v>
      </c>
      <c r="S328" s="21" t="s">
        <v>2276</v>
      </c>
      <c r="T328" s="21" t="s">
        <v>2276</v>
      </c>
      <c r="U328" s="21" t="s">
        <v>2276</v>
      </c>
      <c r="V328" s="21" t="s">
        <v>2276</v>
      </c>
      <c r="W328" s="21" t="s">
        <v>2276</v>
      </c>
      <c r="X328" s="21" t="s">
        <v>2276</v>
      </c>
      <c r="Y328" s="21" t="s">
        <v>2276</v>
      </c>
      <c r="Z328" s="3" t="s">
        <v>2276</v>
      </c>
      <c r="AA328" s="3" t="s">
        <v>2276</v>
      </c>
      <c r="AB328" s="3" t="s">
        <v>2276</v>
      </c>
      <c r="AC328" s="4"/>
      <c r="AD328" s="4"/>
    </row>
    <row r="329" spans="1:30" ht="112" customHeight="1">
      <c r="A329" s="11" t="s">
        <v>1747</v>
      </c>
      <c r="B329" s="11" t="s">
        <v>1812</v>
      </c>
      <c r="C329" s="23" t="s">
        <v>24</v>
      </c>
      <c r="D329" s="23" t="s">
        <v>143</v>
      </c>
      <c r="E329" s="26" t="s">
        <v>397</v>
      </c>
      <c r="F329" s="19" t="s">
        <v>74</v>
      </c>
      <c r="G329" s="11" t="s">
        <v>2276</v>
      </c>
      <c r="H329" s="19" t="s">
        <v>523</v>
      </c>
      <c r="I329" s="3"/>
      <c r="J329" s="21" t="s">
        <v>2276</v>
      </c>
      <c r="K329" s="21" t="s">
        <v>2276</v>
      </c>
      <c r="L329" s="21" t="s">
        <v>2276</v>
      </c>
      <c r="M329" s="21" t="s">
        <v>2276</v>
      </c>
      <c r="N329" s="21" t="s">
        <v>2276</v>
      </c>
      <c r="O329" s="21" t="s">
        <v>2276</v>
      </c>
      <c r="P329" s="21" t="s">
        <v>2276</v>
      </c>
      <c r="Q329" s="21" t="s">
        <v>2276</v>
      </c>
      <c r="R329" s="21" t="s">
        <v>2276</v>
      </c>
      <c r="S329" s="21" t="s">
        <v>2276</v>
      </c>
      <c r="T329" s="21" t="s">
        <v>2276</v>
      </c>
      <c r="U329" s="21" t="s">
        <v>2276</v>
      </c>
      <c r="V329" s="21" t="s">
        <v>2276</v>
      </c>
      <c r="W329" s="21" t="s">
        <v>2276</v>
      </c>
      <c r="X329" s="21" t="s">
        <v>2276</v>
      </c>
      <c r="Y329" s="21" t="s">
        <v>2276</v>
      </c>
      <c r="Z329" s="3" t="s">
        <v>2276</v>
      </c>
      <c r="AA329" s="3" t="s">
        <v>2276</v>
      </c>
      <c r="AB329" s="3" t="s">
        <v>2276</v>
      </c>
      <c r="AC329" s="4"/>
      <c r="AD329" s="4"/>
    </row>
    <row r="330" spans="1:30" ht="112" customHeight="1">
      <c r="A330" s="11" t="s">
        <v>1748</v>
      </c>
      <c r="B330" s="11" t="s">
        <v>1813</v>
      </c>
      <c r="C330" s="23" t="s">
        <v>24</v>
      </c>
      <c r="D330" s="23" t="s">
        <v>143</v>
      </c>
      <c r="E330" s="26" t="s">
        <v>397</v>
      </c>
      <c r="F330" s="19" t="s">
        <v>74</v>
      </c>
      <c r="G330" s="11" t="s">
        <v>2276</v>
      </c>
      <c r="H330" s="19" t="s">
        <v>523</v>
      </c>
      <c r="I330" s="3"/>
      <c r="J330" s="21" t="s">
        <v>2276</v>
      </c>
      <c r="K330" s="21" t="s">
        <v>2276</v>
      </c>
      <c r="L330" s="21" t="s">
        <v>2276</v>
      </c>
      <c r="M330" s="21" t="s">
        <v>2276</v>
      </c>
      <c r="N330" s="21" t="s">
        <v>2276</v>
      </c>
      <c r="O330" s="21" t="s">
        <v>2276</v>
      </c>
      <c r="P330" s="21" t="s">
        <v>2276</v>
      </c>
      <c r="Q330" s="21" t="s">
        <v>2276</v>
      </c>
      <c r="R330" s="21" t="s">
        <v>2276</v>
      </c>
      <c r="S330" s="21" t="s">
        <v>2276</v>
      </c>
      <c r="T330" s="21" t="s">
        <v>2276</v>
      </c>
      <c r="U330" s="21" t="s">
        <v>2276</v>
      </c>
      <c r="V330" s="21" t="s">
        <v>2276</v>
      </c>
      <c r="W330" s="21" t="s">
        <v>2276</v>
      </c>
      <c r="X330" s="21" t="s">
        <v>2276</v>
      </c>
      <c r="Y330" s="21" t="s">
        <v>2276</v>
      </c>
      <c r="Z330" s="3" t="s">
        <v>2276</v>
      </c>
      <c r="AA330" s="3" t="s">
        <v>2276</v>
      </c>
      <c r="AB330" s="3" t="s">
        <v>2276</v>
      </c>
      <c r="AC330" s="4"/>
      <c r="AD330" s="4"/>
    </row>
    <row r="331" spans="1:30" ht="112" customHeight="1">
      <c r="A331" s="11" t="s">
        <v>1749</v>
      </c>
      <c r="B331" s="11" t="s">
        <v>1814</v>
      </c>
      <c r="C331" s="23" t="s">
        <v>24</v>
      </c>
      <c r="D331" s="23" t="s">
        <v>143</v>
      </c>
      <c r="E331" s="26" t="s">
        <v>397</v>
      </c>
      <c r="F331" s="19" t="s">
        <v>74</v>
      </c>
      <c r="G331" s="11" t="s">
        <v>2276</v>
      </c>
      <c r="H331" s="19" t="s">
        <v>523</v>
      </c>
      <c r="I331" s="3"/>
      <c r="J331" s="21" t="s">
        <v>2276</v>
      </c>
      <c r="K331" s="21" t="s">
        <v>2276</v>
      </c>
      <c r="L331" s="21" t="s">
        <v>2276</v>
      </c>
      <c r="M331" s="21" t="s">
        <v>2276</v>
      </c>
      <c r="N331" s="21" t="s">
        <v>2276</v>
      </c>
      <c r="O331" s="21" t="s">
        <v>2276</v>
      </c>
      <c r="P331" s="21" t="s">
        <v>2276</v>
      </c>
      <c r="Q331" s="21" t="s">
        <v>2276</v>
      </c>
      <c r="R331" s="21" t="s">
        <v>2276</v>
      </c>
      <c r="S331" s="21" t="s">
        <v>2276</v>
      </c>
      <c r="T331" s="21" t="s">
        <v>2276</v>
      </c>
      <c r="U331" s="21" t="s">
        <v>2276</v>
      </c>
      <c r="V331" s="21" t="s">
        <v>2276</v>
      </c>
      <c r="W331" s="21" t="s">
        <v>2276</v>
      </c>
      <c r="X331" s="21" t="s">
        <v>2276</v>
      </c>
      <c r="Y331" s="21" t="s">
        <v>2276</v>
      </c>
      <c r="Z331" s="3" t="s">
        <v>2276</v>
      </c>
      <c r="AA331" s="3" t="s">
        <v>2276</v>
      </c>
      <c r="AB331" s="3" t="s">
        <v>2276</v>
      </c>
      <c r="AC331" s="4"/>
      <c r="AD331" s="4"/>
    </row>
    <row r="332" spans="1:30" ht="112" customHeight="1">
      <c r="A332" s="11" t="s">
        <v>1749</v>
      </c>
      <c r="B332" s="11" t="s">
        <v>1815</v>
      </c>
      <c r="C332" s="23" t="s">
        <v>24</v>
      </c>
      <c r="D332" s="23" t="s">
        <v>143</v>
      </c>
      <c r="E332" s="26" t="s">
        <v>130</v>
      </c>
      <c r="F332" s="19" t="s">
        <v>74</v>
      </c>
      <c r="G332" s="11" t="s">
        <v>2276</v>
      </c>
      <c r="H332" s="19" t="s">
        <v>523</v>
      </c>
      <c r="I332" s="3"/>
      <c r="J332" s="21" t="s">
        <v>2276</v>
      </c>
      <c r="K332" s="21" t="s">
        <v>2276</v>
      </c>
      <c r="L332" s="21" t="s">
        <v>2276</v>
      </c>
      <c r="M332" s="21" t="s">
        <v>2276</v>
      </c>
      <c r="N332" s="21" t="s">
        <v>2276</v>
      </c>
      <c r="O332" s="21" t="s">
        <v>2276</v>
      </c>
      <c r="P332" s="21" t="s">
        <v>2276</v>
      </c>
      <c r="Q332" s="21" t="s">
        <v>2276</v>
      </c>
      <c r="R332" s="21" t="s">
        <v>2276</v>
      </c>
      <c r="S332" s="21" t="s">
        <v>2276</v>
      </c>
      <c r="T332" s="21" t="s">
        <v>2276</v>
      </c>
      <c r="U332" s="21" t="s">
        <v>2276</v>
      </c>
      <c r="V332" s="21" t="s">
        <v>2276</v>
      </c>
      <c r="W332" s="21" t="s">
        <v>2276</v>
      </c>
      <c r="X332" s="21" t="s">
        <v>2276</v>
      </c>
      <c r="Y332" s="21" t="s">
        <v>2276</v>
      </c>
      <c r="Z332" s="3" t="s">
        <v>2276</v>
      </c>
      <c r="AA332" s="3" t="s">
        <v>2276</v>
      </c>
      <c r="AB332" s="3" t="s">
        <v>2276</v>
      </c>
      <c r="AC332" s="4"/>
      <c r="AD332" s="4"/>
    </row>
    <row r="333" spans="1:30" ht="112" customHeight="1">
      <c r="A333" s="11" t="s">
        <v>1749</v>
      </c>
      <c r="B333" s="11" t="s">
        <v>1816</v>
      </c>
      <c r="C333" s="23" t="s">
        <v>24</v>
      </c>
      <c r="D333" s="23" t="s">
        <v>27</v>
      </c>
      <c r="E333" s="26" t="s">
        <v>130</v>
      </c>
      <c r="F333" s="19" t="s">
        <v>161</v>
      </c>
      <c r="G333" s="11" t="s">
        <v>2276</v>
      </c>
      <c r="H333" s="19" t="s">
        <v>523</v>
      </c>
      <c r="I333" s="3"/>
      <c r="J333" s="21" t="s">
        <v>2276</v>
      </c>
      <c r="K333" s="21" t="s">
        <v>2276</v>
      </c>
      <c r="L333" s="21" t="s">
        <v>2276</v>
      </c>
      <c r="M333" s="21" t="s">
        <v>2276</v>
      </c>
      <c r="N333" s="21" t="s">
        <v>2276</v>
      </c>
      <c r="O333" s="21" t="s">
        <v>2276</v>
      </c>
      <c r="P333" s="21" t="s">
        <v>2276</v>
      </c>
      <c r="Q333" s="21" t="s">
        <v>2276</v>
      </c>
      <c r="R333" s="21" t="s">
        <v>2276</v>
      </c>
      <c r="S333" s="21" t="s">
        <v>2276</v>
      </c>
      <c r="T333" s="21" t="s">
        <v>2276</v>
      </c>
      <c r="U333" s="21" t="s">
        <v>2276</v>
      </c>
      <c r="V333" s="21" t="s">
        <v>2276</v>
      </c>
      <c r="W333" s="21" t="s">
        <v>2276</v>
      </c>
      <c r="X333" s="21" t="s">
        <v>2276</v>
      </c>
      <c r="Y333" s="21" t="s">
        <v>2276</v>
      </c>
      <c r="Z333" s="3" t="s">
        <v>2276</v>
      </c>
      <c r="AA333" s="3" t="s">
        <v>2276</v>
      </c>
      <c r="AB333" s="3" t="s">
        <v>2276</v>
      </c>
      <c r="AC333" s="4"/>
      <c r="AD333" s="4"/>
    </row>
    <row r="334" spans="1:30" ht="112" customHeight="1">
      <c r="A334" s="11" t="s">
        <v>1750</v>
      </c>
      <c r="B334" s="11" t="s">
        <v>1817</v>
      </c>
      <c r="C334" s="23" t="s">
        <v>24</v>
      </c>
      <c r="D334" s="23" t="s">
        <v>143</v>
      </c>
      <c r="E334" s="26" t="s">
        <v>397</v>
      </c>
      <c r="F334" s="19" t="s">
        <v>74</v>
      </c>
      <c r="G334" s="11" t="s">
        <v>2276</v>
      </c>
      <c r="H334" s="19" t="s">
        <v>523</v>
      </c>
      <c r="I334" s="3"/>
      <c r="J334" s="21" t="s">
        <v>2276</v>
      </c>
      <c r="K334" s="21" t="s">
        <v>2276</v>
      </c>
      <c r="L334" s="21" t="s">
        <v>2276</v>
      </c>
      <c r="M334" s="21" t="s">
        <v>2276</v>
      </c>
      <c r="N334" s="21" t="s">
        <v>2276</v>
      </c>
      <c r="O334" s="21" t="s">
        <v>2276</v>
      </c>
      <c r="P334" s="21" t="s">
        <v>2276</v>
      </c>
      <c r="Q334" s="21" t="s">
        <v>2276</v>
      </c>
      <c r="R334" s="21" t="s">
        <v>2276</v>
      </c>
      <c r="S334" s="21" t="s">
        <v>2276</v>
      </c>
      <c r="T334" s="21" t="s">
        <v>2276</v>
      </c>
      <c r="U334" s="21" t="s">
        <v>2276</v>
      </c>
      <c r="V334" s="21" t="s">
        <v>2276</v>
      </c>
      <c r="W334" s="21" t="s">
        <v>2276</v>
      </c>
      <c r="X334" s="21" t="s">
        <v>2276</v>
      </c>
      <c r="Y334" s="21" t="s">
        <v>2276</v>
      </c>
      <c r="Z334" s="3" t="s">
        <v>2276</v>
      </c>
      <c r="AA334" s="3" t="s">
        <v>2276</v>
      </c>
      <c r="AB334" s="3" t="s">
        <v>2276</v>
      </c>
      <c r="AC334" s="4"/>
      <c r="AD334" s="4"/>
    </row>
    <row r="335" spans="1:30" ht="112" customHeight="1">
      <c r="A335" s="11" t="s">
        <v>1751</v>
      </c>
      <c r="B335" s="11" t="s">
        <v>1818</v>
      </c>
      <c r="C335" s="23" t="s">
        <v>24</v>
      </c>
      <c r="D335" s="23" t="s">
        <v>143</v>
      </c>
      <c r="E335" s="26" t="s">
        <v>397</v>
      </c>
      <c r="F335" s="19" t="s">
        <v>74</v>
      </c>
      <c r="G335" s="11" t="s">
        <v>2276</v>
      </c>
      <c r="H335" s="19" t="s">
        <v>523</v>
      </c>
      <c r="I335" s="3"/>
      <c r="J335" s="21" t="s">
        <v>2276</v>
      </c>
      <c r="K335" s="21" t="s">
        <v>2276</v>
      </c>
      <c r="L335" s="21" t="s">
        <v>2276</v>
      </c>
      <c r="M335" s="21" t="s">
        <v>2276</v>
      </c>
      <c r="N335" s="21" t="s">
        <v>2276</v>
      </c>
      <c r="O335" s="21" t="s">
        <v>2276</v>
      </c>
      <c r="P335" s="21" t="s">
        <v>2276</v>
      </c>
      <c r="Q335" s="21" t="s">
        <v>2276</v>
      </c>
      <c r="R335" s="21" t="s">
        <v>2276</v>
      </c>
      <c r="S335" s="21" t="s">
        <v>2276</v>
      </c>
      <c r="T335" s="21" t="s">
        <v>2276</v>
      </c>
      <c r="U335" s="21" t="s">
        <v>2276</v>
      </c>
      <c r="V335" s="21" t="s">
        <v>2276</v>
      </c>
      <c r="W335" s="21" t="s">
        <v>2276</v>
      </c>
      <c r="X335" s="21" t="s">
        <v>2276</v>
      </c>
      <c r="Y335" s="21" t="s">
        <v>2276</v>
      </c>
      <c r="Z335" s="3" t="s">
        <v>2276</v>
      </c>
      <c r="AA335" s="3" t="s">
        <v>2276</v>
      </c>
      <c r="AB335" s="3" t="s">
        <v>2276</v>
      </c>
      <c r="AC335" s="4"/>
      <c r="AD335" s="4"/>
    </row>
    <row r="336" spans="1:30" ht="112" customHeight="1">
      <c r="A336" s="11" t="s">
        <v>1752</v>
      </c>
      <c r="B336" s="11" t="s">
        <v>1819</v>
      </c>
      <c r="C336" s="23" t="s">
        <v>24</v>
      </c>
      <c r="D336" s="23" t="s">
        <v>143</v>
      </c>
      <c r="E336" s="26" t="s">
        <v>397</v>
      </c>
      <c r="F336" s="19" t="s">
        <v>74</v>
      </c>
      <c r="G336" s="11" t="s">
        <v>2276</v>
      </c>
      <c r="H336" s="19" t="s">
        <v>523</v>
      </c>
      <c r="I336" s="3"/>
      <c r="J336" s="21" t="s">
        <v>2276</v>
      </c>
      <c r="K336" s="21" t="s">
        <v>2276</v>
      </c>
      <c r="L336" s="21" t="s">
        <v>2276</v>
      </c>
      <c r="M336" s="21" t="s">
        <v>2276</v>
      </c>
      <c r="N336" s="21" t="s">
        <v>2276</v>
      </c>
      <c r="O336" s="21" t="s">
        <v>2276</v>
      </c>
      <c r="P336" s="21" t="s">
        <v>2276</v>
      </c>
      <c r="Q336" s="21" t="s">
        <v>2276</v>
      </c>
      <c r="R336" s="21" t="s">
        <v>2276</v>
      </c>
      <c r="S336" s="21" t="s">
        <v>2276</v>
      </c>
      <c r="T336" s="21" t="s">
        <v>2276</v>
      </c>
      <c r="U336" s="21" t="s">
        <v>2276</v>
      </c>
      <c r="V336" s="21" t="s">
        <v>2276</v>
      </c>
      <c r="W336" s="21" t="s">
        <v>2276</v>
      </c>
      <c r="X336" s="21" t="s">
        <v>2276</v>
      </c>
      <c r="Y336" s="21" t="s">
        <v>2276</v>
      </c>
      <c r="Z336" s="3" t="s">
        <v>2276</v>
      </c>
      <c r="AA336" s="3" t="s">
        <v>2276</v>
      </c>
      <c r="AB336" s="3" t="s">
        <v>2276</v>
      </c>
      <c r="AC336" s="4"/>
      <c r="AD336" s="4"/>
    </row>
    <row r="337" spans="1:30" ht="112" customHeight="1">
      <c r="A337" s="11" t="s">
        <v>1752</v>
      </c>
      <c r="B337" s="11" t="s">
        <v>1820</v>
      </c>
      <c r="C337" s="23" t="s">
        <v>24</v>
      </c>
      <c r="D337" s="23" t="s">
        <v>143</v>
      </c>
      <c r="E337" s="26" t="s">
        <v>130</v>
      </c>
      <c r="F337" s="19" t="s">
        <v>74</v>
      </c>
      <c r="G337" s="11" t="s">
        <v>2276</v>
      </c>
      <c r="H337" s="19" t="s">
        <v>523</v>
      </c>
      <c r="I337" s="3"/>
      <c r="J337" s="21" t="s">
        <v>2276</v>
      </c>
      <c r="K337" s="21" t="s">
        <v>2276</v>
      </c>
      <c r="L337" s="21" t="s">
        <v>2276</v>
      </c>
      <c r="M337" s="21" t="s">
        <v>2276</v>
      </c>
      <c r="N337" s="21" t="s">
        <v>2276</v>
      </c>
      <c r="O337" s="21" t="s">
        <v>2276</v>
      </c>
      <c r="P337" s="21" t="s">
        <v>2276</v>
      </c>
      <c r="Q337" s="21" t="s">
        <v>2276</v>
      </c>
      <c r="R337" s="21" t="s">
        <v>2276</v>
      </c>
      <c r="S337" s="21" t="s">
        <v>2276</v>
      </c>
      <c r="T337" s="21" t="s">
        <v>2276</v>
      </c>
      <c r="U337" s="21" t="s">
        <v>2276</v>
      </c>
      <c r="V337" s="21" t="s">
        <v>2276</v>
      </c>
      <c r="W337" s="21" t="s">
        <v>2276</v>
      </c>
      <c r="X337" s="21" t="s">
        <v>2276</v>
      </c>
      <c r="Y337" s="21" t="s">
        <v>2276</v>
      </c>
      <c r="Z337" s="3" t="s">
        <v>2276</v>
      </c>
      <c r="AA337" s="3" t="s">
        <v>2276</v>
      </c>
      <c r="AB337" s="3" t="s">
        <v>2276</v>
      </c>
      <c r="AC337" s="4"/>
      <c r="AD337" s="4"/>
    </row>
    <row r="338" spans="1:30" ht="112" customHeight="1">
      <c r="A338" s="11" t="s">
        <v>1752</v>
      </c>
      <c r="B338" s="11" t="s">
        <v>1821</v>
      </c>
      <c r="C338" s="23" t="s">
        <v>24</v>
      </c>
      <c r="D338" s="23" t="s">
        <v>27</v>
      </c>
      <c r="E338" s="26" t="s">
        <v>130</v>
      </c>
      <c r="F338" s="19" t="s">
        <v>161</v>
      </c>
      <c r="G338" s="11" t="s">
        <v>2276</v>
      </c>
      <c r="H338" s="19" t="s">
        <v>523</v>
      </c>
      <c r="I338" s="3"/>
      <c r="J338" s="21" t="s">
        <v>2276</v>
      </c>
      <c r="K338" s="21" t="s">
        <v>2276</v>
      </c>
      <c r="L338" s="21" t="s">
        <v>2276</v>
      </c>
      <c r="M338" s="21" t="s">
        <v>2276</v>
      </c>
      <c r="N338" s="21" t="s">
        <v>2276</v>
      </c>
      <c r="O338" s="21" t="s">
        <v>2276</v>
      </c>
      <c r="P338" s="21" t="s">
        <v>2276</v>
      </c>
      <c r="Q338" s="21" t="s">
        <v>2276</v>
      </c>
      <c r="R338" s="21" t="s">
        <v>2276</v>
      </c>
      <c r="S338" s="21" t="s">
        <v>2276</v>
      </c>
      <c r="T338" s="21" t="s">
        <v>2276</v>
      </c>
      <c r="U338" s="21" t="s">
        <v>2276</v>
      </c>
      <c r="V338" s="21" t="s">
        <v>2276</v>
      </c>
      <c r="W338" s="21" t="s">
        <v>2276</v>
      </c>
      <c r="X338" s="21" t="s">
        <v>2276</v>
      </c>
      <c r="Y338" s="21" t="s">
        <v>2276</v>
      </c>
      <c r="Z338" s="3" t="s">
        <v>2276</v>
      </c>
      <c r="AA338" s="3" t="s">
        <v>2276</v>
      </c>
      <c r="AB338" s="3" t="s">
        <v>2276</v>
      </c>
      <c r="AC338" s="4"/>
      <c r="AD338" s="4"/>
    </row>
    <row r="339" spans="1:30" ht="112" customHeight="1">
      <c r="A339" s="11" t="s">
        <v>1753</v>
      </c>
      <c r="B339" s="11" t="s">
        <v>1822</v>
      </c>
      <c r="C339" s="23" t="s">
        <v>24</v>
      </c>
      <c r="D339" s="23" t="s">
        <v>143</v>
      </c>
      <c r="E339" s="26" t="s">
        <v>130</v>
      </c>
      <c r="F339" s="19" t="s">
        <v>74</v>
      </c>
      <c r="G339" s="11" t="s">
        <v>2276</v>
      </c>
      <c r="H339" s="19" t="s">
        <v>523</v>
      </c>
      <c r="I339" s="3"/>
      <c r="J339" s="21" t="s">
        <v>2276</v>
      </c>
      <c r="K339" s="21" t="s">
        <v>2276</v>
      </c>
      <c r="L339" s="21" t="s">
        <v>2276</v>
      </c>
      <c r="M339" s="21" t="s">
        <v>2276</v>
      </c>
      <c r="N339" s="21" t="s">
        <v>2276</v>
      </c>
      <c r="O339" s="21" t="s">
        <v>2276</v>
      </c>
      <c r="P339" s="21" t="s">
        <v>2276</v>
      </c>
      <c r="Q339" s="21" t="s">
        <v>2276</v>
      </c>
      <c r="R339" s="21" t="s">
        <v>2276</v>
      </c>
      <c r="S339" s="21" t="s">
        <v>2276</v>
      </c>
      <c r="T339" s="21" t="s">
        <v>2276</v>
      </c>
      <c r="U339" s="21" t="s">
        <v>2276</v>
      </c>
      <c r="V339" s="21" t="s">
        <v>2276</v>
      </c>
      <c r="W339" s="21" t="s">
        <v>2276</v>
      </c>
      <c r="X339" s="21" t="s">
        <v>2276</v>
      </c>
      <c r="Y339" s="21" t="s">
        <v>2276</v>
      </c>
      <c r="Z339" s="3" t="s">
        <v>2276</v>
      </c>
      <c r="AA339" s="3" t="s">
        <v>2276</v>
      </c>
      <c r="AB339" s="3" t="s">
        <v>2276</v>
      </c>
      <c r="AC339" s="4"/>
      <c r="AD339" s="4"/>
    </row>
    <row r="340" spans="1:30" ht="112" customHeight="1">
      <c r="A340" s="11" t="s">
        <v>1753</v>
      </c>
      <c r="B340" s="11" t="s">
        <v>1823</v>
      </c>
      <c r="C340" s="23" t="s">
        <v>24</v>
      </c>
      <c r="D340" s="23" t="s">
        <v>27</v>
      </c>
      <c r="E340" s="26" t="s">
        <v>130</v>
      </c>
      <c r="F340" s="19" t="s">
        <v>161</v>
      </c>
      <c r="G340" s="11" t="s">
        <v>2276</v>
      </c>
      <c r="H340" s="19" t="s">
        <v>523</v>
      </c>
      <c r="I340" s="3"/>
      <c r="J340" s="21" t="s">
        <v>2276</v>
      </c>
      <c r="K340" s="21" t="s">
        <v>2276</v>
      </c>
      <c r="L340" s="21" t="s">
        <v>2276</v>
      </c>
      <c r="M340" s="21" t="s">
        <v>2276</v>
      </c>
      <c r="N340" s="21" t="s">
        <v>2276</v>
      </c>
      <c r="O340" s="21" t="s">
        <v>2276</v>
      </c>
      <c r="P340" s="21" t="s">
        <v>2276</v>
      </c>
      <c r="Q340" s="21" t="s">
        <v>2276</v>
      </c>
      <c r="R340" s="21" t="s">
        <v>2276</v>
      </c>
      <c r="S340" s="21" t="s">
        <v>2276</v>
      </c>
      <c r="T340" s="21" t="s">
        <v>2276</v>
      </c>
      <c r="U340" s="21" t="s">
        <v>2276</v>
      </c>
      <c r="V340" s="21" t="s">
        <v>2276</v>
      </c>
      <c r="W340" s="21" t="s">
        <v>2276</v>
      </c>
      <c r="X340" s="21" t="s">
        <v>2276</v>
      </c>
      <c r="Y340" s="21" t="s">
        <v>2276</v>
      </c>
      <c r="Z340" s="3" t="s">
        <v>2276</v>
      </c>
      <c r="AA340" s="3" t="s">
        <v>2276</v>
      </c>
      <c r="AB340" s="3" t="s">
        <v>2276</v>
      </c>
      <c r="AC340" s="4"/>
      <c r="AD340" s="4"/>
    </row>
    <row r="341" spans="1:30" ht="112" customHeight="1">
      <c r="A341" s="11" t="s">
        <v>1754</v>
      </c>
      <c r="B341" s="11" t="s">
        <v>1824</v>
      </c>
      <c r="C341" s="23" t="s">
        <v>24</v>
      </c>
      <c r="D341" s="23" t="s">
        <v>143</v>
      </c>
      <c r="E341" s="26" t="s">
        <v>397</v>
      </c>
      <c r="F341" s="19" t="s">
        <v>74</v>
      </c>
      <c r="G341" s="11" t="s">
        <v>2276</v>
      </c>
      <c r="H341" s="19" t="s">
        <v>523</v>
      </c>
      <c r="I341" s="3"/>
      <c r="J341" s="21" t="s">
        <v>2276</v>
      </c>
      <c r="K341" s="21" t="s">
        <v>2276</v>
      </c>
      <c r="L341" s="21" t="s">
        <v>2276</v>
      </c>
      <c r="M341" s="21" t="s">
        <v>2276</v>
      </c>
      <c r="N341" s="21" t="s">
        <v>2276</v>
      </c>
      <c r="O341" s="21" t="s">
        <v>2276</v>
      </c>
      <c r="P341" s="21" t="s">
        <v>2276</v>
      </c>
      <c r="Q341" s="21" t="s">
        <v>2276</v>
      </c>
      <c r="R341" s="21" t="s">
        <v>2276</v>
      </c>
      <c r="S341" s="21" t="s">
        <v>2276</v>
      </c>
      <c r="T341" s="21" t="s">
        <v>2276</v>
      </c>
      <c r="U341" s="21" t="s">
        <v>2276</v>
      </c>
      <c r="V341" s="21" t="s">
        <v>2276</v>
      </c>
      <c r="W341" s="21" t="s">
        <v>2276</v>
      </c>
      <c r="X341" s="21" t="s">
        <v>2276</v>
      </c>
      <c r="Y341" s="21" t="s">
        <v>2276</v>
      </c>
      <c r="Z341" s="3" t="s">
        <v>2276</v>
      </c>
      <c r="AA341" s="3" t="s">
        <v>2276</v>
      </c>
      <c r="AB341" s="3" t="s">
        <v>2276</v>
      </c>
      <c r="AC341" s="4"/>
      <c r="AD341" s="4"/>
    </row>
    <row r="342" spans="1:30" ht="112" customHeight="1">
      <c r="A342" s="11" t="s">
        <v>1755</v>
      </c>
      <c r="B342" s="11" t="s">
        <v>1825</v>
      </c>
      <c r="C342" s="23" t="s">
        <v>24</v>
      </c>
      <c r="D342" s="23" t="s">
        <v>143</v>
      </c>
      <c r="E342" s="26" t="s">
        <v>130</v>
      </c>
      <c r="F342" s="19" t="s">
        <v>74</v>
      </c>
      <c r="G342" s="11" t="s">
        <v>2276</v>
      </c>
      <c r="H342" s="19" t="s">
        <v>523</v>
      </c>
      <c r="I342" s="3"/>
      <c r="J342" s="21" t="s">
        <v>2276</v>
      </c>
      <c r="K342" s="21" t="s">
        <v>2276</v>
      </c>
      <c r="L342" s="21" t="s">
        <v>2276</v>
      </c>
      <c r="M342" s="21" t="s">
        <v>2276</v>
      </c>
      <c r="N342" s="21" t="s">
        <v>2276</v>
      </c>
      <c r="O342" s="21" t="s">
        <v>2276</v>
      </c>
      <c r="P342" s="21" t="s">
        <v>2276</v>
      </c>
      <c r="Q342" s="21" t="s">
        <v>2276</v>
      </c>
      <c r="R342" s="21" t="s">
        <v>2276</v>
      </c>
      <c r="S342" s="21" t="s">
        <v>2276</v>
      </c>
      <c r="T342" s="21" t="s">
        <v>2276</v>
      </c>
      <c r="U342" s="21" t="s">
        <v>2276</v>
      </c>
      <c r="V342" s="21" t="s">
        <v>2276</v>
      </c>
      <c r="W342" s="21" t="s">
        <v>2276</v>
      </c>
      <c r="X342" s="21" t="s">
        <v>2276</v>
      </c>
      <c r="Y342" s="21" t="s">
        <v>2276</v>
      </c>
      <c r="Z342" s="3" t="s">
        <v>2276</v>
      </c>
      <c r="AA342" s="3" t="s">
        <v>2276</v>
      </c>
      <c r="AB342" s="3" t="s">
        <v>2276</v>
      </c>
      <c r="AC342" s="4"/>
      <c r="AD342" s="4"/>
    </row>
    <row r="343" spans="1:30" ht="112" customHeight="1">
      <c r="A343" s="11" t="s">
        <v>1755</v>
      </c>
      <c r="B343" s="11" t="s">
        <v>1825</v>
      </c>
      <c r="C343" s="23" t="s">
        <v>24</v>
      </c>
      <c r="D343" s="23" t="s">
        <v>27</v>
      </c>
      <c r="E343" s="26" t="s">
        <v>130</v>
      </c>
      <c r="F343" s="19" t="s">
        <v>161</v>
      </c>
      <c r="G343" s="11" t="s">
        <v>2276</v>
      </c>
      <c r="H343" s="19" t="s">
        <v>523</v>
      </c>
      <c r="I343" s="3"/>
      <c r="J343" s="21" t="s">
        <v>2276</v>
      </c>
      <c r="K343" s="21" t="s">
        <v>2276</v>
      </c>
      <c r="L343" s="21" t="s">
        <v>2276</v>
      </c>
      <c r="M343" s="21" t="s">
        <v>2276</v>
      </c>
      <c r="N343" s="21" t="s">
        <v>2276</v>
      </c>
      <c r="O343" s="21" t="s">
        <v>2276</v>
      </c>
      <c r="P343" s="21" t="s">
        <v>2276</v>
      </c>
      <c r="Q343" s="21" t="s">
        <v>2276</v>
      </c>
      <c r="R343" s="21" t="s">
        <v>2276</v>
      </c>
      <c r="S343" s="21" t="s">
        <v>2276</v>
      </c>
      <c r="T343" s="21" t="s">
        <v>2276</v>
      </c>
      <c r="U343" s="21" t="s">
        <v>2276</v>
      </c>
      <c r="V343" s="21" t="s">
        <v>2276</v>
      </c>
      <c r="W343" s="21" t="s">
        <v>2276</v>
      </c>
      <c r="X343" s="21" t="s">
        <v>2276</v>
      </c>
      <c r="Y343" s="21" t="s">
        <v>2276</v>
      </c>
      <c r="Z343" s="3" t="s">
        <v>2276</v>
      </c>
      <c r="AA343" s="3" t="s">
        <v>2276</v>
      </c>
      <c r="AB343" s="3" t="s">
        <v>2276</v>
      </c>
      <c r="AC343" s="4"/>
      <c r="AD343" s="4"/>
    </row>
    <row r="344" spans="1:30" ht="112" customHeight="1">
      <c r="A344" s="11" t="s">
        <v>1756</v>
      </c>
      <c r="B344" s="11" t="s">
        <v>1826</v>
      </c>
      <c r="C344" s="23" t="s">
        <v>24</v>
      </c>
      <c r="D344" s="23" t="s">
        <v>143</v>
      </c>
      <c r="E344" s="26" t="s">
        <v>130</v>
      </c>
      <c r="F344" s="19" t="s">
        <v>74</v>
      </c>
      <c r="G344" s="11" t="s">
        <v>2276</v>
      </c>
      <c r="H344" s="19" t="s">
        <v>523</v>
      </c>
      <c r="I344" s="3"/>
      <c r="J344" s="21" t="s">
        <v>2276</v>
      </c>
      <c r="K344" s="21" t="s">
        <v>2276</v>
      </c>
      <c r="L344" s="21" t="s">
        <v>2276</v>
      </c>
      <c r="M344" s="21" t="s">
        <v>2276</v>
      </c>
      <c r="N344" s="21" t="s">
        <v>2276</v>
      </c>
      <c r="O344" s="21" t="s">
        <v>2276</v>
      </c>
      <c r="P344" s="21" t="s">
        <v>2276</v>
      </c>
      <c r="Q344" s="21" t="s">
        <v>2276</v>
      </c>
      <c r="R344" s="21" t="s">
        <v>2276</v>
      </c>
      <c r="S344" s="21" t="s">
        <v>2276</v>
      </c>
      <c r="T344" s="21" t="s">
        <v>2276</v>
      </c>
      <c r="U344" s="21" t="s">
        <v>2276</v>
      </c>
      <c r="V344" s="21" t="s">
        <v>2276</v>
      </c>
      <c r="W344" s="21" t="s">
        <v>2276</v>
      </c>
      <c r="X344" s="21" t="s">
        <v>2276</v>
      </c>
      <c r="Y344" s="21" t="s">
        <v>2276</v>
      </c>
      <c r="Z344" s="3" t="s">
        <v>2276</v>
      </c>
      <c r="AA344" s="3" t="s">
        <v>2276</v>
      </c>
      <c r="AB344" s="3" t="s">
        <v>2276</v>
      </c>
      <c r="AC344" s="4"/>
      <c r="AD344" s="4"/>
    </row>
    <row r="345" spans="1:30" ht="112" customHeight="1">
      <c r="A345" s="11" t="s">
        <v>1756</v>
      </c>
      <c r="B345" s="11" t="s">
        <v>1826</v>
      </c>
      <c r="C345" s="23" t="s">
        <v>24</v>
      </c>
      <c r="D345" s="23" t="s">
        <v>27</v>
      </c>
      <c r="E345" s="26" t="s">
        <v>130</v>
      </c>
      <c r="F345" s="19" t="s">
        <v>161</v>
      </c>
      <c r="G345" s="11" t="s">
        <v>2276</v>
      </c>
      <c r="H345" s="19" t="s">
        <v>523</v>
      </c>
      <c r="I345" s="3"/>
      <c r="J345" s="21" t="s">
        <v>2276</v>
      </c>
      <c r="K345" s="21" t="s">
        <v>2276</v>
      </c>
      <c r="L345" s="21" t="s">
        <v>2276</v>
      </c>
      <c r="M345" s="21" t="s">
        <v>2276</v>
      </c>
      <c r="N345" s="21" t="s">
        <v>2276</v>
      </c>
      <c r="O345" s="21" t="s">
        <v>2276</v>
      </c>
      <c r="P345" s="21" t="s">
        <v>2276</v>
      </c>
      <c r="Q345" s="21" t="s">
        <v>2276</v>
      </c>
      <c r="R345" s="21" t="s">
        <v>2276</v>
      </c>
      <c r="S345" s="21" t="s">
        <v>2276</v>
      </c>
      <c r="T345" s="21" t="s">
        <v>2276</v>
      </c>
      <c r="U345" s="21" t="s">
        <v>2276</v>
      </c>
      <c r="V345" s="21" t="s">
        <v>2276</v>
      </c>
      <c r="W345" s="21" t="s">
        <v>2276</v>
      </c>
      <c r="X345" s="21" t="s">
        <v>2276</v>
      </c>
      <c r="Y345" s="21" t="s">
        <v>2276</v>
      </c>
      <c r="Z345" s="3" t="s">
        <v>2276</v>
      </c>
      <c r="AA345" s="3" t="s">
        <v>2276</v>
      </c>
      <c r="AB345" s="3" t="s">
        <v>2276</v>
      </c>
      <c r="AC345" s="4"/>
      <c r="AD345" s="4"/>
    </row>
    <row r="346" spans="1:30" ht="112" customHeight="1">
      <c r="A346" s="11" t="s">
        <v>1757</v>
      </c>
      <c r="B346" s="11" t="s">
        <v>1827</v>
      </c>
      <c r="C346" s="23" t="s">
        <v>24</v>
      </c>
      <c r="D346" s="23" t="s">
        <v>143</v>
      </c>
      <c r="E346" s="26" t="s">
        <v>130</v>
      </c>
      <c r="F346" s="19" t="s">
        <v>74</v>
      </c>
      <c r="G346" s="11" t="s">
        <v>2276</v>
      </c>
      <c r="H346" s="19" t="s">
        <v>523</v>
      </c>
      <c r="I346" s="3"/>
      <c r="J346" s="21" t="s">
        <v>2276</v>
      </c>
      <c r="K346" s="21" t="s">
        <v>2276</v>
      </c>
      <c r="L346" s="21" t="s">
        <v>2276</v>
      </c>
      <c r="M346" s="21" t="s">
        <v>2276</v>
      </c>
      <c r="N346" s="21" t="s">
        <v>2276</v>
      </c>
      <c r="O346" s="21" t="s">
        <v>2276</v>
      </c>
      <c r="P346" s="21" t="s">
        <v>2276</v>
      </c>
      <c r="Q346" s="21" t="s">
        <v>2276</v>
      </c>
      <c r="R346" s="21" t="s">
        <v>2276</v>
      </c>
      <c r="S346" s="21" t="s">
        <v>2276</v>
      </c>
      <c r="T346" s="21" t="s">
        <v>2276</v>
      </c>
      <c r="U346" s="21" t="s">
        <v>2276</v>
      </c>
      <c r="V346" s="21" t="s">
        <v>2276</v>
      </c>
      <c r="W346" s="21" t="s">
        <v>2276</v>
      </c>
      <c r="X346" s="21" t="s">
        <v>2276</v>
      </c>
      <c r="Y346" s="21" t="s">
        <v>2276</v>
      </c>
      <c r="Z346" s="3" t="s">
        <v>2276</v>
      </c>
      <c r="AA346" s="3" t="s">
        <v>2276</v>
      </c>
      <c r="AB346" s="3" t="s">
        <v>2276</v>
      </c>
      <c r="AC346" s="4"/>
      <c r="AD346" s="4"/>
    </row>
    <row r="347" spans="1:30" ht="112" customHeight="1">
      <c r="A347" s="11" t="s">
        <v>1757</v>
      </c>
      <c r="B347" s="11" t="s">
        <v>1828</v>
      </c>
      <c r="C347" s="23" t="s">
        <v>24</v>
      </c>
      <c r="D347" s="23" t="s">
        <v>27</v>
      </c>
      <c r="E347" s="26" t="s">
        <v>130</v>
      </c>
      <c r="F347" s="19" t="s">
        <v>161</v>
      </c>
      <c r="G347" s="11" t="s">
        <v>2276</v>
      </c>
      <c r="H347" s="19" t="s">
        <v>523</v>
      </c>
      <c r="I347" s="3"/>
      <c r="J347" s="21" t="s">
        <v>2276</v>
      </c>
      <c r="K347" s="21" t="s">
        <v>2276</v>
      </c>
      <c r="L347" s="21" t="s">
        <v>2276</v>
      </c>
      <c r="M347" s="21" t="s">
        <v>2276</v>
      </c>
      <c r="N347" s="21" t="s">
        <v>2276</v>
      </c>
      <c r="O347" s="21" t="s">
        <v>2276</v>
      </c>
      <c r="P347" s="21" t="s">
        <v>2276</v>
      </c>
      <c r="Q347" s="21" t="s">
        <v>2276</v>
      </c>
      <c r="R347" s="21" t="s">
        <v>2276</v>
      </c>
      <c r="S347" s="21" t="s">
        <v>2276</v>
      </c>
      <c r="T347" s="21" t="s">
        <v>2276</v>
      </c>
      <c r="U347" s="21" t="s">
        <v>2276</v>
      </c>
      <c r="V347" s="21" t="s">
        <v>2276</v>
      </c>
      <c r="W347" s="21" t="s">
        <v>2276</v>
      </c>
      <c r="X347" s="21" t="s">
        <v>2276</v>
      </c>
      <c r="Y347" s="21" t="s">
        <v>2276</v>
      </c>
      <c r="Z347" s="3" t="s">
        <v>2276</v>
      </c>
      <c r="AA347" s="3" t="s">
        <v>2276</v>
      </c>
      <c r="AB347" s="3" t="s">
        <v>2276</v>
      </c>
      <c r="AC347" s="4"/>
      <c r="AD347" s="4"/>
    </row>
    <row r="348" spans="1:30" ht="112" customHeight="1">
      <c r="A348" s="11" t="s">
        <v>1757</v>
      </c>
      <c r="B348" s="11" t="s">
        <v>1829</v>
      </c>
      <c r="C348" s="23" t="s">
        <v>24</v>
      </c>
      <c r="D348" s="23" t="s">
        <v>143</v>
      </c>
      <c r="E348" s="26" t="s">
        <v>397</v>
      </c>
      <c r="F348" s="19" t="s">
        <v>74</v>
      </c>
      <c r="G348" s="11" t="s">
        <v>2276</v>
      </c>
      <c r="H348" s="19" t="s">
        <v>523</v>
      </c>
      <c r="I348" s="3"/>
      <c r="J348" s="21" t="s">
        <v>2276</v>
      </c>
      <c r="K348" s="21" t="s">
        <v>2276</v>
      </c>
      <c r="L348" s="21" t="s">
        <v>2276</v>
      </c>
      <c r="M348" s="21" t="s">
        <v>2276</v>
      </c>
      <c r="N348" s="21" t="s">
        <v>2276</v>
      </c>
      <c r="O348" s="21" t="s">
        <v>2276</v>
      </c>
      <c r="P348" s="21" t="s">
        <v>2276</v>
      </c>
      <c r="Q348" s="21" t="s">
        <v>2276</v>
      </c>
      <c r="R348" s="21" t="s">
        <v>2276</v>
      </c>
      <c r="S348" s="21" t="s">
        <v>2276</v>
      </c>
      <c r="T348" s="21" t="s">
        <v>2276</v>
      </c>
      <c r="U348" s="21" t="s">
        <v>2276</v>
      </c>
      <c r="V348" s="21" t="s">
        <v>2276</v>
      </c>
      <c r="W348" s="21" t="s">
        <v>2276</v>
      </c>
      <c r="X348" s="21" t="s">
        <v>2276</v>
      </c>
      <c r="Y348" s="21" t="s">
        <v>2276</v>
      </c>
      <c r="Z348" s="3" t="s">
        <v>2276</v>
      </c>
      <c r="AA348" s="3" t="s">
        <v>2276</v>
      </c>
      <c r="AB348" s="3" t="s">
        <v>2276</v>
      </c>
      <c r="AC348" s="4"/>
      <c r="AD348" s="4"/>
    </row>
    <row r="349" spans="1:30" ht="112" customHeight="1">
      <c r="A349" s="11" t="s">
        <v>1758</v>
      </c>
      <c r="B349" s="11" t="s">
        <v>1830</v>
      </c>
      <c r="C349" s="23" t="s">
        <v>24</v>
      </c>
      <c r="D349" s="23" t="s">
        <v>143</v>
      </c>
      <c r="E349" s="26" t="s">
        <v>130</v>
      </c>
      <c r="F349" s="19" t="s">
        <v>74</v>
      </c>
      <c r="G349" s="11" t="s">
        <v>2276</v>
      </c>
      <c r="H349" s="19" t="s">
        <v>523</v>
      </c>
      <c r="I349" s="3"/>
      <c r="J349" s="21" t="s">
        <v>2276</v>
      </c>
      <c r="K349" s="21" t="s">
        <v>2276</v>
      </c>
      <c r="L349" s="21" t="s">
        <v>2276</v>
      </c>
      <c r="M349" s="21" t="s">
        <v>2276</v>
      </c>
      <c r="N349" s="21" t="s">
        <v>2276</v>
      </c>
      <c r="O349" s="21" t="s">
        <v>2276</v>
      </c>
      <c r="P349" s="21" t="s">
        <v>2276</v>
      </c>
      <c r="Q349" s="21" t="s">
        <v>2276</v>
      </c>
      <c r="R349" s="21" t="s">
        <v>2276</v>
      </c>
      <c r="S349" s="21" t="s">
        <v>2276</v>
      </c>
      <c r="T349" s="21" t="s">
        <v>2276</v>
      </c>
      <c r="U349" s="21" t="s">
        <v>2276</v>
      </c>
      <c r="V349" s="21" t="s">
        <v>2276</v>
      </c>
      <c r="W349" s="21" t="s">
        <v>2276</v>
      </c>
      <c r="X349" s="21" t="s">
        <v>2276</v>
      </c>
      <c r="Y349" s="21" t="s">
        <v>2276</v>
      </c>
      <c r="Z349" s="3" t="s">
        <v>2276</v>
      </c>
      <c r="AA349" s="3" t="s">
        <v>2276</v>
      </c>
      <c r="AB349" s="3" t="s">
        <v>2276</v>
      </c>
      <c r="AC349" s="4"/>
      <c r="AD349" s="4"/>
    </row>
    <row r="350" spans="1:30" ht="112" customHeight="1">
      <c r="A350" s="11" t="s">
        <v>1758</v>
      </c>
      <c r="B350" s="11" t="s">
        <v>1831</v>
      </c>
      <c r="C350" s="23" t="s">
        <v>24</v>
      </c>
      <c r="D350" s="23" t="s">
        <v>27</v>
      </c>
      <c r="E350" s="26" t="s">
        <v>130</v>
      </c>
      <c r="F350" s="19" t="s">
        <v>161</v>
      </c>
      <c r="G350" s="11" t="s">
        <v>2276</v>
      </c>
      <c r="H350" s="19" t="s">
        <v>523</v>
      </c>
      <c r="I350" s="3"/>
      <c r="J350" s="21" t="s">
        <v>2276</v>
      </c>
      <c r="K350" s="21" t="s">
        <v>2276</v>
      </c>
      <c r="L350" s="21" t="s">
        <v>2276</v>
      </c>
      <c r="M350" s="21" t="s">
        <v>2276</v>
      </c>
      <c r="N350" s="21" t="s">
        <v>2276</v>
      </c>
      <c r="O350" s="21" t="s">
        <v>2276</v>
      </c>
      <c r="P350" s="21" t="s">
        <v>2276</v>
      </c>
      <c r="Q350" s="21" t="s">
        <v>2276</v>
      </c>
      <c r="R350" s="21" t="s">
        <v>2276</v>
      </c>
      <c r="S350" s="21" t="s">
        <v>2276</v>
      </c>
      <c r="T350" s="21" t="s">
        <v>2276</v>
      </c>
      <c r="U350" s="21" t="s">
        <v>2276</v>
      </c>
      <c r="V350" s="21" t="s">
        <v>2276</v>
      </c>
      <c r="W350" s="21" t="s">
        <v>2276</v>
      </c>
      <c r="X350" s="21" t="s">
        <v>2276</v>
      </c>
      <c r="Y350" s="21" t="s">
        <v>2276</v>
      </c>
      <c r="Z350" s="3" t="s">
        <v>2276</v>
      </c>
      <c r="AA350" s="3" t="s">
        <v>2276</v>
      </c>
      <c r="AB350" s="3" t="s">
        <v>2276</v>
      </c>
      <c r="AC350" s="4"/>
      <c r="AD350" s="4"/>
    </row>
    <row r="351" spans="1:30" ht="112" customHeight="1">
      <c r="A351" s="11" t="s">
        <v>1758</v>
      </c>
      <c r="B351" s="11" t="s">
        <v>1832</v>
      </c>
      <c r="C351" s="23" t="s">
        <v>24</v>
      </c>
      <c r="D351" s="23" t="s">
        <v>143</v>
      </c>
      <c r="E351" s="26" t="s">
        <v>397</v>
      </c>
      <c r="F351" s="19" t="s">
        <v>74</v>
      </c>
      <c r="G351" s="11" t="s">
        <v>2276</v>
      </c>
      <c r="H351" s="19" t="s">
        <v>523</v>
      </c>
      <c r="I351" s="3"/>
      <c r="J351" s="21" t="s">
        <v>2276</v>
      </c>
      <c r="K351" s="21" t="s">
        <v>2276</v>
      </c>
      <c r="L351" s="21" t="s">
        <v>2276</v>
      </c>
      <c r="M351" s="21" t="s">
        <v>2276</v>
      </c>
      <c r="N351" s="21" t="s">
        <v>2276</v>
      </c>
      <c r="O351" s="21" t="s">
        <v>2276</v>
      </c>
      <c r="P351" s="21" t="s">
        <v>2276</v>
      </c>
      <c r="Q351" s="21" t="s">
        <v>2276</v>
      </c>
      <c r="R351" s="21" t="s">
        <v>2276</v>
      </c>
      <c r="S351" s="21" t="s">
        <v>2276</v>
      </c>
      <c r="T351" s="21" t="s">
        <v>2276</v>
      </c>
      <c r="U351" s="21" t="s">
        <v>2276</v>
      </c>
      <c r="V351" s="21" t="s">
        <v>2276</v>
      </c>
      <c r="W351" s="21" t="s">
        <v>2276</v>
      </c>
      <c r="X351" s="21" t="s">
        <v>2276</v>
      </c>
      <c r="Y351" s="21" t="s">
        <v>2276</v>
      </c>
      <c r="Z351" s="3" t="s">
        <v>2276</v>
      </c>
      <c r="AA351" s="3" t="s">
        <v>2276</v>
      </c>
      <c r="AB351" s="3" t="s">
        <v>2276</v>
      </c>
      <c r="AC351" s="4"/>
      <c r="AD351" s="4"/>
    </row>
    <row r="352" spans="1:30" ht="112" customHeight="1">
      <c r="A352" s="11" t="s">
        <v>1759</v>
      </c>
      <c r="B352" s="11" t="s">
        <v>1833</v>
      </c>
      <c r="C352" s="23" t="s">
        <v>24</v>
      </c>
      <c r="D352" s="23" t="s">
        <v>143</v>
      </c>
      <c r="E352" s="26" t="s">
        <v>130</v>
      </c>
      <c r="F352" s="19" t="s">
        <v>74</v>
      </c>
      <c r="G352" s="11" t="s">
        <v>2276</v>
      </c>
      <c r="H352" s="19" t="s">
        <v>523</v>
      </c>
      <c r="I352" s="3"/>
      <c r="J352" s="21" t="s">
        <v>2276</v>
      </c>
      <c r="K352" s="21" t="s">
        <v>2276</v>
      </c>
      <c r="L352" s="21" t="s">
        <v>2276</v>
      </c>
      <c r="M352" s="21" t="s">
        <v>2276</v>
      </c>
      <c r="N352" s="21" t="s">
        <v>2276</v>
      </c>
      <c r="O352" s="21" t="s">
        <v>2276</v>
      </c>
      <c r="P352" s="21" t="s">
        <v>2276</v>
      </c>
      <c r="Q352" s="21" t="s">
        <v>2276</v>
      </c>
      <c r="R352" s="21" t="s">
        <v>2276</v>
      </c>
      <c r="S352" s="21" t="s">
        <v>2276</v>
      </c>
      <c r="T352" s="21" t="s">
        <v>2276</v>
      </c>
      <c r="U352" s="21" t="s">
        <v>2276</v>
      </c>
      <c r="V352" s="21" t="s">
        <v>2276</v>
      </c>
      <c r="W352" s="21" t="s">
        <v>2276</v>
      </c>
      <c r="X352" s="21" t="s">
        <v>2276</v>
      </c>
      <c r="Y352" s="21" t="s">
        <v>2276</v>
      </c>
      <c r="Z352" s="3" t="s">
        <v>2276</v>
      </c>
      <c r="AA352" s="3" t="s">
        <v>2276</v>
      </c>
      <c r="AB352" s="3" t="s">
        <v>2276</v>
      </c>
      <c r="AC352" s="4"/>
      <c r="AD352" s="4"/>
    </row>
    <row r="353" spans="1:30" ht="112" customHeight="1">
      <c r="A353" s="11" t="s">
        <v>1759</v>
      </c>
      <c r="B353" s="11" t="s">
        <v>1834</v>
      </c>
      <c r="C353" s="23" t="s">
        <v>24</v>
      </c>
      <c r="D353" s="23" t="s">
        <v>27</v>
      </c>
      <c r="E353" s="26" t="s">
        <v>130</v>
      </c>
      <c r="F353" s="19" t="s">
        <v>161</v>
      </c>
      <c r="G353" s="11" t="s">
        <v>2276</v>
      </c>
      <c r="H353" s="19" t="s">
        <v>523</v>
      </c>
      <c r="I353" s="3"/>
      <c r="J353" s="21" t="s">
        <v>2276</v>
      </c>
      <c r="K353" s="21" t="s">
        <v>2276</v>
      </c>
      <c r="L353" s="21" t="s">
        <v>2276</v>
      </c>
      <c r="M353" s="21" t="s">
        <v>2276</v>
      </c>
      <c r="N353" s="21" t="s">
        <v>2276</v>
      </c>
      <c r="O353" s="21" t="s">
        <v>2276</v>
      </c>
      <c r="P353" s="21" t="s">
        <v>2276</v>
      </c>
      <c r="Q353" s="21" t="s">
        <v>2276</v>
      </c>
      <c r="R353" s="21" t="s">
        <v>2276</v>
      </c>
      <c r="S353" s="21" t="s">
        <v>2276</v>
      </c>
      <c r="T353" s="21" t="s">
        <v>2276</v>
      </c>
      <c r="U353" s="21" t="s">
        <v>2276</v>
      </c>
      <c r="V353" s="21" t="s">
        <v>2276</v>
      </c>
      <c r="W353" s="21" t="s">
        <v>2276</v>
      </c>
      <c r="X353" s="21" t="s">
        <v>2276</v>
      </c>
      <c r="Y353" s="21" t="s">
        <v>2276</v>
      </c>
      <c r="Z353" s="3" t="s">
        <v>2276</v>
      </c>
      <c r="AA353" s="3" t="s">
        <v>2276</v>
      </c>
      <c r="AB353" s="3" t="s">
        <v>2276</v>
      </c>
      <c r="AC353" s="4"/>
      <c r="AD353" s="4"/>
    </row>
    <row r="354" spans="1:30" ht="112" customHeight="1">
      <c r="A354" s="11" t="s">
        <v>1760</v>
      </c>
      <c r="B354" s="11" t="s">
        <v>1835</v>
      </c>
      <c r="C354" s="23" t="s">
        <v>24</v>
      </c>
      <c r="D354" s="23" t="s">
        <v>143</v>
      </c>
      <c r="E354" s="26" t="s">
        <v>130</v>
      </c>
      <c r="F354" s="19" t="s">
        <v>74</v>
      </c>
      <c r="G354" s="11" t="s">
        <v>2276</v>
      </c>
      <c r="H354" s="19" t="s">
        <v>523</v>
      </c>
      <c r="I354" s="3"/>
      <c r="J354" s="21" t="s">
        <v>2276</v>
      </c>
      <c r="K354" s="21" t="s">
        <v>2276</v>
      </c>
      <c r="L354" s="21" t="s">
        <v>2276</v>
      </c>
      <c r="M354" s="21" t="s">
        <v>2276</v>
      </c>
      <c r="N354" s="21" t="s">
        <v>2276</v>
      </c>
      <c r="O354" s="21" t="s">
        <v>2276</v>
      </c>
      <c r="P354" s="21" t="s">
        <v>2276</v>
      </c>
      <c r="Q354" s="21" t="s">
        <v>2276</v>
      </c>
      <c r="R354" s="21" t="s">
        <v>2276</v>
      </c>
      <c r="S354" s="21" t="s">
        <v>2276</v>
      </c>
      <c r="T354" s="21" t="s">
        <v>2276</v>
      </c>
      <c r="U354" s="21" t="s">
        <v>2276</v>
      </c>
      <c r="V354" s="21" t="s">
        <v>2276</v>
      </c>
      <c r="W354" s="21" t="s">
        <v>2276</v>
      </c>
      <c r="X354" s="21" t="s">
        <v>2276</v>
      </c>
      <c r="Y354" s="21" t="s">
        <v>2276</v>
      </c>
      <c r="Z354" s="3" t="s">
        <v>2276</v>
      </c>
      <c r="AA354" s="3" t="s">
        <v>2276</v>
      </c>
      <c r="AB354" s="3" t="s">
        <v>2276</v>
      </c>
      <c r="AC354" s="4"/>
      <c r="AD354" s="4"/>
    </row>
    <row r="355" spans="1:30" ht="112" customHeight="1">
      <c r="A355" s="11" t="s">
        <v>1760</v>
      </c>
      <c r="B355" s="11" t="s">
        <v>1836</v>
      </c>
      <c r="C355" s="23" t="s">
        <v>24</v>
      </c>
      <c r="D355" s="23" t="s">
        <v>27</v>
      </c>
      <c r="E355" s="26" t="s">
        <v>130</v>
      </c>
      <c r="F355" s="19" t="s">
        <v>161</v>
      </c>
      <c r="G355" s="11" t="s">
        <v>2276</v>
      </c>
      <c r="H355" s="19" t="s">
        <v>523</v>
      </c>
      <c r="I355" s="3"/>
      <c r="J355" s="21" t="s">
        <v>2276</v>
      </c>
      <c r="K355" s="21" t="s">
        <v>2276</v>
      </c>
      <c r="L355" s="21" t="s">
        <v>2276</v>
      </c>
      <c r="M355" s="21" t="s">
        <v>2276</v>
      </c>
      <c r="N355" s="21" t="s">
        <v>2276</v>
      </c>
      <c r="O355" s="21" t="s">
        <v>2276</v>
      </c>
      <c r="P355" s="21" t="s">
        <v>2276</v>
      </c>
      <c r="Q355" s="21" t="s">
        <v>2276</v>
      </c>
      <c r="R355" s="21" t="s">
        <v>2276</v>
      </c>
      <c r="S355" s="21" t="s">
        <v>2276</v>
      </c>
      <c r="T355" s="21" t="s">
        <v>2276</v>
      </c>
      <c r="U355" s="21" t="s">
        <v>2276</v>
      </c>
      <c r="V355" s="21" t="s">
        <v>2276</v>
      </c>
      <c r="W355" s="21" t="s">
        <v>2276</v>
      </c>
      <c r="X355" s="21" t="s">
        <v>2276</v>
      </c>
      <c r="Y355" s="21" t="s">
        <v>2276</v>
      </c>
      <c r="Z355" s="3" t="s">
        <v>2276</v>
      </c>
      <c r="AA355" s="3" t="s">
        <v>2276</v>
      </c>
      <c r="AB355" s="3" t="s">
        <v>2276</v>
      </c>
      <c r="AC355" s="4"/>
      <c r="AD355" s="4"/>
    </row>
    <row r="356" spans="1:30" ht="112" customHeight="1">
      <c r="A356" s="11" t="s">
        <v>1760</v>
      </c>
      <c r="B356" s="11" t="s">
        <v>1837</v>
      </c>
      <c r="C356" s="23" t="s">
        <v>24</v>
      </c>
      <c r="D356" s="23" t="s">
        <v>143</v>
      </c>
      <c r="E356" s="26" t="s">
        <v>397</v>
      </c>
      <c r="F356" s="19" t="s">
        <v>74</v>
      </c>
      <c r="G356" s="11" t="s">
        <v>2276</v>
      </c>
      <c r="H356" s="19" t="s">
        <v>523</v>
      </c>
      <c r="I356" s="3"/>
      <c r="J356" s="21" t="s">
        <v>2276</v>
      </c>
      <c r="K356" s="21" t="s">
        <v>2276</v>
      </c>
      <c r="L356" s="21" t="s">
        <v>2276</v>
      </c>
      <c r="M356" s="21" t="s">
        <v>2276</v>
      </c>
      <c r="N356" s="21" t="s">
        <v>2276</v>
      </c>
      <c r="O356" s="21" t="s">
        <v>2276</v>
      </c>
      <c r="P356" s="21" t="s">
        <v>2276</v>
      </c>
      <c r="Q356" s="21" t="s">
        <v>2276</v>
      </c>
      <c r="R356" s="21" t="s">
        <v>2276</v>
      </c>
      <c r="S356" s="21" t="s">
        <v>2276</v>
      </c>
      <c r="T356" s="21" t="s">
        <v>2276</v>
      </c>
      <c r="U356" s="21" t="s">
        <v>2276</v>
      </c>
      <c r="V356" s="21" t="s">
        <v>2276</v>
      </c>
      <c r="W356" s="21" t="s">
        <v>2276</v>
      </c>
      <c r="X356" s="21" t="s">
        <v>2276</v>
      </c>
      <c r="Y356" s="21" t="s">
        <v>2276</v>
      </c>
      <c r="Z356" s="3" t="s">
        <v>2276</v>
      </c>
      <c r="AA356" s="3" t="s">
        <v>2276</v>
      </c>
      <c r="AB356" s="3" t="s">
        <v>2276</v>
      </c>
      <c r="AC356" s="4"/>
      <c r="AD356" s="4"/>
    </row>
    <row r="357" spans="1:30" ht="112" customHeight="1">
      <c r="A357" s="11" t="s">
        <v>1761</v>
      </c>
      <c r="B357" s="11" t="s">
        <v>1838</v>
      </c>
      <c r="C357" s="23" t="s">
        <v>24</v>
      </c>
      <c r="D357" s="23" t="s">
        <v>143</v>
      </c>
      <c r="E357" s="26" t="s">
        <v>130</v>
      </c>
      <c r="F357" s="19" t="s">
        <v>74</v>
      </c>
      <c r="G357" s="11" t="s">
        <v>2276</v>
      </c>
      <c r="H357" s="19" t="s">
        <v>523</v>
      </c>
      <c r="I357" s="3"/>
      <c r="J357" s="21" t="s">
        <v>2276</v>
      </c>
      <c r="K357" s="21" t="s">
        <v>2276</v>
      </c>
      <c r="L357" s="21" t="s">
        <v>2276</v>
      </c>
      <c r="M357" s="21" t="s">
        <v>2276</v>
      </c>
      <c r="N357" s="21" t="s">
        <v>2276</v>
      </c>
      <c r="O357" s="21" t="s">
        <v>2276</v>
      </c>
      <c r="P357" s="21" t="s">
        <v>2276</v>
      </c>
      <c r="Q357" s="21" t="s">
        <v>2276</v>
      </c>
      <c r="R357" s="21" t="s">
        <v>2276</v>
      </c>
      <c r="S357" s="21" t="s">
        <v>2276</v>
      </c>
      <c r="T357" s="21" t="s">
        <v>2276</v>
      </c>
      <c r="U357" s="21" t="s">
        <v>2276</v>
      </c>
      <c r="V357" s="21" t="s">
        <v>2276</v>
      </c>
      <c r="W357" s="21" t="s">
        <v>2276</v>
      </c>
      <c r="X357" s="21" t="s">
        <v>2276</v>
      </c>
      <c r="Y357" s="21" t="s">
        <v>2276</v>
      </c>
      <c r="Z357" s="3" t="s">
        <v>2276</v>
      </c>
      <c r="AA357" s="3" t="s">
        <v>2276</v>
      </c>
      <c r="AB357" s="3" t="s">
        <v>2276</v>
      </c>
      <c r="AC357" s="4"/>
      <c r="AD357" s="4"/>
    </row>
    <row r="358" spans="1:30" ht="112" customHeight="1">
      <c r="A358" s="11" t="s">
        <v>1761</v>
      </c>
      <c r="B358" s="11" t="s">
        <v>1839</v>
      </c>
      <c r="C358" s="23" t="s">
        <v>24</v>
      </c>
      <c r="D358" s="23" t="s">
        <v>27</v>
      </c>
      <c r="E358" s="26" t="s">
        <v>130</v>
      </c>
      <c r="F358" s="19" t="s">
        <v>161</v>
      </c>
      <c r="G358" s="11" t="s">
        <v>2276</v>
      </c>
      <c r="H358" s="19" t="s">
        <v>523</v>
      </c>
      <c r="I358" s="3"/>
      <c r="J358" s="21" t="s">
        <v>2276</v>
      </c>
      <c r="K358" s="21" t="s">
        <v>2276</v>
      </c>
      <c r="L358" s="21" t="s">
        <v>2276</v>
      </c>
      <c r="M358" s="21" t="s">
        <v>2276</v>
      </c>
      <c r="N358" s="21" t="s">
        <v>2276</v>
      </c>
      <c r="O358" s="21" t="s">
        <v>2276</v>
      </c>
      <c r="P358" s="21" t="s">
        <v>2276</v>
      </c>
      <c r="Q358" s="21" t="s">
        <v>2276</v>
      </c>
      <c r="R358" s="21" t="s">
        <v>2276</v>
      </c>
      <c r="S358" s="21" t="s">
        <v>2276</v>
      </c>
      <c r="T358" s="21" t="s">
        <v>2276</v>
      </c>
      <c r="U358" s="21" t="s">
        <v>2276</v>
      </c>
      <c r="V358" s="21" t="s">
        <v>2276</v>
      </c>
      <c r="W358" s="21" t="s">
        <v>2276</v>
      </c>
      <c r="X358" s="21" t="s">
        <v>2276</v>
      </c>
      <c r="Y358" s="21" t="s">
        <v>2276</v>
      </c>
      <c r="Z358" s="3" t="s">
        <v>2276</v>
      </c>
      <c r="AA358" s="3" t="s">
        <v>2276</v>
      </c>
      <c r="AB358" s="3" t="s">
        <v>2276</v>
      </c>
      <c r="AC358" s="4"/>
      <c r="AD358" s="4"/>
    </row>
    <row r="359" spans="1:30" ht="112" customHeight="1">
      <c r="A359" s="11" t="s">
        <v>1761</v>
      </c>
      <c r="B359" s="11" t="s">
        <v>1840</v>
      </c>
      <c r="C359" s="23" t="s">
        <v>24</v>
      </c>
      <c r="D359" s="23" t="s">
        <v>143</v>
      </c>
      <c r="E359" s="26" t="s">
        <v>397</v>
      </c>
      <c r="F359" s="19" t="s">
        <v>74</v>
      </c>
      <c r="G359" s="11" t="s">
        <v>2276</v>
      </c>
      <c r="H359" s="19" t="s">
        <v>523</v>
      </c>
      <c r="I359" s="3"/>
      <c r="J359" s="21" t="s">
        <v>2276</v>
      </c>
      <c r="K359" s="21" t="s">
        <v>2276</v>
      </c>
      <c r="L359" s="21" t="s">
        <v>2276</v>
      </c>
      <c r="M359" s="21" t="s">
        <v>2276</v>
      </c>
      <c r="N359" s="21" t="s">
        <v>2276</v>
      </c>
      <c r="O359" s="21" t="s">
        <v>2276</v>
      </c>
      <c r="P359" s="21" t="s">
        <v>2276</v>
      </c>
      <c r="Q359" s="21" t="s">
        <v>2276</v>
      </c>
      <c r="R359" s="21" t="s">
        <v>2276</v>
      </c>
      <c r="S359" s="21" t="s">
        <v>2276</v>
      </c>
      <c r="T359" s="21" t="s">
        <v>2276</v>
      </c>
      <c r="U359" s="21" t="s">
        <v>2276</v>
      </c>
      <c r="V359" s="21" t="s">
        <v>2276</v>
      </c>
      <c r="W359" s="21" t="s">
        <v>2276</v>
      </c>
      <c r="X359" s="21" t="s">
        <v>2276</v>
      </c>
      <c r="Y359" s="21" t="s">
        <v>2276</v>
      </c>
      <c r="Z359" s="3" t="s">
        <v>2276</v>
      </c>
      <c r="AA359" s="3" t="s">
        <v>2276</v>
      </c>
      <c r="AB359" s="3" t="s">
        <v>2276</v>
      </c>
      <c r="AC359" s="4"/>
      <c r="AD359" s="4"/>
    </row>
    <row r="360" spans="1:30" ht="112" customHeight="1">
      <c r="A360" s="11" t="s">
        <v>1762</v>
      </c>
      <c r="B360" s="11" t="s">
        <v>1841</v>
      </c>
      <c r="C360" s="23" t="s">
        <v>24</v>
      </c>
      <c r="D360" s="23" t="s">
        <v>143</v>
      </c>
      <c r="E360" s="26" t="s">
        <v>130</v>
      </c>
      <c r="F360" s="19" t="s">
        <v>74</v>
      </c>
      <c r="G360" s="11" t="s">
        <v>2276</v>
      </c>
      <c r="H360" s="19" t="s">
        <v>523</v>
      </c>
      <c r="I360" s="3"/>
      <c r="J360" s="21" t="s">
        <v>2276</v>
      </c>
      <c r="K360" s="21" t="s">
        <v>2276</v>
      </c>
      <c r="L360" s="21" t="s">
        <v>2276</v>
      </c>
      <c r="M360" s="21" t="s">
        <v>2276</v>
      </c>
      <c r="N360" s="21" t="s">
        <v>2276</v>
      </c>
      <c r="O360" s="21" t="s">
        <v>2276</v>
      </c>
      <c r="P360" s="21" t="s">
        <v>2276</v>
      </c>
      <c r="Q360" s="21" t="s">
        <v>2276</v>
      </c>
      <c r="R360" s="21" t="s">
        <v>2276</v>
      </c>
      <c r="S360" s="21" t="s">
        <v>2276</v>
      </c>
      <c r="T360" s="21" t="s">
        <v>2276</v>
      </c>
      <c r="U360" s="21" t="s">
        <v>2276</v>
      </c>
      <c r="V360" s="21" t="s">
        <v>2276</v>
      </c>
      <c r="W360" s="21" t="s">
        <v>2276</v>
      </c>
      <c r="X360" s="21" t="s">
        <v>2276</v>
      </c>
      <c r="Y360" s="21" t="s">
        <v>2276</v>
      </c>
      <c r="Z360" s="3" t="s">
        <v>2276</v>
      </c>
      <c r="AA360" s="3" t="s">
        <v>2276</v>
      </c>
      <c r="AB360" s="3" t="s">
        <v>2276</v>
      </c>
      <c r="AC360" s="4"/>
      <c r="AD360" s="4"/>
    </row>
    <row r="361" spans="1:30" ht="112" customHeight="1">
      <c r="A361" s="11" t="s">
        <v>1762</v>
      </c>
      <c r="B361" s="11" t="s">
        <v>1842</v>
      </c>
      <c r="C361" s="23" t="s">
        <v>24</v>
      </c>
      <c r="D361" s="23" t="s">
        <v>27</v>
      </c>
      <c r="E361" s="26" t="s">
        <v>130</v>
      </c>
      <c r="F361" s="19" t="s">
        <v>161</v>
      </c>
      <c r="G361" s="11" t="s">
        <v>2276</v>
      </c>
      <c r="H361" s="19" t="s">
        <v>523</v>
      </c>
      <c r="I361" s="3"/>
      <c r="J361" s="21" t="s">
        <v>2276</v>
      </c>
      <c r="K361" s="21" t="s">
        <v>2276</v>
      </c>
      <c r="L361" s="21" t="s">
        <v>2276</v>
      </c>
      <c r="M361" s="21" t="s">
        <v>2276</v>
      </c>
      <c r="N361" s="21" t="s">
        <v>2276</v>
      </c>
      <c r="O361" s="21" t="s">
        <v>2276</v>
      </c>
      <c r="P361" s="21" t="s">
        <v>2276</v>
      </c>
      <c r="Q361" s="21" t="s">
        <v>2276</v>
      </c>
      <c r="R361" s="21" t="s">
        <v>2276</v>
      </c>
      <c r="S361" s="21" t="s">
        <v>2276</v>
      </c>
      <c r="T361" s="21" t="s">
        <v>2276</v>
      </c>
      <c r="U361" s="21" t="s">
        <v>2276</v>
      </c>
      <c r="V361" s="21" t="s">
        <v>2276</v>
      </c>
      <c r="W361" s="21" t="s">
        <v>2276</v>
      </c>
      <c r="X361" s="21" t="s">
        <v>2276</v>
      </c>
      <c r="Y361" s="21" t="s">
        <v>2276</v>
      </c>
      <c r="Z361" s="3" t="s">
        <v>2276</v>
      </c>
      <c r="AA361" s="3" t="s">
        <v>2276</v>
      </c>
      <c r="AB361" s="3" t="s">
        <v>2276</v>
      </c>
      <c r="AC361" s="4"/>
      <c r="AD361" s="4"/>
    </row>
    <row r="362" spans="1:30" ht="112" customHeight="1">
      <c r="A362" s="11" t="s">
        <v>1762</v>
      </c>
      <c r="B362" s="11" t="s">
        <v>1843</v>
      </c>
      <c r="C362" s="23" t="s">
        <v>24</v>
      </c>
      <c r="D362" s="23" t="s">
        <v>143</v>
      </c>
      <c r="E362" s="26" t="s">
        <v>397</v>
      </c>
      <c r="F362" s="19" t="s">
        <v>74</v>
      </c>
      <c r="G362" s="11" t="s">
        <v>2276</v>
      </c>
      <c r="H362" s="19" t="s">
        <v>523</v>
      </c>
      <c r="I362" s="3"/>
      <c r="J362" s="21" t="s">
        <v>2276</v>
      </c>
      <c r="K362" s="21" t="s">
        <v>2276</v>
      </c>
      <c r="L362" s="21" t="s">
        <v>2276</v>
      </c>
      <c r="M362" s="21" t="s">
        <v>2276</v>
      </c>
      <c r="N362" s="21" t="s">
        <v>2276</v>
      </c>
      <c r="O362" s="21" t="s">
        <v>2276</v>
      </c>
      <c r="P362" s="21" t="s">
        <v>2276</v>
      </c>
      <c r="Q362" s="21" t="s">
        <v>2276</v>
      </c>
      <c r="R362" s="21" t="s">
        <v>2276</v>
      </c>
      <c r="S362" s="21" t="s">
        <v>2276</v>
      </c>
      <c r="T362" s="21" t="s">
        <v>2276</v>
      </c>
      <c r="U362" s="21" t="s">
        <v>2276</v>
      </c>
      <c r="V362" s="21" t="s">
        <v>2276</v>
      </c>
      <c r="W362" s="21" t="s">
        <v>2276</v>
      </c>
      <c r="X362" s="21" t="s">
        <v>2276</v>
      </c>
      <c r="Y362" s="21" t="s">
        <v>2276</v>
      </c>
      <c r="Z362" s="3" t="s">
        <v>2276</v>
      </c>
      <c r="AA362" s="3" t="s">
        <v>2276</v>
      </c>
      <c r="AB362" s="3" t="s">
        <v>2276</v>
      </c>
      <c r="AC362" s="4"/>
      <c r="AD362" s="4"/>
    </row>
    <row r="363" spans="1:30" ht="112" customHeight="1">
      <c r="A363" s="11" t="s">
        <v>1763</v>
      </c>
      <c r="B363" s="11" t="s">
        <v>1844</v>
      </c>
      <c r="C363" s="23" t="s">
        <v>24</v>
      </c>
      <c r="D363" s="23" t="s">
        <v>143</v>
      </c>
      <c r="E363" s="26" t="s">
        <v>130</v>
      </c>
      <c r="F363" s="19" t="s">
        <v>74</v>
      </c>
      <c r="G363" s="11" t="s">
        <v>2276</v>
      </c>
      <c r="H363" s="19" t="s">
        <v>523</v>
      </c>
      <c r="I363" s="3"/>
      <c r="J363" s="21" t="s">
        <v>2276</v>
      </c>
      <c r="K363" s="21" t="s">
        <v>2276</v>
      </c>
      <c r="L363" s="21" t="s">
        <v>2276</v>
      </c>
      <c r="M363" s="21" t="s">
        <v>2276</v>
      </c>
      <c r="N363" s="21" t="s">
        <v>2276</v>
      </c>
      <c r="O363" s="21" t="s">
        <v>2276</v>
      </c>
      <c r="P363" s="21" t="s">
        <v>2276</v>
      </c>
      <c r="Q363" s="21" t="s">
        <v>2276</v>
      </c>
      <c r="R363" s="21" t="s">
        <v>2276</v>
      </c>
      <c r="S363" s="21" t="s">
        <v>2276</v>
      </c>
      <c r="T363" s="21" t="s">
        <v>2276</v>
      </c>
      <c r="U363" s="21" t="s">
        <v>2276</v>
      </c>
      <c r="V363" s="21" t="s">
        <v>2276</v>
      </c>
      <c r="W363" s="21" t="s">
        <v>2276</v>
      </c>
      <c r="X363" s="21" t="s">
        <v>2276</v>
      </c>
      <c r="Y363" s="21" t="s">
        <v>2276</v>
      </c>
      <c r="Z363" s="3" t="s">
        <v>2276</v>
      </c>
      <c r="AA363" s="3" t="s">
        <v>2276</v>
      </c>
      <c r="AB363" s="3" t="s">
        <v>2276</v>
      </c>
      <c r="AC363" s="4"/>
      <c r="AD363" s="4"/>
    </row>
    <row r="364" spans="1:30" ht="112" customHeight="1">
      <c r="A364" s="11" t="s">
        <v>1763</v>
      </c>
      <c r="B364" s="11" t="s">
        <v>1845</v>
      </c>
      <c r="C364" s="23" t="s">
        <v>24</v>
      </c>
      <c r="D364" s="23" t="s">
        <v>27</v>
      </c>
      <c r="E364" s="26" t="s">
        <v>130</v>
      </c>
      <c r="F364" s="19" t="s">
        <v>161</v>
      </c>
      <c r="G364" s="11" t="s">
        <v>2276</v>
      </c>
      <c r="H364" s="19" t="s">
        <v>523</v>
      </c>
      <c r="I364" s="3"/>
      <c r="J364" s="21" t="s">
        <v>2276</v>
      </c>
      <c r="K364" s="21" t="s">
        <v>2276</v>
      </c>
      <c r="L364" s="21" t="s">
        <v>2276</v>
      </c>
      <c r="M364" s="21" t="s">
        <v>2276</v>
      </c>
      <c r="N364" s="21" t="s">
        <v>2276</v>
      </c>
      <c r="O364" s="21" t="s">
        <v>2276</v>
      </c>
      <c r="P364" s="21" t="s">
        <v>2276</v>
      </c>
      <c r="Q364" s="21" t="s">
        <v>2276</v>
      </c>
      <c r="R364" s="21" t="s">
        <v>2276</v>
      </c>
      <c r="S364" s="21" t="s">
        <v>2276</v>
      </c>
      <c r="T364" s="21" t="s">
        <v>2276</v>
      </c>
      <c r="U364" s="21" t="s">
        <v>2276</v>
      </c>
      <c r="V364" s="21" t="s">
        <v>2276</v>
      </c>
      <c r="W364" s="21" t="s">
        <v>2276</v>
      </c>
      <c r="X364" s="21" t="s">
        <v>2276</v>
      </c>
      <c r="Y364" s="21" t="s">
        <v>2276</v>
      </c>
      <c r="Z364" s="3" t="s">
        <v>2276</v>
      </c>
      <c r="AA364" s="3" t="s">
        <v>2276</v>
      </c>
      <c r="AB364" s="3" t="s">
        <v>2276</v>
      </c>
      <c r="AC364" s="4"/>
      <c r="AD364" s="4"/>
    </row>
    <row r="365" spans="1:30" ht="112" customHeight="1">
      <c r="A365" s="11" t="s">
        <v>1763</v>
      </c>
      <c r="B365" s="11" t="s">
        <v>1846</v>
      </c>
      <c r="C365" s="23" t="s">
        <v>24</v>
      </c>
      <c r="D365" s="23" t="s">
        <v>143</v>
      </c>
      <c r="E365" s="26" t="s">
        <v>397</v>
      </c>
      <c r="F365" s="19" t="s">
        <v>74</v>
      </c>
      <c r="G365" s="11" t="s">
        <v>2276</v>
      </c>
      <c r="H365" s="19" t="s">
        <v>523</v>
      </c>
      <c r="I365" s="3"/>
      <c r="J365" s="21" t="s">
        <v>2276</v>
      </c>
      <c r="K365" s="21" t="s">
        <v>2276</v>
      </c>
      <c r="L365" s="21" t="s">
        <v>2276</v>
      </c>
      <c r="M365" s="21" t="s">
        <v>2276</v>
      </c>
      <c r="N365" s="21" t="s">
        <v>2276</v>
      </c>
      <c r="O365" s="21" t="s">
        <v>2276</v>
      </c>
      <c r="P365" s="21" t="s">
        <v>2276</v>
      </c>
      <c r="Q365" s="21" t="s">
        <v>2276</v>
      </c>
      <c r="R365" s="21" t="s">
        <v>2276</v>
      </c>
      <c r="S365" s="21" t="s">
        <v>2276</v>
      </c>
      <c r="T365" s="21" t="s">
        <v>2276</v>
      </c>
      <c r="U365" s="21" t="s">
        <v>2276</v>
      </c>
      <c r="V365" s="21" t="s">
        <v>2276</v>
      </c>
      <c r="W365" s="21" t="s">
        <v>2276</v>
      </c>
      <c r="X365" s="21" t="s">
        <v>2276</v>
      </c>
      <c r="Y365" s="21" t="s">
        <v>2276</v>
      </c>
      <c r="Z365" s="3" t="s">
        <v>2276</v>
      </c>
      <c r="AA365" s="3" t="s">
        <v>2276</v>
      </c>
      <c r="AB365" s="3" t="s">
        <v>2276</v>
      </c>
      <c r="AC365" s="4"/>
      <c r="AD365" s="4"/>
    </row>
    <row r="366" spans="1:30" ht="112" customHeight="1">
      <c r="A366" s="11" t="s">
        <v>1764</v>
      </c>
      <c r="B366" s="11" t="s">
        <v>1847</v>
      </c>
      <c r="C366" s="23" t="s">
        <v>24</v>
      </c>
      <c r="D366" s="23" t="s">
        <v>143</v>
      </c>
      <c r="E366" s="26" t="s">
        <v>130</v>
      </c>
      <c r="F366" s="19" t="s">
        <v>74</v>
      </c>
      <c r="G366" s="11" t="s">
        <v>2276</v>
      </c>
      <c r="H366" s="19" t="s">
        <v>523</v>
      </c>
      <c r="I366" s="3"/>
      <c r="J366" s="21" t="s">
        <v>2276</v>
      </c>
      <c r="K366" s="21" t="s">
        <v>2276</v>
      </c>
      <c r="L366" s="21" t="s">
        <v>2276</v>
      </c>
      <c r="M366" s="21" t="s">
        <v>2276</v>
      </c>
      <c r="N366" s="21" t="s">
        <v>2276</v>
      </c>
      <c r="O366" s="21" t="s">
        <v>2276</v>
      </c>
      <c r="P366" s="21" t="s">
        <v>2276</v>
      </c>
      <c r="Q366" s="21" t="s">
        <v>2276</v>
      </c>
      <c r="R366" s="21" t="s">
        <v>2276</v>
      </c>
      <c r="S366" s="21" t="s">
        <v>2276</v>
      </c>
      <c r="T366" s="21" t="s">
        <v>2276</v>
      </c>
      <c r="U366" s="21" t="s">
        <v>2276</v>
      </c>
      <c r="V366" s="21" t="s">
        <v>2276</v>
      </c>
      <c r="W366" s="21" t="s">
        <v>2276</v>
      </c>
      <c r="X366" s="21" t="s">
        <v>2276</v>
      </c>
      <c r="Y366" s="21" t="s">
        <v>2276</v>
      </c>
      <c r="Z366" s="3" t="s">
        <v>2276</v>
      </c>
      <c r="AA366" s="3" t="s">
        <v>2276</v>
      </c>
      <c r="AB366" s="3" t="s">
        <v>2276</v>
      </c>
      <c r="AC366" s="4"/>
      <c r="AD366" s="4"/>
    </row>
    <row r="367" spans="1:30" ht="112" customHeight="1">
      <c r="A367" s="11" t="s">
        <v>1764</v>
      </c>
      <c r="B367" s="11" t="s">
        <v>1848</v>
      </c>
      <c r="C367" s="23" t="s">
        <v>24</v>
      </c>
      <c r="D367" s="23" t="s">
        <v>27</v>
      </c>
      <c r="E367" s="26" t="s">
        <v>130</v>
      </c>
      <c r="F367" s="19" t="s">
        <v>161</v>
      </c>
      <c r="G367" s="11" t="s">
        <v>2276</v>
      </c>
      <c r="H367" s="19" t="s">
        <v>523</v>
      </c>
      <c r="I367" s="3"/>
      <c r="J367" s="21" t="s">
        <v>2276</v>
      </c>
      <c r="K367" s="21" t="s">
        <v>2276</v>
      </c>
      <c r="L367" s="21" t="s">
        <v>2276</v>
      </c>
      <c r="M367" s="21" t="s">
        <v>2276</v>
      </c>
      <c r="N367" s="21" t="s">
        <v>2276</v>
      </c>
      <c r="O367" s="21" t="s">
        <v>2276</v>
      </c>
      <c r="P367" s="21" t="s">
        <v>2276</v>
      </c>
      <c r="Q367" s="21" t="s">
        <v>2276</v>
      </c>
      <c r="R367" s="21" t="s">
        <v>2276</v>
      </c>
      <c r="S367" s="21" t="s">
        <v>2276</v>
      </c>
      <c r="T367" s="21" t="s">
        <v>2276</v>
      </c>
      <c r="U367" s="21" t="s">
        <v>2276</v>
      </c>
      <c r="V367" s="21" t="s">
        <v>2276</v>
      </c>
      <c r="W367" s="21" t="s">
        <v>2276</v>
      </c>
      <c r="X367" s="21" t="s">
        <v>2276</v>
      </c>
      <c r="Y367" s="21" t="s">
        <v>2276</v>
      </c>
      <c r="Z367" s="3" t="s">
        <v>2276</v>
      </c>
      <c r="AA367" s="3" t="s">
        <v>2276</v>
      </c>
      <c r="AB367" s="3" t="s">
        <v>2276</v>
      </c>
      <c r="AC367" s="4"/>
      <c r="AD367" s="4"/>
    </row>
    <row r="368" spans="1:30" ht="112" customHeight="1">
      <c r="A368" s="11" t="s">
        <v>1765</v>
      </c>
      <c r="B368" s="11" t="s">
        <v>1849</v>
      </c>
      <c r="C368" s="23" t="s">
        <v>24</v>
      </c>
      <c r="D368" s="23" t="s">
        <v>143</v>
      </c>
      <c r="E368" s="26" t="s">
        <v>130</v>
      </c>
      <c r="F368" s="19" t="s">
        <v>74</v>
      </c>
      <c r="G368" s="11" t="s">
        <v>2276</v>
      </c>
      <c r="H368" s="19" t="s">
        <v>523</v>
      </c>
      <c r="I368" s="3"/>
      <c r="J368" s="21" t="s">
        <v>2276</v>
      </c>
      <c r="K368" s="21" t="s">
        <v>2276</v>
      </c>
      <c r="L368" s="21" t="s">
        <v>2276</v>
      </c>
      <c r="M368" s="21" t="s">
        <v>2276</v>
      </c>
      <c r="N368" s="21" t="s">
        <v>2276</v>
      </c>
      <c r="O368" s="21" t="s">
        <v>2276</v>
      </c>
      <c r="P368" s="21" t="s">
        <v>2276</v>
      </c>
      <c r="Q368" s="21" t="s">
        <v>2276</v>
      </c>
      <c r="R368" s="21" t="s">
        <v>2276</v>
      </c>
      <c r="S368" s="21" t="s">
        <v>2276</v>
      </c>
      <c r="T368" s="21" t="s">
        <v>2276</v>
      </c>
      <c r="U368" s="21" t="s">
        <v>2276</v>
      </c>
      <c r="V368" s="21" t="s">
        <v>2276</v>
      </c>
      <c r="W368" s="21" t="s">
        <v>2276</v>
      </c>
      <c r="X368" s="21" t="s">
        <v>2276</v>
      </c>
      <c r="Y368" s="21" t="s">
        <v>2276</v>
      </c>
      <c r="Z368" s="3" t="s">
        <v>2276</v>
      </c>
      <c r="AA368" s="3" t="s">
        <v>2276</v>
      </c>
      <c r="AB368" s="3" t="s">
        <v>2276</v>
      </c>
      <c r="AC368" s="4"/>
      <c r="AD368" s="4"/>
    </row>
    <row r="369" spans="1:30" ht="112" customHeight="1">
      <c r="A369" s="11" t="s">
        <v>1765</v>
      </c>
      <c r="B369" s="11" t="s">
        <v>1850</v>
      </c>
      <c r="C369" s="23" t="s">
        <v>24</v>
      </c>
      <c r="D369" s="23" t="s">
        <v>27</v>
      </c>
      <c r="E369" s="26" t="s">
        <v>130</v>
      </c>
      <c r="F369" s="19" t="s">
        <v>161</v>
      </c>
      <c r="G369" s="11" t="s">
        <v>2276</v>
      </c>
      <c r="H369" s="19" t="s">
        <v>523</v>
      </c>
      <c r="I369" s="3"/>
      <c r="J369" s="21" t="s">
        <v>2276</v>
      </c>
      <c r="K369" s="21" t="s">
        <v>2276</v>
      </c>
      <c r="L369" s="21" t="s">
        <v>2276</v>
      </c>
      <c r="M369" s="21" t="s">
        <v>2276</v>
      </c>
      <c r="N369" s="21" t="s">
        <v>2276</v>
      </c>
      <c r="O369" s="21" t="s">
        <v>2276</v>
      </c>
      <c r="P369" s="21" t="s">
        <v>2276</v>
      </c>
      <c r="Q369" s="21" t="s">
        <v>2276</v>
      </c>
      <c r="R369" s="21" t="s">
        <v>2276</v>
      </c>
      <c r="S369" s="21" t="s">
        <v>2276</v>
      </c>
      <c r="T369" s="21" t="s">
        <v>2276</v>
      </c>
      <c r="U369" s="21" t="s">
        <v>2276</v>
      </c>
      <c r="V369" s="21" t="s">
        <v>2276</v>
      </c>
      <c r="W369" s="21" t="s">
        <v>2276</v>
      </c>
      <c r="X369" s="21" t="s">
        <v>2276</v>
      </c>
      <c r="Y369" s="21" t="s">
        <v>2276</v>
      </c>
      <c r="Z369" s="3" t="s">
        <v>2276</v>
      </c>
      <c r="AA369" s="3" t="s">
        <v>2276</v>
      </c>
      <c r="AB369" s="3" t="s">
        <v>2276</v>
      </c>
      <c r="AC369" s="4"/>
      <c r="AD369" s="4"/>
    </row>
    <row r="370" spans="1:30" ht="112" customHeight="1">
      <c r="A370" s="11" t="s">
        <v>1765</v>
      </c>
      <c r="B370" s="11" t="s">
        <v>1851</v>
      </c>
      <c r="C370" s="23" t="s">
        <v>24</v>
      </c>
      <c r="D370" s="23" t="s">
        <v>143</v>
      </c>
      <c r="E370" s="26" t="s">
        <v>397</v>
      </c>
      <c r="F370" s="19" t="s">
        <v>74</v>
      </c>
      <c r="G370" s="11" t="s">
        <v>2276</v>
      </c>
      <c r="H370" s="19" t="s">
        <v>523</v>
      </c>
      <c r="I370" s="3"/>
      <c r="J370" s="21" t="s">
        <v>2276</v>
      </c>
      <c r="K370" s="21" t="s">
        <v>2276</v>
      </c>
      <c r="L370" s="21" t="s">
        <v>2276</v>
      </c>
      <c r="M370" s="21" t="s">
        <v>2276</v>
      </c>
      <c r="N370" s="21" t="s">
        <v>2276</v>
      </c>
      <c r="O370" s="21" t="s">
        <v>2276</v>
      </c>
      <c r="P370" s="21" t="s">
        <v>2276</v>
      </c>
      <c r="Q370" s="21" t="s">
        <v>2276</v>
      </c>
      <c r="R370" s="21" t="s">
        <v>2276</v>
      </c>
      <c r="S370" s="21" t="s">
        <v>2276</v>
      </c>
      <c r="T370" s="21" t="s">
        <v>2276</v>
      </c>
      <c r="U370" s="21" t="s">
        <v>2276</v>
      </c>
      <c r="V370" s="21" t="s">
        <v>2276</v>
      </c>
      <c r="W370" s="21" t="s">
        <v>2276</v>
      </c>
      <c r="X370" s="21" t="s">
        <v>2276</v>
      </c>
      <c r="Y370" s="21" t="s">
        <v>2276</v>
      </c>
      <c r="Z370" s="3" t="s">
        <v>2276</v>
      </c>
      <c r="AA370" s="3" t="s">
        <v>2276</v>
      </c>
      <c r="AB370" s="3" t="s">
        <v>2276</v>
      </c>
      <c r="AC370" s="4"/>
      <c r="AD370" s="4"/>
    </row>
    <row r="371" spans="1:30" ht="112" customHeight="1">
      <c r="A371" s="11" t="s">
        <v>1766</v>
      </c>
      <c r="B371" s="11" t="s">
        <v>1852</v>
      </c>
      <c r="C371" s="23" t="s">
        <v>24</v>
      </c>
      <c r="D371" s="23" t="s">
        <v>143</v>
      </c>
      <c r="E371" s="26" t="s">
        <v>130</v>
      </c>
      <c r="F371" s="19" t="s">
        <v>74</v>
      </c>
      <c r="G371" s="11" t="s">
        <v>2276</v>
      </c>
      <c r="H371" s="19" t="s">
        <v>523</v>
      </c>
      <c r="I371" s="3"/>
      <c r="J371" s="21" t="s">
        <v>2276</v>
      </c>
      <c r="K371" s="21" t="s">
        <v>2276</v>
      </c>
      <c r="L371" s="21" t="s">
        <v>2276</v>
      </c>
      <c r="M371" s="21" t="s">
        <v>2276</v>
      </c>
      <c r="N371" s="21" t="s">
        <v>2276</v>
      </c>
      <c r="O371" s="21" t="s">
        <v>2276</v>
      </c>
      <c r="P371" s="21" t="s">
        <v>2276</v>
      </c>
      <c r="Q371" s="21" t="s">
        <v>2276</v>
      </c>
      <c r="R371" s="21" t="s">
        <v>2276</v>
      </c>
      <c r="S371" s="21" t="s">
        <v>2276</v>
      </c>
      <c r="T371" s="21" t="s">
        <v>2276</v>
      </c>
      <c r="U371" s="21" t="s">
        <v>2276</v>
      </c>
      <c r="V371" s="21" t="s">
        <v>2276</v>
      </c>
      <c r="W371" s="21" t="s">
        <v>2276</v>
      </c>
      <c r="X371" s="21" t="s">
        <v>2276</v>
      </c>
      <c r="Y371" s="21" t="s">
        <v>2276</v>
      </c>
      <c r="Z371" s="3" t="s">
        <v>2276</v>
      </c>
      <c r="AA371" s="3" t="s">
        <v>2276</v>
      </c>
      <c r="AB371" s="3" t="s">
        <v>2276</v>
      </c>
      <c r="AC371" s="4"/>
      <c r="AD371" s="4"/>
    </row>
    <row r="372" spans="1:30" ht="112" customHeight="1">
      <c r="A372" s="11" t="s">
        <v>1766</v>
      </c>
      <c r="B372" s="11" t="s">
        <v>1853</v>
      </c>
      <c r="C372" s="23" t="s">
        <v>24</v>
      </c>
      <c r="D372" s="23" t="s">
        <v>27</v>
      </c>
      <c r="E372" s="26" t="s">
        <v>130</v>
      </c>
      <c r="F372" s="19" t="s">
        <v>161</v>
      </c>
      <c r="G372" s="11" t="s">
        <v>2276</v>
      </c>
      <c r="H372" s="19" t="s">
        <v>523</v>
      </c>
      <c r="I372" s="3"/>
      <c r="J372" s="21" t="s">
        <v>2276</v>
      </c>
      <c r="K372" s="21" t="s">
        <v>2276</v>
      </c>
      <c r="L372" s="21" t="s">
        <v>2276</v>
      </c>
      <c r="M372" s="21" t="s">
        <v>2276</v>
      </c>
      <c r="N372" s="21" t="s">
        <v>2276</v>
      </c>
      <c r="O372" s="21" t="s">
        <v>2276</v>
      </c>
      <c r="P372" s="21" t="s">
        <v>2276</v>
      </c>
      <c r="Q372" s="21" t="s">
        <v>2276</v>
      </c>
      <c r="R372" s="21" t="s">
        <v>2276</v>
      </c>
      <c r="S372" s="21" t="s">
        <v>2276</v>
      </c>
      <c r="T372" s="21" t="s">
        <v>2276</v>
      </c>
      <c r="U372" s="21" t="s">
        <v>2276</v>
      </c>
      <c r="V372" s="21" t="s">
        <v>2276</v>
      </c>
      <c r="W372" s="21" t="s">
        <v>2276</v>
      </c>
      <c r="X372" s="21" t="s">
        <v>2276</v>
      </c>
      <c r="Y372" s="21" t="s">
        <v>2276</v>
      </c>
      <c r="Z372" s="3" t="s">
        <v>2276</v>
      </c>
      <c r="AA372" s="3" t="s">
        <v>2276</v>
      </c>
      <c r="AB372" s="3" t="s">
        <v>2276</v>
      </c>
      <c r="AC372" s="4"/>
      <c r="AD372" s="4"/>
    </row>
    <row r="373" spans="1:30" ht="112" customHeight="1">
      <c r="A373" s="11" t="s">
        <v>1767</v>
      </c>
      <c r="B373" s="11" t="s">
        <v>1854</v>
      </c>
      <c r="C373" s="23" t="s">
        <v>24</v>
      </c>
      <c r="D373" s="23" t="s">
        <v>143</v>
      </c>
      <c r="E373" s="26" t="s">
        <v>397</v>
      </c>
      <c r="F373" s="19" t="s">
        <v>74</v>
      </c>
      <c r="G373" s="11" t="s">
        <v>2276</v>
      </c>
      <c r="H373" s="19" t="s">
        <v>523</v>
      </c>
      <c r="I373" s="3"/>
      <c r="J373" s="21" t="s">
        <v>2276</v>
      </c>
      <c r="K373" s="21" t="s">
        <v>2276</v>
      </c>
      <c r="L373" s="21" t="s">
        <v>2276</v>
      </c>
      <c r="M373" s="21" t="s">
        <v>2276</v>
      </c>
      <c r="N373" s="21" t="s">
        <v>2276</v>
      </c>
      <c r="O373" s="21" t="s">
        <v>2276</v>
      </c>
      <c r="P373" s="21" t="s">
        <v>2276</v>
      </c>
      <c r="Q373" s="21" t="s">
        <v>2276</v>
      </c>
      <c r="R373" s="21" t="s">
        <v>2276</v>
      </c>
      <c r="S373" s="21" t="s">
        <v>2276</v>
      </c>
      <c r="T373" s="21" t="s">
        <v>2276</v>
      </c>
      <c r="U373" s="21" t="s">
        <v>2276</v>
      </c>
      <c r="V373" s="21" t="s">
        <v>2276</v>
      </c>
      <c r="W373" s="21" t="s">
        <v>2276</v>
      </c>
      <c r="X373" s="21" t="s">
        <v>2276</v>
      </c>
      <c r="Y373" s="21" t="s">
        <v>2276</v>
      </c>
      <c r="Z373" s="3" t="s">
        <v>2276</v>
      </c>
      <c r="AA373" s="3" t="s">
        <v>2276</v>
      </c>
      <c r="AB373" s="3" t="s">
        <v>2276</v>
      </c>
      <c r="AC373" s="4"/>
      <c r="AD373" s="4"/>
    </row>
    <row r="374" spans="1:30" ht="112" customHeight="1">
      <c r="A374" s="11" t="s">
        <v>1768</v>
      </c>
      <c r="B374" s="11" t="s">
        <v>1855</v>
      </c>
      <c r="C374" s="23" t="s">
        <v>24</v>
      </c>
      <c r="D374" s="23" t="s">
        <v>143</v>
      </c>
      <c r="E374" s="26" t="s">
        <v>397</v>
      </c>
      <c r="F374" s="19" t="s">
        <v>74</v>
      </c>
      <c r="G374" s="11" t="s">
        <v>2276</v>
      </c>
      <c r="H374" s="19" t="s">
        <v>523</v>
      </c>
      <c r="I374" s="3"/>
      <c r="J374" s="21" t="s">
        <v>2276</v>
      </c>
      <c r="K374" s="21" t="s">
        <v>2276</v>
      </c>
      <c r="L374" s="21" t="s">
        <v>2276</v>
      </c>
      <c r="M374" s="21" t="s">
        <v>2276</v>
      </c>
      <c r="N374" s="21" t="s">
        <v>2276</v>
      </c>
      <c r="O374" s="21" t="s">
        <v>2276</v>
      </c>
      <c r="P374" s="21" t="s">
        <v>2276</v>
      </c>
      <c r="Q374" s="21" t="s">
        <v>2276</v>
      </c>
      <c r="R374" s="21" t="s">
        <v>2276</v>
      </c>
      <c r="S374" s="21" t="s">
        <v>2276</v>
      </c>
      <c r="T374" s="21" t="s">
        <v>2276</v>
      </c>
      <c r="U374" s="21" t="s">
        <v>2276</v>
      </c>
      <c r="V374" s="21" t="s">
        <v>2276</v>
      </c>
      <c r="W374" s="21" t="s">
        <v>2276</v>
      </c>
      <c r="X374" s="21" t="s">
        <v>2276</v>
      </c>
      <c r="Y374" s="21" t="s">
        <v>2276</v>
      </c>
      <c r="Z374" s="3" t="s">
        <v>2276</v>
      </c>
      <c r="AA374" s="3" t="s">
        <v>2276</v>
      </c>
      <c r="AB374" s="3" t="s">
        <v>2276</v>
      </c>
      <c r="AC374" s="4"/>
      <c r="AD374" s="4"/>
    </row>
    <row r="375" spans="1:30" ht="112" customHeight="1">
      <c r="A375" s="11" t="s">
        <v>1769</v>
      </c>
      <c r="B375" s="11" t="s">
        <v>1856</v>
      </c>
      <c r="C375" s="23" t="s">
        <v>24</v>
      </c>
      <c r="D375" s="23" t="s">
        <v>143</v>
      </c>
      <c r="E375" s="26" t="s">
        <v>130</v>
      </c>
      <c r="F375" s="19" t="s">
        <v>74</v>
      </c>
      <c r="G375" s="11" t="s">
        <v>2276</v>
      </c>
      <c r="H375" s="19" t="s">
        <v>523</v>
      </c>
      <c r="I375" s="3"/>
      <c r="J375" s="21" t="s">
        <v>2276</v>
      </c>
      <c r="K375" s="21" t="s">
        <v>2276</v>
      </c>
      <c r="L375" s="21" t="s">
        <v>2276</v>
      </c>
      <c r="M375" s="21" t="s">
        <v>2276</v>
      </c>
      <c r="N375" s="21" t="s">
        <v>2276</v>
      </c>
      <c r="O375" s="21" t="s">
        <v>2276</v>
      </c>
      <c r="P375" s="21" t="s">
        <v>2276</v>
      </c>
      <c r="Q375" s="21" t="s">
        <v>2276</v>
      </c>
      <c r="R375" s="21" t="s">
        <v>2276</v>
      </c>
      <c r="S375" s="21" t="s">
        <v>2276</v>
      </c>
      <c r="T375" s="21" t="s">
        <v>2276</v>
      </c>
      <c r="U375" s="21" t="s">
        <v>2276</v>
      </c>
      <c r="V375" s="21" t="s">
        <v>2276</v>
      </c>
      <c r="W375" s="21" t="s">
        <v>2276</v>
      </c>
      <c r="X375" s="21" t="s">
        <v>2276</v>
      </c>
      <c r="Y375" s="21" t="s">
        <v>2276</v>
      </c>
      <c r="Z375" s="3" t="s">
        <v>2276</v>
      </c>
      <c r="AA375" s="3" t="s">
        <v>2276</v>
      </c>
      <c r="AB375" s="3" t="s">
        <v>2276</v>
      </c>
      <c r="AC375" s="4"/>
      <c r="AD375" s="4"/>
    </row>
    <row r="376" spans="1:30" ht="112" customHeight="1">
      <c r="A376" s="11" t="s">
        <v>1769</v>
      </c>
      <c r="B376" s="11" t="s">
        <v>1857</v>
      </c>
      <c r="C376" s="23" t="s">
        <v>24</v>
      </c>
      <c r="D376" s="23" t="s">
        <v>27</v>
      </c>
      <c r="E376" s="26" t="s">
        <v>130</v>
      </c>
      <c r="F376" s="19" t="s">
        <v>161</v>
      </c>
      <c r="G376" s="11" t="s">
        <v>2276</v>
      </c>
      <c r="H376" s="19" t="s">
        <v>523</v>
      </c>
      <c r="I376" s="3"/>
      <c r="J376" s="21" t="s">
        <v>2276</v>
      </c>
      <c r="K376" s="21" t="s">
        <v>2276</v>
      </c>
      <c r="L376" s="21" t="s">
        <v>2276</v>
      </c>
      <c r="M376" s="21" t="s">
        <v>2276</v>
      </c>
      <c r="N376" s="21" t="s">
        <v>2276</v>
      </c>
      <c r="O376" s="21" t="s">
        <v>2276</v>
      </c>
      <c r="P376" s="21" t="s">
        <v>2276</v>
      </c>
      <c r="Q376" s="21" t="s">
        <v>2276</v>
      </c>
      <c r="R376" s="21" t="s">
        <v>2276</v>
      </c>
      <c r="S376" s="21" t="s">
        <v>2276</v>
      </c>
      <c r="T376" s="21" t="s">
        <v>2276</v>
      </c>
      <c r="U376" s="21" t="s">
        <v>2276</v>
      </c>
      <c r="V376" s="21" t="s">
        <v>2276</v>
      </c>
      <c r="W376" s="21" t="s">
        <v>2276</v>
      </c>
      <c r="X376" s="21" t="s">
        <v>2276</v>
      </c>
      <c r="Y376" s="21" t="s">
        <v>2276</v>
      </c>
      <c r="Z376" s="3" t="s">
        <v>2276</v>
      </c>
      <c r="AA376" s="3" t="s">
        <v>2276</v>
      </c>
      <c r="AB376" s="3" t="s">
        <v>2276</v>
      </c>
      <c r="AC376" s="4"/>
      <c r="AD376" s="4"/>
    </row>
    <row r="377" spans="1:30" ht="112" customHeight="1">
      <c r="A377" s="11" t="s">
        <v>1769</v>
      </c>
      <c r="B377" s="11" t="s">
        <v>1858</v>
      </c>
      <c r="C377" s="23" t="s">
        <v>24</v>
      </c>
      <c r="D377" s="23" t="s">
        <v>143</v>
      </c>
      <c r="E377" s="26" t="s">
        <v>397</v>
      </c>
      <c r="F377" s="19" t="s">
        <v>74</v>
      </c>
      <c r="G377" s="11" t="s">
        <v>2276</v>
      </c>
      <c r="H377" s="19" t="s">
        <v>523</v>
      </c>
      <c r="I377" s="3"/>
      <c r="J377" s="21" t="s">
        <v>2276</v>
      </c>
      <c r="K377" s="21" t="s">
        <v>2276</v>
      </c>
      <c r="L377" s="21" t="s">
        <v>2276</v>
      </c>
      <c r="M377" s="21" t="s">
        <v>2276</v>
      </c>
      <c r="N377" s="21" t="s">
        <v>2276</v>
      </c>
      <c r="O377" s="21" t="s">
        <v>2276</v>
      </c>
      <c r="P377" s="21" t="s">
        <v>2276</v>
      </c>
      <c r="Q377" s="21" t="s">
        <v>2276</v>
      </c>
      <c r="R377" s="21" t="s">
        <v>2276</v>
      </c>
      <c r="S377" s="21" t="s">
        <v>2276</v>
      </c>
      <c r="T377" s="21" t="s">
        <v>2276</v>
      </c>
      <c r="U377" s="21" t="s">
        <v>2276</v>
      </c>
      <c r="V377" s="21" t="s">
        <v>2276</v>
      </c>
      <c r="W377" s="21" t="s">
        <v>2276</v>
      </c>
      <c r="X377" s="21" t="s">
        <v>2276</v>
      </c>
      <c r="Y377" s="21" t="s">
        <v>2276</v>
      </c>
      <c r="Z377" s="3" t="s">
        <v>2276</v>
      </c>
      <c r="AA377" s="3" t="s">
        <v>2276</v>
      </c>
      <c r="AB377" s="3" t="s">
        <v>2276</v>
      </c>
      <c r="AC377" s="4"/>
      <c r="AD377" s="4"/>
    </row>
    <row r="378" spans="1:30" ht="112" customHeight="1">
      <c r="A378" s="11" t="s">
        <v>1770</v>
      </c>
      <c r="B378" s="11" t="s">
        <v>1859</v>
      </c>
      <c r="C378" s="23" t="s">
        <v>24</v>
      </c>
      <c r="D378" s="23" t="s">
        <v>143</v>
      </c>
      <c r="E378" s="26" t="s">
        <v>130</v>
      </c>
      <c r="F378" s="19" t="s">
        <v>74</v>
      </c>
      <c r="G378" s="11" t="s">
        <v>2276</v>
      </c>
      <c r="H378" s="19" t="s">
        <v>523</v>
      </c>
      <c r="I378" s="3"/>
      <c r="J378" s="21" t="s">
        <v>2276</v>
      </c>
      <c r="K378" s="21" t="s">
        <v>2276</v>
      </c>
      <c r="L378" s="21" t="s">
        <v>2276</v>
      </c>
      <c r="M378" s="21" t="s">
        <v>2276</v>
      </c>
      <c r="N378" s="21" t="s">
        <v>2276</v>
      </c>
      <c r="O378" s="21" t="s">
        <v>2276</v>
      </c>
      <c r="P378" s="21" t="s">
        <v>2276</v>
      </c>
      <c r="Q378" s="21" t="s">
        <v>2276</v>
      </c>
      <c r="R378" s="21" t="s">
        <v>2276</v>
      </c>
      <c r="S378" s="21" t="s">
        <v>2276</v>
      </c>
      <c r="T378" s="21" t="s">
        <v>2276</v>
      </c>
      <c r="U378" s="21" t="s">
        <v>2276</v>
      </c>
      <c r="V378" s="21" t="s">
        <v>2276</v>
      </c>
      <c r="W378" s="21" t="s">
        <v>2276</v>
      </c>
      <c r="X378" s="21" t="s">
        <v>2276</v>
      </c>
      <c r="Y378" s="21" t="s">
        <v>2276</v>
      </c>
      <c r="Z378" s="3" t="s">
        <v>2276</v>
      </c>
      <c r="AA378" s="3" t="s">
        <v>2276</v>
      </c>
      <c r="AB378" s="3" t="s">
        <v>2276</v>
      </c>
      <c r="AC378" s="4"/>
      <c r="AD378" s="4"/>
    </row>
    <row r="379" spans="1:30" ht="112" customHeight="1">
      <c r="A379" s="11" t="s">
        <v>1770</v>
      </c>
      <c r="B379" s="11" t="s">
        <v>1860</v>
      </c>
      <c r="C379" s="23" t="s">
        <v>24</v>
      </c>
      <c r="D379" s="23" t="s">
        <v>27</v>
      </c>
      <c r="E379" s="26" t="s">
        <v>130</v>
      </c>
      <c r="F379" s="19" t="s">
        <v>161</v>
      </c>
      <c r="G379" s="11" t="s">
        <v>2276</v>
      </c>
      <c r="H379" s="19" t="s">
        <v>523</v>
      </c>
      <c r="I379" s="3"/>
      <c r="J379" s="21" t="s">
        <v>2276</v>
      </c>
      <c r="K379" s="21" t="s">
        <v>2276</v>
      </c>
      <c r="L379" s="21" t="s">
        <v>2276</v>
      </c>
      <c r="M379" s="21" t="s">
        <v>2276</v>
      </c>
      <c r="N379" s="21" t="s">
        <v>2276</v>
      </c>
      <c r="O379" s="21" t="s">
        <v>2276</v>
      </c>
      <c r="P379" s="21" t="s">
        <v>2276</v>
      </c>
      <c r="Q379" s="21" t="s">
        <v>2276</v>
      </c>
      <c r="R379" s="21" t="s">
        <v>2276</v>
      </c>
      <c r="S379" s="21" t="s">
        <v>2276</v>
      </c>
      <c r="T379" s="21" t="s">
        <v>2276</v>
      </c>
      <c r="U379" s="21" t="s">
        <v>2276</v>
      </c>
      <c r="V379" s="21" t="s">
        <v>2276</v>
      </c>
      <c r="W379" s="21" t="s">
        <v>2276</v>
      </c>
      <c r="X379" s="21" t="s">
        <v>2276</v>
      </c>
      <c r="Y379" s="21" t="s">
        <v>2276</v>
      </c>
      <c r="Z379" s="3" t="s">
        <v>2276</v>
      </c>
      <c r="AA379" s="3" t="s">
        <v>2276</v>
      </c>
      <c r="AB379" s="3" t="s">
        <v>2276</v>
      </c>
      <c r="AC379" s="4"/>
      <c r="AD379" s="4"/>
    </row>
    <row r="380" spans="1:30" ht="112" customHeight="1">
      <c r="A380" s="11" t="s">
        <v>1770</v>
      </c>
      <c r="B380" s="11" t="s">
        <v>1861</v>
      </c>
      <c r="C380" s="23" t="s">
        <v>24</v>
      </c>
      <c r="D380" s="23" t="s">
        <v>143</v>
      </c>
      <c r="E380" s="26" t="s">
        <v>397</v>
      </c>
      <c r="F380" s="19" t="s">
        <v>74</v>
      </c>
      <c r="G380" s="11" t="s">
        <v>2276</v>
      </c>
      <c r="H380" s="19" t="s">
        <v>523</v>
      </c>
      <c r="I380" s="3"/>
      <c r="J380" s="21" t="s">
        <v>2276</v>
      </c>
      <c r="K380" s="21" t="s">
        <v>2276</v>
      </c>
      <c r="L380" s="21" t="s">
        <v>2276</v>
      </c>
      <c r="M380" s="21" t="s">
        <v>2276</v>
      </c>
      <c r="N380" s="21" t="s">
        <v>2276</v>
      </c>
      <c r="O380" s="21" t="s">
        <v>2276</v>
      </c>
      <c r="P380" s="21" t="s">
        <v>2276</v>
      </c>
      <c r="Q380" s="21" t="s">
        <v>2276</v>
      </c>
      <c r="R380" s="21" t="s">
        <v>2276</v>
      </c>
      <c r="S380" s="21" t="s">
        <v>2276</v>
      </c>
      <c r="T380" s="21" t="s">
        <v>2276</v>
      </c>
      <c r="U380" s="21" t="s">
        <v>2276</v>
      </c>
      <c r="V380" s="21" t="s">
        <v>2276</v>
      </c>
      <c r="W380" s="21" t="s">
        <v>2276</v>
      </c>
      <c r="X380" s="21" t="s">
        <v>2276</v>
      </c>
      <c r="Y380" s="21" t="s">
        <v>2276</v>
      </c>
      <c r="Z380" s="3" t="s">
        <v>2276</v>
      </c>
      <c r="AA380" s="3" t="s">
        <v>2276</v>
      </c>
      <c r="AB380" s="3" t="s">
        <v>2276</v>
      </c>
      <c r="AC380" s="4"/>
      <c r="AD380" s="4"/>
    </row>
    <row r="381" spans="1:30" ht="112" customHeight="1">
      <c r="A381" s="11" t="s">
        <v>1771</v>
      </c>
      <c r="B381" s="11" t="s">
        <v>1862</v>
      </c>
      <c r="C381" s="23" t="s">
        <v>24</v>
      </c>
      <c r="D381" s="23" t="s">
        <v>143</v>
      </c>
      <c r="E381" s="26" t="s">
        <v>130</v>
      </c>
      <c r="F381" s="19" t="s">
        <v>74</v>
      </c>
      <c r="G381" s="11" t="s">
        <v>2276</v>
      </c>
      <c r="H381" s="19" t="s">
        <v>523</v>
      </c>
      <c r="I381" s="3"/>
      <c r="J381" s="21" t="s">
        <v>2276</v>
      </c>
      <c r="K381" s="21" t="s">
        <v>2276</v>
      </c>
      <c r="L381" s="21" t="s">
        <v>2276</v>
      </c>
      <c r="M381" s="21" t="s">
        <v>2276</v>
      </c>
      <c r="N381" s="21" t="s">
        <v>2276</v>
      </c>
      <c r="O381" s="21" t="s">
        <v>2276</v>
      </c>
      <c r="P381" s="21" t="s">
        <v>2276</v>
      </c>
      <c r="Q381" s="21" t="s">
        <v>2276</v>
      </c>
      <c r="R381" s="21" t="s">
        <v>2276</v>
      </c>
      <c r="S381" s="21" t="s">
        <v>2276</v>
      </c>
      <c r="T381" s="21" t="s">
        <v>2276</v>
      </c>
      <c r="U381" s="21" t="s">
        <v>2276</v>
      </c>
      <c r="V381" s="21" t="s">
        <v>2276</v>
      </c>
      <c r="W381" s="21" t="s">
        <v>2276</v>
      </c>
      <c r="X381" s="21" t="s">
        <v>2276</v>
      </c>
      <c r="Y381" s="21" t="s">
        <v>2276</v>
      </c>
      <c r="Z381" s="3" t="s">
        <v>2276</v>
      </c>
      <c r="AA381" s="3" t="s">
        <v>2276</v>
      </c>
      <c r="AB381" s="3" t="s">
        <v>2276</v>
      </c>
      <c r="AC381" s="4"/>
      <c r="AD381" s="4"/>
    </row>
    <row r="382" spans="1:30" ht="112" customHeight="1">
      <c r="A382" s="11" t="s">
        <v>1771</v>
      </c>
      <c r="B382" s="11" t="s">
        <v>1863</v>
      </c>
      <c r="C382" s="23" t="s">
        <v>24</v>
      </c>
      <c r="D382" s="23" t="s">
        <v>27</v>
      </c>
      <c r="E382" s="26" t="s">
        <v>130</v>
      </c>
      <c r="F382" s="26" t="s">
        <v>161</v>
      </c>
      <c r="G382" s="11" t="s">
        <v>2276</v>
      </c>
      <c r="H382" s="19" t="s">
        <v>523</v>
      </c>
      <c r="I382" s="3"/>
      <c r="J382" s="21" t="s">
        <v>2276</v>
      </c>
      <c r="K382" s="21" t="s">
        <v>2276</v>
      </c>
      <c r="L382" s="21" t="s">
        <v>2276</v>
      </c>
      <c r="M382" s="21" t="s">
        <v>2276</v>
      </c>
      <c r="N382" s="21" t="s">
        <v>2276</v>
      </c>
      <c r="O382" s="21" t="s">
        <v>2276</v>
      </c>
      <c r="P382" s="21" t="s">
        <v>2276</v>
      </c>
      <c r="Q382" s="21" t="s">
        <v>2276</v>
      </c>
      <c r="R382" s="21" t="s">
        <v>2276</v>
      </c>
      <c r="S382" s="21" t="s">
        <v>2276</v>
      </c>
      <c r="T382" s="21" t="s">
        <v>2276</v>
      </c>
      <c r="U382" s="21" t="s">
        <v>2276</v>
      </c>
      <c r="V382" s="21" t="s">
        <v>2276</v>
      </c>
      <c r="W382" s="21" t="s">
        <v>2276</v>
      </c>
      <c r="X382" s="21" t="s">
        <v>2276</v>
      </c>
      <c r="Y382" s="21" t="s">
        <v>2276</v>
      </c>
      <c r="Z382" s="3" t="s">
        <v>2276</v>
      </c>
      <c r="AA382" s="3" t="s">
        <v>2276</v>
      </c>
      <c r="AB382" s="3" t="s">
        <v>2276</v>
      </c>
      <c r="AC382" s="4"/>
      <c r="AD382" s="4"/>
    </row>
    <row r="383" spans="1:30" ht="112" customHeight="1">
      <c r="A383" s="11" t="s">
        <v>1772</v>
      </c>
      <c r="B383" s="11" t="s">
        <v>1864</v>
      </c>
      <c r="C383" s="23" t="s">
        <v>24</v>
      </c>
      <c r="D383" s="23" t="s">
        <v>143</v>
      </c>
      <c r="E383" s="26" t="s">
        <v>130</v>
      </c>
      <c r="F383" s="19" t="s">
        <v>74</v>
      </c>
      <c r="G383" s="11" t="s">
        <v>2276</v>
      </c>
      <c r="H383" s="19" t="s">
        <v>523</v>
      </c>
      <c r="I383" s="3"/>
      <c r="J383" s="21" t="s">
        <v>2276</v>
      </c>
      <c r="K383" s="21" t="s">
        <v>2276</v>
      </c>
      <c r="L383" s="21" t="s">
        <v>2276</v>
      </c>
      <c r="M383" s="21" t="s">
        <v>2276</v>
      </c>
      <c r="N383" s="21" t="s">
        <v>2276</v>
      </c>
      <c r="O383" s="21" t="s">
        <v>2276</v>
      </c>
      <c r="P383" s="21" t="s">
        <v>2276</v>
      </c>
      <c r="Q383" s="21" t="s">
        <v>2276</v>
      </c>
      <c r="R383" s="21" t="s">
        <v>2276</v>
      </c>
      <c r="S383" s="21" t="s">
        <v>2276</v>
      </c>
      <c r="T383" s="21" t="s">
        <v>2276</v>
      </c>
      <c r="U383" s="21" t="s">
        <v>2276</v>
      </c>
      <c r="V383" s="21" t="s">
        <v>2276</v>
      </c>
      <c r="W383" s="21" t="s">
        <v>2276</v>
      </c>
      <c r="X383" s="21" t="s">
        <v>2276</v>
      </c>
      <c r="Y383" s="21" t="s">
        <v>2276</v>
      </c>
      <c r="Z383" s="3" t="s">
        <v>2276</v>
      </c>
      <c r="AA383" s="3" t="s">
        <v>2276</v>
      </c>
      <c r="AB383" s="3" t="s">
        <v>2276</v>
      </c>
      <c r="AC383" s="4"/>
      <c r="AD383" s="4"/>
    </row>
    <row r="384" spans="1:30" ht="112" customHeight="1">
      <c r="A384" s="11" t="s">
        <v>1772</v>
      </c>
      <c r="B384" s="11" t="s">
        <v>1865</v>
      </c>
      <c r="C384" s="23" t="s">
        <v>24</v>
      </c>
      <c r="D384" s="23" t="s">
        <v>27</v>
      </c>
      <c r="E384" s="26" t="s">
        <v>130</v>
      </c>
      <c r="F384" s="26" t="s">
        <v>161</v>
      </c>
      <c r="G384" s="11" t="s">
        <v>2276</v>
      </c>
      <c r="H384" s="19" t="s">
        <v>523</v>
      </c>
      <c r="I384" s="3"/>
      <c r="J384" s="21" t="s">
        <v>2276</v>
      </c>
      <c r="K384" s="21" t="s">
        <v>2276</v>
      </c>
      <c r="L384" s="21" t="s">
        <v>2276</v>
      </c>
      <c r="M384" s="21" t="s">
        <v>2276</v>
      </c>
      <c r="N384" s="21" t="s">
        <v>2276</v>
      </c>
      <c r="O384" s="21" t="s">
        <v>2276</v>
      </c>
      <c r="P384" s="21" t="s">
        <v>2276</v>
      </c>
      <c r="Q384" s="21" t="s">
        <v>2276</v>
      </c>
      <c r="R384" s="21" t="s">
        <v>2276</v>
      </c>
      <c r="S384" s="21" t="s">
        <v>2276</v>
      </c>
      <c r="T384" s="21" t="s">
        <v>2276</v>
      </c>
      <c r="U384" s="21" t="s">
        <v>2276</v>
      </c>
      <c r="V384" s="21" t="s">
        <v>2276</v>
      </c>
      <c r="W384" s="21" t="s">
        <v>2276</v>
      </c>
      <c r="X384" s="21" t="s">
        <v>2276</v>
      </c>
      <c r="Y384" s="21" t="s">
        <v>2276</v>
      </c>
      <c r="Z384" s="3" t="s">
        <v>2276</v>
      </c>
      <c r="AA384" s="3" t="s">
        <v>2276</v>
      </c>
      <c r="AB384" s="3" t="s">
        <v>2276</v>
      </c>
      <c r="AC384" s="4"/>
      <c r="AD384" s="4"/>
    </row>
    <row r="385" spans="1:30" ht="112" customHeight="1">
      <c r="A385" s="11" t="s">
        <v>1773</v>
      </c>
      <c r="B385" s="11" t="s">
        <v>1866</v>
      </c>
      <c r="C385" s="23" t="s">
        <v>24</v>
      </c>
      <c r="D385" s="23" t="s">
        <v>143</v>
      </c>
      <c r="E385" s="26" t="s">
        <v>397</v>
      </c>
      <c r="F385" s="19" t="s">
        <v>74</v>
      </c>
      <c r="G385" s="11" t="s">
        <v>2276</v>
      </c>
      <c r="H385" s="19" t="s">
        <v>523</v>
      </c>
      <c r="I385" s="3"/>
      <c r="J385" s="21" t="s">
        <v>2276</v>
      </c>
      <c r="K385" s="21" t="s">
        <v>2276</v>
      </c>
      <c r="L385" s="21" t="s">
        <v>2276</v>
      </c>
      <c r="M385" s="21" t="s">
        <v>2276</v>
      </c>
      <c r="N385" s="21" t="s">
        <v>2276</v>
      </c>
      <c r="O385" s="21" t="s">
        <v>2276</v>
      </c>
      <c r="P385" s="21" t="s">
        <v>2276</v>
      </c>
      <c r="Q385" s="21" t="s">
        <v>2276</v>
      </c>
      <c r="R385" s="21" t="s">
        <v>2276</v>
      </c>
      <c r="S385" s="21" t="s">
        <v>2276</v>
      </c>
      <c r="T385" s="21" t="s">
        <v>2276</v>
      </c>
      <c r="U385" s="21" t="s">
        <v>2276</v>
      </c>
      <c r="V385" s="21" t="s">
        <v>2276</v>
      </c>
      <c r="W385" s="21" t="s">
        <v>2276</v>
      </c>
      <c r="X385" s="21" t="s">
        <v>2276</v>
      </c>
      <c r="Y385" s="21" t="s">
        <v>2276</v>
      </c>
      <c r="Z385" s="3" t="s">
        <v>2276</v>
      </c>
      <c r="AA385" s="3" t="s">
        <v>2276</v>
      </c>
      <c r="AB385" s="3" t="s">
        <v>2276</v>
      </c>
      <c r="AC385" s="4"/>
      <c r="AD385" s="4"/>
    </row>
    <row r="386" spans="1:30" ht="112" customHeight="1">
      <c r="A386" s="11" t="s">
        <v>1774</v>
      </c>
      <c r="B386" s="11" t="s">
        <v>1867</v>
      </c>
      <c r="C386" s="23" t="s">
        <v>24</v>
      </c>
      <c r="D386" s="23" t="s">
        <v>143</v>
      </c>
      <c r="E386" s="26" t="s">
        <v>397</v>
      </c>
      <c r="F386" s="19" t="s">
        <v>74</v>
      </c>
      <c r="G386" s="11" t="s">
        <v>2276</v>
      </c>
      <c r="H386" s="19" t="s">
        <v>523</v>
      </c>
      <c r="I386" s="3"/>
      <c r="J386" s="21" t="s">
        <v>2276</v>
      </c>
      <c r="K386" s="21" t="s">
        <v>2276</v>
      </c>
      <c r="L386" s="21" t="s">
        <v>2276</v>
      </c>
      <c r="M386" s="21" t="s">
        <v>2276</v>
      </c>
      <c r="N386" s="21" t="s">
        <v>2276</v>
      </c>
      <c r="O386" s="21" t="s">
        <v>2276</v>
      </c>
      <c r="P386" s="21" t="s">
        <v>2276</v>
      </c>
      <c r="Q386" s="21" t="s">
        <v>2276</v>
      </c>
      <c r="R386" s="21" t="s">
        <v>2276</v>
      </c>
      <c r="S386" s="21" t="s">
        <v>2276</v>
      </c>
      <c r="T386" s="21" t="s">
        <v>2276</v>
      </c>
      <c r="U386" s="21" t="s">
        <v>2276</v>
      </c>
      <c r="V386" s="21" t="s">
        <v>2276</v>
      </c>
      <c r="W386" s="21" t="s">
        <v>2276</v>
      </c>
      <c r="X386" s="21" t="s">
        <v>2276</v>
      </c>
      <c r="Y386" s="21" t="s">
        <v>2276</v>
      </c>
      <c r="Z386" s="3" t="s">
        <v>2276</v>
      </c>
      <c r="AA386" s="3" t="s">
        <v>2276</v>
      </c>
      <c r="AB386" s="3" t="s">
        <v>2276</v>
      </c>
      <c r="AC386" s="4"/>
      <c r="AD386" s="4"/>
    </row>
    <row r="387" spans="1:30" ht="67" customHeight="1">
      <c r="A387" s="11" t="s">
        <v>555</v>
      </c>
      <c r="B387" s="11" t="s">
        <v>564</v>
      </c>
      <c r="C387" s="23" t="s">
        <v>24</v>
      </c>
      <c r="D387" s="23" t="s">
        <v>27</v>
      </c>
      <c r="E387" s="26" t="s">
        <v>130</v>
      </c>
      <c r="F387" s="19" t="s">
        <v>161</v>
      </c>
      <c r="G387" s="11" t="s">
        <v>2276</v>
      </c>
      <c r="H387" s="19" t="s">
        <v>523</v>
      </c>
      <c r="I387" s="3"/>
      <c r="J387" s="21" t="s">
        <v>2276</v>
      </c>
      <c r="K387" s="21" t="s">
        <v>2276</v>
      </c>
      <c r="L387" s="21" t="s">
        <v>2276</v>
      </c>
      <c r="M387" s="21" t="s">
        <v>2276</v>
      </c>
      <c r="N387" s="21" t="s">
        <v>2276</v>
      </c>
      <c r="O387" s="21" t="s">
        <v>2276</v>
      </c>
      <c r="P387" s="21" t="s">
        <v>2276</v>
      </c>
      <c r="Q387" s="21" t="s">
        <v>2276</v>
      </c>
      <c r="R387" s="21" t="s">
        <v>2276</v>
      </c>
      <c r="S387" s="21" t="s">
        <v>2276</v>
      </c>
      <c r="T387" s="21" t="s">
        <v>2276</v>
      </c>
      <c r="U387" s="21" t="s">
        <v>2276</v>
      </c>
      <c r="V387" s="21" t="s">
        <v>2276</v>
      </c>
      <c r="W387" s="21" t="s">
        <v>2276</v>
      </c>
      <c r="X387" s="21" t="s">
        <v>2276</v>
      </c>
      <c r="Y387" s="21">
        <v>5</v>
      </c>
      <c r="Z387" s="3" t="s">
        <v>405</v>
      </c>
      <c r="AA387" s="3" t="s">
        <v>425</v>
      </c>
      <c r="AB387" s="3" t="s">
        <v>2276</v>
      </c>
      <c r="AC387" s="4" t="s">
        <v>1874</v>
      </c>
      <c r="AD387" s="4" t="s">
        <v>5015</v>
      </c>
    </row>
    <row r="388" spans="1:30" ht="67" customHeight="1">
      <c r="A388" s="11" t="s">
        <v>555</v>
      </c>
      <c r="B388" s="11" t="s">
        <v>565</v>
      </c>
      <c r="C388" s="23" t="s">
        <v>24</v>
      </c>
      <c r="D388" s="23" t="s">
        <v>143</v>
      </c>
      <c r="E388" s="26" t="s">
        <v>130</v>
      </c>
      <c r="F388" s="19" t="s">
        <v>74</v>
      </c>
      <c r="G388" s="19" t="s">
        <v>74</v>
      </c>
      <c r="H388" s="19" t="s">
        <v>523</v>
      </c>
      <c r="I388" s="3"/>
      <c r="J388" s="21" t="s">
        <v>2276</v>
      </c>
      <c r="K388" s="21" t="s">
        <v>2276</v>
      </c>
      <c r="L388" s="21" t="s">
        <v>2276</v>
      </c>
      <c r="M388" s="21" t="s">
        <v>2276</v>
      </c>
      <c r="N388" s="21" t="s">
        <v>2276</v>
      </c>
      <c r="O388" s="21" t="s">
        <v>2276</v>
      </c>
      <c r="P388" s="21" t="s">
        <v>2276</v>
      </c>
      <c r="Q388" s="21" t="s">
        <v>2276</v>
      </c>
      <c r="R388" s="21" t="s">
        <v>2276</v>
      </c>
      <c r="S388" s="21" t="s">
        <v>2276</v>
      </c>
      <c r="T388" s="21" t="s">
        <v>2276</v>
      </c>
      <c r="U388" s="21" t="s">
        <v>2276</v>
      </c>
      <c r="V388" s="21" t="s">
        <v>2276</v>
      </c>
      <c r="W388" s="21" t="s">
        <v>2276</v>
      </c>
      <c r="X388" s="21" t="s">
        <v>2276</v>
      </c>
      <c r="Y388" s="21" t="s">
        <v>2276</v>
      </c>
      <c r="Z388" s="3" t="s">
        <v>405</v>
      </c>
      <c r="AA388" s="3" t="s">
        <v>425</v>
      </c>
      <c r="AB388" s="3" t="s">
        <v>2276</v>
      </c>
      <c r="AC388" s="4" t="s">
        <v>1870</v>
      </c>
      <c r="AD388" s="4" t="s">
        <v>1872</v>
      </c>
    </row>
    <row r="389" spans="1:30" ht="67" customHeight="1">
      <c r="A389" s="11" t="s">
        <v>555</v>
      </c>
      <c r="B389" s="11" t="s">
        <v>567</v>
      </c>
      <c r="C389" s="23" t="s">
        <v>24</v>
      </c>
      <c r="D389" s="23" t="s">
        <v>143</v>
      </c>
      <c r="E389" s="26" t="s">
        <v>396</v>
      </c>
      <c r="F389" s="19" t="s">
        <v>74</v>
      </c>
      <c r="G389" s="19" t="s">
        <v>74</v>
      </c>
      <c r="H389" s="19" t="s">
        <v>523</v>
      </c>
      <c r="I389" s="3"/>
      <c r="J389" s="21" t="s">
        <v>2276</v>
      </c>
      <c r="K389" s="21" t="s">
        <v>2276</v>
      </c>
      <c r="L389" s="21" t="s">
        <v>2276</v>
      </c>
      <c r="M389" s="21" t="s">
        <v>2276</v>
      </c>
      <c r="N389" s="21" t="s">
        <v>2276</v>
      </c>
      <c r="O389" s="21" t="s">
        <v>2276</v>
      </c>
      <c r="P389" s="21" t="s">
        <v>2276</v>
      </c>
      <c r="Q389" s="21" t="s">
        <v>2276</v>
      </c>
      <c r="R389" s="21" t="s">
        <v>2276</v>
      </c>
      <c r="S389" s="21" t="s">
        <v>2276</v>
      </c>
      <c r="T389" s="21" t="s">
        <v>2276</v>
      </c>
      <c r="U389" s="21" t="s">
        <v>2276</v>
      </c>
      <c r="V389" s="21" t="s">
        <v>2276</v>
      </c>
      <c r="W389" s="21" t="s">
        <v>2276</v>
      </c>
      <c r="X389" s="21" t="s">
        <v>2276</v>
      </c>
      <c r="Y389" s="21" t="s">
        <v>2276</v>
      </c>
      <c r="Z389" s="3" t="s">
        <v>405</v>
      </c>
      <c r="AA389" s="3" t="s">
        <v>425</v>
      </c>
      <c r="AB389" s="3" t="s">
        <v>2276</v>
      </c>
      <c r="AC389" s="4" t="s">
        <v>1870</v>
      </c>
      <c r="AD389" s="4" t="s">
        <v>1872</v>
      </c>
    </row>
    <row r="390" spans="1:30" ht="98.5" customHeight="1">
      <c r="A390" s="11" t="s">
        <v>555</v>
      </c>
      <c r="B390" s="11" t="s">
        <v>1871</v>
      </c>
      <c r="C390" s="23" t="s">
        <v>24</v>
      </c>
      <c r="D390" s="23" t="s">
        <v>25</v>
      </c>
      <c r="E390" s="26" t="s">
        <v>45</v>
      </c>
      <c r="F390" s="19" t="s">
        <v>29</v>
      </c>
      <c r="G390" s="11" t="s">
        <v>2276</v>
      </c>
      <c r="H390" s="19" t="s">
        <v>523</v>
      </c>
      <c r="I390" s="3"/>
      <c r="J390" s="21" t="s">
        <v>2276</v>
      </c>
      <c r="K390" s="21" t="s">
        <v>2276</v>
      </c>
      <c r="L390" s="21" t="s">
        <v>2276</v>
      </c>
      <c r="M390" s="21" t="s">
        <v>2276</v>
      </c>
      <c r="N390" s="21" t="s">
        <v>2276</v>
      </c>
      <c r="O390" s="21" t="s">
        <v>2276</v>
      </c>
      <c r="P390" s="21" t="s">
        <v>2276</v>
      </c>
      <c r="Q390" s="21" t="s">
        <v>2276</v>
      </c>
      <c r="R390" s="21" t="s">
        <v>2276</v>
      </c>
      <c r="S390" s="21" t="s">
        <v>2276</v>
      </c>
      <c r="T390" s="21" t="s">
        <v>2276</v>
      </c>
      <c r="U390" s="21" t="s">
        <v>2276</v>
      </c>
      <c r="V390" s="21">
        <v>84</v>
      </c>
      <c r="W390" s="21" t="s">
        <v>2276</v>
      </c>
      <c r="X390" s="21">
        <v>22.68</v>
      </c>
      <c r="Y390" s="21">
        <v>1</v>
      </c>
      <c r="Z390" s="3" t="s">
        <v>405</v>
      </c>
      <c r="AA390" s="3" t="s">
        <v>425</v>
      </c>
      <c r="AB390" s="3" t="s">
        <v>2276</v>
      </c>
      <c r="AC390" s="4" t="s">
        <v>1873</v>
      </c>
      <c r="AD390" s="4" t="s">
        <v>570</v>
      </c>
    </row>
    <row r="391" spans="1:30" ht="59.5" customHeight="1">
      <c r="A391" s="11" t="s">
        <v>556</v>
      </c>
      <c r="B391" s="11" t="s">
        <v>562</v>
      </c>
      <c r="C391" s="23" t="s">
        <v>24</v>
      </c>
      <c r="D391" s="23" t="s">
        <v>27</v>
      </c>
      <c r="E391" s="26" t="s">
        <v>130</v>
      </c>
      <c r="F391" s="19" t="s">
        <v>161</v>
      </c>
      <c r="G391" s="11" t="s">
        <v>2276</v>
      </c>
      <c r="H391" s="19" t="s">
        <v>523</v>
      </c>
      <c r="I391" s="3"/>
      <c r="J391" s="21" t="s">
        <v>2276</v>
      </c>
      <c r="K391" s="21" t="s">
        <v>2276</v>
      </c>
      <c r="L391" s="21" t="s">
        <v>2276</v>
      </c>
      <c r="M391" s="21" t="s">
        <v>2276</v>
      </c>
      <c r="N391" s="21" t="s">
        <v>2276</v>
      </c>
      <c r="O391" s="21" t="s">
        <v>2276</v>
      </c>
      <c r="P391" s="21" t="s">
        <v>2276</v>
      </c>
      <c r="Q391" s="21" t="s">
        <v>2276</v>
      </c>
      <c r="R391" s="21" t="s">
        <v>2276</v>
      </c>
      <c r="S391" s="21" t="s">
        <v>2276</v>
      </c>
      <c r="T391" s="21" t="s">
        <v>2276</v>
      </c>
      <c r="U391" s="21" t="s">
        <v>2276</v>
      </c>
      <c r="V391" s="21" t="s">
        <v>2276</v>
      </c>
      <c r="W391" s="21" t="s">
        <v>2276</v>
      </c>
      <c r="X391" s="21" t="s">
        <v>2276</v>
      </c>
      <c r="Y391" s="21">
        <v>5</v>
      </c>
      <c r="Z391" s="3" t="s">
        <v>405</v>
      </c>
      <c r="AA391" s="3" t="s">
        <v>425</v>
      </c>
      <c r="AB391" s="3" t="s">
        <v>2276</v>
      </c>
      <c r="AC391" s="4" t="s">
        <v>1874</v>
      </c>
      <c r="AD391" s="4" t="s">
        <v>5015</v>
      </c>
    </row>
    <row r="392" spans="1:30" ht="62" customHeight="1">
      <c r="A392" s="11" t="s">
        <v>556</v>
      </c>
      <c r="B392" s="11" t="s">
        <v>563</v>
      </c>
      <c r="C392" s="23" t="s">
        <v>24</v>
      </c>
      <c r="D392" s="23" t="s">
        <v>143</v>
      </c>
      <c r="E392" s="26" t="s">
        <v>130</v>
      </c>
      <c r="F392" s="19" t="s">
        <v>74</v>
      </c>
      <c r="G392" s="19" t="s">
        <v>74</v>
      </c>
      <c r="H392" s="19" t="s">
        <v>523</v>
      </c>
      <c r="I392" s="3"/>
      <c r="J392" s="21" t="s">
        <v>2276</v>
      </c>
      <c r="K392" s="21" t="s">
        <v>2276</v>
      </c>
      <c r="L392" s="21" t="s">
        <v>2276</v>
      </c>
      <c r="M392" s="21" t="s">
        <v>2276</v>
      </c>
      <c r="N392" s="21" t="s">
        <v>2276</v>
      </c>
      <c r="O392" s="21" t="s">
        <v>2276</v>
      </c>
      <c r="P392" s="21" t="s">
        <v>2276</v>
      </c>
      <c r="Q392" s="21" t="s">
        <v>2276</v>
      </c>
      <c r="R392" s="21" t="s">
        <v>2276</v>
      </c>
      <c r="S392" s="21" t="s">
        <v>2276</v>
      </c>
      <c r="T392" s="21" t="s">
        <v>2276</v>
      </c>
      <c r="U392" s="21" t="s">
        <v>2276</v>
      </c>
      <c r="V392" s="21" t="s">
        <v>2276</v>
      </c>
      <c r="W392" s="21" t="s">
        <v>2276</v>
      </c>
      <c r="X392" s="21" t="s">
        <v>2276</v>
      </c>
      <c r="Y392" s="21" t="s">
        <v>2276</v>
      </c>
      <c r="Z392" s="3" t="s">
        <v>405</v>
      </c>
      <c r="AA392" s="3" t="s">
        <v>425</v>
      </c>
      <c r="AB392" s="3" t="s">
        <v>2276</v>
      </c>
      <c r="AC392" s="4" t="s">
        <v>1870</v>
      </c>
      <c r="AD392" s="4" t="s">
        <v>1872</v>
      </c>
    </row>
    <row r="393" spans="1:30" ht="62" customHeight="1">
      <c r="A393" s="11" t="s">
        <v>556</v>
      </c>
      <c r="B393" s="11" t="s">
        <v>568</v>
      </c>
      <c r="C393" s="23" t="s">
        <v>24</v>
      </c>
      <c r="D393" s="23" t="s">
        <v>143</v>
      </c>
      <c r="E393" s="26" t="s">
        <v>396</v>
      </c>
      <c r="F393" s="19" t="s">
        <v>74</v>
      </c>
      <c r="G393" s="11" t="s">
        <v>2276</v>
      </c>
      <c r="H393" s="19" t="s">
        <v>523</v>
      </c>
      <c r="I393" s="3"/>
      <c r="J393" s="21" t="s">
        <v>2276</v>
      </c>
      <c r="K393" s="21" t="s">
        <v>2276</v>
      </c>
      <c r="L393" s="21" t="s">
        <v>2276</v>
      </c>
      <c r="M393" s="21" t="s">
        <v>2276</v>
      </c>
      <c r="N393" s="21" t="s">
        <v>2276</v>
      </c>
      <c r="O393" s="21" t="s">
        <v>2276</v>
      </c>
      <c r="P393" s="21" t="s">
        <v>2276</v>
      </c>
      <c r="Q393" s="21" t="s">
        <v>2276</v>
      </c>
      <c r="R393" s="21" t="s">
        <v>2276</v>
      </c>
      <c r="S393" s="21" t="s">
        <v>2276</v>
      </c>
      <c r="T393" s="21" t="s">
        <v>2276</v>
      </c>
      <c r="U393" s="21" t="s">
        <v>2276</v>
      </c>
      <c r="V393" s="21" t="s">
        <v>2276</v>
      </c>
      <c r="W393" s="21" t="s">
        <v>2276</v>
      </c>
      <c r="X393" s="21" t="s">
        <v>2276</v>
      </c>
      <c r="Y393" s="21" t="s">
        <v>2276</v>
      </c>
      <c r="Z393" s="3" t="s">
        <v>405</v>
      </c>
      <c r="AA393" s="3" t="s">
        <v>425</v>
      </c>
      <c r="AB393" s="3" t="s">
        <v>2276</v>
      </c>
      <c r="AC393" s="4" t="s">
        <v>1870</v>
      </c>
      <c r="AD393" s="4" t="s">
        <v>1872</v>
      </c>
    </row>
    <row r="394" spans="1:30" ht="96" customHeight="1">
      <c r="A394" s="11" t="s">
        <v>556</v>
      </c>
      <c r="B394" s="11" t="s">
        <v>568</v>
      </c>
      <c r="C394" s="23" t="s">
        <v>24</v>
      </c>
      <c r="D394" s="23" t="s">
        <v>25</v>
      </c>
      <c r="E394" s="26" t="s">
        <v>45</v>
      </c>
      <c r="F394" s="19" t="s">
        <v>29</v>
      </c>
      <c r="G394" s="11" t="s">
        <v>2276</v>
      </c>
      <c r="H394" s="19" t="s">
        <v>523</v>
      </c>
      <c r="I394" s="3"/>
      <c r="J394" s="21" t="s">
        <v>2276</v>
      </c>
      <c r="K394" s="21" t="s">
        <v>2276</v>
      </c>
      <c r="L394" s="21" t="s">
        <v>2276</v>
      </c>
      <c r="M394" s="21" t="s">
        <v>2276</v>
      </c>
      <c r="N394" s="21" t="s">
        <v>2276</v>
      </c>
      <c r="O394" s="21" t="s">
        <v>2276</v>
      </c>
      <c r="P394" s="21" t="s">
        <v>2276</v>
      </c>
      <c r="Q394" s="21" t="s">
        <v>2276</v>
      </c>
      <c r="R394" s="21" t="s">
        <v>2276</v>
      </c>
      <c r="S394" s="21" t="s">
        <v>2276</v>
      </c>
      <c r="T394" s="21" t="s">
        <v>2276</v>
      </c>
      <c r="U394" s="21" t="s">
        <v>2276</v>
      </c>
      <c r="V394" s="21">
        <v>84</v>
      </c>
      <c r="W394" s="21" t="s">
        <v>2276</v>
      </c>
      <c r="X394" s="21">
        <v>22.68</v>
      </c>
      <c r="Y394" s="21">
        <v>1</v>
      </c>
      <c r="Z394" s="3" t="s">
        <v>405</v>
      </c>
      <c r="AA394" s="3" t="s">
        <v>425</v>
      </c>
      <c r="AB394" s="3" t="s">
        <v>2276</v>
      </c>
      <c r="AC394" s="4" t="s">
        <v>1873</v>
      </c>
      <c r="AD394" s="4" t="s">
        <v>570</v>
      </c>
    </row>
    <row r="395" spans="1:30" ht="56" customHeight="1">
      <c r="A395" s="11" t="s">
        <v>571</v>
      </c>
      <c r="B395" s="11" t="s">
        <v>581</v>
      </c>
      <c r="C395" s="23" t="s">
        <v>24</v>
      </c>
      <c r="D395" s="23" t="s">
        <v>27</v>
      </c>
      <c r="E395" s="26" t="s">
        <v>130</v>
      </c>
      <c r="F395" s="19" t="s">
        <v>161</v>
      </c>
      <c r="G395" s="11" t="s">
        <v>2276</v>
      </c>
      <c r="H395" s="19" t="s">
        <v>524</v>
      </c>
      <c r="I395" s="3"/>
      <c r="J395" s="21">
        <v>0</v>
      </c>
      <c r="K395" s="21">
        <v>0</v>
      </c>
      <c r="L395" s="21">
        <v>0</v>
      </c>
      <c r="M395" s="21">
        <v>0</v>
      </c>
      <c r="N395" s="21">
        <v>0</v>
      </c>
      <c r="O395" s="21">
        <v>0</v>
      </c>
      <c r="P395" s="21">
        <v>0</v>
      </c>
      <c r="Q395" s="21" t="s">
        <v>2276</v>
      </c>
      <c r="R395" s="21" t="s">
        <v>2276</v>
      </c>
      <c r="S395" s="21">
        <v>0</v>
      </c>
      <c r="T395" s="21">
        <v>0</v>
      </c>
      <c r="U395" s="21">
        <v>0</v>
      </c>
      <c r="V395" s="21">
        <v>0</v>
      </c>
      <c r="W395" s="21">
        <v>0</v>
      </c>
      <c r="X395" s="21">
        <v>0</v>
      </c>
      <c r="Y395" s="21" t="s">
        <v>2276</v>
      </c>
      <c r="Z395" s="3" t="s">
        <v>2276</v>
      </c>
      <c r="AA395" s="3" t="s">
        <v>2276</v>
      </c>
      <c r="AB395" s="3" t="s">
        <v>2276</v>
      </c>
      <c r="AC395" s="4" t="s">
        <v>1960</v>
      </c>
      <c r="AD395" s="4"/>
    </row>
    <row r="396" spans="1:30" ht="56" customHeight="1">
      <c r="A396" s="11" t="s">
        <v>572</v>
      </c>
      <c r="B396" s="11" t="s">
        <v>586</v>
      </c>
      <c r="C396" s="23" t="s">
        <v>24</v>
      </c>
      <c r="D396" s="23" t="s">
        <v>27</v>
      </c>
      <c r="E396" s="26" t="s">
        <v>130</v>
      </c>
      <c r="F396" s="19" t="s">
        <v>161</v>
      </c>
      <c r="G396" s="11" t="s">
        <v>2276</v>
      </c>
      <c r="H396" s="19" t="s">
        <v>524</v>
      </c>
      <c r="I396" s="3"/>
      <c r="J396" s="21">
        <v>0</v>
      </c>
      <c r="K396" s="21">
        <v>0</v>
      </c>
      <c r="L396" s="21">
        <v>0</v>
      </c>
      <c r="M396" s="21">
        <v>0</v>
      </c>
      <c r="N396" s="21">
        <v>0</v>
      </c>
      <c r="O396" s="21">
        <v>0</v>
      </c>
      <c r="P396" s="21">
        <v>0</v>
      </c>
      <c r="Q396" s="21" t="s">
        <v>2276</v>
      </c>
      <c r="R396" s="21" t="s">
        <v>2276</v>
      </c>
      <c r="S396" s="21">
        <v>0</v>
      </c>
      <c r="T396" s="21">
        <v>0</v>
      </c>
      <c r="U396" s="21">
        <v>0</v>
      </c>
      <c r="V396" s="21">
        <v>0</v>
      </c>
      <c r="W396" s="21">
        <v>0</v>
      </c>
      <c r="X396" s="21">
        <v>0</v>
      </c>
      <c r="Y396" s="21" t="s">
        <v>2276</v>
      </c>
      <c r="Z396" s="3" t="s">
        <v>2276</v>
      </c>
      <c r="AA396" s="3" t="s">
        <v>2276</v>
      </c>
      <c r="AB396" s="3" t="s">
        <v>2276</v>
      </c>
      <c r="AC396" s="4" t="s">
        <v>1960</v>
      </c>
      <c r="AD396" s="4"/>
    </row>
    <row r="397" spans="1:30" ht="56" customHeight="1">
      <c r="A397" s="11" t="s">
        <v>573</v>
      </c>
      <c r="B397" s="11" t="s">
        <v>628</v>
      </c>
      <c r="C397" s="23" t="s">
        <v>24</v>
      </c>
      <c r="D397" s="23" t="s">
        <v>27</v>
      </c>
      <c r="E397" s="26" t="s">
        <v>130</v>
      </c>
      <c r="F397" s="19" t="s">
        <v>161</v>
      </c>
      <c r="G397" s="11" t="s">
        <v>2276</v>
      </c>
      <c r="H397" s="19" t="s">
        <v>524</v>
      </c>
      <c r="I397" s="3"/>
      <c r="J397" s="21">
        <v>0</v>
      </c>
      <c r="K397" s="21">
        <v>0</v>
      </c>
      <c r="L397" s="21">
        <v>0</v>
      </c>
      <c r="M397" s="21">
        <v>0</v>
      </c>
      <c r="N397" s="21">
        <v>0</v>
      </c>
      <c r="O397" s="21">
        <v>0</v>
      </c>
      <c r="P397" s="21">
        <v>0</v>
      </c>
      <c r="Q397" s="21" t="s">
        <v>2276</v>
      </c>
      <c r="R397" s="21" t="s">
        <v>2276</v>
      </c>
      <c r="S397" s="21">
        <v>0</v>
      </c>
      <c r="T397" s="21">
        <v>0</v>
      </c>
      <c r="U397" s="21">
        <v>0</v>
      </c>
      <c r="V397" s="21">
        <v>0</v>
      </c>
      <c r="W397" s="21">
        <v>0</v>
      </c>
      <c r="X397" s="21">
        <v>0</v>
      </c>
      <c r="Y397" s="21" t="s">
        <v>2276</v>
      </c>
      <c r="Z397" s="3" t="s">
        <v>2276</v>
      </c>
      <c r="AA397" s="3" t="s">
        <v>2276</v>
      </c>
      <c r="AB397" s="3" t="s">
        <v>2276</v>
      </c>
      <c r="AC397" s="4" t="s">
        <v>1960</v>
      </c>
      <c r="AD397" s="4"/>
    </row>
    <row r="398" spans="1:30" ht="56" customHeight="1">
      <c r="A398" s="11" t="s">
        <v>574</v>
      </c>
      <c r="B398" s="11" t="s">
        <v>629</v>
      </c>
      <c r="C398" s="23" t="s">
        <v>24</v>
      </c>
      <c r="D398" s="23" t="s">
        <v>27</v>
      </c>
      <c r="E398" s="26" t="s">
        <v>130</v>
      </c>
      <c r="F398" s="19" t="s">
        <v>161</v>
      </c>
      <c r="G398" s="11" t="s">
        <v>2276</v>
      </c>
      <c r="H398" s="19" t="s">
        <v>524</v>
      </c>
      <c r="I398" s="3"/>
      <c r="J398" s="21">
        <v>0</v>
      </c>
      <c r="K398" s="21">
        <v>0</v>
      </c>
      <c r="L398" s="21">
        <v>0</v>
      </c>
      <c r="M398" s="21">
        <v>0</v>
      </c>
      <c r="N398" s="21">
        <v>0</v>
      </c>
      <c r="O398" s="21">
        <v>0</v>
      </c>
      <c r="P398" s="21">
        <v>0</v>
      </c>
      <c r="Q398" s="21" t="s">
        <v>2276</v>
      </c>
      <c r="R398" s="21" t="s">
        <v>2276</v>
      </c>
      <c r="S398" s="21">
        <v>0</v>
      </c>
      <c r="T398" s="21">
        <v>0</v>
      </c>
      <c r="U398" s="21">
        <v>0</v>
      </c>
      <c r="V398" s="21">
        <v>0</v>
      </c>
      <c r="W398" s="21">
        <v>0</v>
      </c>
      <c r="X398" s="21">
        <v>0</v>
      </c>
      <c r="Y398" s="21" t="s">
        <v>2276</v>
      </c>
      <c r="Z398" s="3" t="s">
        <v>2276</v>
      </c>
      <c r="AA398" s="3" t="s">
        <v>2276</v>
      </c>
      <c r="AB398" s="3" t="s">
        <v>2276</v>
      </c>
      <c r="AC398" s="4" t="s">
        <v>1960</v>
      </c>
      <c r="AD398" s="4"/>
    </row>
    <row r="399" spans="1:30" ht="56" customHeight="1">
      <c r="A399" s="11" t="s">
        <v>575</v>
      </c>
      <c r="B399" s="11" t="s">
        <v>630</v>
      </c>
      <c r="C399" s="23" t="s">
        <v>24</v>
      </c>
      <c r="D399" s="23" t="s">
        <v>27</v>
      </c>
      <c r="E399" s="26" t="s">
        <v>130</v>
      </c>
      <c r="F399" s="19" t="s">
        <v>161</v>
      </c>
      <c r="G399" s="11" t="s">
        <v>2276</v>
      </c>
      <c r="H399" s="19" t="s">
        <v>524</v>
      </c>
      <c r="I399" s="3"/>
      <c r="J399" s="21">
        <v>0</v>
      </c>
      <c r="K399" s="21">
        <v>0</v>
      </c>
      <c r="L399" s="21">
        <v>0</v>
      </c>
      <c r="M399" s="21">
        <v>0</v>
      </c>
      <c r="N399" s="21">
        <v>0</v>
      </c>
      <c r="O399" s="21">
        <v>0</v>
      </c>
      <c r="P399" s="21">
        <v>0</v>
      </c>
      <c r="Q399" s="21" t="s">
        <v>2276</v>
      </c>
      <c r="R399" s="21" t="s">
        <v>2276</v>
      </c>
      <c r="S399" s="21">
        <v>0</v>
      </c>
      <c r="T399" s="21">
        <v>0</v>
      </c>
      <c r="U399" s="21">
        <v>0</v>
      </c>
      <c r="V399" s="21">
        <v>0</v>
      </c>
      <c r="W399" s="21">
        <v>0</v>
      </c>
      <c r="X399" s="21">
        <v>0</v>
      </c>
      <c r="Y399" s="21" t="s">
        <v>2276</v>
      </c>
      <c r="Z399" s="3" t="s">
        <v>2276</v>
      </c>
      <c r="AA399" s="3" t="s">
        <v>2276</v>
      </c>
      <c r="AB399" s="3" t="s">
        <v>2276</v>
      </c>
      <c r="AC399" s="4" t="s">
        <v>1960</v>
      </c>
      <c r="AD399" s="4"/>
    </row>
    <row r="400" spans="1:30" ht="56" customHeight="1">
      <c r="A400" s="11" t="s">
        <v>576</v>
      </c>
      <c r="B400" s="11" t="s">
        <v>631</v>
      </c>
      <c r="C400" s="23" t="s">
        <v>24</v>
      </c>
      <c r="D400" s="23" t="s">
        <v>27</v>
      </c>
      <c r="E400" s="26" t="s">
        <v>130</v>
      </c>
      <c r="F400" s="19" t="s">
        <v>161</v>
      </c>
      <c r="G400" s="11" t="s">
        <v>2276</v>
      </c>
      <c r="H400" s="19" t="s">
        <v>524</v>
      </c>
      <c r="I400" s="3"/>
      <c r="J400" s="21">
        <v>0</v>
      </c>
      <c r="K400" s="21">
        <v>0</v>
      </c>
      <c r="L400" s="21">
        <v>0</v>
      </c>
      <c r="M400" s="21">
        <v>0</v>
      </c>
      <c r="N400" s="21">
        <v>0</v>
      </c>
      <c r="O400" s="21">
        <v>0</v>
      </c>
      <c r="P400" s="21">
        <v>0</v>
      </c>
      <c r="Q400" s="21" t="s">
        <v>2276</v>
      </c>
      <c r="R400" s="21" t="s">
        <v>2276</v>
      </c>
      <c r="S400" s="21">
        <v>0</v>
      </c>
      <c r="T400" s="21">
        <v>0</v>
      </c>
      <c r="U400" s="21">
        <v>0</v>
      </c>
      <c r="V400" s="21">
        <v>0</v>
      </c>
      <c r="W400" s="21">
        <v>0</v>
      </c>
      <c r="X400" s="21">
        <v>0</v>
      </c>
      <c r="Y400" s="21" t="s">
        <v>2276</v>
      </c>
      <c r="Z400" s="3" t="s">
        <v>2276</v>
      </c>
      <c r="AA400" s="3" t="s">
        <v>2276</v>
      </c>
      <c r="AB400" s="3" t="s">
        <v>2276</v>
      </c>
      <c r="AC400" s="4" t="s">
        <v>1960</v>
      </c>
      <c r="AD400" s="4"/>
    </row>
    <row r="401" spans="1:30" ht="67.5" customHeight="1">
      <c r="A401" s="11" t="s">
        <v>577</v>
      </c>
      <c r="B401" s="11" t="s">
        <v>632</v>
      </c>
      <c r="C401" s="23" t="s">
        <v>24</v>
      </c>
      <c r="D401" s="23" t="s">
        <v>27</v>
      </c>
      <c r="E401" s="26" t="s">
        <v>397</v>
      </c>
      <c r="F401" s="19" t="s">
        <v>28</v>
      </c>
      <c r="G401" s="11" t="s">
        <v>2276</v>
      </c>
      <c r="H401" s="19" t="s">
        <v>524</v>
      </c>
      <c r="I401" s="3"/>
      <c r="J401" s="21">
        <v>0</v>
      </c>
      <c r="K401" s="21">
        <v>0</v>
      </c>
      <c r="L401" s="21">
        <v>0</v>
      </c>
      <c r="M401" s="21">
        <v>0</v>
      </c>
      <c r="N401" s="21">
        <v>0</v>
      </c>
      <c r="O401" s="21">
        <v>0</v>
      </c>
      <c r="P401" s="21">
        <v>0</v>
      </c>
      <c r="Q401" s="21" t="s">
        <v>2276</v>
      </c>
      <c r="R401" s="21" t="s">
        <v>2276</v>
      </c>
      <c r="S401" s="21">
        <v>0</v>
      </c>
      <c r="T401" s="21">
        <v>0</v>
      </c>
      <c r="U401" s="21">
        <v>0</v>
      </c>
      <c r="V401" s="21">
        <v>0</v>
      </c>
      <c r="W401" s="21">
        <v>0</v>
      </c>
      <c r="X401" s="21">
        <v>0</v>
      </c>
      <c r="Y401" s="21" t="s">
        <v>2276</v>
      </c>
      <c r="Z401" s="3" t="s">
        <v>2276</v>
      </c>
      <c r="AA401" s="3" t="s">
        <v>2276</v>
      </c>
      <c r="AB401" s="3" t="s">
        <v>2276</v>
      </c>
      <c r="AC401" s="18" t="s">
        <v>1978</v>
      </c>
      <c r="AD401" s="4"/>
    </row>
    <row r="402" spans="1:30" ht="68.5" customHeight="1">
      <c r="A402" s="11" t="s">
        <v>578</v>
      </c>
      <c r="B402" s="11" t="s">
        <v>633</v>
      </c>
      <c r="C402" s="23" t="s">
        <v>24</v>
      </c>
      <c r="D402" s="23" t="s">
        <v>27</v>
      </c>
      <c r="E402" s="26" t="s">
        <v>397</v>
      </c>
      <c r="F402" s="19" t="s">
        <v>28</v>
      </c>
      <c r="G402" s="11" t="s">
        <v>2276</v>
      </c>
      <c r="H402" s="19" t="s">
        <v>524</v>
      </c>
      <c r="I402" s="3"/>
      <c r="J402" s="21">
        <v>0</v>
      </c>
      <c r="K402" s="21">
        <v>0</v>
      </c>
      <c r="L402" s="21">
        <v>0</v>
      </c>
      <c r="M402" s="21">
        <v>0</v>
      </c>
      <c r="N402" s="21">
        <v>0</v>
      </c>
      <c r="O402" s="21">
        <v>0</v>
      </c>
      <c r="P402" s="21">
        <v>0</v>
      </c>
      <c r="Q402" s="21" t="s">
        <v>2276</v>
      </c>
      <c r="R402" s="21" t="s">
        <v>2276</v>
      </c>
      <c r="S402" s="21">
        <v>0</v>
      </c>
      <c r="T402" s="21">
        <v>0</v>
      </c>
      <c r="U402" s="21">
        <v>0</v>
      </c>
      <c r="V402" s="21">
        <v>0</v>
      </c>
      <c r="W402" s="21">
        <v>0</v>
      </c>
      <c r="X402" s="21">
        <v>0</v>
      </c>
      <c r="Y402" s="21" t="s">
        <v>2276</v>
      </c>
      <c r="Z402" s="3" t="s">
        <v>2276</v>
      </c>
      <c r="AA402" s="3" t="s">
        <v>2276</v>
      </c>
      <c r="AB402" s="3" t="s">
        <v>2276</v>
      </c>
      <c r="AC402" s="18" t="s">
        <v>1961</v>
      </c>
      <c r="AD402" s="4"/>
    </row>
    <row r="403" spans="1:30" ht="56" customHeight="1">
      <c r="A403" s="11" t="s">
        <v>579</v>
      </c>
      <c r="B403" s="11" t="s">
        <v>634</v>
      </c>
      <c r="C403" s="23" t="s">
        <v>24</v>
      </c>
      <c r="D403" s="23" t="s">
        <v>27</v>
      </c>
      <c r="E403" s="26" t="s">
        <v>130</v>
      </c>
      <c r="F403" s="19" t="s">
        <v>161</v>
      </c>
      <c r="G403" s="11" t="s">
        <v>2276</v>
      </c>
      <c r="H403" s="19" t="s">
        <v>524</v>
      </c>
      <c r="I403" s="3"/>
      <c r="J403" s="21">
        <v>0</v>
      </c>
      <c r="K403" s="21">
        <v>0</v>
      </c>
      <c r="L403" s="21">
        <v>0</v>
      </c>
      <c r="M403" s="21">
        <v>0</v>
      </c>
      <c r="N403" s="21">
        <v>0</v>
      </c>
      <c r="O403" s="21">
        <v>0</v>
      </c>
      <c r="P403" s="21">
        <v>0</v>
      </c>
      <c r="Q403" s="21" t="s">
        <v>2276</v>
      </c>
      <c r="R403" s="21" t="s">
        <v>2276</v>
      </c>
      <c r="S403" s="21">
        <v>0</v>
      </c>
      <c r="T403" s="21">
        <v>0</v>
      </c>
      <c r="U403" s="21">
        <v>0</v>
      </c>
      <c r="V403" s="21">
        <v>0</v>
      </c>
      <c r="W403" s="21">
        <v>0</v>
      </c>
      <c r="X403" s="21">
        <v>0</v>
      </c>
      <c r="Y403" s="21" t="s">
        <v>2276</v>
      </c>
      <c r="Z403" s="3" t="s">
        <v>2276</v>
      </c>
      <c r="AA403" s="3" t="s">
        <v>2276</v>
      </c>
      <c r="AB403" s="3" t="s">
        <v>2276</v>
      </c>
      <c r="AC403" s="4" t="s">
        <v>1960</v>
      </c>
      <c r="AD403" s="4"/>
    </row>
    <row r="404" spans="1:30" ht="56" customHeight="1">
      <c r="A404" s="11" t="s">
        <v>1875</v>
      </c>
      <c r="B404" s="11" t="s">
        <v>1962</v>
      </c>
      <c r="C404" s="23" t="s">
        <v>24</v>
      </c>
      <c r="D404" s="23" t="s">
        <v>27</v>
      </c>
      <c r="E404" s="26" t="s">
        <v>130</v>
      </c>
      <c r="F404" s="19" t="s">
        <v>161</v>
      </c>
      <c r="G404" s="11" t="s">
        <v>2276</v>
      </c>
      <c r="H404" s="19" t="s">
        <v>524</v>
      </c>
      <c r="I404" s="3"/>
      <c r="J404" s="21">
        <v>0</v>
      </c>
      <c r="K404" s="21">
        <v>0</v>
      </c>
      <c r="L404" s="21">
        <v>0</v>
      </c>
      <c r="M404" s="21">
        <v>0</v>
      </c>
      <c r="N404" s="21">
        <v>0</v>
      </c>
      <c r="O404" s="21">
        <v>0</v>
      </c>
      <c r="P404" s="21">
        <v>0</v>
      </c>
      <c r="Q404" s="21" t="s">
        <v>2276</v>
      </c>
      <c r="R404" s="21" t="s">
        <v>2276</v>
      </c>
      <c r="S404" s="21">
        <v>0</v>
      </c>
      <c r="T404" s="21">
        <v>0</v>
      </c>
      <c r="U404" s="21">
        <v>0</v>
      </c>
      <c r="V404" s="21">
        <v>0</v>
      </c>
      <c r="W404" s="21">
        <v>0</v>
      </c>
      <c r="X404" s="21">
        <v>0</v>
      </c>
      <c r="Y404" s="21" t="s">
        <v>2276</v>
      </c>
      <c r="Z404" s="3" t="s">
        <v>2276</v>
      </c>
      <c r="AA404" s="3" t="s">
        <v>2276</v>
      </c>
      <c r="AB404" s="3" t="s">
        <v>2276</v>
      </c>
      <c r="AC404" s="4" t="s">
        <v>1960</v>
      </c>
      <c r="AD404" s="4"/>
    </row>
    <row r="405" spans="1:30" ht="56" customHeight="1">
      <c r="A405" s="11" t="s">
        <v>1876</v>
      </c>
      <c r="B405" s="11" t="s">
        <v>1963</v>
      </c>
      <c r="C405" s="23" t="s">
        <v>24</v>
      </c>
      <c r="D405" s="23" t="s">
        <v>27</v>
      </c>
      <c r="E405" s="26" t="s">
        <v>130</v>
      </c>
      <c r="F405" s="19" t="s">
        <v>161</v>
      </c>
      <c r="G405" s="11" t="s">
        <v>2276</v>
      </c>
      <c r="H405" s="19" t="s">
        <v>524</v>
      </c>
      <c r="I405" s="3"/>
      <c r="J405" s="21">
        <v>0</v>
      </c>
      <c r="K405" s="21">
        <v>0</v>
      </c>
      <c r="L405" s="21">
        <v>0</v>
      </c>
      <c r="M405" s="21">
        <v>0</v>
      </c>
      <c r="N405" s="21">
        <v>0</v>
      </c>
      <c r="O405" s="21">
        <v>0</v>
      </c>
      <c r="P405" s="21">
        <v>0</v>
      </c>
      <c r="Q405" s="21" t="s">
        <v>2276</v>
      </c>
      <c r="R405" s="21" t="s">
        <v>2276</v>
      </c>
      <c r="S405" s="21">
        <v>0</v>
      </c>
      <c r="T405" s="21">
        <v>0</v>
      </c>
      <c r="U405" s="21">
        <v>0</v>
      </c>
      <c r="V405" s="21">
        <v>0</v>
      </c>
      <c r="W405" s="21">
        <v>0</v>
      </c>
      <c r="X405" s="21">
        <v>0</v>
      </c>
      <c r="Y405" s="21" t="s">
        <v>2276</v>
      </c>
      <c r="Z405" s="3" t="s">
        <v>2276</v>
      </c>
      <c r="AA405" s="3" t="s">
        <v>2276</v>
      </c>
      <c r="AB405" s="3" t="s">
        <v>2276</v>
      </c>
      <c r="AC405" s="4" t="s">
        <v>1960</v>
      </c>
      <c r="AD405" s="4"/>
    </row>
    <row r="406" spans="1:30" ht="56" customHeight="1">
      <c r="A406" s="11" t="s">
        <v>1877</v>
      </c>
      <c r="B406" s="11" t="s">
        <v>1964</v>
      </c>
      <c r="C406" s="23" t="s">
        <v>24</v>
      </c>
      <c r="D406" s="23" t="s">
        <v>27</v>
      </c>
      <c r="E406" s="26" t="s">
        <v>397</v>
      </c>
      <c r="F406" s="19" t="s">
        <v>28</v>
      </c>
      <c r="G406" s="11" t="s">
        <v>2276</v>
      </c>
      <c r="H406" s="19" t="s">
        <v>524</v>
      </c>
      <c r="I406" s="3"/>
      <c r="J406" s="21">
        <v>0</v>
      </c>
      <c r="K406" s="21">
        <v>0</v>
      </c>
      <c r="L406" s="21">
        <v>0</v>
      </c>
      <c r="M406" s="21">
        <v>0</v>
      </c>
      <c r="N406" s="21">
        <v>0</v>
      </c>
      <c r="O406" s="21">
        <v>0</v>
      </c>
      <c r="P406" s="21">
        <v>0</v>
      </c>
      <c r="Q406" s="21" t="s">
        <v>2276</v>
      </c>
      <c r="R406" s="21" t="s">
        <v>2276</v>
      </c>
      <c r="S406" s="21">
        <v>0</v>
      </c>
      <c r="T406" s="21">
        <v>0</v>
      </c>
      <c r="U406" s="21">
        <v>0</v>
      </c>
      <c r="V406" s="21">
        <v>0</v>
      </c>
      <c r="W406" s="21">
        <v>0</v>
      </c>
      <c r="X406" s="21">
        <v>0</v>
      </c>
      <c r="Y406" s="21" t="s">
        <v>2276</v>
      </c>
      <c r="Z406" s="3" t="s">
        <v>2276</v>
      </c>
      <c r="AA406" s="3" t="s">
        <v>2276</v>
      </c>
      <c r="AB406" s="3" t="s">
        <v>2276</v>
      </c>
      <c r="AC406" s="3" t="s">
        <v>1966</v>
      </c>
      <c r="AD406" s="4"/>
    </row>
    <row r="407" spans="1:30" ht="56" customHeight="1">
      <c r="A407" s="11" t="s">
        <v>1878</v>
      </c>
      <c r="B407" s="11" t="s">
        <v>1965</v>
      </c>
      <c r="C407" s="23" t="s">
        <v>24</v>
      </c>
      <c r="D407" s="23" t="s">
        <v>27</v>
      </c>
      <c r="E407" s="26" t="s">
        <v>130</v>
      </c>
      <c r="F407" s="19" t="s">
        <v>161</v>
      </c>
      <c r="G407" s="11" t="s">
        <v>2276</v>
      </c>
      <c r="H407" s="19" t="s">
        <v>524</v>
      </c>
      <c r="I407" s="3"/>
      <c r="J407" s="21">
        <v>0</v>
      </c>
      <c r="K407" s="21">
        <v>0</v>
      </c>
      <c r="L407" s="21">
        <v>0</v>
      </c>
      <c r="M407" s="21">
        <v>0</v>
      </c>
      <c r="N407" s="21">
        <v>0</v>
      </c>
      <c r="O407" s="21">
        <v>0</v>
      </c>
      <c r="P407" s="21">
        <v>0</v>
      </c>
      <c r="Q407" s="21" t="s">
        <v>2276</v>
      </c>
      <c r="R407" s="21" t="s">
        <v>2276</v>
      </c>
      <c r="S407" s="21">
        <v>0</v>
      </c>
      <c r="T407" s="21">
        <v>0</v>
      </c>
      <c r="U407" s="21">
        <v>0</v>
      </c>
      <c r="V407" s="21">
        <v>0</v>
      </c>
      <c r="W407" s="21">
        <v>0</v>
      </c>
      <c r="X407" s="21">
        <v>0</v>
      </c>
      <c r="Y407" s="21" t="s">
        <v>2276</v>
      </c>
      <c r="Z407" s="3" t="s">
        <v>2276</v>
      </c>
      <c r="AA407" s="3" t="s">
        <v>2276</v>
      </c>
      <c r="AB407" s="3" t="s">
        <v>2276</v>
      </c>
      <c r="AC407" s="4" t="s">
        <v>1960</v>
      </c>
      <c r="AD407" s="4"/>
    </row>
    <row r="408" spans="1:30" ht="56" customHeight="1">
      <c r="A408" s="11" t="s">
        <v>1879</v>
      </c>
      <c r="B408" s="11" t="s">
        <v>1967</v>
      </c>
      <c r="C408" s="23" t="s">
        <v>24</v>
      </c>
      <c r="D408" s="23" t="s">
        <v>27</v>
      </c>
      <c r="E408" s="26" t="s">
        <v>130</v>
      </c>
      <c r="F408" s="19" t="s">
        <v>161</v>
      </c>
      <c r="G408" s="11" t="s">
        <v>2276</v>
      </c>
      <c r="H408" s="19" t="s">
        <v>524</v>
      </c>
      <c r="I408" s="3"/>
      <c r="J408" s="21">
        <v>0</v>
      </c>
      <c r="K408" s="21">
        <v>0</v>
      </c>
      <c r="L408" s="21">
        <v>0</v>
      </c>
      <c r="M408" s="21">
        <v>0</v>
      </c>
      <c r="N408" s="21">
        <v>0</v>
      </c>
      <c r="O408" s="21">
        <v>0</v>
      </c>
      <c r="P408" s="21">
        <v>0</v>
      </c>
      <c r="Q408" s="21" t="s">
        <v>2276</v>
      </c>
      <c r="R408" s="21" t="s">
        <v>2276</v>
      </c>
      <c r="S408" s="21">
        <v>0</v>
      </c>
      <c r="T408" s="21">
        <v>0</v>
      </c>
      <c r="U408" s="21">
        <v>0</v>
      </c>
      <c r="V408" s="21">
        <v>0</v>
      </c>
      <c r="W408" s="21">
        <v>0</v>
      </c>
      <c r="X408" s="21">
        <v>0</v>
      </c>
      <c r="Y408" s="21" t="s">
        <v>2276</v>
      </c>
      <c r="Z408" s="3" t="s">
        <v>2276</v>
      </c>
      <c r="AA408" s="3" t="s">
        <v>2276</v>
      </c>
      <c r="AB408" s="3" t="s">
        <v>2276</v>
      </c>
      <c r="AC408" s="4" t="s">
        <v>1960</v>
      </c>
      <c r="AD408" s="4"/>
    </row>
    <row r="409" spans="1:30" ht="56" customHeight="1">
      <c r="A409" s="11" t="s">
        <v>1880</v>
      </c>
      <c r="B409" s="11" t="s">
        <v>1968</v>
      </c>
      <c r="C409" s="23" t="s">
        <v>24</v>
      </c>
      <c r="D409" s="23" t="s">
        <v>27</v>
      </c>
      <c r="E409" s="26" t="s">
        <v>130</v>
      </c>
      <c r="F409" s="19" t="s">
        <v>74</v>
      </c>
      <c r="G409" s="11" t="s">
        <v>2276</v>
      </c>
      <c r="H409" s="19" t="s">
        <v>523</v>
      </c>
      <c r="I409" s="3"/>
      <c r="J409" s="21" t="s">
        <v>2276</v>
      </c>
      <c r="K409" s="21" t="s">
        <v>2276</v>
      </c>
      <c r="L409" s="21" t="s">
        <v>2276</v>
      </c>
      <c r="M409" s="21" t="s">
        <v>2276</v>
      </c>
      <c r="N409" s="21" t="s">
        <v>2276</v>
      </c>
      <c r="O409" s="21" t="s">
        <v>2276</v>
      </c>
      <c r="P409" s="21" t="s">
        <v>2276</v>
      </c>
      <c r="Q409" s="21" t="s">
        <v>2276</v>
      </c>
      <c r="R409" s="21" t="s">
        <v>2276</v>
      </c>
      <c r="S409" s="21" t="s">
        <v>2276</v>
      </c>
      <c r="T409" s="21" t="s">
        <v>2276</v>
      </c>
      <c r="U409" s="21" t="s">
        <v>2276</v>
      </c>
      <c r="V409" s="21" t="s">
        <v>2276</v>
      </c>
      <c r="W409" s="21" t="s">
        <v>2276</v>
      </c>
      <c r="X409" s="21" t="s">
        <v>2276</v>
      </c>
      <c r="Y409" s="21" t="s">
        <v>2276</v>
      </c>
      <c r="Z409" s="3" t="s">
        <v>2276</v>
      </c>
      <c r="AA409" s="3" t="s">
        <v>2276</v>
      </c>
      <c r="AB409" s="3" t="s">
        <v>2276</v>
      </c>
      <c r="AC409" s="4" t="s">
        <v>1970</v>
      </c>
      <c r="AD409" s="4"/>
    </row>
    <row r="410" spans="1:30" ht="56" customHeight="1">
      <c r="A410" s="11" t="s">
        <v>1880</v>
      </c>
      <c r="B410" s="11" t="s">
        <v>1969</v>
      </c>
      <c r="C410" s="23" t="s">
        <v>24</v>
      </c>
      <c r="D410" s="23" t="s">
        <v>27</v>
      </c>
      <c r="E410" s="26" t="s">
        <v>130</v>
      </c>
      <c r="F410" s="19" t="s">
        <v>161</v>
      </c>
      <c r="G410" s="11" t="s">
        <v>2276</v>
      </c>
      <c r="H410" s="19" t="s">
        <v>523</v>
      </c>
      <c r="I410" s="3"/>
      <c r="J410" s="21" t="s">
        <v>2276</v>
      </c>
      <c r="K410" s="21" t="s">
        <v>2276</v>
      </c>
      <c r="L410" s="21" t="s">
        <v>2276</v>
      </c>
      <c r="M410" s="21" t="s">
        <v>2276</v>
      </c>
      <c r="N410" s="21" t="s">
        <v>2276</v>
      </c>
      <c r="O410" s="21" t="s">
        <v>2276</v>
      </c>
      <c r="P410" s="21" t="s">
        <v>2276</v>
      </c>
      <c r="Q410" s="21" t="s">
        <v>2276</v>
      </c>
      <c r="R410" s="21" t="s">
        <v>2276</v>
      </c>
      <c r="S410" s="21" t="s">
        <v>2276</v>
      </c>
      <c r="T410" s="21" t="s">
        <v>2276</v>
      </c>
      <c r="U410" s="21" t="s">
        <v>2276</v>
      </c>
      <c r="V410" s="21" t="s">
        <v>2276</v>
      </c>
      <c r="W410" s="21" t="s">
        <v>2276</v>
      </c>
      <c r="X410" s="21" t="s">
        <v>2276</v>
      </c>
      <c r="Y410" s="21" t="s">
        <v>2276</v>
      </c>
      <c r="Z410" s="3" t="s">
        <v>2276</v>
      </c>
      <c r="AA410" s="3" t="s">
        <v>2276</v>
      </c>
      <c r="AB410" s="3" t="s">
        <v>2276</v>
      </c>
      <c r="AC410" s="4" t="s">
        <v>1970</v>
      </c>
      <c r="AD410" s="4"/>
    </row>
    <row r="411" spans="1:30" ht="56" customHeight="1">
      <c r="A411" s="11" t="s">
        <v>1883</v>
      </c>
      <c r="B411" s="11" t="s">
        <v>1972</v>
      </c>
      <c r="C411" s="23" t="s">
        <v>24</v>
      </c>
      <c r="D411" s="23" t="s">
        <v>27</v>
      </c>
      <c r="E411" s="26" t="s">
        <v>130</v>
      </c>
      <c r="F411" s="19" t="s">
        <v>161</v>
      </c>
      <c r="G411" s="11" t="s">
        <v>2276</v>
      </c>
      <c r="H411" s="19" t="s">
        <v>523</v>
      </c>
      <c r="I411" s="3"/>
      <c r="J411" s="21" t="s">
        <v>2276</v>
      </c>
      <c r="K411" s="21" t="s">
        <v>2276</v>
      </c>
      <c r="L411" s="21" t="s">
        <v>2276</v>
      </c>
      <c r="M411" s="21" t="s">
        <v>2276</v>
      </c>
      <c r="N411" s="21" t="s">
        <v>2276</v>
      </c>
      <c r="O411" s="21" t="s">
        <v>2276</v>
      </c>
      <c r="P411" s="21" t="s">
        <v>2276</v>
      </c>
      <c r="Q411" s="21" t="s">
        <v>2276</v>
      </c>
      <c r="R411" s="21" t="s">
        <v>2276</v>
      </c>
      <c r="S411" s="21" t="s">
        <v>2276</v>
      </c>
      <c r="T411" s="21" t="s">
        <v>2276</v>
      </c>
      <c r="U411" s="21" t="s">
        <v>2276</v>
      </c>
      <c r="V411" s="21" t="s">
        <v>2276</v>
      </c>
      <c r="W411" s="21" t="s">
        <v>2276</v>
      </c>
      <c r="X411" s="21" t="s">
        <v>2276</v>
      </c>
      <c r="Y411" s="21" t="s">
        <v>2276</v>
      </c>
      <c r="Z411" s="3" t="s">
        <v>2276</v>
      </c>
      <c r="AA411" s="3" t="s">
        <v>2276</v>
      </c>
      <c r="AB411" s="3" t="s">
        <v>2276</v>
      </c>
      <c r="AC411" s="4" t="s">
        <v>1971</v>
      </c>
      <c r="AD411" s="4"/>
    </row>
    <row r="412" spans="1:30" ht="71" customHeight="1">
      <c r="A412" s="11" t="s">
        <v>1884</v>
      </c>
      <c r="B412" s="11" t="s">
        <v>1973</v>
      </c>
      <c r="C412" s="23" t="s">
        <v>24</v>
      </c>
      <c r="D412" s="23" t="s">
        <v>27</v>
      </c>
      <c r="E412" s="26" t="s">
        <v>397</v>
      </c>
      <c r="F412" s="19" t="s">
        <v>28</v>
      </c>
      <c r="G412" s="11" t="s">
        <v>2276</v>
      </c>
      <c r="H412" s="19" t="s">
        <v>524</v>
      </c>
      <c r="I412" s="3"/>
      <c r="J412" s="21">
        <v>0</v>
      </c>
      <c r="K412" s="21">
        <v>0</v>
      </c>
      <c r="L412" s="21">
        <v>0</v>
      </c>
      <c r="M412" s="21">
        <v>0</v>
      </c>
      <c r="N412" s="21">
        <v>0</v>
      </c>
      <c r="O412" s="21">
        <v>0</v>
      </c>
      <c r="P412" s="21">
        <v>0</v>
      </c>
      <c r="Q412" s="21" t="s">
        <v>2276</v>
      </c>
      <c r="R412" s="21" t="s">
        <v>2276</v>
      </c>
      <c r="S412" s="21">
        <v>0</v>
      </c>
      <c r="T412" s="21">
        <v>0</v>
      </c>
      <c r="U412" s="21">
        <v>0</v>
      </c>
      <c r="V412" s="21">
        <v>0</v>
      </c>
      <c r="W412" s="21">
        <v>0</v>
      </c>
      <c r="X412" s="21">
        <v>0</v>
      </c>
      <c r="Y412" s="21" t="s">
        <v>2276</v>
      </c>
      <c r="Z412" s="3" t="s">
        <v>2276</v>
      </c>
      <c r="AA412" s="3" t="s">
        <v>2276</v>
      </c>
      <c r="AB412" s="3" t="s">
        <v>2276</v>
      </c>
      <c r="AC412" s="18" t="s">
        <v>1978</v>
      </c>
      <c r="AD412" s="4"/>
    </row>
    <row r="413" spans="1:30" ht="56" customHeight="1">
      <c r="A413" s="11" t="s">
        <v>1881</v>
      </c>
      <c r="B413" s="11" t="s">
        <v>1974</v>
      </c>
      <c r="C413" s="23" t="s">
        <v>24</v>
      </c>
      <c r="D413" s="23" t="s">
        <v>27</v>
      </c>
      <c r="E413" s="26" t="s">
        <v>397</v>
      </c>
      <c r="F413" s="19" t="s">
        <v>28</v>
      </c>
      <c r="G413" s="11" t="s">
        <v>2276</v>
      </c>
      <c r="H413" s="19" t="s">
        <v>524</v>
      </c>
      <c r="I413" s="3"/>
      <c r="J413" s="21">
        <v>0</v>
      </c>
      <c r="K413" s="21">
        <v>0</v>
      </c>
      <c r="L413" s="21">
        <v>0</v>
      </c>
      <c r="M413" s="21">
        <v>0</v>
      </c>
      <c r="N413" s="21">
        <v>0</v>
      </c>
      <c r="O413" s="21">
        <v>0</v>
      </c>
      <c r="P413" s="21">
        <v>0</v>
      </c>
      <c r="Q413" s="21" t="s">
        <v>2276</v>
      </c>
      <c r="R413" s="21" t="s">
        <v>2276</v>
      </c>
      <c r="S413" s="21">
        <v>0</v>
      </c>
      <c r="T413" s="21">
        <v>0</v>
      </c>
      <c r="U413" s="21">
        <v>0</v>
      </c>
      <c r="V413" s="21">
        <v>0</v>
      </c>
      <c r="W413" s="21">
        <v>0</v>
      </c>
      <c r="X413" s="21">
        <v>0</v>
      </c>
      <c r="Y413" s="21" t="s">
        <v>2276</v>
      </c>
      <c r="Z413" s="3" t="s">
        <v>2276</v>
      </c>
      <c r="AA413" s="3" t="s">
        <v>2276</v>
      </c>
      <c r="AB413" s="3" t="s">
        <v>2276</v>
      </c>
      <c r="AC413" s="3" t="s">
        <v>1966</v>
      </c>
      <c r="AD413" s="4"/>
    </row>
    <row r="414" spans="1:30" ht="56" customHeight="1">
      <c r="A414" s="11" t="s">
        <v>1882</v>
      </c>
      <c r="B414" s="11" t="s">
        <v>1975</v>
      </c>
      <c r="C414" s="23" t="s">
        <v>24</v>
      </c>
      <c r="D414" s="23" t="s">
        <v>27</v>
      </c>
      <c r="E414" s="26" t="s">
        <v>397</v>
      </c>
      <c r="F414" s="19" t="s">
        <v>28</v>
      </c>
      <c r="G414" s="11" t="s">
        <v>2276</v>
      </c>
      <c r="H414" s="19" t="s">
        <v>524</v>
      </c>
      <c r="I414" s="3"/>
      <c r="J414" s="21">
        <v>0</v>
      </c>
      <c r="K414" s="21">
        <v>0</v>
      </c>
      <c r="L414" s="21">
        <v>0</v>
      </c>
      <c r="M414" s="21">
        <v>0</v>
      </c>
      <c r="N414" s="21">
        <v>0</v>
      </c>
      <c r="O414" s="21">
        <v>0</v>
      </c>
      <c r="P414" s="21">
        <v>0</v>
      </c>
      <c r="Q414" s="21" t="s">
        <v>2276</v>
      </c>
      <c r="R414" s="21" t="s">
        <v>2276</v>
      </c>
      <c r="S414" s="21">
        <v>0</v>
      </c>
      <c r="T414" s="21">
        <v>0</v>
      </c>
      <c r="U414" s="21">
        <v>0</v>
      </c>
      <c r="V414" s="21">
        <v>0</v>
      </c>
      <c r="W414" s="21">
        <v>0</v>
      </c>
      <c r="X414" s="21">
        <v>0</v>
      </c>
      <c r="Y414" s="21" t="s">
        <v>2276</v>
      </c>
      <c r="Z414" s="3" t="s">
        <v>2276</v>
      </c>
      <c r="AA414" s="3" t="s">
        <v>2276</v>
      </c>
      <c r="AB414" s="3" t="s">
        <v>2276</v>
      </c>
      <c r="AC414" s="3" t="s">
        <v>1966</v>
      </c>
      <c r="AD414" s="4"/>
    </row>
    <row r="415" spans="1:30" ht="56" customHeight="1">
      <c r="A415" s="11" t="s">
        <v>1885</v>
      </c>
      <c r="B415" s="11" t="s">
        <v>1976</v>
      </c>
      <c r="C415" s="23" t="s">
        <v>24</v>
      </c>
      <c r="D415" s="23" t="s">
        <v>27</v>
      </c>
      <c r="E415" s="26" t="s">
        <v>397</v>
      </c>
      <c r="F415" s="19" t="s">
        <v>28</v>
      </c>
      <c r="G415" s="11" t="s">
        <v>2276</v>
      </c>
      <c r="H415" s="19" t="s">
        <v>524</v>
      </c>
      <c r="I415" s="3"/>
      <c r="J415" s="21">
        <v>0</v>
      </c>
      <c r="K415" s="21">
        <v>0</v>
      </c>
      <c r="L415" s="21">
        <v>0</v>
      </c>
      <c r="M415" s="21">
        <v>0</v>
      </c>
      <c r="N415" s="21">
        <v>0</v>
      </c>
      <c r="O415" s="21">
        <v>0</v>
      </c>
      <c r="P415" s="21">
        <v>0</v>
      </c>
      <c r="Q415" s="21" t="s">
        <v>2276</v>
      </c>
      <c r="R415" s="21" t="s">
        <v>2276</v>
      </c>
      <c r="S415" s="21">
        <v>0</v>
      </c>
      <c r="T415" s="21">
        <v>0</v>
      </c>
      <c r="U415" s="21">
        <v>0</v>
      </c>
      <c r="V415" s="21">
        <v>0</v>
      </c>
      <c r="W415" s="21">
        <v>0</v>
      </c>
      <c r="X415" s="21">
        <v>0</v>
      </c>
      <c r="Y415" s="21" t="s">
        <v>2276</v>
      </c>
      <c r="Z415" s="3" t="s">
        <v>2276</v>
      </c>
      <c r="AA415" s="3" t="s">
        <v>2276</v>
      </c>
      <c r="AB415" s="3" t="s">
        <v>2276</v>
      </c>
      <c r="AC415" s="3" t="s">
        <v>1966</v>
      </c>
      <c r="AD415" s="4"/>
    </row>
    <row r="416" spans="1:30" ht="73.5" customHeight="1">
      <c r="A416" s="11" t="s">
        <v>1886</v>
      </c>
      <c r="B416" s="11" t="s">
        <v>1977</v>
      </c>
      <c r="C416" s="23" t="s">
        <v>24</v>
      </c>
      <c r="D416" s="23" t="s">
        <v>27</v>
      </c>
      <c r="E416" s="26" t="s">
        <v>397</v>
      </c>
      <c r="F416" s="19" t="s">
        <v>28</v>
      </c>
      <c r="G416" s="11" t="s">
        <v>2276</v>
      </c>
      <c r="H416" s="19" t="s">
        <v>524</v>
      </c>
      <c r="I416" s="3"/>
      <c r="J416" s="21">
        <v>0</v>
      </c>
      <c r="K416" s="21">
        <v>0</v>
      </c>
      <c r="L416" s="21">
        <v>0</v>
      </c>
      <c r="M416" s="21">
        <v>0</v>
      </c>
      <c r="N416" s="21">
        <v>0</v>
      </c>
      <c r="O416" s="21">
        <v>0</v>
      </c>
      <c r="P416" s="21">
        <v>0</v>
      </c>
      <c r="Q416" s="21" t="s">
        <v>2276</v>
      </c>
      <c r="R416" s="21" t="s">
        <v>2276</v>
      </c>
      <c r="S416" s="21">
        <v>0</v>
      </c>
      <c r="T416" s="21">
        <v>0</v>
      </c>
      <c r="U416" s="21">
        <v>0</v>
      </c>
      <c r="V416" s="21">
        <v>0</v>
      </c>
      <c r="W416" s="21">
        <v>0</v>
      </c>
      <c r="X416" s="21">
        <v>0</v>
      </c>
      <c r="Y416" s="21" t="s">
        <v>2276</v>
      </c>
      <c r="Z416" s="3" t="s">
        <v>2276</v>
      </c>
      <c r="AA416" s="3" t="s">
        <v>2276</v>
      </c>
      <c r="AB416" s="3" t="s">
        <v>2276</v>
      </c>
      <c r="AC416" s="18" t="s">
        <v>1978</v>
      </c>
      <c r="AD416" s="4"/>
    </row>
    <row r="417" spans="1:30" ht="56" customHeight="1">
      <c r="A417" s="11" t="s">
        <v>1887</v>
      </c>
      <c r="B417" s="11" t="s">
        <v>1979</v>
      </c>
      <c r="C417" s="23" t="s">
        <v>24</v>
      </c>
      <c r="D417" s="23" t="s">
        <v>27</v>
      </c>
      <c r="E417" s="26" t="s">
        <v>130</v>
      </c>
      <c r="F417" s="19" t="s">
        <v>161</v>
      </c>
      <c r="G417" s="11" t="s">
        <v>2276</v>
      </c>
      <c r="H417" s="19" t="s">
        <v>523</v>
      </c>
      <c r="I417" s="3"/>
      <c r="J417" s="21" t="s">
        <v>2276</v>
      </c>
      <c r="K417" s="21" t="s">
        <v>2276</v>
      </c>
      <c r="L417" s="21" t="s">
        <v>2276</v>
      </c>
      <c r="M417" s="21" t="s">
        <v>2276</v>
      </c>
      <c r="N417" s="21" t="s">
        <v>2276</v>
      </c>
      <c r="O417" s="21" t="s">
        <v>2276</v>
      </c>
      <c r="P417" s="21" t="s">
        <v>2276</v>
      </c>
      <c r="Q417" s="21" t="s">
        <v>2276</v>
      </c>
      <c r="R417" s="21" t="s">
        <v>2276</v>
      </c>
      <c r="S417" s="21" t="s">
        <v>2276</v>
      </c>
      <c r="T417" s="21" t="s">
        <v>2276</v>
      </c>
      <c r="U417" s="21" t="s">
        <v>2276</v>
      </c>
      <c r="V417" s="21" t="s">
        <v>2276</v>
      </c>
      <c r="W417" s="21" t="s">
        <v>2276</v>
      </c>
      <c r="X417" s="21" t="s">
        <v>2276</v>
      </c>
      <c r="Y417" s="21" t="s">
        <v>2276</v>
      </c>
      <c r="Z417" s="3" t="s">
        <v>2276</v>
      </c>
      <c r="AA417" s="3" t="s">
        <v>2276</v>
      </c>
      <c r="AB417" s="3" t="s">
        <v>2276</v>
      </c>
      <c r="AC417" s="4" t="s">
        <v>1971</v>
      </c>
      <c r="AD417" s="4"/>
    </row>
    <row r="418" spans="1:30" ht="56" customHeight="1">
      <c r="A418" s="11" t="s">
        <v>1888</v>
      </c>
      <c r="B418" s="11" t="s">
        <v>1980</v>
      </c>
      <c r="C418" s="23" t="s">
        <v>24</v>
      </c>
      <c r="D418" s="23" t="s">
        <v>27</v>
      </c>
      <c r="E418" s="26" t="s">
        <v>130</v>
      </c>
      <c r="F418" s="19" t="s">
        <v>74</v>
      </c>
      <c r="G418" s="11" t="s">
        <v>2276</v>
      </c>
      <c r="H418" s="19" t="s">
        <v>523</v>
      </c>
      <c r="I418" s="3"/>
      <c r="J418" s="21" t="s">
        <v>2276</v>
      </c>
      <c r="K418" s="21" t="s">
        <v>2276</v>
      </c>
      <c r="L418" s="21" t="s">
        <v>2276</v>
      </c>
      <c r="M418" s="21" t="s">
        <v>2276</v>
      </c>
      <c r="N418" s="21" t="s">
        <v>2276</v>
      </c>
      <c r="O418" s="21" t="s">
        <v>2276</v>
      </c>
      <c r="P418" s="21" t="s">
        <v>2276</v>
      </c>
      <c r="Q418" s="21" t="s">
        <v>2276</v>
      </c>
      <c r="R418" s="21" t="s">
        <v>2276</v>
      </c>
      <c r="S418" s="21" t="s">
        <v>2276</v>
      </c>
      <c r="T418" s="21" t="s">
        <v>2276</v>
      </c>
      <c r="U418" s="21" t="s">
        <v>2276</v>
      </c>
      <c r="V418" s="21" t="s">
        <v>2276</v>
      </c>
      <c r="W418" s="21" t="s">
        <v>2276</v>
      </c>
      <c r="X418" s="21" t="s">
        <v>2276</v>
      </c>
      <c r="Y418" s="21" t="s">
        <v>2276</v>
      </c>
      <c r="Z418" s="3" t="s">
        <v>2276</v>
      </c>
      <c r="AA418" s="3" t="s">
        <v>2276</v>
      </c>
      <c r="AB418" s="3" t="s">
        <v>2276</v>
      </c>
      <c r="AC418" s="4" t="s">
        <v>1970</v>
      </c>
      <c r="AD418" s="4"/>
    </row>
    <row r="419" spans="1:30" ht="56" customHeight="1">
      <c r="A419" s="11" t="s">
        <v>1888</v>
      </c>
      <c r="B419" s="11" t="s">
        <v>1981</v>
      </c>
      <c r="C419" s="23" t="s">
        <v>24</v>
      </c>
      <c r="D419" s="23" t="s">
        <v>27</v>
      </c>
      <c r="E419" s="26" t="s">
        <v>130</v>
      </c>
      <c r="F419" s="19" t="s">
        <v>161</v>
      </c>
      <c r="G419" s="11" t="s">
        <v>2276</v>
      </c>
      <c r="H419" s="19" t="s">
        <v>523</v>
      </c>
      <c r="I419" s="3"/>
      <c r="J419" s="21" t="s">
        <v>2276</v>
      </c>
      <c r="K419" s="21" t="s">
        <v>2276</v>
      </c>
      <c r="L419" s="21" t="s">
        <v>2276</v>
      </c>
      <c r="M419" s="21" t="s">
        <v>2276</v>
      </c>
      <c r="N419" s="21" t="s">
        <v>2276</v>
      </c>
      <c r="O419" s="21" t="s">
        <v>2276</v>
      </c>
      <c r="P419" s="21" t="s">
        <v>2276</v>
      </c>
      <c r="Q419" s="21" t="s">
        <v>2276</v>
      </c>
      <c r="R419" s="21" t="s">
        <v>2276</v>
      </c>
      <c r="S419" s="21" t="s">
        <v>2276</v>
      </c>
      <c r="T419" s="21" t="s">
        <v>2276</v>
      </c>
      <c r="U419" s="21" t="s">
        <v>2276</v>
      </c>
      <c r="V419" s="21" t="s">
        <v>2276</v>
      </c>
      <c r="W419" s="21" t="s">
        <v>2276</v>
      </c>
      <c r="X419" s="21" t="s">
        <v>2276</v>
      </c>
      <c r="Y419" s="21" t="s">
        <v>2276</v>
      </c>
      <c r="Z419" s="3" t="s">
        <v>2276</v>
      </c>
      <c r="AA419" s="3" t="s">
        <v>2276</v>
      </c>
      <c r="AB419" s="3" t="s">
        <v>2276</v>
      </c>
      <c r="AC419" s="4" t="s">
        <v>1970</v>
      </c>
      <c r="AD419" s="4"/>
    </row>
    <row r="420" spans="1:30" ht="56" customHeight="1">
      <c r="A420" s="11" t="s">
        <v>1889</v>
      </c>
      <c r="B420" s="11" t="s">
        <v>1982</v>
      </c>
      <c r="C420" s="23" t="s">
        <v>24</v>
      </c>
      <c r="D420" s="23" t="s">
        <v>27</v>
      </c>
      <c r="E420" s="26" t="s">
        <v>130</v>
      </c>
      <c r="F420" s="19" t="s">
        <v>161</v>
      </c>
      <c r="G420" s="11" t="s">
        <v>2276</v>
      </c>
      <c r="H420" s="19" t="s">
        <v>523</v>
      </c>
      <c r="I420" s="3"/>
      <c r="J420" s="21" t="s">
        <v>2276</v>
      </c>
      <c r="K420" s="21" t="s">
        <v>2276</v>
      </c>
      <c r="L420" s="21" t="s">
        <v>2276</v>
      </c>
      <c r="M420" s="21" t="s">
        <v>2276</v>
      </c>
      <c r="N420" s="21" t="s">
        <v>2276</v>
      </c>
      <c r="O420" s="21" t="s">
        <v>2276</v>
      </c>
      <c r="P420" s="21" t="s">
        <v>2276</v>
      </c>
      <c r="Q420" s="21" t="s">
        <v>2276</v>
      </c>
      <c r="R420" s="21" t="s">
        <v>2276</v>
      </c>
      <c r="S420" s="21" t="s">
        <v>2276</v>
      </c>
      <c r="T420" s="21" t="s">
        <v>2276</v>
      </c>
      <c r="U420" s="21" t="s">
        <v>2276</v>
      </c>
      <c r="V420" s="21" t="s">
        <v>2276</v>
      </c>
      <c r="W420" s="21" t="s">
        <v>2276</v>
      </c>
      <c r="X420" s="21" t="s">
        <v>2276</v>
      </c>
      <c r="Y420" s="21" t="s">
        <v>2276</v>
      </c>
      <c r="Z420" s="3" t="s">
        <v>2276</v>
      </c>
      <c r="AA420" s="3" t="s">
        <v>2276</v>
      </c>
      <c r="AB420" s="3" t="s">
        <v>2276</v>
      </c>
      <c r="AC420" s="4" t="s">
        <v>1971</v>
      </c>
      <c r="AD420" s="4"/>
    </row>
    <row r="421" spans="1:30" ht="56" customHeight="1">
      <c r="A421" s="11" t="s">
        <v>1890</v>
      </c>
      <c r="B421" s="11" t="s">
        <v>1983</v>
      </c>
      <c r="C421" s="23" t="s">
        <v>24</v>
      </c>
      <c r="D421" s="23" t="s">
        <v>27</v>
      </c>
      <c r="E421" s="26" t="s">
        <v>130</v>
      </c>
      <c r="F421" s="19" t="s">
        <v>161</v>
      </c>
      <c r="G421" s="11" t="s">
        <v>2276</v>
      </c>
      <c r="H421" s="19" t="s">
        <v>523</v>
      </c>
      <c r="I421" s="3"/>
      <c r="J421" s="21" t="s">
        <v>2276</v>
      </c>
      <c r="K421" s="21" t="s">
        <v>2276</v>
      </c>
      <c r="L421" s="21" t="s">
        <v>2276</v>
      </c>
      <c r="M421" s="21" t="s">
        <v>2276</v>
      </c>
      <c r="N421" s="21" t="s">
        <v>2276</v>
      </c>
      <c r="O421" s="21" t="s">
        <v>2276</v>
      </c>
      <c r="P421" s="21" t="s">
        <v>2276</v>
      </c>
      <c r="Q421" s="21" t="s">
        <v>2276</v>
      </c>
      <c r="R421" s="21" t="s">
        <v>2276</v>
      </c>
      <c r="S421" s="21" t="s">
        <v>2276</v>
      </c>
      <c r="T421" s="21" t="s">
        <v>2276</v>
      </c>
      <c r="U421" s="21" t="s">
        <v>2276</v>
      </c>
      <c r="V421" s="21" t="s">
        <v>2276</v>
      </c>
      <c r="W421" s="21" t="s">
        <v>2276</v>
      </c>
      <c r="X421" s="21" t="s">
        <v>2276</v>
      </c>
      <c r="Y421" s="21" t="s">
        <v>2276</v>
      </c>
      <c r="Z421" s="3" t="s">
        <v>2276</v>
      </c>
      <c r="AA421" s="3" t="s">
        <v>2276</v>
      </c>
      <c r="AB421" s="3" t="s">
        <v>2276</v>
      </c>
      <c r="AC421" s="4" t="s">
        <v>1971</v>
      </c>
      <c r="AD421" s="4"/>
    </row>
    <row r="422" spans="1:30" ht="56" customHeight="1">
      <c r="A422" s="11" t="s">
        <v>1891</v>
      </c>
      <c r="B422" s="11" t="s">
        <v>1984</v>
      </c>
      <c r="C422" s="23" t="s">
        <v>24</v>
      </c>
      <c r="D422" s="23" t="s">
        <v>27</v>
      </c>
      <c r="E422" s="26" t="s">
        <v>397</v>
      </c>
      <c r="F422" s="19" t="s">
        <v>28</v>
      </c>
      <c r="G422" s="11" t="s">
        <v>2276</v>
      </c>
      <c r="H422" s="19" t="s">
        <v>524</v>
      </c>
      <c r="I422" s="3"/>
      <c r="J422" s="21">
        <v>0</v>
      </c>
      <c r="K422" s="21">
        <v>0</v>
      </c>
      <c r="L422" s="21">
        <v>0</v>
      </c>
      <c r="M422" s="21">
        <v>0</v>
      </c>
      <c r="N422" s="21">
        <v>0</v>
      </c>
      <c r="O422" s="21">
        <v>0</v>
      </c>
      <c r="P422" s="21">
        <v>0</v>
      </c>
      <c r="Q422" s="21" t="s">
        <v>2276</v>
      </c>
      <c r="R422" s="21" t="s">
        <v>2276</v>
      </c>
      <c r="S422" s="21">
        <v>0</v>
      </c>
      <c r="T422" s="21">
        <v>0</v>
      </c>
      <c r="U422" s="21">
        <v>0</v>
      </c>
      <c r="V422" s="21">
        <v>0</v>
      </c>
      <c r="W422" s="21">
        <v>0</v>
      </c>
      <c r="X422" s="21">
        <v>0</v>
      </c>
      <c r="Y422" s="21" t="s">
        <v>2276</v>
      </c>
      <c r="Z422" s="3" t="s">
        <v>2276</v>
      </c>
      <c r="AA422" s="3" t="s">
        <v>2276</v>
      </c>
      <c r="AB422" s="3" t="s">
        <v>2276</v>
      </c>
      <c r="AC422" s="3" t="s">
        <v>1966</v>
      </c>
      <c r="AD422" s="4"/>
    </row>
    <row r="423" spans="1:30" ht="73.5" customHeight="1">
      <c r="A423" s="11" t="s">
        <v>1892</v>
      </c>
      <c r="B423" s="11" t="s">
        <v>1985</v>
      </c>
      <c r="C423" s="23" t="s">
        <v>24</v>
      </c>
      <c r="D423" s="23" t="s">
        <v>27</v>
      </c>
      <c r="E423" s="26" t="s">
        <v>397</v>
      </c>
      <c r="F423" s="19" t="s">
        <v>28</v>
      </c>
      <c r="G423" s="11" t="s">
        <v>2276</v>
      </c>
      <c r="H423" s="19" t="s">
        <v>524</v>
      </c>
      <c r="I423" s="3"/>
      <c r="J423" s="21">
        <v>0</v>
      </c>
      <c r="K423" s="21">
        <v>0</v>
      </c>
      <c r="L423" s="21">
        <v>0</v>
      </c>
      <c r="M423" s="21">
        <v>0</v>
      </c>
      <c r="N423" s="21">
        <v>0</v>
      </c>
      <c r="O423" s="21">
        <v>0</v>
      </c>
      <c r="P423" s="21">
        <v>0</v>
      </c>
      <c r="Q423" s="21" t="s">
        <v>2276</v>
      </c>
      <c r="R423" s="21" t="s">
        <v>2276</v>
      </c>
      <c r="S423" s="21">
        <v>0</v>
      </c>
      <c r="T423" s="21">
        <v>0</v>
      </c>
      <c r="U423" s="21">
        <v>0</v>
      </c>
      <c r="V423" s="21">
        <v>0</v>
      </c>
      <c r="W423" s="21">
        <v>0</v>
      </c>
      <c r="X423" s="21">
        <v>0</v>
      </c>
      <c r="Y423" s="21" t="s">
        <v>2276</v>
      </c>
      <c r="Z423" s="3" t="s">
        <v>2276</v>
      </c>
      <c r="AA423" s="3" t="s">
        <v>2276</v>
      </c>
      <c r="AB423" s="3" t="s">
        <v>2276</v>
      </c>
      <c r="AC423" s="18" t="s">
        <v>1978</v>
      </c>
      <c r="AD423" s="4"/>
    </row>
    <row r="424" spans="1:30" ht="56" customHeight="1">
      <c r="A424" s="11" t="s">
        <v>1893</v>
      </c>
      <c r="B424" s="11" t="s">
        <v>1986</v>
      </c>
      <c r="C424" s="23" t="s">
        <v>24</v>
      </c>
      <c r="D424" s="23" t="s">
        <v>27</v>
      </c>
      <c r="E424" s="26" t="s">
        <v>397</v>
      </c>
      <c r="F424" s="19" t="s">
        <v>28</v>
      </c>
      <c r="G424" s="11" t="s">
        <v>2276</v>
      </c>
      <c r="H424" s="19" t="s">
        <v>524</v>
      </c>
      <c r="I424" s="3"/>
      <c r="J424" s="21">
        <v>0</v>
      </c>
      <c r="K424" s="21">
        <v>0</v>
      </c>
      <c r="L424" s="21">
        <v>0</v>
      </c>
      <c r="M424" s="21">
        <v>0</v>
      </c>
      <c r="N424" s="21">
        <v>0</v>
      </c>
      <c r="O424" s="21">
        <v>0</v>
      </c>
      <c r="P424" s="21">
        <v>0</v>
      </c>
      <c r="Q424" s="21" t="s">
        <v>2276</v>
      </c>
      <c r="R424" s="21" t="s">
        <v>2276</v>
      </c>
      <c r="S424" s="21">
        <v>0</v>
      </c>
      <c r="T424" s="21">
        <v>0</v>
      </c>
      <c r="U424" s="21">
        <v>0</v>
      </c>
      <c r="V424" s="21">
        <v>0</v>
      </c>
      <c r="W424" s="21">
        <v>0</v>
      </c>
      <c r="X424" s="21">
        <v>0</v>
      </c>
      <c r="Y424" s="21" t="s">
        <v>2276</v>
      </c>
      <c r="Z424" s="3" t="s">
        <v>2276</v>
      </c>
      <c r="AA424" s="3" t="s">
        <v>2276</v>
      </c>
      <c r="AB424" s="3" t="s">
        <v>2276</v>
      </c>
      <c r="AC424" s="3" t="s">
        <v>1966</v>
      </c>
      <c r="AD424" s="4"/>
    </row>
    <row r="425" spans="1:30" ht="56" customHeight="1">
      <c r="A425" s="11" t="s">
        <v>1894</v>
      </c>
      <c r="B425" s="11" t="s">
        <v>1987</v>
      </c>
      <c r="C425" s="23" t="s">
        <v>24</v>
      </c>
      <c r="D425" s="23" t="s">
        <v>27</v>
      </c>
      <c r="E425" s="26" t="s">
        <v>397</v>
      </c>
      <c r="F425" s="19" t="s">
        <v>28</v>
      </c>
      <c r="G425" s="11" t="s">
        <v>2276</v>
      </c>
      <c r="H425" s="19" t="s">
        <v>524</v>
      </c>
      <c r="I425" s="3"/>
      <c r="J425" s="21">
        <v>0</v>
      </c>
      <c r="K425" s="21">
        <v>0</v>
      </c>
      <c r="L425" s="21">
        <v>0</v>
      </c>
      <c r="M425" s="21">
        <v>0</v>
      </c>
      <c r="N425" s="21">
        <v>0</v>
      </c>
      <c r="O425" s="21">
        <v>0</v>
      </c>
      <c r="P425" s="21">
        <v>0</v>
      </c>
      <c r="Q425" s="21" t="s">
        <v>2276</v>
      </c>
      <c r="R425" s="21" t="s">
        <v>2276</v>
      </c>
      <c r="S425" s="21">
        <v>0</v>
      </c>
      <c r="T425" s="21">
        <v>0</v>
      </c>
      <c r="U425" s="21">
        <v>0</v>
      </c>
      <c r="V425" s="21">
        <v>0</v>
      </c>
      <c r="W425" s="21">
        <v>0</v>
      </c>
      <c r="X425" s="21">
        <v>0</v>
      </c>
      <c r="Y425" s="21" t="s">
        <v>2276</v>
      </c>
      <c r="Z425" s="3" t="s">
        <v>2276</v>
      </c>
      <c r="AA425" s="3" t="s">
        <v>2276</v>
      </c>
      <c r="AB425" s="3" t="s">
        <v>2276</v>
      </c>
      <c r="AC425" s="3" t="s">
        <v>1966</v>
      </c>
      <c r="AD425" s="4"/>
    </row>
    <row r="426" spans="1:30" ht="56" customHeight="1">
      <c r="A426" s="11" t="s">
        <v>1895</v>
      </c>
      <c r="B426" s="11" t="s">
        <v>1988</v>
      </c>
      <c r="C426" s="23" t="s">
        <v>24</v>
      </c>
      <c r="D426" s="23" t="s">
        <v>27</v>
      </c>
      <c r="E426" s="26" t="s">
        <v>397</v>
      </c>
      <c r="F426" s="19" t="s">
        <v>28</v>
      </c>
      <c r="G426" s="11" t="s">
        <v>2276</v>
      </c>
      <c r="H426" s="19" t="s">
        <v>524</v>
      </c>
      <c r="I426" s="3"/>
      <c r="J426" s="21">
        <v>0</v>
      </c>
      <c r="K426" s="21">
        <v>0</v>
      </c>
      <c r="L426" s="21">
        <v>0</v>
      </c>
      <c r="M426" s="21">
        <v>0</v>
      </c>
      <c r="N426" s="21">
        <v>0</v>
      </c>
      <c r="O426" s="21">
        <v>0</v>
      </c>
      <c r="P426" s="21">
        <v>0</v>
      </c>
      <c r="Q426" s="21" t="s">
        <v>2276</v>
      </c>
      <c r="R426" s="21" t="s">
        <v>2276</v>
      </c>
      <c r="S426" s="21">
        <v>0</v>
      </c>
      <c r="T426" s="21">
        <v>0</v>
      </c>
      <c r="U426" s="21">
        <v>0</v>
      </c>
      <c r="V426" s="21">
        <v>0</v>
      </c>
      <c r="W426" s="21">
        <v>0</v>
      </c>
      <c r="X426" s="21">
        <v>0</v>
      </c>
      <c r="Y426" s="21" t="s">
        <v>2276</v>
      </c>
      <c r="Z426" s="3" t="s">
        <v>2276</v>
      </c>
      <c r="AA426" s="3" t="s">
        <v>2276</v>
      </c>
      <c r="AB426" s="3" t="s">
        <v>2276</v>
      </c>
      <c r="AC426" s="3" t="s">
        <v>1966</v>
      </c>
      <c r="AD426" s="4"/>
    </row>
    <row r="427" spans="1:30" ht="56" customHeight="1">
      <c r="A427" s="11" t="s">
        <v>1896</v>
      </c>
      <c r="B427" s="11" t="s">
        <v>1989</v>
      </c>
      <c r="C427" s="23" t="s">
        <v>24</v>
      </c>
      <c r="D427" s="23" t="s">
        <v>27</v>
      </c>
      <c r="E427" s="26" t="s">
        <v>130</v>
      </c>
      <c r="F427" s="19" t="s">
        <v>161</v>
      </c>
      <c r="G427" s="11" t="s">
        <v>2276</v>
      </c>
      <c r="H427" s="19" t="s">
        <v>524</v>
      </c>
      <c r="I427" s="3"/>
      <c r="J427" s="21">
        <v>0</v>
      </c>
      <c r="K427" s="21">
        <v>0</v>
      </c>
      <c r="L427" s="21">
        <v>0</v>
      </c>
      <c r="M427" s="21">
        <v>0</v>
      </c>
      <c r="N427" s="21">
        <v>0</v>
      </c>
      <c r="O427" s="21">
        <v>0</v>
      </c>
      <c r="P427" s="21">
        <v>0</v>
      </c>
      <c r="Q427" s="21" t="s">
        <v>2276</v>
      </c>
      <c r="R427" s="21" t="s">
        <v>2276</v>
      </c>
      <c r="S427" s="21">
        <v>0</v>
      </c>
      <c r="T427" s="21">
        <v>0</v>
      </c>
      <c r="U427" s="21">
        <v>0</v>
      </c>
      <c r="V427" s="21">
        <v>0</v>
      </c>
      <c r="W427" s="21">
        <v>0</v>
      </c>
      <c r="X427" s="21">
        <v>0</v>
      </c>
      <c r="Y427" s="21" t="s">
        <v>2276</v>
      </c>
      <c r="Z427" s="3" t="s">
        <v>2276</v>
      </c>
      <c r="AA427" s="3" t="s">
        <v>2276</v>
      </c>
      <c r="AB427" s="3" t="s">
        <v>2276</v>
      </c>
      <c r="AC427" s="4" t="s">
        <v>1960</v>
      </c>
      <c r="AD427" s="4"/>
    </row>
    <row r="428" spans="1:30" ht="70" customHeight="1">
      <c r="A428" s="11" t="s">
        <v>1897</v>
      </c>
      <c r="B428" s="11" t="s">
        <v>1990</v>
      </c>
      <c r="C428" s="23" t="s">
        <v>24</v>
      </c>
      <c r="D428" s="23" t="s">
        <v>27</v>
      </c>
      <c r="E428" s="26" t="s">
        <v>397</v>
      </c>
      <c r="F428" s="19" t="s">
        <v>28</v>
      </c>
      <c r="G428" s="11" t="s">
        <v>2276</v>
      </c>
      <c r="H428" s="19" t="s">
        <v>524</v>
      </c>
      <c r="I428" s="3"/>
      <c r="J428" s="21">
        <v>0</v>
      </c>
      <c r="K428" s="21">
        <v>0</v>
      </c>
      <c r="L428" s="21">
        <v>0</v>
      </c>
      <c r="M428" s="21">
        <v>0</v>
      </c>
      <c r="N428" s="21">
        <v>0</v>
      </c>
      <c r="O428" s="21">
        <v>0</v>
      </c>
      <c r="P428" s="21">
        <v>0</v>
      </c>
      <c r="Q428" s="21" t="s">
        <v>2276</v>
      </c>
      <c r="R428" s="21" t="s">
        <v>2276</v>
      </c>
      <c r="S428" s="21">
        <v>0</v>
      </c>
      <c r="T428" s="21">
        <v>0</v>
      </c>
      <c r="U428" s="21">
        <v>0</v>
      </c>
      <c r="V428" s="21">
        <v>0</v>
      </c>
      <c r="W428" s="21">
        <v>0</v>
      </c>
      <c r="X428" s="21">
        <v>0</v>
      </c>
      <c r="Y428" s="21" t="s">
        <v>2276</v>
      </c>
      <c r="Z428" s="3" t="s">
        <v>2276</v>
      </c>
      <c r="AA428" s="3" t="s">
        <v>2276</v>
      </c>
      <c r="AB428" s="3" t="s">
        <v>2276</v>
      </c>
      <c r="AC428" s="18" t="s">
        <v>1978</v>
      </c>
      <c r="AD428" s="4"/>
    </row>
    <row r="429" spans="1:30" ht="63.5" customHeight="1">
      <c r="A429" s="11" t="s">
        <v>1898</v>
      </c>
      <c r="B429" s="11" t="s">
        <v>1991</v>
      </c>
      <c r="C429" s="23" t="s">
        <v>24</v>
      </c>
      <c r="D429" s="23" t="s">
        <v>27</v>
      </c>
      <c r="E429" s="26" t="s">
        <v>397</v>
      </c>
      <c r="F429" s="19" t="s">
        <v>28</v>
      </c>
      <c r="G429" s="11" t="s">
        <v>2276</v>
      </c>
      <c r="H429" s="19" t="s">
        <v>524</v>
      </c>
      <c r="I429" s="3"/>
      <c r="J429" s="21">
        <v>0</v>
      </c>
      <c r="K429" s="21">
        <v>0</v>
      </c>
      <c r="L429" s="21">
        <v>0</v>
      </c>
      <c r="M429" s="21">
        <v>0</v>
      </c>
      <c r="N429" s="21">
        <v>0</v>
      </c>
      <c r="O429" s="21">
        <v>0</v>
      </c>
      <c r="P429" s="21">
        <v>0</v>
      </c>
      <c r="Q429" s="21" t="s">
        <v>2276</v>
      </c>
      <c r="R429" s="21" t="s">
        <v>2276</v>
      </c>
      <c r="S429" s="21">
        <v>0</v>
      </c>
      <c r="T429" s="21">
        <v>0</v>
      </c>
      <c r="U429" s="21">
        <v>0</v>
      </c>
      <c r="V429" s="21">
        <v>0</v>
      </c>
      <c r="W429" s="21">
        <v>0</v>
      </c>
      <c r="X429" s="21">
        <v>0</v>
      </c>
      <c r="Y429" s="21" t="s">
        <v>2276</v>
      </c>
      <c r="Z429" s="3" t="s">
        <v>2276</v>
      </c>
      <c r="AA429" s="3" t="s">
        <v>2276</v>
      </c>
      <c r="AB429" s="3" t="s">
        <v>2276</v>
      </c>
      <c r="AC429" s="18" t="s">
        <v>1978</v>
      </c>
      <c r="AD429" s="4"/>
    </row>
    <row r="430" spans="1:30" ht="56" customHeight="1">
      <c r="A430" s="11" t="s">
        <v>1899</v>
      </c>
      <c r="B430" s="11" t="s">
        <v>1992</v>
      </c>
      <c r="C430" s="23" t="s">
        <v>24</v>
      </c>
      <c r="D430" s="23" t="s">
        <v>27</v>
      </c>
      <c r="E430" s="26" t="s">
        <v>397</v>
      </c>
      <c r="F430" s="19" t="s">
        <v>28</v>
      </c>
      <c r="G430" s="11" t="s">
        <v>2276</v>
      </c>
      <c r="H430" s="19" t="s">
        <v>524</v>
      </c>
      <c r="I430" s="3"/>
      <c r="J430" s="21">
        <v>0</v>
      </c>
      <c r="K430" s="21">
        <v>0</v>
      </c>
      <c r="L430" s="21">
        <v>0</v>
      </c>
      <c r="M430" s="21">
        <v>0</v>
      </c>
      <c r="N430" s="21">
        <v>0</v>
      </c>
      <c r="O430" s="21">
        <v>0</v>
      </c>
      <c r="P430" s="21">
        <v>0</v>
      </c>
      <c r="Q430" s="21" t="s">
        <v>2276</v>
      </c>
      <c r="R430" s="21" t="s">
        <v>2276</v>
      </c>
      <c r="S430" s="21">
        <v>0</v>
      </c>
      <c r="T430" s="21">
        <v>0</v>
      </c>
      <c r="U430" s="21">
        <v>0</v>
      </c>
      <c r="V430" s="21">
        <v>0</v>
      </c>
      <c r="W430" s="21">
        <v>0</v>
      </c>
      <c r="X430" s="21">
        <v>0</v>
      </c>
      <c r="Y430" s="21" t="s">
        <v>2276</v>
      </c>
      <c r="Z430" s="3" t="s">
        <v>2276</v>
      </c>
      <c r="AA430" s="3" t="s">
        <v>2276</v>
      </c>
      <c r="AB430" s="3" t="s">
        <v>2276</v>
      </c>
      <c r="AC430" s="3" t="s">
        <v>1966</v>
      </c>
      <c r="AD430" s="4"/>
    </row>
    <row r="431" spans="1:30" ht="56" customHeight="1">
      <c r="A431" s="11" t="s">
        <v>1900</v>
      </c>
      <c r="B431" s="11" t="s">
        <v>1992</v>
      </c>
      <c r="C431" s="23" t="s">
        <v>24</v>
      </c>
      <c r="D431" s="23" t="s">
        <v>27</v>
      </c>
      <c r="E431" s="26" t="s">
        <v>397</v>
      </c>
      <c r="F431" s="19" t="s">
        <v>28</v>
      </c>
      <c r="G431" s="11" t="s">
        <v>2276</v>
      </c>
      <c r="H431" s="19" t="s">
        <v>524</v>
      </c>
      <c r="I431" s="3"/>
      <c r="J431" s="21">
        <v>0</v>
      </c>
      <c r="K431" s="21">
        <v>0</v>
      </c>
      <c r="L431" s="21">
        <v>0</v>
      </c>
      <c r="M431" s="21">
        <v>0</v>
      </c>
      <c r="N431" s="21">
        <v>0</v>
      </c>
      <c r="O431" s="21">
        <v>0</v>
      </c>
      <c r="P431" s="21">
        <v>0</v>
      </c>
      <c r="Q431" s="21" t="s">
        <v>2276</v>
      </c>
      <c r="R431" s="21" t="s">
        <v>2276</v>
      </c>
      <c r="S431" s="21">
        <v>0</v>
      </c>
      <c r="T431" s="21">
        <v>0</v>
      </c>
      <c r="U431" s="21">
        <v>0</v>
      </c>
      <c r="V431" s="21">
        <v>0</v>
      </c>
      <c r="W431" s="21">
        <v>0</v>
      </c>
      <c r="X431" s="21">
        <v>0</v>
      </c>
      <c r="Y431" s="21" t="s">
        <v>2276</v>
      </c>
      <c r="Z431" s="3" t="s">
        <v>2276</v>
      </c>
      <c r="AA431" s="3" t="s">
        <v>2276</v>
      </c>
      <c r="AB431" s="3" t="s">
        <v>2276</v>
      </c>
      <c r="AC431" s="3" t="s">
        <v>1966</v>
      </c>
      <c r="AD431" s="4"/>
    </row>
    <row r="432" spans="1:30" ht="56" customHeight="1">
      <c r="A432" s="11" t="s">
        <v>1902</v>
      </c>
      <c r="B432" s="11" t="s">
        <v>1993</v>
      </c>
      <c r="C432" s="23" t="s">
        <v>24</v>
      </c>
      <c r="D432" s="23" t="s">
        <v>27</v>
      </c>
      <c r="E432" s="26" t="s">
        <v>130</v>
      </c>
      <c r="F432" s="19" t="s">
        <v>161</v>
      </c>
      <c r="G432" s="11" t="s">
        <v>2276</v>
      </c>
      <c r="H432" s="19" t="s">
        <v>524</v>
      </c>
      <c r="I432" s="3"/>
      <c r="J432" s="21">
        <v>0</v>
      </c>
      <c r="K432" s="21">
        <v>0</v>
      </c>
      <c r="L432" s="21">
        <v>0</v>
      </c>
      <c r="M432" s="21">
        <v>0</v>
      </c>
      <c r="N432" s="21">
        <v>0</v>
      </c>
      <c r="O432" s="21">
        <v>0</v>
      </c>
      <c r="P432" s="21">
        <v>0</v>
      </c>
      <c r="Q432" s="21" t="s">
        <v>2276</v>
      </c>
      <c r="R432" s="21" t="s">
        <v>2276</v>
      </c>
      <c r="S432" s="21">
        <v>0</v>
      </c>
      <c r="T432" s="21">
        <v>0</v>
      </c>
      <c r="U432" s="21">
        <v>0</v>
      </c>
      <c r="V432" s="21">
        <v>0</v>
      </c>
      <c r="W432" s="21">
        <v>0</v>
      </c>
      <c r="X432" s="21">
        <v>0</v>
      </c>
      <c r="Y432" s="21" t="s">
        <v>2276</v>
      </c>
      <c r="Z432" s="3" t="s">
        <v>2276</v>
      </c>
      <c r="AA432" s="3" t="s">
        <v>2276</v>
      </c>
      <c r="AB432" s="3" t="s">
        <v>2276</v>
      </c>
      <c r="AC432" s="4" t="s">
        <v>1960</v>
      </c>
      <c r="AD432" s="4"/>
    </row>
    <row r="433" spans="1:30" ht="56" customHeight="1">
      <c r="A433" s="11" t="s">
        <v>1901</v>
      </c>
      <c r="B433" s="11" t="s">
        <v>1994</v>
      </c>
      <c r="C433" s="23" t="s">
        <v>24</v>
      </c>
      <c r="D433" s="23" t="s">
        <v>27</v>
      </c>
      <c r="E433" s="26" t="s">
        <v>397</v>
      </c>
      <c r="F433" s="19" t="s">
        <v>28</v>
      </c>
      <c r="G433" s="11" t="s">
        <v>2276</v>
      </c>
      <c r="H433" s="19" t="s">
        <v>524</v>
      </c>
      <c r="I433" s="3"/>
      <c r="J433" s="21">
        <v>0</v>
      </c>
      <c r="K433" s="21">
        <v>0</v>
      </c>
      <c r="L433" s="21">
        <v>0</v>
      </c>
      <c r="M433" s="21">
        <v>0</v>
      </c>
      <c r="N433" s="21">
        <v>0</v>
      </c>
      <c r="O433" s="21">
        <v>0</v>
      </c>
      <c r="P433" s="21">
        <v>0</v>
      </c>
      <c r="Q433" s="21" t="s">
        <v>2276</v>
      </c>
      <c r="R433" s="21" t="s">
        <v>2276</v>
      </c>
      <c r="S433" s="21">
        <v>0</v>
      </c>
      <c r="T433" s="21">
        <v>0</v>
      </c>
      <c r="U433" s="21">
        <v>0</v>
      </c>
      <c r="V433" s="21">
        <v>0</v>
      </c>
      <c r="W433" s="21">
        <v>0</v>
      </c>
      <c r="X433" s="21">
        <v>0</v>
      </c>
      <c r="Y433" s="21" t="s">
        <v>2276</v>
      </c>
      <c r="Z433" s="3" t="s">
        <v>2276</v>
      </c>
      <c r="AA433" s="3" t="s">
        <v>2276</v>
      </c>
      <c r="AB433" s="3" t="s">
        <v>2276</v>
      </c>
      <c r="AC433" s="3" t="s">
        <v>1966</v>
      </c>
      <c r="AD433" s="4"/>
    </row>
    <row r="434" spans="1:30" ht="56" customHeight="1">
      <c r="A434" s="11" t="s">
        <v>1903</v>
      </c>
      <c r="B434" s="11" t="s">
        <v>1995</v>
      </c>
      <c r="C434" s="23" t="s">
        <v>24</v>
      </c>
      <c r="D434" s="23" t="s">
        <v>27</v>
      </c>
      <c r="E434" s="26" t="s">
        <v>397</v>
      </c>
      <c r="F434" s="19" t="s">
        <v>28</v>
      </c>
      <c r="G434" s="11" t="s">
        <v>2276</v>
      </c>
      <c r="H434" s="19" t="s">
        <v>524</v>
      </c>
      <c r="I434" s="3"/>
      <c r="J434" s="21">
        <v>0</v>
      </c>
      <c r="K434" s="21">
        <v>0</v>
      </c>
      <c r="L434" s="21">
        <v>0</v>
      </c>
      <c r="M434" s="21">
        <v>0</v>
      </c>
      <c r="N434" s="21">
        <v>0</v>
      </c>
      <c r="O434" s="21">
        <v>0</v>
      </c>
      <c r="P434" s="21">
        <v>0</v>
      </c>
      <c r="Q434" s="21" t="s">
        <v>2276</v>
      </c>
      <c r="R434" s="21" t="s">
        <v>2276</v>
      </c>
      <c r="S434" s="21">
        <v>0</v>
      </c>
      <c r="T434" s="21">
        <v>0</v>
      </c>
      <c r="U434" s="21">
        <v>0</v>
      </c>
      <c r="V434" s="21">
        <v>0</v>
      </c>
      <c r="W434" s="21">
        <v>0</v>
      </c>
      <c r="X434" s="21">
        <v>0</v>
      </c>
      <c r="Y434" s="21" t="s">
        <v>2276</v>
      </c>
      <c r="Z434" s="3" t="s">
        <v>2276</v>
      </c>
      <c r="AA434" s="3" t="s">
        <v>2276</v>
      </c>
      <c r="AB434" s="3" t="s">
        <v>2276</v>
      </c>
      <c r="AC434" s="3" t="s">
        <v>1966</v>
      </c>
      <c r="AD434" s="4"/>
    </row>
    <row r="435" spans="1:30" ht="56" customHeight="1">
      <c r="A435" s="11" t="s">
        <v>1904</v>
      </c>
      <c r="B435" s="11" t="s">
        <v>1996</v>
      </c>
      <c r="C435" s="23" t="s">
        <v>24</v>
      </c>
      <c r="D435" s="23" t="s">
        <v>27</v>
      </c>
      <c r="E435" s="26" t="s">
        <v>397</v>
      </c>
      <c r="F435" s="19" t="s">
        <v>28</v>
      </c>
      <c r="G435" s="11" t="s">
        <v>2276</v>
      </c>
      <c r="H435" s="19" t="s">
        <v>524</v>
      </c>
      <c r="I435" s="3"/>
      <c r="J435" s="21">
        <v>0</v>
      </c>
      <c r="K435" s="21">
        <v>0</v>
      </c>
      <c r="L435" s="21">
        <v>0</v>
      </c>
      <c r="M435" s="21">
        <v>0</v>
      </c>
      <c r="N435" s="21">
        <v>0</v>
      </c>
      <c r="O435" s="21">
        <v>0</v>
      </c>
      <c r="P435" s="21">
        <v>0</v>
      </c>
      <c r="Q435" s="21" t="s">
        <v>2276</v>
      </c>
      <c r="R435" s="21" t="s">
        <v>2276</v>
      </c>
      <c r="S435" s="21">
        <v>0</v>
      </c>
      <c r="T435" s="21">
        <v>0</v>
      </c>
      <c r="U435" s="21">
        <v>0</v>
      </c>
      <c r="V435" s="21">
        <v>0</v>
      </c>
      <c r="W435" s="21">
        <v>0</v>
      </c>
      <c r="X435" s="21">
        <v>0</v>
      </c>
      <c r="Y435" s="21" t="s">
        <v>2276</v>
      </c>
      <c r="Z435" s="3" t="s">
        <v>2276</v>
      </c>
      <c r="AA435" s="3" t="s">
        <v>2276</v>
      </c>
      <c r="AB435" s="3" t="s">
        <v>2276</v>
      </c>
      <c r="AC435" s="3" t="s">
        <v>1966</v>
      </c>
      <c r="AD435" s="4"/>
    </row>
    <row r="436" spans="1:30" ht="56" customHeight="1">
      <c r="A436" s="11" t="s">
        <v>1905</v>
      </c>
      <c r="B436" s="11" t="s">
        <v>1997</v>
      </c>
      <c r="C436" s="23" t="s">
        <v>24</v>
      </c>
      <c r="D436" s="23" t="s">
        <v>27</v>
      </c>
      <c r="E436" s="26" t="s">
        <v>130</v>
      </c>
      <c r="F436" s="19" t="s">
        <v>161</v>
      </c>
      <c r="G436" s="11" t="s">
        <v>2276</v>
      </c>
      <c r="H436" s="19" t="s">
        <v>523</v>
      </c>
      <c r="I436" s="3"/>
      <c r="J436" s="21" t="s">
        <v>2276</v>
      </c>
      <c r="K436" s="21" t="s">
        <v>2276</v>
      </c>
      <c r="L436" s="21" t="s">
        <v>2276</v>
      </c>
      <c r="M436" s="21" t="s">
        <v>2276</v>
      </c>
      <c r="N436" s="21" t="s">
        <v>2276</v>
      </c>
      <c r="O436" s="21" t="s">
        <v>2276</v>
      </c>
      <c r="P436" s="21" t="s">
        <v>2276</v>
      </c>
      <c r="Q436" s="21" t="s">
        <v>2276</v>
      </c>
      <c r="R436" s="21" t="s">
        <v>2276</v>
      </c>
      <c r="S436" s="21" t="s">
        <v>2276</v>
      </c>
      <c r="T436" s="21" t="s">
        <v>2276</v>
      </c>
      <c r="U436" s="21" t="s">
        <v>2276</v>
      </c>
      <c r="V436" s="21" t="s">
        <v>2276</v>
      </c>
      <c r="W436" s="21" t="s">
        <v>2276</v>
      </c>
      <c r="X436" s="21" t="s">
        <v>2276</v>
      </c>
      <c r="Y436" s="21" t="s">
        <v>2276</v>
      </c>
      <c r="Z436" s="3" t="s">
        <v>2276</v>
      </c>
      <c r="AA436" s="3" t="s">
        <v>2276</v>
      </c>
      <c r="AB436" s="3" t="s">
        <v>2276</v>
      </c>
      <c r="AC436" s="4" t="s">
        <v>1971</v>
      </c>
      <c r="AD436" s="4"/>
    </row>
    <row r="437" spans="1:30" ht="56" customHeight="1">
      <c r="A437" s="11" t="s">
        <v>1906</v>
      </c>
      <c r="B437" s="11" t="s">
        <v>1998</v>
      </c>
      <c r="C437" s="23" t="s">
        <v>24</v>
      </c>
      <c r="D437" s="23" t="s">
        <v>27</v>
      </c>
      <c r="E437" s="26" t="s">
        <v>130</v>
      </c>
      <c r="F437" s="19" t="s">
        <v>161</v>
      </c>
      <c r="G437" s="11" t="s">
        <v>2276</v>
      </c>
      <c r="H437" s="19" t="s">
        <v>523</v>
      </c>
      <c r="I437" s="3"/>
      <c r="J437" s="21" t="s">
        <v>2276</v>
      </c>
      <c r="K437" s="21" t="s">
        <v>2276</v>
      </c>
      <c r="L437" s="21" t="s">
        <v>2276</v>
      </c>
      <c r="M437" s="21" t="s">
        <v>2276</v>
      </c>
      <c r="N437" s="21" t="s">
        <v>2276</v>
      </c>
      <c r="O437" s="21" t="s">
        <v>2276</v>
      </c>
      <c r="P437" s="21" t="s">
        <v>2276</v>
      </c>
      <c r="Q437" s="21" t="s">
        <v>2276</v>
      </c>
      <c r="R437" s="21" t="s">
        <v>2276</v>
      </c>
      <c r="S437" s="21" t="s">
        <v>2276</v>
      </c>
      <c r="T437" s="21" t="s">
        <v>2276</v>
      </c>
      <c r="U437" s="21" t="s">
        <v>2276</v>
      </c>
      <c r="V437" s="21" t="s">
        <v>2276</v>
      </c>
      <c r="W437" s="21" t="s">
        <v>2276</v>
      </c>
      <c r="X437" s="21" t="s">
        <v>2276</v>
      </c>
      <c r="Y437" s="21" t="s">
        <v>2276</v>
      </c>
      <c r="Z437" s="3" t="s">
        <v>2276</v>
      </c>
      <c r="AA437" s="3" t="s">
        <v>2276</v>
      </c>
      <c r="AB437" s="3" t="s">
        <v>2276</v>
      </c>
      <c r="AC437" s="4" t="s">
        <v>1971</v>
      </c>
      <c r="AD437" s="4"/>
    </row>
    <row r="438" spans="1:30" ht="56" customHeight="1">
      <c r="A438" s="11" t="s">
        <v>1907</v>
      </c>
      <c r="B438" s="11" t="s">
        <v>1999</v>
      </c>
      <c r="C438" s="23" t="s">
        <v>24</v>
      </c>
      <c r="D438" s="23" t="s">
        <v>27</v>
      </c>
      <c r="E438" s="26" t="s">
        <v>130</v>
      </c>
      <c r="F438" s="19" t="s">
        <v>74</v>
      </c>
      <c r="G438" s="11" t="s">
        <v>2276</v>
      </c>
      <c r="H438" s="19" t="s">
        <v>523</v>
      </c>
      <c r="I438" s="3"/>
      <c r="J438" s="21" t="s">
        <v>2276</v>
      </c>
      <c r="K438" s="21" t="s">
        <v>2276</v>
      </c>
      <c r="L438" s="21" t="s">
        <v>2276</v>
      </c>
      <c r="M438" s="21" t="s">
        <v>2276</v>
      </c>
      <c r="N438" s="21" t="s">
        <v>2276</v>
      </c>
      <c r="O438" s="21" t="s">
        <v>2276</v>
      </c>
      <c r="P438" s="21" t="s">
        <v>2276</v>
      </c>
      <c r="Q438" s="21" t="s">
        <v>2276</v>
      </c>
      <c r="R438" s="21" t="s">
        <v>2276</v>
      </c>
      <c r="S438" s="21" t="s">
        <v>2276</v>
      </c>
      <c r="T438" s="21" t="s">
        <v>2276</v>
      </c>
      <c r="U438" s="21" t="s">
        <v>2276</v>
      </c>
      <c r="V438" s="21" t="s">
        <v>2276</v>
      </c>
      <c r="W438" s="21" t="s">
        <v>2276</v>
      </c>
      <c r="X438" s="21" t="s">
        <v>2276</v>
      </c>
      <c r="Y438" s="21" t="s">
        <v>2276</v>
      </c>
      <c r="Z438" s="3" t="s">
        <v>2276</v>
      </c>
      <c r="AA438" s="3" t="s">
        <v>2276</v>
      </c>
      <c r="AB438" s="3" t="s">
        <v>2276</v>
      </c>
      <c r="AC438" s="4" t="s">
        <v>1970</v>
      </c>
      <c r="AD438" s="4"/>
    </row>
    <row r="439" spans="1:30" ht="56" customHeight="1">
      <c r="A439" s="11" t="s">
        <v>1907</v>
      </c>
      <c r="B439" s="11" t="s">
        <v>2000</v>
      </c>
      <c r="C439" s="23" t="s">
        <v>24</v>
      </c>
      <c r="D439" s="23" t="s">
        <v>27</v>
      </c>
      <c r="E439" s="26" t="s">
        <v>130</v>
      </c>
      <c r="F439" s="19" t="s">
        <v>161</v>
      </c>
      <c r="G439" s="11" t="s">
        <v>2276</v>
      </c>
      <c r="H439" s="19" t="s">
        <v>523</v>
      </c>
      <c r="I439" s="3"/>
      <c r="J439" s="21" t="s">
        <v>2276</v>
      </c>
      <c r="K439" s="21" t="s">
        <v>2276</v>
      </c>
      <c r="L439" s="21" t="s">
        <v>2276</v>
      </c>
      <c r="M439" s="21" t="s">
        <v>2276</v>
      </c>
      <c r="N439" s="21" t="s">
        <v>2276</v>
      </c>
      <c r="O439" s="21" t="s">
        <v>2276</v>
      </c>
      <c r="P439" s="21" t="s">
        <v>2276</v>
      </c>
      <c r="Q439" s="21" t="s">
        <v>2276</v>
      </c>
      <c r="R439" s="21" t="s">
        <v>2276</v>
      </c>
      <c r="S439" s="21" t="s">
        <v>2276</v>
      </c>
      <c r="T439" s="21" t="s">
        <v>2276</v>
      </c>
      <c r="U439" s="21" t="s">
        <v>2276</v>
      </c>
      <c r="V439" s="21" t="s">
        <v>2276</v>
      </c>
      <c r="W439" s="21" t="s">
        <v>2276</v>
      </c>
      <c r="X439" s="21" t="s">
        <v>2276</v>
      </c>
      <c r="Y439" s="21" t="s">
        <v>2276</v>
      </c>
      <c r="Z439" s="3" t="s">
        <v>2276</v>
      </c>
      <c r="AA439" s="3" t="s">
        <v>2276</v>
      </c>
      <c r="AB439" s="3" t="s">
        <v>2276</v>
      </c>
      <c r="AC439" s="4" t="s">
        <v>1970</v>
      </c>
      <c r="AD439" s="4"/>
    </row>
    <row r="440" spans="1:30" ht="56" customHeight="1">
      <c r="A440" s="11" t="s">
        <v>1908</v>
      </c>
      <c r="B440" s="11" t="s">
        <v>2001</v>
      </c>
      <c r="C440" s="23" t="s">
        <v>24</v>
      </c>
      <c r="D440" s="23" t="s">
        <v>27</v>
      </c>
      <c r="E440" s="26" t="s">
        <v>130</v>
      </c>
      <c r="F440" s="19" t="s">
        <v>161</v>
      </c>
      <c r="G440" s="11" t="s">
        <v>2276</v>
      </c>
      <c r="H440" s="19" t="s">
        <v>523</v>
      </c>
      <c r="I440" s="3"/>
      <c r="J440" s="21" t="s">
        <v>2276</v>
      </c>
      <c r="K440" s="21" t="s">
        <v>2276</v>
      </c>
      <c r="L440" s="21" t="s">
        <v>2276</v>
      </c>
      <c r="M440" s="21" t="s">
        <v>2276</v>
      </c>
      <c r="N440" s="21" t="s">
        <v>2276</v>
      </c>
      <c r="O440" s="21" t="s">
        <v>2276</v>
      </c>
      <c r="P440" s="21" t="s">
        <v>2276</v>
      </c>
      <c r="Q440" s="21" t="s">
        <v>2276</v>
      </c>
      <c r="R440" s="21" t="s">
        <v>2276</v>
      </c>
      <c r="S440" s="21" t="s">
        <v>2276</v>
      </c>
      <c r="T440" s="21" t="s">
        <v>2276</v>
      </c>
      <c r="U440" s="21" t="s">
        <v>2276</v>
      </c>
      <c r="V440" s="21" t="s">
        <v>2276</v>
      </c>
      <c r="W440" s="21" t="s">
        <v>2276</v>
      </c>
      <c r="X440" s="21" t="s">
        <v>2276</v>
      </c>
      <c r="Y440" s="21" t="s">
        <v>2276</v>
      </c>
      <c r="Z440" s="3" t="s">
        <v>2276</v>
      </c>
      <c r="AA440" s="3" t="s">
        <v>2276</v>
      </c>
      <c r="AB440" s="3" t="s">
        <v>2276</v>
      </c>
      <c r="AC440" s="4" t="s">
        <v>1971</v>
      </c>
      <c r="AD440" s="4"/>
    </row>
    <row r="441" spans="1:30" ht="56" customHeight="1">
      <c r="A441" s="11" t="s">
        <v>1909</v>
      </c>
      <c r="B441" s="11" t="s">
        <v>2002</v>
      </c>
      <c r="C441" s="23" t="s">
        <v>24</v>
      </c>
      <c r="D441" s="23" t="s">
        <v>27</v>
      </c>
      <c r="E441" s="26" t="s">
        <v>130</v>
      </c>
      <c r="F441" s="19" t="s">
        <v>161</v>
      </c>
      <c r="G441" s="11" t="s">
        <v>2276</v>
      </c>
      <c r="H441" s="19" t="s">
        <v>523</v>
      </c>
      <c r="I441" s="3"/>
      <c r="J441" s="21" t="s">
        <v>2276</v>
      </c>
      <c r="K441" s="21" t="s">
        <v>2276</v>
      </c>
      <c r="L441" s="21" t="s">
        <v>2276</v>
      </c>
      <c r="M441" s="21" t="s">
        <v>2276</v>
      </c>
      <c r="N441" s="21" t="s">
        <v>2276</v>
      </c>
      <c r="O441" s="21" t="s">
        <v>2276</v>
      </c>
      <c r="P441" s="21" t="s">
        <v>2276</v>
      </c>
      <c r="Q441" s="21" t="s">
        <v>2276</v>
      </c>
      <c r="R441" s="21" t="s">
        <v>2276</v>
      </c>
      <c r="S441" s="21" t="s">
        <v>2276</v>
      </c>
      <c r="T441" s="21" t="s">
        <v>2276</v>
      </c>
      <c r="U441" s="21" t="s">
        <v>2276</v>
      </c>
      <c r="V441" s="21" t="s">
        <v>2276</v>
      </c>
      <c r="W441" s="21" t="s">
        <v>2276</v>
      </c>
      <c r="X441" s="21" t="s">
        <v>2276</v>
      </c>
      <c r="Y441" s="21" t="s">
        <v>2276</v>
      </c>
      <c r="Z441" s="3" t="s">
        <v>2276</v>
      </c>
      <c r="AA441" s="3" t="s">
        <v>2276</v>
      </c>
      <c r="AB441" s="3" t="s">
        <v>2276</v>
      </c>
      <c r="AC441" s="4" t="s">
        <v>1971</v>
      </c>
      <c r="AD441" s="4"/>
    </row>
    <row r="442" spans="1:30" ht="56" customHeight="1">
      <c r="A442" s="11" t="s">
        <v>1910</v>
      </c>
      <c r="B442" s="11" t="s">
        <v>2003</v>
      </c>
      <c r="C442" s="23" t="s">
        <v>24</v>
      </c>
      <c r="D442" s="23" t="s">
        <v>27</v>
      </c>
      <c r="E442" s="26" t="s">
        <v>397</v>
      </c>
      <c r="F442" s="19" t="s">
        <v>28</v>
      </c>
      <c r="G442" s="11" t="s">
        <v>2276</v>
      </c>
      <c r="H442" s="19" t="s">
        <v>524</v>
      </c>
      <c r="I442" s="3"/>
      <c r="J442" s="21">
        <v>0</v>
      </c>
      <c r="K442" s="21">
        <v>0</v>
      </c>
      <c r="L442" s="21">
        <v>0</v>
      </c>
      <c r="M442" s="21">
        <v>0</v>
      </c>
      <c r="N442" s="21">
        <v>0</v>
      </c>
      <c r="O442" s="21">
        <v>0</v>
      </c>
      <c r="P442" s="21">
        <v>0</v>
      </c>
      <c r="Q442" s="21" t="s">
        <v>2276</v>
      </c>
      <c r="R442" s="21" t="s">
        <v>2276</v>
      </c>
      <c r="S442" s="21">
        <v>0</v>
      </c>
      <c r="T442" s="21">
        <v>0</v>
      </c>
      <c r="U442" s="21">
        <v>0</v>
      </c>
      <c r="V442" s="21">
        <v>0</v>
      </c>
      <c r="W442" s="21">
        <v>0</v>
      </c>
      <c r="X442" s="21">
        <v>0</v>
      </c>
      <c r="Y442" s="21" t="s">
        <v>2276</v>
      </c>
      <c r="Z442" s="3" t="s">
        <v>2276</v>
      </c>
      <c r="AA442" s="3" t="s">
        <v>2276</v>
      </c>
      <c r="AB442" s="3" t="s">
        <v>2276</v>
      </c>
      <c r="AC442" s="3" t="s">
        <v>1966</v>
      </c>
      <c r="AD442" s="4"/>
    </row>
    <row r="443" spans="1:30" ht="55" customHeight="1">
      <c r="A443" s="11" t="s">
        <v>588</v>
      </c>
      <c r="B443" s="11" t="s">
        <v>591</v>
      </c>
      <c r="C443" s="23" t="s">
        <v>24</v>
      </c>
      <c r="D443" s="23" t="s">
        <v>27</v>
      </c>
      <c r="E443" s="26" t="s">
        <v>130</v>
      </c>
      <c r="F443" s="19" t="s">
        <v>161</v>
      </c>
      <c r="G443" s="11" t="s">
        <v>2276</v>
      </c>
      <c r="H443" s="19" t="s">
        <v>523</v>
      </c>
      <c r="I443" s="3"/>
      <c r="J443" s="3" t="s">
        <v>2276</v>
      </c>
      <c r="K443" s="3" t="s">
        <v>2276</v>
      </c>
      <c r="L443" s="3" t="s">
        <v>2276</v>
      </c>
      <c r="M443" s="3" t="s">
        <v>2276</v>
      </c>
      <c r="N443" s="3" t="s">
        <v>2276</v>
      </c>
      <c r="O443" s="3" t="s">
        <v>2276</v>
      </c>
      <c r="P443" s="3" t="s">
        <v>2276</v>
      </c>
      <c r="Q443" s="21" t="s">
        <v>2276</v>
      </c>
      <c r="R443" s="21" t="s">
        <v>2276</v>
      </c>
      <c r="S443" s="3" t="s">
        <v>2276</v>
      </c>
      <c r="T443" s="3" t="s">
        <v>2276</v>
      </c>
      <c r="U443" s="3" t="s">
        <v>2276</v>
      </c>
      <c r="V443" s="3" t="s">
        <v>2276</v>
      </c>
      <c r="W443" s="3" t="s">
        <v>2276</v>
      </c>
      <c r="X443" s="3" t="s">
        <v>2276</v>
      </c>
      <c r="Y443" s="3" t="s">
        <v>2276</v>
      </c>
      <c r="Z443" s="3" t="s">
        <v>2276</v>
      </c>
      <c r="AA443" s="3" t="s">
        <v>2276</v>
      </c>
      <c r="AB443" s="3" t="s">
        <v>2276</v>
      </c>
      <c r="AC443" s="4" t="s">
        <v>2009</v>
      </c>
      <c r="AD443" s="4" t="s">
        <v>709</v>
      </c>
    </row>
    <row r="444" spans="1:30" ht="103" customHeight="1">
      <c r="A444" s="11" t="s">
        <v>588</v>
      </c>
      <c r="B444" s="11" t="s">
        <v>593</v>
      </c>
      <c r="C444" s="23" t="s">
        <v>24</v>
      </c>
      <c r="D444" s="23" t="s">
        <v>143</v>
      </c>
      <c r="E444" s="26" t="s">
        <v>130</v>
      </c>
      <c r="F444" s="19" t="s">
        <v>74</v>
      </c>
      <c r="G444" s="19" t="s">
        <v>74</v>
      </c>
      <c r="H444" s="19" t="s">
        <v>523</v>
      </c>
      <c r="I444" s="3"/>
      <c r="J444" s="3" t="s">
        <v>2276</v>
      </c>
      <c r="K444" s="3" t="s">
        <v>2276</v>
      </c>
      <c r="L444" s="3" t="s">
        <v>2276</v>
      </c>
      <c r="M444" s="3" t="s">
        <v>2276</v>
      </c>
      <c r="N444" s="3" t="s">
        <v>2276</v>
      </c>
      <c r="O444" s="3" t="s">
        <v>2276</v>
      </c>
      <c r="P444" s="3" t="s">
        <v>2276</v>
      </c>
      <c r="Q444" s="21" t="s">
        <v>2276</v>
      </c>
      <c r="R444" s="21" t="s">
        <v>2276</v>
      </c>
      <c r="S444" s="3" t="s">
        <v>2276</v>
      </c>
      <c r="T444" s="3" t="s">
        <v>2276</v>
      </c>
      <c r="U444" s="3" t="s">
        <v>2276</v>
      </c>
      <c r="V444" s="3" t="s">
        <v>2276</v>
      </c>
      <c r="W444" s="3" t="s">
        <v>2276</v>
      </c>
      <c r="X444" s="3" t="s">
        <v>2276</v>
      </c>
      <c r="Y444" s="3" t="s">
        <v>2276</v>
      </c>
      <c r="Z444" s="3" t="s">
        <v>2276</v>
      </c>
      <c r="AA444" s="3" t="s">
        <v>2276</v>
      </c>
      <c r="AB444" s="3" t="s">
        <v>2276</v>
      </c>
      <c r="AC444" s="3"/>
      <c r="AD444" s="4" t="s">
        <v>2008</v>
      </c>
    </row>
    <row r="445" spans="1:30" ht="51" customHeight="1">
      <c r="A445" s="11" t="s">
        <v>592</v>
      </c>
      <c r="B445" s="11" t="s">
        <v>598</v>
      </c>
      <c r="C445" s="23" t="s">
        <v>24</v>
      </c>
      <c r="D445" s="23" t="s">
        <v>27</v>
      </c>
      <c r="E445" s="26" t="s">
        <v>130</v>
      </c>
      <c r="F445" s="19" t="s">
        <v>161</v>
      </c>
      <c r="G445" s="11" t="s">
        <v>2276</v>
      </c>
      <c r="H445" s="19" t="s">
        <v>523</v>
      </c>
      <c r="I445" s="3"/>
      <c r="J445" s="3" t="s">
        <v>2276</v>
      </c>
      <c r="K445" s="3" t="s">
        <v>2276</v>
      </c>
      <c r="L445" s="3" t="s">
        <v>2276</v>
      </c>
      <c r="M445" s="3" t="s">
        <v>2276</v>
      </c>
      <c r="N445" s="3" t="s">
        <v>2276</v>
      </c>
      <c r="O445" s="3" t="s">
        <v>2276</v>
      </c>
      <c r="P445" s="3" t="s">
        <v>2276</v>
      </c>
      <c r="Q445" s="21" t="s">
        <v>2276</v>
      </c>
      <c r="R445" s="21" t="s">
        <v>2276</v>
      </c>
      <c r="S445" s="3" t="s">
        <v>2276</v>
      </c>
      <c r="T445" s="3" t="s">
        <v>2276</v>
      </c>
      <c r="U445" s="3" t="s">
        <v>2276</v>
      </c>
      <c r="V445" s="3" t="s">
        <v>2276</v>
      </c>
      <c r="W445" s="3" t="s">
        <v>2276</v>
      </c>
      <c r="X445" s="3" t="s">
        <v>2276</v>
      </c>
      <c r="Y445" s="3" t="s">
        <v>2276</v>
      </c>
      <c r="Z445" s="3" t="s">
        <v>2276</v>
      </c>
      <c r="AA445" s="3" t="s">
        <v>2276</v>
      </c>
      <c r="AB445" s="3" t="s">
        <v>2276</v>
      </c>
      <c r="AC445" s="4" t="s">
        <v>2009</v>
      </c>
      <c r="AD445" s="4" t="s">
        <v>709</v>
      </c>
    </row>
    <row r="446" spans="1:30" ht="104.5" customHeight="1">
      <c r="A446" s="11" t="s">
        <v>592</v>
      </c>
      <c r="B446" s="11" t="s">
        <v>618</v>
      </c>
      <c r="C446" s="23" t="s">
        <v>24</v>
      </c>
      <c r="D446" s="23" t="s">
        <v>143</v>
      </c>
      <c r="E446" s="26" t="s">
        <v>130</v>
      </c>
      <c r="F446" s="19" t="s">
        <v>74</v>
      </c>
      <c r="G446" s="19" t="s">
        <v>74</v>
      </c>
      <c r="H446" s="19" t="s">
        <v>523</v>
      </c>
      <c r="I446" s="3"/>
      <c r="J446" s="3" t="s">
        <v>2276</v>
      </c>
      <c r="K446" s="3" t="s">
        <v>2276</v>
      </c>
      <c r="L446" s="3" t="s">
        <v>2276</v>
      </c>
      <c r="M446" s="3" t="s">
        <v>2276</v>
      </c>
      <c r="N446" s="3" t="s">
        <v>2276</v>
      </c>
      <c r="O446" s="3" t="s">
        <v>2276</v>
      </c>
      <c r="P446" s="3" t="s">
        <v>2276</v>
      </c>
      <c r="Q446" s="21" t="s">
        <v>2276</v>
      </c>
      <c r="R446" s="21" t="s">
        <v>2276</v>
      </c>
      <c r="S446" s="3" t="s">
        <v>2276</v>
      </c>
      <c r="T446" s="3" t="s">
        <v>2276</v>
      </c>
      <c r="U446" s="3" t="s">
        <v>2276</v>
      </c>
      <c r="V446" s="3" t="s">
        <v>2276</v>
      </c>
      <c r="W446" s="3" t="s">
        <v>2276</v>
      </c>
      <c r="X446" s="3" t="s">
        <v>2276</v>
      </c>
      <c r="Y446" s="3" t="s">
        <v>2276</v>
      </c>
      <c r="Z446" s="3" t="s">
        <v>2276</v>
      </c>
      <c r="AA446" s="3" t="s">
        <v>2276</v>
      </c>
      <c r="AB446" s="3" t="s">
        <v>2276</v>
      </c>
      <c r="AC446" s="3"/>
      <c r="AD446" s="4" t="s">
        <v>2008</v>
      </c>
    </row>
    <row r="447" spans="1:30" ht="67.5" customHeight="1">
      <c r="A447" s="11" t="s">
        <v>594</v>
      </c>
      <c r="B447" s="11" t="s">
        <v>596</v>
      </c>
      <c r="C447" s="23" t="s">
        <v>24</v>
      </c>
      <c r="D447" s="23" t="s">
        <v>27</v>
      </c>
      <c r="E447" s="26" t="s">
        <v>130</v>
      </c>
      <c r="F447" s="19" t="s">
        <v>161</v>
      </c>
      <c r="G447" s="11" t="s">
        <v>2276</v>
      </c>
      <c r="H447" s="19" t="s">
        <v>523</v>
      </c>
      <c r="I447" s="3"/>
      <c r="J447" s="3" t="s">
        <v>2276</v>
      </c>
      <c r="K447" s="3" t="s">
        <v>2276</v>
      </c>
      <c r="L447" s="3" t="s">
        <v>2276</v>
      </c>
      <c r="M447" s="3" t="s">
        <v>2276</v>
      </c>
      <c r="N447" s="3" t="s">
        <v>2276</v>
      </c>
      <c r="O447" s="3" t="s">
        <v>2276</v>
      </c>
      <c r="P447" s="3" t="s">
        <v>2276</v>
      </c>
      <c r="Q447" s="21" t="s">
        <v>2276</v>
      </c>
      <c r="R447" s="21" t="s">
        <v>2276</v>
      </c>
      <c r="S447" s="3" t="s">
        <v>2276</v>
      </c>
      <c r="T447" s="3" t="s">
        <v>2276</v>
      </c>
      <c r="U447" s="3" t="s">
        <v>2276</v>
      </c>
      <c r="V447" s="3" t="s">
        <v>2276</v>
      </c>
      <c r="W447" s="3" t="s">
        <v>2276</v>
      </c>
      <c r="X447" s="3" t="s">
        <v>2276</v>
      </c>
      <c r="Y447" s="3" t="s">
        <v>2276</v>
      </c>
      <c r="Z447" s="3" t="s">
        <v>2276</v>
      </c>
      <c r="AA447" s="3" t="s">
        <v>2276</v>
      </c>
      <c r="AB447" s="3" t="s">
        <v>2276</v>
      </c>
      <c r="AC447" s="4" t="s">
        <v>2009</v>
      </c>
      <c r="AD447" s="4" t="s">
        <v>709</v>
      </c>
    </row>
    <row r="448" spans="1:30" ht="101.5" customHeight="1">
      <c r="A448" s="11" t="s">
        <v>594</v>
      </c>
      <c r="B448" s="11" t="s">
        <v>619</v>
      </c>
      <c r="C448" s="23" t="s">
        <v>24</v>
      </c>
      <c r="D448" s="23" t="s">
        <v>143</v>
      </c>
      <c r="E448" s="26" t="s">
        <v>130</v>
      </c>
      <c r="F448" s="19" t="s">
        <v>74</v>
      </c>
      <c r="G448" s="19" t="s">
        <v>74</v>
      </c>
      <c r="H448" s="19" t="s">
        <v>523</v>
      </c>
      <c r="I448" s="3"/>
      <c r="J448" s="3" t="s">
        <v>2276</v>
      </c>
      <c r="K448" s="3" t="s">
        <v>2276</v>
      </c>
      <c r="L448" s="3" t="s">
        <v>2276</v>
      </c>
      <c r="M448" s="3" t="s">
        <v>2276</v>
      </c>
      <c r="N448" s="3" t="s">
        <v>2276</v>
      </c>
      <c r="O448" s="3" t="s">
        <v>2276</v>
      </c>
      <c r="P448" s="3" t="s">
        <v>2276</v>
      </c>
      <c r="Q448" s="21" t="s">
        <v>2276</v>
      </c>
      <c r="R448" s="21" t="s">
        <v>2276</v>
      </c>
      <c r="S448" s="3" t="s">
        <v>2276</v>
      </c>
      <c r="T448" s="3" t="s">
        <v>2276</v>
      </c>
      <c r="U448" s="3" t="s">
        <v>2276</v>
      </c>
      <c r="V448" s="3" t="s">
        <v>2276</v>
      </c>
      <c r="W448" s="3" t="s">
        <v>2276</v>
      </c>
      <c r="X448" s="3" t="s">
        <v>2276</v>
      </c>
      <c r="Y448" s="3" t="s">
        <v>2276</v>
      </c>
      <c r="Z448" s="3" t="s">
        <v>2276</v>
      </c>
      <c r="AA448" s="3" t="s">
        <v>2276</v>
      </c>
      <c r="AB448" s="3" t="s">
        <v>2276</v>
      </c>
      <c r="AC448" s="3"/>
      <c r="AD448" s="4" t="s">
        <v>2008</v>
      </c>
    </row>
    <row r="449" spans="1:30" ht="63.5" customHeight="1">
      <c r="A449" s="11" t="s">
        <v>597</v>
      </c>
      <c r="B449" s="11" t="s">
        <v>599</v>
      </c>
      <c r="C449" s="23" t="s">
        <v>24</v>
      </c>
      <c r="D449" s="23" t="s">
        <v>27</v>
      </c>
      <c r="E449" s="26" t="s">
        <v>130</v>
      </c>
      <c r="F449" s="19" t="s">
        <v>161</v>
      </c>
      <c r="G449" s="11" t="s">
        <v>2276</v>
      </c>
      <c r="H449" s="19" t="s">
        <v>523</v>
      </c>
      <c r="I449" s="3"/>
      <c r="J449" s="3" t="s">
        <v>2276</v>
      </c>
      <c r="K449" s="3" t="s">
        <v>2276</v>
      </c>
      <c r="L449" s="3" t="s">
        <v>2276</v>
      </c>
      <c r="M449" s="3" t="s">
        <v>2276</v>
      </c>
      <c r="N449" s="3" t="s">
        <v>2276</v>
      </c>
      <c r="O449" s="3" t="s">
        <v>2276</v>
      </c>
      <c r="P449" s="3" t="s">
        <v>2276</v>
      </c>
      <c r="Q449" s="21" t="s">
        <v>2276</v>
      </c>
      <c r="R449" s="21" t="s">
        <v>2276</v>
      </c>
      <c r="S449" s="3" t="s">
        <v>2276</v>
      </c>
      <c r="T449" s="3" t="s">
        <v>2276</v>
      </c>
      <c r="U449" s="3" t="s">
        <v>2276</v>
      </c>
      <c r="V449" s="3" t="s">
        <v>2276</v>
      </c>
      <c r="W449" s="3" t="s">
        <v>2276</v>
      </c>
      <c r="X449" s="3" t="s">
        <v>2276</v>
      </c>
      <c r="Y449" s="3" t="s">
        <v>2276</v>
      </c>
      <c r="Z449" s="3" t="s">
        <v>2276</v>
      </c>
      <c r="AA449" s="3" t="s">
        <v>2276</v>
      </c>
      <c r="AB449" s="3" t="s">
        <v>2276</v>
      </c>
      <c r="AC449" s="4" t="s">
        <v>2009</v>
      </c>
      <c r="AD449" s="4" t="s">
        <v>709</v>
      </c>
    </row>
    <row r="450" spans="1:30" ht="110" customHeight="1">
      <c r="A450" s="11" t="s">
        <v>597</v>
      </c>
      <c r="B450" s="11" t="s">
        <v>620</v>
      </c>
      <c r="C450" s="23" t="s">
        <v>24</v>
      </c>
      <c r="D450" s="23" t="s">
        <v>143</v>
      </c>
      <c r="E450" s="26" t="s">
        <v>130</v>
      </c>
      <c r="F450" s="19" t="s">
        <v>74</v>
      </c>
      <c r="G450" s="19" t="s">
        <v>74</v>
      </c>
      <c r="H450" s="19" t="s">
        <v>523</v>
      </c>
      <c r="I450" s="3"/>
      <c r="J450" s="3" t="s">
        <v>2276</v>
      </c>
      <c r="K450" s="3" t="s">
        <v>2276</v>
      </c>
      <c r="L450" s="3" t="s">
        <v>2276</v>
      </c>
      <c r="M450" s="3" t="s">
        <v>2276</v>
      </c>
      <c r="N450" s="3" t="s">
        <v>2276</v>
      </c>
      <c r="O450" s="3" t="s">
        <v>2276</v>
      </c>
      <c r="P450" s="3" t="s">
        <v>2276</v>
      </c>
      <c r="Q450" s="21" t="s">
        <v>2276</v>
      </c>
      <c r="R450" s="21" t="s">
        <v>2276</v>
      </c>
      <c r="S450" s="3" t="s">
        <v>2276</v>
      </c>
      <c r="T450" s="3" t="s">
        <v>2276</v>
      </c>
      <c r="U450" s="3" t="s">
        <v>2276</v>
      </c>
      <c r="V450" s="3" t="s">
        <v>2276</v>
      </c>
      <c r="W450" s="3" t="s">
        <v>2276</v>
      </c>
      <c r="X450" s="3" t="s">
        <v>2276</v>
      </c>
      <c r="Y450" s="3" t="s">
        <v>2276</v>
      </c>
      <c r="Z450" s="3" t="s">
        <v>2276</v>
      </c>
      <c r="AA450" s="3" t="s">
        <v>2276</v>
      </c>
      <c r="AB450" s="3" t="s">
        <v>2276</v>
      </c>
      <c r="AC450" s="3"/>
      <c r="AD450" s="4" t="s">
        <v>2008</v>
      </c>
    </row>
    <row r="451" spans="1:30" ht="62" customHeight="1">
      <c r="A451" s="11" t="s">
        <v>600</v>
      </c>
      <c r="B451" s="11" t="s">
        <v>601</v>
      </c>
      <c r="C451" s="23" t="s">
        <v>24</v>
      </c>
      <c r="D451" s="23" t="s">
        <v>27</v>
      </c>
      <c r="E451" s="26" t="s">
        <v>130</v>
      </c>
      <c r="F451" s="19" t="s">
        <v>161</v>
      </c>
      <c r="G451" s="11" t="s">
        <v>2276</v>
      </c>
      <c r="H451" s="19" t="s">
        <v>523</v>
      </c>
      <c r="I451" s="3"/>
      <c r="J451" s="3" t="s">
        <v>2276</v>
      </c>
      <c r="K451" s="3" t="s">
        <v>2276</v>
      </c>
      <c r="L451" s="3" t="s">
        <v>2276</v>
      </c>
      <c r="M451" s="3" t="s">
        <v>2276</v>
      </c>
      <c r="N451" s="3" t="s">
        <v>2276</v>
      </c>
      <c r="O451" s="3" t="s">
        <v>2276</v>
      </c>
      <c r="P451" s="3" t="s">
        <v>2276</v>
      </c>
      <c r="Q451" s="21" t="s">
        <v>2276</v>
      </c>
      <c r="R451" s="21" t="s">
        <v>2276</v>
      </c>
      <c r="S451" s="3" t="s">
        <v>2276</v>
      </c>
      <c r="T451" s="3" t="s">
        <v>2276</v>
      </c>
      <c r="U451" s="3" t="s">
        <v>2276</v>
      </c>
      <c r="V451" s="3" t="s">
        <v>2276</v>
      </c>
      <c r="W451" s="3" t="s">
        <v>2276</v>
      </c>
      <c r="X451" s="3" t="s">
        <v>2276</v>
      </c>
      <c r="Y451" s="3" t="s">
        <v>2276</v>
      </c>
      <c r="Z451" s="3" t="s">
        <v>2276</v>
      </c>
      <c r="AA451" s="3" t="s">
        <v>2276</v>
      </c>
      <c r="AB451" s="3" t="s">
        <v>2276</v>
      </c>
      <c r="AC451" s="4" t="s">
        <v>2009</v>
      </c>
      <c r="AD451" s="4" t="s">
        <v>709</v>
      </c>
    </row>
    <row r="452" spans="1:30" ht="114" customHeight="1">
      <c r="A452" s="11" t="s">
        <v>600</v>
      </c>
      <c r="B452" s="11" t="s">
        <v>621</v>
      </c>
      <c r="C452" s="23" t="s">
        <v>24</v>
      </c>
      <c r="D452" s="23" t="s">
        <v>143</v>
      </c>
      <c r="E452" s="26" t="s">
        <v>130</v>
      </c>
      <c r="F452" s="19" t="s">
        <v>74</v>
      </c>
      <c r="G452" s="19" t="s">
        <v>74</v>
      </c>
      <c r="H452" s="19" t="s">
        <v>523</v>
      </c>
      <c r="I452" s="3"/>
      <c r="J452" s="21" t="s">
        <v>2276</v>
      </c>
      <c r="K452" s="21" t="s">
        <v>2276</v>
      </c>
      <c r="L452" s="21" t="s">
        <v>2276</v>
      </c>
      <c r="M452" s="21" t="s">
        <v>2276</v>
      </c>
      <c r="N452" s="21" t="s">
        <v>2276</v>
      </c>
      <c r="O452" s="3" t="s">
        <v>2276</v>
      </c>
      <c r="P452" s="21" t="s">
        <v>2276</v>
      </c>
      <c r="Q452" s="21" t="s">
        <v>2276</v>
      </c>
      <c r="R452" s="21" t="s">
        <v>2276</v>
      </c>
      <c r="S452" s="21" t="s">
        <v>2276</v>
      </c>
      <c r="T452" s="21" t="s">
        <v>2276</v>
      </c>
      <c r="U452" s="21" t="s">
        <v>2276</v>
      </c>
      <c r="V452" s="21" t="s">
        <v>2276</v>
      </c>
      <c r="W452" s="21" t="s">
        <v>2276</v>
      </c>
      <c r="X452" s="21" t="s">
        <v>2276</v>
      </c>
      <c r="Y452" s="21" t="s">
        <v>2276</v>
      </c>
      <c r="Z452" s="3" t="s">
        <v>2276</v>
      </c>
      <c r="AA452" s="3" t="s">
        <v>2276</v>
      </c>
      <c r="AB452" s="3" t="s">
        <v>2276</v>
      </c>
      <c r="AC452" s="3"/>
      <c r="AD452" s="4" t="s">
        <v>2008</v>
      </c>
    </row>
    <row r="453" spans="1:30" ht="43" customHeight="1">
      <c r="A453" s="23" t="s">
        <v>602</v>
      </c>
      <c r="B453" s="23" t="s">
        <v>609</v>
      </c>
      <c r="C453" s="23" t="s">
        <v>24</v>
      </c>
      <c r="D453" s="23" t="s">
        <v>143</v>
      </c>
      <c r="E453" s="26" t="s">
        <v>130</v>
      </c>
      <c r="F453" s="26" t="s">
        <v>74</v>
      </c>
      <c r="G453" s="26" t="s">
        <v>74</v>
      </c>
      <c r="H453" s="26" t="s">
        <v>523</v>
      </c>
      <c r="I453" s="22"/>
      <c r="J453" s="77" t="s">
        <v>2276</v>
      </c>
      <c r="K453" s="77" t="s">
        <v>2276</v>
      </c>
      <c r="L453" s="77" t="s">
        <v>2276</v>
      </c>
      <c r="M453" s="77" t="s">
        <v>2276</v>
      </c>
      <c r="N453" s="77" t="s">
        <v>2276</v>
      </c>
      <c r="O453" s="77" t="s">
        <v>2276</v>
      </c>
      <c r="P453" s="77" t="s">
        <v>2276</v>
      </c>
      <c r="Q453" s="77" t="s">
        <v>2276</v>
      </c>
      <c r="R453" s="77" t="s">
        <v>2276</v>
      </c>
      <c r="S453" s="77" t="s">
        <v>2276</v>
      </c>
      <c r="T453" s="77" t="s">
        <v>2276</v>
      </c>
      <c r="U453" s="77" t="s">
        <v>2276</v>
      </c>
      <c r="V453" s="77" t="s">
        <v>2276</v>
      </c>
      <c r="W453" s="77" t="s">
        <v>2276</v>
      </c>
      <c r="X453" s="77" t="s">
        <v>2276</v>
      </c>
      <c r="Y453" s="77" t="s">
        <v>2276</v>
      </c>
      <c r="Z453" s="22" t="s">
        <v>2276</v>
      </c>
      <c r="AA453" s="22" t="s">
        <v>2276</v>
      </c>
      <c r="AB453" s="22" t="s">
        <v>2276</v>
      </c>
      <c r="AC453" s="22"/>
      <c r="AD453" s="22"/>
    </row>
    <row r="454" spans="1:30" ht="116.5" customHeight="1">
      <c r="A454" s="23" t="s">
        <v>602</v>
      </c>
      <c r="B454" s="23" t="s">
        <v>610</v>
      </c>
      <c r="C454" s="23" t="s">
        <v>24</v>
      </c>
      <c r="D454" s="23" t="s">
        <v>27</v>
      </c>
      <c r="E454" s="26" t="s">
        <v>130</v>
      </c>
      <c r="F454" s="26" t="s">
        <v>161</v>
      </c>
      <c r="G454" s="11" t="s">
        <v>2276</v>
      </c>
      <c r="H454" s="26" t="s">
        <v>523</v>
      </c>
      <c r="I454" s="22"/>
      <c r="J454" s="77" t="s">
        <v>2276</v>
      </c>
      <c r="K454" s="77" t="s">
        <v>2276</v>
      </c>
      <c r="L454" s="77" t="s">
        <v>2276</v>
      </c>
      <c r="M454" s="77" t="s">
        <v>2276</v>
      </c>
      <c r="N454" s="77" t="s">
        <v>2276</v>
      </c>
      <c r="O454" s="77" t="s">
        <v>2276</v>
      </c>
      <c r="P454" s="77" t="s">
        <v>2276</v>
      </c>
      <c r="Q454" s="77" t="s">
        <v>2276</v>
      </c>
      <c r="R454" s="77" t="s">
        <v>2276</v>
      </c>
      <c r="S454" s="77" t="s">
        <v>2276</v>
      </c>
      <c r="T454" s="77" t="s">
        <v>2276</v>
      </c>
      <c r="U454" s="77" t="s">
        <v>2276</v>
      </c>
      <c r="V454" s="77" t="s">
        <v>2276</v>
      </c>
      <c r="W454" s="77" t="s">
        <v>2276</v>
      </c>
      <c r="X454" s="77" t="s">
        <v>2276</v>
      </c>
      <c r="Y454" s="77" t="s">
        <v>2276</v>
      </c>
      <c r="Z454" s="22" t="s">
        <v>2276</v>
      </c>
      <c r="AA454" s="22" t="s">
        <v>2276</v>
      </c>
      <c r="AB454" s="22" t="s">
        <v>2276</v>
      </c>
      <c r="AC454" s="22"/>
      <c r="AD454" s="22" t="s">
        <v>3218</v>
      </c>
    </row>
    <row r="455" spans="1:30" ht="77" customHeight="1">
      <c r="A455" s="23" t="s">
        <v>622</v>
      </c>
      <c r="B455" s="23" t="s">
        <v>3217</v>
      </c>
      <c r="C455" s="23" t="s">
        <v>24</v>
      </c>
      <c r="D455" s="23" t="s">
        <v>143</v>
      </c>
      <c r="E455" s="26" t="s">
        <v>45</v>
      </c>
      <c r="F455" s="26" t="s">
        <v>74</v>
      </c>
      <c r="G455" s="26" t="s">
        <v>74</v>
      </c>
      <c r="H455" s="26" t="s">
        <v>523</v>
      </c>
      <c r="I455" s="22"/>
      <c r="J455" s="77" t="s">
        <v>2276</v>
      </c>
      <c r="K455" s="77" t="s">
        <v>2276</v>
      </c>
      <c r="L455" s="77" t="s">
        <v>2276</v>
      </c>
      <c r="M455" s="77" t="s">
        <v>2276</v>
      </c>
      <c r="N455" s="77" t="s">
        <v>2276</v>
      </c>
      <c r="O455" s="77" t="s">
        <v>2276</v>
      </c>
      <c r="P455" s="77" t="s">
        <v>2276</v>
      </c>
      <c r="Q455" s="77" t="s">
        <v>2276</v>
      </c>
      <c r="R455" s="77" t="s">
        <v>2276</v>
      </c>
      <c r="S455" s="77" t="s">
        <v>2276</v>
      </c>
      <c r="T455" s="77" t="s">
        <v>2276</v>
      </c>
      <c r="U455" s="77" t="s">
        <v>2276</v>
      </c>
      <c r="V455" s="77" t="s">
        <v>2276</v>
      </c>
      <c r="W455" s="77" t="s">
        <v>2276</v>
      </c>
      <c r="X455" s="77" t="s">
        <v>2276</v>
      </c>
      <c r="Y455" s="77" t="s">
        <v>2276</v>
      </c>
      <c r="Z455" s="22" t="s">
        <v>2276</v>
      </c>
      <c r="AA455" s="22" t="s">
        <v>2276</v>
      </c>
      <c r="AB455" s="22" t="s">
        <v>2276</v>
      </c>
      <c r="AC455" s="24" t="s">
        <v>587</v>
      </c>
      <c r="AD455" s="22"/>
    </row>
    <row r="456" spans="1:30" ht="115.5" customHeight="1">
      <c r="A456" s="23" t="s">
        <v>622</v>
      </c>
      <c r="B456" s="23" t="s">
        <v>3219</v>
      </c>
      <c r="C456" s="23" t="s">
        <v>24</v>
      </c>
      <c r="D456" s="23" t="s">
        <v>27</v>
      </c>
      <c r="E456" s="26" t="s">
        <v>130</v>
      </c>
      <c r="F456" s="26" t="s">
        <v>161</v>
      </c>
      <c r="G456" s="11" t="s">
        <v>2276</v>
      </c>
      <c r="H456" s="26" t="s">
        <v>523</v>
      </c>
      <c r="I456" s="22"/>
      <c r="J456" s="77" t="s">
        <v>2276</v>
      </c>
      <c r="K456" s="77" t="s">
        <v>2276</v>
      </c>
      <c r="L456" s="77" t="s">
        <v>2276</v>
      </c>
      <c r="M456" s="77" t="s">
        <v>2276</v>
      </c>
      <c r="N456" s="77" t="s">
        <v>2276</v>
      </c>
      <c r="O456" s="77" t="s">
        <v>2276</v>
      </c>
      <c r="P456" s="77" t="s">
        <v>2276</v>
      </c>
      <c r="Q456" s="77" t="s">
        <v>2276</v>
      </c>
      <c r="R456" s="77" t="s">
        <v>2276</v>
      </c>
      <c r="S456" s="77" t="s">
        <v>2276</v>
      </c>
      <c r="T456" s="77" t="s">
        <v>2276</v>
      </c>
      <c r="U456" s="77" t="s">
        <v>2276</v>
      </c>
      <c r="V456" s="77" t="s">
        <v>2276</v>
      </c>
      <c r="W456" s="77" t="s">
        <v>2276</v>
      </c>
      <c r="X456" s="77" t="s">
        <v>2276</v>
      </c>
      <c r="Y456" s="77" t="s">
        <v>2276</v>
      </c>
      <c r="Z456" s="22" t="s">
        <v>2276</v>
      </c>
      <c r="AA456" s="22" t="s">
        <v>2276</v>
      </c>
      <c r="AB456" s="22" t="s">
        <v>2276</v>
      </c>
      <c r="AC456" s="24"/>
      <c r="AD456" s="8"/>
    </row>
    <row r="457" spans="1:30" ht="62" customHeight="1">
      <c r="A457" s="11" t="s">
        <v>623</v>
      </c>
      <c r="B457" s="11" t="s">
        <v>635</v>
      </c>
      <c r="C457" s="23" t="s">
        <v>24</v>
      </c>
      <c r="D457" s="23" t="s">
        <v>27</v>
      </c>
      <c r="E457" s="26" t="s">
        <v>130</v>
      </c>
      <c r="F457" s="19" t="s">
        <v>161</v>
      </c>
      <c r="G457" s="11" t="s">
        <v>2276</v>
      </c>
      <c r="H457" s="19" t="s">
        <v>523</v>
      </c>
      <c r="I457" s="3"/>
      <c r="J457" s="21" t="s">
        <v>2276</v>
      </c>
      <c r="K457" s="21" t="s">
        <v>2276</v>
      </c>
      <c r="L457" s="21" t="s">
        <v>2276</v>
      </c>
      <c r="M457" s="21" t="s">
        <v>2276</v>
      </c>
      <c r="N457" s="21" t="s">
        <v>2276</v>
      </c>
      <c r="O457" s="21" t="s">
        <v>2276</v>
      </c>
      <c r="P457" s="21" t="s">
        <v>2276</v>
      </c>
      <c r="Q457" s="21" t="s">
        <v>2276</v>
      </c>
      <c r="R457" s="21" t="s">
        <v>2276</v>
      </c>
      <c r="S457" s="21" t="s">
        <v>2276</v>
      </c>
      <c r="T457" s="21" t="s">
        <v>2276</v>
      </c>
      <c r="U457" s="21" t="s">
        <v>2276</v>
      </c>
      <c r="V457" s="21" t="s">
        <v>2276</v>
      </c>
      <c r="W457" s="21" t="s">
        <v>2276</v>
      </c>
      <c r="X457" s="21" t="s">
        <v>2276</v>
      </c>
      <c r="Y457" s="21" t="s">
        <v>2276</v>
      </c>
      <c r="Z457" s="3" t="s">
        <v>640</v>
      </c>
      <c r="AA457" s="3" t="s">
        <v>189</v>
      </c>
      <c r="AB457" s="3" t="s">
        <v>641</v>
      </c>
      <c r="AC457" s="4" t="s">
        <v>2011</v>
      </c>
      <c r="AD457" s="3"/>
    </row>
    <row r="458" spans="1:30" ht="39.5" customHeight="1">
      <c r="A458" s="11" t="s">
        <v>623</v>
      </c>
      <c r="B458" s="11" t="s">
        <v>639</v>
      </c>
      <c r="C458" s="23" t="s">
        <v>24</v>
      </c>
      <c r="D458" s="23" t="s">
        <v>27</v>
      </c>
      <c r="E458" s="4" t="s">
        <v>397</v>
      </c>
      <c r="F458" s="19" t="s">
        <v>28</v>
      </c>
      <c r="G458" s="11" t="s">
        <v>2276</v>
      </c>
      <c r="H458" s="19" t="s">
        <v>524</v>
      </c>
      <c r="I458" s="3"/>
      <c r="J458" s="21">
        <v>0</v>
      </c>
      <c r="K458" s="21">
        <v>0</v>
      </c>
      <c r="L458" s="21">
        <v>0</v>
      </c>
      <c r="M458" s="21">
        <v>0</v>
      </c>
      <c r="N458" s="21">
        <v>0</v>
      </c>
      <c r="O458" s="21">
        <v>0</v>
      </c>
      <c r="P458" s="21">
        <v>0</v>
      </c>
      <c r="Q458" s="21" t="s">
        <v>2276</v>
      </c>
      <c r="R458" s="21" t="s">
        <v>2276</v>
      </c>
      <c r="S458" s="21">
        <v>0</v>
      </c>
      <c r="T458" s="21">
        <v>0</v>
      </c>
      <c r="U458" s="21">
        <v>0</v>
      </c>
      <c r="V458" s="21">
        <v>0</v>
      </c>
      <c r="W458" s="21">
        <v>0</v>
      </c>
      <c r="X458" s="21">
        <v>0</v>
      </c>
      <c r="Y458" s="21" t="s">
        <v>2276</v>
      </c>
      <c r="Z458" s="3" t="s">
        <v>2276</v>
      </c>
      <c r="AA458" s="3" t="s">
        <v>2276</v>
      </c>
      <c r="AB458" s="3" t="s">
        <v>2276</v>
      </c>
      <c r="AC458" s="4" t="s">
        <v>637</v>
      </c>
      <c r="AD458" s="3"/>
    </row>
    <row r="459" spans="1:30" ht="72.5" customHeight="1">
      <c r="A459" s="11" t="s">
        <v>623</v>
      </c>
      <c r="B459" s="11" t="s">
        <v>638</v>
      </c>
      <c r="C459" s="23" t="s">
        <v>24</v>
      </c>
      <c r="D459" s="3" t="s">
        <v>26</v>
      </c>
      <c r="E459" s="4" t="s">
        <v>397</v>
      </c>
      <c r="F459" s="19" t="s">
        <v>28</v>
      </c>
      <c r="G459" s="11" t="s">
        <v>2276</v>
      </c>
      <c r="H459" s="19" t="s">
        <v>523</v>
      </c>
      <c r="I459" s="3"/>
      <c r="J459" s="21" t="s">
        <v>2276</v>
      </c>
      <c r="K459" s="21" t="s">
        <v>2276</v>
      </c>
      <c r="L459" s="21" t="s">
        <v>2276</v>
      </c>
      <c r="M459" s="21" t="s">
        <v>2276</v>
      </c>
      <c r="N459" s="21" t="s">
        <v>2276</v>
      </c>
      <c r="O459" s="21" t="s">
        <v>2276</v>
      </c>
      <c r="P459" s="21" t="s">
        <v>2276</v>
      </c>
      <c r="Q459" s="21" t="s">
        <v>2276</v>
      </c>
      <c r="R459" s="21" t="s">
        <v>2276</v>
      </c>
      <c r="S459" s="21" t="s">
        <v>2276</v>
      </c>
      <c r="T459" s="21" t="s">
        <v>2276</v>
      </c>
      <c r="U459" s="21" t="s">
        <v>2276</v>
      </c>
      <c r="V459" s="21" t="s">
        <v>2276</v>
      </c>
      <c r="W459" s="21" t="s">
        <v>2276</v>
      </c>
      <c r="X459" s="21" t="s">
        <v>2276</v>
      </c>
      <c r="Y459" s="21" t="s">
        <v>2276</v>
      </c>
      <c r="Z459" s="3" t="s">
        <v>640</v>
      </c>
      <c r="AA459" s="3" t="s">
        <v>189</v>
      </c>
      <c r="AB459" s="3" t="s">
        <v>76</v>
      </c>
      <c r="AC459" s="4" t="s">
        <v>2012</v>
      </c>
      <c r="AD459" s="3"/>
    </row>
    <row r="460" spans="1:30" ht="89.5" customHeight="1">
      <c r="A460" s="11" t="s">
        <v>642</v>
      </c>
      <c r="B460" s="3" t="s">
        <v>645</v>
      </c>
      <c r="C460" s="23" t="s">
        <v>24</v>
      </c>
      <c r="D460" s="23" t="s">
        <v>27</v>
      </c>
      <c r="E460" s="11" t="s">
        <v>130</v>
      </c>
      <c r="F460" s="19" t="s">
        <v>161</v>
      </c>
      <c r="G460" s="11" t="s">
        <v>2276</v>
      </c>
      <c r="H460" s="19" t="s">
        <v>523</v>
      </c>
      <c r="I460" s="3"/>
      <c r="J460" s="21" t="s">
        <v>2276</v>
      </c>
      <c r="K460" s="21" t="s">
        <v>2276</v>
      </c>
      <c r="L460" s="21" t="s">
        <v>2276</v>
      </c>
      <c r="M460" s="21" t="s">
        <v>2276</v>
      </c>
      <c r="N460" s="21" t="s">
        <v>2276</v>
      </c>
      <c r="O460" s="21" t="s">
        <v>2276</v>
      </c>
      <c r="P460" s="21" t="s">
        <v>2276</v>
      </c>
      <c r="Q460" s="21" t="s">
        <v>2276</v>
      </c>
      <c r="R460" s="21" t="s">
        <v>2276</v>
      </c>
      <c r="S460" s="21" t="s">
        <v>2276</v>
      </c>
      <c r="T460" s="21" t="s">
        <v>2276</v>
      </c>
      <c r="U460" s="21" t="s">
        <v>2276</v>
      </c>
      <c r="V460" s="21" t="s">
        <v>2276</v>
      </c>
      <c r="W460" s="21" t="s">
        <v>2276</v>
      </c>
      <c r="X460" s="21" t="s">
        <v>2276</v>
      </c>
      <c r="Y460" s="21" t="s">
        <v>2276</v>
      </c>
      <c r="Z460" s="3" t="s">
        <v>405</v>
      </c>
      <c r="AA460" s="3" t="s">
        <v>405</v>
      </c>
      <c r="AB460" s="3" t="s">
        <v>76</v>
      </c>
      <c r="AC460" s="4" t="s">
        <v>647</v>
      </c>
      <c r="AD460" s="3"/>
    </row>
    <row r="461" spans="1:30" ht="92.5" customHeight="1">
      <c r="A461" s="11" t="s">
        <v>642</v>
      </c>
      <c r="B461" s="11" t="s">
        <v>646</v>
      </c>
      <c r="C461" s="23" t="s">
        <v>24</v>
      </c>
      <c r="D461" s="23" t="s">
        <v>27</v>
      </c>
      <c r="E461" s="11" t="s">
        <v>130</v>
      </c>
      <c r="F461" s="19" t="s">
        <v>74</v>
      </c>
      <c r="G461" s="11" t="s">
        <v>2276</v>
      </c>
      <c r="H461" s="19" t="s">
        <v>523</v>
      </c>
      <c r="I461" s="3"/>
      <c r="J461" s="21" t="s">
        <v>2276</v>
      </c>
      <c r="K461" s="21" t="s">
        <v>2276</v>
      </c>
      <c r="L461" s="21" t="s">
        <v>2276</v>
      </c>
      <c r="M461" s="21" t="s">
        <v>2276</v>
      </c>
      <c r="N461" s="21" t="s">
        <v>2276</v>
      </c>
      <c r="O461" s="21" t="s">
        <v>2276</v>
      </c>
      <c r="P461" s="21" t="s">
        <v>2276</v>
      </c>
      <c r="Q461" s="21" t="s">
        <v>2276</v>
      </c>
      <c r="R461" s="21" t="s">
        <v>2276</v>
      </c>
      <c r="S461" s="21" t="s">
        <v>2276</v>
      </c>
      <c r="T461" s="21" t="s">
        <v>2276</v>
      </c>
      <c r="U461" s="21" t="s">
        <v>2276</v>
      </c>
      <c r="V461" s="21" t="s">
        <v>2276</v>
      </c>
      <c r="W461" s="21" t="s">
        <v>2276</v>
      </c>
      <c r="X461" s="21" t="s">
        <v>2276</v>
      </c>
      <c r="Y461" s="21" t="s">
        <v>2276</v>
      </c>
      <c r="Z461" s="3" t="s">
        <v>405</v>
      </c>
      <c r="AA461" s="3" t="s">
        <v>405</v>
      </c>
      <c r="AB461" s="3" t="s">
        <v>76</v>
      </c>
      <c r="AC461" s="4" t="s">
        <v>647</v>
      </c>
      <c r="AD461" s="3"/>
    </row>
    <row r="462" spans="1:30" ht="55" customHeight="1">
      <c r="A462" s="11" t="s">
        <v>652</v>
      </c>
      <c r="B462" s="11" t="s">
        <v>653</v>
      </c>
      <c r="C462" s="23" t="s">
        <v>24</v>
      </c>
      <c r="D462" s="23" t="s">
        <v>27</v>
      </c>
      <c r="E462" s="11" t="s">
        <v>130</v>
      </c>
      <c r="F462" s="19" t="s">
        <v>161</v>
      </c>
      <c r="G462" s="11" t="s">
        <v>2276</v>
      </c>
      <c r="H462" s="19" t="s">
        <v>523</v>
      </c>
      <c r="I462" s="3"/>
      <c r="J462" s="21" t="s">
        <v>2276</v>
      </c>
      <c r="K462" s="21" t="s">
        <v>2276</v>
      </c>
      <c r="L462" s="21" t="s">
        <v>2276</v>
      </c>
      <c r="M462" s="21" t="s">
        <v>2276</v>
      </c>
      <c r="N462" s="21" t="s">
        <v>2276</v>
      </c>
      <c r="O462" s="21" t="s">
        <v>2276</v>
      </c>
      <c r="P462" s="21" t="s">
        <v>2276</v>
      </c>
      <c r="Q462" s="21" t="s">
        <v>2276</v>
      </c>
      <c r="R462" s="21" t="s">
        <v>2276</v>
      </c>
      <c r="S462" s="21" t="s">
        <v>2276</v>
      </c>
      <c r="T462" s="21">
        <v>35</v>
      </c>
      <c r="U462" s="21" t="s">
        <v>2276</v>
      </c>
      <c r="V462" s="21" t="s">
        <v>2276</v>
      </c>
      <c r="W462" s="21" t="s">
        <v>2276</v>
      </c>
      <c r="X462" s="21">
        <v>9.9056700000000001E-3</v>
      </c>
      <c r="Y462" s="21" t="s">
        <v>2276</v>
      </c>
      <c r="Z462" s="3" t="s">
        <v>405</v>
      </c>
      <c r="AA462" s="3" t="s">
        <v>405</v>
      </c>
      <c r="AB462" s="3" t="s">
        <v>76</v>
      </c>
      <c r="AC462" s="4" t="s">
        <v>2015</v>
      </c>
      <c r="AD462" s="4" t="s">
        <v>5016</v>
      </c>
    </row>
    <row r="463" spans="1:30" ht="52" customHeight="1">
      <c r="A463" s="11" t="s">
        <v>652</v>
      </c>
      <c r="B463" s="11" t="s">
        <v>654</v>
      </c>
      <c r="C463" s="23" t="s">
        <v>24</v>
      </c>
      <c r="D463" s="23" t="s">
        <v>27</v>
      </c>
      <c r="E463" s="11" t="s">
        <v>130</v>
      </c>
      <c r="F463" s="19" t="s">
        <v>74</v>
      </c>
      <c r="G463" s="11" t="s">
        <v>2276</v>
      </c>
      <c r="H463" s="19" t="s">
        <v>523</v>
      </c>
      <c r="I463" s="3"/>
      <c r="J463" s="21" t="s">
        <v>2276</v>
      </c>
      <c r="K463" s="21" t="s">
        <v>2276</v>
      </c>
      <c r="L463" s="21" t="s">
        <v>2276</v>
      </c>
      <c r="M463" s="21" t="s">
        <v>2276</v>
      </c>
      <c r="N463" s="21" t="s">
        <v>2276</v>
      </c>
      <c r="O463" s="21" t="s">
        <v>2276</v>
      </c>
      <c r="P463" s="21" t="s">
        <v>2276</v>
      </c>
      <c r="Q463" s="21" t="s">
        <v>2276</v>
      </c>
      <c r="R463" s="21" t="s">
        <v>2276</v>
      </c>
      <c r="S463" s="21" t="s">
        <v>2276</v>
      </c>
      <c r="T463" s="21">
        <v>18</v>
      </c>
      <c r="U463" s="21" t="s">
        <v>2276</v>
      </c>
      <c r="V463" s="21" t="s">
        <v>2276</v>
      </c>
      <c r="W463" s="21" t="s">
        <v>2276</v>
      </c>
      <c r="X463" s="21">
        <v>5.0943439999999998E-3</v>
      </c>
      <c r="Y463" s="21" t="s">
        <v>2276</v>
      </c>
      <c r="Z463" s="3" t="s">
        <v>405</v>
      </c>
      <c r="AA463" s="3" t="s">
        <v>405</v>
      </c>
      <c r="AB463" s="3" t="s">
        <v>76</v>
      </c>
      <c r="AC463" s="4" t="s">
        <v>2016</v>
      </c>
      <c r="AD463" s="3"/>
    </row>
    <row r="464" spans="1:30" ht="48" customHeight="1">
      <c r="A464" s="11" t="s">
        <v>655</v>
      </c>
      <c r="B464" s="11" t="s">
        <v>660</v>
      </c>
      <c r="C464" s="23" t="s">
        <v>24</v>
      </c>
      <c r="D464" s="23" t="s">
        <v>27</v>
      </c>
      <c r="E464" s="11" t="s">
        <v>130</v>
      </c>
      <c r="F464" s="19" t="s">
        <v>161</v>
      </c>
      <c r="G464" s="11" t="s">
        <v>2276</v>
      </c>
      <c r="H464" s="19" t="s">
        <v>523</v>
      </c>
      <c r="I464" s="3"/>
      <c r="J464" s="21" t="s">
        <v>2276</v>
      </c>
      <c r="K464" s="21" t="s">
        <v>2276</v>
      </c>
      <c r="L464" s="21" t="s">
        <v>2276</v>
      </c>
      <c r="M464" s="21" t="s">
        <v>2276</v>
      </c>
      <c r="N464" s="21" t="s">
        <v>2276</v>
      </c>
      <c r="O464" s="21" t="s">
        <v>2276</v>
      </c>
      <c r="P464" s="21" t="s">
        <v>2276</v>
      </c>
      <c r="Q464" s="21" t="s">
        <v>2276</v>
      </c>
      <c r="R464" s="21" t="s">
        <v>2276</v>
      </c>
      <c r="S464" s="21" t="s">
        <v>2276</v>
      </c>
      <c r="T464" s="21" t="s">
        <v>2276</v>
      </c>
      <c r="U464" s="21" t="s">
        <v>2276</v>
      </c>
      <c r="V464" s="21" t="s">
        <v>2276</v>
      </c>
      <c r="W464" s="21" t="s">
        <v>2276</v>
      </c>
      <c r="X464" s="21" t="s">
        <v>2276</v>
      </c>
      <c r="Y464" s="21" t="s">
        <v>2276</v>
      </c>
      <c r="Z464" s="3" t="s">
        <v>2276</v>
      </c>
      <c r="AA464" s="3" t="s">
        <v>2276</v>
      </c>
      <c r="AB464" s="3" t="s">
        <v>2276</v>
      </c>
      <c r="AC464" s="3"/>
      <c r="AD464" s="4" t="s">
        <v>2018</v>
      </c>
    </row>
    <row r="465" spans="1:30" ht="48.5" customHeight="1">
      <c r="A465" s="11" t="s">
        <v>661</v>
      </c>
      <c r="B465" s="11" t="s">
        <v>665</v>
      </c>
      <c r="C465" s="23" t="s">
        <v>24</v>
      </c>
      <c r="D465" s="23" t="s">
        <v>27</v>
      </c>
      <c r="E465" s="11" t="s">
        <v>130</v>
      </c>
      <c r="F465" s="19" t="s">
        <v>161</v>
      </c>
      <c r="G465" s="11" t="s">
        <v>2276</v>
      </c>
      <c r="H465" s="19" t="s">
        <v>523</v>
      </c>
      <c r="I465" s="19"/>
      <c r="J465" s="82" t="s">
        <v>2276</v>
      </c>
      <c r="K465" s="82" t="s">
        <v>2276</v>
      </c>
      <c r="L465" s="82" t="s">
        <v>2276</v>
      </c>
      <c r="M465" s="82" t="s">
        <v>2276</v>
      </c>
      <c r="N465" s="82" t="s">
        <v>2276</v>
      </c>
      <c r="O465" s="21" t="s">
        <v>2276</v>
      </c>
      <c r="P465" s="82" t="s">
        <v>2276</v>
      </c>
      <c r="Q465" s="21" t="s">
        <v>2276</v>
      </c>
      <c r="R465" s="21" t="s">
        <v>2276</v>
      </c>
      <c r="S465" s="82" t="s">
        <v>2276</v>
      </c>
      <c r="T465" s="82" t="s">
        <v>2276</v>
      </c>
      <c r="U465" s="82" t="s">
        <v>2276</v>
      </c>
      <c r="V465" s="82" t="s">
        <v>2276</v>
      </c>
      <c r="W465" s="82" t="s">
        <v>2276</v>
      </c>
      <c r="X465" s="82" t="s">
        <v>2276</v>
      </c>
      <c r="Y465" s="82">
        <v>7</v>
      </c>
      <c r="Z465" s="19" t="s">
        <v>188</v>
      </c>
      <c r="AA465" s="19" t="s">
        <v>189</v>
      </c>
      <c r="AB465" s="3" t="s">
        <v>64</v>
      </c>
      <c r="AC465" s="19" t="s">
        <v>666</v>
      </c>
      <c r="AD465" s="19" t="s">
        <v>2046</v>
      </c>
    </row>
    <row r="466" spans="1:30" ht="80.5" customHeight="1">
      <c r="A466" s="11" t="s">
        <v>661</v>
      </c>
      <c r="B466" s="11" t="s">
        <v>664</v>
      </c>
      <c r="C466" s="23" t="s">
        <v>24</v>
      </c>
      <c r="D466" s="23" t="s">
        <v>143</v>
      </c>
      <c r="E466" s="11" t="s">
        <v>130</v>
      </c>
      <c r="F466" s="19" t="s">
        <v>74</v>
      </c>
      <c r="G466" s="11" t="s">
        <v>2276</v>
      </c>
      <c r="H466" s="19" t="s">
        <v>524</v>
      </c>
      <c r="I466" s="3"/>
      <c r="J466" s="21">
        <v>0</v>
      </c>
      <c r="K466" s="21">
        <v>0</v>
      </c>
      <c r="L466" s="21">
        <v>0</v>
      </c>
      <c r="M466" s="21">
        <v>0</v>
      </c>
      <c r="N466" s="21">
        <v>0</v>
      </c>
      <c r="O466" s="21">
        <v>0</v>
      </c>
      <c r="P466" s="21">
        <v>0</v>
      </c>
      <c r="Q466" s="21" t="s">
        <v>2276</v>
      </c>
      <c r="R466" s="21" t="s">
        <v>2276</v>
      </c>
      <c r="S466" s="21">
        <v>0</v>
      </c>
      <c r="T466" s="21">
        <v>0</v>
      </c>
      <c r="U466" s="21">
        <v>0</v>
      </c>
      <c r="V466" s="21">
        <v>0</v>
      </c>
      <c r="W466" s="21">
        <v>0</v>
      </c>
      <c r="X466" s="21">
        <v>0</v>
      </c>
      <c r="Y466" s="21" t="s">
        <v>2276</v>
      </c>
      <c r="Z466" s="3" t="s">
        <v>2276</v>
      </c>
      <c r="AA466" s="3" t="s">
        <v>2276</v>
      </c>
      <c r="AB466" s="3" t="s">
        <v>2276</v>
      </c>
      <c r="AC466" s="4" t="s">
        <v>2021</v>
      </c>
      <c r="AD466" s="3"/>
    </row>
    <row r="467" spans="1:30" ht="80.5" customHeight="1">
      <c r="A467" s="11" t="s">
        <v>661</v>
      </c>
      <c r="B467" s="11" t="s">
        <v>2022</v>
      </c>
      <c r="C467" s="23" t="s">
        <v>24</v>
      </c>
      <c r="D467" s="23" t="s">
        <v>143</v>
      </c>
      <c r="E467" s="19" t="s">
        <v>396</v>
      </c>
      <c r="F467" s="19" t="s">
        <v>74</v>
      </c>
      <c r="G467" s="11" t="s">
        <v>2276</v>
      </c>
      <c r="H467" s="19" t="s">
        <v>523</v>
      </c>
      <c r="I467" s="3"/>
      <c r="J467" s="21" t="s">
        <v>2276</v>
      </c>
      <c r="K467" s="21" t="s">
        <v>2276</v>
      </c>
      <c r="L467" s="21" t="s">
        <v>2276</v>
      </c>
      <c r="M467" s="21" t="s">
        <v>2276</v>
      </c>
      <c r="N467" s="21" t="s">
        <v>2276</v>
      </c>
      <c r="O467" s="21" t="s">
        <v>2276</v>
      </c>
      <c r="P467" s="21" t="s">
        <v>2276</v>
      </c>
      <c r="Q467" s="21" t="s">
        <v>2276</v>
      </c>
      <c r="R467" s="21" t="s">
        <v>2276</v>
      </c>
      <c r="S467" s="21" t="s">
        <v>2276</v>
      </c>
      <c r="T467" s="21" t="s">
        <v>2276</v>
      </c>
      <c r="U467" s="21" t="s">
        <v>2276</v>
      </c>
      <c r="V467" s="21" t="s">
        <v>2276</v>
      </c>
      <c r="W467" s="21" t="s">
        <v>2276</v>
      </c>
      <c r="X467" s="21" t="s">
        <v>2276</v>
      </c>
      <c r="Y467" s="21" t="s">
        <v>2276</v>
      </c>
      <c r="Z467" s="19" t="s">
        <v>188</v>
      </c>
      <c r="AA467" s="19" t="s">
        <v>38</v>
      </c>
      <c r="AB467" s="3" t="s">
        <v>2276</v>
      </c>
      <c r="AC467" s="4" t="s">
        <v>2023</v>
      </c>
      <c r="AD467" s="3"/>
    </row>
    <row r="468" spans="1:30" ht="51" customHeight="1">
      <c r="A468" s="11" t="s">
        <v>667</v>
      </c>
      <c r="B468" s="3" t="s">
        <v>741</v>
      </c>
      <c r="C468" s="23" t="s">
        <v>24</v>
      </c>
      <c r="D468" s="23" t="s">
        <v>27</v>
      </c>
      <c r="E468" s="11" t="s">
        <v>130</v>
      </c>
      <c r="F468" s="19" t="s">
        <v>161</v>
      </c>
      <c r="G468" s="19" t="s">
        <v>161</v>
      </c>
      <c r="H468" s="19" t="s">
        <v>523</v>
      </c>
      <c r="I468" s="3"/>
      <c r="J468" s="21" t="s">
        <v>2276</v>
      </c>
      <c r="K468" s="21" t="s">
        <v>2276</v>
      </c>
      <c r="L468" s="21" t="s">
        <v>2276</v>
      </c>
      <c r="M468" s="21" t="s">
        <v>2276</v>
      </c>
      <c r="N468" s="21" t="s">
        <v>2276</v>
      </c>
      <c r="O468" s="21" t="s">
        <v>2276</v>
      </c>
      <c r="P468" s="21" t="s">
        <v>2276</v>
      </c>
      <c r="Q468" s="21" t="s">
        <v>2276</v>
      </c>
      <c r="R468" s="21" t="s">
        <v>2276</v>
      </c>
      <c r="S468" s="21" t="s">
        <v>2276</v>
      </c>
      <c r="T468" s="21" t="s">
        <v>2276</v>
      </c>
      <c r="U468" s="21" t="s">
        <v>2276</v>
      </c>
      <c r="V468" s="21" t="s">
        <v>2276</v>
      </c>
      <c r="W468" s="21" t="s">
        <v>2276</v>
      </c>
      <c r="X468" s="21" t="s">
        <v>2276</v>
      </c>
      <c r="Y468" s="21" t="s">
        <v>2276</v>
      </c>
      <c r="Z468" s="3" t="s">
        <v>671</v>
      </c>
      <c r="AA468" s="3" t="s">
        <v>38</v>
      </c>
      <c r="AB468" s="3" t="s">
        <v>64</v>
      </c>
      <c r="AC468" s="4" t="s">
        <v>672</v>
      </c>
      <c r="AD468" s="4" t="s">
        <v>673</v>
      </c>
    </row>
    <row r="469" spans="1:30" ht="48.5" customHeight="1">
      <c r="A469" s="11" t="s">
        <v>674</v>
      </c>
      <c r="B469" s="3" t="s">
        <v>742</v>
      </c>
      <c r="C469" s="23" t="s">
        <v>24</v>
      </c>
      <c r="D469" s="23" t="s">
        <v>27</v>
      </c>
      <c r="E469" s="11" t="s">
        <v>130</v>
      </c>
      <c r="F469" s="19" t="s">
        <v>74</v>
      </c>
      <c r="G469" s="19" t="s">
        <v>74</v>
      </c>
      <c r="H469" s="19" t="s">
        <v>523</v>
      </c>
      <c r="I469" s="3">
        <v>1955</v>
      </c>
      <c r="J469" s="21" t="s">
        <v>2276</v>
      </c>
      <c r="K469" s="21" t="s">
        <v>2276</v>
      </c>
      <c r="L469" s="21" t="s">
        <v>2276</v>
      </c>
      <c r="M469" s="21" t="s">
        <v>2276</v>
      </c>
      <c r="N469" s="21" t="s">
        <v>2276</v>
      </c>
      <c r="O469" s="21" t="s">
        <v>2276</v>
      </c>
      <c r="P469" s="21" t="s">
        <v>2276</v>
      </c>
      <c r="Q469" s="21" t="s">
        <v>2276</v>
      </c>
      <c r="R469" s="21" t="s">
        <v>2276</v>
      </c>
      <c r="S469" s="21" t="s">
        <v>2276</v>
      </c>
      <c r="T469" s="21" t="s">
        <v>2276</v>
      </c>
      <c r="U469" s="21" t="s">
        <v>2276</v>
      </c>
      <c r="V469" s="21" t="s">
        <v>2276</v>
      </c>
      <c r="W469" s="21" t="s">
        <v>2276</v>
      </c>
      <c r="X469" s="21" t="s">
        <v>2276</v>
      </c>
      <c r="Y469" s="21" t="s">
        <v>2276</v>
      </c>
      <c r="Z469" s="3" t="s">
        <v>2276</v>
      </c>
      <c r="AA469" s="3" t="s">
        <v>2276</v>
      </c>
      <c r="AB469" s="3" t="s">
        <v>2276</v>
      </c>
      <c r="AC469" s="4" t="s">
        <v>2025</v>
      </c>
      <c r="AD469" s="3" t="s">
        <v>582</v>
      </c>
    </row>
    <row r="470" spans="1:30" ht="56" customHeight="1">
      <c r="A470" s="11" t="s">
        <v>674</v>
      </c>
      <c r="B470" s="3" t="s">
        <v>743</v>
      </c>
      <c r="C470" s="23" t="s">
        <v>24</v>
      </c>
      <c r="D470" s="23" t="s">
        <v>27</v>
      </c>
      <c r="E470" s="11" t="s">
        <v>130</v>
      </c>
      <c r="F470" s="19" t="s">
        <v>74</v>
      </c>
      <c r="G470" s="19" t="s">
        <v>74</v>
      </c>
      <c r="H470" s="19" t="s">
        <v>523</v>
      </c>
      <c r="I470" s="3">
        <v>1975</v>
      </c>
      <c r="J470" s="21" t="s">
        <v>2276</v>
      </c>
      <c r="K470" s="21" t="s">
        <v>2276</v>
      </c>
      <c r="L470" s="21" t="s">
        <v>2276</v>
      </c>
      <c r="M470" s="21" t="s">
        <v>2276</v>
      </c>
      <c r="N470" s="21" t="s">
        <v>2276</v>
      </c>
      <c r="O470" s="21" t="s">
        <v>2276</v>
      </c>
      <c r="P470" s="21" t="s">
        <v>2276</v>
      </c>
      <c r="Q470" s="21" t="s">
        <v>2276</v>
      </c>
      <c r="R470" s="21" t="s">
        <v>2276</v>
      </c>
      <c r="S470" s="21" t="s">
        <v>2276</v>
      </c>
      <c r="T470" s="21" t="s">
        <v>2276</v>
      </c>
      <c r="U470" s="21" t="s">
        <v>2276</v>
      </c>
      <c r="V470" s="21" t="s">
        <v>2276</v>
      </c>
      <c r="W470" s="21" t="s">
        <v>2276</v>
      </c>
      <c r="X470" s="21" t="s">
        <v>2276</v>
      </c>
      <c r="Y470" s="21" t="s">
        <v>2276</v>
      </c>
      <c r="Z470" s="3" t="s">
        <v>2276</v>
      </c>
      <c r="AA470" s="3" t="s">
        <v>2276</v>
      </c>
      <c r="AB470" s="3" t="s">
        <v>2276</v>
      </c>
      <c r="AC470" s="4" t="s">
        <v>2025</v>
      </c>
      <c r="AD470" s="3" t="s">
        <v>582</v>
      </c>
    </row>
    <row r="471" spans="1:30" ht="55.5" customHeight="1">
      <c r="A471" s="11" t="s">
        <v>674</v>
      </c>
      <c r="B471" s="3" t="s">
        <v>744</v>
      </c>
      <c r="C471" s="23" t="s">
        <v>24</v>
      </c>
      <c r="D471" s="23" t="s">
        <v>27</v>
      </c>
      <c r="E471" s="11" t="s">
        <v>130</v>
      </c>
      <c r="F471" s="19" t="s">
        <v>161</v>
      </c>
      <c r="G471" s="19" t="s">
        <v>161</v>
      </c>
      <c r="H471" s="19" t="s">
        <v>523</v>
      </c>
      <c r="I471" s="3">
        <v>1992</v>
      </c>
      <c r="J471" s="21" t="s">
        <v>2276</v>
      </c>
      <c r="K471" s="21" t="s">
        <v>2276</v>
      </c>
      <c r="L471" s="21" t="s">
        <v>2276</v>
      </c>
      <c r="M471" s="21" t="s">
        <v>2276</v>
      </c>
      <c r="N471" s="21" t="s">
        <v>2276</v>
      </c>
      <c r="O471" s="21" t="s">
        <v>2276</v>
      </c>
      <c r="P471" s="21" t="s">
        <v>2276</v>
      </c>
      <c r="Q471" s="21" t="s">
        <v>2276</v>
      </c>
      <c r="R471" s="21" t="s">
        <v>2276</v>
      </c>
      <c r="S471" s="21" t="s">
        <v>2276</v>
      </c>
      <c r="T471" s="21" t="s">
        <v>2276</v>
      </c>
      <c r="U471" s="21" t="s">
        <v>2276</v>
      </c>
      <c r="V471" s="21" t="s">
        <v>2276</v>
      </c>
      <c r="W471" s="21" t="s">
        <v>2276</v>
      </c>
      <c r="X471" s="21" t="s">
        <v>2276</v>
      </c>
      <c r="Y471" s="21" t="s">
        <v>2276</v>
      </c>
      <c r="Z471" s="3" t="s">
        <v>2276</v>
      </c>
      <c r="AA471" s="3" t="s">
        <v>2276</v>
      </c>
      <c r="AB471" s="3" t="s">
        <v>2276</v>
      </c>
      <c r="AC471" s="4" t="s">
        <v>2025</v>
      </c>
      <c r="AD471" s="3" t="s">
        <v>582</v>
      </c>
    </row>
    <row r="472" spans="1:30" ht="48.5" customHeight="1">
      <c r="A472" s="11" t="s">
        <v>677</v>
      </c>
      <c r="B472" s="3" t="s">
        <v>681</v>
      </c>
      <c r="C472" s="23" t="s">
        <v>24</v>
      </c>
      <c r="D472" s="23" t="s">
        <v>27</v>
      </c>
      <c r="E472" s="11" t="s">
        <v>130</v>
      </c>
      <c r="F472" s="19" t="s">
        <v>161</v>
      </c>
      <c r="G472" s="19" t="s">
        <v>2276</v>
      </c>
      <c r="H472" s="19" t="s">
        <v>523</v>
      </c>
      <c r="I472" s="3">
        <v>2002</v>
      </c>
      <c r="J472" s="21" t="s">
        <v>2276</v>
      </c>
      <c r="K472" s="21" t="s">
        <v>2276</v>
      </c>
      <c r="L472" s="21" t="s">
        <v>2276</v>
      </c>
      <c r="M472" s="21" t="s">
        <v>2276</v>
      </c>
      <c r="N472" s="21" t="s">
        <v>2276</v>
      </c>
      <c r="O472" s="21" t="s">
        <v>2276</v>
      </c>
      <c r="P472" s="21" t="s">
        <v>2276</v>
      </c>
      <c r="Q472" s="21" t="s">
        <v>2276</v>
      </c>
      <c r="R472" s="21" t="s">
        <v>2276</v>
      </c>
      <c r="S472" s="21" t="s">
        <v>2276</v>
      </c>
      <c r="T472" s="21" t="s">
        <v>2276</v>
      </c>
      <c r="U472" s="21" t="s">
        <v>2276</v>
      </c>
      <c r="V472" s="21" t="s">
        <v>2276</v>
      </c>
      <c r="W472" s="21" t="s">
        <v>2276</v>
      </c>
      <c r="X472" s="21" t="s">
        <v>2276</v>
      </c>
      <c r="Y472" s="21" t="s">
        <v>2276</v>
      </c>
      <c r="Z472" s="3" t="s">
        <v>2276</v>
      </c>
      <c r="AA472" s="3" t="s">
        <v>2276</v>
      </c>
      <c r="AB472" s="3" t="s">
        <v>2276</v>
      </c>
      <c r="AC472" s="4"/>
      <c r="AD472" s="4" t="s">
        <v>2027</v>
      </c>
    </row>
    <row r="473" spans="1:30" ht="48.5" customHeight="1">
      <c r="A473" s="11" t="s">
        <v>677</v>
      </c>
      <c r="B473" s="3" t="s">
        <v>683</v>
      </c>
      <c r="C473" s="23" t="s">
        <v>24</v>
      </c>
      <c r="D473" s="23" t="s">
        <v>27</v>
      </c>
      <c r="E473" s="11" t="s">
        <v>130</v>
      </c>
      <c r="F473" s="19" t="s">
        <v>74</v>
      </c>
      <c r="G473" s="19" t="s">
        <v>2276</v>
      </c>
      <c r="H473" s="19" t="s">
        <v>524</v>
      </c>
      <c r="I473" s="3">
        <v>2002</v>
      </c>
      <c r="J473" s="21">
        <v>0</v>
      </c>
      <c r="K473" s="21">
        <v>0</v>
      </c>
      <c r="L473" s="21">
        <v>0</v>
      </c>
      <c r="M473" s="21">
        <v>0</v>
      </c>
      <c r="N473" s="21">
        <v>0</v>
      </c>
      <c r="O473" s="21">
        <v>0</v>
      </c>
      <c r="P473" s="21">
        <v>0</v>
      </c>
      <c r="Q473" s="21" t="s">
        <v>2276</v>
      </c>
      <c r="R473" s="21" t="s">
        <v>2276</v>
      </c>
      <c r="S473" s="21">
        <v>0</v>
      </c>
      <c r="T473" s="21">
        <v>0</v>
      </c>
      <c r="U473" s="21">
        <v>0</v>
      </c>
      <c r="V473" s="21">
        <v>0</v>
      </c>
      <c r="W473" s="21">
        <v>0</v>
      </c>
      <c r="X473" s="21">
        <v>0</v>
      </c>
      <c r="Y473" s="21" t="s">
        <v>2276</v>
      </c>
      <c r="Z473" s="3" t="s">
        <v>2276</v>
      </c>
      <c r="AA473" s="3" t="s">
        <v>2276</v>
      </c>
      <c r="AB473" s="3" t="s">
        <v>2276</v>
      </c>
      <c r="AC473" s="4" t="s">
        <v>2026</v>
      </c>
      <c r="AD473" s="4"/>
    </row>
    <row r="474" spans="1:30" ht="57" customHeight="1">
      <c r="A474" s="11" t="s">
        <v>680</v>
      </c>
      <c r="B474" s="3" t="s">
        <v>682</v>
      </c>
      <c r="C474" s="23" t="s">
        <v>24</v>
      </c>
      <c r="D474" s="23" t="s">
        <v>27</v>
      </c>
      <c r="E474" s="11" t="s">
        <v>130</v>
      </c>
      <c r="F474" s="19" t="s">
        <v>161</v>
      </c>
      <c r="G474" s="19" t="s">
        <v>2276</v>
      </c>
      <c r="H474" s="19" t="s">
        <v>523</v>
      </c>
      <c r="I474" s="3">
        <v>1997</v>
      </c>
      <c r="J474" s="21" t="s">
        <v>2276</v>
      </c>
      <c r="K474" s="21" t="s">
        <v>2276</v>
      </c>
      <c r="L474" s="21" t="s">
        <v>2276</v>
      </c>
      <c r="M474" s="21" t="s">
        <v>2276</v>
      </c>
      <c r="N474" s="21" t="s">
        <v>2276</v>
      </c>
      <c r="O474" s="21">
        <v>3</v>
      </c>
      <c r="P474" s="21" t="s">
        <v>2276</v>
      </c>
      <c r="Q474" s="21" t="s">
        <v>2276</v>
      </c>
      <c r="R474" s="21" t="s">
        <v>2276</v>
      </c>
      <c r="S474" s="21" t="s">
        <v>2276</v>
      </c>
      <c r="T474" s="21" t="s">
        <v>2276</v>
      </c>
      <c r="U474" s="21" t="s">
        <v>2276</v>
      </c>
      <c r="V474" s="21" t="s">
        <v>2276</v>
      </c>
      <c r="W474" s="21" t="s">
        <v>2276</v>
      </c>
      <c r="X474" s="21" t="s">
        <v>2276</v>
      </c>
      <c r="Y474" s="21">
        <v>14</v>
      </c>
      <c r="Z474" s="3" t="s">
        <v>2276</v>
      </c>
      <c r="AA474" s="3" t="s">
        <v>2276</v>
      </c>
      <c r="AB474" s="3" t="s">
        <v>2276</v>
      </c>
      <c r="AC474" s="4"/>
      <c r="AD474" s="4" t="s">
        <v>2027</v>
      </c>
    </row>
    <row r="475" spans="1:30" ht="58.5" customHeight="1">
      <c r="A475" s="11" t="s">
        <v>684</v>
      </c>
      <c r="B475" s="11" t="s">
        <v>688</v>
      </c>
      <c r="C475" s="23" t="s">
        <v>24</v>
      </c>
      <c r="D475" s="23" t="s">
        <v>27</v>
      </c>
      <c r="E475" s="11" t="s">
        <v>130</v>
      </c>
      <c r="F475" s="19" t="s">
        <v>161</v>
      </c>
      <c r="G475" s="19" t="s">
        <v>2276</v>
      </c>
      <c r="H475" s="19" t="s">
        <v>523</v>
      </c>
      <c r="I475" s="11"/>
      <c r="J475" s="21" t="s">
        <v>2276</v>
      </c>
      <c r="K475" s="21" t="s">
        <v>2276</v>
      </c>
      <c r="L475" s="21" t="s">
        <v>2276</v>
      </c>
      <c r="M475" s="21" t="s">
        <v>2276</v>
      </c>
      <c r="N475" s="21" t="s">
        <v>2276</v>
      </c>
      <c r="O475" s="21" t="s">
        <v>2276</v>
      </c>
      <c r="P475" s="21" t="s">
        <v>2276</v>
      </c>
      <c r="Q475" s="21" t="s">
        <v>2276</v>
      </c>
      <c r="R475" s="21" t="s">
        <v>2276</v>
      </c>
      <c r="S475" s="21" t="s">
        <v>2276</v>
      </c>
      <c r="T475" s="21" t="s">
        <v>2276</v>
      </c>
      <c r="U475" s="21" t="s">
        <v>2276</v>
      </c>
      <c r="V475" s="21" t="s">
        <v>2276</v>
      </c>
      <c r="W475" s="21" t="s">
        <v>2276</v>
      </c>
      <c r="X475" s="21" t="s">
        <v>2276</v>
      </c>
      <c r="Y475" s="21">
        <v>4.2</v>
      </c>
      <c r="Z475" s="3" t="s">
        <v>671</v>
      </c>
      <c r="AA475" s="3" t="s">
        <v>38</v>
      </c>
      <c r="AB475" s="3" t="s">
        <v>64</v>
      </c>
      <c r="AC475" s="19" t="s">
        <v>2029</v>
      </c>
      <c r="AD475" s="3"/>
    </row>
    <row r="476" spans="1:30" ht="52.5" customHeight="1">
      <c r="A476" s="11" t="s">
        <v>684</v>
      </c>
      <c r="B476" s="11" t="s">
        <v>689</v>
      </c>
      <c r="C476" s="23" t="s">
        <v>24</v>
      </c>
      <c r="D476" s="23" t="s">
        <v>27</v>
      </c>
      <c r="E476" s="11" t="s">
        <v>130</v>
      </c>
      <c r="F476" s="19" t="s">
        <v>161</v>
      </c>
      <c r="G476" s="19" t="s">
        <v>2276</v>
      </c>
      <c r="H476" s="19" t="s">
        <v>523</v>
      </c>
      <c r="I476" s="11"/>
      <c r="J476" s="21" t="s">
        <v>2276</v>
      </c>
      <c r="K476" s="21" t="s">
        <v>2276</v>
      </c>
      <c r="L476" s="21" t="s">
        <v>2276</v>
      </c>
      <c r="M476" s="21" t="s">
        <v>2276</v>
      </c>
      <c r="N476" s="21" t="s">
        <v>2276</v>
      </c>
      <c r="O476" s="21" t="s">
        <v>2276</v>
      </c>
      <c r="P476" s="21" t="s">
        <v>2276</v>
      </c>
      <c r="Q476" s="21" t="s">
        <v>2276</v>
      </c>
      <c r="R476" s="21" t="s">
        <v>2276</v>
      </c>
      <c r="S476" s="21" t="s">
        <v>2276</v>
      </c>
      <c r="T476" s="21" t="s">
        <v>2276</v>
      </c>
      <c r="U476" s="21" t="s">
        <v>2276</v>
      </c>
      <c r="V476" s="21" t="s">
        <v>2276</v>
      </c>
      <c r="W476" s="21" t="s">
        <v>2276</v>
      </c>
      <c r="X476" s="21" t="s">
        <v>2276</v>
      </c>
      <c r="Y476" s="21">
        <v>4.9000000000000004</v>
      </c>
      <c r="Z476" s="3" t="s">
        <v>671</v>
      </c>
      <c r="AA476" s="3" t="s">
        <v>38</v>
      </c>
      <c r="AB476" s="3" t="s">
        <v>64</v>
      </c>
      <c r="AC476" s="19" t="s">
        <v>2029</v>
      </c>
      <c r="AD476" s="3"/>
    </row>
    <row r="477" spans="1:30" ht="55" customHeight="1">
      <c r="A477" s="11" t="s">
        <v>684</v>
      </c>
      <c r="B477" s="11" t="s">
        <v>690</v>
      </c>
      <c r="C477" s="23" t="s">
        <v>24</v>
      </c>
      <c r="D477" s="23" t="s">
        <v>27</v>
      </c>
      <c r="E477" s="11" t="s">
        <v>130</v>
      </c>
      <c r="F477" s="19" t="s">
        <v>161</v>
      </c>
      <c r="G477" s="19" t="s">
        <v>2276</v>
      </c>
      <c r="H477" s="19" t="s">
        <v>523</v>
      </c>
      <c r="I477" s="11"/>
      <c r="J477" s="21" t="s">
        <v>2276</v>
      </c>
      <c r="K477" s="21" t="s">
        <v>2276</v>
      </c>
      <c r="L477" s="21" t="s">
        <v>2276</v>
      </c>
      <c r="M477" s="21" t="s">
        <v>2276</v>
      </c>
      <c r="N477" s="21" t="s">
        <v>2276</v>
      </c>
      <c r="O477" s="21" t="s">
        <v>2276</v>
      </c>
      <c r="P477" s="21" t="s">
        <v>2276</v>
      </c>
      <c r="Q477" s="21" t="s">
        <v>2276</v>
      </c>
      <c r="R477" s="21" t="s">
        <v>2276</v>
      </c>
      <c r="S477" s="21" t="s">
        <v>2276</v>
      </c>
      <c r="T477" s="21" t="s">
        <v>2276</v>
      </c>
      <c r="U477" s="21" t="s">
        <v>2276</v>
      </c>
      <c r="V477" s="21" t="s">
        <v>2276</v>
      </c>
      <c r="W477" s="21" t="s">
        <v>2276</v>
      </c>
      <c r="X477" s="21" t="s">
        <v>2276</v>
      </c>
      <c r="Y477" s="21">
        <v>5.6</v>
      </c>
      <c r="Z477" s="3" t="s">
        <v>671</v>
      </c>
      <c r="AA477" s="3" t="s">
        <v>38</v>
      </c>
      <c r="AB477" s="3" t="s">
        <v>64</v>
      </c>
      <c r="AC477" s="19" t="s">
        <v>2029</v>
      </c>
      <c r="AD477" s="3"/>
    </row>
    <row r="478" spans="1:30" ht="59" customHeight="1">
      <c r="A478" s="11" t="s">
        <v>685</v>
      </c>
      <c r="B478" s="11" t="s">
        <v>691</v>
      </c>
      <c r="C478" s="23" t="s">
        <v>24</v>
      </c>
      <c r="D478" s="23" t="s">
        <v>27</v>
      </c>
      <c r="E478" s="11" t="s">
        <v>130</v>
      </c>
      <c r="F478" s="19" t="s">
        <v>161</v>
      </c>
      <c r="G478" s="19" t="s">
        <v>2276</v>
      </c>
      <c r="H478" s="19" t="s">
        <v>523</v>
      </c>
      <c r="I478" s="11"/>
      <c r="J478" s="21" t="s">
        <v>2276</v>
      </c>
      <c r="K478" s="21" t="s">
        <v>2276</v>
      </c>
      <c r="L478" s="21" t="s">
        <v>2276</v>
      </c>
      <c r="M478" s="21" t="s">
        <v>2276</v>
      </c>
      <c r="N478" s="21" t="s">
        <v>2276</v>
      </c>
      <c r="O478" s="21" t="s">
        <v>2276</v>
      </c>
      <c r="P478" s="21" t="s">
        <v>2276</v>
      </c>
      <c r="Q478" s="21" t="s">
        <v>2276</v>
      </c>
      <c r="R478" s="21" t="s">
        <v>2276</v>
      </c>
      <c r="S478" s="21" t="s">
        <v>2276</v>
      </c>
      <c r="T478" s="21" t="s">
        <v>2276</v>
      </c>
      <c r="U478" s="21" t="s">
        <v>2276</v>
      </c>
      <c r="V478" s="21" t="s">
        <v>2276</v>
      </c>
      <c r="W478" s="21" t="s">
        <v>2276</v>
      </c>
      <c r="X478" s="21" t="s">
        <v>2276</v>
      </c>
      <c r="Y478" s="21">
        <v>11.1</v>
      </c>
      <c r="Z478" s="3" t="s">
        <v>671</v>
      </c>
      <c r="AA478" s="3" t="s">
        <v>38</v>
      </c>
      <c r="AB478" s="3" t="s">
        <v>64</v>
      </c>
      <c r="AC478" s="19" t="s">
        <v>2029</v>
      </c>
      <c r="AD478" s="3"/>
    </row>
    <row r="479" spans="1:30" ht="69" customHeight="1">
      <c r="A479" s="11" t="s">
        <v>685</v>
      </c>
      <c r="B479" s="11" t="s">
        <v>692</v>
      </c>
      <c r="C479" s="23" t="s">
        <v>24</v>
      </c>
      <c r="D479" s="23" t="s">
        <v>27</v>
      </c>
      <c r="E479" s="11" t="s">
        <v>130</v>
      </c>
      <c r="F479" s="19" t="s">
        <v>161</v>
      </c>
      <c r="G479" s="19" t="s">
        <v>2276</v>
      </c>
      <c r="H479" s="19" t="s">
        <v>523</v>
      </c>
      <c r="I479" s="11"/>
      <c r="J479" s="21" t="s">
        <v>2276</v>
      </c>
      <c r="K479" s="21" t="s">
        <v>2276</v>
      </c>
      <c r="L479" s="21" t="s">
        <v>2276</v>
      </c>
      <c r="M479" s="21" t="s">
        <v>2276</v>
      </c>
      <c r="N479" s="21" t="s">
        <v>2276</v>
      </c>
      <c r="O479" s="21" t="s">
        <v>2276</v>
      </c>
      <c r="P479" s="21" t="s">
        <v>2276</v>
      </c>
      <c r="Q479" s="21" t="s">
        <v>2276</v>
      </c>
      <c r="R479" s="21" t="s">
        <v>2276</v>
      </c>
      <c r="S479" s="21" t="s">
        <v>2276</v>
      </c>
      <c r="T479" s="21" t="s">
        <v>2276</v>
      </c>
      <c r="U479" s="21" t="s">
        <v>2276</v>
      </c>
      <c r="V479" s="21" t="s">
        <v>2276</v>
      </c>
      <c r="W479" s="21" t="s">
        <v>2276</v>
      </c>
      <c r="X479" s="21" t="s">
        <v>2276</v>
      </c>
      <c r="Y479" s="21">
        <v>5.3</v>
      </c>
      <c r="Z479" s="3" t="s">
        <v>671</v>
      </c>
      <c r="AA479" s="3" t="s">
        <v>38</v>
      </c>
      <c r="AB479" s="3" t="s">
        <v>64</v>
      </c>
      <c r="AC479" s="19" t="s">
        <v>2029</v>
      </c>
      <c r="AD479" s="3"/>
    </row>
    <row r="480" spans="1:30" ht="72" customHeight="1">
      <c r="A480" s="11" t="s">
        <v>685</v>
      </c>
      <c r="B480" s="11" t="s">
        <v>693</v>
      </c>
      <c r="C480" s="23" t="s">
        <v>24</v>
      </c>
      <c r="D480" s="23" t="s">
        <v>27</v>
      </c>
      <c r="E480" s="11" t="s">
        <v>130</v>
      </c>
      <c r="F480" s="19" t="s">
        <v>161</v>
      </c>
      <c r="G480" s="19" t="s">
        <v>2276</v>
      </c>
      <c r="H480" s="19" t="s">
        <v>523</v>
      </c>
      <c r="I480" s="11"/>
      <c r="J480" s="21" t="s">
        <v>2276</v>
      </c>
      <c r="K480" s="21" t="s">
        <v>2276</v>
      </c>
      <c r="L480" s="21" t="s">
        <v>2276</v>
      </c>
      <c r="M480" s="21" t="s">
        <v>2276</v>
      </c>
      <c r="N480" s="21" t="s">
        <v>2276</v>
      </c>
      <c r="O480" s="21" t="s">
        <v>2276</v>
      </c>
      <c r="P480" s="21" t="s">
        <v>2276</v>
      </c>
      <c r="Q480" s="21" t="s">
        <v>2276</v>
      </c>
      <c r="R480" s="21" t="s">
        <v>2276</v>
      </c>
      <c r="S480" s="21" t="s">
        <v>2276</v>
      </c>
      <c r="T480" s="21" t="s">
        <v>2276</v>
      </c>
      <c r="U480" s="21" t="s">
        <v>2276</v>
      </c>
      <c r="V480" s="21" t="s">
        <v>2276</v>
      </c>
      <c r="W480" s="21" t="s">
        <v>2276</v>
      </c>
      <c r="X480" s="21" t="s">
        <v>2276</v>
      </c>
      <c r="Y480" s="21">
        <v>8.6</v>
      </c>
      <c r="Z480" s="3" t="s">
        <v>671</v>
      </c>
      <c r="AA480" s="3" t="s">
        <v>38</v>
      </c>
      <c r="AB480" s="3" t="s">
        <v>64</v>
      </c>
      <c r="AC480" s="19" t="s">
        <v>2029</v>
      </c>
      <c r="AD480" s="3"/>
    </row>
    <row r="481" spans="1:30" ht="73.5" customHeight="1">
      <c r="A481" s="11" t="s">
        <v>698</v>
      </c>
      <c r="B481" s="11" t="s">
        <v>708</v>
      </c>
      <c r="C481" s="23" t="s">
        <v>24</v>
      </c>
      <c r="D481" s="23" t="s">
        <v>27</v>
      </c>
      <c r="E481" s="11" t="s">
        <v>130</v>
      </c>
      <c r="F481" s="19" t="s">
        <v>28</v>
      </c>
      <c r="G481" s="19" t="s">
        <v>2276</v>
      </c>
      <c r="H481" s="19" t="s">
        <v>523</v>
      </c>
      <c r="I481" s="3"/>
      <c r="J481" s="21" t="s">
        <v>2276</v>
      </c>
      <c r="K481" s="21" t="s">
        <v>2276</v>
      </c>
      <c r="L481" s="21" t="s">
        <v>2276</v>
      </c>
      <c r="M481" s="21" t="s">
        <v>2276</v>
      </c>
      <c r="N481" s="21" t="s">
        <v>2276</v>
      </c>
      <c r="O481" s="21" t="s">
        <v>2276</v>
      </c>
      <c r="P481" s="21" t="s">
        <v>2276</v>
      </c>
      <c r="Q481" s="21" t="s">
        <v>2276</v>
      </c>
      <c r="R481" s="21" t="s">
        <v>2276</v>
      </c>
      <c r="S481" s="21" t="s">
        <v>2276</v>
      </c>
      <c r="T481" s="21" t="s">
        <v>2276</v>
      </c>
      <c r="U481" s="21" t="s">
        <v>2276</v>
      </c>
      <c r="V481" s="21" t="s">
        <v>2276</v>
      </c>
      <c r="W481" s="21" t="s">
        <v>2276</v>
      </c>
      <c r="X481" s="21" t="s">
        <v>2276</v>
      </c>
      <c r="Y481" s="21">
        <v>3</v>
      </c>
      <c r="Z481" s="3" t="s">
        <v>2276</v>
      </c>
      <c r="AA481" s="3" t="s">
        <v>2276</v>
      </c>
      <c r="AB481" s="3" t="s">
        <v>2276</v>
      </c>
      <c r="AC481" s="4" t="s">
        <v>754</v>
      </c>
      <c r="AD481" s="4" t="s">
        <v>2030</v>
      </c>
    </row>
    <row r="482" spans="1:30" ht="58.5" customHeight="1">
      <c r="A482" s="11" t="s">
        <v>698</v>
      </c>
      <c r="B482" s="11" t="s">
        <v>2038</v>
      </c>
      <c r="C482" s="23" t="s">
        <v>24</v>
      </c>
      <c r="D482" s="23" t="s">
        <v>27</v>
      </c>
      <c r="E482" s="19" t="s">
        <v>397</v>
      </c>
      <c r="F482" s="19" t="s">
        <v>28</v>
      </c>
      <c r="G482" s="19" t="s">
        <v>2276</v>
      </c>
      <c r="H482" s="19" t="s">
        <v>524</v>
      </c>
      <c r="I482" s="3"/>
      <c r="J482" s="21">
        <v>0</v>
      </c>
      <c r="K482" s="21">
        <v>0</v>
      </c>
      <c r="L482" s="21">
        <v>0</v>
      </c>
      <c r="M482" s="21">
        <v>0</v>
      </c>
      <c r="N482" s="21">
        <v>0</v>
      </c>
      <c r="O482" s="21">
        <v>0</v>
      </c>
      <c r="P482" s="21">
        <v>0</v>
      </c>
      <c r="Q482" s="21">
        <v>0</v>
      </c>
      <c r="R482" s="21">
        <v>0</v>
      </c>
      <c r="S482" s="21">
        <v>0</v>
      </c>
      <c r="T482" s="21">
        <v>0</v>
      </c>
      <c r="U482" s="21">
        <v>0</v>
      </c>
      <c r="V482" s="21">
        <v>0</v>
      </c>
      <c r="W482" s="21">
        <v>0</v>
      </c>
      <c r="X482" s="21">
        <v>0</v>
      </c>
      <c r="Y482" s="21" t="s">
        <v>2276</v>
      </c>
      <c r="Z482" s="3" t="s">
        <v>2276</v>
      </c>
      <c r="AA482" s="3" t="s">
        <v>2276</v>
      </c>
      <c r="AB482" s="3" t="s">
        <v>2276</v>
      </c>
      <c r="AC482" s="4" t="s">
        <v>710</v>
      </c>
      <c r="AD482" s="3"/>
    </row>
    <row r="483" spans="1:30" ht="77.5" customHeight="1">
      <c r="A483" s="11" t="s">
        <v>699</v>
      </c>
      <c r="B483" s="11" t="s">
        <v>711</v>
      </c>
      <c r="C483" s="23" t="s">
        <v>24</v>
      </c>
      <c r="D483" s="23" t="s">
        <v>27</v>
      </c>
      <c r="E483" s="11" t="s">
        <v>130</v>
      </c>
      <c r="F483" s="19" t="s">
        <v>28</v>
      </c>
      <c r="G483" s="19" t="s">
        <v>2276</v>
      </c>
      <c r="H483" s="19" t="s">
        <v>523</v>
      </c>
      <c r="I483" s="3"/>
      <c r="J483" s="21" t="s">
        <v>2276</v>
      </c>
      <c r="K483" s="21" t="s">
        <v>2276</v>
      </c>
      <c r="L483" s="21" t="s">
        <v>2276</v>
      </c>
      <c r="M483" s="21" t="s">
        <v>2276</v>
      </c>
      <c r="N483" s="21" t="s">
        <v>2276</v>
      </c>
      <c r="O483" s="21" t="s">
        <v>2276</v>
      </c>
      <c r="P483" s="21" t="s">
        <v>2276</v>
      </c>
      <c r="Q483" s="21" t="s">
        <v>2276</v>
      </c>
      <c r="R483" s="21" t="s">
        <v>2276</v>
      </c>
      <c r="S483" s="21" t="s">
        <v>2276</v>
      </c>
      <c r="T483" s="21" t="s">
        <v>2276</v>
      </c>
      <c r="U483" s="21" t="s">
        <v>2276</v>
      </c>
      <c r="V483" s="21" t="s">
        <v>2276</v>
      </c>
      <c r="W483" s="21" t="s">
        <v>2276</v>
      </c>
      <c r="X483" s="21" t="s">
        <v>2276</v>
      </c>
      <c r="Y483" s="21">
        <v>3</v>
      </c>
      <c r="Z483" s="3" t="s">
        <v>2276</v>
      </c>
      <c r="AA483" s="3" t="s">
        <v>2276</v>
      </c>
      <c r="AB483" s="3" t="s">
        <v>2276</v>
      </c>
      <c r="AC483" s="4" t="s">
        <v>754</v>
      </c>
      <c r="AD483" s="4" t="s">
        <v>2030</v>
      </c>
    </row>
    <row r="484" spans="1:30" ht="68" customHeight="1">
      <c r="A484" s="11" t="s">
        <v>699</v>
      </c>
      <c r="B484" s="11" t="s">
        <v>2039</v>
      </c>
      <c r="C484" s="23" t="s">
        <v>24</v>
      </c>
      <c r="D484" s="23" t="s">
        <v>27</v>
      </c>
      <c r="E484" s="19" t="s">
        <v>397</v>
      </c>
      <c r="F484" s="19" t="s">
        <v>28</v>
      </c>
      <c r="G484" s="19" t="s">
        <v>2276</v>
      </c>
      <c r="H484" s="19" t="s">
        <v>524</v>
      </c>
      <c r="I484" s="3"/>
      <c r="J484" s="21">
        <v>0</v>
      </c>
      <c r="K484" s="21">
        <v>0</v>
      </c>
      <c r="L484" s="21">
        <v>0</v>
      </c>
      <c r="M484" s="21">
        <v>0</v>
      </c>
      <c r="N484" s="21">
        <v>0</v>
      </c>
      <c r="O484" s="21">
        <v>0</v>
      </c>
      <c r="P484" s="21">
        <v>0</v>
      </c>
      <c r="Q484" s="21">
        <v>0</v>
      </c>
      <c r="R484" s="21">
        <v>0</v>
      </c>
      <c r="S484" s="21">
        <v>0</v>
      </c>
      <c r="T484" s="21">
        <v>0</v>
      </c>
      <c r="U484" s="21">
        <v>0</v>
      </c>
      <c r="V484" s="21">
        <v>0</v>
      </c>
      <c r="W484" s="21">
        <v>0</v>
      </c>
      <c r="X484" s="21">
        <v>0</v>
      </c>
      <c r="Y484" s="21" t="s">
        <v>2276</v>
      </c>
      <c r="Z484" s="3" t="s">
        <v>2276</v>
      </c>
      <c r="AA484" s="3" t="s">
        <v>2276</v>
      </c>
      <c r="AB484" s="3" t="s">
        <v>2276</v>
      </c>
      <c r="AC484" s="4" t="s">
        <v>710</v>
      </c>
      <c r="AD484" s="3"/>
    </row>
    <row r="485" spans="1:30" ht="73" customHeight="1">
      <c r="A485" s="11" t="s">
        <v>700</v>
      </c>
      <c r="B485" s="11" t="s">
        <v>712</v>
      </c>
      <c r="C485" s="23" t="s">
        <v>24</v>
      </c>
      <c r="D485" s="23" t="s">
        <v>27</v>
      </c>
      <c r="E485" s="11" t="s">
        <v>130</v>
      </c>
      <c r="F485" s="19" t="s">
        <v>28</v>
      </c>
      <c r="G485" s="19" t="s">
        <v>2276</v>
      </c>
      <c r="H485" s="19" t="s">
        <v>523</v>
      </c>
      <c r="I485" s="3"/>
      <c r="J485" s="21" t="s">
        <v>2276</v>
      </c>
      <c r="K485" s="21" t="s">
        <v>2276</v>
      </c>
      <c r="L485" s="21" t="s">
        <v>2276</v>
      </c>
      <c r="M485" s="21" t="s">
        <v>2276</v>
      </c>
      <c r="N485" s="21" t="s">
        <v>2276</v>
      </c>
      <c r="O485" s="21" t="s">
        <v>2276</v>
      </c>
      <c r="P485" s="21" t="s">
        <v>2276</v>
      </c>
      <c r="Q485" s="21" t="s">
        <v>2276</v>
      </c>
      <c r="R485" s="21" t="s">
        <v>2276</v>
      </c>
      <c r="S485" s="21" t="s">
        <v>2276</v>
      </c>
      <c r="T485" s="21" t="s">
        <v>2276</v>
      </c>
      <c r="U485" s="21" t="s">
        <v>2276</v>
      </c>
      <c r="V485" s="21" t="s">
        <v>2276</v>
      </c>
      <c r="W485" s="21" t="s">
        <v>2276</v>
      </c>
      <c r="X485" s="21" t="s">
        <v>2276</v>
      </c>
      <c r="Y485" s="21">
        <v>3</v>
      </c>
      <c r="Z485" s="3" t="s">
        <v>2276</v>
      </c>
      <c r="AA485" s="3" t="s">
        <v>2276</v>
      </c>
      <c r="AB485" s="3" t="s">
        <v>2276</v>
      </c>
      <c r="AC485" s="4" t="s">
        <v>754</v>
      </c>
      <c r="AD485" s="4" t="s">
        <v>2030</v>
      </c>
    </row>
    <row r="486" spans="1:30" ht="70" customHeight="1">
      <c r="A486" s="11" t="s">
        <v>700</v>
      </c>
      <c r="B486" s="11" t="s">
        <v>2040</v>
      </c>
      <c r="C486" s="23" t="s">
        <v>24</v>
      </c>
      <c r="D486" s="23" t="s">
        <v>27</v>
      </c>
      <c r="E486" s="19" t="s">
        <v>397</v>
      </c>
      <c r="F486" s="19" t="s">
        <v>28</v>
      </c>
      <c r="G486" s="19" t="s">
        <v>2276</v>
      </c>
      <c r="H486" s="19" t="s">
        <v>524</v>
      </c>
      <c r="I486" s="3"/>
      <c r="J486" s="21">
        <v>0</v>
      </c>
      <c r="K486" s="21">
        <v>0</v>
      </c>
      <c r="L486" s="21">
        <v>0</v>
      </c>
      <c r="M486" s="21">
        <v>0</v>
      </c>
      <c r="N486" s="21">
        <v>0</v>
      </c>
      <c r="O486" s="21">
        <v>0</v>
      </c>
      <c r="P486" s="21">
        <v>0</v>
      </c>
      <c r="Q486" s="21" t="s">
        <v>2276</v>
      </c>
      <c r="R486" s="21" t="s">
        <v>2276</v>
      </c>
      <c r="S486" s="21">
        <v>0</v>
      </c>
      <c r="T486" s="21">
        <v>0</v>
      </c>
      <c r="U486" s="21">
        <v>0</v>
      </c>
      <c r="V486" s="21">
        <v>0</v>
      </c>
      <c r="W486" s="21">
        <v>0</v>
      </c>
      <c r="X486" s="21">
        <v>0</v>
      </c>
      <c r="Y486" s="21" t="s">
        <v>2276</v>
      </c>
      <c r="Z486" s="3" t="s">
        <v>2276</v>
      </c>
      <c r="AA486" s="3" t="s">
        <v>2276</v>
      </c>
      <c r="AB486" s="3" t="s">
        <v>2276</v>
      </c>
      <c r="AC486" s="4" t="s">
        <v>710</v>
      </c>
      <c r="AD486" s="3"/>
    </row>
    <row r="487" spans="1:30" ht="75" customHeight="1">
      <c r="A487" s="11" t="s">
        <v>701</v>
      </c>
      <c r="B487" s="11" t="s">
        <v>737</v>
      </c>
      <c r="C487" s="23" t="s">
        <v>24</v>
      </c>
      <c r="D487" s="23" t="s">
        <v>27</v>
      </c>
      <c r="E487" s="11" t="s">
        <v>130</v>
      </c>
      <c r="F487" s="19" t="s">
        <v>161</v>
      </c>
      <c r="G487" s="19" t="s">
        <v>2276</v>
      </c>
      <c r="H487" s="19" t="s">
        <v>523</v>
      </c>
      <c r="I487" s="3"/>
      <c r="J487" s="21" t="s">
        <v>2276</v>
      </c>
      <c r="K487" s="21" t="s">
        <v>2276</v>
      </c>
      <c r="L487" s="21" t="s">
        <v>2276</v>
      </c>
      <c r="M487" s="21" t="s">
        <v>2276</v>
      </c>
      <c r="N487" s="21" t="s">
        <v>2276</v>
      </c>
      <c r="O487" s="21" t="s">
        <v>2276</v>
      </c>
      <c r="P487" s="21" t="s">
        <v>2276</v>
      </c>
      <c r="Q487" s="21">
        <v>0</v>
      </c>
      <c r="R487" s="21">
        <v>0</v>
      </c>
      <c r="S487" s="21" t="s">
        <v>2276</v>
      </c>
      <c r="T487" s="21" t="s">
        <v>2276</v>
      </c>
      <c r="U487" s="21" t="s">
        <v>2276</v>
      </c>
      <c r="V487" s="21" t="s">
        <v>2276</v>
      </c>
      <c r="W487" s="21" t="s">
        <v>2276</v>
      </c>
      <c r="X487" s="21" t="s">
        <v>2276</v>
      </c>
      <c r="Y487" s="21" t="s">
        <v>2276</v>
      </c>
      <c r="Z487" s="3" t="s">
        <v>2276</v>
      </c>
      <c r="AA487" s="3" t="s">
        <v>2276</v>
      </c>
      <c r="AB487" s="3" t="s">
        <v>2276</v>
      </c>
      <c r="AC487" s="3" t="s">
        <v>718</v>
      </c>
      <c r="AD487" s="4" t="s">
        <v>2031</v>
      </c>
    </row>
    <row r="488" spans="1:30" ht="65" customHeight="1">
      <c r="A488" s="11" t="s">
        <v>701</v>
      </c>
      <c r="B488" s="3" t="s">
        <v>717</v>
      </c>
      <c r="C488" s="23" t="s">
        <v>24</v>
      </c>
      <c r="D488" s="23" t="s">
        <v>27</v>
      </c>
      <c r="E488" s="19" t="s">
        <v>397</v>
      </c>
      <c r="F488" s="19" t="s">
        <v>28</v>
      </c>
      <c r="G488" s="19" t="s">
        <v>2276</v>
      </c>
      <c r="H488" s="19" t="s">
        <v>524</v>
      </c>
      <c r="I488" s="3"/>
      <c r="J488" s="21">
        <v>0</v>
      </c>
      <c r="K488" s="21">
        <v>0</v>
      </c>
      <c r="L488" s="21">
        <v>0</v>
      </c>
      <c r="M488" s="21">
        <v>0</v>
      </c>
      <c r="N488" s="21">
        <v>0</v>
      </c>
      <c r="O488" s="21">
        <v>0</v>
      </c>
      <c r="P488" s="21">
        <v>0</v>
      </c>
      <c r="Q488" s="21">
        <v>0</v>
      </c>
      <c r="R488" s="21">
        <v>0</v>
      </c>
      <c r="S488" s="21">
        <v>0</v>
      </c>
      <c r="T488" s="21">
        <v>0</v>
      </c>
      <c r="U488" s="21">
        <v>0</v>
      </c>
      <c r="V488" s="21">
        <v>0</v>
      </c>
      <c r="W488" s="21">
        <v>0</v>
      </c>
      <c r="X488" s="21">
        <v>0</v>
      </c>
      <c r="Y488" s="74" t="s">
        <v>2276</v>
      </c>
      <c r="Z488" s="3" t="s">
        <v>2276</v>
      </c>
      <c r="AA488" s="3" t="s">
        <v>2276</v>
      </c>
      <c r="AB488" s="3" t="s">
        <v>2276</v>
      </c>
      <c r="AC488" s="3" t="s">
        <v>746</v>
      </c>
      <c r="AD488" s="3"/>
    </row>
    <row r="489" spans="1:30" ht="64" customHeight="1">
      <c r="A489" s="11" t="s">
        <v>705</v>
      </c>
      <c r="B489" s="3" t="s">
        <v>714</v>
      </c>
      <c r="C489" s="23" t="s">
        <v>24</v>
      </c>
      <c r="D489" s="23" t="s">
        <v>27</v>
      </c>
      <c r="E489" s="11" t="s">
        <v>130</v>
      </c>
      <c r="F489" s="19" t="s">
        <v>161</v>
      </c>
      <c r="G489" s="19" t="s">
        <v>2276</v>
      </c>
      <c r="H489" s="19" t="s">
        <v>523</v>
      </c>
      <c r="I489" s="3"/>
      <c r="J489" s="21" t="s">
        <v>2276</v>
      </c>
      <c r="K489" s="21" t="s">
        <v>2276</v>
      </c>
      <c r="L489" s="21" t="s">
        <v>2276</v>
      </c>
      <c r="M489" s="21" t="s">
        <v>2276</v>
      </c>
      <c r="N489" s="21" t="s">
        <v>2276</v>
      </c>
      <c r="O489" s="21" t="s">
        <v>2276</v>
      </c>
      <c r="P489" s="21" t="s">
        <v>2276</v>
      </c>
      <c r="Q489" s="21" t="s">
        <v>2276</v>
      </c>
      <c r="R489" s="21" t="s">
        <v>2276</v>
      </c>
      <c r="S489" s="21" t="s">
        <v>2276</v>
      </c>
      <c r="T489" s="21" t="s">
        <v>2276</v>
      </c>
      <c r="U489" s="21" t="s">
        <v>2276</v>
      </c>
      <c r="V489" s="21" t="s">
        <v>2276</v>
      </c>
      <c r="W489" s="21" t="s">
        <v>2276</v>
      </c>
      <c r="X489" s="21" t="s">
        <v>2276</v>
      </c>
      <c r="Y489" s="21" t="s">
        <v>2276</v>
      </c>
      <c r="Z489" s="3" t="s">
        <v>2276</v>
      </c>
      <c r="AA489" s="3" t="s">
        <v>2276</v>
      </c>
      <c r="AB489" s="3" t="s">
        <v>2276</v>
      </c>
      <c r="AC489" s="3" t="s">
        <v>718</v>
      </c>
      <c r="AD489" s="4" t="s">
        <v>2031</v>
      </c>
    </row>
    <row r="490" spans="1:30" ht="60" customHeight="1">
      <c r="A490" s="11" t="s">
        <v>705</v>
      </c>
      <c r="B490" s="3" t="s">
        <v>715</v>
      </c>
      <c r="C490" s="23" t="s">
        <v>24</v>
      </c>
      <c r="D490" s="23" t="s">
        <v>27</v>
      </c>
      <c r="E490" s="19" t="s">
        <v>397</v>
      </c>
      <c r="F490" s="19" t="s">
        <v>28</v>
      </c>
      <c r="G490" s="19" t="s">
        <v>2276</v>
      </c>
      <c r="H490" s="19" t="s">
        <v>524</v>
      </c>
      <c r="I490" s="3"/>
      <c r="J490" s="21">
        <v>0</v>
      </c>
      <c r="K490" s="21">
        <v>0</v>
      </c>
      <c r="L490" s="21">
        <v>0</v>
      </c>
      <c r="M490" s="21">
        <v>0</v>
      </c>
      <c r="N490" s="21">
        <v>0</v>
      </c>
      <c r="O490" s="21">
        <v>0</v>
      </c>
      <c r="P490" s="21">
        <v>0</v>
      </c>
      <c r="Q490" s="21">
        <v>0</v>
      </c>
      <c r="R490" s="21">
        <v>0</v>
      </c>
      <c r="S490" s="21">
        <v>0</v>
      </c>
      <c r="T490" s="21">
        <v>0</v>
      </c>
      <c r="U490" s="21">
        <v>0</v>
      </c>
      <c r="V490" s="21">
        <v>0</v>
      </c>
      <c r="W490" s="21">
        <v>0</v>
      </c>
      <c r="X490" s="21">
        <v>0</v>
      </c>
      <c r="Y490" s="74" t="s">
        <v>2276</v>
      </c>
      <c r="Z490" s="3" t="s">
        <v>2276</v>
      </c>
      <c r="AA490" s="3" t="s">
        <v>2276</v>
      </c>
      <c r="AB490" s="3" t="s">
        <v>2276</v>
      </c>
      <c r="AC490" s="3" t="s">
        <v>746</v>
      </c>
      <c r="AD490" s="3"/>
    </row>
    <row r="491" spans="1:30" ht="78.5" customHeight="1">
      <c r="A491" s="11" t="s">
        <v>706</v>
      </c>
      <c r="B491" s="11" t="s">
        <v>736</v>
      </c>
      <c r="C491" s="23" t="s">
        <v>24</v>
      </c>
      <c r="D491" s="23" t="s">
        <v>27</v>
      </c>
      <c r="E491" s="11" t="s">
        <v>130</v>
      </c>
      <c r="F491" s="19" t="s">
        <v>161</v>
      </c>
      <c r="G491" s="19" t="s">
        <v>2276</v>
      </c>
      <c r="H491" s="3" t="s">
        <v>523</v>
      </c>
      <c r="I491" s="3"/>
      <c r="J491" s="21" t="s">
        <v>2276</v>
      </c>
      <c r="K491" s="21" t="s">
        <v>2276</v>
      </c>
      <c r="L491" s="21" t="s">
        <v>2276</v>
      </c>
      <c r="M491" s="21" t="s">
        <v>2276</v>
      </c>
      <c r="N491" s="21" t="s">
        <v>2276</v>
      </c>
      <c r="O491" s="21" t="s">
        <v>2276</v>
      </c>
      <c r="P491" s="21" t="s">
        <v>2276</v>
      </c>
      <c r="Q491" s="21" t="s">
        <v>2276</v>
      </c>
      <c r="R491" s="21" t="s">
        <v>2276</v>
      </c>
      <c r="S491" s="21" t="s">
        <v>2276</v>
      </c>
      <c r="T491" s="21" t="s">
        <v>2276</v>
      </c>
      <c r="U491" s="21" t="s">
        <v>2276</v>
      </c>
      <c r="V491" s="21" t="s">
        <v>2276</v>
      </c>
      <c r="W491" s="21" t="s">
        <v>2276</v>
      </c>
      <c r="X491" s="21" t="s">
        <v>2276</v>
      </c>
      <c r="Y491" s="21" t="s">
        <v>2276</v>
      </c>
      <c r="Z491" s="3" t="s">
        <v>2276</v>
      </c>
      <c r="AA491" s="3" t="s">
        <v>2276</v>
      </c>
      <c r="AB491" s="3" t="s">
        <v>2276</v>
      </c>
      <c r="AC491" s="3" t="s">
        <v>718</v>
      </c>
      <c r="AD491" s="4" t="s">
        <v>2031</v>
      </c>
    </row>
    <row r="492" spans="1:30" ht="57" customHeight="1">
      <c r="A492" s="11" t="s">
        <v>706</v>
      </c>
      <c r="B492" s="3" t="s">
        <v>716</v>
      </c>
      <c r="C492" s="23" t="s">
        <v>24</v>
      </c>
      <c r="D492" s="23" t="s">
        <v>27</v>
      </c>
      <c r="E492" s="19" t="s">
        <v>397</v>
      </c>
      <c r="F492" s="19" t="s">
        <v>28</v>
      </c>
      <c r="G492" s="19" t="s">
        <v>2276</v>
      </c>
      <c r="H492" s="19" t="s">
        <v>524</v>
      </c>
      <c r="I492" s="3"/>
      <c r="J492" s="21">
        <v>0</v>
      </c>
      <c r="K492" s="21">
        <v>0</v>
      </c>
      <c r="L492" s="21">
        <v>0</v>
      </c>
      <c r="M492" s="21">
        <v>0</v>
      </c>
      <c r="N492" s="21">
        <v>0</v>
      </c>
      <c r="O492" s="21">
        <v>0</v>
      </c>
      <c r="P492" s="21">
        <v>0</v>
      </c>
      <c r="Q492" s="21">
        <v>0</v>
      </c>
      <c r="R492" s="21">
        <v>0</v>
      </c>
      <c r="S492" s="21">
        <v>0</v>
      </c>
      <c r="T492" s="21">
        <v>0</v>
      </c>
      <c r="U492" s="21">
        <v>0</v>
      </c>
      <c r="V492" s="21">
        <v>0</v>
      </c>
      <c r="W492" s="21">
        <v>0</v>
      </c>
      <c r="X492" s="21">
        <v>0</v>
      </c>
      <c r="Y492" s="74" t="s">
        <v>2276</v>
      </c>
      <c r="Z492" s="3" t="s">
        <v>2276</v>
      </c>
      <c r="AA492" s="3" t="s">
        <v>2276</v>
      </c>
      <c r="AB492" s="3" t="s">
        <v>2276</v>
      </c>
      <c r="AC492" s="3" t="s">
        <v>746</v>
      </c>
      <c r="AD492" s="3"/>
    </row>
    <row r="493" spans="1:30" ht="39.5" customHeight="1">
      <c r="A493" s="3" t="s">
        <v>725</v>
      </c>
      <c r="B493" s="3" t="s">
        <v>734</v>
      </c>
      <c r="C493" s="23" t="s">
        <v>24</v>
      </c>
      <c r="D493" s="23" t="s">
        <v>27</v>
      </c>
      <c r="E493" s="11" t="s">
        <v>130</v>
      </c>
      <c r="F493" s="19" t="s">
        <v>161</v>
      </c>
      <c r="G493" s="19" t="s">
        <v>2276</v>
      </c>
      <c r="H493" s="3" t="s">
        <v>523</v>
      </c>
      <c r="I493" s="3"/>
      <c r="J493" s="21" t="s">
        <v>2276</v>
      </c>
      <c r="K493" s="21" t="s">
        <v>2276</v>
      </c>
      <c r="L493" s="21" t="s">
        <v>2276</v>
      </c>
      <c r="M493" s="21" t="s">
        <v>2276</v>
      </c>
      <c r="N493" s="21" t="s">
        <v>2276</v>
      </c>
      <c r="O493" s="21" t="s">
        <v>2276</v>
      </c>
      <c r="P493" s="21" t="s">
        <v>2276</v>
      </c>
      <c r="Q493" s="21" t="s">
        <v>2276</v>
      </c>
      <c r="R493" s="21" t="s">
        <v>2276</v>
      </c>
      <c r="S493" s="21" t="s">
        <v>2276</v>
      </c>
      <c r="T493" s="21" t="s">
        <v>2276</v>
      </c>
      <c r="U493" s="21" t="s">
        <v>2276</v>
      </c>
      <c r="V493" s="21" t="s">
        <v>2276</v>
      </c>
      <c r="W493" s="21" t="s">
        <v>2276</v>
      </c>
      <c r="X493" s="21" t="s">
        <v>2276</v>
      </c>
      <c r="Y493" s="21" t="s">
        <v>2276</v>
      </c>
      <c r="Z493" s="3" t="s">
        <v>2276</v>
      </c>
      <c r="AA493" s="3" t="s">
        <v>2276</v>
      </c>
      <c r="AB493" s="3" t="s">
        <v>2276</v>
      </c>
      <c r="AC493" s="3" t="s">
        <v>718</v>
      </c>
      <c r="AD493" s="3" t="s">
        <v>2044</v>
      </c>
    </row>
    <row r="494" spans="1:30" ht="39.5" customHeight="1">
      <c r="A494" s="3" t="s">
        <v>725</v>
      </c>
      <c r="B494" s="3" t="s">
        <v>735</v>
      </c>
      <c r="C494" s="23" t="s">
        <v>24</v>
      </c>
      <c r="D494" s="23" t="s">
        <v>27</v>
      </c>
      <c r="E494" s="19" t="s">
        <v>397</v>
      </c>
      <c r="F494" s="19" t="s">
        <v>28</v>
      </c>
      <c r="G494" s="19" t="s">
        <v>2276</v>
      </c>
      <c r="H494" s="19" t="s">
        <v>524</v>
      </c>
      <c r="I494" s="3"/>
      <c r="J494" s="21">
        <v>0</v>
      </c>
      <c r="K494" s="21">
        <v>0</v>
      </c>
      <c r="L494" s="21">
        <v>0</v>
      </c>
      <c r="M494" s="21">
        <v>0</v>
      </c>
      <c r="N494" s="21">
        <v>0</v>
      </c>
      <c r="O494" s="21">
        <v>0</v>
      </c>
      <c r="P494" s="21">
        <v>0</v>
      </c>
      <c r="Q494" s="21">
        <v>0</v>
      </c>
      <c r="R494" s="21">
        <v>0</v>
      </c>
      <c r="S494" s="21">
        <v>0</v>
      </c>
      <c r="T494" s="21">
        <v>0</v>
      </c>
      <c r="U494" s="21">
        <v>0</v>
      </c>
      <c r="V494" s="21">
        <v>0</v>
      </c>
      <c r="W494" s="21">
        <v>0</v>
      </c>
      <c r="X494" s="21">
        <v>0</v>
      </c>
      <c r="Y494" s="21" t="s">
        <v>2276</v>
      </c>
      <c r="Z494" s="3" t="s">
        <v>2276</v>
      </c>
      <c r="AA494" s="3" t="s">
        <v>2276</v>
      </c>
      <c r="AB494" s="3" t="s">
        <v>2276</v>
      </c>
      <c r="AC494" s="3" t="s">
        <v>746</v>
      </c>
      <c r="AD494" s="3"/>
    </row>
    <row r="495" spans="1:30" ht="38" customHeight="1">
      <c r="A495" s="3" t="s">
        <v>726</v>
      </c>
      <c r="B495" s="3" t="s">
        <v>738</v>
      </c>
      <c r="C495" s="23" t="s">
        <v>24</v>
      </c>
      <c r="D495" s="23" t="s">
        <v>27</v>
      </c>
      <c r="E495" s="11" t="s">
        <v>130</v>
      </c>
      <c r="F495" s="19" t="s">
        <v>161</v>
      </c>
      <c r="G495" s="19" t="s">
        <v>2276</v>
      </c>
      <c r="H495" s="3" t="s">
        <v>523</v>
      </c>
      <c r="I495" s="3"/>
      <c r="J495" s="21" t="s">
        <v>2276</v>
      </c>
      <c r="K495" s="21" t="s">
        <v>2276</v>
      </c>
      <c r="L495" s="21" t="s">
        <v>2276</v>
      </c>
      <c r="M495" s="21" t="s">
        <v>2276</v>
      </c>
      <c r="N495" s="21" t="s">
        <v>2276</v>
      </c>
      <c r="O495" s="21" t="s">
        <v>2276</v>
      </c>
      <c r="P495" s="21" t="s">
        <v>2276</v>
      </c>
      <c r="Q495" s="21" t="s">
        <v>2276</v>
      </c>
      <c r="R495" s="21" t="s">
        <v>2276</v>
      </c>
      <c r="S495" s="21" t="s">
        <v>2276</v>
      </c>
      <c r="T495" s="21" t="s">
        <v>2276</v>
      </c>
      <c r="U495" s="21" t="s">
        <v>2276</v>
      </c>
      <c r="V495" s="21" t="s">
        <v>2276</v>
      </c>
      <c r="W495" s="21" t="s">
        <v>2276</v>
      </c>
      <c r="X495" s="21" t="s">
        <v>2276</v>
      </c>
      <c r="Y495" s="21" t="s">
        <v>2276</v>
      </c>
      <c r="Z495" s="3" t="s">
        <v>2276</v>
      </c>
      <c r="AA495" s="3" t="s">
        <v>2276</v>
      </c>
      <c r="AB495" s="3" t="s">
        <v>2276</v>
      </c>
      <c r="AC495" s="3" t="s">
        <v>718</v>
      </c>
      <c r="AD495" s="3" t="s">
        <v>2044</v>
      </c>
    </row>
    <row r="496" spans="1:30" ht="38" customHeight="1">
      <c r="A496" s="3" t="s">
        <v>726</v>
      </c>
      <c r="B496" s="3" t="s">
        <v>739</v>
      </c>
      <c r="C496" s="23" t="s">
        <v>24</v>
      </c>
      <c r="D496" s="23" t="s">
        <v>27</v>
      </c>
      <c r="E496" s="19" t="s">
        <v>397</v>
      </c>
      <c r="F496" s="19" t="s">
        <v>28</v>
      </c>
      <c r="G496" s="19" t="s">
        <v>2276</v>
      </c>
      <c r="H496" s="19" t="s">
        <v>524</v>
      </c>
      <c r="I496" s="3"/>
      <c r="J496" s="21">
        <v>0</v>
      </c>
      <c r="K496" s="21">
        <v>0</v>
      </c>
      <c r="L496" s="21">
        <v>0</v>
      </c>
      <c r="M496" s="21">
        <v>0</v>
      </c>
      <c r="N496" s="21">
        <v>0</v>
      </c>
      <c r="O496" s="21">
        <v>0</v>
      </c>
      <c r="P496" s="21">
        <v>0</v>
      </c>
      <c r="Q496" s="21" t="s">
        <v>2276</v>
      </c>
      <c r="R496" s="21" t="s">
        <v>2276</v>
      </c>
      <c r="S496" s="21">
        <v>0</v>
      </c>
      <c r="T496" s="21">
        <v>0</v>
      </c>
      <c r="U496" s="21">
        <v>0</v>
      </c>
      <c r="V496" s="21">
        <v>0</v>
      </c>
      <c r="W496" s="21">
        <v>0</v>
      </c>
      <c r="X496" s="21">
        <v>0</v>
      </c>
      <c r="Y496" s="21" t="s">
        <v>2276</v>
      </c>
      <c r="Z496" s="3" t="s">
        <v>2276</v>
      </c>
      <c r="AA496" s="3" t="s">
        <v>2276</v>
      </c>
      <c r="AB496" s="3" t="s">
        <v>2276</v>
      </c>
      <c r="AC496" s="3" t="s">
        <v>746</v>
      </c>
      <c r="AD496" s="3"/>
    </row>
    <row r="497" spans="1:30" ht="37" customHeight="1">
      <c r="A497" s="3" t="s">
        <v>727</v>
      </c>
      <c r="B497" s="3" t="s">
        <v>740</v>
      </c>
      <c r="C497" s="23" t="s">
        <v>24</v>
      </c>
      <c r="D497" s="23" t="s">
        <v>27</v>
      </c>
      <c r="E497" s="11" t="s">
        <v>130</v>
      </c>
      <c r="F497" s="19" t="s">
        <v>161</v>
      </c>
      <c r="G497" s="19" t="s">
        <v>2276</v>
      </c>
      <c r="H497" s="3" t="s">
        <v>523</v>
      </c>
      <c r="I497" s="3"/>
      <c r="J497" s="21" t="s">
        <v>2276</v>
      </c>
      <c r="K497" s="21" t="s">
        <v>2276</v>
      </c>
      <c r="L497" s="21" t="s">
        <v>2276</v>
      </c>
      <c r="M497" s="21" t="s">
        <v>2276</v>
      </c>
      <c r="N497" s="21" t="s">
        <v>2276</v>
      </c>
      <c r="O497" s="21" t="s">
        <v>2276</v>
      </c>
      <c r="P497" s="21" t="s">
        <v>2276</v>
      </c>
      <c r="Q497" s="21" t="s">
        <v>2276</v>
      </c>
      <c r="R497" s="21" t="s">
        <v>2276</v>
      </c>
      <c r="S497" s="21" t="s">
        <v>2276</v>
      </c>
      <c r="T497" s="21" t="s">
        <v>2276</v>
      </c>
      <c r="U497" s="21" t="s">
        <v>2276</v>
      </c>
      <c r="V497" s="21" t="s">
        <v>2276</v>
      </c>
      <c r="W497" s="21" t="s">
        <v>2276</v>
      </c>
      <c r="X497" s="21" t="s">
        <v>2276</v>
      </c>
      <c r="Y497" s="21" t="s">
        <v>2276</v>
      </c>
      <c r="Z497" s="3" t="s">
        <v>2276</v>
      </c>
      <c r="AA497" s="3" t="s">
        <v>2276</v>
      </c>
      <c r="AB497" s="3" t="s">
        <v>2276</v>
      </c>
      <c r="AC497" s="3" t="s">
        <v>718</v>
      </c>
      <c r="AD497" s="3" t="s">
        <v>2044</v>
      </c>
    </row>
    <row r="498" spans="1:30" ht="38.5" customHeight="1">
      <c r="A498" s="3" t="s">
        <v>727</v>
      </c>
      <c r="B498" s="3" t="s">
        <v>745</v>
      </c>
      <c r="C498" s="23" t="s">
        <v>24</v>
      </c>
      <c r="D498" s="23" t="s">
        <v>27</v>
      </c>
      <c r="E498" s="19" t="s">
        <v>397</v>
      </c>
      <c r="F498" s="19" t="s">
        <v>28</v>
      </c>
      <c r="G498" s="19" t="s">
        <v>2276</v>
      </c>
      <c r="H498" s="19" t="s">
        <v>524</v>
      </c>
      <c r="I498" s="3"/>
      <c r="J498" s="21">
        <v>0</v>
      </c>
      <c r="K498" s="21">
        <v>0</v>
      </c>
      <c r="L498" s="21">
        <v>0</v>
      </c>
      <c r="M498" s="21">
        <v>0</v>
      </c>
      <c r="N498" s="21">
        <v>0</v>
      </c>
      <c r="O498" s="21">
        <v>0</v>
      </c>
      <c r="P498" s="21">
        <v>0</v>
      </c>
      <c r="Q498" s="21">
        <v>0</v>
      </c>
      <c r="R498" s="21">
        <v>0</v>
      </c>
      <c r="S498" s="21">
        <v>0</v>
      </c>
      <c r="T498" s="21">
        <v>0</v>
      </c>
      <c r="U498" s="21">
        <v>0</v>
      </c>
      <c r="V498" s="21">
        <v>0</v>
      </c>
      <c r="W498" s="21">
        <v>0</v>
      </c>
      <c r="X498" s="21">
        <v>0</v>
      </c>
      <c r="Y498" s="21" t="s">
        <v>2276</v>
      </c>
      <c r="Z498" s="3" t="s">
        <v>2276</v>
      </c>
      <c r="AA498" s="3" t="s">
        <v>2276</v>
      </c>
      <c r="AB498" s="3" t="s">
        <v>2276</v>
      </c>
      <c r="AC498" s="3" t="s">
        <v>746</v>
      </c>
      <c r="AD498" s="3"/>
    </row>
    <row r="499" spans="1:30" ht="36" customHeight="1">
      <c r="A499" s="11" t="s">
        <v>747</v>
      </c>
      <c r="B499" s="11" t="s">
        <v>750</v>
      </c>
      <c r="C499" s="23" t="s">
        <v>24</v>
      </c>
      <c r="D499" s="23" t="s">
        <v>27</v>
      </c>
      <c r="E499" s="11" t="s">
        <v>130</v>
      </c>
      <c r="F499" s="19" t="s">
        <v>161</v>
      </c>
      <c r="G499" s="19" t="s">
        <v>2276</v>
      </c>
      <c r="H499" s="3" t="s">
        <v>523</v>
      </c>
      <c r="I499" s="3"/>
      <c r="J499" s="21" t="s">
        <v>2276</v>
      </c>
      <c r="K499" s="21" t="s">
        <v>2276</v>
      </c>
      <c r="L499" s="21" t="s">
        <v>2276</v>
      </c>
      <c r="M499" s="21" t="s">
        <v>2276</v>
      </c>
      <c r="N499" s="21" t="s">
        <v>2276</v>
      </c>
      <c r="O499" s="21" t="s">
        <v>2276</v>
      </c>
      <c r="P499" s="21" t="s">
        <v>2276</v>
      </c>
      <c r="Q499" s="21" t="s">
        <v>2276</v>
      </c>
      <c r="R499" s="21" t="s">
        <v>2276</v>
      </c>
      <c r="S499" s="21" t="s">
        <v>2276</v>
      </c>
      <c r="T499" s="21" t="s">
        <v>2276</v>
      </c>
      <c r="U499" s="21" t="s">
        <v>2276</v>
      </c>
      <c r="V499" s="21" t="s">
        <v>2276</v>
      </c>
      <c r="W499" s="21" t="s">
        <v>2276</v>
      </c>
      <c r="X499" s="21" t="s">
        <v>2276</v>
      </c>
      <c r="Y499" s="3">
        <v>10</v>
      </c>
      <c r="Z499" s="3" t="s">
        <v>2276</v>
      </c>
      <c r="AA499" s="3" t="s">
        <v>2276</v>
      </c>
      <c r="AB499" s="3" t="s">
        <v>2276</v>
      </c>
      <c r="AC499" s="19" t="s">
        <v>751</v>
      </c>
      <c r="AD499" s="3"/>
    </row>
    <row r="500" spans="1:30" ht="48.5" customHeight="1">
      <c r="A500" s="11" t="s">
        <v>753</v>
      </c>
      <c r="B500" s="11" t="s">
        <v>763</v>
      </c>
      <c r="C500" s="23" t="s">
        <v>24</v>
      </c>
      <c r="D500" s="23" t="s">
        <v>27</v>
      </c>
      <c r="E500" s="11" t="s">
        <v>130</v>
      </c>
      <c r="F500" s="19" t="s">
        <v>161</v>
      </c>
      <c r="G500" s="19" t="s">
        <v>2276</v>
      </c>
      <c r="H500" s="3" t="s">
        <v>523</v>
      </c>
      <c r="I500" s="3"/>
      <c r="J500" s="3" t="s">
        <v>2276</v>
      </c>
      <c r="K500" s="3" t="s">
        <v>2276</v>
      </c>
      <c r="L500" s="3" t="s">
        <v>2276</v>
      </c>
      <c r="M500" s="3" t="s">
        <v>2276</v>
      </c>
      <c r="N500" s="3" t="s">
        <v>2276</v>
      </c>
      <c r="O500" s="3" t="s">
        <v>2276</v>
      </c>
      <c r="P500" s="3" t="s">
        <v>2276</v>
      </c>
      <c r="Q500" s="21" t="s">
        <v>2276</v>
      </c>
      <c r="R500" s="21" t="s">
        <v>2276</v>
      </c>
      <c r="S500" s="3" t="s">
        <v>2276</v>
      </c>
      <c r="T500" s="3" t="s">
        <v>2276</v>
      </c>
      <c r="U500" s="3" t="s">
        <v>2276</v>
      </c>
      <c r="V500" s="3" t="s">
        <v>2276</v>
      </c>
      <c r="W500" s="3" t="s">
        <v>2276</v>
      </c>
      <c r="X500" s="3" t="s">
        <v>2276</v>
      </c>
      <c r="Y500" s="3" t="s">
        <v>2276</v>
      </c>
      <c r="Z500" s="3" t="s">
        <v>2276</v>
      </c>
      <c r="AA500" s="3" t="s">
        <v>2276</v>
      </c>
      <c r="AB500" s="3" t="s">
        <v>2276</v>
      </c>
      <c r="AC500" s="3"/>
      <c r="AD500" s="4" t="s">
        <v>5017</v>
      </c>
    </row>
    <row r="501" spans="1:30" ht="52.5" customHeight="1">
      <c r="A501" s="11" t="s">
        <v>756</v>
      </c>
      <c r="B501" s="11" t="s">
        <v>764</v>
      </c>
      <c r="C501" s="23" t="s">
        <v>24</v>
      </c>
      <c r="D501" s="23" t="s">
        <v>27</v>
      </c>
      <c r="E501" s="11" t="s">
        <v>130</v>
      </c>
      <c r="F501" s="19" t="s">
        <v>161</v>
      </c>
      <c r="G501" s="19" t="s">
        <v>2276</v>
      </c>
      <c r="H501" s="3" t="s">
        <v>523</v>
      </c>
      <c r="I501" s="3"/>
      <c r="J501" s="3" t="s">
        <v>2276</v>
      </c>
      <c r="K501" s="3" t="s">
        <v>2276</v>
      </c>
      <c r="L501" s="3" t="s">
        <v>2276</v>
      </c>
      <c r="M501" s="3" t="s">
        <v>2276</v>
      </c>
      <c r="N501" s="3" t="s">
        <v>2276</v>
      </c>
      <c r="O501" s="3" t="s">
        <v>2276</v>
      </c>
      <c r="P501" s="3" t="s">
        <v>2276</v>
      </c>
      <c r="Q501" s="21" t="s">
        <v>2276</v>
      </c>
      <c r="R501" s="21" t="s">
        <v>2276</v>
      </c>
      <c r="S501" s="3" t="s">
        <v>2276</v>
      </c>
      <c r="T501" s="3" t="s">
        <v>2276</v>
      </c>
      <c r="U501" s="3" t="s">
        <v>2276</v>
      </c>
      <c r="V501" s="3" t="s">
        <v>2276</v>
      </c>
      <c r="W501" s="3" t="s">
        <v>2276</v>
      </c>
      <c r="X501" s="3" t="s">
        <v>2276</v>
      </c>
      <c r="Y501" s="3" t="s">
        <v>2276</v>
      </c>
      <c r="Z501" s="3" t="s">
        <v>2276</v>
      </c>
      <c r="AA501" s="3" t="s">
        <v>2276</v>
      </c>
      <c r="AB501" s="3" t="s">
        <v>2276</v>
      </c>
      <c r="AC501" s="3"/>
      <c r="AD501" s="4" t="s">
        <v>5018</v>
      </c>
    </row>
    <row r="502" spans="1:30" ht="61" customHeight="1">
      <c r="A502" s="11" t="s">
        <v>757</v>
      </c>
      <c r="B502" s="11" t="s">
        <v>765</v>
      </c>
      <c r="C502" s="23" t="s">
        <v>24</v>
      </c>
      <c r="D502" s="23" t="s">
        <v>27</v>
      </c>
      <c r="E502" s="11" t="s">
        <v>130</v>
      </c>
      <c r="F502" s="19" t="s">
        <v>161</v>
      </c>
      <c r="G502" s="19" t="s">
        <v>2276</v>
      </c>
      <c r="H502" s="3" t="s">
        <v>523</v>
      </c>
      <c r="I502" s="3"/>
      <c r="J502" s="3" t="s">
        <v>2276</v>
      </c>
      <c r="K502" s="3" t="s">
        <v>2276</v>
      </c>
      <c r="L502" s="3" t="s">
        <v>2276</v>
      </c>
      <c r="M502" s="3" t="s">
        <v>2276</v>
      </c>
      <c r="N502" s="3" t="s">
        <v>2276</v>
      </c>
      <c r="O502" s="3" t="s">
        <v>2276</v>
      </c>
      <c r="P502" s="3" t="s">
        <v>2276</v>
      </c>
      <c r="Q502" s="21" t="s">
        <v>2276</v>
      </c>
      <c r="R502" s="21" t="s">
        <v>2276</v>
      </c>
      <c r="S502" s="3" t="s">
        <v>2276</v>
      </c>
      <c r="T502" s="3" t="s">
        <v>2276</v>
      </c>
      <c r="U502" s="3" t="s">
        <v>2276</v>
      </c>
      <c r="V502" s="3" t="s">
        <v>2276</v>
      </c>
      <c r="W502" s="3" t="s">
        <v>2276</v>
      </c>
      <c r="X502" s="3" t="s">
        <v>2276</v>
      </c>
      <c r="Y502" s="3" t="s">
        <v>2276</v>
      </c>
      <c r="Z502" s="3" t="s">
        <v>2276</v>
      </c>
      <c r="AA502" s="3" t="s">
        <v>2276</v>
      </c>
      <c r="AB502" s="3" t="s">
        <v>2276</v>
      </c>
      <c r="AC502" s="3"/>
      <c r="AD502" s="4" t="s">
        <v>5018</v>
      </c>
    </row>
    <row r="503" spans="1:30" ht="43.5" customHeight="1">
      <c r="A503" s="11" t="s">
        <v>755</v>
      </c>
      <c r="B503" s="11" t="s">
        <v>772</v>
      </c>
      <c r="C503" s="23" t="s">
        <v>24</v>
      </c>
      <c r="D503" s="23" t="s">
        <v>27</v>
      </c>
      <c r="E503" s="11" t="s">
        <v>130</v>
      </c>
      <c r="F503" s="19" t="s">
        <v>161</v>
      </c>
      <c r="G503" s="19" t="s">
        <v>2276</v>
      </c>
      <c r="H503" s="3" t="s">
        <v>523</v>
      </c>
      <c r="I503" s="3"/>
      <c r="J503" s="21" t="s">
        <v>2276</v>
      </c>
      <c r="K503" s="21" t="s">
        <v>2276</v>
      </c>
      <c r="L503" s="21" t="s">
        <v>2276</v>
      </c>
      <c r="M503" s="21" t="s">
        <v>2276</v>
      </c>
      <c r="N503" s="21" t="s">
        <v>2276</v>
      </c>
      <c r="O503" s="21" t="s">
        <v>2276</v>
      </c>
      <c r="P503" s="21" t="s">
        <v>2276</v>
      </c>
      <c r="Q503" s="21" t="s">
        <v>2276</v>
      </c>
      <c r="R503" s="21" t="s">
        <v>2276</v>
      </c>
      <c r="S503" s="21" t="s">
        <v>2276</v>
      </c>
      <c r="T503" s="21" t="s">
        <v>2276</v>
      </c>
      <c r="U503" s="21" t="s">
        <v>2276</v>
      </c>
      <c r="V503" s="21" t="s">
        <v>2276</v>
      </c>
      <c r="W503" s="21" t="s">
        <v>2276</v>
      </c>
      <c r="X503" s="21" t="s">
        <v>2276</v>
      </c>
      <c r="Y503" s="21">
        <v>10</v>
      </c>
      <c r="Z503" s="3" t="s">
        <v>86</v>
      </c>
      <c r="AA503" s="3" t="s">
        <v>86</v>
      </c>
      <c r="AB503" s="3" t="s">
        <v>64</v>
      </c>
      <c r="AC503" s="3" t="s">
        <v>636</v>
      </c>
      <c r="AD503" s="19" t="s">
        <v>771</v>
      </c>
    </row>
    <row r="504" spans="1:30" ht="58.5" customHeight="1">
      <c r="A504" s="11" t="s">
        <v>773</v>
      </c>
      <c r="B504" s="11" t="s">
        <v>780</v>
      </c>
      <c r="C504" s="23" t="s">
        <v>24</v>
      </c>
      <c r="D504" s="23" t="s">
        <v>27</v>
      </c>
      <c r="E504" s="11" t="s">
        <v>130</v>
      </c>
      <c r="F504" s="19" t="s">
        <v>161</v>
      </c>
      <c r="G504" s="19" t="s">
        <v>2276</v>
      </c>
      <c r="H504" s="3" t="s">
        <v>523</v>
      </c>
      <c r="I504" s="3"/>
      <c r="J504" s="3" t="s">
        <v>2276</v>
      </c>
      <c r="K504" s="3" t="s">
        <v>2276</v>
      </c>
      <c r="L504" s="3" t="s">
        <v>2276</v>
      </c>
      <c r="M504" s="3" t="s">
        <v>2276</v>
      </c>
      <c r="N504" s="3" t="s">
        <v>2276</v>
      </c>
      <c r="O504" s="3" t="s">
        <v>2276</v>
      </c>
      <c r="P504" s="3" t="s">
        <v>2276</v>
      </c>
      <c r="Q504" s="21" t="s">
        <v>2276</v>
      </c>
      <c r="R504" s="21" t="s">
        <v>2276</v>
      </c>
      <c r="S504" s="3" t="s">
        <v>2276</v>
      </c>
      <c r="T504" s="3" t="s">
        <v>2276</v>
      </c>
      <c r="U504" s="3" t="s">
        <v>2276</v>
      </c>
      <c r="V504" s="3" t="s">
        <v>2276</v>
      </c>
      <c r="W504" s="3" t="s">
        <v>2276</v>
      </c>
      <c r="X504" s="3" t="s">
        <v>2276</v>
      </c>
      <c r="Y504" s="3" t="s">
        <v>2276</v>
      </c>
      <c r="Z504" s="3" t="s">
        <v>2276</v>
      </c>
      <c r="AA504" s="3" t="s">
        <v>2276</v>
      </c>
      <c r="AB504" s="3" t="s">
        <v>2276</v>
      </c>
      <c r="AC504" s="3"/>
      <c r="AD504" s="4" t="s">
        <v>2049</v>
      </c>
    </row>
    <row r="505" spans="1:30" ht="33.5" customHeight="1">
      <c r="A505" s="11" t="s">
        <v>773</v>
      </c>
      <c r="B505" s="11" t="s">
        <v>782</v>
      </c>
      <c r="C505" s="23" t="s">
        <v>24</v>
      </c>
      <c r="D505" s="23" t="s">
        <v>27</v>
      </c>
      <c r="E505" s="19" t="s">
        <v>397</v>
      </c>
      <c r="F505" s="19" t="s">
        <v>28</v>
      </c>
      <c r="G505" s="19" t="s">
        <v>2276</v>
      </c>
      <c r="H505" s="3" t="s">
        <v>524</v>
      </c>
      <c r="I505" s="3"/>
      <c r="J505" s="21">
        <v>0</v>
      </c>
      <c r="K505" s="21">
        <v>0</v>
      </c>
      <c r="L505" s="21">
        <v>0</v>
      </c>
      <c r="M505" s="21">
        <v>0</v>
      </c>
      <c r="N505" s="21">
        <v>0</v>
      </c>
      <c r="O505" s="21">
        <v>0</v>
      </c>
      <c r="P505" s="21">
        <v>0</v>
      </c>
      <c r="Q505" s="21" t="s">
        <v>2276</v>
      </c>
      <c r="R505" s="21" t="s">
        <v>2276</v>
      </c>
      <c r="S505" s="21">
        <v>0</v>
      </c>
      <c r="T505" s="21">
        <v>0</v>
      </c>
      <c r="U505" s="21">
        <v>0</v>
      </c>
      <c r="V505" s="21">
        <v>0</v>
      </c>
      <c r="W505" s="21">
        <v>0</v>
      </c>
      <c r="X505" s="21">
        <v>0</v>
      </c>
      <c r="Y505" s="21" t="s">
        <v>2276</v>
      </c>
      <c r="Z505" s="3" t="s">
        <v>2276</v>
      </c>
      <c r="AA505" s="3" t="s">
        <v>2276</v>
      </c>
      <c r="AB505" s="3" t="s">
        <v>2276</v>
      </c>
      <c r="AC505" s="3" t="s">
        <v>746</v>
      </c>
      <c r="AD505" s="4"/>
    </row>
    <row r="506" spans="1:30" ht="57.5" customHeight="1">
      <c r="A506" s="11" t="s">
        <v>774</v>
      </c>
      <c r="B506" s="11" t="s">
        <v>781</v>
      </c>
      <c r="C506" s="23" t="s">
        <v>24</v>
      </c>
      <c r="D506" s="23" t="s">
        <v>27</v>
      </c>
      <c r="E506" s="11" t="s">
        <v>130</v>
      </c>
      <c r="F506" s="19" t="s">
        <v>161</v>
      </c>
      <c r="G506" s="19" t="s">
        <v>2276</v>
      </c>
      <c r="H506" s="3" t="s">
        <v>523</v>
      </c>
      <c r="I506" s="3"/>
      <c r="J506" s="21" t="s">
        <v>2276</v>
      </c>
      <c r="K506" s="21" t="s">
        <v>2276</v>
      </c>
      <c r="L506" s="21" t="s">
        <v>2276</v>
      </c>
      <c r="M506" s="21" t="s">
        <v>2276</v>
      </c>
      <c r="N506" s="21" t="s">
        <v>2276</v>
      </c>
      <c r="O506" s="21" t="s">
        <v>2276</v>
      </c>
      <c r="P506" s="21" t="s">
        <v>2276</v>
      </c>
      <c r="Q506" s="21" t="s">
        <v>2276</v>
      </c>
      <c r="R506" s="21" t="s">
        <v>2276</v>
      </c>
      <c r="S506" s="21" t="s">
        <v>2276</v>
      </c>
      <c r="T506" s="21" t="s">
        <v>2276</v>
      </c>
      <c r="U506" s="21" t="s">
        <v>2276</v>
      </c>
      <c r="V506" s="21" t="s">
        <v>2276</v>
      </c>
      <c r="W506" s="21" t="s">
        <v>2276</v>
      </c>
      <c r="X506" s="21" t="s">
        <v>2276</v>
      </c>
      <c r="Y506" s="21" t="s">
        <v>2276</v>
      </c>
      <c r="Z506" s="21" t="s">
        <v>2276</v>
      </c>
      <c r="AA506" s="21" t="s">
        <v>2276</v>
      </c>
      <c r="AB506" s="3" t="s">
        <v>2276</v>
      </c>
      <c r="AC506" s="3"/>
      <c r="AD506" s="4" t="s">
        <v>2049</v>
      </c>
    </row>
    <row r="507" spans="1:30" ht="51" customHeight="1">
      <c r="A507" s="11" t="s">
        <v>774</v>
      </c>
      <c r="B507" s="11" t="s">
        <v>783</v>
      </c>
      <c r="C507" s="23" t="s">
        <v>24</v>
      </c>
      <c r="D507" s="23" t="s">
        <v>27</v>
      </c>
      <c r="E507" s="19" t="s">
        <v>397</v>
      </c>
      <c r="F507" s="19" t="s">
        <v>28</v>
      </c>
      <c r="G507" s="19" t="s">
        <v>2276</v>
      </c>
      <c r="H507" s="3" t="s">
        <v>524</v>
      </c>
      <c r="I507" s="3"/>
      <c r="J507" s="21">
        <v>0</v>
      </c>
      <c r="K507" s="21">
        <v>0</v>
      </c>
      <c r="L507" s="21">
        <v>0</v>
      </c>
      <c r="M507" s="21">
        <v>0</v>
      </c>
      <c r="N507" s="21">
        <v>0</v>
      </c>
      <c r="O507" s="21">
        <v>0</v>
      </c>
      <c r="P507" s="21">
        <v>0</v>
      </c>
      <c r="Q507" s="21" t="s">
        <v>2276</v>
      </c>
      <c r="R507" s="21" t="s">
        <v>2276</v>
      </c>
      <c r="S507" s="21">
        <v>0</v>
      </c>
      <c r="T507" s="21">
        <v>0</v>
      </c>
      <c r="U507" s="21">
        <v>0</v>
      </c>
      <c r="V507" s="21">
        <v>0</v>
      </c>
      <c r="W507" s="21">
        <v>0</v>
      </c>
      <c r="X507" s="21">
        <v>0</v>
      </c>
      <c r="Y507" s="21" t="s">
        <v>2276</v>
      </c>
      <c r="Z507" s="3" t="s">
        <v>2276</v>
      </c>
      <c r="AA507" s="3" t="s">
        <v>2276</v>
      </c>
      <c r="AB507" s="3" t="s">
        <v>2276</v>
      </c>
      <c r="AC507" s="3" t="s">
        <v>746</v>
      </c>
      <c r="AD507" s="4"/>
    </row>
    <row r="508" spans="1:30" ht="59.5" customHeight="1">
      <c r="A508" s="11" t="s">
        <v>784</v>
      </c>
      <c r="B508" s="11" t="s">
        <v>790</v>
      </c>
      <c r="C508" s="23" t="s">
        <v>24</v>
      </c>
      <c r="D508" s="23" t="s">
        <v>27</v>
      </c>
      <c r="E508" s="11" t="s">
        <v>130</v>
      </c>
      <c r="F508" s="19" t="s">
        <v>161</v>
      </c>
      <c r="G508" s="19" t="s">
        <v>2276</v>
      </c>
      <c r="H508" s="3" t="s">
        <v>523</v>
      </c>
      <c r="I508" s="3">
        <v>1993</v>
      </c>
      <c r="J508" s="21" t="s">
        <v>2276</v>
      </c>
      <c r="K508" s="21" t="s">
        <v>2276</v>
      </c>
      <c r="L508" s="21" t="s">
        <v>2276</v>
      </c>
      <c r="M508" s="21" t="s">
        <v>2276</v>
      </c>
      <c r="N508" s="21" t="s">
        <v>2276</v>
      </c>
      <c r="O508" s="74" t="s">
        <v>2276</v>
      </c>
      <c r="P508" s="74" t="s">
        <v>2276</v>
      </c>
      <c r="Q508" s="21" t="s">
        <v>2276</v>
      </c>
      <c r="R508" s="21" t="s">
        <v>2276</v>
      </c>
      <c r="S508" s="74" t="s">
        <v>2276</v>
      </c>
      <c r="T508" s="21" t="s">
        <v>2276</v>
      </c>
      <c r="U508" s="21" t="s">
        <v>2276</v>
      </c>
      <c r="V508" s="21" t="s">
        <v>2276</v>
      </c>
      <c r="W508" s="21" t="s">
        <v>2276</v>
      </c>
      <c r="X508" s="21" t="s">
        <v>2276</v>
      </c>
      <c r="Y508" s="21">
        <v>6.6</v>
      </c>
      <c r="Z508" s="3" t="s">
        <v>2276</v>
      </c>
      <c r="AA508" s="3" t="s">
        <v>2276</v>
      </c>
      <c r="AB508" s="3" t="s">
        <v>2276</v>
      </c>
      <c r="AC508" s="3"/>
      <c r="AD508" s="4" t="s">
        <v>2051</v>
      </c>
    </row>
    <row r="509" spans="1:30" ht="46" customHeight="1">
      <c r="A509" s="11" t="s">
        <v>784</v>
      </c>
      <c r="B509" s="11" t="s">
        <v>791</v>
      </c>
      <c r="C509" s="23" t="s">
        <v>24</v>
      </c>
      <c r="D509" s="23" t="s">
        <v>27</v>
      </c>
      <c r="E509" s="11" t="s">
        <v>130</v>
      </c>
      <c r="F509" s="19" t="s">
        <v>161</v>
      </c>
      <c r="G509" s="19" t="s">
        <v>2276</v>
      </c>
      <c r="H509" s="3" t="s">
        <v>523</v>
      </c>
      <c r="I509" s="3">
        <v>1994</v>
      </c>
      <c r="J509" s="21" t="s">
        <v>2276</v>
      </c>
      <c r="K509" s="21" t="s">
        <v>2276</v>
      </c>
      <c r="L509" s="21" t="s">
        <v>2276</v>
      </c>
      <c r="M509" s="21" t="s">
        <v>2276</v>
      </c>
      <c r="N509" s="21" t="s">
        <v>2276</v>
      </c>
      <c r="O509" s="74" t="s">
        <v>2276</v>
      </c>
      <c r="P509" s="74" t="s">
        <v>2276</v>
      </c>
      <c r="Q509" s="21" t="s">
        <v>2276</v>
      </c>
      <c r="R509" s="21" t="s">
        <v>2276</v>
      </c>
      <c r="S509" s="74" t="s">
        <v>2276</v>
      </c>
      <c r="T509" s="21" t="s">
        <v>2276</v>
      </c>
      <c r="U509" s="21" t="s">
        <v>2276</v>
      </c>
      <c r="V509" s="21" t="s">
        <v>2276</v>
      </c>
      <c r="W509" s="21" t="s">
        <v>2276</v>
      </c>
      <c r="X509" s="21" t="s">
        <v>2276</v>
      </c>
      <c r="Y509" s="21">
        <v>6.1</v>
      </c>
      <c r="Z509" s="3" t="s">
        <v>2276</v>
      </c>
      <c r="AA509" s="3" t="s">
        <v>2276</v>
      </c>
      <c r="AB509" s="3" t="s">
        <v>2276</v>
      </c>
      <c r="AC509" s="3"/>
      <c r="AD509" s="4" t="s">
        <v>2051</v>
      </c>
    </row>
    <row r="510" spans="1:30" ht="52" customHeight="1">
      <c r="A510" s="11" t="s">
        <v>784</v>
      </c>
      <c r="B510" s="11" t="s">
        <v>792</v>
      </c>
      <c r="C510" s="23" t="s">
        <v>24</v>
      </c>
      <c r="D510" s="23" t="s">
        <v>27</v>
      </c>
      <c r="E510" s="11" t="s">
        <v>130</v>
      </c>
      <c r="F510" s="19" t="s">
        <v>161</v>
      </c>
      <c r="G510" s="19" t="s">
        <v>2276</v>
      </c>
      <c r="H510" s="3" t="s">
        <v>523</v>
      </c>
      <c r="I510" s="3">
        <v>1995</v>
      </c>
      <c r="J510" s="21" t="s">
        <v>2276</v>
      </c>
      <c r="K510" s="21" t="s">
        <v>2276</v>
      </c>
      <c r="L510" s="21" t="s">
        <v>2276</v>
      </c>
      <c r="M510" s="21" t="s">
        <v>2276</v>
      </c>
      <c r="N510" s="21" t="s">
        <v>2276</v>
      </c>
      <c r="O510" s="74" t="s">
        <v>2276</v>
      </c>
      <c r="P510" s="74" t="s">
        <v>2276</v>
      </c>
      <c r="Q510" s="21" t="s">
        <v>2276</v>
      </c>
      <c r="R510" s="21" t="s">
        <v>2276</v>
      </c>
      <c r="S510" s="74" t="s">
        <v>2276</v>
      </c>
      <c r="T510" s="21" t="s">
        <v>2276</v>
      </c>
      <c r="U510" s="21" t="s">
        <v>2276</v>
      </c>
      <c r="V510" s="21" t="s">
        <v>2276</v>
      </c>
      <c r="W510" s="21" t="s">
        <v>2276</v>
      </c>
      <c r="X510" s="21" t="s">
        <v>2276</v>
      </c>
      <c r="Y510" s="21">
        <v>7.9</v>
      </c>
      <c r="Z510" s="3" t="s">
        <v>2276</v>
      </c>
      <c r="AA510" s="3" t="s">
        <v>2276</v>
      </c>
      <c r="AB510" s="3" t="s">
        <v>2276</v>
      </c>
      <c r="AC510" s="3"/>
      <c r="AD510" s="4" t="s">
        <v>2051</v>
      </c>
    </row>
    <row r="511" spans="1:30" ht="53.5" customHeight="1">
      <c r="A511" s="11" t="s">
        <v>784</v>
      </c>
      <c r="B511" s="11" t="s">
        <v>793</v>
      </c>
      <c r="C511" s="23" t="s">
        <v>24</v>
      </c>
      <c r="D511" s="23" t="s">
        <v>27</v>
      </c>
      <c r="E511" s="11" t="s">
        <v>130</v>
      </c>
      <c r="F511" s="19" t="s">
        <v>161</v>
      </c>
      <c r="G511" s="19" t="s">
        <v>2276</v>
      </c>
      <c r="H511" s="3" t="s">
        <v>523</v>
      </c>
      <c r="I511" s="3">
        <v>1996</v>
      </c>
      <c r="J511" s="21" t="s">
        <v>2276</v>
      </c>
      <c r="K511" s="21" t="s">
        <v>2276</v>
      </c>
      <c r="L511" s="21" t="s">
        <v>2276</v>
      </c>
      <c r="M511" s="21" t="s">
        <v>2276</v>
      </c>
      <c r="N511" s="21" t="s">
        <v>2276</v>
      </c>
      <c r="O511" s="74" t="s">
        <v>2276</v>
      </c>
      <c r="P511" s="74" t="s">
        <v>2276</v>
      </c>
      <c r="Q511" s="21" t="s">
        <v>2276</v>
      </c>
      <c r="R511" s="21" t="s">
        <v>2276</v>
      </c>
      <c r="S511" s="74" t="s">
        <v>2276</v>
      </c>
      <c r="T511" s="21" t="s">
        <v>2276</v>
      </c>
      <c r="U511" s="21" t="s">
        <v>2276</v>
      </c>
      <c r="V511" s="21" t="s">
        <v>2276</v>
      </c>
      <c r="W511" s="21" t="s">
        <v>2276</v>
      </c>
      <c r="X511" s="21" t="s">
        <v>2276</v>
      </c>
      <c r="Y511" s="21">
        <v>6.8</v>
      </c>
      <c r="Z511" s="3" t="s">
        <v>2276</v>
      </c>
      <c r="AA511" s="3" t="s">
        <v>2276</v>
      </c>
      <c r="AB511" s="3" t="s">
        <v>2276</v>
      </c>
      <c r="AC511" s="3"/>
      <c r="AD511" s="4" t="s">
        <v>2051</v>
      </c>
    </row>
    <row r="512" spans="1:30" ht="50" customHeight="1">
      <c r="A512" s="11" t="s">
        <v>784</v>
      </c>
      <c r="B512" s="11" t="s">
        <v>794</v>
      </c>
      <c r="C512" s="23" t="s">
        <v>24</v>
      </c>
      <c r="D512" s="23" t="s">
        <v>27</v>
      </c>
      <c r="E512" s="19" t="s">
        <v>397</v>
      </c>
      <c r="F512" s="19" t="s">
        <v>28</v>
      </c>
      <c r="G512" s="19" t="s">
        <v>2276</v>
      </c>
      <c r="H512" s="3" t="s">
        <v>524</v>
      </c>
      <c r="I512" s="3"/>
      <c r="J512" s="21">
        <v>0</v>
      </c>
      <c r="K512" s="21">
        <v>0</v>
      </c>
      <c r="L512" s="21">
        <v>0</v>
      </c>
      <c r="M512" s="21">
        <v>0</v>
      </c>
      <c r="N512" s="21">
        <v>0</v>
      </c>
      <c r="O512" s="21">
        <v>0</v>
      </c>
      <c r="P512" s="21">
        <v>0</v>
      </c>
      <c r="Q512" s="21" t="s">
        <v>2276</v>
      </c>
      <c r="R512" s="21" t="s">
        <v>2276</v>
      </c>
      <c r="S512" s="21">
        <v>0</v>
      </c>
      <c r="T512" s="21">
        <v>0</v>
      </c>
      <c r="U512" s="21">
        <v>0</v>
      </c>
      <c r="V512" s="21">
        <v>0</v>
      </c>
      <c r="W512" s="21">
        <v>0</v>
      </c>
      <c r="X512" s="21">
        <v>0</v>
      </c>
      <c r="Y512" s="21" t="s">
        <v>2276</v>
      </c>
      <c r="Z512" s="3" t="s">
        <v>2276</v>
      </c>
      <c r="AA512" s="3" t="s">
        <v>2276</v>
      </c>
      <c r="AB512" s="3" t="s">
        <v>2276</v>
      </c>
      <c r="AC512" s="3" t="s">
        <v>746</v>
      </c>
      <c r="AD512" s="3"/>
    </row>
    <row r="513" spans="1:30" ht="53.5" customHeight="1">
      <c r="A513" s="11" t="s">
        <v>789</v>
      </c>
      <c r="B513" s="11" t="s">
        <v>795</v>
      </c>
      <c r="C513" s="23" t="s">
        <v>24</v>
      </c>
      <c r="D513" s="23" t="s">
        <v>27</v>
      </c>
      <c r="E513" s="11" t="s">
        <v>130</v>
      </c>
      <c r="F513" s="19" t="s">
        <v>161</v>
      </c>
      <c r="G513" s="19" t="s">
        <v>2276</v>
      </c>
      <c r="H513" s="3" t="s">
        <v>523</v>
      </c>
      <c r="I513" s="11">
        <v>1996</v>
      </c>
      <c r="J513" s="21" t="s">
        <v>2276</v>
      </c>
      <c r="K513" s="21" t="s">
        <v>2276</v>
      </c>
      <c r="L513" s="21" t="s">
        <v>2276</v>
      </c>
      <c r="M513" s="21" t="s">
        <v>2276</v>
      </c>
      <c r="N513" s="21" t="s">
        <v>2276</v>
      </c>
      <c r="O513" s="21" t="s">
        <v>2276</v>
      </c>
      <c r="P513" s="21" t="s">
        <v>2276</v>
      </c>
      <c r="Q513" s="21" t="s">
        <v>2276</v>
      </c>
      <c r="R513" s="21" t="s">
        <v>2276</v>
      </c>
      <c r="S513" s="21" t="s">
        <v>2276</v>
      </c>
      <c r="T513" s="21" t="s">
        <v>2276</v>
      </c>
      <c r="U513" s="21" t="s">
        <v>2276</v>
      </c>
      <c r="V513" s="74" t="s">
        <v>2276</v>
      </c>
      <c r="W513" s="74" t="s">
        <v>2276</v>
      </c>
      <c r="X513" s="21" t="s">
        <v>2276</v>
      </c>
      <c r="Y513" s="21">
        <v>9.8000000000000007</v>
      </c>
      <c r="Z513" s="3" t="s">
        <v>2276</v>
      </c>
      <c r="AA513" s="3" t="s">
        <v>2276</v>
      </c>
      <c r="AB513" s="3" t="s">
        <v>2276</v>
      </c>
      <c r="AC513" s="3"/>
      <c r="AD513" s="4" t="s">
        <v>2051</v>
      </c>
    </row>
    <row r="514" spans="1:30" ht="35" customHeight="1">
      <c r="A514" s="11" t="s">
        <v>789</v>
      </c>
      <c r="B514" s="11" t="s">
        <v>796</v>
      </c>
      <c r="C514" s="23" t="s">
        <v>24</v>
      </c>
      <c r="D514" s="23" t="s">
        <v>27</v>
      </c>
      <c r="E514" s="19" t="s">
        <v>397</v>
      </c>
      <c r="F514" s="19" t="s">
        <v>28</v>
      </c>
      <c r="G514" s="19" t="s">
        <v>2276</v>
      </c>
      <c r="H514" s="3" t="s">
        <v>524</v>
      </c>
      <c r="I514" s="3"/>
      <c r="J514" s="21">
        <v>0</v>
      </c>
      <c r="K514" s="21">
        <v>0</v>
      </c>
      <c r="L514" s="21">
        <v>0</v>
      </c>
      <c r="M514" s="21">
        <v>0</v>
      </c>
      <c r="N514" s="21">
        <v>0</v>
      </c>
      <c r="O514" s="21">
        <v>0</v>
      </c>
      <c r="P514" s="21">
        <v>0</v>
      </c>
      <c r="Q514" s="21" t="s">
        <v>2276</v>
      </c>
      <c r="R514" s="21" t="s">
        <v>2276</v>
      </c>
      <c r="S514" s="21">
        <v>0</v>
      </c>
      <c r="T514" s="21">
        <v>0</v>
      </c>
      <c r="U514" s="21">
        <v>0</v>
      </c>
      <c r="V514" s="21">
        <v>0</v>
      </c>
      <c r="W514" s="21">
        <v>0</v>
      </c>
      <c r="X514" s="21">
        <v>0</v>
      </c>
      <c r="Y514" s="21" t="s">
        <v>2276</v>
      </c>
      <c r="Z514" s="3" t="s">
        <v>2276</v>
      </c>
      <c r="AA514" s="3" t="s">
        <v>2276</v>
      </c>
      <c r="AB514" s="3" t="s">
        <v>2276</v>
      </c>
      <c r="AC514" s="3" t="s">
        <v>746</v>
      </c>
      <c r="AD514" s="3"/>
    </row>
    <row r="515" spans="1:30" ht="34.5" customHeight="1">
      <c r="A515" s="12" t="s">
        <v>797</v>
      </c>
      <c r="B515" s="11" t="s">
        <v>810</v>
      </c>
      <c r="C515" s="23" t="s">
        <v>24</v>
      </c>
      <c r="D515" s="23" t="s">
        <v>27</v>
      </c>
      <c r="E515" s="11" t="s">
        <v>130</v>
      </c>
      <c r="F515" s="19" t="s">
        <v>161</v>
      </c>
      <c r="G515" s="19" t="s">
        <v>2276</v>
      </c>
      <c r="H515" s="3" t="s">
        <v>523</v>
      </c>
      <c r="I515" s="3"/>
      <c r="J515" s="21" t="s">
        <v>2276</v>
      </c>
      <c r="K515" s="21" t="s">
        <v>2276</v>
      </c>
      <c r="L515" s="21" t="s">
        <v>2276</v>
      </c>
      <c r="M515" s="21" t="s">
        <v>2276</v>
      </c>
      <c r="N515" s="21" t="s">
        <v>2276</v>
      </c>
      <c r="O515" s="21" t="s">
        <v>2276</v>
      </c>
      <c r="P515" s="21" t="s">
        <v>2276</v>
      </c>
      <c r="Q515" s="21" t="s">
        <v>2276</v>
      </c>
      <c r="R515" s="21" t="s">
        <v>2276</v>
      </c>
      <c r="S515" s="21" t="s">
        <v>2276</v>
      </c>
      <c r="T515" s="21" t="s">
        <v>2276</v>
      </c>
      <c r="U515" s="21" t="s">
        <v>2276</v>
      </c>
      <c r="V515" s="21" t="s">
        <v>2276</v>
      </c>
      <c r="W515" s="21" t="s">
        <v>2276</v>
      </c>
      <c r="X515" s="21" t="s">
        <v>2276</v>
      </c>
      <c r="Y515" s="21" t="s">
        <v>2276</v>
      </c>
      <c r="Z515" s="3" t="s">
        <v>2276</v>
      </c>
      <c r="AA515" s="3" t="s">
        <v>2276</v>
      </c>
      <c r="AB515" s="3" t="s">
        <v>2276</v>
      </c>
      <c r="AC515" s="3"/>
      <c r="AD515" s="3" t="s">
        <v>718</v>
      </c>
    </row>
    <row r="516" spans="1:30" ht="75" customHeight="1">
      <c r="A516" s="11" t="s">
        <v>798</v>
      </c>
      <c r="B516" s="11" t="s">
        <v>811</v>
      </c>
      <c r="C516" s="23" t="s">
        <v>24</v>
      </c>
      <c r="D516" s="23" t="s">
        <v>27</v>
      </c>
      <c r="E516" s="4" t="s">
        <v>396</v>
      </c>
      <c r="F516" s="19" t="s">
        <v>28</v>
      </c>
      <c r="G516" s="19" t="s">
        <v>2276</v>
      </c>
      <c r="H516" s="3" t="s">
        <v>524</v>
      </c>
      <c r="I516" s="3"/>
      <c r="J516" s="21">
        <v>0</v>
      </c>
      <c r="K516" s="21">
        <v>0</v>
      </c>
      <c r="L516" s="21">
        <v>0</v>
      </c>
      <c r="M516" s="21">
        <v>0</v>
      </c>
      <c r="N516" s="21">
        <v>0</v>
      </c>
      <c r="O516" s="21">
        <v>0</v>
      </c>
      <c r="P516" s="21">
        <v>0</v>
      </c>
      <c r="Q516" s="21" t="s">
        <v>2276</v>
      </c>
      <c r="R516" s="21" t="s">
        <v>2276</v>
      </c>
      <c r="S516" s="21">
        <v>0</v>
      </c>
      <c r="T516" s="21">
        <v>0</v>
      </c>
      <c r="U516" s="21">
        <v>0</v>
      </c>
      <c r="V516" s="21">
        <v>0</v>
      </c>
      <c r="W516" s="21">
        <v>0</v>
      </c>
      <c r="X516" s="21">
        <v>0</v>
      </c>
      <c r="Y516" s="21" t="s">
        <v>2276</v>
      </c>
      <c r="Z516" s="3" t="s">
        <v>2276</v>
      </c>
      <c r="AA516" s="3" t="s">
        <v>2276</v>
      </c>
      <c r="AB516" s="3" t="s">
        <v>2276</v>
      </c>
      <c r="AC516" s="4" t="s">
        <v>816</v>
      </c>
      <c r="AD516" s="3"/>
    </row>
    <row r="517" spans="1:30" ht="76" customHeight="1">
      <c r="A517" s="11" t="s">
        <v>799</v>
      </c>
      <c r="B517" s="11" t="s">
        <v>812</v>
      </c>
      <c r="C517" s="23" t="s">
        <v>24</v>
      </c>
      <c r="D517" s="23" t="s">
        <v>27</v>
      </c>
      <c r="E517" s="4" t="s">
        <v>396</v>
      </c>
      <c r="F517" s="19" t="s">
        <v>28</v>
      </c>
      <c r="G517" s="19" t="s">
        <v>2276</v>
      </c>
      <c r="H517" s="3" t="s">
        <v>524</v>
      </c>
      <c r="I517" s="3"/>
      <c r="J517" s="21">
        <v>0</v>
      </c>
      <c r="K517" s="21">
        <v>0</v>
      </c>
      <c r="L517" s="21">
        <v>0</v>
      </c>
      <c r="M517" s="21">
        <v>0</v>
      </c>
      <c r="N517" s="21">
        <v>0</v>
      </c>
      <c r="O517" s="21">
        <v>0</v>
      </c>
      <c r="P517" s="21">
        <v>0</v>
      </c>
      <c r="Q517" s="21" t="s">
        <v>2276</v>
      </c>
      <c r="R517" s="21" t="s">
        <v>2276</v>
      </c>
      <c r="S517" s="21">
        <v>0</v>
      </c>
      <c r="T517" s="21">
        <v>0</v>
      </c>
      <c r="U517" s="21">
        <v>0</v>
      </c>
      <c r="V517" s="21">
        <v>0</v>
      </c>
      <c r="W517" s="21">
        <v>0</v>
      </c>
      <c r="X517" s="21">
        <v>0</v>
      </c>
      <c r="Y517" s="21" t="s">
        <v>2276</v>
      </c>
      <c r="Z517" s="3" t="s">
        <v>2276</v>
      </c>
      <c r="AA517" s="3" t="s">
        <v>2276</v>
      </c>
      <c r="AB517" s="3" t="s">
        <v>2276</v>
      </c>
      <c r="AC517" s="4" t="s">
        <v>816</v>
      </c>
      <c r="AD517" s="3"/>
    </row>
    <row r="518" spans="1:30" ht="27" customHeight="1">
      <c r="A518" s="11" t="s">
        <v>800</v>
      </c>
      <c r="B518" s="11" t="s">
        <v>813</v>
      </c>
      <c r="C518" s="23" t="s">
        <v>24</v>
      </c>
      <c r="D518" s="23" t="s">
        <v>27</v>
      </c>
      <c r="E518" s="11" t="s">
        <v>130</v>
      </c>
      <c r="F518" s="19" t="s">
        <v>161</v>
      </c>
      <c r="G518" s="19" t="s">
        <v>2276</v>
      </c>
      <c r="H518" s="3" t="s">
        <v>523</v>
      </c>
      <c r="I518" s="3"/>
      <c r="J518" s="21" t="s">
        <v>2276</v>
      </c>
      <c r="K518" s="21" t="s">
        <v>2276</v>
      </c>
      <c r="L518" s="21" t="s">
        <v>2276</v>
      </c>
      <c r="M518" s="21" t="s">
        <v>2276</v>
      </c>
      <c r="N518" s="21" t="s">
        <v>2276</v>
      </c>
      <c r="O518" s="21" t="s">
        <v>2276</v>
      </c>
      <c r="P518" s="21" t="s">
        <v>2276</v>
      </c>
      <c r="Q518" s="21" t="s">
        <v>2276</v>
      </c>
      <c r="R518" s="21" t="s">
        <v>2276</v>
      </c>
      <c r="S518" s="21" t="s">
        <v>2276</v>
      </c>
      <c r="T518" s="21" t="s">
        <v>2276</v>
      </c>
      <c r="U518" s="21" t="s">
        <v>2276</v>
      </c>
      <c r="V518" s="21" t="s">
        <v>2276</v>
      </c>
      <c r="W518" s="21" t="s">
        <v>2276</v>
      </c>
      <c r="X518" s="21" t="s">
        <v>2276</v>
      </c>
      <c r="Y518" s="21">
        <v>12</v>
      </c>
      <c r="Z518" s="3" t="s">
        <v>2276</v>
      </c>
      <c r="AA518" s="3" t="s">
        <v>2276</v>
      </c>
      <c r="AB518" s="3" t="s">
        <v>2276</v>
      </c>
      <c r="AC518" s="3"/>
      <c r="AD518" s="3" t="s">
        <v>2055</v>
      </c>
    </row>
    <row r="519" spans="1:30" ht="24.5" customHeight="1">
      <c r="A519" s="11" t="s">
        <v>801</v>
      </c>
      <c r="B519" s="11" t="s">
        <v>814</v>
      </c>
      <c r="C519" s="23" t="s">
        <v>24</v>
      </c>
      <c r="D519" s="23" t="s">
        <v>27</v>
      </c>
      <c r="E519" s="11" t="s">
        <v>130</v>
      </c>
      <c r="F519" s="19" t="s">
        <v>161</v>
      </c>
      <c r="G519" s="19" t="s">
        <v>2276</v>
      </c>
      <c r="H519" s="3" t="s">
        <v>523</v>
      </c>
      <c r="I519" s="3"/>
      <c r="J519" s="21" t="s">
        <v>2276</v>
      </c>
      <c r="K519" s="21" t="s">
        <v>2276</v>
      </c>
      <c r="L519" s="21" t="s">
        <v>2276</v>
      </c>
      <c r="M519" s="21" t="s">
        <v>2276</v>
      </c>
      <c r="N519" s="21" t="s">
        <v>2276</v>
      </c>
      <c r="O519" s="21" t="s">
        <v>2276</v>
      </c>
      <c r="P519" s="21" t="s">
        <v>2276</v>
      </c>
      <c r="Q519" s="21" t="s">
        <v>2276</v>
      </c>
      <c r="R519" s="21" t="s">
        <v>2276</v>
      </c>
      <c r="S519" s="21" t="s">
        <v>2276</v>
      </c>
      <c r="T519" s="21" t="s">
        <v>2276</v>
      </c>
      <c r="U519" s="21" t="s">
        <v>2276</v>
      </c>
      <c r="V519" s="21" t="s">
        <v>2276</v>
      </c>
      <c r="W519" s="21" t="s">
        <v>2276</v>
      </c>
      <c r="X519" s="21" t="s">
        <v>2276</v>
      </c>
      <c r="Y519" s="21" t="s">
        <v>2276</v>
      </c>
      <c r="Z519" s="3" t="s">
        <v>2276</v>
      </c>
      <c r="AA519" s="3" t="s">
        <v>2276</v>
      </c>
      <c r="AB519" s="3" t="s">
        <v>2276</v>
      </c>
      <c r="AC519" s="3"/>
      <c r="AD519" s="3" t="s">
        <v>2056</v>
      </c>
    </row>
    <row r="520" spans="1:30" ht="27" customHeight="1">
      <c r="A520" s="11" t="s">
        <v>802</v>
      </c>
      <c r="B520" s="11" t="s">
        <v>815</v>
      </c>
      <c r="C520" s="23" t="s">
        <v>24</v>
      </c>
      <c r="D520" s="23" t="s">
        <v>27</v>
      </c>
      <c r="E520" s="11" t="s">
        <v>130</v>
      </c>
      <c r="F520" s="19" t="s">
        <v>161</v>
      </c>
      <c r="G520" s="19" t="s">
        <v>2276</v>
      </c>
      <c r="H520" s="3" t="s">
        <v>523</v>
      </c>
      <c r="I520" s="3"/>
      <c r="J520" s="21" t="s">
        <v>2276</v>
      </c>
      <c r="K520" s="21" t="s">
        <v>2276</v>
      </c>
      <c r="L520" s="21" t="s">
        <v>2276</v>
      </c>
      <c r="M520" s="21" t="s">
        <v>2276</v>
      </c>
      <c r="N520" s="21" t="s">
        <v>2276</v>
      </c>
      <c r="O520" s="21" t="s">
        <v>2276</v>
      </c>
      <c r="P520" s="21" t="s">
        <v>2276</v>
      </c>
      <c r="Q520" s="21" t="s">
        <v>2276</v>
      </c>
      <c r="R520" s="21" t="s">
        <v>2276</v>
      </c>
      <c r="S520" s="21" t="s">
        <v>2276</v>
      </c>
      <c r="T520" s="21" t="s">
        <v>2276</v>
      </c>
      <c r="U520" s="21" t="s">
        <v>2276</v>
      </c>
      <c r="V520" s="21" t="s">
        <v>2276</v>
      </c>
      <c r="W520" s="21" t="s">
        <v>2276</v>
      </c>
      <c r="X520" s="21" t="s">
        <v>2276</v>
      </c>
      <c r="Y520" s="21" t="s">
        <v>2276</v>
      </c>
      <c r="Z520" s="3" t="s">
        <v>2276</v>
      </c>
      <c r="AA520" s="3" t="s">
        <v>2276</v>
      </c>
      <c r="AB520" s="3" t="s">
        <v>2276</v>
      </c>
      <c r="AC520" s="3"/>
      <c r="AD520" s="3" t="s">
        <v>718</v>
      </c>
    </row>
    <row r="521" spans="1:30" ht="32" customHeight="1">
      <c r="A521" s="11" t="s">
        <v>817</v>
      </c>
      <c r="B521" s="11" t="s">
        <v>820</v>
      </c>
      <c r="C521" s="23" t="s">
        <v>24</v>
      </c>
      <c r="D521" s="23" t="s">
        <v>27</v>
      </c>
      <c r="E521" s="11" t="s">
        <v>130</v>
      </c>
      <c r="F521" s="19" t="s">
        <v>161</v>
      </c>
      <c r="G521" s="19"/>
      <c r="H521" s="3" t="s">
        <v>523</v>
      </c>
      <c r="I521" s="3"/>
      <c r="J521" s="21" t="s">
        <v>2276</v>
      </c>
      <c r="K521" s="21" t="s">
        <v>2276</v>
      </c>
      <c r="L521" s="21" t="s">
        <v>2276</v>
      </c>
      <c r="M521" s="21" t="s">
        <v>2276</v>
      </c>
      <c r="N521" s="21" t="s">
        <v>2276</v>
      </c>
      <c r="O521" s="21" t="s">
        <v>2276</v>
      </c>
      <c r="P521" s="21" t="s">
        <v>2276</v>
      </c>
      <c r="Q521" s="21" t="s">
        <v>2276</v>
      </c>
      <c r="R521" s="21" t="s">
        <v>2276</v>
      </c>
      <c r="S521" s="21" t="s">
        <v>2276</v>
      </c>
      <c r="T521" s="21" t="s">
        <v>2276</v>
      </c>
      <c r="U521" s="21" t="s">
        <v>2276</v>
      </c>
      <c r="V521" s="21" t="s">
        <v>2276</v>
      </c>
      <c r="W521" s="21" t="s">
        <v>2276</v>
      </c>
      <c r="X521" s="21" t="s">
        <v>2276</v>
      </c>
      <c r="Y521" s="21">
        <v>22</v>
      </c>
      <c r="Z521" s="3" t="s">
        <v>2276</v>
      </c>
      <c r="AA521" s="3" t="s">
        <v>2276</v>
      </c>
      <c r="AB521" s="3" t="s">
        <v>2276</v>
      </c>
      <c r="AC521" s="3"/>
      <c r="AD521" s="3" t="s">
        <v>718</v>
      </c>
    </row>
    <row r="522" spans="1:30" ht="54.5" customHeight="1">
      <c r="A522" s="11" t="s">
        <v>824</v>
      </c>
      <c r="B522" s="11" t="s">
        <v>825</v>
      </c>
      <c r="C522" s="23" t="s">
        <v>24</v>
      </c>
      <c r="D522" s="23" t="s">
        <v>27</v>
      </c>
      <c r="E522" s="11" t="s">
        <v>130</v>
      </c>
      <c r="F522" s="19" t="s">
        <v>161</v>
      </c>
      <c r="G522" s="19"/>
      <c r="H522" s="3" t="s">
        <v>523</v>
      </c>
      <c r="I522" s="3"/>
      <c r="J522" s="21" t="s">
        <v>2276</v>
      </c>
      <c r="K522" s="21" t="s">
        <v>2276</v>
      </c>
      <c r="L522" s="21" t="s">
        <v>2276</v>
      </c>
      <c r="M522" s="21" t="s">
        <v>2276</v>
      </c>
      <c r="N522" s="21" t="s">
        <v>2276</v>
      </c>
      <c r="O522" s="21" t="s">
        <v>2276</v>
      </c>
      <c r="P522" s="21" t="s">
        <v>2276</v>
      </c>
      <c r="Q522" s="21" t="s">
        <v>2276</v>
      </c>
      <c r="R522" s="21" t="s">
        <v>2276</v>
      </c>
      <c r="S522" s="21" t="s">
        <v>2276</v>
      </c>
      <c r="T522" s="21" t="s">
        <v>2276</v>
      </c>
      <c r="U522" s="21" t="s">
        <v>2276</v>
      </c>
      <c r="V522" s="21" t="s">
        <v>2276</v>
      </c>
      <c r="W522" s="21" t="s">
        <v>2276</v>
      </c>
      <c r="X522" s="21" t="s">
        <v>2276</v>
      </c>
      <c r="Y522" s="21" t="s">
        <v>2276</v>
      </c>
      <c r="Z522" s="3" t="s">
        <v>2276</v>
      </c>
      <c r="AA522" s="3" t="s">
        <v>2276</v>
      </c>
      <c r="AB522" s="3" t="s">
        <v>2276</v>
      </c>
      <c r="AC522" s="4"/>
      <c r="AD522" s="4" t="s">
        <v>5019</v>
      </c>
    </row>
    <row r="523" spans="1:30" ht="41" customHeight="1">
      <c r="A523" s="11" t="s">
        <v>824</v>
      </c>
      <c r="B523" s="11" t="s">
        <v>826</v>
      </c>
      <c r="C523" s="23" t="s">
        <v>24</v>
      </c>
      <c r="D523" s="23" t="s">
        <v>27</v>
      </c>
      <c r="E523" s="11" t="s">
        <v>130</v>
      </c>
      <c r="F523" s="19" t="s">
        <v>74</v>
      </c>
      <c r="G523" s="19"/>
      <c r="H523" s="11" t="s">
        <v>524</v>
      </c>
      <c r="I523" s="3"/>
      <c r="J523" s="21">
        <v>0</v>
      </c>
      <c r="K523" s="21">
        <v>0</v>
      </c>
      <c r="L523" s="21">
        <v>0</v>
      </c>
      <c r="M523" s="21">
        <v>0</v>
      </c>
      <c r="N523" s="21">
        <v>0</v>
      </c>
      <c r="O523" s="21">
        <v>0</v>
      </c>
      <c r="P523" s="21">
        <v>0</v>
      </c>
      <c r="Q523" s="21" t="s">
        <v>2276</v>
      </c>
      <c r="R523" s="21" t="s">
        <v>2276</v>
      </c>
      <c r="S523" s="21">
        <v>0</v>
      </c>
      <c r="T523" s="21">
        <v>0</v>
      </c>
      <c r="U523" s="21">
        <v>0</v>
      </c>
      <c r="V523" s="21">
        <v>0</v>
      </c>
      <c r="W523" s="21">
        <v>0</v>
      </c>
      <c r="X523" s="21">
        <v>0</v>
      </c>
      <c r="Y523" s="21" t="s">
        <v>2276</v>
      </c>
      <c r="Z523" s="3" t="s">
        <v>2276</v>
      </c>
      <c r="AA523" s="3" t="s">
        <v>2276</v>
      </c>
      <c r="AB523" s="3" t="s">
        <v>2276</v>
      </c>
      <c r="AC523" s="3"/>
      <c r="AD523" s="3"/>
    </row>
    <row r="524" spans="1:30" ht="56" customHeight="1">
      <c r="A524" s="11" t="s">
        <v>824</v>
      </c>
      <c r="B524" s="11" t="s">
        <v>827</v>
      </c>
      <c r="C524" s="23" t="s">
        <v>24</v>
      </c>
      <c r="D524" s="23" t="s">
        <v>143</v>
      </c>
      <c r="E524" s="4" t="s">
        <v>397</v>
      </c>
      <c r="F524" s="19" t="s">
        <v>74</v>
      </c>
      <c r="G524" s="19"/>
      <c r="H524" s="11" t="s">
        <v>524</v>
      </c>
      <c r="I524" s="3"/>
      <c r="J524" s="21">
        <v>0</v>
      </c>
      <c r="K524" s="21">
        <v>0</v>
      </c>
      <c r="L524" s="21">
        <v>0</v>
      </c>
      <c r="M524" s="21">
        <v>0</v>
      </c>
      <c r="N524" s="21">
        <v>0</v>
      </c>
      <c r="O524" s="21">
        <v>0</v>
      </c>
      <c r="P524" s="21">
        <v>0</v>
      </c>
      <c r="Q524" s="21" t="s">
        <v>2276</v>
      </c>
      <c r="R524" s="21" t="s">
        <v>2276</v>
      </c>
      <c r="S524" s="21">
        <v>0</v>
      </c>
      <c r="T524" s="21">
        <v>0</v>
      </c>
      <c r="U524" s="21">
        <v>0</v>
      </c>
      <c r="V524" s="21">
        <v>0</v>
      </c>
      <c r="W524" s="21">
        <v>0</v>
      </c>
      <c r="X524" s="21">
        <v>0</v>
      </c>
      <c r="Y524" s="21" t="s">
        <v>2276</v>
      </c>
      <c r="Z524" s="3" t="s">
        <v>2276</v>
      </c>
      <c r="AA524" s="3" t="s">
        <v>2276</v>
      </c>
      <c r="AB524" s="3" t="s">
        <v>2276</v>
      </c>
      <c r="AC524" s="3"/>
      <c r="AD524" s="3"/>
    </row>
    <row r="525" spans="1:30" ht="51" customHeight="1">
      <c r="A525" s="11" t="s">
        <v>828</v>
      </c>
      <c r="B525" s="11" t="s">
        <v>832</v>
      </c>
      <c r="C525" s="23" t="s">
        <v>24</v>
      </c>
      <c r="D525" s="23" t="s">
        <v>27</v>
      </c>
      <c r="E525" s="11" t="s">
        <v>130</v>
      </c>
      <c r="F525" s="19" t="s">
        <v>161</v>
      </c>
      <c r="G525" s="19"/>
      <c r="H525" s="3" t="s">
        <v>523</v>
      </c>
      <c r="I525" s="3"/>
      <c r="J525" s="21" t="s">
        <v>2276</v>
      </c>
      <c r="K525" s="21" t="s">
        <v>2276</v>
      </c>
      <c r="L525" s="21" t="s">
        <v>2276</v>
      </c>
      <c r="M525" s="21" t="s">
        <v>2276</v>
      </c>
      <c r="N525" s="21" t="s">
        <v>2276</v>
      </c>
      <c r="O525" s="21" t="s">
        <v>2276</v>
      </c>
      <c r="P525" s="21" t="s">
        <v>2276</v>
      </c>
      <c r="Q525" s="21" t="s">
        <v>2276</v>
      </c>
      <c r="R525" s="21" t="s">
        <v>2276</v>
      </c>
      <c r="S525" s="21" t="s">
        <v>2276</v>
      </c>
      <c r="T525" s="21" t="s">
        <v>2276</v>
      </c>
      <c r="U525" s="21" t="s">
        <v>2276</v>
      </c>
      <c r="V525" s="21" t="s">
        <v>2276</v>
      </c>
      <c r="W525" s="21" t="s">
        <v>2276</v>
      </c>
      <c r="X525" s="21" t="s">
        <v>2276</v>
      </c>
      <c r="Y525" s="21">
        <v>14</v>
      </c>
      <c r="Z525" s="3" t="s">
        <v>2276</v>
      </c>
      <c r="AA525" s="3" t="s">
        <v>2276</v>
      </c>
      <c r="AB525" s="3" t="s">
        <v>2276</v>
      </c>
      <c r="AC525" s="4" t="s">
        <v>834</v>
      </c>
      <c r="AD525" s="4" t="s">
        <v>2066</v>
      </c>
    </row>
    <row r="526" spans="1:30" ht="42" customHeight="1">
      <c r="A526" s="11" t="s">
        <v>828</v>
      </c>
      <c r="B526" s="11" t="s">
        <v>832</v>
      </c>
      <c r="C526" s="23" t="s">
        <v>24</v>
      </c>
      <c r="D526" s="23" t="s">
        <v>27</v>
      </c>
      <c r="E526" s="19" t="s">
        <v>397</v>
      </c>
      <c r="F526" s="19" t="s">
        <v>28</v>
      </c>
      <c r="G526" s="19"/>
      <c r="H526" s="3" t="s">
        <v>524</v>
      </c>
      <c r="I526" s="3"/>
      <c r="J526" s="21">
        <v>0</v>
      </c>
      <c r="K526" s="21">
        <v>0</v>
      </c>
      <c r="L526" s="21">
        <v>0</v>
      </c>
      <c r="M526" s="21">
        <v>0</v>
      </c>
      <c r="N526" s="21">
        <v>0</v>
      </c>
      <c r="O526" s="21">
        <v>0</v>
      </c>
      <c r="P526" s="21">
        <v>0</v>
      </c>
      <c r="Q526" s="21" t="s">
        <v>2276</v>
      </c>
      <c r="R526" s="21" t="s">
        <v>2276</v>
      </c>
      <c r="S526" s="21">
        <v>0</v>
      </c>
      <c r="T526" s="21">
        <v>0</v>
      </c>
      <c r="U526" s="21">
        <v>0</v>
      </c>
      <c r="V526" s="21">
        <v>0</v>
      </c>
      <c r="W526" s="21">
        <v>0</v>
      </c>
      <c r="X526" s="21">
        <v>0</v>
      </c>
      <c r="Y526" s="21" t="s">
        <v>2276</v>
      </c>
      <c r="Z526" s="3" t="s">
        <v>2276</v>
      </c>
      <c r="AA526" s="3" t="s">
        <v>2276</v>
      </c>
      <c r="AB526" s="3" t="s">
        <v>2276</v>
      </c>
      <c r="AC526" s="3" t="s">
        <v>833</v>
      </c>
      <c r="AD526" s="3"/>
    </row>
    <row r="527" spans="1:30" ht="38" customHeight="1">
      <c r="A527" s="11" t="s">
        <v>836</v>
      </c>
      <c r="B527" s="11" t="s">
        <v>839</v>
      </c>
      <c r="C527" s="23" t="s">
        <v>24</v>
      </c>
      <c r="D527" s="23" t="s">
        <v>27</v>
      </c>
      <c r="E527" s="11" t="s">
        <v>130</v>
      </c>
      <c r="F527" s="19" t="s">
        <v>161</v>
      </c>
      <c r="G527" s="19"/>
      <c r="H527" s="3" t="s">
        <v>523</v>
      </c>
      <c r="I527" s="3"/>
      <c r="J527" s="21" t="s">
        <v>2276</v>
      </c>
      <c r="K527" s="21" t="s">
        <v>2276</v>
      </c>
      <c r="L527" s="21" t="s">
        <v>2276</v>
      </c>
      <c r="M527" s="21" t="s">
        <v>2276</v>
      </c>
      <c r="N527" s="21" t="s">
        <v>2276</v>
      </c>
      <c r="O527" s="21" t="s">
        <v>2276</v>
      </c>
      <c r="P527" s="21" t="s">
        <v>2276</v>
      </c>
      <c r="Q527" s="21" t="s">
        <v>2276</v>
      </c>
      <c r="R527" s="21" t="s">
        <v>2276</v>
      </c>
      <c r="S527" s="21" t="s">
        <v>2276</v>
      </c>
      <c r="T527" s="21" t="s">
        <v>2276</v>
      </c>
      <c r="U527" s="21" t="s">
        <v>2276</v>
      </c>
      <c r="V527" s="21" t="s">
        <v>2276</v>
      </c>
      <c r="W527" s="21" t="s">
        <v>2276</v>
      </c>
      <c r="X527" s="21" t="s">
        <v>2276</v>
      </c>
      <c r="Y527" s="21" t="s">
        <v>2276</v>
      </c>
      <c r="Z527" s="3" t="s">
        <v>2276</v>
      </c>
      <c r="AA527" s="3" t="s">
        <v>2276</v>
      </c>
      <c r="AB527" s="3" t="s">
        <v>2276</v>
      </c>
      <c r="AC527" s="4"/>
      <c r="AD527" s="3" t="s">
        <v>718</v>
      </c>
    </row>
    <row r="528" spans="1:30" ht="38.5" customHeight="1">
      <c r="A528" s="11" t="s">
        <v>840</v>
      </c>
      <c r="B528" s="11" t="s">
        <v>840</v>
      </c>
      <c r="C528" s="23" t="s">
        <v>24</v>
      </c>
      <c r="D528" s="23" t="s">
        <v>27</v>
      </c>
      <c r="E528" s="19" t="s">
        <v>397</v>
      </c>
      <c r="F528" s="19" t="s">
        <v>161</v>
      </c>
      <c r="G528" s="19"/>
      <c r="H528" s="3" t="s">
        <v>524</v>
      </c>
      <c r="I528" s="3"/>
      <c r="J528" s="21" t="s">
        <v>2276</v>
      </c>
      <c r="K528" s="21" t="s">
        <v>2276</v>
      </c>
      <c r="L528" s="21" t="s">
        <v>2276</v>
      </c>
      <c r="M528" s="21" t="s">
        <v>2276</v>
      </c>
      <c r="N528" s="21" t="s">
        <v>2276</v>
      </c>
      <c r="O528" s="21" t="s">
        <v>2276</v>
      </c>
      <c r="P528" s="21" t="s">
        <v>2276</v>
      </c>
      <c r="Q528" s="21" t="s">
        <v>2276</v>
      </c>
      <c r="R528" s="21" t="s">
        <v>2276</v>
      </c>
      <c r="S528" s="21" t="s">
        <v>2276</v>
      </c>
      <c r="T528" s="21" t="s">
        <v>2276</v>
      </c>
      <c r="U528" s="21" t="s">
        <v>2276</v>
      </c>
      <c r="V528" s="21" t="s">
        <v>2276</v>
      </c>
      <c r="W528" s="21" t="s">
        <v>2276</v>
      </c>
      <c r="X528" s="21" t="s">
        <v>2276</v>
      </c>
      <c r="Y528" s="21" t="s">
        <v>2276</v>
      </c>
      <c r="Z528" s="3" t="s">
        <v>2276</v>
      </c>
      <c r="AA528" s="3" t="s">
        <v>2276</v>
      </c>
      <c r="AB528" s="3" t="s">
        <v>2276</v>
      </c>
      <c r="AC528" s="4" t="s">
        <v>853</v>
      </c>
      <c r="AD528" s="4"/>
    </row>
    <row r="529" spans="1:30" ht="63.5" customHeight="1">
      <c r="A529" s="11" t="s">
        <v>843</v>
      </c>
      <c r="B529" s="11" t="s">
        <v>852</v>
      </c>
      <c r="C529" s="23" t="s">
        <v>24</v>
      </c>
      <c r="D529" s="23" t="s">
        <v>27</v>
      </c>
      <c r="E529" s="11" t="s">
        <v>130</v>
      </c>
      <c r="F529" s="19" t="s">
        <v>161</v>
      </c>
      <c r="G529" s="19"/>
      <c r="H529" s="3" t="s">
        <v>523</v>
      </c>
      <c r="I529" s="3"/>
      <c r="J529" s="21" t="s">
        <v>2276</v>
      </c>
      <c r="K529" s="21" t="s">
        <v>2276</v>
      </c>
      <c r="L529" s="21" t="s">
        <v>2276</v>
      </c>
      <c r="M529" s="21" t="s">
        <v>2276</v>
      </c>
      <c r="N529" s="21" t="s">
        <v>2276</v>
      </c>
      <c r="O529" s="21" t="s">
        <v>2276</v>
      </c>
      <c r="P529" s="21" t="s">
        <v>2276</v>
      </c>
      <c r="Q529" s="21" t="s">
        <v>2276</v>
      </c>
      <c r="R529" s="21" t="s">
        <v>2276</v>
      </c>
      <c r="S529" s="21" t="s">
        <v>2276</v>
      </c>
      <c r="T529" s="21" t="s">
        <v>2276</v>
      </c>
      <c r="U529" s="21" t="s">
        <v>2276</v>
      </c>
      <c r="V529" s="21" t="s">
        <v>2276</v>
      </c>
      <c r="W529" s="21" t="s">
        <v>2276</v>
      </c>
      <c r="X529" s="21" t="s">
        <v>2276</v>
      </c>
      <c r="Y529" s="21" t="s">
        <v>2276</v>
      </c>
      <c r="Z529" s="3" t="s">
        <v>2276</v>
      </c>
      <c r="AA529" s="3" t="s">
        <v>2276</v>
      </c>
      <c r="AB529" s="3" t="s">
        <v>2276</v>
      </c>
      <c r="AC529" s="4"/>
      <c r="AD529" s="4" t="s">
        <v>2419</v>
      </c>
    </row>
    <row r="530" spans="1:30" ht="43.5" customHeight="1">
      <c r="A530" s="11" t="s">
        <v>844</v>
      </c>
      <c r="B530" s="11" t="s">
        <v>844</v>
      </c>
      <c r="C530" s="23" t="s">
        <v>24</v>
      </c>
      <c r="D530" s="23" t="s">
        <v>27</v>
      </c>
      <c r="E530" s="19" t="s">
        <v>397</v>
      </c>
      <c r="F530" s="19" t="s">
        <v>161</v>
      </c>
      <c r="G530" s="19"/>
      <c r="H530" s="3" t="s">
        <v>524</v>
      </c>
      <c r="I530" s="3"/>
      <c r="J530" s="21">
        <v>0</v>
      </c>
      <c r="K530" s="21">
        <v>0</v>
      </c>
      <c r="L530" s="21">
        <v>0</v>
      </c>
      <c r="M530" s="21">
        <v>0</v>
      </c>
      <c r="N530" s="21">
        <v>0</v>
      </c>
      <c r="O530" s="21">
        <v>0</v>
      </c>
      <c r="P530" s="21">
        <v>0</v>
      </c>
      <c r="Q530" s="21" t="s">
        <v>2276</v>
      </c>
      <c r="R530" s="21" t="s">
        <v>2276</v>
      </c>
      <c r="S530" s="21">
        <v>0</v>
      </c>
      <c r="T530" s="21">
        <v>0</v>
      </c>
      <c r="U530" s="21">
        <v>0</v>
      </c>
      <c r="V530" s="21">
        <v>0</v>
      </c>
      <c r="W530" s="21">
        <v>0</v>
      </c>
      <c r="X530" s="21">
        <v>0</v>
      </c>
      <c r="Y530" s="21" t="s">
        <v>2276</v>
      </c>
      <c r="Z530" s="3" t="s">
        <v>2276</v>
      </c>
      <c r="AA530" s="3" t="s">
        <v>2276</v>
      </c>
      <c r="AB530" s="3" t="s">
        <v>2276</v>
      </c>
      <c r="AC530" s="4" t="s">
        <v>853</v>
      </c>
      <c r="AD530" s="4"/>
    </row>
    <row r="531" spans="1:30" ht="56" customHeight="1">
      <c r="A531" s="11" t="s">
        <v>845</v>
      </c>
      <c r="B531" s="11" t="s">
        <v>850</v>
      </c>
      <c r="C531" s="23" t="s">
        <v>24</v>
      </c>
      <c r="D531" s="23" t="s">
        <v>27</v>
      </c>
      <c r="E531" s="11" t="s">
        <v>130</v>
      </c>
      <c r="F531" s="19" t="s">
        <v>161</v>
      </c>
      <c r="G531" s="19"/>
      <c r="H531" s="3" t="s">
        <v>523</v>
      </c>
      <c r="I531" s="3"/>
      <c r="J531" s="21" t="s">
        <v>2276</v>
      </c>
      <c r="K531" s="21" t="s">
        <v>2276</v>
      </c>
      <c r="L531" s="21" t="s">
        <v>2276</v>
      </c>
      <c r="M531" s="21" t="s">
        <v>2276</v>
      </c>
      <c r="N531" s="21" t="s">
        <v>2276</v>
      </c>
      <c r="O531" s="21" t="s">
        <v>2276</v>
      </c>
      <c r="P531" s="21" t="s">
        <v>2276</v>
      </c>
      <c r="Q531" s="21" t="s">
        <v>2276</v>
      </c>
      <c r="R531" s="21" t="s">
        <v>2276</v>
      </c>
      <c r="S531" s="21" t="s">
        <v>2276</v>
      </c>
      <c r="T531" s="21" t="s">
        <v>2276</v>
      </c>
      <c r="U531" s="21" t="s">
        <v>2276</v>
      </c>
      <c r="V531" s="21" t="s">
        <v>2276</v>
      </c>
      <c r="W531" s="21" t="s">
        <v>2276</v>
      </c>
      <c r="X531" s="21" t="s">
        <v>2276</v>
      </c>
      <c r="Y531" s="21" t="s">
        <v>2276</v>
      </c>
      <c r="Z531" s="3" t="s">
        <v>2276</v>
      </c>
      <c r="AA531" s="3" t="s">
        <v>2276</v>
      </c>
      <c r="AB531" s="3" t="s">
        <v>2276</v>
      </c>
      <c r="AC531" s="4"/>
      <c r="AD531" s="4" t="s">
        <v>2419</v>
      </c>
    </row>
    <row r="532" spans="1:30" ht="37.5" customHeight="1">
      <c r="A532" s="3" t="s">
        <v>846</v>
      </c>
      <c r="B532" s="3" t="s">
        <v>846</v>
      </c>
      <c r="C532" s="23" t="s">
        <v>24</v>
      </c>
      <c r="D532" s="23" t="s">
        <v>27</v>
      </c>
      <c r="E532" s="19" t="s">
        <v>397</v>
      </c>
      <c r="F532" s="19" t="s">
        <v>161</v>
      </c>
      <c r="G532" s="19"/>
      <c r="H532" s="3" t="s">
        <v>524</v>
      </c>
      <c r="I532" s="3"/>
      <c r="J532" s="21">
        <v>0</v>
      </c>
      <c r="K532" s="21">
        <v>0</v>
      </c>
      <c r="L532" s="21">
        <v>0</v>
      </c>
      <c r="M532" s="21">
        <v>0</v>
      </c>
      <c r="N532" s="21">
        <v>0</v>
      </c>
      <c r="O532" s="21">
        <v>0</v>
      </c>
      <c r="P532" s="21">
        <v>0</v>
      </c>
      <c r="Q532" s="21" t="s">
        <v>2276</v>
      </c>
      <c r="R532" s="21" t="s">
        <v>2276</v>
      </c>
      <c r="S532" s="21">
        <v>0</v>
      </c>
      <c r="T532" s="21">
        <v>0</v>
      </c>
      <c r="U532" s="21">
        <v>0</v>
      </c>
      <c r="V532" s="21">
        <v>0</v>
      </c>
      <c r="W532" s="21">
        <v>0</v>
      </c>
      <c r="X532" s="21">
        <v>0</v>
      </c>
      <c r="Y532" s="21" t="s">
        <v>2276</v>
      </c>
      <c r="Z532" s="3" t="s">
        <v>2276</v>
      </c>
      <c r="AA532" s="3" t="s">
        <v>2276</v>
      </c>
      <c r="AB532" s="3" t="s">
        <v>2276</v>
      </c>
      <c r="AC532" s="4" t="s">
        <v>853</v>
      </c>
      <c r="AD532" s="4"/>
    </row>
    <row r="533" spans="1:30" ht="47" customHeight="1">
      <c r="A533" s="45" t="s">
        <v>847</v>
      </c>
      <c r="B533" s="45" t="s">
        <v>851</v>
      </c>
      <c r="C533" s="46" t="s">
        <v>24</v>
      </c>
      <c r="D533" s="46" t="s">
        <v>27</v>
      </c>
      <c r="E533" s="45" t="s">
        <v>130</v>
      </c>
      <c r="F533" s="53" t="s">
        <v>161</v>
      </c>
      <c r="G533" s="53"/>
      <c r="H533" s="5" t="s">
        <v>523</v>
      </c>
      <c r="I533" s="3"/>
      <c r="J533" s="21" t="s">
        <v>2276</v>
      </c>
      <c r="K533" s="21" t="s">
        <v>2276</v>
      </c>
      <c r="L533" s="21" t="s">
        <v>2276</v>
      </c>
      <c r="M533" s="21" t="s">
        <v>2276</v>
      </c>
      <c r="N533" s="21" t="s">
        <v>2276</v>
      </c>
      <c r="O533" s="21" t="s">
        <v>2276</v>
      </c>
      <c r="P533" s="21" t="s">
        <v>2276</v>
      </c>
      <c r="Q533" s="21" t="s">
        <v>2276</v>
      </c>
      <c r="R533" s="21" t="s">
        <v>2276</v>
      </c>
      <c r="S533" s="21" t="s">
        <v>2276</v>
      </c>
      <c r="T533" s="21" t="s">
        <v>2276</v>
      </c>
      <c r="U533" s="21" t="s">
        <v>2276</v>
      </c>
      <c r="V533" s="21" t="s">
        <v>2276</v>
      </c>
      <c r="W533" s="21" t="s">
        <v>2276</v>
      </c>
      <c r="X533" s="21" t="s">
        <v>2276</v>
      </c>
      <c r="Y533" s="21" t="s">
        <v>2276</v>
      </c>
      <c r="Z533" s="3" t="s">
        <v>2276</v>
      </c>
      <c r="AA533" s="3" t="s">
        <v>2276</v>
      </c>
      <c r="AB533" s="3" t="s">
        <v>2276</v>
      </c>
      <c r="AC533" s="4" t="s">
        <v>853</v>
      </c>
      <c r="AD533" s="4"/>
    </row>
    <row r="534" spans="1:30" ht="45.5" customHeight="1">
      <c r="A534" s="11" t="s">
        <v>862</v>
      </c>
      <c r="B534" s="11" t="s">
        <v>864</v>
      </c>
      <c r="C534" s="23" t="s">
        <v>24</v>
      </c>
      <c r="D534" s="23" t="s">
        <v>27</v>
      </c>
      <c r="E534" s="11" t="s">
        <v>130</v>
      </c>
      <c r="F534" s="19" t="s">
        <v>161</v>
      </c>
      <c r="G534" s="19"/>
      <c r="H534" s="3" t="s">
        <v>523</v>
      </c>
      <c r="I534" s="3"/>
      <c r="J534" s="21" t="s">
        <v>2276</v>
      </c>
      <c r="K534" s="21" t="s">
        <v>2276</v>
      </c>
      <c r="L534" s="21" t="s">
        <v>2276</v>
      </c>
      <c r="M534" s="21" t="s">
        <v>2276</v>
      </c>
      <c r="N534" s="21" t="s">
        <v>2276</v>
      </c>
      <c r="O534" s="21" t="s">
        <v>2276</v>
      </c>
      <c r="P534" s="21" t="s">
        <v>2276</v>
      </c>
      <c r="Q534" s="21" t="s">
        <v>2276</v>
      </c>
      <c r="R534" s="21" t="s">
        <v>2276</v>
      </c>
      <c r="S534" s="21" t="s">
        <v>2276</v>
      </c>
      <c r="T534" s="21" t="s">
        <v>2276</v>
      </c>
      <c r="U534" s="21" t="s">
        <v>2276</v>
      </c>
      <c r="V534" s="21" t="s">
        <v>2276</v>
      </c>
      <c r="W534" s="21" t="s">
        <v>2276</v>
      </c>
      <c r="X534" s="21" t="s">
        <v>2276</v>
      </c>
      <c r="Y534" s="21" t="s">
        <v>2276</v>
      </c>
      <c r="Z534" s="3" t="s">
        <v>2276</v>
      </c>
      <c r="AA534" s="3" t="s">
        <v>2276</v>
      </c>
      <c r="AB534" s="3" t="s">
        <v>2276</v>
      </c>
      <c r="AC534" s="3"/>
      <c r="AD534" s="3" t="s">
        <v>2071</v>
      </c>
    </row>
    <row r="535" spans="1:30" ht="83.5" customHeight="1">
      <c r="A535" s="11" t="s">
        <v>862</v>
      </c>
      <c r="B535" s="11" t="s">
        <v>865</v>
      </c>
      <c r="C535" s="23" t="s">
        <v>24</v>
      </c>
      <c r="D535" s="23" t="s">
        <v>143</v>
      </c>
      <c r="E535" s="11" t="s">
        <v>863</v>
      </c>
      <c r="F535" s="19" t="s">
        <v>74</v>
      </c>
      <c r="G535" s="19"/>
      <c r="H535" s="11" t="s">
        <v>524</v>
      </c>
      <c r="I535" s="3"/>
      <c r="J535" s="21">
        <v>0</v>
      </c>
      <c r="K535" s="21">
        <v>0</v>
      </c>
      <c r="L535" s="21">
        <v>0</v>
      </c>
      <c r="M535" s="21">
        <v>0</v>
      </c>
      <c r="N535" s="21">
        <v>0</v>
      </c>
      <c r="O535" s="21">
        <v>0</v>
      </c>
      <c r="P535" s="21">
        <v>0</v>
      </c>
      <c r="Q535" s="21" t="s">
        <v>2276</v>
      </c>
      <c r="R535" s="21" t="s">
        <v>2276</v>
      </c>
      <c r="S535" s="21">
        <v>0</v>
      </c>
      <c r="T535" s="21">
        <v>0</v>
      </c>
      <c r="U535" s="21">
        <v>0</v>
      </c>
      <c r="V535" s="21">
        <v>0</v>
      </c>
      <c r="W535" s="21">
        <v>0</v>
      </c>
      <c r="X535" s="21">
        <v>0</v>
      </c>
      <c r="Y535" s="21" t="s">
        <v>2276</v>
      </c>
      <c r="Z535" s="3" t="s">
        <v>2276</v>
      </c>
      <c r="AA535" s="3" t="s">
        <v>2276</v>
      </c>
      <c r="AB535" s="3" t="s">
        <v>2276</v>
      </c>
      <c r="AC535" s="4" t="s">
        <v>868</v>
      </c>
      <c r="AD535" s="3"/>
    </row>
    <row r="536" spans="1:30" ht="63" customHeight="1">
      <c r="A536" s="11" t="s">
        <v>862</v>
      </c>
      <c r="B536" s="11" t="s">
        <v>866</v>
      </c>
      <c r="C536" s="23" t="s">
        <v>24</v>
      </c>
      <c r="D536" s="23" t="s">
        <v>27</v>
      </c>
      <c r="E536" s="19" t="s">
        <v>397</v>
      </c>
      <c r="F536" s="19" t="s">
        <v>28</v>
      </c>
      <c r="G536" s="19"/>
      <c r="H536" s="3" t="s">
        <v>524</v>
      </c>
      <c r="I536" s="3"/>
      <c r="J536" s="21">
        <v>0</v>
      </c>
      <c r="K536" s="21">
        <v>0</v>
      </c>
      <c r="L536" s="21">
        <v>0</v>
      </c>
      <c r="M536" s="21">
        <v>0</v>
      </c>
      <c r="N536" s="21">
        <v>0</v>
      </c>
      <c r="O536" s="21">
        <v>0</v>
      </c>
      <c r="P536" s="21">
        <v>0</v>
      </c>
      <c r="Q536" s="21" t="s">
        <v>2276</v>
      </c>
      <c r="R536" s="21" t="s">
        <v>2276</v>
      </c>
      <c r="S536" s="21">
        <v>0</v>
      </c>
      <c r="T536" s="21">
        <v>0</v>
      </c>
      <c r="U536" s="21">
        <v>0</v>
      </c>
      <c r="V536" s="21">
        <v>0</v>
      </c>
      <c r="W536" s="21">
        <v>0</v>
      </c>
      <c r="X536" s="21">
        <v>0</v>
      </c>
      <c r="Y536" s="21" t="s">
        <v>2276</v>
      </c>
      <c r="Z536" s="3" t="s">
        <v>2276</v>
      </c>
      <c r="AA536" s="3" t="s">
        <v>2276</v>
      </c>
      <c r="AB536" s="3" t="s">
        <v>2276</v>
      </c>
      <c r="AC536" s="19" t="s">
        <v>867</v>
      </c>
      <c r="AD536" s="3"/>
    </row>
    <row r="537" spans="1:30" ht="83.5" customHeight="1">
      <c r="A537" s="11" t="s">
        <v>869</v>
      </c>
      <c r="B537" s="11" t="s">
        <v>874</v>
      </c>
      <c r="C537" s="23" t="s">
        <v>24</v>
      </c>
      <c r="D537" s="23" t="s">
        <v>27</v>
      </c>
      <c r="E537" s="11" t="s">
        <v>130</v>
      </c>
      <c r="F537" s="19" t="s">
        <v>161</v>
      </c>
      <c r="G537" s="19"/>
      <c r="H537" s="11" t="s">
        <v>523</v>
      </c>
      <c r="I537" s="11"/>
      <c r="J537" s="74" t="s">
        <v>2276</v>
      </c>
      <c r="K537" s="89">
        <v>0.2</v>
      </c>
      <c r="L537" s="89" t="s">
        <v>2276</v>
      </c>
      <c r="M537" s="89">
        <v>0.5</v>
      </c>
      <c r="N537" s="89" t="s">
        <v>2276</v>
      </c>
      <c r="O537" s="89">
        <v>0.35</v>
      </c>
      <c r="P537" s="89" t="s">
        <v>2276</v>
      </c>
      <c r="Q537" s="89" t="s">
        <v>2276</v>
      </c>
      <c r="R537" s="89" t="s">
        <v>2276</v>
      </c>
      <c r="S537" s="89" t="s">
        <v>2276</v>
      </c>
      <c r="T537" s="89" t="s">
        <v>2276</v>
      </c>
      <c r="U537" s="89" t="s">
        <v>2276</v>
      </c>
      <c r="V537" s="89" t="s">
        <v>2276</v>
      </c>
      <c r="W537" s="89" t="s">
        <v>2276</v>
      </c>
      <c r="X537" s="89" t="s">
        <v>2276</v>
      </c>
      <c r="Y537" s="74">
        <v>12</v>
      </c>
      <c r="Z537" s="11" t="s">
        <v>75</v>
      </c>
      <c r="AA537" s="11" t="s">
        <v>35</v>
      </c>
      <c r="AB537" s="11" t="s">
        <v>64</v>
      </c>
      <c r="AC537" s="19" t="s">
        <v>880</v>
      </c>
      <c r="AD537" s="19" t="s">
        <v>5024</v>
      </c>
    </row>
    <row r="538" spans="1:30" ht="83.5" customHeight="1">
      <c r="A538" s="11" t="s">
        <v>2072</v>
      </c>
      <c r="B538" s="11" t="s">
        <v>2126</v>
      </c>
      <c r="C538" s="23" t="s">
        <v>24</v>
      </c>
      <c r="D538" s="23" t="s">
        <v>27</v>
      </c>
      <c r="E538" s="11" t="s">
        <v>130</v>
      </c>
      <c r="F538" s="19" t="s">
        <v>161</v>
      </c>
      <c r="G538" s="19"/>
      <c r="H538" s="11" t="s">
        <v>523</v>
      </c>
      <c r="I538" s="11"/>
      <c r="J538" s="74" t="s">
        <v>2276</v>
      </c>
      <c r="K538" s="89">
        <v>0.2</v>
      </c>
      <c r="L538" s="89" t="s">
        <v>2276</v>
      </c>
      <c r="M538" s="89">
        <v>0.5</v>
      </c>
      <c r="N538" s="89" t="s">
        <v>2276</v>
      </c>
      <c r="O538" s="89">
        <v>0.35</v>
      </c>
      <c r="P538" s="89" t="s">
        <v>2276</v>
      </c>
      <c r="Q538" s="89" t="s">
        <v>2276</v>
      </c>
      <c r="R538" s="89" t="s">
        <v>2276</v>
      </c>
      <c r="S538" s="89" t="s">
        <v>2276</v>
      </c>
      <c r="T538" s="89" t="s">
        <v>2276</v>
      </c>
      <c r="U538" s="89" t="s">
        <v>2276</v>
      </c>
      <c r="V538" s="89" t="s">
        <v>2276</v>
      </c>
      <c r="W538" s="89" t="s">
        <v>2276</v>
      </c>
      <c r="X538" s="89" t="s">
        <v>2276</v>
      </c>
      <c r="Y538" s="74">
        <v>12</v>
      </c>
      <c r="Z538" s="11" t="s">
        <v>75</v>
      </c>
      <c r="AA538" s="11" t="s">
        <v>35</v>
      </c>
      <c r="AB538" s="11" t="s">
        <v>64</v>
      </c>
      <c r="AC538" s="19" t="s">
        <v>880</v>
      </c>
      <c r="AD538" s="19" t="s">
        <v>5024</v>
      </c>
    </row>
    <row r="539" spans="1:30" ht="83.5" customHeight="1">
      <c r="A539" s="11" t="s">
        <v>2073</v>
      </c>
      <c r="B539" s="11" t="s">
        <v>2127</v>
      </c>
      <c r="C539" s="23" t="s">
        <v>24</v>
      </c>
      <c r="D539" s="23" t="s">
        <v>27</v>
      </c>
      <c r="E539" s="11" t="s">
        <v>130</v>
      </c>
      <c r="F539" s="19" t="s">
        <v>161</v>
      </c>
      <c r="G539" s="19"/>
      <c r="H539" s="11" t="s">
        <v>523</v>
      </c>
      <c r="I539" s="11"/>
      <c r="J539" s="74" t="s">
        <v>2276</v>
      </c>
      <c r="K539" s="89">
        <v>0.2</v>
      </c>
      <c r="L539" s="89" t="s">
        <v>2276</v>
      </c>
      <c r="M539" s="89">
        <v>0.5</v>
      </c>
      <c r="N539" s="89" t="s">
        <v>2276</v>
      </c>
      <c r="O539" s="89">
        <v>0.35</v>
      </c>
      <c r="P539" s="89" t="s">
        <v>2276</v>
      </c>
      <c r="Q539" s="89" t="s">
        <v>2276</v>
      </c>
      <c r="R539" s="89" t="s">
        <v>2276</v>
      </c>
      <c r="S539" s="89" t="s">
        <v>2276</v>
      </c>
      <c r="T539" s="89" t="s">
        <v>2276</v>
      </c>
      <c r="U539" s="89" t="s">
        <v>2276</v>
      </c>
      <c r="V539" s="89" t="s">
        <v>2276</v>
      </c>
      <c r="W539" s="89" t="s">
        <v>2276</v>
      </c>
      <c r="X539" s="89" t="s">
        <v>2276</v>
      </c>
      <c r="Y539" s="74">
        <v>12</v>
      </c>
      <c r="Z539" s="11" t="s">
        <v>75</v>
      </c>
      <c r="AA539" s="11" t="s">
        <v>35</v>
      </c>
      <c r="AB539" s="11" t="s">
        <v>64</v>
      </c>
      <c r="AC539" s="19" t="s">
        <v>880</v>
      </c>
      <c r="AD539" s="19" t="s">
        <v>5024</v>
      </c>
    </row>
    <row r="540" spans="1:30" ht="83.5" customHeight="1">
      <c r="A540" s="11" t="s">
        <v>2074</v>
      </c>
      <c r="B540" s="11" t="s">
        <v>2128</v>
      </c>
      <c r="C540" s="23" t="s">
        <v>24</v>
      </c>
      <c r="D540" s="23" t="s">
        <v>27</v>
      </c>
      <c r="E540" s="11" t="s">
        <v>130</v>
      </c>
      <c r="F540" s="19" t="s">
        <v>161</v>
      </c>
      <c r="G540" s="19"/>
      <c r="H540" s="11" t="s">
        <v>523</v>
      </c>
      <c r="I540" s="11"/>
      <c r="J540" s="74" t="s">
        <v>2276</v>
      </c>
      <c r="K540" s="89">
        <v>0.2</v>
      </c>
      <c r="L540" s="89" t="s">
        <v>2276</v>
      </c>
      <c r="M540" s="89">
        <v>0.5</v>
      </c>
      <c r="N540" s="89" t="s">
        <v>2276</v>
      </c>
      <c r="O540" s="89">
        <v>0.35</v>
      </c>
      <c r="P540" s="89" t="s">
        <v>2276</v>
      </c>
      <c r="Q540" s="89" t="s">
        <v>2276</v>
      </c>
      <c r="R540" s="89" t="s">
        <v>2276</v>
      </c>
      <c r="S540" s="89" t="s">
        <v>2276</v>
      </c>
      <c r="T540" s="89" t="s">
        <v>2276</v>
      </c>
      <c r="U540" s="89" t="s">
        <v>2276</v>
      </c>
      <c r="V540" s="89" t="s">
        <v>2276</v>
      </c>
      <c r="W540" s="89" t="s">
        <v>2276</v>
      </c>
      <c r="X540" s="89" t="s">
        <v>2276</v>
      </c>
      <c r="Y540" s="74">
        <v>12</v>
      </c>
      <c r="Z540" s="11" t="s">
        <v>75</v>
      </c>
      <c r="AA540" s="11" t="s">
        <v>35</v>
      </c>
      <c r="AB540" s="11" t="s">
        <v>64</v>
      </c>
      <c r="AC540" s="19" t="s">
        <v>880</v>
      </c>
      <c r="AD540" s="19" t="s">
        <v>5024</v>
      </c>
    </row>
    <row r="541" spans="1:30" ht="83.5" customHeight="1">
      <c r="A541" s="11" t="s">
        <v>2075</v>
      </c>
      <c r="B541" s="11" t="s">
        <v>2129</v>
      </c>
      <c r="C541" s="23" t="s">
        <v>24</v>
      </c>
      <c r="D541" s="23" t="s">
        <v>27</v>
      </c>
      <c r="E541" s="11" t="s">
        <v>130</v>
      </c>
      <c r="F541" s="19" t="s">
        <v>161</v>
      </c>
      <c r="G541" s="19"/>
      <c r="H541" s="11" t="s">
        <v>523</v>
      </c>
      <c r="I541" s="11"/>
      <c r="J541" s="74" t="s">
        <v>2276</v>
      </c>
      <c r="K541" s="89">
        <v>0.2</v>
      </c>
      <c r="L541" s="89" t="s">
        <v>2276</v>
      </c>
      <c r="M541" s="89">
        <v>0.5</v>
      </c>
      <c r="N541" s="89" t="s">
        <v>2276</v>
      </c>
      <c r="O541" s="89">
        <v>0.35</v>
      </c>
      <c r="P541" s="89" t="s">
        <v>2276</v>
      </c>
      <c r="Q541" s="89" t="s">
        <v>2276</v>
      </c>
      <c r="R541" s="89" t="s">
        <v>2276</v>
      </c>
      <c r="S541" s="89" t="s">
        <v>2276</v>
      </c>
      <c r="T541" s="89" t="s">
        <v>2276</v>
      </c>
      <c r="U541" s="89" t="s">
        <v>2276</v>
      </c>
      <c r="V541" s="89" t="s">
        <v>2276</v>
      </c>
      <c r="W541" s="89" t="s">
        <v>2276</v>
      </c>
      <c r="X541" s="89" t="s">
        <v>2276</v>
      </c>
      <c r="Y541" s="74">
        <v>12</v>
      </c>
      <c r="Z541" s="11" t="s">
        <v>75</v>
      </c>
      <c r="AA541" s="11" t="s">
        <v>35</v>
      </c>
      <c r="AB541" s="11" t="s">
        <v>64</v>
      </c>
      <c r="AC541" s="19" t="s">
        <v>880</v>
      </c>
      <c r="AD541" s="19" t="s">
        <v>5024</v>
      </c>
    </row>
    <row r="542" spans="1:30" ht="83.5" customHeight="1">
      <c r="A542" s="11" t="s">
        <v>2076</v>
      </c>
      <c r="B542" s="11" t="s">
        <v>2130</v>
      </c>
      <c r="C542" s="23" t="s">
        <v>24</v>
      </c>
      <c r="D542" s="23" t="s">
        <v>27</v>
      </c>
      <c r="E542" s="11" t="s">
        <v>130</v>
      </c>
      <c r="F542" s="19" t="s">
        <v>161</v>
      </c>
      <c r="G542" s="19"/>
      <c r="H542" s="11" t="s">
        <v>523</v>
      </c>
      <c r="I542" s="11"/>
      <c r="J542" s="74" t="s">
        <v>2276</v>
      </c>
      <c r="K542" s="89">
        <v>0.2</v>
      </c>
      <c r="L542" s="89" t="s">
        <v>2276</v>
      </c>
      <c r="M542" s="89">
        <v>0.5</v>
      </c>
      <c r="N542" s="89" t="s">
        <v>2276</v>
      </c>
      <c r="O542" s="89">
        <v>0.35</v>
      </c>
      <c r="P542" s="89" t="s">
        <v>2276</v>
      </c>
      <c r="Q542" s="89" t="s">
        <v>2276</v>
      </c>
      <c r="R542" s="89" t="s">
        <v>2276</v>
      </c>
      <c r="S542" s="89" t="s">
        <v>2276</v>
      </c>
      <c r="T542" s="89" t="s">
        <v>2276</v>
      </c>
      <c r="U542" s="89" t="s">
        <v>2276</v>
      </c>
      <c r="V542" s="89" t="s">
        <v>2276</v>
      </c>
      <c r="W542" s="89" t="s">
        <v>2276</v>
      </c>
      <c r="X542" s="89" t="s">
        <v>2276</v>
      </c>
      <c r="Y542" s="74">
        <v>12</v>
      </c>
      <c r="Z542" s="11" t="s">
        <v>75</v>
      </c>
      <c r="AA542" s="11" t="s">
        <v>35</v>
      </c>
      <c r="AB542" s="11" t="s">
        <v>64</v>
      </c>
      <c r="AC542" s="19" t="s">
        <v>880</v>
      </c>
      <c r="AD542" s="19" t="s">
        <v>5024</v>
      </c>
    </row>
    <row r="543" spans="1:30" ht="83.5" customHeight="1">
      <c r="A543" s="11" t="s">
        <v>2077</v>
      </c>
      <c r="B543" s="11" t="s">
        <v>2131</v>
      </c>
      <c r="C543" s="23" t="s">
        <v>24</v>
      </c>
      <c r="D543" s="23" t="s">
        <v>27</v>
      </c>
      <c r="E543" s="11" t="s">
        <v>130</v>
      </c>
      <c r="F543" s="19" t="s">
        <v>161</v>
      </c>
      <c r="G543" s="19"/>
      <c r="H543" s="11" t="s">
        <v>523</v>
      </c>
      <c r="I543" s="11"/>
      <c r="J543" s="74" t="s">
        <v>2276</v>
      </c>
      <c r="K543" s="89">
        <v>0.2</v>
      </c>
      <c r="L543" s="89" t="s">
        <v>2276</v>
      </c>
      <c r="M543" s="89">
        <v>0.5</v>
      </c>
      <c r="N543" s="89" t="s">
        <v>2276</v>
      </c>
      <c r="O543" s="89">
        <v>0.35</v>
      </c>
      <c r="P543" s="89" t="s">
        <v>2276</v>
      </c>
      <c r="Q543" s="89" t="s">
        <v>2276</v>
      </c>
      <c r="R543" s="89" t="s">
        <v>2276</v>
      </c>
      <c r="S543" s="89" t="s">
        <v>2276</v>
      </c>
      <c r="T543" s="89" t="s">
        <v>2276</v>
      </c>
      <c r="U543" s="89" t="s">
        <v>2276</v>
      </c>
      <c r="V543" s="89" t="s">
        <v>2276</v>
      </c>
      <c r="W543" s="89" t="s">
        <v>2276</v>
      </c>
      <c r="X543" s="89" t="s">
        <v>2276</v>
      </c>
      <c r="Y543" s="74">
        <v>12</v>
      </c>
      <c r="Z543" s="11" t="s">
        <v>75</v>
      </c>
      <c r="AA543" s="11" t="s">
        <v>35</v>
      </c>
      <c r="AB543" s="11" t="s">
        <v>64</v>
      </c>
      <c r="AC543" s="19" t="s">
        <v>880</v>
      </c>
      <c r="AD543" s="19" t="s">
        <v>5024</v>
      </c>
    </row>
    <row r="544" spans="1:30" ht="83.5" customHeight="1">
      <c r="A544" s="11" t="s">
        <v>2078</v>
      </c>
      <c r="B544" s="11" t="s">
        <v>2132</v>
      </c>
      <c r="C544" s="23" t="s">
        <v>24</v>
      </c>
      <c r="D544" s="23" t="s">
        <v>27</v>
      </c>
      <c r="E544" s="11" t="s">
        <v>130</v>
      </c>
      <c r="F544" s="19" t="s">
        <v>161</v>
      </c>
      <c r="G544" s="19"/>
      <c r="H544" s="11" t="s">
        <v>523</v>
      </c>
      <c r="I544" s="11"/>
      <c r="J544" s="74" t="s">
        <v>2276</v>
      </c>
      <c r="K544" s="89">
        <v>0.2</v>
      </c>
      <c r="L544" s="89" t="s">
        <v>2276</v>
      </c>
      <c r="M544" s="89">
        <v>0.5</v>
      </c>
      <c r="N544" s="89" t="s">
        <v>2276</v>
      </c>
      <c r="O544" s="89">
        <v>0.35</v>
      </c>
      <c r="P544" s="89" t="s">
        <v>2276</v>
      </c>
      <c r="Q544" s="89" t="s">
        <v>2276</v>
      </c>
      <c r="R544" s="89" t="s">
        <v>2276</v>
      </c>
      <c r="S544" s="89" t="s">
        <v>2276</v>
      </c>
      <c r="T544" s="89" t="s">
        <v>2276</v>
      </c>
      <c r="U544" s="89" t="s">
        <v>2276</v>
      </c>
      <c r="V544" s="89" t="s">
        <v>2276</v>
      </c>
      <c r="W544" s="89" t="s">
        <v>2276</v>
      </c>
      <c r="X544" s="89" t="s">
        <v>2276</v>
      </c>
      <c r="Y544" s="74">
        <v>12</v>
      </c>
      <c r="Z544" s="11" t="s">
        <v>75</v>
      </c>
      <c r="AA544" s="11" t="s">
        <v>35</v>
      </c>
      <c r="AB544" s="11" t="s">
        <v>64</v>
      </c>
      <c r="AC544" s="19" t="s">
        <v>880</v>
      </c>
      <c r="AD544" s="19" t="s">
        <v>5024</v>
      </c>
    </row>
    <row r="545" spans="1:30" ht="83.5" customHeight="1">
      <c r="A545" s="11" t="s">
        <v>2079</v>
      </c>
      <c r="B545" s="11" t="s">
        <v>2133</v>
      </c>
      <c r="C545" s="23" t="s">
        <v>24</v>
      </c>
      <c r="D545" s="23" t="s">
        <v>27</v>
      </c>
      <c r="E545" s="11" t="s">
        <v>130</v>
      </c>
      <c r="F545" s="19" t="s">
        <v>161</v>
      </c>
      <c r="G545" s="19"/>
      <c r="H545" s="11" t="s">
        <v>523</v>
      </c>
      <c r="I545" s="11"/>
      <c r="J545" s="74" t="s">
        <v>2276</v>
      </c>
      <c r="K545" s="89">
        <v>0.2</v>
      </c>
      <c r="L545" s="89" t="s">
        <v>2276</v>
      </c>
      <c r="M545" s="89">
        <v>0.5</v>
      </c>
      <c r="N545" s="89" t="s">
        <v>2276</v>
      </c>
      <c r="O545" s="89">
        <v>0.35</v>
      </c>
      <c r="P545" s="89" t="s">
        <v>2276</v>
      </c>
      <c r="Q545" s="89" t="s">
        <v>2276</v>
      </c>
      <c r="R545" s="89" t="s">
        <v>2276</v>
      </c>
      <c r="S545" s="89" t="s">
        <v>2276</v>
      </c>
      <c r="T545" s="89" t="s">
        <v>2276</v>
      </c>
      <c r="U545" s="89" t="s">
        <v>2276</v>
      </c>
      <c r="V545" s="89" t="s">
        <v>2276</v>
      </c>
      <c r="W545" s="89" t="s">
        <v>2276</v>
      </c>
      <c r="X545" s="89" t="s">
        <v>2276</v>
      </c>
      <c r="Y545" s="74">
        <v>12</v>
      </c>
      <c r="Z545" s="11" t="s">
        <v>75</v>
      </c>
      <c r="AA545" s="11" t="s">
        <v>35</v>
      </c>
      <c r="AB545" s="11" t="s">
        <v>64</v>
      </c>
      <c r="AC545" s="19" t="s">
        <v>880</v>
      </c>
      <c r="AD545" s="19" t="s">
        <v>5024</v>
      </c>
    </row>
    <row r="546" spans="1:30" ht="83.5" customHeight="1">
      <c r="A546" s="11" t="s">
        <v>2080</v>
      </c>
      <c r="B546" s="11" t="s">
        <v>2134</v>
      </c>
      <c r="C546" s="23" t="s">
        <v>24</v>
      </c>
      <c r="D546" s="23" t="s">
        <v>27</v>
      </c>
      <c r="E546" s="11" t="s">
        <v>130</v>
      </c>
      <c r="F546" s="19" t="s">
        <v>161</v>
      </c>
      <c r="G546" s="19"/>
      <c r="H546" s="11" t="s">
        <v>523</v>
      </c>
      <c r="I546" s="11"/>
      <c r="J546" s="74" t="s">
        <v>2276</v>
      </c>
      <c r="K546" s="89">
        <v>0.2</v>
      </c>
      <c r="L546" s="89" t="s">
        <v>2276</v>
      </c>
      <c r="M546" s="89">
        <v>0.5</v>
      </c>
      <c r="N546" s="89" t="s">
        <v>2276</v>
      </c>
      <c r="O546" s="89">
        <v>0.35</v>
      </c>
      <c r="P546" s="89" t="s">
        <v>2276</v>
      </c>
      <c r="Q546" s="89" t="s">
        <v>2276</v>
      </c>
      <c r="R546" s="89" t="s">
        <v>2276</v>
      </c>
      <c r="S546" s="89" t="s">
        <v>2276</v>
      </c>
      <c r="T546" s="89" t="s">
        <v>2276</v>
      </c>
      <c r="U546" s="89" t="s">
        <v>2276</v>
      </c>
      <c r="V546" s="89" t="s">
        <v>2276</v>
      </c>
      <c r="W546" s="89" t="s">
        <v>2276</v>
      </c>
      <c r="X546" s="89" t="s">
        <v>2276</v>
      </c>
      <c r="Y546" s="74">
        <v>12</v>
      </c>
      <c r="Z546" s="11" t="s">
        <v>75</v>
      </c>
      <c r="AA546" s="11" t="s">
        <v>35</v>
      </c>
      <c r="AB546" s="11" t="s">
        <v>64</v>
      </c>
      <c r="AC546" s="19" t="s">
        <v>880</v>
      </c>
      <c r="AD546" s="19" t="s">
        <v>5024</v>
      </c>
    </row>
    <row r="547" spans="1:30" ht="83.5" customHeight="1">
      <c r="A547" s="11" t="s">
        <v>2081</v>
      </c>
      <c r="B547" s="11" t="s">
        <v>2135</v>
      </c>
      <c r="C547" s="23" t="s">
        <v>24</v>
      </c>
      <c r="D547" s="23" t="s">
        <v>27</v>
      </c>
      <c r="E547" s="11" t="s">
        <v>130</v>
      </c>
      <c r="F547" s="19" t="s">
        <v>161</v>
      </c>
      <c r="G547" s="19"/>
      <c r="H547" s="11" t="s">
        <v>523</v>
      </c>
      <c r="I547" s="11"/>
      <c r="J547" s="74" t="s">
        <v>2276</v>
      </c>
      <c r="K547" s="89">
        <v>0.2</v>
      </c>
      <c r="L547" s="89" t="s">
        <v>2276</v>
      </c>
      <c r="M547" s="89">
        <v>0.5</v>
      </c>
      <c r="N547" s="89" t="s">
        <v>2276</v>
      </c>
      <c r="O547" s="89">
        <v>0.35</v>
      </c>
      <c r="P547" s="89" t="s">
        <v>2276</v>
      </c>
      <c r="Q547" s="89" t="s">
        <v>2276</v>
      </c>
      <c r="R547" s="89" t="s">
        <v>2276</v>
      </c>
      <c r="S547" s="89" t="s">
        <v>2276</v>
      </c>
      <c r="T547" s="89" t="s">
        <v>2276</v>
      </c>
      <c r="U547" s="89" t="s">
        <v>2276</v>
      </c>
      <c r="V547" s="89" t="s">
        <v>2276</v>
      </c>
      <c r="W547" s="89" t="s">
        <v>2276</v>
      </c>
      <c r="X547" s="89" t="s">
        <v>2276</v>
      </c>
      <c r="Y547" s="74">
        <v>12</v>
      </c>
      <c r="Z547" s="11" t="s">
        <v>75</v>
      </c>
      <c r="AA547" s="11" t="s">
        <v>35</v>
      </c>
      <c r="AB547" s="11" t="s">
        <v>64</v>
      </c>
      <c r="AC547" s="19" t="s">
        <v>880</v>
      </c>
      <c r="AD547" s="19" t="s">
        <v>5024</v>
      </c>
    </row>
    <row r="548" spans="1:30" ht="83.5" customHeight="1">
      <c r="A548" s="11" t="s">
        <v>2082</v>
      </c>
      <c r="B548" s="11" t="s">
        <v>2136</v>
      </c>
      <c r="C548" s="23" t="s">
        <v>24</v>
      </c>
      <c r="D548" s="23" t="s">
        <v>27</v>
      </c>
      <c r="E548" s="11" t="s">
        <v>130</v>
      </c>
      <c r="F548" s="19" t="s">
        <v>161</v>
      </c>
      <c r="G548" s="19"/>
      <c r="H548" s="11" t="s">
        <v>523</v>
      </c>
      <c r="I548" s="11"/>
      <c r="J548" s="74" t="s">
        <v>2276</v>
      </c>
      <c r="K548" s="89">
        <v>0.2</v>
      </c>
      <c r="L548" s="89" t="s">
        <v>2276</v>
      </c>
      <c r="M548" s="89">
        <v>0.5</v>
      </c>
      <c r="N548" s="89" t="s">
        <v>2276</v>
      </c>
      <c r="O548" s="89">
        <v>0.35</v>
      </c>
      <c r="P548" s="89" t="s">
        <v>2276</v>
      </c>
      <c r="Q548" s="89" t="s">
        <v>2276</v>
      </c>
      <c r="R548" s="89" t="s">
        <v>2276</v>
      </c>
      <c r="S548" s="89" t="s">
        <v>2276</v>
      </c>
      <c r="T548" s="89" t="s">
        <v>2276</v>
      </c>
      <c r="U548" s="89" t="s">
        <v>2276</v>
      </c>
      <c r="V548" s="89" t="s">
        <v>2276</v>
      </c>
      <c r="W548" s="89" t="s">
        <v>2276</v>
      </c>
      <c r="X548" s="89" t="s">
        <v>2276</v>
      </c>
      <c r="Y548" s="74">
        <v>12</v>
      </c>
      <c r="Z548" s="11" t="s">
        <v>75</v>
      </c>
      <c r="AA548" s="11" t="s">
        <v>35</v>
      </c>
      <c r="AB548" s="11" t="s">
        <v>64</v>
      </c>
      <c r="AC548" s="19" t="s">
        <v>880</v>
      </c>
      <c r="AD548" s="19" t="s">
        <v>5024</v>
      </c>
    </row>
    <row r="549" spans="1:30" ht="83.5" customHeight="1">
      <c r="A549" s="11" t="s">
        <v>2083</v>
      </c>
      <c r="B549" s="11" t="s">
        <v>2137</v>
      </c>
      <c r="C549" s="23" t="s">
        <v>24</v>
      </c>
      <c r="D549" s="23" t="s">
        <v>27</v>
      </c>
      <c r="E549" s="11" t="s">
        <v>130</v>
      </c>
      <c r="F549" s="19" t="s">
        <v>161</v>
      </c>
      <c r="G549" s="19"/>
      <c r="H549" s="11" t="s">
        <v>523</v>
      </c>
      <c r="I549" s="11"/>
      <c r="J549" s="74" t="s">
        <v>2276</v>
      </c>
      <c r="K549" s="89">
        <v>0.2</v>
      </c>
      <c r="L549" s="89" t="s">
        <v>2276</v>
      </c>
      <c r="M549" s="89">
        <v>0.5</v>
      </c>
      <c r="N549" s="89" t="s">
        <v>2276</v>
      </c>
      <c r="O549" s="89">
        <v>0.35</v>
      </c>
      <c r="P549" s="89" t="s">
        <v>2276</v>
      </c>
      <c r="Q549" s="89" t="s">
        <v>2276</v>
      </c>
      <c r="R549" s="89" t="s">
        <v>2276</v>
      </c>
      <c r="S549" s="89" t="s">
        <v>2276</v>
      </c>
      <c r="T549" s="89" t="s">
        <v>2276</v>
      </c>
      <c r="U549" s="89" t="s">
        <v>2276</v>
      </c>
      <c r="V549" s="89" t="s">
        <v>2276</v>
      </c>
      <c r="W549" s="89" t="s">
        <v>2276</v>
      </c>
      <c r="X549" s="89" t="s">
        <v>2276</v>
      </c>
      <c r="Y549" s="74">
        <v>12</v>
      </c>
      <c r="Z549" s="11" t="s">
        <v>75</v>
      </c>
      <c r="AA549" s="11" t="s">
        <v>35</v>
      </c>
      <c r="AB549" s="11" t="s">
        <v>64</v>
      </c>
      <c r="AC549" s="19" t="s">
        <v>880</v>
      </c>
      <c r="AD549" s="19" t="s">
        <v>5024</v>
      </c>
    </row>
    <row r="550" spans="1:30" ht="83.5" customHeight="1">
      <c r="A550" s="11" t="s">
        <v>2084</v>
      </c>
      <c r="B550" s="11" t="s">
        <v>2138</v>
      </c>
      <c r="C550" s="23" t="s">
        <v>24</v>
      </c>
      <c r="D550" s="23" t="s">
        <v>27</v>
      </c>
      <c r="E550" s="11" t="s">
        <v>130</v>
      </c>
      <c r="F550" s="19" t="s">
        <v>161</v>
      </c>
      <c r="G550" s="19"/>
      <c r="H550" s="11" t="s">
        <v>523</v>
      </c>
      <c r="I550" s="11"/>
      <c r="J550" s="74" t="s">
        <v>2276</v>
      </c>
      <c r="K550" s="89">
        <v>0.2</v>
      </c>
      <c r="L550" s="89" t="s">
        <v>2276</v>
      </c>
      <c r="M550" s="89">
        <v>0.5</v>
      </c>
      <c r="N550" s="89" t="s">
        <v>2276</v>
      </c>
      <c r="O550" s="89">
        <v>0.35</v>
      </c>
      <c r="P550" s="89" t="s">
        <v>2276</v>
      </c>
      <c r="Q550" s="89" t="s">
        <v>2276</v>
      </c>
      <c r="R550" s="89" t="s">
        <v>2276</v>
      </c>
      <c r="S550" s="89" t="s">
        <v>2276</v>
      </c>
      <c r="T550" s="89" t="s">
        <v>2276</v>
      </c>
      <c r="U550" s="89" t="s">
        <v>2276</v>
      </c>
      <c r="V550" s="89" t="s">
        <v>2276</v>
      </c>
      <c r="W550" s="89" t="s">
        <v>2276</v>
      </c>
      <c r="X550" s="89" t="s">
        <v>2276</v>
      </c>
      <c r="Y550" s="74">
        <v>12</v>
      </c>
      <c r="Z550" s="11" t="s">
        <v>75</v>
      </c>
      <c r="AA550" s="11" t="s">
        <v>35</v>
      </c>
      <c r="AB550" s="11" t="s">
        <v>64</v>
      </c>
      <c r="AC550" s="19" t="s">
        <v>880</v>
      </c>
      <c r="AD550" s="19" t="s">
        <v>5024</v>
      </c>
    </row>
    <row r="551" spans="1:30" ht="83.5" customHeight="1">
      <c r="A551" s="11" t="s">
        <v>2085</v>
      </c>
      <c r="B551" s="11" t="s">
        <v>2139</v>
      </c>
      <c r="C551" s="23" t="s">
        <v>24</v>
      </c>
      <c r="D551" s="23" t="s">
        <v>27</v>
      </c>
      <c r="E551" s="11" t="s">
        <v>130</v>
      </c>
      <c r="F551" s="19" t="s">
        <v>161</v>
      </c>
      <c r="G551" s="19"/>
      <c r="H551" s="11" t="s">
        <v>523</v>
      </c>
      <c r="I551" s="11"/>
      <c r="J551" s="74" t="s">
        <v>2276</v>
      </c>
      <c r="K551" s="89">
        <v>0.2</v>
      </c>
      <c r="L551" s="89" t="s">
        <v>2276</v>
      </c>
      <c r="M551" s="89">
        <v>0.5</v>
      </c>
      <c r="N551" s="89" t="s">
        <v>2276</v>
      </c>
      <c r="O551" s="89">
        <v>0.35</v>
      </c>
      <c r="P551" s="89" t="s">
        <v>2276</v>
      </c>
      <c r="Q551" s="89" t="s">
        <v>2276</v>
      </c>
      <c r="R551" s="89" t="s">
        <v>2276</v>
      </c>
      <c r="S551" s="89" t="s">
        <v>2276</v>
      </c>
      <c r="T551" s="89" t="s">
        <v>2276</v>
      </c>
      <c r="U551" s="89" t="s">
        <v>2276</v>
      </c>
      <c r="V551" s="89" t="s">
        <v>2276</v>
      </c>
      <c r="W551" s="89" t="s">
        <v>2276</v>
      </c>
      <c r="X551" s="89" t="s">
        <v>2276</v>
      </c>
      <c r="Y551" s="74">
        <v>12</v>
      </c>
      <c r="Z551" s="11" t="s">
        <v>75</v>
      </c>
      <c r="AA551" s="11" t="s">
        <v>35</v>
      </c>
      <c r="AB551" s="11" t="s">
        <v>64</v>
      </c>
      <c r="AC551" s="19" t="s">
        <v>880</v>
      </c>
      <c r="AD551" s="19" t="s">
        <v>5024</v>
      </c>
    </row>
    <row r="552" spans="1:30" ht="83.5" customHeight="1">
      <c r="A552" s="11" t="s">
        <v>2086</v>
      </c>
      <c r="B552" s="11" t="s">
        <v>2140</v>
      </c>
      <c r="C552" s="23" t="s">
        <v>24</v>
      </c>
      <c r="D552" s="23" t="s">
        <v>27</v>
      </c>
      <c r="E552" s="11" t="s">
        <v>130</v>
      </c>
      <c r="F552" s="19" t="s">
        <v>161</v>
      </c>
      <c r="G552" s="19"/>
      <c r="H552" s="11" t="s">
        <v>523</v>
      </c>
      <c r="I552" s="11"/>
      <c r="J552" s="74" t="s">
        <v>2276</v>
      </c>
      <c r="K552" s="89">
        <v>0.2</v>
      </c>
      <c r="L552" s="89" t="s">
        <v>2276</v>
      </c>
      <c r="M552" s="89">
        <v>0.5</v>
      </c>
      <c r="N552" s="89" t="s">
        <v>2276</v>
      </c>
      <c r="O552" s="89">
        <v>0.35</v>
      </c>
      <c r="P552" s="89" t="s">
        <v>2276</v>
      </c>
      <c r="Q552" s="89" t="s">
        <v>2276</v>
      </c>
      <c r="R552" s="89" t="s">
        <v>2276</v>
      </c>
      <c r="S552" s="89" t="s">
        <v>2276</v>
      </c>
      <c r="T552" s="89" t="s">
        <v>2276</v>
      </c>
      <c r="U552" s="89" t="s">
        <v>2276</v>
      </c>
      <c r="V552" s="89" t="s">
        <v>2276</v>
      </c>
      <c r="W552" s="89" t="s">
        <v>2276</v>
      </c>
      <c r="X552" s="89" t="s">
        <v>2276</v>
      </c>
      <c r="Y552" s="74">
        <v>12</v>
      </c>
      <c r="Z552" s="11" t="s">
        <v>75</v>
      </c>
      <c r="AA552" s="11" t="s">
        <v>35</v>
      </c>
      <c r="AB552" s="11" t="s">
        <v>64</v>
      </c>
      <c r="AC552" s="19" t="s">
        <v>880</v>
      </c>
      <c r="AD552" s="19" t="s">
        <v>5024</v>
      </c>
    </row>
    <row r="553" spans="1:30" ht="83.5" customHeight="1">
      <c r="A553" s="11" t="s">
        <v>2087</v>
      </c>
      <c r="B553" s="11" t="s">
        <v>2141</v>
      </c>
      <c r="C553" s="23" t="s">
        <v>24</v>
      </c>
      <c r="D553" s="23" t="s">
        <v>27</v>
      </c>
      <c r="E553" s="11" t="s">
        <v>130</v>
      </c>
      <c r="F553" s="19" t="s">
        <v>161</v>
      </c>
      <c r="G553" s="19"/>
      <c r="H553" s="11" t="s">
        <v>523</v>
      </c>
      <c r="I553" s="11"/>
      <c r="J553" s="74" t="s">
        <v>2276</v>
      </c>
      <c r="K553" s="89">
        <v>0.2</v>
      </c>
      <c r="L553" s="89" t="s">
        <v>2276</v>
      </c>
      <c r="M553" s="89">
        <v>0.5</v>
      </c>
      <c r="N553" s="89" t="s">
        <v>2276</v>
      </c>
      <c r="O553" s="89">
        <v>0.35</v>
      </c>
      <c r="P553" s="89" t="s">
        <v>2276</v>
      </c>
      <c r="Q553" s="89" t="s">
        <v>2276</v>
      </c>
      <c r="R553" s="89" t="s">
        <v>2276</v>
      </c>
      <c r="S553" s="89" t="s">
        <v>2276</v>
      </c>
      <c r="T553" s="89" t="s">
        <v>2276</v>
      </c>
      <c r="U553" s="89" t="s">
        <v>2276</v>
      </c>
      <c r="V553" s="89" t="s">
        <v>2276</v>
      </c>
      <c r="W553" s="89" t="s">
        <v>2276</v>
      </c>
      <c r="X553" s="89" t="s">
        <v>2276</v>
      </c>
      <c r="Y553" s="74">
        <v>12</v>
      </c>
      <c r="Z553" s="11" t="s">
        <v>75</v>
      </c>
      <c r="AA553" s="11" t="s">
        <v>35</v>
      </c>
      <c r="AB553" s="11" t="s">
        <v>64</v>
      </c>
      <c r="AC553" s="19" t="s">
        <v>880</v>
      </c>
      <c r="AD553" s="19" t="s">
        <v>5024</v>
      </c>
    </row>
    <row r="554" spans="1:30" ht="83.5" customHeight="1">
      <c r="A554" s="11" t="s">
        <v>2088</v>
      </c>
      <c r="B554" s="11" t="s">
        <v>2142</v>
      </c>
      <c r="C554" s="23" t="s">
        <v>24</v>
      </c>
      <c r="D554" s="23" t="s">
        <v>27</v>
      </c>
      <c r="E554" s="11" t="s">
        <v>130</v>
      </c>
      <c r="F554" s="19" t="s">
        <v>161</v>
      </c>
      <c r="G554" s="19"/>
      <c r="H554" s="11" t="s">
        <v>523</v>
      </c>
      <c r="I554" s="11"/>
      <c r="J554" s="74" t="s">
        <v>2276</v>
      </c>
      <c r="K554" s="89">
        <v>0.2</v>
      </c>
      <c r="L554" s="89" t="s">
        <v>2276</v>
      </c>
      <c r="M554" s="89">
        <v>0.5</v>
      </c>
      <c r="N554" s="89" t="s">
        <v>2276</v>
      </c>
      <c r="O554" s="89">
        <v>0.35</v>
      </c>
      <c r="P554" s="89" t="s">
        <v>2276</v>
      </c>
      <c r="Q554" s="89" t="s">
        <v>2276</v>
      </c>
      <c r="R554" s="89" t="s">
        <v>2276</v>
      </c>
      <c r="S554" s="89" t="s">
        <v>2276</v>
      </c>
      <c r="T554" s="89" t="s">
        <v>2276</v>
      </c>
      <c r="U554" s="89" t="s">
        <v>2276</v>
      </c>
      <c r="V554" s="89" t="s">
        <v>2276</v>
      </c>
      <c r="W554" s="89" t="s">
        <v>2276</v>
      </c>
      <c r="X554" s="89" t="s">
        <v>2276</v>
      </c>
      <c r="Y554" s="74">
        <v>12</v>
      </c>
      <c r="Z554" s="11" t="s">
        <v>75</v>
      </c>
      <c r="AA554" s="11" t="s">
        <v>35</v>
      </c>
      <c r="AB554" s="11" t="s">
        <v>64</v>
      </c>
      <c r="AC554" s="19" t="s">
        <v>880</v>
      </c>
      <c r="AD554" s="19" t="s">
        <v>5024</v>
      </c>
    </row>
    <row r="555" spans="1:30" ht="83.5" customHeight="1">
      <c r="A555" s="11" t="s">
        <v>2089</v>
      </c>
      <c r="B555" s="11" t="s">
        <v>2143</v>
      </c>
      <c r="C555" s="23" t="s">
        <v>24</v>
      </c>
      <c r="D555" s="23" t="s">
        <v>27</v>
      </c>
      <c r="E555" s="11" t="s">
        <v>130</v>
      </c>
      <c r="F555" s="19" t="s">
        <v>161</v>
      </c>
      <c r="G555" s="19"/>
      <c r="H555" s="11" t="s">
        <v>523</v>
      </c>
      <c r="I555" s="11"/>
      <c r="J555" s="74" t="s">
        <v>2276</v>
      </c>
      <c r="K555" s="89">
        <v>0.2</v>
      </c>
      <c r="L555" s="89" t="s">
        <v>2276</v>
      </c>
      <c r="M555" s="89">
        <v>0.5</v>
      </c>
      <c r="N555" s="89" t="s">
        <v>2276</v>
      </c>
      <c r="O555" s="89">
        <v>0.35</v>
      </c>
      <c r="P555" s="89" t="s">
        <v>2276</v>
      </c>
      <c r="Q555" s="89" t="s">
        <v>2276</v>
      </c>
      <c r="R555" s="89" t="s">
        <v>2276</v>
      </c>
      <c r="S555" s="89" t="s">
        <v>2276</v>
      </c>
      <c r="T555" s="89" t="s">
        <v>2276</v>
      </c>
      <c r="U555" s="89" t="s">
        <v>2276</v>
      </c>
      <c r="V555" s="89" t="s">
        <v>2276</v>
      </c>
      <c r="W555" s="89" t="s">
        <v>2276</v>
      </c>
      <c r="X555" s="89" t="s">
        <v>2276</v>
      </c>
      <c r="Y555" s="74">
        <v>12</v>
      </c>
      <c r="Z555" s="11" t="s">
        <v>75</v>
      </c>
      <c r="AA555" s="11" t="s">
        <v>35</v>
      </c>
      <c r="AB555" s="11" t="s">
        <v>64</v>
      </c>
      <c r="AC555" s="19" t="s">
        <v>880</v>
      </c>
      <c r="AD555" s="19" t="s">
        <v>5024</v>
      </c>
    </row>
    <row r="556" spans="1:30" ht="83.5" customHeight="1">
      <c r="A556" s="11" t="s">
        <v>2090</v>
      </c>
      <c r="B556" s="11" t="s">
        <v>2144</v>
      </c>
      <c r="C556" s="23" t="s">
        <v>24</v>
      </c>
      <c r="D556" s="23" t="s">
        <v>27</v>
      </c>
      <c r="E556" s="11" t="s">
        <v>130</v>
      </c>
      <c r="F556" s="19" t="s">
        <v>161</v>
      </c>
      <c r="G556" s="19"/>
      <c r="H556" s="11" t="s">
        <v>523</v>
      </c>
      <c r="I556" s="11"/>
      <c r="J556" s="74" t="s">
        <v>2276</v>
      </c>
      <c r="K556" s="89">
        <v>0.2</v>
      </c>
      <c r="L556" s="89" t="s">
        <v>2276</v>
      </c>
      <c r="M556" s="89">
        <v>0.5</v>
      </c>
      <c r="N556" s="89" t="s">
        <v>2276</v>
      </c>
      <c r="O556" s="89">
        <v>0.35</v>
      </c>
      <c r="P556" s="89" t="s">
        <v>2276</v>
      </c>
      <c r="Q556" s="89" t="s">
        <v>2276</v>
      </c>
      <c r="R556" s="89" t="s">
        <v>2276</v>
      </c>
      <c r="S556" s="89" t="s">
        <v>2276</v>
      </c>
      <c r="T556" s="89" t="s">
        <v>2276</v>
      </c>
      <c r="U556" s="89" t="s">
        <v>2276</v>
      </c>
      <c r="V556" s="89" t="s">
        <v>2276</v>
      </c>
      <c r="W556" s="89" t="s">
        <v>2276</v>
      </c>
      <c r="X556" s="89" t="s">
        <v>2276</v>
      </c>
      <c r="Y556" s="74">
        <v>12</v>
      </c>
      <c r="Z556" s="11" t="s">
        <v>75</v>
      </c>
      <c r="AA556" s="11" t="s">
        <v>35</v>
      </c>
      <c r="AB556" s="11" t="s">
        <v>64</v>
      </c>
      <c r="AC556" s="19" t="s">
        <v>880</v>
      </c>
      <c r="AD556" s="19" t="s">
        <v>5024</v>
      </c>
    </row>
    <row r="557" spans="1:30" ht="83.5" customHeight="1">
      <c r="A557" s="11" t="s">
        <v>2091</v>
      </c>
      <c r="B557" s="11" t="s">
        <v>2145</v>
      </c>
      <c r="C557" s="23" t="s">
        <v>24</v>
      </c>
      <c r="D557" s="23" t="s">
        <v>27</v>
      </c>
      <c r="E557" s="11" t="s">
        <v>130</v>
      </c>
      <c r="F557" s="19" t="s">
        <v>161</v>
      </c>
      <c r="G557" s="19"/>
      <c r="H557" s="11" t="s">
        <v>523</v>
      </c>
      <c r="I557" s="11"/>
      <c r="J557" s="74" t="s">
        <v>2276</v>
      </c>
      <c r="K557" s="89">
        <v>0.2</v>
      </c>
      <c r="L557" s="89" t="s">
        <v>2276</v>
      </c>
      <c r="M557" s="89">
        <v>0.5</v>
      </c>
      <c r="N557" s="89" t="s">
        <v>2276</v>
      </c>
      <c r="O557" s="89">
        <v>0.35</v>
      </c>
      <c r="P557" s="89" t="s">
        <v>2276</v>
      </c>
      <c r="Q557" s="89" t="s">
        <v>2276</v>
      </c>
      <c r="R557" s="89" t="s">
        <v>2276</v>
      </c>
      <c r="S557" s="89" t="s">
        <v>2276</v>
      </c>
      <c r="T557" s="89" t="s">
        <v>2276</v>
      </c>
      <c r="U557" s="89" t="s">
        <v>2276</v>
      </c>
      <c r="V557" s="89" t="s">
        <v>2276</v>
      </c>
      <c r="W557" s="89" t="s">
        <v>2276</v>
      </c>
      <c r="X557" s="89" t="s">
        <v>2276</v>
      </c>
      <c r="Y557" s="74">
        <v>12</v>
      </c>
      <c r="Z557" s="11" t="s">
        <v>75</v>
      </c>
      <c r="AA557" s="11" t="s">
        <v>35</v>
      </c>
      <c r="AB557" s="11" t="s">
        <v>64</v>
      </c>
      <c r="AC557" s="19" t="s">
        <v>880</v>
      </c>
      <c r="AD557" s="19" t="s">
        <v>5024</v>
      </c>
    </row>
    <row r="558" spans="1:30" ht="83.5" customHeight="1">
      <c r="A558" s="11" t="s">
        <v>2092</v>
      </c>
      <c r="B558" s="11" t="s">
        <v>2146</v>
      </c>
      <c r="C558" s="23" t="s">
        <v>24</v>
      </c>
      <c r="D558" s="23" t="s">
        <v>27</v>
      </c>
      <c r="E558" s="11" t="s">
        <v>130</v>
      </c>
      <c r="F558" s="19" t="s">
        <v>161</v>
      </c>
      <c r="G558" s="19"/>
      <c r="H558" s="11" t="s">
        <v>523</v>
      </c>
      <c r="I558" s="11"/>
      <c r="J558" s="74" t="s">
        <v>2276</v>
      </c>
      <c r="K558" s="89">
        <v>0.2</v>
      </c>
      <c r="L558" s="89" t="s">
        <v>2276</v>
      </c>
      <c r="M558" s="89">
        <v>0.5</v>
      </c>
      <c r="N558" s="89" t="s">
        <v>2276</v>
      </c>
      <c r="O558" s="89">
        <v>0.35</v>
      </c>
      <c r="P558" s="89" t="s">
        <v>2276</v>
      </c>
      <c r="Q558" s="89" t="s">
        <v>2276</v>
      </c>
      <c r="R558" s="89" t="s">
        <v>2276</v>
      </c>
      <c r="S558" s="89" t="s">
        <v>2276</v>
      </c>
      <c r="T558" s="89" t="s">
        <v>2276</v>
      </c>
      <c r="U558" s="89" t="s">
        <v>2276</v>
      </c>
      <c r="V558" s="89" t="s">
        <v>2276</v>
      </c>
      <c r="W558" s="89" t="s">
        <v>2276</v>
      </c>
      <c r="X558" s="89" t="s">
        <v>2276</v>
      </c>
      <c r="Y558" s="74">
        <v>12</v>
      </c>
      <c r="Z558" s="11" t="s">
        <v>75</v>
      </c>
      <c r="AA558" s="11" t="s">
        <v>35</v>
      </c>
      <c r="AB558" s="11" t="s">
        <v>64</v>
      </c>
      <c r="AC558" s="19" t="s">
        <v>880</v>
      </c>
      <c r="AD558" s="19" t="s">
        <v>5024</v>
      </c>
    </row>
    <row r="559" spans="1:30" ht="83.5" customHeight="1">
      <c r="A559" s="11" t="s">
        <v>2093</v>
      </c>
      <c r="B559" s="11" t="s">
        <v>2147</v>
      </c>
      <c r="C559" s="23" t="s">
        <v>24</v>
      </c>
      <c r="D559" s="23" t="s">
        <v>27</v>
      </c>
      <c r="E559" s="11" t="s">
        <v>130</v>
      </c>
      <c r="F559" s="19" t="s">
        <v>161</v>
      </c>
      <c r="G559" s="19"/>
      <c r="H559" s="11" t="s">
        <v>523</v>
      </c>
      <c r="I559" s="11"/>
      <c r="J559" s="74" t="s">
        <v>2276</v>
      </c>
      <c r="K559" s="89">
        <v>0.2</v>
      </c>
      <c r="L559" s="89" t="s">
        <v>2276</v>
      </c>
      <c r="M559" s="89">
        <v>0.5</v>
      </c>
      <c r="N559" s="89" t="s">
        <v>2276</v>
      </c>
      <c r="O559" s="89">
        <v>0.35</v>
      </c>
      <c r="P559" s="89" t="s">
        <v>2276</v>
      </c>
      <c r="Q559" s="89" t="s">
        <v>2276</v>
      </c>
      <c r="R559" s="89" t="s">
        <v>2276</v>
      </c>
      <c r="S559" s="89" t="s">
        <v>2276</v>
      </c>
      <c r="T559" s="89" t="s">
        <v>2276</v>
      </c>
      <c r="U559" s="89" t="s">
        <v>2276</v>
      </c>
      <c r="V559" s="89" t="s">
        <v>2276</v>
      </c>
      <c r="W559" s="89" t="s">
        <v>2276</v>
      </c>
      <c r="X559" s="89" t="s">
        <v>2276</v>
      </c>
      <c r="Y559" s="74">
        <v>12</v>
      </c>
      <c r="Z559" s="11" t="s">
        <v>75</v>
      </c>
      <c r="AA559" s="11" t="s">
        <v>35</v>
      </c>
      <c r="AB559" s="11" t="s">
        <v>64</v>
      </c>
      <c r="AC559" s="19" t="s">
        <v>880</v>
      </c>
      <c r="AD559" s="19" t="s">
        <v>5024</v>
      </c>
    </row>
    <row r="560" spans="1:30" ht="83.5" customHeight="1">
      <c r="A560" s="11" t="s">
        <v>2094</v>
      </c>
      <c r="B560" s="11" t="s">
        <v>2148</v>
      </c>
      <c r="C560" s="23" t="s">
        <v>24</v>
      </c>
      <c r="D560" s="23" t="s">
        <v>27</v>
      </c>
      <c r="E560" s="11" t="s">
        <v>130</v>
      </c>
      <c r="F560" s="19" t="s">
        <v>161</v>
      </c>
      <c r="G560" s="19"/>
      <c r="H560" s="11" t="s">
        <v>523</v>
      </c>
      <c r="I560" s="11"/>
      <c r="J560" s="74" t="s">
        <v>2276</v>
      </c>
      <c r="K560" s="89">
        <v>0.2</v>
      </c>
      <c r="L560" s="89" t="s">
        <v>2276</v>
      </c>
      <c r="M560" s="89">
        <v>0.5</v>
      </c>
      <c r="N560" s="89" t="s">
        <v>2276</v>
      </c>
      <c r="O560" s="89">
        <v>0.35</v>
      </c>
      <c r="P560" s="89" t="s">
        <v>2276</v>
      </c>
      <c r="Q560" s="89" t="s">
        <v>2276</v>
      </c>
      <c r="R560" s="89" t="s">
        <v>2276</v>
      </c>
      <c r="S560" s="89" t="s">
        <v>2276</v>
      </c>
      <c r="T560" s="89" t="s">
        <v>2276</v>
      </c>
      <c r="U560" s="89" t="s">
        <v>2276</v>
      </c>
      <c r="V560" s="89" t="s">
        <v>2276</v>
      </c>
      <c r="W560" s="89" t="s">
        <v>2276</v>
      </c>
      <c r="X560" s="89" t="s">
        <v>2276</v>
      </c>
      <c r="Y560" s="74">
        <v>12</v>
      </c>
      <c r="Z560" s="11" t="s">
        <v>75</v>
      </c>
      <c r="AA560" s="11" t="s">
        <v>35</v>
      </c>
      <c r="AB560" s="11" t="s">
        <v>64</v>
      </c>
      <c r="AC560" s="19" t="s">
        <v>880</v>
      </c>
      <c r="AD560" s="19" t="s">
        <v>5024</v>
      </c>
    </row>
    <row r="561" spans="1:30" ht="83.5" customHeight="1">
      <c r="A561" s="11" t="s">
        <v>2095</v>
      </c>
      <c r="B561" s="11" t="s">
        <v>2149</v>
      </c>
      <c r="C561" s="23" t="s">
        <v>24</v>
      </c>
      <c r="D561" s="23" t="s">
        <v>27</v>
      </c>
      <c r="E561" s="11" t="s">
        <v>130</v>
      </c>
      <c r="F561" s="19" t="s">
        <v>161</v>
      </c>
      <c r="G561" s="19"/>
      <c r="H561" s="11" t="s">
        <v>523</v>
      </c>
      <c r="I561" s="11"/>
      <c r="J561" s="74" t="s">
        <v>2276</v>
      </c>
      <c r="K561" s="89">
        <v>0.2</v>
      </c>
      <c r="L561" s="89" t="s">
        <v>2276</v>
      </c>
      <c r="M561" s="89">
        <v>0.5</v>
      </c>
      <c r="N561" s="89" t="s">
        <v>2276</v>
      </c>
      <c r="O561" s="89">
        <v>0.35</v>
      </c>
      <c r="P561" s="89" t="s">
        <v>2276</v>
      </c>
      <c r="Q561" s="89" t="s">
        <v>2276</v>
      </c>
      <c r="R561" s="89" t="s">
        <v>2276</v>
      </c>
      <c r="S561" s="89" t="s">
        <v>2276</v>
      </c>
      <c r="T561" s="89" t="s">
        <v>2276</v>
      </c>
      <c r="U561" s="89" t="s">
        <v>2276</v>
      </c>
      <c r="V561" s="89" t="s">
        <v>2276</v>
      </c>
      <c r="W561" s="89" t="s">
        <v>2276</v>
      </c>
      <c r="X561" s="89" t="s">
        <v>2276</v>
      </c>
      <c r="Y561" s="74">
        <v>12</v>
      </c>
      <c r="Z561" s="11" t="s">
        <v>75</v>
      </c>
      <c r="AA561" s="11" t="s">
        <v>35</v>
      </c>
      <c r="AB561" s="11" t="s">
        <v>64</v>
      </c>
      <c r="AC561" s="19" t="s">
        <v>880</v>
      </c>
      <c r="AD561" s="19" t="s">
        <v>5024</v>
      </c>
    </row>
    <row r="562" spans="1:30" ht="83.5" customHeight="1">
      <c r="A562" s="11" t="s">
        <v>2096</v>
      </c>
      <c r="B562" s="11" t="s">
        <v>2150</v>
      </c>
      <c r="C562" s="23" t="s">
        <v>24</v>
      </c>
      <c r="D562" s="23" t="s">
        <v>27</v>
      </c>
      <c r="E562" s="11" t="s">
        <v>130</v>
      </c>
      <c r="F562" s="19" t="s">
        <v>161</v>
      </c>
      <c r="G562" s="19"/>
      <c r="H562" s="11" t="s">
        <v>523</v>
      </c>
      <c r="I562" s="11"/>
      <c r="J562" s="74" t="s">
        <v>2276</v>
      </c>
      <c r="K562" s="89">
        <v>0.2</v>
      </c>
      <c r="L562" s="89" t="s">
        <v>2276</v>
      </c>
      <c r="M562" s="89">
        <v>0.5</v>
      </c>
      <c r="N562" s="89" t="s">
        <v>2276</v>
      </c>
      <c r="O562" s="89">
        <v>0.35</v>
      </c>
      <c r="P562" s="89" t="s">
        <v>2276</v>
      </c>
      <c r="Q562" s="89" t="s">
        <v>2276</v>
      </c>
      <c r="R562" s="89" t="s">
        <v>2276</v>
      </c>
      <c r="S562" s="89" t="s">
        <v>2276</v>
      </c>
      <c r="T562" s="89" t="s">
        <v>2276</v>
      </c>
      <c r="U562" s="89" t="s">
        <v>2276</v>
      </c>
      <c r="V562" s="89" t="s">
        <v>2276</v>
      </c>
      <c r="W562" s="89" t="s">
        <v>2276</v>
      </c>
      <c r="X562" s="89" t="s">
        <v>2276</v>
      </c>
      <c r="Y562" s="74">
        <v>12</v>
      </c>
      <c r="Z562" s="11" t="s">
        <v>75</v>
      </c>
      <c r="AA562" s="11" t="s">
        <v>35</v>
      </c>
      <c r="AB562" s="11" t="s">
        <v>64</v>
      </c>
      <c r="AC562" s="19" t="s">
        <v>880</v>
      </c>
      <c r="AD562" s="19" t="s">
        <v>5024</v>
      </c>
    </row>
    <row r="563" spans="1:30" ht="83.5" customHeight="1">
      <c r="A563" s="11" t="s">
        <v>2097</v>
      </c>
      <c r="B563" s="11" t="s">
        <v>2151</v>
      </c>
      <c r="C563" s="23" t="s">
        <v>24</v>
      </c>
      <c r="D563" s="23" t="s">
        <v>27</v>
      </c>
      <c r="E563" s="11" t="s">
        <v>130</v>
      </c>
      <c r="F563" s="19" t="s">
        <v>161</v>
      </c>
      <c r="G563" s="19"/>
      <c r="H563" s="11" t="s">
        <v>523</v>
      </c>
      <c r="I563" s="11"/>
      <c r="J563" s="74" t="s">
        <v>2276</v>
      </c>
      <c r="K563" s="89">
        <v>0.2</v>
      </c>
      <c r="L563" s="89" t="s">
        <v>2276</v>
      </c>
      <c r="M563" s="89">
        <v>0.5</v>
      </c>
      <c r="N563" s="89" t="s">
        <v>2276</v>
      </c>
      <c r="O563" s="89">
        <v>0.35</v>
      </c>
      <c r="P563" s="89" t="s">
        <v>2276</v>
      </c>
      <c r="Q563" s="89" t="s">
        <v>2276</v>
      </c>
      <c r="R563" s="89" t="s">
        <v>2276</v>
      </c>
      <c r="S563" s="89" t="s">
        <v>2276</v>
      </c>
      <c r="T563" s="89" t="s">
        <v>2276</v>
      </c>
      <c r="U563" s="89" t="s">
        <v>2276</v>
      </c>
      <c r="V563" s="89" t="s">
        <v>2276</v>
      </c>
      <c r="W563" s="89" t="s">
        <v>2276</v>
      </c>
      <c r="X563" s="89" t="s">
        <v>2276</v>
      </c>
      <c r="Y563" s="74">
        <v>12</v>
      </c>
      <c r="Z563" s="11" t="s">
        <v>75</v>
      </c>
      <c r="AA563" s="11" t="s">
        <v>35</v>
      </c>
      <c r="AB563" s="11" t="s">
        <v>64</v>
      </c>
      <c r="AC563" s="19" t="s">
        <v>880</v>
      </c>
      <c r="AD563" s="19" t="s">
        <v>5024</v>
      </c>
    </row>
    <row r="564" spans="1:30" ht="83.5" customHeight="1">
      <c r="A564" s="11" t="s">
        <v>2098</v>
      </c>
      <c r="B564" s="11" t="s">
        <v>2152</v>
      </c>
      <c r="C564" s="23" t="s">
        <v>24</v>
      </c>
      <c r="D564" s="23" t="s">
        <v>27</v>
      </c>
      <c r="E564" s="11" t="s">
        <v>130</v>
      </c>
      <c r="F564" s="19" t="s">
        <v>161</v>
      </c>
      <c r="G564" s="19"/>
      <c r="H564" s="11" t="s">
        <v>523</v>
      </c>
      <c r="I564" s="11"/>
      <c r="J564" s="74" t="s">
        <v>2276</v>
      </c>
      <c r="K564" s="89">
        <v>0.2</v>
      </c>
      <c r="L564" s="89" t="s">
        <v>2276</v>
      </c>
      <c r="M564" s="89">
        <v>0.5</v>
      </c>
      <c r="N564" s="89" t="s">
        <v>2276</v>
      </c>
      <c r="O564" s="89">
        <v>0.35</v>
      </c>
      <c r="P564" s="89" t="s">
        <v>2276</v>
      </c>
      <c r="Q564" s="89" t="s">
        <v>2276</v>
      </c>
      <c r="R564" s="89" t="s">
        <v>2276</v>
      </c>
      <c r="S564" s="89" t="s">
        <v>2276</v>
      </c>
      <c r="T564" s="89" t="s">
        <v>2276</v>
      </c>
      <c r="U564" s="89" t="s">
        <v>2276</v>
      </c>
      <c r="V564" s="89" t="s">
        <v>2276</v>
      </c>
      <c r="W564" s="89" t="s">
        <v>2276</v>
      </c>
      <c r="X564" s="89" t="s">
        <v>2276</v>
      </c>
      <c r="Y564" s="74">
        <v>12</v>
      </c>
      <c r="Z564" s="11" t="s">
        <v>75</v>
      </c>
      <c r="AA564" s="11" t="s">
        <v>35</v>
      </c>
      <c r="AB564" s="11" t="s">
        <v>64</v>
      </c>
      <c r="AC564" s="19" t="s">
        <v>880</v>
      </c>
      <c r="AD564" s="19" t="s">
        <v>5024</v>
      </c>
    </row>
    <row r="565" spans="1:30" ht="83.5" customHeight="1">
      <c r="A565" s="11" t="s">
        <v>2099</v>
      </c>
      <c r="B565" s="11" t="s">
        <v>2153</v>
      </c>
      <c r="C565" s="23" t="s">
        <v>24</v>
      </c>
      <c r="D565" s="23" t="s">
        <v>27</v>
      </c>
      <c r="E565" s="11" t="s">
        <v>130</v>
      </c>
      <c r="F565" s="19" t="s">
        <v>161</v>
      </c>
      <c r="G565" s="19"/>
      <c r="H565" s="11" t="s">
        <v>523</v>
      </c>
      <c r="I565" s="11"/>
      <c r="J565" s="74" t="s">
        <v>2276</v>
      </c>
      <c r="K565" s="89">
        <v>0.2</v>
      </c>
      <c r="L565" s="89" t="s">
        <v>2276</v>
      </c>
      <c r="M565" s="89">
        <v>0.5</v>
      </c>
      <c r="N565" s="89" t="s">
        <v>2276</v>
      </c>
      <c r="O565" s="89">
        <v>0.35</v>
      </c>
      <c r="P565" s="89" t="s">
        <v>2276</v>
      </c>
      <c r="Q565" s="89" t="s">
        <v>2276</v>
      </c>
      <c r="R565" s="89" t="s">
        <v>2276</v>
      </c>
      <c r="S565" s="89" t="s">
        <v>2276</v>
      </c>
      <c r="T565" s="89" t="s">
        <v>2276</v>
      </c>
      <c r="U565" s="89" t="s">
        <v>2276</v>
      </c>
      <c r="V565" s="89" t="s">
        <v>2276</v>
      </c>
      <c r="W565" s="89" t="s">
        <v>2276</v>
      </c>
      <c r="X565" s="89" t="s">
        <v>2276</v>
      </c>
      <c r="Y565" s="74">
        <v>12</v>
      </c>
      <c r="Z565" s="11" t="s">
        <v>75</v>
      </c>
      <c r="AA565" s="11" t="s">
        <v>35</v>
      </c>
      <c r="AB565" s="11" t="s">
        <v>64</v>
      </c>
      <c r="AC565" s="19" t="s">
        <v>880</v>
      </c>
      <c r="AD565" s="19" t="s">
        <v>5024</v>
      </c>
    </row>
    <row r="566" spans="1:30" ht="83.5" customHeight="1">
      <c r="A566" s="11" t="s">
        <v>2100</v>
      </c>
      <c r="B566" s="11" t="s">
        <v>2154</v>
      </c>
      <c r="C566" s="23" t="s">
        <v>24</v>
      </c>
      <c r="D566" s="23" t="s">
        <v>27</v>
      </c>
      <c r="E566" s="11" t="s">
        <v>130</v>
      </c>
      <c r="F566" s="19" t="s">
        <v>161</v>
      </c>
      <c r="G566" s="19"/>
      <c r="H566" s="11" t="s">
        <v>523</v>
      </c>
      <c r="I566" s="11"/>
      <c r="J566" s="74" t="s">
        <v>2276</v>
      </c>
      <c r="K566" s="89">
        <v>0.2</v>
      </c>
      <c r="L566" s="89" t="s">
        <v>2276</v>
      </c>
      <c r="M566" s="89">
        <v>0.5</v>
      </c>
      <c r="N566" s="89" t="s">
        <v>2276</v>
      </c>
      <c r="O566" s="89">
        <v>0.35</v>
      </c>
      <c r="P566" s="89" t="s">
        <v>2276</v>
      </c>
      <c r="Q566" s="89" t="s">
        <v>2276</v>
      </c>
      <c r="R566" s="89" t="s">
        <v>2276</v>
      </c>
      <c r="S566" s="89" t="s">
        <v>2276</v>
      </c>
      <c r="T566" s="89" t="s">
        <v>2276</v>
      </c>
      <c r="U566" s="89" t="s">
        <v>2276</v>
      </c>
      <c r="V566" s="89" t="s">
        <v>2276</v>
      </c>
      <c r="W566" s="89" t="s">
        <v>2276</v>
      </c>
      <c r="X566" s="89" t="s">
        <v>2276</v>
      </c>
      <c r="Y566" s="74">
        <v>12</v>
      </c>
      <c r="Z566" s="11" t="s">
        <v>75</v>
      </c>
      <c r="AA566" s="11" t="s">
        <v>35</v>
      </c>
      <c r="AB566" s="11" t="s">
        <v>64</v>
      </c>
      <c r="AC566" s="19" t="s">
        <v>880</v>
      </c>
      <c r="AD566" s="19" t="s">
        <v>5024</v>
      </c>
    </row>
    <row r="567" spans="1:30" ht="83.5" customHeight="1">
      <c r="A567" s="11" t="s">
        <v>2101</v>
      </c>
      <c r="B567" s="11" t="s">
        <v>2155</v>
      </c>
      <c r="C567" s="23" t="s">
        <v>24</v>
      </c>
      <c r="D567" s="23" t="s">
        <v>27</v>
      </c>
      <c r="E567" s="11" t="s">
        <v>130</v>
      </c>
      <c r="F567" s="19" t="s">
        <v>161</v>
      </c>
      <c r="G567" s="19"/>
      <c r="H567" s="11" t="s">
        <v>523</v>
      </c>
      <c r="I567" s="11"/>
      <c r="J567" s="74" t="s">
        <v>2276</v>
      </c>
      <c r="K567" s="89">
        <v>0.2</v>
      </c>
      <c r="L567" s="89" t="s">
        <v>2276</v>
      </c>
      <c r="M567" s="89">
        <v>0.5</v>
      </c>
      <c r="N567" s="89" t="s">
        <v>2276</v>
      </c>
      <c r="O567" s="89">
        <v>0.35</v>
      </c>
      <c r="P567" s="89" t="s">
        <v>2276</v>
      </c>
      <c r="Q567" s="89" t="s">
        <v>2276</v>
      </c>
      <c r="R567" s="89" t="s">
        <v>2276</v>
      </c>
      <c r="S567" s="89" t="s">
        <v>2276</v>
      </c>
      <c r="T567" s="89" t="s">
        <v>2276</v>
      </c>
      <c r="U567" s="89" t="s">
        <v>2276</v>
      </c>
      <c r="V567" s="89" t="s">
        <v>2276</v>
      </c>
      <c r="W567" s="89" t="s">
        <v>2276</v>
      </c>
      <c r="X567" s="89" t="s">
        <v>2276</v>
      </c>
      <c r="Y567" s="74">
        <v>12</v>
      </c>
      <c r="Z567" s="11" t="s">
        <v>75</v>
      </c>
      <c r="AA567" s="11" t="s">
        <v>35</v>
      </c>
      <c r="AB567" s="11" t="s">
        <v>64</v>
      </c>
      <c r="AC567" s="19" t="s">
        <v>880</v>
      </c>
      <c r="AD567" s="19" t="s">
        <v>5024</v>
      </c>
    </row>
    <row r="568" spans="1:30" ht="83.5" customHeight="1">
      <c r="A568" s="11" t="s">
        <v>2102</v>
      </c>
      <c r="B568" s="11" t="s">
        <v>2156</v>
      </c>
      <c r="C568" s="23" t="s">
        <v>24</v>
      </c>
      <c r="D568" s="23" t="s">
        <v>27</v>
      </c>
      <c r="E568" s="11" t="s">
        <v>130</v>
      </c>
      <c r="F568" s="19" t="s">
        <v>161</v>
      </c>
      <c r="G568" s="19"/>
      <c r="H568" s="11" t="s">
        <v>523</v>
      </c>
      <c r="I568" s="11"/>
      <c r="J568" s="74" t="s">
        <v>2276</v>
      </c>
      <c r="K568" s="89">
        <v>0.2</v>
      </c>
      <c r="L568" s="89" t="s">
        <v>2276</v>
      </c>
      <c r="M568" s="89">
        <v>0.5</v>
      </c>
      <c r="N568" s="89" t="s">
        <v>2276</v>
      </c>
      <c r="O568" s="89">
        <v>0.35</v>
      </c>
      <c r="P568" s="89" t="s">
        <v>2276</v>
      </c>
      <c r="Q568" s="89" t="s">
        <v>2276</v>
      </c>
      <c r="R568" s="89" t="s">
        <v>2276</v>
      </c>
      <c r="S568" s="89" t="s">
        <v>2276</v>
      </c>
      <c r="T568" s="89" t="s">
        <v>2276</v>
      </c>
      <c r="U568" s="89" t="s">
        <v>2276</v>
      </c>
      <c r="V568" s="89" t="s">
        <v>2276</v>
      </c>
      <c r="W568" s="89" t="s">
        <v>2276</v>
      </c>
      <c r="X568" s="89" t="s">
        <v>2276</v>
      </c>
      <c r="Y568" s="74">
        <v>12</v>
      </c>
      <c r="Z568" s="11" t="s">
        <v>75</v>
      </c>
      <c r="AA568" s="11" t="s">
        <v>35</v>
      </c>
      <c r="AB568" s="11" t="s">
        <v>64</v>
      </c>
      <c r="AC568" s="19" t="s">
        <v>880</v>
      </c>
      <c r="AD568" s="19" t="s">
        <v>5024</v>
      </c>
    </row>
    <row r="569" spans="1:30" ht="83.5" customHeight="1">
      <c r="A569" s="11" t="s">
        <v>2103</v>
      </c>
      <c r="B569" s="11" t="s">
        <v>2157</v>
      </c>
      <c r="C569" s="23" t="s">
        <v>24</v>
      </c>
      <c r="D569" s="23" t="s">
        <v>27</v>
      </c>
      <c r="E569" s="11" t="s">
        <v>130</v>
      </c>
      <c r="F569" s="19" t="s">
        <v>161</v>
      </c>
      <c r="G569" s="19"/>
      <c r="H569" s="11" t="s">
        <v>523</v>
      </c>
      <c r="I569" s="11"/>
      <c r="J569" s="74" t="s">
        <v>2276</v>
      </c>
      <c r="K569" s="89">
        <v>0.2</v>
      </c>
      <c r="L569" s="89" t="s">
        <v>2276</v>
      </c>
      <c r="M569" s="89">
        <v>0.5</v>
      </c>
      <c r="N569" s="89" t="s">
        <v>2276</v>
      </c>
      <c r="O569" s="89">
        <v>0.35</v>
      </c>
      <c r="P569" s="89" t="s">
        <v>2276</v>
      </c>
      <c r="Q569" s="89" t="s">
        <v>2276</v>
      </c>
      <c r="R569" s="89" t="s">
        <v>2276</v>
      </c>
      <c r="S569" s="89" t="s">
        <v>2276</v>
      </c>
      <c r="T569" s="89" t="s">
        <v>2276</v>
      </c>
      <c r="U569" s="89" t="s">
        <v>2276</v>
      </c>
      <c r="V569" s="89" t="s">
        <v>2276</v>
      </c>
      <c r="W569" s="89" t="s">
        <v>2276</v>
      </c>
      <c r="X569" s="89" t="s">
        <v>2276</v>
      </c>
      <c r="Y569" s="74">
        <v>12</v>
      </c>
      <c r="Z569" s="11" t="s">
        <v>75</v>
      </c>
      <c r="AA569" s="11" t="s">
        <v>35</v>
      </c>
      <c r="AB569" s="11" t="s">
        <v>64</v>
      </c>
      <c r="AC569" s="19" t="s">
        <v>880</v>
      </c>
      <c r="AD569" s="19" t="s">
        <v>5024</v>
      </c>
    </row>
    <row r="570" spans="1:30" ht="83.5" customHeight="1">
      <c r="A570" s="11" t="s">
        <v>2104</v>
      </c>
      <c r="B570" s="11" t="s">
        <v>2158</v>
      </c>
      <c r="C570" s="23" t="s">
        <v>24</v>
      </c>
      <c r="D570" s="23" t="s">
        <v>27</v>
      </c>
      <c r="E570" s="11" t="s">
        <v>130</v>
      </c>
      <c r="F570" s="19" t="s">
        <v>161</v>
      </c>
      <c r="G570" s="19"/>
      <c r="H570" s="11" t="s">
        <v>523</v>
      </c>
      <c r="I570" s="11"/>
      <c r="J570" s="74" t="s">
        <v>2276</v>
      </c>
      <c r="K570" s="89">
        <v>0.2</v>
      </c>
      <c r="L570" s="89" t="s">
        <v>2276</v>
      </c>
      <c r="M570" s="89">
        <v>0.5</v>
      </c>
      <c r="N570" s="89" t="s">
        <v>2276</v>
      </c>
      <c r="O570" s="89">
        <v>0.35</v>
      </c>
      <c r="P570" s="89" t="s">
        <v>2276</v>
      </c>
      <c r="Q570" s="89" t="s">
        <v>2276</v>
      </c>
      <c r="R570" s="89" t="s">
        <v>2276</v>
      </c>
      <c r="S570" s="89" t="s">
        <v>2276</v>
      </c>
      <c r="T570" s="89" t="s">
        <v>2276</v>
      </c>
      <c r="U570" s="89" t="s">
        <v>2276</v>
      </c>
      <c r="V570" s="89" t="s">
        <v>2276</v>
      </c>
      <c r="W570" s="89" t="s">
        <v>2276</v>
      </c>
      <c r="X570" s="89" t="s">
        <v>2276</v>
      </c>
      <c r="Y570" s="74">
        <v>12</v>
      </c>
      <c r="Z570" s="11" t="s">
        <v>75</v>
      </c>
      <c r="AA570" s="11" t="s">
        <v>35</v>
      </c>
      <c r="AB570" s="11" t="s">
        <v>64</v>
      </c>
      <c r="AC570" s="19" t="s">
        <v>880</v>
      </c>
      <c r="AD570" s="19" t="s">
        <v>5024</v>
      </c>
    </row>
    <row r="571" spans="1:30" ht="83.5" customHeight="1">
      <c r="A571" s="11" t="s">
        <v>2105</v>
      </c>
      <c r="B571" s="11" t="s">
        <v>2159</v>
      </c>
      <c r="C571" s="23" t="s">
        <v>24</v>
      </c>
      <c r="D571" s="23" t="s">
        <v>27</v>
      </c>
      <c r="E571" s="11" t="s">
        <v>130</v>
      </c>
      <c r="F571" s="19" t="s">
        <v>161</v>
      </c>
      <c r="G571" s="19"/>
      <c r="H571" s="11" t="s">
        <v>523</v>
      </c>
      <c r="I571" s="11"/>
      <c r="J571" s="74" t="s">
        <v>2276</v>
      </c>
      <c r="K571" s="89">
        <v>0.2</v>
      </c>
      <c r="L571" s="89" t="s">
        <v>2276</v>
      </c>
      <c r="M571" s="89">
        <v>0.5</v>
      </c>
      <c r="N571" s="89" t="s">
        <v>2276</v>
      </c>
      <c r="O571" s="89">
        <v>0.35</v>
      </c>
      <c r="P571" s="89" t="s">
        <v>2276</v>
      </c>
      <c r="Q571" s="89" t="s">
        <v>2276</v>
      </c>
      <c r="R571" s="89" t="s">
        <v>2276</v>
      </c>
      <c r="S571" s="89" t="s">
        <v>2276</v>
      </c>
      <c r="T571" s="89" t="s">
        <v>2276</v>
      </c>
      <c r="U571" s="89" t="s">
        <v>2276</v>
      </c>
      <c r="V571" s="89" t="s">
        <v>2276</v>
      </c>
      <c r="W571" s="89" t="s">
        <v>2276</v>
      </c>
      <c r="X571" s="89" t="s">
        <v>2276</v>
      </c>
      <c r="Y571" s="74">
        <v>12</v>
      </c>
      <c r="Z571" s="11" t="s">
        <v>75</v>
      </c>
      <c r="AA571" s="11" t="s">
        <v>35</v>
      </c>
      <c r="AB571" s="11" t="s">
        <v>64</v>
      </c>
      <c r="AC571" s="19" t="s">
        <v>880</v>
      </c>
      <c r="AD571" s="19" t="s">
        <v>5024</v>
      </c>
    </row>
    <row r="572" spans="1:30" ht="83.5" customHeight="1">
      <c r="A572" s="11" t="s">
        <v>2106</v>
      </c>
      <c r="B572" s="11" t="s">
        <v>2160</v>
      </c>
      <c r="C572" s="23" t="s">
        <v>24</v>
      </c>
      <c r="D572" s="23" t="s">
        <v>27</v>
      </c>
      <c r="E572" s="11" t="s">
        <v>130</v>
      </c>
      <c r="F572" s="19" t="s">
        <v>161</v>
      </c>
      <c r="G572" s="19"/>
      <c r="H572" s="11" t="s">
        <v>523</v>
      </c>
      <c r="I572" s="11"/>
      <c r="J572" s="74" t="s">
        <v>2276</v>
      </c>
      <c r="K572" s="89">
        <v>0.2</v>
      </c>
      <c r="L572" s="89" t="s">
        <v>2276</v>
      </c>
      <c r="M572" s="89">
        <v>0.5</v>
      </c>
      <c r="N572" s="89" t="s">
        <v>2276</v>
      </c>
      <c r="O572" s="89">
        <v>0.35</v>
      </c>
      <c r="P572" s="89" t="s">
        <v>2276</v>
      </c>
      <c r="Q572" s="89" t="s">
        <v>2276</v>
      </c>
      <c r="R572" s="89" t="s">
        <v>2276</v>
      </c>
      <c r="S572" s="89" t="s">
        <v>2276</v>
      </c>
      <c r="T572" s="89" t="s">
        <v>2276</v>
      </c>
      <c r="U572" s="89" t="s">
        <v>2276</v>
      </c>
      <c r="V572" s="89" t="s">
        <v>2276</v>
      </c>
      <c r="W572" s="89" t="s">
        <v>2276</v>
      </c>
      <c r="X572" s="89" t="s">
        <v>2276</v>
      </c>
      <c r="Y572" s="74">
        <v>12</v>
      </c>
      <c r="Z572" s="11" t="s">
        <v>75</v>
      </c>
      <c r="AA572" s="11" t="s">
        <v>35</v>
      </c>
      <c r="AB572" s="11" t="s">
        <v>64</v>
      </c>
      <c r="AC572" s="19" t="s">
        <v>880</v>
      </c>
      <c r="AD572" s="19" t="s">
        <v>5024</v>
      </c>
    </row>
    <row r="573" spans="1:30" ht="83.5" customHeight="1">
      <c r="A573" s="11" t="s">
        <v>2107</v>
      </c>
      <c r="B573" s="11" t="s">
        <v>2161</v>
      </c>
      <c r="C573" s="23" t="s">
        <v>24</v>
      </c>
      <c r="D573" s="23" t="s">
        <v>27</v>
      </c>
      <c r="E573" s="11" t="s">
        <v>130</v>
      </c>
      <c r="F573" s="19" t="s">
        <v>161</v>
      </c>
      <c r="G573" s="19"/>
      <c r="H573" s="11" t="s">
        <v>523</v>
      </c>
      <c r="I573" s="11"/>
      <c r="J573" s="74" t="s">
        <v>2276</v>
      </c>
      <c r="K573" s="89">
        <v>0.2</v>
      </c>
      <c r="L573" s="89" t="s">
        <v>2276</v>
      </c>
      <c r="M573" s="89">
        <v>0.5</v>
      </c>
      <c r="N573" s="89" t="s">
        <v>2276</v>
      </c>
      <c r="O573" s="89">
        <v>0.35</v>
      </c>
      <c r="P573" s="89" t="s">
        <v>2276</v>
      </c>
      <c r="Q573" s="89" t="s">
        <v>2276</v>
      </c>
      <c r="R573" s="89" t="s">
        <v>2276</v>
      </c>
      <c r="S573" s="89" t="s">
        <v>2276</v>
      </c>
      <c r="T573" s="89" t="s">
        <v>2276</v>
      </c>
      <c r="U573" s="89" t="s">
        <v>2276</v>
      </c>
      <c r="V573" s="89" t="s">
        <v>2276</v>
      </c>
      <c r="W573" s="89" t="s">
        <v>2276</v>
      </c>
      <c r="X573" s="89" t="s">
        <v>2276</v>
      </c>
      <c r="Y573" s="74">
        <v>12</v>
      </c>
      <c r="Z573" s="11" t="s">
        <v>75</v>
      </c>
      <c r="AA573" s="11" t="s">
        <v>35</v>
      </c>
      <c r="AB573" s="11" t="s">
        <v>64</v>
      </c>
      <c r="AC573" s="19" t="s">
        <v>880</v>
      </c>
      <c r="AD573" s="19" t="s">
        <v>5024</v>
      </c>
    </row>
    <row r="574" spans="1:30" ht="83.5" customHeight="1">
      <c r="A574" s="11" t="s">
        <v>2108</v>
      </c>
      <c r="B574" s="11" t="s">
        <v>2162</v>
      </c>
      <c r="C574" s="23" t="s">
        <v>24</v>
      </c>
      <c r="D574" s="23" t="s">
        <v>27</v>
      </c>
      <c r="E574" s="11" t="s">
        <v>130</v>
      </c>
      <c r="F574" s="19" t="s">
        <v>161</v>
      </c>
      <c r="G574" s="19"/>
      <c r="H574" s="11" t="s">
        <v>523</v>
      </c>
      <c r="I574" s="11"/>
      <c r="J574" s="74" t="s">
        <v>2276</v>
      </c>
      <c r="K574" s="89">
        <v>0.2</v>
      </c>
      <c r="L574" s="89" t="s">
        <v>2276</v>
      </c>
      <c r="M574" s="89">
        <v>0.5</v>
      </c>
      <c r="N574" s="89" t="s">
        <v>2276</v>
      </c>
      <c r="O574" s="89">
        <v>0.35</v>
      </c>
      <c r="P574" s="89" t="s">
        <v>2276</v>
      </c>
      <c r="Q574" s="89" t="s">
        <v>2276</v>
      </c>
      <c r="R574" s="89" t="s">
        <v>2276</v>
      </c>
      <c r="S574" s="89" t="s">
        <v>2276</v>
      </c>
      <c r="T574" s="89" t="s">
        <v>2276</v>
      </c>
      <c r="U574" s="89" t="s">
        <v>2276</v>
      </c>
      <c r="V574" s="89" t="s">
        <v>2276</v>
      </c>
      <c r="W574" s="89" t="s">
        <v>2276</v>
      </c>
      <c r="X574" s="89" t="s">
        <v>2276</v>
      </c>
      <c r="Y574" s="74">
        <v>12</v>
      </c>
      <c r="Z574" s="11" t="s">
        <v>75</v>
      </c>
      <c r="AA574" s="11" t="s">
        <v>35</v>
      </c>
      <c r="AB574" s="11" t="s">
        <v>64</v>
      </c>
      <c r="AC574" s="19" t="s">
        <v>880</v>
      </c>
      <c r="AD574" s="19" t="s">
        <v>5024</v>
      </c>
    </row>
    <row r="575" spans="1:30" ht="83.5" customHeight="1">
      <c r="A575" s="11" t="s">
        <v>2109</v>
      </c>
      <c r="B575" s="11" t="s">
        <v>2163</v>
      </c>
      <c r="C575" s="23" t="s">
        <v>24</v>
      </c>
      <c r="D575" s="23" t="s">
        <v>27</v>
      </c>
      <c r="E575" s="11" t="s">
        <v>130</v>
      </c>
      <c r="F575" s="19" t="s">
        <v>161</v>
      </c>
      <c r="G575" s="19"/>
      <c r="H575" s="11" t="s">
        <v>523</v>
      </c>
      <c r="I575" s="11"/>
      <c r="J575" s="74" t="s">
        <v>2276</v>
      </c>
      <c r="K575" s="89">
        <v>0.2</v>
      </c>
      <c r="L575" s="89" t="s">
        <v>2276</v>
      </c>
      <c r="M575" s="89">
        <v>0.5</v>
      </c>
      <c r="N575" s="89" t="s">
        <v>2276</v>
      </c>
      <c r="O575" s="89">
        <v>0.35</v>
      </c>
      <c r="P575" s="89" t="s">
        <v>2276</v>
      </c>
      <c r="Q575" s="89" t="s">
        <v>2276</v>
      </c>
      <c r="R575" s="89" t="s">
        <v>2276</v>
      </c>
      <c r="S575" s="89" t="s">
        <v>2276</v>
      </c>
      <c r="T575" s="89" t="s">
        <v>2276</v>
      </c>
      <c r="U575" s="89" t="s">
        <v>2276</v>
      </c>
      <c r="V575" s="89" t="s">
        <v>2276</v>
      </c>
      <c r="W575" s="89" t="s">
        <v>2276</v>
      </c>
      <c r="X575" s="89" t="s">
        <v>2276</v>
      </c>
      <c r="Y575" s="74">
        <v>12</v>
      </c>
      <c r="Z575" s="11" t="s">
        <v>75</v>
      </c>
      <c r="AA575" s="11" t="s">
        <v>35</v>
      </c>
      <c r="AB575" s="11" t="s">
        <v>64</v>
      </c>
      <c r="AC575" s="19" t="s">
        <v>880</v>
      </c>
      <c r="AD575" s="19" t="s">
        <v>5024</v>
      </c>
    </row>
    <row r="576" spans="1:30" ht="83.5" customHeight="1">
      <c r="A576" s="11" t="s">
        <v>2110</v>
      </c>
      <c r="B576" s="11" t="s">
        <v>2164</v>
      </c>
      <c r="C576" s="23" t="s">
        <v>24</v>
      </c>
      <c r="D576" s="23" t="s">
        <v>27</v>
      </c>
      <c r="E576" s="11" t="s">
        <v>130</v>
      </c>
      <c r="F576" s="19" t="s">
        <v>161</v>
      </c>
      <c r="G576" s="19"/>
      <c r="H576" s="11" t="s">
        <v>523</v>
      </c>
      <c r="I576" s="11"/>
      <c r="J576" s="74" t="s">
        <v>2276</v>
      </c>
      <c r="K576" s="89">
        <v>0.2</v>
      </c>
      <c r="L576" s="89" t="s">
        <v>2276</v>
      </c>
      <c r="M576" s="89">
        <v>0.5</v>
      </c>
      <c r="N576" s="89" t="s">
        <v>2276</v>
      </c>
      <c r="O576" s="89">
        <v>0.35</v>
      </c>
      <c r="P576" s="89" t="s">
        <v>2276</v>
      </c>
      <c r="Q576" s="89" t="s">
        <v>2276</v>
      </c>
      <c r="R576" s="89" t="s">
        <v>2276</v>
      </c>
      <c r="S576" s="89" t="s">
        <v>2276</v>
      </c>
      <c r="T576" s="89" t="s">
        <v>2276</v>
      </c>
      <c r="U576" s="89" t="s">
        <v>2276</v>
      </c>
      <c r="V576" s="89" t="s">
        <v>2276</v>
      </c>
      <c r="W576" s="89" t="s">
        <v>2276</v>
      </c>
      <c r="X576" s="89" t="s">
        <v>2276</v>
      </c>
      <c r="Y576" s="74">
        <v>12</v>
      </c>
      <c r="Z576" s="11" t="s">
        <v>75</v>
      </c>
      <c r="AA576" s="11" t="s">
        <v>35</v>
      </c>
      <c r="AB576" s="11" t="s">
        <v>64</v>
      </c>
      <c r="AC576" s="19" t="s">
        <v>880</v>
      </c>
      <c r="AD576" s="19" t="s">
        <v>5024</v>
      </c>
    </row>
    <row r="577" spans="1:30" ht="83.5" customHeight="1">
      <c r="A577" s="11" t="s">
        <v>2111</v>
      </c>
      <c r="B577" s="11" t="s">
        <v>2165</v>
      </c>
      <c r="C577" s="23" t="s">
        <v>24</v>
      </c>
      <c r="D577" s="23" t="s">
        <v>27</v>
      </c>
      <c r="E577" s="11" t="s">
        <v>130</v>
      </c>
      <c r="F577" s="19" t="s">
        <v>161</v>
      </c>
      <c r="G577" s="19"/>
      <c r="H577" s="11" t="s">
        <v>523</v>
      </c>
      <c r="I577" s="11"/>
      <c r="J577" s="74" t="s">
        <v>2276</v>
      </c>
      <c r="K577" s="89">
        <v>0.2</v>
      </c>
      <c r="L577" s="89" t="s">
        <v>2276</v>
      </c>
      <c r="M577" s="89">
        <v>0.5</v>
      </c>
      <c r="N577" s="89" t="s">
        <v>2276</v>
      </c>
      <c r="O577" s="89">
        <v>0.35</v>
      </c>
      <c r="P577" s="89" t="s">
        <v>2276</v>
      </c>
      <c r="Q577" s="89" t="s">
        <v>2276</v>
      </c>
      <c r="R577" s="89" t="s">
        <v>2276</v>
      </c>
      <c r="S577" s="89" t="s">
        <v>2276</v>
      </c>
      <c r="T577" s="89" t="s">
        <v>2276</v>
      </c>
      <c r="U577" s="89" t="s">
        <v>2276</v>
      </c>
      <c r="V577" s="89" t="s">
        <v>2276</v>
      </c>
      <c r="W577" s="89" t="s">
        <v>2276</v>
      </c>
      <c r="X577" s="89" t="s">
        <v>2276</v>
      </c>
      <c r="Y577" s="74">
        <v>12</v>
      </c>
      <c r="Z577" s="11" t="s">
        <v>75</v>
      </c>
      <c r="AA577" s="11" t="s">
        <v>35</v>
      </c>
      <c r="AB577" s="11" t="s">
        <v>64</v>
      </c>
      <c r="AC577" s="19" t="s">
        <v>880</v>
      </c>
      <c r="AD577" s="19" t="s">
        <v>5024</v>
      </c>
    </row>
    <row r="578" spans="1:30" ht="83.5" customHeight="1">
      <c r="A578" s="11" t="s">
        <v>2112</v>
      </c>
      <c r="B578" s="11" t="s">
        <v>2166</v>
      </c>
      <c r="C578" s="23" t="s">
        <v>24</v>
      </c>
      <c r="D578" s="23" t="s">
        <v>27</v>
      </c>
      <c r="E578" s="11" t="s">
        <v>130</v>
      </c>
      <c r="F578" s="19" t="s">
        <v>161</v>
      </c>
      <c r="G578" s="19"/>
      <c r="H578" s="11" t="s">
        <v>523</v>
      </c>
      <c r="I578" s="11"/>
      <c r="J578" s="74" t="s">
        <v>2276</v>
      </c>
      <c r="K578" s="89">
        <v>0.2</v>
      </c>
      <c r="L578" s="89" t="s">
        <v>2276</v>
      </c>
      <c r="M578" s="89">
        <v>0.5</v>
      </c>
      <c r="N578" s="89" t="s">
        <v>2276</v>
      </c>
      <c r="O578" s="89">
        <v>0.35</v>
      </c>
      <c r="P578" s="89" t="s">
        <v>2276</v>
      </c>
      <c r="Q578" s="89" t="s">
        <v>2276</v>
      </c>
      <c r="R578" s="89" t="s">
        <v>2276</v>
      </c>
      <c r="S578" s="89" t="s">
        <v>2276</v>
      </c>
      <c r="T578" s="89" t="s">
        <v>2276</v>
      </c>
      <c r="U578" s="89" t="s">
        <v>2276</v>
      </c>
      <c r="V578" s="89" t="s">
        <v>2276</v>
      </c>
      <c r="W578" s="89" t="s">
        <v>2276</v>
      </c>
      <c r="X578" s="89" t="s">
        <v>2276</v>
      </c>
      <c r="Y578" s="74">
        <v>12</v>
      </c>
      <c r="Z578" s="11" t="s">
        <v>75</v>
      </c>
      <c r="AA578" s="11" t="s">
        <v>35</v>
      </c>
      <c r="AB578" s="11" t="s">
        <v>64</v>
      </c>
      <c r="AC578" s="19" t="s">
        <v>880</v>
      </c>
      <c r="AD578" s="19" t="s">
        <v>5024</v>
      </c>
    </row>
    <row r="579" spans="1:30" ht="83.5" customHeight="1">
      <c r="A579" s="11" t="s">
        <v>2113</v>
      </c>
      <c r="B579" s="11" t="s">
        <v>2167</v>
      </c>
      <c r="C579" s="23" t="s">
        <v>24</v>
      </c>
      <c r="D579" s="23" t="s">
        <v>27</v>
      </c>
      <c r="E579" s="11" t="s">
        <v>130</v>
      </c>
      <c r="F579" s="19" t="s">
        <v>161</v>
      </c>
      <c r="G579" s="19"/>
      <c r="H579" s="11" t="s">
        <v>523</v>
      </c>
      <c r="I579" s="11"/>
      <c r="J579" s="74" t="s">
        <v>2276</v>
      </c>
      <c r="K579" s="89">
        <v>0.2</v>
      </c>
      <c r="L579" s="89" t="s">
        <v>2276</v>
      </c>
      <c r="M579" s="89">
        <v>0.5</v>
      </c>
      <c r="N579" s="89" t="s">
        <v>2276</v>
      </c>
      <c r="O579" s="89">
        <v>0.35</v>
      </c>
      <c r="P579" s="89" t="s">
        <v>2276</v>
      </c>
      <c r="Q579" s="89" t="s">
        <v>2276</v>
      </c>
      <c r="R579" s="89" t="s">
        <v>2276</v>
      </c>
      <c r="S579" s="89" t="s">
        <v>2276</v>
      </c>
      <c r="T579" s="89" t="s">
        <v>2276</v>
      </c>
      <c r="U579" s="89" t="s">
        <v>2276</v>
      </c>
      <c r="V579" s="89" t="s">
        <v>2276</v>
      </c>
      <c r="W579" s="89" t="s">
        <v>2276</v>
      </c>
      <c r="X579" s="89" t="s">
        <v>2276</v>
      </c>
      <c r="Y579" s="74">
        <v>12</v>
      </c>
      <c r="Z579" s="11" t="s">
        <v>75</v>
      </c>
      <c r="AA579" s="11" t="s">
        <v>35</v>
      </c>
      <c r="AB579" s="11" t="s">
        <v>64</v>
      </c>
      <c r="AC579" s="19" t="s">
        <v>880</v>
      </c>
      <c r="AD579" s="19" t="s">
        <v>5024</v>
      </c>
    </row>
    <row r="580" spans="1:30" ht="83.5" customHeight="1">
      <c r="A580" s="11" t="s">
        <v>2114</v>
      </c>
      <c r="B580" s="11" t="s">
        <v>2168</v>
      </c>
      <c r="C580" s="23" t="s">
        <v>24</v>
      </c>
      <c r="D580" s="23" t="s">
        <v>27</v>
      </c>
      <c r="E580" s="11" t="s">
        <v>130</v>
      </c>
      <c r="F580" s="19" t="s">
        <v>161</v>
      </c>
      <c r="G580" s="19"/>
      <c r="H580" s="11" t="s">
        <v>523</v>
      </c>
      <c r="I580" s="11"/>
      <c r="J580" s="74" t="s">
        <v>2276</v>
      </c>
      <c r="K580" s="89">
        <v>0.2</v>
      </c>
      <c r="L580" s="89" t="s">
        <v>2276</v>
      </c>
      <c r="M580" s="89">
        <v>0.5</v>
      </c>
      <c r="N580" s="89" t="s">
        <v>2276</v>
      </c>
      <c r="O580" s="89">
        <v>0.35</v>
      </c>
      <c r="P580" s="89" t="s">
        <v>2276</v>
      </c>
      <c r="Q580" s="89" t="s">
        <v>2276</v>
      </c>
      <c r="R580" s="89" t="s">
        <v>2276</v>
      </c>
      <c r="S580" s="89" t="s">
        <v>2276</v>
      </c>
      <c r="T580" s="89" t="s">
        <v>2276</v>
      </c>
      <c r="U580" s="89" t="s">
        <v>2276</v>
      </c>
      <c r="V580" s="89" t="s">
        <v>2276</v>
      </c>
      <c r="W580" s="89" t="s">
        <v>2276</v>
      </c>
      <c r="X580" s="89" t="s">
        <v>2276</v>
      </c>
      <c r="Y580" s="74">
        <v>12</v>
      </c>
      <c r="Z580" s="11" t="s">
        <v>75</v>
      </c>
      <c r="AA580" s="11" t="s">
        <v>35</v>
      </c>
      <c r="AB580" s="11" t="s">
        <v>64</v>
      </c>
      <c r="AC580" s="19" t="s">
        <v>880</v>
      </c>
      <c r="AD580" s="19" t="s">
        <v>5024</v>
      </c>
    </row>
    <row r="581" spans="1:30" ht="83.5" customHeight="1">
      <c r="A581" s="11" t="s">
        <v>2115</v>
      </c>
      <c r="B581" s="11" t="s">
        <v>2169</v>
      </c>
      <c r="C581" s="23" t="s">
        <v>24</v>
      </c>
      <c r="D581" s="23" t="s">
        <v>27</v>
      </c>
      <c r="E581" s="11" t="s">
        <v>130</v>
      </c>
      <c r="F581" s="19" t="s">
        <v>161</v>
      </c>
      <c r="G581" s="19"/>
      <c r="H581" s="11" t="s">
        <v>523</v>
      </c>
      <c r="I581" s="11"/>
      <c r="J581" s="74" t="s">
        <v>2276</v>
      </c>
      <c r="K581" s="89">
        <v>0.2</v>
      </c>
      <c r="L581" s="89" t="s">
        <v>2276</v>
      </c>
      <c r="M581" s="89">
        <v>0.5</v>
      </c>
      <c r="N581" s="89" t="s">
        <v>2276</v>
      </c>
      <c r="O581" s="89">
        <v>0.35</v>
      </c>
      <c r="P581" s="89" t="s">
        <v>2276</v>
      </c>
      <c r="Q581" s="89" t="s">
        <v>2276</v>
      </c>
      <c r="R581" s="89" t="s">
        <v>2276</v>
      </c>
      <c r="S581" s="89" t="s">
        <v>2276</v>
      </c>
      <c r="T581" s="89" t="s">
        <v>2276</v>
      </c>
      <c r="U581" s="89" t="s">
        <v>2276</v>
      </c>
      <c r="V581" s="89" t="s">
        <v>2276</v>
      </c>
      <c r="W581" s="89" t="s">
        <v>2276</v>
      </c>
      <c r="X581" s="89" t="s">
        <v>2276</v>
      </c>
      <c r="Y581" s="74">
        <v>12</v>
      </c>
      <c r="Z581" s="11" t="s">
        <v>75</v>
      </c>
      <c r="AA581" s="11" t="s">
        <v>35</v>
      </c>
      <c r="AB581" s="11" t="s">
        <v>64</v>
      </c>
      <c r="AC581" s="19" t="s">
        <v>880</v>
      </c>
      <c r="AD581" s="19" t="s">
        <v>5024</v>
      </c>
    </row>
    <row r="582" spans="1:30" ht="83.5" customHeight="1">
      <c r="A582" s="11" t="s">
        <v>2116</v>
      </c>
      <c r="B582" s="11" t="s">
        <v>2170</v>
      </c>
      <c r="C582" s="23" t="s">
        <v>24</v>
      </c>
      <c r="D582" s="23" t="s">
        <v>27</v>
      </c>
      <c r="E582" s="11" t="s">
        <v>130</v>
      </c>
      <c r="F582" s="19" t="s">
        <v>161</v>
      </c>
      <c r="G582" s="19"/>
      <c r="H582" s="11" t="s">
        <v>523</v>
      </c>
      <c r="I582" s="11"/>
      <c r="J582" s="74" t="s">
        <v>2276</v>
      </c>
      <c r="K582" s="89">
        <v>0.2</v>
      </c>
      <c r="L582" s="89" t="s">
        <v>2276</v>
      </c>
      <c r="M582" s="89">
        <v>0.5</v>
      </c>
      <c r="N582" s="89" t="s">
        <v>2276</v>
      </c>
      <c r="O582" s="89">
        <v>0.35</v>
      </c>
      <c r="P582" s="89" t="s">
        <v>2276</v>
      </c>
      <c r="Q582" s="89" t="s">
        <v>2276</v>
      </c>
      <c r="R582" s="89" t="s">
        <v>2276</v>
      </c>
      <c r="S582" s="89" t="s">
        <v>2276</v>
      </c>
      <c r="T582" s="89" t="s">
        <v>2276</v>
      </c>
      <c r="U582" s="89" t="s">
        <v>2276</v>
      </c>
      <c r="V582" s="89" t="s">
        <v>2276</v>
      </c>
      <c r="W582" s="89" t="s">
        <v>2276</v>
      </c>
      <c r="X582" s="89" t="s">
        <v>2276</v>
      </c>
      <c r="Y582" s="74">
        <v>12</v>
      </c>
      <c r="Z582" s="11" t="s">
        <v>75</v>
      </c>
      <c r="AA582" s="11" t="s">
        <v>35</v>
      </c>
      <c r="AB582" s="11" t="s">
        <v>64</v>
      </c>
      <c r="AC582" s="19" t="s">
        <v>880</v>
      </c>
      <c r="AD582" s="19" t="s">
        <v>5024</v>
      </c>
    </row>
    <row r="583" spans="1:30" ht="83.5" customHeight="1">
      <c r="A583" s="11" t="s">
        <v>2117</v>
      </c>
      <c r="B583" s="11" t="s">
        <v>2171</v>
      </c>
      <c r="C583" s="23" t="s">
        <v>24</v>
      </c>
      <c r="D583" s="23" t="s">
        <v>27</v>
      </c>
      <c r="E583" s="11" t="s">
        <v>130</v>
      </c>
      <c r="F583" s="19" t="s">
        <v>161</v>
      </c>
      <c r="G583" s="19"/>
      <c r="H583" s="11" t="s">
        <v>523</v>
      </c>
      <c r="I583" s="11"/>
      <c r="J583" s="74" t="s">
        <v>2276</v>
      </c>
      <c r="K583" s="89">
        <v>0.2</v>
      </c>
      <c r="L583" s="89" t="s">
        <v>2276</v>
      </c>
      <c r="M583" s="89">
        <v>0.5</v>
      </c>
      <c r="N583" s="89" t="s">
        <v>2276</v>
      </c>
      <c r="O583" s="89">
        <v>0.35</v>
      </c>
      <c r="P583" s="89" t="s">
        <v>2276</v>
      </c>
      <c r="Q583" s="89" t="s">
        <v>2276</v>
      </c>
      <c r="R583" s="89" t="s">
        <v>2276</v>
      </c>
      <c r="S583" s="89" t="s">
        <v>2276</v>
      </c>
      <c r="T583" s="89" t="s">
        <v>2276</v>
      </c>
      <c r="U583" s="89" t="s">
        <v>2276</v>
      </c>
      <c r="V583" s="89" t="s">
        <v>2276</v>
      </c>
      <c r="W583" s="89" t="s">
        <v>2276</v>
      </c>
      <c r="X583" s="89" t="s">
        <v>2276</v>
      </c>
      <c r="Y583" s="74">
        <v>12</v>
      </c>
      <c r="Z583" s="11" t="s">
        <v>75</v>
      </c>
      <c r="AA583" s="11" t="s">
        <v>35</v>
      </c>
      <c r="AB583" s="11" t="s">
        <v>64</v>
      </c>
      <c r="AC583" s="19" t="s">
        <v>880</v>
      </c>
      <c r="AD583" s="19" t="s">
        <v>5024</v>
      </c>
    </row>
    <row r="584" spans="1:30" ht="83.5" customHeight="1">
      <c r="A584" s="11" t="s">
        <v>2118</v>
      </c>
      <c r="B584" s="11" t="s">
        <v>2172</v>
      </c>
      <c r="C584" s="23" t="s">
        <v>24</v>
      </c>
      <c r="D584" s="23" t="s">
        <v>27</v>
      </c>
      <c r="E584" s="11" t="s">
        <v>130</v>
      </c>
      <c r="F584" s="19" t="s">
        <v>161</v>
      </c>
      <c r="G584" s="19"/>
      <c r="H584" s="11" t="s">
        <v>523</v>
      </c>
      <c r="I584" s="11"/>
      <c r="J584" s="74" t="s">
        <v>2276</v>
      </c>
      <c r="K584" s="89">
        <v>0.2</v>
      </c>
      <c r="L584" s="89" t="s">
        <v>2276</v>
      </c>
      <c r="M584" s="89">
        <v>0.5</v>
      </c>
      <c r="N584" s="89" t="s">
        <v>2276</v>
      </c>
      <c r="O584" s="89">
        <v>0.35</v>
      </c>
      <c r="P584" s="89" t="s">
        <v>2276</v>
      </c>
      <c r="Q584" s="89" t="s">
        <v>2276</v>
      </c>
      <c r="R584" s="89" t="s">
        <v>2276</v>
      </c>
      <c r="S584" s="89" t="s">
        <v>2276</v>
      </c>
      <c r="T584" s="89" t="s">
        <v>2276</v>
      </c>
      <c r="U584" s="89" t="s">
        <v>2276</v>
      </c>
      <c r="V584" s="89" t="s">
        <v>2276</v>
      </c>
      <c r="W584" s="89" t="s">
        <v>2276</v>
      </c>
      <c r="X584" s="89" t="s">
        <v>2276</v>
      </c>
      <c r="Y584" s="74">
        <v>12</v>
      </c>
      <c r="Z584" s="11" t="s">
        <v>75</v>
      </c>
      <c r="AA584" s="11" t="s">
        <v>35</v>
      </c>
      <c r="AB584" s="11" t="s">
        <v>64</v>
      </c>
      <c r="AC584" s="19" t="s">
        <v>880</v>
      </c>
      <c r="AD584" s="19" t="s">
        <v>5024</v>
      </c>
    </row>
    <row r="585" spans="1:30" ht="83.5" customHeight="1">
      <c r="A585" s="11" t="s">
        <v>2119</v>
      </c>
      <c r="B585" s="11" t="s">
        <v>2173</v>
      </c>
      <c r="C585" s="23" t="s">
        <v>24</v>
      </c>
      <c r="D585" s="23" t="s">
        <v>27</v>
      </c>
      <c r="E585" s="11" t="s">
        <v>130</v>
      </c>
      <c r="F585" s="19" t="s">
        <v>161</v>
      </c>
      <c r="G585" s="19"/>
      <c r="H585" s="11" t="s">
        <v>523</v>
      </c>
      <c r="I585" s="11"/>
      <c r="J585" s="74" t="s">
        <v>2276</v>
      </c>
      <c r="K585" s="89">
        <v>0.2</v>
      </c>
      <c r="L585" s="89" t="s">
        <v>2276</v>
      </c>
      <c r="M585" s="89">
        <v>0.5</v>
      </c>
      <c r="N585" s="89" t="s">
        <v>2276</v>
      </c>
      <c r="O585" s="89">
        <v>0.35</v>
      </c>
      <c r="P585" s="89" t="s">
        <v>2276</v>
      </c>
      <c r="Q585" s="89" t="s">
        <v>2276</v>
      </c>
      <c r="R585" s="89" t="s">
        <v>2276</v>
      </c>
      <c r="S585" s="89" t="s">
        <v>2276</v>
      </c>
      <c r="T585" s="89" t="s">
        <v>2276</v>
      </c>
      <c r="U585" s="89" t="s">
        <v>2276</v>
      </c>
      <c r="V585" s="89" t="s">
        <v>2276</v>
      </c>
      <c r="W585" s="89" t="s">
        <v>2276</v>
      </c>
      <c r="X585" s="89" t="s">
        <v>2276</v>
      </c>
      <c r="Y585" s="74">
        <v>12</v>
      </c>
      <c r="Z585" s="11" t="s">
        <v>75</v>
      </c>
      <c r="AA585" s="11" t="s">
        <v>35</v>
      </c>
      <c r="AB585" s="11" t="s">
        <v>64</v>
      </c>
      <c r="AC585" s="19" t="s">
        <v>880</v>
      </c>
      <c r="AD585" s="19" t="s">
        <v>5024</v>
      </c>
    </row>
    <row r="586" spans="1:30" ht="83.5" customHeight="1">
      <c r="A586" s="11" t="s">
        <v>2120</v>
      </c>
      <c r="B586" s="11" t="s">
        <v>2174</v>
      </c>
      <c r="C586" s="23" t="s">
        <v>24</v>
      </c>
      <c r="D586" s="23" t="s">
        <v>27</v>
      </c>
      <c r="E586" s="11" t="s">
        <v>130</v>
      </c>
      <c r="F586" s="19" t="s">
        <v>161</v>
      </c>
      <c r="G586" s="19"/>
      <c r="H586" s="11" t="s">
        <v>523</v>
      </c>
      <c r="I586" s="11"/>
      <c r="J586" s="74" t="s">
        <v>2276</v>
      </c>
      <c r="K586" s="89">
        <v>0.2</v>
      </c>
      <c r="L586" s="89" t="s">
        <v>2276</v>
      </c>
      <c r="M586" s="89">
        <v>0.5</v>
      </c>
      <c r="N586" s="89" t="s">
        <v>2276</v>
      </c>
      <c r="O586" s="89">
        <v>0.35</v>
      </c>
      <c r="P586" s="89" t="s">
        <v>2276</v>
      </c>
      <c r="Q586" s="89" t="s">
        <v>2276</v>
      </c>
      <c r="R586" s="89" t="s">
        <v>2276</v>
      </c>
      <c r="S586" s="89" t="s">
        <v>2276</v>
      </c>
      <c r="T586" s="89" t="s">
        <v>2276</v>
      </c>
      <c r="U586" s="89" t="s">
        <v>2276</v>
      </c>
      <c r="V586" s="89" t="s">
        <v>2276</v>
      </c>
      <c r="W586" s="89" t="s">
        <v>2276</v>
      </c>
      <c r="X586" s="89" t="s">
        <v>2276</v>
      </c>
      <c r="Y586" s="74">
        <v>12</v>
      </c>
      <c r="Z586" s="11" t="s">
        <v>75</v>
      </c>
      <c r="AA586" s="11" t="s">
        <v>35</v>
      </c>
      <c r="AB586" s="11" t="s">
        <v>64</v>
      </c>
      <c r="AC586" s="19" t="s">
        <v>880</v>
      </c>
      <c r="AD586" s="19" t="s">
        <v>5024</v>
      </c>
    </row>
    <row r="587" spans="1:30" ht="83.5" customHeight="1">
      <c r="A587" s="11" t="s">
        <v>2121</v>
      </c>
      <c r="B587" s="11" t="s">
        <v>2175</v>
      </c>
      <c r="C587" s="23" t="s">
        <v>24</v>
      </c>
      <c r="D587" s="23" t="s">
        <v>27</v>
      </c>
      <c r="E587" s="11" t="s">
        <v>130</v>
      </c>
      <c r="F587" s="19" t="s">
        <v>161</v>
      </c>
      <c r="G587" s="19"/>
      <c r="H587" s="11" t="s">
        <v>523</v>
      </c>
      <c r="I587" s="11"/>
      <c r="J587" s="74" t="s">
        <v>2276</v>
      </c>
      <c r="K587" s="89">
        <v>0.2</v>
      </c>
      <c r="L587" s="89" t="s">
        <v>2276</v>
      </c>
      <c r="M587" s="89">
        <v>0.5</v>
      </c>
      <c r="N587" s="89" t="s">
        <v>2276</v>
      </c>
      <c r="O587" s="89">
        <v>0.35</v>
      </c>
      <c r="P587" s="89" t="s">
        <v>2276</v>
      </c>
      <c r="Q587" s="89" t="s">
        <v>2276</v>
      </c>
      <c r="R587" s="89" t="s">
        <v>2276</v>
      </c>
      <c r="S587" s="89" t="s">
        <v>2276</v>
      </c>
      <c r="T587" s="89" t="s">
        <v>2276</v>
      </c>
      <c r="U587" s="89" t="s">
        <v>2276</v>
      </c>
      <c r="V587" s="89" t="s">
        <v>2276</v>
      </c>
      <c r="W587" s="89" t="s">
        <v>2276</v>
      </c>
      <c r="X587" s="89" t="s">
        <v>2276</v>
      </c>
      <c r="Y587" s="74">
        <v>12</v>
      </c>
      <c r="Z587" s="11" t="s">
        <v>75</v>
      </c>
      <c r="AA587" s="11" t="s">
        <v>35</v>
      </c>
      <c r="AB587" s="11" t="s">
        <v>64</v>
      </c>
      <c r="AC587" s="19" t="s">
        <v>880</v>
      </c>
      <c r="AD587" s="19" t="s">
        <v>5024</v>
      </c>
    </row>
    <row r="588" spans="1:30" ht="83.5" customHeight="1">
      <c r="A588" s="11" t="s">
        <v>2122</v>
      </c>
      <c r="B588" s="11" t="s">
        <v>2176</v>
      </c>
      <c r="C588" s="23" t="s">
        <v>24</v>
      </c>
      <c r="D588" s="23" t="s">
        <v>27</v>
      </c>
      <c r="E588" s="11" t="s">
        <v>130</v>
      </c>
      <c r="F588" s="19" t="s">
        <v>161</v>
      </c>
      <c r="G588" s="19"/>
      <c r="H588" s="11" t="s">
        <v>523</v>
      </c>
      <c r="I588" s="11"/>
      <c r="J588" s="74" t="s">
        <v>2276</v>
      </c>
      <c r="K588" s="89">
        <v>0.2</v>
      </c>
      <c r="L588" s="89" t="s">
        <v>2276</v>
      </c>
      <c r="M588" s="89">
        <v>0.5</v>
      </c>
      <c r="N588" s="89" t="s">
        <v>2276</v>
      </c>
      <c r="O588" s="89">
        <v>0.35</v>
      </c>
      <c r="P588" s="89" t="s">
        <v>2276</v>
      </c>
      <c r="Q588" s="89" t="s">
        <v>2276</v>
      </c>
      <c r="R588" s="89" t="s">
        <v>2276</v>
      </c>
      <c r="S588" s="89" t="s">
        <v>2276</v>
      </c>
      <c r="T588" s="89" t="s">
        <v>2276</v>
      </c>
      <c r="U588" s="89" t="s">
        <v>2276</v>
      </c>
      <c r="V588" s="89" t="s">
        <v>2276</v>
      </c>
      <c r="W588" s="89" t="s">
        <v>2276</v>
      </c>
      <c r="X588" s="89" t="s">
        <v>2276</v>
      </c>
      <c r="Y588" s="74">
        <v>12</v>
      </c>
      <c r="Z588" s="11" t="s">
        <v>75</v>
      </c>
      <c r="AA588" s="11" t="s">
        <v>35</v>
      </c>
      <c r="AB588" s="11" t="s">
        <v>64</v>
      </c>
      <c r="AC588" s="19" t="s">
        <v>880</v>
      </c>
      <c r="AD588" s="19" t="s">
        <v>5024</v>
      </c>
    </row>
    <row r="589" spans="1:30" ht="75" customHeight="1">
      <c r="A589" s="11" t="s">
        <v>876</v>
      </c>
      <c r="B589" s="11" t="s">
        <v>879</v>
      </c>
      <c r="C589" s="23" t="s">
        <v>24</v>
      </c>
      <c r="D589" s="23" t="s">
        <v>27</v>
      </c>
      <c r="E589" s="11" t="s">
        <v>130</v>
      </c>
      <c r="F589" s="19" t="s">
        <v>161</v>
      </c>
      <c r="G589" s="19"/>
      <c r="H589" s="3" t="s">
        <v>523</v>
      </c>
      <c r="I589" s="3"/>
      <c r="J589" s="21" t="s">
        <v>2276</v>
      </c>
      <c r="K589" s="74">
        <v>0.2</v>
      </c>
      <c r="L589" s="74" t="s">
        <v>2276</v>
      </c>
      <c r="M589" s="74">
        <v>0.7</v>
      </c>
      <c r="N589" s="21" t="s">
        <v>2276</v>
      </c>
      <c r="O589" s="74">
        <v>0.45</v>
      </c>
      <c r="P589" s="74" t="s">
        <v>2276</v>
      </c>
      <c r="Q589" s="21" t="s">
        <v>2276</v>
      </c>
      <c r="R589" s="21" t="s">
        <v>2276</v>
      </c>
      <c r="S589" s="74" t="s">
        <v>2276</v>
      </c>
      <c r="T589" s="21" t="s">
        <v>2276</v>
      </c>
      <c r="U589" s="21" t="s">
        <v>2276</v>
      </c>
      <c r="V589" s="21" t="s">
        <v>2276</v>
      </c>
      <c r="W589" s="21" t="s">
        <v>2276</v>
      </c>
      <c r="X589" s="21" t="s">
        <v>2276</v>
      </c>
      <c r="Y589" s="21" t="s">
        <v>2276</v>
      </c>
      <c r="Z589" s="3" t="s">
        <v>75</v>
      </c>
      <c r="AA589" s="3" t="s">
        <v>35</v>
      </c>
      <c r="AB589" s="3" t="s">
        <v>64</v>
      </c>
      <c r="AC589" s="4" t="s">
        <v>880</v>
      </c>
      <c r="AD589" s="3"/>
    </row>
    <row r="590" spans="1:30" ht="67.5" customHeight="1">
      <c r="A590" s="11" t="s">
        <v>881</v>
      </c>
      <c r="B590" s="11" t="s">
        <v>883</v>
      </c>
      <c r="C590" s="23" t="s">
        <v>24</v>
      </c>
      <c r="D590" s="23" t="s">
        <v>27</v>
      </c>
      <c r="E590" s="11" t="s">
        <v>130</v>
      </c>
      <c r="F590" s="19" t="s">
        <v>161</v>
      </c>
      <c r="G590" s="19"/>
      <c r="H590" s="3" t="s">
        <v>523</v>
      </c>
      <c r="I590" s="3"/>
      <c r="J590" s="21" t="s">
        <v>2276</v>
      </c>
      <c r="K590" s="21" t="s">
        <v>2276</v>
      </c>
      <c r="L590" s="21" t="s">
        <v>2276</v>
      </c>
      <c r="M590" s="21" t="s">
        <v>2276</v>
      </c>
      <c r="N590" s="21" t="s">
        <v>2276</v>
      </c>
      <c r="O590" s="21" t="s">
        <v>2276</v>
      </c>
      <c r="P590" s="21" t="s">
        <v>2276</v>
      </c>
      <c r="Q590" s="21" t="s">
        <v>2276</v>
      </c>
      <c r="R590" s="21" t="s">
        <v>2276</v>
      </c>
      <c r="S590" s="21" t="s">
        <v>2276</v>
      </c>
      <c r="T590" s="21" t="s">
        <v>2276</v>
      </c>
      <c r="U590" s="21" t="s">
        <v>2276</v>
      </c>
      <c r="V590" s="21" t="s">
        <v>2276</v>
      </c>
      <c r="W590" s="21" t="s">
        <v>2276</v>
      </c>
      <c r="X590" s="21" t="s">
        <v>2276</v>
      </c>
      <c r="Y590" s="21" t="s">
        <v>2276</v>
      </c>
      <c r="Z590" s="3" t="s">
        <v>38</v>
      </c>
      <c r="AA590" s="3" t="s">
        <v>86</v>
      </c>
      <c r="AB590" s="3" t="s">
        <v>76</v>
      </c>
      <c r="AC590" s="4" t="s">
        <v>2205</v>
      </c>
      <c r="AD590" s="4" t="s">
        <v>2206</v>
      </c>
    </row>
    <row r="591" spans="1:30" ht="75" customHeight="1">
      <c r="A591" s="11" t="s">
        <v>886</v>
      </c>
      <c r="B591" s="11" t="s">
        <v>892</v>
      </c>
      <c r="C591" s="23" t="s">
        <v>24</v>
      </c>
      <c r="D591" s="23" t="s">
        <v>27</v>
      </c>
      <c r="E591" s="11" t="s">
        <v>130</v>
      </c>
      <c r="F591" s="19" t="s">
        <v>161</v>
      </c>
      <c r="G591" s="19"/>
      <c r="H591" s="3" t="s">
        <v>523</v>
      </c>
      <c r="I591" s="3"/>
      <c r="J591" s="21" t="s">
        <v>2276</v>
      </c>
      <c r="K591" s="21" t="s">
        <v>2276</v>
      </c>
      <c r="L591" s="74" t="s">
        <v>2276</v>
      </c>
      <c r="M591" s="74" t="s">
        <v>2276</v>
      </c>
      <c r="N591" s="21" t="s">
        <v>2276</v>
      </c>
      <c r="O591" s="21" t="s">
        <v>2276</v>
      </c>
      <c r="P591" s="74" t="s">
        <v>2276</v>
      </c>
      <c r="Q591" s="21" t="s">
        <v>2276</v>
      </c>
      <c r="R591" s="21" t="s">
        <v>2276</v>
      </c>
      <c r="S591" s="74" t="s">
        <v>2276</v>
      </c>
      <c r="T591" s="21" t="s">
        <v>2276</v>
      </c>
      <c r="U591" s="21" t="s">
        <v>2276</v>
      </c>
      <c r="V591" s="21" t="s">
        <v>2276</v>
      </c>
      <c r="W591" s="21" t="s">
        <v>2276</v>
      </c>
      <c r="X591" s="21" t="s">
        <v>2276</v>
      </c>
      <c r="Y591" s="21">
        <v>23.5</v>
      </c>
      <c r="Z591" s="3" t="s">
        <v>38</v>
      </c>
      <c r="AA591" s="3" t="s">
        <v>38</v>
      </c>
      <c r="AB591" s="3" t="s">
        <v>64</v>
      </c>
      <c r="AC591" s="4" t="s">
        <v>2208</v>
      </c>
      <c r="AD591" s="3" t="s">
        <v>2207</v>
      </c>
    </row>
    <row r="592" spans="1:30" ht="53" customHeight="1">
      <c r="A592" s="11" t="s">
        <v>897</v>
      </c>
      <c r="B592" s="11" t="s">
        <v>898</v>
      </c>
      <c r="C592" s="23" t="s">
        <v>24</v>
      </c>
      <c r="D592" s="23" t="s">
        <v>27</v>
      </c>
      <c r="E592" s="11" t="s">
        <v>130</v>
      </c>
      <c r="F592" s="19" t="s">
        <v>161</v>
      </c>
      <c r="G592" s="19"/>
      <c r="H592" s="3" t="s">
        <v>523</v>
      </c>
      <c r="I592" s="3"/>
      <c r="J592" s="21" t="s">
        <v>2276</v>
      </c>
      <c r="K592" s="21" t="s">
        <v>2276</v>
      </c>
      <c r="L592" s="21" t="s">
        <v>2276</v>
      </c>
      <c r="M592" s="21" t="s">
        <v>2276</v>
      </c>
      <c r="N592" s="21" t="s">
        <v>2276</v>
      </c>
      <c r="O592" s="21" t="s">
        <v>2276</v>
      </c>
      <c r="P592" s="21" t="s">
        <v>2276</v>
      </c>
      <c r="Q592" s="21" t="s">
        <v>2276</v>
      </c>
      <c r="R592" s="21" t="s">
        <v>2276</v>
      </c>
      <c r="S592" s="21" t="s">
        <v>2276</v>
      </c>
      <c r="T592" s="21" t="s">
        <v>2276</v>
      </c>
      <c r="U592" s="21" t="s">
        <v>2276</v>
      </c>
      <c r="V592" s="21" t="s">
        <v>2276</v>
      </c>
      <c r="W592" s="21" t="s">
        <v>2276</v>
      </c>
      <c r="X592" s="21" t="s">
        <v>2276</v>
      </c>
      <c r="Y592" s="21" t="s">
        <v>2276</v>
      </c>
      <c r="Z592" s="3" t="s">
        <v>2276</v>
      </c>
      <c r="AA592" s="3" t="s">
        <v>2276</v>
      </c>
      <c r="AB592" s="3" t="s">
        <v>2276</v>
      </c>
      <c r="AC592" s="3"/>
      <c r="AD592" s="3" t="s">
        <v>718</v>
      </c>
    </row>
    <row r="593" spans="1:30" ht="75" customHeight="1">
      <c r="A593" s="11" t="s">
        <v>900</v>
      </c>
      <c r="B593" s="11" t="s">
        <v>903</v>
      </c>
      <c r="C593" s="23" t="s">
        <v>24</v>
      </c>
      <c r="D593" s="23" t="s">
        <v>27</v>
      </c>
      <c r="E593" s="11" t="s">
        <v>130</v>
      </c>
      <c r="F593" s="19" t="s">
        <v>161</v>
      </c>
      <c r="G593" s="19"/>
      <c r="H593" s="3" t="s">
        <v>523</v>
      </c>
      <c r="I593" s="3"/>
      <c r="J593" s="21" t="s">
        <v>2276</v>
      </c>
      <c r="K593" s="21" t="s">
        <v>2276</v>
      </c>
      <c r="L593" s="21" t="s">
        <v>2276</v>
      </c>
      <c r="M593" s="21" t="s">
        <v>2276</v>
      </c>
      <c r="N593" s="21" t="s">
        <v>2276</v>
      </c>
      <c r="O593" s="21" t="s">
        <v>2276</v>
      </c>
      <c r="P593" s="21" t="s">
        <v>2276</v>
      </c>
      <c r="Q593" s="21" t="s">
        <v>2276</v>
      </c>
      <c r="R593" s="21" t="s">
        <v>2276</v>
      </c>
      <c r="S593" s="21" t="s">
        <v>2276</v>
      </c>
      <c r="T593" s="21" t="s">
        <v>2276</v>
      </c>
      <c r="U593" s="21" t="s">
        <v>2276</v>
      </c>
      <c r="V593" s="21" t="s">
        <v>2276</v>
      </c>
      <c r="W593" s="21" t="s">
        <v>2276</v>
      </c>
      <c r="X593" s="21" t="s">
        <v>2276</v>
      </c>
      <c r="Y593" s="21" t="s">
        <v>2276</v>
      </c>
      <c r="Z593" s="3" t="s">
        <v>38</v>
      </c>
      <c r="AA593" s="3" t="s">
        <v>86</v>
      </c>
      <c r="AB593" s="3" t="s">
        <v>64</v>
      </c>
      <c r="AC593" s="3"/>
      <c r="AD593" s="4" t="s">
        <v>904</v>
      </c>
    </row>
    <row r="594" spans="1:30" ht="75" customHeight="1">
      <c r="A594" s="11" t="s">
        <v>905</v>
      </c>
      <c r="B594" s="11" t="s">
        <v>2209</v>
      </c>
      <c r="C594" s="23" t="s">
        <v>24</v>
      </c>
      <c r="D594" s="23" t="s">
        <v>27</v>
      </c>
      <c r="E594" s="11" t="s">
        <v>130</v>
      </c>
      <c r="F594" s="19" t="s">
        <v>161</v>
      </c>
      <c r="G594" s="19"/>
      <c r="H594" s="3" t="s">
        <v>523</v>
      </c>
      <c r="I594" s="3"/>
      <c r="J594" s="21" t="s">
        <v>2276</v>
      </c>
      <c r="K594" s="21" t="s">
        <v>2276</v>
      </c>
      <c r="L594" s="21" t="s">
        <v>2276</v>
      </c>
      <c r="M594" s="21" t="s">
        <v>2276</v>
      </c>
      <c r="N594" s="21" t="s">
        <v>2276</v>
      </c>
      <c r="O594" s="21" t="s">
        <v>2276</v>
      </c>
      <c r="P594" s="21" t="s">
        <v>2276</v>
      </c>
      <c r="Q594" s="21" t="s">
        <v>2276</v>
      </c>
      <c r="R594" s="21" t="s">
        <v>2276</v>
      </c>
      <c r="S594" s="21" t="s">
        <v>2276</v>
      </c>
      <c r="T594" s="21" t="s">
        <v>2276</v>
      </c>
      <c r="U594" s="21" t="s">
        <v>2276</v>
      </c>
      <c r="V594" s="21" t="s">
        <v>2276</v>
      </c>
      <c r="W594" s="21" t="s">
        <v>2276</v>
      </c>
      <c r="X594" s="21" t="s">
        <v>2276</v>
      </c>
      <c r="Y594" s="21" t="s">
        <v>2276</v>
      </c>
      <c r="Z594" s="3" t="s">
        <v>2276</v>
      </c>
      <c r="AA594" s="3" t="s">
        <v>2276</v>
      </c>
      <c r="AB594" s="3" t="s">
        <v>2276</v>
      </c>
      <c r="AC594" s="3"/>
      <c r="AD594" s="4"/>
    </row>
    <row r="595" spans="1:30" ht="75" customHeight="1">
      <c r="A595" s="11" t="s">
        <v>908</v>
      </c>
      <c r="B595" s="11" t="s">
        <v>923</v>
      </c>
      <c r="C595" s="23" t="s">
        <v>24</v>
      </c>
      <c r="D595" s="23" t="s">
        <v>27</v>
      </c>
      <c r="E595" s="11" t="s">
        <v>130</v>
      </c>
      <c r="F595" s="19" t="s">
        <v>161</v>
      </c>
      <c r="G595" s="19"/>
      <c r="H595" s="3" t="s">
        <v>523</v>
      </c>
      <c r="I595" s="3"/>
      <c r="J595" s="21" t="s">
        <v>2276</v>
      </c>
      <c r="K595" s="21" t="s">
        <v>2276</v>
      </c>
      <c r="L595" s="21" t="s">
        <v>2276</v>
      </c>
      <c r="M595" s="21" t="s">
        <v>2276</v>
      </c>
      <c r="N595" s="21" t="s">
        <v>2276</v>
      </c>
      <c r="O595" s="21" t="s">
        <v>2276</v>
      </c>
      <c r="P595" s="21" t="s">
        <v>2276</v>
      </c>
      <c r="Q595" s="21" t="s">
        <v>2276</v>
      </c>
      <c r="R595" s="21" t="s">
        <v>2276</v>
      </c>
      <c r="S595" s="21" t="s">
        <v>2276</v>
      </c>
      <c r="T595" s="21" t="s">
        <v>2276</v>
      </c>
      <c r="U595" s="21" t="s">
        <v>2276</v>
      </c>
      <c r="V595" s="21" t="s">
        <v>2276</v>
      </c>
      <c r="W595" s="21" t="s">
        <v>2276</v>
      </c>
      <c r="X595" s="21" t="s">
        <v>2276</v>
      </c>
      <c r="Y595" s="21" t="s">
        <v>2276</v>
      </c>
      <c r="Z595" s="3" t="s">
        <v>2276</v>
      </c>
      <c r="AA595" s="3" t="s">
        <v>2276</v>
      </c>
      <c r="AB595" s="3" t="s">
        <v>2276</v>
      </c>
      <c r="AC595" s="3"/>
      <c r="AD595" s="4"/>
    </row>
    <row r="596" spans="1:30" ht="75" customHeight="1">
      <c r="A596" s="11" t="s">
        <v>919</v>
      </c>
      <c r="B596" s="11" t="s">
        <v>924</v>
      </c>
      <c r="C596" s="23" t="s">
        <v>24</v>
      </c>
      <c r="D596" s="23" t="s">
        <v>27</v>
      </c>
      <c r="E596" s="11" t="s">
        <v>130</v>
      </c>
      <c r="F596" s="19" t="s">
        <v>161</v>
      </c>
      <c r="G596" s="19"/>
      <c r="H596" s="3" t="s">
        <v>523</v>
      </c>
      <c r="I596" s="3"/>
      <c r="J596" s="21" t="s">
        <v>2276</v>
      </c>
      <c r="K596" s="21" t="s">
        <v>2276</v>
      </c>
      <c r="L596" s="21" t="s">
        <v>2276</v>
      </c>
      <c r="M596" s="21" t="s">
        <v>2276</v>
      </c>
      <c r="N596" s="21" t="s">
        <v>2276</v>
      </c>
      <c r="O596" s="21" t="s">
        <v>2276</v>
      </c>
      <c r="P596" s="21" t="s">
        <v>2276</v>
      </c>
      <c r="Q596" s="21" t="s">
        <v>2276</v>
      </c>
      <c r="R596" s="21" t="s">
        <v>2276</v>
      </c>
      <c r="S596" s="21" t="s">
        <v>2276</v>
      </c>
      <c r="T596" s="21" t="s">
        <v>2276</v>
      </c>
      <c r="U596" s="21" t="s">
        <v>2276</v>
      </c>
      <c r="V596" s="21" t="s">
        <v>2276</v>
      </c>
      <c r="W596" s="21" t="s">
        <v>2276</v>
      </c>
      <c r="X596" s="21" t="s">
        <v>2276</v>
      </c>
      <c r="Y596" s="21" t="s">
        <v>2276</v>
      </c>
      <c r="Z596" s="3" t="s">
        <v>2276</v>
      </c>
      <c r="AA596" s="3" t="s">
        <v>2276</v>
      </c>
      <c r="AB596" s="3" t="s">
        <v>2276</v>
      </c>
      <c r="AC596" s="3"/>
      <c r="AD596" s="4"/>
    </row>
    <row r="597" spans="1:30" ht="75" customHeight="1">
      <c r="A597" s="11" t="s">
        <v>920</v>
      </c>
      <c r="B597" s="11" t="s">
        <v>925</v>
      </c>
      <c r="C597" s="23" t="s">
        <v>24</v>
      </c>
      <c r="D597" s="23" t="s">
        <v>27</v>
      </c>
      <c r="E597" s="11" t="s">
        <v>130</v>
      </c>
      <c r="F597" s="19" t="s">
        <v>161</v>
      </c>
      <c r="G597" s="19"/>
      <c r="H597" s="3" t="s">
        <v>523</v>
      </c>
      <c r="I597" s="3"/>
      <c r="J597" s="21" t="s">
        <v>2276</v>
      </c>
      <c r="K597" s="21" t="s">
        <v>2276</v>
      </c>
      <c r="L597" s="21" t="s">
        <v>2276</v>
      </c>
      <c r="M597" s="21" t="s">
        <v>2276</v>
      </c>
      <c r="N597" s="21" t="s">
        <v>2276</v>
      </c>
      <c r="O597" s="21" t="s">
        <v>2276</v>
      </c>
      <c r="P597" s="21" t="s">
        <v>2276</v>
      </c>
      <c r="Q597" s="21" t="s">
        <v>2276</v>
      </c>
      <c r="R597" s="21" t="s">
        <v>2276</v>
      </c>
      <c r="S597" s="21" t="s">
        <v>2276</v>
      </c>
      <c r="T597" s="21" t="s">
        <v>2276</v>
      </c>
      <c r="U597" s="21" t="s">
        <v>2276</v>
      </c>
      <c r="V597" s="21" t="s">
        <v>2276</v>
      </c>
      <c r="W597" s="21" t="s">
        <v>2276</v>
      </c>
      <c r="X597" s="21" t="s">
        <v>2276</v>
      </c>
      <c r="Y597" s="21" t="s">
        <v>2276</v>
      </c>
      <c r="Z597" s="3" t="s">
        <v>2276</v>
      </c>
      <c r="AA597" s="3" t="s">
        <v>2276</v>
      </c>
      <c r="AB597" s="3" t="s">
        <v>2276</v>
      </c>
      <c r="AC597" s="3"/>
      <c r="AD597" s="4"/>
    </row>
    <row r="598" spans="1:30" ht="75" customHeight="1">
      <c r="A598" s="11" t="s">
        <v>921</v>
      </c>
      <c r="B598" s="11" t="s">
        <v>926</v>
      </c>
      <c r="C598" s="23" t="s">
        <v>24</v>
      </c>
      <c r="D598" s="23" t="s">
        <v>27</v>
      </c>
      <c r="E598" s="11" t="s">
        <v>130</v>
      </c>
      <c r="F598" s="19" t="s">
        <v>161</v>
      </c>
      <c r="G598" s="19"/>
      <c r="H598" s="3" t="s">
        <v>523</v>
      </c>
      <c r="I598" s="3"/>
      <c r="J598" s="21" t="s">
        <v>2276</v>
      </c>
      <c r="K598" s="21" t="s">
        <v>2276</v>
      </c>
      <c r="L598" s="21" t="s">
        <v>2276</v>
      </c>
      <c r="M598" s="21" t="s">
        <v>2276</v>
      </c>
      <c r="N598" s="21" t="s">
        <v>2276</v>
      </c>
      <c r="O598" s="21" t="s">
        <v>2276</v>
      </c>
      <c r="P598" s="21" t="s">
        <v>2276</v>
      </c>
      <c r="Q598" s="21" t="s">
        <v>2276</v>
      </c>
      <c r="R598" s="21" t="s">
        <v>2276</v>
      </c>
      <c r="S598" s="21" t="s">
        <v>2276</v>
      </c>
      <c r="T598" s="21" t="s">
        <v>2276</v>
      </c>
      <c r="U598" s="21" t="s">
        <v>2276</v>
      </c>
      <c r="V598" s="21" t="s">
        <v>2276</v>
      </c>
      <c r="W598" s="21" t="s">
        <v>2276</v>
      </c>
      <c r="X598" s="21" t="s">
        <v>2276</v>
      </c>
      <c r="Y598" s="21" t="s">
        <v>2276</v>
      </c>
      <c r="Z598" s="3" t="s">
        <v>2276</v>
      </c>
      <c r="AA598" s="3" t="s">
        <v>2276</v>
      </c>
      <c r="AB598" s="3" t="s">
        <v>2276</v>
      </c>
      <c r="AC598" s="3"/>
      <c r="AD598" s="4"/>
    </row>
    <row r="599" spans="1:30" ht="151" customHeight="1">
      <c r="A599" s="3" t="s">
        <v>911</v>
      </c>
      <c r="B599" s="3" t="s">
        <v>914</v>
      </c>
      <c r="C599" s="3" t="s">
        <v>24</v>
      </c>
      <c r="D599" s="3" t="s">
        <v>25</v>
      </c>
      <c r="E599" s="3" t="s">
        <v>45</v>
      </c>
      <c r="F599" s="19" t="s">
        <v>29</v>
      </c>
      <c r="G599" s="19"/>
      <c r="H599" s="3" t="s">
        <v>523</v>
      </c>
      <c r="I599" s="3"/>
      <c r="J599" s="21" t="s">
        <v>2276</v>
      </c>
      <c r="K599" s="21" t="s">
        <v>2276</v>
      </c>
      <c r="L599" s="21" t="s">
        <v>2276</v>
      </c>
      <c r="M599" s="21" t="s">
        <v>2276</v>
      </c>
      <c r="N599" s="21" t="s">
        <v>2276</v>
      </c>
      <c r="O599" s="21" t="s">
        <v>2276</v>
      </c>
      <c r="P599" s="21" t="s">
        <v>2276</v>
      </c>
      <c r="Q599" s="21" t="s">
        <v>2276</v>
      </c>
      <c r="R599" s="21" t="s">
        <v>2276</v>
      </c>
      <c r="S599" s="21" t="s">
        <v>2276</v>
      </c>
      <c r="T599" s="21" t="s">
        <v>2276</v>
      </c>
      <c r="U599" s="21" t="s">
        <v>2276</v>
      </c>
      <c r="V599" s="21" t="s">
        <v>2276</v>
      </c>
      <c r="W599" s="21" t="s">
        <v>2276</v>
      </c>
      <c r="X599" s="21" t="s">
        <v>2276</v>
      </c>
      <c r="Y599" s="21" t="s">
        <v>2276</v>
      </c>
      <c r="Z599" s="3" t="s">
        <v>425</v>
      </c>
      <c r="AA599" s="3" t="s">
        <v>68</v>
      </c>
      <c r="AB599" s="3" t="s">
        <v>64</v>
      </c>
      <c r="AC599" s="4" t="s">
        <v>913</v>
      </c>
      <c r="AD599" s="3"/>
    </row>
    <row r="600" spans="1:30" ht="89.5" customHeight="1">
      <c r="A600" s="3" t="s">
        <v>911</v>
      </c>
      <c r="B600" s="3" t="s">
        <v>915</v>
      </c>
      <c r="C600" s="23" t="s">
        <v>24</v>
      </c>
      <c r="D600" s="23" t="s">
        <v>27</v>
      </c>
      <c r="E600" s="11" t="s">
        <v>130</v>
      </c>
      <c r="F600" s="19" t="s">
        <v>161</v>
      </c>
      <c r="G600" s="19"/>
      <c r="H600" s="3" t="s">
        <v>523</v>
      </c>
      <c r="I600" s="3"/>
      <c r="J600" s="21" t="s">
        <v>2276</v>
      </c>
      <c r="K600" s="21" t="s">
        <v>2276</v>
      </c>
      <c r="L600" s="21" t="s">
        <v>2276</v>
      </c>
      <c r="M600" s="21" t="s">
        <v>2276</v>
      </c>
      <c r="N600" s="21" t="s">
        <v>2276</v>
      </c>
      <c r="O600" s="21" t="s">
        <v>2276</v>
      </c>
      <c r="P600" s="21" t="s">
        <v>2276</v>
      </c>
      <c r="Q600" s="21" t="s">
        <v>2276</v>
      </c>
      <c r="R600" s="21" t="s">
        <v>2276</v>
      </c>
      <c r="S600" s="21" t="s">
        <v>2276</v>
      </c>
      <c r="T600" s="21" t="s">
        <v>2276</v>
      </c>
      <c r="U600" s="21" t="s">
        <v>2276</v>
      </c>
      <c r="V600" s="21" t="s">
        <v>2276</v>
      </c>
      <c r="W600" s="21" t="s">
        <v>2276</v>
      </c>
      <c r="X600" s="21" t="s">
        <v>2276</v>
      </c>
      <c r="Y600" s="21" t="s">
        <v>2276</v>
      </c>
      <c r="Z600" s="3" t="s">
        <v>425</v>
      </c>
      <c r="AA600" s="3" t="s">
        <v>68</v>
      </c>
      <c r="AB600" s="3" t="s">
        <v>64</v>
      </c>
      <c r="AC600" s="4" t="s">
        <v>5020</v>
      </c>
      <c r="AD600" s="3" t="s">
        <v>718</v>
      </c>
    </row>
    <row r="601" spans="1:30" ht="45.5" customHeight="1">
      <c r="A601" s="11" t="s">
        <v>911</v>
      </c>
      <c r="B601" s="11" t="s">
        <v>917</v>
      </c>
      <c r="C601" s="23" t="s">
        <v>24</v>
      </c>
      <c r="D601" s="23" t="s">
        <v>27</v>
      </c>
      <c r="E601" s="11" t="s">
        <v>130</v>
      </c>
      <c r="F601" s="19" t="s">
        <v>28</v>
      </c>
      <c r="G601" s="19"/>
      <c r="H601" s="3" t="s">
        <v>524</v>
      </c>
      <c r="I601" s="3"/>
      <c r="J601" s="21">
        <v>0</v>
      </c>
      <c r="K601" s="21">
        <v>0</v>
      </c>
      <c r="L601" s="21">
        <v>0</v>
      </c>
      <c r="M601" s="21">
        <v>0</v>
      </c>
      <c r="N601" s="21">
        <v>0</v>
      </c>
      <c r="O601" s="21">
        <v>0</v>
      </c>
      <c r="P601" s="21">
        <v>0</v>
      </c>
      <c r="Q601" s="21" t="s">
        <v>2276</v>
      </c>
      <c r="R601" s="21" t="s">
        <v>2276</v>
      </c>
      <c r="S601" s="21">
        <v>0</v>
      </c>
      <c r="T601" s="21">
        <v>0</v>
      </c>
      <c r="U601" s="21">
        <v>0</v>
      </c>
      <c r="V601" s="21">
        <v>0</v>
      </c>
      <c r="W601" s="21">
        <v>0</v>
      </c>
      <c r="X601" s="21">
        <v>0</v>
      </c>
      <c r="Y601" s="21" t="s">
        <v>2276</v>
      </c>
      <c r="Z601" s="3" t="s">
        <v>2276</v>
      </c>
      <c r="AA601" s="3" t="s">
        <v>2276</v>
      </c>
      <c r="AB601" s="3" t="s">
        <v>2276</v>
      </c>
      <c r="AC601" s="3"/>
      <c r="AD601" s="3"/>
    </row>
    <row r="602" spans="1:30" ht="41.5" customHeight="1">
      <c r="A602" s="11" t="s">
        <v>911</v>
      </c>
      <c r="B602" s="11" t="s">
        <v>918</v>
      </c>
      <c r="C602" s="23" t="s">
        <v>24</v>
      </c>
      <c r="D602" s="23" t="s">
        <v>61</v>
      </c>
      <c r="E602" s="26" t="s">
        <v>2650</v>
      </c>
      <c r="F602" s="19" t="s">
        <v>161</v>
      </c>
      <c r="G602" s="19"/>
      <c r="H602" s="3" t="s">
        <v>524</v>
      </c>
      <c r="I602" s="3"/>
      <c r="J602" s="21">
        <v>0</v>
      </c>
      <c r="K602" s="21">
        <v>0</v>
      </c>
      <c r="L602" s="21">
        <v>0</v>
      </c>
      <c r="M602" s="21">
        <v>0</v>
      </c>
      <c r="N602" s="21">
        <v>0</v>
      </c>
      <c r="O602" s="21">
        <v>0</v>
      </c>
      <c r="P602" s="21">
        <v>0</v>
      </c>
      <c r="Q602" s="21" t="s">
        <v>2276</v>
      </c>
      <c r="R602" s="21" t="s">
        <v>2276</v>
      </c>
      <c r="S602" s="21">
        <v>0</v>
      </c>
      <c r="T602" s="21">
        <v>0</v>
      </c>
      <c r="U602" s="21">
        <v>0</v>
      </c>
      <c r="V602" s="21">
        <v>0</v>
      </c>
      <c r="W602" s="21">
        <v>0</v>
      </c>
      <c r="X602" s="21">
        <v>0</v>
      </c>
      <c r="Y602" s="21" t="s">
        <v>2276</v>
      </c>
      <c r="Z602" s="3" t="s">
        <v>2276</v>
      </c>
      <c r="AA602" s="3" t="s">
        <v>2276</v>
      </c>
      <c r="AB602" s="3" t="s">
        <v>2276</v>
      </c>
      <c r="AC602" s="3"/>
      <c r="AD602" s="3"/>
    </row>
    <row r="603" spans="1:30" ht="41.5" customHeight="1">
      <c r="A603" s="11" t="s">
        <v>933</v>
      </c>
      <c r="B603" s="11" t="s">
        <v>5060</v>
      </c>
      <c r="C603" s="23" t="s">
        <v>24</v>
      </c>
      <c r="D603" s="23" t="s">
        <v>2804</v>
      </c>
      <c r="E603" s="26" t="s">
        <v>5005</v>
      </c>
      <c r="F603" s="19" t="s">
        <v>2662</v>
      </c>
      <c r="G603" s="19" t="s">
        <v>2662</v>
      </c>
      <c r="H603" s="3" t="s">
        <v>523</v>
      </c>
      <c r="I603" s="3">
        <v>1973</v>
      </c>
      <c r="J603" s="21" t="s">
        <v>2276</v>
      </c>
      <c r="K603" s="21" t="s">
        <v>2276</v>
      </c>
      <c r="L603" s="21" t="s">
        <v>2276</v>
      </c>
      <c r="M603" s="21" t="s">
        <v>2276</v>
      </c>
      <c r="N603" s="21" t="s">
        <v>2276</v>
      </c>
      <c r="O603" s="21" t="s">
        <v>2276</v>
      </c>
      <c r="P603" s="21" t="s">
        <v>2276</v>
      </c>
      <c r="Q603" s="21" t="s">
        <v>2276</v>
      </c>
      <c r="R603" s="21" t="s">
        <v>2276</v>
      </c>
      <c r="S603" s="21" t="s">
        <v>2276</v>
      </c>
      <c r="T603" s="21" t="s">
        <v>2276</v>
      </c>
      <c r="U603" s="21" t="s">
        <v>2276</v>
      </c>
      <c r="V603" s="21" t="s">
        <v>2276</v>
      </c>
      <c r="W603" s="21" t="s">
        <v>2276</v>
      </c>
      <c r="X603" s="21" t="s">
        <v>2276</v>
      </c>
      <c r="Y603" s="21" t="s">
        <v>2276</v>
      </c>
      <c r="Z603" s="3" t="s">
        <v>127</v>
      </c>
      <c r="AA603" s="3" t="s">
        <v>38</v>
      </c>
      <c r="AB603" s="3" t="s">
        <v>2655</v>
      </c>
      <c r="AC603" s="4" t="s">
        <v>5069</v>
      </c>
      <c r="AD603" s="4" t="s">
        <v>5077</v>
      </c>
    </row>
    <row r="604" spans="1:30" ht="41.5" customHeight="1">
      <c r="A604" s="11" t="s">
        <v>933</v>
      </c>
      <c r="B604" s="11" t="s">
        <v>5061</v>
      </c>
      <c r="C604" s="23" t="s">
        <v>24</v>
      </c>
      <c r="D604" s="23" t="s">
        <v>2804</v>
      </c>
      <c r="E604" s="26" t="s">
        <v>5005</v>
      </c>
      <c r="F604" s="19" t="s">
        <v>2662</v>
      </c>
      <c r="G604" s="19" t="s">
        <v>2662</v>
      </c>
      <c r="H604" s="3" t="s">
        <v>523</v>
      </c>
      <c r="I604" s="3">
        <v>1984</v>
      </c>
      <c r="J604" s="21" t="s">
        <v>2276</v>
      </c>
      <c r="K604" s="21" t="s">
        <v>2276</v>
      </c>
      <c r="L604" s="21" t="s">
        <v>2276</v>
      </c>
      <c r="M604" s="21" t="s">
        <v>2276</v>
      </c>
      <c r="N604" s="21" t="s">
        <v>2276</v>
      </c>
      <c r="O604" s="21" t="s">
        <v>2276</v>
      </c>
      <c r="P604" s="21" t="s">
        <v>2276</v>
      </c>
      <c r="Q604" s="21" t="s">
        <v>2276</v>
      </c>
      <c r="R604" s="21" t="s">
        <v>2276</v>
      </c>
      <c r="S604" s="21" t="s">
        <v>2276</v>
      </c>
      <c r="T604" s="21" t="s">
        <v>2276</v>
      </c>
      <c r="U604" s="21" t="s">
        <v>2276</v>
      </c>
      <c r="V604" s="21" t="s">
        <v>2276</v>
      </c>
      <c r="W604" s="21" t="s">
        <v>2276</v>
      </c>
      <c r="X604" s="21" t="s">
        <v>2276</v>
      </c>
      <c r="Y604" s="21" t="s">
        <v>2276</v>
      </c>
      <c r="Z604" s="3" t="s">
        <v>127</v>
      </c>
      <c r="AA604" s="3" t="s">
        <v>38</v>
      </c>
      <c r="AB604" s="3" t="s">
        <v>2655</v>
      </c>
      <c r="AC604" s="4" t="s">
        <v>5069</v>
      </c>
      <c r="AD604" s="4" t="s">
        <v>5077</v>
      </c>
    </row>
    <row r="605" spans="1:30" ht="41.5" customHeight="1">
      <c r="A605" s="11" t="s">
        <v>933</v>
      </c>
      <c r="B605" s="11" t="s">
        <v>5062</v>
      </c>
      <c r="C605" s="23" t="s">
        <v>24</v>
      </c>
      <c r="D605" s="23" t="s">
        <v>2804</v>
      </c>
      <c r="E605" s="26" t="s">
        <v>5005</v>
      </c>
      <c r="F605" s="19" t="s">
        <v>2662</v>
      </c>
      <c r="G605" s="19" t="s">
        <v>2662</v>
      </c>
      <c r="H605" s="3" t="s">
        <v>523</v>
      </c>
      <c r="I605" s="3">
        <v>1987</v>
      </c>
      <c r="J605" s="21" t="s">
        <v>2276</v>
      </c>
      <c r="K605" s="21" t="s">
        <v>2276</v>
      </c>
      <c r="L605" s="21" t="s">
        <v>2276</v>
      </c>
      <c r="M605" s="21" t="s">
        <v>2276</v>
      </c>
      <c r="N605" s="21" t="s">
        <v>2276</v>
      </c>
      <c r="O605" s="21" t="s">
        <v>2276</v>
      </c>
      <c r="P605" s="21" t="s">
        <v>2276</v>
      </c>
      <c r="Q605" s="21" t="s">
        <v>2276</v>
      </c>
      <c r="R605" s="21" t="s">
        <v>2276</v>
      </c>
      <c r="S605" s="21" t="s">
        <v>2276</v>
      </c>
      <c r="T605" s="21" t="s">
        <v>2276</v>
      </c>
      <c r="U605" s="21" t="s">
        <v>2276</v>
      </c>
      <c r="V605" s="21" t="s">
        <v>2276</v>
      </c>
      <c r="W605" s="21" t="s">
        <v>2276</v>
      </c>
      <c r="X605" s="21" t="s">
        <v>2276</v>
      </c>
      <c r="Y605" s="21" t="s">
        <v>2276</v>
      </c>
      <c r="Z605" s="3" t="s">
        <v>127</v>
      </c>
      <c r="AA605" s="3" t="s">
        <v>38</v>
      </c>
      <c r="AB605" s="3" t="s">
        <v>2655</v>
      </c>
      <c r="AC605" s="4" t="s">
        <v>5069</v>
      </c>
      <c r="AD605" s="4" t="s">
        <v>5077</v>
      </c>
    </row>
    <row r="606" spans="1:30" ht="41.5" customHeight="1">
      <c r="A606" s="11" t="s">
        <v>933</v>
      </c>
      <c r="B606" s="11" t="s">
        <v>5063</v>
      </c>
      <c r="C606" s="23" t="s">
        <v>24</v>
      </c>
      <c r="D606" s="23" t="s">
        <v>2804</v>
      </c>
      <c r="E606" s="26" t="s">
        <v>5005</v>
      </c>
      <c r="F606" s="19" t="s">
        <v>2662</v>
      </c>
      <c r="G606" s="19" t="s">
        <v>2662</v>
      </c>
      <c r="H606" s="3" t="s">
        <v>523</v>
      </c>
      <c r="I606" s="3">
        <v>2000</v>
      </c>
      <c r="J606" s="21" t="s">
        <v>2276</v>
      </c>
      <c r="K606" s="21" t="s">
        <v>2276</v>
      </c>
      <c r="L606" s="21" t="s">
        <v>2276</v>
      </c>
      <c r="M606" s="21" t="s">
        <v>2276</v>
      </c>
      <c r="N606" s="21" t="s">
        <v>2276</v>
      </c>
      <c r="O606" s="21" t="s">
        <v>2276</v>
      </c>
      <c r="P606" s="21" t="s">
        <v>2276</v>
      </c>
      <c r="Q606" s="21" t="s">
        <v>2276</v>
      </c>
      <c r="R606" s="21" t="s">
        <v>2276</v>
      </c>
      <c r="S606" s="21" t="s">
        <v>2276</v>
      </c>
      <c r="T606" s="21" t="s">
        <v>2276</v>
      </c>
      <c r="U606" s="21" t="s">
        <v>2276</v>
      </c>
      <c r="V606" s="21" t="s">
        <v>2276</v>
      </c>
      <c r="W606" s="21" t="s">
        <v>2276</v>
      </c>
      <c r="X606" s="21" t="s">
        <v>2276</v>
      </c>
      <c r="Y606" s="21" t="s">
        <v>2276</v>
      </c>
      <c r="Z606" s="3" t="s">
        <v>127</v>
      </c>
      <c r="AA606" s="3" t="s">
        <v>38</v>
      </c>
      <c r="AB606" s="3" t="s">
        <v>2655</v>
      </c>
      <c r="AC606" s="4" t="s">
        <v>5069</v>
      </c>
      <c r="AD606" s="4" t="s">
        <v>5077</v>
      </c>
    </row>
    <row r="607" spans="1:30" ht="41.5" customHeight="1">
      <c r="A607" s="11" t="s">
        <v>933</v>
      </c>
      <c r="B607" s="11" t="s">
        <v>5064</v>
      </c>
      <c r="C607" s="23" t="s">
        <v>24</v>
      </c>
      <c r="D607" s="23" t="s">
        <v>2804</v>
      </c>
      <c r="E607" s="26" t="s">
        <v>5005</v>
      </c>
      <c r="F607" s="19" t="s">
        <v>2662</v>
      </c>
      <c r="G607" s="19" t="s">
        <v>2662</v>
      </c>
      <c r="H607" s="3" t="s">
        <v>523</v>
      </c>
      <c r="I607" s="3">
        <v>2008</v>
      </c>
      <c r="J607" s="21" t="s">
        <v>2276</v>
      </c>
      <c r="K607" s="21" t="s">
        <v>2276</v>
      </c>
      <c r="L607" s="21" t="s">
        <v>2276</v>
      </c>
      <c r="M607" s="21" t="s">
        <v>2276</v>
      </c>
      <c r="N607" s="21" t="s">
        <v>2276</v>
      </c>
      <c r="O607" s="21" t="s">
        <v>2276</v>
      </c>
      <c r="P607" s="21" t="s">
        <v>2276</v>
      </c>
      <c r="Q607" s="21" t="s">
        <v>2276</v>
      </c>
      <c r="R607" s="21" t="s">
        <v>2276</v>
      </c>
      <c r="S607" s="21" t="s">
        <v>2276</v>
      </c>
      <c r="T607" s="21" t="s">
        <v>2276</v>
      </c>
      <c r="U607" s="21" t="s">
        <v>2276</v>
      </c>
      <c r="V607" s="21" t="s">
        <v>2276</v>
      </c>
      <c r="W607" s="21" t="s">
        <v>2276</v>
      </c>
      <c r="X607" s="21" t="s">
        <v>2276</v>
      </c>
      <c r="Y607" s="21" t="s">
        <v>2276</v>
      </c>
      <c r="Z607" s="3" t="s">
        <v>127</v>
      </c>
      <c r="AA607" s="3" t="s">
        <v>38</v>
      </c>
      <c r="AB607" s="3" t="s">
        <v>2655</v>
      </c>
      <c r="AC607" s="4" t="s">
        <v>5069</v>
      </c>
      <c r="AD607" s="4" t="s">
        <v>5077</v>
      </c>
    </row>
    <row r="608" spans="1:30" ht="41.5" customHeight="1">
      <c r="A608" s="11" t="s">
        <v>933</v>
      </c>
      <c r="B608" s="11" t="s">
        <v>5065</v>
      </c>
      <c r="C608" s="23" t="s">
        <v>24</v>
      </c>
      <c r="D608" s="23" t="s">
        <v>2804</v>
      </c>
      <c r="E608" s="26" t="s">
        <v>5005</v>
      </c>
      <c r="F608" s="19" t="s">
        <v>2662</v>
      </c>
      <c r="G608" s="19" t="s">
        <v>2662</v>
      </c>
      <c r="H608" s="3" t="s">
        <v>523</v>
      </c>
      <c r="I608" s="3">
        <v>2011</v>
      </c>
      <c r="J608" s="21" t="s">
        <v>2276</v>
      </c>
      <c r="K608" s="21" t="s">
        <v>2276</v>
      </c>
      <c r="L608" s="21" t="s">
        <v>2276</v>
      </c>
      <c r="M608" s="21" t="s">
        <v>2276</v>
      </c>
      <c r="N608" s="21" t="s">
        <v>2276</v>
      </c>
      <c r="O608" s="21" t="s">
        <v>2276</v>
      </c>
      <c r="P608" s="21" t="s">
        <v>2276</v>
      </c>
      <c r="Q608" s="21" t="s">
        <v>2276</v>
      </c>
      <c r="R608" s="21" t="s">
        <v>2276</v>
      </c>
      <c r="S608" s="21" t="s">
        <v>2276</v>
      </c>
      <c r="T608" s="21" t="s">
        <v>2276</v>
      </c>
      <c r="U608" s="21" t="s">
        <v>2276</v>
      </c>
      <c r="V608" s="21" t="s">
        <v>2276</v>
      </c>
      <c r="W608" s="21" t="s">
        <v>2276</v>
      </c>
      <c r="X608" s="21" t="s">
        <v>2276</v>
      </c>
      <c r="Y608" s="21" t="s">
        <v>2276</v>
      </c>
      <c r="Z608" s="3" t="s">
        <v>127</v>
      </c>
      <c r="AA608" s="3" t="s">
        <v>38</v>
      </c>
      <c r="AB608" s="3" t="s">
        <v>2655</v>
      </c>
      <c r="AC608" s="4" t="s">
        <v>5069</v>
      </c>
      <c r="AD608" s="4" t="s">
        <v>5077</v>
      </c>
    </row>
    <row r="609" spans="1:30" ht="41.5" customHeight="1">
      <c r="A609" s="11" t="s">
        <v>933</v>
      </c>
      <c r="B609" s="11" t="s">
        <v>5066</v>
      </c>
      <c r="C609" s="23" t="s">
        <v>24</v>
      </c>
      <c r="D609" s="23" t="s">
        <v>2804</v>
      </c>
      <c r="E609" s="26" t="s">
        <v>5005</v>
      </c>
      <c r="F609" s="19" t="s">
        <v>2662</v>
      </c>
      <c r="G609" s="19" t="s">
        <v>2662</v>
      </c>
      <c r="H609" s="3" t="s">
        <v>523</v>
      </c>
      <c r="I609" s="3">
        <v>2017</v>
      </c>
      <c r="J609" s="21" t="s">
        <v>2276</v>
      </c>
      <c r="K609" s="21" t="s">
        <v>2276</v>
      </c>
      <c r="L609" s="21" t="s">
        <v>2276</v>
      </c>
      <c r="M609" s="21" t="s">
        <v>2276</v>
      </c>
      <c r="N609" s="21" t="s">
        <v>2276</v>
      </c>
      <c r="O609" s="21" t="s">
        <v>2276</v>
      </c>
      <c r="P609" s="21" t="s">
        <v>2276</v>
      </c>
      <c r="Q609" s="21" t="s">
        <v>2276</v>
      </c>
      <c r="R609" s="21" t="s">
        <v>2276</v>
      </c>
      <c r="S609" s="21" t="s">
        <v>2276</v>
      </c>
      <c r="T609" s="21" t="s">
        <v>2276</v>
      </c>
      <c r="U609" s="21" t="s">
        <v>2276</v>
      </c>
      <c r="V609" s="21" t="s">
        <v>2276</v>
      </c>
      <c r="W609" s="21" t="s">
        <v>2276</v>
      </c>
      <c r="X609" s="21" t="s">
        <v>2276</v>
      </c>
      <c r="Y609" s="21" t="s">
        <v>2276</v>
      </c>
      <c r="Z609" s="3" t="s">
        <v>127</v>
      </c>
      <c r="AA609" s="3" t="s">
        <v>38</v>
      </c>
      <c r="AB609" s="3" t="s">
        <v>2655</v>
      </c>
      <c r="AC609" s="4" t="s">
        <v>5069</v>
      </c>
      <c r="AD609" s="4" t="s">
        <v>5077</v>
      </c>
    </row>
    <row r="610" spans="1:30" ht="41.5" customHeight="1">
      <c r="A610" s="11" t="s">
        <v>933</v>
      </c>
      <c r="B610" s="11" t="s">
        <v>5067</v>
      </c>
      <c r="C610" s="23" t="s">
        <v>24</v>
      </c>
      <c r="D610" s="23" t="s">
        <v>2346</v>
      </c>
      <c r="E610" s="26" t="s">
        <v>5005</v>
      </c>
      <c r="F610" s="19" t="s">
        <v>2662</v>
      </c>
      <c r="G610" s="19" t="s">
        <v>2662</v>
      </c>
      <c r="H610" s="3" t="s">
        <v>523</v>
      </c>
      <c r="I610" s="3">
        <v>2017</v>
      </c>
      <c r="J610" s="21" t="s">
        <v>2276</v>
      </c>
      <c r="K610" s="21" t="s">
        <v>2276</v>
      </c>
      <c r="L610" s="21" t="s">
        <v>2276</v>
      </c>
      <c r="M610" s="21" t="s">
        <v>2276</v>
      </c>
      <c r="N610" s="21" t="s">
        <v>2276</v>
      </c>
      <c r="O610" s="21" t="s">
        <v>2276</v>
      </c>
      <c r="P610" s="21" t="s">
        <v>2276</v>
      </c>
      <c r="Q610" s="21" t="s">
        <v>2276</v>
      </c>
      <c r="R610" s="21" t="s">
        <v>2276</v>
      </c>
      <c r="S610" s="21" t="s">
        <v>2276</v>
      </c>
      <c r="T610" s="21" t="s">
        <v>2276</v>
      </c>
      <c r="U610" s="21" t="s">
        <v>2276</v>
      </c>
      <c r="V610" s="21" t="s">
        <v>2276</v>
      </c>
      <c r="W610" s="21" t="s">
        <v>2276</v>
      </c>
      <c r="X610" s="21" t="s">
        <v>2276</v>
      </c>
      <c r="Y610" s="21" t="s">
        <v>2276</v>
      </c>
      <c r="Z610" s="103" t="s">
        <v>2276</v>
      </c>
      <c r="AA610" s="103" t="s">
        <v>2276</v>
      </c>
      <c r="AB610" s="103" t="s">
        <v>2276</v>
      </c>
      <c r="AC610" s="4" t="s">
        <v>5078</v>
      </c>
      <c r="AD610" s="103" t="s">
        <v>2276</v>
      </c>
    </row>
    <row r="611" spans="1:30" ht="41.5" customHeight="1">
      <c r="A611" s="11" t="s">
        <v>5059</v>
      </c>
      <c r="B611" s="11" t="s">
        <v>5068</v>
      </c>
      <c r="C611" s="23" t="s">
        <v>24</v>
      </c>
      <c r="D611" s="23" t="s">
        <v>2804</v>
      </c>
      <c r="E611" s="26" t="s">
        <v>5005</v>
      </c>
      <c r="F611" s="19" t="s">
        <v>2662</v>
      </c>
      <c r="G611" s="19" t="s">
        <v>2662</v>
      </c>
      <c r="H611" s="3" t="s">
        <v>523</v>
      </c>
      <c r="I611" s="3">
        <v>1973</v>
      </c>
      <c r="J611" s="21" t="s">
        <v>2276</v>
      </c>
      <c r="K611" s="21" t="s">
        <v>2276</v>
      </c>
      <c r="L611" s="21" t="s">
        <v>2276</v>
      </c>
      <c r="M611" s="21" t="s">
        <v>2276</v>
      </c>
      <c r="N611" s="21" t="s">
        <v>2276</v>
      </c>
      <c r="O611" s="21" t="s">
        <v>2276</v>
      </c>
      <c r="P611" s="21" t="s">
        <v>2276</v>
      </c>
      <c r="Q611" s="21" t="s">
        <v>2276</v>
      </c>
      <c r="R611" s="21" t="s">
        <v>2276</v>
      </c>
      <c r="S611" s="21" t="s">
        <v>2276</v>
      </c>
      <c r="T611" s="21" t="s">
        <v>2276</v>
      </c>
      <c r="U611" s="21" t="s">
        <v>2276</v>
      </c>
      <c r="V611" s="21" t="s">
        <v>2276</v>
      </c>
      <c r="W611" s="21" t="s">
        <v>2276</v>
      </c>
      <c r="X611" s="21" t="s">
        <v>2276</v>
      </c>
      <c r="Y611" s="21" t="s">
        <v>2276</v>
      </c>
      <c r="Z611" s="3" t="s">
        <v>127</v>
      </c>
      <c r="AA611" s="3" t="s">
        <v>38</v>
      </c>
      <c r="AB611" s="3" t="s">
        <v>2655</v>
      </c>
      <c r="AC611" s="4" t="s">
        <v>5069</v>
      </c>
      <c r="AD611" s="4" t="s">
        <v>5077</v>
      </c>
    </row>
    <row r="612" spans="1:30" ht="41.5" customHeight="1">
      <c r="A612" s="11" t="s">
        <v>5059</v>
      </c>
      <c r="B612" s="11" t="s">
        <v>5070</v>
      </c>
      <c r="C612" s="23" t="s">
        <v>24</v>
      </c>
      <c r="D612" s="23" t="s">
        <v>2804</v>
      </c>
      <c r="E612" s="26" t="s">
        <v>5005</v>
      </c>
      <c r="F612" s="19" t="s">
        <v>2662</v>
      </c>
      <c r="G612" s="19" t="s">
        <v>2662</v>
      </c>
      <c r="H612" s="3" t="s">
        <v>523</v>
      </c>
      <c r="I612" s="3">
        <v>1984</v>
      </c>
      <c r="J612" s="21" t="s">
        <v>2276</v>
      </c>
      <c r="K612" s="21" t="s">
        <v>2276</v>
      </c>
      <c r="L612" s="21" t="s">
        <v>2276</v>
      </c>
      <c r="M612" s="21" t="s">
        <v>2276</v>
      </c>
      <c r="N612" s="21" t="s">
        <v>2276</v>
      </c>
      <c r="O612" s="21" t="s">
        <v>2276</v>
      </c>
      <c r="P612" s="21" t="s">
        <v>2276</v>
      </c>
      <c r="Q612" s="21" t="s">
        <v>2276</v>
      </c>
      <c r="R612" s="21" t="s">
        <v>2276</v>
      </c>
      <c r="S612" s="21" t="s">
        <v>2276</v>
      </c>
      <c r="T612" s="21" t="s">
        <v>2276</v>
      </c>
      <c r="U612" s="21" t="s">
        <v>2276</v>
      </c>
      <c r="V612" s="21" t="s">
        <v>2276</v>
      </c>
      <c r="W612" s="21" t="s">
        <v>2276</v>
      </c>
      <c r="X612" s="21" t="s">
        <v>2276</v>
      </c>
      <c r="Y612" s="21" t="s">
        <v>2276</v>
      </c>
      <c r="Z612" s="3" t="s">
        <v>127</v>
      </c>
      <c r="AA612" s="3" t="s">
        <v>38</v>
      </c>
      <c r="AB612" s="3" t="s">
        <v>2655</v>
      </c>
      <c r="AC612" s="4" t="s">
        <v>5069</v>
      </c>
      <c r="AD612" s="4" t="s">
        <v>5077</v>
      </c>
    </row>
    <row r="613" spans="1:30" ht="41.5" customHeight="1">
      <c r="A613" s="11" t="s">
        <v>5059</v>
      </c>
      <c r="B613" s="11" t="s">
        <v>5071</v>
      </c>
      <c r="C613" s="23" t="s">
        <v>24</v>
      </c>
      <c r="D613" s="23" t="s">
        <v>2804</v>
      </c>
      <c r="E613" s="26" t="s">
        <v>5005</v>
      </c>
      <c r="F613" s="19" t="s">
        <v>2662</v>
      </c>
      <c r="G613" s="19" t="s">
        <v>2662</v>
      </c>
      <c r="H613" s="3" t="s">
        <v>523</v>
      </c>
      <c r="I613" s="3">
        <v>1987</v>
      </c>
      <c r="J613" s="21" t="s">
        <v>2276</v>
      </c>
      <c r="K613" s="21" t="s">
        <v>2276</v>
      </c>
      <c r="L613" s="21" t="s">
        <v>2276</v>
      </c>
      <c r="M613" s="21" t="s">
        <v>2276</v>
      </c>
      <c r="N613" s="21" t="s">
        <v>2276</v>
      </c>
      <c r="O613" s="21" t="s">
        <v>2276</v>
      </c>
      <c r="P613" s="21" t="s">
        <v>2276</v>
      </c>
      <c r="Q613" s="21" t="s">
        <v>2276</v>
      </c>
      <c r="R613" s="21" t="s">
        <v>2276</v>
      </c>
      <c r="S613" s="21" t="s">
        <v>2276</v>
      </c>
      <c r="T613" s="21" t="s">
        <v>2276</v>
      </c>
      <c r="U613" s="21" t="s">
        <v>2276</v>
      </c>
      <c r="V613" s="21" t="s">
        <v>2276</v>
      </c>
      <c r="W613" s="21" t="s">
        <v>2276</v>
      </c>
      <c r="X613" s="21" t="s">
        <v>2276</v>
      </c>
      <c r="Y613" s="21" t="s">
        <v>2276</v>
      </c>
      <c r="Z613" s="3" t="s">
        <v>127</v>
      </c>
      <c r="AA613" s="3" t="s">
        <v>38</v>
      </c>
      <c r="AB613" s="3" t="s">
        <v>2655</v>
      </c>
      <c r="AC613" s="4" t="s">
        <v>5069</v>
      </c>
      <c r="AD613" s="4" t="s">
        <v>5077</v>
      </c>
    </row>
    <row r="614" spans="1:30" ht="41.5" customHeight="1">
      <c r="A614" s="11" t="s">
        <v>5059</v>
      </c>
      <c r="B614" s="11" t="s">
        <v>5072</v>
      </c>
      <c r="C614" s="23" t="s">
        <v>24</v>
      </c>
      <c r="D614" s="23" t="s">
        <v>2804</v>
      </c>
      <c r="E614" s="26" t="s">
        <v>5005</v>
      </c>
      <c r="F614" s="19" t="s">
        <v>2662</v>
      </c>
      <c r="G614" s="19" t="s">
        <v>2662</v>
      </c>
      <c r="H614" s="3" t="s">
        <v>523</v>
      </c>
      <c r="I614" s="3">
        <v>2000</v>
      </c>
      <c r="J614" s="21" t="s">
        <v>2276</v>
      </c>
      <c r="K614" s="21" t="s">
        <v>2276</v>
      </c>
      <c r="L614" s="21" t="s">
        <v>2276</v>
      </c>
      <c r="M614" s="21" t="s">
        <v>2276</v>
      </c>
      <c r="N614" s="21" t="s">
        <v>2276</v>
      </c>
      <c r="O614" s="21" t="s">
        <v>2276</v>
      </c>
      <c r="P614" s="21" t="s">
        <v>2276</v>
      </c>
      <c r="Q614" s="21" t="s">
        <v>2276</v>
      </c>
      <c r="R614" s="21" t="s">
        <v>2276</v>
      </c>
      <c r="S614" s="21" t="s">
        <v>2276</v>
      </c>
      <c r="T614" s="21" t="s">
        <v>2276</v>
      </c>
      <c r="U614" s="21" t="s">
        <v>2276</v>
      </c>
      <c r="V614" s="21" t="s">
        <v>2276</v>
      </c>
      <c r="W614" s="21" t="s">
        <v>2276</v>
      </c>
      <c r="X614" s="21" t="s">
        <v>2276</v>
      </c>
      <c r="Y614" s="21" t="s">
        <v>2276</v>
      </c>
      <c r="Z614" s="3" t="s">
        <v>127</v>
      </c>
      <c r="AA614" s="3" t="s">
        <v>38</v>
      </c>
      <c r="AB614" s="3" t="s">
        <v>2655</v>
      </c>
      <c r="AC614" s="4" t="s">
        <v>5069</v>
      </c>
      <c r="AD614" s="4" t="s">
        <v>5077</v>
      </c>
    </row>
    <row r="615" spans="1:30" ht="41.5" customHeight="1">
      <c r="A615" s="11" t="s">
        <v>5059</v>
      </c>
      <c r="B615" s="11" t="s">
        <v>5073</v>
      </c>
      <c r="C615" s="23" t="s">
        <v>24</v>
      </c>
      <c r="D615" s="23" t="s">
        <v>2804</v>
      </c>
      <c r="E615" s="26" t="s">
        <v>5005</v>
      </c>
      <c r="F615" s="19" t="s">
        <v>2662</v>
      </c>
      <c r="G615" s="19" t="s">
        <v>2662</v>
      </c>
      <c r="H615" s="3" t="s">
        <v>523</v>
      </c>
      <c r="I615" s="3">
        <v>2008</v>
      </c>
      <c r="J615" s="21" t="s">
        <v>2276</v>
      </c>
      <c r="K615" s="21" t="s">
        <v>2276</v>
      </c>
      <c r="L615" s="21" t="s">
        <v>2276</v>
      </c>
      <c r="M615" s="21" t="s">
        <v>2276</v>
      </c>
      <c r="N615" s="21" t="s">
        <v>2276</v>
      </c>
      <c r="O615" s="21" t="s">
        <v>2276</v>
      </c>
      <c r="P615" s="21" t="s">
        <v>2276</v>
      </c>
      <c r="Q615" s="21" t="s">
        <v>2276</v>
      </c>
      <c r="R615" s="21" t="s">
        <v>2276</v>
      </c>
      <c r="S615" s="21" t="s">
        <v>2276</v>
      </c>
      <c r="T615" s="21" t="s">
        <v>2276</v>
      </c>
      <c r="U615" s="21" t="s">
        <v>2276</v>
      </c>
      <c r="V615" s="21" t="s">
        <v>2276</v>
      </c>
      <c r="W615" s="21" t="s">
        <v>2276</v>
      </c>
      <c r="X615" s="21" t="s">
        <v>2276</v>
      </c>
      <c r="Y615" s="21" t="s">
        <v>2276</v>
      </c>
      <c r="Z615" s="3" t="s">
        <v>127</v>
      </c>
      <c r="AA615" s="3" t="s">
        <v>38</v>
      </c>
      <c r="AB615" s="3" t="s">
        <v>2655</v>
      </c>
      <c r="AC615" s="4" t="s">
        <v>5069</v>
      </c>
      <c r="AD615" s="4" t="s">
        <v>5077</v>
      </c>
    </row>
    <row r="616" spans="1:30" ht="41.5" customHeight="1">
      <c r="A616" s="11" t="s">
        <v>5059</v>
      </c>
      <c r="B616" s="11" t="s">
        <v>5074</v>
      </c>
      <c r="C616" s="23" t="s">
        <v>24</v>
      </c>
      <c r="D616" s="23" t="s">
        <v>2804</v>
      </c>
      <c r="E616" s="26" t="s">
        <v>5005</v>
      </c>
      <c r="F616" s="19" t="s">
        <v>2662</v>
      </c>
      <c r="G616" s="19" t="s">
        <v>2662</v>
      </c>
      <c r="H616" s="3" t="s">
        <v>523</v>
      </c>
      <c r="I616" s="3">
        <v>2011</v>
      </c>
      <c r="J616" s="21" t="s">
        <v>2276</v>
      </c>
      <c r="K616" s="21" t="s">
        <v>2276</v>
      </c>
      <c r="L616" s="21" t="s">
        <v>2276</v>
      </c>
      <c r="M616" s="21" t="s">
        <v>2276</v>
      </c>
      <c r="N616" s="21" t="s">
        <v>2276</v>
      </c>
      <c r="O616" s="21" t="s">
        <v>2276</v>
      </c>
      <c r="P616" s="21" t="s">
        <v>2276</v>
      </c>
      <c r="Q616" s="21" t="s">
        <v>2276</v>
      </c>
      <c r="R616" s="21" t="s">
        <v>2276</v>
      </c>
      <c r="S616" s="21" t="s">
        <v>2276</v>
      </c>
      <c r="T616" s="21" t="s">
        <v>2276</v>
      </c>
      <c r="U616" s="21" t="s">
        <v>2276</v>
      </c>
      <c r="V616" s="21" t="s">
        <v>2276</v>
      </c>
      <c r="W616" s="21" t="s">
        <v>2276</v>
      </c>
      <c r="X616" s="21" t="s">
        <v>2276</v>
      </c>
      <c r="Y616" s="21" t="s">
        <v>2276</v>
      </c>
      <c r="Z616" s="3" t="s">
        <v>127</v>
      </c>
      <c r="AA616" s="3" t="s">
        <v>38</v>
      </c>
      <c r="AB616" s="3" t="s">
        <v>2655</v>
      </c>
      <c r="AC616" s="4" t="s">
        <v>5069</v>
      </c>
      <c r="AD616" s="4" t="s">
        <v>5077</v>
      </c>
    </row>
    <row r="617" spans="1:30" ht="41.5" customHeight="1">
      <c r="A617" s="11" t="s">
        <v>5059</v>
      </c>
      <c r="B617" s="11" t="s">
        <v>5075</v>
      </c>
      <c r="C617" s="23" t="s">
        <v>24</v>
      </c>
      <c r="D617" s="23" t="s">
        <v>2804</v>
      </c>
      <c r="E617" s="26" t="s">
        <v>5005</v>
      </c>
      <c r="F617" s="19" t="s">
        <v>2662</v>
      </c>
      <c r="G617" s="19" t="s">
        <v>2662</v>
      </c>
      <c r="H617" s="3" t="s">
        <v>523</v>
      </c>
      <c r="I617" s="3">
        <v>2017</v>
      </c>
      <c r="J617" s="21" t="s">
        <v>2276</v>
      </c>
      <c r="K617" s="21" t="s">
        <v>2276</v>
      </c>
      <c r="L617" s="21" t="s">
        <v>2276</v>
      </c>
      <c r="M617" s="21" t="s">
        <v>2276</v>
      </c>
      <c r="N617" s="21" t="s">
        <v>2276</v>
      </c>
      <c r="O617" s="21" t="s">
        <v>2276</v>
      </c>
      <c r="P617" s="21" t="s">
        <v>2276</v>
      </c>
      <c r="Q617" s="21" t="s">
        <v>2276</v>
      </c>
      <c r="R617" s="21" t="s">
        <v>2276</v>
      </c>
      <c r="S617" s="21" t="s">
        <v>2276</v>
      </c>
      <c r="T617" s="21" t="s">
        <v>2276</v>
      </c>
      <c r="U617" s="21" t="s">
        <v>2276</v>
      </c>
      <c r="V617" s="21" t="s">
        <v>2276</v>
      </c>
      <c r="W617" s="21" t="s">
        <v>2276</v>
      </c>
      <c r="X617" s="21" t="s">
        <v>2276</v>
      </c>
      <c r="Y617" s="21" t="s">
        <v>2276</v>
      </c>
      <c r="Z617" s="3" t="s">
        <v>127</v>
      </c>
      <c r="AA617" s="3" t="s">
        <v>38</v>
      </c>
      <c r="AB617" s="3" t="s">
        <v>2655</v>
      </c>
      <c r="AC617" s="4" t="s">
        <v>5069</v>
      </c>
      <c r="AD617" s="4" t="s">
        <v>5077</v>
      </c>
    </row>
    <row r="618" spans="1:30" ht="41.5" customHeight="1">
      <c r="A618" s="11" t="s">
        <v>5059</v>
      </c>
      <c r="B618" s="11" t="s">
        <v>5076</v>
      </c>
      <c r="C618" s="23" t="s">
        <v>24</v>
      </c>
      <c r="D618" s="23" t="s">
        <v>2346</v>
      </c>
      <c r="E618" s="26" t="s">
        <v>5005</v>
      </c>
      <c r="F618" s="19" t="s">
        <v>2662</v>
      </c>
      <c r="G618" s="19" t="s">
        <v>2662</v>
      </c>
      <c r="H618" s="3" t="s">
        <v>523</v>
      </c>
      <c r="I618" s="3">
        <v>2017</v>
      </c>
      <c r="J618" s="21" t="s">
        <v>2276</v>
      </c>
      <c r="K618" s="21" t="s">
        <v>2276</v>
      </c>
      <c r="L618" s="21" t="s">
        <v>2276</v>
      </c>
      <c r="M618" s="21" t="s">
        <v>2276</v>
      </c>
      <c r="N618" s="21" t="s">
        <v>2276</v>
      </c>
      <c r="O618" s="21" t="s">
        <v>2276</v>
      </c>
      <c r="P618" s="21" t="s">
        <v>2276</v>
      </c>
      <c r="Q618" s="21" t="s">
        <v>2276</v>
      </c>
      <c r="R618" s="21" t="s">
        <v>2276</v>
      </c>
      <c r="S618" s="21" t="s">
        <v>2276</v>
      </c>
      <c r="T618" s="21" t="s">
        <v>2276</v>
      </c>
      <c r="U618" s="21" t="s">
        <v>2276</v>
      </c>
      <c r="V618" s="21" t="s">
        <v>2276</v>
      </c>
      <c r="W618" s="21" t="s">
        <v>2276</v>
      </c>
      <c r="X618" s="21" t="s">
        <v>2276</v>
      </c>
      <c r="Y618" s="21" t="s">
        <v>2276</v>
      </c>
      <c r="Z618" s="103" t="s">
        <v>2276</v>
      </c>
      <c r="AA618" s="103" t="s">
        <v>2276</v>
      </c>
      <c r="AB618" s="103" t="s">
        <v>2276</v>
      </c>
      <c r="AC618" s="4" t="s">
        <v>5078</v>
      </c>
      <c r="AD618" s="4"/>
    </row>
    <row r="619" spans="1:30" ht="41.5" customHeight="1">
      <c r="A619" s="11" t="s">
        <v>927</v>
      </c>
      <c r="B619" s="11" t="s">
        <v>934</v>
      </c>
      <c r="C619" s="23" t="s">
        <v>24</v>
      </c>
      <c r="D619" s="23" t="s">
        <v>143</v>
      </c>
      <c r="E619" s="11" t="s">
        <v>45</v>
      </c>
      <c r="F619" s="19" t="s">
        <v>74</v>
      </c>
      <c r="G619" s="19"/>
      <c r="H619" s="11" t="s">
        <v>523</v>
      </c>
      <c r="I619" s="3"/>
      <c r="J619" s="21" t="s">
        <v>2276</v>
      </c>
      <c r="K619" s="21" t="s">
        <v>2276</v>
      </c>
      <c r="L619" s="21" t="s">
        <v>2276</v>
      </c>
      <c r="M619" s="21" t="s">
        <v>2276</v>
      </c>
      <c r="N619" s="21" t="s">
        <v>2276</v>
      </c>
      <c r="O619" s="21" t="s">
        <v>2276</v>
      </c>
      <c r="P619" s="21" t="s">
        <v>2276</v>
      </c>
      <c r="Q619" s="21" t="s">
        <v>2276</v>
      </c>
      <c r="R619" s="21" t="s">
        <v>2276</v>
      </c>
      <c r="S619" s="21" t="s">
        <v>2276</v>
      </c>
      <c r="T619" s="21" t="s">
        <v>2276</v>
      </c>
      <c r="U619" s="21" t="s">
        <v>2276</v>
      </c>
      <c r="V619" s="21" t="s">
        <v>2276</v>
      </c>
      <c r="W619" s="21" t="s">
        <v>2276</v>
      </c>
      <c r="X619" s="21" t="s">
        <v>2276</v>
      </c>
      <c r="Y619" s="21" t="s">
        <v>2276</v>
      </c>
      <c r="Z619" s="3" t="s">
        <v>2276</v>
      </c>
      <c r="AA619" s="3" t="s">
        <v>2276</v>
      </c>
      <c r="AB619" s="3" t="s">
        <v>2276</v>
      </c>
      <c r="AC619" s="3"/>
      <c r="AD619" s="3"/>
    </row>
    <row r="620" spans="1:30" ht="39.5" customHeight="1">
      <c r="A620" s="11" t="s">
        <v>932</v>
      </c>
      <c r="B620" s="11" t="s">
        <v>935</v>
      </c>
      <c r="C620" s="23" t="s">
        <v>24</v>
      </c>
      <c r="D620" s="23" t="s">
        <v>27</v>
      </c>
      <c r="E620" s="11" t="s">
        <v>130</v>
      </c>
      <c r="F620" s="19" t="s">
        <v>161</v>
      </c>
      <c r="G620" s="19"/>
      <c r="H620" s="3" t="s">
        <v>523</v>
      </c>
      <c r="I620" s="3"/>
      <c r="J620" s="21" t="s">
        <v>2276</v>
      </c>
      <c r="K620" s="21" t="s">
        <v>2276</v>
      </c>
      <c r="L620" s="21" t="s">
        <v>2276</v>
      </c>
      <c r="M620" s="21" t="s">
        <v>2276</v>
      </c>
      <c r="N620" s="21" t="s">
        <v>2276</v>
      </c>
      <c r="O620" s="21" t="s">
        <v>2276</v>
      </c>
      <c r="P620" s="21" t="s">
        <v>2276</v>
      </c>
      <c r="Q620" s="21" t="s">
        <v>2276</v>
      </c>
      <c r="R620" s="21" t="s">
        <v>2276</v>
      </c>
      <c r="S620" s="21" t="s">
        <v>2276</v>
      </c>
      <c r="T620" s="21" t="s">
        <v>2276</v>
      </c>
      <c r="U620" s="21" t="s">
        <v>2276</v>
      </c>
      <c r="V620" s="21" t="s">
        <v>2276</v>
      </c>
      <c r="W620" s="21" t="s">
        <v>2276</v>
      </c>
      <c r="X620" s="21" t="s">
        <v>2276</v>
      </c>
      <c r="Y620" s="21" t="s">
        <v>2276</v>
      </c>
      <c r="Z620" s="3" t="s">
        <v>2276</v>
      </c>
      <c r="AA620" s="3" t="s">
        <v>2276</v>
      </c>
      <c r="AB620" s="3" t="s">
        <v>2276</v>
      </c>
      <c r="AC620" s="3"/>
      <c r="AD620" s="3"/>
    </row>
    <row r="621" spans="1:30" ht="41" customHeight="1">
      <c r="A621" s="11" t="s">
        <v>938</v>
      </c>
      <c r="B621" s="11" t="s">
        <v>942</v>
      </c>
      <c r="C621" s="23" t="s">
        <v>24</v>
      </c>
      <c r="D621" s="23" t="s">
        <v>27</v>
      </c>
      <c r="E621" s="11" t="s">
        <v>130</v>
      </c>
      <c r="F621" s="19" t="s">
        <v>161</v>
      </c>
      <c r="G621" s="19"/>
      <c r="H621" s="3" t="s">
        <v>523</v>
      </c>
      <c r="I621" s="3"/>
      <c r="J621" s="21" t="s">
        <v>2276</v>
      </c>
      <c r="K621" s="21" t="s">
        <v>2276</v>
      </c>
      <c r="L621" s="21" t="s">
        <v>2276</v>
      </c>
      <c r="M621" s="21" t="s">
        <v>2276</v>
      </c>
      <c r="N621" s="21" t="s">
        <v>2276</v>
      </c>
      <c r="O621" s="21" t="s">
        <v>2276</v>
      </c>
      <c r="P621" s="21" t="s">
        <v>2276</v>
      </c>
      <c r="Q621" s="21" t="s">
        <v>2276</v>
      </c>
      <c r="R621" s="21" t="s">
        <v>2276</v>
      </c>
      <c r="S621" s="21" t="s">
        <v>2276</v>
      </c>
      <c r="T621" s="21" t="s">
        <v>2276</v>
      </c>
      <c r="U621" s="21" t="s">
        <v>2276</v>
      </c>
      <c r="V621" s="21" t="s">
        <v>2276</v>
      </c>
      <c r="W621" s="21" t="s">
        <v>2276</v>
      </c>
      <c r="X621" s="21" t="s">
        <v>2276</v>
      </c>
      <c r="Y621" s="21">
        <v>17.5</v>
      </c>
      <c r="Z621" s="3" t="s">
        <v>2276</v>
      </c>
      <c r="AA621" s="3" t="s">
        <v>2276</v>
      </c>
      <c r="AB621" s="3" t="s">
        <v>2276</v>
      </c>
      <c r="AC621" s="3"/>
      <c r="AD621" s="4" t="s">
        <v>2215</v>
      </c>
    </row>
    <row r="622" spans="1:30" ht="52" customHeight="1">
      <c r="A622" s="11" t="s">
        <v>944</v>
      </c>
      <c r="B622" s="11" t="s">
        <v>948</v>
      </c>
      <c r="C622" s="23" t="s">
        <v>24</v>
      </c>
      <c r="D622" s="23" t="s">
        <v>143</v>
      </c>
      <c r="E622" s="11" t="s">
        <v>863</v>
      </c>
      <c r="F622" s="19" t="s">
        <v>74</v>
      </c>
      <c r="G622" s="19"/>
      <c r="H622" s="11" t="s">
        <v>524</v>
      </c>
      <c r="I622" s="3"/>
      <c r="J622" s="21" t="s">
        <v>2276</v>
      </c>
      <c r="K622" s="21" t="s">
        <v>2276</v>
      </c>
      <c r="L622" s="21" t="s">
        <v>2276</v>
      </c>
      <c r="M622" s="21" t="s">
        <v>2276</v>
      </c>
      <c r="N622" s="21" t="s">
        <v>2276</v>
      </c>
      <c r="O622" s="21" t="s">
        <v>2276</v>
      </c>
      <c r="P622" s="21" t="s">
        <v>2276</v>
      </c>
      <c r="Q622" s="21" t="s">
        <v>2276</v>
      </c>
      <c r="R622" s="21" t="s">
        <v>2276</v>
      </c>
      <c r="S622" s="21" t="s">
        <v>2276</v>
      </c>
      <c r="T622" s="21" t="s">
        <v>2276</v>
      </c>
      <c r="U622" s="21" t="s">
        <v>2276</v>
      </c>
      <c r="V622" s="21" t="s">
        <v>2276</v>
      </c>
      <c r="W622" s="21" t="s">
        <v>2276</v>
      </c>
      <c r="X622" s="21" t="s">
        <v>2276</v>
      </c>
      <c r="Y622" s="21" t="s">
        <v>2276</v>
      </c>
      <c r="Z622" s="3" t="s">
        <v>2276</v>
      </c>
      <c r="AA622" s="3" t="s">
        <v>2276</v>
      </c>
      <c r="AB622" s="3" t="s">
        <v>2276</v>
      </c>
      <c r="AC622" s="4" t="s">
        <v>2216</v>
      </c>
      <c r="AD622" s="3"/>
    </row>
    <row r="623" spans="1:30" ht="39.5" customHeight="1">
      <c r="A623" s="11" t="s">
        <v>944</v>
      </c>
      <c r="B623" s="11" t="s">
        <v>950</v>
      </c>
      <c r="C623" s="23" t="s">
        <v>24</v>
      </c>
      <c r="D623" s="23" t="s">
        <v>27</v>
      </c>
      <c r="E623" s="11" t="s">
        <v>130</v>
      </c>
      <c r="F623" s="19" t="s">
        <v>161</v>
      </c>
      <c r="G623" s="19"/>
      <c r="H623" s="3" t="s">
        <v>523</v>
      </c>
      <c r="I623" s="3"/>
      <c r="J623" s="21" t="s">
        <v>2276</v>
      </c>
      <c r="K623" s="21" t="s">
        <v>2276</v>
      </c>
      <c r="L623" s="21" t="s">
        <v>2276</v>
      </c>
      <c r="M623" s="21" t="s">
        <v>2276</v>
      </c>
      <c r="N623" s="21" t="s">
        <v>2276</v>
      </c>
      <c r="O623" s="21" t="s">
        <v>2276</v>
      </c>
      <c r="P623" s="21" t="s">
        <v>2276</v>
      </c>
      <c r="Q623" s="21" t="s">
        <v>2276</v>
      </c>
      <c r="R623" s="21" t="s">
        <v>2276</v>
      </c>
      <c r="S623" s="21" t="s">
        <v>2276</v>
      </c>
      <c r="T623" s="21" t="s">
        <v>2276</v>
      </c>
      <c r="U623" s="21" t="s">
        <v>2276</v>
      </c>
      <c r="V623" s="21" t="s">
        <v>2276</v>
      </c>
      <c r="W623" s="21" t="s">
        <v>2276</v>
      </c>
      <c r="X623" s="21" t="s">
        <v>2276</v>
      </c>
      <c r="Y623" s="21" t="s">
        <v>2276</v>
      </c>
      <c r="Z623" s="3" t="s">
        <v>2276</v>
      </c>
      <c r="AA623" s="3" t="s">
        <v>2276</v>
      </c>
      <c r="AB623" s="3" t="s">
        <v>2276</v>
      </c>
      <c r="AC623" s="4"/>
      <c r="AD623" s="3"/>
    </row>
    <row r="624" spans="1:30" ht="48.5" customHeight="1">
      <c r="A624" s="11" t="s">
        <v>946</v>
      </c>
      <c r="B624" s="11" t="s">
        <v>949</v>
      </c>
      <c r="C624" s="23" t="s">
        <v>24</v>
      </c>
      <c r="D624" s="23" t="s">
        <v>143</v>
      </c>
      <c r="E624" s="11" t="s">
        <v>863</v>
      </c>
      <c r="F624" s="19" t="s">
        <v>74</v>
      </c>
      <c r="G624" s="19"/>
      <c r="H624" s="11" t="s">
        <v>524</v>
      </c>
      <c r="I624" s="3"/>
      <c r="J624" s="21" t="s">
        <v>2276</v>
      </c>
      <c r="K624" s="21" t="s">
        <v>2276</v>
      </c>
      <c r="L624" s="21" t="s">
        <v>2276</v>
      </c>
      <c r="M624" s="21" t="s">
        <v>2276</v>
      </c>
      <c r="N624" s="21" t="s">
        <v>2276</v>
      </c>
      <c r="O624" s="21" t="s">
        <v>2276</v>
      </c>
      <c r="P624" s="21" t="s">
        <v>2276</v>
      </c>
      <c r="Q624" s="21" t="s">
        <v>2276</v>
      </c>
      <c r="R624" s="21" t="s">
        <v>2276</v>
      </c>
      <c r="S624" s="21" t="s">
        <v>2276</v>
      </c>
      <c r="T624" s="21" t="s">
        <v>2276</v>
      </c>
      <c r="U624" s="21" t="s">
        <v>2276</v>
      </c>
      <c r="V624" s="21" t="s">
        <v>2276</v>
      </c>
      <c r="W624" s="21" t="s">
        <v>2276</v>
      </c>
      <c r="X624" s="21" t="s">
        <v>2276</v>
      </c>
      <c r="Y624" s="21" t="s">
        <v>2276</v>
      </c>
      <c r="Z624" s="3" t="s">
        <v>2276</v>
      </c>
      <c r="AA624" s="3" t="s">
        <v>2276</v>
      </c>
      <c r="AB624" s="3" t="s">
        <v>2276</v>
      </c>
      <c r="AC624" s="4" t="s">
        <v>2216</v>
      </c>
      <c r="AD624" s="3"/>
    </row>
    <row r="625" spans="1:30" ht="55" customHeight="1">
      <c r="A625" s="11" t="s">
        <v>946</v>
      </c>
      <c r="B625" s="11" t="s">
        <v>951</v>
      </c>
      <c r="C625" s="23" t="s">
        <v>24</v>
      </c>
      <c r="D625" s="23" t="s">
        <v>27</v>
      </c>
      <c r="E625" s="11" t="s">
        <v>130</v>
      </c>
      <c r="F625" s="19" t="s">
        <v>161</v>
      </c>
      <c r="G625" s="19"/>
      <c r="H625" s="3" t="s">
        <v>523</v>
      </c>
      <c r="I625" s="3"/>
      <c r="J625" s="21" t="s">
        <v>2276</v>
      </c>
      <c r="K625" s="21" t="s">
        <v>2276</v>
      </c>
      <c r="L625" s="21" t="s">
        <v>2276</v>
      </c>
      <c r="M625" s="21" t="s">
        <v>2276</v>
      </c>
      <c r="N625" s="21" t="s">
        <v>2276</v>
      </c>
      <c r="O625" s="21" t="s">
        <v>2276</v>
      </c>
      <c r="P625" s="21" t="s">
        <v>2276</v>
      </c>
      <c r="Q625" s="21" t="s">
        <v>2276</v>
      </c>
      <c r="R625" s="21" t="s">
        <v>2276</v>
      </c>
      <c r="S625" s="21" t="s">
        <v>2276</v>
      </c>
      <c r="T625" s="21" t="s">
        <v>2276</v>
      </c>
      <c r="U625" s="21" t="s">
        <v>2276</v>
      </c>
      <c r="V625" s="21" t="s">
        <v>2276</v>
      </c>
      <c r="W625" s="21" t="s">
        <v>2276</v>
      </c>
      <c r="X625" s="21" t="s">
        <v>2276</v>
      </c>
      <c r="Y625" s="21" t="s">
        <v>2276</v>
      </c>
      <c r="Z625" s="3" t="s">
        <v>2276</v>
      </c>
      <c r="AA625" s="3" t="s">
        <v>2276</v>
      </c>
      <c r="AB625" s="3" t="s">
        <v>2276</v>
      </c>
      <c r="AC625" s="3"/>
      <c r="AD625" s="3"/>
    </row>
    <row r="626" spans="1:30" ht="72" customHeight="1">
      <c r="A626" s="11" t="s">
        <v>954</v>
      </c>
      <c r="B626" s="11" t="s">
        <v>962</v>
      </c>
      <c r="C626" s="23" t="s">
        <v>24</v>
      </c>
      <c r="D626" s="23" t="s">
        <v>27</v>
      </c>
      <c r="E626" s="11" t="s">
        <v>130</v>
      </c>
      <c r="F626" s="19" t="s">
        <v>161</v>
      </c>
      <c r="G626" s="19"/>
      <c r="H626" s="3" t="s">
        <v>523</v>
      </c>
      <c r="I626" s="3"/>
      <c r="J626" s="21" t="s">
        <v>2276</v>
      </c>
      <c r="K626" s="21" t="s">
        <v>2276</v>
      </c>
      <c r="L626" s="21" t="s">
        <v>2276</v>
      </c>
      <c r="M626" s="21" t="s">
        <v>2276</v>
      </c>
      <c r="N626" s="21" t="s">
        <v>2276</v>
      </c>
      <c r="O626" s="21" t="s">
        <v>2276</v>
      </c>
      <c r="P626" s="21" t="s">
        <v>2276</v>
      </c>
      <c r="Q626" s="21" t="s">
        <v>2276</v>
      </c>
      <c r="R626" s="21" t="s">
        <v>2276</v>
      </c>
      <c r="S626" s="21" t="s">
        <v>2276</v>
      </c>
      <c r="T626" s="21" t="s">
        <v>2276</v>
      </c>
      <c r="U626" s="21" t="s">
        <v>2276</v>
      </c>
      <c r="V626" s="21" t="s">
        <v>2276</v>
      </c>
      <c r="W626" s="21" t="s">
        <v>2276</v>
      </c>
      <c r="X626" s="21" t="s">
        <v>2276</v>
      </c>
      <c r="Y626" s="21" t="s">
        <v>2276</v>
      </c>
      <c r="Z626" s="3" t="s">
        <v>425</v>
      </c>
      <c r="AA626" s="3" t="s">
        <v>68</v>
      </c>
      <c r="AB626" s="3" t="s">
        <v>2276</v>
      </c>
      <c r="AC626" s="4" t="s">
        <v>957</v>
      </c>
      <c r="AD626" s="3" t="s">
        <v>718</v>
      </c>
    </row>
    <row r="627" spans="1:30" ht="46.5" customHeight="1">
      <c r="A627" s="11" t="s">
        <v>954</v>
      </c>
      <c r="B627" s="11" t="s">
        <v>963</v>
      </c>
      <c r="C627" s="23" t="s">
        <v>24</v>
      </c>
      <c r="D627" s="23" t="s">
        <v>143</v>
      </c>
      <c r="E627" s="11" t="s">
        <v>45</v>
      </c>
      <c r="F627" s="19" t="s">
        <v>74</v>
      </c>
      <c r="G627" s="19"/>
      <c r="H627" s="11" t="s">
        <v>523</v>
      </c>
      <c r="I627" s="3"/>
      <c r="J627" s="21" t="s">
        <v>2276</v>
      </c>
      <c r="K627" s="21" t="s">
        <v>2276</v>
      </c>
      <c r="L627" s="21" t="s">
        <v>2276</v>
      </c>
      <c r="M627" s="21" t="s">
        <v>2276</v>
      </c>
      <c r="N627" s="21" t="s">
        <v>2276</v>
      </c>
      <c r="O627" s="21" t="s">
        <v>2276</v>
      </c>
      <c r="P627" s="21" t="s">
        <v>2276</v>
      </c>
      <c r="Q627" s="21" t="s">
        <v>2276</v>
      </c>
      <c r="R627" s="21" t="s">
        <v>2276</v>
      </c>
      <c r="S627" s="21" t="s">
        <v>2276</v>
      </c>
      <c r="T627" s="21" t="s">
        <v>2276</v>
      </c>
      <c r="U627" s="21" t="s">
        <v>2276</v>
      </c>
      <c r="V627" s="21" t="s">
        <v>2276</v>
      </c>
      <c r="W627" s="21" t="s">
        <v>2276</v>
      </c>
      <c r="X627" s="21" t="s">
        <v>2276</v>
      </c>
      <c r="Y627" s="21" t="s">
        <v>2276</v>
      </c>
      <c r="Z627" s="3" t="s">
        <v>2276</v>
      </c>
      <c r="AA627" s="3" t="s">
        <v>2276</v>
      </c>
      <c r="AB627" s="3" t="s">
        <v>2276</v>
      </c>
      <c r="AC627" s="4" t="s">
        <v>958</v>
      </c>
      <c r="AD627" s="3"/>
    </row>
    <row r="628" spans="1:30" ht="71.5" customHeight="1">
      <c r="A628" s="11" t="s">
        <v>959</v>
      </c>
      <c r="B628" s="11" t="s">
        <v>964</v>
      </c>
      <c r="C628" s="23" t="s">
        <v>24</v>
      </c>
      <c r="D628" s="23" t="s">
        <v>27</v>
      </c>
      <c r="E628" s="11" t="s">
        <v>130</v>
      </c>
      <c r="F628" s="19" t="s">
        <v>161</v>
      </c>
      <c r="G628" s="19"/>
      <c r="H628" s="3" t="s">
        <v>523</v>
      </c>
      <c r="I628" s="3"/>
      <c r="J628" s="21" t="s">
        <v>2276</v>
      </c>
      <c r="K628" s="21" t="s">
        <v>2276</v>
      </c>
      <c r="L628" s="21" t="s">
        <v>2276</v>
      </c>
      <c r="M628" s="21" t="s">
        <v>2276</v>
      </c>
      <c r="N628" s="21" t="s">
        <v>2276</v>
      </c>
      <c r="O628" s="21" t="s">
        <v>2276</v>
      </c>
      <c r="P628" s="21" t="s">
        <v>2276</v>
      </c>
      <c r="Q628" s="21" t="s">
        <v>2276</v>
      </c>
      <c r="R628" s="21" t="s">
        <v>2276</v>
      </c>
      <c r="S628" s="21" t="s">
        <v>2276</v>
      </c>
      <c r="T628" s="21" t="s">
        <v>2276</v>
      </c>
      <c r="U628" s="21" t="s">
        <v>2276</v>
      </c>
      <c r="V628" s="21" t="s">
        <v>2276</v>
      </c>
      <c r="W628" s="21" t="s">
        <v>2276</v>
      </c>
      <c r="X628" s="21" t="s">
        <v>2276</v>
      </c>
      <c r="Y628" s="21">
        <v>5</v>
      </c>
      <c r="Z628" s="3" t="s">
        <v>2276</v>
      </c>
      <c r="AA628" s="3" t="s">
        <v>2276</v>
      </c>
      <c r="AB628" s="3" t="s">
        <v>2276</v>
      </c>
      <c r="AC628" s="3" t="s">
        <v>968</v>
      </c>
      <c r="AD628" s="24" t="s">
        <v>2222</v>
      </c>
    </row>
    <row r="629" spans="1:30" ht="64.5" customHeight="1">
      <c r="A629" s="11" t="s">
        <v>965</v>
      </c>
      <c r="B629" s="11" t="s">
        <v>969</v>
      </c>
      <c r="C629" s="23" t="s">
        <v>24</v>
      </c>
      <c r="D629" s="23" t="s">
        <v>27</v>
      </c>
      <c r="E629" s="11" t="s">
        <v>130</v>
      </c>
      <c r="F629" s="19" t="s">
        <v>161</v>
      </c>
      <c r="G629" s="19"/>
      <c r="H629" s="3" t="s">
        <v>523</v>
      </c>
      <c r="I629" s="3"/>
      <c r="J629" s="21" t="s">
        <v>2276</v>
      </c>
      <c r="K629" s="21" t="s">
        <v>2276</v>
      </c>
      <c r="L629" s="21" t="s">
        <v>2276</v>
      </c>
      <c r="M629" s="21" t="s">
        <v>2276</v>
      </c>
      <c r="N629" s="21" t="s">
        <v>2276</v>
      </c>
      <c r="O629" s="21" t="s">
        <v>2276</v>
      </c>
      <c r="P629" s="21" t="s">
        <v>2276</v>
      </c>
      <c r="Q629" s="21" t="s">
        <v>2276</v>
      </c>
      <c r="R629" s="21" t="s">
        <v>2276</v>
      </c>
      <c r="S629" s="21" t="s">
        <v>2276</v>
      </c>
      <c r="T629" s="21" t="s">
        <v>2276</v>
      </c>
      <c r="U629" s="21" t="s">
        <v>2276</v>
      </c>
      <c r="V629" s="21" t="s">
        <v>2276</v>
      </c>
      <c r="W629" s="21" t="s">
        <v>2276</v>
      </c>
      <c r="X629" s="21" t="s">
        <v>2276</v>
      </c>
      <c r="Y629" s="21">
        <v>4.8</v>
      </c>
      <c r="Z629" s="3" t="s">
        <v>2276</v>
      </c>
      <c r="AA629" s="3" t="s">
        <v>2276</v>
      </c>
      <c r="AB629" s="3" t="s">
        <v>2276</v>
      </c>
      <c r="AC629" s="3" t="s">
        <v>968</v>
      </c>
      <c r="AD629" s="4" t="s">
        <v>2223</v>
      </c>
    </row>
    <row r="630" spans="1:30" ht="70" customHeight="1">
      <c r="A630" s="11" t="s">
        <v>966</v>
      </c>
      <c r="B630" s="11" t="s">
        <v>970</v>
      </c>
      <c r="C630" s="23" t="s">
        <v>24</v>
      </c>
      <c r="D630" s="23" t="s">
        <v>27</v>
      </c>
      <c r="E630" s="11" t="s">
        <v>130</v>
      </c>
      <c r="F630" s="19" t="s">
        <v>161</v>
      </c>
      <c r="G630" s="19"/>
      <c r="H630" s="3" t="s">
        <v>523</v>
      </c>
      <c r="I630" s="3"/>
      <c r="J630" s="21" t="s">
        <v>2276</v>
      </c>
      <c r="K630" s="21" t="s">
        <v>2276</v>
      </c>
      <c r="L630" s="21" t="s">
        <v>2276</v>
      </c>
      <c r="M630" s="21" t="s">
        <v>2276</v>
      </c>
      <c r="N630" s="21" t="s">
        <v>2276</v>
      </c>
      <c r="O630" s="21" t="s">
        <v>2276</v>
      </c>
      <c r="P630" s="21" t="s">
        <v>2276</v>
      </c>
      <c r="Q630" s="21" t="s">
        <v>2276</v>
      </c>
      <c r="R630" s="21" t="s">
        <v>2276</v>
      </c>
      <c r="S630" s="21" t="s">
        <v>2276</v>
      </c>
      <c r="T630" s="21" t="s">
        <v>2276</v>
      </c>
      <c r="U630" s="21" t="s">
        <v>2276</v>
      </c>
      <c r="V630" s="21" t="s">
        <v>2276</v>
      </c>
      <c r="W630" s="21" t="s">
        <v>2276</v>
      </c>
      <c r="X630" s="21" t="s">
        <v>2276</v>
      </c>
      <c r="Y630" s="21">
        <v>5.8</v>
      </c>
      <c r="Z630" s="3" t="s">
        <v>2276</v>
      </c>
      <c r="AA630" s="3" t="s">
        <v>2276</v>
      </c>
      <c r="AB630" s="3" t="s">
        <v>2276</v>
      </c>
      <c r="AC630" s="3" t="s">
        <v>968</v>
      </c>
      <c r="AD630" s="4" t="s">
        <v>2223</v>
      </c>
    </row>
    <row r="631" spans="1:30" ht="68.5" customHeight="1">
      <c r="A631" s="11" t="s">
        <v>975</v>
      </c>
      <c r="B631" s="11" t="s">
        <v>976</v>
      </c>
      <c r="C631" s="23" t="s">
        <v>24</v>
      </c>
      <c r="D631" s="23" t="s">
        <v>27</v>
      </c>
      <c r="E631" s="11" t="s">
        <v>130</v>
      </c>
      <c r="F631" s="19" t="s">
        <v>161</v>
      </c>
      <c r="G631" s="19"/>
      <c r="H631" s="3" t="s">
        <v>523</v>
      </c>
      <c r="I631" s="3"/>
      <c r="J631" s="21" t="s">
        <v>2276</v>
      </c>
      <c r="K631" s="21" t="s">
        <v>2276</v>
      </c>
      <c r="L631" s="21" t="s">
        <v>2276</v>
      </c>
      <c r="M631" s="21" t="s">
        <v>2276</v>
      </c>
      <c r="N631" s="21" t="s">
        <v>2276</v>
      </c>
      <c r="O631" s="21" t="s">
        <v>2276</v>
      </c>
      <c r="P631" s="21" t="s">
        <v>2276</v>
      </c>
      <c r="Q631" s="21" t="s">
        <v>2276</v>
      </c>
      <c r="R631" s="21" t="s">
        <v>2276</v>
      </c>
      <c r="S631" s="21" t="s">
        <v>2276</v>
      </c>
      <c r="T631" s="21" t="s">
        <v>2276</v>
      </c>
      <c r="U631" s="21" t="s">
        <v>2276</v>
      </c>
      <c r="V631" s="21" t="s">
        <v>2276</v>
      </c>
      <c r="W631" s="21" t="s">
        <v>2276</v>
      </c>
      <c r="X631" s="21" t="s">
        <v>2276</v>
      </c>
      <c r="Y631" s="74">
        <v>5</v>
      </c>
      <c r="Z631" s="3" t="s">
        <v>2276</v>
      </c>
      <c r="AA631" s="3" t="s">
        <v>2276</v>
      </c>
      <c r="AB631" s="3" t="s">
        <v>2276</v>
      </c>
      <c r="AC631" s="3"/>
      <c r="AD631" s="4" t="s">
        <v>2225</v>
      </c>
    </row>
    <row r="632" spans="1:30" ht="38.5" customHeight="1">
      <c r="A632" s="11" t="s">
        <v>977</v>
      </c>
      <c r="B632" s="11" t="s">
        <v>987</v>
      </c>
      <c r="C632" s="23" t="s">
        <v>24</v>
      </c>
      <c r="D632" s="23" t="s">
        <v>143</v>
      </c>
      <c r="E632" s="4" t="s">
        <v>397</v>
      </c>
      <c r="F632" s="19" t="s">
        <v>74</v>
      </c>
      <c r="G632" s="19"/>
      <c r="H632" s="11" t="s">
        <v>523</v>
      </c>
      <c r="I632" s="3"/>
      <c r="J632" s="21" t="s">
        <v>2276</v>
      </c>
      <c r="K632" s="21" t="s">
        <v>2276</v>
      </c>
      <c r="L632" s="21" t="s">
        <v>2276</v>
      </c>
      <c r="M632" s="21" t="s">
        <v>2276</v>
      </c>
      <c r="N632" s="21" t="s">
        <v>2276</v>
      </c>
      <c r="O632" s="21" t="s">
        <v>2276</v>
      </c>
      <c r="P632" s="21" t="s">
        <v>2276</v>
      </c>
      <c r="Q632" s="21" t="s">
        <v>2276</v>
      </c>
      <c r="R632" s="21" t="s">
        <v>2276</v>
      </c>
      <c r="S632" s="21" t="s">
        <v>2276</v>
      </c>
      <c r="T632" s="21" t="s">
        <v>2276</v>
      </c>
      <c r="U632" s="21" t="s">
        <v>2276</v>
      </c>
      <c r="V632" s="21" t="s">
        <v>2276</v>
      </c>
      <c r="W632" s="21" t="s">
        <v>2276</v>
      </c>
      <c r="X632" s="21" t="s">
        <v>2276</v>
      </c>
      <c r="Y632" s="21" t="s">
        <v>2276</v>
      </c>
      <c r="Z632" s="3" t="s">
        <v>2276</v>
      </c>
      <c r="AA632" s="3" t="s">
        <v>2276</v>
      </c>
      <c r="AB632" s="3" t="s">
        <v>2276</v>
      </c>
      <c r="AC632" s="3"/>
      <c r="AD632" s="3"/>
    </row>
    <row r="633" spans="1:30" ht="36" customHeight="1">
      <c r="A633" s="11" t="s">
        <v>981</v>
      </c>
      <c r="B633" s="11" t="s">
        <v>988</v>
      </c>
      <c r="C633" s="23" t="s">
        <v>24</v>
      </c>
      <c r="D633" s="23" t="s">
        <v>27</v>
      </c>
      <c r="E633" s="11" t="s">
        <v>130</v>
      </c>
      <c r="F633" s="19" t="s">
        <v>161</v>
      </c>
      <c r="G633" s="19"/>
      <c r="H633" s="3" t="s">
        <v>523</v>
      </c>
      <c r="I633" s="3"/>
      <c r="J633" s="21" t="s">
        <v>2276</v>
      </c>
      <c r="K633" s="21" t="s">
        <v>2276</v>
      </c>
      <c r="L633" s="21" t="s">
        <v>2276</v>
      </c>
      <c r="M633" s="21" t="s">
        <v>2276</v>
      </c>
      <c r="N633" s="21" t="s">
        <v>2276</v>
      </c>
      <c r="O633" s="21" t="s">
        <v>2276</v>
      </c>
      <c r="P633" s="21" t="s">
        <v>2276</v>
      </c>
      <c r="Q633" s="21" t="s">
        <v>2276</v>
      </c>
      <c r="R633" s="21" t="s">
        <v>2276</v>
      </c>
      <c r="S633" s="21" t="s">
        <v>2276</v>
      </c>
      <c r="T633" s="21" t="s">
        <v>2276</v>
      </c>
      <c r="U633" s="21" t="s">
        <v>2276</v>
      </c>
      <c r="V633" s="21" t="s">
        <v>2276</v>
      </c>
      <c r="W633" s="21" t="s">
        <v>2276</v>
      </c>
      <c r="X633" s="21" t="s">
        <v>2276</v>
      </c>
      <c r="Y633" s="21" t="s">
        <v>2276</v>
      </c>
      <c r="Z633" s="3" t="s">
        <v>2276</v>
      </c>
      <c r="AA633" s="3" t="s">
        <v>2276</v>
      </c>
      <c r="AB633" s="3" t="s">
        <v>2276</v>
      </c>
      <c r="AC633" s="3"/>
      <c r="AD633" s="3"/>
    </row>
    <row r="634" spans="1:30" ht="34.5" customHeight="1">
      <c r="A634" s="11" t="s">
        <v>989</v>
      </c>
      <c r="B634" s="11" t="s">
        <v>1002</v>
      </c>
      <c r="C634" s="23" t="s">
        <v>24</v>
      </c>
      <c r="D634" s="23" t="s">
        <v>27</v>
      </c>
      <c r="E634" s="11" t="s">
        <v>130</v>
      </c>
      <c r="F634" s="19" t="s">
        <v>161</v>
      </c>
      <c r="G634" s="19"/>
      <c r="H634" s="3" t="s">
        <v>523</v>
      </c>
      <c r="I634" s="3"/>
      <c r="J634" s="21" t="s">
        <v>2276</v>
      </c>
      <c r="K634" s="21" t="s">
        <v>2276</v>
      </c>
      <c r="L634" s="21" t="s">
        <v>2276</v>
      </c>
      <c r="M634" s="21" t="s">
        <v>2276</v>
      </c>
      <c r="N634" s="21" t="s">
        <v>2276</v>
      </c>
      <c r="O634" s="21" t="s">
        <v>2276</v>
      </c>
      <c r="P634" s="21" t="s">
        <v>2276</v>
      </c>
      <c r="Q634" s="21" t="s">
        <v>2276</v>
      </c>
      <c r="R634" s="21" t="s">
        <v>2276</v>
      </c>
      <c r="S634" s="21" t="s">
        <v>2276</v>
      </c>
      <c r="T634" s="21" t="s">
        <v>2276</v>
      </c>
      <c r="U634" s="21" t="s">
        <v>2276</v>
      </c>
      <c r="V634" s="21" t="s">
        <v>2276</v>
      </c>
      <c r="W634" s="21" t="s">
        <v>2276</v>
      </c>
      <c r="X634" s="21" t="s">
        <v>2276</v>
      </c>
      <c r="Y634" s="21" t="s">
        <v>2276</v>
      </c>
      <c r="Z634" s="3" t="s">
        <v>2276</v>
      </c>
      <c r="AA634" s="3" t="s">
        <v>2276</v>
      </c>
      <c r="AB634" s="3" t="s">
        <v>2276</v>
      </c>
      <c r="AC634" s="3" t="s">
        <v>1007</v>
      </c>
      <c r="AD634" s="4" t="s">
        <v>718</v>
      </c>
    </row>
    <row r="635" spans="1:30" ht="61" customHeight="1">
      <c r="A635" s="11" t="s">
        <v>989</v>
      </c>
      <c r="B635" s="11" t="s">
        <v>2230</v>
      </c>
      <c r="C635" s="23" t="s">
        <v>24</v>
      </c>
      <c r="D635" s="23" t="s">
        <v>2231</v>
      </c>
      <c r="E635" s="19" t="s">
        <v>396</v>
      </c>
      <c r="F635" s="19" t="s">
        <v>161</v>
      </c>
      <c r="G635" s="19"/>
      <c r="H635" s="3" t="s">
        <v>523</v>
      </c>
      <c r="I635" s="3"/>
      <c r="J635" s="21" t="s">
        <v>2276</v>
      </c>
      <c r="K635" s="21" t="s">
        <v>2276</v>
      </c>
      <c r="L635" s="21" t="s">
        <v>2276</v>
      </c>
      <c r="M635" s="21" t="s">
        <v>2276</v>
      </c>
      <c r="N635" s="21" t="s">
        <v>2276</v>
      </c>
      <c r="O635" s="21" t="s">
        <v>2276</v>
      </c>
      <c r="P635" s="21" t="s">
        <v>2276</v>
      </c>
      <c r="Q635" s="21" t="s">
        <v>2276</v>
      </c>
      <c r="R635" s="21" t="s">
        <v>2276</v>
      </c>
      <c r="S635" s="21" t="s">
        <v>2276</v>
      </c>
      <c r="T635" s="21" t="s">
        <v>2276</v>
      </c>
      <c r="U635" s="21" t="s">
        <v>2276</v>
      </c>
      <c r="V635" s="21" t="s">
        <v>2276</v>
      </c>
      <c r="W635" s="21" t="s">
        <v>2276</v>
      </c>
      <c r="X635" s="21" t="s">
        <v>2276</v>
      </c>
      <c r="Y635" s="21" t="s">
        <v>2276</v>
      </c>
      <c r="Z635" s="3" t="s">
        <v>2276</v>
      </c>
      <c r="AA635" s="3" t="s">
        <v>2276</v>
      </c>
      <c r="AB635" s="3" t="s">
        <v>2276</v>
      </c>
      <c r="AC635" s="4" t="s">
        <v>2232</v>
      </c>
      <c r="AD635" s="4"/>
    </row>
    <row r="636" spans="1:30" ht="65" customHeight="1">
      <c r="A636" s="11" t="s">
        <v>990</v>
      </c>
      <c r="B636" s="11" t="s">
        <v>1003</v>
      </c>
      <c r="C636" s="23" t="s">
        <v>24</v>
      </c>
      <c r="D636" s="23" t="s">
        <v>27</v>
      </c>
      <c r="E636" s="11" t="s">
        <v>130</v>
      </c>
      <c r="F636" s="19" t="s">
        <v>161</v>
      </c>
      <c r="G636" s="19"/>
      <c r="H636" s="3" t="s">
        <v>523</v>
      </c>
      <c r="I636" s="3"/>
      <c r="J636" s="21" t="s">
        <v>2276</v>
      </c>
      <c r="K636" s="21" t="s">
        <v>2276</v>
      </c>
      <c r="L636" s="21" t="s">
        <v>2276</v>
      </c>
      <c r="M636" s="21" t="s">
        <v>2276</v>
      </c>
      <c r="N636" s="21" t="s">
        <v>2276</v>
      </c>
      <c r="O636" s="21" t="s">
        <v>2276</v>
      </c>
      <c r="P636" s="21" t="s">
        <v>2276</v>
      </c>
      <c r="Q636" s="21" t="s">
        <v>2276</v>
      </c>
      <c r="R636" s="21" t="s">
        <v>2276</v>
      </c>
      <c r="S636" s="21" t="s">
        <v>2276</v>
      </c>
      <c r="T636" s="21" t="s">
        <v>2276</v>
      </c>
      <c r="U636" s="21" t="s">
        <v>2276</v>
      </c>
      <c r="V636" s="21" t="s">
        <v>2276</v>
      </c>
      <c r="W636" s="21" t="s">
        <v>2276</v>
      </c>
      <c r="X636" s="21" t="s">
        <v>2276</v>
      </c>
      <c r="Y636" s="21" t="s">
        <v>2276</v>
      </c>
      <c r="Z636" s="3" t="s">
        <v>2276</v>
      </c>
      <c r="AA636" s="3" t="s">
        <v>2276</v>
      </c>
      <c r="AB636" s="3" t="s">
        <v>2276</v>
      </c>
      <c r="AC636" s="3" t="s">
        <v>1007</v>
      </c>
      <c r="AD636" s="4" t="s">
        <v>1008</v>
      </c>
    </row>
    <row r="637" spans="1:30" ht="65" customHeight="1">
      <c r="A637" s="11" t="s">
        <v>990</v>
      </c>
      <c r="B637" s="11" t="s">
        <v>2233</v>
      </c>
      <c r="C637" s="23" t="s">
        <v>24</v>
      </c>
      <c r="D637" s="23" t="s">
        <v>2231</v>
      </c>
      <c r="E637" s="19" t="s">
        <v>396</v>
      </c>
      <c r="F637" s="19" t="s">
        <v>161</v>
      </c>
      <c r="G637" s="19"/>
      <c r="H637" s="3" t="s">
        <v>523</v>
      </c>
      <c r="I637" s="3"/>
      <c r="J637" s="21" t="s">
        <v>2276</v>
      </c>
      <c r="K637" s="21" t="s">
        <v>2276</v>
      </c>
      <c r="L637" s="21" t="s">
        <v>2276</v>
      </c>
      <c r="M637" s="21" t="s">
        <v>2276</v>
      </c>
      <c r="N637" s="21" t="s">
        <v>2276</v>
      </c>
      <c r="O637" s="21" t="s">
        <v>2276</v>
      </c>
      <c r="P637" s="21" t="s">
        <v>2276</v>
      </c>
      <c r="Q637" s="21" t="s">
        <v>2276</v>
      </c>
      <c r="R637" s="21" t="s">
        <v>2276</v>
      </c>
      <c r="S637" s="21" t="s">
        <v>2276</v>
      </c>
      <c r="T637" s="21" t="s">
        <v>2276</v>
      </c>
      <c r="U637" s="21" t="s">
        <v>2276</v>
      </c>
      <c r="V637" s="21" t="s">
        <v>2276</v>
      </c>
      <c r="W637" s="21" t="s">
        <v>2276</v>
      </c>
      <c r="X637" s="21" t="s">
        <v>2276</v>
      </c>
      <c r="Y637" s="21" t="s">
        <v>2276</v>
      </c>
      <c r="Z637" s="3" t="s">
        <v>2276</v>
      </c>
      <c r="AA637" s="3" t="s">
        <v>2276</v>
      </c>
      <c r="AB637" s="3" t="s">
        <v>2276</v>
      </c>
      <c r="AC637" s="4" t="s">
        <v>2237</v>
      </c>
      <c r="AD637" s="4"/>
    </row>
    <row r="638" spans="1:30" ht="60.5" customHeight="1">
      <c r="A638" s="11" t="s">
        <v>991</v>
      </c>
      <c r="B638" s="11" t="s">
        <v>1004</v>
      </c>
      <c r="C638" s="23" t="s">
        <v>24</v>
      </c>
      <c r="D638" s="23" t="s">
        <v>27</v>
      </c>
      <c r="E638" s="11" t="s">
        <v>130</v>
      </c>
      <c r="F638" s="19" t="s">
        <v>161</v>
      </c>
      <c r="G638" s="19"/>
      <c r="H638" s="3" t="s">
        <v>523</v>
      </c>
      <c r="I638" s="3"/>
      <c r="J638" s="21" t="s">
        <v>2276</v>
      </c>
      <c r="K638" s="21" t="s">
        <v>2276</v>
      </c>
      <c r="L638" s="21" t="s">
        <v>2276</v>
      </c>
      <c r="M638" s="21" t="s">
        <v>2276</v>
      </c>
      <c r="N638" s="21" t="s">
        <v>2276</v>
      </c>
      <c r="O638" s="21" t="s">
        <v>2276</v>
      </c>
      <c r="P638" s="21" t="s">
        <v>2276</v>
      </c>
      <c r="Q638" s="21" t="s">
        <v>2276</v>
      </c>
      <c r="R638" s="21" t="s">
        <v>2276</v>
      </c>
      <c r="S638" s="21" t="s">
        <v>2276</v>
      </c>
      <c r="T638" s="21" t="s">
        <v>2276</v>
      </c>
      <c r="U638" s="21" t="s">
        <v>2276</v>
      </c>
      <c r="V638" s="21" t="s">
        <v>2276</v>
      </c>
      <c r="W638" s="21" t="s">
        <v>2276</v>
      </c>
      <c r="X638" s="21" t="s">
        <v>2276</v>
      </c>
      <c r="Y638" s="21" t="s">
        <v>2276</v>
      </c>
      <c r="Z638" s="3" t="s">
        <v>2276</v>
      </c>
      <c r="AA638" s="3" t="s">
        <v>2276</v>
      </c>
      <c r="AB638" s="3" t="s">
        <v>2276</v>
      </c>
      <c r="AC638" s="3" t="s">
        <v>1007</v>
      </c>
      <c r="AD638" s="4" t="s">
        <v>1008</v>
      </c>
    </row>
    <row r="639" spans="1:30" ht="60.5" customHeight="1">
      <c r="A639" s="11" t="s">
        <v>991</v>
      </c>
      <c r="B639" s="11" t="s">
        <v>2234</v>
      </c>
      <c r="C639" s="23" t="s">
        <v>24</v>
      </c>
      <c r="D639" s="23" t="s">
        <v>2231</v>
      </c>
      <c r="E639" s="19" t="s">
        <v>396</v>
      </c>
      <c r="F639" s="19" t="s">
        <v>161</v>
      </c>
      <c r="G639" s="19"/>
      <c r="H639" s="3" t="s">
        <v>523</v>
      </c>
      <c r="I639" s="3"/>
      <c r="J639" s="21" t="s">
        <v>2276</v>
      </c>
      <c r="K639" s="21" t="s">
        <v>2276</v>
      </c>
      <c r="L639" s="21" t="s">
        <v>2276</v>
      </c>
      <c r="M639" s="21" t="s">
        <v>2276</v>
      </c>
      <c r="N639" s="21" t="s">
        <v>2276</v>
      </c>
      <c r="O639" s="21" t="s">
        <v>2276</v>
      </c>
      <c r="P639" s="21" t="s">
        <v>2276</v>
      </c>
      <c r="Q639" s="21" t="s">
        <v>2276</v>
      </c>
      <c r="R639" s="21" t="s">
        <v>2276</v>
      </c>
      <c r="S639" s="21" t="s">
        <v>2276</v>
      </c>
      <c r="T639" s="21" t="s">
        <v>2276</v>
      </c>
      <c r="U639" s="21" t="s">
        <v>2276</v>
      </c>
      <c r="V639" s="21" t="s">
        <v>2276</v>
      </c>
      <c r="W639" s="21" t="s">
        <v>2276</v>
      </c>
      <c r="X639" s="21" t="s">
        <v>2276</v>
      </c>
      <c r="Y639" s="21" t="s">
        <v>2276</v>
      </c>
      <c r="Z639" s="3" t="s">
        <v>2276</v>
      </c>
      <c r="AA639" s="3" t="s">
        <v>2276</v>
      </c>
      <c r="AB639" s="3" t="s">
        <v>2276</v>
      </c>
      <c r="AC639" s="4" t="s">
        <v>2238</v>
      </c>
      <c r="AD639" s="4"/>
    </row>
    <row r="640" spans="1:30" ht="60" customHeight="1">
      <c r="A640" s="11" t="s">
        <v>992</v>
      </c>
      <c r="B640" s="11" t="s">
        <v>1005</v>
      </c>
      <c r="C640" s="23" t="s">
        <v>24</v>
      </c>
      <c r="D640" s="23" t="s">
        <v>27</v>
      </c>
      <c r="E640" s="11" t="s">
        <v>130</v>
      </c>
      <c r="F640" s="19" t="s">
        <v>161</v>
      </c>
      <c r="G640" s="19"/>
      <c r="H640" s="3" t="s">
        <v>523</v>
      </c>
      <c r="I640" s="3"/>
      <c r="J640" s="21" t="s">
        <v>2276</v>
      </c>
      <c r="K640" s="21" t="s">
        <v>2276</v>
      </c>
      <c r="L640" s="21" t="s">
        <v>2276</v>
      </c>
      <c r="M640" s="21" t="s">
        <v>2276</v>
      </c>
      <c r="N640" s="21" t="s">
        <v>2276</v>
      </c>
      <c r="O640" s="21" t="s">
        <v>2276</v>
      </c>
      <c r="P640" s="21" t="s">
        <v>2276</v>
      </c>
      <c r="Q640" s="21" t="s">
        <v>2276</v>
      </c>
      <c r="R640" s="21" t="s">
        <v>2276</v>
      </c>
      <c r="S640" s="21" t="s">
        <v>2276</v>
      </c>
      <c r="T640" s="21" t="s">
        <v>2276</v>
      </c>
      <c r="U640" s="21" t="s">
        <v>2276</v>
      </c>
      <c r="V640" s="21" t="s">
        <v>2276</v>
      </c>
      <c r="W640" s="21" t="s">
        <v>2276</v>
      </c>
      <c r="X640" s="21" t="s">
        <v>2276</v>
      </c>
      <c r="Y640" s="21" t="s">
        <v>2276</v>
      </c>
      <c r="Z640" s="3" t="s">
        <v>2276</v>
      </c>
      <c r="AA640" s="3" t="s">
        <v>2276</v>
      </c>
      <c r="AB640" s="3" t="s">
        <v>2276</v>
      </c>
      <c r="AC640" s="3" t="s">
        <v>1007</v>
      </c>
      <c r="AD640" s="4" t="s">
        <v>1008</v>
      </c>
    </row>
    <row r="641" spans="1:30" ht="60" customHeight="1">
      <c r="A641" s="11" t="s">
        <v>992</v>
      </c>
      <c r="B641" s="11" t="s">
        <v>2235</v>
      </c>
      <c r="C641" s="23" t="s">
        <v>24</v>
      </c>
      <c r="D641" s="23" t="s">
        <v>2231</v>
      </c>
      <c r="E641" s="19" t="s">
        <v>396</v>
      </c>
      <c r="F641" s="19" t="s">
        <v>161</v>
      </c>
      <c r="G641" s="19"/>
      <c r="H641" s="3" t="s">
        <v>523</v>
      </c>
      <c r="I641" s="3"/>
      <c r="J641" s="21" t="s">
        <v>2276</v>
      </c>
      <c r="K641" s="21" t="s">
        <v>2276</v>
      </c>
      <c r="L641" s="21" t="s">
        <v>2276</v>
      </c>
      <c r="M641" s="21" t="s">
        <v>2276</v>
      </c>
      <c r="N641" s="21" t="s">
        <v>2276</v>
      </c>
      <c r="O641" s="21" t="s">
        <v>2276</v>
      </c>
      <c r="P641" s="21" t="s">
        <v>2276</v>
      </c>
      <c r="Q641" s="21" t="s">
        <v>2276</v>
      </c>
      <c r="R641" s="21" t="s">
        <v>2276</v>
      </c>
      <c r="S641" s="21" t="s">
        <v>2276</v>
      </c>
      <c r="T641" s="21" t="s">
        <v>2276</v>
      </c>
      <c r="U641" s="21" t="s">
        <v>2276</v>
      </c>
      <c r="V641" s="21" t="s">
        <v>2276</v>
      </c>
      <c r="W641" s="21" t="s">
        <v>2276</v>
      </c>
      <c r="X641" s="21" t="s">
        <v>2276</v>
      </c>
      <c r="Y641" s="21" t="s">
        <v>2276</v>
      </c>
      <c r="Z641" s="3" t="s">
        <v>2276</v>
      </c>
      <c r="AA641" s="3" t="s">
        <v>2276</v>
      </c>
      <c r="AB641" s="3" t="s">
        <v>2276</v>
      </c>
      <c r="AC641" s="4" t="s">
        <v>2239</v>
      </c>
      <c r="AD641" s="4"/>
    </row>
    <row r="642" spans="1:30" ht="57.5" customHeight="1">
      <c r="A642" s="11" t="s">
        <v>993</v>
      </c>
      <c r="B642" s="11" t="s">
        <v>1006</v>
      </c>
      <c r="C642" s="23" t="s">
        <v>24</v>
      </c>
      <c r="D642" s="23" t="s">
        <v>27</v>
      </c>
      <c r="E642" s="11" t="s">
        <v>130</v>
      </c>
      <c r="F642" s="19" t="s">
        <v>161</v>
      </c>
      <c r="G642" s="19"/>
      <c r="H642" s="3" t="s">
        <v>523</v>
      </c>
      <c r="I642" s="3"/>
      <c r="J642" s="21" t="s">
        <v>2276</v>
      </c>
      <c r="K642" s="21" t="s">
        <v>2276</v>
      </c>
      <c r="L642" s="21" t="s">
        <v>2276</v>
      </c>
      <c r="M642" s="21" t="s">
        <v>2276</v>
      </c>
      <c r="N642" s="21" t="s">
        <v>2276</v>
      </c>
      <c r="O642" s="21" t="s">
        <v>2276</v>
      </c>
      <c r="P642" s="21" t="s">
        <v>2276</v>
      </c>
      <c r="Q642" s="21" t="s">
        <v>2276</v>
      </c>
      <c r="R642" s="21" t="s">
        <v>2276</v>
      </c>
      <c r="S642" s="21" t="s">
        <v>2276</v>
      </c>
      <c r="T642" s="21" t="s">
        <v>2276</v>
      </c>
      <c r="U642" s="21" t="s">
        <v>2276</v>
      </c>
      <c r="V642" s="21" t="s">
        <v>2276</v>
      </c>
      <c r="W642" s="21" t="s">
        <v>2276</v>
      </c>
      <c r="X642" s="21" t="s">
        <v>2276</v>
      </c>
      <c r="Y642" s="21" t="s">
        <v>2276</v>
      </c>
      <c r="Z642" s="3" t="s">
        <v>2276</v>
      </c>
      <c r="AA642" s="3" t="s">
        <v>2276</v>
      </c>
      <c r="AB642" s="3" t="s">
        <v>2276</v>
      </c>
      <c r="AC642" s="3" t="s">
        <v>1007</v>
      </c>
      <c r="AD642" s="4" t="s">
        <v>718</v>
      </c>
    </row>
    <row r="643" spans="1:30" ht="57.5" customHeight="1">
      <c r="A643" s="11" t="s">
        <v>993</v>
      </c>
      <c r="B643" s="11" t="s">
        <v>2236</v>
      </c>
      <c r="C643" s="23" t="s">
        <v>24</v>
      </c>
      <c r="D643" s="23" t="s">
        <v>2231</v>
      </c>
      <c r="E643" s="19" t="s">
        <v>396</v>
      </c>
      <c r="F643" s="19" t="s">
        <v>161</v>
      </c>
      <c r="G643" s="19"/>
      <c r="H643" s="3" t="s">
        <v>523</v>
      </c>
      <c r="I643" s="3"/>
      <c r="J643" s="21" t="s">
        <v>2276</v>
      </c>
      <c r="K643" s="21" t="s">
        <v>2276</v>
      </c>
      <c r="L643" s="21" t="s">
        <v>2276</v>
      </c>
      <c r="M643" s="21" t="s">
        <v>2276</v>
      </c>
      <c r="N643" s="21" t="s">
        <v>2276</v>
      </c>
      <c r="O643" s="21" t="s">
        <v>2276</v>
      </c>
      <c r="P643" s="21" t="s">
        <v>2276</v>
      </c>
      <c r="Q643" s="21" t="s">
        <v>2276</v>
      </c>
      <c r="R643" s="21" t="s">
        <v>2276</v>
      </c>
      <c r="S643" s="21" t="s">
        <v>2276</v>
      </c>
      <c r="T643" s="21" t="s">
        <v>2276</v>
      </c>
      <c r="U643" s="21" t="s">
        <v>2276</v>
      </c>
      <c r="V643" s="21" t="s">
        <v>2276</v>
      </c>
      <c r="W643" s="21" t="s">
        <v>2276</v>
      </c>
      <c r="X643" s="21" t="s">
        <v>2276</v>
      </c>
      <c r="Y643" s="21" t="s">
        <v>2276</v>
      </c>
      <c r="Z643" s="3" t="s">
        <v>2276</v>
      </c>
      <c r="AA643" s="3" t="s">
        <v>2276</v>
      </c>
      <c r="AB643" s="3" t="s">
        <v>2276</v>
      </c>
      <c r="AC643" s="4" t="s">
        <v>2240</v>
      </c>
      <c r="AD643" s="4"/>
    </row>
    <row r="644" spans="1:30" ht="61" customHeight="1">
      <c r="A644" s="11" t="s">
        <v>994</v>
      </c>
      <c r="B644" s="11" t="s">
        <v>1012</v>
      </c>
      <c r="C644" s="23" t="s">
        <v>24</v>
      </c>
      <c r="D644" s="23" t="s">
        <v>27</v>
      </c>
      <c r="E644" s="11" t="s">
        <v>130</v>
      </c>
      <c r="F644" s="19" t="s">
        <v>161</v>
      </c>
      <c r="G644" s="19"/>
      <c r="H644" s="3" t="s">
        <v>523</v>
      </c>
      <c r="I644" s="3"/>
      <c r="J644" s="21" t="s">
        <v>2276</v>
      </c>
      <c r="K644" s="21" t="s">
        <v>2276</v>
      </c>
      <c r="L644" s="21" t="s">
        <v>2276</v>
      </c>
      <c r="M644" s="21" t="s">
        <v>2276</v>
      </c>
      <c r="N644" s="21" t="s">
        <v>2276</v>
      </c>
      <c r="O644" s="21" t="s">
        <v>2276</v>
      </c>
      <c r="P644" s="21" t="s">
        <v>2276</v>
      </c>
      <c r="Q644" s="21" t="s">
        <v>2276</v>
      </c>
      <c r="R644" s="21" t="s">
        <v>2276</v>
      </c>
      <c r="S644" s="21" t="s">
        <v>2276</v>
      </c>
      <c r="T644" s="21" t="s">
        <v>2276</v>
      </c>
      <c r="U644" s="21" t="s">
        <v>2276</v>
      </c>
      <c r="V644" s="21" t="s">
        <v>2276</v>
      </c>
      <c r="W644" s="21" t="s">
        <v>2276</v>
      </c>
      <c r="X644" s="21" t="s">
        <v>2276</v>
      </c>
      <c r="Y644" s="21" t="s">
        <v>2276</v>
      </c>
      <c r="Z644" s="3" t="s">
        <v>2276</v>
      </c>
      <c r="AA644" s="3" t="s">
        <v>2276</v>
      </c>
      <c r="AB644" s="3" t="s">
        <v>2276</v>
      </c>
      <c r="AC644" s="3" t="s">
        <v>1007</v>
      </c>
      <c r="AD644" s="4" t="s">
        <v>2228</v>
      </c>
    </row>
    <row r="645" spans="1:30" ht="71.5" customHeight="1">
      <c r="A645" s="11" t="s">
        <v>996</v>
      </c>
      <c r="B645" s="11" t="s">
        <v>1013</v>
      </c>
      <c r="C645" s="23" t="s">
        <v>24</v>
      </c>
      <c r="D645" s="23" t="s">
        <v>27</v>
      </c>
      <c r="E645" s="11" t="s">
        <v>130</v>
      </c>
      <c r="F645" s="19" t="s">
        <v>161</v>
      </c>
      <c r="G645" s="19"/>
      <c r="H645" s="3" t="s">
        <v>523</v>
      </c>
      <c r="I645" s="3"/>
      <c r="J645" s="21" t="s">
        <v>2276</v>
      </c>
      <c r="K645" s="21" t="s">
        <v>2276</v>
      </c>
      <c r="L645" s="21" t="s">
        <v>2276</v>
      </c>
      <c r="M645" s="21" t="s">
        <v>2276</v>
      </c>
      <c r="N645" s="21" t="s">
        <v>2276</v>
      </c>
      <c r="O645" s="21" t="s">
        <v>2276</v>
      </c>
      <c r="P645" s="21" t="s">
        <v>2276</v>
      </c>
      <c r="Q645" s="21" t="s">
        <v>2276</v>
      </c>
      <c r="R645" s="21" t="s">
        <v>2276</v>
      </c>
      <c r="S645" s="21" t="s">
        <v>2276</v>
      </c>
      <c r="T645" s="21" t="s">
        <v>2276</v>
      </c>
      <c r="U645" s="21" t="s">
        <v>2276</v>
      </c>
      <c r="V645" s="21" t="s">
        <v>2276</v>
      </c>
      <c r="W645" s="21" t="s">
        <v>2276</v>
      </c>
      <c r="X645" s="21" t="s">
        <v>2276</v>
      </c>
      <c r="Y645" s="21" t="s">
        <v>2276</v>
      </c>
      <c r="Z645" s="3" t="s">
        <v>2276</v>
      </c>
      <c r="AA645" s="3" t="s">
        <v>2276</v>
      </c>
      <c r="AB645" s="3" t="s">
        <v>2276</v>
      </c>
      <c r="AC645" s="3" t="s">
        <v>1007</v>
      </c>
      <c r="AD645" s="4" t="s">
        <v>2229</v>
      </c>
    </row>
    <row r="646" spans="1:30" ht="74" customHeight="1">
      <c r="A646" s="11" t="s">
        <v>995</v>
      </c>
      <c r="B646" s="11" t="s">
        <v>1014</v>
      </c>
      <c r="C646" s="23" t="s">
        <v>24</v>
      </c>
      <c r="D646" s="23" t="s">
        <v>27</v>
      </c>
      <c r="E646" s="11" t="s">
        <v>130</v>
      </c>
      <c r="F646" s="19" t="s">
        <v>161</v>
      </c>
      <c r="G646" s="19"/>
      <c r="H646" s="3" t="s">
        <v>523</v>
      </c>
      <c r="I646" s="3"/>
      <c r="J646" s="21" t="s">
        <v>2276</v>
      </c>
      <c r="K646" s="21" t="s">
        <v>2276</v>
      </c>
      <c r="L646" s="21" t="s">
        <v>2276</v>
      </c>
      <c r="M646" s="21" t="s">
        <v>2276</v>
      </c>
      <c r="N646" s="21" t="s">
        <v>2276</v>
      </c>
      <c r="O646" s="21" t="s">
        <v>2276</v>
      </c>
      <c r="P646" s="21" t="s">
        <v>2276</v>
      </c>
      <c r="Q646" s="21" t="s">
        <v>2276</v>
      </c>
      <c r="R646" s="21" t="s">
        <v>2276</v>
      </c>
      <c r="S646" s="21" t="s">
        <v>2276</v>
      </c>
      <c r="T646" s="21" t="s">
        <v>2276</v>
      </c>
      <c r="U646" s="21" t="s">
        <v>2276</v>
      </c>
      <c r="V646" s="21" t="s">
        <v>2276</v>
      </c>
      <c r="W646" s="21" t="s">
        <v>2276</v>
      </c>
      <c r="X646" s="21" t="s">
        <v>2276</v>
      </c>
      <c r="Y646" s="21" t="s">
        <v>2276</v>
      </c>
      <c r="Z646" s="3" t="s">
        <v>2276</v>
      </c>
      <c r="AA646" s="3" t="s">
        <v>2276</v>
      </c>
      <c r="AB646" s="3" t="s">
        <v>2276</v>
      </c>
      <c r="AC646" s="3" t="s">
        <v>1007</v>
      </c>
      <c r="AD646" s="4" t="s">
        <v>2229</v>
      </c>
    </row>
    <row r="647" spans="1:30" ht="74" customHeight="1">
      <c r="A647" s="11" t="s">
        <v>995</v>
      </c>
      <c r="B647" s="11" t="s">
        <v>2241</v>
      </c>
      <c r="C647" s="23" t="s">
        <v>24</v>
      </c>
      <c r="D647" s="23" t="s">
        <v>2231</v>
      </c>
      <c r="E647" s="19" t="s">
        <v>396</v>
      </c>
      <c r="F647" s="19" t="s">
        <v>161</v>
      </c>
      <c r="G647" s="19"/>
      <c r="H647" s="3" t="s">
        <v>523</v>
      </c>
      <c r="I647" s="3"/>
      <c r="J647" s="21" t="s">
        <v>2276</v>
      </c>
      <c r="K647" s="21" t="s">
        <v>2276</v>
      </c>
      <c r="L647" s="21" t="s">
        <v>2276</v>
      </c>
      <c r="M647" s="21" t="s">
        <v>2276</v>
      </c>
      <c r="N647" s="21" t="s">
        <v>2276</v>
      </c>
      <c r="O647" s="21" t="s">
        <v>2276</v>
      </c>
      <c r="P647" s="21" t="s">
        <v>2276</v>
      </c>
      <c r="Q647" s="21" t="s">
        <v>2276</v>
      </c>
      <c r="R647" s="21" t="s">
        <v>2276</v>
      </c>
      <c r="S647" s="21" t="s">
        <v>2276</v>
      </c>
      <c r="T647" s="21" t="s">
        <v>2276</v>
      </c>
      <c r="U647" s="21" t="s">
        <v>2276</v>
      </c>
      <c r="V647" s="21" t="s">
        <v>2276</v>
      </c>
      <c r="W647" s="21" t="s">
        <v>2276</v>
      </c>
      <c r="X647" s="21" t="s">
        <v>2276</v>
      </c>
      <c r="Y647" s="21" t="s">
        <v>2276</v>
      </c>
      <c r="Z647" s="3" t="s">
        <v>2276</v>
      </c>
      <c r="AA647" s="3" t="s">
        <v>2276</v>
      </c>
      <c r="AB647" s="3" t="s">
        <v>2276</v>
      </c>
      <c r="AC647" s="4" t="s">
        <v>2243</v>
      </c>
      <c r="AD647" s="4"/>
    </row>
    <row r="648" spans="1:30" ht="62.5" customHeight="1">
      <c r="A648" s="11" t="s">
        <v>997</v>
      </c>
      <c r="B648" s="11" t="s">
        <v>1015</v>
      </c>
      <c r="C648" s="23" t="s">
        <v>24</v>
      </c>
      <c r="D648" s="23" t="s">
        <v>27</v>
      </c>
      <c r="E648" s="11" t="s">
        <v>130</v>
      </c>
      <c r="F648" s="19" t="s">
        <v>161</v>
      </c>
      <c r="G648" s="19"/>
      <c r="H648" s="3" t="s">
        <v>523</v>
      </c>
      <c r="I648" s="3"/>
      <c r="J648" s="21" t="s">
        <v>2276</v>
      </c>
      <c r="K648" s="21" t="s">
        <v>2276</v>
      </c>
      <c r="L648" s="21" t="s">
        <v>2276</v>
      </c>
      <c r="M648" s="21" t="s">
        <v>2276</v>
      </c>
      <c r="N648" s="21" t="s">
        <v>2276</v>
      </c>
      <c r="O648" s="21" t="s">
        <v>2276</v>
      </c>
      <c r="P648" s="21" t="s">
        <v>2276</v>
      </c>
      <c r="Q648" s="21" t="s">
        <v>2276</v>
      </c>
      <c r="R648" s="21" t="s">
        <v>2276</v>
      </c>
      <c r="S648" s="21" t="s">
        <v>2276</v>
      </c>
      <c r="T648" s="21" t="s">
        <v>2276</v>
      </c>
      <c r="U648" s="21" t="s">
        <v>2276</v>
      </c>
      <c r="V648" s="21" t="s">
        <v>2276</v>
      </c>
      <c r="W648" s="21" t="s">
        <v>2276</v>
      </c>
      <c r="X648" s="21" t="s">
        <v>2276</v>
      </c>
      <c r="Y648" s="21" t="s">
        <v>2276</v>
      </c>
      <c r="Z648" s="3" t="s">
        <v>2276</v>
      </c>
      <c r="AA648" s="3" t="s">
        <v>2276</v>
      </c>
      <c r="AB648" s="3" t="s">
        <v>2276</v>
      </c>
      <c r="AC648" s="3" t="s">
        <v>1007</v>
      </c>
      <c r="AD648" s="4" t="s">
        <v>2228</v>
      </c>
    </row>
    <row r="649" spans="1:30" ht="69" customHeight="1">
      <c r="A649" s="11" t="s">
        <v>997</v>
      </c>
      <c r="B649" s="11" t="s">
        <v>2242</v>
      </c>
      <c r="C649" s="23" t="s">
        <v>24</v>
      </c>
      <c r="D649" s="23" t="s">
        <v>2231</v>
      </c>
      <c r="E649" s="19" t="s">
        <v>396</v>
      </c>
      <c r="F649" s="19" t="s">
        <v>161</v>
      </c>
      <c r="G649" s="19"/>
      <c r="H649" s="3" t="s">
        <v>523</v>
      </c>
      <c r="I649" s="3"/>
      <c r="J649" s="21" t="s">
        <v>2276</v>
      </c>
      <c r="K649" s="21" t="s">
        <v>2276</v>
      </c>
      <c r="L649" s="21" t="s">
        <v>2276</v>
      </c>
      <c r="M649" s="21" t="s">
        <v>2276</v>
      </c>
      <c r="N649" s="21" t="s">
        <v>2276</v>
      </c>
      <c r="O649" s="21" t="s">
        <v>2276</v>
      </c>
      <c r="P649" s="21" t="s">
        <v>2276</v>
      </c>
      <c r="Q649" s="21" t="s">
        <v>2276</v>
      </c>
      <c r="R649" s="21" t="s">
        <v>2276</v>
      </c>
      <c r="S649" s="21" t="s">
        <v>2276</v>
      </c>
      <c r="T649" s="21" t="s">
        <v>2276</v>
      </c>
      <c r="U649" s="21" t="s">
        <v>2276</v>
      </c>
      <c r="V649" s="21" t="s">
        <v>2276</v>
      </c>
      <c r="W649" s="21" t="s">
        <v>2276</v>
      </c>
      <c r="X649" s="21" t="s">
        <v>2276</v>
      </c>
      <c r="Y649" s="21" t="s">
        <v>2276</v>
      </c>
      <c r="Z649" s="3" t="s">
        <v>2276</v>
      </c>
      <c r="AA649" s="3" t="s">
        <v>2276</v>
      </c>
      <c r="AB649" s="3" t="s">
        <v>2276</v>
      </c>
      <c r="AC649" s="4" t="s">
        <v>2240</v>
      </c>
      <c r="AD649" s="4"/>
    </row>
    <row r="650" spans="1:30" ht="70" customHeight="1">
      <c r="A650" s="11" t="s">
        <v>1016</v>
      </c>
      <c r="B650" s="11" t="s">
        <v>1021</v>
      </c>
      <c r="C650" s="23" t="s">
        <v>24</v>
      </c>
      <c r="D650" s="23" t="s">
        <v>27</v>
      </c>
      <c r="E650" s="11" t="s">
        <v>130</v>
      </c>
      <c r="F650" s="19" t="s">
        <v>161</v>
      </c>
      <c r="G650" s="19"/>
      <c r="H650" s="3" t="s">
        <v>523</v>
      </c>
      <c r="I650" s="3"/>
      <c r="J650" s="21" t="s">
        <v>2276</v>
      </c>
      <c r="K650" s="21" t="s">
        <v>2276</v>
      </c>
      <c r="L650" s="21" t="s">
        <v>2276</v>
      </c>
      <c r="M650" s="21" t="s">
        <v>2276</v>
      </c>
      <c r="N650" s="21" t="s">
        <v>2276</v>
      </c>
      <c r="O650" s="21" t="s">
        <v>2276</v>
      </c>
      <c r="P650" s="21" t="s">
        <v>2276</v>
      </c>
      <c r="Q650" s="21" t="s">
        <v>2276</v>
      </c>
      <c r="R650" s="21" t="s">
        <v>2276</v>
      </c>
      <c r="S650" s="21" t="s">
        <v>2276</v>
      </c>
      <c r="T650" s="21" t="s">
        <v>2276</v>
      </c>
      <c r="U650" s="21" t="s">
        <v>2276</v>
      </c>
      <c r="V650" s="21" t="s">
        <v>2276</v>
      </c>
      <c r="W650" s="21" t="s">
        <v>2276</v>
      </c>
      <c r="X650" s="21" t="s">
        <v>2276</v>
      </c>
      <c r="Y650" s="21" t="s">
        <v>2276</v>
      </c>
      <c r="Z650" s="3" t="s">
        <v>2276</v>
      </c>
      <c r="AA650" s="3" t="s">
        <v>2276</v>
      </c>
      <c r="AB650" s="3" t="s">
        <v>2276</v>
      </c>
      <c r="AC650" s="3" t="s">
        <v>1007</v>
      </c>
      <c r="AD650" s="4" t="s">
        <v>2244</v>
      </c>
    </row>
    <row r="651" spans="1:30" ht="67.5" customHeight="1">
      <c r="A651" s="11" t="s">
        <v>1019</v>
      </c>
      <c r="B651" s="11" t="s">
        <v>1022</v>
      </c>
      <c r="C651" s="23" t="s">
        <v>24</v>
      </c>
      <c r="D651" s="23" t="s">
        <v>27</v>
      </c>
      <c r="E651" s="11" t="s">
        <v>130</v>
      </c>
      <c r="F651" s="19" t="s">
        <v>161</v>
      </c>
      <c r="G651" s="19"/>
      <c r="H651" s="3" t="s">
        <v>523</v>
      </c>
      <c r="I651" s="3"/>
      <c r="J651" s="21" t="s">
        <v>2276</v>
      </c>
      <c r="K651" s="21" t="s">
        <v>2276</v>
      </c>
      <c r="L651" s="21" t="s">
        <v>2276</v>
      </c>
      <c r="M651" s="21" t="s">
        <v>2276</v>
      </c>
      <c r="N651" s="21" t="s">
        <v>2276</v>
      </c>
      <c r="O651" s="21" t="s">
        <v>2276</v>
      </c>
      <c r="P651" s="21" t="s">
        <v>2276</v>
      </c>
      <c r="Q651" s="21" t="s">
        <v>2276</v>
      </c>
      <c r="R651" s="21" t="s">
        <v>2276</v>
      </c>
      <c r="S651" s="21" t="s">
        <v>2276</v>
      </c>
      <c r="T651" s="21" t="s">
        <v>2276</v>
      </c>
      <c r="U651" s="21" t="s">
        <v>2276</v>
      </c>
      <c r="V651" s="21" t="s">
        <v>2276</v>
      </c>
      <c r="W651" s="21" t="s">
        <v>2276</v>
      </c>
      <c r="X651" s="21" t="s">
        <v>2276</v>
      </c>
      <c r="Y651" s="21" t="s">
        <v>2276</v>
      </c>
      <c r="Z651" s="3" t="s">
        <v>2276</v>
      </c>
      <c r="AA651" s="3" t="s">
        <v>2276</v>
      </c>
      <c r="AB651" s="3" t="s">
        <v>2276</v>
      </c>
      <c r="AC651" s="3" t="s">
        <v>1007</v>
      </c>
      <c r="AD651" s="4" t="s">
        <v>2244</v>
      </c>
    </row>
    <row r="652" spans="1:30" ht="48.5" customHeight="1">
      <c r="A652" s="11" t="s">
        <v>1023</v>
      </c>
      <c r="B652" s="11" t="s">
        <v>1028</v>
      </c>
      <c r="C652" s="23" t="s">
        <v>24</v>
      </c>
      <c r="D652" s="23" t="s">
        <v>27</v>
      </c>
      <c r="E652" s="11" t="s">
        <v>130</v>
      </c>
      <c r="F652" s="19" t="s">
        <v>161</v>
      </c>
      <c r="G652" s="19"/>
      <c r="H652" s="3" t="s">
        <v>523</v>
      </c>
      <c r="I652" s="3"/>
      <c r="J652" s="21" t="s">
        <v>2276</v>
      </c>
      <c r="K652" s="21" t="s">
        <v>2276</v>
      </c>
      <c r="L652" s="21" t="s">
        <v>2276</v>
      </c>
      <c r="M652" s="21" t="s">
        <v>2276</v>
      </c>
      <c r="N652" s="21" t="s">
        <v>2276</v>
      </c>
      <c r="O652" s="21" t="s">
        <v>2276</v>
      </c>
      <c r="P652" s="21" t="s">
        <v>2276</v>
      </c>
      <c r="Q652" s="21" t="s">
        <v>2276</v>
      </c>
      <c r="R652" s="21" t="s">
        <v>2276</v>
      </c>
      <c r="S652" s="21" t="s">
        <v>2276</v>
      </c>
      <c r="T652" s="21" t="s">
        <v>2276</v>
      </c>
      <c r="U652" s="21" t="s">
        <v>2276</v>
      </c>
      <c r="V652" s="21" t="s">
        <v>2276</v>
      </c>
      <c r="W652" s="21" t="s">
        <v>2276</v>
      </c>
      <c r="X652" s="21" t="s">
        <v>2276</v>
      </c>
      <c r="Y652" s="21" t="s">
        <v>2276</v>
      </c>
      <c r="Z652" s="3" t="s">
        <v>2276</v>
      </c>
      <c r="AA652" s="3" t="s">
        <v>2276</v>
      </c>
      <c r="AB652" s="3" t="s">
        <v>2276</v>
      </c>
      <c r="AC652" s="4" t="s">
        <v>2246</v>
      </c>
      <c r="AD652" s="4" t="s">
        <v>2071</v>
      </c>
    </row>
    <row r="653" spans="1:30" ht="54" customHeight="1">
      <c r="A653" s="11" t="s">
        <v>1024</v>
      </c>
      <c r="B653" s="11" t="s">
        <v>1029</v>
      </c>
      <c r="C653" s="23" t="s">
        <v>24</v>
      </c>
      <c r="D653" s="23" t="s">
        <v>27</v>
      </c>
      <c r="E653" s="11" t="s">
        <v>130</v>
      </c>
      <c r="F653" s="19" t="s">
        <v>161</v>
      </c>
      <c r="G653" s="19"/>
      <c r="H653" s="3" t="s">
        <v>523</v>
      </c>
      <c r="I653" s="3"/>
      <c r="J653" s="21" t="s">
        <v>2276</v>
      </c>
      <c r="K653" s="21" t="s">
        <v>2276</v>
      </c>
      <c r="L653" s="21" t="s">
        <v>2276</v>
      </c>
      <c r="M653" s="21" t="s">
        <v>2276</v>
      </c>
      <c r="N653" s="21" t="s">
        <v>2276</v>
      </c>
      <c r="O653" s="21" t="s">
        <v>2276</v>
      </c>
      <c r="P653" s="21" t="s">
        <v>2276</v>
      </c>
      <c r="Q653" s="21" t="s">
        <v>2276</v>
      </c>
      <c r="R653" s="21" t="s">
        <v>2276</v>
      </c>
      <c r="S653" s="21" t="s">
        <v>2276</v>
      </c>
      <c r="T653" s="21" t="s">
        <v>2276</v>
      </c>
      <c r="U653" s="21" t="s">
        <v>2276</v>
      </c>
      <c r="V653" s="21" t="s">
        <v>2276</v>
      </c>
      <c r="W653" s="21" t="s">
        <v>2276</v>
      </c>
      <c r="X653" s="21" t="s">
        <v>2276</v>
      </c>
      <c r="Y653" s="21" t="s">
        <v>2276</v>
      </c>
      <c r="Z653" s="3" t="s">
        <v>2276</v>
      </c>
      <c r="AA653" s="3" t="s">
        <v>2276</v>
      </c>
      <c r="AB653" s="3" t="s">
        <v>2276</v>
      </c>
      <c r="AC653" s="4" t="s">
        <v>2246</v>
      </c>
      <c r="AD653" s="4" t="s">
        <v>2071</v>
      </c>
    </row>
    <row r="654" spans="1:30" ht="47.5" customHeight="1">
      <c r="A654" s="11" t="s">
        <v>1071</v>
      </c>
      <c r="B654" s="11" t="s">
        <v>1076</v>
      </c>
      <c r="C654" s="23" t="s">
        <v>24</v>
      </c>
      <c r="D654" s="23" t="s">
        <v>27</v>
      </c>
      <c r="E654" s="11" t="s">
        <v>130</v>
      </c>
      <c r="F654" s="19" t="s">
        <v>161</v>
      </c>
      <c r="G654" s="19"/>
      <c r="H654" s="3" t="s">
        <v>524</v>
      </c>
      <c r="I654" s="3"/>
      <c r="J654" s="21">
        <v>0</v>
      </c>
      <c r="K654" s="21">
        <v>0</v>
      </c>
      <c r="L654" s="21">
        <v>0</v>
      </c>
      <c r="M654" s="21">
        <v>0</v>
      </c>
      <c r="N654" s="21">
        <v>0</v>
      </c>
      <c r="O654" s="21">
        <v>0</v>
      </c>
      <c r="P654" s="21">
        <v>0</v>
      </c>
      <c r="Q654" s="21" t="s">
        <v>2276</v>
      </c>
      <c r="R654" s="21" t="s">
        <v>2276</v>
      </c>
      <c r="S654" s="21">
        <v>0</v>
      </c>
      <c r="T654" s="21">
        <v>0</v>
      </c>
      <c r="U654" s="21">
        <v>0</v>
      </c>
      <c r="V654" s="21">
        <v>0</v>
      </c>
      <c r="W654" s="21">
        <v>0</v>
      </c>
      <c r="X654" s="21">
        <v>0</v>
      </c>
      <c r="Y654" s="21">
        <v>0</v>
      </c>
      <c r="Z654" s="3" t="s">
        <v>2276</v>
      </c>
      <c r="AA654" s="3" t="s">
        <v>2276</v>
      </c>
      <c r="AB654" s="3" t="s">
        <v>2276</v>
      </c>
      <c r="AC654" s="3"/>
      <c r="AD654" s="3"/>
    </row>
    <row r="655" spans="1:30" ht="46.5" customHeight="1">
      <c r="A655" s="11" t="s">
        <v>1071</v>
      </c>
      <c r="B655" s="11" t="s">
        <v>1078</v>
      </c>
      <c r="C655" s="23" t="s">
        <v>24</v>
      </c>
      <c r="D655" s="23" t="s">
        <v>143</v>
      </c>
      <c r="E655" s="11" t="s">
        <v>1</v>
      </c>
      <c r="F655" s="19" t="s">
        <v>74</v>
      </c>
      <c r="G655" s="19"/>
      <c r="H655" s="3" t="s">
        <v>524</v>
      </c>
      <c r="I655" s="3"/>
      <c r="J655" s="21" t="s">
        <v>2276</v>
      </c>
      <c r="K655" s="21" t="s">
        <v>2276</v>
      </c>
      <c r="L655" s="21" t="s">
        <v>2276</v>
      </c>
      <c r="M655" s="21" t="s">
        <v>2276</v>
      </c>
      <c r="N655" s="21" t="s">
        <v>2276</v>
      </c>
      <c r="O655" s="21" t="s">
        <v>2276</v>
      </c>
      <c r="P655" s="21" t="s">
        <v>2276</v>
      </c>
      <c r="Q655" s="21" t="s">
        <v>2276</v>
      </c>
      <c r="R655" s="21" t="s">
        <v>2276</v>
      </c>
      <c r="S655" s="21" t="s">
        <v>2276</v>
      </c>
      <c r="T655" s="21" t="s">
        <v>2276</v>
      </c>
      <c r="U655" s="21" t="s">
        <v>2276</v>
      </c>
      <c r="V655" s="21" t="s">
        <v>2276</v>
      </c>
      <c r="W655" s="21" t="s">
        <v>2276</v>
      </c>
      <c r="X655" s="21" t="s">
        <v>2276</v>
      </c>
      <c r="Y655" s="21" t="s">
        <v>2276</v>
      </c>
      <c r="Z655" s="3" t="s">
        <v>2276</v>
      </c>
      <c r="AA655" s="3" t="s">
        <v>2276</v>
      </c>
      <c r="AB655" s="3" t="s">
        <v>2276</v>
      </c>
      <c r="AC655" s="3"/>
      <c r="AD655" s="4" t="s">
        <v>1079</v>
      </c>
    </row>
    <row r="656" spans="1:30" ht="64" customHeight="1">
      <c r="A656" s="11" t="s">
        <v>1075</v>
      </c>
      <c r="B656" s="11" t="s">
        <v>1077</v>
      </c>
      <c r="C656" s="23" t="s">
        <v>24</v>
      </c>
      <c r="D656" s="23" t="s">
        <v>27</v>
      </c>
      <c r="E656" s="11" t="s">
        <v>130</v>
      </c>
      <c r="F656" s="19" t="s">
        <v>161</v>
      </c>
      <c r="G656" s="19"/>
      <c r="H656" s="3" t="s">
        <v>523</v>
      </c>
      <c r="I656" s="3"/>
      <c r="J656" s="21" t="s">
        <v>2276</v>
      </c>
      <c r="K656" s="21" t="s">
        <v>2276</v>
      </c>
      <c r="L656" s="21" t="s">
        <v>2276</v>
      </c>
      <c r="M656" s="21" t="s">
        <v>2276</v>
      </c>
      <c r="N656" s="21" t="s">
        <v>2276</v>
      </c>
      <c r="O656" s="21" t="s">
        <v>2276</v>
      </c>
      <c r="P656" s="21" t="s">
        <v>2276</v>
      </c>
      <c r="Q656" s="21" t="s">
        <v>2276</v>
      </c>
      <c r="R656" s="21" t="s">
        <v>2276</v>
      </c>
      <c r="S656" s="21" t="s">
        <v>2276</v>
      </c>
      <c r="T656" s="21" t="s">
        <v>2276</v>
      </c>
      <c r="U656" s="21" t="s">
        <v>2276</v>
      </c>
      <c r="V656" s="21" t="s">
        <v>2276</v>
      </c>
      <c r="W656" s="21" t="s">
        <v>2276</v>
      </c>
      <c r="X656" s="21" t="s">
        <v>2276</v>
      </c>
      <c r="Y656" s="21">
        <v>16</v>
      </c>
      <c r="Z656" s="3" t="s">
        <v>189</v>
      </c>
      <c r="AA656" s="3" t="s">
        <v>189</v>
      </c>
      <c r="AB656" s="3" t="s">
        <v>2276</v>
      </c>
      <c r="AC656" s="3" t="s">
        <v>1007</v>
      </c>
      <c r="AD656" s="4" t="s">
        <v>2292</v>
      </c>
    </row>
    <row r="657" spans="1:30" ht="46" customHeight="1">
      <c r="A657" s="11" t="s">
        <v>1075</v>
      </c>
      <c r="B657" s="11" t="s">
        <v>1081</v>
      </c>
      <c r="C657" s="23" t="s">
        <v>24</v>
      </c>
      <c r="D657" s="23" t="s">
        <v>25</v>
      </c>
      <c r="E657" s="11" t="s">
        <v>45</v>
      </c>
      <c r="F657" s="19" t="s">
        <v>161</v>
      </c>
      <c r="G657" s="19"/>
      <c r="H657" s="3" t="s">
        <v>523</v>
      </c>
      <c r="I657" s="3"/>
      <c r="J657" s="21" t="s">
        <v>2276</v>
      </c>
      <c r="K657" s="21" t="s">
        <v>2276</v>
      </c>
      <c r="L657" s="21" t="s">
        <v>2276</v>
      </c>
      <c r="M657" s="21" t="s">
        <v>2276</v>
      </c>
      <c r="N657" s="21" t="s">
        <v>2276</v>
      </c>
      <c r="O657" s="21" t="s">
        <v>2276</v>
      </c>
      <c r="P657" s="21" t="s">
        <v>2276</v>
      </c>
      <c r="Q657" s="21" t="s">
        <v>2276</v>
      </c>
      <c r="R657" s="21" t="s">
        <v>2276</v>
      </c>
      <c r="S657" s="21" t="s">
        <v>2276</v>
      </c>
      <c r="T657" s="21" t="s">
        <v>2276</v>
      </c>
      <c r="U657" s="21" t="s">
        <v>2276</v>
      </c>
      <c r="V657" s="21" t="s">
        <v>2276</v>
      </c>
      <c r="W657" s="21" t="s">
        <v>2276</v>
      </c>
      <c r="X657" s="21" t="s">
        <v>2276</v>
      </c>
      <c r="Y657" s="21" t="s">
        <v>2276</v>
      </c>
      <c r="Z657" s="3" t="s">
        <v>1082</v>
      </c>
      <c r="AA657" s="3" t="s">
        <v>189</v>
      </c>
      <c r="AB657" s="3" t="s">
        <v>2276</v>
      </c>
      <c r="AC657" s="4" t="s">
        <v>2293</v>
      </c>
      <c r="AD657" s="3"/>
    </row>
    <row r="658" spans="1:30" ht="43.5" customHeight="1">
      <c r="A658" s="33" t="s">
        <v>1098</v>
      </c>
      <c r="B658" s="33" t="s">
        <v>1101</v>
      </c>
      <c r="C658" s="56" t="s">
        <v>24</v>
      </c>
      <c r="D658" s="36" t="s">
        <v>25</v>
      </c>
      <c r="E658" s="35" t="s">
        <v>45</v>
      </c>
      <c r="F658" s="55" t="s">
        <v>29</v>
      </c>
      <c r="G658" s="55"/>
      <c r="H658" s="38" t="s">
        <v>523</v>
      </c>
      <c r="I658" s="38"/>
      <c r="J658" s="73" t="s">
        <v>2276</v>
      </c>
      <c r="K658" s="73" t="s">
        <v>2276</v>
      </c>
      <c r="L658" s="73" t="s">
        <v>2276</v>
      </c>
      <c r="M658" s="73" t="s">
        <v>2276</v>
      </c>
      <c r="N658" s="73" t="s">
        <v>2276</v>
      </c>
      <c r="O658" s="73" t="s">
        <v>2276</v>
      </c>
      <c r="P658" s="73" t="s">
        <v>2276</v>
      </c>
      <c r="Q658" s="21" t="s">
        <v>2276</v>
      </c>
      <c r="R658" s="21" t="s">
        <v>2276</v>
      </c>
      <c r="S658" s="73" t="s">
        <v>2276</v>
      </c>
      <c r="T658" s="73" t="s">
        <v>2276</v>
      </c>
      <c r="U658" s="73" t="s">
        <v>2276</v>
      </c>
      <c r="V658" s="73" t="s">
        <v>2276</v>
      </c>
      <c r="W658" s="73" t="s">
        <v>2276</v>
      </c>
      <c r="X658" s="73" t="s">
        <v>2276</v>
      </c>
      <c r="Y658" s="73" t="s">
        <v>2276</v>
      </c>
      <c r="Z658" s="38" t="s">
        <v>188</v>
      </c>
      <c r="AA658" s="38" t="s">
        <v>38</v>
      </c>
      <c r="AB658" s="38" t="s">
        <v>2276</v>
      </c>
      <c r="AC658" s="38"/>
      <c r="AD658" s="38"/>
    </row>
    <row r="659" spans="1:30" ht="44.5" customHeight="1">
      <c r="A659" s="11" t="s">
        <v>1098</v>
      </c>
      <c r="B659" s="11" t="s">
        <v>1102</v>
      </c>
      <c r="C659" s="23" t="s">
        <v>24</v>
      </c>
      <c r="D659" s="23" t="s">
        <v>3480</v>
      </c>
      <c r="E659" s="11" t="s">
        <v>116</v>
      </c>
      <c r="F659" s="19" t="s">
        <v>74</v>
      </c>
      <c r="G659" s="19"/>
      <c r="H659" s="3" t="s">
        <v>523</v>
      </c>
      <c r="I659" s="3"/>
      <c r="J659" s="21" t="s">
        <v>2276</v>
      </c>
      <c r="K659" s="21" t="s">
        <v>2276</v>
      </c>
      <c r="L659" s="21" t="s">
        <v>2276</v>
      </c>
      <c r="M659" s="21" t="s">
        <v>2276</v>
      </c>
      <c r="N659" s="21" t="s">
        <v>2276</v>
      </c>
      <c r="O659" s="21" t="s">
        <v>2276</v>
      </c>
      <c r="P659" s="21" t="s">
        <v>2276</v>
      </c>
      <c r="Q659" s="21" t="s">
        <v>2276</v>
      </c>
      <c r="R659" s="21" t="s">
        <v>2276</v>
      </c>
      <c r="S659" s="21" t="s">
        <v>2276</v>
      </c>
      <c r="T659" s="21" t="s">
        <v>2276</v>
      </c>
      <c r="U659" s="21" t="s">
        <v>2276</v>
      </c>
      <c r="V659" s="21" t="s">
        <v>2276</v>
      </c>
      <c r="W659" s="21" t="s">
        <v>2276</v>
      </c>
      <c r="X659" s="21" t="s">
        <v>2276</v>
      </c>
      <c r="Y659" s="21" t="s">
        <v>2276</v>
      </c>
      <c r="Z659" s="38" t="s">
        <v>188</v>
      </c>
      <c r="AA659" s="38" t="s">
        <v>38</v>
      </c>
      <c r="AB659" s="3" t="s">
        <v>2276</v>
      </c>
      <c r="AC659" s="4" t="s">
        <v>1103</v>
      </c>
      <c r="AD659" s="3"/>
    </row>
    <row r="660" spans="1:30" ht="44.5" customHeight="1">
      <c r="A660" s="11" t="s">
        <v>1098</v>
      </c>
      <c r="B660" s="11" t="s">
        <v>1104</v>
      </c>
      <c r="C660" s="23" t="s">
        <v>24</v>
      </c>
      <c r="D660" s="19" t="s">
        <v>144</v>
      </c>
      <c r="E660" s="19" t="s">
        <v>137</v>
      </c>
      <c r="F660" s="19" t="s">
        <v>74</v>
      </c>
      <c r="G660" s="19"/>
      <c r="H660" s="3" t="s">
        <v>524</v>
      </c>
      <c r="I660" s="3"/>
      <c r="J660" s="21" t="s">
        <v>2276</v>
      </c>
      <c r="K660" s="21" t="s">
        <v>2276</v>
      </c>
      <c r="L660" s="21" t="s">
        <v>2276</v>
      </c>
      <c r="M660" s="21" t="s">
        <v>2276</v>
      </c>
      <c r="N660" s="21" t="s">
        <v>2276</v>
      </c>
      <c r="O660" s="21" t="s">
        <v>2276</v>
      </c>
      <c r="P660" s="21" t="s">
        <v>2276</v>
      </c>
      <c r="Q660" s="21" t="s">
        <v>2276</v>
      </c>
      <c r="R660" s="21" t="s">
        <v>2276</v>
      </c>
      <c r="S660" s="21" t="s">
        <v>2276</v>
      </c>
      <c r="T660" s="21" t="s">
        <v>2276</v>
      </c>
      <c r="U660" s="21" t="s">
        <v>2276</v>
      </c>
      <c r="V660" s="21" t="s">
        <v>2276</v>
      </c>
      <c r="W660" s="21" t="s">
        <v>2276</v>
      </c>
      <c r="X660" s="21" t="s">
        <v>2276</v>
      </c>
      <c r="Y660" s="21" t="s">
        <v>2276</v>
      </c>
      <c r="Z660" s="3" t="s">
        <v>2276</v>
      </c>
      <c r="AA660" s="3" t="s">
        <v>2276</v>
      </c>
      <c r="AB660" s="3" t="s">
        <v>2276</v>
      </c>
      <c r="AC660" s="4"/>
      <c r="AD660" s="3"/>
    </row>
    <row r="661" spans="1:30" ht="66" customHeight="1">
      <c r="A661" s="11" t="s">
        <v>1098</v>
      </c>
      <c r="B661" s="11" t="s">
        <v>1107</v>
      </c>
      <c r="C661" s="23" t="s">
        <v>2656</v>
      </c>
      <c r="D661" s="19" t="s">
        <v>2276</v>
      </c>
      <c r="E661" s="19" t="s">
        <v>2276</v>
      </c>
      <c r="F661" s="19" t="s">
        <v>2276</v>
      </c>
      <c r="G661" s="19" t="s">
        <v>74</v>
      </c>
      <c r="H661" s="3" t="s">
        <v>524</v>
      </c>
      <c r="I661" s="3">
        <v>1992</v>
      </c>
      <c r="J661" s="21" t="s">
        <v>2276</v>
      </c>
      <c r="K661" s="21" t="s">
        <v>2276</v>
      </c>
      <c r="L661" s="21" t="s">
        <v>2276</v>
      </c>
      <c r="M661" s="21" t="s">
        <v>2276</v>
      </c>
      <c r="N661" s="21" t="s">
        <v>2276</v>
      </c>
      <c r="O661" s="21" t="s">
        <v>2276</v>
      </c>
      <c r="P661" s="21" t="s">
        <v>2276</v>
      </c>
      <c r="Q661" s="21" t="s">
        <v>2276</v>
      </c>
      <c r="R661" s="21" t="s">
        <v>2276</v>
      </c>
      <c r="S661" s="21" t="s">
        <v>2276</v>
      </c>
      <c r="T661" s="21" t="s">
        <v>2276</v>
      </c>
      <c r="U661" s="21" t="s">
        <v>2276</v>
      </c>
      <c r="V661" s="21" t="s">
        <v>2276</v>
      </c>
      <c r="W661" s="21" t="s">
        <v>2276</v>
      </c>
      <c r="X661" s="21" t="s">
        <v>2276</v>
      </c>
      <c r="Y661" s="21" t="s">
        <v>2276</v>
      </c>
      <c r="Z661" s="3" t="s">
        <v>2276</v>
      </c>
      <c r="AA661" s="3" t="s">
        <v>2276</v>
      </c>
      <c r="AB661" s="3" t="s">
        <v>2276</v>
      </c>
      <c r="AC661" s="4" t="s">
        <v>1108</v>
      </c>
      <c r="AD661" s="3"/>
    </row>
    <row r="662" spans="1:30" ht="63" customHeight="1">
      <c r="A662" s="11" t="s">
        <v>1098</v>
      </c>
      <c r="B662" s="11" t="s">
        <v>1109</v>
      </c>
      <c r="C662" s="23" t="s">
        <v>2656</v>
      </c>
      <c r="D662" s="19" t="s">
        <v>2276</v>
      </c>
      <c r="E662" s="19" t="s">
        <v>2276</v>
      </c>
      <c r="F662" s="19" t="s">
        <v>2276</v>
      </c>
      <c r="G662" s="19" t="s">
        <v>74</v>
      </c>
      <c r="H662" s="3" t="s">
        <v>524</v>
      </c>
      <c r="I662" s="3">
        <v>1993</v>
      </c>
      <c r="J662" s="21" t="s">
        <v>2276</v>
      </c>
      <c r="K662" s="21" t="s">
        <v>2276</v>
      </c>
      <c r="L662" s="21" t="s">
        <v>2276</v>
      </c>
      <c r="M662" s="21" t="s">
        <v>2276</v>
      </c>
      <c r="N662" s="21" t="s">
        <v>2276</v>
      </c>
      <c r="O662" s="21" t="s">
        <v>2276</v>
      </c>
      <c r="P662" s="21" t="s">
        <v>2276</v>
      </c>
      <c r="Q662" s="21" t="s">
        <v>2276</v>
      </c>
      <c r="R662" s="21" t="s">
        <v>2276</v>
      </c>
      <c r="S662" s="21" t="s">
        <v>2276</v>
      </c>
      <c r="T662" s="21" t="s">
        <v>2276</v>
      </c>
      <c r="U662" s="21" t="s">
        <v>2276</v>
      </c>
      <c r="V662" s="21" t="s">
        <v>2276</v>
      </c>
      <c r="W662" s="21" t="s">
        <v>2276</v>
      </c>
      <c r="X662" s="21" t="s">
        <v>2276</v>
      </c>
      <c r="Y662" s="21" t="s">
        <v>2276</v>
      </c>
      <c r="Z662" s="3" t="s">
        <v>2276</v>
      </c>
      <c r="AA662" s="3" t="s">
        <v>2276</v>
      </c>
      <c r="AB662" s="3" t="s">
        <v>2276</v>
      </c>
      <c r="AC662" s="4" t="s">
        <v>1108</v>
      </c>
      <c r="AD662" s="3"/>
    </row>
    <row r="663" spans="1:30" ht="62" customHeight="1">
      <c r="A663" s="11" t="s">
        <v>1098</v>
      </c>
      <c r="B663" s="11" t="s">
        <v>1110</v>
      </c>
      <c r="C663" s="23" t="s">
        <v>2656</v>
      </c>
      <c r="D663" s="19" t="s">
        <v>2276</v>
      </c>
      <c r="E663" s="19" t="s">
        <v>2276</v>
      </c>
      <c r="F663" s="19" t="s">
        <v>2276</v>
      </c>
      <c r="G663" s="19" t="s">
        <v>74</v>
      </c>
      <c r="H663" s="3" t="s">
        <v>524</v>
      </c>
      <c r="I663" s="3">
        <v>1994</v>
      </c>
      <c r="J663" s="21" t="s">
        <v>2276</v>
      </c>
      <c r="K663" s="21" t="s">
        <v>2276</v>
      </c>
      <c r="L663" s="21" t="s">
        <v>2276</v>
      </c>
      <c r="M663" s="21" t="s">
        <v>2276</v>
      </c>
      <c r="N663" s="21" t="s">
        <v>2276</v>
      </c>
      <c r="O663" s="21" t="s">
        <v>2276</v>
      </c>
      <c r="P663" s="21" t="s">
        <v>2276</v>
      </c>
      <c r="Q663" s="21" t="s">
        <v>2276</v>
      </c>
      <c r="R663" s="21" t="s">
        <v>2276</v>
      </c>
      <c r="S663" s="21" t="s">
        <v>2276</v>
      </c>
      <c r="T663" s="21" t="s">
        <v>2276</v>
      </c>
      <c r="U663" s="21" t="s">
        <v>2276</v>
      </c>
      <c r="V663" s="21" t="s">
        <v>2276</v>
      </c>
      <c r="W663" s="21" t="s">
        <v>2276</v>
      </c>
      <c r="X663" s="21" t="s">
        <v>2276</v>
      </c>
      <c r="Y663" s="21" t="s">
        <v>2276</v>
      </c>
      <c r="Z663" s="3" t="s">
        <v>2276</v>
      </c>
      <c r="AA663" s="3" t="s">
        <v>2276</v>
      </c>
      <c r="AB663" s="3" t="s">
        <v>2276</v>
      </c>
      <c r="AC663" s="4" t="s">
        <v>1108</v>
      </c>
      <c r="AD663" s="3"/>
    </row>
    <row r="664" spans="1:30" ht="64.5" customHeight="1">
      <c r="A664" s="11" t="s">
        <v>1098</v>
      </c>
      <c r="B664" s="11" t="s">
        <v>1111</v>
      </c>
      <c r="C664" s="23" t="s">
        <v>2656</v>
      </c>
      <c r="D664" s="19" t="s">
        <v>2276</v>
      </c>
      <c r="E664" s="19" t="s">
        <v>2276</v>
      </c>
      <c r="F664" s="19" t="s">
        <v>2276</v>
      </c>
      <c r="G664" s="19" t="s">
        <v>74</v>
      </c>
      <c r="H664" s="3" t="s">
        <v>524</v>
      </c>
      <c r="I664" s="3">
        <v>1995</v>
      </c>
      <c r="J664" s="21" t="s">
        <v>2276</v>
      </c>
      <c r="K664" s="21" t="s">
        <v>2276</v>
      </c>
      <c r="L664" s="21" t="s">
        <v>2276</v>
      </c>
      <c r="M664" s="21" t="s">
        <v>2276</v>
      </c>
      <c r="N664" s="21" t="s">
        <v>2276</v>
      </c>
      <c r="O664" s="21" t="s">
        <v>2276</v>
      </c>
      <c r="P664" s="21" t="s">
        <v>2276</v>
      </c>
      <c r="Q664" s="21" t="s">
        <v>2276</v>
      </c>
      <c r="R664" s="21" t="s">
        <v>2276</v>
      </c>
      <c r="S664" s="21" t="s">
        <v>2276</v>
      </c>
      <c r="T664" s="21" t="s">
        <v>2276</v>
      </c>
      <c r="U664" s="21" t="s">
        <v>2276</v>
      </c>
      <c r="V664" s="21" t="s">
        <v>2276</v>
      </c>
      <c r="W664" s="21" t="s">
        <v>2276</v>
      </c>
      <c r="X664" s="21" t="s">
        <v>2276</v>
      </c>
      <c r="Y664" s="21" t="s">
        <v>2276</v>
      </c>
      <c r="Z664" s="3" t="s">
        <v>2276</v>
      </c>
      <c r="AA664" s="3" t="s">
        <v>2276</v>
      </c>
      <c r="AB664" s="3" t="s">
        <v>2276</v>
      </c>
      <c r="AC664" s="4" t="s">
        <v>1108</v>
      </c>
      <c r="AD664" s="3"/>
    </row>
    <row r="665" spans="1:30" ht="65.5" customHeight="1">
      <c r="A665" s="11" t="s">
        <v>1098</v>
      </c>
      <c r="B665" s="11" t="s">
        <v>1112</v>
      </c>
      <c r="C665" s="23" t="s">
        <v>2656</v>
      </c>
      <c r="D665" s="19" t="s">
        <v>2276</v>
      </c>
      <c r="E665" s="19" t="s">
        <v>2276</v>
      </c>
      <c r="F665" s="19" t="s">
        <v>2276</v>
      </c>
      <c r="G665" s="19" t="s">
        <v>74</v>
      </c>
      <c r="H665" s="3" t="s">
        <v>524</v>
      </c>
      <c r="I665" s="3">
        <v>1996</v>
      </c>
      <c r="J665" s="21" t="s">
        <v>2276</v>
      </c>
      <c r="K665" s="21" t="s">
        <v>2276</v>
      </c>
      <c r="L665" s="21" t="s">
        <v>2276</v>
      </c>
      <c r="M665" s="21" t="s">
        <v>2276</v>
      </c>
      <c r="N665" s="21" t="s">
        <v>2276</v>
      </c>
      <c r="O665" s="21" t="s">
        <v>2276</v>
      </c>
      <c r="P665" s="21" t="s">
        <v>2276</v>
      </c>
      <c r="Q665" s="21" t="s">
        <v>2276</v>
      </c>
      <c r="R665" s="21" t="s">
        <v>2276</v>
      </c>
      <c r="S665" s="21" t="s">
        <v>2276</v>
      </c>
      <c r="T665" s="21" t="s">
        <v>2276</v>
      </c>
      <c r="U665" s="21" t="s">
        <v>2276</v>
      </c>
      <c r="V665" s="21" t="s">
        <v>2276</v>
      </c>
      <c r="W665" s="21" t="s">
        <v>2276</v>
      </c>
      <c r="X665" s="21" t="s">
        <v>2276</v>
      </c>
      <c r="Y665" s="21" t="s">
        <v>2276</v>
      </c>
      <c r="Z665" s="3" t="s">
        <v>2276</v>
      </c>
      <c r="AA665" s="3" t="s">
        <v>2276</v>
      </c>
      <c r="AB665" s="3" t="s">
        <v>2276</v>
      </c>
      <c r="AC665" s="4" t="s">
        <v>1108</v>
      </c>
      <c r="AD665" s="3"/>
    </row>
    <row r="666" spans="1:30" ht="64.5" customHeight="1">
      <c r="A666" s="11" t="s">
        <v>1098</v>
      </c>
      <c r="B666" s="11" t="s">
        <v>1113</v>
      </c>
      <c r="C666" s="23" t="s">
        <v>2656</v>
      </c>
      <c r="D666" s="19" t="s">
        <v>2276</v>
      </c>
      <c r="E666" s="19" t="s">
        <v>2276</v>
      </c>
      <c r="F666" s="19" t="s">
        <v>2276</v>
      </c>
      <c r="G666" s="19" t="s">
        <v>74</v>
      </c>
      <c r="H666" s="3" t="s">
        <v>524</v>
      </c>
      <c r="I666" s="3">
        <v>1997</v>
      </c>
      <c r="J666" s="21" t="s">
        <v>2276</v>
      </c>
      <c r="K666" s="21" t="s">
        <v>2276</v>
      </c>
      <c r="L666" s="21" t="s">
        <v>2276</v>
      </c>
      <c r="M666" s="21" t="s">
        <v>2276</v>
      </c>
      <c r="N666" s="21" t="s">
        <v>2276</v>
      </c>
      <c r="O666" s="21" t="s">
        <v>2276</v>
      </c>
      <c r="P666" s="21" t="s">
        <v>2276</v>
      </c>
      <c r="Q666" s="21" t="s">
        <v>2276</v>
      </c>
      <c r="R666" s="21" t="s">
        <v>2276</v>
      </c>
      <c r="S666" s="21" t="s">
        <v>2276</v>
      </c>
      <c r="T666" s="21" t="s">
        <v>2276</v>
      </c>
      <c r="U666" s="21" t="s">
        <v>2276</v>
      </c>
      <c r="V666" s="21" t="s">
        <v>2276</v>
      </c>
      <c r="W666" s="21" t="s">
        <v>2276</v>
      </c>
      <c r="X666" s="21" t="s">
        <v>2276</v>
      </c>
      <c r="Y666" s="21" t="s">
        <v>2276</v>
      </c>
      <c r="Z666" s="3" t="s">
        <v>2276</v>
      </c>
      <c r="AA666" s="3" t="s">
        <v>2276</v>
      </c>
      <c r="AB666" s="3" t="s">
        <v>2276</v>
      </c>
      <c r="AC666" s="4" t="s">
        <v>1108</v>
      </c>
      <c r="AD666" s="3"/>
    </row>
    <row r="667" spans="1:30" ht="63" customHeight="1">
      <c r="A667" s="11" t="s">
        <v>1098</v>
      </c>
      <c r="B667" s="11" t="s">
        <v>1114</v>
      </c>
      <c r="C667" s="23" t="s">
        <v>2656</v>
      </c>
      <c r="D667" s="19" t="s">
        <v>2276</v>
      </c>
      <c r="E667" s="19" t="s">
        <v>2276</v>
      </c>
      <c r="F667" s="19" t="s">
        <v>2276</v>
      </c>
      <c r="G667" s="19" t="s">
        <v>74</v>
      </c>
      <c r="H667" s="3" t="s">
        <v>524</v>
      </c>
      <c r="I667" s="3">
        <v>1998</v>
      </c>
      <c r="J667" s="21" t="s">
        <v>2276</v>
      </c>
      <c r="K667" s="21" t="s">
        <v>2276</v>
      </c>
      <c r="L667" s="21" t="s">
        <v>2276</v>
      </c>
      <c r="M667" s="21" t="s">
        <v>2276</v>
      </c>
      <c r="N667" s="21" t="s">
        <v>2276</v>
      </c>
      <c r="O667" s="21" t="s">
        <v>2276</v>
      </c>
      <c r="P667" s="21" t="s">
        <v>2276</v>
      </c>
      <c r="Q667" s="21" t="s">
        <v>2276</v>
      </c>
      <c r="R667" s="21" t="s">
        <v>2276</v>
      </c>
      <c r="S667" s="21" t="s">
        <v>2276</v>
      </c>
      <c r="T667" s="21" t="s">
        <v>2276</v>
      </c>
      <c r="U667" s="21" t="s">
        <v>2276</v>
      </c>
      <c r="V667" s="21" t="s">
        <v>2276</v>
      </c>
      <c r="W667" s="21" t="s">
        <v>2276</v>
      </c>
      <c r="X667" s="21" t="s">
        <v>2276</v>
      </c>
      <c r="Y667" s="21" t="s">
        <v>2276</v>
      </c>
      <c r="Z667" s="3" t="s">
        <v>2276</v>
      </c>
      <c r="AA667" s="3" t="s">
        <v>2276</v>
      </c>
      <c r="AB667" s="3" t="s">
        <v>2276</v>
      </c>
      <c r="AC667" s="4" t="s">
        <v>1108</v>
      </c>
      <c r="AD667" s="3"/>
    </row>
    <row r="668" spans="1:30" ht="62" customHeight="1">
      <c r="A668" s="11" t="s">
        <v>1098</v>
      </c>
      <c r="B668" s="11" t="s">
        <v>1115</v>
      </c>
      <c r="C668" s="23" t="s">
        <v>2656</v>
      </c>
      <c r="D668" s="19" t="s">
        <v>2276</v>
      </c>
      <c r="E668" s="19" t="s">
        <v>2276</v>
      </c>
      <c r="F668" s="19" t="s">
        <v>2276</v>
      </c>
      <c r="G668" s="19" t="s">
        <v>74</v>
      </c>
      <c r="H668" s="3" t="s">
        <v>524</v>
      </c>
      <c r="I668" s="3">
        <v>1999</v>
      </c>
      <c r="J668" s="21" t="s">
        <v>2276</v>
      </c>
      <c r="K668" s="21" t="s">
        <v>2276</v>
      </c>
      <c r="L668" s="21" t="s">
        <v>2276</v>
      </c>
      <c r="M668" s="21" t="s">
        <v>2276</v>
      </c>
      <c r="N668" s="21" t="s">
        <v>2276</v>
      </c>
      <c r="O668" s="21" t="s">
        <v>2276</v>
      </c>
      <c r="P668" s="21" t="s">
        <v>2276</v>
      </c>
      <c r="Q668" s="21" t="s">
        <v>2276</v>
      </c>
      <c r="R668" s="21" t="s">
        <v>2276</v>
      </c>
      <c r="S668" s="21" t="s">
        <v>2276</v>
      </c>
      <c r="T668" s="21" t="s">
        <v>2276</v>
      </c>
      <c r="U668" s="21" t="s">
        <v>2276</v>
      </c>
      <c r="V668" s="21" t="s">
        <v>2276</v>
      </c>
      <c r="W668" s="21" t="s">
        <v>2276</v>
      </c>
      <c r="X668" s="21" t="s">
        <v>2276</v>
      </c>
      <c r="Y668" s="21" t="s">
        <v>2276</v>
      </c>
      <c r="Z668" s="3" t="s">
        <v>2276</v>
      </c>
      <c r="AA668" s="3" t="s">
        <v>2276</v>
      </c>
      <c r="AB668" s="3" t="s">
        <v>2276</v>
      </c>
      <c r="AC668" s="4" t="s">
        <v>1108</v>
      </c>
      <c r="AD668" s="3"/>
    </row>
    <row r="669" spans="1:30" ht="67" customHeight="1">
      <c r="A669" s="11" t="s">
        <v>1098</v>
      </c>
      <c r="B669" s="11" t="s">
        <v>1116</v>
      </c>
      <c r="C669" s="23" t="s">
        <v>2656</v>
      </c>
      <c r="D669" s="19" t="s">
        <v>2276</v>
      </c>
      <c r="E669" s="19" t="s">
        <v>2276</v>
      </c>
      <c r="F669" s="19" t="s">
        <v>2276</v>
      </c>
      <c r="G669" s="19" t="s">
        <v>74</v>
      </c>
      <c r="H669" s="3" t="s">
        <v>524</v>
      </c>
      <c r="I669" s="3">
        <v>2000</v>
      </c>
      <c r="J669" s="21" t="s">
        <v>2276</v>
      </c>
      <c r="K669" s="21" t="s">
        <v>2276</v>
      </c>
      <c r="L669" s="21" t="s">
        <v>2276</v>
      </c>
      <c r="M669" s="21" t="s">
        <v>2276</v>
      </c>
      <c r="N669" s="21" t="s">
        <v>2276</v>
      </c>
      <c r="O669" s="21" t="s">
        <v>2276</v>
      </c>
      <c r="P669" s="21" t="s">
        <v>2276</v>
      </c>
      <c r="Q669" s="21" t="s">
        <v>2276</v>
      </c>
      <c r="R669" s="21" t="s">
        <v>2276</v>
      </c>
      <c r="S669" s="21" t="s">
        <v>2276</v>
      </c>
      <c r="T669" s="21" t="s">
        <v>2276</v>
      </c>
      <c r="U669" s="21" t="s">
        <v>2276</v>
      </c>
      <c r="V669" s="21" t="s">
        <v>2276</v>
      </c>
      <c r="W669" s="21" t="s">
        <v>2276</v>
      </c>
      <c r="X669" s="21" t="s">
        <v>2276</v>
      </c>
      <c r="Y669" s="21" t="s">
        <v>2276</v>
      </c>
      <c r="Z669" s="3" t="s">
        <v>2276</v>
      </c>
      <c r="AA669" s="3" t="s">
        <v>2276</v>
      </c>
      <c r="AB669" s="3" t="s">
        <v>2276</v>
      </c>
      <c r="AC669" s="4" t="s">
        <v>1108</v>
      </c>
      <c r="AD669" s="3"/>
    </row>
    <row r="670" spans="1:30" ht="93.5" customHeight="1">
      <c r="A670" s="11" t="s">
        <v>1117</v>
      </c>
      <c r="B670" s="11" t="s">
        <v>2331</v>
      </c>
      <c r="C670" s="23" t="s">
        <v>24</v>
      </c>
      <c r="D670" s="19" t="s">
        <v>27</v>
      </c>
      <c r="E670" s="19" t="s">
        <v>130</v>
      </c>
      <c r="F670" s="19" t="s">
        <v>161</v>
      </c>
      <c r="G670" s="19"/>
      <c r="H670" s="3" t="s">
        <v>523</v>
      </c>
      <c r="I670" s="3"/>
      <c r="J670" s="21" t="s">
        <v>2276</v>
      </c>
      <c r="K670" s="21" t="s">
        <v>2276</v>
      </c>
      <c r="L670" s="21" t="s">
        <v>2276</v>
      </c>
      <c r="M670" s="21" t="s">
        <v>2276</v>
      </c>
      <c r="N670" s="21" t="s">
        <v>2276</v>
      </c>
      <c r="O670" s="21" t="s">
        <v>2276</v>
      </c>
      <c r="P670" s="21" t="s">
        <v>2276</v>
      </c>
      <c r="Q670" s="21" t="s">
        <v>2276</v>
      </c>
      <c r="R670" s="21" t="s">
        <v>2276</v>
      </c>
      <c r="S670" s="21" t="s">
        <v>2276</v>
      </c>
      <c r="T670" s="21" t="s">
        <v>2276</v>
      </c>
      <c r="U670" s="21" t="s">
        <v>2276</v>
      </c>
      <c r="V670" s="21" t="s">
        <v>2276</v>
      </c>
      <c r="W670" s="21" t="s">
        <v>2276</v>
      </c>
      <c r="X670" s="21" t="s">
        <v>2276</v>
      </c>
      <c r="Y670" s="21" t="s">
        <v>2276</v>
      </c>
      <c r="Z670" s="3" t="s">
        <v>68</v>
      </c>
      <c r="AA670" s="3" t="s">
        <v>35</v>
      </c>
      <c r="AB670" s="3" t="s">
        <v>2276</v>
      </c>
      <c r="AC670" s="4" t="s">
        <v>2349</v>
      </c>
      <c r="AD670" s="3"/>
    </row>
    <row r="671" spans="1:30" ht="93.5" customHeight="1">
      <c r="A671" s="11" t="s">
        <v>1117</v>
      </c>
      <c r="B671" s="11" t="s">
        <v>2332</v>
      </c>
      <c r="C671" s="23" t="s">
        <v>24</v>
      </c>
      <c r="D671" s="19" t="s">
        <v>143</v>
      </c>
      <c r="E671" s="19" t="s">
        <v>863</v>
      </c>
      <c r="F671" s="19" t="s">
        <v>74</v>
      </c>
      <c r="G671" s="19"/>
      <c r="H671" s="3" t="s">
        <v>523</v>
      </c>
      <c r="I671" s="3"/>
      <c r="J671" s="21" t="s">
        <v>2276</v>
      </c>
      <c r="K671" s="21" t="s">
        <v>2276</v>
      </c>
      <c r="L671" s="21" t="s">
        <v>2276</v>
      </c>
      <c r="M671" s="21" t="s">
        <v>2276</v>
      </c>
      <c r="N671" s="21" t="s">
        <v>2276</v>
      </c>
      <c r="O671" s="21" t="s">
        <v>2276</v>
      </c>
      <c r="P671" s="21" t="s">
        <v>2276</v>
      </c>
      <c r="Q671" s="21" t="s">
        <v>2276</v>
      </c>
      <c r="R671" s="21" t="s">
        <v>2276</v>
      </c>
      <c r="S671" s="21" t="s">
        <v>2276</v>
      </c>
      <c r="T671" s="21" t="s">
        <v>2276</v>
      </c>
      <c r="U671" s="21" t="s">
        <v>2276</v>
      </c>
      <c r="V671" s="21" t="s">
        <v>2276</v>
      </c>
      <c r="W671" s="21" t="s">
        <v>2276</v>
      </c>
      <c r="X671" s="21" t="s">
        <v>2276</v>
      </c>
      <c r="Y671" s="21" t="s">
        <v>2276</v>
      </c>
      <c r="Z671" s="21" t="s">
        <v>2276</v>
      </c>
      <c r="AA671" s="21" t="s">
        <v>2276</v>
      </c>
      <c r="AB671" s="3" t="s">
        <v>2276</v>
      </c>
      <c r="AC671" s="4" t="s">
        <v>2336</v>
      </c>
      <c r="AD671" s="3"/>
    </row>
    <row r="672" spans="1:30" ht="93.5" customHeight="1">
      <c r="A672" s="11" t="s">
        <v>1117</v>
      </c>
      <c r="B672" s="11" t="s">
        <v>2337</v>
      </c>
      <c r="C672" s="23" t="s">
        <v>24</v>
      </c>
      <c r="D672" s="19" t="s">
        <v>61</v>
      </c>
      <c r="E672" s="19" t="s">
        <v>863</v>
      </c>
      <c r="F672" s="19" t="s">
        <v>161</v>
      </c>
      <c r="G672" s="19"/>
      <c r="H672" s="3" t="s">
        <v>523</v>
      </c>
      <c r="I672" s="3"/>
      <c r="J672" s="21" t="s">
        <v>2276</v>
      </c>
      <c r="K672" s="21" t="s">
        <v>2276</v>
      </c>
      <c r="L672" s="21" t="s">
        <v>2276</v>
      </c>
      <c r="M672" s="21" t="s">
        <v>2276</v>
      </c>
      <c r="N672" s="21" t="s">
        <v>2276</v>
      </c>
      <c r="O672" s="21" t="s">
        <v>2276</v>
      </c>
      <c r="P672" s="21" t="s">
        <v>2276</v>
      </c>
      <c r="Q672" s="21" t="s">
        <v>2276</v>
      </c>
      <c r="R672" s="21" t="s">
        <v>2276</v>
      </c>
      <c r="S672" s="21" t="s">
        <v>2276</v>
      </c>
      <c r="T672" s="21" t="s">
        <v>2276</v>
      </c>
      <c r="U672" s="21" t="s">
        <v>2276</v>
      </c>
      <c r="V672" s="21" t="s">
        <v>2276</v>
      </c>
      <c r="W672" s="21" t="s">
        <v>2276</v>
      </c>
      <c r="X672" s="21" t="s">
        <v>2276</v>
      </c>
      <c r="Y672" s="21" t="s">
        <v>2276</v>
      </c>
      <c r="Z672" s="21" t="s">
        <v>2276</v>
      </c>
      <c r="AA672" s="21" t="s">
        <v>2276</v>
      </c>
      <c r="AB672" s="3" t="s">
        <v>2276</v>
      </c>
      <c r="AC672" s="4" t="s">
        <v>2348</v>
      </c>
      <c r="AD672" s="3"/>
    </row>
    <row r="673" spans="1:30" ht="93.5" customHeight="1">
      <c r="A673" s="11" t="s">
        <v>1117</v>
      </c>
      <c r="B673" s="11" t="s">
        <v>2339</v>
      </c>
      <c r="C673" s="23" t="s">
        <v>24</v>
      </c>
      <c r="D673" s="19" t="s">
        <v>1245</v>
      </c>
      <c r="E673" s="19" t="s">
        <v>116</v>
      </c>
      <c r="F673" s="19" t="s">
        <v>74</v>
      </c>
      <c r="G673" s="19"/>
      <c r="H673" s="3" t="s">
        <v>523</v>
      </c>
      <c r="I673" s="3"/>
      <c r="J673" s="21" t="s">
        <v>2276</v>
      </c>
      <c r="K673" s="21" t="s">
        <v>2276</v>
      </c>
      <c r="L673" s="21" t="s">
        <v>2276</v>
      </c>
      <c r="M673" s="21" t="s">
        <v>2276</v>
      </c>
      <c r="N673" s="21" t="s">
        <v>2276</v>
      </c>
      <c r="O673" s="21" t="s">
        <v>2276</v>
      </c>
      <c r="P673" s="21" t="s">
        <v>2276</v>
      </c>
      <c r="Q673" s="21" t="s">
        <v>2276</v>
      </c>
      <c r="R673" s="21" t="s">
        <v>2276</v>
      </c>
      <c r="S673" s="21" t="s">
        <v>2276</v>
      </c>
      <c r="T673" s="21" t="s">
        <v>2276</v>
      </c>
      <c r="U673" s="21" t="s">
        <v>2276</v>
      </c>
      <c r="V673" s="21" t="s">
        <v>2276</v>
      </c>
      <c r="W673" s="21" t="s">
        <v>2276</v>
      </c>
      <c r="X673" s="21" t="s">
        <v>2276</v>
      </c>
      <c r="Y673" s="21" t="s">
        <v>2276</v>
      </c>
      <c r="Z673" s="21" t="s">
        <v>2276</v>
      </c>
      <c r="AA673" s="21" t="s">
        <v>2276</v>
      </c>
      <c r="AB673" s="3" t="s">
        <v>2276</v>
      </c>
      <c r="AC673" s="4" t="s">
        <v>2352</v>
      </c>
      <c r="AD673" s="3"/>
    </row>
    <row r="674" spans="1:30" ht="93.5" customHeight="1">
      <c r="A674" s="11" t="s">
        <v>1117</v>
      </c>
      <c r="B674" s="11" t="s">
        <v>2343</v>
      </c>
      <c r="C674" s="23" t="s">
        <v>24</v>
      </c>
      <c r="D674" s="19" t="s">
        <v>2341</v>
      </c>
      <c r="E674" s="19" t="s">
        <v>1105</v>
      </c>
      <c r="F674" s="19" t="s">
        <v>161</v>
      </c>
      <c r="G674" s="19"/>
      <c r="H674" s="3" t="s">
        <v>523</v>
      </c>
      <c r="I674" s="3"/>
      <c r="J674" s="21" t="s">
        <v>2276</v>
      </c>
      <c r="K674" s="21" t="s">
        <v>2276</v>
      </c>
      <c r="L674" s="21" t="s">
        <v>2276</v>
      </c>
      <c r="M674" s="21" t="s">
        <v>2276</v>
      </c>
      <c r="N674" s="21" t="s">
        <v>2276</v>
      </c>
      <c r="O674" s="21" t="s">
        <v>2276</v>
      </c>
      <c r="P674" s="21" t="s">
        <v>2276</v>
      </c>
      <c r="Q674" s="21" t="s">
        <v>2276</v>
      </c>
      <c r="R674" s="21" t="s">
        <v>2276</v>
      </c>
      <c r="S674" s="21" t="s">
        <v>2276</v>
      </c>
      <c r="T674" s="21" t="s">
        <v>2276</v>
      </c>
      <c r="U674" s="21" t="s">
        <v>2276</v>
      </c>
      <c r="V674" s="21" t="s">
        <v>2276</v>
      </c>
      <c r="W674" s="21" t="s">
        <v>2276</v>
      </c>
      <c r="X674" s="21">
        <v>20.5</v>
      </c>
      <c r="Y674" s="21">
        <v>1</v>
      </c>
      <c r="Z674" s="3" t="s">
        <v>2276</v>
      </c>
      <c r="AA674" s="3" t="s">
        <v>2276</v>
      </c>
      <c r="AB674" s="3" t="s">
        <v>2276</v>
      </c>
      <c r="AC674" s="4" t="s">
        <v>2342</v>
      </c>
      <c r="AD674" s="3"/>
    </row>
    <row r="675" spans="1:30" ht="89.5" customHeight="1">
      <c r="A675" s="11" t="s">
        <v>1118</v>
      </c>
      <c r="B675" s="11" t="s">
        <v>2333</v>
      </c>
      <c r="C675" s="23" t="s">
        <v>24</v>
      </c>
      <c r="D675" s="19" t="s">
        <v>27</v>
      </c>
      <c r="E675" s="19" t="s">
        <v>130</v>
      </c>
      <c r="F675" s="19" t="s">
        <v>161</v>
      </c>
      <c r="G675" s="19"/>
      <c r="H675" s="3" t="s">
        <v>523</v>
      </c>
      <c r="I675" s="3"/>
      <c r="J675" s="21" t="s">
        <v>2276</v>
      </c>
      <c r="K675" s="21" t="s">
        <v>2276</v>
      </c>
      <c r="L675" s="21" t="s">
        <v>2276</v>
      </c>
      <c r="M675" s="21" t="s">
        <v>2276</v>
      </c>
      <c r="N675" s="21" t="s">
        <v>2276</v>
      </c>
      <c r="O675" s="21" t="s">
        <v>2276</v>
      </c>
      <c r="P675" s="21" t="s">
        <v>2276</v>
      </c>
      <c r="Q675" s="21" t="s">
        <v>2276</v>
      </c>
      <c r="R675" s="21" t="s">
        <v>2276</v>
      </c>
      <c r="S675" s="21" t="s">
        <v>2276</v>
      </c>
      <c r="T675" s="21" t="s">
        <v>2276</v>
      </c>
      <c r="U675" s="21" t="s">
        <v>2276</v>
      </c>
      <c r="V675" s="21" t="s">
        <v>2276</v>
      </c>
      <c r="W675" s="21" t="s">
        <v>2276</v>
      </c>
      <c r="X675" s="21" t="s">
        <v>2276</v>
      </c>
      <c r="Y675" s="21" t="s">
        <v>2276</v>
      </c>
      <c r="Z675" s="3" t="s">
        <v>68</v>
      </c>
      <c r="AA675" s="3" t="s">
        <v>35</v>
      </c>
      <c r="AB675" s="3" t="s">
        <v>2276</v>
      </c>
      <c r="AC675" s="4" t="s">
        <v>2349</v>
      </c>
      <c r="AD675" s="3"/>
    </row>
    <row r="676" spans="1:30" ht="102" customHeight="1">
      <c r="A676" s="11" t="s">
        <v>1118</v>
      </c>
      <c r="B676" s="11" t="s">
        <v>2335</v>
      </c>
      <c r="C676" s="23" t="s">
        <v>24</v>
      </c>
      <c r="D676" s="19" t="s">
        <v>143</v>
      </c>
      <c r="E676" s="19" t="s">
        <v>863</v>
      </c>
      <c r="F676" s="19" t="s">
        <v>74</v>
      </c>
      <c r="G676" s="19"/>
      <c r="H676" s="3" t="s">
        <v>523</v>
      </c>
      <c r="I676" s="3"/>
      <c r="J676" s="21" t="s">
        <v>2276</v>
      </c>
      <c r="K676" s="21" t="s">
        <v>2276</v>
      </c>
      <c r="L676" s="21" t="s">
        <v>2276</v>
      </c>
      <c r="M676" s="21" t="s">
        <v>2276</v>
      </c>
      <c r="N676" s="21" t="s">
        <v>2276</v>
      </c>
      <c r="O676" s="21" t="s">
        <v>2276</v>
      </c>
      <c r="P676" s="21" t="s">
        <v>2276</v>
      </c>
      <c r="Q676" s="21" t="s">
        <v>2276</v>
      </c>
      <c r="R676" s="21" t="s">
        <v>2276</v>
      </c>
      <c r="S676" s="21" t="s">
        <v>2276</v>
      </c>
      <c r="T676" s="21" t="s">
        <v>2276</v>
      </c>
      <c r="U676" s="21" t="s">
        <v>2276</v>
      </c>
      <c r="V676" s="21" t="s">
        <v>2276</v>
      </c>
      <c r="W676" s="21" t="s">
        <v>2276</v>
      </c>
      <c r="X676" s="21" t="s">
        <v>2276</v>
      </c>
      <c r="Y676" s="21" t="s">
        <v>2276</v>
      </c>
      <c r="Z676" s="21" t="s">
        <v>2276</v>
      </c>
      <c r="AA676" s="21" t="s">
        <v>2276</v>
      </c>
      <c r="AB676" s="3" t="s">
        <v>2276</v>
      </c>
      <c r="AC676" s="4" t="s">
        <v>2336</v>
      </c>
      <c r="AD676" s="3"/>
    </row>
    <row r="677" spans="1:30" ht="102" customHeight="1">
      <c r="A677" s="11" t="s">
        <v>1118</v>
      </c>
      <c r="B677" s="11" t="s">
        <v>2338</v>
      </c>
      <c r="C677" s="23" t="s">
        <v>24</v>
      </c>
      <c r="D677" s="19" t="s">
        <v>1245</v>
      </c>
      <c r="E677" s="19" t="s">
        <v>116</v>
      </c>
      <c r="F677" s="19" t="s">
        <v>74</v>
      </c>
      <c r="G677" s="19"/>
      <c r="H677" s="3" t="s">
        <v>523</v>
      </c>
      <c r="I677" s="3"/>
      <c r="J677" s="21" t="s">
        <v>2276</v>
      </c>
      <c r="K677" s="21" t="s">
        <v>2276</v>
      </c>
      <c r="L677" s="21" t="s">
        <v>2276</v>
      </c>
      <c r="M677" s="21" t="s">
        <v>2276</v>
      </c>
      <c r="N677" s="21" t="s">
        <v>2276</v>
      </c>
      <c r="O677" s="21" t="s">
        <v>2276</v>
      </c>
      <c r="P677" s="21" t="s">
        <v>2276</v>
      </c>
      <c r="Q677" s="21" t="s">
        <v>2276</v>
      </c>
      <c r="R677" s="21" t="s">
        <v>2276</v>
      </c>
      <c r="S677" s="21" t="s">
        <v>2276</v>
      </c>
      <c r="T677" s="21" t="s">
        <v>2276</v>
      </c>
      <c r="U677" s="21" t="s">
        <v>2276</v>
      </c>
      <c r="V677" s="21" t="s">
        <v>2276</v>
      </c>
      <c r="W677" s="21" t="s">
        <v>2276</v>
      </c>
      <c r="X677" s="21" t="s">
        <v>2276</v>
      </c>
      <c r="Y677" s="21" t="s">
        <v>2276</v>
      </c>
      <c r="Z677" s="21" t="s">
        <v>2276</v>
      </c>
      <c r="AA677" s="21" t="s">
        <v>2276</v>
      </c>
      <c r="AB677" s="3" t="s">
        <v>2276</v>
      </c>
      <c r="AC677" s="4" t="s">
        <v>2352</v>
      </c>
      <c r="AD677" s="3"/>
    </row>
    <row r="678" spans="1:30" ht="102" customHeight="1">
      <c r="A678" s="11" t="s">
        <v>1118</v>
      </c>
      <c r="B678" s="11" t="s">
        <v>2340</v>
      </c>
      <c r="C678" s="23" t="s">
        <v>24</v>
      </c>
      <c r="D678" s="19" t="s">
        <v>2341</v>
      </c>
      <c r="E678" s="19" t="s">
        <v>1105</v>
      </c>
      <c r="F678" s="19" t="s">
        <v>161</v>
      </c>
      <c r="G678" s="19"/>
      <c r="H678" s="3" t="s">
        <v>523</v>
      </c>
      <c r="I678" s="3"/>
      <c r="J678" s="21" t="s">
        <v>2276</v>
      </c>
      <c r="K678" s="21" t="s">
        <v>2276</v>
      </c>
      <c r="L678" s="21" t="s">
        <v>2276</v>
      </c>
      <c r="M678" s="21" t="s">
        <v>2276</v>
      </c>
      <c r="N678" s="21" t="s">
        <v>2276</v>
      </c>
      <c r="O678" s="21" t="s">
        <v>2276</v>
      </c>
      <c r="P678" s="21" t="s">
        <v>2276</v>
      </c>
      <c r="Q678" s="21" t="s">
        <v>2276</v>
      </c>
      <c r="R678" s="21" t="s">
        <v>2276</v>
      </c>
      <c r="S678" s="21" t="s">
        <v>2276</v>
      </c>
      <c r="T678" s="21" t="s">
        <v>2276</v>
      </c>
      <c r="U678" s="21" t="s">
        <v>2276</v>
      </c>
      <c r="V678" s="21" t="s">
        <v>2276</v>
      </c>
      <c r="W678" s="21" t="s">
        <v>2276</v>
      </c>
      <c r="X678" s="21" t="s">
        <v>2276</v>
      </c>
      <c r="Y678" s="21">
        <v>1</v>
      </c>
      <c r="Z678" s="21" t="s">
        <v>2276</v>
      </c>
      <c r="AA678" s="21" t="s">
        <v>2276</v>
      </c>
      <c r="AB678" s="3" t="s">
        <v>2276</v>
      </c>
      <c r="AC678" s="4" t="s">
        <v>2342</v>
      </c>
      <c r="AD678" s="3"/>
    </row>
    <row r="679" spans="1:30" ht="102" customHeight="1">
      <c r="A679" s="11" t="s">
        <v>1118</v>
      </c>
      <c r="B679" s="11" t="s">
        <v>2344</v>
      </c>
      <c r="C679" s="23" t="s">
        <v>24</v>
      </c>
      <c r="D679" s="19" t="s">
        <v>61</v>
      </c>
      <c r="E679" s="19" t="s">
        <v>863</v>
      </c>
      <c r="F679" s="19" t="s">
        <v>161</v>
      </c>
      <c r="G679" s="19"/>
      <c r="H679" s="3" t="s">
        <v>523</v>
      </c>
      <c r="I679" s="3"/>
      <c r="J679" s="21" t="s">
        <v>2276</v>
      </c>
      <c r="K679" s="21" t="s">
        <v>2276</v>
      </c>
      <c r="L679" s="21" t="s">
        <v>2276</v>
      </c>
      <c r="M679" s="21" t="s">
        <v>2276</v>
      </c>
      <c r="N679" s="21" t="s">
        <v>2276</v>
      </c>
      <c r="O679" s="21" t="s">
        <v>2276</v>
      </c>
      <c r="P679" s="21" t="s">
        <v>2276</v>
      </c>
      <c r="Q679" s="21" t="s">
        <v>2276</v>
      </c>
      <c r="R679" s="21" t="s">
        <v>2276</v>
      </c>
      <c r="S679" s="21" t="s">
        <v>2276</v>
      </c>
      <c r="T679" s="21" t="s">
        <v>2276</v>
      </c>
      <c r="U679" s="21" t="s">
        <v>2276</v>
      </c>
      <c r="V679" s="21" t="s">
        <v>2276</v>
      </c>
      <c r="W679" s="21" t="s">
        <v>2276</v>
      </c>
      <c r="X679" s="21" t="s">
        <v>2276</v>
      </c>
      <c r="Y679" s="21" t="s">
        <v>2276</v>
      </c>
      <c r="Z679" s="21" t="s">
        <v>2276</v>
      </c>
      <c r="AA679" s="21" t="s">
        <v>2276</v>
      </c>
      <c r="AB679" s="3" t="s">
        <v>2276</v>
      </c>
      <c r="AC679" s="4" t="s">
        <v>2348</v>
      </c>
      <c r="AD679" s="3"/>
    </row>
    <row r="680" spans="1:30" ht="102" customHeight="1">
      <c r="A680" s="11" t="s">
        <v>1118</v>
      </c>
      <c r="B680" s="11" t="s">
        <v>2426</v>
      </c>
      <c r="C680" s="23" t="s">
        <v>24</v>
      </c>
      <c r="D680" s="19" t="s">
        <v>27</v>
      </c>
      <c r="E680" s="19" t="s">
        <v>84</v>
      </c>
      <c r="F680" s="19" t="s">
        <v>28</v>
      </c>
      <c r="G680" s="19"/>
      <c r="H680" s="3" t="s">
        <v>524</v>
      </c>
      <c r="I680" s="3"/>
      <c r="J680" s="21">
        <v>0</v>
      </c>
      <c r="K680" s="21">
        <v>0</v>
      </c>
      <c r="L680" s="21">
        <v>0</v>
      </c>
      <c r="M680" s="21">
        <v>0</v>
      </c>
      <c r="N680" s="21">
        <v>0</v>
      </c>
      <c r="O680" s="21">
        <v>0</v>
      </c>
      <c r="P680" s="21">
        <v>0</v>
      </c>
      <c r="Q680" s="21" t="s">
        <v>2276</v>
      </c>
      <c r="R680" s="21" t="s">
        <v>2276</v>
      </c>
      <c r="S680" s="21">
        <v>0</v>
      </c>
      <c r="T680" s="21">
        <v>0</v>
      </c>
      <c r="U680" s="21">
        <v>0</v>
      </c>
      <c r="V680" s="21">
        <v>0</v>
      </c>
      <c r="W680" s="21">
        <v>0</v>
      </c>
      <c r="X680" s="21">
        <v>0</v>
      </c>
      <c r="Y680" s="21" t="s">
        <v>2276</v>
      </c>
      <c r="Z680" s="21" t="s">
        <v>2276</v>
      </c>
      <c r="AA680" s="21" t="s">
        <v>2276</v>
      </c>
      <c r="AB680" s="3" t="s">
        <v>2276</v>
      </c>
      <c r="AC680" s="4" t="s">
        <v>2345</v>
      </c>
      <c r="AD680" s="3"/>
    </row>
    <row r="681" spans="1:30" ht="102" customHeight="1">
      <c r="A681" s="11" t="s">
        <v>1118</v>
      </c>
      <c r="B681" s="11" t="s">
        <v>2427</v>
      </c>
      <c r="C681" s="23" t="s">
        <v>24</v>
      </c>
      <c r="D681" s="19" t="s">
        <v>2346</v>
      </c>
      <c r="E681" s="19" t="s">
        <v>130</v>
      </c>
      <c r="F681" s="19" t="s">
        <v>28</v>
      </c>
      <c r="G681" s="19"/>
      <c r="H681" s="3" t="s">
        <v>523</v>
      </c>
      <c r="I681" s="3"/>
      <c r="J681" s="21" t="s">
        <v>2276</v>
      </c>
      <c r="K681" s="21" t="s">
        <v>2276</v>
      </c>
      <c r="L681" s="21" t="s">
        <v>2276</v>
      </c>
      <c r="M681" s="21" t="s">
        <v>2276</v>
      </c>
      <c r="N681" s="21" t="s">
        <v>2276</v>
      </c>
      <c r="O681" s="21" t="s">
        <v>2276</v>
      </c>
      <c r="P681" s="21" t="s">
        <v>2276</v>
      </c>
      <c r="Q681" s="21" t="s">
        <v>2276</v>
      </c>
      <c r="R681" s="21" t="s">
        <v>2276</v>
      </c>
      <c r="S681" s="21" t="s">
        <v>2276</v>
      </c>
      <c r="T681" s="21" t="s">
        <v>2276</v>
      </c>
      <c r="U681" s="21" t="s">
        <v>2276</v>
      </c>
      <c r="V681" s="21" t="s">
        <v>2276</v>
      </c>
      <c r="W681" s="21" t="s">
        <v>2276</v>
      </c>
      <c r="X681" s="21" t="s">
        <v>2276</v>
      </c>
      <c r="Y681" s="21" t="s">
        <v>2276</v>
      </c>
      <c r="Z681" s="21" t="s">
        <v>2276</v>
      </c>
      <c r="AA681" s="21" t="s">
        <v>2276</v>
      </c>
      <c r="AB681" s="3" t="s">
        <v>2276</v>
      </c>
      <c r="AC681" s="4" t="s">
        <v>2347</v>
      </c>
      <c r="AD681" s="3"/>
    </row>
    <row r="682" spans="1:30" ht="102" customHeight="1">
      <c r="A682" s="11" t="s">
        <v>1118</v>
      </c>
      <c r="B682" s="11" t="s">
        <v>2428</v>
      </c>
      <c r="C682" s="23" t="s">
        <v>24</v>
      </c>
      <c r="D682" s="19" t="s">
        <v>2346</v>
      </c>
      <c r="E682" s="19" t="s">
        <v>863</v>
      </c>
      <c r="F682" s="19" t="s">
        <v>28</v>
      </c>
      <c r="G682" s="19"/>
      <c r="H682" s="3" t="s">
        <v>523</v>
      </c>
      <c r="I682" s="3"/>
      <c r="J682" s="21" t="s">
        <v>2276</v>
      </c>
      <c r="K682" s="21" t="s">
        <v>2276</v>
      </c>
      <c r="L682" s="21" t="s">
        <v>2276</v>
      </c>
      <c r="M682" s="21" t="s">
        <v>2276</v>
      </c>
      <c r="N682" s="21" t="s">
        <v>2276</v>
      </c>
      <c r="O682" s="21" t="s">
        <v>2276</v>
      </c>
      <c r="P682" s="21" t="s">
        <v>2276</v>
      </c>
      <c r="Q682" s="21" t="s">
        <v>2276</v>
      </c>
      <c r="R682" s="21" t="s">
        <v>2276</v>
      </c>
      <c r="S682" s="21" t="s">
        <v>2276</v>
      </c>
      <c r="T682" s="21" t="s">
        <v>2276</v>
      </c>
      <c r="U682" s="21" t="s">
        <v>2276</v>
      </c>
      <c r="V682" s="21" t="s">
        <v>2276</v>
      </c>
      <c r="W682" s="21" t="s">
        <v>2276</v>
      </c>
      <c r="X682" s="21" t="s">
        <v>2276</v>
      </c>
      <c r="Y682" s="21" t="s">
        <v>2276</v>
      </c>
      <c r="Z682" s="21" t="s">
        <v>2276</v>
      </c>
      <c r="AA682" s="21" t="s">
        <v>2276</v>
      </c>
      <c r="AB682" s="3" t="s">
        <v>2276</v>
      </c>
      <c r="AC682" s="4" t="s">
        <v>2347</v>
      </c>
      <c r="AD682" s="3"/>
    </row>
    <row r="683" spans="1:30" ht="52" customHeight="1">
      <c r="A683" s="11" t="s">
        <v>1125</v>
      </c>
      <c r="B683" s="11" t="s">
        <v>1127</v>
      </c>
      <c r="C683" s="23" t="s">
        <v>24</v>
      </c>
      <c r="D683" s="3" t="s">
        <v>27</v>
      </c>
      <c r="E683" s="3" t="s">
        <v>130</v>
      </c>
      <c r="F683" s="4" t="s">
        <v>161</v>
      </c>
      <c r="G683" s="3"/>
      <c r="H683" s="3" t="s">
        <v>523</v>
      </c>
      <c r="I683" s="3"/>
      <c r="J683" s="21" t="s">
        <v>2276</v>
      </c>
      <c r="K683" s="21" t="s">
        <v>2276</v>
      </c>
      <c r="L683" s="21" t="s">
        <v>2276</v>
      </c>
      <c r="M683" s="21" t="s">
        <v>2276</v>
      </c>
      <c r="N683" s="21" t="s">
        <v>2276</v>
      </c>
      <c r="O683" s="21" t="s">
        <v>2276</v>
      </c>
      <c r="P683" s="21" t="s">
        <v>2276</v>
      </c>
      <c r="Q683" s="21" t="s">
        <v>2276</v>
      </c>
      <c r="R683" s="21" t="s">
        <v>2276</v>
      </c>
      <c r="S683" s="21" t="s">
        <v>2276</v>
      </c>
      <c r="T683" s="21" t="s">
        <v>2276</v>
      </c>
      <c r="U683" s="21" t="s">
        <v>2276</v>
      </c>
      <c r="V683" s="21" t="s">
        <v>2276</v>
      </c>
      <c r="W683" s="21" t="s">
        <v>2276</v>
      </c>
      <c r="X683" s="21" t="s">
        <v>2276</v>
      </c>
      <c r="Y683" s="21" t="s">
        <v>2276</v>
      </c>
      <c r="Z683" s="3" t="s">
        <v>2276</v>
      </c>
      <c r="AA683" s="3" t="s">
        <v>2276</v>
      </c>
      <c r="AB683" s="3" t="s">
        <v>2276</v>
      </c>
      <c r="AC683" s="3"/>
      <c r="AD683" s="3"/>
    </row>
    <row r="684" spans="1:30" ht="80" customHeight="1">
      <c r="A684" s="11" t="s">
        <v>1125</v>
      </c>
      <c r="B684" s="11" t="s">
        <v>1129</v>
      </c>
      <c r="C684" s="23" t="s">
        <v>24</v>
      </c>
      <c r="D684" s="3" t="s">
        <v>2659</v>
      </c>
      <c r="E684" s="3" t="s">
        <v>130</v>
      </c>
      <c r="F684" s="4" t="s">
        <v>28</v>
      </c>
      <c r="G684" s="3"/>
      <c r="H684" s="3" t="s">
        <v>523</v>
      </c>
      <c r="I684" s="3"/>
      <c r="J684" s="21" t="s">
        <v>2276</v>
      </c>
      <c r="K684" s="21" t="s">
        <v>2276</v>
      </c>
      <c r="L684" s="21" t="s">
        <v>2276</v>
      </c>
      <c r="M684" s="21" t="s">
        <v>2276</v>
      </c>
      <c r="N684" s="21" t="s">
        <v>2276</v>
      </c>
      <c r="O684" s="21" t="s">
        <v>2276</v>
      </c>
      <c r="P684" s="21" t="s">
        <v>2276</v>
      </c>
      <c r="Q684" s="21" t="s">
        <v>2276</v>
      </c>
      <c r="R684" s="21" t="s">
        <v>2276</v>
      </c>
      <c r="S684" s="21" t="s">
        <v>2276</v>
      </c>
      <c r="T684" s="21" t="s">
        <v>2276</v>
      </c>
      <c r="U684" s="21" t="s">
        <v>2276</v>
      </c>
      <c r="V684" s="21" t="s">
        <v>2276</v>
      </c>
      <c r="W684" s="21" t="s">
        <v>2276</v>
      </c>
      <c r="X684" s="21" t="s">
        <v>2276</v>
      </c>
      <c r="Y684" s="21">
        <v>1</v>
      </c>
      <c r="Z684" s="3" t="s">
        <v>2276</v>
      </c>
      <c r="AA684" s="3" t="s">
        <v>2276</v>
      </c>
      <c r="AB684" s="3" t="s">
        <v>2276</v>
      </c>
      <c r="AC684" s="4" t="s">
        <v>1128</v>
      </c>
      <c r="AD684" s="3"/>
    </row>
    <row r="685" spans="1:30" ht="70.5" customHeight="1">
      <c r="A685" s="11" t="s">
        <v>1125</v>
      </c>
      <c r="B685" s="11" t="s">
        <v>1130</v>
      </c>
      <c r="C685" s="23" t="s">
        <v>24</v>
      </c>
      <c r="D685" s="23" t="s">
        <v>1131</v>
      </c>
      <c r="E685" s="3" t="s">
        <v>130</v>
      </c>
      <c r="F685" s="19" t="s">
        <v>74</v>
      </c>
      <c r="G685" s="19"/>
      <c r="H685" s="11" t="s">
        <v>523</v>
      </c>
      <c r="I685" s="3"/>
      <c r="J685" s="21" t="s">
        <v>2276</v>
      </c>
      <c r="K685" s="21" t="s">
        <v>2276</v>
      </c>
      <c r="L685" s="21" t="s">
        <v>2276</v>
      </c>
      <c r="M685" s="21" t="s">
        <v>2276</v>
      </c>
      <c r="N685" s="21" t="s">
        <v>2276</v>
      </c>
      <c r="O685" s="21" t="s">
        <v>2276</v>
      </c>
      <c r="P685" s="21" t="s">
        <v>2276</v>
      </c>
      <c r="Q685" s="21" t="s">
        <v>2276</v>
      </c>
      <c r="R685" s="21" t="s">
        <v>2276</v>
      </c>
      <c r="S685" s="21" t="s">
        <v>2276</v>
      </c>
      <c r="T685" s="21" t="s">
        <v>2276</v>
      </c>
      <c r="U685" s="21" t="s">
        <v>2276</v>
      </c>
      <c r="V685" s="21" t="s">
        <v>2276</v>
      </c>
      <c r="W685" s="21" t="s">
        <v>2276</v>
      </c>
      <c r="X685" s="21" t="s">
        <v>2276</v>
      </c>
      <c r="Y685" s="21" t="s">
        <v>2276</v>
      </c>
      <c r="Z685" s="3" t="s">
        <v>2276</v>
      </c>
      <c r="AA685" s="3" t="s">
        <v>2276</v>
      </c>
      <c r="AB685" s="3" t="s">
        <v>2276</v>
      </c>
      <c r="AC685" s="3"/>
      <c r="AD685" s="3"/>
    </row>
    <row r="686" spans="1:30" ht="49.5" customHeight="1">
      <c r="A686" s="11" t="s">
        <v>1125</v>
      </c>
      <c r="B686" s="11" t="s">
        <v>1132</v>
      </c>
      <c r="C686" s="23" t="s">
        <v>24</v>
      </c>
      <c r="D686" s="23" t="s">
        <v>1131</v>
      </c>
      <c r="E686" s="3" t="s">
        <v>130</v>
      </c>
      <c r="F686" s="19" t="s">
        <v>161</v>
      </c>
      <c r="G686" s="19"/>
      <c r="H686" s="11" t="s">
        <v>523</v>
      </c>
      <c r="I686" s="3"/>
      <c r="J686" s="21" t="s">
        <v>2276</v>
      </c>
      <c r="K686" s="21" t="s">
        <v>2276</v>
      </c>
      <c r="L686" s="21" t="s">
        <v>2276</v>
      </c>
      <c r="M686" s="21" t="s">
        <v>2276</v>
      </c>
      <c r="N686" s="21" t="s">
        <v>2276</v>
      </c>
      <c r="O686" s="21" t="s">
        <v>2276</v>
      </c>
      <c r="P686" s="21" t="s">
        <v>2276</v>
      </c>
      <c r="Q686" s="21" t="s">
        <v>2276</v>
      </c>
      <c r="R686" s="21" t="s">
        <v>2276</v>
      </c>
      <c r="S686" s="21" t="s">
        <v>2276</v>
      </c>
      <c r="T686" s="21" t="s">
        <v>2276</v>
      </c>
      <c r="U686" s="21" t="s">
        <v>2276</v>
      </c>
      <c r="V686" s="21" t="s">
        <v>2276</v>
      </c>
      <c r="W686" s="21" t="s">
        <v>2276</v>
      </c>
      <c r="X686" s="21" t="s">
        <v>2276</v>
      </c>
      <c r="Y686" s="21" t="s">
        <v>2276</v>
      </c>
      <c r="Z686" s="3" t="s">
        <v>2276</v>
      </c>
      <c r="AA686" s="3" t="s">
        <v>2276</v>
      </c>
      <c r="AB686" s="3" t="s">
        <v>2276</v>
      </c>
      <c r="AC686" s="3"/>
      <c r="AD686" s="3"/>
    </row>
    <row r="687" spans="1:30" ht="49.5" customHeight="1">
      <c r="A687" s="23" t="s">
        <v>1145</v>
      </c>
      <c r="B687" s="3" t="s">
        <v>1651</v>
      </c>
      <c r="C687" s="23" t="s">
        <v>24</v>
      </c>
      <c r="D687" s="23" t="s">
        <v>143</v>
      </c>
      <c r="E687" s="3" t="s">
        <v>863</v>
      </c>
      <c r="F687" s="19" t="s">
        <v>74</v>
      </c>
      <c r="G687" s="19"/>
      <c r="H687" s="11" t="s">
        <v>524</v>
      </c>
      <c r="I687" s="3"/>
      <c r="J687" s="21">
        <v>0</v>
      </c>
      <c r="K687" s="21">
        <v>0</v>
      </c>
      <c r="L687" s="21">
        <v>0</v>
      </c>
      <c r="M687" s="21">
        <v>0</v>
      </c>
      <c r="N687" s="21">
        <v>0</v>
      </c>
      <c r="O687" s="21">
        <v>0</v>
      </c>
      <c r="P687" s="21">
        <v>0</v>
      </c>
      <c r="Q687" s="21" t="s">
        <v>2276</v>
      </c>
      <c r="R687" s="21" t="s">
        <v>2276</v>
      </c>
      <c r="S687" s="21">
        <v>0</v>
      </c>
      <c r="T687" s="21">
        <v>0</v>
      </c>
      <c r="U687" s="21">
        <v>0</v>
      </c>
      <c r="V687" s="21">
        <v>0</v>
      </c>
      <c r="W687" s="21">
        <v>0</v>
      </c>
      <c r="X687" s="21">
        <v>0</v>
      </c>
      <c r="Y687" s="21" t="s">
        <v>2276</v>
      </c>
      <c r="Z687" s="3" t="s">
        <v>2276</v>
      </c>
      <c r="AA687" s="3" t="s">
        <v>2276</v>
      </c>
      <c r="AB687" s="3" t="s">
        <v>2276</v>
      </c>
      <c r="AC687" s="4" t="s">
        <v>1726</v>
      </c>
      <c r="AD687" s="3"/>
    </row>
    <row r="688" spans="1:30" ht="49.5" customHeight="1">
      <c r="A688" s="23" t="s">
        <v>1503</v>
      </c>
      <c r="B688" s="3" t="s">
        <v>1653</v>
      </c>
      <c r="C688" s="23" t="s">
        <v>24</v>
      </c>
      <c r="D688" s="23" t="s">
        <v>143</v>
      </c>
      <c r="E688" s="3" t="s">
        <v>863</v>
      </c>
      <c r="F688" s="19" t="s">
        <v>74</v>
      </c>
      <c r="G688" s="19"/>
      <c r="H688" s="11" t="s">
        <v>524</v>
      </c>
      <c r="I688" s="3"/>
      <c r="J688" s="21">
        <v>0</v>
      </c>
      <c r="K688" s="21">
        <v>0</v>
      </c>
      <c r="L688" s="21">
        <v>0</v>
      </c>
      <c r="M688" s="21">
        <v>0</v>
      </c>
      <c r="N688" s="21">
        <v>0</v>
      </c>
      <c r="O688" s="21">
        <v>0</v>
      </c>
      <c r="P688" s="21">
        <v>0</v>
      </c>
      <c r="Q688" s="21" t="s">
        <v>2276</v>
      </c>
      <c r="R688" s="21" t="s">
        <v>2276</v>
      </c>
      <c r="S688" s="21">
        <v>0</v>
      </c>
      <c r="T688" s="21">
        <v>0</v>
      </c>
      <c r="U688" s="21">
        <v>0</v>
      </c>
      <c r="V688" s="21">
        <v>0</v>
      </c>
      <c r="W688" s="21">
        <v>0</v>
      </c>
      <c r="X688" s="21">
        <v>0</v>
      </c>
      <c r="Y688" s="21" t="s">
        <v>2276</v>
      </c>
      <c r="Z688" s="3" t="s">
        <v>2276</v>
      </c>
      <c r="AA688" s="3" t="s">
        <v>2276</v>
      </c>
      <c r="AB688" s="3" t="s">
        <v>2276</v>
      </c>
      <c r="AC688" s="4" t="s">
        <v>1726</v>
      </c>
      <c r="AD688" s="3"/>
    </row>
    <row r="689" spans="1:30" ht="49.5" customHeight="1">
      <c r="A689" s="23" t="s">
        <v>1504</v>
      </c>
      <c r="B689" s="3" t="s">
        <v>1654</v>
      </c>
      <c r="C689" s="23" t="s">
        <v>24</v>
      </c>
      <c r="D689" s="23" t="s">
        <v>143</v>
      </c>
      <c r="E689" s="3" t="s">
        <v>863</v>
      </c>
      <c r="F689" s="19" t="s">
        <v>74</v>
      </c>
      <c r="G689" s="19"/>
      <c r="H689" s="11" t="s">
        <v>524</v>
      </c>
      <c r="I689" s="3"/>
      <c r="J689" s="21">
        <v>0</v>
      </c>
      <c r="K689" s="21">
        <v>0</v>
      </c>
      <c r="L689" s="21">
        <v>0</v>
      </c>
      <c r="M689" s="21">
        <v>0</v>
      </c>
      <c r="N689" s="21">
        <v>0</v>
      </c>
      <c r="O689" s="21">
        <v>0</v>
      </c>
      <c r="P689" s="21">
        <v>0</v>
      </c>
      <c r="Q689" s="21" t="s">
        <v>2276</v>
      </c>
      <c r="R689" s="21" t="s">
        <v>2276</v>
      </c>
      <c r="S689" s="21">
        <v>0</v>
      </c>
      <c r="T689" s="21">
        <v>0</v>
      </c>
      <c r="U689" s="21">
        <v>0</v>
      </c>
      <c r="V689" s="21">
        <v>0</v>
      </c>
      <c r="W689" s="21">
        <v>0</v>
      </c>
      <c r="X689" s="21">
        <v>0</v>
      </c>
      <c r="Y689" s="21" t="s">
        <v>2276</v>
      </c>
      <c r="Z689" s="3" t="s">
        <v>2276</v>
      </c>
      <c r="AA689" s="3" t="s">
        <v>2276</v>
      </c>
      <c r="AB689" s="3" t="s">
        <v>2276</v>
      </c>
      <c r="AC689" s="4" t="s">
        <v>1726</v>
      </c>
      <c r="AD689" s="3"/>
    </row>
    <row r="690" spans="1:30" ht="49.5" customHeight="1">
      <c r="A690" s="23" t="s">
        <v>1505</v>
      </c>
      <c r="B690" s="3" t="s">
        <v>1655</v>
      </c>
      <c r="C690" s="23" t="s">
        <v>24</v>
      </c>
      <c r="D690" s="23" t="s">
        <v>143</v>
      </c>
      <c r="E690" s="3" t="s">
        <v>863</v>
      </c>
      <c r="F690" s="19" t="s">
        <v>74</v>
      </c>
      <c r="G690" s="19"/>
      <c r="H690" s="11" t="s">
        <v>524</v>
      </c>
      <c r="I690" s="3"/>
      <c r="J690" s="21">
        <v>0</v>
      </c>
      <c r="K690" s="21">
        <v>0</v>
      </c>
      <c r="L690" s="21">
        <v>0</v>
      </c>
      <c r="M690" s="21">
        <v>0</v>
      </c>
      <c r="N690" s="21">
        <v>0</v>
      </c>
      <c r="O690" s="21">
        <v>0</v>
      </c>
      <c r="P690" s="21">
        <v>0</v>
      </c>
      <c r="Q690" s="21" t="s">
        <v>2276</v>
      </c>
      <c r="R690" s="21" t="s">
        <v>2276</v>
      </c>
      <c r="S690" s="21">
        <v>0</v>
      </c>
      <c r="T690" s="21">
        <v>0</v>
      </c>
      <c r="U690" s="21">
        <v>0</v>
      </c>
      <c r="V690" s="21">
        <v>0</v>
      </c>
      <c r="W690" s="21">
        <v>0</v>
      </c>
      <c r="X690" s="21">
        <v>0</v>
      </c>
      <c r="Y690" s="21" t="s">
        <v>2276</v>
      </c>
      <c r="Z690" s="3" t="s">
        <v>2276</v>
      </c>
      <c r="AA690" s="3" t="s">
        <v>2276</v>
      </c>
      <c r="AB690" s="3" t="s">
        <v>2276</v>
      </c>
      <c r="AC690" s="4" t="s">
        <v>1726</v>
      </c>
      <c r="AD690" s="3"/>
    </row>
    <row r="691" spans="1:30" ht="49.5" customHeight="1">
      <c r="A691" s="23" t="s">
        <v>1506</v>
      </c>
      <c r="B691" s="3" t="s">
        <v>1656</v>
      </c>
      <c r="C691" s="23" t="s">
        <v>24</v>
      </c>
      <c r="D691" s="23" t="s">
        <v>143</v>
      </c>
      <c r="E691" s="3" t="s">
        <v>863</v>
      </c>
      <c r="F691" s="19" t="s">
        <v>74</v>
      </c>
      <c r="G691" s="19"/>
      <c r="H691" s="11" t="s">
        <v>524</v>
      </c>
      <c r="I691" s="3"/>
      <c r="J691" s="21">
        <v>0</v>
      </c>
      <c r="K691" s="21">
        <v>0</v>
      </c>
      <c r="L691" s="21">
        <v>0</v>
      </c>
      <c r="M691" s="21">
        <v>0</v>
      </c>
      <c r="N691" s="21">
        <v>0</v>
      </c>
      <c r="O691" s="21">
        <v>0</v>
      </c>
      <c r="P691" s="21">
        <v>0</v>
      </c>
      <c r="Q691" s="21" t="s">
        <v>2276</v>
      </c>
      <c r="R691" s="21" t="s">
        <v>2276</v>
      </c>
      <c r="S691" s="21">
        <v>0</v>
      </c>
      <c r="T691" s="21">
        <v>0</v>
      </c>
      <c r="U691" s="21">
        <v>0</v>
      </c>
      <c r="V691" s="21">
        <v>0</v>
      </c>
      <c r="W691" s="21">
        <v>0</v>
      </c>
      <c r="X691" s="21">
        <v>0</v>
      </c>
      <c r="Y691" s="21" t="s">
        <v>2276</v>
      </c>
      <c r="Z691" s="3" t="s">
        <v>2276</v>
      </c>
      <c r="AA691" s="3" t="s">
        <v>2276</v>
      </c>
      <c r="AB691" s="3" t="s">
        <v>2276</v>
      </c>
      <c r="AC691" s="4" t="s">
        <v>1726</v>
      </c>
      <c r="AD691" s="3"/>
    </row>
    <row r="692" spans="1:30" ht="49.5" customHeight="1">
      <c r="A692" s="23" t="s">
        <v>1507</v>
      </c>
      <c r="B692" s="3" t="s">
        <v>1657</v>
      </c>
      <c r="C692" s="23" t="s">
        <v>24</v>
      </c>
      <c r="D692" s="23" t="s">
        <v>143</v>
      </c>
      <c r="E692" s="3" t="s">
        <v>863</v>
      </c>
      <c r="F692" s="19" t="s">
        <v>74</v>
      </c>
      <c r="G692" s="19"/>
      <c r="H692" s="11" t="s">
        <v>524</v>
      </c>
      <c r="I692" s="3"/>
      <c r="J692" s="21">
        <v>0</v>
      </c>
      <c r="K692" s="21">
        <v>0</v>
      </c>
      <c r="L692" s="21">
        <v>0</v>
      </c>
      <c r="M692" s="21">
        <v>0</v>
      </c>
      <c r="N692" s="21">
        <v>0</v>
      </c>
      <c r="O692" s="21">
        <v>0</v>
      </c>
      <c r="P692" s="21">
        <v>0</v>
      </c>
      <c r="Q692" s="21" t="s">
        <v>2276</v>
      </c>
      <c r="R692" s="21" t="s">
        <v>2276</v>
      </c>
      <c r="S692" s="21">
        <v>0</v>
      </c>
      <c r="T692" s="21">
        <v>0</v>
      </c>
      <c r="U692" s="21">
        <v>0</v>
      </c>
      <c r="V692" s="21">
        <v>0</v>
      </c>
      <c r="W692" s="21">
        <v>0</v>
      </c>
      <c r="X692" s="21">
        <v>0</v>
      </c>
      <c r="Y692" s="21" t="s">
        <v>2276</v>
      </c>
      <c r="Z692" s="3" t="s">
        <v>2276</v>
      </c>
      <c r="AA692" s="3" t="s">
        <v>2276</v>
      </c>
      <c r="AB692" s="3" t="s">
        <v>2276</v>
      </c>
      <c r="AC692" s="4" t="s">
        <v>1726</v>
      </c>
      <c r="AD692" s="3"/>
    </row>
    <row r="693" spans="1:30" ht="49.5" customHeight="1">
      <c r="A693" s="23" t="s">
        <v>1508</v>
      </c>
      <c r="B693" s="3" t="s">
        <v>1658</v>
      </c>
      <c r="C693" s="23" t="s">
        <v>24</v>
      </c>
      <c r="D693" s="23" t="s">
        <v>143</v>
      </c>
      <c r="E693" s="3" t="s">
        <v>863</v>
      </c>
      <c r="F693" s="19" t="s">
        <v>74</v>
      </c>
      <c r="G693" s="19"/>
      <c r="H693" s="11" t="s">
        <v>524</v>
      </c>
      <c r="I693" s="3"/>
      <c r="J693" s="21">
        <v>0</v>
      </c>
      <c r="K693" s="21">
        <v>0</v>
      </c>
      <c r="L693" s="21">
        <v>0</v>
      </c>
      <c r="M693" s="21">
        <v>0</v>
      </c>
      <c r="N693" s="21">
        <v>0</v>
      </c>
      <c r="O693" s="21">
        <v>0</v>
      </c>
      <c r="P693" s="21">
        <v>0</v>
      </c>
      <c r="Q693" s="21" t="s">
        <v>2276</v>
      </c>
      <c r="R693" s="21" t="s">
        <v>2276</v>
      </c>
      <c r="S693" s="21">
        <v>0</v>
      </c>
      <c r="T693" s="21">
        <v>0</v>
      </c>
      <c r="U693" s="21">
        <v>0</v>
      </c>
      <c r="V693" s="21">
        <v>0</v>
      </c>
      <c r="W693" s="21">
        <v>0</v>
      </c>
      <c r="X693" s="21">
        <v>0</v>
      </c>
      <c r="Y693" s="21" t="s">
        <v>2276</v>
      </c>
      <c r="Z693" s="3" t="s">
        <v>2276</v>
      </c>
      <c r="AA693" s="3" t="s">
        <v>2276</v>
      </c>
      <c r="AB693" s="3" t="s">
        <v>2276</v>
      </c>
      <c r="AC693" s="4" t="s">
        <v>1726</v>
      </c>
      <c r="AD693" s="3"/>
    </row>
    <row r="694" spans="1:30" ht="49.5" customHeight="1">
      <c r="A694" s="23" t="s">
        <v>1509</v>
      </c>
      <c r="B694" s="3" t="s">
        <v>1659</v>
      </c>
      <c r="C694" s="23" t="s">
        <v>24</v>
      </c>
      <c r="D694" s="23" t="s">
        <v>143</v>
      </c>
      <c r="E694" s="3" t="s">
        <v>863</v>
      </c>
      <c r="F694" s="19" t="s">
        <v>74</v>
      </c>
      <c r="G694" s="19"/>
      <c r="H694" s="11" t="s">
        <v>524</v>
      </c>
      <c r="I694" s="3"/>
      <c r="J694" s="21">
        <v>0</v>
      </c>
      <c r="K694" s="21">
        <v>0</v>
      </c>
      <c r="L694" s="21">
        <v>0</v>
      </c>
      <c r="M694" s="21">
        <v>0</v>
      </c>
      <c r="N694" s="21">
        <v>0</v>
      </c>
      <c r="O694" s="21">
        <v>0</v>
      </c>
      <c r="P694" s="21">
        <v>0</v>
      </c>
      <c r="Q694" s="21" t="s">
        <v>2276</v>
      </c>
      <c r="R694" s="21" t="s">
        <v>2276</v>
      </c>
      <c r="S694" s="21">
        <v>0</v>
      </c>
      <c r="T694" s="21">
        <v>0</v>
      </c>
      <c r="U694" s="21">
        <v>0</v>
      </c>
      <c r="V694" s="21">
        <v>0</v>
      </c>
      <c r="W694" s="21">
        <v>0</v>
      </c>
      <c r="X694" s="21">
        <v>0</v>
      </c>
      <c r="Y694" s="21" t="s">
        <v>2276</v>
      </c>
      <c r="Z694" s="3" t="s">
        <v>2276</v>
      </c>
      <c r="AA694" s="3" t="s">
        <v>2276</v>
      </c>
      <c r="AB694" s="3" t="s">
        <v>2276</v>
      </c>
      <c r="AC694" s="4" t="s">
        <v>1726</v>
      </c>
      <c r="AD694" s="3"/>
    </row>
    <row r="695" spans="1:30" ht="49.5" customHeight="1">
      <c r="A695" s="23" t="s">
        <v>1510</v>
      </c>
      <c r="B695" s="3" t="s">
        <v>1660</v>
      </c>
      <c r="C695" s="23" t="s">
        <v>24</v>
      </c>
      <c r="D695" s="23" t="s">
        <v>143</v>
      </c>
      <c r="E695" s="3" t="s">
        <v>863</v>
      </c>
      <c r="F695" s="19" t="s">
        <v>74</v>
      </c>
      <c r="G695" s="19"/>
      <c r="H695" s="11" t="s">
        <v>524</v>
      </c>
      <c r="I695" s="3"/>
      <c r="J695" s="21">
        <v>0</v>
      </c>
      <c r="K695" s="21">
        <v>0</v>
      </c>
      <c r="L695" s="21">
        <v>0</v>
      </c>
      <c r="M695" s="21">
        <v>0</v>
      </c>
      <c r="N695" s="21">
        <v>0</v>
      </c>
      <c r="O695" s="21">
        <v>0</v>
      </c>
      <c r="P695" s="21">
        <v>0</v>
      </c>
      <c r="Q695" s="21" t="s">
        <v>2276</v>
      </c>
      <c r="R695" s="21" t="s">
        <v>2276</v>
      </c>
      <c r="S695" s="21">
        <v>0</v>
      </c>
      <c r="T695" s="21">
        <v>0</v>
      </c>
      <c r="U695" s="21">
        <v>0</v>
      </c>
      <c r="V695" s="21">
        <v>0</v>
      </c>
      <c r="W695" s="21">
        <v>0</v>
      </c>
      <c r="X695" s="21">
        <v>0</v>
      </c>
      <c r="Y695" s="21" t="s">
        <v>2276</v>
      </c>
      <c r="Z695" s="3" t="s">
        <v>2276</v>
      </c>
      <c r="AA695" s="3" t="s">
        <v>2276</v>
      </c>
      <c r="AB695" s="3" t="s">
        <v>2276</v>
      </c>
      <c r="AC695" s="4" t="s">
        <v>1726</v>
      </c>
      <c r="AD695" s="3"/>
    </row>
    <row r="696" spans="1:30" ht="49.5" customHeight="1">
      <c r="A696" s="23" t="s">
        <v>1511</v>
      </c>
      <c r="B696" s="3" t="s">
        <v>1661</v>
      </c>
      <c r="C696" s="23" t="s">
        <v>24</v>
      </c>
      <c r="D696" s="23" t="s">
        <v>143</v>
      </c>
      <c r="E696" s="3" t="s">
        <v>863</v>
      </c>
      <c r="F696" s="19" t="s">
        <v>74</v>
      </c>
      <c r="G696" s="19"/>
      <c r="H696" s="11" t="s">
        <v>524</v>
      </c>
      <c r="I696" s="3"/>
      <c r="J696" s="21">
        <v>0</v>
      </c>
      <c r="K696" s="21">
        <v>0</v>
      </c>
      <c r="L696" s="21">
        <v>0</v>
      </c>
      <c r="M696" s="21">
        <v>0</v>
      </c>
      <c r="N696" s="21">
        <v>0</v>
      </c>
      <c r="O696" s="21">
        <v>0</v>
      </c>
      <c r="P696" s="21">
        <v>0</v>
      </c>
      <c r="Q696" s="21" t="s">
        <v>2276</v>
      </c>
      <c r="R696" s="21" t="s">
        <v>2276</v>
      </c>
      <c r="S696" s="21">
        <v>0</v>
      </c>
      <c r="T696" s="21">
        <v>0</v>
      </c>
      <c r="U696" s="21">
        <v>0</v>
      </c>
      <c r="V696" s="21">
        <v>0</v>
      </c>
      <c r="W696" s="21">
        <v>0</v>
      </c>
      <c r="X696" s="21">
        <v>0</v>
      </c>
      <c r="Y696" s="21" t="s">
        <v>2276</v>
      </c>
      <c r="Z696" s="3" t="s">
        <v>2276</v>
      </c>
      <c r="AA696" s="3" t="s">
        <v>2276</v>
      </c>
      <c r="AB696" s="3" t="s">
        <v>2276</v>
      </c>
      <c r="AC696" s="4" t="s">
        <v>1726</v>
      </c>
      <c r="AD696" s="3"/>
    </row>
    <row r="697" spans="1:30" ht="49.5" customHeight="1">
      <c r="A697" s="23" t="s">
        <v>1512</v>
      </c>
      <c r="B697" s="3" t="s">
        <v>1662</v>
      </c>
      <c r="C697" s="23" t="s">
        <v>24</v>
      </c>
      <c r="D697" s="23" t="s">
        <v>143</v>
      </c>
      <c r="E697" s="3" t="s">
        <v>863</v>
      </c>
      <c r="F697" s="19" t="s">
        <v>74</v>
      </c>
      <c r="G697" s="19"/>
      <c r="H697" s="11" t="s">
        <v>524</v>
      </c>
      <c r="I697" s="3"/>
      <c r="J697" s="21">
        <v>0</v>
      </c>
      <c r="K697" s="21">
        <v>0</v>
      </c>
      <c r="L697" s="21">
        <v>0</v>
      </c>
      <c r="M697" s="21">
        <v>0</v>
      </c>
      <c r="N697" s="21">
        <v>0</v>
      </c>
      <c r="O697" s="21">
        <v>0</v>
      </c>
      <c r="P697" s="21">
        <v>0</v>
      </c>
      <c r="Q697" s="21" t="s">
        <v>2276</v>
      </c>
      <c r="R697" s="21" t="s">
        <v>2276</v>
      </c>
      <c r="S697" s="21">
        <v>0</v>
      </c>
      <c r="T697" s="21">
        <v>0</v>
      </c>
      <c r="U697" s="21">
        <v>0</v>
      </c>
      <c r="V697" s="21">
        <v>0</v>
      </c>
      <c r="W697" s="21">
        <v>0</v>
      </c>
      <c r="X697" s="21">
        <v>0</v>
      </c>
      <c r="Y697" s="21" t="s">
        <v>2276</v>
      </c>
      <c r="Z697" s="3" t="s">
        <v>2276</v>
      </c>
      <c r="AA697" s="3" t="s">
        <v>2276</v>
      </c>
      <c r="AB697" s="3" t="s">
        <v>2276</v>
      </c>
      <c r="AC697" s="4" t="s">
        <v>1726</v>
      </c>
      <c r="AD697" s="3"/>
    </row>
    <row r="698" spans="1:30" ht="49.5" customHeight="1">
      <c r="A698" s="23" t="s">
        <v>1513</v>
      </c>
      <c r="B698" s="3" t="s">
        <v>1663</v>
      </c>
      <c r="C698" s="23" t="s">
        <v>24</v>
      </c>
      <c r="D698" s="23" t="s">
        <v>143</v>
      </c>
      <c r="E698" s="3" t="s">
        <v>863</v>
      </c>
      <c r="F698" s="19" t="s">
        <v>74</v>
      </c>
      <c r="G698" s="19"/>
      <c r="H698" s="11" t="s">
        <v>524</v>
      </c>
      <c r="I698" s="3"/>
      <c r="J698" s="21">
        <v>0</v>
      </c>
      <c r="K698" s="21">
        <v>0</v>
      </c>
      <c r="L698" s="21">
        <v>0</v>
      </c>
      <c r="M698" s="21">
        <v>0</v>
      </c>
      <c r="N698" s="21">
        <v>0</v>
      </c>
      <c r="O698" s="21">
        <v>0</v>
      </c>
      <c r="P698" s="21">
        <v>0</v>
      </c>
      <c r="Q698" s="21" t="s">
        <v>2276</v>
      </c>
      <c r="R698" s="21" t="s">
        <v>2276</v>
      </c>
      <c r="S698" s="21">
        <v>0</v>
      </c>
      <c r="T698" s="21">
        <v>0</v>
      </c>
      <c r="U698" s="21">
        <v>0</v>
      </c>
      <c r="V698" s="21">
        <v>0</v>
      </c>
      <c r="W698" s="21">
        <v>0</v>
      </c>
      <c r="X698" s="21">
        <v>0</v>
      </c>
      <c r="Y698" s="21" t="s">
        <v>2276</v>
      </c>
      <c r="Z698" s="3" t="s">
        <v>2276</v>
      </c>
      <c r="AA698" s="3" t="s">
        <v>2276</v>
      </c>
      <c r="AB698" s="3" t="s">
        <v>2276</v>
      </c>
      <c r="AC698" s="4" t="s">
        <v>1726</v>
      </c>
      <c r="AD698" s="3"/>
    </row>
    <row r="699" spans="1:30" ht="49.5" customHeight="1">
      <c r="A699" s="23" t="s">
        <v>1514</v>
      </c>
      <c r="B699" s="3" t="s">
        <v>1664</v>
      </c>
      <c r="C699" s="23" t="s">
        <v>24</v>
      </c>
      <c r="D699" s="23" t="s">
        <v>143</v>
      </c>
      <c r="E699" s="3" t="s">
        <v>863</v>
      </c>
      <c r="F699" s="19" t="s">
        <v>74</v>
      </c>
      <c r="G699" s="19"/>
      <c r="H699" s="11" t="s">
        <v>524</v>
      </c>
      <c r="I699" s="3"/>
      <c r="J699" s="21">
        <v>0</v>
      </c>
      <c r="K699" s="21">
        <v>0</v>
      </c>
      <c r="L699" s="21">
        <v>0</v>
      </c>
      <c r="M699" s="21">
        <v>0</v>
      </c>
      <c r="N699" s="21">
        <v>0</v>
      </c>
      <c r="O699" s="21">
        <v>0</v>
      </c>
      <c r="P699" s="21">
        <v>0</v>
      </c>
      <c r="Q699" s="21" t="s">
        <v>2276</v>
      </c>
      <c r="R699" s="21" t="s">
        <v>2276</v>
      </c>
      <c r="S699" s="21">
        <v>0</v>
      </c>
      <c r="T699" s="21">
        <v>0</v>
      </c>
      <c r="U699" s="21">
        <v>0</v>
      </c>
      <c r="V699" s="21">
        <v>0</v>
      </c>
      <c r="W699" s="21">
        <v>0</v>
      </c>
      <c r="X699" s="21">
        <v>0</v>
      </c>
      <c r="Y699" s="21" t="s">
        <v>2276</v>
      </c>
      <c r="Z699" s="3" t="s">
        <v>2276</v>
      </c>
      <c r="AA699" s="3" t="s">
        <v>2276</v>
      </c>
      <c r="AB699" s="3" t="s">
        <v>2276</v>
      </c>
      <c r="AC699" s="4" t="s">
        <v>1726</v>
      </c>
      <c r="AD699" s="3"/>
    </row>
    <row r="700" spans="1:30" ht="49.5" customHeight="1">
      <c r="A700" s="23" t="s">
        <v>1515</v>
      </c>
      <c r="B700" s="3" t="s">
        <v>1665</v>
      </c>
      <c r="C700" s="23" t="s">
        <v>24</v>
      </c>
      <c r="D700" s="23" t="s">
        <v>143</v>
      </c>
      <c r="E700" s="3" t="s">
        <v>863</v>
      </c>
      <c r="F700" s="19" t="s">
        <v>74</v>
      </c>
      <c r="G700" s="19"/>
      <c r="H700" s="11" t="s">
        <v>524</v>
      </c>
      <c r="I700" s="3"/>
      <c r="J700" s="21">
        <v>0</v>
      </c>
      <c r="K700" s="21">
        <v>0</v>
      </c>
      <c r="L700" s="21">
        <v>0</v>
      </c>
      <c r="M700" s="21">
        <v>0</v>
      </c>
      <c r="N700" s="21">
        <v>0</v>
      </c>
      <c r="O700" s="21">
        <v>0</v>
      </c>
      <c r="P700" s="21">
        <v>0</v>
      </c>
      <c r="Q700" s="21" t="s">
        <v>2276</v>
      </c>
      <c r="R700" s="21" t="s">
        <v>2276</v>
      </c>
      <c r="S700" s="21">
        <v>0</v>
      </c>
      <c r="T700" s="21">
        <v>0</v>
      </c>
      <c r="U700" s="21">
        <v>0</v>
      </c>
      <c r="V700" s="21">
        <v>0</v>
      </c>
      <c r="W700" s="21">
        <v>0</v>
      </c>
      <c r="X700" s="21">
        <v>0</v>
      </c>
      <c r="Y700" s="21" t="s">
        <v>2276</v>
      </c>
      <c r="Z700" s="3" t="s">
        <v>2276</v>
      </c>
      <c r="AA700" s="3" t="s">
        <v>2276</v>
      </c>
      <c r="AB700" s="3" t="s">
        <v>2276</v>
      </c>
      <c r="AC700" s="4" t="s">
        <v>1726</v>
      </c>
      <c r="AD700" s="3"/>
    </row>
    <row r="701" spans="1:30" ht="49.5" customHeight="1">
      <c r="A701" s="23" t="s">
        <v>1516</v>
      </c>
      <c r="B701" s="3" t="s">
        <v>1666</v>
      </c>
      <c r="C701" s="23" t="s">
        <v>24</v>
      </c>
      <c r="D701" s="23" t="s">
        <v>143</v>
      </c>
      <c r="E701" s="3" t="s">
        <v>863</v>
      </c>
      <c r="F701" s="19" t="s">
        <v>74</v>
      </c>
      <c r="G701" s="19"/>
      <c r="H701" s="11" t="s">
        <v>524</v>
      </c>
      <c r="I701" s="3"/>
      <c r="J701" s="21">
        <v>0</v>
      </c>
      <c r="K701" s="21">
        <v>0</v>
      </c>
      <c r="L701" s="21">
        <v>0</v>
      </c>
      <c r="M701" s="21">
        <v>0</v>
      </c>
      <c r="N701" s="21">
        <v>0</v>
      </c>
      <c r="O701" s="21">
        <v>0</v>
      </c>
      <c r="P701" s="21">
        <v>0</v>
      </c>
      <c r="Q701" s="21" t="s">
        <v>2276</v>
      </c>
      <c r="R701" s="21" t="s">
        <v>2276</v>
      </c>
      <c r="S701" s="21">
        <v>0</v>
      </c>
      <c r="T701" s="21">
        <v>0</v>
      </c>
      <c r="U701" s="21">
        <v>0</v>
      </c>
      <c r="V701" s="21">
        <v>0</v>
      </c>
      <c r="W701" s="21">
        <v>0</v>
      </c>
      <c r="X701" s="21">
        <v>0</v>
      </c>
      <c r="Y701" s="21" t="s">
        <v>2276</v>
      </c>
      <c r="Z701" s="3" t="s">
        <v>2276</v>
      </c>
      <c r="AA701" s="3" t="s">
        <v>2276</v>
      </c>
      <c r="AB701" s="3" t="s">
        <v>2276</v>
      </c>
      <c r="AC701" s="4" t="s">
        <v>1726</v>
      </c>
      <c r="AD701" s="3"/>
    </row>
    <row r="702" spans="1:30" ht="49.5" customHeight="1">
      <c r="A702" s="23" t="s">
        <v>1517</v>
      </c>
      <c r="B702" s="3" t="s">
        <v>1667</v>
      </c>
      <c r="C702" s="23" t="s">
        <v>24</v>
      </c>
      <c r="D702" s="23" t="s">
        <v>143</v>
      </c>
      <c r="E702" s="3" t="s">
        <v>863</v>
      </c>
      <c r="F702" s="19" t="s">
        <v>74</v>
      </c>
      <c r="G702" s="19"/>
      <c r="H702" s="11" t="s">
        <v>524</v>
      </c>
      <c r="I702" s="3"/>
      <c r="J702" s="21">
        <v>0</v>
      </c>
      <c r="K702" s="21">
        <v>0</v>
      </c>
      <c r="L702" s="21">
        <v>0</v>
      </c>
      <c r="M702" s="21">
        <v>0</v>
      </c>
      <c r="N702" s="21">
        <v>0</v>
      </c>
      <c r="O702" s="21">
        <v>0</v>
      </c>
      <c r="P702" s="21">
        <v>0</v>
      </c>
      <c r="Q702" s="21" t="s">
        <v>2276</v>
      </c>
      <c r="R702" s="21" t="s">
        <v>2276</v>
      </c>
      <c r="S702" s="21">
        <v>0</v>
      </c>
      <c r="T702" s="21">
        <v>0</v>
      </c>
      <c r="U702" s="21">
        <v>0</v>
      </c>
      <c r="V702" s="21">
        <v>0</v>
      </c>
      <c r="W702" s="21">
        <v>0</v>
      </c>
      <c r="X702" s="21">
        <v>0</v>
      </c>
      <c r="Y702" s="21" t="s">
        <v>2276</v>
      </c>
      <c r="Z702" s="3" t="s">
        <v>2276</v>
      </c>
      <c r="AA702" s="3" t="s">
        <v>2276</v>
      </c>
      <c r="AB702" s="3" t="s">
        <v>2276</v>
      </c>
      <c r="AC702" s="4" t="s">
        <v>1726</v>
      </c>
      <c r="AD702" s="3"/>
    </row>
    <row r="703" spans="1:30" ht="49.5" customHeight="1">
      <c r="A703" s="23" t="s">
        <v>1518</v>
      </c>
      <c r="B703" s="3" t="s">
        <v>1668</v>
      </c>
      <c r="C703" s="23" t="s">
        <v>24</v>
      </c>
      <c r="D703" s="23" t="s">
        <v>143</v>
      </c>
      <c r="E703" s="3" t="s">
        <v>863</v>
      </c>
      <c r="F703" s="19" t="s">
        <v>74</v>
      </c>
      <c r="G703" s="19"/>
      <c r="H703" s="11" t="s">
        <v>524</v>
      </c>
      <c r="I703" s="3"/>
      <c r="J703" s="21">
        <v>0</v>
      </c>
      <c r="K703" s="21">
        <v>0</v>
      </c>
      <c r="L703" s="21">
        <v>0</v>
      </c>
      <c r="M703" s="21">
        <v>0</v>
      </c>
      <c r="N703" s="21">
        <v>0</v>
      </c>
      <c r="O703" s="21">
        <v>0</v>
      </c>
      <c r="P703" s="21">
        <v>0</v>
      </c>
      <c r="Q703" s="21" t="s">
        <v>2276</v>
      </c>
      <c r="R703" s="21" t="s">
        <v>2276</v>
      </c>
      <c r="S703" s="21">
        <v>0</v>
      </c>
      <c r="T703" s="21">
        <v>0</v>
      </c>
      <c r="U703" s="21">
        <v>0</v>
      </c>
      <c r="V703" s="21">
        <v>0</v>
      </c>
      <c r="W703" s="21">
        <v>0</v>
      </c>
      <c r="X703" s="21">
        <v>0</v>
      </c>
      <c r="Y703" s="21" t="s">
        <v>2276</v>
      </c>
      <c r="Z703" s="3" t="s">
        <v>2276</v>
      </c>
      <c r="AA703" s="3" t="s">
        <v>2276</v>
      </c>
      <c r="AB703" s="3" t="s">
        <v>2276</v>
      </c>
      <c r="AC703" s="4" t="s">
        <v>1726</v>
      </c>
      <c r="AD703" s="3"/>
    </row>
    <row r="704" spans="1:30" ht="49.5" customHeight="1">
      <c r="A704" s="23" t="s">
        <v>1519</v>
      </c>
      <c r="B704" s="3" t="s">
        <v>1669</v>
      </c>
      <c r="C704" s="23" t="s">
        <v>24</v>
      </c>
      <c r="D704" s="23" t="s">
        <v>143</v>
      </c>
      <c r="E704" s="3" t="s">
        <v>863</v>
      </c>
      <c r="F704" s="19" t="s">
        <v>74</v>
      </c>
      <c r="G704" s="19"/>
      <c r="H704" s="11" t="s">
        <v>524</v>
      </c>
      <c r="I704" s="3"/>
      <c r="J704" s="21">
        <v>0</v>
      </c>
      <c r="K704" s="21">
        <v>0</v>
      </c>
      <c r="L704" s="21">
        <v>0</v>
      </c>
      <c r="M704" s="21">
        <v>0</v>
      </c>
      <c r="N704" s="21">
        <v>0</v>
      </c>
      <c r="O704" s="21">
        <v>0</v>
      </c>
      <c r="P704" s="21">
        <v>0</v>
      </c>
      <c r="Q704" s="21" t="s">
        <v>2276</v>
      </c>
      <c r="R704" s="21" t="s">
        <v>2276</v>
      </c>
      <c r="S704" s="21">
        <v>0</v>
      </c>
      <c r="T704" s="21">
        <v>0</v>
      </c>
      <c r="U704" s="21">
        <v>0</v>
      </c>
      <c r="V704" s="21">
        <v>0</v>
      </c>
      <c r="W704" s="21">
        <v>0</v>
      </c>
      <c r="X704" s="21">
        <v>0</v>
      </c>
      <c r="Y704" s="21" t="s">
        <v>2276</v>
      </c>
      <c r="Z704" s="3" t="s">
        <v>2276</v>
      </c>
      <c r="AA704" s="3" t="s">
        <v>2276</v>
      </c>
      <c r="AB704" s="3" t="s">
        <v>2276</v>
      </c>
      <c r="AC704" s="4" t="s">
        <v>1726</v>
      </c>
      <c r="AD704" s="3"/>
    </row>
    <row r="705" spans="1:30" ht="49.5" customHeight="1">
      <c r="A705" s="23" t="s">
        <v>1520</v>
      </c>
      <c r="B705" s="3" t="s">
        <v>1670</v>
      </c>
      <c r="C705" s="23" t="s">
        <v>24</v>
      </c>
      <c r="D705" s="23" t="s">
        <v>143</v>
      </c>
      <c r="E705" s="3" t="s">
        <v>863</v>
      </c>
      <c r="F705" s="19" t="s">
        <v>74</v>
      </c>
      <c r="G705" s="19"/>
      <c r="H705" s="11" t="s">
        <v>524</v>
      </c>
      <c r="I705" s="3"/>
      <c r="J705" s="21">
        <v>0</v>
      </c>
      <c r="K705" s="21">
        <v>0</v>
      </c>
      <c r="L705" s="21">
        <v>0</v>
      </c>
      <c r="M705" s="21">
        <v>0</v>
      </c>
      <c r="N705" s="21">
        <v>0</v>
      </c>
      <c r="O705" s="21">
        <v>0</v>
      </c>
      <c r="P705" s="21">
        <v>0</v>
      </c>
      <c r="Q705" s="21" t="s">
        <v>2276</v>
      </c>
      <c r="R705" s="21" t="s">
        <v>2276</v>
      </c>
      <c r="S705" s="21">
        <v>0</v>
      </c>
      <c r="T705" s="21">
        <v>0</v>
      </c>
      <c r="U705" s="21">
        <v>0</v>
      </c>
      <c r="V705" s="21">
        <v>0</v>
      </c>
      <c r="W705" s="21">
        <v>0</v>
      </c>
      <c r="X705" s="21">
        <v>0</v>
      </c>
      <c r="Y705" s="21" t="s">
        <v>2276</v>
      </c>
      <c r="Z705" s="3" t="s">
        <v>2276</v>
      </c>
      <c r="AA705" s="3" t="s">
        <v>2276</v>
      </c>
      <c r="AB705" s="3" t="s">
        <v>2276</v>
      </c>
      <c r="AC705" s="4" t="s">
        <v>1726</v>
      </c>
      <c r="AD705" s="3"/>
    </row>
    <row r="706" spans="1:30" ht="49.5" customHeight="1">
      <c r="A706" s="23" t="s">
        <v>1521</v>
      </c>
      <c r="B706" s="3" t="s">
        <v>1671</v>
      </c>
      <c r="C706" s="23" t="s">
        <v>24</v>
      </c>
      <c r="D706" s="23" t="s">
        <v>143</v>
      </c>
      <c r="E706" s="3" t="s">
        <v>863</v>
      </c>
      <c r="F706" s="19" t="s">
        <v>74</v>
      </c>
      <c r="G706" s="19"/>
      <c r="H706" s="11" t="s">
        <v>524</v>
      </c>
      <c r="I706" s="3"/>
      <c r="J706" s="21">
        <v>0</v>
      </c>
      <c r="K706" s="21">
        <v>0</v>
      </c>
      <c r="L706" s="21">
        <v>0</v>
      </c>
      <c r="M706" s="21">
        <v>0</v>
      </c>
      <c r="N706" s="21">
        <v>0</v>
      </c>
      <c r="O706" s="21">
        <v>0</v>
      </c>
      <c r="P706" s="21">
        <v>0</v>
      </c>
      <c r="Q706" s="21" t="s">
        <v>2276</v>
      </c>
      <c r="R706" s="21" t="s">
        <v>2276</v>
      </c>
      <c r="S706" s="21">
        <v>0</v>
      </c>
      <c r="T706" s="21">
        <v>0</v>
      </c>
      <c r="U706" s="21">
        <v>0</v>
      </c>
      <c r="V706" s="21">
        <v>0</v>
      </c>
      <c r="W706" s="21">
        <v>0</v>
      </c>
      <c r="X706" s="21">
        <v>0</v>
      </c>
      <c r="Y706" s="21" t="s">
        <v>2276</v>
      </c>
      <c r="Z706" s="3" t="s">
        <v>2276</v>
      </c>
      <c r="AA706" s="3" t="s">
        <v>2276</v>
      </c>
      <c r="AB706" s="3" t="s">
        <v>2276</v>
      </c>
      <c r="AC706" s="4" t="s">
        <v>1726</v>
      </c>
      <c r="AD706" s="3"/>
    </row>
    <row r="707" spans="1:30" ht="49.5" customHeight="1">
      <c r="A707" s="23" t="s">
        <v>1522</v>
      </c>
      <c r="B707" s="3" t="s">
        <v>1672</v>
      </c>
      <c r="C707" s="23" t="s">
        <v>24</v>
      </c>
      <c r="D707" s="23" t="s">
        <v>143</v>
      </c>
      <c r="E707" s="3" t="s">
        <v>863</v>
      </c>
      <c r="F707" s="19" t="s">
        <v>74</v>
      </c>
      <c r="G707" s="19"/>
      <c r="H707" s="11" t="s">
        <v>524</v>
      </c>
      <c r="I707" s="3"/>
      <c r="J707" s="21">
        <v>0</v>
      </c>
      <c r="K707" s="21">
        <v>0</v>
      </c>
      <c r="L707" s="21">
        <v>0</v>
      </c>
      <c r="M707" s="21">
        <v>0</v>
      </c>
      <c r="N707" s="21">
        <v>0</v>
      </c>
      <c r="O707" s="21">
        <v>0</v>
      </c>
      <c r="P707" s="21">
        <v>0</v>
      </c>
      <c r="Q707" s="21" t="s">
        <v>2276</v>
      </c>
      <c r="R707" s="21" t="s">
        <v>2276</v>
      </c>
      <c r="S707" s="21">
        <v>0</v>
      </c>
      <c r="T707" s="21">
        <v>0</v>
      </c>
      <c r="U707" s="21">
        <v>0</v>
      </c>
      <c r="V707" s="21">
        <v>0</v>
      </c>
      <c r="W707" s="21">
        <v>0</v>
      </c>
      <c r="X707" s="21">
        <v>0</v>
      </c>
      <c r="Y707" s="21" t="s">
        <v>2276</v>
      </c>
      <c r="Z707" s="3" t="s">
        <v>2276</v>
      </c>
      <c r="AA707" s="3" t="s">
        <v>2276</v>
      </c>
      <c r="AB707" s="3" t="s">
        <v>2276</v>
      </c>
      <c r="AC707" s="4" t="s">
        <v>1726</v>
      </c>
      <c r="AD707" s="3"/>
    </row>
    <row r="708" spans="1:30" ht="49.5" customHeight="1">
      <c r="A708" s="23" t="s">
        <v>1523</v>
      </c>
      <c r="B708" s="3" t="s">
        <v>1673</v>
      </c>
      <c r="C708" s="23" t="s">
        <v>24</v>
      </c>
      <c r="D708" s="23" t="s">
        <v>143</v>
      </c>
      <c r="E708" s="3" t="s">
        <v>863</v>
      </c>
      <c r="F708" s="19" t="s">
        <v>74</v>
      </c>
      <c r="G708" s="19"/>
      <c r="H708" s="11" t="s">
        <v>524</v>
      </c>
      <c r="I708" s="3"/>
      <c r="J708" s="21">
        <v>0</v>
      </c>
      <c r="K708" s="21">
        <v>0</v>
      </c>
      <c r="L708" s="21">
        <v>0</v>
      </c>
      <c r="M708" s="21">
        <v>0</v>
      </c>
      <c r="N708" s="21">
        <v>0</v>
      </c>
      <c r="O708" s="21">
        <v>0</v>
      </c>
      <c r="P708" s="21">
        <v>0</v>
      </c>
      <c r="Q708" s="21" t="s">
        <v>2276</v>
      </c>
      <c r="R708" s="21" t="s">
        <v>2276</v>
      </c>
      <c r="S708" s="21">
        <v>0</v>
      </c>
      <c r="T708" s="21">
        <v>0</v>
      </c>
      <c r="U708" s="21">
        <v>0</v>
      </c>
      <c r="V708" s="21">
        <v>0</v>
      </c>
      <c r="W708" s="21">
        <v>0</v>
      </c>
      <c r="X708" s="21">
        <v>0</v>
      </c>
      <c r="Y708" s="21" t="s">
        <v>2276</v>
      </c>
      <c r="Z708" s="3" t="s">
        <v>2276</v>
      </c>
      <c r="AA708" s="3" t="s">
        <v>2276</v>
      </c>
      <c r="AB708" s="3" t="s">
        <v>2276</v>
      </c>
      <c r="AC708" s="4" t="s">
        <v>1726</v>
      </c>
      <c r="AD708" s="3"/>
    </row>
    <row r="709" spans="1:30" ht="49.5" customHeight="1">
      <c r="A709" s="23" t="s">
        <v>1524</v>
      </c>
      <c r="B709" s="3" t="s">
        <v>1674</v>
      </c>
      <c r="C709" s="23" t="s">
        <v>24</v>
      </c>
      <c r="D709" s="23" t="s">
        <v>143</v>
      </c>
      <c r="E709" s="3" t="s">
        <v>863</v>
      </c>
      <c r="F709" s="19" t="s">
        <v>74</v>
      </c>
      <c r="G709" s="19"/>
      <c r="H709" s="11" t="s">
        <v>524</v>
      </c>
      <c r="I709" s="3"/>
      <c r="J709" s="21">
        <v>0</v>
      </c>
      <c r="K709" s="21">
        <v>0</v>
      </c>
      <c r="L709" s="21">
        <v>0</v>
      </c>
      <c r="M709" s="21">
        <v>0</v>
      </c>
      <c r="N709" s="21">
        <v>0</v>
      </c>
      <c r="O709" s="21">
        <v>0</v>
      </c>
      <c r="P709" s="21">
        <v>0</v>
      </c>
      <c r="Q709" s="21" t="s">
        <v>2276</v>
      </c>
      <c r="R709" s="21" t="s">
        <v>2276</v>
      </c>
      <c r="S709" s="21">
        <v>0</v>
      </c>
      <c r="T709" s="21">
        <v>0</v>
      </c>
      <c r="U709" s="21">
        <v>0</v>
      </c>
      <c r="V709" s="21">
        <v>0</v>
      </c>
      <c r="W709" s="21">
        <v>0</v>
      </c>
      <c r="X709" s="21">
        <v>0</v>
      </c>
      <c r="Y709" s="21" t="s">
        <v>2276</v>
      </c>
      <c r="Z709" s="3" t="s">
        <v>2276</v>
      </c>
      <c r="AA709" s="3" t="s">
        <v>2276</v>
      </c>
      <c r="AB709" s="3" t="s">
        <v>2276</v>
      </c>
      <c r="AC709" s="4" t="s">
        <v>1726</v>
      </c>
      <c r="AD709" s="3"/>
    </row>
    <row r="710" spans="1:30" ht="49.5" customHeight="1">
      <c r="A710" s="23" t="s">
        <v>1525</v>
      </c>
      <c r="B710" s="3" t="s">
        <v>1675</v>
      </c>
      <c r="C710" s="23" t="s">
        <v>24</v>
      </c>
      <c r="D710" s="23" t="s">
        <v>143</v>
      </c>
      <c r="E710" s="3" t="s">
        <v>863</v>
      </c>
      <c r="F710" s="19" t="s">
        <v>74</v>
      </c>
      <c r="G710" s="19"/>
      <c r="H710" s="11" t="s">
        <v>524</v>
      </c>
      <c r="I710" s="3"/>
      <c r="J710" s="21">
        <v>0</v>
      </c>
      <c r="K710" s="21">
        <v>0</v>
      </c>
      <c r="L710" s="21">
        <v>0</v>
      </c>
      <c r="M710" s="21">
        <v>0</v>
      </c>
      <c r="N710" s="21">
        <v>0</v>
      </c>
      <c r="O710" s="21">
        <v>0</v>
      </c>
      <c r="P710" s="21">
        <v>0</v>
      </c>
      <c r="Q710" s="21" t="s">
        <v>2276</v>
      </c>
      <c r="R710" s="21" t="s">
        <v>2276</v>
      </c>
      <c r="S710" s="21">
        <v>0</v>
      </c>
      <c r="T710" s="21">
        <v>0</v>
      </c>
      <c r="U710" s="21">
        <v>0</v>
      </c>
      <c r="V710" s="21">
        <v>0</v>
      </c>
      <c r="W710" s="21">
        <v>0</v>
      </c>
      <c r="X710" s="21">
        <v>0</v>
      </c>
      <c r="Y710" s="21" t="s">
        <v>2276</v>
      </c>
      <c r="Z710" s="3" t="s">
        <v>2276</v>
      </c>
      <c r="AA710" s="3" t="s">
        <v>2276</v>
      </c>
      <c r="AB710" s="3" t="s">
        <v>2276</v>
      </c>
      <c r="AC710" s="4" t="s">
        <v>1726</v>
      </c>
      <c r="AD710" s="3"/>
    </row>
    <row r="711" spans="1:30" ht="49.5" customHeight="1">
      <c r="A711" s="23" t="s">
        <v>1526</v>
      </c>
      <c r="B711" s="3" t="s">
        <v>1676</v>
      </c>
      <c r="C711" s="23" t="s">
        <v>24</v>
      </c>
      <c r="D711" s="23" t="s">
        <v>143</v>
      </c>
      <c r="E711" s="3" t="s">
        <v>863</v>
      </c>
      <c r="F711" s="19" t="s">
        <v>74</v>
      </c>
      <c r="G711" s="19"/>
      <c r="H711" s="11" t="s">
        <v>524</v>
      </c>
      <c r="I711" s="3"/>
      <c r="J711" s="21">
        <v>0</v>
      </c>
      <c r="K711" s="21">
        <v>0</v>
      </c>
      <c r="L711" s="21">
        <v>0</v>
      </c>
      <c r="M711" s="21">
        <v>0</v>
      </c>
      <c r="N711" s="21">
        <v>0</v>
      </c>
      <c r="O711" s="21">
        <v>0</v>
      </c>
      <c r="P711" s="21">
        <v>0</v>
      </c>
      <c r="Q711" s="21" t="s">
        <v>2276</v>
      </c>
      <c r="R711" s="21" t="s">
        <v>2276</v>
      </c>
      <c r="S711" s="21">
        <v>0</v>
      </c>
      <c r="T711" s="21">
        <v>0</v>
      </c>
      <c r="U711" s="21">
        <v>0</v>
      </c>
      <c r="V711" s="21">
        <v>0</v>
      </c>
      <c r="W711" s="21">
        <v>0</v>
      </c>
      <c r="X711" s="21">
        <v>0</v>
      </c>
      <c r="Y711" s="21" t="s">
        <v>2276</v>
      </c>
      <c r="Z711" s="3" t="s">
        <v>2276</v>
      </c>
      <c r="AA711" s="3" t="s">
        <v>2276</v>
      </c>
      <c r="AB711" s="3" t="s">
        <v>2276</v>
      </c>
      <c r="AC711" s="4" t="s">
        <v>1726</v>
      </c>
      <c r="AD711" s="3"/>
    </row>
    <row r="712" spans="1:30" ht="49.5" customHeight="1">
      <c r="A712" s="23" t="s">
        <v>1527</v>
      </c>
      <c r="B712" s="3" t="s">
        <v>1677</v>
      </c>
      <c r="C712" s="23" t="s">
        <v>24</v>
      </c>
      <c r="D712" s="23" t="s">
        <v>143</v>
      </c>
      <c r="E712" s="3" t="s">
        <v>863</v>
      </c>
      <c r="F712" s="19" t="s">
        <v>74</v>
      </c>
      <c r="G712" s="19"/>
      <c r="H712" s="11" t="s">
        <v>524</v>
      </c>
      <c r="I712" s="3"/>
      <c r="J712" s="21">
        <v>0</v>
      </c>
      <c r="K712" s="21">
        <v>0</v>
      </c>
      <c r="L712" s="21">
        <v>0</v>
      </c>
      <c r="M712" s="21">
        <v>0</v>
      </c>
      <c r="N712" s="21">
        <v>0</v>
      </c>
      <c r="O712" s="21">
        <v>0</v>
      </c>
      <c r="P712" s="21">
        <v>0</v>
      </c>
      <c r="Q712" s="21" t="s">
        <v>2276</v>
      </c>
      <c r="R712" s="21" t="s">
        <v>2276</v>
      </c>
      <c r="S712" s="21">
        <v>0</v>
      </c>
      <c r="T712" s="21">
        <v>0</v>
      </c>
      <c r="U712" s="21">
        <v>0</v>
      </c>
      <c r="V712" s="21">
        <v>0</v>
      </c>
      <c r="W712" s="21">
        <v>0</v>
      </c>
      <c r="X712" s="21">
        <v>0</v>
      </c>
      <c r="Y712" s="21" t="s">
        <v>2276</v>
      </c>
      <c r="Z712" s="3" t="s">
        <v>2276</v>
      </c>
      <c r="AA712" s="3" t="s">
        <v>2276</v>
      </c>
      <c r="AB712" s="3" t="s">
        <v>2276</v>
      </c>
      <c r="AC712" s="4" t="s">
        <v>1726</v>
      </c>
      <c r="AD712" s="3"/>
    </row>
    <row r="713" spans="1:30" ht="49.5" customHeight="1">
      <c r="A713" s="23" t="s">
        <v>1528</v>
      </c>
      <c r="B713" s="3" t="s">
        <v>1678</v>
      </c>
      <c r="C713" s="23" t="s">
        <v>24</v>
      </c>
      <c r="D713" s="23" t="s">
        <v>143</v>
      </c>
      <c r="E713" s="3" t="s">
        <v>863</v>
      </c>
      <c r="F713" s="19" t="s">
        <v>74</v>
      </c>
      <c r="G713" s="19"/>
      <c r="H713" s="11" t="s">
        <v>524</v>
      </c>
      <c r="I713" s="3"/>
      <c r="J713" s="21">
        <v>0</v>
      </c>
      <c r="K713" s="21">
        <v>0</v>
      </c>
      <c r="L713" s="21">
        <v>0</v>
      </c>
      <c r="M713" s="21">
        <v>0</v>
      </c>
      <c r="N713" s="21">
        <v>0</v>
      </c>
      <c r="O713" s="21">
        <v>0</v>
      </c>
      <c r="P713" s="21">
        <v>0</v>
      </c>
      <c r="Q713" s="21" t="s">
        <v>2276</v>
      </c>
      <c r="R713" s="21" t="s">
        <v>2276</v>
      </c>
      <c r="S713" s="21">
        <v>0</v>
      </c>
      <c r="T713" s="21">
        <v>0</v>
      </c>
      <c r="U713" s="21">
        <v>0</v>
      </c>
      <c r="V713" s="21">
        <v>0</v>
      </c>
      <c r="W713" s="21">
        <v>0</v>
      </c>
      <c r="X713" s="21">
        <v>0</v>
      </c>
      <c r="Y713" s="21" t="s">
        <v>2276</v>
      </c>
      <c r="Z713" s="3" t="s">
        <v>2276</v>
      </c>
      <c r="AA713" s="3" t="s">
        <v>2276</v>
      </c>
      <c r="AB713" s="3" t="s">
        <v>2276</v>
      </c>
      <c r="AC713" s="4" t="s">
        <v>1726</v>
      </c>
      <c r="AD713" s="3"/>
    </row>
    <row r="714" spans="1:30" ht="49.5" customHeight="1">
      <c r="A714" s="23" t="s">
        <v>1529</v>
      </c>
      <c r="B714" s="3" t="s">
        <v>1679</v>
      </c>
      <c r="C714" s="23" t="s">
        <v>24</v>
      </c>
      <c r="D714" s="23" t="s">
        <v>143</v>
      </c>
      <c r="E714" s="3" t="s">
        <v>863</v>
      </c>
      <c r="F714" s="19" t="s">
        <v>74</v>
      </c>
      <c r="G714" s="19"/>
      <c r="H714" s="11" t="s">
        <v>524</v>
      </c>
      <c r="I714" s="3"/>
      <c r="J714" s="21">
        <v>0</v>
      </c>
      <c r="K714" s="21">
        <v>0</v>
      </c>
      <c r="L714" s="21">
        <v>0</v>
      </c>
      <c r="M714" s="21">
        <v>0</v>
      </c>
      <c r="N714" s="21">
        <v>0</v>
      </c>
      <c r="O714" s="21">
        <v>0</v>
      </c>
      <c r="P714" s="21">
        <v>0</v>
      </c>
      <c r="Q714" s="21" t="s">
        <v>2276</v>
      </c>
      <c r="R714" s="21" t="s">
        <v>2276</v>
      </c>
      <c r="S714" s="21">
        <v>0</v>
      </c>
      <c r="T714" s="21">
        <v>0</v>
      </c>
      <c r="U714" s="21">
        <v>0</v>
      </c>
      <c r="V714" s="21">
        <v>0</v>
      </c>
      <c r="W714" s="21">
        <v>0</v>
      </c>
      <c r="X714" s="21">
        <v>0</v>
      </c>
      <c r="Y714" s="21" t="s">
        <v>2276</v>
      </c>
      <c r="Z714" s="3" t="s">
        <v>2276</v>
      </c>
      <c r="AA714" s="3" t="s">
        <v>2276</v>
      </c>
      <c r="AB714" s="3" t="s">
        <v>2276</v>
      </c>
      <c r="AC714" s="4" t="s">
        <v>1726</v>
      </c>
      <c r="AD714" s="3"/>
    </row>
    <row r="715" spans="1:30" ht="49.5" customHeight="1">
      <c r="A715" s="23" t="s">
        <v>1530</v>
      </c>
      <c r="B715" s="3" t="s">
        <v>1680</v>
      </c>
      <c r="C715" s="23" t="s">
        <v>24</v>
      </c>
      <c r="D715" s="23" t="s">
        <v>143</v>
      </c>
      <c r="E715" s="3" t="s">
        <v>863</v>
      </c>
      <c r="F715" s="19" t="s">
        <v>74</v>
      </c>
      <c r="G715" s="19"/>
      <c r="H715" s="11" t="s">
        <v>524</v>
      </c>
      <c r="I715" s="3"/>
      <c r="J715" s="21">
        <v>0</v>
      </c>
      <c r="K715" s="21">
        <v>0</v>
      </c>
      <c r="L715" s="21">
        <v>0</v>
      </c>
      <c r="M715" s="21">
        <v>0</v>
      </c>
      <c r="N715" s="21">
        <v>0</v>
      </c>
      <c r="O715" s="21">
        <v>0</v>
      </c>
      <c r="P715" s="21">
        <v>0</v>
      </c>
      <c r="Q715" s="21" t="s">
        <v>2276</v>
      </c>
      <c r="R715" s="21" t="s">
        <v>2276</v>
      </c>
      <c r="S715" s="21">
        <v>0</v>
      </c>
      <c r="T715" s="21">
        <v>0</v>
      </c>
      <c r="U715" s="21">
        <v>0</v>
      </c>
      <c r="V715" s="21">
        <v>0</v>
      </c>
      <c r="W715" s="21">
        <v>0</v>
      </c>
      <c r="X715" s="21">
        <v>0</v>
      </c>
      <c r="Y715" s="21" t="s">
        <v>2276</v>
      </c>
      <c r="Z715" s="3" t="s">
        <v>2276</v>
      </c>
      <c r="AA715" s="3" t="s">
        <v>2276</v>
      </c>
      <c r="AB715" s="3" t="s">
        <v>2276</v>
      </c>
      <c r="AC715" s="4" t="s">
        <v>1726</v>
      </c>
      <c r="AD715" s="3"/>
    </row>
    <row r="716" spans="1:30" ht="49.5" customHeight="1">
      <c r="A716" s="23" t="s">
        <v>1531</v>
      </c>
      <c r="B716" s="3" t="s">
        <v>1681</v>
      </c>
      <c r="C716" s="23" t="s">
        <v>24</v>
      </c>
      <c r="D716" s="23" t="s">
        <v>143</v>
      </c>
      <c r="E716" s="3" t="s">
        <v>863</v>
      </c>
      <c r="F716" s="19" t="s">
        <v>74</v>
      </c>
      <c r="G716" s="19"/>
      <c r="H716" s="11" t="s">
        <v>524</v>
      </c>
      <c r="I716" s="3"/>
      <c r="J716" s="21">
        <v>0</v>
      </c>
      <c r="K716" s="21">
        <v>0</v>
      </c>
      <c r="L716" s="21">
        <v>0</v>
      </c>
      <c r="M716" s="21">
        <v>0</v>
      </c>
      <c r="N716" s="21">
        <v>0</v>
      </c>
      <c r="O716" s="21">
        <v>0</v>
      </c>
      <c r="P716" s="21">
        <v>0</v>
      </c>
      <c r="Q716" s="21" t="s">
        <v>2276</v>
      </c>
      <c r="R716" s="21" t="s">
        <v>2276</v>
      </c>
      <c r="S716" s="21">
        <v>0</v>
      </c>
      <c r="T716" s="21">
        <v>0</v>
      </c>
      <c r="U716" s="21">
        <v>0</v>
      </c>
      <c r="V716" s="21">
        <v>0</v>
      </c>
      <c r="W716" s="21">
        <v>0</v>
      </c>
      <c r="X716" s="21">
        <v>0</v>
      </c>
      <c r="Y716" s="21" t="s">
        <v>2276</v>
      </c>
      <c r="Z716" s="3" t="s">
        <v>2276</v>
      </c>
      <c r="AA716" s="3" t="s">
        <v>2276</v>
      </c>
      <c r="AB716" s="3" t="s">
        <v>2276</v>
      </c>
      <c r="AC716" s="4" t="s">
        <v>1726</v>
      </c>
      <c r="AD716" s="3"/>
    </row>
    <row r="717" spans="1:30" ht="49.5" customHeight="1">
      <c r="A717" s="23" t="s">
        <v>1532</v>
      </c>
      <c r="B717" s="3" t="s">
        <v>1682</v>
      </c>
      <c r="C717" s="23" t="s">
        <v>24</v>
      </c>
      <c r="D717" s="23" t="s">
        <v>143</v>
      </c>
      <c r="E717" s="3" t="s">
        <v>863</v>
      </c>
      <c r="F717" s="19" t="s">
        <v>74</v>
      </c>
      <c r="G717" s="19"/>
      <c r="H717" s="11" t="s">
        <v>524</v>
      </c>
      <c r="I717" s="3"/>
      <c r="J717" s="21">
        <v>0</v>
      </c>
      <c r="K717" s="21">
        <v>0</v>
      </c>
      <c r="L717" s="21">
        <v>0</v>
      </c>
      <c r="M717" s="21">
        <v>0</v>
      </c>
      <c r="N717" s="21">
        <v>0</v>
      </c>
      <c r="O717" s="21">
        <v>0</v>
      </c>
      <c r="P717" s="21">
        <v>0</v>
      </c>
      <c r="Q717" s="21" t="s">
        <v>2276</v>
      </c>
      <c r="R717" s="21" t="s">
        <v>2276</v>
      </c>
      <c r="S717" s="21">
        <v>0</v>
      </c>
      <c r="T717" s="21">
        <v>0</v>
      </c>
      <c r="U717" s="21">
        <v>0</v>
      </c>
      <c r="V717" s="21">
        <v>0</v>
      </c>
      <c r="W717" s="21">
        <v>0</v>
      </c>
      <c r="X717" s="21">
        <v>0</v>
      </c>
      <c r="Y717" s="21" t="s">
        <v>2276</v>
      </c>
      <c r="Z717" s="3" t="s">
        <v>2276</v>
      </c>
      <c r="AA717" s="3" t="s">
        <v>2276</v>
      </c>
      <c r="AB717" s="3" t="s">
        <v>2276</v>
      </c>
      <c r="AC717" s="4" t="s">
        <v>1726</v>
      </c>
      <c r="AD717" s="3"/>
    </row>
    <row r="718" spans="1:30" ht="49.5" customHeight="1">
      <c r="A718" s="23" t="s">
        <v>1533</v>
      </c>
      <c r="B718" s="3" t="s">
        <v>1683</v>
      </c>
      <c r="C718" s="23" t="s">
        <v>24</v>
      </c>
      <c r="D718" s="23" t="s">
        <v>143</v>
      </c>
      <c r="E718" s="3" t="s">
        <v>863</v>
      </c>
      <c r="F718" s="19" t="s">
        <v>74</v>
      </c>
      <c r="G718" s="19"/>
      <c r="H718" s="11" t="s">
        <v>524</v>
      </c>
      <c r="I718" s="3"/>
      <c r="J718" s="21">
        <v>0</v>
      </c>
      <c r="K718" s="21">
        <v>0</v>
      </c>
      <c r="L718" s="21">
        <v>0</v>
      </c>
      <c r="M718" s="21">
        <v>0</v>
      </c>
      <c r="N718" s="21">
        <v>0</v>
      </c>
      <c r="O718" s="21">
        <v>0</v>
      </c>
      <c r="P718" s="21">
        <v>0</v>
      </c>
      <c r="Q718" s="21" t="s">
        <v>2276</v>
      </c>
      <c r="R718" s="21" t="s">
        <v>2276</v>
      </c>
      <c r="S718" s="21">
        <v>0</v>
      </c>
      <c r="T718" s="21">
        <v>0</v>
      </c>
      <c r="U718" s="21">
        <v>0</v>
      </c>
      <c r="V718" s="21">
        <v>0</v>
      </c>
      <c r="W718" s="21">
        <v>0</v>
      </c>
      <c r="X718" s="21">
        <v>0</v>
      </c>
      <c r="Y718" s="21" t="s">
        <v>2276</v>
      </c>
      <c r="Z718" s="3" t="s">
        <v>2276</v>
      </c>
      <c r="AA718" s="3" t="s">
        <v>2276</v>
      </c>
      <c r="AB718" s="3" t="s">
        <v>2276</v>
      </c>
      <c r="AC718" s="4" t="s">
        <v>1726</v>
      </c>
      <c r="AD718" s="3"/>
    </row>
    <row r="719" spans="1:30" ht="49.5" customHeight="1">
      <c r="A719" s="23" t="s">
        <v>1534</v>
      </c>
      <c r="B719" s="3" t="s">
        <v>1684</v>
      </c>
      <c r="C719" s="23" t="s">
        <v>24</v>
      </c>
      <c r="D719" s="23" t="s">
        <v>143</v>
      </c>
      <c r="E719" s="3" t="s">
        <v>863</v>
      </c>
      <c r="F719" s="19" t="s">
        <v>74</v>
      </c>
      <c r="G719" s="19"/>
      <c r="H719" s="11" t="s">
        <v>524</v>
      </c>
      <c r="I719" s="3"/>
      <c r="J719" s="21">
        <v>0</v>
      </c>
      <c r="K719" s="21">
        <v>0</v>
      </c>
      <c r="L719" s="21">
        <v>0</v>
      </c>
      <c r="M719" s="21">
        <v>0</v>
      </c>
      <c r="N719" s="21">
        <v>0</v>
      </c>
      <c r="O719" s="21">
        <v>0</v>
      </c>
      <c r="P719" s="21">
        <v>0</v>
      </c>
      <c r="Q719" s="21" t="s">
        <v>2276</v>
      </c>
      <c r="R719" s="21" t="s">
        <v>2276</v>
      </c>
      <c r="S719" s="21">
        <v>0</v>
      </c>
      <c r="T719" s="21">
        <v>0</v>
      </c>
      <c r="U719" s="21">
        <v>0</v>
      </c>
      <c r="V719" s="21">
        <v>0</v>
      </c>
      <c r="W719" s="21">
        <v>0</v>
      </c>
      <c r="X719" s="21">
        <v>0</v>
      </c>
      <c r="Y719" s="21" t="s">
        <v>2276</v>
      </c>
      <c r="Z719" s="3" t="s">
        <v>2276</v>
      </c>
      <c r="AA719" s="3" t="s">
        <v>2276</v>
      </c>
      <c r="AB719" s="3" t="s">
        <v>2276</v>
      </c>
      <c r="AC719" s="4" t="s">
        <v>1726</v>
      </c>
      <c r="AD719" s="3"/>
    </row>
    <row r="720" spans="1:30" ht="49.5" customHeight="1">
      <c r="A720" s="23" t="s">
        <v>1535</v>
      </c>
      <c r="B720" s="3" t="s">
        <v>1685</v>
      </c>
      <c r="C720" s="23" t="s">
        <v>24</v>
      </c>
      <c r="D720" s="23" t="s">
        <v>143</v>
      </c>
      <c r="E720" s="3" t="s">
        <v>863</v>
      </c>
      <c r="F720" s="19" t="s">
        <v>74</v>
      </c>
      <c r="G720" s="19"/>
      <c r="H720" s="11" t="s">
        <v>524</v>
      </c>
      <c r="I720" s="3"/>
      <c r="J720" s="21">
        <v>0</v>
      </c>
      <c r="K720" s="21">
        <v>0</v>
      </c>
      <c r="L720" s="21">
        <v>0</v>
      </c>
      <c r="M720" s="21">
        <v>0</v>
      </c>
      <c r="N720" s="21">
        <v>0</v>
      </c>
      <c r="O720" s="21">
        <v>0</v>
      </c>
      <c r="P720" s="21">
        <v>0</v>
      </c>
      <c r="Q720" s="21" t="s">
        <v>2276</v>
      </c>
      <c r="R720" s="21" t="s">
        <v>2276</v>
      </c>
      <c r="S720" s="21">
        <v>0</v>
      </c>
      <c r="T720" s="21">
        <v>0</v>
      </c>
      <c r="U720" s="21">
        <v>0</v>
      </c>
      <c r="V720" s="21">
        <v>0</v>
      </c>
      <c r="W720" s="21">
        <v>0</v>
      </c>
      <c r="X720" s="21">
        <v>0</v>
      </c>
      <c r="Y720" s="21" t="s">
        <v>2276</v>
      </c>
      <c r="Z720" s="3" t="s">
        <v>2276</v>
      </c>
      <c r="AA720" s="3" t="s">
        <v>2276</v>
      </c>
      <c r="AB720" s="3" t="s">
        <v>2276</v>
      </c>
      <c r="AC720" s="4" t="s">
        <v>1726</v>
      </c>
      <c r="AD720" s="3"/>
    </row>
    <row r="721" spans="1:30" ht="49.5" customHeight="1">
      <c r="A721" s="23" t="s">
        <v>1536</v>
      </c>
      <c r="B721" s="3" t="s">
        <v>1686</v>
      </c>
      <c r="C721" s="23" t="s">
        <v>24</v>
      </c>
      <c r="D721" s="23" t="s">
        <v>143</v>
      </c>
      <c r="E721" s="3" t="s">
        <v>863</v>
      </c>
      <c r="F721" s="19" t="s">
        <v>74</v>
      </c>
      <c r="G721" s="19"/>
      <c r="H721" s="11" t="s">
        <v>524</v>
      </c>
      <c r="I721" s="3"/>
      <c r="J721" s="21">
        <v>0</v>
      </c>
      <c r="K721" s="21">
        <v>0</v>
      </c>
      <c r="L721" s="21">
        <v>0</v>
      </c>
      <c r="M721" s="21">
        <v>0</v>
      </c>
      <c r="N721" s="21">
        <v>0</v>
      </c>
      <c r="O721" s="21">
        <v>0</v>
      </c>
      <c r="P721" s="21">
        <v>0</v>
      </c>
      <c r="Q721" s="21" t="s">
        <v>2276</v>
      </c>
      <c r="R721" s="21" t="s">
        <v>2276</v>
      </c>
      <c r="S721" s="21">
        <v>0</v>
      </c>
      <c r="T721" s="21">
        <v>0</v>
      </c>
      <c r="U721" s="21">
        <v>0</v>
      </c>
      <c r="V721" s="21">
        <v>0</v>
      </c>
      <c r="W721" s="21">
        <v>0</v>
      </c>
      <c r="X721" s="21">
        <v>0</v>
      </c>
      <c r="Y721" s="21" t="s">
        <v>2276</v>
      </c>
      <c r="Z721" s="3" t="s">
        <v>2276</v>
      </c>
      <c r="AA721" s="3" t="s">
        <v>2276</v>
      </c>
      <c r="AB721" s="3" t="s">
        <v>2276</v>
      </c>
      <c r="AC721" s="4" t="s">
        <v>1726</v>
      </c>
      <c r="AD721" s="3"/>
    </row>
    <row r="722" spans="1:30" ht="49.5" customHeight="1">
      <c r="A722" s="23" t="s">
        <v>1537</v>
      </c>
      <c r="B722" s="3" t="s">
        <v>1687</v>
      </c>
      <c r="C722" s="23" t="s">
        <v>24</v>
      </c>
      <c r="D722" s="23" t="s">
        <v>143</v>
      </c>
      <c r="E722" s="3" t="s">
        <v>863</v>
      </c>
      <c r="F722" s="19" t="s">
        <v>74</v>
      </c>
      <c r="G722" s="19"/>
      <c r="H722" s="11" t="s">
        <v>524</v>
      </c>
      <c r="I722" s="3"/>
      <c r="J722" s="21">
        <v>0</v>
      </c>
      <c r="K722" s="21">
        <v>0</v>
      </c>
      <c r="L722" s="21">
        <v>0</v>
      </c>
      <c r="M722" s="21">
        <v>0</v>
      </c>
      <c r="N722" s="21">
        <v>0</v>
      </c>
      <c r="O722" s="21">
        <v>0</v>
      </c>
      <c r="P722" s="21">
        <v>0</v>
      </c>
      <c r="Q722" s="21" t="s">
        <v>2276</v>
      </c>
      <c r="R722" s="21" t="s">
        <v>2276</v>
      </c>
      <c r="S722" s="21">
        <v>0</v>
      </c>
      <c r="T722" s="21">
        <v>0</v>
      </c>
      <c r="U722" s="21">
        <v>0</v>
      </c>
      <c r="V722" s="21">
        <v>0</v>
      </c>
      <c r="W722" s="21">
        <v>0</v>
      </c>
      <c r="X722" s="21">
        <v>0</v>
      </c>
      <c r="Y722" s="21" t="s">
        <v>2276</v>
      </c>
      <c r="Z722" s="3" t="s">
        <v>2276</v>
      </c>
      <c r="AA722" s="3" t="s">
        <v>2276</v>
      </c>
      <c r="AB722" s="3" t="s">
        <v>2276</v>
      </c>
      <c r="AC722" s="4" t="s">
        <v>1726</v>
      </c>
      <c r="AD722" s="3"/>
    </row>
    <row r="723" spans="1:30" ht="49.5" customHeight="1">
      <c r="A723" s="23" t="s">
        <v>1538</v>
      </c>
      <c r="B723" s="3" t="s">
        <v>1688</v>
      </c>
      <c r="C723" s="23" t="s">
        <v>24</v>
      </c>
      <c r="D723" s="23" t="s">
        <v>143</v>
      </c>
      <c r="E723" s="3" t="s">
        <v>863</v>
      </c>
      <c r="F723" s="19" t="s">
        <v>74</v>
      </c>
      <c r="G723" s="19"/>
      <c r="H723" s="11" t="s">
        <v>524</v>
      </c>
      <c r="I723" s="3"/>
      <c r="J723" s="21">
        <v>0</v>
      </c>
      <c r="K723" s="21">
        <v>0</v>
      </c>
      <c r="L723" s="21">
        <v>0</v>
      </c>
      <c r="M723" s="21">
        <v>0</v>
      </c>
      <c r="N723" s="21">
        <v>0</v>
      </c>
      <c r="O723" s="21">
        <v>0</v>
      </c>
      <c r="P723" s="21">
        <v>0</v>
      </c>
      <c r="Q723" s="21" t="s">
        <v>2276</v>
      </c>
      <c r="R723" s="21" t="s">
        <v>2276</v>
      </c>
      <c r="S723" s="21">
        <v>0</v>
      </c>
      <c r="T723" s="21">
        <v>0</v>
      </c>
      <c r="U723" s="21">
        <v>0</v>
      </c>
      <c r="V723" s="21">
        <v>0</v>
      </c>
      <c r="W723" s="21">
        <v>0</v>
      </c>
      <c r="X723" s="21">
        <v>0</v>
      </c>
      <c r="Y723" s="21" t="s">
        <v>2276</v>
      </c>
      <c r="Z723" s="3" t="s">
        <v>2276</v>
      </c>
      <c r="AA723" s="3" t="s">
        <v>2276</v>
      </c>
      <c r="AB723" s="3" t="s">
        <v>2276</v>
      </c>
      <c r="AC723" s="4" t="s">
        <v>1726</v>
      </c>
      <c r="AD723" s="3"/>
    </row>
    <row r="724" spans="1:30" ht="49.5" customHeight="1">
      <c r="A724" s="23" t="s">
        <v>1539</v>
      </c>
      <c r="B724" s="3" t="s">
        <v>1689</v>
      </c>
      <c r="C724" s="23" t="s">
        <v>24</v>
      </c>
      <c r="D724" s="23" t="s">
        <v>143</v>
      </c>
      <c r="E724" s="3" t="s">
        <v>863</v>
      </c>
      <c r="F724" s="19" t="s">
        <v>74</v>
      </c>
      <c r="G724" s="19"/>
      <c r="H724" s="11" t="s">
        <v>524</v>
      </c>
      <c r="I724" s="3"/>
      <c r="J724" s="21">
        <v>0</v>
      </c>
      <c r="K724" s="21">
        <v>0</v>
      </c>
      <c r="L724" s="21">
        <v>0</v>
      </c>
      <c r="M724" s="21">
        <v>0</v>
      </c>
      <c r="N724" s="21">
        <v>0</v>
      </c>
      <c r="O724" s="21">
        <v>0</v>
      </c>
      <c r="P724" s="21">
        <v>0</v>
      </c>
      <c r="Q724" s="21" t="s">
        <v>2276</v>
      </c>
      <c r="R724" s="21" t="s">
        <v>2276</v>
      </c>
      <c r="S724" s="21">
        <v>0</v>
      </c>
      <c r="T724" s="21">
        <v>0</v>
      </c>
      <c r="U724" s="21">
        <v>0</v>
      </c>
      <c r="V724" s="21">
        <v>0</v>
      </c>
      <c r="W724" s="21">
        <v>0</v>
      </c>
      <c r="X724" s="21">
        <v>0</v>
      </c>
      <c r="Y724" s="21" t="s">
        <v>2276</v>
      </c>
      <c r="Z724" s="3" t="s">
        <v>2276</v>
      </c>
      <c r="AA724" s="3" t="s">
        <v>2276</v>
      </c>
      <c r="AB724" s="3" t="s">
        <v>2276</v>
      </c>
      <c r="AC724" s="4" t="s">
        <v>1726</v>
      </c>
      <c r="AD724" s="3"/>
    </row>
    <row r="725" spans="1:30" ht="49.5" customHeight="1">
      <c r="A725" s="23" t="s">
        <v>1540</v>
      </c>
      <c r="B725" s="3" t="s">
        <v>1690</v>
      </c>
      <c r="C725" s="23" t="s">
        <v>24</v>
      </c>
      <c r="D725" s="23" t="s">
        <v>143</v>
      </c>
      <c r="E725" s="3" t="s">
        <v>863</v>
      </c>
      <c r="F725" s="19" t="s">
        <v>74</v>
      </c>
      <c r="G725" s="19"/>
      <c r="H725" s="11" t="s">
        <v>524</v>
      </c>
      <c r="I725" s="3"/>
      <c r="J725" s="21">
        <v>0</v>
      </c>
      <c r="K725" s="21">
        <v>0</v>
      </c>
      <c r="L725" s="21">
        <v>0</v>
      </c>
      <c r="M725" s="21">
        <v>0</v>
      </c>
      <c r="N725" s="21">
        <v>0</v>
      </c>
      <c r="O725" s="21">
        <v>0</v>
      </c>
      <c r="P725" s="21">
        <v>0</v>
      </c>
      <c r="Q725" s="21" t="s">
        <v>2276</v>
      </c>
      <c r="R725" s="21" t="s">
        <v>2276</v>
      </c>
      <c r="S725" s="21">
        <v>0</v>
      </c>
      <c r="T725" s="21">
        <v>0</v>
      </c>
      <c r="U725" s="21">
        <v>0</v>
      </c>
      <c r="V725" s="21">
        <v>0</v>
      </c>
      <c r="W725" s="21">
        <v>0</v>
      </c>
      <c r="X725" s="21">
        <v>0</v>
      </c>
      <c r="Y725" s="21" t="s">
        <v>2276</v>
      </c>
      <c r="Z725" s="3" t="s">
        <v>2276</v>
      </c>
      <c r="AA725" s="3" t="s">
        <v>2276</v>
      </c>
      <c r="AB725" s="3" t="s">
        <v>2276</v>
      </c>
      <c r="AC725" s="4" t="s">
        <v>1726</v>
      </c>
      <c r="AD725" s="3"/>
    </row>
    <row r="726" spans="1:30" ht="49.5" customHeight="1">
      <c r="A726" s="23" t="s">
        <v>1541</v>
      </c>
      <c r="B726" s="3" t="s">
        <v>1691</v>
      </c>
      <c r="C726" s="23" t="s">
        <v>24</v>
      </c>
      <c r="D726" s="23" t="s">
        <v>143</v>
      </c>
      <c r="E726" s="3" t="s">
        <v>863</v>
      </c>
      <c r="F726" s="19" t="s">
        <v>74</v>
      </c>
      <c r="G726" s="19"/>
      <c r="H726" s="11" t="s">
        <v>524</v>
      </c>
      <c r="I726" s="3"/>
      <c r="J726" s="21">
        <v>0</v>
      </c>
      <c r="K726" s="21">
        <v>0</v>
      </c>
      <c r="L726" s="21">
        <v>0</v>
      </c>
      <c r="M726" s="21">
        <v>0</v>
      </c>
      <c r="N726" s="21">
        <v>0</v>
      </c>
      <c r="O726" s="21">
        <v>0</v>
      </c>
      <c r="P726" s="21">
        <v>0</v>
      </c>
      <c r="Q726" s="21" t="s">
        <v>2276</v>
      </c>
      <c r="R726" s="21" t="s">
        <v>2276</v>
      </c>
      <c r="S726" s="21">
        <v>0</v>
      </c>
      <c r="T726" s="21">
        <v>0</v>
      </c>
      <c r="U726" s="21">
        <v>0</v>
      </c>
      <c r="V726" s="21">
        <v>0</v>
      </c>
      <c r="W726" s="21">
        <v>0</v>
      </c>
      <c r="X726" s="21">
        <v>0</v>
      </c>
      <c r="Y726" s="21" t="s">
        <v>2276</v>
      </c>
      <c r="Z726" s="3" t="s">
        <v>2276</v>
      </c>
      <c r="AA726" s="3" t="s">
        <v>2276</v>
      </c>
      <c r="AB726" s="3" t="s">
        <v>2276</v>
      </c>
      <c r="AC726" s="4" t="s">
        <v>1726</v>
      </c>
      <c r="AD726" s="3"/>
    </row>
    <row r="727" spans="1:30" ht="49.5" customHeight="1">
      <c r="A727" s="23" t="s">
        <v>1542</v>
      </c>
      <c r="B727" s="3" t="s">
        <v>1692</v>
      </c>
      <c r="C727" s="23" t="s">
        <v>24</v>
      </c>
      <c r="D727" s="23" t="s">
        <v>143</v>
      </c>
      <c r="E727" s="3" t="s">
        <v>863</v>
      </c>
      <c r="F727" s="19" t="s">
        <v>74</v>
      </c>
      <c r="G727" s="19"/>
      <c r="H727" s="11" t="s">
        <v>524</v>
      </c>
      <c r="I727" s="3"/>
      <c r="J727" s="21">
        <v>0</v>
      </c>
      <c r="K727" s="21">
        <v>0</v>
      </c>
      <c r="L727" s="21">
        <v>0</v>
      </c>
      <c r="M727" s="21">
        <v>0</v>
      </c>
      <c r="N727" s="21">
        <v>0</v>
      </c>
      <c r="O727" s="21">
        <v>0</v>
      </c>
      <c r="P727" s="21">
        <v>0</v>
      </c>
      <c r="Q727" s="21" t="s">
        <v>2276</v>
      </c>
      <c r="R727" s="21" t="s">
        <v>2276</v>
      </c>
      <c r="S727" s="21">
        <v>0</v>
      </c>
      <c r="T727" s="21">
        <v>0</v>
      </c>
      <c r="U727" s="21">
        <v>0</v>
      </c>
      <c r="V727" s="21">
        <v>0</v>
      </c>
      <c r="W727" s="21">
        <v>0</v>
      </c>
      <c r="X727" s="21">
        <v>0</v>
      </c>
      <c r="Y727" s="21" t="s">
        <v>2276</v>
      </c>
      <c r="Z727" s="3" t="s">
        <v>2276</v>
      </c>
      <c r="AA727" s="3" t="s">
        <v>2276</v>
      </c>
      <c r="AB727" s="3" t="s">
        <v>2276</v>
      </c>
      <c r="AC727" s="4" t="s">
        <v>1726</v>
      </c>
      <c r="AD727" s="3"/>
    </row>
    <row r="728" spans="1:30" ht="49.5" customHeight="1">
      <c r="A728" s="23" t="s">
        <v>1543</v>
      </c>
      <c r="B728" s="3" t="s">
        <v>1693</v>
      </c>
      <c r="C728" s="23" t="s">
        <v>24</v>
      </c>
      <c r="D728" s="23" t="s">
        <v>143</v>
      </c>
      <c r="E728" s="3" t="s">
        <v>863</v>
      </c>
      <c r="F728" s="19" t="s">
        <v>74</v>
      </c>
      <c r="G728" s="19"/>
      <c r="H728" s="11" t="s">
        <v>524</v>
      </c>
      <c r="I728" s="3"/>
      <c r="J728" s="21">
        <v>0</v>
      </c>
      <c r="K728" s="21">
        <v>0</v>
      </c>
      <c r="L728" s="21">
        <v>0</v>
      </c>
      <c r="M728" s="21">
        <v>0</v>
      </c>
      <c r="N728" s="21">
        <v>0</v>
      </c>
      <c r="O728" s="21">
        <v>0</v>
      </c>
      <c r="P728" s="21">
        <v>0</v>
      </c>
      <c r="Q728" s="21" t="s">
        <v>2276</v>
      </c>
      <c r="R728" s="21" t="s">
        <v>2276</v>
      </c>
      <c r="S728" s="21">
        <v>0</v>
      </c>
      <c r="T728" s="21">
        <v>0</v>
      </c>
      <c r="U728" s="21">
        <v>0</v>
      </c>
      <c r="V728" s="21">
        <v>0</v>
      </c>
      <c r="W728" s="21">
        <v>0</v>
      </c>
      <c r="X728" s="21">
        <v>0</v>
      </c>
      <c r="Y728" s="21" t="s">
        <v>2276</v>
      </c>
      <c r="Z728" s="3" t="s">
        <v>2276</v>
      </c>
      <c r="AA728" s="3" t="s">
        <v>2276</v>
      </c>
      <c r="AB728" s="3" t="s">
        <v>2276</v>
      </c>
      <c r="AC728" s="4" t="s">
        <v>1726</v>
      </c>
      <c r="AD728" s="3"/>
    </row>
    <row r="729" spans="1:30" ht="49.5" customHeight="1">
      <c r="A729" s="23" t="s">
        <v>1544</v>
      </c>
      <c r="B729" s="3" t="s">
        <v>1694</v>
      </c>
      <c r="C729" s="23" t="s">
        <v>24</v>
      </c>
      <c r="D729" s="23" t="s">
        <v>143</v>
      </c>
      <c r="E729" s="3" t="s">
        <v>863</v>
      </c>
      <c r="F729" s="19" t="s">
        <v>74</v>
      </c>
      <c r="G729" s="19"/>
      <c r="H729" s="11" t="s">
        <v>524</v>
      </c>
      <c r="I729" s="3"/>
      <c r="J729" s="21">
        <v>0</v>
      </c>
      <c r="K729" s="21">
        <v>0</v>
      </c>
      <c r="L729" s="21">
        <v>0</v>
      </c>
      <c r="M729" s="21">
        <v>0</v>
      </c>
      <c r="N729" s="21">
        <v>0</v>
      </c>
      <c r="O729" s="21">
        <v>0</v>
      </c>
      <c r="P729" s="21">
        <v>0</v>
      </c>
      <c r="Q729" s="21" t="s">
        <v>2276</v>
      </c>
      <c r="R729" s="21" t="s">
        <v>2276</v>
      </c>
      <c r="S729" s="21">
        <v>0</v>
      </c>
      <c r="T729" s="21">
        <v>0</v>
      </c>
      <c r="U729" s="21">
        <v>0</v>
      </c>
      <c r="V729" s="21">
        <v>0</v>
      </c>
      <c r="W729" s="21">
        <v>0</v>
      </c>
      <c r="X729" s="21">
        <v>0</v>
      </c>
      <c r="Y729" s="21" t="s">
        <v>2276</v>
      </c>
      <c r="Z729" s="3" t="s">
        <v>2276</v>
      </c>
      <c r="AA729" s="3" t="s">
        <v>2276</v>
      </c>
      <c r="AB729" s="3" t="s">
        <v>2276</v>
      </c>
      <c r="AC729" s="4" t="s">
        <v>1726</v>
      </c>
      <c r="AD729" s="3"/>
    </row>
    <row r="730" spans="1:30" ht="49.5" customHeight="1">
      <c r="A730" s="23" t="s">
        <v>1545</v>
      </c>
      <c r="B730" s="3" t="s">
        <v>1695</v>
      </c>
      <c r="C730" s="23" t="s">
        <v>24</v>
      </c>
      <c r="D730" s="23" t="s">
        <v>143</v>
      </c>
      <c r="E730" s="3" t="s">
        <v>863</v>
      </c>
      <c r="F730" s="19" t="s">
        <v>74</v>
      </c>
      <c r="G730" s="19"/>
      <c r="H730" s="11" t="s">
        <v>524</v>
      </c>
      <c r="I730" s="3"/>
      <c r="J730" s="21">
        <v>0</v>
      </c>
      <c r="K730" s="21">
        <v>0</v>
      </c>
      <c r="L730" s="21">
        <v>0</v>
      </c>
      <c r="M730" s="21">
        <v>0</v>
      </c>
      <c r="N730" s="21">
        <v>0</v>
      </c>
      <c r="O730" s="21">
        <v>0</v>
      </c>
      <c r="P730" s="21">
        <v>0</v>
      </c>
      <c r="Q730" s="21" t="s">
        <v>2276</v>
      </c>
      <c r="R730" s="21" t="s">
        <v>2276</v>
      </c>
      <c r="S730" s="21">
        <v>0</v>
      </c>
      <c r="T730" s="21">
        <v>0</v>
      </c>
      <c r="U730" s="21">
        <v>0</v>
      </c>
      <c r="V730" s="21">
        <v>0</v>
      </c>
      <c r="W730" s="21">
        <v>0</v>
      </c>
      <c r="X730" s="21">
        <v>0</v>
      </c>
      <c r="Y730" s="21" t="s">
        <v>2276</v>
      </c>
      <c r="Z730" s="3" t="s">
        <v>2276</v>
      </c>
      <c r="AA730" s="3" t="s">
        <v>2276</v>
      </c>
      <c r="AB730" s="3" t="s">
        <v>2276</v>
      </c>
      <c r="AC730" s="4" t="s">
        <v>1726</v>
      </c>
      <c r="AD730" s="3"/>
    </row>
    <row r="731" spans="1:30" ht="49.5" customHeight="1">
      <c r="A731" s="23" t="s">
        <v>1546</v>
      </c>
      <c r="B731" s="3" t="s">
        <v>1696</v>
      </c>
      <c r="C731" s="23" t="s">
        <v>24</v>
      </c>
      <c r="D731" s="23" t="s">
        <v>143</v>
      </c>
      <c r="E731" s="3" t="s">
        <v>863</v>
      </c>
      <c r="F731" s="19" t="s">
        <v>74</v>
      </c>
      <c r="G731" s="19"/>
      <c r="H731" s="11" t="s">
        <v>524</v>
      </c>
      <c r="I731" s="3"/>
      <c r="J731" s="21">
        <v>0</v>
      </c>
      <c r="K731" s="21">
        <v>0</v>
      </c>
      <c r="L731" s="21">
        <v>0</v>
      </c>
      <c r="M731" s="21">
        <v>0</v>
      </c>
      <c r="N731" s="21">
        <v>0</v>
      </c>
      <c r="O731" s="21">
        <v>0</v>
      </c>
      <c r="P731" s="21">
        <v>0</v>
      </c>
      <c r="Q731" s="21" t="s">
        <v>2276</v>
      </c>
      <c r="R731" s="21" t="s">
        <v>2276</v>
      </c>
      <c r="S731" s="21">
        <v>0</v>
      </c>
      <c r="T731" s="21">
        <v>0</v>
      </c>
      <c r="U731" s="21">
        <v>0</v>
      </c>
      <c r="V731" s="21">
        <v>0</v>
      </c>
      <c r="W731" s="21">
        <v>0</v>
      </c>
      <c r="X731" s="21">
        <v>0</v>
      </c>
      <c r="Y731" s="21" t="s">
        <v>2276</v>
      </c>
      <c r="Z731" s="3" t="s">
        <v>2276</v>
      </c>
      <c r="AA731" s="3" t="s">
        <v>2276</v>
      </c>
      <c r="AB731" s="3" t="s">
        <v>2276</v>
      </c>
      <c r="AC731" s="4" t="s">
        <v>1726</v>
      </c>
      <c r="AD731" s="3"/>
    </row>
    <row r="732" spans="1:30" ht="49.5" customHeight="1">
      <c r="A732" s="23" t="s">
        <v>1547</v>
      </c>
      <c r="B732" s="3" t="s">
        <v>1697</v>
      </c>
      <c r="C732" s="23" t="s">
        <v>24</v>
      </c>
      <c r="D732" s="23" t="s">
        <v>143</v>
      </c>
      <c r="E732" s="3" t="s">
        <v>863</v>
      </c>
      <c r="F732" s="19" t="s">
        <v>74</v>
      </c>
      <c r="G732" s="19"/>
      <c r="H732" s="11" t="s">
        <v>524</v>
      </c>
      <c r="I732" s="3"/>
      <c r="J732" s="21">
        <v>0</v>
      </c>
      <c r="K732" s="21">
        <v>0</v>
      </c>
      <c r="L732" s="21">
        <v>0</v>
      </c>
      <c r="M732" s="21">
        <v>0</v>
      </c>
      <c r="N732" s="21">
        <v>0</v>
      </c>
      <c r="O732" s="21">
        <v>0</v>
      </c>
      <c r="P732" s="21">
        <v>0</v>
      </c>
      <c r="Q732" s="21" t="s">
        <v>2276</v>
      </c>
      <c r="R732" s="21" t="s">
        <v>2276</v>
      </c>
      <c r="S732" s="21">
        <v>0</v>
      </c>
      <c r="T732" s="21">
        <v>0</v>
      </c>
      <c r="U732" s="21">
        <v>0</v>
      </c>
      <c r="V732" s="21">
        <v>0</v>
      </c>
      <c r="W732" s="21">
        <v>0</v>
      </c>
      <c r="X732" s="21">
        <v>0</v>
      </c>
      <c r="Y732" s="21" t="s">
        <v>2276</v>
      </c>
      <c r="Z732" s="3" t="s">
        <v>2276</v>
      </c>
      <c r="AA732" s="3" t="s">
        <v>2276</v>
      </c>
      <c r="AB732" s="3" t="s">
        <v>2276</v>
      </c>
      <c r="AC732" s="4" t="s">
        <v>1726</v>
      </c>
      <c r="AD732" s="3"/>
    </row>
    <row r="733" spans="1:30" ht="49.5" customHeight="1">
      <c r="A733" s="23" t="s">
        <v>1548</v>
      </c>
      <c r="B733" s="3" t="s">
        <v>1698</v>
      </c>
      <c r="C733" s="23" t="s">
        <v>24</v>
      </c>
      <c r="D733" s="23" t="s">
        <v>143</v>
      </c>
      <c r="E733" s="3" t="s">
        <v>863</v>
      </c>
      <c r="F733" s="19" t="s">
        <v>74</v>
      </c>
      <c r="G733" s="19"/>
      <c r="H733" s="11" t="s">
        <v>524</v>
      </c>
      <c r="I733" s="3"/>
      <c r="J733" s="21">
        <v>0</v>
      </c>
      <c r="K733" s="21">
        <v>0</v>
      </c>
      <c r="L733" s="21">
        <v>0</v>
      </c>
      <c r="M733" s="21">
        <v>0</v>
      </c>
      <c r="N733" s="21">
        <v>0</v>
      </c>
      <c r="O733" s="21">
        <v>0</v>
      </c>
      <c r="P733" s="21">
        <v>0</v>
      </c>
      <c r="Q733" s="21" t="s">
        <v>2276</v>
      </c>
      <c r="R733" s="21" t="s">
        <v>2276</v>
      </c>
      <c r="S733" s="21">
        <v>0</v>
      </c>
      <c r="T733" s="21">
        <v>0</v>
      </c>
      <c r="U733" s="21">
        <v>0</v>
      </c>
      <c r="V733" s="21">
        <v>0</v>
      </c>
      <c r="W733" s="21">
        <v>0</v>
      </c>
      <c r="X733" s="21">
        <v>0</v>
      </c>
      <c r="Y733" s="21" t="s">
        <v>2276</v>
      </c>
      <c r="Z733" s="3" t="s">
        <v>2276</v>
      </c>
      <c r="AA733" s="3" t="s">
        <v>2276</v>
      </c>
      <c r="AB733" s="3" t="s">
        <v>2276</v>
      </c>
      <c r="AC733" s="4" t="s">
        <v>1726</v>
      </c>
      <c r="AD733" s="3"/>
    </row>
    <row r="734" spans="1:30" ht="49.5" customHeight="1">
      <c r="A734" s="23" t="s">
        <v>1549</v>
      </c>
      <c r="B734" s="3" t="s">
        <v>1699</v>
      </c>
      <c r="C734" s="23" t="s">
        <v>24</v>
      </c>
      <c r="D734" s="23" t="s">
        <v>143</v>
      </c>
      <c r="E734" s="3" t="s">
        <v>863</v>
      </c>
      <c r="F734" s="19" t="s">
        <v>74</v>
      </c>
      <c r="G734" s="19"/>
      <c r="H734" s="11" t="s">
        <v>524</v>
      </c>
      <c r="I734" s="3"/>
      <c r="J734" s="21">
        <v>0</v>
      </c>
      <c r="K734" s="21">
        <v>0</v>
      </c>
      <c r="L734" s="21">
        <v>0</v>
      </c>
      <c r="M734" s="21">
        <v>0</v>
      </c>
      <c r="N734" s="21">
        <v>0</v>
      </c>
      <c r="O734" s="21">
        <v>0</v>
      </c>
      <c r="P734" s="21">
        <v>0</v>
      </c>
      <c r="Q734" s="21" t="s">
        <v>2276</v>
      </c>
      <c r="R734" s="21" t="s">
        <v>2276</v>
      </c>
      <c r="S734" s="21">
        <v>0</v>
      </c>
      <c r="T734" s="21">
        <v>0</v>
      </c>
      <c r="U734" s="21">
        <v>0</v>
      </c>
      <c r="V734" s="21">
        <v>0</v>
      </c>
      <c r="W734" s="21">
        <v>0</v>
      </c>
      <c r="X734" s="21">
        <v>0</v>
      </c>
      <c r="Y734" s="21" t="s">
        <v>2276</v>
      </c>
      <c r="Z734" s="3" t="s">
        <v>2276</v>
      </c>
      <c r="AA734" s="3" t="s">
        <v>2276</v>
      </c>
      <c r="AB734" s="3" t="s">
        <v>2276</v>
      </c>
      <c r="AC734" s="4" t="s">
        <v>1726</v>
      </c>
      <c r="AD734" s="3"/>
    </row>
    <row r="735" spans="1:30" ht="49.5" customHeight="1">
      <c r="A735" s="23" t="s">
        <v>1550</v>
      </c>
      <c r="B735" s="3" t="s">
        <v>1700</v>
      </c>
      <c r="C735" s="23" t="s">
        <v>24</v>
      </c>
      <c r="D735" s="23" t="s">
        <v>143</v>
      </c>
      <c r="E735" s="3" t="s">
        <v>863</v>
      </c>
      <c r="F735" s="19" t="s">
        <v>74</v>
      </c>
      <c r="G735" s="19"/>
      <c r="H735" s="11" t="s">
        <v>524</v>
      </c>
      <c r="I735" s="3"/>
      <c r="J735" s="21">
        <v>0</v>
      </c>
      <c r="K735" s="21">
        <v>0</v>
      </c>
      <c r="L735" s="21">
        <v>0</v>
      </c>
      <c r="M735" s="21">
        <v>0</v>
      </c>
      <c r="N735" s="21">
        <v>0</v>
      </c>
      <c r="O735" s="21">
        <v>0</v>
      </c>
      <c r="P735" s="21">
        <v>0</v>
      </c>
      <c r="Q735" s="21" t="s">
        <v>2276</v>
      </c>
      <c r="R735" s="21" t="s">
        <v>2276</v>
      </c>
      <c r="S735" s="21">
        <v>0</v>
      </c>
      <c r="T735" s="21">
        <v>0</v>
      </c>
      <c r="U735" s="21">
        <v>0</v>
      </c>
      <c r="V735" s="21">
        <v>0</v>
      </c>
      <c r="W735" s="21">
        <v>0</v>
      </c>
      <c r="X735" s="21">
        <v>0</v>
      </c>
      <c r="Y735" s="21" t="s">
        <v>2276</v>
      </c>
      <c r="Z735" s="3" t="s">
        <v>2276</v>
      </c>
      <c r="AA735" s="3" t="s">
        <v>2276</v>
      </c>
      <c r="AB735" s="3" t="s">
        <v>2276</v>
      </c>
      <c r="AC735" s="4" t="s">
        <v>1726</v>
      </c>
      <c r="AD735" s="3"/>
    </row>
    <row r="736" spans="1:30" ht="49.5" customHeight="1">
      <c r="A736" s="23" t="s">
        <v>1551</v>
      </c>
      <c r="B736" s="3" t="s">
        <v>1701</v>
      </c>
      <c r="C736" s="23" t="s">
        <v>24</v>
      </c>
      <c r="D736" s="23" t="s">
        <v>143</v>
      </c>
      <c r="E736" s="3" t="s">
        <v>863</v>
      </c>
      <c r="F736" s="19" t="s">
        <v>74</v>
      </c>
      <c r="G736" s="19"/>
      <c r="H736" s="11" t="s">
        <v>524</v>
      </c>
      <c r="I736" s="3"/>
      <c r="J736" s="21">
        <v>0</v>
      </c>
      <c r="K736" s="21">
        <v>0</v>
      </c>
      <c r="L736" s="21">
        <v>0</v>
      </c>
      <c r="M736" s="21">
        <v>0</v>
      </c>
      <c r="N736" s="21">
        <v>0</v>
      </c>
      <c r="O736" s="21">
        <v>0</v>
      </c>
      <c r="P736" s="21">
        <v>0</v>
      </c>
      <c r="Q736" s="21" t="s">
        <v>2276</v>
      </c>
      <c r="R736" s="21" t="s">
        <v>2276</v>
      </c>
      <c r="S736" s="21">
        <v>0</v>
      </c>
      <c r="T736" s="21">
        <v>0</v>
      </c>
      <c r="U736" s="21">
        <v>0</v>
      </c>
      <c r="V736" s="21">
        <v>0</v>
      </c>
      <c r="W736" s="21">
        <v>0</v>
      </c>
      <c r="X736" s="21">
        <v>0</v>
      </c>
      <c r="Y736" s="21" t="s">
        <v>2276</v>
      </c>
      <c r="Z736" s="3" t="s">
        <v>2276</v>
      </c>
      <c r="AA736" s="3" t="s">
        <v>2276</v>
      </c>
      <c r="AB736" s="3" t="s">
        <v>2276</v>
      </c>
      <c r="AC736" s="4" t="s">
        <v>1726</v>
      </c>
      <c r="AD736" s="3"/>
    </row>
    <row r="737" spans="1:30" ht="49.5" customHeight="1">
      <c r="A737" s="23" t="s">
        <v>1552</v>
      </c>
      <c r="B737" s="3" t="s">
        <v>1702</v>
      </c>
      <c r="C737" s="23" t="s">
        <v>24</v>
      </c>
      <c r="D737" s="23" t="s">
        <v>143</v>
      </c>
      <c r="E737" s="3" t="s">
        <v>863</v>
      </c>
      <c r="F737" s="19" t="s">
        <v>74</v>
      </c>
      <c r="G737" s="19"/>
      <c r="H737" s="11" t="s">
        <v>524</v>
      </c>
      <c r="I737" s="3"/>
      <c r="J737" s="21">
        <v>0</v>
      </c>
      <c r="K737" s="21">
        <v>0</v>
      </c>
      <c r="L737" s="21">
        <v>0</v>
      </c>
      <c r="M737" s="21">
        <v>0</v>
      </c>
      <c r="N737" s="21">
        <v>0</v>
      </c>
      <c r="O737" s="21">
        <v>0</v>
      </c>
      <c r="P737" s="21">
        <v>0</v>
      </c>
      <c r="Q737" s="21" t="s">
        <v>2276</v>
      </c>
      <c r="R737" s="21" t="s">
        <v>2276</v>
      </c>
      <c r="S737" s="21">
        <v>0</v>
      </c>
      <c r="T737" s="21">
        <v>0</v>
      </c>
      <c r="U737" s="21">
        <v>0</v>
      </c>
      <c r="V737" s="21">
        <v>0</v>
      </c>
      <c r="W737" s="21">
        <v>0</v>
      </c>
      <c r="X737" s="21">
        <v>0</v>
      </c>
      <c r="Y737" s="21" t="s">
        <v>2276</v>
      </c>
      <c r="Z737" s="3" t="s">
        <v>2276</v>
      </c>
      <c r="AA737" s="3" t="s">
        <v>2276</v>
      </c>
      <c r="AB737" s="3" t="s">
        <v>2276</v>
      </c>
      <c r="AC737" s="4" t="s">
        <v>1726</v>
      </c>
      <c r="AD737" s="3"/>
    </row>
    <row r="738" spans="1:30" ht="49.5" customHeight="1">
      <c r="A738" s="23" t="s">
        <v>1553</v>
      </c>
      <c r="B738" s="3" t="s">
        <v>1703</v>
      </c>
      <c r="C738" s="23" t="s">
        <v>24</v>
      </c>
      <c r="D738" s="23" t="s">
        <v>143</v>
      </c>
      <c r="E738" s="3" t="s">
        <v>863</v>
      </c>
      <c r="F738" s="19" t="s">
        <v>74</v>
      </c>
      <c r="G738" s="19"/>
      <c r="H738" s="11" t="s">
        <v>524</v>
      </c>
      <c r="I738" s="3"/>
      <c r="J738" s="21">
        <v>0</v>
      </c>
      <c r="K738" s="21">
        <v>0</v>
      </c>
      <c r="L738" s="21">
        <v>0</v>
      </c>
      <c r="M738" s="21">
        <v>0</v>
      </c>
      <c r="N738" s="21">
        <v>0</v>
      </c>
      <c r="O738" s="21">
        <v>0</v>
      </c>
      <c r="P738" s="21">
        <v>0</v>
      </c>
      <c r="Q738" s="21" t="s">
        <v>2276</v>
      </c>
      <c r="R738" s="21" t="s">
        <v>2276</v>
      </c>
      <c r="S738" s="21">
        <v>0</v>
      </c>
      <c r="T738" s="21">
        <v>0</v>
      </c>
      <c r="U738" s="21">
        <v>0</v>
      </c>
      <c r="V738" s="21">
        <v>0</v>
      </c>
      <c r="W738" s="21">
        <v>0</v>
      </c>
      <c r="X738" s="21">
        <v>0</v>
      </c>
      <c r="Y738" s="21" t="s">
        <v>2276</v>
      </c>
      <c r="Z738" s="3" t="s">
        <v>2276</v>
      </c>
      <c r="AA738" s="3" t="s">
        <v>2276</v>
      </c>
      <c r="AB738" s="3" t="s">
        <v>2276</v>
      </c>
      <c r="AC738" s="4" t="s">
        <v>1726</v>
      </c>
      <c r="AD738" s="3"/>
    </row>
    <row r="739" spans="1:30" ht="49.5" customHeight="1">
      <c r="A739" s="23" t="s">
        <v>1554</v>
      </c>
      <c r="B739" s="3" t="s">
        <v>1704</v>
      </c>
      <c r="C739" s="23" t="s">
        <v>24</v>
      </c>
      <c r="D739" s="23" t="s">
        <v>143</v>
      </c>
      <c r="E739" s="3" t="s">
        <v>863</v>
      </c>
      <c r="F739" s="19" t="s">
        <v>74</v>
      </c>
      <c r="G739" s="19"/>
      <c r="H739" s="11" t="s">
        <v>524</v>
      </c>
      <c r="I739" s="3"/>
      <c r="J739" s="21">
        <v>0</v>
      </c>
      <c r="K739" s="21">
        <v>0</v>
      </c>
      <c r="L739" s="21">
        <v>0</v>
      </c>
      <c r="M739" s="21">
        <v>0</v>
      </c>
      <c r="N739" s="21">
        <v>0</v>
      </c>
      <c r="O739" s="21">
        <v>0</v>
      </c>
      <c r="P739" s="21">
        <v>0</v>
      </c>
      <c r="Q739" s="21" t="s">
        <v>2276</v>
      </c>
      <c r="R739" s="21" t="s">
        <v>2276</v>
      </c>
      <c r="S739" s="21">
        <v>0</v>
      </c>
      <c r="T739" s="21">
        <v>0</v>
      </c>
      <c r="U739" s="21">
        <v>0</v>
      </c>
      <c r="V739" s="21">
        <v>0</v>
      </c>
      <c r="W739" s="21">
        <v>0</v>
      </c>
      <c r="X739" s="21">
        <v>0</v>
      </c>
      <c r="Y739" s="21" t="s">
        <v>2276</v>
      </c>
      <c r="Z739" s="3" t="s">
        <v>2276</v>
      </c>
      <c r="AA739" s="3" t="s">
        <v>2276</v>
      </c>
      <c r="AB739" s="3" t="s">
        <v>2276</v>
      </c>
      <c r="AC739" s="4" t="s">
        <v>1726</v>
      </c>
      <c r="AD739" s="3"/>
    </row>
    <row r="740" spans="1:30" ht="49.5" customHeight="1">
      <c r="A740" s="23" t="s">
        <v>1555</v>
      </c>
      <c r="B740" s="3" t="s">
        <v>1705</v>
      </c>
      <c r="C740" s="23" t="s">
        <v>24</v>
      </c>
      <c r="D740" s="23" t="s">
        <v>143</v>
      </c>
      <c r="E740" s="3" t="s">
        <v>863</v>
      </c>
      <c r="F740" s="19" t="s">
        <v>74</v>
      </c>
      <c r="G740" s="19"/>
      <c r="H740" s="11" t="s">
        <v>524</v>
      </c>
      <c r="I740" s="3"/>
      <c r="J740" s="21">
        <v>0</v>
      </c>
      <c r="K740" s="21">
        <v>0</v>
      </c>
      <c r="L740" s="21">
        <v>0</v>
      </c>
      <c r="M740" s="21">
        <v>0</v>
      </c>
      <c r="N740" s="21">
        <v>0</v>
      </c>
      <c r="O740" s="21">
        <v>0</v>
      </c>
      <c r="P740" s="21">
        <v>0</v>
      </c>
      <c r="Q740" s="21" t="s">
        <v>2276</v>
      </c>
      <c r="R740" s="21" t="s">
        <v>2276</v>
      </c>
      <c r="S740" s="21">
        <v>0</v>
      </c>
      <c r="T740" s="21">
        <v>0</v>
      </c>
      <c r="U740" s="21">
        <v>0</v>
      </c>
      <c r="V740" s="21">
        <v>0</v>
      </c>
      <c r="W740" s="21">
        <v>0</v>
      </c>
      <c r="X740" s="21">
        <v>0</v>
      </c>
      <c r="Y740" s="21" t="s">
        <v>2276</v>
      </c>
      <c r="Z740" s="3" t="s">
        <v>2276</v>
      </c>
      <c r="AA740" s="3" t="s">
        <v>2276</v>
      </c>
      <c r="AB740" s="3" t="s">
        <v>2276</v>
      </c>
      <c r="AC740" s="4" t="s">
        <v>1726</v>
      </c>
      <c r="AD740" s="3"/>
    </row>
    <row r="741" spans="1:30" ht="49.5" customHeight="1">
      <c r="A741" s="23" t="s">
        <v>1556</v>
      </c>
      <c r="B741" s="3" t="s">
        <v>1706</v>
      </c>
      <c r="C741" s="23" t="s">
        <v>24</v>
      </c>
      <c r="D741" s="23" t="s">
        <v>143</v>
      </c>
      <c r="E741" s="3" t="s">
        <v>863</v>
      </c>
      <c r="F741" s="19" t="s">
        <v>74</v>
      </c>
      <c r="G741" s="19"/>
      <c r="H741" s="11" t="s">
        <v>524</v>
      </c>
      <c r="I741" s="3"/>
      <c r="J741" s="21">
        <v>0</v>
      </c>
      <c r="K741" s="21">
        <v>0</v>
      </c>
      <c r="L741" s="21">
        <v>0</v>
      </c>
      <c r="M741" s="21">
        <v>0</v>
      </c>
      <c r="N741" s="21">
        <v>0</v>
      </c>
      <c r="O741" s="21">
        <v>0</v>
      </c>
      <c r="P741" s="21">
        <v>0</v>
      </c>
      <c r="Q741" s="21" t="s">
        <v>2276</v>
      </c>
      <c r="R741" s="21" t="s">
        <v>2276</v>
      </c>
      <c r="S741" s="21">
        <v>0</v>
      </c>
      <c r="T741" s="21">
        <v>0</v>
      </c>
      <c r="U741" s="21">
        <v>0</v>
      </c>
      <c r="V741" s="21">
        <v>0</v>
      </c>
      <c r="W741" s="21">
        <v>0</v>
      </c>
      <c r="X741" s="21">
        <v>0</v>
      </c>
      <c r="Y741" s="21" t="s">
        <v>2276</v>
      </c>
      <c r="Z741" s="3" t="s">
        <v>2276</v>
      </c>
      <c r="AA741" s="3" t="s">
        <v>2276</v>
      </c>
      <c r="AB741" s="3" t="s">
        <v>2276</v>
      </c>
      <c r="AC741" s="4" t="s">
        <v>1726</v>
      </c>
      <c r="AD741" s="3"/>
    </row>
    <row r="742" spans="1:30" ht="49.5" customHeight="1">
      <c r="A742" s="23" t="s">
        <v>1557</v>
      </c>
      <c r="B742" s="3" t="s">
        <v>1707</v>
      </c>
      <c r="C742" s="23" t="s">
        <v>24</v>
      </c>
      <c r="D742" s="23" t="s">
        <v>143</v>
      </c>
      <c r="E742" s="3" t="s">
        <v>863</v>
      </c>
      <c r="F742" s="19" t="s">
        <v>74</v>
      </c>
      <c r="G742" s="19"/>
      <c r="H742" s="11" t="s">
        <v>524</v>
      </c>
      <c r="I742" s="3"/>
      <c r="J742" s="21">
        <v>0</v>
      </c>
      <c r="K742" s="21">
        <v>0</v>
      </c>
      <c r="L742" s="21">
        <v>0</v>
      </c>
      <c r="M742" s="21">
        <v>0</v>
      </c>
      <c r="N742" s="21">
        <v>0</v>
      </c>
      <c r="O742" s="21">
        <v>0</v>
      </c>
      <c r="P742" s="21">
        <v>0</v>
      </c>
      <c r="Q742" s="21" t="s">
        <v>2276</v>
      </c>
      <c r="R742" s="21" t="s">
        <v>2276</v>
      </c>
      <c r="S742" s="21">
        <v>0</v>
      </c>
      <c r="T742" s="21">
        <v>0</v>
      </c>
      <c r="U742" s="21">
        <v>0</v>
      </c>
      <c r="V742" s="21">
        <v>0</v>
      </c>
      <c r="W742" s="21">
        <v>0</v>
      </c>
      <c r="X742" s="21">
        <v>0</v>
      </c>
      <c r="Y742" s="21" t="s">
        <v>2276</v>
      </c>
      <c r="Z742" s="3" t="s">
        <v>2276</v>
      </c>
      <c r="AA742" s="3" t="s">
        <v>2276</v>
      </c>
      <c r="AB742" s="3" t="s">
        <v>2276</v>
      </c>
      <c r="AC742" s="4" t="s">
        <v>1726</v>
      </c>
      <c r="AD742" s="3"/>
    </row>
    <row r="743" spans="1:30" ht="49.5" customHeight="1">
      <c r="A743" s="23" t="s">
        <v>1558</v>
      </c>
      <c r="B743" s="3" t="s">
        <v>1708</v>
      </c>
      <c r="C743" s="23" t="s">
        <v>24</v>
      </c>
      <c r="D743" s="23" t="s">
        <v>143</v>
      </c>
      <c r="E743" s="3" t="s">
        <v>863</v>
      </c>
      <c r="F743" s="19" t="s">
        <v>74</v>
      </c>
      <c r="G743" s="19"/>
      <c r="H743" s="11" t="s">
        <v>524</v>
      </c>
      <c r="I743" s="3"/>
      <c r="J743" s="21">
        <v>0</v>
      </c>
      <c r="K743" s="21">
        <v>0</v>
      </c>
      <c r="L743" s="21">
        <v>0</v>
      </c>
      <c r="M743" s="21">
        <v>0</v>
      </c>
      <c r="N743" s="21">
        <v>0</v>
      </c>
      <c r="O743" s="21">
        <v>0</v>
      </c>
      <c r="P743" s="21">
        <v>0</v>
      </c>
      <c r="Q743" s="21" t="s">
        <v>2276</v>
      </c>
      <c r="R743" s="21" t="s">
        <v>2276</v>
      </c>
      <c r="S743" s="21">
        <v>0</v>
      </c>
      <c r="T743" s="21">
        <v>0</v>
      </c>
      <c r="U743" s="21">
        <v>0</v>
      </c>
      <c r="V743" s="21">
        <v>0</v>
      </c>
      <c r="W743" s="21">
        <v>0</v>
      </c>
      <c r="X743" s="21">
        <v>0</v>
      </c>
      <c r="Y743" s="21" t="s">
        <v>2276</v>
      </c>
      <c r="Z743" s="3" t="s">
        <v>2276</v>
      </c>
      <c r="AA743" s="3" t="s">
        <v>2276</v>
      </c>
      <c r="AB743" s="3" t="s">
        <v>2276</v>
      </c>
      <c r="AC743" s="4" t="s">
        <v>1726</v>
      </c>
      <c r="AD743" s="3"/>
    </row>
    <row r="744" spans="1:30" ht="49.5" customHeight="1">
      <c r="A744" s="23" t="s">
        <v>1559</v>
      </c>
      <c r="B744" s="3" t="s">
        <v>1709</v>
      </c>
      <c r="C744" s="23" t="s">
        <v>24</v>
      </c>
      <c r="D744" s="23" t="s">
        <v>143</v>
      </c>
      <c r="E744" s="3" t="s">
        <v>863</v>
      </c>
      <c r="F744" s="19" t="s">
        <v>74</v>
      </c>
      <c r="G744" s="19"/>
      <c r="H744" s="11" t="s">
        <v>524</v>
      </c>
      <c r="I744" s="3"/>
      <c r="J744" s="21">
        <v>0</v>
      </c>
      <c r="K744" s="21">
        <v>0</v>
      </c>
      <c r="L744" s="21">
        <v>0</v>
      </c>
      <c r="M744" s="21">
        <v>0</v>
      </c>
      <c r="N744" s="21">
        <v>0</v>
      </c>
      <c r="O744" s="21">
        <v>0</v>
      </c>
      <c r="P744" s="21">
        <v>0</v>
      </c>
      <c r="Q744" s="21" t="s">
        <v>2276</v>
      </c>
      <c r="R744" s="21" t="s">
        <v>2276</v>
      </c>
      <c r="S744" s="21">
        <v>0</v>
      </c>
      <c r="T744" s="21">
        <v>0</v>
      </c>
      <c r="U744" s="21">
        <v>0</v>
      </c>
      <c r="V744" s="21">
        <v>0</v>
      </c>
      <c r="W744" s="21">
        <v>0</v>
      </c>
      <c r="X744" s="21">
        <v>0</v>
      </c>
      <c r="Y744" s="21" t="s">
        <v>2276</v>
      </c>
      <c r="Z744" s="3" t="s">
        <v>2276</v>
      </c>
      <c r="AA744" s="3" t="s">
        <v>2276</v>
      </c>
      <c r="AB744" s="3" t="s">
        <v>2276</v>
      </c>
      <c r="AC744" s="4" t="s">
        <v>1726</v>
      </c>
      <c r="AD744" s="3"/>
    </row>
    <row r="745" spans="1:30" ht="49.5" customHeight="1">
      <c r="A745" s="23" t="s">
        <v>1560</v>
      </c>
      <c r="B745" s="3" t="s">
        <v>1710</v>
      </c>
      <c r="C745" s="23" t="s">
        <v>24</v>
      </c>
      <c r="D745" s="23" t="s">
        <v>143</v>
      </c>
      <c r="E745" s="3" t="s">
        <v>863</v>
      </c>
      <c r="F745" s="19" t="s">
        <v>74</v>
      </c>
      <c r="G745" s="19"/>
      <c r="H745" s="11" t="s">
        <v>524</v>
      </c>
      <c r="I745" s="3"/>
      <c r="J745" s="21">
        <v>0</v>
      </c>
      <c r="K745" s="21">
        <v>0</v>
      </c>
      <c r="L745" s="21">
        <v>0</v>
      </c>
      <c r="M745" s="21">
        <v>0</v>
      </c>
      <c r="N745" s="21">
        <v>0</v>
      </c>
      <c r="O745" s="21">
        <v>0</v>
      </c>
      <c r="P745" s="21">
        <v>0</v>
      </c>
      <c r="Q745" s="21" t="s">
        <v>2276</v>
      </c>
      <c r="R745" s="21" t="s">
        <v>2276</v>
      </c>
      <c r="S745" s="21">
        <v>0</v>
      </c>
      <c r="T745" s="21">
        <v>0</v>
      </c>
      <c r="U745" s="21">
        <v>0</v>
      </c>
      <c r="V745" s="21">
        <v>0</v>
      </c>
      <c r="W745" s="21">
        <v>0</v>
      </c>
      <c r="X745" s="21">
        <v>0</v>
      </c>
      <c r="Y745" s="21" t="s">
        <v>2276</v>
      </c>
      <c r="Z745" s="3" t="s">
        <v>2276</v>
      </c>
      <c r="AA745" s="3" t="s">
        <v>2276</v>
      </c>
      <c r="AB745" s="3" t="s">
        <v>2276</v>
      </c>
      <c r="AC745" s="4" t="s">
        <v>1726</v>
      </c>
      <c r="AD745" s="3"/>
    </row>
    <row r="746" spans="1:30" ht="49.5" customHeight="1">
      <c r="A746" s="23" t="s">
        <v>1561</v>
      </c>
      <c r="B746" s="3" t="s">
        <v>1711</v>
      </c>
      <c r="C746" s="23" t="s">
        <v>24</v>
      </c>
      <c r="D746" s="23" t="s">
        <v>143</v>
      </c>
      <c r="E746" s="3" t="s">
        <v>863</v>
      </c>
      <c r="F746" s="19" t="s">
        <v>74</v>
      </c>
      <c r="G746" s="19"/>
      <c r="H746" s="11" t="s">
        <v>524</v>
      </c>
      <c r="I746" s="3"/>
      <c r="J746" s="21">
        <v>0</v>
      </c>
      <c r="K746" s="21">
        <v>0</v>
      </c>
      <c r="L746" s="21">
        <v>0</v>
      </c>
      <c r="M746" s="21">
        <v>0</v>
      </c>
      <c r="N746" s="21">
        <v>0</v>
      </c>
      <c r="O746" s="21">
        <v>0</v>
      </c>
      <c r="P746" s="21">
        <v>0</v>
      </c>
      <c r="Q746" s="21" t="s">
        <v>2276</v>
      </c>
      <c r="R746" s="21" t="s">
        <v>2276</v>
      </c>
      <c r="S746" s="21">
        <v>0</v>
      </c>
      <c r="T746" s="21">
        <v>0</v>
      </c>
      <c r="U746" s="21">
        <v>0</v>
      </c>
      <c r="V746" s="21">
        <v>0</v>
      </c>
      <c r="W746" s="21">
        <v>0</v>
      </c>
      <c r="X746" s="21">
        <v>0</v>
      </c>
      <c r="Y746" s="21" t="s">
        <v>2276</v>
      </c>
      <c r="Z746" s="3" t="s">
        <v>2276</v>
      </c>
      <c r="AA746" s="3" t="s">
        <v>2276</v>
      </c>
      <c r="AB746" s="3" t="s">
        <v>2276</v>
      </c>
      <c r="AC746" s="4" t="s">
        <v>1726</v>
      </c>
      <c r="AD746" s="3"/>
    </row>
    <row r="747" spans="1:30" ht="49.5" customHeight="1">
      <c r="A747" s="23" t="s">
        <v>1562</v>
      </c>
      <c r="B747" s="3" t="s">
        <v>1712</v>
      </c>
      <c r="C747" s="23" t="s">
        <v>24</v>
      </c>
      <c r="D747" s="23" t="s">
        <v>143</v>
      </c>
      <c r="E747" s="3" t="s">
        <v>863</v>
      </c>
      <c r="F747" s="19" t="s">
        <v>74</v>
      </c>
      <c r="G747" s="19"/>
      <c r="H747" s="11" t="s">
        <v>524</v>
      </c>
      <c r="I747" s="3"/>
      <c r="J747" s="21">
        <v>0</v>
      </c>
      <c r="K747" s="21">
        <v>0</v>
      </c>
      <c r="L747" s="21">
        <v>0</v>
      </c>
      <c r="M747" s="21">
        <v>0</v>
      </c>
      <c r="N747" s="21">
        <v>0</v>
      </c>
      <c r="O747" s="21">
        <v>0</v>
      </c>
      <c r="P747" s="21">
        <v>0</v>
      </c>
      <c r="Q747" s="21" t="s">
        <v>2276</v>
      </c>
      <c r="R747" s="21" t="s">
        <v>2276</v>
      </c>
      <c r="S747" s="21">
        <v>0</v>
      </c>
      <c r="T747" s="21">
        <v>0</v>
      </c>
      <c r="U747" s="21">
        <v>0</v>
      </c>
      <c r="V747" s="21">
        <v>0</v>
      </c>
      <c r="W747" s="21">
        <v>0</v>
      </c>
      <c r="X747" s="21">
        <v>0</v>
      </c>
      <c r="Y747" s="21" t="s">
        <v>2276</v>
      </c>
      <c r="Z747" s="3" t="s">
        <v>2276</v>
      </c>
      <c r="AA747" s="3" t="s">
        <v>2276</v>
      </c>
      <c r="AB747" s="3" t="s">
        <v>2276</v>
      </c>
      <c r="AC747" s="4" t="s">
        <v>1726</v>
      </c>
      <c r="AD747" s="3"/>
    </row>
    <row r="748" spans="1:30" ht="49.5" customHeight="1">
      <c r="A748" s="23" t="s">
        <v>1563</v>
      </c>
      <c r="B748" s="3" t="s">
        <v>1713</v>
      </c>
      <c r="C748" s="23" t="s">
        <v>24</v>
      </c>
      <c r="D748" s="23" t="s">
        <v>143</v>
      </c>
      <c r="E748" s="3" t="s">
        <v>863</v>
      </c>
      <c r="F748" s="19" t="s">
        <v>74</v>
      </c>
      <c r="G748" s="19"/>
      <c r="H748" s="11" t="s">
        <v>524</v>
      </c>
      <c r="I748" s="3"/>
      <c r="J748" s="21">
        <v>0</v>
      </c>
      <c r="K748" s="21">
        <v>0</v>
      </c>
      <c r="L748" s="21">
        <v>0</v>
      </c>
      <c r="M748" s="21">
        <v>0</v>
      </c>
      <c r="N748" s="21">
        <v>0</v>
      </c>
      <c r="O748" s="21">
        <v>0</v>
      </c>
      <c r="P748" s="21">
        <v>0</v>
      </c>
      <c r="Q748" s="21" t="s">
        <v>2276</v>
      </c>
      <c r="R748" s="21" t="s">
        <v>2276</v>
      </c>
      <c r="S748" s="21">
        <v>0</v>
      </c>
      <c r="T748" s="21">
        <v>0</v>
      </c>
      <c r="U748" s="21">
        <v>0</v>
      </c>
      <c r="V748" s="21">
        <v>0</v>
      </c>
      <c r="W748" s="21">
        <v>0</v>
      </c>
      <c r="X748" s="21">
        <v>0</v>
      </c>
      <c r="Y748" s="21" t="s">
        <v>2276</v>
      </c>
      <c r="Z748" s="3" t="s">
        <v>2276</v>
      </c>
      <c r="AA748" s="3" t="s">
        <v>2276</v>
      </c>
      <c r="AB748" s="3" t="s">
        <v>2276</v>
      </c>
      <c r="AC748" s="4" t="s">
        <v>1726</v>
      </c>
      <c r="AD748" s="3"/>
    </row>
    <row r="749" spans="1:30" ht="49.5" customHeight="1">
      <c r="A749" s="23" t="s">
        <v>1564</v>
      </c>
      <c r="B749" s="3" t="s">
        <v>1714</v>
      </c>
      <c r="C749" s="23" t="s">
        <v>24</v>
      </c>
      <c r="D749" s="23" t="s">
        <v>143</v>
      </c>
      <c r="E749" s="3" t="s">
        <v>863</v>
      </c>
      <c r="F749" s="19" t="s">
        <v>74</v>
      </c>
      <c r="G749" s="19"/>
      <c r="H749" s="11" t="s">
        <v>524</v>
      </c>
      <c r="I749" s="3"/>
      <c r="J749" s="21">
        <v>0</v>
      </c>
      <c r="K749" s="21">
        <v>0</v>
      </c>
      <c r="L749" s="21">
        <v>0</v>
      </c>
      <c r="M749" s="21">
        <v>0</v>
      </c>
      <c r="N749" s="21">
        <v>0</v>
      </c>
      <c r="O749" s="21">
        <v>0</v>
      </c>
      <c r="P749" s="21">
        <v>0</v>
      </c>
      <c r="Q749" s="21" t="s">
        <v>2276</v>
      </c>
      <c r="R749" s="21" t="s">
        <v>2276</v>
      </c>
      <c r="S749" s="21">
        <v>0</v>
      </c>
      <c r="T749" s="21">
        <v>0</v>
      </c>
      <c r="U749" s="21">
        <v>0</v>
      </c>
      <c r="V749" s="21">
        <v>0</v>
      </c>
      <c r="W749" s="21">
        <v>0</v>
      </c>
      <c r="X749" s="21">
        <v>0</v>
      </c>
      <c r="Y749" s="21" t="s">
        <v>2276</v>
      </c>
      <c r="Z749" s="3" t="s">
        <v>2276</v>
      </c>
      <c r="AA749" s="3" t="s">
        <v>2276</v>
      </c>
      <c r="AB749" s="3" t="s">
        <v>2276</v>
      </c>
      <c r="AC749" s="4" t="s">
        <v>1726</v>
      </c>
      <c r="AD749" s="3"/>
    </row>
    <row r="750" spans="1:30" ht="49.5" customHeight="1">
      <c r="A750" s="23" t="s">
        <v>1565</v>
      </c>
      <c r="B750" s="3" t="s">
        <v>1715</v>
      </c>
      <c r="C750" s="23" t="s">
        <v>24</v>
      </c>
      <c r="D750" s="23" t="s">
        <v>143</v>
      </c>
      <c r="E750" s="3" t="s">
        <v>863</v>
      </c>
      <c r="F750" s="19" t="s">
        <v>74</v>
      </c>
      <c r="G750" s="19"/>
      <c r="H750" s="11" t="s">
        <v>524</v>
      </c>
      <c r="I750" s="3"/>
      <c r="J750" s="21">
        <v>0</v>
      </c>
      <c r="K750" s="21">
        <v>0</v>
      </c>
      <c r="L750" s="21">
        <v>0</v>
      </c>
      <c r="M750" s="21">
        <v>0</v>
      </c>
      <c r="N750" s="21">
        <v>0</v>
      </c>
      <c r="O750" s="21">
        <v>0</v>
      </c>
      <c r="P750" s="21">
        <v>0</v>
      </c>
      <c r="Q750" s="21" t="s">
        <v>2276</v>
      </c>
      <c r="R750" s="21" t="s">
        <v>2276</v>
      </c>
      <c r="S750" s="21">
        <v>0</v>
      </c>
      <c r="T750" s="21">
        <v>0</v>
      </c>
      <c r="U750" s="21">
        <v>0</v>
      </c>
      <c r="V750" s="21">
        <v>0</v>
      </c>
      <c r="W750" s="21">
        <v>0</v>
      </c>
      <c r="X750" s="21">
        <v>0</v>
      </c>
      <c r="Y750" s="21" t="s">
        <v>2276</v>
      </c>
      <c r="Z750" s="3" t="s">
        <v>2276</v>
      </c>
      <c r="AA750" s="3" t="s">
        <v>2276</v>
      </c>
      <c r="AB750" s="3" t="s">
        <v>2276</v>
      </c>
      <c r="AC750" s="4" t="s">
        <v>1726</v>
      </c>
      <c r="AD750" s="3"/>
    </row>
    <row r="751" spans="1:30" ht="49.5" customHeight="1">
      <c r="A751" s="23" t="s">
        <v>1566</v>
      </c>
      <c r="B751" s="3" t="s">
        <v>1716</v>
      </c>
      <c r="C751" s="23" t="s">
        <v>24</v>
      </c>
      <c r="D751" s="23" t="s">
        <v>143</v>
      </c>
      <c r="E751" s="3" t="s">
        <v>863</v>
      </c>
      <c r="F751" s="19" t="s">
        <v>74</v>
      </c>
      <c r="G751" s="19"/>
      <c r="H751" s="11" t="s">
        <v>524</v>
      </c>
      <c r="I751" s="3"/>
      <c r="J751" s="21">
        <v>0</v>
      </c>
      <c r="K751" s="21">
        <v>0</v>
      </c>
      <c r="L751" s="21">
        <v>0</v>
      </c>
      <c r="M751" s="21">
        <v>0</v>
      </c>
      <c r="N751" s="21">
        <v>0</v>
      </c>
      <c r="O751" s="21">
        <v>0</v>
      </c>
      <c r="P751" s="21">
        <v>0</v>
      </c>
      <c r="Q751" s="21" t="s">
        <v>2276</v>
      </c>
      <c r="R751" s="21" t="s">
        <v>2276</v>
      </c>
      <c r="S751" s="21">
        <v>0</v>
      </c>
      <c r="T751" s="21">
        <v>0</v>
      </c>
      <c r="U751" s="21">
        <v>0</v>
      </c>
      <c r="V751" s="21">
        <v>0</v>
      </c>
      <c r="W751" s="21">
        <v>0</v>
      </c>
      <c r="X751" s="21">
        <v>0</v>
      </c>
      <c r="Y751" s="21" t="s">
        <v>2276</v>
      </c>
      <c r="Z751" s="3" t="s">
        <v>2276</v>
      </c>
      <c r="AA751" s="3" t="s">
        <v>2276</v>
      </c>
      <c r="AB751" s="3" t="s">
        <v>2276</v>
      </c>
      <c r="AC751" s="4" t="s">
        <v>1726</v>
      </c>
      <c r="AD751" s="3"/>
    </row>
    <row r="752" spans="1:30" ht="49.5" customHeight="1">
      <c r="A752" s="23" t="s">
        <v>1567</v>
      </c>
      <c r="B752" s="3" t="s">
        <v>1717</v>
      </c>
      <c r="C752" s="23" t="s">
        <v>24</v>
      </c>
      <c r="D752" s="23" t="s">
        <v>143</v>
      </c>
      <c r="E752" s="3" t="s">
        <v>863</v>
      </c>
      <c r="F752" s="19" t="s">
        <v>74</v>
      </c>
      <c r="G752" s="19"/>
      <c r="H752" s="11" t="s">
        <v>524</v>
      </c>
      <c r="I752" s="3"/>
      <c r="J752" s="21">
        <v>0</v>
      </c>
      <c r="K752" s="21">
        <v>0</v>
      </c>
      <c r="L752" s="21">
        <v>0</v>
      </c>
      <c r="M752" s="21">
        <v>0</v>
      </c>
      <c r="N752" s="21">
        <v>0</v>
      </c>
      <c r="O752" s="21">
        <v>0</v>
      </c>
      <c r="P752" s="21">
        <v>0</v>
      </c>
      <c r="Q752" s="21" t="s">
        <v>2276</v>
      </c>
      <c r="R752" s="21" t="s">
        <v>2276</v>
      </c>
      <c r="S752" s="21">
        <v>0</v>
      </c>
      <c r="T752" s="21">
        <v>0</v>
      </c>
      <c r="U752" s="21">
        <v>0</v>
      </c>
      <c r="V752" s="21">
        <v>0</v>
      </c>
      <c r="W752" s="21">
        <v>0</v>
      </c>
      <c r="X752" s="21">
        <v>0</v>
      </c>
      <c r="Y752" s="21" t="s">
        <v>2276</v>
      </c>
      <c r="Z752" s="3" t="s">
        <v>2276</v>
      </c>
      <c r="AA752" s="3" t="s">
        <v>2276</v>
      </c>
      <c r="AB752" s="3" t="s">
        <v>2276</v>
      </c>
      <c r="AC752" s="4" t="s">
        <v>1726</v>
      </c>
      <c r="AD752" s="3"/>
    </row>
    <row r="753" spans="1:30" ht="49.5" customHeight="1">
      <c r="A753" s="23" t="s">
        <v>1568</v>
      </c>
      <c r="B753" s="3" t="s">
        <v>1718</v>
      </c>
      <c r="C753" s="23" t="s">
        <v>24</v>
      </c>
      <c r="D753" s="23" t="s">
        <v>143</v>
      </c>
      <c r="E753" s="3" t="s">
        <v>863</v>
      </c>
      <c r="F753" s="19" t="s">
        <v>74</v>
      </c>
      <c r="G753" s="19"/>
      <c r="H753" s="11" t="s">
        <v>524</v>
      </c>
      <c r="I753" s="3"/>
      <c r="J753" s="21">
        <v>0</v>
      </c>
      <c r="K753" s="21">
        <v>0</v>
      </c>
      <c r="L753" s="21">
        <v>0</v>
      </c>
      <c r="M753" s="21">
        <v>0</v>
      </c>
      <c r="N753" s="21">
        <v>0</v>
      </c>
      <c r="O753" s="21">
        <v>0</v>
      </c>
      <c r="P753" s="21">
        <v>0</v>
      </c>
      <c r="Q753" s="21" t="s">
        <v>2276</v>
      </c>
      <c r="R753" s="21" t="s">
        <v>2276</v>
      </c>
      <c r="S753" s="21">
        <v>0</v>
      </c>
      <c r="T753" s="21">
        <v>0</v>
      </c>
      <c r="U753" s="21">
        <v>0</v>
      </c>
      <c r="V753" s="21">
        <v>0</v>
      </c>
      <c r="W753" s="21">
        <v>0</v>
      </c>
      <c r="X753" s="21">
        <v>0</v>
      </c>
      <c r="Y753" s="21" t="s">
        <v>2276</v>
      </c>
      <c r="Z753" s="3" t="s">
        <v>2276</v>
      </c>
      <c r="AA753" s="3" t="s">
        <v>2276</v>
      </c>
      <c r="AB753" s="3" t="s">
        <v>2276</v>
      </c>
      <c r="AC753" s="4" t="s">
        <v>1726</v>
      </c>
      <c r="AD753" s="3"/>
    </row>
    <row r="754" spans="1:30" ht="49.5" customHeight="1">
      <c r="A754" s="23" t="s">
        <v>1569</v>
      </c>
      <c r="B754" s="3" t="s">
        <v>1719</v>
      </c>
      <c r="C754" s="23" t="s">
        <v>24</v>
      </c>
      <c r="D754" s="23" t="s">
        <v>143</v>
      </c>
      <c r="E754" s="3" t="s">
        <v>863</v>
      </c>
      <c r="F754" s="19" t="s">
        <v>74</v>
      </c>
      <c r="G754" s="19"/>
      <c r="H754" s="11" t="s">
        <v>524</v>
      </c>
      <c r="I754" s="3"/>
      <c r="J754" s="21">
        <v>0</v>
      </c>
      <c r="K754" s="21">
        <v>0</v>
      </c>
      <c r="L754" s="21">
        <v>0</v>
      </c>
      <c r="M754" s="21">
        <v>0</v>
      </c>
      <c r="N754" s="21">
        <v>0</v>
      </c>
      <c r="O754" s="21">
        <v>0</v>
      </c>
      <c r="P754" s="21">
        <v>0</v>
      </c>
      <c r="Q754" s="21" t="s">
        <v>2276</v>
      </c>
      <c r="R754" s="21" t="s">
        <v>2276</v>
      </c>
      <c r="S754" s="21">
        <v>0</v>
      </c>
      <c r="T754" s="21">
        <v>0</v>
      </c>
      <c r="U754" s="21">
        <v>0</v>
      </c>
      <c r="V754" s="21">
        <v>0</v>
      </c>
      <c r="W754" s="21">
        <v>0</v>
      </c>
      <c r="X754" s="21">
        <v>0</v>
      </c>
      <c r="Y754" s="21" t="s">
        <v>2276</v>
      </c>
      <c r="Z754" s="3" t="s">
        <v>2276</v>
      </c>
      <c r="AA754" s="3" t="s">
        <v>2276</v>
      </c>
      <c r="AB754" s="3" t="s">
        <v>2276</v>
      </c>
      <c r="AC754" s="4" t="s">
        <v>1726</v>
      </c>
      <c r="AD754" s="3"/>
    </row>
    <row r="755" spans="1:30" ht="49.5" customHeight="1">
      <c r="A755" s="23" t="s">
        <v>1570</v>
      </c>
      <c r="B755" s="3" t="s">
        <v>1720</v>
      </c>
      <c r="C755" s="23" t="s">
        <v>24</v>
      </c>
      <c r="D755" s="23" t="s">
        <v>143</v>
      </c>
      <c r="E755" s="3" t="s">
        <v>863</v>
      </c>
      <c r="F755" s="19" t="s">
        <v>74</v>
      </c>
      <c r="G755" s="19"/>
      <c r="H755" s="11" t="s">
        <v>524</v>
      </c>
      <c r="I755" s="3"/>
      <c r="J755" s="21">
        <v>0</v>
      </c>
      <c r="K755" s="21">
        <v>0</v>
      </c>
      <c r="L755" s="21">
        <v>0</v>
      </c>
      <c r="M755" s="21">
        <v>0</v>
      </c>
      <c r="N755" s="21">
        <v>0</v>
      </c>
      <c r="O755" s="21">
        <v>0</v>
      </c>
      <c r="P755" s="21">
        <v>0</v>
      </c>
      <c r="Q755" s="21" t="s">
        <v>2276</v>
      </c>
      <c r="R755" s="21" t="s">
        <v>2276</v>
      </c>
      <c r="S755" s="21">
        <v>0</v>
      </c>
      <c r="T755" s="21">
        <v>0</v>
      </c>
      <c r="U755" s="21">
        <v>0</v>
      </c>
      <c r="V755" s="21">
        <v>0</v>
      </c>
      <c r="W755" s="21">
        <v>0</v>
      </c>
      <c r="X755" s="21">
        <v>0</v>
      </c>
      <c r="Y755" s="21" t="s">
        <v>2276</v>
      </c>
      <c r="Z755" s="3" t="s">
        <v>2276</v>
      </c>
      <c r="AA755" s="3" t="s">
        <v>2276</v>
      </c>
      <c r="AB755" s="3" t="s">
        <v>2276</v>
      </c>
      <c r="AC755" s="4" t="s">
        <v>1726</v>
      </c>
      <c r="AD755" s="3"/>
    </row>
    <row r="756" spans="1:30" ht="49.5" customHeight="1">
      <c r="A756" s="23" t="s">
        <v>1571</v>
      </c>
      <c r="B756" s="3" t="s">
        <v>1721</v>
      </c>
      <c r="C756" s="23" t="s">
        <v>24</v>
      </c>
      <c r="D756" s="23" t="s">
        <v>143</v>
      </c>
      <c r="E756" s="3" t="s">
        <v>863</v>
      </c>
      <c r="F756" s="19" t="s">
        <v>74</v>
      </c>
      <c r="G756" s="19"/>
      <c r="H756" s="11" t="s">
        <v>524</v>
      </c>
      <c r="I756" s="3"/>
      <c r="J756" s="21">
        <v>0</v>
      </c>
      <c r="K756" s="21">
        <v>0</v>
      </c>
      <c r="L756" s="21">
        <v>0</v>
      </c>
      <c r="M756" s="21">
        <v>0</v>
      </c>
      <c r="N756" s="21">
        <v>0</v>
      </c>
      <c r="O756" s="21">
        <v>0</v>
      </c>
      <c r="P756" s="21">
        <v>0</v>
      </c>
      <c r="Q756" s="21" t="s">
        <v>2276</v>
      </c>
      <c r="R756" s="21" t="s">
        <v>2276</v>
      </c>
      <c r="S756" s="21">
        <v>0</v>
      </c>
      <c r="T756" s="21">
        <v>0</v>
      </c>
      <c r="U756" s="21">
        <v>0</v>
      </c>
      <c r="V756" s="21">
        <v>0</v>
      </c>
      <c r="W756" s="21">
        <v>0</v>
      </c>
      <c r="X756" s="21">
        <v>0</v>
      </c>
      <c r="Y756" s="21" t="s">
        <v>2276</v>
      </c>
      <c r="Z756" s="3" t="s">
        <v>2276</v>
      </c>
      <c r="AA756" s="3" t="s">
        <v>2276</v>
      </c>
      <c r="AB756" s="3" t="s">
        <v>2276</v>
      </c>
      <c r="AC756" s="4" t="s">
        <v>1726</v>
      </c>
      <c r="AD756" s="3"/>
    </row>
    <row r="757" spans="1:30" ht="49.5" customHeight="1">
      <c r="A757" s="23" t="s">
        <v>1572</v>
      </c>
      <c r="B757" s="3" t="s">
        <v>1722</v>
      </c>
      <c r="C757" s="23" t="s">
        <v>24</v>
      </c>
      <c r="D757" s="23" t="s">
        <v>143</v>
      </c>
      <c r="E757" s="3" t="s">
        <v>863</v>
      </c>
      <c r="F757" s="19" t="s">
        <v>74</v>
      </c>
      <c r="G757" s="19"/>
      <c r="H757" s="11" t="s">
        <v>524</v>
      </c>
      <c r="I757" s="3"/>
      <c r="J757" s="21">
        <v>0</v>
      </c>
      <c r="K757" s="21">
        <v>0</v>
      </c>
      <c r="L757" s="21">
        <v>0</v>
      </c>
      <c r="M757" s="21">
        <v>0</v>
      </c>
      <c r="N757" s="21">
        <v>0</v>
      </c>
      <c r="O757" s="21">
        <v>0</v>
      </c>
      <c r="P757" s="21">
        <v>0</v>
      </c>
      <c r="Q757" s="21" t="s">
        <v>2276</v>
      </c>
      <c r="R757" s="21" t="s">
        <v>2276</v>
      </c>
      <c r="S757" s="21">
        <v>0</v>
      </c>
      <c r="T757" s="21">
        <v>0</v>
      </c>
      <c r="U757" s="21">
        <v>0</v>
      </c>
      <c r="V757" s="21">
        <v>0</v>
      </c>
      <c r="W757" s="21">
        <v>0</v>
      </c>
      <c r="X757" s="21">
        <v>0</v>
      </c>
      <c r="Y757" s="21" t="s">
        <v>2276</v>
      </c>
      <c r="Z757" s="3" t="s">
        <v>2276</v>
      </c>
      <c r="AA757" s="3" t="s">
        <v>2276</v>
      </c>
      <c r="AB757" s="3" t="s">
        <v>2276</v>
      </c>
      <c r="AC757" s="4" t="s">
        <v>1726</v>
      </c>
      <c r="AD757" s="3"/>
    </row>
    <row r="758" spans="1:30" ht="49.5" customHeight="1">
      <c r="A758" s="23" t="s">
        <v>1573</v>
      </c>
      <c r="B758" s="3" t="s">
        <v>1723</v>
      </c>
      <c r="C758" s="23" t="s">
        <v>24</v>
      </c>
      <c r="D758" s="23" t="s">
        <v>143</v>
      </c>
      <c r="E758" s="3" t="s">
        <v>863</v>
      </c>
      <c r="F758" s="19" t="s">
        <v>74</v>
      </c>
      <c r="G758" s="19"/>
      <c r="H758" s="11" t="s">
        <v>524</v>
      </c>
      <c r="I758" s="3"/>
      <c r="J758" s="21">
        <v>0</v>
      </c>
      <c r="K758" s="21">
        <v>0</v>
      </c>
      <c r="L758" s="21">
        <v>0</v>
      </c>
      <c r="M758" s="21">
        <v>0</v>
      </c>
      <c r="N758" s="21">
        <v>0</v>
      </c>
      <c r="O758" s="21">
        <v>0</v>
      </c>
      <c r="P758" s="21">
        <v>0</v>
      </c>
      <c r="Q758" s="21" t="s">
        <v>2276</v>
      </c>
      <c r="R758" s="21" t="s">
        <v>2276</v>
      </c>
      <c r="S758" s="21">
        <v>0</v>
      </c>
      <c r="T758" s="21">
        <v>0</v>
      </c>
      <c r="U758" s="21">
        <v>0</v>
      </c>
      <c r="V758" s="21">
        <v>0</v>
      </c>
      <c r="W758" s="21">
        <v>0</v>
      </c>
      <c r="X758" s="21">
        <v>0</v>
      </c>
      <c r="Y758" s="21" t="s">
        <v>2276</v>
      </c>
      <c r="Z758" s="3" t="s">
        <v>2276</v>
      </c>
      <c r="AA758" s="3" t="s">
        <v>2276</v>
      </c>
      <c r="AB758" s="3" t="s">
        <v>2276</v>
      </c>
      <c r="AC758" s="4" t="s">
        <v>1726</v>
      </c>
      <c r="AD758" s="3"/>
    </row>
    <row r="759" spans="1:30" ht="49.5" customHeight="1">
      <c r="A759" s="23" t="s">
        <v>1574</v>
      </c>
      <c r="B759" s="3" t="s">
        <v>1724</v>
      </c>
      <c r="C759" s="23" t="s">
        <v>24</v>
      </c>
      <c r="D759" s="23" t="s">
        <v>143</v>
      </c>
      <c r="E759" s="3" t="s">
        <v>863</v>
      </c>
      <c r="F759" s="19" t="s">
        <v>74</v>
      </c>
      <c r="G759" s="19"/>
      <c r="H759" s="11" t="s">
        <v>524</v>
      </c>
      <c r="I759" s="3"/>
      <c r="J759" s="21">
        <v>0</v>
      </c>
      <c r="K759" s="21">
        <v>0</v>
      </c>
      <c r="L759" s="21">
        <v>0</v>
      </c>
      <c r="M759" s="21">
        <v>0</v>
      </c>
      <c r="N759" s="21">
        <v>0</v>
      </c>
      <c r="O759" s="21">
        <v>0</v>
      </c>
      <c r="P759" s="21">
        <v>0</v>
      </c>
      <c r="Q759" s="21" t="s">
        <v>2276</v>
      </c>
      <c r="R759" s="21" t="s">
        <v>2276</v>
      </c>
      <c r="S759" s="21">
        <v>0</v>
      </c>
      <c r="T759" s="21">
        <v>0</v>
      </c>
      <c r="U759" s="21">
        <v>0</v>
      </c>
      <c r="V759" s="21">
        <v>0</v>
      </c>
      <c r="W759" s="21">
        <v>0</v>
      </c>
      <c r="X759" s="21">
        <v>0</v>
      </c>
      <c r="Y759" s="21" t="s">
        <v>2276</v>
      </c>
      <c r="Z759" s="3" t="s">
        <v>2276</v>
      </c>
      <c r="AA759" s="3" t="s">
        <v>2276</v>
      </c>
      <c r="AB759" s="3" t="s">
        <v>2276</v>
      </c>
      <c r="AC759" s="4" t="s">
        <v>1726</v>
      </c>
      <c r="AD759" s="3"/>
    </row>
    <row r="760" spans="1:30" ht="49.5" customHeight="1">
      <c r="A760" s="23" t="s">
        <v>1575</v>
      </c>
      <c r="B760" s="3" t="s">
        <v>1725</v>
      </c>
      <c r="C760" s="23" t="s">
        <v>24</v>
      </c>
      <c r="D760" s="23" t="s">
        <v>143</v>
      </c>
      <c r="E760" s="3" t="s">
        <v>863</v>
      </c>
      <c r="F760" s="19" t="s">
        <v>74</v>
      </c>
      <c r="G760" s="19"/>
      <c r="H760" s="11" t="s">
        <v>524</v>
      </c>
      <c r="I760" s="3"/>
      <c r="J760" s="21">
        <v>0</v>
      </c>
      <c r="K760" s="21">
        <v>0</v>
      </c>
      <c r="L760" s="21">
        <v>0</v>
      </c>
      <c r="M760" s="21">
        <v>0</v>
      </c>
      <c r="N760" s="21">
        <v>0</v>
      </c>
      <c r="O760" s="21">
        <v>0</v>
      </c>
      <c r="P760" s="21">
        <v>0</v>
      </c>
      <c r="Q760" s="21" t="s">
        <v>2276</v>
      </c>
      <c r="R760" s="21" t="s">
        <v>2276</v>
      </c>
      <c r="S760" s="21">
        <v>0</v>
      </c>
      <c r="T760" s="21">
        <v>0</v>
      </c>
      <c r="U760" s="21">
        <v>0</v>
      </c>
      <c r="V760" s="21">
        <v>0</v>
      </c>
      <c r="W760" s="21">
        <v>0</v>
      </c>
      <c r="X760" s="21">
        <v>0</v>
      </c>
      <c r="Y760" s="21" t="s">
        <v>2276</v>
      </c>
      <c r="Z760" s="3" t="s">
        <v>2276</v>
      </c>
      <c r="AA760" s="3" t="s">
        <v>2276</v>
      </c>
      <c r="AB760" s="3" t="s">
        <v>2276</v>
      </c>
      <c r="AC760" s="4" t="s">
        <v>1726</v>
      </c>
      <c r="AD760" s="3"/>
    </row>
    <row r="761" spans="1:30" ht="40" customHeight="1">
      <c r="A761" s="11" t="s">
        <v>1153</v>
      </c>
      <c r="B761" s="11" t="s">
        <v>1157</v>
      </c>
      <c r="C761" s="23" t="s">
        <v>24</v>
      </c>
      <c r="D761" s="23" t="s">
        <v>143</v>
      </c>
      <c r="E761" s="4" t="s">
        <v>396</v>
      </c>
      <c r="F761" s="19" t="s">
        <v>74</v>
      </c>
      <c r="G761" s="19"/>
      <c r="H761" s="11" t="s">
        <v>523</v>
      </c>
      <c r="I761" s="3"/>
      <c r="J761" s="21" t="s">
        <v>2276</v>
      </c>
      <c r="K761" s="21" t="s">
        <v>2276</v>
      </c>
      <c r="L761" s="21" t="s">
        <v>2276</v>
      </c>
      <c r="M761" s="21" t="s">
        <v>2276</v>
      </c>
      <c r="N761" s="21" t="s">
        <v>2276</v>
      </c>
      <c r="O761" s="21" t="s">
        <v>2276</v>
      </c>
      <c r="P761" s="21" t="s">
        <v>2276</v>
      </c>
      <c r="Q761" s="21" t="s">
        <v>2276</v>
      </c>
      <c r="R761" s="21" t="s">
        <v>2276</v>
      </c>
      <c r="S761" s="21" t="s">
        <v>2276</v>
      </c>
      <c r="T761" s="21" t="s">
        <v>2276</v>
      </c>
      <c r="U761" s="21" t="s">
        <v>2276</v>
      </c>
      <c r="V761" s="21" t="s">
        <v>2276</v>
      </c>
      <c r="W761" s="21" t="s">
        <v>2276</v>
      </c>
      <c r="X761" s="21" t="s">
        <v>2276</v>
      </c>
      <c r="Y761" s="21" t="s">
        <v>2276</v>
      </c>
      <c r="Z761" s="3" t="s">
        <v>2276</v>
      </c>
      <c r="AA761" s="3" t="s">
        <v>2276</v>
      </c>
      <c r="AB761" s="3" t="s">
        <v>2276</v>
      </c>
      <c r="AC761" s="3" t="s">
        <v>1176</v>
      </c>
      <c r="AD761" s="3"/>
    </row>
    <row r="762" spans="1:30" ht="37" customHeight="1">
      <c r="A762" s="11" t="s">
        <v>1169</v>
      </c>
      <c r="B762" s="11" t="s">
        <v>1175</v>
      </c>
      <c r="C762" s="23" t="s">
        <v>24</v>
      </c>
      <c r="D762" s="23" t="s">
        <v>143</v>
      </c>
      <c r="E762" s="4" t="s">
        <v>396</v>
      </c>
      <c r="F762" s="19" t="s">
        <v>74</v>
      </c>
      <c r="G762" s="19"/>
      <c r="H762" s="11" t="s">
        <v>523</v>
      </c>
      <c r="I762" s="3"/>
      <c r="J762" s="21" t="s">
        <v>2276</v>
      </c>
      <c r="K762" s="21" t="s">
        <v>2276</v>
      </c>
      <c r="L762" s="21" t="s">
        <v>2276</v>
      </c>
      <c r="M762" s="21" t="s">
        <v>2276</v>
      </c>
      <c r="N762" s="21" t="s">
        <v>2276</v>
      </c>
      <c r="O762" s="21" t="s">
        <v>2276</v>
      </c>
      <c r="P762" s="21" t="s">
        <v>2276</v>
      </c>
      <c r="Q762" s="21" t="s">
        <v>2276</v>
      </c>
      <c r="R762" s="21" t="s">
        <v>2276</v>
      </c>
      <c r="S762" s="21" t="s">
        <v>2276</v>
      </c>
      <c r="T762" s="21" t="s">
        <v>2276</v>
      </c>
      <c r="U762" s="21" t="s">
        <v>2276</v>
      </c>
      <c r="V762" s="21" t="s">
        <v>2276</v>
      </c>
      <c r="W762" s="21" t="s">
        <v>2276</v>
      </c>
      <c r="X762" s="21" t="s">
        <v>2276</v>
      </c>
      <c r="Y762" s="21" t="s">
        <v>2276</v>
      </c>
      <c r="Z762" s="3" t="s">
        <v>2276</v>
      </c>
      <c r="AA762" s="3" t="s">
        <v>2276</v>
      </c>
      <c r="AB762" s="3" t="s">
        <v>2276</v>
      </c>
      <c r="AC762" s="3" t="s">
        <v>1176</v>
      </c>
      <c r="AD762" s="3"/>
    </row>
    <row r="763" spans="1:30" ht="38.5" customHeight="1">
      <c r="A763" s="11" t="s">
        <v>1171</v>
      </c>
      <c r="B763" s="11" t="s">
        <v>1177</v>
      </c>
      <c r="C763" s="23" t="s">
        <v>24</v>
      </c>
      <c r="D763" s="23" t="s">
        <v>143</v>
      </c>
      <c r="E763" s="4" t="s">
        <v>396</v>
      </c>
      <c r="F763" s="19" t="s">
        <v>74</v>
      </c>
      <c r="G763" s="19"/>
      <c r="H763" s="11" t="s">
        <v>523</v>
      </c>
      <c r="I763" s="3"/>
      <c r="J763" s="21" t="s">
        <v>2276</v>
      </c>
      <c r="K763" s="21" t="s">
        <v>2276</v>
      </c>
      <c r="L763" s="21" t="s">
        <v>2276</v>
      </c>
      <c r="M763" s="21" t="s">
        <v>2276</v>
      </c>
      <c r="N763" s="21" t="s">
        <v>2276</v>
      </c>
      <c r="O763" s="21" t="s">
        <v>2276</v>
      </c>
      <c r="P763" s="21" t="s">
        <v>2276</v>
      </c>
      <c r="Q763" s="21" t="s">
        <v>2276</v>
      </c>
      <c r="R763" s="21" t="s">
        <v>2276</v>
      </c>
      <c r="S763" s="21" t="s">
        <v>2276</v>
      </c>
      <c r="T763" s="21" t="s">
        <v>2276</v>
      </c>
      <c r="U763" s="21" t="s">
        <v>2276</v>
      </c>
      <c r="V763" s="21" t="s">
        <v>2276</v>
      </c>
      <c r="W763" s="21" t="s">
        <v>2276</v>
      </c>
      <c r="X763" s="21" t="s">
        <v>2276</v>
      </c>
      <c r="Y763" s="21" t="s">
        <v>2276</v>
      </c>
      <c r="Z763" s="3" t="s">
        <v>2276</v>
      </c>
      <c r="AA763" s="3" t="s">
        <v>2276</v>
      </c>
      <c r="AB763" s="3" t="s">
        <v>2276</v>
      </c>
      <c r="AC763" s="3" t="s">
        <v>1176</v>
      </c>
      <c r="AD763" s="3"/>
    </row>
    <row r="764" spans="1:30" ht="38.5" customHeight="1">
      <c r="A764" s="11" t="s">
        <v>1178</v>
      </c>
      <c r="B764" s="11" t="s">
        <v>1182</v>
      </c>
      <c r="C764" s="23" t="s">
        <v>24</v>
      </c>
      <c r="D764" s="3" t="s">
        <v>27</v>
      </c>
      <c r="E764" s="3" t="s">
        <v>130</v>
      </c>
      <c r="F764" s="4" t="s">
        <v>161</v>
      </c>
      <c r="G764" s="3"/>
      <c r="H764" s="3" t="s">
        <v>523</v>
      </c>
      <c r="I764" s="3"/>
      <c r="J764" s="21" t="s">
        <v>2276</v>
      </c>
      <c r="K764" s="21" t="s">
        <v>2276</v>
      </c>
      <c r="L764" s="21" t="s">
        <v>2276</v>
      </c>
      <c r="M764" s="21" t="s">
        <v>2276</v>
      </c>
      <c r="N764" s="21" t="s">
        <v>2276</v>
      </c>
      <c r="O764" s="21" t="s">
        <v>2276</v>
      </c>
      <c r="P764" s="21" t="s">
        <v>2276</v>
      </c>
      <c r="Q764" s="21" t="s">
        <v>2276</v>
      </c>
      <c r="R764" s="21" t="s">
        <v>2276</v>
      </c>
      <c r="S764" s="21" t="s">
        <v>2276</v>
      </c>
      <c r="T764" s="21" t="s">
        <v>2276</v>
      </c>
      <c r="U764" s="21" t="s">
        <v>2276</v>
      </c>
      <c r="V764" s="21" t="s">
        <v>2276</v>
      </c>
      <c r="W764" s="21" t="s">
        <v>2276</v>
      </c>
      <c r="X764" s="21" t="s">
        <v>2276</v>
      </c>
      <c r="Y764" s="21" t="s">
        <v>2276</v>
      </c>
      <c r="Z764" s="3" t="s">
        <v>189</v>
      </c>
      <c r="AA764" s="3" t="s">
        <v>189</v>
      </c>
      <c r="AB764" s="3" t="s">
        <v>64</v>
      </c>
      <c r="AC764" s="3"/>
      <c r="AD764" s="3"/>
    </row>
    <row r="765" spans="1:30" ht="37" customHeight="1">
      <c r="A765" s="11" t="s">
        <v>1178</v>
      </c>
      <c r="B765" s="11" t="s">
        <v>1183</v>
      </c>
      <c r="C765" s="23" t="s">
        <v>24</v>
      </c>
      <c r="D765" s="3" t="s">
        <v>27</v>
      </c>
      <c r="E765" s="3" t="s">
        <v>130</v>
      </c>
      <c r="F765" s="4" t="s">
        <v>74</v>
      </c>
      <c r="G765" s="3"/>
      <c r="H765" s="3" t="s">
        <v>523</v>
      </c>
      <c r="I765" s="3"/>
      <c r="J765" s="21" t="s">
        <v>2276</v>
      </c>
      <c r="K765" s="21" t="s">
        <v>2276</v>
      </c>
      <c r="L765" s="21" t="s">
        <v>2276</v>
      </c>
      <c r="M765" s="21" t="s">
        <v>2276</v>
      </c>
      <c r="N765" s="21" t="s">
        <v>2276</v>
      </c>
      <c r="O765" s="21" t="s">
        <v>2276</v>
      </c>
      <c r="P765" s="21" t="s">
        <v>2276</v>
      </c>
      <c r="Q765" s="21" t="s">
        <v>2276</v>
      </c>
      <c r="R765" s="21" t="s">
        <v>2276</v>
      </c>
      <c r="S765" s="21" t="s">
        <v>2276</v>
      </c>
      <c r="T765" s="21" t="s">
        <v>2276</v>
      </c>
      <c r="U765" s="21" t="s">
        <v>2276</v>
      </c>
      <c r="V765" s="21" t="s">
        <v>2276</v>
      </c>
      <c r="W765" s="21" t="s">
        <v>2276</v>
      </c>
      <c r="X765" s="21" t="s">
        <v>2276</v>
      </c>
      <c r="Y765" s="21" t="s">
        <v>2276</v>
      </c>
      <c r="Z765" s="3" t="s">
        <v>189</v>
      </c>
      <c r="AA765" s="3" t="s">
        <v>189</v>
      </c>
      <c r="AB765" s="3" t="s">
        <v>64</v>
      </c>
      <c r="AC765" s="3"/>
      <c r="AD765" s="3"/>
    </row>
    <row r="766" spans="1:30" ht="36.5" customHeight="1">
      <c r="A766" s="11" t="s">
        <v>1178</v>
      </c>
      <c r="B766" s="11" t="s">
        <v>1184</v>
      </c>
      <c r="C766" s="23" t="s">
        <v>24</v>
      </c>
      <c r="D766" s="23" t="s">
        <v>143</v>
      </c>
      <c r="E766" s="3" t="s">
        <v>45</v>
      </c>
      <c r="F766" s="4" t="s">
        <v>74</v>
      </c>
      <c r="G766" s="3"/>
      <c r="H766" s="3" t="s">
        <v>523</v>
      </c>
      <c r="I766" s="3"/>
      <c r="J766" s="21" t="s">
        <v>2276</v>
      </c>
      <c r="K766" s="21" t="s">
        <v>2276</v>
      </c>
      <c r="L766" s="21" t="s">
        <v>2276</v>
      </c>
      <c r="M766" s="21" t="s">
        <v>2276</v>
      </c>
      <c r="N766" s="21" t="s">
        <v>2276</v>
      </c>
      <c r="O766" s="21" t="s">
        <v>2276</v>
      </c>
      <c r="P766" s="21" t="s">
        <v>2276</v>
      </c>
      <c r="Q766" s="21" t="s">
        <v>2276</v>
      </c>
      <c r="R766" s="21" t="s">
        <v>2276</v>
      </c>
      <c r="S766" s="21" t="s">
        <v>2276</v>
      </c>
      <c r="T766" s="21" t="s">
        <v>2276</v>
      </c>
      <c r="U766" s="21" t="s">
        <v>2276</v>
      </c>
      <c r="V766" s="21" t="s">
        <v>2276</v>
      </c>
      <c r="W766" s="21" t="s">
        <v>2276</v>
      </c>
      <c r="X766" s="21" t="s">
        <v>2276</v>
      </c>
      <c r="Y766" s="21" t="s">
        <v>2276</v>
      </c>
      <c r="Z766" s="3" t="s">
        <v>189</v>
      </c>
      <c r="AA766" s="3" t="s">
        <v>189</v>
      </c>
      <c r="AB766" s="3" t="s">
        <v>64</v>
      </c>
      <c r="AC766" s="3"/>
      <c r="AD766" s="3"/>
    </row>
    <row r="767" spans="1:30" ht="36" customHeight="1">
      <c r="A767" s="11" t="s">
        <v>1178</v>
      </c>
      <c r="B767" s="11" t="s">
        <v>1185</v>
      </c>
      <c r="C767" s="23" t="s">
        <v>24</v>
      </c>
      <c r="D767" s="23" t="s">
        <v>25</v>
      </c>
      <c r="E767" s="3" t="s">
        <v>45</v>
      </c>
      <c r="F767" s="4" t="s">
        <v>74</v>
      </c>
      <c r="G767" s="3"/>
      <c r="H767" s="3" t="s">
        <v>523</v>
      </c>
      <c r="I767" s="3"/>
      <c r="J767" s="21" t="s">
        <v>2276</v>
      </c>
      <c r="K767" s="21" t="s">
        <v>2276</v>
      </c>
      <c r="L767" s="21" t="s">
        <v>2276</v>
      </c>
      <c r="M767" s="21" t="s">
        <v>2276</v>
      </c>
      <c r="N767" s="21" t="s">
        <v>2276</v>
      </c>
      <c r="O767" s="21" t="s">
        <v>2276</v>
      </c>
      <c r="P767" s="21" t="s">
        <v>2276</v>
      </c>
      <c r="Q767" s="21" t="s">
        <v>2276</v>
      </c>
      <c r="R767" s="21" t="s">
        <v>2276</v>
      </c>
      <c r="S767" s="21" t="s">
        <v>2276</v>
      </c>
      <c r="T767" s="21" t="s">
        <v>2276</v>
      </c>
      <c r="U767" s="21" t="s">
        <v>2276</v>
      </c>
      <c r="V767" s="21" t="s">
        <v>2276</v>
      </c>
      <c r="W767" s="21" t="s">
        <v>2276</v>
      </c>
      <c r="X767" s="21" t="s">
        <v>2276</v>
      </c>
      <c r="Y767" s="21" t="s">
        <v>2276</v>
      </c>
      <c r="Z767" s="3" t="s">
        <v>189</v>
      </c>
      <c r="AA767" s="3" t="s">
        <v>189</v>
      </c>
      <c r="AB767" s="3" t="s">
        <v>64</v>
      </c>
      <c r="AC767" s="3"/>
      <c r="AD767" s="3"/>
    </row>
    <row r="768" spans="1:30" ht="63.5" customHeight="1">
      <c r="A768" s="11" t="s">
        <v>1178</v>
      </c>
      <c r="B768" s="11" t="s">
        <v>1187</v>
      </c>
      <c r="C768" s="23" t="s">
        <v>24</v>
      </c>
      <c r="D768" s="23" t="s">
        <v>2346</v>
      </c>
      <c r="E768" s="11" t="s">
        <v>2276</v>
      </c>
      <c r="F768" s="19" t="s">
        <v>74</v>
      </c>
      <c r="G768" s="11"/>
      <c r="H768" s="11" t="s">
        <v>523</v>
      </c>
      <c r="I768" s="3"/>
      <c r="J768" s="21" t="s">
        <v>2276</v>
      </c>
      <c r="K768" s="21" t="s">
        <v>2276</v>
      </c>
      <c r="L768" s="21" t="s">
        <v>2276</v>
      </c>
      <c r="M768" s="21" t="s">
        <v>2276</v>
      </c>
      <c r="N768" s="21" t="s">
        <v>2276</v>
      </c>
      <c r="O768" s="21" t="s">
        <v>2276</v>
      </c>
      <c r="P768" s="21" t="s">
        <v>2276</v>
      </c>
      <c r="Q768" s="21" t="s">
        <v>2276</v>
      </c>
      <c r="R768" s="21" t="s">
        <v>2276</v>
      </c>
      <c r="S768" s="21" t="s">
        <v>2276</v>
      </c>
      <c r="T768" s="21" t="s">
        <v>2276</v>
      </c>
      <c r="U768" s="21" t="s">
        <v>2276</v>
      </c>
      <c r="V768" s="21" t="s">
        <v>2276</v>
      </c>
      <c r="W768" s="21" t="s">
        <v>2276</v>
      </c>
      <c r="X768" s="21" t="s">
        <v>2276</v>
      </c>
      <c r="Y768" s="21" t="s">
        <v>2276</v>
      </c>
      <c r="Z768" s="3" t="s">
        <v>2276</v>
      </c>
      <c r="AA768" s="3" t="s">
        <v>2276</v>
      </c>
      <c r="AB768" s="3" t="s">
        <v>2276</v>
      </c>
      <c r="AC768" s="4" t="s">
        <v>1189</v>
      </c>
      <c r="AD768" s="3"/>
    </row>
    <row r="769" spans="1:30" ht="53" customHeight="1">
      <c r="A769" s="11" t="s">
        <v>1191</v>
      </c>
      <c r="B769" s="11" t="s">
        <v>1199</v>
      </c>
      <c r="C769" s="23" t="s">
        <v>24</v>
      </c>
      <c r="D769" s="3" t="s">
        <v>27</v>
      </c>
      <c r="E769" s="3" t="s">
        <v>130</v>
      </c>
      <c r="F769" s="4" t="s">
        <v>161</v>
      </c>
      <c r="G769" s="3"/>
      <c r="H769" s="3" t="s">
        <v>523</v>
      </c>
      <c r="I769" s="3"/>
      <c r="J769" s="21" t="s">
        <v>2276</v>
      </c>
      <c r="K769" s="21" t="s">
        <v>2276</v>
      </c>
      <c r="L769" s="21" t="s">
        <v>2276</v>
      </c>
      <c r="M769" s="21" t="s">
        <v>2276</v>
      </c>
      <c r="N769" s="21" t="s">
        <v>2276</v>
      </c>
      <c r="O769" s="21" t="s">
        <v>2276</v>
      </c>
      <c r="P769" s="21" t="s">
        <v>2276</v>
      </c>
      <c r="Q769" s="21" t="s">
        <v>2276</v>
      </c>
      <c r="R769" s="21" t="s">
        <v>2276</v>
      </c>
      <c r="S769" s="21" t="s">
        <v>2276</v>
      </c>
      <c r="T769" s="21" t="s">
        <v>2276</v>
      </c>
      <c r="U769" s="21" t="s">
        <v>2276</v>
      </c>
      <c r="V769" s="21" t="s">
        <v>2276</v>
      </c>
      <c r="W769" s="21" t="s">
        <v>2276</v>
      </c>
      <c r="X769" s="21" t="s">
        <v>2276</v>
      </c>
      <c r="Y769" s="21">
        <v>10</v>
      </c>
      <c r="Z769" s="3" t="s">
        <v>2276</v>
      </c>
      <c r="AA769" s="3" t="s">
        <v>2276</v>
      </c>
      <c r="AB769" s="3" t="s">
        <v>2276</v>
      </c>
      <c r="AC769" s="3" t="s">
        <v>1202</v>
      </c>
      <c r="AD769" s="4" t="s">
        <v>1215</v>
      </c>
    </row>
    <row r="770" spans="1:30" ht="49.5" customHeight="1">
      <c r="A770" s="11" t="s">
        <v>1195</v>
      </c>
      <c r="B770" s="11" t="s">
        <v>1200</v>
      </c>
      <c r="C770" s="23" t="s">
        <v>24</v>
      </c>
      <c r="D770" s="3" t="s">
        <v>27</v>
      </c>
      <c r="E770" s="3" t="s">
        <v>130</v>
      </c>
      <c r="F770" s="4" t="s">
        <v>161</v>
      </c>
      <c r="G770" s="3"/>
      <c r="H770" s="3" t="s">
        <v>523</v>
      </c>
      <c r="I770" s="3"/>
      <c r="J770" s="21" t="s">
        <v>2276</v>
      </c>
      <c r="K770" s="21" t="s">
        <v>2276</v>
      </c>
      <c r="L770" s="21" t="s">
        <v>2276</v>
      </c>
      <c r="M770" s="21" t="s">
        <v>2276</v>
      </c>
      <c r="N770" s="21" t="s">
        <v>2276</v>
      </c>
      <c r="O770" s="21" t="s">
        <v>2276</v>
      </c>
      <c r="P770" s="21" t="s">
        <v>2276</v>
      </c>
      <c r="Q770" s="21" t="s">
        <v>2276</v>
      </c>
      <c r="R770" s="21" t="s">
        <v>2276</v>
      </c>
      <c r="S770" s="21" t="s">
        <v>2276</v>
      </c>
      <c r="T770" s="21" t="s">
        <v>2276</v>
      </c>
      <c r="U770" s="21" t="s">
        <v>2276</v>
      </c>
      <c r="V770" s="21" t="s">
        <v>2276</v>
      </c>
      <c r="W770" s="21" t="s">
        <v>2276</v>
      </c>
      <c r="X770" s="21" t="s">
        <v>2276</v>
      </c>
      <c r="Y770" s="21">
        <v>6</v>
      </c>
      <c r="Z770" s="3" t="s">
        <v>2276</v>
      </c>
      <c r="AA770" s="3" t="s">
        <v>2276</v>
      </c>
      <c r="AB770" s="3" t="s">
        <v>2276</v>
      </c>
      <c r="AC770" s="3" t="s">
        <v>1202</v>
      </c>
      <c r="AD770" s="4" t="s">
        <v>1215</v>
      </c>
    </row>
    <row r="771" spans="1:30" ht="54" customHeight="1">
      <c r="A771" s="11" t="s">
        <v>1196</v>
      </c>
      <c r="B771" s="11" t="s">
        <v>1201</v>
      </c>
      <c r="C771" s="23" t="s">
        <v>24</v>
      </c>
      <c r="D771" s="3" t="s">
        <v>27</v>
      </c>
      <c r="E771" s="3" t="s">
        <v>130</v>
      </c>
      <c r="F771" s="4" t="s">
        <v>161</v>
      </c>
      <c r="G771" s="3"/>
      <c r="H771" s="3" t="s">
        <v>523</v>
      </c>
      <c r="I771" s="3"/>
      <c r="J771" s="21" t="s">
        <v>2276</v>
      </c>
      <c r="K771" s="21" t="s">
        <v>2276</v>
      </c>
      <c r="L771" s="21" t="s">
        <v>2276</v>
      </c>
      <c r="M771" s="21" t="s">
        <v>2276</v>
      </c>
      <c r="N771" s="21" t="s">
        <v>2276</v>
      </c>
      <c r="O771" s="21" t="s">
        <v>2276</v>
      </c>
      <c r="P771" s="21" t="s">
        <v>2276</v>
      </c>
      <c r="Q771" s="21" t="s">
        <v>2276</v>
      </c>
      <c r="R771" s="21" t="s">
        <v>2276</v>
      </c>
      <c r="S771" s="21" t="s">
        <v>2276</v>
      </c>
      <c r="T771" s="21" t="s">
        <v>2276</v>
      </c>
      <c r="U771" s="21" t="s">
        <v>2276</v>
      </c>
      <c r="V771" s="21" t="s">
        <v>2276</v>
      </c>
      <c r="W771" s="21" t="s">
        <v>2276</v>
      </c>
      <c r="X771" s="21" t="s">
        <v>2276</v>
      </c>
      <c r="Y771" s="21">
        <v>8</v>
      </c>
      <c r="Z771" s="3" t="s">
        <v>2276</v>
      </c>
      <c r="AA771" s="3" t="s">
        <v>2276</v>
      </c>
      <c r="AB771" s="3" t="s">
        <v>2276</v>
      </c>
      <c r="AC771" s="4" t="s">
        <v>1203</v>
      </c>
      <c r="AD771" s="4" t="s">
        <v>1215</v>
      </c>
    </row>
    <row r="772" spans="1:30" ht="37" customHeight="1">
      <c r="A772" s="11" t="s">
        <v>1205</v>
      </c>
      <c r="B772" s="11" t="s">
        <v>1209</v>
      </c>
      <c r="C772" s="23" t="s">
        <v>24</v>
      </c>
      <c r="D772" s="3" t="s">
        <v>27</v>
      </c>
      <c r="E772" s="3" t="s">
        <v>130</v>
      </c>
      <c r="F772" s="4" t="s">
        <v>161</v>
      </c>
      <c r="G772" s="3"/>
      <c r="H772" s="3" t="s">
        <v>523</v>
      </c>
      <c r="I772" s="3"/>
      <c r="J772" s="21" t="s">
        <v>2276</v>
      </c>
      <c r="K772" s="21" t="s">
        <v>2276</v>
      </c>
      <c r="L772" s="21" t="s">
        <v>2276</v>
      </c>
      <c r="M772" s="21" t="s">
        <v>2276</v>
      </c>
      <c r="N772" s="21" t="s">
        <v>2276</v>
      </c>
      <c r="O772" s="21" t="s">
        <v>2276</v>
      </c>
      <c r="P772" s="21" t="s">
        <v>2276</v>
      </c>
      <c r="Q772" s="21" t="s">
        <v>2276</v>
      </c>
      <c r="R772" s="21" t="s">
        <v>2276</v>
      </c>
      <c r="S772" s="21" t="s">
        <v>2276</v>
      </c>
      <c r="T772" s="21" t="s">
        <v>2276</v>
      </c>
      <c r="U772" s="21" t="s">
        <v>2276</v>
      </c>
      <c r="V772" s="21" t="s">
        <v>2276</v>
      </c>
      <c r="W772" s="21" t="s">
        <v>2276</v>
      </c>
      <c r="X772" s="21" t="s">
        <v>2276</v>
      </c>
      <c r="Y772" s="21">
        <v>8</v>
      </c>
      <c r="Z772" s="3" t="s">
        <v>2276</v>
      </c>
      <c r="AA772" s="3" t="s">
        <v>2276</v>
      </c>
      <c r="AB772" s="3" t="s">
        <v>2276</v>
      </c>
      <c r="AC772" s="3" t="s">
        <v>1213</v>
      </c>
      <c r="AD772" s="4" t="s">
        <v>1216</v>
      </c>
    </row>
    <row r="773" spans="1:30" ht="37" customHeight="1">
      <c r="A773" s="11" t="s">
        <v>1205</v>
      </c>
      <c r="B773" s="11" t="s">
        <v>1217</v>
      </c>
      <c r="C773" s="23" t="s">
        <v>24</v>
      </c>
      <c r="D773" s="3" t="s">
        <v>2659</v>
      </c>
      <c r="E773" s="3" t="s">
        <v>130</v>
      </c>
      <c r="F773" s="4" t="s">
        <v>161</v>
      </c>
      <c r="G773" s="3"/>
      <c r="H773" s="3" t="s">
        <v>523</v>
      </c>
      <c r="I773" s="3"/>
      <c r="J773" s="21" t="s">
        <v>2276</v>
      </c>
      <c r="K773" s="21" t="s">
        <v>2276</v>
      </c>
      <c r="L773" s="21" t="s">
        <v>2276</v>
      </c>
      <c r="M773" s="21" t="s">
        <v>2276</v>
      </c>
      <c r="N773" s="21" t="s">
        <v>2276</v>
      </c>
      <c r="O773" s="21" t="s">
        <v>2276</v>
      </c>
      <c r="P773" s="21" t="s">
        <v>2276</v>
      </c>
      <c r="Q773" s="21" t="s">
        <v>2276</v>
      </c>
      <c r="R773" s="21" t="s">
        <v>2276</v>
      </c>
      <c r="S773" s="21" t="s">
        <v>2276</v>
      </c>
      <c r="T773" s="21" t="s">
        <v>2276</v>
      </c>
      <c r="U773" s="21" t="s">
        <v>2276</v>
      </c>
      <c r="V773" s="21" t="s">
        <v>2276</v>
      </c>
      <c r="W773" s="21" t="s">
        <v>2276</v>
      </c>
      <c r="X773" s="21" t="s">
        <v>2276</v>
      </c>
      <c r="Y773" s="21" t="s">
        <v>2276</v>
      </c>
      <c r="Z773" s="3" t="s">
        <v>2276</v>
      </c>
      <c r="AA773" s="3" t="s">
        <v>2276</v>
      </c>
      <c r="AB773" s="3" t="s">
        <v>2276</v>
      </c>
      <c r="AC773" s="3"/>
      <c r="AD773" s="4" t="s">
        <v>1221</v>
      </c>
    </row>
    <row r="774" spans="1:30" ht="41.5" customHeight="1">
      <c r="A774" s="11" t="s">
        <v>1206</v>
      </c>
      <c r="B774" s="11" t="s">
        <v>1210</v>
      </c>
      <c r="C774" s="23" t="s">
        <v>24</v>
      </c>
      <c r="D774" s="3" t="s">
        <v>27</v>
      </c>
      <c r="E774" s="3" t="s">
        <v>130</v>
      </c>
      <c r="F774" s="4" t="s">
        <v>161</v>
      </c>
      <c r="G774" s="3"/>
      <c r="H774" s="3" t="s">
        <v>524</v>
      </c>
      <c r="I774" s="3"/>
      <c r="J774" s="21">
        <v>0</v>
      </c>
      <c r="K774" s="21">
        <v>0</v>
      </c>
      <c r="L774" s="21">
        <v>0</v>
      </c>
      <c r="M774" s="21">
        <v>0</v>
      </c>
      <c r="N774" s="21">
        <v>0</v>
      </c>
      <c r="O774" s="21">
        <v>0</v>
      </c>
      <c r="P774" s="21">
        <v>0</v>
      </c>
      <c r="Q774" s="21" t="s">
        <v>2276</v>
      </c>
      <c r="R774" s="21" t="s">
        <v>2276</v>
      </c>
      <c r="S774" s="21">
        <v>0</v>
      </c>
      <c r="T774" s="21">
        <v>0</v>
      </c>
      <c r="U774" s="21">
        <v>0</v>
      </c>
      <c r="V774" s="21">
        <v>0</v>
      </c>
      <c r="W774" s="21" t="s">
        <v>2276</v>
      </c>
      <c r="X774" s="21">
        <v>0</v>
      </c>
      <c r="Y774" s="21" t="s">
        <v>2276</v>
      </c>
      <c r="Z774" s="3" t="s">
        <v>2276</v>
      </c>
      <c r="AA774" s="3" t="s">
        <v>2276</v>
      </c>
      <c r="AB774" s="3" t="s">
        <v>2276</v>
      </c>
      <c r="AC774" s="4" t="s">
        <v>1214</v>
      </c>
      <c r="AD774" s="3"/>
    </row>
    <row r="775" spans="1:30" ht="41.5" customHeight="1">
      <c r="A775" s="11" t="s">
        <v>1206</v>
      </c>
      <c r="B775" s="11" t="s">
        <v>1218</v>
      </c>
      <c r="C775" s="23" t="s">
        <v>24</v>
      </c>
      <c r="D775" s="3" t="s">
        <v>2659</v>
      </c>
      <c r="E775" s="3" t="s">
        <v>130</v>
      </c>
      <c r="F775" s="4" t="s">
        <v>161</v>
      </c>
      <c r="G775" s="3"/>
      <c r="H775" s="3" t="s">
        <v>524</v>
      </c>
      <c r="I775" s="3"/>
      <c r="J775" s="21">
        <v>0</v>
      </c>
      <c r="K775" s="21">
        <v>0</v>
      </c>
      <c r="L775" s="21">
        <v>0</v>
      </c>
      <c r="M775" s="21">
        <v>0</v>
      </c>
      <c r="N775" s="21">
        <v>0</v>
      </c>
      <c r="O775" s="21">
        <v>0</v>
      </c>
      <c r="P775" s="21">
        <v>0</v>
      </c>
      <c r="Q775" s="21" t="s">
        <v>2276</v>
      </c>
      <c r="R775" s="21" t="s">
        <v>2276</v>
      </c>
      <c r="S775" s="21">
        <v>0</v>
      </c>
      <c r="T775" s="21">
        <v>0</v>
      </c>
      <c r="U775" s="21">
        <v>0</v>
      </c>
      <c r="V775" s="21">
        <v>0</v>
      </c>
      <c r="W775" s="21" t="s">
        <v>2276</v>
      </c>
      <c r="X775" s="21">
        <v>0</v>
      </c>
      <c r="Y775" s="21" t="s">
        <v>2276</v>
      </c>
      <c r="Z775" s="3" t="s">
        <v>2276</v>
      </c>
      <c r="AA775" s="3" t="s">
        <v>2276</v>
      </c>
      <c r="AB775" s="3" t="s">
        <v>2276</v>
      </c>
      <c r="AC775" s="4" t="s">
        <v>1214</v>
      </c>
      <c r="AD775" s="3"/>
    </row>
    <row r="776" spans="1:30" ht="39.5" customHeight="1">
      <c r="A776" s="11" t="s">
        <v>1207</v>
      </c>
      <c r="B776" s="11" t="s">
        <v>1211</v>
      </c>
      <c r="C776" s="23" t="s">
        <v>24</v>
      </c>
      <c r="D776" s="3" t="s">
        <v>27</v>
      </c>
      <c r="E776" s="3" t="s">
        <v>130</v>
      </c>
      <c r="F776" s="4" t="s">
        <v>161</v>
      </c>
      <c r="G776" s="3"/>
      <c r="H776" s="3" t="s">
        <v>523</v>
      </c>
      <c r="I776" s="3"/>
      <c r="J776" s="21" t="s">
        <v>2276</v>
      </c>
      <c r="K776" s="21" t="s">
        <v>2276</v>
      </c>
      <c r="L776" s="21" t="s">
        <v>2276</v>
      </c>
      <c r="M776" s="21" t="s">
        <v>2276</v>
      </c>
      <c r="N776" s="21" t="s">
        <v>2276</v>
      </c>
      <c r="O776" s="21" t="s">
        <v>2276</v>
      </c>
      <c r="P776" s="21" t="s">
        <v>2276</v>
      </c>
      <c r="Q776" s="21" t="s">
        <v>2276</v>
      </c>
      <c r="R776" s="21" t="s">
        <v>2276</v>
      </c>
      <c r="S776" s="21" t="s">
        <v>2276</v>
      </c>
      <c r="T776" s="21" t="s">
        <v>2276</v>
      </c>
      <c r="U776" s="21" t="s">
        <v>2276</v>
      </c>
      <c r="V776" s="21" t="s">
        <v>2276</v>
      </c>
      <c r="W776" s="21" t="s">
        <v>2276</v>
      </c>
      <c r="X776" s="21" t="s">
        <v>2276</v>
      </c>
      <c r="Y776" s="21">
        <v>8</v>
      </c>
      <c r="Z776" s="3" t="s">
        <v>2276</v>
      </c>
      <c r="AA776" s="3" t="s">
        <v>2276</v>
      </c>
      <c r="AB776" s="3" t="s">
        <v>2276</v>
      </c>
      <c r="AC776" s="4" t="s">
        <v>1213</v>
      </c>
      <c r="AD776" s="4" t="s">
        <v>1216</v>
      </c>
    </row>
    <row r="777" spans="1:30" ht="39.5" customHeight="1">
      <c r="A777" s="11" t="s">
        <v>1207</v>
      </c>
      <c r="B777" s="11" t="s">
        <v>1219</v>
      </c>
      <c r="C777" s="23" t="s">
        <v>24</v>
      </c>
      <c r="D777" s="3" t="s">
        <v>2659</v>
      </c>
      <c r="E777" s="3" t="s">
        <v>130</v>
      </c>
      <c r="F777" s="4" t="s">
        <v>161</v>
      </c>
      <c r="G777" s="3"/>
      <c r="H777" s="3" t="s">
        <v>523</v>
      </c>
      <c r="I777" s="3"/>
      <c r="J777" s="21" t="s">
        <v>2276</v>
      </c>
      <c r="K777" s="21" t="s">
        <v>2276</v>
      </c>
      <c r="L777" s="21" t="s">
        <v>2276</v>
      </c>
      <c r="M777" s="21" t="s">
        <v>2276</v>
      </c>
      <c r="N777" s="21" t="s">
        <v>2276</v>
      </c>
      <c r="O777" s="21" t="s">
        <v>2276</v>
      </c>
      <c r="P777" s="21" t="s">
        <v>2276</v>
      </c>
      <c r="Q777" s="21" t="s">
        <v>2276</v>
      </c>
      <c r="R777" s="21" t="s">
        <v>2276</v>
      </c>
      <c r="S777" s="21" t="s">
        <v>2276</v>
      </c>
      <c r="T777" s="21" t="s">
        <v>2276</v>
      </c>
      <c r="U777" s="21" t="s">
        <v>2276</v>
      </c>
      <c r="V777" s="21" t="s">
        <v>2276</v>
      </c>
      <c r="W777" s="21" t="s">
        <v>2276</v>
      </c>
      <c r="X777" s="21" t="s">
        <v>2276</v>
      </c>
      <c r="Y777" s="21" t="s">
        <v>2276</v>
      </c>
      <c r="Z777" s="3" t="s">
        <v>2276</v>
      </c>
      <c r="AA777" s="3" t="s">
        <v>2276</v>
      </c>
      <c r="AB777" s="3" t="s">
        <v>2276</v>
      </c>
      <c r="AC777" s="3"/>
      <c r="AD777" s="4" t="s">
        <v>1221</v>
      </c>
    </row>
    <row r="778" spans="1:30" ht="37" customHeight="1">
      <c r="A778" s="11" t="s">
        <v>1208</v>
      </c>
      <c r="B778" s="11" t="s">
        <v>1212</v>
      </c>
      <c r="C778" s="23" t="s">
        <v>24</v>
      </c>
      <c r="D778" s="3" t="s">
        <v>27</v>
      </c>
      <c r="E778" s="3" t="s">
        <v>130</v>
      </c>
      <c r="F778" s="4" t="s">
        <v>161</v>
      </c>
      <c r="G778" s="3"/>
      <c r="H778" s="3" t="s">
        <v>524</v>
      </c>
      <c r="I778" s="3"/>
      <c r="J778" s="21">
        <v>0</v>
      </c>
      <c r="K778" s="21">
        <v>0</v>
      </c>
      <c r="L778" s="21">
        <v>0</v>
      </c>
      <c r="M778" s="21">
        <v>0</v>
      </c>
      <c r="N778" s="21">
        <v>0</v>
      </c>
      <c r="O778" s="21">
        <v>0</v>
      </c>
      <c r="P778" s="21">
        <v>0</v>
      </c>
      <c r="Q778" s="21" t="s">
        <v>2276</v>
      </c>
      <c r="R778" s="21" t="s">
        <v>2276</v>
      </c>
      <c r="S778" s="21">
        <v>0</v>
      </c>
      <c r="T778" s="21">
        <v>0</v>
      </c>
      <c r="U778" s="21">
        <v>0</v>
      </c>
      <c r="V778" s="21">
        <v>0</v>
      </c>
      <c r="W778" s="21" t="s">
        <v>2276</v>
      </c>
      <c r="X778" s="21">
        <v>0</v>
      </c>
      <c r="Y778" s="21" t="s">
        <v>2276</v>
      </c>
      <c r="Z778" s="3" t="s">
        <v>2276</v>
      </c>
      <c r="AA778" s="3" t="s">
        <v>2276</v>
      </c>
      <c r="AB778" s="3" t="s">
        <v>2276</v>
      </c>
      <c r="AC778" s="4" t="s">
        <v>1214</v>
      </c>
      <c r="AD778" s="3"/>
    </row>
    <row r="779" spans="1:30" ht="37" customHeight="1">
      <c r="A779" s="11" t="s">
        <v>1208</v>
      </c>
      <c r="B779" s="11" t="s">
        <v>1220</v>
      </c>
      <c r="C779" s="23" t="s">
        <v>24</v>
      </c>
      <c r="D779" s="3" t="s">
        <v>2659</v>
      </c>
      <c r="E779" s="3" t="s">
        <v>130</v>
      </c>
      <c r="F779" s="4" t="s">
        <v>161</v>
      </c>
      <c r="G779" s="3"/>
      <c r="H779" s="3" t="s">
        <v>524</v>
      </c>
      <c r="I779" s="3"/>
      <c r="J779" s="21">
        <v>0</v>
      </c>
      <c r="K779" s="21">
        <v>0</v>
      </c>
      <c r="L779" s="21">
        <v>0</v>
      </c>
      <c r="M779" s="21">
        <v>0</v>
      </c>
      <c r="N779" s="21">
        <v>0</v>
      </c>
      <c r="O779" s="21">
        <v>0</v>
      </c>
      <c r="P779" s="21">
        <v>0</v>
      </c>
      <c r="Q779" s="21" t="s">
        <v>2276</v>
      </c>
      <c r="R779" s="21" t="s">
        <v>2276</v>
      </c>
      <c r="S779" s="21">
        <v>0</v>
      </c>
      <c r="T779" s="21">
        <v>0</v>
      </c>
      <c r="U779" s="21">
        <v>0</v>
      </c>
      <c r="V779" s="21">
        <v>0</v>
      </c>
      <c r="W779" s="21" t="s">
        <v>2276</v>
      </c>
      <c r="X779" s="21">
        <v>0</v>
      </c>
      <c r="Y779" s="21" t="s">
        <v>2276</v>
      </c>
      <c r="Z779" s="3" t="s">
        <v>2276</v>
      </c>
      <c r="AA779" s="3" t="s">
        <v>2276</v>
      </c>
      <c r="AB779" s="3" t="s">
        <v>2276</v>
      </c>
      <c r="AC779" s="4" t="s">
        <v>1214</v>
      </c>
      <c r="AD779" s="3"/>
    </row>
    <row r="780" spans="1:30" ht="41" customHeight="1">
      <c r="A780" s="11" t="s">
        <v>1232</v>
      </c>
      <c r="B780" s="11" t="s">
        <v>1233</v>
      </c>
      <c r="C780" s="23" t="s">
        <v>24</v>
      </c>
      <c r="D780" s="11" t="s">
        <v>1242</v>
      </c>
      <c r="E780" s="11" t="s">
        <v>5005</v>
      </c>
      <c r="F780" s="4" t="s">
        <v>2662</v>
      </c>
      <c r="G780" s="3"/>
      <c r="H780" s="3" t="s">
        <v>523</v>
      </c>
      <c r="I780" s="3"/>
      <c r="J780" s="21" t="s">
        <v>2276</v>
      </c>
      <c r="K780" s="21" t="s">
        <v>2276</v>
      </c>
      <c r="L780" s="21" t="s">
        <v>2276</v>
      </c>
      <c r="M780" s="21" t="s">
        <v>2276</v>
      </c>
      <c r="N780" s="21" t="s">
        <v>2276</v>
      </c>
      <c r="O780" s="21" t="s">
        <v>2276</v>
      </c>
      <c r="P780" s="21" t="s">
        <v>2276</v>
      </c>
      <c r="Q780" s="21" t="s">
        <v>2276</v>
      </c>
      <c r="R780" s="21" t="s">
        <v>2276</v>
      </c>
      <c r="S780" s="21" t="s">
        <v>2276</v>
      </c>
      <c r="T780" s="21" t="s">
        <v>2276</v>
      </c>
      <c r="U780" s="21" t="s">
        <v>2276</v>
      </c>
      <c r="V780" s="21" t="s">
        <v>2276</v>
      </c>
      <c r="W780" s="21" t="s">
        <v>2276</v>
      </c>
      <c r="X780" s="21" t="s">
        <v>2276</v>
      </c>
      <c r="Y780" s="21">
        <v>4.5</v>
      </c>
      <c r="Z780" s="3" t="s">
        <v>404</v>
      </c>
      <c r="AA780" s="3" t="s">
        <v>35</v>
      </c>
      <c r="AB780" s="3" t="s">
        <v>64</v>
      </c>
      <c r="AC780" s="4" t="s">
        <v>1234</v>
      </c>
      <c r="AD780" s="3"/>
    </row>
    <row r="781" spans="1:30" ht="39" customHeight="1">
      <c r="A781" s="11" t="s">
        <v>1232</v>
      </c>
      <c r="B781" s="11" t="s">
        <v>1235</v>
      </c>
      <c r="C781" s="23" t="s">
        <v>24</v>
      </c>
      <c r="D781" s="11" t="s">
        <v>144</v>
      </c>
      <c r="E781" s="11" t="s">
        <v>137</v>
      </c>
      <c r="F781" s="4" t="s">
        <v>2662</v>
      </c>
      <c r="G781" s="3"/>
      <c r="H781" s="3" t="s">
        <v>524</v>
      </c>
      <c r="I781" s="3"/>
      <c r="J781" s="21">
        <v>0</v>
      </c>
      <c r="K781" s="21">
        <v>0</v>
      </c>
      <c r="L781" s="21">
        <v>0</v>
      </c>
      <c r="M781" s="21">
        <v>0</v>
      </c>
      <c r="N781" s="21">
        <v>0</v>
      </c>
      <c r="O781" s="21">
        <v>0</v>
      </c>
      <c r="P781" s="21">
        <v>0</v>
      </c>
      <c r="Q781" s="21" t="s">
        <v>2276</v>
      </c>
      <c r="R781" s="21" t="s">
        <v>2276</v>
      </c>
      <c r="S781" s="21">
        <v>0</v>
      </c>
      <c r="T781" s="21">
        <v>0</v>
      </c>
      <c r="U781" s="21">
        <v>0</v>
      </c>
      <c r="V781" s="21">
        <v>0</v>
      </c>
      <c r="W781" s="21" t="s">
        <v>2276</v>
      </c>
      <c r="X781" s="21">
        <v>0</v>
      </c>
      <c r="Y781" s="21" t="s">
        <v>2276</v>
      </c>
      <c r="Z781" s="3" t="s">
        <v>2276</v>
      </c>
      <c r="AA781" s="3" t="s">
        <v>2276</v>
      </c>
      <c r="AB781" s="3" t="s">
        <v>2276</v>
      </c>
      <c r="AC781" s="4" t="s">
        <v>1236</v>
      </c>
      <c r="AD781" s="3"/>
    </row>
    <row r="782" spans="1:30" ht="39" customHeight="1">
      <c r="A782" s="11" t="s">
        <v>1232</v>
      </c>
      <c r="B782" s="11" t="s">
        <v>1237</v>
      </c>
      <c r="C782" s="23" t="s">
        <v>24</v>
      </c>
      <c r="D782" s="11" t="s">
        <v>26</v>
      </c>
      <c r="E782" s="11" t="s">
        <v>5005</v>
      </c>
      <c r="F782" s="4" t="s">
        <v>2662</v>
      </c>
      <c r="G782" s="3"/>
      <c r="H782" s="3" t="s">
        <v>523</v>
      </c>
      <c r="I782" s="3"/>
      <c r="J782" s="21" t="s">
        <v>2276</v>
      </c>
      <c r="K782" s="21" t="s">
        <v>2276</v>
      </c>
      <c r="L782" s="21" t="s">
        <v>2276</v>
      </c>
      <c r="M782" s="21" t="s">
        <v>2276</v>
      </c>
      <c r="N782" s="21" t="s">
        <v>2276</v>
      </c>
      <c r="O782" s="21" t="s">
        <v>2276</v>
      </c>
      <c r="P782" s="21" t="s">
        <v>2276</v>
      </c>
      <c r="Q782" s="21" t="s">
        <v>2276</v>
      </c>
      <c r="R782" s="21" t="s">
        <v>2276</v>
      </c>
      <c r="S782" s="21" t="s">
        <v>2276</v>
      </c>
      <c r="T782" s="21" t="s">
        <v>2276</v>
      </c>
      <c r="U782" s="21" t="s">
        <v>2276</v>
      </c>
      <c r="V782" s="21" t="s">
        <v>2276</v>
      </c>
      <c r="W782" s="21" t="s">
        <v>2276</v>
      </c>
      <c r="X782" s="21" t="s">
        <v>2276</v>
      </c>
      <c r="Y782" s="21" t="s">
        <v>2276</v>
      </c>
      <c r="Z782" s="3" t="s">
        <v>2276</v>
      </c>
      <c r="AA782" s="3" t="s">
        <v>2276</v>
      </c>
      <c r="AB782" s="3" t="s">
        <v>2276</v>
      </c>
      <c r="AC782" s="4"/>
      <c r="AD782" s="3"/>
    </row>
    <row r="783" spans="1:30" ht="43.5" customHeight="1">
      <c r="A783" s="11" t="s">
        <v>1240</v>
      </c>
      <c r="B783" s="11" t="s">
        <v>1241</v>
      </c>
      <c r="C783" s="23" t="s">
        <v>24</v>
      </c>
      <c r="D783" s="11" t="s">
        <v>1242</v>
      </c>
      <c r="E783" s="11" t="s">
        <v>137</v>
      </c>
      <c r="F783" s="4" t="s">
        <v>2662</v>
      </c>
      <c r="G783" s="3"/>
      <c r="H783" s="3" t="s">
        <v>523</v>
      </c>
      <c r="I783" s="3"/>
      <c r="J783" s="21" t="s">
        <v>2276</v>
      </c>
      <c r="K783" s="21" t="s">
        <v>2276</v>
      </c>
      <c r="L783" s="21" t="s">
        <v>2276</v>
      </c>
      <c r="M783" s="21" t="s">
        <v>2276</v>
      </c>
      <c r="N783" s="21" t="s">
        <v>2276</v>
      </c>
      <c r="O783" s="21" t="s">
        <v>2276</v>
      </c>
      <c r="P783" s="21" t="s">
        <v>2276</v>
      </c>
      <c r="Q783" s="21" t="s">
        <v>2276</v>
      </c>
      <c r="R783" s="21" t="s">
        <v>2276</v>
      </c>
      <c r="S783" s="21" t="s">
        <v>2276</v>
      </c>
      <c r="T783" s="21" t="s">
        <v>2276</v>
      </c>
      <c r="U783" s="21" t="s">
        <v>2276</v>
      </c>
      <c r="V783" s="21" t="s">
        <v>2276</v>
      </c>
      <c r="W783" s="21" t="s">
        <v>2276</v>
      </c>
      <c r="X783" s="21" t="s">
        <v>2276</v>
      </c>
      <c r="Y783" s="21" t="s">
        <v>2276</v>
      </c>
      <c r="Z783" s="3" t="s">
        <v>86</v>
      </c>
      <c r="AA783" s="3" t="s">
        <v>404</v>
      </c>
      <c r="AB783" s="3" t="s">
        <v>64</v>
      </c>
      <c r="AC783" s="4" t="s">
        <v>1243</v>
      </c>
      <c r="AD783" s="3"/>
    </row>
    <row r="784" spans="1:30" ht="36.5" customHeight="1">
      <c r="A784" s="11" t="s">
        <v>1240</v>
      </c>
      <c r="B784" s="11" t="s">
        <v>1244</v>
      </c>
      <c r="C784" s="23" t="s">
        <v>24</v>
      </c>
      <c r="D784" s="11" t="s">
        <v>1245</v>
      </c>
      <c r="E784" s="11" t="s">
        <v>116</v>
      </c>
      <c r="F784" s="4" t="s">
        <v>2662</v>
      </c>
      <c r="G784" s="3"/>
      <c r="H784" s="3" t="s">
        <v>523</v>
      </c>
      <c r="I784" s="3"/>
      <c r="J784" s="21" t="s">
        <v>2276</v>
      </c>
      <c r="K784" s="21" t="s">
        <v>2276</v>
      </c>
      <c r="L784" s="21" t="s">
        <v>2276</v>
      </c>
      <c r="M784" s="21" t="s">
        <v>2276</v>
      </c>
      <c r="N784" s="21" t="s">
        <v>2276</v>
      </c>
      <c r="O784" s="21" t="s">
        <v>2276</v>
      </c>
      <c r="P784" s="21" t="s">
        <v>2276</v>
      </c>
      <c r="Q784" s="21" t="s">
        <v>2276</v>
      </c>
      <c r="R784" s="21" t="s">
        <v>2276</v>
      </c>
      <c r="S784" s="21" t="s">
        <v>2276</v>
      </c>
      <c r="T784" s="21" t="s">
        <v>2276</v>
      </c>
      <c r="U784" s="21" t="s">
        <v>2276</v>
      </c>
      <c r="V784" s="21" t="s">
        <v>2276</v>
      </c>
      <c r="W784" s="21" t="s">
        <v>2276</v>
      </c>
      <c r="X784" s="21" t="s">
        <v>2276</v>
      </c>
      <c r="Y784" s="21" t="s">
        <v>2276</v>
      </c>
      <c r="Z784" s="3" t="s">
        <v>1246</v>
      </c>
      <c r="AA784" s="3" t="s">
        <v>405</v>
      </c>
      <c r="AB784" s="3" t="s">
        <v>64</v>
      </c>
      <c r="AC784" s="3"/>
      <c r="AD784" s="3"/>
    </row>
    <row r="785" spans="1:30" ht="86.5" customHeight="1">
      <c r="A785" s="11" t="s">
        <v>2446</v>
      </c>
      <c r="B785" s="11" t="s">
        <v>2453</v>
      </c>
      <c r="C785" s="23" t="s">
        <v>24</v>
      </c>
      <c r="D785" s="11" t="s">
        <v>27</v>
      </c>
      <c r="E785" s="11" t="s">
        <v>130</v>
      </c>
      <c r="F785" s="19" t="s">
        <v>74</v>
      </c>
      <c r="G785" s="11" t="s">
        <v>74</v>
      </c>
      <c r="H785" s="3" t="s">
        <v>523</v>
      </c>
      <c r="I785" s="3"/>
      <c r="J785" s="21" t="s">
        <v>2276</v>
      </c>
      <c r="K785" s="21" t="s">
        <v>2276</v>
      </c>
      <c r="L785" s="21" t="s">
        <v>2276</v>
      </c>
      <c r="M785" s="21" t="s">
        <v>2276</v>
      </c>
      <c r="N785" s="21" t="s">
        <v>2276</v>
      </c>
      <c r="O785" s="21" t="s">
        <v>2276</v>
      </c>
      <c r="P785" s="21" t="s">
        <v>2276</v>
      </c>
      <c r="Q785" s="21" t="s">
        <v>2276</v>
      </c>
      <c r="R785" s="21" t="s">
        <v>2276</v>
      </c>
      <c r="S785" s="21" t="s">
        <v>2276</v>
      </c>
      <c r="T785" s="21" t="s">
        <v>2276</v>
      </c>
      <c r="U785" s="21">
        <v>2</v>
      </c>
      <c r="V785" s="21">
        <v>2</v>
      </c>
      <c r="W785" s="21" t="s">
        <v>2276</v>
      </c>
      <c r="X785" s="21" t="s">
        <v>2276</v>
      </c>
      <c r="Y785" s="21" t="s">
        <v>2276</v>
      </c>
      <c r="Z785" s="21" t="s">
        <v>2276</v>
      </c>
      <c r="AA785" s="21" t="s">
        <v>2276</v>
      </c>
      <c r="AB785" s="21" t="s">
        <v>2276</v>
      </c>
      <c r="AC785" s="3"/>
      <c r="AD785" s="4" t="s">
        <v>2455</v>
      </c>
    </row>
    <row r="786" spans="1:30" ht="83.5" customHeight="1">
      <c r="A786" s="11" t="s">
        <v>2446</v>
      </c>
      <c r="B786" s="11" t="s">
        <v>2454</v>
      </c>
      <c r="C786" s="23" t="s">
        <v>2458</v>
      </c>
      <c r="D786" s="11" t="s">
        <v>27</v>
      </c>
      <c r="E786" s="11" t="s">
        <v>130</v>
      </c>
      <c r="F786" s="19" t="s">
        <v>2276</v>
      </c>
      <c r="G786" s="11" t="s">
        <v>74</v>
      </c>
      <c r="H786" s="3" t="s">
        <v>523</v>
      </c>
      <c r="I786" s="3"/>
      <c r="J786" s="21" t="s">
        <v>2276</v>
      </c>
      <c r="K786" s="21" t="s">
        <v>2276</v>
      </c>
      <c r="L786" s="21" t="s">
        <v>2276</v>
      </c>
      <c r="M786" s="21" t="s">
        <v>2276</v>
      </c>
      <c r="N786" s="21" t="s">
        <v>2276</v>
      </c>
      <c r="O786" s="21" t="s">
        <v>2276</v>
      </c>
      <c r="P786" s="21" t="s">
        <v>2276</v>
      </c>
      <c r="Q786" s="21" t="s">
        <v>2276</v>
      </c>
      <c r="R786" s="21" t="s">
        <v>2276</v>
      </c>
      <c r="S786" s="21" t="s">
        <v>2276</v>
      </c>
      <c r="T786" s="21" t="s">
        <v>2276</v>
      </c>
      <c r="U786" s="21">
        <v>0</v>
      </c>
      <c r="V786" s="21">
        <v>2</v>
      </c>
      <c r="W786" s="21" t="s">
        <v>2276</v>
      </c>
      <c r="X786" s="21" t="s">
        <v>2276</v>
      </c>
      <c r="Y786" s="21" t="s">
        <v>2276</v>
      </c>
      <c r="Z786" s="21" t="s">
        <v>2276</v>
      </c>
      <c r="AA786" s="21" t="s">
        <v>2276</v>
      </c>
      <c r="AB786" s="21" t="s">
        <v>2276</v>
      </c>
      <c r="AC786" s="3" t="s">
        <v>2456</v>
      </c>
      <c r="AD786" s="4" t="s">
        <v>2455</v>
      </c>
    </row>
    <row r="787" spans="1:30" ht="57" customHeight="1">
      <c r="A787" s="11" t="s">
        <v>2449</v>
      </c>
      <c r="B787" s="11" t="s">
        <v>2460</v>
      </c>
      <c r="C787" s="23" t="s">
        <v>24</v>
      </c>
      <c r="D787" s="11" t="s">
        <v>27</v>
      </c>
      <c r="E787" s="11" t="s">
        <v>130</v>
      </c>
      <c r="F787" s="19" t="s">
        <v>161</v>
      </c>
      <c r="G787" s="11" t="s">
        <v>161</v>
      </c>
      <c r="H787" s="3" t="s">
        <v>523</v>
      </c>
      <c r="I787" s="3"/>
      <c r="J787" s="21" t="s">
        <v>2276</v>
      </c>
      <c r="K787" s="21" t="s">
        <v>2276</v>
      </c>
      <c r="L787" s="21" t="s">
        <v>2276</v>
      </c>
      <c r="M787" s="21" t="s">
        <v>2276</v>
      </c>
      <c r="N787" s="21" t="s">
        <v>2276</v>
      </c>
      <c r="O787" s="21" t="s">
        <v>2276</v>
      </c>
      <c r="P787" s="21" t="s">
        <v>2276</v>
      </c>
      <c r="Q787" s="21" t="s">
        <v>2276</v>
      </c>
      <c r="R787" s="21" t="s">
        <v>2276</v>
      </c>
      <c r="S787" s="21" t="s">
        <v>2276</v>
      </c>
      <c r="T787" s="21" t="s">
        <v>2276</v>
      </c>
      <c r="U787" s="21" t="s">
        <v>2276</v>
      </c>
      <c r="V787" s="21" t="s">
        <v>2276</v>
      </c>
      <c r="W787" s="21" t="s">
        <v>2276</v>
      </c>
      <c r="X787" s="21" t="s">
        <v>2276</v>
      </c>
      <c r="Y787" s="21" t="s">
        <v>2276</v>
      </c>
      <c r="Z787" s="21" t="s">
        <v>2276</v>
      </c>
      <c r="AA787" s="21" t="s">
        <v>2276</v>
      </c>
      <c r="AB787" s="21" t="s">
        <v>2276</v>
      </c>
      <c r="AC787" s="3"/>
      <c r="AD787" s="3"/>
    </row>
    <row r="788" spans="1:30" ht="45" customHeight="1">
      <c r="A788" s="11" t="s">
        <v>2449</v>
      </c>
      <c r="B788" s="11" t="s">
        <v>2462</v>
      </c>
      <c r="C788" s="23" t="s">
        <v>24</v>
      </c>
      <c r="D788" s="11" t="s">
        <v>27</v>
      </c>
      <c r="E788" s="11" t="s">
        <v>130</v>
      </c>
      <c r="F788" s="19" t="s">
        <v>28</v>
      </c>
      <c r="G788" s="11" t="s">
        <v>28</v>
      </c>
      <c r="H788" s="3" t="s">
        <v>523</v>
      </c>
      <c r="I788" s="3"/>
      <c r="J788" s="21" t="s">
        <v>2276</v>
      </c>
      <c r="K788" s="21" t="s">
        <v>2276</v>
      </c>
      <c r="L788" s="21" t="s">
        <v>2276</v>
      </c>
      <c r="M788" s="21" t="s">
        <v>2276</v>
      </c>
      <c r="N788" s="21" t="s">
        <v>2276</v>
      </c>
      <c r="O788" s="21" t="s">
        <v>2276</v>
      </c>
      <c r="P788" s="21" t="s">
        <v>2276</v>
      </c>
      <c r="Q788" s="21" t="s">
        <v>2276</v>
      </c>
      <c r="R788" s="21" t="s">
        <v>2276</v>
      </c>
      <c r="S788" s="21" t="s">
        <v>2276</v>
      </c>
      <c r="T788" s="21" t="s">
        <v>2276</v>
      </c>
      <c r="U788" s="21" t="s">
        <v>2276</v>
      </c>
      <c r="V788" s="21" t="s">
        <v>2276</v>
      </c>
      <c r="W788" s="21" t="s">
        <v>2276</v>
      </c>
      <c r="X788" s="21" t="s">
        <v>2276</v>
      </c>
      <c r="Y788" s="21">
        <v>1</v>
      </c>
      <c r="Z788" s="21" t="s">
        <v>2276</v>
      </c>
      <c r="AA788" s="21" t="s">
        <v>2276</v>
      </c>
      <c r="AB788" s="21" t="s">
        <v>2276</v>
      </c>
      <c r="AC788" s="4" t="s">
        <v>2463</v>
      </c>
      <c r="AD788" s="3"/>
    </row>
    <row r="789" spans="1:30" ht="53.5" customHeight="1">
      <c r="A789" s="3" t="s">
        <v>2466</v>
      </c>
      <c r="B789" s="3" t="s">
        <v>2500</v>
      </c>
      <c r="C789" s="23" t="s">
        <v>24</v>
      </c>
      <c r="D789" s="11" t="s">
        <v>27</v>
      </c>
      <c r="E789" s="11" t="s">
        <v>130</v>
      </c>
      <c r="F789" s="19" t="s">
        <v>161</v>
      </c>
      <c r="G789" s="11" t="s">
        <v>2276</v>
      </c>
      <c r="H789" s="3" t="s">
        <v>523</v>
      </c>
      <c r="I789" s="3"/>
      <c r="J789" s="21" t="s">
        <v>2276</v>
      </c>
      <c r="K789" s="21" t="s">
        <v>2276</v>
      </c>
      <c r="L789" s="21" t="s">
        <v>2276</v>
      </c>
      <c r="M789" s="21" t="s">
        <v>2276</v>
      </c>
      <c r="N789" s="21" t="s">
        <v>2276</v>
      </c>
      <c r="O789" s="21" t="s">
        <v>2276</v>
      </c>
      <c r="P789" s="21" t="s">
        <v>2276</v>
      </c>
      <c r="Q789" s="21" t="s">
        <v>2276</v>
      </c>
      <c r="R789" s="21" t="s">
        <v>2276</v>
      </c>
      <c r="S789" s="21" t="s">
        <v>2276</v>
      </c>
      <c r="T789" s="21" t="s">
        <v>2276</v>
      </c>
      <c r="U789" s="21" t="s">
        <v>2276</v>
      </c>
      <c r="V789" s="21" t="s">
        <v>2276</v>
      </c>
      <c r="W789" s="21" t="s">
        <v>2276</v>
      </c>
      <c r="X789" s="21" t="s">
        <v>2276</v>
      </c>
      <c r="Y789" s="21" t="s">
        <v>2276</v>
      </c>
      <c r="Z789" s="21" t="s">
        <v>188</v>
      </c>
      <c r="AA789" s="21" t="s">
        <v>189</v>
      </c>
      <c r="AB789" s="74" t="s">
        <v>64</v>
      </c>
      <c r="AC789" s="3"/>
      <c r="AD789" s="3"/>
    </row>
    <row r="790" spans="1:30" ht="64.5" customHeight="1">
      <c r="A790" s="3" t="s">
        <v>2467</v>
      </c>
      <c r="B790" s="3" t="s">
        <v>2501</v>
      </c>
      <c r="C790" s="23" t="s">
        <v>24</v>
      </c>
      <c r="D790" s="11" t="s">
        <v>27</v>
      </c>
      <c r="E790" s="11" t="s">
        <v>130</v>
      </c>
      <c r="F790" s="19" t="s">
        <v>161</v>
      </c>
      <c r="G790" s="11" t="s">
        <v>2276</v>
      </c>
      <c r="H790" s="3" t="s">
        <v>523</v>
      </c>
      <c r="I790" s="3"/>
      <c r="J790" s="21" t="s">
        <v>2276</v>
      </c>
      <c r="K790" s="21" t="s">
        <v>2276</v>
      </c>
      <c r="L790" s="21" t="s">
        <v>2276</v>
      </c>
      <c r="M790" s="21" t="s">
        <v>2276</v>
      </c>
      <c r="N790" s="21" t="s">
        <v>2276</v>
      </c>
      <c r="O790" s="21" t="s">
        <v>2276</v>
      </c>
      <c r="P790" s="21" t="s">
        <v>2276</v>
      </c>
      <c r="Q790" s="21" t="s">
        <v>2276</v>
      </c>
      <c r="R790" s="21" t="s">
        <v>2276</v>
      </c>
      <c r="S790" s="21" t="s">
        <v>2276</v>
      </c>
      <c r="T790" s="21" t="s">
        <v>2276</v>
      </c>
      <c r="U790" s="21" t="s">
        <v>2276</v>
      </c>
      <c r="V790" s="21" t="s">
        <v>2276</v>
      </c>
      <c r="W790" s="21" t="s">
        <v>2276</v>
      </c>
      <c r="X790" s="21" t="s">
        <v>2276</v>
      </c>
      <c r="Y790" s="21" t="s">
        <v>2276</v>
      </c>
      <c r="Z790" s="21" t="s">
        <v>188</v>
      </c>
      <c r="AA790" s="21" t="s">
        <v>189</v>
      </c>
      <c r="AB790" s="74" t="s">
        <v>64</v>
      </c>
      <c r="AC790" s="3"/>
      <c r="AD790" s="3"/>
    </row>
    <row r="791" spans="1:30" ht="64.5" customHeight="1">
      <c r="A791" s="3" t="s">
        <v>2468</v>
      </c>
      <c r="B791" s="3" t="s">
        <v>2502</v>
      </c>
      <c r="C791" s="23" t="s">
        <v>24</v>
      </c>
      <c r="D791" s="11" t="s">
        <v>27</v>
      </c>
      <c r="E791" s="11" t="s">
        <v>130</v>
      </c>
      <c r="F791" s="19" t="s">
        <v>161</v>
      </c>
      <c r="G791" s="11" t="s">
        <v>2276</v>
      </c>
      <c r="H791" s="3" t="s">
        <v>523</v>
      </c>
      <c r="I791" s="3"/>
      <c r="J791" s="21" t="s">
        <v>2276</v>
      </c>
      <c r="K791" s="21" t="s">
        <v>2276</v>
      </c>
      <c r="L791" s="21" t="s">
        <v>2276</v>
      </c>
      <c r="M791" s="21" t="s">
        <v>2276</v>
      </c>
      <c r="N791" s="21" t="s">
        <v>2276</v>
      </c>
      <c r="O791" s="21" t="s">
        <v>2276</v>
      </c>
      <c r="P791" s="21" t="s">
        <v>2276</v>
      </c>
      <c r="Q791" s="21" t="s">
        <v>2276</v>
      </c>
      <c r="R791" s="21" t="s">
        <v>2276</v>
      </c>
      <c r="S791" s="21" t="s">
        <v>2276</v>
      </c>
      <c r="T791" s="21" t="s">
        <v>2276</v>
      </c>
      <c r="U791" s="21" t="s">
        <v>2276</v>
      </c>
      <c r="V791" s="21" t="s">
        <v>2276</v>
      </c>
      <c r="W791" s="21" t="s">
        <v>2276</v>
      </c>
      <c r="X791" s="21" t="s">
        <v>2276</v>
      </c>
      <c r="Y791" s="21" t="s">
        <v>2276</v>
      </c>
      <c r="Z791" s="21" t="s">
        <v>188</v>
      </c>
      <c r="AA791" s="21" t="s">
        <v>189</v>
      </c>
      <c r="AB791" s="74" t="s">
        <v>64</v>
      </c>
      <c r="AC791" s="3"/>
      <c r="AD791" s="3"/>
    </row>
    <row r="792" spans="1:30" ht="64.5" customHeight="1">
      <c r="A792" s="3" t="s">
        <v>2469</v>
      </c>
      <c r="B792" s="3" t="s">
        <v>2503</v>
      </c>
      <c r="C792" s="23" t="s">
        <v>24</v>
      </c>
      <c r="D792" s="11" t="s">
        <v>27</v>
      </c>
      <c r="E792" s="11" t="s">
        <v>130</v>
      </c>
      <c r="F792" s="19" t="s">
        <v>161</v>
      </c>
      <c r="G792" s="11" t="s">
        <v>2276</v>
      </c>
      <c r="H792" s="3" t="s">
        <v>523</v>
      </c>
      <c r="I792" s="3"/>
      <c r="J792" s="21" t="s">
        <v>2276</v>
      </c>
      <c r="K792" s="21" t="s">
        <v>2276</v>
      </c>
      <c r="L792" s="21" t="s">
        <v>2276</v>
      </c>
      <c r="M792" s="21" t="s">
        <v>2276</v>
      </c>
      <c r="N792" s="21" t="s">
        <v>2276</v>
      </c>
      <c r="O792" s="21" t="s">
        <v>2276</v>
      </c>
      <c r="P792" s="21" t="s">
        <v>2276</v>
      </c>
      <c r="Q792" s="21" t="s">
        <v>2276</v>
      </c>
      <c r="R792" s="21" t="s">
        <v>2276</v>
      </c>
      <c r="S792" s="21" t="s">
        <v>2276</v>
      </c>
      <c r="T792" s="21" t="s">
        <v>2276</v>
      </c>
      <c r="U792" s="21" t="s">
        <v>2276</v>
      </c>
      <c r="V792" s="21" t="s">
        <v>2276</v>
      </c>
      <c r="W792" s="21" t="s">
        <v>2276</v>
      </c>
      <c r="X792" s="21" t="s">
        <v>2276</v>
      </c>
      <c r="Y792" s="21" t="s">
        <v>2276</v>
      </c>
      <c r="Z792" s="21" t="s">
        <v>188</v>
      </c>
      <c r="AA792" s="21" t="s">
        <v>189</v>
      </c>
      <c r="AB792" s="74" t="s">
        <v>64</v>
      </c>
      <c r="AC792" s="3"/>
      <c r="AD792" s="3"/>
    </row>
    <row r="793" spans="1:30" ht="64.5" customHeight="1">
      <c r="A793" s="3" t="s">
        <v>2470</v>
      </c>
      <c r="B793" s="3" t="s">
        <v>2504</v>
      </c>
      <c r="C793" s="23" t="s">
        <v>24</v>
      </c>
      <c r="D793" s="11" t="s">
        <v>27</v>
      </c>
      <c r="E793" s="11" t="s">
        <v>130</v>
      </c>
      <c r="F793" s="19" t="s">
        <v>161</v>
      </c>
      <c r="G793" s="11" t="s">
        <v>2276</v>
      </c>
      <c r="H793" s="3" t="s">
        <v>523</v>
      </c>
      <c r="I793" s="3"/>
      <c r="J793" s="21" t="s">
        <v>2276</v>
      </c>
      <c r="K793" s="21" t="s">
        <v>2276</v>
      </c>
      <c r="L793" s="21" t="s">
        <v>2276</v>
      </c>
      <c r="M793" s="21" t="s">
        <v>2276</v>
      </c>
      <c r="N793" s="21" t="s">
        <v>2276</v>
      </c>
      <c r="O793" s="21" t="s">
        <v>2276</v>
      </c>
      <c r="P793" s="21" t="s">
        <v>2276</v>
      </c>
      <c r="Q793" s="21" t="s">
        <v>2276</v>
      </c>
      <c r="R793" s="21" t="s">
        <v>2276</v>
      </c>
      <c r="S793" s="21" t="s">
        <v>2276</v>
      </c>
      <c r="T793" s="21" t="s">
        <v>2276</v>
      </c>
      <c r="U793" s="21" t="s">
        <v>2276</v>
      </c>
      <c r="V793" s="21" t="s">
        <v>2276</v>
      </c>
      <c r="W793" s="21" t="s">
        <v>2276</v>
      </c>
      <c r="X793" s="21" t="s">
        <v>2276</v>
      </c>
      <c r="Y793" s="21" t="s">
        <v>2276</v>
      </c>
      <c r="Z793" s="21" t="s">
        <v>188</v>
      </c>
      <c r="AA793" s="21" t="s">
        <v>189</v>
      </c>
      <c r="AB793" s="74" t="s">
        <v>64</v>
      </c>
      <c r="AC793" s="3"/>
      <c r="AD793" s="3"/>
    </row>
    <row r="794" spans="1:30" ht="64.5" customHeight="1">
      <c r="A794" s="3" t="s">
        <v>2471</v>
      </c>
      <c r="B794" s="3" t="s">
        <v>2505</v>
      </c>
      <c r="C794" s="23" t="s">
        <v>24</v>
      </c>
      <c r="D794" s="11" t="s">
        <v>27</v>
      </c>
      <c r="E794" s="11" t="s">
        <v>130</v>
      </c>
      <c r="F794" s="19" t="s">
        <v>161</v>
      </c>
      <c r="G794" s="11" t="s">
        <v>2276</v>
      </c>
      <c r="H794" s="3" t="s">
        <v>523</v>
      </c>
      <c r="I794" s="3"/>
      <c r="J794" s="21" t="s">
        <v>2276</v>
      </c>
      <c r="K794" s="21" t="s">
        <v>2276</v>
      </c>
      <c r="L794" s="21" t="s">
        <v>2276</v>
      </c>
      <c r="M794" s="21" t="s">
        <v>2276</v>
      </c>
      <c r="N794" s="21" t="s">
        <v>2276</v>
      </c>
      <c r="O794" s="21" t="s">
        <v>2276</v>
      </c>
      <c r="P794" s="21" t="s">
        <v>2276</v>
      </c>
      <c r="Q794" s="21" t="s">
        <v>2276</v>
      </c>
      <c r="R794" s="21" t="s">
        <v>2276</v>
      </c>
      <c r="S794" s="21" t="s">
        <v>2276</v>
      </c>
      <c r="T794" s="21" t="s">
        <v>2276</v>
      </c>
      <c r="U794" s="21" t="s">
        <v>2276</v>
      </c>
      <c r="V794" s="21" t="s">
        <v>2276</v>
      </c>
      <c r="W794" s="21" t="s">
        <v>2276</v>
      </c>
      <c r="X794" s="21" t="s">
        <v>2276</v>
      </c>
      <c r="Y794" s="21" t="s">
        <v>2276</v>
      </c>
      <c r="Z794" s="21" t="s">
        <v>188</v>
      </c>
      <c r="AA794" s="21" t="s">
        <v>189</v>
      </c>
      <c r="AB794" s="74" t="s">
        <v>64</v>
      </c>
      <c r="AC794" s="3"/>
      <c r="AD794" s="3"/>
    </row>
    <row r="795" spans="1:30" ht="64.5" customHeight="1">
      <c r="A795" s="3" t="s">
        <v>2472</v>
      </c>
      <c r="B795" s="3" t="s">
        <v>2506</v>
      </c>
      <c r="C795" s="23" t="s">
        <v>24</v>
      </c>
      <c r="D795" s="11" t="s">
        <v>27</v>
      </c>
      <c r="E795" s="11" t="s">
        <v>130</v>
      </c>
      <c r="F795" s="19" t="s">
        <v>161</v>
      </c>
      <c r="G795" s="11" t="s">
        <v>2276</v>
      </c>
      <c r="H795" s="3" t="s">
        <v>523</v>
      </c>
      <c r="I795" s="3"/>
      <c r="J795" s="21" t="s">
        <v>2276</v>
      </c>
      <c r="K795" s="21" t="s">
        <v>2276</v>
      </c>
      <c r="L795" s="21" t="s">
        <v>2276</v>
      </c>
      <c r="M795" s="21" t="s">
        <v>2276</v>
      </c>
      <c r="N795" s="21" t="s">
        <v>2276</v>
      </c>
      <c r="O795" s="21" t="s">
        <v>2276</v>
      </c>
      <c r="P795" s="21" t="s">
        <v>2276</v>
      </c>
      <c r="Q795" s="21" t="s">
        <v>2276</v>
      </c>
      <c r="R795" s="21" t="s">
        <v>2276</v>
      </c>
      <c r="S795" s="21" t="s">
        <v>2276</v>
      </c>
      <c r="T795" s="21" t="s">
        <v>2276</v>
      </c>
      <c r="U795" s="21" t="s">
        <v>2276</v>
      </c>
      <c r="V795" s="21" t="s">
        <v>2276</v>
      </c>
      <c r="W795" s="21" t="s">
        <v>2276</v>
      </c>
      <c r="X795" s="21" t="s">
        <v>2276</v>
      </c>
      <c r="Y795" s="21" t="s">
        <v>2276</v>
      </c>
      <c r="Z795" s="21" t="s">
        <v>188</v>
      </c>
      <c r="AA795" s="21" t="s">
        <v>189</v>
      </c>
      <c r="AB795" s="74" t="s">
        <v>64</v>
      </c>
      <c r="AC795" s="3"/>
      <c r="AD795" s="3"/>
    </row>
    <row r="796" spans="1:30" ht="64.5" customHeight="1">
      <c r="A796" s="3" t="s">
        <v>2473</v>
      </c>
      <c r="B796" s="3" t="s">
        <v>2507</v>
      </c>
      <c r="C796" s="23" t="s">
        <v>24</v>
      </c>
      <c r="D796" s="11" t="s">
        <v>27</v>
      </c>
      <c r="E796" s="11" t="s">
        <v>130</v>
      </c>
      <c r="F796" s="19" t="s">
        <v>161</v>
      </c>
      <c r="G796" s="11" t="s">
        <v>2276</v>
      </c>
      <c r="H796" s="3" t="s">
        <v>523</v>
      </c>
      <c r="I796" s="3"/>
      <c r="J796" s="21" t="s">
        <v>2276</v>
      </c>
      <c r="K796" s="21" t="s">
        <v>2276</v>
      </c>
      <c r="L796" s="21" t="s">
        <v>2276</v>
      </c>
      <c r="M796" s="21" t="s">
        <v>2276</v>
      </c>
      <c r="N796" s="21" t="s">
        <v>2276</v>
      </c>
      <c r="O796" s="21" t="s">
        <v>2276</v>
      </c>
      <c r="P796" s="21" t="s">
        <v>2276</v>
      </c>
      <c r="Q796" s="21" t="s">
        <v>2276</v>
      </c>
      <c r="R796" s="21" t="s">
        <v>2276</v>
      </c>
      <c r="S796" s="21" t="s">
        <v>2276</v>
      </c>
      <c r="T796" s="21" t="s">
        <v>2276</v>
      </c>
      <c r="U796" s="21" t="s">
        <v>2276</v>
      </c>
      <c r="V796" s="21" t="s">
        <v>2276</v>
      </c>
      <c r="W796" s="21" t="s">
        <v>2276</v>
      </c>
      <c r="X796" s="21" t="s">
        <v>2276</v>
      </c>
      <c r="Y796" s="21" t="s">
        <v>2276</v>
      </c>
      <c r="Z796" s="21" t="s">
        <v>188</v>
      </c>
      <c r="AA796" s="21" t="s">
        <v>189</v>
      </c>
      <c r="AB796" s="74" t="s">
        <v>64</v>
      </c>
      <c r="AC796" s="3"/>
      <c r="AD796" s="3"/>
    </row>
    <row r="797" spans="1:30" ht="64.5" customHeight="1">
      <c r="A797" s="3" t="s">
        <v>2474</v>
      </c>
      <c r="B797" s="3" t="s">
        <v>2508</v>
      </c>
      <c r="C797" s="23" t="s">
        <v>24</v>
      </c>
      <c r="D797" s="11" t="s">
        <v>27</v>
      </c>
      <c r="E797" s="11" t="s">
        <v>130</v>
      </c>
      <c r="F797" s="19" t="s">
        <v>161</v>
      </c>
      <c r="G797" s="11" t="s">
        <v>2276</v>
      </c>
      <c r="H797" s="3" t="s">
        <v>523</v>
      </c>
      <c r="I797" s="3"/>
      <c r="J797" s="21" t="s">
        <v>2276</v>
      </c>
      <c r="K797" s="21" t="s">
        <v>2276</v>
      </c>
      <c r="L797" s="21" t="s">
        <v>2276</v>
      </c>
      <c r="M797" s="21" t="s">
        <v>2276</v>
      </c>
      <c r="N797" s="21" t="s">
        <v>2276</v>
      </c>
      <c r="O797" s="21" t="s">
        <v>2276</v>
      </c>
      <c r="P797" s="21" t="s">
        <v>2276</v>
      </c>
      <c r="Q797" s="21" t="s">
        <v>2276</v>
      </c>
      <c r="R797" s="21" t="s">
        <v>2276</v>
      </c>
      <c r="S797" s="21" t="s">
        <v>2276</v>
      </c>
      <c r="T797" s="21" t="s">
        <v>2276</v>
      </c>
      <c r="U797" s="21" t="s">
        <v>2276</v>
      </c>
      <c r="V797" s="21" t="s">
        <v>2276</v>
      </c>
      <c r="W797" s="21" t="s">
        <v>2276</v>
      </c>
      <c r="X797" s="21" t="s">
        <v>2276</v>
      </c>
      <c r="Y797" s="21" t="s">
        <v>2276</v>
      </c>
      <c r="Z797" s="21" t="s">
        <v>188</v>
      </c>
      <c r="AA797" s="21" t="s">
        <v>189</v>
      </c>
      <c r="AB797" s="74" t="s">
        <v>64</v>
      </c>
      <c r="AC797" s="3"/>
      <c r="AD797" s="3"/>
    </row>
    <row r="798" spans="1:30" ht="64.5" customHeight="1">
      <c r="A798" s="3" t="s">
        <v>2475</v>
      </c>
      <c r="B798" s="3" t="s">
        <v>2509</v>
      </c>
      <c r="C798" s="23" t="s">
        <v>24</v>
      </c>
      <c r="D798" s="11" t="s">
        <v>27</v>
      </c>
      <c r="E798" s="11" t="s">
        <v>130</v>
      </c>
      <c r="F798" s="19" t="s">
        <v>161</v>
      </c>
      <c r="G798" s="11" t="s">
        <v>2276</v>
      </c>
      <c r="H798" s="3" t="s">
        <v>523</v>
      </c>
      <c r="I798" s="3"/>
      <c r="J798" s="21" t="s">
        <v>2276</v>
      </c>
      <c r="K798" s="21" t="s">
        <v>2276</v>
      </c>
      <c r="L798" s="21" t="s">
        <v>2276</v>
      </c>
      <c r="M798" s="21" t="s">
        <v>2276</v>
      </c>
      <c r="N798" s="21" t="s">
        <v>2276</v>
      </c>
      <c r="O798" s="21" t="s">
        <v>2276</v>
      </c>
      <c r="P798" s="21" t="s">
        <v>2276</v>
      </c>
      <c r="Q798" s="21" t="s">
        <v>2276</v>
      </c>
      <c r="R798" s="21" t="s">
        <v>2276</v>
      </c>
      <c r="S798" s="21" t="s">
        <v>2276</v>
      </c>
      <c r="T798" s="21" t="s">
        <v>2276</v>
      </c>
      <c r="U798" s="21" t="s">
        <v>2276</v>
      </c>
      <c r="V798" s="21" t="s">
        <v>2276</v>
      </c>
      <c r="W798" s="21" t="s">
        <v>2276</v>
      </c>
      <c r="X798" s="21" t="s">
        <v>2276</v>
      </c>
      <c r="Y798" s="21" t="s">
        <v>2276</v>
      </c>
      <c r="Z798" s="21" t="s">
        <v>188</v>
      </c>
      <c r="AA798" s="21" t="s">
        <v>189</v>
      </c>
      <c r="AB798" s="74" t="s">
        <v>64</v>
      </c>
      <c r="AC798" s="3"/>
      <c r="AD798" s="3"/>
    </row>
    <row r="799" spans="1:30" ht="64.5" customHeight="1">
      <c r="A799" s="3" t="s">
        <v>2476</v>
      </c>
      <c r="B799" s="3" t="s">
        <v>2510</v>
      </c>
      <c r="C799" s="23" t="s">
        <v>24</v>
      </c>
      <c r="D799" s="11" t="s">
        <v>27</v>
      </c>
      <c r="E799" s="11" t="s">
        <v>130</v>
      </c>
      <c r="F799" s="19" t="s">
        <v>161</v>
      </c>
      <c r="G799" s="11" t="s">
        <v>2276</v>
      </c>
      <c r="H799" s="3" t="s">
        <v>523</v>
      </c>
      <c r="I799" s="3"/>
      <c r="J799" s="21" t="s">
        <v>2276</v>
      </c>
      <c r="K799" s="21" t="s">
        <v>2276</v>
      </c>
      <c r="L799" s="21" t="s">
        <v>2276</v>
      </c>
      <c r="M799" s="21" t="s">
        <v>2276</v>
      </c>
      <c r="N799" s="21" t="s">
        <v>2276</v>
      </c>
      <c r="O799" s="21" t="s">
        <v>2276</v>
      </c>
      <c r="P799" s="21" t="s">
        <v>2276</v>
      </c>
      <c r="Q799" s="21" t="s">
        <v>2276</v>
      </c>
      <c r="R799" s="21" t="s">
        <v>2276</v>
      </c>
      <c r="S799" s="21" t="s">
        <v>2276</v>
      </c>
      <c r="T799" s="21" t="s">
        <v>2276</v>
      </c>
      <c r="U799" s="21" t="s">
        <v>2276</v>
      </c>
      <c r="V799" s="21" t="s">
        <v>2276</v>
      </c>
      <c r="W799" s="21" t="s">
        <v>2276</v>
      </c>
      <c r="X799" s="21" t="s">
        <v>2276</v>
      </c>
      <c r="Y799" s="21" t="s">
        <v>2276</v>
      </c>
      <c r="Z799" s="21" t="s">
        <v>188</v>
      </c>
      <c r="AA799" s="21" t="s">
        <v>189</v>
      </c>
      <c r="AB799" s="74" t="s">
        <v>64</v>
      </c>
      <c r="AC799" s="3"/>
      <c r="AD799" s="3"/>
    </row>
    <row r="800" spans="1:30" ht="64.5" customHeight="1">
      <c r="A800" s="3" t="s">
        <v>2477</v>
      </c>
      <c r="B800" s="3" t="s">
        <v>2511</v>
      </c>
      <c r="C800" s="23" t="s">
        <v>24</v>
      </c>
      <c r="D800" s="11" t="s">
        <v>27</v>
      </c>
      <c r="E800" s="11" t="s">
        <v>130</v>
      </c>
      <c r="F800" s="19" t="s">
        <v>161</v>
      </c>
      <c r="G800" s="11" t="s">
        <v>2276</v>
      </c>
      <c r="H800" s="3" t="s">
        <v>523</v>
      </c>
      <c r="I800" s="3"/>
      <c r="J800" s="21" t="s">
        <v>2276</v>
      </c>
      <c r="K800" s="21" t="s">
        <v>2276</v>
      </c>
      <c r="L800" s="21" t="s">
        <v>2276</v>
      </c>
      <c r="M800" s="21" t="s">
        <v>2276</v>
      </c>
      <c r="N800" s="21" t="s">
        <v>2276</v>
      </c>
      <c r="O800" s="21" t="s">
        <v>2276</v>
      </c>
      <c r="P800" s="21" t="s">
        <v>2276</v>
      </c>
      <c r="Q800" s="21" t="s">
        <v>2276</v>
      </c>
      <c r="R800" s="21" t="s">
        <v>2276</v>
      </c>
      <c r="S800" s="21" t="s">
        <v>2276</v>
      </c>
      <c r="T800" s="21" t="s">
        <v>2276</v>
      </c>
      <c r="U800" s="21" t="s">
        <v>2276</v>
      </c>
      <c r="V800" s="21" t="s">
        <v>2276</v>
      </c>
      <c r="W800" s="21" t="s">
        <v>2276</v>
      </c>
      <c r="X800" s="21" t="s">
        <v>2276</v>
      </c>
      <c r="Y800" s="21" t="s">
        <v>2276</v>
      </c>
      <c r="Z800" s="21" t="s">
        <v>188</v>
      </c>
      <c r="AA800" s="21" t="s">
        <v>189</v>
      </c>
      <c r="AB800" s="74" t="s">
        <v>64</v>
      </c>
      <c r="AC800" s="3"/>
      <c r="AD800" s="3"/>
    </row>
    <row r="801" spans="1:30" ht="64.5" customHeight="1">
      <c r="A801" s="3" t="s">
        <v>2478</v>
      </c>
      <c r="B801" s="3" t="s">
        <v>2512</v>
      </c>
      <c r="C801" s="23" t="s">
        <v>24</v>
      </c>
      <c r="D801" s="11" t="s">
        <v>27</v>
      </c>
      <c r="E801" s="11" t="s">
        <v>130</v>
      </c>
      <c r="F801" s="19" t="s">
        <v>161</v>
      </c>
      <c r="G801" s="11" t="s">
        <v>2276</v>
      </c>
      <c r="H801" s="3" t="s">
        <v>523</v>
      </c>
      <c r="I801" s="3"/>
      <c r="J801" s="21" t="s">
        <v>2276</v>
      </c>
      <c r="K801" s="21" t="s">
        <v>2276</v>
      </c>
      <c r="L801" s="21" t="s">
        <v>2276</v>
      </c>
      <c r="M801" s="21" t="s">
        <v>2276</v>
      </c>
      <c r="N801" s="21" t="s">
        <v>2276</v>
      </c>
      <c r="O801" s="21" t="s">
        <v>2276</v>
      </c>
      <c r="P801" s="21" t="s">
        <v>2276</v>
      </c>
      <c r="Q801" s="21" t="s">
        <v>2276</v>
      </c>
      <c r="R801" s="21" t="s">
        <v>2276</v>
      </c>
      <c r="S801" s="21" t="s">
        <v>2276</v>
      </c>
      <c r="T801" s="21" t="s">
        <v>2276</v>
      </c>
      <c r="U801" s="21" t="s">
        <v>2276</v>
      </c>
      <c r="V801" s="21" t="s">
        <v>2276</v>
      </c>
      <c r="W801" s="21" t="s">
        <v>2276</v>
      </c>
      <c r="X801" s="21" t="s">
        <v>2276</v>
      </c>
      <c r="Y801" s="21" t="s">
        <v>2276</v>
      </c>
      <c r="Z801" s="21" t="s">
        <v>188</v>
      </c>
      <c r="AA801" s="21" t="s">
        <v>189</v>
      </c>
      <c r="AB801" s="74" t="s">
        <v>64</v>
      </c>
      <c r="AC801" s="3"/>
      <c r="AD801" s="3"/>
    </row>
    <row r="802" spans="1:30" ht="64.5" customHeight="1">
      <c r="A802" s="3" t="s">
        <v>2479</v>
      </c>
      <c r="B802" s="3" t="s">
        <v>2513</v>
      </c>
      <c r="C802" s="23" t="s">
        <v>24</v>
      </c>
      <c r="D802" s="11" t="s">
        <v>27</v>
      </c>
      <c r="E802" s="11" t="s">
        <v>130</v>
      </c>
      <c r="F802" s="19" t="s">
        <v>161</v>
      </c>
      <c r="G802" s="11" t="s">
        <v>2276</v>
      </c>
      <c r="H802" s="3" t="s">
        <v>523</v>
      </c>
      <c r="I802" s="3"/>
      <c r="J802" s="21" t="s">
        <v>2276</v>
      </c>
      <c r="K802" s="21" t="s">
        <v>2276</v>
      </c>
      <c r="L802" s="21" t="s">
        <v>2276</v>
      </c>
      <c r="M802" s="21" t="s">
        <v>2276</v>
      </c>
      <c r="N802" s="21" t="s">
        <v>2276</v>
      </c>
      <c r="O802" s="21" t="s">
        <v>2276</v>
      </c>
      <c r="P802" s="21" t="s">
        <v>2276</v>
      </c>
      <c r="Q802" s="21" t="s">
        <v>2276</v>
      </c>
      <c r="R802" s="21" t="s">
        <v>2276</v>
      </c>
      <c r="S802" s="21" t="s">
        <v>2276</v>
      </c>
      <c r="T802" s="21" t="s">
        <v>2276</v>
      </c>
      <c r="U802" s="21" t="s">
        <v>2276</v>
      </c>
      <c r="V802" s="21" t="s">
        <v>2276</v>
      </c>
      <c r="W802" s="21" t="s">
        <v>2276</v>
      </c>
      <c r="X802" s="21" t="s">
        <v>2276</v>
      </c>
      <c r="Y802" s="21" t="s">
        <v>2276</v>
      </c>
      <c r="Z802" s="21" t="s">
        <v>188</v>
      </c>
      <c r="AA802" s="21" t="s">
        <v>189</v>
      </c>
      <c r="AB802" s="74" t="s">
        <v>64</v>
      </c>
      <c r="AC802" s="3"/>
      <c r="AD802" s="3"/>
    </row>
    <row r="803" spans="1:30" ht="64.5" customHeight="1">
      <c r="A803" s="3" t="s">
        <v>2480</v>
      </c>
      <c r="B803" s="3" t="s">
        <v>2514</v>
      </c>
      <c r="C803" s="23" t="s">
        <v>24</v>
      </c>
      <c r="D803" s="11" t="s">
        <v>27</v>
      </c>
      <c r="E803" s="11" t="s">
        <v>130</v>
      </c>
      <c r="F803" s="19" t="s">
        <v>161</v>
      </c>
      <c r="G803" s="11" t="s">
        <v>2276</v>
      </c>
      <c r="H803" s="3" t="s">
        <v>523</v>
      </c>
      <c r="I803" s="3"/>
      <c r="J803" s="21" t="s">
        <v>2276</v>
      </c>
      <c r="K803" s="21" t="s">
        <v>2276</v>
      </c>
      <c r="L803" s="21" t="s">
        <v>2276</v>
      </c>
      <c r="M803" s="21" t="s">
        <v>2276</v>
      </c>
      <c r="N803" s="21" t="s">
        <v>2276</v>
      </c>
      <c r="O803" s="21" t="s">
        <v>2276</v>
      </c>
      <c r="P803" s="21" t="s">
        <v>2276</v>
      </c>
      <c r="Q803" s="21" t="s">
        <v>2276</v>
      </c>
      <c r="R803" s="21" t="s">
        <v>2276</v>
      </c>
      <c r="S803" s="21" t="s">
        <v>2276</v>
      </c>
      <c r="T803" s="21" t="s">
        <v>2276</v>
      </c>
      <c r="U803" s="21" t="s">
        <v>2276</v>
      </c>
      <c r="V803" s="21" t="s">
        <v>2276</v>
      </c>
      <c r="W803" s="21" t="s">
        <v>2276</v>
      </c>
      <c r="X803" s="21" t="s">
        <v>2276</v>
      </c>
      <c r="Y803" s="21" t="s">
        <v>2276</v>
      </c>
      <c r="Z803" s="21" t="s">
        <v>188</v>
      </c>
      <c r="AA803" s="21" t="s">
        <v>189</v>
      </c>
      <c r="AB803" s="74" t="s">
        <v>64</v>
      </c>
      <c r="AC803" s="3"/>
      <c r="AD803" s="3"/>
    </row>
    <row r="804" spans="1:30" ht="64.5" customHeight="1">
      <c r="A804" s="3" t="s">
        <v>2481</v>
      </c>
      <c r="B804" s="3" t="s">
        <v>2515</v>
      </c>
      <c r="C804" s="23" t="s">
        <v>24</v>
      </c>
      <c r="D804" s="11" t="s">
        <v>27</v>
      </c>
      <c r="E804" s="11" t="s">
        <v>130</v>
      </c>
      <c r="F804" s="19" t="s">
        <v>161</v>
      </c>
      <c r="G804" s="11" t="s">
        <v>2276</v>
      </c>
      <c r="H804" s="3" t="s">
        <v>523</v>
      </c>
      <c r="I804" s="3"/>
      <c r="J804" s="21" t="s">
        <v>2276</v>
      </c>
      <c r="K804" s="21" t="s">
        <v>2276</v>
      </c>
      <c r="L804" s="21" t="s">
        <v>2276</v>
      </c>
      <c r="M804" s="21" t="s">
        <v>2276</v>
      </c>
      <c r="N804" s="21" t="s">
        <v>2276</v>
      </c>
      <c r="O804" s="21" t="s">
        <v>2276</v>
      </c>
      <c r="P804" s="21" t="s">
        <v>2276</v>
      </c>
      <c r="Q804" s="21" t="s">
        <v>2276</v>
      </c>
      <c r="R804" s="21" t="s">
        <v>2276</v>
      </c>
      <c r="S804" s="21" t="s">
        <v>2276</v>
      </c>
      <c r="T804" s="21" t="s">
        <v>2276</v>
      </c>
      <c r="U804" s="21" t="s">
        <v>2276</v>
      </c>
      <c r="V804" s="21" t="s">
        <v>2276</v>
      </c>
      <c r="W804" s="21" t="s">
        <v>2276</v>
      </c>
      <c r="X804" s="21" t="s">
        <v>2276</v>
      </c>
      <c r="Y804" s="21" t="s">
        <v>2276</v>
      </c>
      <c r="Z804" s="21" t="s">
        <v>188</v>
      </c>
      <c r="AA804" s="21" t="s">
        <v>189</v>
      </c>
      <c r="AB804" s="74" t="s">
        <v>64</v>
      </c>
      <c r="AC804" s="3"/>
      <c r="AD804" s="3"/>
    </row>
    <row r="805" spans="1:30" ht="31" customHeight="1">
      <c r="A805" s="11" t="s">
        <v>2518</v>
      </c>
      <c r="B805" s="11" t="s">
        <v>2523</v>
      </c>
      <c r="C805" s="23" t="s">
        <v>24</v>
      </c>
      <c r="D805" s="11" t="s">
        <v>27</v>
      </c>
      <c r="E805" s="11" t="s">
        <v>130</v>
      </c>
      <c r="F805" s="19" t="s">
        <v>161</v>
      </c>
      <c r="G805" s="11" t="s">
        <v>2276</v>
      </c>
      <c r="H805" s="3" t="s">
        <v>523</v>
      </c>
      <c r="I805" s="3"/>
      <c r="J805" s="21" t="s">
        <v>2276</v>
      </c>
      <c r="K805" s="21" t="s">
        <v>2276</v>
      </c>
      <c r="L805" s="21" t="s">
        <v>2276</v>
      </c>
      <c r="M805" s="21" t="s">
        <v>2276</v>
      </c>
      <c r="N805" s="21" t="s">
        <v>2276</v>
      </c>
      <c r="O805" s="21" t="s">
        <v>2276</v>
      </c>
      <c r="P805" s="21" t="s">
        <v>2276</v>
      </c>
      <c r="Q805" s="21" t="s">
        <v>2276</v>
      </c>
      <c r="R805" s="21" t="s">
        <v>2276</v>
      </c>
      <c r="S805" s="21" t="s">
        <v>2276</v>
      </c>
      <c r="T805" s="21" t="s">
        <v>2276</v>
      </c>
      <c r="U805" s="21" t="s">
        <v>2276</v>
      </c>
      <c r="V805" s="21" t="s">
        <v>2276</v>
      </c>
      <c r="W805" s="21" t="s">
        <v>2276</v>
      </c>
      <c r="X805" s="21" t="s">
        <v>2276</v>
      </c>
      <c r="Y805" s="21" t="s">
        <v>2276</v>
      </c>
      <c r="Z805" s="21" t="s">
        <v>2276</v>
      </c>
      <c r="AA805" s="21" t="s">
        <v>2276</v>
      </c>
      <c r="AB805" s="21" t="s">
        <v>2276</v>
      </c>
      <c r="AC805" s="3"/>
      <c r="AD805" s="3"/>
    </row>
    <row r="806" spans="1:30" ht="28.5" customHeight="1">
      <c r="A806" s="11" t="s">
        <v>2518</v>
      </c>
      <c r="B806" s="11" t="s">
        <v>2525</v>
      </c>
      <c r="C806" s="23" t="s">
        <v>24</v>
      </c>
      <c r="D806" s="11" t="s">
        <v>27</v>
      </c>
      <c r="E806" s="11" t="s">
        <v>130</v>
      </c>
      <c r="F806" s="19" t="s">
        <v>74</v>
      </c>
      <c r="G806" s="11" t="s">
        <v>2276</v>
      </c>
      <c r="H806" s="3" t="s">
        <v>523</v>
      </c>
      <c r="I806" s="3"/>
      <c r="J806" s="21" t="s">
        <v>2276</v>
      </c>
      <c r="K806" s="21" t="s">
        <v>2276</v>
      </c>
      <c r="L806" s="21" t="s">
        <v>2276</v>
      </c>
      <c r="M806" s="21" t="s">
        <v>2276</v>
      </c>
      <c r="N806" s="21" t="s">
        <v>2276</v>
      </c>
      <c r="O806" s="21" t="s">
        <v>2276</v>
      </c>
      <c r="P806" s="21" t="s">
        <v>2276</v>
      </c>
      <c r="Q806" s="21" t="s">
        <v>2276</v>
      </c>
      <c r="R806" s="21" t="s">
        <v>2276</v>
      </c>
      <c r="S806" s="21" t="s">
        <v>2276</v>
      </c>
      <c r="T806" s="21" t="s">
        <v>2276</v>
      </c>
      <c r="U806" s="21" t="s">
        <v>2276</v>
      </c>
      <c r="V806" s="21" t="s">
        <v>2276</v>
      </c>
      <c r="W806" s="21" t="s">
        <v>2276</v>
      </c>
      <c r="X806" s="21" t="s">
        <v>2276</v>
      </c>
      <c r="Y806" s="21" t="s">
        <v>2276</v>
      </c>
      <c r="Z806" s="21" t="s">
        <v>2276</v>
      </c>
      <c r="AA806" s="21" t="s">
        <v>2276</v>
      </c>
      <c r="AB806" s="21" t="s">
        <v>2276</v>
      </c>
      <c r="AC806" s="3"/>
      <c r="AD806" s="3"/>
    </row>
    <row r="807" spans="1:30" ht="32" customHeight="1">
      <c r="A807" s="11" t="s">
        <v>2520</v>
      </c>
      <c r="B807" s="11" t="s">
        <v>2524</v>
      </c>
      <c r="C807" s="23" t="s">
        <v>24</v>
      </c>
      <c r="D807" s="11" t="s">
        <v>27</v>
      </c>
      <c r="E807" s="11" t="s">
        <v>130</v>
      </c>
      <c r="F807" s="19" t="s">
        <v>161</v>
      </c>
      <c r="G807" s="11" t="s">
        <v>2276</v>
      </c>
      <c r="H807" s="3" t="s">
        <v>523</v>
      </c>
      <c r="I807" s="3"/>
      <c r="J807" s="21" t="s">
        <v>2276</v>
      </c>
      <c r="K807" s="21" t="s">
        <v>2276</v>
      </c>
      <c r="L807" s="21" t="s">
        <v>2276</v>
      </c>
      <c r="M807" s="21" t="s">
        <v>2276</v>
      </c>
      <c r="N807" s="21" t="s">
        <v>2276</v>
      </c>
      <c r="O807" s="21" t="s">
        <v>2276</v>
      </c>
      <c r="P807" s="21" t="s">
        <v>2276</v>
      </c>
      <c r="Q807" s="21" t="s">
        <v>2276</v>
      </c>
      <c r="R807" s="21" t="s">
        <v>2276</v>
      </c>
      <c r="S807" s="21" t="s">
        <v>2276</v>
      </c>
      <c r="T807" s="21" t="s">
        <v>2276</v>
      </c>
      <c r="U807" s="21" t="s">
        <v>2276</v>
      </c>
      <c r="V807" s="21" t="s">
        <v>2276</v>
      </c>
      <c r="W807" s="21" t="s">
        <v>2276</v>
      </c>
      <c r="X807" s="21" t="s">
        <v>2276</v>
      </c>
      <c r="Y807" s="21" t="s">
        <v>2276</v>
      </c>
      <c r="Z807" s="21" t="s">
        <v>2276</v>
      </c>
      <c r="AA807" s="21" t="s">
        <v>2276</v>
      </c>
      <c r="AB807" s="21" t="s">
        <v>2276</v>
      </c>
      <c r="AC807" s="3"/>
      <c r="AD807" s="3"/>
    </row>
    <row r="808" spans="1:30" ht="31" customHeight="1">
      <c r="A808" s="11" t="s">
        <v>2520</v>
      </c>
      <c r="B808" s="11" t="s">
        <v>2526</v>
      </c>
      <c r="C808" s="23" t="s">
        <v>24</v>
      </c>
      <c r="D808" s="11" t="s">
        <v>27</v>
      </c>
      <c r="E808" s="11" t="s">
        <v>130</v>
      </c>
      <c r="F808" s="19" t="s">
        <v>74</v>
      </c>
      <c r="G808" s="11" t="s">
        <v>2276</v>
      </c>
      <c r="H808" s="3" t="s">
        <v>523</v>
      </c>
      <c r="I808" s="3"/>
      <c r="J808" s="21" t="s">
        <v>2276</v>
      </c>
      <c r="K808" s="21" t="s">
        <v>2276</v>
      </c>
      <c r="L808" s="21" t="s">
        <v>2276</v>
      </c>
      <c r="M808" s="21" t="s">
        <v>2276</v>
      </c>
      <c r="N808" s="21" t="s">
        <v>2276</v>
      </c>
      <c r="O808" s="21" t="s">
        <v>2276</v>
      </c>
      <c r="P808" s="21" t="s">
        <v>2276</v>
      </c>
      <c r="Q808" s="21" t="s">
        <v>2276</v>
      </c>
      <c r="R808" s="21" t="s">
        <v>2276</v>
      </c>
      <c r="S808" s="21" t="s">
        <v>2276</v>
      </c>
      <c r="T808" s="21" t="s">
        <v>2276</v>
      </c>
      <c r="U808" s="21" t="s">
        <v>2276</v>
      </c>
      <c r="V808" s="21" t="s">
        <v>2276</v>
      </c>
      <c r="W808" s="21" t="s">
        <v>2276</v>
      </c>
      <c r="X808" s="21" t="s">
        <v>2276</v>
      </c>
      <c r="Y808" s="21" t="s">
        <v>2276</v>
      </c>
      <c r="Z808" s="21" t="s">
        <v>2276</v>
      </c>
      <c r="AA808" s="21" t="s">
        <v>2276</v>
      </c>
      <c r="AB808" s="21" t="s">
        <v>2276</v>
      </c>
      <c r="AC808" s="3"/>
      <c r="AD808" s="3"/>
    </row>
    <row r="809" spans="1:30" ht="31" customHeight="1">
      <c r="A809" s="12" t="s">
        <v>2520</v>
      </c>
      <c r="B809" s="12" t="s">
        <v>2547</v>
      </c>
      <c r="C809" s="93" t="s">
        <v>24</v>
      </c>
      <c r="D809" s="12" t="s">
        <v>27</v>
      </c>
      <c r="E809" s="12" t="s">
        <v>84</v>
      </c>
      <c r="F809" s="92" t="s">
        <v>74</v>
      </c>
      <c r="G809" s="12" t="s">
        <v>2276</v>
      </c>
      <c r="H809" s="12" t="s">
        <v>524</v>
      </c>
      <c r="I809" s="12"/>
      <c r="J809" s="88">
        <v>0</v>
      </c>
      <c r="K809" s="88">
        <v>0</v>
      </c>
      <c r="L809" s="88">
        <v>0</v>
      </c>
      <c r="M809" s="88">
        <v>0</v>
      </c>
      <c r="N809" s="88">
        <v>0</v>
      </c>
      <c r="O809" s="88">
        <v>0</v>
      </c>
      <c r="P809" s="88">
        <v>0</v>
      </c>
      <c r="Q809" s="88">
        <v>0</v>
      </c>
      <c r="R809" s="88">
        <v>0</v>
      </c>
      <c r="S809" s="88">
        <v>0</v>
      </c>
      <c r="T809" s="88">
        <v>0</v>
      </c>
      <c r="U809" s="88">
        <v>0</v>
      </c>
      <c r="V809" s="88">
        <v>0</v>
      </c>
      <c r="W809" s="88">
        <v>0</v>
      </c>
      <c r="X809" s="88">
        <v>0</v>
      </c>
      <c r="Y809" s="88">
        <v>0</v>
      </c>
      <c r="Z809" s="88" t="s">
        <v>2276</v>
      </c>
      <c r="AA809" s="88" t="s">
        <v>2276</v>
      </c>
      <c r="AB809" s="88" t="s">
        <v>2276</v>
      </c>
      <c r="AC809" s="12"/>
      <c r="AD809" s="12"/>
    </row>
    <row r="810" spans="1:30" ht="31" customHeight="1">
      <c r="A810" s="12" t="s">
        <v>2520</v>
      </c>
      <c r="B810" s="12" t="s">
        <v>2548</v>
      </c>
      <c r="C810" s="93" t="s">
        <v>24</v>
      </c>
      <c r="D810" s="12" t="s">
        <v>143</v>
      </c>
      <c r="E810" s="12" t="s">
        <v>84</v>
      </c>
      <c r="F810" s="92" t="s">
        <v>74</v>
      </c>
      <c r="G810" s="12" t="s">
        <v>2276</v>
      </c>
      <c r="H810" s="12" t="s">
        <v>524</v>
      </c>
      <c r="I810" s="12"/>
      <c r="J810" s="88">
        <v>0</v>
      </c>
      <c r="K810" s="88">
        <v>0</v>
      </c>
      <c r="L810" s="88">
        <v>0</v>
      </c>
      <c r="M810" s="88">
        <v>0</v>
      </c>
      <c r="N810" s="88">
        <v>0</v>
      </c>
      <c r="O810" s="88">
        <v>0</v>
      </c>
      <c r="P810" s="88">
        <v>0</v>
      </c>
      <c r="Q810" s="88">
        <v>0</v>
      </c>
      <c r="R810" s="88">
        <v>0</v>
      </c>
      <c r="S810" s="88">
        <v>0</v>
      </c>
      <c r="T810" s="88">
        <v>0</v>
      </c>
      <c r="U810" s="88">
        <v>0</v>
      </c>
      <c r="V810" s="88">
        <v>0</v>
      </c>
      <c r="W810" s="88">
        <v>0</v>
      </c>
      <c r="X810" s="88">
        <v>0</v>
      </c>
      <c r="Y810" s="88">
        <v>0</v>
      </c>
      <c r="Z810" s="88" t="s">
        <v>2276</v>
      </c>
      <c r="AA810" s="88" t="s">
        <v>2276</v>
      </c>
      <c r="AB810" s="88" t="s">
        <v>2276</v>
      </c>
      <c r="AC810" s="12"/>
      <c r="AD810" s="12"/>
    </row>
    <row r="811" spans="1:30" ht="41.5" customHeight="1">
      <c r="A811" s="11" t="s">
        <v>2531</v>
      </c>
      <c r="B811" s="11" t="s">
        <v>2534</v>
      </c>
      <c r="C811" s="23" t="s">
        <v>24</v>
      </c>
      <c r="D811" s="11" t="s">
        <v>27</v>
      </c>
      <c r="E811" s="11" t="s">
        <v>130</v>
      </c>
      <c r="F811" s="19" t="s">
        <v>161</v>
      </c>
      <c r="G811" s="11" t="s">
        <v>2276</v>
      </c>
      <c r="H811" s="3" t="s">
        <v>523</v>
      </c>
      <c r="I811" s="3"/>
      <c r="J811" s="21" t="s">
        <v>2276</v>
      </c>
      <c r="K811" s="21" t="s">
        <v>2276</v>
      </c>
      <c r="L811" s="21" t="s">
        <v>2276</v>
      </c>
      <c r="M811" s="21" t="s">
        <v>2276</v>
      </c>
      <c r="N811" s="21" t="s">
        <v>2276</v>
      </c>
      <c r="O811" s="21" t="s">
        <v>2276</v>
      </c>
      <c r="P811" s="21" t="s">
        <v>2276</v>
      </c>
      <c r="Q811" s="21" t="s">
        <v>2276</v>
      </c>
      <c r="R811" s="21" t="s">
        <v>2276</v>
      </c>
      <c r="S811" s="21" t="s">
        <v>2276</v>
      </c>
      <c r="T811" s="21" t="s">
        <v>2276</v>
      </c>
      <c r="U811" s="21" t="s">
        <v>2276</v>
      </c>
      <c r="V811" s="21" t="s">
        <v>2276</v>
      </c>
      <c r="W811" s="21" t="s">
        <v>2276</v>
      </c>
      <c r="X811" s="21" t="s">
        <v>2276</v>
      </c>
      <c r="Y811" s="21" t="s">
        <v>2276</v>
      </c>
      <c r="Z811" s="21" t="s">
        <v>34</v>
      </c>
      <c r="AA811" s="21" t="s">
        <v>405</v>
      </c>
      <c r="AB811" s="21" t="s">
        <v>76</v>
      </c>
      <c r="AC811" s="4" t="s">
        <v>2536</v>
      </c>
      <c r="AD811" s="4" t="s">
        <v>2553</v>
      </c>
    </row>
    <row r="812" spans="1:30" ht="48.5" customHeight="1">
      <c r="A812" s="11" t="s">
        <v>2532</v>
      </c>
      <c r="B812" s="11" t="s">
        <v>2535</v>
      </c>
      <c r="C812" s="23" t="s">
        <v>24</v>
      </c>
      <c r="D812" s="11" t="s">
        <v>27</v>
      </c>
      <c r="E812" s="11" t="s">
        <v>130</v>
      </c>
      <c r="F812" s="19" t="s">
        <v>74</v>
      </c>
      <c r="G812" s="11" t="s">
        <v>2276</v>
      </c>
      <c r="H812" s="3" t="s">
        <v>523</v>
      </c>
      <c r="I812" s="3"/>
      <c r="J812" s="21" t="s">
        <v>2276</v>
      </c>
      <c r="K812" s="21" t="s">
        <v>2276</v>
      </c>
      <c r="L812" s="21" t="s">
        <v>2276</v>
      </c>
      <c r="M812" s="21" t="s">
        <v>2276</v>
      </c>
      <c r="N812" s="21" t="s">
        <v>2276</v>
      </c>
      <c r="O812" s="21" t="s">
        <v>2276</v>
      </c>
      <c r="P812" s="21" t="s">
        <v>2276</v>
      </c>
      <c r="Q812" s="21" t="s">
        <v>2276</v>
      </c>
      <c r="R812" s="21" t="s">
        <v>2276</v>
      </c>
      <c r="S812" s="21" t="s">
        <v>2276</v>
      </c>
      <c r="T812" s="21" t="s">
        <v>2276</v>
      </c>
      <c r="U812" s="21" t="s">
        <v>2276</v>
      </c>
      <c r="V812" s="21" t="s">
        <v>2276</v>
      </c>
      <c r="W812" s="21" t="s">
        <v>2276</v>
      </c>
      <c r="X812" s="21" t="s">
        <v>2276</v>
      </c>
      <c r="Y812" s="21" t="s">
        <v>2276</v>
      </c>
      <c r="Z812" s="21" t="s">
        <v>34</v>
      </c>
      <c r="AA812" s="21" t="s">
        <v>405</v>
      </c>
      <c r="AB812" s="21" t="s">
        <v>76</v>
      </c>
      <c r="AC812" s="4" t="s">
        <v>2536</v>
      </c>
      <c r="AD812" s="4" t="s">
        <v>2553</v>
      </c>
    </row>
    <row r="813" spans="1:30" ht="42.5" customHeight="1">
      <c r="A813" s="11" t="s">
        <v>2540</v>
      </c>
      <c r="B813" s="11" t="s">
        <v>2544</v>
      </c>
      <c r="C813" s="23" t="s">
        <v>24</v>
      </c>
      <c r="D813" s="11" t="s">
        <v>27</v>
      </c>
      <c r="E813" s="11" t="s">
        <v>130</v>
      </c>
      <c r="F813" s="19" t="s">
        <v>74</v>
      </c>
      <c r="G813" s="11" t="s">
        <v>2276</v>
      </c>
      <c r="H813" s="3" t="s">
        <v>523</v>
      </c>
      <c r="I813" s="3"/>
      <c r="J813" s="21" t="s">
        <v>2276</v>
      </c>
      <c r="K813" s="21">
        <v>0.15</v>
      </c>
      <c r="L813" s="21" t="s">
        <v>2276</v>
      </c>
      <c r="M813" s="21">
        <v>0.35</v>
      </c>
      <c r="N813" s="21" t="s">
        <v>2276</v>
      </c>
      <c r="O813" s="21">
        <v>0.25</v>
      </c>
      <c r="P813" s="21" t="s">
        <v>2276</v>
      </c>
      <c r="Q813" s="21" t="s">
        <v>2276</v>
      </c>
      <c r="R813" s="21" t="s">
        <v>2276</v>
      </c>
      <c r="S813" s="21" t="s">
        <v>2276</v>
      </c>
      <c r="T813" s="21" t="s">
        <v>2276</v>
      </c>
      <c r="U813" s="21" t="s">
        <v>2276</v>
      </c>
      <c r="V813" s="21" t="s">
        <v>2276</v>
      </c>
      <c r="W813" s="21" t="s">
        <v>2276</v>
      </c>
      <c r="X813" s="21" t="s">
        <v>2276</v>
      </c>
      <c r="Y813" s="21" t="s">
        <v>2276</v>
      </c>
      <c r="Z813" s="21" t="s">
        <v>2276</v>
      </c>
      <c r="AA813" s="21" t="s">
        <v>2276</v>
      </c>
      <c r="AB813" s="21" t="s">
        <v>2276</v>
      </c>
      <c r="AC813" s="3"/>
      <c r="AD813" s="3"/>
    </row>
    <row r="814" spans="1:30" ht="39.5" customHeight="1">
      <c r="A814" s="11" t="s">
        <v>2540</v>
      </c>
      <c r="B814" s="11" t="s">
        <v>2545</v>
      </c>
      <c r="C814" s="23" t="s">
        <v>24</v>
      </c>
      <c r="D814" s="11" t="s">
        <v>27</v>
      </c>
      <c r="E814" s="11" t="s">
        <v>130</v>
      </c>
      <c r="F814" s="19" t="s">
        <v>161</v>
      </c>
      <c r="G814" s="11" t="s">
        <v>2276</v>
      </c>
      <c r="H814" s="3" t="s">
        <v>523</v>
      </c>
      <c r="I814" s="3"/>
      <c r="J814" s="21" t="s">
        <v>2276</v>
      </c>
      <c r="K814" s="21">
        <v>0.15</v>
      </c>
      <c r="L814" s="21" t="s">
        <v>2276</v>
      </c>
      <c r="M814" s="21">
        <v>0.35</v>
      </c>
      <c r="N814" s="21" t="s">
        <v>2276</v>
      </c>
      <c r="O814" s="21">
        <v>0.25</v>
      </c>
      <c r="P814" s="21" t="s">
        <v>2276</v>
      </c>
      <c r="Q814" s="21" t="s">
        <v>2276</v>
      </c>
      <c r="R814" s="21" t="s">
        <v>2276</v>
      </c>
      <c r="S814" s="21" t="s">
        <v>2276</v>
      </c>
      <c r="T814" s="21" t="s">
        <v>2276</v>
      </c>
      <c r="U814" s="21" t="s">
        <v>2276</v>
      </c>
      <c r="V814" s="21" t="s">
        <v>2276</v>
      </c>
      <c r="W814" s="21" t="s">
        <v>2276</v>
      </c>
      <c r="X814" s="21" t="s">
        <v>2276</v>
      </c>
      <c r="Y814" s="21" t="s">
        <v>2276</v>
      </c>
      <c r="Z814" s="21" t="s">
        <v>2276</v>
      </c>
      <c r="AA814" s="21" t="s">
        <v>2276</v>
      </c>
      <c r="AB814" s="21" t="s">
        <v>2276</v>
      </c>
      <c r="AC814" s="3"/>
      <c r="AD814" s="3"/>
    </row>
    <row r="815" spans="1:30" ht="67.5" customHeight="1">
      <c r="A815" s="3" t="s">
        <v>2550</v>
      </c>
      <c r="B815" s="11" t="s">
        <v>2554</v>
      </c>
      <c r="C815" s="23" t="s">
        <v>24</v>
      </c>
      <c r="D815" s="11" t="s">
        <v>27</v>
      </c>
      <c r="E815" s="11" t="s">
        <v>130</v>
      </c>
      <c r="F815" s="19" t="s">
        <v>161</v>
      </c>
      <c r="G815" s="11" t="s">
        <v>2276</v>
      </c>
      <c r="H815" s="3" t="s">
        <v>523</v>
      </c>
      <c r="I815" s="3">
        <v>2002</v>
      </c>
      <c r="J815" s="21" t="s">
        <v>2276</v>
      </c>
      <c r="K815" s="21" t="s">
        <v>2276</v>
      </c>
      <c r="L815" s="21" t="s">
        <v>2276</v>
      </c>
      <c r="M815" s="21" t="s">
        <v>2276</v>
      </c>
      <c r="N815" s="21" t="s">
        <v>2276</v>
      </c>
      <c r="O815" s="21" t="s">
        <v>2276</v>
      </c>
      <c r="P815" s="21" t="s">
        <v>2276</v>
      </c>
      <c r="Q815" s="21" t="s">
        <v>2276</v>
      </c>
      <c r="R815" s="21" t="s">
        <v>2276</v>
      </c>
      <c r="S815" s="21" t="s">
        <v>2276</v>
      </c>
      <c r="T815" s="21" t="s">
        <v>2276</v>
      </c>
      <c r="U815" s="21" t="s">
        <v>2276</v>
      </c>
      <c r="V815" s="21" t="s">
        <v>2276</v>
      </c>
      <c r="W815" s="21" t="s">
        <v>2276</v>
      </c>
      <c r="X815" s="21" t="s">
        <v>2276</v>
      </c>
      <c r="Y815" s="21">
        <v>6</v>
      </c>
      <c r="Z815" s="3" t="s">
        <v>188</v>
      </c>
      <c r="AA815" s="3" t="s">
        <v>188</v>
      </c>
      <c r="AB815" s="3" t="s">
        <v>64</v>
      </c>
      <c r="AC815" s="4" t="s">
        <v>2556</v>
      </c>
      <c r="AD815" s="3"/>
    </row>
    <row r="816" spans="1:30" ht="94.5" customHeight="1">
      <c r="A816" s="3" t="s">
        <v>2550</v>
      </c>
      <c r="B816" s="11" t="s">
        <v>2555</v>
      </c>
      <c r="C816" s="23" t="s">
        <v>24</v>
      </c>
      <c r="D816" s="11" t="s">
        <v>27</v>
      </c>
      <c r="E816" s="19" t="s">
        <v>397</v>
      </c>
      <c r="F816" s="19" t="s">
        <v>28</v>
      </c>
      <c r="G816" s="11" t="s">
        <v>2276</v>
      </c>
      <c r="H816" s="3" t="s">
        <v>523</v>
      </c>
      <c r="I816" s="3">
        <v>2002</v>
      </c>
      <c r="J816" s="21" t="s">
        <v>2276</v>
      </c>
      <c r="K816" s="21" t="s">
        <v>2276</v>
      </c>
      <c r="L816" s="21" t="s">
        <v>2276</v>
      </c>
      <c r="M816" s="21" t="s">
        <v>2276</v>
      </c>
      <c r="N816" s="21" t="s">
        <v>2276</v>
      </c>
      <c r="O816" s="21" t="s">
        <v>2276</v>
      </c>
      <c r="P816" s="21" t="s">
        <v>2276</v>
      </c>
      <c r="Q816" s="21" t="s">
        <v>2276</v>
      </c>
      <c r="R816" s="21" t="s">
        <v>2276</v>
      </c>
      <c r="S816" s="21" t="s">
        <v>2276</v>
      </c>
      <c r="T816" s="21" t="s">
        <v>2276</v>
      </c>
      <c r="U816" s="21" t="s">
        <v>2276</v>
      </c>
      <c r="V816" s="21" t="s">
        <v>2276</v>
      </c>
      <c r="W816" s="21" t="s">
        <v>2276</v>
      </c>
      <c r="X816" s="21" t="s">
        <v>2276</v>
      </c>
      <c r="Y816" s="21" t="s">
        <v>2276</v>
      </c>
      <c r="Z816" s="3" t="s">
        <v>399</v>
      </c>
      <c r="AA816" s="3" t="s">
        <v>399</v>
      </c>
      <c r="AB816" s="3" t="s">
        <v>76</v>
      </c>
      <c r="AC816" s="4" t="s">
        <v>2572</v>
      </c>
      <c r="AD816" s="3"/>
    </row>
    <row r="817" spans="1:30">
      <c r="A817" s="3" t="s">
        <v>2557</v>
      </c>
      <c r="B817" s="11" t="s">
        <v>2558</v>
      </c>
      <c r="C817" s="23" t="s">
        <v>24</v>
      </c>
      <c r="D817" s="11" t="s">
        <v>27</v>
      </c>
      <c r="E817" s="11" t="s">
        <v>130</v>
      </c>
      <c r="F817" s="19" t="s">
        <v>161</v>
      </c>
      <c r="G817" s="11" t="s">
        <v>2276</v>
      </c>
      <c r="H817" s="3" t="s">
        <v>523</v>
      </c>
      <c r="I817" s="3">
        <v>1997</v>
      </c>
      <c r="J817" s="21" t="s">
        <v>2276</v>
      </c>
      <c r="K817" s="21" t="s">
        <v>2276</v>
      </c>
      <c r="L817" s="21" t="s">
        <v>2276</v>
      </c>
      <c r="M817" s="21" t="s">
        <v>2276</v>
      </c>
      <c r="N817" s="21" t="s">
        <v>2276</v>
      </c>
      <c r="O817" s="21" t="s">
        <v>2276</v>
      </c>
      <c r="P817" s="21" t="s">
        <v>2276</v>
      </c>
      <c r="Q817" s="21" t="s">
        <v>2276</v>
      </c>
      <c r="R817" s="21" t="s">
        <v>2276</v>
      </c>
      <c r="S817" s="21" t="s">
        <v>2276</v>
      </c>
      <c r="T817" s="21" t="s">
        <v>2276</v>
      </c>
      <c r="U817" s="21" t="s">
        <v>2276</v>
      </c>
      <c r="V817" s="21" t="s">
        <v>2276</v>
      </c>
      <c r="W817" s="21" t="s">
        <v>2276</v>
      </c>
      <c r="X817" s="21" t="s">
        <v>2276</v>
      </c>
      <c r="Y817" s="21" t="s">
        <v>2276</v>
      </c>
      <c r="Z817" s="3" t="s">
        <v>188</v>
      </c>
      <c r="AA817" s="3" t="s">
        <v>188</v>
      </c>
      <c r="AB817" s="3" t="s">
        <v>64</v>
      </c>
      <c r="AC817" s="3"/>
      <c r="AD817" s="3"/>
    </row>
    <row r="818" spans="1:30">
      <c r="A818" s="3" t="s">
        <v>2557</v>
      </c>
      <c r="B818" s="11" t="s">
        <v>2559</v>
      </c>
      <c r="C818" s="23" t="s">
        <v>24</v>
      </c>
      <c r="D818" s="11" t="s">
        <v>27</v>
      </c>
      <c r="E818" s="11" t="s">
        <v>130</v>
      </c>
      <c r="F818" s="19" t="s">
        <v>161</v>
      </c>
      <c r="G818" s="11" t="s">
        <v>2276</v>
      </c>
      <c r="H818" s="3" t="s">
        <v>523</v>
      </c>
      <c r="I818" s="3">
        <v>1992</v>
      </c>
      <c r="J818" s="21" t="s">
        <v>2276</v>
      </c>
      <c r="K818" s="21" t="s">
        <v>2276</v>
      </c>
      <c r="L818" s="21" t="s">
        <v>2276</v>
      </c>
      <c r="M818" s="21" t="s">
        <v>2276</v>
      </c>
      <c r="N818" s="21" t="s">
        <v>2276</v>
      </c>
      <c r="O818" s="21" t="s">
        <v>2276</v>
      </c>
      <c r="P818" s="21" t="s">
        <v>2276</v>
      </c>
      <c r="Q818" s="21" t="s">
        <v>2276</v>
      </c>
      <c r="R818" s="21" t="s">
        <v>2276</v>
      </c>
      <c r="S818" s="21" t="s">
        <v>2276</v>
      </c>
      <c r="T818" s="21" t="s">
        <v>2276</v>
      </c>
      <c r="U818" s="21" t="s">
        <v>2276</v>
      </c>
      <c r="V818" s="21" t="s">
        <v>2276</v>
      </c>
      <c r="W818" s="21" t="s">
        <v>2276</v>
      </c>
      <c r="X818" s="21" t="s">
        <v>2276</v>
      </c>
      <c r="Y818" s="21" t="s">
        <v>2276</v>
      </c>
      <c r="Z818" s="3" t="s">
        <v>188</v>
      </c>
      <c r="AA818" s="3" t="s">
        <v>188</v>
      </c>
      <c r="AB818" s="3" t="s">
        <v>64</v>
      </c>
      <c r="AC818" s="3"/>
      <c r="AD818" s="3"/>
    </row>
    <row r="819" spans="1:30">
      <c r="A819" s="3" t="s">
        <v>2557</v>
      </c>
      <c r="B819" s="11" t="s">
        <v>2560</v>
      </c>
      <c r="C819" s="23" t="s">
        <v>24</v>
      </c>
      <c r="D819" s="11" t="s">
        <v>27</v>
      </c>
      <c r="E819" s="11" t="s">
        <v>130</v>
      </c>
      <c r="F819" s="19" t="s">
        <v>161</v>
      </c>
      <c r="G819" s="11" t="s">
        <v>2276</v>
      </c>
      <c r="H819" s="3" t="s">
        <v>523</v>
      </c>
      <c r="I819" s="3">
        <v>1987</v>
      </c>
      <c r="J819" s="21" t="s">
        <v>2276</v>
      </c>
      <c r="K819" s="21" t="s">
        <v>2276</v>
      </c>
      <c r="L819" s="21" t="s">
        <v>2276</v>
      </c>
      <c r="M819" s="21" t="s">
        <v>2276</v>
      </c>
      <c r="N819" s="21" t="s">
        <v>2276</v>
      </c>
      <c r="O819" s="21" t="s">
        <v>2276</v>
      </c>
      <c r="P819" s="21" t="s">
        <v>2276</v>
      </c>
      <c r="Q819" s="21" t="s">
        <v>2276</v>
      </c>
      <c r="R819" s="21" t="s">
        <v>2276</v>
      </c>
      <c r="S819" s="21" t="s">
        <v>2276</v>
      </c>
      <c r="T819" s="21" t="s">
        <v>2276</v>
      </c>
      <c r="U819" s="21" t="s">
        <v>2276</v>
      </c>
      <c r="V819" s="21" t="s">
        <v>2276</v>
      </c>
      <c r="W819" s="21" t="s">
        <v>2276</v>
      </c>
      <c r="X819" s="21" t="s">
        <v>2276</v>
      </c>
      <c r="Y819" s="21" t="s">
        <v>2276</v>
      </c>
      <c r="Z819" s="3" t="s">
        <v>188</v>
      </c>
      <c r="AA819" s="3" t="s">
        <v>188</v>
      </c>
      <c r="AB819" s="3" t="s">
        <v>64</v>
      </c>
      <c r="AC819" s="3"/>
      <c r="AD819" s="3"/>
    </row>
    <row r="820" spans="1:30">
      <c r="A820" s="3" t="s">
        <v>2557</v>
      </c>
      <c r="B820" s="11" t="s">
        <v>2561</v>
      </c>
      <c r="C820" s="23" t="s">
        <v>24</v>
      </c>
      <c r="D820" s="11" t="s">
        <v>27</v>
      </c>
      <c r="E820" s="11" t="s">
        <v>130</v>
      </c>
      <c r="F820" s="19" t="s">
        <v>161</v>
      </c>
      <c r="G820" s="11" t="s">
        <v>2276</v>
      </c>
      <c r="H820" s="3" t="s">
        <v>523</v>
      </c>
      <c r="I820" s="3">
        <v>1982</v>
      </c>
      <c r="J820" s="21" t="s">
        <v>2276</v>
      </c>
      <c r="K820" s="21" t="s">
        <v>2276</v>
      </c>
      <c r="L820" s="21" t="s">
        <v>2276</v>
      </c>
      <c r="M820" s="21" t="s">
        <v>2276</v>
      </c>
      <c r="N820" s="21" t="s">
        <v>2276</v>
      </c>
      <c r="O820" s="21" t="s">
        <v>2276</v>
      </c>
      <c r="P820" s="21" t="s">
        <v>2276</v>
      </c>
      <c r="Q820" s="21" t="s">
        <v>2276</v>
      </c>
      <c r="R820" s="21" t="s">
        <v>2276</v>
      </c>
      <c r="S820" s="21" t="s">
        <v>2276</v>
      </c>
      <c r="T820" s="21" t="s">
        <v>2276</v>
      </c>
      <c r="U820" s="21" t="s">
        <v>2276</v>
      </c>
      <c r="V820" s="21" t="s">
        <v>2276</v>
      </c>
      <c r="W820" s="21" t="s">
        <v>2276</v>
      </c>
      <c r="X820" s="21" t="s">
        <v>2276</v>
      </c>
      <c r="Y820" s="21" t="s">
        <v>2276</v>
      </c>
      <c r="Z820" s="3" t="s">
        <v>188</v>
      </c>
      <c r="AA820" s="3" t="s">
        <v>188</v>
      </c>
      <c r="AB820" s="3" t="s">
        <v>64</v>
      </c>
      <c r="AC820" s="3"/>
      <c r="AD820" s="3"/>
    </row>
    <row r="821" spans="1:30">
      <c r="A821" s="3" t="s">
        <v>2557</v>
      </c>
      <c r="B821" s="11" t="s">
        <v>2562</v>
      </c>
      <c r="C821" s="23" t="s">
        <v>24</v>
      </c>
      <c r="D821" s="11" t="s">
        <v>27</v>
      </c>
      <c r="E821" s="11" t="s">
        <v>130</v>
      </c>
      <c r="F821" s="19" t="s">
        <v>161</v>
      </c>
      <c r="G821" s="11" t="s">
        <v>2276</v>
      </c>
      <c r="H821" s="3" t="s">
        <v>523</v>
      </c>
      <c r="I821" s="3">
        <v>1977</v>
      </c>
      <c r="J821" s="21" t="s">
        <v>2276</v>
      </c>
      <c r="K821" s="21" t="s">
        <v>2276</v>
      </c>
      <c r="L821" s="21" t="s">
        <v>2276</v>
      </c>
      <c r="M821" s="21" t="s">
        <v>2276</v>
      </c>
      <c r="N821" s="21" t="s">
        <v>2276</v>
      </c>
      <c r="O821" s="21" t="s">
        <v>2276</v>
      </c>
      <c r="P821" s="21" t="s">
        <v>2276</v>
      </c>
      <c r="Q821" s="21" t="s">
        <v>2276</v>
      </c>
      <c r="R821" s="21" t="s">
        <v>2276</v>
      </c>
      <c r="S821" s="21" t="s">
        <v>2276</v>
      </c>
      <c r="T821" s="21" t="s">
        <v>2276</v>
      </c>
      <c r="U821" s="21" t="s">
        <v>2276</v>
      </c>
      <c r="V821" s="21" t="s">
        <v>2276</v>
      </c>
      <c r="W821" s="21" t="s">
        <v>2276</v>
      </c>
      <c r="X821" s="21" t="s">
        <v>2276</v>
      </c>
      <c r="Y821" s="21" t="s">
        <v>2276</v>
      </c>
      <c r="Z821" s="3" t="s">
        <v>188</v>
      </c>
      <c r="AA821" s="3" t="s">
        <v>188</v>
      </c>
      <c r="AB821" s="3" t="s">
        <v>64</v>
      </c>
      <c r="AC821" s="3"/>
      <c r="AD821" s="3"/>
    </row>
    <row r="822" spans="1:30" ht="99" customHeight="1">
      <c r="A822" s="11" t="s">
        <v>2563</v>
      </c>
      <c r="B822" s="11" t="s">
        <v>2571</v>
      </c>
      <c r="C822" s="23" t="s">
        <v>24</v>
      </c>
      <c r="D822" s="11" t="s">
        <v>27</v>
      </c>
      <c r="E822" s="19" t="s">
        <v>397</v>
      </c>
      <c r="F822" s="19" t="s">
        <v>28</v>
      </c>
      <c r="G822" s="11" t="s">
        <v>2276</v>
      </c>
      <c r="H822" s="3" t="s">
        <v>523</v>
      </c>
      <c r="I822" s="3"/>
      <c r="J822" s="21" t="s">
        <v>2276</v>
      </c>
      <c r="K822" s="21" t="s">
        <v>2276</v>
      </c>
      <c r="L822" s="21" t="s">
        <v>2276</v>
      </c>
      <c r="M822" s="21" t="s">
        <v>2276</v>
      </c>
      <c r="N822" s="21" t="s">
        <v>2276</v>
      </c>
      <c r="O822" s="21" t="s">
        <v>2276</v>
      </c>
      <c r="P822" s="21" t="s">
        <v>2276</v>
      </c>
      <c r="Q822" s="21" t="s">
        <v>2276</v>
      </c>
      <c r="R822" s="21" t="s">
        <v>2276</v>
      </c>
      <c r="S822" s="21" t="s">
        <v>2276</v>
      </c>
      <c r="T822" s="21" t="s">
        <v>2276</v>
      </c>
      <c r="U822" s="21" t="s">
        <v>2276</v>
      </c>
      <c r="V822" s="21" t="s">
        <v>2276</v>
      </c>
      <c r="W822" s="21" t="s">
        <v>2276</v>
      </c>
      <c r="X822" s="21" t="s">
        <v>2276</v>
      </c>
      <c r="Y822" s="21" t="s">
        <v>2276</v>
      </c>
      <c r="Z822" s="3" t="s">
        <v>399</v>
      </c>
      <c r="AA822" s="3" t="s">
        <v>399</v>
      </c>
      <c r="AB822" s="3" t="s">
        <v>76</v>
      </c>
      <c r="AC822" s="4" t="s">
        <v>2572</v>
      </c>
      <c r="AD822" s="3"/>
    </row>
    <row r="823" spans="1:30" ht="36" customHeight="1">
      <c r="A823" s="11" t="s">
        <v>2574</v>
      </c>
      <c r="B823" s="11" t="s">
        <v>2601</v>
      </c>
      <c r="C823" s="23" t="s">
        <v>24</v>
      </c>
      <c r="D823" s="11" t="s">
        <v>27</v>
      </c>
      <c r="E823" s="11" t="s">
        <v>130</v>
      </c>
      <c r="F823" s="19" t="s">
        <v>161</v>
      </c>
      <c r="G823" s="11" t="s">
        <v>2276</v>
      </c>
      <c r="H823" s="3" t="s">
        <v>523</v>
      </c>
      <c r="I823" s="3"/>
      <c r="J823" s="21" t="s">
        <v>2276</v>
      </c>
      <c r="K823" s="21" t="s">
        <v>2276</v>
      </c>
      <c r="L823" s="21" t="s">
        <v>2276</v>
      </c>
      <c r="M823" s="21" t="s">
        <v>2276</v>
      </c>
      <c r="N823" s="21" t="s">
        <v>2276</v>
      </c>
      <c r="O823" s="21" t="s">
        <v>2276</v>
      </c>
      <c r="P823" s="21" t="s">
        <v>2276</v>
      </c>
      <c r="Q823" s="21" t="s">
        <v>2276</v>
      </c>
      <c r="R823" s="21" t="s">
        <v>2276</v>
      </c>
      <c r="S823" s="21" t="s">
        <v>2276</v>
      </c>
      <c r="T823" s="21" t="s">
        <v>2276</v>
      </c>
      <c r="U823" s="21" t="s">
        <v>2276</v>
      </c>
      <c r="V823" s="21" t="s">
        <v>2276</v>
      </c>
      <c r="W823" s="21" t="s">
        <v>2276</v>
      </c>
      <c r="X823" s="21" t="s">
        <v>2276</v>
      </c>
      <c r="Y823" s="21" t="s">
        <v>2276</v>
      </c>
      <c r="Z823" s="21" t="s">
        <v>2276</v>
      </c>
      <c r="AA823" s="21" t="s">
        <v>2276</v>
      </c>
      <c r="AB823" s="21" t="s">
        <v>2276</v>
      </c>
      <c r="AC823" s="3"/>
      <c r="AD823" s="3"/>
    </row>
    <row r="824" spans="1:30" ht="36" customHeight="1">
      <c r="A824" s="11" t="s">
        <v>2574</v>
      </c>
      <c r="B824" s="11" t="s">
        <v>2600</v>
      </c>
      <c r="C824" s="23" t="s">
        <v>24</v>
      </c>
      <c r="D824" s="11" t="s">
        <v>27</v>
      </c>
      <c r="E824" s="11" t="s">
        <v>130</v>
      </c>
      <c r="F824" s="19" t="s">
        <v>74</v>
      </c>
      <c r="G824" s="11" t="s">
        <v>2276</v>
      </c>
      <c r="H824" s="3" t="s">
        <v>523</v>
      </c>
      <c r="I824" s="3"/>
      <c r="J824" s="21"/>
      <c r="K824" s="21"/>
      <c r="L824" s="21"/>
      <c r="M824" s="21"/>
      <c r="N824" s="21"/>
      <c r="O824" s="21"/>
      <c r="P824" s="21"/>
      <c r="Q824" s="21"/>
      <c r="R824" s="21"/>
      <c r="S824" s="21"/>
      <c r="T824" s="21"/>
      <c r="U824" s="21"/>
      <c r="V824" s="21"/>
      <c r="W824" s="21"/>
      <c r="X824" s="21"/>
      <c r="Y824" s="21"/>
      <c r="Z824" s="21"/>
      <c r="AA824" s="21"/>
      <c r="AB824" s="21"/>
      <c r="AC824" s="3"/>
      <c r="AD824" s="3"/>
    </row>
    <row r="825" spans="1:30" ht="36" customHeight="1">
      <c r="A825" s="11" t="s">
        <v>2576</v>
      </c>
      <c r="B825" s="11" t="s">
        <v>2602</v>
      </c>
      <c r="C825" s="23" t="s">
        <v>24</v>
      </c>
      <c r="D825" s="11" t="s">
        <v>27</v>
      </c>
      <c r="E825" s="11" t="s">
        <v>130</v>
      </c>
      <c r="F825" s="19" t="s">
        <v>161</v>
      </c>
      <c r="G825" s="11" t="s">
        <v>2276</v>
      </c>
      <c r="H825" s="3" t="s">
        <v>523</v>
      </c>
      <c r="I825" s="3"/>
      <c r="J825" s="21" t="s">
        <v>2276</v>
      </c>
      <c r="K825" s="21" t="s">
        <v>2276</v>
      </c>
      <c r="L825" s="21" t="s">
        <v>2276</v>
      </c>
      <c r="M825" s="21" t="s">
        <v>2276</v>
      </c>
      <c r="N825" s="21" t="s">
        <v>2276</v>
      </c>
      <c r="O825" s="21" t="s">
        <v>2276</v>
      </c>
      <c r="P825" s="21" t="s">
        <v>2276</v>
      </c>
      <c r="Q825" s="21" t="s">
        <v>2276</v>
      </c>
      <c r="R825" s="21" t="s">
        <v>2276</v>
      </c>
      <c r="S825" s="21" t="s">
        <v>2276</v>
      </c>
      <c r="T825" s="21" t="s">
        <v>2276</v>
      </c>
      <c r="U825" s="21" t="s">
        <v>2276</v>
      </c>
      <c r="V825" s="21" t="s">
        <v>2276</v>
      </c>
      <c r="W825" s="21" t="s">
        <v>2276</v>
      </c>
      <c r="X825" s="21" t="s">
        <v>2276</v>
      </c>
      <c r="Y825" s="21" t="s">
        <v>2276</v>
      </c>
      <c r="Z825" s="21" t="s">
        <v>2276</v>
      </c>
      <c r="AA825" s="21" t="s">
        <v>2276</v>
      </c>
      <c r="AB825" s="21" t="s">
        <v>2276</v>
      </c>
      <c r="AC825" s="3"/>
      <c r="AD825" s="3"/>
    </row>
    <row r="826" spans="1:30" ht="36" customHeight="1">
      <c r="A826" s="11" t="s">
        <v>2576</v>
      </c>
      <c r="B826" s="11" t="s">
        <v>2603</v>
      </c>
      <c r="C826" s="23" t="s">
        <v>24</v>
      </c>
      <c r="D826" s="11" t="s">
        <v>27</v>
      </c>
      <c r="E826" s="11" t="s">
        <v>130</v>
      </c>
      <c r="F826" s="19" t="s">
        <v>74</v>
      </c>
      <c r="G826" s="11" t="s">
        <v>2276</v>
      </c>
      <c r="H826" s="3" t="s">
        <v>523</v>
      </c>
      <c r="I826" s="3"/>
      <c r="J826" s="21" t="s">
        <v>2276</v>
      </c>
      <c r="K826" s="21" t="s">
        <v>2276</v>
      </c>
      <c r="L826" s="21" t="s">
        <v>2276</v>
      </c>
      <c r="M826" s="21" t="s">
        <v>2276</v>
      </c>
      <c r="N826" s="21" t="s">
        <v>2276</v>
      </c>
      <c r="O826" s="21" t="s">
        <v>2276</v>
      </c>
      <c r="P826" s="21" t="s">
        <v>2276</v>
      </c>
      <c r="Q826" s="21" t="s">
        <v>2276</v>
      </c>
      <c r="R826" s="21" t="s">
        <v>2276</v>
      </c>
      <c r="S826" s="21" t="s">
        <v>2276</v>
      </c>
      <c r="T826" s="21" t="s">
        <v>2276</v>
      </c>
      <c r="U826" s="21" t="s">
        <v>2276</v>
      </c>
      <c r="V826" s="21" t="s">
        <v>2276</v>
      </c>
      <c r="W826" s="21" t="s">
        <v>2276</v>
      </c>
      <c r="X826" s="21" t="s">
        <v>2276</v>
      </c>
      <c r="Y826" s="21" t="s">
        <v>2276</v>
      </c>
      <c r="Z826" s="21" t="s">
        <v>2276</v>
      </c>
      <c r="AA826" s="21" t="s">
        <v>2276</v>
      </c>
      <c r="AB826" s="21" t="s">
        <v>2276</v>
      </c>
      <c r="AC826" s="3"/>
      <c r="AD826" s="3"/>
    </row>
    <row r="827" spans="1:30" ht="36" customHeight="1">
      <c r="A827" s="11" t="s">
        <v>2588</v>
      </c>
      <c r="B827" s="11" t="s">
        <v>2604</v>
      </c>
      <c r="C827" s="23" t="s">
        <v>24</v>
      </c>
      <c r="D827" s="11" t="s">
        <v>27</v>
      </c>
      <c r="E827" s="11" t="s">
        <v>130</v>
      </c>
      <c r="F827" s="19" t="s">
        <v>161</v>
      </c>
      <c r="G827" s="11" t="s">
        <v>2276</v>
      </c>
      <c r="H827" s="3" t="s">
        <v>523</v>
      </c>
      <c r="I827" s="3"/>
      <c r="J827" s="21" t="s">
        <v>2276</v>
      </c>
      <c r="K827" s="21" t="s">
        <v>2276</v>
      </c>
      <c r="L827" s="21" t="s">
        <v>2276</v>
      </c>
      <c r="M827" s="21" t="s">
        <v>2276</v>
      </c>
      <c r="N827" s="21" t="s">
        <v>2276</v>
      </c>
      <c r="O827" s="21" t="s">
        <v>2276</v>
      </c>
      <c r="P827" s="21" t="s">
        <v>2276</v>
      </c>
      <c r="Q827" s="21" t="s">
        <v>2276</v>
      </c>
      <c r="R827" s="21" t="s">
        <v>2276</v>
      </c>
      <c r="S827" s="21" t="s">
        <v>2276</v>
      </c>
      <c r="T827" s="21" t="s">
        <v>2276</v>
      </c>
      <c r="U827" s="21" t="s">
        <v>2276</v>
      </c>
      <c r="V827" s="21" t="s">
        <v>2276</v>
      </c>
      <c r="W827" s="21" t="s">
        <v>2276</v>
      </c>
      <c r="X827" s="21" t="s">
        <v>2276</v>
      </c>
      <c r="Y827" s="21" t="s">
        <v>2276</v>
      </c>
      <c r="Z827" s="21" t="s">
        <v>2276</v>
      </c>
      <c r="AA827" s="21" t="s">
        <v>2276</v>
      </c>
      <c r="AB827" s="21" t="s">
        <v>2276</v>
      </c>
      <c r="AC827" s="3"/>
      <c r="AD827" s="3"/>
    </row>
    <row r="828" spans="1:30" ht="36" customHeight="1">
      <c r="A828" s="11" t="s">
        <v>2588</v>
      </c>
      <c r="B828" s="11" t="s">
        <v>2605</v>
      </c>
      <c r="C828" s="23" t="s">
        <v>24</v>
      </c>
      <c r="D828" s="11" t="s">
        <v>27</v>
      </c>
      <c r="E828" s="11" t="s">
        <v>130</v>
      </c>
      <c r="F828" s="19" t="s">
        <v>74</v>
      </c>
      <c r="G828" s="11" t="s">
        <v>2276</v>
      </c>
      <c r="H828" s="3" t="s">
        <v>523</v>
      </c>
      <c r="I828" s="3"/>
      <c r="J828" s="21" t="s">
        <v>2276</v>
      </c>
      <c r="K828" s="21" t="s">
        <v>2276</v>
      </c>
      <c r="L828" s="21" t="s">
        <v>2276</v>
      </c>
      <c r="M828" s="21" t="s">
        <v>2276</v>
      </c>
      <c r="N828" s="21" t="s">
        <v>2276</v>
      </c>
      <c r="O828" s="21" t="s">
        <v>2276</v>
      </c>
      <c r="P828" s="21" t="s">
        <v>2276</v>
      </c>
      <c r="Q828" s="21" t="s">
        <v>2276</v>
      </c>
      <c r="R828" s="21" t="s">
        <v>2276</v>
      </c>
      <c r="S828" s="21" t="s">
        <v>2276</v>
      </c>
      <c r="T828" s="21" t="s">
        <v>2276</v>
      </c>
      <c r="U828" s="21" t="s">
        <v>2276</v>
      </c>
      <c r="V828" s="21" t="s">
        <v>2276</v>
      </c>
      <c r="W828" s="21" t="s">
        <v>2276</v>
      </c>
      <c r="X828" s="21" t="s">
        <v>2276</v>
      </c>
      <c r="Y828" s="21" t="s">
        <v>2276</v>
      </c>
      <c r="Z828" s="21" t="s">
        <v>2276</v>
      </c>
      <c r="AA828" s="21" t="s">
        <v>2276</v>
      </c>
      <c r="AB828" s="21" t="s">
        <v>2276</v>
      </c>
      <c r="AC828" s="3"/>
      <c r="AD828" s="3"/>
    </row>
    <row r="829" spans="1:30" ht="36" customHeight="1">
      <c r="A829" s="11" t="s">
        <v>2589</v>
      </c>
      <c r="B829" s="11" t="s">
        <v>2606</v>
      </c>
      <c r="C829" s="23" t="s">
        <v>24</v>
      </c>
      <c r="D829" s="11" t="s">
        <v>27</v>
      </c>
      <c r="E829" s="11" t="s">
        <v>130</v>
      </c>
      <c r="F829" s="19" t="s">
        <v>161</v>
      </c>
      <c r="G829" s="11" t="s">
        <v>2276</v>
      </c>
      <c r="H829" s="3" t="s">
        <v>523</v>
      </c>
      <c r="I829" s="3"/>
      <c r="J829" s="21" t="s">
        <v>2276</v>
      </c>
      <c r="K829" s="21" t="s">
        <v>2276</v>
      </c>
      <c r="L829" s="21" t="s">
        <v>2276</v>
      </c>
      <c r="M829" s="21" t="s">
        <v>2276</v>
      </c>
      <c r="N829" s="21" t="s">
        <v>2276</v>
      </c>
      <c r="O829" s="21" t="s">
        <v>2276</v>
      </c>
      <c r="P829" s="21" t="s">
        <v>2276</v>
      </c>
      <c r="Q829" s="21" t="s">
        <v>2276</v>
      </c>
      <c r="R829" s="21" t="s">
        <v>2276</v>
      </c>
      <c r="S829" s="21" t="s">
        <v>2276</v>
      </c>
      <c r="T829" s="21" t="s">
        <v>2276</v>
      </c>
      <c r="U829" s="21" t="s">
        <v>2276</v>
      </c>
      <c r="V829" s="21" t="s">
        <v>2276</v>
      </c>
      <c r="W829" s="21" t="s">
        <v>2276</v>
      </c>
      <c r="X829" s="21" t="s">
        <v>2276</v>
      </c>
      <c r="Y829" s="21" t="s">
        <v>2276</v>
      </c>
      <c r="Z829" s="21" t="s">
        <v>2276</v>
      </c>
      <c r="AA829" s="21" t="s">
        <v>2276</v>
      </c>
      <c r="AB829" s="21" t="s">
        <v>2276</v>
      </c>
      <c r="AC829" s="3"/>
      <c r="AD829" s="3"/>
    </row>
    <row r="830" spans="1:30" ht="36" customHeight="1">
      <c r="A830" s="11" t="s">
        <v>2589</v>
      </c>
      <c r="B830" s="11" t="s">
        <v>2607</v>
      </c>
      <c r="C830" s="23" t="s">
        <v>24</v>
      </c>
      <c r="D830" s="11" t="s">
        <v>27</v>
      </c>
      <c r="E830" s="11" t="s">
        <v>130</v>
      </c>
      <c r="F830" s="19" t="s">
        <v>74</v>
      </c>
      <c r="G830" s="11" t="s">
        <v>2276</v>
      </c>
      <c r="H830" s="3" t="s">
        <v>523</v>
      </c>
      <c r="I830" s="3"/>
      <c r="J830" s="21" t="s">
        <v>2276</v>
      </c>
      <c r="K830" s="21" t="s">
        <v>2276</v>
      </c>
      <c r="L830" s="21" t="s">
        <v>2276</v>
      </c>
      <c r="M830" s="21" t="s">
        <v>2276</v>
      </c>
      <c r="N830" s="21" t="s">
        <v>2276</v>
      </c>
      <c r="O830" s="21" t="s">
        <v>2276</v>
      </c>
      <c r="P830" s="21" t="s">
        <v>2276</v>
      </c>
      <c r="Q830" s="21" t="s">
        <v>2276</v>
      </c>
      <c r="R830" s="21" t="s">
        <v>2276</v>
      </c>
      <c r="S830" s="21" t="s">
        <v>2276</v>
      </c>
      <c r="T830" s="21" t="s">
        <v>2276</v>
      </c>
      <c r="U830" s="21" t="s">
        <v>2276</v>
      </c>
      <c r="V830" s="21" t="s">
        <v>2276</v>
      </c>
      <c r="W830" s="21" t="s">
        <v>2276</v>
      </c>
      <c r="X830" s="21" t="s">
        <v>2276</v>
      </c>
      <c r="Y830" s="21" t="s">
        <v>2276</v>
      </c>
      <c r="Z830" s="21" t="s">
        <v>2276</v>
      </c>
      <c r="AA830" s="21" t="s">
        <v>2276</v>
      </c>
      <c r="AB830" s="21" t="s">
        <v>2276</v>
      </c>
      <c r="AC830" s="3"/>
      <c r="AD830" s="3"/>
    </row>
    <row r="831" spans="1:30" ht="36" customHeight="1">
      <c r="A831" s="11" t="s">
        <v>2590</v>
      </c>
      <c r="B831" s="11" t="s">
        <v>2608</v>
      </c>
      <c r="C831" s="23" t="s">
        <v>24</v>
      </c>
      <c r="D831" s="11" t="s">
        <v>27</v>
      </c>
      <c r="E831" s="11" t="s">
        <v>130</v>
      </c>
      <c r="F831" s="19" t="s">
        <v>161</v>
      </c>
      <c r="G831" s="11" t="s">
        <v>2276</v>
      </c>
      <c r="H831" s="3" t="s">
        <v>523</v>
      </c>
      <c r="I831" s="3"/>
      <c r="J831" s="21" t="s">
        <v>2276</v>
      </c>
      <c r="K831" s="21" t="s">
        <v>2276</v>
      </c>
      <c r="L831" s="21" t="s">
        <v>2276</v>
      </c>
      <c r="M831" s="21" t="s">
        <v>2276</v>
      </c>
      <c r="N831" s="21" t="s">
        <v>2276</v>
      </c>
      <c r="O831" s="21" t="s">
        <v>2276</v>
      </c>
      <c r="P831" s="21" t="s">
        <v>2276</v>
      </c>
      <c r="Q831" s="21" t="s">
        <v>2276</v>
      </c>
      <c r="R831" s="21" t="s">
        <v>2276</v>
      </c>
      <c r="S831" s="21" t="s">
        <v>2276</v>
      </c>
      <c r="T831" s="21" t="s">
        <v>2276</v>
      </c>
      <c r="U831" s="21" t="s">
        <v>2276</v>
      </c>
      <c r="V831" s="21" t="s">
        <v>2276</v>
      </c>
      <c r="W831" s="21" t="s">
        <v>2276</v>
      </c>
      <c r="X831" s="21" t="s">
        <v>2276</v>
      </c>
      <c r="Y831" s="21" t="s">
        <v>2276</v>
      </c>
      <c r="Z831" s="21" t="s">
        <v>2276</v>
      </c>
      <c r="AA831" s="21" t="s">
        <v>2276</v>
      </c>
      <c r="AB831" s="21" t="s">
        <v>2276</v>
      </c>
      <c r="AC831" s="3"/>
      <c r="AD831" s="3"/>
    </row>
    <row r="832" spans="1:30" ht="36" customHeight="1">
      <c r="A832" s="11" t="s">
        <v>2590</v>
      </c>
      <c r="B832" s="11" t="s">
        <v>2609</v>
      </c>
      <c r="C832" s="23" t="s">
        <v>24</v>
      </c>
      <c r="D832" s="11" t="s">
        <v>27</v>
      </c>
      <c r="E832" s="11" t="s">
        <v>130</v>
      </c>
      <c r="F832" s="19" t="s">
        <v>74</v>
      </c>
      <c r="G832" s="11" t="s">
        <v>2276</v>
      </c>
      <c r="H832" s="3" t="s">
        <v>523</v>
      </c>
      <c r="I832" s="3"/>
      <c r="J832" s="21" t="s">
        <v>2276</v>
      </c>
      <c r="K832" s="21" t="s">
        <v>2276</v>
      </c>
      <c r="L832" s="21" t="s">
        <v>2276</v>
      </c>
      <c r="M832" s="21" t="s">
        <v>2276</v>
      </c>
      <c r="N832" s="21" t="s">
        <v>2276</v>
      </c>
      <c r="O832" s="21" t="s">
        <v>2276</v>
      </c>
      <c r="P832" s="21" t="s">
        <v>2276</v>
      </c>
      <c r="Q832" s="21" t="s">
        <v>2276</v>
      </c>
      <c r="R832" s="21" t="s">
        <v>2276</v>
      </c>
      <c r="S832" s="21" t="s">
        <v>2276</v>
      </c>
      <c r="T832" s="21" t="s">
        <v>2276</v>
      </c>
      <c r="U832" s="21" t="s">
        <v>2276</v>
      </c>
      <c r="V832" s="21" t="s">
        <v>2276</v>
      </c>
      <c r="W832" s="21" t="s">
        <v>2276</v>
      </c>
      <c r="X832" s="21" t="s">
        <v>2276</v>
      </c>
      <c r="Y832" s="21" t="s">
        <v>2276</v>
      </c>
      <c r="Z832" s="21" t="s">
        <v>2276</v>
      </c>
      <c r="AA832" s="21" t="s">
        <v>2276</v>
      </c>
      <c r="AB832" s="21" t="s">
        <v>2276</v>
      </c>
      <c r="AC832" s="3"/>
      <c r="AD832" s="3"/>
    </row>
    <row r="833" spans="1:30" ht="36" customHeight="1">
      <c r="A833" s="11" t="s">
        <v>2591</v>
      </c>
      <c r="B833" s="11" t="s">
        <v>2610</v>
      </c>
      <c r="C833" s="23" t="s">
        <v>24</v>
      </c>
      <c r="D833" s="11" t="s">
        <v>27</v>
      </c>
      <c r="E833" s="11" t="s">
        <v>130</v>
      </c>
      <c r="F833" s="19" t="s">
        <v>161</v>
      </c>
      <c r="G833" s="11" t="s">
        <v>2276</v>
      </c>
      <c r="H833" s="3" t="s">
        <v>523</v>
      </c>
      <c r="I833" s="3"/>
      <c r="J833" s="21" t="s">
        <v>2276</v>
      </c>
      <c r="K833" s="21" t="s">
        <v>2276</v>
      </c>
      <c r="L833" s="21" t="s">
        <v>2276</v>
      </c>
      <c r="M833" s="21" t="s">
        <v>2276</v>
      </c>
      <c r="N833" s="21" t="s">
        <v>2276</v>
      </c>
      <c r="O833" s="21" t="s">
        <v>2276</v>
      </c>
      <c r="P833" s="21" t="s">
        <v>2276</v>
      </c>
      <c r="Q833" s="21" t="s">
        <v>2276</v>
      </c>
      <c r="R833" s="21" t="s">
        <v>2276</v>
      </c>
      <c r="S833" s="21" t="s">
        <v>2276</v>
      </c>
      <c r="T833" s="21" t="s">
        <v>2276</v>
      </c>
      <c r="U833" s="21" t="s">
        <v>2276</v>
      </c>
      <c r="V833" s="21" t="s">
        <v>2276</v>
      </c>
      <c r="W833" s="21" t="s">
        <v>2276</v>
      </c>
      <c r="X833" s="21" t="s">
        <v>2276</v>
      </c>
      <c r="Y833" s="21" t="s">
        <v>2276</v>
      </c>
      <c r="Z833" s="21" t="s">
        <v>2276</v>
      </c>
      <c r="AA833" s="21" t="s">
        <v>2276</v>
      </c>
      <c r="AB833" s="21" t="s">
        <v>2276</v>
      </c>
      <c r="AC833" s="3"/>
      <c r="AD833" s="3"/>
    </row>
    <row r="834" spans="1:30" ht="36" customHeight="1">
      <c r="A834" s="11" t="s">
        <v>2591</v>
      </c>
      <c r="B834" s="11" t="s">
        <v>2611</v>
      </c>
      <c r="C834" s="23" t="s">
        <v>24</v>
      </c>
      <c r="D834" s="11" t="s">
        <v>27</v>
      </c>
      <c r="E834" s="11" t="s">
        <v>130</v>
      </c>
      <c r="F834" s="19" t="s">
        <v>74</v>
      </c>
      <c r="G834" s="11" t="s">
        <v>2276</v>
      </c>
      <c r="H834" s="3" t="s">
        <v>523</v>
      </c>
      <c r="I834" s="3"/>
      <c r="J834" s="21" t="s">
        <v>2276</v>
      </c>
      <c r="K834" s="21" t="s">
        <v>2276</v>
      </c>
      <c r="L834" s="21" t="s">
        <v>2276</v>
      </c>
      <c r="M834" s="21" t="s">
        <v>2276</v>
      </c>
      <c r="N834" s="21" t="s">
        <v>2276</v>
      </c>
      <c r="O834" s="21" t="s">
        <v>2276</v>
      </c>
      <c r="P834" s="21" t="s">
        <v>2276</v>
      </c>
      <c r="Q834" s="21" t="s">
        <v>2276</v>
      </c>
      <c r="R834" s="21" t="s">
        <v>2276</v>
      </c>
      <c r="S834" s="21" t="s">
        <v>2276</v>
      </c>
      <c r="T834" s="21" t="s">
        <v>2276</v>
      </c>
      <c r="U834" s="21" t="s">
        <v>2276</v>
      </c>
      <c r="V834" s="21" t="s">
        <v>2276</v>
      </c>
      <c r="W834" s="21" t="s">
        <v>2276</v>
      </c>
      <c r="X834" s="21" t="s">
        <v>2276</v>
      </c>
      <c r="Y834" s="21" t="s">
        <v>2276</v>
      </c>
      <c r="Z834" s="21" t="s">
        <v>2276</v>
      </c>
      <c r="AA834" s="21" t="s">
        <v>2276</v>
      </c>
      <c r="AB834" s="21" t="s">
        <v>2276</v>
      </c>
      <c r="AC834" s="3"/>
      <c r="AD834" s="3"/>
    </row>
    <row r="835" spans="1:30" ht="36" customHeight="1">
      <c r="A835" s="11" t="s">
        <v>2592</v>
      </c>
      <c r="B835" s="11" t="s">
        <v>2612</v>
      </c>
      <c r="C835" s="23" t="s">
        <v>24</v>
      </c>
      <c r="D835" s="11" t="s">
        <v>27</v>
      </c>
      <c r="E835" s="11" t="s">
        <v>130</v>
      </c>
      <c r="F835" s="19" t="s">
        <v>161</v>
      </c>
      <c r="G835" s="11" t="s">
        <v>2276</v>
      </c>
      <c r="H835" s="3" t="s">
        <v>523</v>
      </c>
      <c r="I835" s="3"/>
      <c r="J835" s="21" t="s">
        <v>2276</v>
      </c>
      <c r="K835" s="21" t="s">
        <v>2276</v>
      </c>
      <c r="L835" s="21" t="s">
        <v>2276</v>
      </c>
      <c r="M835" s="21" t="s">
        <v>2276</v>
      </c>
      <c r="N835" s="21" t="s">
        <v>2276</v>
      </c>
      <c r="O835" s="21" t="s">
        <v>2276</v>
      </c>
      <c r="P835" s="21" t="s">
        <v>2276</v>
      </c>
      <c r="Q835" s="21" t="s">
        <v>2276</v>
      </c>
      <c r="R835" s="21" t="s">
        <v>2276</v>
      </c>
      <c r="S835" s="21" t="s">
        <v>2276</v>
      </c>
      <c r="T835" s="21" t="s">
        <v>2276</v>
      </c>
      <c r="U835" s="21" t="s">
        <v>2276</v>
      </c>
      <c r="V835" s="21" t="s">
        <v>2276</v>
      </c>
      <c r="W835" s="21" t="s">
        <v>2276</v>
      </c>
      <c r="X835" s="21" t="s">
        <v>2276</v>
      </c>
      <c r="Y835" s="21" t="s">
        <v>2276</v>
      </c>
      <c r="Z835" s="21" t="s">
        <v>2276</v>
      </c>
      <c r="AA835" s="21" t="s">
        <v>2276</v>
      </c>
      <c r="AB835" s="21" t="s">
        <v>2276</v>
      </c>
      <c r="AC835" s="3"/>
      <c r="AD835" s="3"/>
    </row>
    <row r="836" spans="1:30" ht="36" customHeight="1">
      <c r="A836" s="11" t="s">
        <v>2592</v>
      </c>
      <c r="B836" s="11" t="s">
        <v>2613</v>
      </c>
      <c r="C836" s="23" t="s">
        <v>24</v>
      </c>
      <c r="D836" s="11" t="s">
        <v>27</v>
      </c>
      <c r="E836" s="11" t="s">
        <v>130</v>
      </c>
      <c r="F836" s="19" t="s">
        <v>74</v>
      </c>
      <c r="G836" s="11" t="s">
        <v>2276</v>
      </c>
      <c r="H836" s="3" t="s">
        <v>523</v>
      </c>
      <c r="I836" s="3"/>
      <c r="J836" s="21" t="s">
        <v>2276</v>
      </c>
      <c r="K836" s="21" t="s">
        <v>2276</v>
      </c>
      <c r="L836" s="21" t="s">
        <v>2276</v>
      </c>
      <c r="M836" s="21" t="s">
        <v>2276</v>
      </c>
      <c r="N836" s="21" t="s">
        <v>2276</v>
      </c>
      <c r="O836" s="21" t="s">
        <v>2276</v>
      </c>
      <c r="P836" s="21" t="s">
        <v>2276</v>
      </c>
      <c r="Q836" s="21" t="s">
        <v>2276</v>
      </c>
      <c r="R836" s="21" t="s">
        <v>2276</v>
      </c>
      <c r="S836" s="21" t="s">
        <v>2276</v>
      </c>
      <c r="T836" s="21" t="s">
        <v>2276</v>
      </c>
      <c r="U836" s="21" t="s">
        <v>2276</v>
      </c>
      <c r="V836" s="21" t="s">
        <v>2276</v>
      </c>
      <c r="W836" s="21" t="s">
        <v>2276</v>
      </c>
      <c r="X836" s="21" t="s">
        <v>2276</v>
      </c>
      <c r="Y836" s="21" t="s">
        <v>2276</v>
      </c>
      <c r="Z836" s="21" t="s">
        <v>2276</v>
      </c>
      <c r="AA836" s="21" t="s">
        <v>2276</v>
      </c>
      <c r="AB836" s="21" t="s">
        <v>2276</v>
      </c>
      <c r="AC836" s="3"/>
      <c r="AD836" s="3"/>
    </row>
    <row r="837" spans="1:30" ht="36" customHeight="1">
      <c r="A837" s="11" t="s">
        <v>2593</v>
      </c>
      <c r="B837" s="11" t="s">
        <v>2614</v>
      </c>
      <c r="C837" s="23" t="s">
        <v>24</v>
      </c>
      <c r="D837" s="11" t="s">
        <v>27</v>
      </c>
      <c r="E837" s="11" t="s">
        <v>130</v>
      </c>
      <c r="F837" s="19" t="s">
        <v>161</v>
      </c>
      <c r="G837" s="11" t="s">
        <v>2276</v>
      </c>
      <c r="H837" s="3" t="s">
        <v>523</v>
      </c>
      <c r="I837" s="3"/>
      <c r="J837" s="21" t="s">
        <v>2276</v>
      </c>
      <c r="K837" s="21" t="s">
        <v>2276</v>
      </c>
      <c r="L837" s="21" t="s">
        <v>2276</v>
      </c>
      <c r="M837" s="21" t="s">
        <v>2276</v>
      </c>
      <c r="N837" s="21" t="s">
        <v>2276</v>
      </c>
      <c r="O837" s="21" t="s">
        <v>2276</v>
      </c>
      <c r="P837" s="21" t="s">
        <v>2276</v>
      </c>
      <c r="Q837" s="21" t="s">
        <v>2276</v>
      </c>
      <c r="R837" s="21" t="s">
        <v>2276</v>
      </c>
      <c r="S837" s="21" t="s">
        <v>2276</v>
      </c>
      <c r="T837" s="21" t="s">
        <v>2276</v>
      </c>
      <c r="U837" s="21" t="s">
        <v>2276</v>
      </c>
      <c r="V837" s="21" t="s">
        <v>2276</v>
      </c>
      <c r="W837" s="21" t="s">
        <v>2276</v>
      </c>
      <c r="X837" s="21" t="s">
        <v>2276</v>
      </c>
      <c r="Y837" s="21" t="s">
        <v>2276</v>
      </c>
      <c r="Z837" s="21" t="s">
        <v>2276</v>
      </c>
      <c r="AA837" s="21" t="s">
        <v>2276</v>
      </c>
      <c r="AB837" s="21" t="s">
        <v>2276</v>
      </c>
      <c r="AC837" s="3"/>
      <c r="AD837" s="3"/>
    </row>
    <row r="838" spans="1:30" ht="36" customHeight="1">
      <c r="A838" s="11" t="s">
        <v>2593</v>
      </c>
      <c r="B838" s="11" t="s">
        <v>2615</v>
      </c>
      <c r="C838" s="23" t="s">
        <v>24</v>
      </c>
      <c r="D838" s="11" t="s">
        <v>27</v>
      </c>
      <c r="E838" s="11" t="s">
        <v>130</v>
      </c>
      <c r="F838" s="19" t="s">
        <v>74</v>
      </c>
      <c r="G838" s="11" t="s">
        <v>2276</v>
      </c>
      <c r="H838" s="3" t="s">
        <v>523</v>
      </c>
      <c r="I838" s="3"/>
      <c r="J838" s="21" t="s">
        <v>2276</v>
      </c>
      <c r="K838" s="21" t="s">
        <v>2276</v>
      </c>
      <c r="L838" s="21" t="s">
        <v>2276</v>
      </c>
      <c r="M838" s="21" t="s">
        <v>2276</v>
      </c>
      <c r="N838" s="21" t="s">
        <v>2276</v>
      </c>
      <c r="O838" s="21" t="s">
        <v>2276</v>
      </c>
      <c r="P838" s="21" t="s">
        <v>2276</v>
      </c>
      <c r="Q838" s="21" t="s">
        <v>2276</v>
      </c>
      <c r="R838" s="21" t="s">
        <v>2276</v>
      </c>
      <c r="S838" s="21" t="s">
        <v>2276</v>
      </c>
      <c r="T838" s="21" t="s">
        <v>2276</v>
      </c>
      <c r="U838" s="21" t="s">
        <v>2276</v>
      </c>
      <c r="V838" s="21" t="s">
        <v>2276</v>
      </c>
      <c r="W838" s="21" t="s">
        <v>2276</v>
      </c>
      <c r="X838" s="21" t="s">
        <v>2276</v>
      </c>
      <c r="Y838" s="21" t="s">
        <v>2276</v>
      </c>
      <c r="Z838" s="21" t="s">
        <v>2276</v>
      </c>
      <c r="AA838" s="21" t="s">
        <v>2276</v>
      </c>
      <c r="AB838" s="21" t="s">
        <v>2276</v>
      </c>
      <c r="AC838" s="3"/>
      <c r="AD838" s="3"/>
    </row>
    <row r="839" spans="1:30" ht="36" customHeight="1">
      <c r="A839" s="11" t="s">
        <v>2594</v>
      </c>
      <c r="B839" s="11" t="s">
        <v>2616</v>
      </c>
      <c r="C839" s="23" t="s">
        <v>24</v>
      </c>
      <c r="D839" s="11" t="s">
        <v>27</v>
      </c>
      <c r="E839" s="11" t="s">
        <v>130</v>
      </c>
      <c r="F839" s="19" t="s">
        <v>161</v>
      </c>
      <c r="G839" s="11" t="s">
        <v>2276</v>
      </c>
      <c r="H839" s="3" t="s">
        <v>523</v>
      </c>
      <c r="I839" s="3"/>
      <c r="J839" s="21" t="s">
        <v>2276</v>
      </c>
      <c r="K839" s="21" t="s">
        <v>2276</v>
      </c>
      <c r="L839" s="21" t="s">
        <v>2276</v>
      </c>
      <c r="M839" s="21" t="s">
        <v>2276</v>
      </c>
      <c r="N839" s="21" t="s">
        <v>2276</v>
      </c>
      <c r="O839" s="21" t="s">
        <v>2276</v>
      </c>
      <c r="P839" s="21" t="s">
        <v>2276</v>
      </c>
      <c r="Q839" s="21" t="s">
        <v>2276</v>
      </c>
      <c r="R839" s="21" t="s">
        <v>2276</v>
      </c>
      <c r="S839" s="21" t="s">
        <v>2276</v>
      </c>
      <c r="T839" s="21" t="s">
        <v>2276</v>
      </c>
      <c r="U839" s="21" t="s">
        <v>2276</v>
      </c>
      <c r="V839" s="21" t="s">
        <v>2276</v>
      </c>
      <c r="W839" s="21" t="s">
        <v>2276</v>
      </c>
      <c r="X839" s="21" t="s">
        <v>2276</v>
      </c>
      <c r="Y839" s="21" t="s">
        <v>2276</v>
      </c>
      <c r="Z839" s="21" t="s">
        <v>2276</v>
      </c>
      <c r="AA839" s="21" t="s">
        <v>2276</v>
      </c>
      <c r="AB839" s="21" t="s">
        <v>2276</v>
      </c>
      <c r="AC839" s="3"/>
      <c r="AD839" s="3"/>
    </row>
    <row r="840" spans="1:30" ht="36" customHeight="1">
      <c r="A840" s="11" t="s">
        <v>2594</v>
      </c>
      <c r="B840" s="11" t="s">
        <v>2617</v>
      </c>
      <c r="C840" s="23" t="s">
        <v>24</v>
      </c>
      <c r="D840" s="11" t="s">
        <v>27</v>
      </c>
      <c r="E840" s="11" t="s">
        <v>130</v>
      </c>
      <c r="F840" s="19" t="s">
        <v>74</v>
      </c>
      <c r="G840" s="11" t="s">
        <v>2276</v>
      </c>
      <c r="H840" s="3" t="s">
        <v>523</v>
      </c>
      <c r="I840" s="3"/>
      <c r="J840" s="21" t="s">
        <v>2276</v>
      </c>
      <c r="K840" s="21" t="s">
        <v>2276</v>
      </c>
      <c r="L840" s="21" t="s">
        <v>2276</v>
      </c>
      <c r="M840" s="21" t="s">
        <v>2276</v>
      </c>
      <c r="N840" s="21" t="s">
        <v>2276</v>
      </c>
      <c r="O840" s="21" t="s">
        <v>2276</v>
      </c>
      <c r="P840" s="21" t="s">
        <v>2276</v>
      </c>
      <c r="Q840" s="21" t="s">
        <v>2276</v>
      </c>
      <c r="R840" s="21" t="s">
        <v>2276</v>
      </c>
      <c r="S840" s="21" t="s">
        <v>2276</v>
      </c>
      <c r="T840" s="21" t="s">
        <v>2276</v>
      </c>
      <c r="U840" s="21" t="s">
        <v>2276</v>
      </c>
      <c r="V840" s="21" t="s">
        <v>2276</v>
      </c>
      <c r="W840" s="21" t="s">
        <v>2276</v>
      </c>
      <c r="X840" s="21" t="s">
        <v>2276</v>
      </c>
      <c r="Y840" s="21" t="s">
        <v>2276</v>
      </c>
      <c r="Z840" s="21" t="s">
        <v>2276</v>
      </c>
      <c r="AA840" s="21" t="s">
        <v>2276</v>
      </c>
      <c r="AB840" s="21" t="s">
        <v>2276</v>
      </c>
      <c r="AC840" s="3"/>
      <c r="AD840" s="3"/>
    </row>
    <row r="841" spans="1:30" ht="36" customHeight="1">
      <c r="A841" s="11" t="s">
        <v>2595</v>
      </c>
      <c r="B841" s="11" t="s">
        <v>2618</v>
      </c>
      <c r="C841" s="23" t="s">
        <v>24</v>
      </c>
      <c r="D841" s="11" t="s">
        <v>27</v>
      </c>
      <c r="E841" s="11" t="s">
        <v>130</v>
      </c>
      <c r="F841" s="19" t="s">
        <v>161</v>
      </c>
      <c r="G841" s="11" t="s">
        <v>2276</v>
      </c>
      <c r="H841" s="3" t="s">
        <v>523</v>
      </c>
      <c r="I841" s="3"/>
      <c r="J841" s="21" t="s">
        <v>2276</v>
      </c>
      <c r="K841" s="21" t="s">
        <v>2276</v>
      </c>
      <c r="L841" s="21" t="s">
        <v>2276</v>
      </c>
      <c r="M841" s="21" t="s">
        <v>2276</v>
      </c>
      <c r="N841" s="21" t="s">
        <v>2276</v>
      </c>
      <c r="O841" s="21" t="s">
        <v>2276</v>
      </c>
      <c r="P841" s="21" t="s">
        <v>2276</v>
      </c>
      <c r="Q841" s="21" t="s">
        <v>2276</v>
      </c>
      <c r="R841" s="21" t="s">
        <v>2276</v>
      </c>
      <c r="S841" s="21" t="s">
        <v>2276</v>
      </c>
      <c r="T841" s="21" t="s">
        <v>2276</v>
      </c>
      <c r="U841" s="21" t="s">
        <v>2276</v>
      </c>
      <c r="V841" s="21" t="s">
        <v>2276</v>
      </c>
      <c r="W841" s="21" t="s">
        <v>2276</v>
      </c>
      <c r="X841" s="21" t="s">
        <v>2276</v>
      </c>
      <c r="Y841" s="21" t="s">
        <v>2276</v>
      </c>
      <c r="Z841" s="21" t="s">
        <v>2276</v>
      </c>
      <c r="AA841" s="21" t="s">
        <v>2276</v>
      </c>
      <c r="AB841" s="21" t="s">
        <v>2276</v>
      </c>
      <c r="AC841" s="3"/>
      <c r="AD841" s="3"/>
    </row>
    <row r="842" spans="1:30" ht="36" customHeight="1">
      <c r="A842" s="11" t="s">
        <v>2595</v>
      </c>
      <c r="B842" s="11" t="s">
        <v>2619</v>
      </c>
      <c r="C842" s="23" t="s">
        <v>24</v>
      </c>
      <c r="D842" s="11" t="s">
        <v>27</v>
      </c>
      <c r="E842" s="11" t="s">
        <v>130</v>
      </c>
      <c r="F842" s="19" t="s">
        <v>74</v>
      </c>
      <c r="G842" s="11" t="s">
        <v>2276</v>
      </c>
      <c r="H842" s="3" t="s">
        <v>523</v>
      </c>
      <c r="I842" s="3"/>
      <c r="J842" s="21" t="s">
        <v>2276</v>
      </c>
      <c r="K842" s="21" t="s">
        <v>2276</v>
      </c>
      <c r="L842" s="21" t="s">
        <v>2276</v>
      </c>
      <c r="M842" s="21" t="s">
        <v>2276</v>
      </c>
      <c r="N842" s="21" t="s">
        <v>2276</v>
      </c>
      <c r="O842" s="21" t="s">
        <v>2276</v>
      </c>
      <c r="P842" s="21" t="s">
        <v>2276</v>
      </c>
      <c r="Q842" s="21" t="s">
        <v>2276</v>
      </c>
      <c r="R842" s="21" t="s">
        <v>2276</v>
      </c>
      <c r="S842" s="21" t="s">
        <v>2276</v>
      </c>
      <c r="T842" s="21" t="s">
        <v>2276</v>
      </c>
      <c r="U842" s="21" t="s">
        <v>2276</v>
      </c>
      <c r="V842" s="21" t="s">
        <v>2276</v>
      </c>
      <c r="W842" s="21" t="s">
        <v>2276</v>
      </c>
      <c r="X842" s="21" t="s">
        <v>2276</v>
      </c>
      <c r="Y842" s="21" t="s">
        <v>2276</v>
      </c>
      <c r="Z842" s="21" t="s">
        <v>2276</v>
      </c>
      <c r="AA842" s="21" t="s">
        <v>2276</v>
      </c>
      <c r="AB842" s="21" t="s">
        <v>2276</v>
      </c>
      <c r="AC842" s="3"/>
      <c r="AD842" s="3"/>
    </row>
    <row r="843" spans="1:30" ht="36" customHeight="1">
      <c r="A843" s="11" t="s">
        <v>2596</v>
      </c>
      <c r="B843" s="11" t="s">
        <v>2620</v>
      </c>
      <c r="C843" s="23" t="s">
        <v>24</v>
      </c>
      <c r="D843" s="11" t="s">
        <v>27</v>
      </c>
      <c r="E843" s="11" t="s">
        <v>130</v>
      </c>
      <c r="F843" s="19" t="s">
        <v>161</v>
      </c>
      <c r="G843" s="11" t="s">
        <v>2276</v>
      </c>
      <c r="H843" s="3" t="s">
        <v>523</v>
      </c>
      <c r="I843" s="3"/>
      <c r="J843" s="21" t="s">
        <v>2276</v>
      </c>
      <c r="K843" s="21" t="s">
        <v>2276</v>
      </c>
      <c r="L843" s="21" t="s">
        <v>2276</v>
      </c>
      <c r="M843" s="21" t="s">
        <v>2276</v>
      </c>
      <c r="N843" s="21" t="s">
        <v>2276</v>
      </c>
      <c r="O843" s="21" t="s">
        <v>2276</v>
      </c>
      <c r="P843" s="21" t="s">
        <v>2276</v>
      </c>
      <c r="Q843" s="21" t="s">
        <v>2276</v>
      </c>
      <c r="R843" s="21" t="s">
        <v>2276</v>
      </c>
      <c r="S843" s="21" t="s">
        <v>2276</v>
      </c>
      <c r="T843" s="21" t="s">
        <v>2276</v>
      </c>
      <c r="U843" s="21" t="s">
        <v>2276</v>
      </c>
      <c r="V843" s="21" t="s">
        <v>2276</v>
      </c>
      <c r="W843" s="21" t="s">
        <v>2276</v>
      </c>
      <c r="X843" s="21" t="s">
        <v>2276</v>
      </c>
      <c r="Y843" s="21" t="s">
        <v>2276</v>
      </c>
      <c r="Z843" s="21" t="s">
        <v>2276</v>
      </c>
      <c r="AA843" s="21" t="s">
        <v>2276</v>
      </c>
      <c r="AB843" s="21" t="s">
        <v>2276</v>
      </c>
      <c r="AC843" s="3"/>
      <c r="AD843" s="3"/>
    </row>
    <row r="844" spans="1:30" ht="36" customHeight="1">
      <c r="A844" s="11" t="s">
        <v>2596</v>
      </c>
      <c r="B844" s="11" t="s">
        <v>2621</v>
      </c>
      <c r="C844" s="23" t="s">
        <v>24</v>
      </c>
      <c r="D844" s="11" t="s">
        <v>27</v>
      </c>
      <c r="E844" s="11" t="s">
        <v>130</v>
      </c>
      <c r="F844" s="19" t="s">
        <v>161</v>
      </c>
      <c r="G844" s="11" t="s">
        <v>2276</v>
      </c>
      <c r="H844" s="3" t="s">
        <v>523</v>
      </c>
      <c r="I844" s="3"/>
      <c r="J844" s="21" t="s">
        <v>2276</v>
      </c>
      <c r="K844" s="21" t="s">
        <v>2276</v>
      </c>
      <c r="L844" s="21" t="s">
        <v>2276</v>
      </c>
      <c r="M844" s="21" t="s">
        <v>2276</v>
      </c>
      <c r="N844" s="21" t="s">
        <v>2276</v>
      </c>
      <c r="O844" s="21" t="s">
        <v>2276</v>
      </c>
      <c r="P844" s="21" t="s">
        <v>2276</v>
      </c>
      <c r="Q844" s="21" t="s">
        <v>2276</v>
      </c>
      <c r="R844" s="21" t="s">
        <v>2276</v>
      </c>
      <c r="S844" s="21" t="s">
        <v>2276</v>
      </c>
      <c r="T844" s="21" t="s">
        <v>2276</v>
      </c>
      <c r="U844" s="21" t="s">
        <v>2276</v>
      </c>
      <c r="V844" s="21" t="s">
        <v>2276</v>
      </c>
      <c r="W844" s="21" t="s">
        <v>2276</v>
      </c>
      <c r="X844" s="21" t="s">
        <v>2276</v>
      </c>
      <c r="Y844" s="21" t="s">
        <v>2276</v>
      </c>
      <c r="Z844" s="21" t="s">
        <v>2276</v>
      </c>
      <c r="AA844" s="21" t="s">
        <v>2276</v>
      </c>
      <c r="AB844" s="21" t="s">
        <v>2276</v>
      </c>
      <c r="AC844" s="3"/>
      <c r="AD844" s="3"/>
    </row>
    <row r="845" spans="1:30" ht="62.5" customHeight="1">
      <c r="A845" s="3" t="s">
        <v>2624</v>
      </c>
      <c r="B845" s="3" t="s">
        <v>2630</v>
      </c>
      <c r="C845" s="23" t="s">
        <v>24</v>
      </c>
      <c r="D845" s="11" t="s">
        <v>27</v>
      </c>
      <c r="E845" s="11" t="s">
        <v>130</v>
      </c>
      <c r="F845" s="19" t="s">
        <v>74</v>
      </c>
      <c r="G845" s="11" t="s">
        <v>2276</v>
      </c>
      <c r="H845" s="3" t="s">
        <v>523</v>
      </c>
      <c r="I845" s="3"/>
      <c r="J845" s="21" t="s">
        <v>2276</v>
      </c>
      <c r="K845" s="21" t="s">
        <v>2276</v>
      </c>
      <c r="L845" s="21" t="s">
        <v>2276</v>
      </c>
      <c r="M845" s="21" t="s">
        <v>2276</v>
      </c>
      <c r="N845" s="21" t="s">
        <v>2276</v>
      </c>
      <c r="O845" s="21">
        <v>0.9</v>
      </c>
      <c r="P845" s="21" t="s">
        <v>2276</v>
      </c>
      <c r="Q845" s="21" t="s">
        <v>2276</v>
      </c>
      <c r="R845" s="21" t="s">
        <v>2276</v>
      </c>
      <c r="S845" s="21" t="s">
        <v>2276</v>
      </c>
      <c r="T845" s="21" t="s">
        <v>2276</v>
      </c>
      <c r="U845" s="21" t="s">
        <v>2276</v>
      </c>
      <c r="V845" s="21" t="s">
        <v>2276</v>
      </c>
      <c r="W845" s="21" t="s">
        <v>2276</v>
      </c>
      <c r="X845" s="21" t="s">
        <v>2276</v>
      </c>
      <c r="Y845" s="21" t="s">
        <v>2276</v>
      </c>
      <c r="Z845" s="21" t="s">
        <v>2276</v>
      </c>
      <c r="AA845" s="21" t="s">
        <v>2276</v>
      </c>
      <c r="AB845" s="21" t="s">
        <v>2276</v>
      </c>
      <c r="AC845" s="4" t="s">
        <v>2692</v>
      </c>
      <c r="AD845" s="3"/>
    </row>
    <row r="846" spans="1:30" ht="65.5" customHeight="1">
      <c r="A846" s="3" t="s">
        <v>2625</v>
      </c>
      <c r="B846" s="3" t="s">
        <v>2629</v>
      </c>
      <c r="C846" s="23" t="s">
        <v>24</v>
      </c>
      <c r="D846" s="11" t="s">
        <v>27</v>
      </c>
      <c r="E846" s="11" t="s">
        <v>130</v>
      </c>
      <c r="F846" s="19" t="s">
        <v>74</v>
      </c>
      <c r="G846" s="11" t="s">
        <v>2276</v>
      </c>
      <c r="H846" s="3" t="s">
        <v>523</v>
      </c>
      <c r="I846" s="3"/>
      <c r="J846" s="21" t="s">
        <v>2276</v>
      </c>
      <c r="K846" s="21" t="s">
        <v>2276</v>
      </c>
      <c r="L846" s="21" t="s">
        <v>2276</v>
      </c>
      <c r="M846" s="21" t="s">
        <v>2276</v>
      </c>
      <c r="N846" s="21" t="s">
        <v>2276</v>
      </c>
      <c r="O846" s="21">
        <v>0.64</v>
      </c>
      <c r="P846" s="21" t="s">
        <v>2276</v>
      </c>
      <c r="Q846" s="21" t="s">
        <v>2276</v>
      </c>
      <c r="R846" s="21" t="s">
        <v>2276</v>
      </c>
      <c r="S846" s="21" t="s">
        <v>2276</v>
      </c>
      <c r="T846" s="21">
        <v>21</v>
      </c>
      <c r="U846" s="21" t="s">
        <v>2276</v>
      </c>
      <c r="V846" s="21" t="s">
        <v>2276</v>
      </c>
      <c r="W846" s="21" t="s">
        <v>2276</v>
      </c>
      <c r="X846" s="21" t="s">
        <v>2276</v>
      </c>
      <c r="Y846" s="21" t="s">
        <v>2276</v>
      </c>
      <c r="Z846" s="21" t="s">
        <v>2276</v>
      </c>
      <c r="AA846" s="21" t="s">
        <v>2276</v>
      </c>
      <c r="AB846" s="21" t="s">
        <v>2276</v>
      </c>
      <c r="AC846" s="4" t="s">
        <v>2688</v>
      </c>
      <c r="AD846" s="3"/>
    </row>
    <row r="847" spans="1:30" ht="65.5" customHeight="1">
      <c r="A847" s="3" t="s">
        <v>2625</v>
      </c>
      <c r="B847" s="3" t="s">
        <v>2687</v>
      </c>
      <c r="C847" s="23" t="s">
        <v>24</v>
      </c>
      <c r="D847" s="11" t="s">
        <v>27</v>
      </c>
      <c r="E847" s="11" t="s">
        <v>130</v>
      </c>
      <c r="F847" s="19" t="s">
        <v>161</v>
      </c>
      <c r="G847" s="11" t="s">
        <v>2276</v>
      </c>
      <c r="H847" s="3" t="s">
        <v>524</v>
      </c>
      <c r="I847" s="3"/>
      <c r="J847" s="21" t="s">
        <v>2276</v>
      </c>
      <c r="K847" s="21" t="s">
        <v>2276</v>
      </c>
      <c r="L847" s="21" t="s">
        <v>2276</v>
      </c>
      <c r="M847" s="21" t="s">
        <v>2276</v>
      </c>
      <c r="N847" s="21" t="s">
        <v>2276</v>
      </c>
      <c r="O847" s="21" t="s">
        <v>2276</v>
      </c>
      <c r="P847" s="21" t="s">
        <v>2276</v>
      </c>
      <c r="Q847" s="21" t="s">
        <v>2276</v>
      </c>
      <c r="R847" s="21" t="s">
        <v>2276</v>
      </c>
      <c r="S847" s="21" t="s">
        <v>2276</v>
      </c>
      <c r="T847" s="21" t="s">
        <v>2276</v>
      </c>
      <c r="U847" s="21" t="s">
        <v>2276</v>
      </c>
      <c r="V847" s="21" t="s">
        <v>2276</v>
      </c>
      <c r="W847" s="21" t="s">
        <v>2276</v>
      </c>
      <c r="X847" s="21" t="s">
        <v>2276</v>
      </c>
      <c r="Y847" s="21" t="s">
        <v>2276</v>
      </c>
      <c r="Z847" s="21" t="s">
        <v>2276</v>
      </c>
      <c r="AA847" s="21" t="s">
        <v>2276</v>
      </c>
      <c r="AB847" s="21" t="s">
        <v>2276</v>
      </c>
      <c r="AC847" s="4" t="s">
        <v>2693</v>
      </c>
      <c r="AD847" s="3"/>
    </row>
    <row r="848" spans="1:30" ht="65.5" customHeight="1">
      <c r="A848" s="3" t="s">
        <v>2625</v>
      </c>
      <c r="B848" s="3" t="s">
        <v>2694</v>
      </c>
      <c r="C848" s="23" t="s">
        <v>24</v>
      </c>
      <c r="D848" s="11" t="s">
        <v>2231</v>
      </c>
      <c r="E848" s="11" t="s">
        <v>130</v>
      </c>
      <c r="F848" s="19" t="s">
        <v>74</v>
      </c>
      <c r="G848" s="11" t="s">
        <v>2276</v>
      </c>
      <c r="H848" s="3" t="s">
        <v>523</v>
      </c>
      <c r="I848" s="3"/>
      <c r="J848" s="21" t="s">
        <v>2276</v>
      </c>
      <c r="K848" s="21" t="s">
        <v>2276</v>
      </c>
      <c r="L848" s="21" t="s">
        <v>2276</v>
      </c>
      <c r="M848" s="21" t="s">
        <v>2276</v>
      </c>
      <c r="N848" s="21" t="s">
        <v>2276</v>
      </c>
      <c r="O848" s="21">
        <v>0.64</v>
      </c>
      <c r="P848" s="21" t="s">
        <v>2276</v>
      </c>
      <c r="Q848" s="21" t="s">
        <v>2276</v>
      </c>
      <c r="R848" s="21" t="s">
        <v>2276</v>
      </c>
      <c r="S848" s="21" t="s">
        <v>2276</v>
      </c>
      <c r="T848" s="21">
        <v>4</v>
      </c>
      <c r="U848" s="21" t="s">
        <v>2276</v>
      </c>
      <c r="V848" s="21" t="s">
        <v>2276</v>
      </c>
      <c r="W848" s="21" t="s">
        <v>2276</v>
      </c>
      <c r="X848" s="21" t="s">
        <v>2276</v>
      </c>
      <c r="Y848" s="21" t="s">
        <v>2276</v>
      </c>
      <c r="Z848" s="21" t="s">
        <v>2276</v>
      </c>
      <c r="AA848" s="21" t="s">
        <v>2276</v>
      </c>
      <c r="AB848" s="21" t="s">
        <v>2276</v>
      </c>
      <c r="AC848" s="4" t="s">
        <v>2695</v>
      </c>
      <c r="AD848" s="3"/>
    </row>
    <row r="849" spans="1:30" ht="49" customHeight="1">
      <c r="A849" s="3" t="s">
        <v>2678</v>
      </c>
      <c r="B849" s="3" t="s">
        <v>2681</v>
      </c>
      <c r="C849" s="23" t="s">
        <v>24</v>
      </c>
      <c r="D849" s="11" t="s">
        <v>27</v>
      </c>
      <c r="E849" s="11" t="s">
        <v>130</v>
      </c>
      <c r="F849" s="19" t="s">
        <v>74</v>
      </c>
      <c r="G849" s="11" t="s">
        <v>2276</v>
      </c>
      <c r="H849" s="3" t="s">
        <v>523</v>
      </c>
      <c r="I849" s="3"/>
      <c r="J849" s="21" t="s">
        <v>2276</v>
      </c>
      <c r="K849" s="21" t="s">
        <v>2276</v>
      </c>
      <c r="L849" s="21" t="s">
        <v>2276</v>
      </c>
      <c r="M849" s="21" t="s">
        <v>2276</v>
      </c>
      <c r="N849" s="21" t="s">
        <v>2276</v>
      </c>
      <c r="O849" s="21">
        <v>1</v>
      </c>
      <c r="P849" s="21" t="s">
        <v>2276</v>
      </c>
      <c r="Q849" s="21" t="s">
        <v>2276</v>
      </c>
      <c r="R849" s="21" t="s">
        <v>2276</v>
      </c>
      <c r="S849" s="21" t="s">
        <v>2276</v>
      </c>
      <c r="T849" s="21" t="s">
        <v>2276</v>
      </c>
      <c r="U849" s="21" t="s">
        <v>2276</v>
      </c>
      <c r="V849" s="21" t="s">
        <v>2276</v>
      </c>
      <c r="W849" s="21" t="s">
        <v>2276</v>
      </c>
      <c r="X849" s="21" t="s">
        <v>2276</v>
      </c>
      <c r="Y849" s="21" t="s">
        <v>2276</v>
      </c>
      <c r="Z849" s="21" t="s">
        <v>2276</v>
      </c>
      <c r="AA849" s="21" t="s">
        <v>2276</v>
      </c>
      <c r="AB849" s="21" t="s">
        <v>2276</v>
      </c>
      <c r="AC849" s="4" t="s">
        <v>2677</v>
      </c>
      <c r="AD849" s="3"/>
    </row>
    <row r="850" spans="1:30" ht="51.5" customHeight="1">
      <c r="A850" s="3" t="s">
        <v>2682</v>
      </c>
      <c r="B850" s="3" t="s">
        <v>2685</v>
      </c>
      <c r="C850" s="23" t="s">
        <v>24</v>
      </c>
      <c r="D850" s="11" t="s">
        <v>27</v>
      </c>
      <c r="E850" s="11" t="s">
        <v>130</v>
      </c>
      <c r="F850" s="19" t="s">
        <v>74</v>
      </c>
      <c r="G850" s="11" t="s">
        <v>2276</v>
      </c>
      <c r="H850" s="3" t="s">
        <v>523</v>
      </c>
      <c r="I850" s="3"/>
      <c r="J850" s="21" t="s">
        <v>2276</v>
      </c>
      <c r="K850" s="21" t="s">
        <v>2276</v>
      </c>
      <c r="L850" s="21" t="s">
        <v>2276</v>
      </c>
      <c r="M850" s="21" t="s">
        <v>2276</v>
      </c>
      <c r="N850" s="21" t="s">
        <v>2276</v>
      </c>
      <c r="O850" s="21">
        <v>0.6</v>
      </c>
      <c r="P850" s="21" t="s">
        <v>2276</v>
      </c>
      <c r="Q850" s="21" t="s">
        <v>2276</v>
      </c>
      <c r="R850" s="21" t="s">
        <v>2276</v>
      </c>
      <c r="S850" s="21" t="s">
        <v>2276</v>
      </c>
      <c r="T850" s="21" t="s">
        <v>2276</v>
      </c>
      <c r="U850" s="21" t="s">
        <v>2276</v>
      </c>
      <c r="V850" s="21" t="s">
        <v>2276</v>
      </c>
      <c r="W850" s="21" t="s">
        <v>2276</v>
      </c>
      <c r="X850" s="21" t="s">
        <v>2276</v>
      </c>
      <c r="Y850" s="21" t="s">
        <v>2276</v>
      </c>
      <c r="Z850" s="21" t="s">
        <v>2276</v>
      </c>
      <c r="AA850" s="21" t="s">
        <v>2276</v>
      </c>
      <c r="AB850" s="21" t="s">
        <v>2276</v>
      </c>
      <c r="AC850" s="4" t="s">
        <v>2677</v>
      </c>
      <c r="AD850" s="3"/>
    </row>
    <row r="851" spans="1:30" ht="26.5" customHeight="1">
      <c r="A851" s="11" t="s">
        <v>2707</v>
      </c>
      <c r="B851" s="11" t="s">
        <v>2721</v>
      </c>
      <c r="C851" s="23" t="s">
        <v>24</v>
      </c>
      <c r="D851" s="11" t="s">
        <v>27</v>
      </c>
      <c r="E851" s="11" t="s">
        <v>130</v>
      </c>
      <c r="F851" s="19" t="s">
        <v>74</v>
      </c>
      <c r="G851" s="11" t="s">
        <v>2276</v>
      </c>
      <c r="H851" s="3" t="s">
        <v>523</v>
      </c>
      <c r="I851" s="3"/>
      <c r="J851" s="21" t="s">
        <v>2276</v>
      </c>
      <c r="K851" s="21" t="s">
        <v>2276</v>
      </c>
      <c r="L851" s="21" t="s">
        <v>2276</v>
      </c>
      <c r="M851" s="21" t="s">
        <v>2276</v>
      </c>
      <c r="N851" s="21" t="s">
        <v>2276</v>
      </c>
      <c r="O851" s="21" t="s">
        <v>2276</v>
      </c>
      <c r="P851" s="21" t="s">
        <v>2276</v>
      </c>
      <c r="Q851" s="21" t="s">
        <v>2276</v>
      </c>
      <c r="R851" s="21" t="s">
        <v>2276</v>
      </c>
      <c r="S851" s="21" t="s">
        <v>2276</v>
      </c>
      <c r="T851" s="21" t="s">
        <v>2276</v>
      </c>
      <c r="U851" s="21" t="s">
        <v>2276</v>
      </c>
      <c r="V851" s="21" t="s">
        <v>2276</v>
      </c>
      <c r="W851" s="21" t="s">
        <v>2276</v>
      </c>
      <c r="X851" s="21" t="s">
        <v>2276</v>
      </c>
      <c r="Y851" s="21" t="s">
        <v>2276</v>
      </c>
      <c r="Z851" s="21" t="s">
        <v>2276</v>
      </c>
      <c r="AA851" s="21" t="s">
        <v>2276</v>
      </c>
      <c r="AB851" s="21" t="s">
        <v>2276</v>
      </c>
      <c r="AC851" s="3"/>
      <c r="AD851" s="3" t="s">
        <v>2733</v>
      </c>
    </row>
    <row r="852" spans="1:30" ht="30" customHeight="1">
      <c r="A852" s="11" t="s">
        <v>2707</v>
      </c>
      <c r="B852" s="11" t="s">
        <v>2722</v>
      </c>
      <c r="C852" s="23" t="s">
        <v>2458</v>
      </c>
      <c r="D852" s="11" t="s">
        <v>27</v>
      </c>
      <c r="E852" s="11" t="s">
        <v>130</v>
      </c>
      <c r="F852" s="19" t="s">
        <v>74</v>
      </c>
      <c r="G852" s="11" t="s">
        <v>161</v>
      </c>
      <c r="H852" s="3" t="s">
        <v>523</v>
      </c>
      <c r="I852" s="3"/>
      <c r="J852" s="21" t="s">
        <v>2276</v>
      </c>
      <c r="K852" s="21" t="s">
        <v>2276</v>
      </c>
      <c r="L852" s="21" t="s">
        <v>2276</v>
      </c>
      <c r="M852" s="21" t="s">
        <v>2276</v>
      </c>
      <c r="N852" s="21" t="s">
        <v>2276</v>
      </c>
      <c r="O852" s="21" t="s">
        <v>2276</v>
      </c>
      <c r="P852" s="21" t="s">
        <v>2276</v>
      </c>
      <c r="Q852" s="21" t="s">
        <v>2276</v>
      </c>
      <c r="R852" s="21" t="s">
        <v>2276</v>
      </c>
      <c r="S852" s="21" t="s">
        <v>2276</v>
      </c>
      <c r="T852" s="21" t="s">
        <v>2276</v>
      </c>
      <c r="U852" s="21" t="s">
        <v>2276</v>
      </c>
      <c r="V852" s="21" t="s">
        <v>2276</v>
      </c>
      <c r="W852" s="21" t="s">
        <v>2276</v>
      </c>
      <c r="X852" s="21" t="s">
        <v>2276</v>
      </c>
      <c r="Y852" s="21" t="s">
        <v>2276</v>
      </c>
      <c r="Z852" s="21" t="s">
        <v>2276</v>
      </c>
      <c r="AA852" s="21" t="s">
        <v>2276</v>
      </c>
      <c r="AB852" s="21" t="s">
        <v>2276</v>
      </c>
      <c r="AC852" s="4" t="s">
        <v>2732</v>
      </c>
      <c r="AD852" s="3"/>
    </row>
    <row r="853" spans="1:30" ht="28.5" customHeight="1">
      <c r="A853" s="11" t="s">
        <v>2708</v>
      </c>
      <c r="B853" s="11" t="s">
        <v>2720</v>
      </c>
      <c r="C853" s="23" t="s">
        <v>24</v>
      </c>
      <c r="D853" s="11" t="s">
        <v>27</v>
      </c>
      <c r="E853" s="11" t="s">
        <v>130</v>
      </c>
      <c r="F853" s="19" t="s">
        <v>74</v>
      </c>
      <c r="G853" s="11" t="s">
        <v>2276</v>
      </c>
      <c r="H853" s="3" t="s">
        <v>523</v>
      </c>
      <c r="I853" s="3"/>
      <c r="J853" s="21" t="s">
        <v>2276</v>
      </c>
      <c r="K853" s="21" t="s">
        <v>2276</v>
      </c>
      <c r="L853" s="21" t="s">
        <v>2276</v>
      </c>
      <c r="M853" s="21" t="s">
        <v>2276</v>
      </c>
      <c r="N853" s="21" t="s">
        <v>2276</v>
      </c>
      <c r="O853" s="21" t="s">
        <v>2276</v>
      </c>
      <c r="P853" s="21" t="s">
        <v>2276</v>
      </c>
      <c r="Q853" s="21" t="s">
        <v>2276</v>
      </c>
      <c r="R853" s="21" t="s">
        <v>2276</v>
      </c>
      <c r="S853" s="21" t="s">
        <v>2276</v>
      </c>
      <c r="T853" s="21" t="s">
        <v>2276</v>
      </c>
      <c r="U853" s="21" t="s">
        <v>2276</v>
      </c>
      <c r="V853" s="21" t="s">
        <v>2276</v>
      </c>
      <c r="W853" s="21" t="s">
        <v>2276</v>
      </c>
      <c r="X853" s="21" t="s">
        <v>2276</v>
      </c>
      <c r="Y853" s="21" t="s">
        <v>2276</v>
      </c>
      <c r="Z853" s="21" t="s">
        <v>2276</v>
      </c>
      <c r="AA853" s="21" t="s">
        <v>2276</v>
      </c>
      <c r="AB853" s="21" t="s">
        <v>2276</v>
      </c>
      <c r="AC853" s="3"/>
      <c r="AD853" s="4" t="s">
        <v>2747</v>
      </c>
    </row>
    <row r="854" spans="1:30" ht="28.5" customHeight="1">
      <c r="A854" s="11" t="s">
        <v>2708</v>
      </c>
      <c r="B854" s="11" t="s">
        <v>2727</v>
      </c>
      <c r="C854" s="23" t="s">
        <v>2458</v>
      </c>
      <c r="D854" s="11" t="s">
        <v>27</v>
      </c>
      <c r="E854" s="11" t="s">
        <v>130</v>
      </c>
      <c r="F854" s="19" t="s">
        <v>74</v>
      </c>
      <c r="G854" s="11" t="s">
        <v>28</v>
      </c>
      <c r="H854" s="3" t="s">
        <v>523</v>
      </c>
      <c r="I854" s="3"/>
      <c r="J854" s="21" t="s">
        <v>2276</v>
      </c>
      <c r="K854" s="21" t="s">
        <v>2276</v>
      </c>
      <c r="L854" s="21" t="s">
        <v>2276</v>
      </c>
      <c r="M854" s="21" t="s">
        <v>2276</v>
      </c>
      <c r="N854" s="21" t="s">
        <v>2276</v>
      </c>
      <c r="O854" s="21" t="s">
        <v>2276</v>
      </c>
      <c r="P854" s="21" t="s">
        <v>2276</v>
      </c>
      <c r="Q854" s="21" t="s">
        <v>2276</v>
      </c>
      <c r="R854" s="21" t="s">
        <v>2276</v>
      </c>
      <c r="S854" s="21" t="s">
        <v>2276</v>
      </c>
      <c r="T854" s="21" t="s">
        <v>2276</v>
      </c>
      <c r="U854" s="21" t="s">
        <v>2276</v>
      </c>
      <c r="V854" s="21" t="s">
        <v>2276</v>
      </c>
      <c r="W854" s="21" t="s">
        <v>2276</v>
      </c>
      <c r="X854" s="21" t="s">
        <v>2276</v>
      </c>
      <c r="Y854" s="21" t="s">
        <v>2276</v>
      </c>
      <c r="Z854" s="21" t="s">
        <v>2276</v>
      </c>
      <c r="AA854" s="21" t="s">
        <v>2276</v>
      </c>
      <c r="AB854" s="21" t="s">
        <v>2276</v>
      </c>
      <c r="AC854" s="4" t="s">
        <v>2734</v>
      </c>
      <c r="AD854" s="3"/>
    </row>
    <row r="855" spans="1:30" ht="24.5" customHeight="1">
      <c r="A855" s="11" t="s">
        <v>2709</v>
      </c>
      <c r="B855" s="11" t="s">
        <v>2716</v>
      </c>
      <c r="C855" s="23" t="s">
        <v>24</v>
      </c>
      <c r="D855" s="11" t="s">
        <v>27</v>
      </c>
      <c r="E855" s="11" t="s">
        <v>130</v>
      </c>
      <c r="F855" s="19" t="s">
        <v>74</v>
      </c>
      <c r="G855" s="11" t="s">
        <v>2276</v>
      </c>
      <c r="H855" s="3" t="s">
        <v>523</v>
      </c>
      <c r="I855" s="3"/>
      <c r="J855" s="21" t="s">
        <v>2276</v>
      </c>
      <c r="K855" s="21" t="s">
        <v>2276</v>
      </c>
      <c r="L855" s="21" t="s">
        <v>2276</v>
      </c>
      <c r="M855" s="21" t="s">
        <v>2276</v>
      </c>
      <c r="N855" s="21" t="s">
        <v>2276</v>
      </c>
      <c r="O855" s="21" t="s">
        <v>2276</v>
      </c>
      <c r="P855" s="21" t="s">
        <v>2276</v>
      </c>
      <c r="Q855" s="21" t="s">
        <v>2276</v>
      </c>
      <c r="R855" s="21" t="s">
        <v>2276</v>
      </c>
      <c r="S855" s="21" t="s">
        <v>2276</v>
      </c>
      <c r="T855" s="21" t="s">
        <v>2276</v>
      </c>
      <c r="U855" s="21" t="s">
        <v>2276</v>
      </c>
      <c r="V855" s="21" t="s">
        <v>2276</v>
      </c>
      <c r="W855" s="21" t="s">
        <v>2276</v>
      </c>
      <c r="X855" s="21" t="s">
        <v>2276</v>
      </c>
      <c r="Y855" s="21" t="s">
        <v>2276</v>
      </c>
      <c r="Z855" s="21" t="s">
        <v>2276</v>
      </c>
      <c r="AA855" s="21" t="s">
        <v>2276</v>
      </c>
      <c r="AB855" s="21" t="s">
        <v>2276</v>
      </c>
      <c r="AC855" s="3"/>
      <c r="AD855" s="3" t="s">
        <v>2733</v>
      </c>
    </row>
    <row r="856" spans="1:30" ht="30" customHeight="1">
      <c r="A856" s="11" t="s">
        <v>2709</v>
      </c>
      <c r="B856" s="11" t="s">
        <v>2730</v>
      </c>
      <c r="C856" s="23" t="s">
        <v>24</v>
      </c>
      <c r="D856" s="11" t="s">
        <v>27</v>
      </c>
      <c r="E856" s="4" t="s">
        <v>84</v>
      </c>
      <c r="F856" s="19" t="s">
        <v>74</v>
      </c>
      <c r="G856" s="11" t="s">
        <v>2276</v>
      </c>
      <c r="H856" s="3" t="s">
        <v>523</v>
      </c>
      <c r="I856" s="3"/>
      <c r="J856" s="21" t="s">
        <v>2276</v>
      </c>
      <c r="K856" s="21" t="s">
        <v>2276</v>
      </c>
      <c r="L856" s="21" t="s">
        <v>2276</v>
      </c>
      <c r="M856" s="21" t="s">
        <v>2276</v>
      </c>
      <c r="N856" s="21" t="s">
        <v>2276</v>
      </c>
      <c r="O856" s="21" t="s">
        <v>2276</v>
      </c>
      <c r="P856" s="21" t="s">
        <v>2276</v>
      </c>
      <c r="Q856" s="21" t="s">
        <v>2276</v>
      </c>
      <c r="R856" s="21" t="s">
        <v>2276</v>
      </c>
      <c r="S856" s="21" t="s">
        <v>2276</v>
      </c>
      <c r="T856" s="21" t="s">
        <v>2276</v>
      </c>
      <c r="U856" s="21" t="s">
        <v>2276</v>
      </c>
      <c r="V856" s="21" t="s">
        <v>2276</v>
      </c>
      <c r="W856" s="21" t="s">
        <v>2276</v>
      </c>
      <c r="X856" s="21" t="s">
        <v>2276</v>
      </c>
      <c r="Y856" s="21" t="s">
        <v>2276</v>
      </c>
      <c r="Z856" s="21" t="s">
        <v>2276</v>
      </c>
      <c r="AA856" s="21" t="s">
        <v>2276</v>
      </c>
      <c r="AB856" s="21" t="s">
        <v>2276</v>
      </c>
      <c r="AC856" s="3"/>
      <c r="AD856" s="3"/>
    </row>
    <row r="857" spans="1:30" ht="30" customHeight="1">
      <c r="A857" s="11" t="s">
        <v>2709</v>
      </c>
      <c r="B857" s="11" t="s">
        <v>2735</v>
      </c>
      <c r="C857" s="23" t="s">
        <v>24</v>
      </c>
      <c r="D857" s="11" t="s">
        <v>143</v>
      </c>
      <c r="E857" s="4" t="s">
        <v>84</v>
      </c>
      <c r="F857" s="19" t="s">
        <v>74</v>
      </c>
      <c r="G857" s="11" t="s">
        <v>2276</v>
      </c>
      <c r="H857" s="3" t="s">
        <v>523</v>
      </c>
      <c r="I857" s="3"/>
      <c r="J857" s="21" t="s">
        <v>2276</v>
      </c>
      <c r="K857" s="21" t="s">
        <v>2276</v>
      </c>
      <c r="L857" s="21" t="s">
        <v>2276</v>
      </c>
      <c r="M857" s="21" t="s">
        <v>2276</v>
      </c>
      <c r="N857" s="21" t="s">
        <v>2276</v>
      </c>
      <c r="O857" s="21" t="s">
        <v>2276</v>
      </c>
      <c r="P857" s="21" t="s">
        <v>2276</v>
      </c>
      <c r="Q857" s="21" t="s">
        <v>2276</v>
      </c>
      <c r="R857" s="21" t="s">
        <v>2276</v>
      </c>
      <c r="S857" s="21" t="s">
        <v>2276</v>
      </c>
      <c r="T857" s="21" t="s">
        <v>2276</v>
      </c>
      <c r="U857" s="21" t="s">
        <v>2276</v>
      </c>
      <c r="V857" s="21" t="s">
        <v>2276</v>
      </c>
      <c r="W857" s="21" t="s">
        <v>2276</v>
      </c>
      <c r="X857" s="21" t="s">
        <v>2276</v>
      </c>
      <c r="Y857" s="21" t="s">
        <v>2276</v>
      </c>
      <c r="Z857" s="21" t="s">
        <v>2276</v>
      </c>
      <c r="AA857" s="21" t="s">
        <v>2276</v>
      </c>
      <c r="AB857" s="21" t="s">
        <v>2276</v>
      </c>
      <c r="AC857" s="3"/>
      <c r="AD857" s="3"/>
    </row>
    <row r="858" spans="1:30" ht="35" customHeight="1">
      <c r="A858" s="11" t="s">
        <v>2709</v>
      </c>
      <c r="B858" s="11" t="s">
        <v>2737</v>
      </c>
      <c r="C858" s="23" t="s">
        <v>2458</v>
      </c>
      <c r="D858" s="11" t="s">
        <v>143</v>
      </c>
      <c r="E858" s="4" t="s">
        <v>84</v>
      </c>
      <c r="F858" s="19" t="s">
        <v>74</v>
      </c>
      <c r="G858" s="11" t="s">
        <v>28</v>
      </c>
      <c r="H858" s="3" t="s">
        <v>523</v>
      </c>
      <c r="I858" s="3"/>
      <c r="J858" s="21" t="s">
        <v>2276</v>
      </c>
      <c r="K858" s="21" t="s">
        <v>2276</v>
      </c>
      <c r="L858" s="21" t="s">
        <v>2276</v>
      </c>
      <c r="M858" s="21" t="s">
        <v>2276</v>
      </c>
      <c r="N858" s="21" t="s">
        <v>2276</v>
      </c>
      <c r="O858" s="21" t="s">
        <v>2276</v>
      </c>
      <c r="P858" s="21" t="s">
        <v>2276</v>
      </c>
      <c r="Q858" s="21" t="s">
        <v>2276</v>
      </c>
      <c r="R858" s="21" t="s">
        <v>2276</v>
      </c>
      <c r="S858" s="21" t="s">
        <v>2276</v>
      </c>
      <c r="T858" s="21" t="s">
        <v>2276</v>
      </c>
      <c r="U858" s="21" t="s">
        <v>2276</v>
      </c>
      <c r="V858" s="21" t="s">
        <v>2276</v>
      </c>
      <c r="W858" s="21" t="s">
        <v>2276</v>
      </c>
      <c r="X858" s="21" t="s">
        <v>2276</v>
      </c>
      <c r="Y858" s="21" t="s">
        <v>2276</v>
      </c>
      <c r="Z858" s="21" t="s">
        <v>2276</v>
      </c>
      <c r="AA858" s="21" t="s">
        <v>2276</v>
      </c>
      <c r="AB858" s="21" t="s">
        <v>2276</v>
      </c>
      <c r="AC858" s="4" t="s">
        <v>2731</v>
      </c>
      <c r="AD858" s="3"/>
    </row>
    <row r="859" spans="1:30" ht="35.5" customHeight="1">
      <c r="A859" s="11" t="s">
        <v>2724</v>
      </c>
      <c r="B859" s="11" t="s">
        <v>2725</v>
      </c>
      <c r="C859" s="23" t="s">
        <v>2458</v>
      </c>
      <c r="D859" s="11" t="s">
        <v>1105</v>
      </c>
      <c r="E859" s="11" t="s">
        <v>1105</v>
      </c>
      <c r="F859" s="19" t="s">
        <v>2276</v>
      </c>
      <c r="G859" s="11" t="s">
        <v>74</v>
      </c>
      <c r="H859" s="3" t="s">
        <v>523</v>
      </c>
      <c r="I859" s="3"/>
      <c r="J859" s="21" t="s">
        <v>2276</v>
      </c>
      <c r="K859" s="21" t="s">
        <v>2276</v>
      </c>
      <c r="L859" s="21" t="s">
        <v>2276</v>
      </c>
      <c r="M859" s="21" t="s">
        <v>2276</v>
      </c>
      <c r="N859" s="21" t="s">
        <v>2276</v>
      </c>
      <c r="O859" s="21" t="s">
        <v>2276</v>
      </c>
      <c r="P859" s="21" t="s">
        <v>2276</v>
      </c>
      <c r="Q859" s="21" t="s">
        <v>2276</v>
      </c>
      <c r="R859" s="21" t="s">
        <v>2276</v>
      </c>
      <c r="S859" s="21" t="s">
        <v>2276</v>
      </c>
      <c r="T859" s="21">
        <v>170000</v>
      </c>
      <c r="U859" s="21" t="s">
        <v>2276</v>
      </c>
      <c r="V859" s="21" t="s">
        <v>2276</v>
      </c>
      <c r="W859" s="21" t="s">
        <v>2276</v>
      </c>
      <c r="X859" s="21">
        <f>T859/'Record info'!K531</f>
        <v>8.7891634784406989</v>
      </c>
      <c r="Y859" s="21" t="s">
        <v>2276</v>
      </c>
      <c r="Z859" s="21" t="s">
        <v>2276</v>
      </c>
      <c r="AA859" s="21" t="s">
        <v>2276</v>
      </c>
      <c r="AB859" s="21" t="s">
        <v>2276</v>
      </c>
      <c r="AC859" s="3"/>
      <c r="AD859" s="3"/>
    </row>
    <row r="860" spans="1:30" ht="36.5" customHeight="1">
      <c r="A860" s="11" t="s">
        <v>2746</v>
      </c>
      <c r="B860" s="11" t="s">
        <v>2749</v>
      </c>
      <c r="C860" s="23" t="s">
        <v>31</v>
      </c>
      <c r="D860" s="11" t="s">
        <v>1105</v>
      </c>
      <c r="E860" s="11" t="s">
        <v>1105</v>
      </c>
      <c r="F860" s="19" t="s">
        <v>2276</v>
      </c>
      <c r="G860" s="11" t="s">
        <v>74</v>
      </c>
      <c r="H860" s="3" t="s">
        <v>523</v>
      </c>
      <c r="I860" s="3"/>
      <c r="J860" s="21" t="s">
        <v>2276</v>
      </c>
      <c r="K860" s="21" t="s">
        <v>2276</v>
      </c>
      <c r="L860" s="21" t="s">
        <v>2276</v>
      </c>
      <c r="M860" s="21" t="s">
        <v>2276</v>
      </c>
      <c r="N860" s="21" t="s">
        <v>2276</v>
      </c>
      <c r="O860" s="21" t="s">
        <v>2276</v>
      </c>
      <c r="P860" s="21" t="s">
        <v>2276</v>
      </c>
      <c r="Q860" s="21" t="s">
        <v>2276</v>
      </c>
      <c r="R860" s="21" t="s">
        <v>2276</v>
      </c>
      <c r="S860" s="21" t="s">
        <v>2276</v>
      </c>
      <c r="T860" s="21">
        <f>400*100</f>
        <v>40000</v>
      </c>
      <c r="U860" s="21" t="s">
        <v>2276</v>
      </c>
      <c r="V860" s="21" t="s">
        <v>2276</v>
      </c>
      <c r="W860" s="21" t="s">
        <v>2276</v>
      </c>
      <c r="X860" s="21" t="s">
        <v>2276</v>
      </c>
      <c r="Y860" s="21" t="s">
        <v>2276</v>
      </c>
      <c r="Z860" s="21" t="s">
        <v>2276</v>
      </c>
      <c r="AA860" s="21" t="s">
        <v>2276</v>
      </c>
      <c r="AB860" s="21" t="s">
        <v>2276</v>
      </c>
      <c r="AC860" s="3"/>
      <c r="AD860" s="3"/>
    </row>
    <row r="861" spans="1:30" ht="34.5" customHeight="1">
      <c r="A861" s="11" t="s">
        <v>2751</v>
      </c>
      <c r="B861" s="11" t="s">
        <v>2757</v>
      </c>
      <c r="C861" s="23" t="s">
        <v>24</v>
      </c>
      <c r="D861" s="11" t="s">
        <v>27</v>
      </c>
      <c r="E861" s="11" t="s">
        <v>130</v>
      </c>
      <c r="F861" s="19" t="s">
        <v>161</v>
      </c>
      <c r="G861" s="3" t="s">
        <v>2276</v>
      </c>
      <c r="H861" s="3" t="s">
        <v>523</v>
      </c>
      <c r="I861" s="3"/>
      <c r="J861" s="21" t="s">
        <v>2276</v>
      </c>
      <c r="K861" s="21" t="s">
        <v>2276</v>
      </c>
      <c r="L861" s="21" t="s">
        <v>2276</v>
      </c>
      <c r="M861" s="21" t="s">
        <v>2276</v>
      </c>
      <c r="N861" s="21" t="s">
        <v>2276</v>
      </c>
      <c r="O861" s="21" t="s">
        <v>2276</v>
      </c>
      <c r="P861" s="21" t="s">
        <v>2276</v>
      </c>
      <c r="Q861" s="21" t="s">
        <v>2276</v>
      </c>
      <c r="R861" s="21" t="s">
        <v>2276</v>
      </c>
      <c r="S861" s="21" t="s">
        <v>2276</v>
      </c>
      <c r="T861" s="21" t="s">
        <v>2276</v>
      </c>
      <c r="U861" s="21" t="s">
        <v>2276</v>
      </c>
      <c r="V861" s="21" t="s">
        <v>2276</v>
      </c>
      <c r="W861" s="21" t="s">
        <v>2276</v>
      </c>
      <c r="X861" s="21" t="s">
        <v>2276</v>
      </c>
      <c r="Y861" s="21" t="s">
        <v>2276</v>
      </c>
      <c r="Z861" s="21" t="s">
        <v>2276</v>
      </c>
      <c r="AA861" s="21" t="s">
        <v>2276</v>
      </c>
      <c r="AB861" s="21" t="s">
        <v>2276</v>
      </c>
      <c r="AC861" s="3"/>
      <c r="AD861" s="3" t="s">
        <v>2760</v>
      </c>
    </row>
    <row r="862" spans="1:30" ht="30" customHeight="1">
      <c r="A862" s="11" t="s">
        <v>2756</v>
      </c>
      <c r="B862" s="11" t="s">
        <v>2758</v>
      </c>
      <c r="C862" s="23" t="s">
        <v>24</v>
      </c>
      <c r="D862" s="11" t="s">
        <v>27</v>
      </c>
      <c r="E862" s="11" t="s">
        <v>130</v>
      </c>
      <c r="F862" s="19" t="s">
        <v>161</v>
      </c>
      <c r="G862" s="3" t="s">
        <v>2276</v>
      </c>
      <c r="H862" s="3" t="s">
        <v>523</v>
      </c>
      <c r="I862" s="3"/>
      <c r="J862" s="21" t="s">
        <v>2276</v>
      </c>
      <c r="K862" s="21" t="s">
        <v>2276</v>
      </c>
      <c r="L862" s="21" t="s">
        <v>2276</v>
      </c>
      <c r="M862" s="21" t="s">
        <v>2276</v>
      </c>
      <c r="N862" s="21" t="s">
        <v>2276</v>
      </c>
      <c r="O862" s="21" t="s">
        <v>2276</v>
      </c>
      <c r="P862" s="21" t="s">
        <v>2276</v>
      </c>
      <c r="Q862" s="21" t="s">
        <v>2276</v>
      </c>
      <c r="R862" s="21" t="s">
        <v>2276</v>
      </c>
      <c r="S862" s="21" t="s">
        <v>2276</v>
      </c>
      <c r="T862" s="21" t="s">
        <v>2276</v>
      </c>
      <c r="U862" s="21" t="s">
        <v>2276</v>
      </c>
      <c r="V862" s="21" t="s">
        <v>2276</v>
      </c>
      <c r="W862" s="21" t="s">
        <v>2276</v>
      </c>
      <c r="X862" s="21" t="s">
        <v>2276</v>
      </c>
      <c r="Y862" s="21" t="s">
        <v>2276</v>
      </c>
      <c r="Z862" s="21" t="s">
        <v>2276</v>
      </c>
      <c r="AA862" s="21" t="s">
        <v>2276</v>
      </c>
      <c r="AB862" s="21" t="s">
        <v>2276</v>
      </c>
      <c r="AC862" s="3"/>
      <c r="AD862" s="3" t="s">
        <v>2761</v>
      </c>
    </row>
    <row r="863" spans="1:30" ht="39" customHeight="1">
      <c r="A863" s="11" t="s">
        <v>2763</v>
      </c>
      <c r="B863" s="11" t="s">
        <v>2766</v>
      </c>
      <c r="C863" s="23" t="s">
        <v>24</v>
      </c>
      <c r="D863" s="11" t="s">
        <v>27</v>
      </c>
      <c r="E863" s="11" t="s">
        <v>130</v>
      </c>
      <c r="F863" s="19" t="s">
        <v>161</v>
      </c>
      <c r="G863" s="3" t="s">
        <v>2276</v>
      </c>
      <c r="H863" s="3" t="s">
        <v>523</v>
      </c>
      <c r="I863" s="3"/>
      <c r="J863" s="21" t="s">
        <v>2276</v>
      </c>
      <c r="K863" s="21" t="s">
        <v>2276</v>
      </c>
      <c r="L863" s="21">
        <v>7.6999999999999999E-2</v>
      </c>
      <c r="M863" s="21" t="s">
        <v>2276</v>
      </c>
      <c r="N863" s="21">
        <v>8.8999999999999996E-2</v>
      </c>
      <c r="O863" s="21" t="s">
        <v>2276</v>
      </c>
      <c r="P863" s="21">
        <f>AVERAGE(L863,N863)</f>
        <v>8.299999999999999E-2</v>
      </c>
      <c r="Q863" s="21" t="s">
        <v>2276</v>
      </c>
      <c r="R863" s="21" t="s">
        <v>2276</v>
      </c>
      <c r="S863" s="21" t="s">
        <v>2276</v>
      </c>
      <c r="T863" s="21">
        <f>(77+89)/100</f>
        <v>1.66</v>
      </c>
      <c r="U863" s="21">
        <f>6.9+7.5</f>
        <v>14.4</v>
      </c>
      <c r="V863" s="21" t="s">
        <v>2276</v>
      </c>
      <c r="W863" s="21" t="s">
        <v>2276</v>
      </c>
      <c r="X863" s="21" t="s">
        <v>2276</v>
      </c>
      <c r="Y863" s="21" t="s">
        <v>2276</v>
      </c>
      <c r="Z863" s="3" t="s">
        <v>68</v>
      </c>
      <c r="AA863" s="3" t="s">
        <v>68</v>
      </c>
      <c r="AB863" s="74" t="s">
        <v>64</v>
      </c>
      <c r="AC863" s="3"/>
      <c r="AD863" s="3"/>
    </row>
    <row r="864" spans="1:30" ht="43.5">
      <c r="A864" s="11" t="s">
        <v>2769</v>
      </c>
      <c r="B864" s="11" t="s">
        <v>2770</v>
      </c>
      <c r="C864" s="23" t="s">
        <v>24</v>
      </c>
      <c r="D864" s="11" t="s">
        <v>27</v>
      </c>
      <c r="E864" s="11" t="s">
        <v>130</v>
      </c>
      <c r="F864" s="19" t="s">
        <v>28</v>
      </c>
      <c r="G864" s="3" t="s">
        <v>2276</v>
      </c>
      <c r="H864" s="3" t="s">
        <v>523</v>
      </c>
      <c r="I864" s="3"/>
      <c r="J864" s="21" t="s">
        <v>2276</v>
      </c>
      <c r="K864" s="21" t="s">
        <v>2276</v>
      </c>
      <c r="L864" s="21" t="s">
        <v>2276</v>
      </c>
      <c r="M864" s="21" t="s">
        <v>2276</v>
      </c>
      <c r="N864" s="21" t="s">
        <v>2276</v>
      </c>
      <c r="O864" s="21" t="s">
        <v>2276</v>
      </c>
      <c r="P864" s="21" t="s">
        <v>2276</v>
      </c>
      <c r="Q864" s="21" t="s">
        <v>2276</v>
      </c>
      <c r="R864" s="21" t="s">
        <v>2276</v>
      </c>
      <c r="S864" s="21" t="s">
        <v>2276</v>
      </c>
      <c r="T864" s="21" t="s">
        <v>2276</v>
      </c>
      <c r="U864" s="21" t="s">
        <v>2276</v>
      </c>
      <c r="V864" s="21" t="s">
        <v>2276</v>
      </c>
      <c r="W864" s="21" t="s">
        <v>2276</v>
      </c>
      <c r="X864" s="21" t="s">
        <v>2276</v>
      </c>
      <c r="Y864" s="21" t="s">
        <v>2276</v>
      </c>
      <c r="Z864" s="74" t="s">
        <v>405</v>
      </c>
      <c r="AA864" s="74" t="s">
        <v>405</v>
      </c>
      <c r="AB864" s="74" t="s">
        <v>64</v>
      </c>
      <c r="AC864" s="3"/>
      <c r="AD864" s="4" t="s">
        <v>2789</v>
      </c>
    </row>
    <row r="865" spans="1:30" ht="43.5">
      <c r="A865" s="11" t="s">
        <v>2773</v>
      </c>
      <c r="B865" s="11" t="s">
        <v>2783</v>
      </c>
      <c r="C865" s="23" t="s">
        <v>24</v>
      </c>
      <c r="D865" s="11" t="s">
        <v>27</v>
      </c>
      <c r="E865" s="11" t="s">
        <v>130</v>
      </c>
      <c r="F865" s="19" t="s">
        <v>28</v>
      </c>
      <c r="G865" s="3" t="s">
        <v>2276</v>
      </c>
      <c r="H865" s="3" t="s">
        <v>523</v>
      </c>
      <c r="I865" s="3"/>
      <c r="J865" s="21" t="s">
        <v>2276</v>
      </c>
      <c r="K865" s="21" t="s">
        <v>2276</v>
      </c>
      <c r="L865" s="21" t="s">
        <v>2276</v>
      </c>
      <c r="M865" s="21" t="s">
        <v>2276</v>
      </c>
      <c r="N865" s="21" t="s">
        <v>2276</v>
      </c>
      <c r="O865" s="21" t="s">
        <v>2276</v>
      </c>
      <c r="P865" s="21" t="s">
        <v>2276</v>
      </c>
      <c r="Q865" s="21" t="s">
        <v>2276</v>
      </c>
      <c r="R865" s="21" t="s">
        <v>2276</v>
      </c>
      <c r="S865" s="21" t="s">
        <v>2276</v>
      </c>
      <c r="T865" s="21" t="s">
        <v>2276</v>
      </c>
      <c r="U865" s="21" t="s">
        <v>2276</v>
      </c>
      <c r="V865" s="21" t="s">
        <v>2276</v>
      </c>
      <c r="W865" s="21" t="s">
        <v>2276</v>
      </c>
      <c r="X865" s="21" t="s">
        <v>2276</v>
      </c>
      <c r="Y865" s="21" t="s">
        <v>2276</v>
      </c>
      <c r="Z865" s="74" t="s">
        <v>405</v>
      </c>
      <c r="AA865" s="74" t="s">
        <v>405</v>
      </c>
      <c r="AB865" s="74" t="s">
        <v>64</v>
      </c>
      <c r="AC865" s="3"/>
      <c r="AD865" s="4" t="s">
        <v>2789</v>
      </c>
    </row>
    <row r="866" spans="1:30" ht="43.5">
      <c r="A866" s="11" t="s">
        <v>2774</v>
      </c>
      <c r="B866" s="11" t="s">
        <v>2784</v>
      </c>
      <c r="C866" s="23" t="s">
        <v>24</v>
      </c>
      <c r="D866" s="11" t="s">
        <v>27</v>
      </c>
      <c r="E866" s="11" t="s">
        <v>130</v>
      </c>
      <c r="F866" s="19" t="s">
        <v>28</v>
      </c>
      <c r="G866" s="3" t="s">
        <v>2276</v>
      </c>
      <c r="H866" s="3" t="s">
        <v>523</v>
      </c>
      <c r="I866" s="3"/>
      <c r="J866" s="21" t="s">
        <v>2276</v>
      </c>
      <c r="K866" s="21" t="s">
        <v>2276</v>
      </c>
      <c r="L866" s="21" t="s">
        <v>2276</v>
      </c>
      <c r="M866" s="21" t="s">
        <v>2276</v>
      </c>
      <c r="N866" s="21" t="s">
        <v>2276</v>
      </c>
      <c r="O866" s="21" t="s">
        <v>2276</v>
      </c>
      <c r="P866" s="21" t="s">
        <v>2276</v>
      </c>
      <c r="Q866" s="21" t="s">
        <v>2276</v>
      </c>
      <c r="R866" s="21" t="s">
        <v>2276</v>
      </c>
      <c r="S866" s="21" t="s">
        <v>2276</v>
      </c>
      <c r="T866" s="21" t="s">
        <v>2276</v>
      </c>
      <c r="U866" s="21" t="s">
        <v>2276</v>
      </c>
      <c r="V866" s="21" t="s">
        <v>2276</v>
      </c>
      <c r="W866" s="21" t="s">
        <v>2276</v>
      </c>
      <c r="X866" s="21" t="s">
        <v>2276</v>
      </c>
      <c r="Y866" s="21" t="s">
        <v>2276</v>
      </c>
      <c r="Z866" s="74" t="s">
        <v>405</v>
      </c>
      <c r="AA866" s="74" t="s">
        <v>405</v>
      </c>
      <c r="AB866" s="74" t="s">
        <v>64</v>
      </c>
      <c r="AC866" s="3"/>
      <c r="AD866" s="4" t="s">
        <v>2789</v>
      </c>
    </row>
    <row r="867" spans="1:30" ht="43.5">
      <c r="A867" s="11" t="s">
        <v>2775</v>
      </c>
      <c r="B867" s="11" t="s">
        <v>2785</v>
      </c>
      <c r="C867" s="23" t="s">
        <v>24</v>
      </c>
      <c r="D867" s="11" t="s">
        <v>27</v>
      </c>
      <c r="E867" s="11" t="s">
        <v>130</v>
      </c>
      <c r="F867" s="19" t="s">
        <v>28</v>
      </c>
      <c r="G867" s="3" t="s">
        <v>2276</v>
      </c>
      <c r="H867" s="3" t="s">
        <v>523</v>
      </c>
      <c r="I867" s="3"/>
      <c r="J867" s="21" t="s">
        <v>2276</v>
      </c>
      <c r="K867" s="21" t="s">
        <v>2276</v>
      </c>
      <c r="L867" s="21" t="s">
        <v>2276</v>
      </c>
      <c r="M867" s="21" t="s">
        <v>2276</v>
      </c>
      <c r="N867" s="21" t="s">
        <v>2276</v>
      </c>
      <c r="O867" s="21" t="s">
        <v>2276</v>
      </c>
      <c r="P867" s="21" t="s">
        <v>2276</v>
      </c>
      <c r="Q867" s="21" t="s">
        <v>2276</v>
      </c>
      <c r="R867" s="21" t="s">
        <v>2276</v>
      </c>
      <c r="S867" s="21" t="s">
        <v>2276</v>
      </c>
      <c r="T867" s="21" t="s">
        <v>2276</v>
      </c>
      <c r="U867" s="21" t="s">
        <v>2276</v>
      </c>
      <c r="V867" s="21" t="s">
        <v>2276</v>
      </c>
      <c r="W867" s="21" t="s">
        <v>2276</v>
      </c>
      <c r="X867" s="21" t="s">
        <v>2276</v>
      </c>
      <c r="Y867" s="21" t="s">
        <v>2276</v>
      </c>
      <c r="Z867" s="74" t="s">
        <v>405</v>
      </c>
      <c r="AA867" s="74" t="s">
        <v>405</v>
      </c>
      <c r="AB867" s="74" t="s">
        <v>64</v>
      </c>
      <c r="AC867" s="3"/>
      <c r="AD867" s="4" t="s">
        <v>2789</v>
      </c>
    </row>
    <row r="868" spans="1:30" ht="43.5">
      <c r="A868" s="11" t="s">
        <v>2776</v>
      </c>
      <c r="B868" s="11" t="s">
        <v>2786</v>
      </c>
      <c r="C868" s="23" t="s">
        <v>24</v>
      </c>
      <c r="D868" s="11" t="s">
        <v>27</v>
      </c>
      <c r="E868" s="11" t="s">
        <v>130</v>
      </c>
      <c r="F868" s="19" t="s">
        <v>28</v>
      </c>
      <c r="G868" s="3" t="s">
        <v>2276</v>
      </c>
      <c r="H868" s="3" t="s">
        <v>523</v>
      </c>
      <c r="I868" s="3"/>
      <c r="J868" s="21" t="s">
        <v>2276</v>
      </c>
      <c r="K868" s="21" t="s">
        <v>2276</v>
      </c>
      <c r="L868" s="21" t="s">
        <v>2276</v>
      </c>
      <c r="M868" s="21" t="s">
        <v>2276</v>
      </c>
      <c r="N868" s="21" t="s">
        <v>2276</v>
      </c>
      <c r="O868" s="21" t="s">
        <v>2276</v>
      </c>
      <c r="P868" s="21" t="s">
        <v>2276</v>
      </c>
      <c r="Q868" s="21" t="s">
        <v>2276</v>
      </c>
      <c r="R868" s="21" t="s">
        <v>2276</v>
      </c>
      <c r="S868" s="21" t="s">
        <v>2276</v>
      </c>
      <c r="T868" s="21" t="s">
        <v>2276</v>
      </c>
      <c r="U868" s="21" t="s">
        <v>2276</v>
      </c>
      <c r="V868" s="21" t="s">
        <v>2276</v>
      </c>
      <c r="W868" s="21" t="s">
        <v>2276</v>
      </c>
      <c r="X868" s="21" t="s">
        <v>2276</v>
      </c>
      <c r="Y868" s="21" t="s">
        <v>2276</v>
      </c>
      <c r="Z868" s="74" t="s">
        <v>405</v>
      </c>
      <c r="AA868" s="74" t="s">
        <v>405</v>
      </c>
      <c r="AB868" s="74" t="s">
        <v>64</v>
      </c>
      <c r="AC868" s="3"/>
      <c r="AD868" s="4" t="s">
        <v>2789</v>
      </c>
    </row>
    <row r="869" spans="1:30" ht="35.5" customHeight="1">
      <c r="A869" s="11" t="s">
        <v>2796</v>
      </c>
      <c r="B869" s="11" t="s">
        <v>2801</v>
      </c>
      <c r="C869" s="23" t="s">
        <v>24</v>
      </c>
      <c r="D869" s="3" t="s">
        <v>2804</v>
      </c>
      <c r="E869" s="3" t="s">
        <v>5005</v>
      </c>
      <c r="F869" s="4" t="s">
        <v>55</v>
      </c>
      <c r="G869" s="3" t="s">
        <v>2276</v>
      </c>
      <c r="H869" s="3" t="s">
        <v>524</v>
      </c>
      <c r="I869" s="3"/>
      <c r="J869" s="21">
        <v>0</v>
      </c>
      <c r="K869" s="21">
        <v>0</v>
      </c>
      <c r="L869" s="21">
        <v>0</v>
      </c>
      <c r="M869" s="21">
        <v>0</v>
      </c>
      <c r="N869" s="21">
        <v>0</v>
      </c>
      <c r="O869" s="21">
        <v>0</v>
      </c>
      <c r="P869" s="21">
        <v>0</v>
      </c>
      <c r="Q869" s="21">
        <v>0</v>
      </c>
      <c r="R869" s="21">
        <v>0</v>
      </c>
      <c r="S869" s="21">
        <v>0</v>
      </c>
      <c r="T869" s="21">
        <v>0</v>
      </c>
      <c r="U869" s="21">
        <v>0</v>
      </c>
      <c r="V869" s="21">
        <v>0</v>
      </c>
      <c r="W869" s="21">
        <v>0</v>
      </c>
      <c r="X869" s="21">
        <v>0</v>
      </c>
      <c r="Y869" s="21">
        <v>0</v>
      </c>
      <c r="Z869" s="21" t="s">
        <v>2276</v>
      </c>
      <c r="AA869" s="21" t="s">
        <v>2276</v>
      </c>
      <c r="AB869" s="21" t="s">
        <v>2276</v>
      </c>
      <c r="AC869" s="3"/>
      <c r="AD869" s="3"/>
    </row>
    <row r="870" spans="1:30" ht="35.5" customHeight="1">
      <c r="A870" s="11" t="s">
        <v>2796</v>
      </c>
      <c r="B870" s="11" t="s">
        <v>2807</v>
      </c>
      <c r="C870" s="23" t="s">
        <v>24</v>
      </c>
      <c r="D870" s="3" t="s">
        <v>2804</v>
      </c>
      <c r="E870" s="3" t="s">
        <v>5005</v>
      </c>
      <c r="F870" s="4" t="s">
        <v>2662</v>
      </c>
      <c r="G870" s="3" t="s">
        <v>2276</v>
      </c>
      <c r="H870" s="3" t="s">
        <v>524</v>
      </c>
      <c r="I870" s="3"/>
      <c r="J870" s="21">
        <v>0</v>
      </c>
      <c r="K870" s="21">
        <v>0</v>
      </c>
      <c r="L870" s="21">
        <v>0</v>
      </c>
      <c r="M870" s="21">
        <v>0</v>
      </c>
      <c r="N870" s="21">
        <v>0</v>
      </c>
      <c r="O870" s="21">
        <v>0</v>
      </c>
      <c r="P870" s="21">
        <v>0</v>
      </c>
      <c r="Q870" s="21">
        <v>0</v>
      </c>
      <c r="R870" s="21">
        <v>0</v>
      </c>
      <c r="S870" s="21">
        <v>0</v>
      </c>
      <c r="T870" s="21">
        <v>0</v>
      </c>
      <c r="U870" s="21">
        <v>0</v>
      </c>
      <c r="V870" s="21">
        <v>0</v>
      </c>
      <c r="W870" s="21">
        <v>0</v>
      </c>
      <c r="X870" s="21">
        <v>0</v>
      </c>
      <c r="Y870" s="21">
        <v>0</v>
      </c>
      <c r="Z870" s="21" t="s">
        <v>2276</v>
      </c>
      <c r="AA870" s="21" t="s">
        <v>2276</v>
      </c>
      <c r="AB870" s="21" t="s">
        <v>2276</v>
      </c>
      <c r="AC870" s="3"/>
      <c r="AD870" s="3"/>
    </row>
    <row r="871" spans="1:30" ht="34.5" customHeight="1">
      <c r="A871" s="11" t="s">
        <v>2799</v>
      </c>
      <c r="B871" s="11" t="s">
        <v>2802</v>
      </c>
      <c r="C871" s="23" t="s">
        <v>24</v>
      </c>
      <c r="D871" s="3" t="s">
        <v>2804</v>
      </c>
      <c r="E871" s="3" t="s">
        <v>5005</v>
      </c>
      <c r="F871" s="4" t="s">
        <v>55</v>
      </c>
      <c r="G871" s="3" t="s">
        <v>2276</v>
      </c>
      <c r="H871" s="3" t="s">
        <v>524</v>
      </c>
      <c r="I871" s="3"/>
      <c r="J871" s="21">
        <v>0</v>
      </c>
      <c r="K871" s="21">
        <v>0</v>
      </c>
      <c r="L871" s="21">
        <v>0</v>
      </c>
      <c r="M871" s="21">
        <v>0</v>
      </c>
      <c r="N871" s="21">
        <v>0</v>
      </c>
      <c r="O871" s="21">
        <v>0</v>
      </c>
      <c r="P871" s="21">
        <v>0</v>
      </c>
      <c r="Q871" s="21">
        <v>0</v>
      </c>
      <c r="R871" s="21">
        <v>0</v>
      </c>
      <c r="S871" s="21">
        <v>0</v>
      </c>
      <c r="T871" s="21">
        <v>0</v>
      </c>
      <c r="U871" s="21">
        <v>0</v>
      </c>
      <c r="V871" s="21">
        <v>0</v>
      </c>
      <c r="W871" s="21">
        <v>0</v>
      </c>
      <c r="X871" s="21">
        <v>0</v>
      </c>
      <c r="Y871" s="21">
        <v>0</v>
      </c>
      <c r="Z871" s="21" t="s">
        <v>2276</v>
      </c>
      <c r="AA871" s="21" t="s">
        <v>2276</v>
      </c>
      <c r="AB871" s="21" t="s">
        <v>2276</v>
      </c>
      <c r="AC871" s="3"/>
      <c r="AD871" s="3"/>
    </row>
    <row r="872" spans="1:30" ht="34.5" customHeight="1">
      <c r="A872" s="11" t="s">
        <v>2799</v>
      </c>
      <c r="B872" s="11" t="s">
        <v>2806</v>
      </c>
      <c r="C872" s="23" t="s">
        <v>24</v>
      </c>
      <c r="D872" s="3" t="s">
        <v>2804</v>
      </c>
      <c r="E872" s="3" t="s">
        <v>5005</v>
      </c>
      <c r="F872" s="4" t="s">
        <v>2662</v>
      </c>
      <c r="G872" s="3" t="s">
        <v>2276</v>
      </c>
      <c r="H872" s="3" t="s">
        <v>524</v>
      </c>
      <c r="I872" s="3"/>
      <c r="J872" s="21">
        <v>0</v>
      </c>
      <c r="K872" s="21">
        <v>0</v>
      </c>
      <c r="L872" s="21">
        <v>0</v>
      </c>
      <c r="M872" s="21">
        <v>0</v>
      </c>
      <c r="N872" s="21">
        <v>0</v>
      </c>
      <c r="O872" s="21">
        <v>0</v>
      </c>
      <c r="P872" s="21">
        <v>0</v>
      </c>
      <c r="Q872" s="21">
        <v>0</v>
      </c>
      <c r="R872" s="21">
        <v>0</v>
      </c>
      <c r="S872" s="21">
        <v>0</v>
      </c>
      <c r="T872" s="21">
        <v>0</v>
      </c>
      <c r="U872" s="21">
        <v>0</v>
      </c>
      <c r="V872" s="21">
        <v>0</v>
      </c>
      <c r="W872" s="21">
        <v>0</v>
      </c>
      <c r="X872" s="21">
        <v>0</v>
      </c>
      <c r="Y872" s="21">
        <v>0</v>
      </c>
      <c r="Z872" s="21" t="s">
        <v>2276</v>
      </c>
      <c r="AA872" s="21" t="s">
        <v>2276</v>
      </c>
      <c r="AB872" s="21" t="s">
        <v>2276</v>
      </c>
      <c r="AC872" s="3"/>
      <c r="AD872" s="3"/>
    </row>
    <row r="873" spans="1:30" ht="33.5" customHeight="1">
      <c r="A873" s="11" t="s">
        <v>2800</v>
      </c>
      <c r="B873" s="11" t="s">
        <v>2803</v>
      </c>
      <c r="C873" s="23" t="s">
        <v>24</v>
      </c>
      <c r="D873" s="3" t="s">
        <v>2804</v>
      </c>
      <c r="E873" s="3" t="s">
        <v>5005</v>
      </c>
      <c r="F873" s="4" t="s">
        <v>55</v>
      </c>
      <c r="G873" s="3" t="s">
        <v>2276</v>
      </c>
      <c r="H873" s="3" t="s">
        <v>524</v>
      </c>
      <c r="I873" s="3"/>
      <c r="J873" s="21">
        <v>0</v>
      </c>
      <c r="K873" s="21">
        <v>0</v>
      </c>
      <c r="L873" s="21">
        <v>0</v>
      </c>
      <c r="M873" s="21">
        <v>0</v>
      </c>
      <c r="N873" s="21">
        <v>0</v>
      </c>
      <c r="O873" s="21">
        <v>0</v>
      </c>
      <c r="P873" s="21">
        <v>0</v>
      </c>
      <c r="Q873" s="21">
        <v>0</v>
      </c>
      <c r="R873" s="21">
        <v>0</v>
      </c>
      <c r="S873" s="21">
        <v>0</v>
      </c>
      <c r="T873" s="21">
        <v>0</v>
      </c>
      <c r="U873" s="21">
        <v>0</v>
      </c>
      <c r="V873" s="21">
        <v>0</v>
      </c>
      <c r="W873" s="21">
        <v>0</v>
      </c>
      <c r="X873" s="21">
        <v>0</v>
      </c>
      <c r="Y873" s="21">
        <v>0</v>
      </c>
      <c r="Z873" s="21" t="s">
        <v>2276</v>
      </c>
      <c r="AA873" s="21" t="s">
        <v>2276</v>
      </c>
      <c r="AB873" s="21" t="s">
        <v>2276</v>
      </c>
      <c r="AC873" s="3"/>
      <c r="AD873" s="3"/>
    </row>
    <row r="874" spans="1:30" ht="33.5" customHeight="1">
      <c r="A874" s="11" t="s">
        <v>2800</v>
      </c>
      <c r="B874" s="11" t="s">
        <v>2805</v>
      </c>
      <c r="C874" s="23" t="s">
        <v>24</v>
      </c>
      <c r="D874" s="3" t="s">
        <v>2804</v>
      </c>
      <c r="E874" s="3" t="s">
        <v>5005</v>
      </c>
      <c r="F874" s="4" t="s">
        <v>2662</v>
      </c>
      <c r="G874" s="3" t="s">
        <v>2276</v>
      </c>
      <c r="H874" s="3" t="s">
        <v>524</v>
      </c>
      <c r="I874" s="3"/>
      <c r="J874" s="21">
        <v>0</v>
      </c>
      <c r="K874" s="21">
        <v>0</v>
      </c>
      <c r="L874" s="21">
        <v>0</v>
      </c>
      <c r="M874" s="21">
        <v>0</v>
      </c>
      <c r="N874" s="21">
        <v>0</v>
      </c>
      <c r="O874" s="21">
        <v>0</v>
      </c>
      <c r="P874" s="21">
        <v>0</v>
      </c>
      <c r="Q874" s="21">
        <v>0</v>
      </c>
      <c r="R874" s="21">
        <v>0</v>
      </c>
      <c r="S874" s="21">
        <v>0</v>
      </c>
      <c r="T874" s="21">
        <v>0</v>
      </c>
      <c r="U874" s="21">
        <v>0</v>
      </c>
      <c r="V874" s="21">
        <v>0</v>
      </c>
      <c r="W874" s="21">
        <v>0</v>
      </c>
      <c r="X874" s="21">
        <v>0</v>
      </c>
      <c r="Y874" s="21">
        <v>0</v>
      </c>
      <c r="Z874" s="21" t="s">
        <v>2276</v>
      </c>
      <c r="AA874" s="21" t="s">
        <v>2276</v>
      </c>
      <c r="AB874" s="21" t="s">
        <v>2276</v>
      </c>
      <c r="AC874" s="3"/>
      <c r="AD874" s="3"/>
    </row>
    <row r="875" spans="1:30" ht="29" customHeight="1">
      <c r="A875" s="11" t="s">
        <v>2810</v>
      </c>
      <c r="B875" s="11" t="s">
        <v>2823</v>
      </c>
      <c r="C875" s="23" t="s">
        <v>24</v>
      </c>
      <c r="D875" s="3" t="s">
        <v>2804</v>
      </c>
      <c r="E875" s="3" t="s">
        <v>5005</v>
      </c>
      <c r="F875" s="4" t="s">
        <v>55</v>
      </c>
      <c r="G875" s="3" t="s">
        <v>2276</v>
      </c>
      <c r="H875" s="3" t="s">
        <v>524</v>
      </c>
      <c r="I875" s="3"/>
      <c r="J875" s="21">
        <v>0</v>
      </c>
      <c r="K875" s="21">
        <v>0</v>
      </c>
      <c r="L875" s="21">
        <v>0</v>
      </c>
      <c r="M875" s="21">
        <v>0</v>
      </c>
      <c r="N875" s="21">
        <v>0</v>
      </c>
      <c r="O875" s="21">
        <v>0</v>
      </c>
      <c r="P875" s="21">
        <v>0</v>
      </c>
      <c r="Q875" s="21">
        <v>0</v>
      </c>
      <c r="R875" s="21">
        <v>0</v>
      </c>
      <c r="S875" s="21">
        <v>0</v>
      </c>
      <c r="T875" s="21">
        <v>0</v>
      </c>
      <c r="U875" s="21">
        <v>0</v>
      </c>
      <c r="V875" s="21">
        <v>0</v>
      </c>
      <c r="W875" s="21">
        <v>0</v>
      </c>
      <c r="X875" s="21">
        <v>0</v>
      </c>
      <c r="Y875" s="21">
        <v>0</v>
      </c>
      <c r="Z875" s="21" t="s">
        <v>2276</v>
      </c>
      <c r="AA875" s="21" t="s">
        <v>2276</v>
      </c>
      <c r="AB875" s="21" t="s">
        <v>2276</v>
      </c>
      <c r="AC875" s="3"/>
      <c r="AD875" s="3"/>
    </row>
    <row r="876" spans="1:30" ht="35.5" customHeight="1">
      <c r="A876" s="11" t="s">
        <v>2810</v>
      </c>
      <c r="B876" s="11" t="s">
        <v>2824</v>
      </c>
      <c r="C876" s="23" t="s">
        <v>24</v>
      </c>
      <c r="D876" s="3" t="s">
        <v>2804</v>
      </c>
      <c r="E876" s="3" t="s">
        <v>5005</v>
      </c>
      <c r="F876" s="4" t="s">
        <v>2662</v>
      </c>
      <c r="G876" s="3" t="s">
        <v>2276</v>
      </c>
      <c r="H876" s="3" t="s">
        <v>524</v>
      </c>
      <c r="I876" s="3"/>
      <c r="J876" s="21">
        <v>0</v>
      </c>
      <c r="K876" s="21">
        <v>0</v>
      </c>
      <c r="L876" s="21">
        <v>0</v>
      </c>
      <c r="M876" s="21">
        <v>0</v>
      </c>
      <c r="N876" s="21">
        <v>0</v>
      </c>
      <c r="O876" s="21">
        <v>0</v>
      </c>
      <c r="P876" s="21">
        <v>0</v>
      </c>
      <c r="Q876" s="21">
        <v>0</v>
      </c>
      <c r="R876" s="21">
        <v>0</v>
      </c>
      <c r="S876" s="21">
        <v>0</v>
      </c>
      <c r="T876" s="21">
        <v>0</v>
      </c>
      <c r="U876" s="21">
        <v>0</v>
      </c>
      <c r="V876" s="21">
        <v>0</v>
      </c>
      <c r="W876" s="21">
        <v>0</v>
      </c>
      <c r="X876" s="21">
        <v>0</v>
      </c>
      <c r="Y876" s="21">
        <v>0</v>
      </c>
      <c r="Z876" s="21" t="s">
        <v>2276</v>
      </c>
      <c r="AA876" s="21" t="s">
        <v>2276</v>
      </c>
      <c r="AB876" s="21" t="s">
        <v>2276</v>
      </c>
      <c r="AC876" s="3"/>
      <c r="AD876" s="3"/>
    </row>
    <row r="877" spans="1:30" ht="36.5" customHeight="1">
      <c r="A877" s="11" t="s">
        <v>2811</v>
      </c>
      <c r="B877" s="11" t="s">
        <v>2825</v>
      </c>
      <c r="C877" s="23" t="s">
        <v>24</v>
      </c>
      <c r="D877" s="3" t="s">
        <v>2804</v>
      </c>
      <c r="E877" s="3" t="s">
        <v>5005</v>
      </c>
      <c r="F877" s="4" t="s">
        <v>55</v>
      </c>
      <c r="G877" s="3" t="s">
        <v>2276</v>
      </c>
      <c r="H877" s="3" t="s">
        <v>524</v>
      </c>
      <c r="I877" s="3"/>
      <c r="J877" s="21">
        <v>0</v>
      </c>
      <c r="K877" s="21">
        <v>0</v>
      </c>
      <c r="L877" s="21">
        <v>0</v>
      </c>
      <c r="M877" s="21">
        <v>0</v>
      </c>
      <c r="N877" s="21">
        <v>0</v>
      </c>
      <c r="O877" s="21">
        <v>0</v>
      </c>
      <c r="P877" s="21">
        <v>0</v>
      </c>
      <c r="Q877" s="21">
        <v>0</v>
      </c>
      <c r="R877" s="21">
        <v>0</v>
      </c>
      <c r="S877" s="21">
        <v>0</v>
      </c>
      <c r="T877" s="21">
        <v>0</v>
      </c>
      <c r="U877" s="21">
        <v>0</v>
      </c>
      <c r="V877" s="21">
        <v>0</v>
      </c>
      <c r="W877" s="21">
        <v>0</v>
      </c>
      <c r="X877" s="21">
        <v>0</v>
      </c>
      <c r="Y877" s="21">
        <v>0</v>
      </c>
      <c r="Z877" s="21" t="s">
        <v>2276</v>
      </c>
      <c r="AA877" s="21" t="s">
        <v>2276</v>
      </c>
      <c r="AB877" s="21" t="s">
        <v>2276</v>
      </c>
      <c r="AC877" s="3"/>
      <c r="AD877" s="3"/>
    </row>
    <row r="878" spans="1:30" ht="36.5" customHeight="1">
      <c r="A878" s="11" t="s">
        <v>2811</v>
      </c>
      <c r="B878" s="11" t="s">
        <v>2826</v>
      </c>
      <c r="C878" s="23" t="s">
        <v>24</v>
      </c>
      <c r="D878" s="3" t="s">
        <v>2804</v>
      </c>
      <c r="E878" s="3" t="s">
        <v>5005</v>
      </c>
      <c r="F878" s="4" t="s">
        <v>2662</v>
      </c>
      <c r="G878" s="3" t="s">
        <v>2276</v>
      </c>
      <c r="H878" s="3" t="s">
        <v>524</v>
      </c>
      <c r="I878" s="3"/>
      <c r="J878" s="21">
        <v>0</v>
      </c>
      <c r="K878" s="21">
        <v>0</v>
      </c>
      <c r="L878" s="21">
        <v>0</v>
      </c>
      <c r="M878" s="21">
        <v>0</v>
      </c>
      <c r="N878" s="21">
        <v>0</v>
      </c>
      <c r="O878" s="21">
        <v>0</v>
      </c>
      <c r="P878" s="21">
        <v>0</v>
      </c>
      <c r="Q878" s="21">
        <v>0</v>
      </c>
      <c r="R878" s="21">
        <v>0</v>
      </c>
      <c r="S878" s="21">
        <v>0</v>
      </c>
      <c r="T878" s="21">
        <v>0</v>
      </c>
      <c r="U878" s="21">
        <v>0</v>
      </c>
      <c r="V878" s="21">
        <v>0</v>
      </c>
      <c r="W878" s="21">
        <v>0</v>
      </c>
      <c r="X878" s="21">
        <v>0</v>
      </c>
      <c r="Y878" s="21">
        <v>0</v>
      </c>
      <c r="Z878" s="21" t="s">
        <v>2276</v>
      </c>
      <c r="AA878" s="21" t="s">
        <v>2276</v>
      </c>
      <c r="AB878" s="21" t="s">
        <v>2276</v>
      </c>
      <c r="AC878" s="3"/>
      <c r="AD878" s="3"/>
    </row>
    <row r="879" spans="1:30" ht="26.5" customHeight="1">
      <c r="A879" s="11" t="s">
        <v>2812</v>
      </c>
      <c r="B879" s="11" t="s">
        <v>2827</v>
      </c>
      <c r="C879" s="23" t="s">
        <v>24</v>
      </c>
      <c r="D879" s="3" t="s">
        <v>2804</v>
      </c>
      <c r="E879" s="3" t="s">
        <v>5005</v>
      </c>
      <c r="F879" s="4" t="s">
        <v>55</v>
      </c>
      <c r="G879" s="3" t="s">
        <v>2276</v>
      </c>
      <c r="H879" s="3" t="s">
        <v>524</v>
      </c>
      <c r="I879" s="3"/>
      <c r="J879" s="21">
        <v>0</v>
      </c>
      <c r="K879" s="21">
        <v>0</v>
      </c>
      <c r="L879" s="21">
        <v>0</v>
      </c>
      <c r="M879" s="21">
        <v>0</v>
      </c>
      <c r="N879" s="21">
        <v>0</v>
      </c>
      <c r="O879" s="21">
        <v>0</v>
      </c>
      <c r="P879" s="21">
        <v>0</v>
      </c>
      <c r="Q879" s="21">
        <v>0</v>
      </c>
      <c r="R879" s="21">
        <v>0</v>
      </c>
      <c r="S879" s="21">
        <v>0</v>
      </c>
      <c r="T879" s="21">
        <v>0</v>
      </c>
      <c r="U879" s="21">
        <v>0</v>
      </c>
      <c r="V879" s="21">
        <v>0</v>
      </c>
      <c r="W879" s="21">
        <v>0</v>
      </c>
      <c r="X879" s="21">
        <v>0</v>
      </c>
      <c r="Y879" s="21">
        <v>0</v>
      </c>
      <c r="Z879" s="21" t="s">
        <v>2276</v>
      </c>
      <c r="AA879" s="21" t="s">
        <v>2276</v>
      </c>
      <c r="AB879" s="21" t="s">
        <v>2276</v>
      </c>
      <c r="AC879" s="3"/>
      <c r="AD879" s="3"/>
    </row>
    <row r="880" spans="1:30" ht="31.5" customHeight="1">
      <c r="A880" s="11" t="s">
        <v>2812</v>
      </c>
      <c r="B880" s="11" t="s">
        <v>2828</v>
      </c>
      <c r="C880" s="23" t="s">
        <v>24</v>
      </c>
      <c r="D880" s="3" t="s">
        <v>2804</v>
      </c>
      <c r="E880" s="3" t="s">
        <v>5005</v>
      </c>
      <c r="F880" s="4" t="s">
        <v>2662</v>
      </c>
      <c r="G880" s="3" t="s">
        <v>2276</v>
      </c>
      <c r="H880" s="3" t="s">
        <v>524</v>
      </c>
      <c r="I880" s="3"/>
      <c r="J880" s="21">
        <v>0</v>
      </c>
      <c r="K880" s="21">
        <v>0</v>
      </c>
      <c r="L880" s="21">
        <v>0</v>
      </c>
      <c r="M880" s="21">
        <v>0</v>
      </c>
      <c r="N880" s="21">
        <v>0</v>
      </c>
      <c r="O880" s="21">
        <v>0</v>
      </c>
      <c r="P880" s="21">
        <v>0</v>
      </c>
      <c r="Q880" s="21">
        <v>0</v>
      </c>
      <c r="R880" s="21">
        <v>0</v>
      </c>
      <c r="S880" s="21">
        <v>0</v>
      </c>
      <c r="T880" s="21">
        <v>0</v>
      </c>
      <c r="U880" s="21">
        <v>0</v>
      </c>
      <c r="V880" s="21">
        <v>0</v>
      </c>
      <c r="W880" s="21">
        <v>0</v>
      </c>
      <c r="X880" s="21">
        <v>0</v>
      </c>
      <c r="Y880" s="21">
        <v>0</v>
      </c>
      <c r="Z880" s="21" t="s">
        <v>2276</v>
      </c>
      <c r="AA880" s="21" t="s">
        <v>2276</v>
      </c>
      <c r="AB880" s="21" t="s">
        <v>2276</v>
      </c>
      <c r="AC880" s="3"/>
      <c r="AD880" s="3"/>
    </row>
    <row r="881" spans="1:30" ht="29" customHeight="1">
      <c r="A881" s="11" t="s">
        <v>2813</v>
      </c>
      <c r="B881" s="11" t="s">
        <v>2829</v>
      </c>
      <c r="C881" s="23" t="s">
        <v>24</v>
      </c>
      <c r="D881" s="3" t="s">
        <v>2804</v>
      </c>
      <c r="E881" s="3" t="s">
        <v>5005</v>
      </c>
      <c r="F881" s="4" t="s">
        <v>55</v>
      </c>
      <c r="G881" s="3" t="s">
        <v>2276</v>
      </c>
      <c r="H881" s="3" t="s">
        <v>524</v>
      </c>
      <c r="I881" s="3"/>
      <c r="J881" s="21">
        <v>0</v>
      </c>
      <c r="K881" s="21">
        <v>0</v>
      </c>
      <c r="L881" s="21">
        <v>0</v>
      </c>
      <c r="M881" s="21">
        <v>0</v>
      </c>
      <c r="N881" s="21">
        <v>0</v>
      </c>
      <c r="O881" s="21">
        <v>0</v>
      </c>
      <c r="P881" s="21">
        <v>0</v>
      </c>
      <c r="Q881" s="21">
        <v>0</v>
      </c>
      <c r="R881" s="21">
        <v>0</v>
      </c>
      <c r="S881" s="21">
        <v>0</v>
      </c>
      <c r="T881" s="21">
        <v>0</v>
      </c>
      <c r="U881" s="21">
        <v>0</v>
      </c>
      <c r="V881" s="21">
        <v>0</v>
      </c>
      <c r="W881" s="21">
        <v>0</v>
      </c>
      <c r="X881" s="21">
        <v>0</v>
      </c>
      <c r="Y881" s="21">
        <v>0</v>
      </c>
      <c r="Z881" s="21" t="s">
        <v>2276</v>
      </c>
      <c r="AA881" s="21" t="s">
        <v>2276</v>
      </c>
      <c r="AB881" s="21" t="s">
        <v>2276</v>
      </c>
      <c r="AC881" s="3"/>
      <c r="AD881" s="3"/>
    </row>
    <row r="882" spans="1:30" ht="31.5" customHeight="1">
      <c r="A882" s="11" t="s">
        <v>2813</v>
      </c>
      <c r="B882" s="11" t="s">
        <v>2830</v>
      </c>
      <c r="C882" s="23" t="s">
        <v>24</v>
      </c>
      <c r="D882" s="3" t="s">
        <v>2804</v>
      </c>
      <c r="E882" s="3" t="s">
        <v>5005</v>
      </c>
      <c r="F882" s="4" t="s">
        <v>2662</v>
      </c>
      <c r="G882" s="3" t="s">
        <v>2276</v>
      </c>
      <c r="H882" s="3" t="s">
        <v>524</v>
      </c>
      <c r="I882" s="3"/>
      <c r="J882" s="21">
        <v>0</v>
      </c>
      <c r="K882" s="21">
        <v>0</v>
      </c>
      <c r="L882" s="21">
        <v>0</v>
      </c>
      <c r="M882" s="21">
        <v>0</v>
      </c>
      <c r="N882" s="21">
        <v>0</v>
      </c>
      <c r="O882" s="21">
        <v>0</v>
      </c>
      <c r="P882" s="21">
        <v>0</v>
      </c>
      <c r="Q882" s="21">
        <v>0</v>
      </c>
      <c r="R882" s="21">
        <v>0</v>
      </c>
      <c r="S882" s="21">
        <v>0</v>
      </c>
      <c r="T882" s="21">
        <v>0</v>
      </c>
      <c r="U882" s="21">
        <v>0</v>
      </c>
      <c r="V882" s="21">
        <v>0</v>
      </c>
      <c r="W882" s="21">
        <v>0</v>
      </c>
      <c r="X882" s="21">
        <v>0</v>
      </c>
      <c r="Y882" s="21">
        <v>0</v>
      </c>
      <c r="Z882" s="21" t="s">
        <v>2276</v>
      </c>
      <c r="AA882" s="21" t="s">
        <v>2276</v>
      </c>
      <c r="AB882" s="21" t="s">
        <v>2276</v>
      </c>
      <c r="AC882" s="3"/>
      <c r="AD882" s="3"/>
    </row>
    <row r="883" spans="1:30" ht="33.5" customHeight="1">
      <c r="A883" s="11" t="s">
        <v>2814</v>
      </c>
      <c r="B883" s="11" t="s">
        <v>2831</v>
      </c>
      <c r="C883" s="23" t="s">
        <v>24</v>
      </c>
      <c r="D883" s="3" t="s">
        <v>2804</v>
      </c>
      <c r="E883" s="3" t="s">
        <v>5005</v>
      </c>
      <c r="F883" s="4" t="s">
        <v>55</v>
      </c>
      <c r="G883" s="3" t="s">
        <v>2276</v>
      </c>
      <c r="H883" s="3" t="s">
        <v>523</v>
      </c>
      <c r="I883" s="3"/>
      <c r="J883" s="21" t="s">
        <v>2276</v>
      </c>
      <c r="K883" s="21" t="s">
        <v>2276</v>
      </c>
      <c r="L883" s="21" t="s">
        <v>2276</v>
      </c>
      <c r="M883" s="21" t="s">
        <v>2276</v>
      </c>
      <c r="N883" s="21" t="s">
        <v>2276</v>
      </c>
      <c r="O883" s="21" t="s">
        <v>2276</v>
      </c>
      <c r="P883" s="21" t="s">
        <v>2276</v>
      </c>
      <c r="Q883" s="21" t="s">
        <v>2276</v>
      </c>
      <c r="R883" s="21" t="s">
        <v>2276</v>
      </c>
      <c r="S883" s="21" t="s">
        <v>2276</v>
      </c>
      <c r="T883" s="21" t="s">
        <v>2276</v>
      </c>
      <c r="U883" s="21" t="s">
        <v>2276</v>
      </c>
      <c r="V883" s="21" t="s">
        <v>2276</v>
      </c>
      <c r="W883" s="21" t="s">
        <v>2276</v>
      </c>
      <c r="X883" s="21" t="s">
        <v>2276</v>
      </c>
      <c r="Y883" s="21">
        <v>3</v>
      </c>
      <c r="Z883" s="21" t="s">
        <v>2276</v>
      </c>
      <c r="AA883" s="21" t="s">
        <v>2276</v>
      </c>
      <c r="AB883" s="21" t="s">
        <v>2276</v>
      </c>
      <c r="AC883" s="3"/>
      <c r="AD883" s="3"/>
    </row>
    <row r="884" spans="1:30" ht="31" customHeight="1">
      <c r="A884" s="11" t="s">
        <v>2814</v>
      </c>
      <c r="B884" s="11" t="s">
        <v>2832</v>
      </c>
      <c r="C884" s="23" t="s">
        <v>24</v>
      </c>
      <c r="D884" s="3" t="s">
        <v>2804</v>
      </c>
      <c r="E884" s="3" t="s">
        <v>5005</v>
      </c>
      <c r="F884" s="4" t="s">
        <v>2662</v>
      </c>
      <c r="G884" s="3" t="s">
        <v>2276</v>
      </c>
      <c r="H884" s="3" t="s">
        <v>523</v>
      </c>
      <c r="I884" s="3"/>
      <c r="J884" s="21" t="s">
        <v>2276</v>
      </c>
      <c r="K884" s="21" t="s">
        <v>2276</v>
      </c>
      <c r="L884" s="21" t="s">
        <v>2276</v>
      </c>
      <c r="M884" s="21" t="s">
        <v>2276</v>
      </c>
      <c r="N884" s="21" t="s">
        <v>2276</v>
      </c>
      <c r="O884" s="21" t="s">
        <v>2276</v>
      </c>
      <c r="P884" s="21" t="s">
        <v>2276</v>
      </c>
      <c r="Q884" s="21" t="s">
        <v>2276</v>
      </c>
      <c r="R884" s="21" t="s">
        <v>2276</v>
      </c>
      <c r="S884" s="21" t="s">
        <v>2276</v>
      </c>
      <c r="T884" s="21" t="s">
        <v>2276</v>
      </c>
      <c r="U884" s="21" t="s">
        <v>2276</v>
      </c>
      <c r="V884" s="21" t="s">
        <v>2276</v>
      </c>
      <c r="W884" s="21" t="s">
        <v>2276</v>
      </c>
      <c r="X884" s="21" t="s">
        <v>2276</v>
      </c>
      <c r="Y884" s="21">
        <v>3</v>
      </c>
      <c r="Z884" s="21" t="s">
        <v>2276</v>
      </c>
      <c r="AA884" s="21" t="s">
        <v>2276</v>
      </c>
      <c r="AB884" s="21" t="s">
        <v>2276</v>
      </c>
      <c r="AC884" s="3"/>
      <c r="AD884" s="3"/>
    </row>
    <row r="885" spans="1:30" ht="33.5" customHeight="1">
      <c r="A885" s="11" t="s">
        <v>2839</v>
      </c>
      <c r="B885" s="3" t="s">
        <v>2844</v>
      </c>
      <c r="C885" s="23" t="s">
        <v>24</v>
      </c>
      <c r="D885" s="3" t="s">
        <v>27</v>
      </c>
      <c r="E885" s="3" t="s">
        <v>130</v>
      </c>
      <c r="F885" s="4" t="s">
        <v>161</v>
      </c>
      <c r="G885" s="3" t="s">
        <v>2276</v>
      </c>
      <c r="H885" s="3" t="s">
        <v>523</v>
      </c>
      <c r="I885" s="3"/>
      <c r="J885" s="21" t="s">
        <v>2276</v>
      </c>
      <c r="K885" s="21" t="s">
        <v>2276</v>
      </c>
      <c r="L885" s="21" t="s">
        <v>2276</v>
      </c>
      <c r="M885" s="21" t="s">
        <v>2276</v>
      </c>
      <c r="N885" s="21" t="s">
        <v>2276</v>
      </c>
      <c r="O885" s="21">
        <v>0.13</v>
      </c>
      <c r="P885" s="21" t="s">
        <v>2276</v>
      </c>
      <c r="Q885" s="21" t="s">
        <v>2276</v>
      </c>
      <c r="R885" s="21" t="s">
        <v>2276</v>
      </c>
      <c r="S885" s="21" t="s">
        <v>2276</v>
      </c>
      <c r="T885" s="21" t="s">
        <v>2276</v>
      </c>
      <c r="U885" s="21" t="s">
        <v>2276</v>
      </c>
      <c r="V885" s="21" t="s">
        <v>2276</v>
      </c>
      <c r="W885" s="21" t="s">
        <v>2276</v>
      </c>
      <c r="X885" s="21" t="s">
        <v>2276</v>
      </c>
      <c r="Y885" s="21">
        <v>7</v>
      </c>
      <c r="Z885" s="21" t="s">
        <v>2276</v>
      </c>
      <c r="AA885" s="21" t="s">
        <v>2276</v>
      </c>
      <c r="AB885" s="21" t="s">
        <v>2276</v>
      </c>
      <c r="AC885" s="3"/>
      <c r="AD885" s="3"/>
    </row>
    <row r="886" spans="1:30" ht="37" customHeight="1">
      <c r="A886" s="11" t="s">
        <v>2840</v>
      </c>
      <c r="B886" s="3" t="s">
        <v>2847</v>
      </c>
      <c r="C886" s="23" t="s">
        <v>24</v>
      </c>
      <c r="D886" s="3" t="s">
        <v>27</v>
      </c>
      <c r="E886" s="3" t="s">
        <v>130</v>
      </c>
      <c r="F886" s="4" t="s">
        <v>161</v>
      </c>
      <c r="G886" s="3" t="s">
        <v>2276</v>
      </c>
      <c r="H886" s="3" t="s">
        <v>523</v>
      </c>
      <c r="I886" s="3"/>
      <c r="J886" s="21" t="s">
        <v>2276</v>
      </c>
      <c r="K886" s="21" t="s">
        <v>2276</v>
      </c>
      <c r="L886" s="21" t="s">
        <v>2276</v>
      </c>
      <c r="M886" s="21" t="s">
        <v>2276</v>
      </c>
      <c r="N886" s="21" t="s">
        <v>2276</v>
      </c>
      <c r="O886" s="21">
        <v>9.5000000000000001E-2</v>
      </c>
      <c r="P886" s="21" t="s">
        <v>2276</v>
      </c>
      <c r="Q886" s="21" t="s">
        <v>2276</v>
      </c>
      <c r="R886" s="21" t="s">
        <v>2276</v>
      </c>
      <c r="S886" s="21" t="s">
        <v>2276</v>
      </c>
      <c r="T886" s="21" t="s">
        <v>2276</v>
      </c>
      <c r="U886" s="21" t="s">
        <v>2276</v>
      </c>
      <c r="V886" s="21" t="s">
        <v>2276</v>
      </c>
      <c r="W886" s="21" t="s">
        <v>2276</v>
      </c>
      <c r="X886" s="21" t="s">
        <v>2276</v>
      </c>
      <c r="Y886" s="21">
        <v>5.75</v>
      </c>
      <c r="Z886" s="21" t="s">
        <v>2276</v>
      </c>
      <c r="AA886" s="21" t="s">
        <v>2276</v>
      </c>
      <c r="AB886" s="21" t="s">
        <v>2276</v>
      </c>
      <c r="AC886" s="3"/>
      <c r="AD886" s="3"/>
    </row>
    <row r="887" spans="1:30" ht="46.5" customHeight="1">
      <c r="A887" s="11" t="s">
        <v>2848</v>
      </c>
      <c r="B887" s="11" t="s">
        <v>2852</v>
      </c>
      <c r="C887" s="23" t="s">
        <v>24</v>
      </c>
      <c r="D887" s="3" t="s">
        <v>27</v>
      </c>
      <c r="E887" s="3" t="s">
        <v>130</v>
      </c>
      <c r="F887" s="4" t="s">
        <v>161</v>
      </c>
      <c r="G887" s="3" t="s">
        <v>2276</v>
      </c>
      <c r="H887" s="3" t="s">
        <v>524</v>
      </c>
      <c r="I887" s="3"/>
      <c r="J887" s="21" t="s">
        <v>2276</v>
      </c>
      <c r="K887" s="21" t="s">
        <v>2276</v>
      </c>
      <c r="L887" s="21" t="s">
        <v>2276</v>
      </c>
      <c r="M887" s="21" t="s">
        <v>2276</v>
      </c>
      <c r="N887" s="21" t="s">
        <v>2276</v>
      </c>
      <c r="O887" s="21" t="s">
        <v>2276</v>
      </c>
      <c r="P887" s="21" t="s">
        <v>2276</v>
      </c>
      <c r="Q887" s="21" t="s">
        <v>2276</v>
      </c>
      <c r="R887" s="21" t="s">
        <v>2276</v>
      </c>
      <c r="S887" s="21" t="s">
        <v>2276</v>
      </c>
      <c r="T887" s="21" t="s">
        <v>2276</v>
      </c>
      <c r="U887" s="21" t="s">
        <v>2276</v>
      </c>
      <c r="V887" s="21" t="s">
        <v>2276</v>
      </c>
      <c r="W887" s="21" t="s">
        <v>2276</v>
      </c>
      <c r="X887" s="21" t="s">
        <v>2276</v>
      </c>
      <c r="Y887" s="21" t="s">
        <v>2276</v>
      </c>
      <c r="Z887" s="21" t="s">
        <v>2276</v>
      </c>
      <c r="AA887" s="21" t="s">
        <v>2276</v>
      </c>
      <c r="AB887" s="21" t="s">
        <v>2276</v>
      </c>
      <c r="AC887" s="4" t="s">
        <v>2855</v>
      </c>
      <c r="AD887" s="3"/>
    </row>
    <row r="888" spans="1:30" ht="40" customHeight="1">
      <c r="A888" s="11" t="s">
        <v>2848</v>
      </c>
      <c r="B888" s="11" t="s">
        <v>2853</v>
      </c>
      <c r="C888" s="23" t="s">
        <v>24</v>
      </c>
      <c r="D888" s="3" t="s">
        <v>27</v>
      </c>
      <c r="E888" s="3" t="s">
        <v>130</v>
      </c>
      <c r="F888" s="4" t="s">
        <v>28</v>
      </c>
      <c r="G888" s="3" t="s">
        <v>2276</v>
      </c>
      <c r="H888" s="3" t="s">
        <v>523</v>
      </c>
      <c r="I888" s="3"/>
      <c r="J888" s="21" t="s">
        <v>2276</v>
      </c>
      <c r="K888" s="21" t="s">
        <v>2276</v>
      </c>
      <c r="L888" s="21" t="s">
        <v>2276</v>
      </c>
      <c r="M888" s="21" t="s">
        <v>2276</v>
      </c>
      <c r="N888" s="21" t="s">
        <v>2276</v>
      </c>
      <c r="O888" s="21" t="s">
        <v>2276</v>
      </c>
      <c r="P888" s="21" t="s">
        <v>2276</v>
      </c>
      <c r="Q888" s="21" t="s">
        <v>2276</v>
      </c>
      <c r="R888" s="21" t="s">
        <v>2276</v>
      </c>
      <c r="S888" s="21" t="s">
        <v>2276</v>
      </c>
      <c r="T888" s="21" t="s">
        <v>2276</v>
      </c>
      <c r="U888" s="21" t="s">
        <v>2276</v>
      </c>
      <c r="V888" s="21" t="s">
        <v>2276</v>
      </c>
      <c r="W888" s="21" t="s">
        <v>2276</v>
      </c>
      <c r="X888" s="21" t="s">
        <v>2276</v>
      </c>
      <c r="Y888" s="21" t="s">
        <v>2276</v>
      </c>
      <c r="Z888" s="21" t="s">
        <v>2276</v>
      </c>
      <c r="AA888" s="21" t="s">
        <v>2276</v>
      </c>
      <c r="AB888" s="21" t="s">
        <v>2276</v>
      </c>
      <c r="AC888" s="4" t="s">
        <v>2856</v>
      </c>
      <c r="AD888" s="3"/>
    </row>
    <row r="889" spans="1:30" ht="47.5" customHeight="1">
      <c r="A889" s="11" t="s">
        <v>2848</v>
      </c>
      <c r="B889" s="11" t="s">
        <v>2854</v>
      </c>
      <c r="C889" s="23" t="s">
        <v>24</v>
      </c>
      <c r="D889" s="3" t="s">
        <v>27</v>
      </c>
      <c r="E889" s="4" t="s">
        <v>397</v>
      </c>
      <c r="F889" s="4" t="s">
        <v>28</v>
      </c>
      <c r="G889" s="3" t="s">
        <v>2276</v>
      </c>
      <c r="H889" s="3" t="s">
        <v>524</v>
      </c>
      <c r="I889" s="3"/>
      <c r="J889" s="21" t="s">
        <v>2276</v>
      </c>
      <c r="K889" s="21" t="s">
        <v>2276</v>
      </c>
      <c r="L889" s="21" t="s">
        <v>2276</v>
      </c>
      <c r="M889" s="21" t="s">
        <v>2276</v>
      </c>
      <c r="N889" s="21" t="s">
        <v>2276</v>
      </c>
      <c r="O889" s="21" t="s">
        <v>2276</v>
      </c>
      <c r="P889" s="21" t="s">
        <v>2276</v>
      </c>
      <c r="Q889" s="21" t="s">
        <v>2276</v>
      </c>
      <c r="R889" s="21" t="s">
        <v>2276</v>
      </c>
      <c r="S889" s="21" t="s">
        <v>2276</v>
      </c>
      <c r="T889" s="21" t="s">
        <v>2276</v>
      </c>
      <c r="U889" s="21" t="s">
        <v>2276</v>
      </c>
      <c r="V889" s="21" t="s">
        <v>2276</v>
      </c>
      <c r="W889" s="21" t="s">
        <v>2276</v>
      </c>
      <c r="X889" s="21" t="s">
        <v>2276</v>
      </c>
      <c r="Y889" s="21" t="s">
        <v>2276</v>
      </c>
      <c r="Z889" s="21" t="s">
        <v>2276</v>
      </c>
      <c r="AA889" s="21" t="s">
        <v>2276</v>
      </c>
      <c r="AB889" s="21" t="s">
        <v>2276</v>
      </c>
      <c r="AC889" s="4" t="s">
        <v>2857</v>
      </c>
      <c r="AD889" s="3"/>
    </row>
    <row r="890" spans="1:30" ht="48" customHeight="1">
      <c r="A890" s="11" t="s">
        <v>2848</v>
      </c>
      <c r="B890" s="11" t="s">
        <v>2858</v>
      </c>
      <c r="C890" s="23" t="s">
        <v>24</v>
      </c>
      <c r="D890" s="3" t="s">
        <v>2659</v>
      </c>
      <c r="E890" s="4" t="s">
        <v>397</v>
      </c>
      <c r="F890" s="4" t="s">
        <v>28</v>
      </c>
      <c r="G890" s="3" t="s">
        <v>2276</v>
      </c>
      <c r="H890" s="3" t="s">
        <v>523</v>
      </c>
      <c r="I890" s="3"/>
      <c r="J890" s="21" t="s">
        <v>2276</v>
      </c>
      <c r="K890" s="21" t="s">
        <v>2276</v>
      </c>
      <c r="L890" s="21" t="s">
        <v>2276</v>
      </c>
      <c r="M890" s="21" t="s">
        <v>2276</v>
      </c>
      <c r="N890" s="21" t="s">
        <v>2276</v>
      </c>
      <c r="O890" s="21" t="s">
        <v>2276</v>
      </c>
      <c r="P890" s="21" t="s">
        <v>2276</v>
      </c>
      <c r="Q890" s="21" t="s">
        <v>2276</v>
      </c>
      <c r="R890" s="21" t="s">
        <v>2276</v>
      </c>
      <c r="S890" s="21" t="s">
        <v>2276</v>
      </c>
      <c r="T890" s="21" t="s">
        <v>2276</v>
      </c>
      <c r="U890" s="21" t="s">
        <v>2276</v>
      </c>
      <c r="V890" s="21" t="s">
        <v>2276</v>
      </c>
      <c r="W890" s="21" t="s">
        <v>2276</v>
      </c>
      <c r="X890" s="21" t="s">
        <v>2276</v>
      </c>
      <c r="Y890" s="21" t="s">
        <v>2276</v>
      </c>
      <c r="Z890" s="21" t="s">
        <v>2276</v>
      </c>
      <c r="AA890" s="21" t="s">
        <v>2276</v>
      </c>
      <c r="AB890" s="21" t="s">
        <v>2276</v>
      </c>
      <c r="AC890" s="3" t="s">
        <v>2859</v>
      </c>
      <c r="AD890" s="3"/>
    </row>
    <row r="891" spans="1:30" ht="43" customHeight="1">
      <c r="A891" s="11" t="s">
        <v>2863</v>
      </c>
      <c r="B891" s="11" t="s">
        <v>2866</v>
      </c>
      <c r="C891" s="23" t="s">
        <v>24</v>
      </c>
      <c r="D891" s="3" t="s">
        <v>27</v>
      </c>
      <c r="E891" s="3" t="s">
        <v>130</v>
      </c>
      <c r="F891" s="4" t="s">
        <v>161</v>
      </c>
      <c r="G891" s="3" t="s">
        <v>2276</v>
      </c>
      <c r="H891" s="3" t="s">
        <v>523</v>
      </c>
      <c r="I891" s="3"/>
      <c r="J891" s="21" t="s">
        <v>2276</v>
      </c>
      <c r="K891" s="21" t="s">
        <v>2276</v>
      </c>
      <c r="L891" s="21" t="s">
        <v>2276</v>
      </c>
      <c r="M891" s="21" t="s">
        <v>2276</v>
      </c>
      <c r="N891" s="21" t="s">
        <v>2276</v>
      </c>
      <c r="O891" s="21" t="s">
        <v>2276</v>
      </c>
      <c r="P891" s="21" t="s">
        <v>2276</v>
      </c>
      <c r="Q891" s="21" t="s">
        <v>2276</v>
      </c>
      <c r="R891" s="21" t="s">
        <v>2276</v>
      </c>
      <c r="S891" s="21" t="s">
        <v>2276</v>
      </c>
      <c r="T891" s="21" t="s">
        <v>2276</v>
      </c>
      <c r="U891" s="21" t="s">
        <v>2276</v>
      </c>
      <c r="V891" s="21" t="s">
        <v>2276</v>
      </c>
      <c r="W891" s="21" t="s">
        <v>2276</v>
      </c>
      <c r="X891" s="21" t="s">
        <v>2276</v>
      </c>
      <c r="Y891" s="21" t="s">
        <v>2276</v>
      </c>
      <c r="Z891" s="21" t="s">
        <v>2276</v>
      </c>
      <c r="AA891" s="21" t="s">
        <v>2276</v>
      </c>
      <c r="AB891" s="21" t="s">
        <v>2276</v>
      </c>
      <c r="AC891" s="3"/>
      <c r="AD891" s="3" t="s">
        <v>2876</v>
      </c>
    </row>
    <row r="892" spans="1:30" ht="45.5" customHeight="1">
      <c r="A892" s="11" t="s">
        <v>2870</v>
      </c>
      <c r="B892" s="11" t="s">
        <v>2873</v>
      </c>
      <c r="C892" s="23" t="s">
        <v>24</v>
      </c>
      <c r="D892" s="3" t="s">
        <v>27</v>
      </c>
      <c r="E892" s="3" t="s">
        <v>130</v>
      </c>
      <c r="F892" s="4" t="s">
        <v>161</v>
      </c>
      <c r="G892" s="3" t="s">
        <v>2276</v>
      </c>
      <c r="H892" s="3" t="s">
        <v>523</v>
      </c>
      <c r="I892" s="3"/>
      <c r="J892" s="21" t="s">
        <v>2276</v>
      </c>
      <c r="K892" s="21" t="s">
        <v>2276</v>
      </c>
      <c r="L892" s="21" t="s">
        <v>2276</v>
      </c>
      <c r="M892" s="21" t="s">
        <v>2276</v>
      </c>
      <c r="N892" s="21" t="s">
        <v>2276</v>
      </c>
      <c r="O892" s="21" t="s">
        <v>2276</v>
      </c>
      <c r="P892" s="21" t="s">
        <v>2276</v>
      </c>
      <c r="Q892" s="21" t="s">
        <v>2276</v>
      </c>
      <c r="R892" s="21" t="s">
        <v>2276</v>
      </c>
      <c r="S892" s="21" t="s">
        <v>2276</v>
      </c>
      <c r="T892" s="21" t="s">
        <v>2276</v>
      </c>
      <c r="U892" s="21" t="s">
        <v>2276</v>
      </c>
      <c r="V892" s="21" t="s">
        <v>2276</v>
      </c>
      <c r="W892" s="21" t="s">
        <v>2276</v>
      </c>
      <c r="X892" s="21" t="s">
        <v>2276</v>
      </c>
      <c r="Y892" s="21" t="s">
        <v>2276</v>
      </c>
      <c r="Z892" s="21" t="s">
        <v>2276</v>
      </c>
      <c r="AA892" s="21" t="s">
        <v>2276</v>
      </c>
      <c r="AB892" s="21" t="s">
        <v>2276</v>
      </c>
      <c r="AC892" s="3"/>
      <c r="AD892" s="3" t="s">
        <v>2876</v>
      </c>
    </row>
    <row r="893" spans="1:30" ht="45.5" customHeight="1">
      <c r="A893" s="11" t="s">
        <v>2870</v>
      </c>
      <c r="B893" s="11" t="s">
        <v>2874</v>
      </c>
      <c r="C893" s="23" t="s">
        <v>24</v>
      </c>
      <c r="D893" s="3" t="s">
        <v>27</v>
      </c>
      <c r="E893" s="3" t="s">
        <v>130</v>
      </c>
      <c r="F893" s="4" t="s">
        <v>74</v>
      </c>
      <c r="G893" s="3" t="s">
        <v>2276</v>
      </c>
      <c r="H893" s="3" t="s">
        <v>523</v>
      </c>
      <c r="I893" s="3"/>
      <c r="J893" s="21" t="s">
        <v>2276</v>
      </c>
      <c r="K893" s="21" t="s">
        <v>2276</v>
      </c>
      <c r="L893" s="21" t="s">
        <v>2276</v>
      </c>
      <c r="M893" s="21" t="s">
        <v>2276</v>
      </c>
      <c r="N893" s="21" t="s">
        <v>2276</v>
      </c>
      <c r="O893" s="21" t="s">
        <v>2276</v>
      </c>
      <c r="P893" s="21" t="s">
        <v>2276</v>
      </c>
      <c r="Q893" s="21" t="s">
        <v>2276</v>
      </c>
      <c r="R893" s="21" t="s">
        <v>2276</v>
      </c>
      <c r="S893" s="21" t="s">
        <v>2276</v>
      </c>
      <c r="T893" s="21" t="s">
        <v>2276</v>
      </c>
      <c r="U893" s="21" t="s">
        <v>2276</v>
      </c>
      <c r="V893" s="21" t="s">
        <v>2276</v>
      </c>
      <c r="W893" s="21" t="s">
        <v>2276</v>
      </c>
      <c r="X893" s="21" t="s">
        <v>2276</v>
      </c>
      <c r="Y893" s="21" t="s">
        <v>2276</v>
      </c>
      <c r="Z893" s="21" t="s">
        <v>2276</v>
      </c>
      <c r="AA893" s="21" t="s">
        <v>2276</v>
      </c>
      <c r="AB893" s="21" t="s">
        <v>2276</v>
      </c>
      <c r="AC893" s="4" t="s">
        <v>2875</v>
      </c>
      <c r="AD893" s="3"/>
    </row>
    <row r="894" spans="1:30" ht="46.5" customHeight="1">
      <c r="A894" s="11" t="s">
        <v>2870</v>
      </c>
      <c r="B894" s="11" t="s">
        <v>2877</v>
      </c>
      <c r="C894" s="23" t="s">
        <v>24</v>
      </c>
      <c r="D894" s="3" t="s">
        <v>143</v>
      </c>
      <c r="E894" s="4" t="s">
        <v>396</v>
      </c>
      <c r="F894" s="4" t="s">
        <v>74</v>
      </c>
      <c r="G894" s="3" t="s">
        <v>2276</v>
      </c>
      <c r="H894" s="3" t="s">
        <v>523</v>
      </c>
      <c r="I894" s="3"/>
      <c r="J894" s="21" t="s">
        <v>2276</v>
      </c>
      <c r="K894" s="21" t="s">
        <v>2276</v>
      </c>
      <c r="L894" s="21" t="s">
        <v>2276</v>
      </c>
      <c r="M894" s="21" t="s">
        <v>2276</v>
      </c>
      <c r="N894" s="21" t="s">
        <v>2276</v>
      </c>
      <c r="O894" s="21" t="s">
        <v>2276</v>
      </c>
      <c r="P894" s="21" t="s">
        <v>2276</v>
      </c>
      <c r="Q894" s="21" t="s">
        <v>2276</v>
      </c>
      <c r="R894" s="21" t="s">
        <v>2276</v>
      </c>
      <c r="S894" s="21" t="s">
        <v>2276</v>
      </c>
      <c r="T894" s="21" t="s">
        <v>2276</v>
      </c>
      <c r="U894" s="21" t="s">
        <v>2276</v>
      </c>
      <c r="V894" s="21" t="s">
        <v>2276</v>
      </c>
      <c r="W894" s="21" t="s">
        <v>2276</v>
      </c>
      <c r="X894" s="21" t="s">
        <v>2276</v>
      </c>
      <c r="Y894" s="21" t="s">
        <v>2276</v>
      </c>
      <c r="Z894" s="21" t="s">
        <v>2276</v>
      </c>
      <c r="AA894" s="21" t="s">
        <v>2276</v>
      </c>
      <c r="AB894" s="21" t="s">
        <v>2276</v>
      </c>
      <c r="AC894" s="4" t="s">
        <v>2878</v>
      </c>
      <c r="AD894" s="3"/>
    </row>
    <row r="895" spans="1:30" ht="46.5" customHeight="1">
      <c r="A895" s="11" t="s">
        <v>2881</v>
      </c>
      <c r="B895" s="11" t="s">
        <v>2883</v>
      </c>
      <c r="C895" s="3" t="s">
        <v>24</v>
      </c>
      <c r="D895" s="3" t="s">
        <v>27</v>
      </c>
      <c r="E895" s="3" t="s">
        <v>130</v>
      </c>
      <c r="F895" s="4" t="s">
        <v>161</v>
      </c>
      <c r="G895" s="3" t="s">
        <v>2276</v>
      </c>
      <c r="H895" s="3" t="s">
        <v>523</v>
      </c>
      <c r="I895" s="3"/>
      <c r="J895" s="21" t="s">
        <v>2276</v>
      </c>
      <c r="K895" s="21" t="s">
        <v>2276</v>
      </c>
      <c r="L895" s="21" t="s">
        <v>2276</v>
      </c>
      <c r="M895" s="21" t="s">
        <v>2276</v>
      </c>
      <c r="N895" s="21" t="s">
        <v>2276</v>
      </c>
      <c r="O895" s="21" t="s">
        <v>2276</v>
      </c>
      <c r="P895" s="21" t="s">
        <v>2276</v>
      </c>
      <c r="Q895" s="21" t="s">
        <v>2276</v>
      </c>
      <c r="R895" s="21" t="s">
        <v>2276</v>
      </c>
      <c r="S895" s="21" t="s">
        <v>2276</v>
      </c>
      <c r="T895" s="21" t="s">
        <v>2276</v>
      </c>
      <c r="U895" s="21" t="s">
        <v>2276</v>
      </c>
      <c r="V895" s="21" t="s">
        <v>2276</v>
      </c>
      <c r="W895" s="21" t="s">
        <v>2276</v>
      </c>
      <c r="X895" s="21" t="s">
        <v>2276</v>
      </c>
      <c r="Y895" s="21" t="s">
        <v>2276</v>
      </c>
      <c r="Z895" s="3" t="s">
        <v>399</v>
      </c>
      <c r="AA895" s="3" t="s">
        <v>188</v>
      </c>
      <c r="AB895" s="3" t="s">
        <v>64</v>
      </c>
      <c r="AC895" s="3"/>
      <c r="AD895" s="3" t="s">
        <v>2876</v>
      </c>
    </row>
    <row r="896" spans="1:30" ht="36" customHeight="1">
      <c r="A896" s="11" t="s">
        <v>2886</v>
      </c>
      <c r="B896" s="11" t="s">
        <v>2894</v>
      </c>
      <c r="C896" s="3" t="s">
        <v>24</v>
      </c>
      <c r="D896" s="3" t="s">
        <v>1245</v>
      </c>
      <c r="E896" s="3" t="s">
        <v>863</v>
      </c>
      <c r="F896" s="4" t="s">
        <v>2662</v>
      </c>
      <c r="G896" s="3" t="s">
        <v>2276</v>
      </c>
      <c r="H896" s="3" t="s">
        <v>523</v>
      </c>
      <c r="I896" s="3"/>
      <c r="J896" s="3" t="s">
        <v>2276</v>
      </c>
      <c r="K896" s="3" t="s">
        <v>2276</v>
      </c>
      <c r="L896" s="3" t="s">
        <v>2276</v>
      </c>
      <c r="M896" s="3" t="s">
        <v>2276</v>
      </c>
      <c r="N896" s="3" t="s">
        <v>2276</v>
      </c>
      <c r="O896" s="3" t="s">
        <v>2276</v>
      </c>
      <c r="P896" s="3" t="s">
        <v>2276</v>
      </c>
      <c r="Q896" s="3" t="s">
        <v>2276</v>
      </c>
      <c r="R896" s="3" t="s">
        <v>2276</v>
      </c>
      <c r="S896" s="3" t="s">
        <v>2276</v>
      </c>
      <c r="T896" s="3" t="s">
        <v>2276</v>
      </c>
      <c r="U896" s="3" t="s">
        <v>2276</v>
      </c>
      <c r="V896" s="3" t="s">
        <v>2276</v>
      </c>
      <c r="W896" s="3" t="s">
        <v>2276</v>
      </c>
      <c r="X896" s="3" t="s">
        <v>2276</v>
      </c>
      <c r="Y896" s="3" t="s">
        <v>2276</v>
      </c>
      <c r="Z896" s="3" t="s">
        <v>2276</v>
      </c>
      <c r="AA896" s="3" t="s">
        <v>2276</v>
      </c>
      <c r="AB896" s="3" t="s">
        <v>2276</v>
      </c>
      <c r="AC896" s="3"/>
      <c r="AD896" s="3"/>
    </row>
    <row r="897" spans="1:30" ht="36" customHeight="1">
      <c r="A897" s="11" t="s">
        <v>2886</v>
      </c>
      <c r="B897" s="11" t="s">
        <v>2897</v>
      </c>
      <c r="C897" s="3" t="s">
        <v>24</v>
      </c>
      <c r="D897" s="3" t="s">
        <v>26</v>
      </c>
      <c r="E897" s="3" t="s">
        <v>863</v>
      </c>
      <c r="F897" s="4" t="s">
        <v>2662</v>
      </c>
      <c r="G897" s="3" t="s">
        <v>2276</v>
      </c>
      <c r="H897" s="3" t="s">
        <v>523</v>
      </c>
      <c r="I897" s="3"/>
      <c r="J897" s="3" t="s">
        <v>2276</v>
      </c>
      <c r="K897" s="3" t="s">
        <v>2276</v>
      </c>
      <c r="L897" s="3" t="s">
        <v>2276</v>
      </c>
      <c r="M897" s="3" t="s">
        <v>2276</v>
      </c>
      <c r="N897" s="3" t="s">
        <v>2276</v>
      </c>
      <c r="O897" s="3" t="s">
        <v>2276</v>
      </c>
      <c r="P897" s="3" t="s">
        <v>2276</v>
      </c>
      <c r="Q897" s="3" t="s">
        <v>2276</v>
      </c>
      <c r="R897" s="3" t="s">
        <v>2276</v>
      </c>
      <c r="S897" s="3" t="s">
        <v>2276</v>
      </c>
      <c r="T897" s="3" t="s">
        <v>2276</v>
      </c>
      <c r="U897" s="3" t="s">
        <v>2276</v>
      </c>
      <c r="V897" s="3" t="s">
        <v>2276</v>
      </c>
      <c r="W897" s="3" t="s">
        <v>2276</v>
      </c>
      <c r="X897" s="3" t="s">
        <v>2276</v>
      </c>
      <c r="Y897" s="3" t="s">
        <v>2276</v>
      </c>
      <c r="Z897" s="3" t="s">
        <v>2276</v>
      </c>
      <c r="AA897" s="3" t="s">
        <v>2276</v>
      </c>
      <c r="AB897" s="3" t="s">
        <v>2276</v>
      </c>
      <c r="AC897" s="4" t="s">
        <v>2904</v>
      </c>
      <c r="AD897" s="3"/>
    </row>
    <row r="898" spans="1:30" ht="36" customHeight="1">
      <c r="A898" s="11" t="s">
        <v>2886</v>
      </c>
      <c r="B898" s="11" t="s">
        <v>2898</v>
      </c>
      <c r="C898" s="3" t="s">
        <v>24</v>
      </c>
      <c r="D898" s="3" t="s">
        <v>2341</v>
      </c>
      <c r="E898" s="3" t="s">
        <v>863</v>
      </c>
      <c r="F898" s="4" t="s">
        <v>2662</v>
      </c>
      <c r="G898" s="3" t="s">
        <v>2276</v>
      </c>
      <c r="H898" s="3" t="s">
        <v>523</v>
      </c>
      <c r="I898" s="3"/>
      <c r="J898" s="3" t="s">
        <v>2276</v>
      </c>
      <c r="K898" s="3" t="s">
        <v>2276</v>
      </c>
      <c r="L898" s="3" t="s">
        <v>2276</v>
      </c>
      <c r="M898" s="3" t="s">
        <v>2276</v>
      </c>
      <c r="N898" s="3" t="s">
        <v>2276</v>
      </c>
      <c r="O898" s="3" t="s">
        <v>2276</v>
      </c>
      <c r="P898" s="3" t="s">
        <v>2276</v>
      </c>
      <c r="Q898" s="3" t="s">
        <v>2276</v>
      </c>
      <c r="R898" s="3" t="s">
        <v>2276</v>
      </c>
      <c r="S898" s="3" t="s">
        <v>2276</v>
      </c>
      <c r="T898" s="3" t="s">
        <v>2276</v>
      </c>
      <c r="U898" s="3" t="s">
        <v>2276</v>
      </c>
      <c r="V898" s="3" t="s">
        <v>2276</v>
      </c>
      <c r="W898" s="3" t="s">
        <v>2276</v>
      </c>
      <c r="X898" s="3" t="s">
        <v>2276</v>
      </c>
      <c r="Y898" s="3" t="s">
        <v>2276</v>
      </c>
      <c r="Z898" s="3" t="s">
        <v>2276</v>
      </c>
      <c r="AA898" s="3" t="s">
        <v>2276</v>
      </c>
      <c r="AB898" s="3" t="s">
        <v>2276</v>
      </c>
      <c r="AC898" s="4" t="s">
        <v>2905</v>
      </c>
      <c r="AD898" s="3"/>
    </row>
    <row r="899" spans="1:30" ht="36" customHeight="1">
      <c r="A899" s="11" t="s">
        <v>2886</v>
      </c>
      <c r="B899" s="11" t="s">
        <v>2899</v>
      </c>
      <c r="C899" s="3" t="s">
        <v>2458</v>
      </c>
      <c r="D899" s="3" t="s">
        <v>1105</v>
      </c>
      <c r="E899" s="3" t="s">
        <v>1105</v>
      </c>
      <c r="F899" s="4" t="s">
        <v>2662</v>
      </c>
      <c r="G899" s="3" t="s">
        <v>1105</v>
      </c>
      <c r="H899" s="3" t="s">
        <v>523</v>
      </c>
      <c r="I899" s="3"/>
      <c r="J899" s="3" t="s">
        <v>2276</v>
      </c>
      <c r="K899" s="3" t="s">
        <v>2276</v>
      </c>
      <c r="L899" s="3" t="s">
        <v>2276</v>
      </c>
      <c r="M899" s="3" t="s">
        <v>2276</v>
      </c>
      <c r="N899" s="3" t="s">
        <v>2276</v>
      </c>
      <c r="O899" s="3" t="s">
        <v>2276</v>
      </c>
      <c r="P899" s="3" t="s">
        <v>2276</v>
      </c>
      <c r="Q899" s="3" t="s">
        <v>2276</v>
      </c>
      <c r="R899" s="3" t="s">
        <v>2276</v>
      </c>
      <c r="S899" s="3" t="s">
        <v>2276</v>
      </c>
      <c r="T899" s="3" t="s">
        <v>2276</v>
      </c>
      <c r="U899" s="3" t="s">
        <v>2276</v>
      </c>
      <c r="V899" s="3" t="s">
        <v>2276</v>
      </c>
      <c r="W899" s="3" t="s">
        <v>2276</v>
      </c>
      <c r="X899" s="3" t="s">
        <v>2276</v>
      </c>
      <c r="Y899" s="3" t="s">
        <v>2276</v>
      </c>
      <c r="Z899" s="3" t="s">
        <v>35</v>
      </c>
      <c r="AA899" s="3" t="s">
        <v>38</v>
      </c>
      <c r="AB899" s="3" t="s">
        <v>64</v>
      </c>
      <c r="AC899" s="4"/>
      <c r="AD899" s="3"/>
    </row>
    <row r="900" spans="1:30" ht="36" customHeight="1">
      <c r="A900" s="11" t="s">
        <v>2886</v>
      </c>
      <c r="B900" s="11" t="s">
        <v>2900</v>
      </c>
      <c r="C900" s="3" t="s">
        <v>24</v>
      </c>
      <c r="D900" s="3" t="s">
        <v>27</v>
      </c>
      <c r="E900" s="3" t="s">
        <v>130</v>
      </c>
      <c r="F900" s="4" t="s">
        <v>161</v>
      </c>
      <c r="G900" s="3" t="s">
        <v>2276</v>
      </c>
      <c r="H900" s="3" t="s">
        <v>523</v>
      </c>
      <c r="I900" s="3"/>
      <c r="J900" s="3" t="s">
        <v>2276</v>
      </c>
      <c r="K900" s="3" t="s">
        <v>2276</v>
      </c>
      <c r="L900" s="3" t="s">
        <v>2276</v>
      </c>
      <c r="M900" s="3" t="s">
        <v>2276</v>
      </c>
      <c r="N900" s="3" t="s">
        <v>2276</v>
      </c>
      <c r="O900" s="3" t="s">
        <v>2276</v>
      </c>
      <c r="P900" s="3" t="s">
        <v>2276</v>
      </c>
      <c r="Q900" s="3" t="s">
        <v>2276</v>
      </c>
      <c r="R900" s="3" t="s">
        <v>2276</v>
      </c>
      <c r="S900" s="3" t="s">
        <v>2276</v>
      </c>
      <c r="T900" s="3" t="s">
        <v>2276</v>
      </c>
      <c r="U900" s="3" t="s">
        <v>2276</v>
      </c>
      <c r="V900" s="3" t="s">
        <v>2276</v>
      </c>
      <c r="W900" s="3" t="s">
        <v>2276</v>
      </c>
      <c r="X900" s="3" t="s">
        <v>2276</v>
      </c>
      <c r="Y900" s="3" t="s">
        <v>2276</v>
      </c>
      <c r="Z900" s="3" t="s">
        <v>68</v>
      </c>
      <c r="AA900" s="3" t="s">
        <v>35</v>
      </c>
      <c r="AB900" s="3" t="s">
        <v>64</v>
      </c>
      <c r="AC900" s="4"/>
      <c r="AD900" s="3"/>
    </row>
    <row r="901" spans="1:30" ht="36" customHeight="1">
      <c r="A901" s="11" t="s">
        <v>2886</v>
      </c>
      <c r="B901" s="11" t="s">
        <v>2901</v>
      </c>
      <c r="C901" s="3" t="s">
        <v>24</v>
      </c>
      <c r="D901" s="3" t="s">
        <v>2231</v>
      </c>
      <c r="E901" s="4" t="s">
        <v>396</v>
      </c>
      <c r="F901" s="4" t="s">
        <v>2662</v>
      </c>
      <c r="G901" s="3" t="s">
        <v>2276</v>
      </c>
      <c r="H901" s="3" t="s">
        <v>523</v>
      </c>
      <c r="I901" s="3"/>
      <c r="J901" s="3" t="s">
        <v>2276</v>
      </c>
      <c r="K901" s="3" t="s">
        <v>2276</v>
      </c>
      <c r="L901" s="3" t="s">
        <v>2276</v>
      </c>
      <c r="M901" s="3" t="s">
        <v>2276</v>
      </c>
      <c r="N901" s="3" t="s">
        <v>2276</v>
      </c>
      <c r="O901" s="3" t="s">
        <v>2276</v>
      </c>
      <c r="P901" s="3" t="s">
        <v>2276</v>
      </c>
      <c r="Q901" s="3" t="s">
        <v>2276</v>
      </c>
      <c r="R901" s="3" t="s">
        <v>2276</v>
      </c>
      <c r="S901" s="3" t="s">
        <v>2276</v>
      </c>
      <c r="T901" s="3" t="s">
        <v>2276</v>
      </c>
      <c r="U901" s="3" t="s">
        <v>2276</v>
      </c>
      <c r="V901" s="3" t="s">
        <v>2276</v>
      </c>
      <c r="W901" s="3" t="s">
        <v>2276</v>
      </c>
      <c r="X901" s="3" t="s">
        <v>2276</v>
      </c>
      <c r="Y901" s="3" t="s">
        <v>2276</v>
      </c>
      <c r="Z901" s="3" t="s">
        <v>2276</v>
      </c>
      <c r="AA901" s="3" t="s">
        <v>2276</v>
      </c>
      <c r="AB901" s="3" t="s">
        <v>2276</v>
      </c>
      <c r="AC901" s="4" t="s">
        <v>2906</v>
      </c>
      <c r="AD901" s="3"/>
    </row>
    <row r="902" spans="1:30" ht="36" customHeight="1">
      <c r="A902" s="11" t="s">
        <v>2886</v>
      </c>
      <c r="B902" s="11" t="s">
        <v>2902</v>
      </c>
      <c r="C902" s="3" t="s">
        <v>24</v>
      </c>
      <c r="D902" s="3" t="s">
        <v>2346</v>
      </c>
      <c r="E902" s="4" t="s">
        <v>1105</v>
      </c>
      <c r="F902" s="4" t="s">
        <v>2662</v>
      </c>
      <c r="G902" s="3" t="s">
        <v>2276</v>
      </c>
      <c r="H902" s="3" t="s">
        <v>523</v>
      </c>
      <c r="I902" s="3"/>
      <c r="J902" s="3" t="s">
        <v>2276</v>
      </c>
      <c r="K902" s="3" t="s">
        <v>2276</v>
      </c>
      <c r="L902" s="3" t="s">
        <v>2276</v>
      </c>
      <c r="M902" s="3" t="s">
        <v>2276</v>
      </c>
      <c r="N902" s="3" t="s">
        <v>2276</v>
      </c>
      <c r="O902" s="3" t="s">
        <v>2276</v>
      </c>
      <c r="P902" s="3" t="s">
        <v>2276</v>
      </c>
      <c r="Q902" s="3" t="s">
        <v>2276</v>
      </c>
      <c r="R902" s="3" t="s">
        <v>2276</v>
      </c>
      <c r="S902" s="3" t="s">
        <v>2276</v>
      </c>
      <c r="T902" s="3" t="s">
        <v>2276</v>
      </c>
      <c r="U902" s="3" t="s">
        <v>2276</v>
      </c>
      <c r="V902" s="3" t="s">
        <v>2276</v>
      </c>
      <c r="W902" s="3" t="s">
        <v>2276</v>
      </c>
      <c r="X902" s="3" t="s">
        <v>2276</v>
      </c>
      <c r="Y902" s="3" t="s">
        <v>2276</v>
      </c>
      <c r="Z902" s="3" t="s">
        <v>2276</v>
      </c>
      <c r="AA902" s="3" t="s">
        <v>2276</v>
      </c>
      <c r="AB902" s="3" t="s">
        <v>2276</v>
      </c>
      <c r="AC902" s="4" t="s">
        <v>2903</v>
      </c>
      <c r="AD902" s="3"/>
    </row>
    <row r="903" spans="1:30" ht="35.5" customHeight="1">
      <c r="A903" s="11" t="s">
        <v>2887</v>
      </c>
      <c r="B903" s="11" t="s">
        <v>2895</v>
      </c>
      <c r="C903" s="3" t="s">
        <v>24</v>
      </c>
      <c r="D903" s="3" t="s">
        <v>1245</v>
      </c>
      <c r="E903" s="3" t="s">
        <v>863</v>
      </c>
      <c r="F903" s="4" t="s">
        <v>2662</v>
      </c>
      <c r="G903" s="3" t="s">
        <v>2276</v>
      </c>
      <c r="H903" s="3" t="s">
        <v>523</v>
      </c>
      <c r="I903" s="3"/>
      <c r="J903" s="3" t="s">
        <v>2276</v>
      </c>
      <c r="K903" s="3" t="s">
        <v>2276</v>
      </c>
      <c r="L903" s="3" t="s">
        <v>2276</v>
      </c>
      <c r="M903" s="3" t="s">
        <v>2276</v>
      </c>
      <c r="N903" s="3" t="s">
        <v>2276</v>
      </c>
      <c r="O903" s="3" t="s">
        <v>2276</v>
      </c>
      <c r="P903" s="3" t="s">
        <v>2276</v>
      </c>
      <c r="Q903" s="3" t="s">
        <v>2276</v>
      </c>
      <c r="R903" s="3" t="s">
        <v>2276</v>
      </c>
      <c r="S903" s="3" t="s">
        <v>2276</v>
      </c>
      <c r="T903" s="3" t="s">
        <v>2276</v>
      </c>
      <c r="U903" s="3" t="s">
        <v>2276</v>
      </c>
      <c r="V903" s="3" t="s">
        <v>2276</v>
      </c>
      <c r="W903" s="3" t="s">
        <v>2276</v>
      </c>
      <c r="X903" s="3" t="s">
        <v>2276</v>
      </c>
      <c r="Y903" s="3" t="s">
        <v>2276</v>
      </c>
      <c r="Z903" s="3" t="s">
        <v>2276</v>
      </c>
      <c r="AA903" s="3" t="s">
        <v>2276</v>
      </c>
      <c r="AB903" s="3" t="s">
        <v>2276</v>
      </c>
      <c r="AC903" s="3"/>
      <c r="AD903" s="3"/>
    </row>
    <row r="904" spans="1:30" ht="33.5" customHeight="1">
      <c r="A904" s="11" t="s">
        <v>2887</v>
      </c>
      <c r="B904" s="11" t="s">
        <v>2907</v>
      </c>
      <c r="C904" s="3" t="s">
        <v>24</v>
      </c>
      <c r="D904" s="3" t="s">
        <v>26</v>
      </c>
      <c r="E904" s="3" t="s">
        <v>863</v>
      </c>
      <c r="F904" s="4" t="s">
        <v>2662</v>
      </c>
      <c r="G904" s="3" t="s">
        <v>2276</v>
      </c>
      <c r="H904" s="3" t="s">
        <v>523</v>
      </c>
      <c r="I904" s="3"/>
      <c r="J904" s="3" t="s">
        <v>2276</v>
      </c>
      <c r="K904" s="3" t="s">
        <v>2276</v>
      </c>
      <c r="L904" s="3" t="s">
        <v>2276</v>
      </c>
      <c r="M904" s="3" t="s">
        <v>2276</v>
      </c>
      <c r="N904" s="3" t="s">
        <v>2276</v>
      </c>
      <c r="O904" s="3" t="s">
        <v>2276</v>
      </c>
      <c r="P904" s="3" t="s">
        <v>2276</v>
      </c>
      <c r="Q904" s="3" t="s">
        <v>2276</v>
      </c>
      <c r="R904" s="3" t="s">
        <v>2276</v>
      </c>
      <c r="S904" s="3" t="s">
        <v>2276</v>
      </c>
      <c r="T904" s="3" t="s">
        <v>2276</v>
      </c>
      <c r="U904" s="3" t="s">
        <v>2276</v>
      </c>
      <c r="V904" s="3" t="s">
        <v>2276</v>
      </c>
      <c r="W904" s="3" t="s">
        <v>2276</v>
      </c>
      <c r="X904" s="3" t="s">
        <v>2276</v>
      </c>
      <c r="Y904" s="3" t="s">
        <v>2276</v>
      </c>
      <c r="Z904" s="3" t="s">
        <v>2276</v>
      </c>
      <c r="AA904" s="3" t="s">
        <v>2276</v>
      </c>
      <c r="AB904" s="3" t="s">
        <v>2276</v>
      </c>
      <c r="AC904" s="4" t="s">
        <v>2904</v>
      </c>
      <c r="AD904" s="3"/>
    </row>
    <row r="905" spans="1:30" ht="38" customHeight="1">
      <c r="A905" s="11" t="s">
        <v>2887</v>
      </c>
      <c r="B905" s="11" t="s">
        <v>2908</v>
      </c>
      <c r="C905" s="3" t="s">
        <v>24</v>
      </c>
      <c r="D905" s="3" t="s">
        <v>2341</v>
      </c>
      <c r="E905" s="3" t="s">
        <v>863</v>
      </c>
      <c r="F905" s="4" t="s">
        <v>2662</v>
      </c>
      <c r="G905" s="3" t="s">
        <v>2276</v>
      </c>
      <c r="H905" s="3" t="s">
        <v>523</v>
      </c>
      <c r="I905" s="3"/>
      <c r="J905" s="3" t="s">
        <v>2276</v>
      </c>
      <c r="K905" s="3" t="s">
        <v>2276</v>
      </c>
      <c r="L905" s="3" t="s">
        <v>2276</v>
      </c>
      <c r="M905" s="3" t="s">
        <v>2276</v>
      </c>
      <c r="N905" s="3" t="s">
        <v>2276</v>
      </c>
      <c r="O905" s="3" t="s">
        <v>2276</v>
      </c>
      <c r="P905" s="3" t="s">
        <v>2276</v>
      </c>
      <c r="Q905" s="3" t="s">
        <v>2276</v>
      </c>
      <c r="R905" s="3" t="s">
        <v>2276</v>
      </c>
      <c r="S905" s="3" t="s">
        <v>2276</v>
      </c>
      <c r="T905" s="3" t="s">
        <v>2276</v>
      </c>
      <c r="U905" s="3" t="s">
        <v>2276</v>
      </c>
      <c r="V905" s="3" t="s">
        <v>2276</v>
      </c>
      <c r="W905" s="3" t="s">
        <v>2276</v>
      </c>
      <c r="X905" s="3" t="s">
        <v>2276</v>
      </c>
      <c r="Y905" s="3" t="s">
        <v>2276</v>
      </c>
      <c r="Z905" s="3" t="s">
        <v>2276</v>
      </c>
      <c r="AA905" s="3" t="s">
        <v>2276</v>
      </c>
      <c r="AB905" s="3" t="s">
        <v>2276</v>
      </c>
      <c r="AC905" s="4" t="s">
        <v>2905</v>
      </c>
      <c r="AD905" s="3"/>
    </row>
    <row r="906" spans="1:30" ht="44.5" customHeight="1">
      <c r="A906" s="11" t="s">
        <v>2887</v>
      </c>
      <c r="B906" s="11" t="s">
        <v>2909</v>
      </c>
      <c r="C906" s="3" t="s">
        <v>2458</v>
      </c>
      <c r="D906" s="3" t="s">
        <v>1105</v>
      </c>
      <c r="E906" s="3" t="s">
        <v>1105</v>
      </c>
      <c r="F906" s="4" t="s">
        <v>2662</v>
      </c>
      <c r="G906" s="3" t="s">
        <v>1105</v>
      </c>
      <c r="H906" s="3" t="s">
        <v>523</v>
      </c>
      <c r="I906" s="3"/>
      <c r="J906" s="3" t="s">
        <v>2276</v>
      </c>
      <c r="K906" s="3" t="s">
        <v>2276</v>
      </c>
      <c r="L906" s="3" t="s">
        <v>2276</v>
      </c>
      <c r="M906" s="3" t="s">
        <v>2276</v>
      </c>
      <c r="N906" s="3" t="s">
        <v>2276</v>
      </c>
      <c r="O906" s="3" t="s">
        <v>2276</v>
      </c>
      <c r="P906" s="3" t="s">
        <v>2276</v>
      </c>
      <c r="Q906" s="3" t="s">
        <v>2276</v>
      </c>
      <c r="R906" s="3" t="s">
        <v>2276</v>
      </c>
      <c r="S906" s="3" t="s">
        <v>2276</v>
      </c>
      <c r="T906" s="3" t="s">
        <v>2276</v>
      </c>
      <c r="U906" s="3" t="s">
        <v>2276</v>
      </c>
      <c r="V906" s="3" t="s">
        <v>2276</v>
      </c>
      <c r="W906" s="3" t="s">
        <v>2276</v>
      </c>
      <c r="X906" s="3" t="s">
        <v>2276</v>
      </c>
      <c r="Y906" s="3" t="s">
        <v>2276</v>
      </c>
      <c r="Z906" s="3" t="s">
        <v>35</v>
      </c>
      <c r="AA906" s="3" t="s">
        <v>38</v>
      </c>
      <c r="AB906" s="3" t="s">
        <v>64</v>
      </c>
      <c r="AC906" s="4"/>
      <c r="AD906" s="3"/>
    </row>
    <row r="907" spans="1:30" ht="44.5" customHeight="1">
      <c r="A907" s="11" t="s">
        <v>2887</v>
      </c>
      <c r="B907" s="11" t="s">
        <v>2910</v>
      </c>
      <c r="C907" s="3" t="s">
        <v>24</v>
      </c>
      <c r="D907" s="3" t="s">
        <v>27</v>
      </c>
      <c r="E907" s="3" t="s">
        <v>130</v>
      </c>
      <c r="F907" s="4" t="s">
        <v>161</v>
      </c>
      <c r="G907" s="3" t="s">
        <v>2276</v>
      </c>
      <c r="H907" s="3" t="s">
        <v>523</v>
      </c>
      <c r="I907" s="3"/>
      <c r="J907" s="3" t="s">
        <v>2276</v>
      </c>
      <c r="K907" s="3" t="s">
        <v>2276</v>
      </c>
      <c r="L907" s="3" t="s">
        <v>2276</v>
      </c>
      <c r="M907" s="3" t="s">
        <v>2276</v>
      </c>
      <c r="N907" s="3" t="s">
        <v>2276</v>
      </c>
      <c r="O907" s="3" t="s">
        <v>2276</v>
      </c>
      <c r="P907" s="3" t="s">
        <v>2276</v>
      </c>
      <c r="Q907" s="3" t="s">
        <v>2276</v>
      </c>
      <c r="R907" s="3" t="s">
        <v>2276</v>
      </c>
      <c r="S907" s="3" t="s">
        <v>2276</v>
      </c>
      <c r="T907" s="3" t="s">
        <v>2276</v>
      </c>
      <c r="U907" s="3" t="s">
        <v>2276</v>
      </c>
      <c r="V907" s="3" t="s">
        <v>2276</v>
      </c>
      <c r="W907" s="3" t="s">
        <v>2276</v>
      </c>
      <c r="X907" s="3" t="s">
        <v>2276</v>
      </c>
      <c r="Y907" s="3" t="s">
        <v>2276</v>
      </c>
      <c r="Z907" s="3" t="s">
        <v>68</v>
      </c>
      <c r="AA907" s="3" t="s">
        <v>35</v>
      </c>
      <c r="AB907" s="3" t="s">
        <v>64</v>
      </c>
      <c r="AC907" s="4"/>
      <c r="AD907" s="3"/>
    </row>
    <row r="908" spans="1:30" ht="41.5" customHeight="1">
      <c r="A908" s="11" t="s">
        <v>2887</v>
      </c>
      <c r="B908" s="11" t="s">
        <v>2911</v>
      </c>
      <c r="C908" s="3" t="s">
        <v>24</v>
      </c>
      <c r="D908" s="3" t="s">
        <v>2231</v>
      </c>
      <c r="E908" s="4" t="s">
        <v>396</v>
      </c>
      <c r="F908" s="4" t="s">
        <v>2662</v>
      </c>
      <c r="G908" s="3" t="s">
        <v>2276</v>
      </c>
      <c r="H908" s="3" t="s">
        <v>523</v>
      </c>
      <c r="I908" s="3"/>
      <c r="J908" s="3" t="s">
        <v>2276</v>
      </c>
      <c r="K908" s="3" t="s">
        <v>2276</v>
      </c>
      <c r="L908" s="3" t="s">
        <v>2276</v>
      </c>
      <c r="M908" s="3" t="s">
        <v>2276</v>
      </c>
      <c r="N908" s="3" t="s">
        <v>2276</v>
      </c>
      <c r="O908" s="3" t="s">
        <v>2276</v>
      </c>
      <c r="P908" s="3" t="s">
        <v>2276</v>
      </c>
      <c r="Q908" s="3" t="s">
        <v>2276</v>
      </c>
      <c r="R908" s="3" t="s">
        <v>2276</v>
      </c>
      <c r="S908" s="3" t="s">
        <v>2276</v>
      </c>
      <c r="T908" s="3" t="s">
        <v>2276</v>
      </c>
      <c r="U908" s="3" t="s">
        <v>2276</v>
      </c>
      <c r="V908" s="3" t="s">
        <v>2276</v>
      </c>
      <c r="W908" s="3" t="s">
        <v>2276</v>
      </c>
      <c r="X908" s="3" t="s">
        <v>2276</v>
      </c>
      <c r="Y908" s="3" t="s">
        <v>2276</v>
      </c>
      <c r="Z908" s="3" t="s">
        <v>2276</v>
      </c>
      <c r="AA908" s="3" t="s">
        <v>2276</v>
      </c>
      <c r="AB908" s="3" t="s">
        <v>2276</v>
      </c>
      <c r="AC908" s="4" t="s">
        <v>2906</v>
      </c>
      <c r="AD908" s="3"/>
    </row>
    <row r="909" spans="1:30" ht="29">
      <c r="A909" s="11" t="s">
        <v>2887</v>
      </c>
      <c r="B909" s="11" t="s">
        <v>2912</v>
      </c>
      <c r="C909" s="3" t="s">
        <v>24</v>
      </c>
      <c r="D909" s="3" t="s">
        <v>2346</v>
      </c>
      <c r="E909" s="4" t="s">
        <v>1105</v>
      </c>
      <c r="F909" s="4" t="s">
        <v>2662</v>
      </c>
      <c r="G909" s="3" t="s">
        <v>2276</v>
      </c>
      <c r="H909" s="3" t="s">
        <v>523</v>
      </c>
      <c r="I909" s="3"/>
      <c r="J909" s="3" t="s">
        <v>2276</v>
      </c>
      <c r="K909" s="3" t="s">
        <v>2276</v>
      </c>
      <c r="L909" s="3" t="s">
        <v>2276</v>
      </c>
      <c r="M909" s="3" t="s">
        <v>2276</v>
      </c>
      <c r="N909" s="3" t="s">
        <v>2276</v>
      </c>
      <c r="O909" s="3" t="s">
        <v>2276</v>
      </c>
      <c r="P909" s="3" t="s">
        <v>2276</v>
      </c>
      <c r="Q909" s="3" t="s">
        <v>2276</v>
      </c>
      <c r="R909" s="3" t="s">
        <v>2276</v>
      </c>
      <c r="S909" s="3" t="s">
        <v>2276</v>
      </c>
      <c r="T909" s="3" t="s">
        <v>2276</v>
      </c>
      <c r="U909" s="3" t="s">
        <v>2276</v>
      </c>
      <c r="V909" s="3" t="s">
        <v>2276</v>
      </c>
      <c r="W909" s="3" t="s">
        <v>2276</v>
      </c>
      <c r="X909" s="3" t="s">
        <v>2276</v>
      </c>
      <c r="Y909" s="3" t="s">
        <v>2276</v>
      </c>
      <c r="Z909" s="3" t="s">
        <v>2276</v>
      </c>
      <c r="AA909" s="3" t="s">
        <v>2276</v>
      </c>
      <c r="AB909" s="3" t="s">
        <v>2276</v>
      </c>
      <c r="AC909" s="4" t="s">
        <v>2903</v>
      </c>
      <c r="AD909" s="3"/>
    </row>
    <row r="910" spans="1:30" ht="29">
      <c r="A910" s="11" t="s">
        <v>2888</v>
      </c>
      <c r="B910" s="11" t="s">
        <v>2896</v>
      </c>
      <c r="C910" s="3" t="s">
        <v>24</v>
      </c>
      <c r="D910" s="3" t="s">
        <v>1245</v>
      </c>
      <c r="E910" s="3" t="s">
        <v>863</v>
      </c>
      <c r="F910" s="4" t="s">
        <v>2662</v>
      </c>
      <c r="G910" s="3" t="s">
        <v>2276</v>
      </c>
      <c r="H910" s="3" t="s">
        <v>523</v>
      </c>
      <c r="I910" s="3"/>
      <c r="J910" s="3" t="s">
        <v>2276</v>
      </c>
      <c r="K910" s="3" t="s">
        <v>2276</v>
      </c>
      <c r="L910" s="3" t="s">
        <v>2276</v>
      </c>
      <c r="M910" s="3" t="s">
        <v>2276</v>
      </c>
      <c r="N910" s="3" t="s">
        <v>2276</v>
      </c>
      <c r="O910" s="3" t="s">
        <v>2276</v>
      </c>
      <c r="P910" s="3" t="s">
        <v>2276</v>
      </c>
      <c r="Q910" s="3" t="s">
        <v>2276</v>
      </c>
      <c r="R910" s="3" t="s">
        <v>2276</v>
      </c>
      <c r="S910" s="3" t="s">
        <v>2276</v>
      </c>
      <c r="T910" s="3" t="s">
        <v>2276</v>
      </c>
      <c r="U910" s="3" t="s">
        <v>2276</v>
      </c>
      <c r="V910" s="3" t="s">
        <v>2276</v>
      </c>
      <c r="W910" s="3" t="s">
        <v>2276</v>
      </c>
      <c r="X910" s="3" t="s">
        <v>2276</v>
      </c>
      <c r="Y910" s="3" t="s">
        <v>2276</v>
      </c>
      <c r="Z910" s="3" t="s">
        <v>2276</v>
      </c>
      <c r="AA910" s="3" t="s">
        <v>2276</v>
      </c>
      <c r="AB910" s="3" t="s">
        <v>2276</v>
      </c>
      <c r="AC910" s="3"/>
      <c r="AD910" s="3"/>
    </row>
    <row r="911" spans="1:30" ht="29">
      <c r="A911" s="11" t="s">
        <v>2888</v>
      </c>
      <c r="B911" s="11" t="s">
        <v>2913</v>
      </c>
      <c r="C911" s="3" t="s">
        <v>24</v>
      </c>
      <c r="D911" s="3" t="s">
        <v>26</v>
      </c>
      <c r="E911" s="3" t="s">
        <v>863</v>
      </c>
      <c r="F911" s="4" t="s">
        <v>2662</v>
      </c>
      <c r="G911" s="3" t="s">
        <v>2276</v>
      </c>
      <c r="H911" s="3" t="s">
        <v>523</v>
      </c>
      <c r="I911" s="3"/>
      <c r="J911" s="3" t="s">
        <v>2276</v>
      </c>
      <c r="K911" s="3" t="s">
        <v>2276</v>
      </c>
      <c r="L911" s="3" t="s">
        <v>2276</v>
      </c>
      <c r="M911" s="3" t="s">
        <v>2276</v>
      </c>
      <c r="N911" s="3" t="s">
        <v>2276</v>
      </c>
      <c r="O911" s="3" t="s">
        <v>2276</v>
      </c>
      <c r="P911" s="3" t="s">
        <v>2276</v>
      </c>
      <c r="Q911" s="3" t="s">
        <v>2276</v>
      </c>
      <c r="R911" s="3" t="s">
        <v>2276</v>
      </c>
      <c r="S911" s="3" t="s">
        <v>2276</v>
      </c>
      <c r="T911" s="3" t="s">
        <v>2276</v>
      </c>
      <c r="U911" s="3" t="s">
        <v>2276</v>
      </c>
      <c r="V911" s="3" t="s">
        <v>2276</v>
      </c>
      <c r="W911" s="3" t="s">
        <v>2276</v>
      </c>
      <c r="X911" s="3" t="s">
        <v>2276</v>
      </c>
      <c r="Y911" s="3" t="s">
        <v>2276</v>
      </c>
      <c r="Z911" s="3" t="s">
        <v>2276</v>
      </c>
      <c r="AA911" s="3" t="s">
        <v>2276</v>
      </c>
      <c r="AB911" s="3" t="s">
        <v>2276</v>
      </c>
      <c r="AC911" s="4" t="s">
        <v>2904</v>
      </c>
      <c r="AD911" s="3"/>
    </row>
    <row r="912" spans="1:30" ht="29">
      <c r="A912" s="11" t="s">
        <v>2888</v>
      </c>
      <c r="B912" s="11" t="s">
        <v>2914</v>
      </c>
      <c r="C912" s="3" t="s">
        <v>24</v>
      </c>
      <c r="D912" s="3" t="s">
        <v>2341</v>
      </c>
      <c r="E912" s="3" t="s">
        <v>863</v>
      </c>
      <c r="F912" s="4" t="s">
        <v>2662</v>
      </c>
      <c r="G912" s="3" t="s">
        <v>2276</v>
      </c>
      <c r="H912" s="3" t="s">
        <v>523</v>
      </c>
      <c r="I912" s="3"/>
      <c r="J912" s="3" t="s">
        <v>2276</v>
      </c>
      <c r="K912" s="3" t="s">
        <v>2276</v>
      </c>
      <c r="L912" s="3" t="s">
        <v>2276</v>
      </c>
      <c r="M912" s="3" t="s">
        <v>2276</v>
      </c>
      <c r="N912" s="3" t="s">
        <v>2276</v>
      </c>
      <c r="O912" s="3" t="s">
        <v>2276</v>
      </c>
      <c r="P912" s="3" t="s">
        <v>2276</v>
      </c>
      <c r="Q912" s="3" t="s">
        <v>2276</v>
      </c>
      <c r="R912" s="3" t="s">
        <v>2276</v>
      </c>
      <c r="S912" s="3" t="s">
        <v>2276</v>
      </c>
      <c r="T912" s="3" t="s">
        <v>2276</v>
      </c>
      <c r="U912" s="3" t="s">
        <v>2276</v>
      </c>
      <c r="V912" s="3" t="s">
        <v>2276</v>
      </c>
      <c r="W912" s="3" t="s">
        <v>2276</v>
      </c>
      <c r="X912" s="3" t="s">
        <v>2276</v>
      </c>
      <c r="Y912" s="3" t="s">
        <v>2276</v>
      </c>
      <c r="Z912" s="3" t="s">
        <v>2276</v>
      </c>
      <c r="AA912" s="3" t="s">
        <v>2276</v>
      </c>
      <c r="AB912" s="3" t="s">
        <v>2276</v>
      </c>
      <c r="AC912" s="4" t="s">
        <v>2905</v>
      </c>
      <c r="AD912" s="3"/>
    </row>
    <row r="913" spans="1:30" ht="29">
      <c r="A913" s="11" t="s">
        <v>2888</v>
      </c>
      <c r="B913" s="11" t="s">
        <v>2915</v>
      </c>
      <c r="C913" s="3" t="s">
        <v>2458</v>
      </c>
      <c r="D913" s="3" t="s">
        <v>1105</v>
      </c>
      <c r="E913" s="3" t="s">
        <v>1105</v>
      </c>
      <c r="F913" s="4" t="s">
        <v>2662</v>
      </c>
      <c r="G913" s="3" t="s">
        <v>1105</v>
      </c>
      <c r="H913" s="3" t="s">
        <v>523</v>
      </c>
      <c r="I913" s="3"/>
      <c r="J913" s="3" t="s">
        <v>2276</v>
      </c>
      <c r="K913" s="3" t="s">
        <v>2276</v>
      </c>
      <c r="L913" s="3" t="s">
        <v>2276</v>
      </c>
      <c r="M913" s="3" t="s">
        <v>2276</v>
      </c>
      <c r="N913" s="3" t="s">
        <v>2276</v>
      </c>
      <c r="O913" s="3" t="s">
        <v>2276</v>
      </c>
      <c r="P913" s="3" t="s">
        <v>2276</v>
      </c>
      <c r="Q913" s="3" t="s">
        <v>2276</v>
      </c>
      <c r="R913" s="3" t="s">
        <v>2276</v>
      </c>
      <c r="S913" s="3" t="s">
        <v>2276</v>
      </c>
      <c r="T913" s="3" t="s">
        <v>2276</v>
      </c>
      <c r="U913" s="3" t="s">
        <v>2276</v>
      </c>
      <c r="V913" s="3" t="s">
        <v>2276</v>
      </c>
      <c r="W913" s="3" t="s">
        <v>2276</v>
      </c>
      <c r="X913" s="3" t="s">
        <v>2276</v>
      </c>
      <c r="Y913" s="3" t="s">
        <v>2276</v>
      </c>
      <c r="Z913" s="3" t="s">
        <v>35</v>
      </c>
      <c r="AA913" s="3" t="s">
        <v>38</v>
      </c>
      <c r="AB913" s="3" t="s">
        <v>64</v>
      </c>
      <c r="AC913" s="4"/>
      <c r="AD913" s="3"/>
    </row>
    <row r="914" spans="1:30" ht="29.5" customHeight="1">
      <c r="A914" s="11" t="s">
        <v>2888</v>
      </c>
      <c r="B914" s="11" t="s">
        <v>2916</v>
      </c>
      <c r="C914" s="3" t="s">
        <v>24</v>
      </c>
      <c r="D914" s="3" t="s">
        <v>27</v>
      </c>
      <c r="E914" s="3" t="s">
        <v>130</v>
      </c>
      <c r="F914" s="4" t="s">
        <v>161</v>
      </c>
      <c r="G914" s="3" t="s">
        <v>2276</v>
      </c>
      <c r="H914" s="3" t="s">
        <v>523</v>
      </c>
      <c r="I914" s="3"/>
      <c r="J914" s="3" t="s">
        <v>2276</v>
      </c>
      <c r="K914" s="3" t="s">
        <v>2276</v>
      </c>
      <c r="L914" s="3" t="s">
        <v>2276</v>
      </c>
      <c r="M914" s="3" t="s">
        <v>2276</v>
      </c>
      <c r="N914" s="3" t="s">
        <v>2276</v>
      </c>
      <c r="O914" s="3" t="s">
        <v>2276</v>
      </c>
      <c r="P914" s="3" t="s">
        <v>2276</v>
      </c>
      <c r="Q914" s="3" t="s">
        <v>2276</v>
      </c>
      <c r="R914" s="3" t="s">
        <v>2276</v>
      </c>
      <c r="S914" s="3" t="s">
        <v>2276</v>
      </c>
      <c r="T914" s="3" t="s">
        <v>2276</v>
      </c>
      <c r="U914" s="3" t="s">
        <v>2276</v>
      </c>
      <c r="V914" s="3" t="s">
        <v>2276</v>
      </c>
      <c r="W914" s="3" t="s">
        <v>2276</v>
      </c>
      <c r="X914" s="3" t="s">
        <v>2276</v>
      </c>
      <c r="Y914" s="3" t="s">
        <v>2276</v>
      </c>
      <c r="Z914" s="3" t="s">
        <v>68</v>
      </c>
      <c r="AA914" s="3" t="s">
        <v>35</v>
      </c>
      <c r="AB914" s="3" t="s">
        <v>64</v>
      </c>
      <c r="AC914" s="4"/>
      <c r="AD914" s="3"/>
    </row>
    <row r="915" spans="1:30" ht="34.5" customHeight="1">
      <c r="A915" s="11" t="s">
        <v>2888</v>
      </c>
      <c r="B915" s="11" t="s">
        <v>2917</v>
      </c>
      <c r="C915" s="3" t="s">
        <v>24</v>
      </c>
      <c r="D915" s="3" t="s">
        <v>2231</v>
      </c>
      <c r="E915" s="4" t="s">
        <v>396</v>
      </c>
      <c r="F915" s="4" t="s">
        <v>2662</v>
      </c>
      <c r="G915" s="3" t="s">
        <v>2276</v>
      </c>
      <c r="H915" s="3" t="s">
        <v>523</v>
      </c>
      <c r="I915" s="3"/>
      <c r="J915" s="3" t="s">
        <v>2276</v>
      </c>
      <c r="K915" s="3" t="s">
        <v>2276</v>
      </c>
      <c r="L915" s="3" t="s">
        <v>2276</v>
      </c>
      <c r="M915" s="3" t="s">
        <v>2276</v>
      </c>
      <c r="N915" s="3" t="s">
        <v>2276</v>
      </c>
      <c r="O915" s="3" t="s">
        <v>2276</v>
      </c>
      <c r="P915" s="3" t="s">
        <v>2276</v>
      </c>
      <c r="Q915" s="3" t="s">
        <v>2276</v>
      </c>
      <c r="R915" s="3" t="s">
        <v>2276</v>
      </c>
      <c r="S915" s="3" t="s">
        <v>2276</v>
      </c>
      <c r="T915" s="3" t="s">
        <v>2276</v>
      </c>
      <c r="U915" s="3" t="s">
        <v>2276</v>
      </c>
      <c r="V915" s="3" t="s">
        <v>2276</v>
      </c>
      <c r="W915" s="3" t="s">
        <v>2276</v>
      </c>
      <c r="X915" s="3" t="s">
        <v>2276</v>
      </c>
      <c r="Y915" s="3" t="s">
        <v>2276</v>
      </c>
      <c r="Z915" s="3" t="s">
        <v>2276</v>
      </c>
      <c r="AA915" s="3" t="s">
        <v>2276</v>
      </c>
      <c r="AB915" s="3" t="s">
        <v>2276</v>
      </c>
      <c r="AC915" s="4" t="s">
        <v>2906</v>
      </c>
      <c r="AD915" s="3"/>
    </row>
    <row r="916" spans="1:30" ht="37" customHeight="1">
      <c r="A916" s="11" t="s">
        <v>2888</v>
      </c>
      <c r="B916" s="11" t="s">
        <v>2918</v>
      </c>
      <c r="C916" s="3" t="s">
        <v>24</v>
      </c>
      <c r="D916" s="3" t="s">
        <v>2346</v>
      </c>
      <c r="E916" s="4" t="s">
        <v>1105</v>
      </c>
      <c r="F916" s="4" t="s">
        <v>2662</v>
      </c>
      <c r="G916" s="3" t="s">
        <v>2276</v>
      </c>
      <c r="H916" s="3" t="s">
        <v>523</v>
      </c>
      <c r="I916" s="3"/>
      <c r="J916" s="3" t="s">
        <v>2276</v>
      </c>
      <c r="K916" s="3" t="s">
        <v>2276</v>
      </c>
      <c r="L916" s="3" t="s">
        <v>2276</v>
      </c>
      <c r="M916" s="3" t="s">
        <v>2276</v>
      </c>
      <c r="N916" s="3" t="s">
        <v>2276</v>
      </c>
      <c r="O916" s="3" t="s">
        <v>2276</v>
      </c>
      <c r="P916" s="3" t="s">
        <v>2276</v>
      </c>
      <c r="Q916" s="3" t="s">
        <v>2276</v>
      </c>
      <c r="R916" s="3" t="s">
        <v>2276</v>
      </c>
      <c r="S916" s="3" t="s">
        <v>2276</v>
      </c>
      <c r="T916" s="3" t="s">
        <v>2276</v>
      </c>
      <c r="U916" s="3" t="s">
        <v>2276</v>
      </c>
      <c r="V916" s="3" t="s">
        <v>2276</v>
      </c>
      <c r="W916" s="3" t="s">
        <v>2276</v>
      </c>
      <c r="X916" s="3" t="s">
        <v>2276</v>
      </c>
      <c r="Y916" s="3" t="s">
        <v>2276</v>
      </c>
      <c r="Z916" s="3" t="s">
        <v>2276</v>
      </c>
      <c r="AA916" s="3" t="s">
        <v>2276</v>
      </c>
      <c r="AB916" s="3" t="s">
        <v>2276</v>
      </c>
      <c r="AC916" s="4" t="s">
        <v>2903</v>
      </c>
      <c r="AD916" s="3"/>
    </row>
    <row r="917" spans="1:30" ht="34.5" customHeight="1">
      <c r="A917" s="19" t="s">
        <v>2924</v>
      </c>
      <c r="B917" s="19" t="s">
        <v>2928</v>
      </c>
      <c r="C917" s="4" t="s">
        <v>24</v>
      </c>
      <c r="D917" s="4" t="s">
        <v>144</v>
      </c>
      <c r="E917" s="4" t="s">
        <v>137</v>
      </c>
      <c r="F917" s="4" t="s">
        <v>2662</v>
      </c>
      <c r="G917" s="4" t="s">
        <v>2662</v>
      </c>
      <c r="H917" s="4" t="s">
        <v>523</v>
      </c>
      <c r="I917" s="3"/>
      <c r="J917" s="3" t="s">
        <v>2276</v>
      </c>
      <c r="K917" s="3" t="s">
        <v>2276</v>
      </c>
      <c r="L917" s="3" t="s">
        <v>2276</v>
      </c>
      <c r="M917" s="3" t="s">
        <v>2276</v>
      </c>
      <c r="N917" s="3" t="s">
        <v>2276</v>
      </c>
      <c r="O917" s="3" t="s">
        <v>2276</v>
      </c>
      <c r="P917" s="3" t="s">
        <v>2276</v>
      </c>
      <c r="Q917" s="3" t="s">
        <v>2276</v>
      </c>
      <c r="R917" s="3" t="s">
        <v>2276</v>
      </c>
      <c r="S917" s="3" t="s">
        <v>2276</v>
      </c>
      <c r="T917" s="3" t="s">
        <v>2276</v>
      </c>
      <c r="U917" s="3" t="s">
        <v>2276</v>
      </c>
      <c r="V917" s="3" t="s">
        <v>2276</v>
      </c>
      <c r="W917" s="3" t="s">
        <v>2276</v>
      </c>
      <c r="X917" s="3" t="s">
        <v>2276</v>
      </c>
      <c r="Y917" s="3" t="s">
        <v>2276</v>
      </c>
      <c r="Z917" s="3" t="s">
        <v>2276</v>
      </c>
      <c r="AA917" s="3" t="s">
        <v>2276</v>
      </c>
      <c r="AB917" s="3" t="s">
        <v>2276</v>
      </c>
      <c r="AC917" s="3"/>
      <c r="AD917" s="3"/>
    </row>
    <row r="918" spans="1:30" ht="35.5" customHeight="1">
      <c r="A918" s="11" t="s">
        <v>2934</v>
      </c>
      <c r="B918" s="11" t="s">
        <v>2937</v>
      </c>
      <c r="C918" s="23" t="s">
        <v>24</v>
      </c>
      <c r="D918" s="3" t="s">
        <v>27</v>
      </c>
      <c r="E918" s="3" t="s">
        <v>130</v>
      </c>
      <c r="F918" s="4" t="s">
        <v>161</v>
      </c>
      <c r="G918" s="3" t="s">
        <v>2276</v>
      </c>
      <c r="H918" s="3" t="s">
        <v>523</v>
      </c>
      <c r="I918" s="3">
        <v>1990</v>
      </c>
      <c r="J918" s="3" t="s">
        <v>2276</v>
      </c>
      <c r="K918" s="3" t="s">
        <v>2276</v>
      </c>
      <c r="L918" s="3" t="s">
        <v>2276</v>
      </c>
      <c r="M918" s="3" t="s">
        <v>2276</v>
      </c>
      <c r="N918" s="3" t="s">
        <v>2276</v>
      </c>
      <c r="O918" s="3" t="s">
        <v>2276</v>
      </c>
      <c r="P918" s="3" t="s">
        <v>2276</v>
      </c>
      <c r="Q918" s="3" t="s">
        <v>2276</v>
      </c>
      <c r="R918" s="3" t="s">
        <v>2276</v>
      </c>
      <c r="S918" s="3" t="s">
        <v>2276</v>
      </c>
      <c r="T918" s="3" t="s">
        <v>2276</v>
      </c>
      <c r="U918" s="3" t="s">
        <v>2276</v>
      </c>
      <c r="V918" s="3" t="s">
        <v>2276</v>
      </c>
      <c r="W918" s="3" t="s">
        <v>2276</v>
      </c>
      <c r="X918" s="3" t="s">
        <v>2276</v>
      </c>
      <c r="Y918" s="3" t="s">
        <v>2276</v>
      </c>
      <c r="Z918" s="3" t="s">
        <v>2276</v>
      </c>
      <c r="AA918" s="3" t="s">
        <v>2276</v>
      </c>
      <c r="AB918" s="3" t="s">
        <v>2276</v>
      </c>
      <c r="AC918" s="3"/>
      <c r="AD918" s="3"/>
    </row>
    <row r="919" spans="1:30" ht="40" customHeight="1">
      <c r="A919" s="11" t="s">
        <v>2934</v>
      </c>
      <c r="B919" s="11" t="s">
        <v>2939</v>
      </c>
      <c r="C919" s="23" t="s">
        <v>24</v>
      </c>
      <c r="D919" s="3" t="s">
        <v>27</v>
      </c>
      <c r="E919" s="3" t="s">
        <v>130</v>
      </c>
      <c r="F919" s="4" t="s">
        <v>161</v>
      </c>
      <c r="G919" s="3" t="s">
        <v>2276</v>
      </c>
      <c r="H919" s="3" t="s">
        <v>523</v>
      </c>
      <c r="I919" s="3">
        <v>1995</v>
      </c>
      <c r="J919" s="3" t="s">
        <v>2276</v>
      </c>
      <c r="K919" s="3" t="s">
        <v>2276</v>
      </c>
      <c r="L919" s="3" t="s">
        <v>2276</v>
      </c>
      <c r="M919" s="3" t="s">
        <v>2276</v>
      </c>
      <c r="N919" s="3" t="s">
        <v>2276</v>
      </c>
      <c r="O919" s="3" t="s">
        <v>2276</v>
      </c>
      <c r="P919" s="3" t="s">
        <v>2276</v>
      </c>
      <c r="Q919" s="3" t="s">
        <v>2276</v>
      </c>
      <c r="R919" s="3" t="s">
        <v>2276</v>
      </c>
      <c r="S919" s="3" t="s">
        <v>2276</v>
      </c>
      <c r="T919" s="3" t="s">
        <v>2276</v>
      </c>
      <c r="U919" s="3" t="s">
        <v>2276</v>
      </c>
      <c r="V919" s="3" t="s">
        <v>2276</v>
      </c>
      <c r="W919" s="3" t="s">
        <v>2276</v>
      </c>
      <c r="X919" s="3" t="s">
        <v>2276</v>
      </c>
      <c r="Y919" s="3" t="s">
        <v>2276</v>
      </c>
      <c r="Z919" s="3" t="s">
        <v>2276</v>
      </c>
      <c r="AA919" s="3" t="s">
        <v>2276</v>
      </c>
      <c r="AB919" s="3" t="s">
        <v>2276</v>
      </c>
      <c r="AC919" s="3"/>
      <c r="AD919" s="3"/>
    </row>
    <row r="920" spans="1:30" ht="30" customHeight="1">
      <c r="A920" s="11" t="s">
        <v>2936</v>
      </c>
      <c r="B920" s="11" t="s">
        <v>2938</v>
      </c>
      <c r="C920" s="23" t="s">
        <v>24</v>
      </c>
      <c r="D920" s="3" t="s">
        <v>27</v>
      </c>
      <c r="E920" s="3" t="s">
        <v>130</v>
      </c>
      <c r="F920" s="4" t="s">
        <v>161</v>
      </c>
      <c r="G920" s="3" t="s">
        <v>2276</v>
      </c>
      <c r="H920" s="3" t="s">
        <v>523</v>
      </c>
      <c r="I920" s="3">
        <v>2000</v>
      </c>
      <c r="J920" s="3" t="s">
        <v>2276</v>
      </c>
      <c r="K920" s="3" t="s">
        <v>2276</v>
      </c>
      <c r="L920" s="3" t="s">
        <v>2276</v>
      </c>
      <c r="M920" s="3" t="s">
        <v>2276</v>
      </c>
      <c r="N920" s="3" t="s">
        <v>2276</v>
      </c>
      <c r="O920" s="3" t="s">
        <v>2276</v>
      </c>
      <c r="P920" s="3" t="s">
        <v>2276</v>
      </c>
      <c r="Q920" s="3" t="s">
        <v>2276</v>
      </c>
      <c r="R920" s="3" t="s">
        <v>2276</v>
      </c>
      <c r="S920" s="3" t="s">
        <v>2276</v>
      </c>
      <c r="T920" s="3" t="s">
        <v>2276</v>
      </c>
      <c r="U920" s="3" t="s">
        <v>2276</v>
      </c>
      <c r="V920" s="3" t="s">
        <v>2276</v>
      </c>
      <c r="W920" s="3" t="s">
        <v>2276</v>
      </c>
      <c r="X920" s="3" t="s">
        <v>2276</v>
      </c>
      <c r="Y920" s="3" t="s">
        <v>2276</v>
      </c>
      <c r="Z920" s="3" t="s">
        <v>2276</v>
      </c>
      <c r="AA920" s="3" t="s">
        <v>2276</v>
      </c>
      <c r="AB920" s="3" t="s">
        <v>2276</v>
      </c>
      <c r="AC920" s="3"/>
      <c r="AD920" s="3"/>
    </row>
    <row r="921" spans="1:30" ht="34.5" customHeight="1">
      <c r="A921" s="11" t="s">
        <v>2936</v>
      </c>
      <c r="B921" s="11" t="s">
        <v>2941</v>
      </c>
      <c r="C921" s="23" t="s">
        <v>24</v>
      </c>
      <c r="D921" s="3" t="s">
        <v>27</v>
      </c>
      <c r="E921" s="3" t="s">
        <v>130</v>
      </c>
      <c r="F921" s="4" t="s">
        <v>161</v>
      </c>
      <c r="G921" s="3" t="s">
        <v>2276</v>
      </c>
      <c r="H921" s="3" t="s">
        <v>523</v>
      </c>
      <c r="I921" s="3">
        <v>2007</v>
      </c>
      <c r="J921" s="3" t="s">
        <v>2276</v>
      </c>
      <c r="K921" s="3" t="s">
        <v>2276</v>
      </c>
      <c r="L921" s="3" t="s">
        <v>2276</v>
      </c>
      <c r="M921" s="3" t="s">
        <v>2276</v>
      </c>
      <c r="N921" s="3" t="s">
        <v>2276</v>
      </c>
      <c r="O921" s="3" t="s">
        <v>2276</v>
      </c>
      <c r="P921" s="3" t="s">
        <v>2276</v>
      </c>
      <c r="Q921" s="3" t="s">
        <v>2276</v>
      </c>
      <c r="R921" s="3" t="s">
        <v>2276</v>
      </c>
      <c r="S921" s="3" t="s">
        <v>2276</v>
      </c>
      <c r="T921" s="3" t="s">
        <v>2276</v>
      </c>
      <c r="U921" s="3" t="s">
        <v>2276</v>
      </c>
      <c r="V921" s="3" t="s">
        <v>2276</v>
      </c>
      <c r="W921" s="3" t="s">
        <v>2276</v>
      </c>
      <c r="X921" s="3" t="s">
        <v>2276</v>
      </c>
      <c r="Y921" s="3" t="s">
        <v>2276</v>
      </c>
      <c r="Z921" s="3" t="s">
        <v>2276</v>
      </c>
      <c r="AA921" s="3" t="s">
        <v>2276</v>
      </c>
      <c r="AB921" s="3" t="s">
        <v>2276</v>
      </c>
      <c r="AC921" s="3"/>
      <c r="AD921" s="3"/>
    </row>
    <row r="922" spans="1:30" ht="34.5" customHeight="1">
      <c r="A922" s="11" t="s">
        <v>2944</v>
      </c>
      <c r="B922" s="11" t="s">
        <v>2948</v>
      </c>
      <c r="C922" s="23" t="s">
        <v>24</v>
      </c>
      <c r="D922" s="3" t="s">
        <v>27</v>
      </c>
      <c r="E922" s="3" t="s">
        <v>130</v>
      </c>
      <c r="F922" s="4" t="s">
        <v>161</v>
      </c>
      <c r="G922" s="3" t="s">
        <v>2276</v>
      </c>
      <c r="H922" s="3" t="s">
        <v>523</v>
      </c>
      <c r="I922" s="3"/>
      <c r="J922" s="3" t="s">
        <v>2276</v>
      </c>
      <c r="K922" s="3" t="s">
        <v>2276</v>
      </c>
      <c r="L922" s="3" t="s">
        <v>2276</v>
      </c>
      <c r="M922" s="3" t="s">
        <v>2276</v>
      </c>
      <c r="N922" s="3" t="s">
        <v>2276</v>
      </c>
      <c r="O922" s="3" t="s">
        <v>2276</v>
      </c>
      <c r="P922" s="3" t="s">
        <v>2276</v>
      </c>
      <c r="Q922" s="3" t="s">
        <v>2276</v>
      </c>
      <c r="R922" s="3" t="s">
        <v>2276</v>
      </c>
      <c r="S922" s="3" t="s">
        <v>2276</v>
      </c>
      <c r="T922" s="3" t="s">
        <v>2276</v>
      </c>
      <c r="U922" s="3" t="s">
        <v>2276</v>
      </c>
      <c r="V922" s="3" t="s">
        <v>2276</v>
      </c>
      <c r="W922" s="3" t="s">
        <v>2276</v>
      </c>
      <c r="X922" s="3" t="s">
        <v>2276</v>
      </c>
      <c r="Y922" s="3" t="s">
        <v>2276</v>
      </c>
      <c r="Z922" s="3" t="s">
        <v>38</v>
      </c>
      <c r="AA922" s="3" t="s">
        <v>86</v>
      </c>
      <c r="AB922" s="3" t="s">
        <v>64</v>
      </c>
      <c r="AC922" s="3"/>
      <c r="AD922" s="4" t="s">
        <v>2949</v>
      </c>
    </row>
    <row r="923" spans="1:30" ht="39" customHeight="1">
      <c r="A923" s="11" t="s">
        <v>2954</v>
      </c>
      <c r="B923" s="3" t="s">
        <v>2958</v>
      </c>
      <c r="C923" s="23" t="s">
        <v>24</v>
      </c>
      <c r="D923" s="3" t="s">
        <v>1242</v>
      </c>
      <c r="E923" s="3" t="s">
        <v>130</v>
      </c>
      <c r="F923" s="4" t="s">
        <v>2662</v>
      </c>
      <c r="G923" s="3" t="s">
        <v>2276</v>
      </c>
      <c r="H923" s="3" t="s">
        <v>523</v>
      </c>
      <c r="I923" s="3"/>
      <c r="J923" s="3" t="s">
        <v>2276</v>
      </c>
      <c r="K923" s="3" t="s">
        <v>2276</v>
      </c>
      <c r="L923" s="3" t="s">
        <v>2276</v>
      </c>
      <c r="M923" s="3" t="s">
        <v>2276</v>
      </c>
      <c r="N923" s="3" t="s">
        <v>2276</v>
      </c>
      <c r="O923" s="3" t="s">
        <v>2276</v>
      </c>
      <c r="P923" s="3" t="s">
        <v>2276</v>
      </c>
      <c r="Q923" s="3" t="s">
        <v>2276</v>
      </c>
      <c r="R923" s="3" t="s">
        <v>2276</v>
      </c>
      <c r="S923" s="3" t="s">
        <v>2276</v>
      </c>
      <c r="T923" s="3" t="s">
        <v>2276</v>
      </c>
      <c r="U923" s="3" t="s">
        <v>2276</v>
      </c>
      <c r="V923" s="3" t="s">
        <v>2276</v>
      </c>
      <c r="W923" s="3" t="s">
        <v>2276</v>
      </c>
      <c r="X923" s="3" t="s">
        <v>2276</v>
      </c>
      <c r="Y923" s="3" t="s">
        <v>2276</v>
      </c>
      <c r="Z923" s="3" t="s">
        <v>38</v>
      </c>
      <c r="AA923" s="3" t="s">
        <v>86</v>
      </c>
      <c r="AB923" s="3" t="s">
        <v>64</v>
      </c>
      <c r="AC923" s="4" t="s">
        <v>2959</v>
      </c>
      <c r="AD923" s="3"/>
    </row>
    <row r="924" spans="1:30" ht="37.5" customHeight="1">
      <c r="A924" s="11" t="s">
        <v>2954</v>
      </c>
      <c r="B924" s="3" t="s">
        <v>2960</v>
      </c>
      <c r="C924" s="23" t="s">
        <v>24</v>
      </c>
      <c r="D924" s="3" t="s">
        <v>1242</v>
      </c>
      <c r="E924" s="3" t="s">
        <v>116</v>
      </c>
      <c r="F924" s="4" t="s">
        <v>2662</v>
      </c>
      <c r="G924" s="3" t="s">
        <v>2276</v>
      </c>
      <c r="H924" s="3" t="s">
        <v>523</v>
      </c>
      <c r="I924" s="3"/>
      <c r="J924" s="3" t="s">
        <v>2276</v>
      </c>
      <c r="K924" s="3" t="s">
        <v>2276</v>
      </c>
      <c r="L924" s="3" t="s">
        <v>2276</v>
      </c>
      <c r="M924" s="3" t="s">
        <v>2276</v>
      </c>
      <c r="N924" s="3" t="s">
        <v>2276</v>
      </c>
      <c r="O924" s="3" t="s">
        <v>2276</v>
      </c>
      <c r="P924" s="3" t="s">
        <v>2276</v>
      </c>
      <c r="Q924" s="3" t="s">
        <v>2276</v>
      </c>
      <c r="R924" s="3" t="s">
        <v>2276</v>
      </c>
      <c r="S924" s="3" t="s">
        <v>2276</v>
      </c>
      <c r="T924" s="3" t="s">
        <v>2276</v>
      </c>
      <c r="U924" s="3" t="s">
        <v>2276</v>
      </c>
      <c r="V924" s="3" t="s">
        <v>2276</v>
      </c>
      <c r="W924" s="3" t="s">
        <v>2276</v>
      </c>
      <c r="X924" s="3" t="s">
        <v>2276</v>
      </c>
      <c r="Y924" s="3" t="s">
        <v>2276</v>
      </c>
      <c r="Z924" s="3" t="s">
        <v>38</v>
      </c>
      <c r="AA924" s="3" t="s">
        <v>86</v>
      </c>
      <c r="AB924" s="3" t="s">
        <v>64</v>
      </c>
      <c r="AC924" s="4" t="s">
        <v>2961</v>
      </c>
      <c r="AD924" s="3"/>
    </row>
    <row r="925" spans="1:30" ht="36.5" customHeight="1">
      <c r="A925" s="11" t="s">
        <v>2954</v>
      </c>
      <c r="B925" s="3" t="s">
        <v>2962</v>
      </c>
      <c r="C925" s="23" t="s">
        <v>24</v>
      </c>
      <c r="D925" s="3" t="s">
        <v>1245</v>
      </c>
      <c r="E925" s="3" t="s">
        <v>116</v>
      </c>
      <c r="F925" s="4" t="s">
        <v>2662</v>
      </c>
      <c r="G925" s="3" t="s">
        <v>2276</v>
      </c>
      <c r="H925" s="3" t="s">
        <v>523</v>
      </c>
      <c r="I925" s="3"/>
      <c r="J925" s="3" t="s">
        <v>2276</v>
      </c>
      <c r="K925" s="3" t="s">
        <v>2276</v>
      </c>
      <c r="L925" s="3" t="s">
        <v>2276</v>
      </c>
      <c r="M925" s="3" t="s">
        <v>2276</v>
      </c>
      <c r="N925" s="3" t="s">
        <v>2276</v>
      </c>
      <c r="O925" s="3" t="s">
        <v>2276</v>
      </c>
      <c r="P925" s="3" t="s">
        <v>2276</v>
      </c>
      <c r="Q925" s="3" t="s">
        <v>2276</v>
      </c>
      <c r="R925" s="3" t="s">
        <v>2276</v>
      </c>
      <c r="S925" s="3" t="s">
        <v>2276</v>
      </c>
      <c r="T925" s="3" t="s">
        <v>2276</v>
      </c>
      <c r="U925" s="3" t="s">
        <v>2276</v>
      </c>
      <c r="V925" s="3" t="s">
        <v>2276</v>
      </c>
      <c r="W925" s="3" t="s">
        <v>2276</v>
      </c>
      <c r="X925" s="3" t="s">
        <v>2276</v>
      </c>
      <c r="Y925" s="3" t="s">
        <v>2276</v>
      </c>
      <c r="Z925" s="3" t="s">
        <v>38</v>
      </c>
      <c r="AA925" s="3" t="s">
        <v>38</v>
      </c>
      <c r="AB925" s="3" t="s">
        <v>64</v>
      </c>
      <c r="AC925" s="4" t="s">
        <v>2974</v>
      </c>
      <c r="AD925" s="3"/>
    </row>
    <row r="926" spans="1:30" ht="50.5" customHeight="1">
      <c r="A926" s="11" t="s">
        <v>2954</v>
      </c>
      <c r="B926" s="3" t="s">
        <v>2963</v>
      </c>
      <c r="C926" s="23" t="s">
        <v>24</v>
      </c>
      <c r="D926" s="3" t="s">
        <v>1131</v>
      </c>
      <c r="E926" s="3" t="s">
        <v>116</v>
      </c>
      <c r="F926" s="4" t="s">
        <v>2662</v>
      </c>
      <c r="G926" s="3" t="s">
        <v>2276</v>
      </c>
      <c r="H926" s="3" t="s">
        <v>523</v>
      </c>
      <c r="I926" s="3"/>
      <c r="J926" s="3" t="s">
        <v>2276</v>
      </c>
      <c r="K926" s="3" t="s">
        <v>2276</v>
      </c>
      <c r="L926" s="3" t="s">
        <v>2276</v>
      </c>
      <c r="M926" s="3" t="s">
        <v>2276</v>
      </c>
      <c r="N926" s="3" t="s">
        <v>2276</v>
      </c>
      <c r="O926" s="3" t="s">
        <v>2276</v>
      </c>
      <c r="P926" s="3" t="s">
        <v>2276</v>
      </c>
      <c r="Q926" s="3" t="s">
        <v>2276</v>
      </c>
      <c r="R926" s="3" t="s">
        <v>2276</v>
      </c>
      <c r="S926" s="3" t="s">
        <v>2276</v>
      </c>
      <c r="T926" s="3" t="s">
        <v>2276</v>
      </c>
      <c r="U926" s="3" t="s">
        <v>2276</v>
      </c>
      <c r="V926" s="3" t="s">
        <v>2276</v>
      </c>
      <c r="W926" s="3" t="s">
        <v>2276</v>
      </c>
      <c r="X926" s="3" t="s">
        <v>2276</v>
      </c>
      <c r="Y926" s="21">
        <v>5.5</v>
      </c>
      <c r="Z926" s="3" t="s">
        <v>38</v>
      </c>
      <c r="AA926" s="3" t="s">
        <v>86</v>
      </c>
      <c r="AB926" s="3" t="s">
        <v>64</v>
      </c>
      <c r="AC926" s="4" t="s">
        <v>2964</v>
      </c>
      <c r="AD926" s="3"/>
    </row>
    <row r="927" spans="1:30" ht="47.5" customHeight="1">
      <c r="A927" s="11" t="s">
        <v>2954</v>
      </c>
      <c r="B927" s="3" t="s">
        <v>2965</v>
      </c>
      <c r="C927" s="23" t="s">
        <v>24</v>
      </c>
      <c r="D927" s="3" t="s">
        <v>25</v>
      </c>
      <c r="E927" s="3" t="s">
        <v>45</v>
      </c>
      <c r="F927" s="4" t="s">
        <v>29</v>
      </c>
      <c r="G927" s="3" t="s">
        <v>2276</v>
      </c>
      <c r="H927" s="3" t="s">
        <v>523</v>
      </c>
      <c r="I927" s="3"/>
      <c r="J927" s="3" t="s">
        <v>2276</v>
      </c>
      <c r="K927" s="3" t="s">
        <v>2276</v>
      </c>
      <c r="L927" s="3" t="s">
        <v>2276</v>
      </c>
      <c r="M927" s="3" t="s">
        <v>2276</v>
      </c>
      <c r="N927" s="3" t="s">
        <v>2276</v>
      </c>
      <c r="O927" s="3" t="s">
        <v>2276</v>
      </c>
      <c r="P927" s="3" t="s">
        <v>2276</v>
      </c>
      <c r="Q927" s="3" t="s">
        <v>2276</v>
      </c>
      <c r="R927" s="3" t="s">
        <v>2276</v>
      </c>
      <c r="S927" s="3" t="s">
        <v>2276</v>
      </c>
      <c r="T927" s="3" t="s">
        <v>2276</v>
      </c>
      <c r="U927" s="3" t="s">
        <v>2276</v>
      </c>
      <c r="V927" s="3" t="s">
        <v>2276</v>
      </c>
      <c r="W927" s="3" t="s">
        <v>2276</v>
      </c>
      <c r="X927" s="3" t="s">
        <v>2276</v>
      </c>
      <c r="Y927" s="21">
        <v>1</v>
      </c>
      <c r="Z927" s="3" t="s">
        <v>86</v>
      </c>
      <c r="AA927" s="3" t="s">
        <v>86</v>
      </c>
      <c r="AB927" s="3" t="s">
        <v>64</v>
      </c>
      <c r="AC927" s="3" t="s">
        <v>2966</v>
      </c>
      <c r="AD927" s="3"/>
    </row>
    <row r="928" spans="1:30" ht="42.5" customHeight="1">
      <c r="A928" s="11" t="s">
        <v>2954</v>
      </c>
      <c r="B928" s="3" t="s">
        <v>2967</v>
      </c>
      <c r="C928" s="23" t="s">
        <v>24</v>
      </c>
      <c r="D928" s="3" t="s">
        <v>27</v>
      </c>
      <c r="E928" s="3" t="s">
        <v>130</v>
      </c>
      <c r="F928" s="4" t="s">
        <v>161</v>
      </c>
      <c r="G928" s="3" t="s">
        <v>2276</v>
      </c>
      <c r="H928" s="3" t="s">
        <v>523</v>
      </c>
      <c r="I928" s="3"/>
      <c r="J928" s="3" t="s">
        <v>2276</v>
      </c>
      <c r="K928" s="3" t="s">
        <v>2276</v>
      </c>
      <c r="L928" s="3" t="s">
        <v>2276</v>
      </c>
      <c r="M928" s="3" t="s">
        <v>2276</v>
      </c>
      <c r="N928" s="3" t="s">
        <v>2276</v>
      </c>
      <c r="O928" s="3" t="s">
        <v>2276</v>
      </c>
      <c r="P928" s="3" t="s">
        <v>2276</v>
      </c>
      <c r="Q928" s="3" t="s">
        <v>2276</v>
      </c>
      <c r="R928" s="3" t="s">
        <v>2276</v>
      </c>
      <c r="S928" s="3" t="s">
        <v>2276</v>
      </c>
      <c r="T928" s="3" t="s">
        <v>2276</v>
      </c>
      <c r="U928" s="3" t="s">
        <v>2276</v>
      </c>
      <c r="V928" s="3" t="s">
        <v>2276</v>
      </c>
      <c r="W928" s="3" t="s">
        <v>2276</v>
      </c>
      <c r="X928" s="3" t="s">
        <v>2276</v>
      </c>
      <c r="Y928" s="3" t="s">
        <v>2276</v>
      </c>
      <c r="Z928" s="3" t="s">
        <v>405</v>
      </c>
      <c r="AA928" s="3" t="s">
        <v>425</v>
      </c>
      <c r="AB928" s="3" t="s">
        <v>76</v>
      </c>
      <c r="AC928" s="4" t="s">
        <v>2968</v>
      </c>
      <c r="AD928" s="3"/>
    </row>
    <row r="929" spans="1:30" ht="34.5" customHeight="1">
      <c r="A929" s="11" t="s">
        <v>2954</v>
      </c>
      <c r="B929" s="3" t="s">
        <v>2969</v>
      </c>
      <c r="C929" s="23" t="s">
        <v>24</v>
      </c>
      <c r="D929" s="3" t="s">
        <v>2341</v>
      </c>
      <c r="E929" s="3" t="s">
        <v>116</v>
      </c>
      <c r="F929" s="4" t="s">
        <v>2662</v>
      </c>
      <c r="G929" s="3" t="s">
        <v>2276</v>
      </c>
      <c r="H929" s="3" t="s">
        <v>523</v>
      </c>
      <c r="I929" s="3"/>
      <c r="J929" s="3" t="s">
        <v>2276</v>
      </c>
      <c r="K929" s="3" t="s">
        <v>2276</v>
      </c>
      <c r="L929" s="3" t="s">
        <v>2276</v>
      </c>
      <c r="M929" s="3" t="s">
        <v>2276</v>
      </c>
      <c r="N929" s="3" t="s">
        <v>2276</v>
      </c>
      <c r="O929" s="3" t="s">
        <v>2276</v>
      </c>
      <c r="P929" s="3" t="s">
        <v>2276</v>
      </c>
      <c r="Q929" s="3" t="s">
        <v>2276</v>
      </c>
      <c r="R929" s="3" t="s">
        <v>2276</v>
      </c>
      <c r="S929" s="3" t="s">
        <v>2276</v>
      </c>
      <c r="T929" s="3" t="s">
        <v>2276</v>
      </c>
      <c r="U929" s="3" t="s">
        <v>2276</v>
      </c>
      <c r="V929" s="3" t="s">
        <v>2276</v>
      </c>
      <c r="W929" s="3" t="s">
        <v>2276</v>
      </c>
      <c r="X929" s="3" t="s">
        <v>2276</v>
      </c>
      <c r="Y929" s="3" t="s">
        <v>2276</v>
      </c>
      <c r="Z929" s="3" t="s">
        <v>38</v>
      </c>
      <c r="AA929" s="3" t="s">
        <v>425</v>
      </c>
      <c r="AB929" s="3" t="s">
        <v>64</v>
      </c>
      <c r="AC929" s="3" t="s">
        <v>2976</v>
      </c>
      <c r="AD929" s="3"/>
    </row>
    <row r="930" spans="1:30" ht="34.5" customHeight="1">
      <c r="A930" s="11" t="s">
        <v>2954</v>
      </c>
      <c r="B930" s="3" t="s">
        <v>2970</v>
      </c>
      <c r="C930" s="23" t="s">
        <v>24</v>
      </c>
      <c r="D930" s="3" t="s">
        <v>2341</v>
      </c>
      <c r="E930" s="3" t="s">
        <v>130</v>
      </c>
      <c r="F930" s="4" t="s">
        <v>2662</v>
      </c>
      <c r="G930" s="3" t="s">
        <v>2276</v>
      </c>
      <c r="H930" s="3" t="s">
        <v>523</v>
      </c>
      <c r="I930" s="3"/>
      <c r="J930" s="3" t="s">
        <v>2276</v>
      </c>
      <c r="K930" s="3" t="s">
        <v>2276</v>
      </c>
      <c r="L930" s="3" t="s">
        <v>2276</v>
      </c>
      <c r="M930" s="3" t="s">
        <v>2276</v>
      </c>
      <c r="N930" s="3" t="s">
        <v>2276</v>
      </c>
      <c r="O930" s="3" t="s">
        <v>2276</v>
      </c>
      <c r="P930" s="3" t="s">
        <v>2276</v>
      </c>
      <c r="Q930" s="3" t="s">
        <v>2276</v>
      </c>
      <c r="R930" s="3" t="s">
        <v>2276</v>
      </c>
      <c r="S930" s="3" t="s">
        <v>2276</v>
      </c>
      <c r="T930" s="3" t="s">
        <v>2276</v>
      </c>
      <c r="U930" s="3" t="s">
        <v>2276</v>
      </c>
      <c r="V930" s="3" t="s">
        <v>2276</v>
      </c>
      <c r="W930" s="3" t="s">
        <v>2276</v>
      </c>
      <c r="X930" s="3" t="s">
        <v>2276</v>
      </c>
      <c r="Y930" s="3" t="s">
        <v>2276</v>
      </c>
      <c r="Z930" s="3" t="s">
        <v>38</v>
      </c>
      <c r="AA930" s="3" t="s">
        <v>425</v>
      </c>
      <c r="AB930" s="3" t="s">
        <v>64</v>
      </c>
      <c r="AC930" s="4" t="s">
        <v>2977</v>
      </c>
      <c r="AD930" s="3"/>
    </row>
    <row r="931" spans="1:30" ht="41" customHeight="1">
      <c r="A931" s="11" t="s">
        <v>2954</v>
      </c>
      <c r="B931" s="3" t="s">
        <v>2971</v>
      </c>
      <c r="C931" s="23" t="s">
        <v>24</v>
      </c>
      <c r="D931" s="3" t="s">
        <v>26</v>
      </c>
      <c r="E931" s="3" t="s">
        <v>130</v>
      </c>
      <c r="F931" s="4" t="s">
        <v>2662</v>
      </c>
      <c r="G931" s="3" t="s">
        <v>2276</v>
      </c>
      <c r="H931" s="3" t="s">
        <v>523</v>
      </c>
      <c r="I931" s="3"/>
      <c r="J931" s="3" t="s">
        <v>2276</v>
      </c>
      <c r="K931" s="3" t="s">
        <v>2276</v>
      </c>
      <c r="L931" s="3" t="s">
        <v>2276</v>
      </c>
      <c r="M931" s="3" t="s">
        <v>2276</v>
      </c>
      <c r="N931" s="3" t="s">
        <v>2276</v>
      </c>
      <c r="O931" s="3" t="s">
        <v>2276</v>
      </c>
      <c r="P931" s="3" t="s">
        <v>2276</v>
      </c>
      <c r="Q931" s="3" t="s">
        <v>2276</v>
      </c>
      <c r="R931" s="3" t="s">
        <v>2276</v>
      </c>
      <c r="S931" s="3" t="s">
        <v>2276</v>
      </c>
      <c r="T931" s="3" t="s">
        <v>2276</v>
      </c>
      <c r="U931" s="3" t="s">
        <v>2276</v>
      </c>
      <c r="V931" s="3" t="s">
        <v>2276</v>
      </c>
      <c r="W931" s="3" t="s">
        <v>2276</v>
      </c>
      <c r="X931" s="3" t="s">
        <v>2276</v>
      </c>
      <c r="Y931" s="3" t="s">
        <v>2276</v>
      </c>
      <c r="Z931" s="3" t="s">
        <v>38</v>
      </c>
      <c r="AA931" s="3" t="s">
        <v>425</v>
      </c>
      <c r="AB931" s="3" t="s">
        <v>64</v>
      </c>
      <c r="AC931" s="3"/>
      <c r="AD931" s="3"/>
    </row>
    <row r="932" spans="1:30" ht="39" customHeight="1">
      <c r="A932" s="11" t="s">
        <v>2954</v>
      </c>
      <c r="B932" s="3" t="s">
        <v>2972</v>
      </c>
      <c r="C932" s="23" t="s">
        <v>24</v>
      </c>
      <c r="D932" s="3" t="s">
        <v>26</v>
      </c>
      <c r="E932" s="3" t="s">
        <v>116</v>
      </c>
      <c r="F932" s="4" t="s">
        <v>2662</v>
      </c>
      <c r="G932" s="3" t="s">
        <v>2276</v>
      </c>
      <c r="H932" s="3" t="s">
        <v>523</v>
      </c>
      <c r="I932" s="3"/>
      <c r="J932" s="3" t="s">
        <v>2276</v>
      </c>
      <c r="K932" s="3" t="s">
        <v>2276</v>
      </c>
      <c r="L932" s="3" t="s">
        <v>2276</v>
      </c>
      <c r="M932" s="3" t="s">
        <v>2276</v>
      </c>
      <c r="N932" s="3" t="s">
        <v>2276</v>
      </c>
      <c r="O932" s="3" t="s">
        <v>2276</v>
      </c>
      <c r="P932" s="3" t="s">
        <v>2276</v>
      </c>
      <c r="Q932" s="3" t="s">
        <v>2276</v>
      </c>
      <c r="R932" s="3" t="s">
        <v>2276</v>
      </c>
      <c r="S932" s="3" t="s">
        <v>2276</v>
      </c>
      <c r="T932" s="3" t="s">
        <v>2276</v>
      </c>
      <c r="U932" s="3" t="s">
        <v>2276</v>
      </c>
      <c r="V932" s="3" t="s">
        <v>2276</v>
      </c>
      <c r="W932" s="3" t="s">
        <v>2276</v>
      </c>
      <c r="X932" s="3" t="s">
        <v>2276</v>
      </c>
      <c r="Y932" s="3" t="s">
        <v>2276</v>
      </c>
      <c r="Z932" s="3" t="s">
        <v>38</v>
      </c>
      <c r="AA932" s="3" t="s">
        <v>425</v>
      </c>
      <c r="AB932" s="3" t="s">
        <v>64</v>
      </c>
      <c r="AC932" s="3"/>
      <c r="AD932" s="3"/>
    </row>
    <row r="933" spans="1:30" ht="40.5" customHeight="1">
      <c r="A933" s="11" t="s">
        <v>2954</v>
      </c>
      <c r="B933" s="3" t="s">
        <v>2975</v>
      </c>
      <c r="C933" s="23" t="s">
        <v>2458</v>
      </c>
      <c r="D933" s="3" t="s">
        <v>25</v>
      </c>
      <c r="E933" s="3" t="s">
        <v>2647</v>
      </c>
      <c r="F933" s="4" t="s">
        <v>29</v>
      </c>
      <c r="G933" s="4" t="s">
        <v>2662</v>
      </c>
      <c r="H933" s="3" t="s">
        <v>523</v>
      </c>
      <c r="I933" s="3"/>
      <c r="J933" s="3" t="s">
        <v>2276</v>
      </c>
      <c r="K933" s="3" t="s">
        <v>2276</v>
      </c>
      <c r="L933" s="3" t="s">
        <v>2276</v>
      </c>
      <c r="M933" s="3" t="s">
        <v>2276</v>
      </c>
      <c r="N933" s="3" t="s">
        <v>2276</v>
      </c>
      <c r="O933" s="3" t="s">
        <v>2276</v>
      </c>
      <c r="P933" s="3" t="s">
        <v>2276</v>
      </c>
      <c r="Q933" s="3" t="s">
        <v>2276</v>
      </c>
      <c r="R933" s="3" t="s">
        <v>2276</v>
      </c>
      <c r="S933" s="3" t="s">
        <v>2276</v>
      </c>
      <c r="T933" s="3" t="s">
        <v>2276</v>
      </c>
      <c r="U933" s="3" t="s">
        <v>2276</v>
      </c>
      <c r="V933" s="3" t="s">
        <v>2276</v>
      </c>
      <c r="W933" s="3" t="s">
        <v>2276</v>
      </c>
      <c r="X933" s="3" t="s">
        <v>2276</v>
      </c>
      <c r="Y933" s="3" t="s">
        <v>2276</v>
      </c>
      <c r="Z933" s="3" t="s">
        <v>38</v>
      </c>
      <c r="AA933" s="3" t="s">
        <v>425</v>
      </c>
      <c r="AB933" s="3" t="s">
        <v>64</v>
      </c>
      <c r="AC933" s="4" t="s">
        <v>2973</v>
      </c>
      <c r="AD933" s="3"/>
    </row>
    <row r="934" spans="1:30" ht="50" customHeight="1">
      <c r="A934" s="11" t="s">
        <v>2954</v>
      </c>
      <c r="B934" s="3" t="s">
        <v>2981</v>
      </c>
      <c r="C934" s="23" t="s">
        <v>2458</v>
      </c>
      <c r="D934" s="3" t="s">
        <v>27</v>
      </c>
      <c r="E934" s="3" t="s">
        <v>130</v>
      </c>
      <c r="F934" s="4" t="s">
        <v>161</v>
      </c>
      <c r="G934" s="4" t="s">
        <v>2662</v>
      </c>
      <c r="H934" s="3" t="s">
        <v>523</v>
      </c>
      <c r="I934" s="3"/>
      <c r="J934" s="3" t="s">
        <v>2276</v>
      </c>
      <c r="K934" s="3" t="s">
        <v>2276</v>
      </c>
      <c r="L934" s="3" t="s">
        <v>2276</v>
      </c>
      <c r="M934" s="3" t="s">
        <v>2276</v>
      </c>
      <c r="N934" s="3" t="s">
        <v>2276</v>
      </c>
      <c r="O934" s="3" t="s">
        <v>2276</v>
      </c>
      <c r="P934" s="3" t="s">
        <v>2276</v>
      </c>
      <c r="Q934" s="3" t="s">
        <v>2276</v>
      </c>
      <c r="R934" s="3" t="s">
        <v>2276</v>
      </c>
      <c r="S934" s="3" t="s">
        <v>2276</v>
      </c>
      <c r="T934" s="3" t="s">
        <v>2276</v>
      </c>
      <c r="U934" s="3" t="s">
        <v>2276</v>
      </c>
      <c r="V934" s="3" t="s">
        <v>2276</v>
      </c>
      <c r="W934" s="3" t="s">
        <v>2276</v>
      </c>
      <c r="X934" s="3" t="s">
        <v>2276</v>
      </c>
      <c r="Y934" s="3" t="s">
        <v>2276</v>
      </c>
      <c r="Z934" s="3" t="s">
        <v>405</v>
      </c>
      <c r="AA934" s="3" t="s">
        <v>425</v>
      </c>
      <c r="AB934" s="3" t="s">
        <v>76</v>
      </c>
      <c r="AC934" s="4" t="s">
        <v>2982</v>
      </c>
      <c r="AD934" s="3"/>
    </row>
    <row r="935" spans="1:30" ht="63.5" customHeight="1">
      <c r="A935" s="11" t="s">
        <v>2988</v>
      </c>
      <c r="B935" s="11" t="s">
        <v>2989</v>
      </c>
      <c r="C935" s="23" t="s">
        <v>24</v>
      </c>
      <c r="D935" s="3" t="s">
        <v>25</v>
      </c>
      <c r="E935" s="3" t="s">
        <v>5005</v>
      </c>
      <c r="F935" s="4" t="s">
        <v>2662</v>
      </c>
      <c r="G935" s="3" t="s">
        <v>2276</v>
      </c>
      <c r="H935" s="3" t="s">
        <v>523</v>
      </c>
      <c r="I935" s="3"/>
      <c r="J935" s="3" t="s">
        <v>2276</v>
      </c>
      <c r="K935" s="3" t="s">
        <v>2276</v>
      </c>
      <c r="L935" s="3" t="s">
        <v>2276</v>
      </c>
      <c r="M935" s="3" t="s">
        <v>2276</v>
      </c>
      <c r="N935" s="3" t="s">
        <v>2276</v>
      </c>
      <c r="O935" s="3" t="s">
        <v>2276</v>
      </c>
      <c r="P935" s="3" t="s">
        <v>2276</v>
      </c>
      <c r="Q935" s="3" t="s">
        <v>2276</v>
      </c>
      <c r="R935" s="3" t="s">
        <v>2276</v>
      </c>
      <c r="S935" s="3" t="s">
        <v>2276</v>
      </c>
      <c r="T935" s="3" t="s">
        <v>2276</v>
      </c>
      <c r="U935" s="3" t="s">
        <v>2276</v>
      </c>
      <c r="V935" s="3" t="s">
        <v>2276</v>
      </c>
      <c r="W935" s="3" t="s">
        <v>2276</v>
      </c>
      <c r="X935" s="3" t="s">
        <v>2276</v>
      </c>
      <c r="Y935" s="3" t="s">
        <v>2276</v>
      </c>
      <c r="Z935" s="3" t="s">
        <v>68</v>
      </c>
      <c r="AA935" s="3" t="s">
        <v>35</v>
      </c>
      <c r="AB935" s="3" t="s">
        <v>64</v>
      </c>
      <c r="AC935" s="4" t="s">
        <v>3006</v>
      </c>
      <c r="AD935" s="3"/>
    </row>
    <row r="936" spans="1:30" ht="46" customHeight="1">
      <c r="A936" s="11" t="s">
        <v>2988</v>
      </c>
      <c r="B936" s="11" t="s">
        <v>2990</v>
      </c>
      <c r="C936" s="23" t="s">
        <v>24</v>
      </c>
      <c r="D936" s="3" t="s">
        <v>26</v>
      </c>
      <c r="E936" s="3" t="s">
        <v>5005</v>
      </c>
      <c r="F936" s="4" t="s">
        <v>2662</v>
      </c>
      <c r="G936" s="3" t="s">
        <v>2276</v>
      </c>
      <c r="H936" s="3" t="s">
        <v>523</v>
      </c>
      <c r="I936" s="3"/>
      <c r="J936" s="3" t="s">
        <v>2276</v>
      </c>
      <c r="K936" s="3" t="s">
        <v>2276</v>
      </c>
      <c r="L936" s="3" t="s">
        <v>2276</v>
      </c>
      <c r="M936" s="3" t="s">
        <v>2276</v>
      </c>
      <c r="N936" s="3" t="s">
        <v>2276</v>
      </c>
      <c r="O936" s="3" t="s">
        <v>2276</v>
      </c>
      <c r="P936" s="3" t="s">
        <v>2276</v>
      </c>
      <c r="Q936" s="3" t="s">
        <v>2276</v>
      </c>
      <c r="R936" s="3" t="s">
        <v>2276</v>
      </c>
      <c r="S936" s="3" t="s">
        <v>2276</v>
      </c>
      <c r="T936" s="3" t="s">
        <v>2276</v>
      </c>
      <c r="U936" s="3" t="s">
        <v>2276</v>
      </c>
      <c r="V936" s="3" t="s">
        <v>2276</v>
      </c>
      <c r="W936" s="3" t="s">
        <v>2276</v>
      </c>
      <c r="X936" s="3" t="s">
        <v>2276</v>
      </c>
      <c r="Y936" s="3" t="s">
        <v>2276</v>
      </c>
      <c r="Z936" s="3" t="s">
        <v>2276</v>
      </c>
      <c r="AA936" s="3" t="s">
        <v>2276</v>
      </c>
      <c r="AB936" s="3" t="s">
        <v>2276</v>
      </c>
      <c r="AC936" s="3"/>
      <c r="AD936" s="3"/>
    </row>
    <row r="937" spans="1:30" ht="70" customHeight="1">
      <c r="A937" s="11" t="s">
        <v>2988</v>
      </c>
      <c r="B937" s="11" t="s">
        <v>2991</v>
      </c>
      <c r="C937" s="23" t="s">
        <v>24</v>
      </c>
      <c r="D937" s="3" t="s">
        <v>2341</v>
      </c>
      <c r="E937" s="3" t="s">
        <v>5005</v>
      </c>
      <c r="F937" s="4" t="s">
        <v>2662</v>
      </c>
      <c r="G937" s="3" t="s">
        <v>2276</v>
      </c>
      <c r="H937" s="3" t="s">
        <v>523</v>
      </c>
      <c r="I937" s="3"/>
      <c r="J937" s="3" t="s">
        <v>2276</v>
      </c>
      <c r="K937" s="3" t="s">
        <v>2276</v>
      </c>
      <c r="L937" s="3" t="s">
        <v>2276</v>
      </c>
      <c r="M937" s="3" t="s">
        <v>2276</v>
      </c>
      <c r="N937" s="3" t="s">
        <v>2276</v>
      </c>
      <c r="O937" s="3" t="s">
        <v>2276</v>
      </c>
      <c r="P937" s="3" t="s">
        <v>2276</v>
      </c>
      <c r="Q937" s="3" t="s">
        <v>2276</v>
      </c>
      <c r="R937" s="3" t="s">
        <v>2276</v>
      </c>
      <c r="S937" s="3" t="s">
        <v>2276</v>
      </c>
      <c r="T937" s="3" t="s">
        <v>2276</v>
      </c>
      <c r="U937" s="3" t="s">
        <v>2276</v>
      </c>
      <c r="V937" s="3" t="s">
        <v>2276</v>
      </c>
      <c r="W937" s="3" t="s">
        <v>2276</v>
      </c>
      <c r="X937" s="3" t="s">
        <v>2276</v>
      </c>
      <c r="Y937" s="3" t="s">
        <v>2276</v>
      </c>
      <c r="Z937" s="3" t="s">
        <v>68</v>
      </c>
      <c r="AA937" s="3" t="s">
        <v>35</v>
      </c>
      <c r="AB937" s="3" t="s">
        <v>64</v>
      </c>
      <c r="AC937" s="4" t="s">
        <v>3011</v>
      </c>
      <c r="AD937" s="3"/>
    </row>
    <row r="938" spans="1:30" ht="39.5" customHeight="1">
      <c r="A938" s="11" t="s">
        <v>2988</v>
      </c>
      <c r="B938" s="11" t="s">
        <v>2993</v>
      </c>
      <c r="C938" s="23" t="s">
        <v>2458</v>
      </c>
      <c r="D938" s="3" t="s">
        <v>2994</v>
      </c>
      <c r="E938" s="3" t="s">
        <v>5005</v>
      </c>
      <c r="F938" s="4" t="s">
        <v>2276</v>
      </c>
      <c r="G938" s="4" t="s">
        <v>2662</v>
      </c>
      <c r="H938" s="3" t="s">
        <v>523</v>
      </c>
      <c r="I938" s="3"/>
      <c r="J938" s="3" t="s">
        <v>2276</v>
      </c>
      <c r="K938" s="3" t="s">
        <v>2276</v>
      </c>
      <c r="L938" s="3" t="s">
        <v>2276</v>
      </c>
      <c r="M938" s="3" t="s">
        <v>2276</v>
      </c>
      <c r="N938" s="3" t="s">
        <v>2276</v>
      </c>
      <c r="O938" s="3" t="s">
        <v>2276</v>
      </c>
      <c r="P938" s="3" t="s">
        <v>2276</v>
      </c>
      <c r="Q938" s="3" t="s">
        <v>2276</v>
      </c>
      <c r="R938" s="3" t="s">
        <v>2276</v>
      </c>
      <c r="S938" s="3" t="s">
        <v>2276</v>
      </c>
      <c r="T938" s="3" t="s">
        <v>2276</v>
      </c>
      <c r="U938" s="3" t="s">
        <v>2276</v>
      </c>
      <c r="V938" s="3" t="s">
        <v>2276</v>
      </c>
      <c r="W938" s="3" t="s">
        <v>2276</v>
      </c>
      <c r="X938" s="3" t="s">
        <v>2276</v>
      </c>
      <c r="Y938" s="3" t="s">
        <v>2276</v>
      </c>
      <c r="Z938" s="3" t="s">
        <v>2276</v>
      </c>
      <c r="AA938" s="3" t="s">
        <v>2276</v>
      </c>
      <c r="AB938" s="3" t="s">
        <v>2276</v>
      </c>
      <c r="AC938" s="3"/>
      <c r="AD938" s="3"/>
    </row>
    <row r="939" spans="1:30" ht="37" customHeight="1">
      <c r="A939" s="11" t="s">
        <v>2988</v>
      </c>
      <c r="B939" s="11" t="s">
        <v>2997</v>
      </c>
      <c r="C939" s="23" t="s">
        <v>24</v>
      </c>
      <c r="D939" s="3" t="s">
        <v>27</v>
      </c>
      <c r="E939" s="3" t="s">
        <v>130</v>
      </c>
      <c r="F939" s="4" t="s">
        <v>2662</v>
      </c>
      <c r="G939" s="3" t="s">
        <v>2276</v>
      </c>
      <c r="H939" s="3" t="s">
        <v>523</v>
      </c>
      <c r="I939" s="3"/>
      <c r="J939" s="3" t="s">
        <v>2276</v>
      </c>
      <c r="K939" s="3" t="s">
        <v>2276</v>
      </c>
      <c r="L939" s="3" t="s">
        <v>2276</v>
      </c>
      <c r="M939" s="3" t="s">
        <v>2276</v>
      </c>
      <c r="N939" s="3" t="s">
        <v>2276</v>
      </c>
      <c r="O939" s="3" t="s">
        <v>2276</v>
      </c>
      <c r="P939" s="3" t="s">
        <v>2276</v>
      </c>
      <c r="Q939" s="3" t="s">
        <v>2276</v>
      </c>
      <c r="R939" s="3" t="s">
        <v>2276</v>
      </c>
      <c r="S939" s="3" t="s">
        <v>2276</v>
      </c>
      <c r="T939" s="3" t="s">
        <v>2276</v>
      </c>
      <c r="U939" s="3" t="s">
        <v>2276</v>
      </c>
      <c r="V939" s="3" t="s">
        <v>2276</v>
      </c>
      <c r="W939" s="3" t="s">
        <v>2276</v>
      </c>
      <c r="X939" s="3" t="s">
        <v>2276</v>
      </c>
      <c r="Y939" s="3" t="s">
        <v>2276</v>
      </c>
      <c r="Z939" s="3" t="s">
        <v>34</v>
      </c>
      <c r="AA939" s="3" t="s">
        <v>34</v>
      </c>
      <c r="AB939" s="3" t="s">
        <v>2655</v>
      </c>
      <c r="AC939" s="4" t="s">
        <v>3007</v>
      </c>
      <c r="AD939" s="3"/>
    </row>
    <row r="940" spans="1:30" ht="43.5" customHeight="1">
      <c r="A940" s="11" t="s">
        <v>2988</v>
      </c>
      <c r="B940" s="11" t="s">
        <v>2998</v>
      </c>
      <c r="C940" s="23" t="s">
        <v>24</v>
      </c>
      <c r="D940" s="3" t="s">
        <v>27</v>
      </c>
      <c r="E940" s="3" t="s">
        <v>130</v>
      </c>
      <c r="F940" s="4" t="s">
        <v>161</v>
      </c>
      <c r="G940" s="3" t="s">
        <v>2276</v>
      </c>
      <c r="H940" s="3" t="s">
        <v>523</v>
      </c>
      <c r="I940" s="3"/>
      <c r="J940" s="3" t="s">
        <v>2276</v>
      </c>
      <c r="K940" s="3" t="s">
        <v>2276</v>
      </c>
      <c r="L940" s="3" t="s">
        <v>2276</v>
      </c>
      <c r="M940" s="3" t="s">
        <v>2276</v>
      </c>
      <c r="N940" s="3" t="s">
        <v>2276</v>
      </c>
      <c r="O940" s="3" t="s">
        <v>2276</v>
      </c>
      <c r="P940" s="3" t="s">
        <v>2276</v>
      </c>
      <c r="Q940" s="3" t="s">
        <v>2276</v>
      </c>
      <c r="R940" s="3" t="s">
        <v>2276</v>
      </c>
      <c r="S940" s="3" t="s">
        <v>2276</v>
      </c>
      <c r="T940" s="3" t="s">
        <v>2276</v>
      </c>
      <c r="U940" s="3" t="s">
        <v>2276</v>
      </c>
      <c r="V940" s="3" t="s">
        <v>2276</v>
      </c>
      <c r="W940" s="3" t="s">
        <v>2276</v>
      </c>
      <c r="X940" s="3" t="s">
        <v>2276</v>
      </c>
      <c r="Y940" s="3" t="s">
        <v>2276</v>
      </c>
      <c r="Z940" s="3" t="s">
        <v>34</v>
      </c>
      <c r="AA940" s="3" t="s">
        <v>34</v>
      </c>
      <c r="AB940" s="3" t="s">
        <v>2655</v>
      </c>
      <c r="AC940" s="4" t="s">
        <v>3007</v>
      </c>
      <c r="AD940" s="3"/>
    </row>
    <row r="941" spans="1:30" ht="40" customHeight="1">
      <c r="A941" s="11" t="s">
        <v>2988</v>
      </c>
      <c r="B941" s="11" t="s">
        <v>2999</v>
      </c>
      <c r="C941" s="3" t="s">
        <v>24</v>
      </c>
      <c r="D941" s="3" t="s">
        <v>1242</v>
      </c>
      <c r="E941" s="3" t="s">
        <v>130</v>
      </c>
      <c r="F941" s="4" t="s">
        <v>2662</v>
      </c>
      <c r="G941" s="3" t="s">
        <v>2276</v>
      </c>
      <c r="H941" s="3" t="s">
        <v>523</v>
      </c>
      <c r="I941" s="3"/>
      <c r="J941" s="3" t="s">
        <v>2276</v>
      </c>
      <c r="K941" s="3" t="s">
        <v>2276</v>
      </c>
      <c r="L941" s="3" t="s">
        <v>2276</v>
      </c>
      <c r="M941" s="3" t="s">
        <v>2276</v>
      </c>
      <c r="N941" s="3" t="s">
        <v>2276</v>
      </c>
      <c r="O941" s="3" t="s">
        <v>2276</v>
      </c>
      <c r="P941" s="3" t="s">
        <v>2276</v>
      </c>
      <c r="Q941" s="3" t="s">
        <v>2276</v>
      </c>
      <c r="R941" s="3" t="s">
        <v>2276</v>
      </c>
      <c r="S941" s="3" t="s">
        <v>2276</v>
      </c>
      <c r="T941" s="3" t="s">
        <v>2276</v>
      </c>
      <c r="U941" s="3" t="s">
        <v>2276</v>
      </c>
      <c r="V941" s="3" t="s">
        <v>2276</v>
      </c>
      <c r="W941" s="3" t="s">
        <v>2276</v>
      </c>
      <c r="X941" s="3" t="s">
        <v>2276</v>
      </c>
      <c r="Y941" s="3" t="s">
        <v>2276</v>
      </c>
      <c r="Z941" s="3" t="s">
        <v>68</v>
      </c>
      <c r="AA941" s="3" t="s">
        <v>35</v>
      </c>
      <c r="AB941" s="3" t="s">
        <v>64</v>
      </c>
      <c r="AC941" s="4" t="s">
        <v>3008</v>
      </c>
      <c r="AD941" s="3"/>
    </row>
    <row r="942" spans="1:30" ht="34" customHeight="1">
      <c r="A942" s="11" t="s">
        <v>2988</v>
      </c>
      <c r="B942" s="11" t="s">
        <v>3000</v>
      </c>
      <c r="C942" s="3" t="s">
        <v>24</v>
      </c>
      <c r="D942" s="3" t="s">
        <v>1131</v>
      </c>
      <c r="E942" s="3" t="s">
        <v>130</v>
      </c>
      <c r="F942" s="4" t="s">
        <v>2662</v>
      </c>
      <c r="G942" s="3" t="s">
        <v>2276</v>
      </c>
      <c r="H942" s="3" t="s">
        <v>523</v>
      </c>
      <c r="I942" s="3"/>
      <c r="J942" s="3" t="s">
        <v>2276</v>
      </c>
      <c r="K942" s="3" t="s">
        <v>2276</v>
      </c>
      <c r="L942" s="3" t="s">
        <v>2276</v>
      </c>
      <c r="M942" s="3" t="s">
        <v>2276</v>
      </c>
      <c r="N942" s="3" t="s">
        <v>2276</v>
      </c>
      <c r="O942" s="3" t="s">
        <v>2276</v>
      </c>
      <c r="P942" s="3" t="s">
        <v>2276</v>
      </c>
      <c r="Q942" s="3" t="s">
        <v>2276</v>
      </c>
      <c r="R942" s="3" t="s">
        <v>2276</v>
      </c>
      <c r="S942" s="3" t="s">
        <v>2276</v>
      </c>
      <c r="T942" s="3" t="s">
        <v>2276</v>
      </c>
      <c r="U942" s="3" t="s">
        <v>2276</v>
      </c>
      <c r="V942" s="3" t="s">
        <v>2276</v>
      </c>
      <c r="W942" s="3" t="s">
        <v>2276</v>
      </c>
      <c r="X942" s="3" t="s">
        <v>2276</v>
      </c>
      <c r="Y942" s="3" t="s">
        <v>2276</v>
      </c>
      <c r="Z942" s="3" t="s">
        <v>2276</v>
      </c>
      <c r="AA942" s="3" t="s">
        <v>2276</v>
      </c>
      <c r="AB942" s="3" t="s">
        <v>2276</v>
      </c>
      <c r="AC942" s="3"/>
      <c r="AD942" s="3"/>
    </row>
    <row r="943" spans="1:30" ht="42.5" customHeight="1">
      <c r="A943" s="11" t="s">
        <v>2988</v>
      </c>
      <c r="B943" s="11" t="s">
        <v>3001</v>
      </c>
      <c r="C943" s="3" t="s">
        <v>24</v>
      </c>
      <c r="D943" s="3" t="s">
        <v>1245</v>
      </c>
      <c r="E943" s="3" t="s">
        <v>116</v>
      </c>
      <c r="F943" s="4" t="s">
        <v>2662</v>
      </c>
      <c r="G943" s="3" t="s">
        <v>2276</v>
      </c>
      <c r="H943" s="3" t="s">
        <v>523</v>
      </c>
      <c r="I943" s="3"/>
      <c r="J943" s="3" t="s">
        <v>2276</v>
      </c>
      <c r="K943" s="3" t="s">
        <v>2276</v>
      </c>
      <c r="L943" s="3" t="s">
        <v>2276</v>
      </c>
      <c r="M943" s="3" t="s">
        <v>2276</v>
      </c>
      <c r="N943" s="3" t="s">
        <v>2276</v>
      </c>
      <c r="O943" s="3" t="s">
        <v>2276</v>
      </c>
      <c r="P943" s="3" t="s">
        <v>2276</v>
      </c>
      <c r="Q943" s="3" t="s">
        <v>2276</v>
      </c>
      <c r="R943" s="3" t="s">
        <v>2276</v>
      </c>
      <c r="S943" s="3" t="s">
        <v>2276</v>
      </c>
      <c r="T943" s="3" t="s">
        <v>2276</v>
      </c>
      <c r="U943" s="3" t="s">
        <v>2276</v>
      </c>
      <c r="V943" s="3" t="s">
        <v>2276</v>
      </c>
      <c r="W943" s="3" t="s">
        <v>2276</v>
      </c>
      <c r="X943" s="3" t="s">
        <v>2276</v>
      </c>
      <c r="Y943" s="3" t="s">
        <v>2276</v>
      </c>
      <c r="Z943" s="3" t="s">
        <v>2276</v>
      </c>
      <c r="AA943" s="3" t="s">
        <v>2276</v>
      </c>
      <c r="AB943" s="3" t="s">
        <v>2276</v>
      </c>
      <c r="AC943" s="3"/>
      <c r="AD943" s="3"/>
    </row>
    <row r="944" spans="1:30" ht="40.5" customHeight="1">
      <c r="A944" s="11" t="s">
        <v>2988</v>
      </c>
      <c r="B944" s="11" t="s">
        <v>3002</v>
      </c>
      <c r="C944" s="3" t="s">
        <v>24</v>
      </c>
      <c r="D944" s="3" t="s">
        <v>3480</v>
      </c>
      <c r="E944" s="3" t="s">
        <v>116</v>
      </c>
      <c r="F944" s="4" t="s">
        <v>2662</v>
      </c>
      <c r="G944" s="3" t="s">
        <v>2276</v>
      </c>
      <c r="H944" s="3" t="s">
        <v>523</v>
      </c>
      <c r="I944" s="3"/>
      <c r="J944" s="3" t="s">
        <v>2276</v>
      </c>
      <c r="K944" s="3" t="s">
        <v>2276</v>
      </c>
      <c r="L944" s="3" t="s">
        <v>2276</v>
      </c>
      <c r="M944" s="3" t="s">
        <v>2276</v>
      </c>
      <c r="N944" s="3" t="s">
        <v>2276</v>
      </c>
      <c r="O944" s="3" t="s">
        <v>2276</v>
      </c>
      <c r="P944" s="3" t="s">
        <v>2276</v>
      </c>
      <c r="Q944" s="3" t="s">
        <v>2276</v>
      </c>
      <c r="R944" s="3" t="s">
        <v>2276</v>
      </c>
      <c r="S944" s="3" t="s">
        <v>2276</v>
      </c>
      <c r="T944" s="3" t="s">
        <v>2276</v>
      </c>
      <c r="U944" s="3" t="s">
        <v>2276</v>
      </c>
      <c r="V944" s="3" t="s">
        <v>2276</v>
      </c>
      <c r="W944" s="3" t="s">
        <v>2276</v>
      </c>
      <c r="X944" s="3" t="s">
        <v>2276</v>
      </c>
      <c r="Y944" s="3" t="s">
        <v>2276</v>
      </c>
      <c r="Z944" s="3" t="s">
        <v>2276</v>
      </c>
      <c r="AA944" s="3" t="s">
        <v>2276</v>
      </c>
      <c r="AB944" s="3" t="s">
        <v>2276</v>
      </c>
      <c r="AC944" s="4" t="s">
        <v>3003</v>
      </c>
      <c r="AD944" s="3"/>
    </row>
    <row r="945" spans="1:30" ht="39" customHeight="1">
      <c r="A945" s="11" t="s">
        <v>2988</v>
      </c>
      <c r="B945" s="11" t="s">
        <v>3004</v>
      </c>
      <c r="C945" s="3" t="s">
        <v>31</v>
      </c>
      <c r="D945" s="3" t="s">
        <v>1105</v>
      </c>
      <c r="E945" s="3" t="s">
        <v>1105</v>
      </c>
      <c r="F945" s="4" t="s">
        <v>2276</v>
      </c>
      <c r="G945" s="4" t="s">
        <v>2662</v>
      </c>
      <c r="H945" s="3" t="s">
        <v>523</v>
      </c>
      <c r="I945" s="3"/>
      <c r="J945" s="3" t="s">
        <v>2276</v>
      </c>
      <c r="K945" s="3" t="s">
        <v>2276</v>
      </c>
      <c r="L945" s="3" t="s">
        <v>2276</v>
      </c>
      <c r="M945" s="3" t="s">
        <v>2276</v>
      </c>
      <c r="N945" s="3" t="s">
        <v>2276</v>
      </c>
      <c r="O945" s="3" t="s">
        <v>2276</v>
      </c>
      <c r="P945" s="3" t="s">
        <v>2276</v>
      </c>
      <c r="Q945" s="3" t="s">
        <v>2276</v>
      </c>
      <c r="R945" s="3" t="s">
        <v>2276</v>
      </c>
      <c r="S945" s="3" t="s">
        <v>2276</v>
      </c>
      <c r="T945" s="3" t="s">
        <v>2276</v>
      </c>
      <c r="U945" s="3" t="s">
        <v>2276</v>
      </c>
      <c r="V945" s="3" t="s">
        <v>2276</v>
      </c>
      <c r="W945" s="3" t="s">
        <v>2276</v>
      </c>
      <c r="X945" s="3" t="s">
        <v>2276</v>
      </c>
      <c r="Y945" s="3" t="s">
        <v>2276</v>
      </c>
      <c r="Z945" s="3" t="s">
        <v>2276</v>
      </c>
      <c r="AA945" s="3" t="s">
        <v>2276</v>
      </c>
      <c r="AB945" s="3" t="s">
        <v>2276</v>
      </c>
      <c r="AC945" s="3" t="s">
        <v>3005</v>
      </c>
      <c r="AD945" s="3"/>
    </row>
    <row r="946" spans="1:30" ht="43.5" customHeight="1">
      <c r="A946" s="11" t="s">
        <v>2988</v>
      </c>
      <c r="B946" s="11" t="s">
        <v>3009</v>
      </c>
      <c r="C946" s="3" t="s">
        <v>24</v>
      </c>
      <c r="D946" s="3" t="s">
        <v>1242</v>
      </c>
      <c r="E946" s="3" t="s">
        <v>2649</v>
      </c>
      <c r="F946" s="4" t="s">
        <v>2276</v>
      </c>
      <c r="G946" s="4" t="s">
        <v>2662</v>
      </c>
      <c r="H946" s="3" t="s">
        <v>523</v>
      </c>
      <c r="I946" s="3"/>
      <c r="J946" s="3" t="s">
        <v>2276</v>
      </c>
      <c r="K946" s="3" t="s">
        <v>2276</v>
      </c>
      <c r="L946" s="3" t="s">
        <v>2276</v>
      </c>
      <c r="M946" s="3" t="s">
        <v>2276</v>
      </c>
      <c r="N946" s="3" t="s">
        <v>2276</v>
      </c>
      <c r="O946" s="3" t="s">
        <v>2276</v>
      </c>
      <c r="P946" s="3" t="s">
        <v>2276</v>
      </c>
      <c r="Q946" s="3" t="s">
        <v>2276</v>
      </c>
      <c r="R946" s="3" t="s">
        <v>2276</v>
      </c>
      <c r="S946" s="3" t="s">
        <v>2276</v>
      </c>
      <c r="T946" s="3" t="s">
        <v>2276</v>
      </c>
      <c r="U946" s="3" t="s">
        <v>2276</v>
      </c>
      <c r="V946" s="3" t="s">
        <v>2276</v>
      </c>
      <c r="W946" s="3" t="s">
        <v>2276</v>
      </c>
      <c r="X946" s="3" t="s">
        <v>2276</v>
      </c>
      <c r="Y946" s="3" t="s">
        <v>2276</v>
      </c>
      <c r="Z946" s="3" t="s">
        <v>68</v>
      </c>
      <c r="AA946" s="3" t="s">
        <v>35</v>
      </c>
      <c r="AB946" s="3" t="s">
        <v>64</v>
      </c>
      <c r="AC946" s="4" t="s">
        <v>3010</v>
      </c>
      <c r="AD946" s="3"/>
    </row>
    <row r="947" spans="1:30" ht="41" customHeight="1">
      <c r="A947" s="11" t="s">
        <v>2988</v>
      </c>
      <c r="B947" s="11" t="s">
        <v>3014</v>
      </c>
      <c r="C947" s="3" t="s">
        <v>2458</v>
      </c>
      <c r="D947" s="3" t="s">
        <v>27</v>
      </c>
      <c r="E947" s="3" t="s">
        <v>130</v>
      </c>
      <c r="F947" s="4" t="s">
        <v>2662</v>
      </c>
      <c r="G947" s="3" t="s">
        <v>2276</v>
      </c>
      <c r="H947" s="3" t="s">
        <v>523</v>
      </c>
      <c r="I947" s="3"/>
      <c r="J947" s="3" t="s">
        <v>2276</v>
      </c>
      <c r="K947" s="3" t="s">
        <v>2276</v>
      </c>
      <c r="L947" s="3" t="s">
        <v>2276</v>
      </c>
      <c r="M947" s="3" t="s">
        <v>2276</v>
      </c>
      <c r="N947" s="3" t="s">
        <v>2276</v>
      </c>
      <c r="O947" s="3" t="s">
        <v>2276</v>
      </c>
      <c r="P947" s="3" t="s">
        <v>2276</v>
      </c>
      <c r="Q947" s="3" t="s">
        <v>2276</v>
      </c>
      <c r="R947" s="3" t="s">
        <v>2276</v>
      </c>
      <c r="S947" s="3" t="s">
        <v>2276</v>
      </c>
      <c r="T947" s="3" t="s">
        <v>2276</v>
      </c>
      <c r="U947" s="3" t="s">
        <v>2276</v>
      </c>
      <c r="V947" s="3" t="s">
        <v>2276</v>
      </c>
      <c r="W947" s="3" t="s">
        <v>2276</v>
      </c>
      <c r="X947" s="3" t="s">
        <v>2276</v>
      </c>
      <c r="Y947" s="3" t="s">
        <v>2276</v>
      </c>
      <c r="Z947" s="3" t="s">
        <v>34</v>
      </c>
      <c r="AA947" s="3" t="s">
        <v>34</v>
      </c>
      <c r="AB947" s="3" t="s">
        <v>2655</v>
      </c>
      <c r="AC947" s="3"/>
      <c r="AD947" s="3"/>
    </row>
    <row r="948" spans="1:30" ht="35.5" customHeight="1">
      <c r="A948" s="11" t="s">
        <v>2988</v>
      </c>
      <c r="B948" s="11" t="s">
        <v>3015</v>
      </c>
      <c r="C948" s="3" t="s">
        <v>2458</v>
      </c>
      <c r="D948" s="3" t="s">
        <v>27</v>
      </c>
      <c r="E948" s="3" t="s">
        <v>130</v>
      </c>
      <c r="F948" s="4" t="s">
        <v>161</v>
      </c>
      <c r="G948" s="3" t="s">
        <v>2276</v>
      </c>
      <c r="H948" s="3" t="s">
        <v>523</v>
      </c>
      <c r="I948" s="3"/>
      <c r="J948" s="3" t="s">
        <v>2276</v>
      </c>
      <c r="K948" s="3" t="s">
        <v>2276</v>
      </c>
      <c r="L948" s="3" t="s">
        <v>2276</v>
      </c>
      <c r="M948" s="3" t="s">
        <v>2276</v>
      </c>
      <c r="N948" s="3" t="s">
        <v>2276</v>
      </c>
      <c r="O948" s="3" t="s">
        <v>2276</v>
      </c>
      <c r="P948" s="3" t="s">
        <v>2276</v>
      </c>
      <c r="Q948" s="3" t="s">
        <v>2276</v>
      </c>
      <c r="R948" s="3" t="s">
        <v>2276</v>
      </c>
      <c r="S948" s="3" t="s">
        <v>2276</v>
      </c>
      <c r="T948" s="3" t="s">
        <v>2276</v>
      </c>
      <c r="U948" s="3" t="s">
        <v>2276</v>
      </c>
      <c r="V948" s="3" t="s">
        <v>2276</v>
      </c>
      <c r="W948" s="3" t="s">
        <v>2276</v>
      </c>
      <c r="X948" s="3" t="s">
        <v>2276</v>
      </c>
      <c r="Y948" s="3" t="s">
        <v>2276</v>
      </c>
      <c r="Z948" s="3" t="s">
        <v>34</v>
      </c>
      <c r="AA948" s="3" t="s">
        <v>34</v>
      </c>
      <c r="AB948" s="3" t="s">
        <v>2655</v>
      </c>
      <c r="AC948" s="3"/>
      <c r="AD948" s="3"/>
    </row>
    <row r="949" spans="1:30" ht="83.5" customHeight="1">
      <c r="A949" s="11" t="s">
        <v>2995</v>
      </c>
      <c r="B949" s="11" t="s">
        <v>2996</v>
      </c>
      <c r="C949" s="3" t="s">
        <v>24</v>
      </c>
      <c r="D949" s="3" t="s">
        <v>25</v>
      </c>
      <c r="E949" s="3" t="s">
        <v>45</v>
      </c>
      <c r="F949" s="4" t="s">
        <v>29</v>
      </c>
      <c r="G949" s="3" t="s">
        <v>2276</v>
      </c>
      <c r="H949" s="3" t="s">
        <v>523</v>
      </c>
      <c r="I949" s="3"/>
      <c r="J949" s="3" t="s">
        <v>2276</v>
      </c>
      <c r="K949" s="3" t="s">
        <v>2276</v>
      </c>
      <c r="L949" s="3" t="s">
        <v>2276</v>
      </c>
      <c r="M949" s="3" t="s">
        <v>2276</v>
      </c>
      <c r="N949" s="3" t="s">
        <v>2276</v>
      </c>
      <c r="O949" s="3" t="s">
        <v>2276</v>
      </c>
      <c r="P949" s="3" t="s">
        <v>2276</v>
      </c>
      <c r="Q949" s="3" t="s">
        <v>2276</v>
      </c>
      <c r="R949" s="3" t="s">
        <v>2276</v>
      </c>
      <c r="S949" s="3" t="s">
        <v>2276</v>
      </c>
      <c r="T949" s="3" t="s">
        <v>2276</v>
      </c>
      <c r="U949" s="3" t="s">
        <v>2276</v>
      </c>
      <c r="V949" s="3" t="s">
        <v>2276</v>
      </c>
      <c r="W949" s="3" t="s">
        <v>2276</v>
      </c>
      <c r="X949" s="3" t="s">
        <v>2276</v>
      </c>
      <c r="Y949" s="3" t="s">
        <v>2276</v>
      </c>
      <c r="Z949" s="3" t="s">
        <v>86</v>
      </c>
      <c r="AA949" s="3" t="s">
        <v>425</v>
      </c>
      <c r="AB949" s="3" t="s">
        <v>64</v>
      </c>
      <c r="AC949" s="4" t="s">
        <v>3025</v>
      </c>
      <c r="AD949" s="4" t="s">
        <v>3031</v>
      </c>
    </row>
    <row r="950" spans="1:30" ht="82.5" customHeight="1">
      <c r="A950" s="11" t="s">
        <v>2995</v>
      </c>
      <c r="B950" s="11" t="s">
        <v>3021</v>
      </c>
      <c r="C950" s="3" t="s">
        <v>24</v>
      </c>
      <c r="D950" s="3" t="s">
        <v>25</v>
      </c>
      <c r="E950" s="3" t="s">
        <v>2647</v>
      </c>
      <c r="F950" s="4" t="s">
        <v>29</v>
      </c>
      <c r="G950" s="3" t="s">
        <v>2276</v>
      </c>
      <c r="H950" s="3" t="s">
        <v>524</v>
      </c>
      <c r="I950" s="3"/>
      <c r="J950" s="21">
        <v>0</v>
      </c>
      <c r="K950" s="21">
        <v>0</v>
      </c>
      <c r="L950" s="21">
        <v>0</v>
      </c>
      <c r="M950" s="21">
        <v>0</v>
      </c>
      <c r="N950" s="21">
        <v>0</v>
      </c>
      <c r="O950" s="21">
        <v>0</v>
      </c>
      <c r="P950" s="21">
        <v>0</v>
      </c>
      <c r="Q950" s="21">
        <v>0</v>
      </c>
      <c r="R950" s="21">
        <v>0</v>
      </c>
      <c r="S950" s="21">
        <v>0</v>
      </c>
      <c r="T950" s="21">
        <v>0</v>
      </c>
      <c r="U950" s="21">
        <v>0</v>
      </c>
      <c r="V950" s="21">
        <v>0</v>
      </c>
      <c r="W950" s="21">
        <v>0</v>
      </c>
      <c r="X950" s="21">
        <v>0</v>
      </c>
      <c r="Y950" s="21">
        <v>0</v>
      </c>
      <c r="Z950" s="3" t="s">
        <v>2276</v>
      </c>
      <c r="AA950" s="3" t="s">
        <v>2276</v>
      </c>
      <c r="AB950" s="3" t="s">
        <v>2276</v>
      </c>
      <c r="AC950" s="4" t="s">
        <v>3026</v>
      </c>
      <c r="AD950" s="3"/>
    </row>
    <row r="951" spans="1:30" ht="44.5" customHeight="1">
      <c r="A951" s="11" t="s">
        <v>2995</v>
      </c>
      <c r="B951" s="11" t="s">
        <v>3022</v>
      </c>
      <c r="C951" s="3" t="s">
        <v>24</v>
      </c>
      <c r="D951" s="3" t="s">
        <v>2231</v>
      </c>
      <c r="E951" s="3" t="s">
        <v>45</v>
      </c>
      <c r="F951" s="4" t="s">
        <v>2662</v>
      </c>
      <c r="G951" s="3" t="s">
        <v>2276</v>
      </c>
      <c r="H951" s="3" t="s">
        <v>523</v>
      </c>
      <c r="I951" s="3"/>
      <c r="J951" s="3" t="s">
        <v>2276</v>
      </c>
      <c r="K951" s="3" t="s">
        <v>2276</v>
      </c>
      <c r="L951" s="3" t="s">
        <v>2276</v>
      </c>
      <c r="M951" s="3" t="s">
        <v>2276</v>
      </c>
      <c r="N951" s="3" t="s">
        <v>2276</v>
      </c>
      <c r="O951" s="3" t="s">
        <v>2276</v>
      </c>
      <c r="P951" s="3" t="s">
        <v>2276</v>
      </c>
      <c r="Q951" s="3" t="s">
        <v>2276</v>
      </c>
      <c r="R951" s="3" t="s">
        <v>2276</v>
      </c>
      <c r="S951" s="3" t="s">
        <v>2276</v>
      </c>
      <c r="T951" s="3" t="s">
        <v>2276</v>
      </c>
      <c r="U951" s="3" t="s">
        <v>2276</v>
      </c>
      <c r="V951" s="3" t="s">
        <v>2276</v>
      </c>
      <c r="W951" s="3" t="s">
        <v>2276</v>
      </c>
      <c r="X951" s="3" t="s">
        <v>2276</v>
      </c>
      <c r="Y951" s="3" t="s">
        <v>2276</v>
      </c>
      <c r="Z951" s="3" t="s">
        <v>86</v>
      </c>
      <c r="AA951" s="3" t="s">
        <v>425</v>
      </c>
      <c r="AB951" s="3" t="s">
        <v>64</v>
      </c>
      <c r="AC951" s="3"/>
      <c r="AD951" s="3"/>
    </row>
    <row r="952" spans="1:30" ht="66" customHeight="1">
      <c r="A952" s="11" t="s">
        <v>2995</v>
      </c>
      <c r="B952" s="11" t="s">
        <v>3023</v>
      </c>
      <c r="C952" s="3" t="s">
        <v>24</v>
      </c>
      <c r="D952" s="3" t="s">
        <v>1242</v>
      </c>
      <c r="E952" s="3" t="s">
        <v>45</v>
      </c>
      <c r="F952" s="4" t="s">
        <v>2276</v>
      </c>
      <c r="G952" s="3" t="s">
        <v>2276</v>
      </c>
      <c r="H952" s="3" t="s">
        <v>523</v>
      </c>
      <c r="I952" s="3"/>
      <c r="J952" s="3" t="s">
        <v>2276</v>
      </c>
      <c r="K952" s="3" t="s">
        <v>2276</v>
      </c>
      <c r="L952" s="3" t="s">
        <v>2276</v>
      </c>
      <c r="M952" s="3" t="s">
        <v>2276</v>
      </c>
      <c r="N952" s="3" t="s">
        <v>2276</v>
      </c>
      <c r="O952" s="3" t="s">
        <v>2276</v>
      </c>
      <c r="P952" s="3" t="s">
        <v>2276</v>
      </c>
      <c r="Q952" s="3" t="s">
        <v>2276</v>
      </c>
      <c r="R952" s="3" t="s">
        <v>2276</v>
      </c>
      <c r="S952" s="3" t="s">
        <v>2276</v>
      </c>
      <c r="T952" s="3" t="s">
        <v>2276</v>
      </c>
      <c r="U952" s="3" t="s">
        <v>2276</v>
      </c>
      <c r="V952" s="3" t="s">
        <v>2276</v>
      </c>
      <c r="W952" s="3" t="s">
        <v>2276</v>
      </c>
      <c r="X952" s="3" t="s">
        <v>2276</v>
      </c>
      <c r="Y952" s="3" t="s">
        <v>2276</v>
      </c>
      <c r="Z952" s="3" t="s">
        <v>86</v>
      </c>
      <c r="AA952" s="3" t="s">
        <v>425</v>
      </c>
      <c r="AB952" s="3" t="s">
        <v>64</v>
      </c>
      <c r="AC952" s="4" t="s">
        <v>3027</v>
      </c>
      <c r="AD952" s="3"/>
    </row>
    <row r="953" spans="1:30" ht="57.5" customHeight="1">
      <c r="A953" s="11" t="s">
        <v>2995</v>
      </c>
      <c r="B953" s="11" t="s">
        <v>3024</v>
      </c>
      <c r="C953" s="3" t="s">
        <v>24</v>
      </c>
      <c r="D953" s="3" t="s">
        <v>27</v>
      </c>
      <c r="E953" s="3" t="s">
        <v>130</v>
      </c>
      <c r="F953" s="4" t="s">
        <v>161</v>
      </c>
      <c r="G953" s="3" t="s">
        <v>2276</v>
      </c>
      <c r="H953" s="3" t="s">
        <v>523</v>
      </c>
      <c r="I953" s="3"/>
      <c r="J953" s="3" t="s">
        <v>2276</v>
      </c>
      <c r="K953" s="3" t="s">
        <v>2276</v>
      </c>
      <c r="L953" s="3" t="s">
        <v>2276</v>
      </c>
      <c r="M953" s="3" t="s">
        <v>2276</v>
      </c>
      <c r="N953" s="3" t="s">
        <v>2276</v>
      </c>
      <c r="O953" s="3" t="s">
        <v>2276</v>
      </c>
      <c r="P953" s="3" t="s">
        <v>2276</v>
      </c>
      <c r="Q953" s="3" t="s">
        <v>2276</v>
      </c>
      <c r="R953" s="3" t="s">
        <v>2276</v>
      </c>
      <c r="S953" s="3" t="s">
        <v>2276</v>
      </c>
      <c r="T953" s="3" t="s">
        <v>2276</v>
      </c>
      <c r="U953" s="3" t="s">
        <v>2276</v>
      </c>
      <c r="V953" s="3" t="s">
        <v>2276</v>
      </c>
      <c r="W953" s="3" t="s">
        <v>2276</v>
      </c>
      <c r="X953" s="3" t="s">
        <v>2276</v>
      </c>
      <c r="Y953" s="3" t="s">
        <v>2276</v>
      </c>
      <c r="Z953" s="3" t="s">
        <v>405</v>
      </c>
      <c r="AA953" s="3" t="s">
        <v>425</v>
      </c>
      <c r="AB953" s="3" t="s">
        <v>64</v>
      </c>
      <c r="AC953" s="4" t="s">
        <v>3032</v>
      </c>
      <c r="AD953" s="4" t="s">
        <v>3031</v>
      </c>
    </row>
    <row r="954" spans="1:30" ht="42.5" customHeight="1">
      <c r="A954" s="11" t="s">
        <v>2995</v>
      </c>
      <c r="B954" s="11" t="s">
        <v>3028</v>
      </c>
      <c r="C954" s="3" t="s">
        <v>2458</v>
      </c>
      <c r="D954" s="3" t="s">
        <v>25</v>
      </c>
      <c r="E954" s="3" t="s">
        <v>45</v>
      </c>
      <c r="F954" s="4" t="s">
        <v>29</v>
      </c>
      <c r="G954" s="3" t="s">
        <v>2276</v>
      </c>
      <c r="H954" s="3" t="s">
        <v>523</v>
      </c>
      <c r="I954" s="3"/>
      <c r="J954" s="3" t="s">
        <v>2276</v>
      </c>
      <c r="K954" s="3" t="s">
        <v>2276</v>
      </c>
      <c r="L954" s="3" t="s">
        <v>2276</v>
      </c>
      <c r="M954" s="3" t="s">
        <v>2276</v>
      </c>
      <c r="N954" s="3" t="s">
        <v>2276</v>
      </c>
      <c r="O954" s="3" t="s">
        <v>2276</v>
      </c>
      <c r="P954" s="3" t="s">
        <v>2276</v>
      </c>
      <c r="Q954" s="3" t="s">
        <v>2276</v>
      </c>
      <c r="R954" s="3" t="s">
        <v>2276</v>
      </c>
      <c r="S954" s="3" t="s">
        <v>2276</v>
      </c>
      <c r="T954" s="3" t="s">
        <v>2276</v>
      </c>
      <c r="U954" s="3" t="s">
        <v>2276</v>
      </c>
      <c r="V954" s="3" t="s">
        <v>2276</v>
      </c>
      <c r="W954" s="3" t="s">
        <v>2276</v>
      </c>
      <c r="X954" s="3" t="s">
        <v>2276</v>
      </c>
      <c r="Y954" s="3" t="s">
        <v>2276</v>
      </c>
      <c r="Z954" s="3" t="s">
        <v>86</v>
      </c>
      <c r="AA954" s="3" t="s">
        <v>425</v>
      </c>
      <c r="AB954" s="3" t="s">
        <v>76</v>
      </c>
      <c r="AC954" s="3" t="s">
        <v>3030</v>
      </c>
      <c r="AD954" s="3"/>
    </row>
    <row r="955" spans="1:30" ht="36.5" customHeight="1">
      <c r="A955" s="11" t="s">
        <v>3037</v>
      </c>
      <c r="B955" s="11" t="s">
        <v>3040</v>
      </c>
      <c r="C955" s="3" t="s">
        <v>24</v>
      </c>
      <c r="D955" s="3" t="s">
        <v>1242</v>
      </c>
      <c r="E955" s="3" t="s">
        <v>2649</v>
      </c>
      <c r="F955" s="4" t="s">
        <v>2662</v>
      </c>
      <c r="G955" s="3" t="s">
        <v>2276</v>
      </c>
      <c r="H955" s="3" t="s">
        <v>523</v>
      </c>
      <c r="I955" s="3"/>
      <c r="J955" s="3" t="s">
        <v>2276</v>
      </c>
      <c r="K955" s="3" t="s">
        <v>2276</v>
      </c>
      <c r="L955" s="3" t="s">
        <v>2276</v>
      </c>
      <c r="M955" s="3" t="s">
        <v>2276</v>
      </c>
      <c r="N955" s="3" t="s">
        <v>2276</v>
      </c>
      <c r="O955" s="3" t="s">
        <v>2276</v>
      </c>
      <c r="P955" s="3" t="s">
        <v>2276</v>
      </c>
      <c r="Q955" s="3" t="s">
        <v>2276</v>
      </c>
      <c r="R955" s="3" t="s">
        <v>2276</v>
      </c>
      <c r="S955" s="3" t="s">
        <v>2276</v>
      </c>
      <c r="T955" s="3" t="s">
        <v>2276</v>
      </c>
      <c r="U955" s="3" t="s">
        <v>2276</v>
      </c>
      <c r="V955" s="3" t="s">
        <v>2276</v>
      </c>
      <c r="W955" s="3" t="s">
        <v>2276</v>
      </c>
      <c r="X955" s="3" t="s">
        <v>2276</v>
      </c>
      <c r="Y955" s="3" t="s">
        <v>2276</v>
      </c>
      <c r="Z955" s="3" t="s">
        <v>68</v>
      </c>
      <c r="AA955" s="3" t="s">
        <v>35</v>
      </c>
      <c r="AB955" s="3" t="s">
        <v>64</v>
      </c>
      <c r="AC955" s="4" t="s">
        <v>3041</v>
      </c>
      <c r="AD955" s="3"/>
    </row>
    <row r="956" spans="1:30" ht="32.5" customHeight="1">
      <c r="A956" s="11" t="s">
        <v>3037</v>
      </c>
      <c r="B956" s="11" t="s">
        <v>3042</v>
      </c>
      <c r="C956" s="3" t="s">
        <v>24</v>
      </c>
      <c r="D956" s="3" t="s">
        <v>25</v>
      </c>
      <c r="E956" s="3" t="s">
        <v>45</v>
      </c>
      <c r="F956" s="4" t="s">
        <v>29</v>
      </c>
      <c r="G956" s="3" t="s">
        <v>2276</v>
      </c>
      <c r="H956" s="3" t="s">
        <v>523</v>
      </c>
      <c r="I956" s="3"/>
      <c r="J956" s="3" t="s">
        <v>2276</v>
      </c>
      <c r="K956" s="3" t="s">
        <v>2276</v>
      </c>
      <c r="L956" s="3" t="s">
        <v>2276</v>
      </c>
      <c r="M956" s="3" t="s">
        <v>2276</v>
      </c>
      <c r="N956" s="3" t="s">
        <v>2276</v>
      </c>
      <c r="O956" s="3" t="s">
        <v>2276</v>
      </c>
      <c r="P956" s="3" t="s">
        <v>2276</v>
      </c>
      <c r="Q956" s="3" t="s">
        <v>2276</v>
      </c>
      <c r="R956" s="3" t="s">
        <v>2276</v>
      </c>
      <c r="S956" s="3" t="s">
        <v>2276</v>
      </c>
      <c r="T956" s="3" t="s">
        <v>2276</v>
      </c>
      <c r="U956" s="3" t="s">
        <v>2276</v>
      </c>
      <c r="V956" s="3" t="s">
        <v>2276</v>
      </c>
      <c r="W956" s="3" t="s">
        <v>2276</v>
      </c>
      <c r="X956" s="3" t="s">
        <v>2276</v>
      </c>
      <c r="Y956" s="3" t="s">
        <v>2276</v>
      </c>
      <c r="Z956" s="3" t="s">
        <v>68</v>
      </c>
      <c r="AA956" s="3" t="s">
        <v>38</v>
      </c>
      <c r="AB956" s="3" t="s">
        <v>2276</v>
      </c>
      <c r="AC956" s="3"/>
      <c r="AD956" s="3"/>
    </row>
    <row r="957" spans="1:30" ht="34" customHeight="1">
      <c r="A957" s="23" t="s">
        <v>3044</v>
      </c>
      <c r="B957" s="23" t="s">
        <v>3049</v>
      </c>
      <c r="C957" s="22" t="s">
        <v>24</v>
      </c>
      <c r="D957" s="22" t="s">
        <v>25</v>
      </c>
      <c r="E957" s="22" t="s">
        <v>45</v>
      </c>
      <c r="F957" s="24" t="s">
        <v>2662</v>
      </c>
      <c r="G957" s="3" t="s">
        <v>2276</v>
      </c>
      <c r="H957" s="3" t="s">
        <v>523</v>
      </c>
      <c r="I957" s="22"/>
      <c r="J957" s="3" t="s">
        <v>2276</v>
      </c>
      <c r="K957" s="3" t="s">
        <v>2276</v>
      </c>
      <c r="L957" s="77">
        <v>10</v>
      </c>
      <c r="M957" s="3" t="s">
        <v>2276</v>
      </c>
      <c r="N957" s="77">
        <v>150</v>
      </c>
      <c r="O957" s="3" t="s">
        <v>2276</v>
      </c>
      <c r="P957" s="3" t="s">
        <v>2276</v>
      </c>
      <c r="Q957" s="3" t="s">
        <v>2276</v>
      </c>
      <c r="R957" s="3" t="s">
        <v>2276</v>
      </c>
      <c r="S957" s="3" t="s">
        <v>2276</v>
      </c>
      <c r="T957" s="3" t="s">
        <v>2276</v>
      </c>
      <c r="U957" s="3" t="s">
        <v>2276</v>
      </c>
      <c r="V957" s="3" t="s">
        <v>2276</v>
      </c>
      <c r="W957" s="3" t="s">
        <v>2276</v>
      </c>
      <c r="X957" s="3" t="s">
        <v>2276</v>
      </c>
      <c r="Y957" s="3" t="s">
        <v>2276</v>
      </c>
      <c r="Z957" s="22" t="s">
        <v>86</v>
      </c>
      <c r="AA957" s="22" t="s">
        <v>34</v>
      </c>
      <c r="AB957" s="22" t="s">
        <v>64</v>
      </c>
      <c r="AC957" s="22" t="s">
        <v>3060</v>
      </c>
      <c r="AD957" s="22"/>
    </row>
    <row r="958" spans="1:30" ht="34.5" customHeight="1">
      <c r="A958" s="23" t="s">
        <v>3044</v>
      </c>
      <c r="B958" s="23" t="s">
        <v>3050</v>
      </c>
      <c r="C958" s="22" t="s">
        <v>24</v>
      </c>
      <c r="D958" s="22" t="s">
        <v>25</v>
      </c>
      <c r="E958" s="22" t="s">
        <v>45</v>
      </c>
      <c r="F958" s="24" t="s">
        <v>55</v>
      </c>
      <c r="G958" s="3" t="s">
        <v>2276</v>
      </c>
      <c r="H958" s="3" t="s">
        <v>523</v>
      </c>
      <c r="I958" s="22"/>
      <c r="J958" s="3" t="s">
        <v>2276</v>
      </c>
      <c r="K958" s="3" t="s">
        <v>2276</v>
      </c>
      <c r="L958" s="77">
        <v>10</v>
      </c>
      <c r="M958" s="3" t="s">
        <v>2276</v>
      </c>
      <c r="N958" s="77">
        <v>150</v>
      </c>
      <c r="O958" s="3" t="s">
        <v>2276</v>
      </c>
      <c r="P958" s="3" t="s">
        <v>2276</v>
      </c>
      <c r="Q958" s="3" t="s">
        <v>2276</v>
      </c>
      <c r="R958" s="3" t="s">
        <v>2276</v>
      </c>
      <c r="S958" s="3" t="s">
        <v>2276</v>
      </c>
      <c r="T958" s="3" t="s">
        <v>2276</v>
      </c>
      <c r="U958" s="3" t="s">
        <v>2276</v>
      </c>
      <c r="V958" s="3" t="s">
        <v>2276</v>
      </c>
      <c r="W958" s="3" t="s">
        <v>2276</v>
      </c>
      <c r="X958" s="3" t="s">
        <v>2276</v>
      </c>
      <c r="Y958" s="3" t="s">
        <v>2276</v>
      </c>
      <c r="Z958" s="22" t="s">
        <v>86</v>
      </c>
      <c r="AA958" s="22" t="s">
        <v>34</v>
      </c>
      <c r="AB958" s="22" t="s">
        <v>64</v>
      </c>
      <c r="AC958" s="22" t="s">
        <v>3059</v>
      </c>
      <c r="AD958" s="22"/>
    </row>
    <row r="959" spans="1:30" ht="38.5" customHeight="1">
      <c r="A959" s="23" t="s">
        <v>3044</v>
      </c>
      <c r="B959" s="23" t="s">
        <v>3051</v>
      </c>
      <c r="C959" s="22" t="s">
        <v>24</v>
      </c>
      <c r="D959" s="22" t="s">
        <v>25</v>
      </c>
      <c r="E959" s="22" t="s">
        <v>45</v>
      </c>
      <c r="F959" s="24" t="s">
        <v>55</v>
      </c>
      <c r="G959" s="3" t="s">
        <v>2276</v>
      </c>
      <c r="H959" s="3" t="s">
        <v>523</v>
      </c>
      <c r="I959" s="22"/>
      <c r="J959" s="3" t="s">
        <v>2276</v>
      </c>
      <c r="K959" s="3" t="s">
        <v>2276</v>
      </c>
      <c r="L959" s="77">
        <v>10</v>
      </c>
      <c r="M959" s="3" t="s">
        <v>2276</v>
      </c>
      <c r="N959" s="77">
        <v>150</v>
      </c>
      <c r="O959" s="3" t="s">
        <v>2276</v>
      </c>
      <c r="P959" s="3" t="s">
        <v>2276</v>
      </c>
      <c r="Q959" s="3" t="s">
        <v>2276</v>
      </c>
      <c r="R959" s="3" t="s">
        <v>2276</v>
      </c>
      <c r="S959" s="3" t="s">
        <v>2276</v>
      </c>
      <c r="T959" s="3" t="s">
        <v>2276</v>
      </c>
      <c r="U959" s="3" t="s">
        <v>2276</v>
      </c>
      <c r="V959" s="3" t="s">
        <v>2276</v>
      </c>
      <c r="W959" s="3" t="s">
        <v>2276</v>
      </c>
      <c r="X959" s="3" t="s">
        <v>2276</v>
      </c>
      <c r="Y959" s="3" t="s">
        <v>2276</v>
      </c>
      <c r="Z959" s="22" t="s">
        <v>404</v>
      </c>
      <c r="AA959" s="22" t="s">
        <v>405</v>
      </c>
      <c r="AB959" s="22" t="s">
        <v>64</v>
      </c>
      <c r="AC959" s="22" t="s">
        <v>3059</v>
      </c>
      <c r="AD959" s="22"/>
    </row>
    <row r="960" spans="1:30" ht="38.5" customHeight="1">
      <c r="A960" s="23" t="s">
        <v>3044</v>
      </c>
      <c r="B960" s="23" t="s">
        <v>3052</v>
      </c>
      <c r="C960" s="22" t="s">
        <v>24</v>
      </c>
      <c r="D960" s="22" t="s">
        <v>25</v>
      </c>
      <c r="E960" s="22" t="s">
        <v>45</v>
      </c>
      <c r="F960" s="24" t="s">
        <v>29</v>
      </c>
      <c r="G960" s="3" t="s">
        <v>2276</v>
      </c>
      <c r="H960" s="3" t="s">
        <v>523</v>
      </c>
      <c r="I960" s="22"/>
      <c r="J960" s="3" t="s">
        <v>2276</v>
      </c>
      <c r="K960" s="3" t="s">
        <v>2276</v>
      </c>
      <c r="L960" s="77">
        <v>10</v>
      </c>
      <c r="M960" s="3" t="s">
        <v>2276</v>
      </c>
      <c r="N960" s="77">
        <v>150</v>
      </c>
      <c r="O960" s="3" t="s">
        <v>2276</v>
      </c>
      <c r="P960" s="3" t="s">
        <v>2276</v>
      </c>
      <c r="Q960" s="3" t="s">
        <v>2276</v>
      </c>
      <c r="R960" s="3" t="s">
        <v>2276</v>
      </c>
      <c r="S960" s="3" t="s">
        <v>2276</v>
      </c>
      <c r="T960" s="3" t="s">
        <v>2276</v>
      </c>
      <c r="U960" s="3" t="s">
        <v>2276</v>
      </c>
      <c r="V960" s="3" t="s">
        <v>2276</v>
      </c>
      <c r="W960" s="3" t="s">
        <v>2276</v>
      </c>
      <c r="X960" s="3" t="s">
        <v>2276</v>
      </c>
      <c r="Y960" s="3" t="s">
        <v>2276</v>
      </c>
      <c r="Z960" s="22" t="s">
        <v>405</v>
      </c>
      <c r="AA960" s="22" t="s">
        <v>425</v>
      </c>
      <c r="AB960" s="22" t="s">
        <v>76</v>
      </c>
      <c r="AC960" s="24" t="s">
        <v>3078</v>
      </c>
      <c r="AD960" s="22"/>
    </row>
    <row r="961" spans="1:30" ht="92" customHeight="1">
      <c r="A961" s="23" t="s">
        <v>3044</v>
      </c>
      <c r="B961" s="23" t="s">
        <v>3053</v>
      </c>
      <c r="C961" s="22" t="s">
        <v>24</v>
      </c>
      <c r="D961" s="22" t="s">
        <v>25</v>
      </c>
      <c r="E961" s="22" t="s">
        <v>45</v>
      </c>
      <c r="F961" s="24" t="s">
        <v>29</v>
      </c>
      <c r="G961" s="3" t="s">
        <v>2276</v>
      </c>
      <c r="H961" s="3" t="s">
        <v>523</v>
      </c>
      <c r="I961" s="22"/>
      <c r="J961" s="3" t="s">
        <v>2276</v>
      </c>
      <c r="K961" s="3" t="s">
        <v>2276</v>
      </c>
      <c r="L961" s="3" t="s">
        <v>2276</v>
      </c>
      <c r="M961" s="3" t="s">
        <v>2276</v>
      </c>
      <c r="N961" s="3" t="s">
        <v>2276</v>
      </c>
      <c r="O961" s="3" t="s">
        <v>2276</v>
      </c>
      <c r="P961" s="3" t="s">
        <v>2276</v>
      </c>
      <c r="Q961" s="3" t="s">
        <v>2276</v>
      </c>
      <c r="R961" s="3" t="s">
        <v>2276</v>
      </c>
      <c r="S961" s="3" t="s">
        <v>2276</v>
      </c>
      <c r="T961" s="3" t="s">
        <v>2276</v>
      </c>
      <c r="U961" s="3" t="s">
        <v>2276</v>
      </c>
      <c r="V961" s="3" t="s">
        <v>2276</v>
      </c>
      <c r="W961" s="3" t="s">
        <v>2276</v>
      </c>
      <c r="X961" s="3" t="s">
        <v>2276</v>
      </c>
      <c r="Y961" s="3" t="s">
        <v>2276</v>
      </c>
      <c r="Z961" s="22" t="s">
        <v>68</v>
      </c>
      <c r="AA961" s="22" t="s">
        <v>35</v>
      </c>
      <c r="AB961" s="22" t="s">
        <v>64</v>
      </c>
      <c r="AC961" s="24" t="s">
        <v>3056</v>
      </c>
      <c r="AD961" s="22" t="s">
        <v>3079</v>
      </c>
    </row>
    <row r="962" spans="1:30" ht="62" customHeight="1">
      <c r="A962" s="23" t="s">
        <v>3044</v>
      </c>
      <c r="B962" s="23" t="s">
        <v>3054</v>
      </c>
      <c r="C962" s="22" t="s">
        <v>24</v>
      </c>
      <c r="D962" s="22" t="s">
        <v>1242</v>
      </c>
      <c r="E962" s="22" t="s">
        <v>45</v>
      </c>
      <c r="F962" s="24" t="s">
        <v>2662</v>
      </c>
      <c r="G962" s="3" t="s">
        <v>2276</v>
      </c>
      <c r="H962" s="3" t="s">
        <v>523</v>
      </c>
      <c r="I962" s="22"/>
      <c r="J962" s="3" t="s">
        <v>2276</v>
      </c>
      <c r="K962" s="3" t="s">
        <v>2276</v>
      </c>
      <c r="L962" s="77">
        <v>10</v>
      </c>
      <c r="M962" s="3" t="s">
        <v>2276</v>
      </c>
      <c r="N962" s="77">
        <v>150</v>
      </c>
      <c r="O962" s="3" t="s">
        <v>2276</v>
      </c>
      <c r="P962" s="3" t="s">
        <v>2276</v>
      </c>
      <c r="Q962" s="3" t="s">
        <v>2276</v>
      </c>
      <c r="R962" s="3" t="s">
        <v>2276</v>
      </c>
      <c r="S962" s="3" t="s">
        <v>2276</v>
      </c>
      <c r="T962" s="3" t="s">
        <v>2276</v>
      </c>
      <c r="U962" s="3" t="s">
        <v>2276</v>
      </c>
      <c r="V962" s="3" t="s">
        <v>2276</v>
      </c>
      <c r="W962" s="3" t="s">
        <v>2276</v>
      </c>
      <c r="X962" s="3" t="s">
        <v>2276</v>
      </c>
      <c r="Y962" s="3" t="s">
        <v>2276</v>
      </c>
      <c r="Z962" s="22" t="s">
        <v>68</v>
      </c>
      <c r="AA962" s="22" t="s">
        <v>35</v>
      </c>
      <c r="AB962" s="22" t="s">
        <v>64</v>
      </c>
      <c r="AC962" s="24" t="s">
        <v>3055</v>
      </c>
      <c r="AD962" s="22"/>
    </row>
    <row r="963" spans="1:30" ht="51.5" customHeight="1">
      <c r="A963" s="23" t="s">
        <v>3044</v>
      </c>
      <c r="B963" s="23" t="s">
        <v>3057</v>
      </c>
      <c r="C963" s="22" t="s">
        <v>2458</v>
      </c>
      <c r="D963" s="22" t="s">
        <v>25</v>
      </c>
      <c r="E963" s="22" t="s">
        <v>45</v>
      </c>
      <c r="F963" s="24" t="s">
        <v>55</v>
      </c>
      <c r="G963" s="3" t="s">
        <v>2276</v>
      </c>
      <c r="H963" s="3" t="s">
        <v>523</v>
      </c>
      <c r="I963" s="22"/>
      <c r="J963" s="3" t="s">
        <v>2276</v>
      </c>
      <c r="K963" s="3" t="s">
        <v>2276</v>
      </c>
      <c r="L963" s="3" t="s">
        <v>2276</v>
      </c>
      <c r="M963" s="3" t="s">
        <v>2276</v>
      </c>
      <c r="N963" s="3" t="s">
        <v>2276</v>
      </c>
      <c r="O963" s="3" t="s">
        <v>2276</v>
      </c>
      <c r="P963" s="3" t="s">
        <v>2276</v>
      </c>
      <c r="Q963" s="3" t="s">
        <v>2276</v>
      </c>
      <c r="R963" s="3" t="s">
        <v>2276</v>
      </c>
      <c r="S963" s="3" t="s">
        <v>2276</v>
      </c>
      <c r="T963" s="3" t="s">
        <v>2276</v>
      </c>
      <c r="U963" s="3" t="s">
        <v>2276</v>
      </c>
      <c r="V963" s="3" t="s">
        <v>2276</v>
      </c>
      <c r="W963" s="3" t="s">
        <v>2276</v>
      </c>
      <c r="X963" s="3" t="s">
        <v>2276</v>
      </c>
      <c r="Y963" s="3" t="s">
        <v>2276</v>
      </c>
      <c r="Z963" s="22" t="s">
        <v>405</v>
      </c>
      <c r="AA963" s="22" t="s">
        <v>425</v>
      </c>
      <c r="AB963" s="22" t="s">
        <v>76</v>
      </c>
      <c r="AC963" s="24" t="s">
        <v>3058</v>
      </c>
      <c r="AD963" s="22"/>
    </row>
    <row r="964" spans="1:30" ht="36.5" customHeight="1">
      <c r="A964" s="23" t="s">
        <v>3045</v>
      </c>
      <c r="B964" s="23" t="s">
        <v>3065</v>
      </c>
      <c r="C964" s="22" t="s">
        <v>24</v>
      </c>
      <c r="D964" s="22" t="s">
        <v>25</v>
      </c>
      <c r="E964" s="22" t="s">
        <v>45</v>
      </c>
      <c r="F964" s="24" t="s">
        <v>2662</v>
      </c>
      <c r="G964" s="3" t="s">
        <v>2276</v>
      </c>
      <c r="H964" s="3" t="s">
        <v>523</v>
      </c>
      <c r="I964" s="22"/>
      <c r="J964" s="3" t="s">
        <v>2276</v>
      </c>
      <c r="K964" s="3" t="s">
        <v>2276</v>
      </c>
      <c r="L964" s="77">
        <v>10</v>
      </c>
      <c r="M964" s="3" t="s">
        <v>2276</v>
      </c>
      <c r="N964" s="77">
        <v>150</v>
      </c>
      <c r="O964" s="3" t="s">
        <v>2276</v>
      </c>
      <c r="P964" s="3" t="s">
        <v>2276</v>
      </c>
      <c r="Q964" s="3" t="s">
        <v>2276</v>
      </c>
      <c r="R964" s="3" t="s">
        <v>2276</v>
      </c>
      <c r="S964" s="3" t="s">
        <v>2276</v>
      </c>
      <c r="T964" s="3" t="s">
        <v>2276</v>
      </c>
      <c r="U964" s="3" t="s">
        <v>2276</v>
      </c>
      <c r="V964" s="3" t="s">
        <v>2276</v>
      </c>
      <c r="W964" s="3" t="s">
        <v>2276</v>
      </c>
      <c r="X964" s="3" t="s">
        <v>2276</v>
      </c>
      <c r="Y964" s="3" t="s">
        <v>2276</v>
      </c>
      <c r="Z964" s="22" t="s">
        <v>86</v>
      </c>
      <c r="AA964" s="22" t="s">
        <v>34</v>
      </c>
      <c r="AB964" s="22" t="s">
        <v>64</v>
      </c>
      <c r="AC964" s="22" t="s">
        <v>3060</v>
      </c>
      <c r="AD964" s="22"/>
    </row>
    <row r="965" spans="1:30" ht="37" customHeight="1">
      <c r="A965" s="23" t="s">
        <v>3045</v>
      </c>
      <c r="B965" s="23" t="s">
        <v>3066</v>
      </c>
      <c r="C965" s="22" t="s">
        <v>24</v>
      </c>
      <c r="D965" s="22" t="s">
        <v>25</v>
      </c>
      <c r="E965" s="22" t="s">
        <v>45</v>
      </c>
      <c r="F965" s="24" t="s">
        <v>55</v>
      </c>
      <c r="G965" s="3" t="s">
        <v>2276</v>
      </c>
      <c r="H965" s="3" t="s">
        <v>523</v>
      </c>
      <c r="I965" s="22"/>
      <c r="J965" s="3" t="s">
        <v>2276</v>
      </c>
      <c r="K965" s="3" t="s">
        <v>2276</v>
      </c>
      <c r="L965" s="77">
        <v>10</v>
      </c>
      <c r="M965" s="3" t="s">
        <v>2276</v>
      </c>
      <c r="N965" s="77">
        <v>150</v>
      </c>
      <c r="O965" s="3" t="s">
        <v>2276</v>
      </c>
      <c r="P965" s="3" t="s">
        <v>2276</v>
      </c>
      <c r="Q965" s="3" t="s">
        <v>2276</v>
      </c>
      <c r="R965" s="3" t="s">
        <v>2276</v>
      </c>
      <c r="S965" s="3" t="s">
        <v>2276</v>
      </c>
      <c r="T965" s="3" t="s">
        <v>2276</v>
      </c>
      <c r="U965" s="3" t="s">
        <v>2276</v>
      </c>
      <c r="V965" s="3" t="s">
        <v>2276</v>
      </c>
      <c r="W965" s="3" t="s">
        <v>2276</v>
      </c>
      <c r="X965" s="3" t="s">
        <v>2276</v>
      </c>
      <c r="Y965" s="3" t="s">
        <v>2276</v>
      </c>
      <c r="Z965" s="22" t="s">
        <v>86</v>
      </c>
      <c r="AA965" s="22" t="s">
        <v>34</v>
      </c>
      <c r="AB965" s="22" t="s">
        <v>64</v>
      </c>
      <c r="AC965" s="22" t="s">
        <v>3059</v>
      </c>
      <c r="AD965" s="22"/>
    </row>
    <row r="966" spans="1:30" ht="50" customHeight="1">
      <c r="A966" s="23" t="s">
        <v>3045</v>
      </c>
      <c r="B966" s="23" t="s">
        <v>3067</v>
      </c>
      <c r="C966" s="22" t="s">
        <v>24</v>
      </c>
      <c r="D966" s="22" t="s">
        <v>25</v>
      </c>
      <c r="E966" s="22" t="s">
        <v>45</v>
      </c>
      <c r="F966" s="24" t="s">
        <v>55</v>
      </c>
      <c r="G966" s="3" t="s">
        <v>2276</v>
      </c>
      <c r="H966" s="3" t="s">
        <v>523</v>
      </c>
      <c r="I966" s="22"/>
      <c r="J966" s="3" t="s">
        <v>2276</v>
      </c>
      <c r="K966" s="3" t="s">
        <v>2276</v>
      </c>
      <c r="L966" s="77">
        <v>10</v>
      </c>
      <c r="M966" s="3" t="s">
        <v>2276</v>
      </c>
      <c r="N966" s="77">
        <v>150</v>
      </c>
      <c r="O966" s="3" t="s">
        <v>2276</v>
      </c>
      <c r="P966" s="3" t="s">
        <v>2276</v>
      </c>
      <c r="Q966" s="3" t="s">
        <v>2276</v>
      </c>
      <c r="R966" s="3" t="s">
        <v>2276</v>
      </c>
      <c r="S966" s="3" t="s">
        <v>2276</v>
      </c>
      <c r="T966" s="3" t="s">
        <v>2276</v>
      </c>
      <c r="U966" s="3" t="s">
        <v>2276</v>
      </c>
      <c r="V966" s="3" t="s">
        <v>2276</v>
      </c>
      <c r="W966" s="3" t="s">
        <v>2276</v>
      </c>
      <c r="X966" s="3" t="s">
        <v>2276</v>
      </c>
      <c r="Y966" s="3" t="s">
        <v>2276</v>
      </c>
      <c r="Z966" s="22" t="s">
        <v>404</v>
      </c>
      <c r="AA966" s="22" t="s">
        <v>405</v>
      </c>
      <c r="AB966" s="22" t="s">
        <v>64</v>
      </c>
      <c r="AC966" s="22" t="s">
        <v>3059</v>
      </c>
      <c r="AD966" s="22"/>
    </row>
    <row r="967" spans="1:30" ht="90" customHeight="1">
      <c r="A967" s="23" t="s">
        <v>3045</v>
      </c>
      <c r="B967" s="23" t="s">
        <v>3068</v>
      </c>
      <c r="C967" s="22" t="s">
        <v>24</v>
      </c>
      <c r="D967" s="22" t="s">
        <v>25</v>
      </c>
      <c r="E967" s="22" t="s">
        <v>45</v>
      </c>
      <c r="F967" s="24" t="s">
        <v>29</v>
      </c>
      <c r="G967" s="3" t="s">
        <v>2276</v>
      </c>
      <c r="H967" s="3" t="s">
        <v>523</v>
      </c>
      <c r="I967" s="22"/>
      <c r="J967" s="3" t="s">
        <v>2276</v>
      </c>
      <c r="K967" s="3" t="s">
        <v>2276</v>
      </c>
      <c r="L967" s="77">
        <v>10</v>
      </c>
      <c r="M967" s="3" t="s">
        <v>2276</v>
      </c>
      <c r="N967" s="77">
        <v>150</v>
      </c>
      <c r="O967" s="3" t="s">
        <v>2276</v>
      </c>
      <c r="P967" s="3" t="s">
        <v>2276</v>
      </c>
      <c r="Q967" s="3" t="s">
        <v>2276</v>
      </c>
      <c r="R967" s="3" t="s">
        <v>2276</v>
      </c>
      <c r="S967" s="3" t="s">
        <v>2276</v>
      </c>
      <c r="T967" s="3" t="s">
        <v>2276</v>
      </c>
      <c r="U967" s="3" t="s">
        <v>2276</v>
      </c>
      <c r="V967" s="3" t="s">
        <v>2276</v>
      </c>
      <c r="W967" s="3" t="s">
        <v>2276</v>
      </c>
      <c r="X967" s="3" t="s">
        <v>2276</v>
      </c>
      <c r="Y967" s="3" t="s">
        <v>2276</v>
      </c>
      <c r="Z967" s="22" t="s">
        <v>405</v>
      </c>
      <c r="AA967" s="22" t="s">
        <v>425</v>
      </c>
      <c r="AB967" s="22" t="s">
        <v>64</v>
      </c>
      <c r="AC967" s="24" t="s">
        <v>3078</v>
      </c>
      <c r="AD967" s="22"/>
    </row>
    <row r="968" spans="1:30" ht="90" customHeight="1">
      <c r="A968" s="23" t="s">
        <v>3045</v>
      </c>
      <c r="B968" s="23" t="s">
        <v>3069</v>
      </c>
      <c r="C968" s="22" t="s">
        <v>24</v>
      </c>
      <c r="D968" s="22" t="s">
        <v>25</v>
      </c>
      <c r="E968" s="22" t="s">
        <v>45</v>
      </c>
      <c r="F968" s="24" t="s">
        <v>29</v>
      </c>
      <c r="G968" s="3" t="s">
        <v>2276</v>
      </c>
      <c r="H968" s="3" t="s">
        <v>523</v>
      </c>
      <c r="I968" s="22"/>
      <c r="J968" s="3" t="s">
        <v>2276</v>
      </c>
      <c r="K968" s="3" t="s">
        <v>2276</v>
      </c>
      <c r="L968" s="3" t="s">
        <v>2276</v>
      </c>
      <c r="M968" s="3" t="s">
        <v>2276</v>
      </c>
      <c r="N968" s="3" t="s">
        <v>2276</v>
      </c>
      <c r="O968" s="3" t="s">
        <v>2276</v>
      </c>
      <c r="P968" s="3" t="s">
        <v>2276</v>
      </c>
      <c r="Q968" s="3" t="s">
        <v>2276</v>
      </c>
      <c r="R968" s="3" t="s">
        <v>2276</v>
      </c>
      <c r="S968" s="3" t="s">
        <v>2276</v>
      </c>
      <c r="T968" s="3" t="s">
        <v>2276</v>
      </c>
      <c r="U968" s="3" t="s">
        <v>2276</v>
      </c>
      <c r="V968" s="3" t="s">
        <v>2276</v>
      </c>
      <c r="W968" s="3" t="s">
        <v>2276</v>
      </c>
      <c r="X968" s="3" t="s">
        <v>2276</v>
      </c>
      <c r="Y968" s="3" t="s">
        <v>2276</v>
      </c>
      <c r="Z968" s="22" t="s">
        <v>68</v>
      </c>
      <c r="AA968" s="22" t="s">
        <v>35</v>
      </c>
      <c r="AB968" s="22" t="s">
        <v>64</v>
      </c>
      <c r="AC968" s="24" t="s">
        <v>3056</v>
      </c>
      <c r="AD968" s="22" t="s">
        <v>3079</v>
      </c>
    </row>
    <row r="969" spans="1:30" ht="44.5" customHeight="1">
      <c r="A969" s="23" t="s">
        <v>3045</v>
      </c>
      <c r="B969" s="23" t="s">
        <v>3070</v>
      </c>
      <c r="C969" s="22" t="s">
        <v>24</v>
      </c>
      <c r="D969" s="22" t="s">
        <v>1242</v>
      </c>
      <c r="E969" s="22" t="s">
        <v>45</v>
      </c>
      <c r="F969" s="24" t="s">
        <v>2662</v>
      </c>
      <c r="G969" s="3" t="s">
        <v>2276</v>
      </c>
      <c r="H969" s="3" t="s">
        <v>523</v>
      </c>
      <c r="I969" s="22"/>
      <c r="J969" s="3" t="s">
        <v>2276</v>
      </c>
      <c r="K969" s="3" t="s">
        <v>2276</v>
      </c>
      <c r="L969" s="77">
        <v>10</v>
      </c>
      <c r="M969" s="3" t="s">
        <v>2276</v>
      </c>
      <c r="N969" s="77">
        <v>150</v>
      </c>
      <c r="O969" s="3" t="s">
        <v>2276</v>
      </c>
      <c r="P969" s="3" t="s">
        <v>2276</v>
      </c>
      <c r="Q969" s="3" t="s">
        <v>2276</v>
      </c>
      <c r="R969" s="3" t="s">
        <v>2276</v>
      </c>
      <c r="S969" s="3" t="s">
        <v>2276</v>
      </c>
      <c r="T969" s="3" t="s">
        <v>2276</v>
      </c>
      <c r="U969" s="3" t="s">
        <v>2276</v>
      </c>
      <c r="V969" s="3" t="s">
        <v>2276</v>
      </c>
      <c r="W969" s="3" t="s">
        <v>2276</v>
      </c>
      <c r="X969" s="3" t="s">
        <v>2276</v>
      </c>
      <c r="Y969" s="3" t="s">
        <v>2276</v>
      </c>
      <c r="Z969" s="22" t="s">
        <v>68</v>
      </c>
      <c r="AA969" s="22" t="s">
        <v>35</v>
      </c>
      <c r="AB969" s="22" t="s">
        <v>64</v>
      </c>
      <c r="AC969" s="24" t="s">
        <v>3055</v>
      </c>
      <c r="AD969" s="22"/>
    </row>
    <row r="970" spans="1:30" ht="48" customHeight="1">
      <c r="A970" s="23" t="s">
        <v>3045</v>
      </c>
      <c r="B970" s="23" t="s">
        <v>3071</v>
      </c>
      <c r="C970" s="22" t="s">
        <v>2458</v>
      </c>
      <c r="D970" s="22" t="s">
        <v>25</v>
      </c>
      <c r="E970" s="22" t="s">
        <v>45</v>
      </c>
      <c r="F970" s="24" t="s">
        <v>55</v>
      </c>
      <c r="G970" s="3" t="s">
        <v>2276</v>
      </c>
      <c r="H970" s="3" t="s">
        <v>523</v>
      </c>
      <c r="I970" s="22"/>
      <c r="J970" s="3" t="s">
        <v>2276</v>
      </c>
      <c r="K970" s="3" t="s">
        <v>2276</v>
      </c>
      <c r="L970" s="3" t="s">
        <v>2276</v>
      </c>
      <c r="M970" s="3" t="s">
        <v>2276</v>
      </c>
      <c r="N970" s="3" t="s">
        <v>2276</v>
      </c>
      <c r="O970" s="3" t="s">
        <v>2276</v>
      </c>
      <c r="P970" s="3" t="s">
        <v>2276</v>
      </c>
      <c r="Q970" s="3" t="s">
        <v>2276</v>
      </c>
      <c r="R970" s="3" t="s">
        <v>2276</v>
      </c>
      <c r="S970" s="3" t="s">
        <v>2276</v>
      </c>
      <c r="T970" s="3" t="s">
        <v>2276</v>
      </c>
      <c r="U970" s="3" t="s">
        <v>2276</v>
      </c>
      <c r="V970" s="3" t="s">
        <v>2276</v>
      </c>
      <c r="W970" s="3" t="s">
        <v>2276</v>
      </c>
      <c r="X970" s="3" t="s">
        <v>2276</v>
      </c>
      <c r="Y970" s="3" t="s">
        <v>2276</v>
      </c>
      <c r="Z970" s="22" t="s">
        <v>405</v>
      </c>
      <c r="AA970" s="22" t="s">
        <v>68</v>
      </c>
      <c r="AB970" s="22" t="s">
        <v>64</v>
      </c>
      <c r="AC970" s="24" t="s">
        <v>3058</v>
      </c>
      <c r="AD970" s="22"/>
    </row>
    <row r="971" spans="1:30" ht="41.5" customHeight="1">
      <c r="A971" s="23" t="s">
        <v>3062</v>
      </c>
      <c r="B971" s="23" t="s">
        <v>3072</v>
      </c>
      <c r="C971" s="22" t="s">
        <v>24</v>
      </c>
      <c r="D971" s="22" t="s">
        <v>1242</v>
      </c>
      <c r="E971" s="22" t="s">
        <v>137</v>
      </c>
      <c r="F971" s="24" t="s">
        <v>2662</v>
      </c>
      <c r="G971" s="3" t="s">
        <v>2276</v>
      </c>
      <c r="H971" s="152" t="s">
        <v>524</v>
      </c>
      <c r="I971" s="22"/>
      <c r="J971" s="77">
        <v>0</v>
      </c>
      <c r="K971" s="77">
        <v>0</v>
      </c>
      <c r="L971" s="77">
        <v>0</v>
      </c>
      <c r="M971" s="77">
        <v>0</v>
      </c>
      <c r="N971" s="77">
        <v>0</v>
      </c>
      <c r="O971" s="77">
        <v>0</v>
      </c>
      <c r="P971" s="77">
        <v>0</v>
      </c>
      <c r="Q971" s="77">
        <v>0</v>
      </c>
      <c r="R971" s="77">
        <v>0</v>
      </c>
      <c r="S971" s="77">
        <v>0</v>
      </c>
      <c r="T971" s="77">
        <v>0</v>
      </c>
      <c r="U971" s="77">
        <v>0</v>
      </c>
      <c r="V971" s="77">
        <v>0</v>
      </c>
      <c r="W971" s="77">
        <v>0</v>
      </c>
      <c r="X971" s="77">
        <v>0</v>
      </c>
      <c r="Y971" s="77">
        <v>0</v>
      </c>
      <c r="Z971" s="22" t="s">
        <v>399</v>
      </c>
      <c r="AA971" s="22" t="s">
        <v>127</v>
      </c>
      <c r="AB971" s="22" t="s">
        <v>2276</v>
      </c>
      <c r="AC971" s="22" t="s">
        <v>3074</v>
      </c>
      <c r="AD971" s="22"/>
    </row>
    <row r="972" spans="1:30" ht="44.5" customHeight="1">
      <c r="A972" s="23" t="s">
        <v>3062</v>
      </c>
      <c r="B972" s="23" t="s">
        <v>3073</v>
      </c>
      <c r="C972" s="22" t="s">
        <v>1105</v>
      </c>
      <c r="D972" s="22" t="s">
        <v>1105</v>
      </c>
      <c r="E972" s="22" t="s">
        <v>1105</v>
      </c>
      <c r="F972" s="24" t="s">
        <v>2662</v>
      </c>
      <c r="G972" s="3" t="s">
        <v>2276</v>
      </c>
      <c r="H972" s="3" t="s">
        <v>523</v>
      </c>
      <c r="I972" s="153">
        <v>2014</v>
      </c>
      <c r="J972" s="3" t="s">
        <v>2276</v>
      </c>
      <c r="K972" s="3" t="s">
        <v>2276</v>
      </c>
      <c r="L972" s="3" t="s">
        <v>2276</v>
      </c>
      <c r="M972" s="3" t="s">
        <v>2276</v>
      </c>
      <c r="N972" s="3" t="s">
        <v>2276</v>
      </c>
      <c r="O972" s="3" t="s">
        <v>2276</v>
      </c>
      <c r="P972" s="3" t="s">
        <v>2276</v>
      </c>
      <c r="Q972" s="3" t="s">
        <v>2276</v>
      </c>
      <c r="R972" s="3" t="s">
        <v>2276</v>
      </c>
      <c r="S972" s="3" t="s">
        <v>2276</v>
      </c>
      <c r="T972" s="3" t="s">
        <v>2276</v>
      </c>
      <c r="U972" s="3" t="s">
        <v>2276</v>
      </c>
      <c r="V972" s="3" t="s">
        <v>2276</v>
      </c>
      <c r="W972" s="3" t="s">
        <v>2276</v>
      </c>
      <c r="X972" s="3" t="s">
        <v>2276</v>
      </c>
      <c r="Y972" s="3" t="s">
        <v>2276</v>
      </c>
      <c r="Z972" s="22" t="s">
        <v>86</v>
      </c>
      <c r="AA972" s="22" t="s">
        <v>34</v>
      </c>
      <c r="AB972" s="22" t="s">
        <v>64</v>
      </c>
      <c r="AC972" s="24"/>
      <c r="AD972" s="24" t="s">
        <v>3084</v>
      </c>
    </row>
    <row r="973" spans="1:30" ht="53.5" customHeight="1">
      <c r="A973" s="23" t="s">
        <v>3062</v>
      </c>
      <c r="B973" s="23" t="s">
        <v>3077</v>
      </c>
      <c r="C973" s="22" t="s">
        <v>1105</v>
      </c>
      <c r="D973" s="22" t="s">
        <v>1105</v>
      </c>
      <c r="E973" s="22" t="s">
        <v>1105</v>
      </c>
      <c r="F973" s="24" t="s">
        <v>2662</v>
      </c>
      <c r="G973" s="3" t="s">
        <v>2276</v>
      </c>
      <c r="H973" s="3" t="s">
        <v>523</v>
      </c>
      <c r="I973" s="153">
        <v>2014</v>
      </c>
      <c r="J973" s="3" t="s">
        <v>2276</v>
      </c>
      <c r="K973" s="3" t="s">
        <v>2276</v>
      </c>
      <c r="L973" s="3" t="s">
        <v>2276</v>
      </c>
      <c r="M973" s="3" t="s">
        <v>2276</v>
      </c>
      <c r="N973" s="3" t="s">
        <v>2276</v>
      </c>
      <c r="O973" s="3" t="s">
        <v>2276</v>
      </c>
      <c r="P973" s="3" t="s">
        <v>2276</v>
      </c>
      <c r="Q973" s="3" t="s">
        <v>2276</v>
      </c>
      <c r="R973" s="3" t="s">
        <v>2276</v>
      </c>
      <c r="S973" s="3" t="s">
        <v>2276</v>
      </c>
      <c r="T973" s="3" t="s">
        <v>2276</v>
      </c>
      <c r="U973" s="3" t="s">
        <v>2276</v>
      </c>
      <c r="V973" s="3" t="s">
        <v>2276</v>
      </c>
      <c r="W973" s="3" t="s">
        <v>2276</v>
      </c>
      <c r="X973" s="3" t="s">
        <v>2276</v>
      </c>
      <c r="Y973" s="3" t="s">
        <v>2276</v>
      </c>
      <c r="Z973" s="22" t="s">
        <v>34</v>
      </c>
      <c r="AA973" s="22" t="s">
        <v>405</v>
      </c>
      <c r="AB973" s="22" t="s">
        <v>64</v>
      </c>
      <c r="AC973" s="24"/>
      <c r="AD973" s="24" t="s">
        <v>3084</v>
      </c>
    </row>
    <row r="974" spans="1:30" ht="58" customHeight="1">
      <c r="A974" s="23" t="s">
        <v>3062</v>
      </c>
      <c r="B974" s="23" t="s">
        <v>3081</v>
      </c>
      <c r="C974" s="22" t="s">
        <v>1105</v>
      </c>
      <c r="D974" s="22" t="s">
        <v>1105</v>
      </c>
      <c r="E974" s="22" t="s">
        <v>1105</v>
      </c>
      <c r="F974" s="24" t="s">
        <v>2662</v>
      </c>
      <c r="G974" s="3" t="s">
        <v>2276</v>
      </c>
      <c r="H974" s="3" t="s">
        <v>523</v>
      </c>
      <c r="I974" s="153">
        <v>2014</v>
      </c>
      <c r="J974" s="3" t="s">
        <v>2276</v>
      </c>
      <c r="K974" s="3" t="s">
        <v>2276</v>
      </c>
      <c r="L974" s="3" t="s">
        <v>2276</v>
      </c>
      <c r="M974" s="3" t="s">
        <v>2276</v>
      </c>
      <c r="N974" s="3" t="s">
        <v>2276</v>
      </c>
      <c r="O974" s="3" t="s">
        <v>2276</v>
      </c>
      <c r="P974" s="3" t="s">
        <v>2276</v>
      </c>
      <c r="Q974" s="3" t="s">
        <v>2276</v>
      </c>
      <c r="R974" s="3" t="s">
        <v>2276</v>
      </c>
      <c r="S974" s="3" t="s">
        <v>2276</v>
      </c>
      <c r="T974" s="21">
        <v>44450</v>
      </c>
      <c r="U974" s="3" t="s">
        <v>2276</v>
      </c>
      <c r="V974" s="3" t="s">
        <v>2276</v>
      </c>
      <c r="W974" s="3" t="s">
        <v>2276</v>
      </c>
      <c r="X974" s="77">
        <v>41</v>
      </c>
      <c r="Y974" s="3" t="s">
        <v>2276</v>
      </c>
      <c r="Z974" s="22" t="s">
        <v>405</v>
      </c>
      <c r="AA974" s="22" t="s">
        <v>425</v>
      </c>
      <c r="AB974" s="22" t="s">
        <v>76</v>
      </c>
      <c r="AC974" s="24" t="s">
        <v>3083</v>
      </c>
      <c r="AD974" s="22"/>
    </row>
    <row r="975" spans="1:30" ht="61" customHeight="1">
      <c r="A975" s="23" t="s">
        <v>3062</v>
      </c>
      <c r="B975" s="23" t="s">
        <v>3082</v>
      </c>
      <c r="C975" s="22" t="s">
        <v>1105</v>
      </c>
      <c r="D975" s="22" t="s">
        <v>1105</v>
      </c>
      <c r="E975" s="22" t="s">
        <v>1105</v>
      </c>
      <c r="F975" s="24" t="s">
        <v>2662</v>
      </c>
      <c r="G975" s="3" t="s">
        <v>2276</v>
      </c>
      <c r="H975" s="3" t="s">
        <v>523</v>
      </c>
      <c r="I975" s="153">
        <v>2015</v>
      </c>
      <c r="J975" s="3" t="s">
        <v>2276</v>
      </c>
      <c r="K975" s="3" t="s">
        <v>2276</v>
      </c>
      <c r="L975" s="3" t="s">
        <v>2276</v>
      </c>
      <c r="M975" s="3" t="s">
        <v>2276</v>
      </c>
      <c r="N975" s="3" t="s">
        <v>2276</v>
      </c>
      <c r="O975" s="3" t="s">
        <v>2276</v>
      </c>
      <c r="P975" s="3" t="s">
        <v>2276</v>
      </c>
      <c r="Q975" s="3" t="s">
        <v>2276</v>
      </c>
      <c r="R975" s="3" t="s">
        <v>2276</v>
      </c>
      <c r="S975" s="3" t="s">
        <v>2276</v>
      </c>
      <c r="T975" s="3" t="s">
        <v>2276</v>
      </c>
      <c r="U975" s="3" t="s">
        <v>2276</v>
      </c>
      <c r="V975" s="3" t="s">
        <v>2276</v>
      </c>
      <c r="W975" s="3" t="s">
        <v>2276</v>
      </c>
      <c r="X975" s="3" t="s">
        <v>2276</v>
      </c>
      <c r="Y975" s="3" t="s">
        <v>2276</v>
      </c>
      <c r="Z975" s="22" t="s">
        <v>86</v>
      </c>
      <c r="AA975" s="22" t="s">
        <v>34</v>
      </c>
      <c r="AB975" s="22" t="s">
        <v>64</v>
      </c>
      <c r="AC975" s="24"/>
      <c r="AD975" s="24" t="s">
        <v>3084</v>
      </c>
    </row>
    <row r="976" spans="1:30" ht="45" customHeight="1">
      <c r="A976" s="23" t="s">
        <v>3062</v>
      </c>
      <c r="B976" s="23" t="s">
        <v>3085</v>
      </c>
      <c r="C976" s="22" t="s">
        <v>1105</v>
      </c>
      <c r="D976" s="22" t="s">
        <v>1105</v>
      </c>
      <c r="E976" s="22" t="s">
        <v>1105</v>
      </c>
      <c r="F976" s="24" t="s">
        <v>2662</v>
      </c>
      <c r="G976" s="3" t="s">
        <v>2276</v>
      </c>
      <c r="H976" s="3" t="s">
        <v>523</v>
      </c>
      <c r="I976" s="153">
        <v>2015</v>
      </c>
      <c r="J976" s="3" t="s">
        <v>2276</v>
      </c>
      <c r="K976" s="3" t="s">
        <v>2276</v>
      </c>
      <c r="L976" s="3" t="s">
        <v>2276</v>
      </c>
      <c r="M976" s="3" t="s">
        <v>2276</v>
      </c>
      <c r="N976" s="3" t="s">
        <v>2276</v>
      </c>
      <c r="O976" s="3" t="s">
        <v>2276</v>
      </c>
      <c r="P976" s="3" t="s">
        <v>2276</v>
      </c>
      <c r="Q976" s="3" t="s">
        <v>2276</v>
      </c>
      <c r="R976" s="3" t="s">
        <v>2276</v>
      </c>
      <c r="S976" s="3" t="s">
        <v>2276</v>
      </c>
      <c r="T976" s="3" t="s">
        <v>2276</v>
      </c>
      <c r="U976" s="3" t="s">
        <v>2276</v>
      </c>
      <c r="V976" s="3" t="s">
        <v>2276</v>
      </c>
      <c r="W976" s="3" t="s">
        <v>2276</v>
      </c>
      <c r="X976" s="3" t="s">
        <v>2276</v>
      </c>
      <c r="Y976" s="3" t="s">
        <v>2276</v>
      </c>
      <c r="Z976" s="22" t="s">
        <v>34</v>
      </c>
      <c r="AA976" s="22" t="s">
        <v>405</v>
      </c>
      <c r="AB976" s="22" t="s">
        <v>64</v>
      </c>
      <c r="AC976" s="24"/>
      <c r="AD976" s="24" t="s">
        <v>3084</v>
      </c>
    </row>
    <row r="977" spans="1:30" ht="46" customHeight="1">
      <c r="A977" s="23" t="s">
        <v>3062</v>
      </c>
      <c r="B977" s="23" t="s">
        <v>3086</v>
      </c>
      <c r="C977" s="22" t="s">
        <v>1105</v>
      </c>
      <c r="D977" s="22" t="s">
        <v>1105</v>
      </c>
      <c r="E977" s="22" t="s">
        <v>1105</v>
      </c>
      <c r="F977" s="24" t="s">
        <v>2662</v>
      </c>
      <c r="G977" s="3" t="s">
        <v>2276</v>
      </c>
      <c r="H977" s="3" t="s">
        <v>523</v>
      </c>
      <c r="I977" s="153">
        <v>2015</v>
      </c>
      <c r="J977" s="3" t="s">
        <v>2276</v>
      </c>
      <c r="K977" s="3" t="s">
        <v>2276</v>
      </c>
      <c r="L977" s="3" t="s">
        <v>2276</v>
      </c>
      <c r="M977" s="3" t="s">
        <v>2276</v>
      </c>
      <c r="N977" s="3" t="s">
        <v>2276</v>
      </c>
      <c r="O977" s="3" t="s">
        <v>2276</v>
      </c>
      <c r="P977" s="3" t="s">
        <v>2276</v>
      </c>
      <c r="Q977" s="3" t="s">
        <v>2276</v>
      </c>
      <c r="R977" s="3" t="s">
        <v>2276</v>
      </c>
      <c r="S977" s="3" t="s">
        <v>2276</v>
      </c>
      <c r="T977" s="3" t="s">
        <v>2276</v>
      </c>
      <c r="U977" s="3" t="s">
        <v>2276</v>
      </c>
      <c r="V977" s="3" t="s">
        <v>2276</v>
      </c>
      <c r="W977" s="3" t="s">
        <v>2276</v>
      </c>
      <c r="X977" s="3" t="s">
        <v>2276</v>
      </c>
      <c r="Y977" s="3" t="s">
        <v>2276</v>
      </c>
      <c r="Z977" s="22" t="s">
        <v>405</v>
      </c>
      <c r="AA977" s="22" t="s">
        <v>425</v>
      </c>
      <c r="AB977" s="22" t="s">
        <v>76</v>
      </c>
      <c r="AC977" s="24" t="s">
        <v>3083</v>
      </c>
      <c r="AD977" s="22"/>
    </row>
    <row r="978" spans="1:30" ht="44" customHeight="1">
      <c r="A978" s="23" t="s">
        <v>3063</v>
      </c>
      <c r="B978" s="23" t="s">
        <v>3087</v>
      </c>
      <c r="C978" s="22" t="s">
        <v>24</v>
      </c>
      <c r="D978" s="22" t="s">
        <v>1242</v>
      </c>
      <c r="E978" s="22" t="s">
        <v>137</v>
      </c>
      <c r="F978" s="24" t="s">
        <v>2662</v>
      </c>
      <c r="G978" s="3" t="s">
        <v>2276</v>
      </c>
      <c r="H978" s="152" t="s">
        <v>524</v>
      </c>
      <c r="I978" s="22"/>
      <c r="J978" s="77">
        <v>0</v>
      </c>
      <c r="K978" s="77">
        <v>0</v>
      </c>
      <c r="L978" s="77">
        <v>0</v>
      </c>
      <c r="M978" s="77">
        <v>0</v>
      </c>
      <c r="N978" s="77">
        <v>0</v>
      </c>
      <c r="O978" s="77">
        <v>0</v>
      </c>
      <c r="P978" s="77">
        <v>0</v>
      </c>
      <c r="Q978" s="77">
        <v>0</v>
      </c>
      <c r="R978" s="77">
        <v>0</v>
      </c>
      <c r="S978" s="77">
        <v>0</v>
      </c>
      <c r="T978" s="77">
        <v>0</v>
      </c>
      <c r="U978" s="77">
        <v>0</v>
      </c>
      <c r="V978" s="77">
        <v>0</v>
      </c>
      <c r="W978" s="77">
        <v>0</v>
      </c>
      <c r="X978" s="77">
        <v>0</v>
      </c>
      <c r="Y978" s="77">
        <v>0</v>
      </c>
      <c r="Z978" s="22" t="s">
        <v>399</v>
      </c>
      <c r="AA978" s="22" t="s">
        <v>127</v>
      </c>
      <c r="AB978" s="22" t="s">
        <v>2276</v>
      </c>
      <c r="AC978" s="22" t="s">
        <v>3074</v>
      </c>
      <c r="AD978" s="22"/>
    </row>
    <row r="979" spans="1:30" ht="40.5" customHeight="1">
      <c r="A979" s="23" t="s">
        <v>3063</v>
      </c>
      <c r="B979" s="23" t="s">
        <v>3088</v>
      </c>
      <c r="C979" s="22" t="s">
        <v>1105</v>
      </c>
      <c r="D979" s="22" t="s">
        <v>1105</v>
      </c>
      <c r="E979" s="22" t="s">
        <v>1105</v>
      </c>
      <c r="F979" s="24" t="s">
        <v>2662</v>
      </c>
      <c r="G979" s="3" t="s">
        <v>2276</v>
      </c>
      <c r="H979" s="3" t="s">
        <v>523</v>
      </c>
      <c r="I979" s="153">
        <v>2014</v>
      </c>
      <c r="J979" s="3" t="s">
        <v>2276</v>
      </c>
      <c r="K979" s="3" t="s">
        <v>2276</v>
      </c>
      <c r="L979" s="3" t="s">
        <v>2276</v>
      </c>
      <c r="M979" s="3" t="s">
        <v>2276</v>
      </c>
      <c r="N979" s="3" t="s">
        <v>2276</v>
      </c>
      <c r="O979" s="3" t="s">
        <v>2276</v>
      </c>
      <c r="P979" s="3" t="s">
        <v>2276</v>
      </c>
      <c r="Q979" s="3" t="s">
        <v>2276</v>
      </c>
      <c r="R979" s="3" t="s">
        <v>2276</v>
      </c>
      <c r="S979" s="3" t="s">
        <v>2276</v>
      </c>
      <c r="T979" s="3" t="s">
        <v>2276</v>
      </c>
      <c r="U979" s="3" t="s">
        <v>2276</v>
      </c>
      <c r="V979" s="3" t="s">
        <v>2276</v>
      </c>
      <c r="W979" s="3" t="s">
        <v>2276</v>
      </c>
      <c r="X979" s="3" t="s">
        <v>2276</v>
      </c>
      <c r="Y979" s="3" t="s">
        <v>2276</v>
      </c>
      <c r="Z979" s="22" t="s">
        <v>86</v>
      </c>
      <c r="AA979" s="22" t="s">
        <v>34</v>
      </c>
      <c r="AB979" s="22" t="s">
        <v>64</v>
      </c>
      <c r="AC979" s="24"/>
      <c r="AD979" s="24" t="s">
        <v>3084</v>
      </c>
    </row>
    <row r="980" spans="1:30" ht="44.5" customHeight="1">
      <c r="A980" s="23" t="s">
        <v>3063</v>
      </c>
      <c r="B980" s="23" t="s">
        <v>3089</v>
      </c>
      <c r="C980" s="22" t="s">
        <v>1105</v>
      </c>
      <c r="D980" s="22" t="s">
        <v>1105</v>
      </c>
      <c r="E980" s="22" t="s">
        <v>1105</v>
      </c>
      <c r="F980" s="24" t="s">
        <v>2662</v>
      </c>
      <c r="G980" s="3" t="s">
        <v>2276</v>
      </c>
      <c r="H980" s="3" t="s">
        <v>523</v>
      </c>
      <c r="I980" s="153">
        <v>2014</v>
      </c>
      <c r="J980" s="3" t="s">
        <v>2276</v>
      </c>
      <c r="K980" s="3" t="s">
        <v>2276</v>
      </c>
      <c r="L980" s="3" t="s">
        <v>2276</v>
      </c>
      <c r="M980" s="3" t="s">
        <v>2276</v>
      </c>
      <c r="N980" s="3" t="s">
        <v>2276</v>
      </c>
      <c r="O980" s="3" t="s">
        <v>2276</v>
      </c>
      <c r="P980" s="3" t="s">
        <v>2276</v>
      </c>
      <c r="Q980" s="3" t="s">
        <v>2276</v>
      </c>
      <c r="R980" s="3" t="s">
        <v>2276</v>
      </c>
      <c r="S980" s="3" t="s">
        <v>2276</v>
      </c>
      <c r="T980" s="3" t="s">
        <v>2276</v>
      </c>
      <c r="U980" s="3" t="s">
        <v>2276</v>
      </c>
      <c r="V980" s="3" t="s">
        <v>2276</v>
      </c>
      <c r="W980" s="3" t="s">
        <v>2276</v>
      </c>
      <c r="X980" s="3" t="s">
        <v>2276</v>
      </c>
      <c r="Y980" s="3" t="s">
        <v>2276</v>
      </c>
      <c r="Z980" s="22" t="s">
        <v>34</v>
      </c>
      <c r="AA980" s="22" t="s">
        <v>405</v>
      </c>
      <c r="AB980" s="22" t="s">
        <v>64</v>
      </c>
      <c r="AC980" s="24"/>
      <c r="AD980" s="24" t="s">
        <v>3084</v>
      </c>
    </row>
    <row r="981" spans="1:30" ht="50" customHeight="1">
      <c r="A981" s="23" t="s">
        <v>3063</v>
      </c>
      <c r="B981" s="23" t="s">
        <v>3090</v>
      </c>
      <c r="C981" s="22" t="s">
        <v>1105</v>
      </c>
      <c r="D981" s="22" t="s">
        <v>1105</v>
      </c>
      <c r="E981" s="22" t="s">
        <v>1105</v>
      </c>
      <c r="F981" s="24" t="s">
        <v>2662</v>
      </c>
      <c r="G981" s="3" t="s">
        <v>2276</v>
      </c>
      <c r="H981" s="3" t="s">
        <v>523</v>
      </c>
      <c r="I981" s="153">
        <v>2014</v>
      </c>
      <c r="J981" s="3" t="s">
        <v>2276</v>
      </c>
      <c r="K981" s="3" t="s">
        <v>2276</v>
      </c>
      <c r="L981" s="3" t="s">
        <v>2276</v>
      </c>
      <c r="M981" s="3" t="s">
        <v>2276</v>
      </c>
      <c r="N981" s="3" t="s">
        <v>2276</v>
      </c>
      <c r="O981" s="3" t="s">
        <v>2276</v>
      </c>
      <c r="P981" s="3" t="s">
        <v>2276</v>
      </c>
      <c r="Q981" s="3" t="s">
        <v>2276</v>
      </c>
      <c r="R981" s="3" t="s">
        <v>2276</v>
      </c>
      <c r="S981" s="3" t="s">
        <v>2276</v>
      </c>
      <c r="T981" s="3" t="s">
        <v>2276</v>
      </c>
      <c r="U981" s="3" t="s">
        <v>2276</v>
      </c>
      <c r="V981" s="3" t="s">
        <v>2276</v>
      </c>
      <c r="W981" s="3" t="s">
        <v>2276</v>
      </c>
      <c r="X981" s="3" t="s">
        <v>2276</v>
      </c>
      <c r="Y981" s="3" t="s">
        <v>2276</v>
      </c>
      <c r="Z981" s="22" t="s">
        <v>405</v>
      </c>
      <c r="AA981" s="22" t="s">
        <v>425</v>
      </c>
      <c r="AB981" s="22" t="s">
        <v>76</v>
      </c>
      <c r="AC981" s="24" t="s">
        <v>3083</v>
      </c>
      <c r="AD981" s="22"/>
    </row>
    <row r="982" spans="1:30" ht="38" customHeight="1">
      <c r="A982" s="23" t="s">
        <v>3063</v>
      </c>
      <c r="B982" s="23" t="s">
        <v>3091</v>
      </c>
      <c r="C982" s="22" t="s">
        <v>1105</v>
      </c>
      <c r="D982" s="22" t="s">
        <v>1105</v>
      </c>
      <c r="E982" s="22" t="s">
        <v>1105</v>
      </c>
      <c r="F982" s="24" t="s">
        <v>2662</v>
      </c>
      <c r="G982" s="3" t="s">
        <v>2276</v>
      </c>
      <c r="H982" s="3" t="s">
        <v>523</v>
      </c>
      <c r="I982" s="153">
        <v>2015</v>
      </c>
      <c r="J982" s="3" t="s">
        <v>2276</v>
      </c>
      <c r="K982" s="3" t="s">
        <v>2276</v>
      </c>
      <c r="L982" s="3" t="s">
        <v>2276</v>
      </c>
      <c r="M982" s="3" t="s">
        <v>2276</v>
      </c>
      <c r="N982" s="3" t="s">
        <v>2276</v>
      </c>
      <c r="O982" s="3" t="s">
        <v>2276</v>
      </c>
      <c r="P982" s="3" t="s">
        <v>2276</v>
      </c>
      <c r="Q982" s="3" t="s">
        <v>2276</v>
      </c>
      <c r="R982" s="3" t="s">
        <v>2276</v>
      </c>
      <c r="S982" s="3" t="s">
        <v>2276</v>
      </c>
      <c r="T982" s="3" t="s">
        <v>2276</v>
      </c>
      <c r="U982" s="3" t="s">
        <v>2276</v>
      </c>
      <c r="V982" s="3" t="s">
        <v>2276</v>
      </c>
      <c r="W982" s="3" t="s">
        <v>2276</v>
      </c>
      <c r="X982" s="3" t="s">
        <v>2276</v>
      </c>
      <c r="Y982" s="3" t="s">
        <v>2276</v>
      </c>
      <c r="Z982" s="22" t="s">
        <v>86</v>
      </c>
      <c r="AA982" s="22" t="s">
        <v>34</v>
      </c>
      <c r="AB982" s="22" t="s">
        <v>64</v>
      </c>
      <c r="AC982" s="24"/>
      <c r="AD982" s="24" t="s">
        <v>3084</v>
      </c>
    </row>
    <row r="983" spans="1:30" ht="41.5" customHeight="1">
      <c r="A983" s="23" t="s">
        <v>3063</v>
      </c>
      <c r="B983" s="23" t="s">
        <v>3092</v>
      </c>
      <c r="C983" s="22" t="s">
        <v>1105</v>
      </c>
      <c r="D983" s="22" t="s">
        <v>1105</v>
      </c>
      <c r="E983" s="22" t="s">
        <v>1105</v>
      </c>
      <c r="F983" s="24" t="s">
        <v>2662</v>
      </c>
      <c r="G983" s="3" t="s">
        <v>2276</v>
      </c>
      <c r="H983" s="3" t="s">
        <v>523</v>
      </c>
      <c r="I983" s="153">
        <v>2015</v>
      </c>
      <c r="J983" s="3" t="s">
        <v>2276</v>
      </c>
      <c r="K983" s="3" t="s">
        <v>2276</v>
      </c>
      <c r="L983" s="3" t="s">
        <v>2276</v>
      </c>
      <c r="M983" s="3" t="s">
        <v>2276</v>
      </c>
      <c r="N983" s="3" t="s">
        <v>2276</v>
      </c>
      <c r="O983" s="3" t="s">
        <v>2276</v>
      </c>
      <c r="P983" s="3" t="s">
        <v>2276</v>
      </c>
      <c r="Q983" s="3" t="s">
        <v>2276</v>
      </c>
      <c r="R983" s="3" t="s">
        <v>2276</v>
      </c>
      <c r="S983" s="3" t="s">
        <v>2276</v>
      </c>
      <c r="T983" s="3" t="s">
        <v>2276</v>
      </c>
      <c r="U983" s="3" t="s">
        <v>2276</v>
      </c>
      <c r="V983" s="3" t="s">
        <v>2276</v>
      </c>
      <c r="W983" s="3" t="s">
        <v>2276</v>
      </c>
      <c r="X983" s="3" t="s">
        <v>2276</v>
      </c>
      <c r="Y983" s="3" t="s">
        <v>2276</v>
      </c>
      <c r="Z983" s="22" t="s">
        <v>34</v>
      </c>
      <c r="AA983" s="22" t="s">
        <v>405</v>
      </c>
      <c r="AB983" s="22" t="s">
        <v>64</v>
      </c>
      <c r="AC983" s="24"/>
      <c r="AD983" s="24" t="s">
        <v>3084</v>
      </c>
    </row>
    <row r="984" spans="1:30" ht="48.5" customHeight="1">
      <c r="A984" s="23" t="s">
        <v>3063</v>
      </c>
      <c r="B984" s="23" t="s">
        <v>3093</v>
      </c>
      <c r="C984" s="22" t="s">
        <v>1105</v>
      </c>
      <c r="D984" s="22" t="s">
        <v>1105</v>
      </c>
      <c r="E984" s="22" t="s">
        <v>1105</v>
      </c>
      <c r="F984" s="24" t="s">
        <v>2662</v>
      </c>
      <c r="G984" s="3" t="s">
        <v>2276</v>
      </c>
      <c r="H984" s="3" t="s">
        <v>523</v>
      </c>
      <c r="I984" s="153">
        <v>2015</v>
      </c>
      <c r="J984" s="3" t="s">
        <v>2276</v>
      </c>
      <c r="K984" s="3" t="s">
        <v>2276</v>
      </c>
      <c r="L984" s="3" t="s">
        <v>2276</v>
      </c>
      <c r="M984" s="3" t="s">
        <v>2276</v>
      </c>
      <c r="N984" s="3" t="s">
        <v>2276</v>
      </c>
      <c r="O984" s="3" t="s">
        <v>2276</v>
      </c>
      <c r="P984" s="3" t="s">
        <v>2276</v>
      </c>
      <c r="Q984" s="3" t="s">
        <v>2276</v>
      </c>
      <c r="R984" s="3" t="s">
        <v>2276</v>
      </c>
      <c r="S984" s="3" t="s">
        <v>2276</v>
      </c>
      <c r="T984" s="3" t="s">
        <v>2276</v>
      </c>
      <c r="U984" s="3" t="s">
        <v>2276</v>
      </c>
      <c r="V984" s="3" t="s">
        <v>2276</v>
      </c>
      <c r="W984" s="3" t="s">
        <v>2276</v>
      </c>
      <c r="X984" s="3" t="s">
        <v>2276</v>
      </c>
      <c r="Y984" s="3" t="s">
        <v>2276</v>
      </c>
      <c r="Z984" s="22" t="s">
        <v>405</v>
      </c>
      <c r="AA984" s="22" t="s">
        <v>425</v>
      </c>
      <c r="AB984" s="22" t="s">
        <v>76</v>
      </c>
      <c r="AC984" s="24" t="s">
        <v>3083</v>
      </c>
      <c r="AD984" s="22"/>
    </row>
    <row r="985" spans="1:30" ht="48.5" customHeight="1">
      <c r="A985" s="23" t="s">
        <v>5040</v>
      </c>
      <c r="B985" s="23" t="s">
        <v>5042</v>
      </c>
      <c r="C985" s="22" t="s">
        <v>1105</v>
      </c>
      <c r="D985" s="22" t="s">
        <v>1105</v>
      </c>
      <c r="E985" s="22" t="s">
        <v>1105</v>
      </c>
      <c r="F985" s="24" t="s">
        <v>2662</v>
      </c>
      <c r="G985" s="3" t="s">
        <v>2276</v>
      </c>
      <c r="H985" s="3" t="s">
        <v>523</v>
      </c>
      <c r="I985" s="153"/>
      <c r="J985" s="3" t="s">
        <v>2276</v>
      </c>
      <c r="K985" s="3" t="s">
        <v>2276</v>
      </c>
      <c r="L985" s="3" t="s">
        <v>2276</v>
      </c>
      <c r="M985" s="3" t="s">
        <v>2276</v>
      </c>
      <c r="N985" s="3" t="s">
        <v>2276</v>
      </c>
      <c r="O985" s="3" t="s">
        <v>2276</v>
      </c>
      <c r="P985" s="3" t="s">
        <v>2276</v>
      </c>
      <c r="Q985" s="3" t="s">
        <v>2276</v>
      </c>
      <c r="R985" s="3" t="s">
        <v>2276</v>
      </c>
      <c r="S985" s="3" t="s">
        <v>2276</v>
      </c>
      <c r="T985" s="3" t="s">
        <v>2276</v>
      </c>
      <c r="U985" s="3" t="s">
        <v>2276</v>
      </c>
      <c r="V985" s="3" t="s">
        <v>2276</v>
      </c>
      <c r="W985" s="3" t="s">
        <v>2276</v>
      </c>
      <c r="X985" s="3" t="s">
        <v>2276</v>
      </c>
      <c r="Y985" s="3" t="s">
        <v>2276</v>
      </c>
      <c r="Z985" s="22" t="s">
        <v>86</v>
      </c>
      <c r="AA985" s="22" t="s">
        <v>35</v>
      </c>
      <c r="AB985" s="3" t="s">
        <v>2276</v>
      </c>
      <c r="AC985" s="24"/>
      <c r="AD985" s="22"/>
    </row>
    <row r="986" spans="1:30" ht="42" customHeight="1">
      <c r="A986" s="23" t="s">
        <v>3097</v>
      </c>
      <c r="B986" s="3" t="s">
        <v>3118</v>
      </c>
      <c r="C986" s="3" t="s">
        <v>24</v>
      </c>
      <c r="D986" s="3" t="s">
        <v>27</v>
      </c>
      <c r="E986" s="3" t="s">
        <v>130</v>
      </c>
      <c r="F986" s="4" t="s">
        <v>74</v>
      </c>
      <c r="G986" s="3" t="s">
        <v>2276</v>
      </c>
      <c r="H986" s="3" t="s">
        <v>523</v>
      </c>
      <c r="I986" s="3"/>
      <c r="J986" s="3" t="s">
        <v>2276</v>
      </c>
      <c r="K986" s="3" t="s">
        <v>2276</v>
      </c>
      <c r="L986" s="3" t="s">
        <v>2276</v>
      </c>
      <c r="M986" s="3" t="s">
        <v>2276</v>
      </c>
      <c r="N986" s="3" t="s">
        <v>2276</v>
      </c>
      <c r="O986" s="3" t="s">
        <v>2276</v>
      </c>
      <c r="P986" s="3" t="s">
        <v>2276</v>
      </c>
      <c r="Q986" s="3" t="s">
        <v>2276</v>
      </c>
      <c r="R986" s="3" t="s">
        <v>2276</v>
      </c>
      <c r="S986" s="3" t="s">
        <v>2276</v>
      </c>
      <c r="T986" s="3" t="s">
        <v>2276</v>
      </c>
      <c r="U986" s="3" t="s">
        <v>2276</v>
      </c>
      <c r="V986" s="3" t="s">
        <v>2276</v>
      </c>
      <c r="W986" s="3" t="s">
        <v>2276</v>
      </c>
      <c r="X986" s="3" t="s">
        <v>2276</v>
      </c>
      <c r="Y986" s="3" t="s">
        <v>2276</v>
      </c>
      <c r="Z986" s="3" t="s">
        <v>2276</v>
      </c>
      <c r="AA986" s="3" t="s">
        <v>2276</v>
      </c>
      <c r="AB986" s="3" t="s">
        <v>2276</v>
      </c>
      <c r="AC986" s="3"/>
      <c r="AD986" s="3"/>
    </row>
    <row r="987" spans="1:30" ht="42" customHeight="1">
      <c r="A987" s="23" t="s">
        <v>3098</v>
      </c>
      <c r="B987" s="23" t="s">
        <v>3119</v>
      </c>
      <c r="C987" s="3" t="s">
        <v>24</v>
      </c>
      <c r="D987" s="3" t="s">
        <v>27</v>
      </c>
      <c r="E987" s="3" t="s">
        <v>130</v>
      </c>
      <c r="F987" s="4" t="s">
        <v>74</v>
      </c>
      <c r="G987" s="3" t="s">
        <v>2276</v>
      </c>
      <c r="H987" s="3" t="s">
        <v>523</v>
      </c>
      <c r="I987" s="3"/>
      <c r="J987" s="3" t="s">
        <v>2276</v>
      </c>
      <c r="K987" s="3" t="s">
        <v>2276</v>
      </c>
      <c r="L987" s="3" t="s">
        <v>2276</v>
      </c>
      <c r="M987" s="3" t="s">
        <v>2276</v>
      </c>
      <c r="N987" s="3" t="s">
        <v>2276</v>
      </c>
      <c r="O987" s="3" t="s">
        <v>2276</v>
      </c>
      <c r="P987" s="3" t="s">
        <v>2276</v>
      </c>
      <c r="Q987" s="3" t="s">
        <v>2276</v>
      </c>
      <c r="R987" s="3" t="s">
        <v>2276</v>
      </c>
      <c r="S987" s="3" t="s">
        <v>2276</v>
      </c>
      <c r="T987" s="3" t="s">
        <v>2276</v>
      </c>
      <c r="U987" s="3" t="s">
        <v>2276</v>
      </c>
      <c r="V987" s="3" t="s">
        <v>2276</v>
      </c>
      <c r="W987" s="3" t="s">
        <v>2276</v>
      </c>
      <c r="X987" s="3" t="s">
        <v>2276</v>
      </c>
      <c r="Y987" s="3" t="s">
        <v>2276</v>
      </c>
      <c r="Z987" s="3" t="s">
        <v>2276</v>
      </c>
      <c r="AA987" s="3" t="s">
        <v>2276</v>
      </c>
      <c r="AB987" s="3" t="s">
        <v>2276</v>
      </c>
      <c r="AC987" s="3"/>
      <c r="AD987" s="3"/>
    </row>
    <row r="988" spans="1:30" ht="38.5" customHeight="1">
      <c r="A988" s="23" t="s">
        <v>3100</v>
      </c>
      <c r="B988" s="23" t="s">
        <v>3120</v>
      </c>
      <c r="C988" s="3" t="s">
        <v>24</v>
      </c>
      <c r="D988" s="3" t="s">
        <v>27</v>
      </c>
      <c r="E988" s="3" t="s">
        <v>130</v>
      </c>
      <c r="F988" s="4" t="s">
        <v>74</v>
      </c>
      <c r="G988" s="3" t="s">
        <v>2276</v>
      </c>
      <c r="H988" s="3" t="s">
        <v>523</v>
      </c>
      <c r="I988" s="3"/>
      <c r="J988" s="3" t="s">
        <v>2276</v>
      </c>
      <c r="K988" s="3" t="s">
        <v>2276</v>
      </c>
      <c r="L988" s="3" t="s">
        <v>2276</v>
      </c>
      <c r="M988" s="3" t="s">
        <v>2276</v>
      </c>
      <c r="N988" s="3" t="s">
        <v>2276</v>
      </c>
      <c r="O988" s="3" t="s">
        <v>2276</v>
      </c>
      <c r="P988" s="3" t="s">
        <v>2276</v>
      </c>
      <c r="Q988" s="3" t="s">
        <v>2276</v>
      </c>
      <c r="R988" s="3" t="s">
        <v>2276</v>
      </c>
      <c r="S988" s="3" t="s">
        <v>2276</v>
      </c>
      <c r="T988" s="3" t="s">
        <v>2276</v>
      </c>
      <c r="U988" s="3" t="s">
        <v>2276</v>
      </c>
      <c r="V988" s="3" t="s">
        <v>2276</v>
      </c>
      <c r="W988" s="3" t="s">
        <v>2276</v>
      </c>
      <c r="X988" s="3" t="s">
        <v>2276</v>
      </c>
      <c r="Y988" s="3" t="s">
        <v>2276</v>
      </c>
      <c r="Z988" s="3" t="s">
        <v>2276</v>
      </c>
      <c r="AA988" s="3" t="s">
        <v>2276</v>
      </c>
      <c r="AB988" s="3" t="s">
        <v>2276</v>
      </c>
      <c r="AC988" s="3"/>
      <c r="AD988" s="3"/>
    </row>
    <row r="989" spans="1:30" ht="31" customHeight="1">
      <c r="A989" s="23" t="s">
        <v>3101</v>
      </c>
      <c r="B989" s="23" t="s">
        <v>3121</v>
      </c>
      <c r="C989" s="3" t="s">
        <v>24</v>
      </c>
      <c r="D989" s="3" t="s">
        <v>27</v>
      </c>
      <c r="E989" s="3" t="s">
        <v>130</v>
      </c>
      <c r="F989" s="4" t="s">
        <v>161</v>
      </c>
      <c r="G989" s="3" t="s">
        <v>2276</v>
      </c>
      <c r="H989" s="3" t="s">
        <v>523</v>
      </c>
      <c r="I989" s="3"/>
      <c r="J989" s="3" t="s">
        <v>2276</v>
      </c>
      <c r="K989" s="3" t="s">
        <v>2276</v>
      </c>
      <c r="L989" s="3" t="s">
        <v>2276</v>
      </c>
      <c r="M989" s="3" t="s">
        <v>2276</v>
      </c>
      <c r="N989" s="3" t="s">
        <v>2276</v>
      </c>
      <c r="O989" s="3" t="s">
        <v>2276</v>
      </c>
      <c r="P989" s="3" t="s">
        <v>2276</v>
      </c>
      <c r="Q989" s="3" t="s">
        <v>2276</v>
      </c>
      <c r="R989" s="3" t="s">
        <v>2276</v>
      </c>
      <c r="S989" s="3" t="s">
        <v>2276</v>
      </c>
      <c r="T989" s="3" t="s">
        <v>2276</v>
      </c>
      <c r="U989" s="3" t="s">
        <v>2276</v>
      </c>
      <c r="V989" s="3" t="s">
        <v>2276</v>
      </c>
      <c r="W989" s="3" t="s">
        <v>2276</v>
      </c>
      <c r="X989" s="3" t="s">
        <v>2276</v>
      </c>
      <c r="Y989" s="3" t="s">
        <v>2276</v>
      </c>
      <c r="Z989" s="3" t="s">
        <v>2276</v>
      </c>
      <c r="AA989" s="3" t="s">
        <v>2276</v>
      </c>
      <c r="AB989" s="3" t="s">
        <v>2276</v>
      </c>
      <c r="AC989" s="3"/>
      <c r="AD989" s="3"/>
    </row>
    <row r="990" spans="1:30" ht="33.5" customHeight="1">
      <c r="A990" s="23" t="s">
        <v>3102</v>
      </c>
      <c r="B990" s="23" t="s">
        <v>3122</v>
      </c>
      <c r="C990" s="3" t="s">
        <v>24</v>
      </c>
      <c r="D990" s="3" t="s">
        <v>27</v>
      </c>
      <c r="E990" s="3" t="s">
        <v>130</v>
      </c>
      <c r="F990" s="4" t="s">
        <v>161</v>
      </c>
      <c r="G990" s="3" t="s">
        <v>2276</v>
      </c>
      <c r="H990" s="3" t="s">
        <v>523</v>
      </c>
      <c r="I990" s="3"/>
      <c r="J990" s="3" t="s">
        <v>2276</v>
      </c>
      <c r="K990" s="3" t="s">
        <v>2276</v>
      </c>
      <c r="L990" s="3" t="s">
        <v>2276</v>
      </c>
      <c r="M990" s="3" t="s">
        <v>2276</v>
      </c>
      <c r="N990" s="3" t="s">
        <v>2276</v>
      </c>
      <c r="O990" s="3" t="s">
        <v>2276</v>
      </c>
      <c r="P990" s="3" t="s">
        <v>2276</v>
      </c>
      <c r="Q990" s="3" t="s">
        <v>2276</v>
      </c>
      <c r="R990" s="3" t="s">
        <v>2276</v>
      </c>
      <c r="S990" s="3" t="s">
        <v>2276</v>
      </c>
      <c r="T990" s="3" t="s">
        <v>2276</v>
      </c>
      <c r="U990" s="3" t="s">
        <v>2276</v>
      </c>
      <c r="V990" s="3" t="s">
        <v>2276</v>
      </c>
      <c r="W990" s="3" t="s">
        <v>2276</v>
      </c>
      <c r="X990" s="3" t="s">
        <v>2276</v>
      </c>
      <c r="Y990" s="3" t="s">
        <v>2276</v>
      </c>
      <c r="Z990" s="3" t="s">
        <v>2276</v>
      </c>
      <c r="AA990" s="3" t="s">
        <v>2276</v>
      </c>
      <c r="AB990" s="3" t="s">
        <v>2276</v>
      </c>
      <c r="AC990" s="3"/>
      <c r="AD990" s="3"/>
    </row>
    <row r="991" spans="1:30" ht="33.5" customHeight="1">
      <c r="A991" s="23" t="s">
        <v>3103</v>
      </c>
      <c r="B991" s="23" t="s">
        <v>3123</v>
      </c>
      <c r="C991" s="3" t="s">
        <v>24</v>
      </c>
      <c r="D991" s="3" t="s">
        <v>27</v>
      </c>
      <c r="E991" s="3" t="s">
        <v>130</v>
      </c>
      <c r="F991" s="4" t="s">
        <v>161</v>
      </c>
      <c r="G991" s="3" t="s">
        <v>2276</v>
      </c>
      <c r="H991" s="3" t="s">
        <v>523</v>
      </c>
      <c r="I991" s="3"/>
      <c r="J991" s="3" t="s">
        <v>2276</v>
      </c>
      <c r="K991" s="3" t="s">
        <v>2276</v>
      </c>
      <c r="L991" s="3" t="s">
        <v>2276</v>
      </c>
      <c r="M991" s="3" t="s">
        <v>2276</v>
      </c>
      <c r="N991" s="3" t="s">
        <v>2276</v>
      </c>
      <c r="O991" s="3" t="s">
        <v>2276</v>
      </c>
      <c r="P991" s="3" t="s">
        <v>2276</v>
      </c>
      <c r="Q991" s="3" t="s">
        <v>2276</v>
      </c>
      <c r="R991" s="3" t="s">
        <v>2276</v>
      </c>
      <c r="S991" s="3" t="s">
        <v>2276</v>
      </c>
      <c r="T991" s="3" t="s">
        <v>2276</v>
      </c>
      <c r="U991" s="3" t="s">
        <v>2276</v>
      </c>
      <c r="V991" s="3" t="s">
        <v>2276</v>
      </c>
      <c r="W991" s="3" t="s">
        <v>2276</v>
      </c>
      <c r="X991" s="3" t="s">
        <v>2276</v>
      </c>
      <c r="Y991" s="3" t="s">
        <v>2276</v>
      </c>
      <c r="Z991" s="3" t="s">
        <v>2276</v>
      </c>
      <c r="AA991" s="3" t="s">
        <v>2276</v>
      </c>
      <c r="AB991" s="3" t="s">
        <v>2276</v>
      </c>
      <c r="AC991" s="3"/>
      <c r="AD991" s="3"/>
    </row>
    <row r="992" spans="1:30" ht="40" customHeight="1">
      <c r="A992" s="23" t="s">
        <v>3129</v>
      </c>
      <c r="B992" s="23" t="s">
        <v>3138</v>
      </c>
      <c r="C992" s="3" t="s">
        <v>24</v>
      </c>
      <c r="D992" s="3" t="s">
        <v>27</v>
      </c>
      <c r="E992" s="3" t="s">
        <v>130</v>
      </c>
      <c r="F992" s="4" t="s">
        <v>161</v>
      </c>
      <c r="G992" s="3" t="s">
        <v>2276</v>
      </c>
      <c r="H992" s="3" t="s">
        <v>523</v>
      </c>
      <c r="I992" s="3"/>
      <c r="J992" s="3" t="s">
        <v>2276</v>
      </c>
      <c r="K992" s="3" t="s">
        <v>2276</v>
      </c>
      <c r="L992" s="3" t="s">
        <v>2276</v>
      </c>
      <c r="M992" s="3" t="s">
        <v>2276</v>
      </c>
      <c r="N992" s="3" t="s">
        <v>2276</v>
      </c>
      <c r="O992" s="3" t="s">
        <v>2276</v>
      </c>
      <c r="P992" s="3" t="s">
        <v>2276</v>
      </c>
      <c r="Q992" s="3" t="s">
        <v>2276</v>
      </c>
      <c r="R992" s="3" t="s">
        <v>2276</v>
      </c>
      <c r="S992" s="3" t="s">
        <v>2276</v>
      </c>
      <c r="T992" s="3" t="s">
        <v>2276</v>
      </c>
      <c r="U992" s="3" t="s">
        <v>2276</v>
      </c>
      <c r="V992" s="3" t="s">
        <v>2276</v>
      </c>
      <c r="W992" s="3" t="s">
        <v>2276</v>
      </c>
      <c r="X992" s="3" t="s">
        <v>2276</v>
      </c>
      <c r="Y992" s="3" t="s">
        <v>2276</v>
      </c>
      <c r="Z992" s="3" t="s">
        <v>2276</v>
      </c>
      <c r="AA992" s="3" t="s">
        <v>2276</v>
      </c>
      <c r="AB992" s="3" t="s">
        <v>2276</v>
      </c>
      <c r="AC992" s="3"/>
      <c r="AD992" s="3" t="s">
        <v>3146</v>
      </c>
    </row>
    <row r="993" spans="1:30" ht="40" customHeight="1">
      <c r="A993" s="23" t="s">
        <v>3129</v>
      </c>
      <c r="B993" s="23" t="s">
        <v>3147</v>
      </c>
      <c r="C993" s="3" t="s">
        <v>24</v>
      </c>
      <c r="D993" s="3" t="s">
        <v>1245</v>
      </c>
      <c r="E993" s="3" t="s">
        <v>116</v>
      </c>
      <c r="F993" s="4" t="s">
        <v>74</v>
      </c>
      <c r="G993" s="3" t="s">
        <v>2276</v>
      </c>
      <c r="H993" s="3" t="s">
        <v>523</v>
      </c>
      <c r="I993" s="3"/>
      <c r="J993" s="3" t="s">
        <v>2276</v>
      </c>
      <c r="K993" s="3" t="s">
        <v>2276</v>
      </c>
      <c r="L993" s="3" t="s">
        <v>2276</v>
      </c>
      <c r="M993" s="3" t="s">
        <v>2276</v>
      </c>
      <c r="N993" s="3" t="s">
        <v>2276</v>
      </c>
      <c r="O993" s="3" t="s">
        <v>2276</v>
      </c>
      <c r="P993" s="3" t="s">
        <v>2276</v>
      </c>
      <c r="Q993" s="3" t="s">
        <v>2276</v>
      </c>
      <c r="R993" s="3" t="s">
        <v>2276</v>
      </c>
      <c r="S993" s="3" t="s">
        <v>2276</v>
      </c>
      <c r="T993" s="3" t="s">
        <v>2276</v>
      </c>
      <c r="U993" s="3" t="s">
        <v>2276</v>
      </c>
      <c r="V993" s="3" t="s">
        <v>2276</v>
      </c>
      <c r="W993" s="3" t="s">
        <v>2276</v>
      </c>
      <c r="X993" s="3" t="s">
        <v>2276</v>
      </c>
      <c r="Y993" s="3" t="s">
        <v>2276</v>
      </c>
      <c r="Z993" s="3" t="s">
        <v>2276</v>
      </c>
      <c r="AA993" s="3" t="s">
        <v>2276</v>
      </c>
      <c r="AB993" s="3" t="s">
        <v>2276</v>
      </c>
      <c r="AC993" s="3"/>
      <c r="AD993" s="3"/>
    </row>
    <row r="994" spans="1:30" ht="40" customHeight="1">
      <c r="A994" s="23" t="s">
        <v>3129</v>
      </c>
      <c r="B994" s="23" t="s">
        <v>3148</v>
      </c>
      <c r="C994" s="3" t="s">
        <v>24</v>
      </c>
      <c r="D994" s="3" t="s">
        <v>1245</v>
      </c>
      <c r="E994" s="3" t="s">
        <v>116</v>
      </c>
      <c r="F994" s="4" t="s">
        <v>2662</v>
      </c>
      <c r="G994" s="3" t="s">
        <v>2276</v>
      </c>
      <c r="H994" s="3" t="s">
        <v>523</v>
      </c>
      <c r="I994" s="3"/>
      <c r="J994" s="3" t="s">
        <v>2276</v>
      </c>
      <c r="K994" s="3" t="s">
        <v>2276</v>
      </c>
      <c r="L994" s="3" t="s">
        <v>2276</v>
      </c>
      <c r="M994" s="3" t="s">
        <v>2276</v>
      </c>
      <c r="N994" s="3" t="s">
        <v>2276</v>
      </c>
      <c r="O994" s="3" t="s">
        <v>2276</v>
      </c>
      <c r="P994" s="3" t="s">
        <v>2276</v>
      </c>
      <c r="Q994" s="3" t="s">
        <v>2276</v>
      </c>
      <c r="R994" s="3" t="s">
        <v>2276</v>
      </c>
      <c r="S994" s="3" t="s">
        <v>2276</v>
      </c>
      <c r="T994" s="3" t="s">
        <v>2276</v>
      </c>
      <c r="U994" s="3" t="s">
        <v>2276</v>
      </c>
      <c r="V994" s="3" t="s">
        <v>2276</v>
      </c>
      <c r="W994" s="3" t="s">
        <v>2276</v>
      </c>
      <c r="X994" s="3" t="s">
        <v>2276</v>
      </c>
      <c r="Y994" s="3" t="s">
        <v>2276</v>
      </c>
      <c r="Z994" s="3" t="s">
        <v>2276</v>
      </c>
      <c r="AA994" s="3" t="s">
        <v>2276</v>
      </c>
      <c r="AB994" s="3" t="s">
        <v>2276</v>
      </c>
      <c r="AC994" s="3"/>
      <c r="AD994" s="3"/>
    </row>
    <row r="995" spans="1:30" ht="40" customHeight="1">
      <c r="A995" s="23" t="s">
        <v>3129</v>
      </c>
      <c r="B995" s="23" t="s">
        <v>3149</v>
      </c>
      <c r="C995" s="3" t="s">
        <v>24</v>
      </c>
      <c r="D995" s="3" t="s">
        <v>2305</v>
      </c>
      <c r="E995" s="3" t="s">
        <v>116</v>
      </c>
      <c r="F995" s="4" t="s">
        <v>2276</v>
      </c>
      <c r="G995" s="3" t="s">
        <v>2276</v>
      </c>
      <c r="H995" s="3" t="s">
        <v>523</v>
      </c>
      <c r="I995" s="3"/>
      <c r="J995" s="3" t="s">
        <v>2276</v>
      </c>
      <c r="K995" s="3" t="s">
        <v>2276</v>
      </c>
      <c r="L995" s="3" t="s">
        <v>2276</v>
      </c>
      <c r="M995" s="3" t="s">
        <v>2276</v>
      </c>
      <c r="N995" s="3" t="s">
        <v>2276</v>
      </c>
      <c r="O995" s="3" t="s">
        <v>2276</v>
      </c>
      <c r="P995" s="3" t="s">
        <v>2276</v>
      </c>
      <c r="Q995" s="3" t="s">
        <v>2276</v>
      </c>
      <c r="R995" s="3" t="s">
        <v>2276</v>
      </c>
      <c r="S995" s="3" t="s">
        <v>2276</v>
      </c>
      <c r="T995" s="3" t="s">
        <v>2276</v>
      </c>
      <c r="U995" s="3" t="s">
        <v>2276</v>
      </c>
      <c r="V995" s="3" t="s">
        <v>2276</v>
      </c>
      <c r="W995" s="3" t="s">
        <v>2276</v>
      </c>
      <c r="X995" s="3" t="s">
        <v>2276</v>
      </c>
      <c r="Y995" s="3" t="s">
        <v>2276</v>
      </c>
      <c r="Z995" s="3" t="s">
        <v>2276</v>
      </c>
      <c r="AA995" s="3" t="s">
        <v>2276</v>
      </c>
      <c r="AB995" s="3" t="s">
        <v>2276</v>
      </c>
      <c r="AC995" s="4" t="s">
        <v>3159</v>
      </c>
      <c r="AD995" s="3"/>
    </row>
    <row r="996" spans="1:30" ht="40" customHeight="1">
      <c r="A996" s="23" t="s">
        <v>3129</v>
      </c>
      <c r="B996" s="23" t="s">
        <v>3150</v>
      </c>
      <c r="C996" s="3" t="s">
        <v>24</v>
      </c>
      <c r="D996" s="3" t="s">
        <v>26</v>
      </c>
      <c r="E996" s="3" t="s">
        <v>116</v>
      </c>
      <c r="F996" s="4" t="s">
        <v>2276</v>
      </c>
      <c r="G996" s="3" t="s">
        <v>2276</v>
      </c>
      <c r="H996" s="3" t="s">
        <v>523</v>
      </c>
      <c r="I996" s="3"/>
      <c r="J996" s="3" t="s">
        <v>2276</v>
      </c>
      <c r="K996" s="3" t="s">
        <v>2276</v>
      </c>
      <c r="L996" s="3" t="s">
        <v>2276</v>
      </c>
      <c r="M996" s="3" t="s">
        <v>2276</v>
      </c>
      <c r="N996" s="3" t="s">
        <v>2276</v>
      </c>
      <c r="O996" s="3" t="s">
        <v>2276</v>
      </c>
      <c r="P996" s="3" t="s">
        <v>2276</v>
      </c>
      <c r="Q996" s="3" t="s">
        <v>2276</v>
      </c>
      <c r="R996" s="3" t="s">
        <v>2276</v>
      </c>
      <c r="S996" s="3" t="s">
        <v>2276</v>
      </c>
      <c r="T996" s="3" t="s">
        <v>2276</v>
      </c>
      <c r="U996" s="3" t="s">
        <v>2276</v>
      </c>
      <c r="V996" s="3" t="s">
        <v>2276</v>
      </c>
      <c r="W996" s="3" t="s">
        <v>2276</v>
      </c>
      <c r="X996" s="3" t="s">
        <v>2276</v>
      </c>
      <c r="Y996" s="3" t="s">
        <v>2276</v>
      </c>
      <c r="Z996" s="3" t="s">
        <v>2276</v>
      </c>
      <c r="AA996" s="3" t="s">
        <v>2276</v>
      </c>
      <c r="AB996" s="3" t="s">
        <v>2276</v>
      </c>
      <c r="AC996" s="3"/>
      <c r="AD996" s="3"/>
    </row>
    <row r="997" spans="1:30" ht="40" customHeight="1">
      <c r="A997" s="23" t="s">
        <v>3129</v>
      </c>
      <c r="B997" s="23" t="s">
        <v>3151</v>
      </c>
      <c r="C997" s="3" t="s">
        <v>24</v>
      </c>
      <c r="D997" s="3" t="s">
        <v>2341</v>
      </c>
      <c r="E997" s="3" t="s">
        <v>116</v>
      </c>
      <c r="F997" s="4" t="s">
        <v>2276</v>
      </c>
      <c r="G997" s="3" t="s">
        <v>2276</v>
      </c>
      <c r="H997" s="3" t="s">
        <v>523</v>
      </c>
      <c r="I997" s="3"/>
      <c r="J997" s="3" t="s">
        <v>2276</v>
      </c>
      <c r="K997" s="3" t="s">
        <v>2276</v>
      </c>
      <c r="L997" s="3" t="s">
        <v>2276</v>
      </c>
      <c r="M997" s="3" t="s">
        <v>2276</v>
      </c>
      <c r="N997" s="3" t="s">
        <v>2276</v>
      </c>
      <c r="O997" s="3" t="s">
        <v>2276</v>
      </c>
      <c r="P997" s="3" t="s">
        <v>2276</v>
      </c>
      <c r="Q997" s="3" t="s">
        <v>2276</v>
      </c>
      <c r="R997" s="3" t="s">
        <v>2276</v>
      </c>
      <c r="S997" s="3" t="s">
        <v>2276</v>
      </c>
      <c r="T997" s="3" t="s">
        <v>2276</v>
      </c>
      <c r="U997" s="3" t="s">
        <v>2276</v>
      </c>
      <c r="V997" s="3" t="s">
        <v>2276</v>
      </c>
      <c r="W997" s="3" t="s">
        <v>2276</v>
      </c>
      <c r="X997" s="3" t="s">
        <v>2276</v>
      </c>
      <c r="Y997" s="3" t="s">
        <v>2276</v>
      </c>
      <c r="Z997" s="3" t="s">
        <v>2276</v>
      </c>
      <c r="AA997" s="3" t="s">
        <v>2276</v>
      </c>
      <c r="AB997" s="3" t="s">
        <v>2276</v>
      </c>
      <c r="AC997" s="3"/>
      <c r="AD997" s="3"/>
    </row>
    <row r="998" spans="1:30" ht="40" customHeight="1">
      <c r="A998" s="23" t="s">
        <v>3129</v>
      </c>
      <c r="B998" s="23" t="s">
        <v>3152</v>
      </c>
      <c r="C998" s="3" t="s">
        <v>24</v>
      </c>
      <c r="D998" s="3" t="s">
        <v>406</v>
      </c>
      <c r="E998" s="3" t="s">
        <v>116</v>
      </c>
      <c r="F998" s="4" t="s">
        <v>2276</v>
      </c>
      <c r="G998" s="3" t="s">
        <v>2276</v>
      </c>
      <c r="H998" s="3" t="s">
        <v>523</v>
      </c>
      <c r="I998" s="3"/>
      <c r="J998" s="3" t="s">
        <v>2276</v>
      </c>
      <c r="K998" s="3" t="s">
        <v>2276</v>
      </c>
      <c r="L998" s="3" t="s">
        <v>2276</v>
      </c>
      <c r="M998" s="3" t="s">
        <v>2276</v>
      </c>
      <c r="N998" s="3" t="s">
        <v>2276</v>
      </c>
      <c r="O998" s="3" t="s">
        <v>2276</v>
      </c>
      <c r="P998" s="3" t="s">
        <v>2276</v>
      </c>
      <c r="Q998" s="3" t="s">
        <v>2276</v>
      </c>
      <c r="R998" s="3" t="s">
        <v>2276</v>
      </c>
      <c r="S998" s="3" t="s">
        <v>2276</v>
      </c>
      <c r="T998" s="3" t="s">
        <v>2276</v>
      </c>
      <c r="U998" s="3" t="s">
        <v>2276</v>
      </c>
      <c r="V998" s="3" t="s">
        <v>2276</v>
      </c>
      <c r="W998" s="3" t="s">
        <v>2276</v>
      </c>
      <c r="X998" s="3" t="s">
        <v>2276</v>
      </c>
      <c r="Y998" s="3" t="s">
        <v>2276</v>
      </c>
      <c r="Z998" s="3" t="s">
        <v>2276</v>
      </c>
      <c r="AA998" s="3" t="s">
        <v>2276</v>
      </c>
      <c r="AB998" s="3" t="s">
        <v>2276</v>
      </c>
      <c r="AC998" s="3"/>
      <c r="AD998" s="3"/>
    </row>
    <row r="999" spans="1:30" ht="40" customHeight="1">
      <c r="A999" s="23" t="s">
        <v>3129</v>
      </c>
      <c r="B999" s="23" t="s">
        <v>3153</v>
      </c>
      <c r="C999" s="3" t="s">
        <v>24</v>
      </c>
      <c r="D999" s="3" t="s">
        <v>2994</v>
      </c>
      <c r="E999" s="3" t="s">
        <v>116</v>
      </c>
      <c r="F999" s="4" t="s">
        <v>2276</v>
      </c>
      <c r="G999" s="3" t="s">
        <v>2276</v>
      </c>
      <c r="H999" s="3" t="s">
        <v>523</v>
      </c>
      <c r="I999" s="3"/>
      <c r="J999" s="3" t="s">
        <v>2276</v>
      </c>
      <c r="K999" s="3" t="s">
        <v>2276</v>
      </c>
      <c r="L999" s="3" t="s">
        <v>2276</v>
      </c>
      <c r="M999" s="3" t="s">
        <v>2276</v>
      </c>
      <c r="N999" s="3" t="s">
        <v>2276</v>
      </c>
      <c r="O999" s="3" t="s">
        <v>2276</v>
      </c>
      <c r="P999" s="3" t="s">
        <v>2276</v>
      </c>
      <c r="Q999" s="3" t="s">
        <v>2276</v>
      </c>
      <c r="R999" s="3" t="s">
        <v>2276</v>
      </c>
      <c r="S999" s="3" t="s">
        <v>2276</v>
      </c>
      <c r="T999" s="3" t="s">
        <v>2276</v>
      </c>
      <c r="U999" s="3" t="s">
        <v>2276</v>
      </c>
      <c r="V999" s="3" t="s">
        <v>2276</v>
      </c>
      <c r="W999" s="3" t="s">
        <v>2276</v>
      </c>
      <c r="X999" s="3" t="s">
        <v>2276</v>
      </c>
      <c r="Y999" s="3" t="s">
        <v>2276</v>
      </c>
      <c r="Z999" s="3" t="s">
        <v>2276</v>
      </c>
      <c r="AA999" s="3" t="s">
        <v>2276</v>
      </c>
      <c r="AB999" s="3" t="s">
        <v>2276</v>
      </c>
      <c r="AC999" s="3"/>
      <c r="AD999" s="3"/>
    </row>
    <row r="1000" spans="1:30" ht="40" customHeight="1">
      <c r="A1000" s="23" t="s">
        <v>3129</v>
      </c>
      <c r="B1000" s="23" t="s">
        <v>3154</v>
      </c>
      <c r="C1000" s="3" t="s">
        <v>24</v>
      </c>
      <c r="D1000" s="3" t="s">
        <v>26</v>
      </c>
      <c r="E1000" s="3" t="s">
        <v>130</v>
      </c>
      <c r="F1000" s="4" t="s">
        <v>2276</v>
      </c>
      <c r="G1000" s="3" t="s">
        <v>2276</v>
      </c>
      <c r="H1000" s="3" t="s">
        <v>523</v>
      </c>
      <c r="I1000" s="3"/>
      <c r="J1000" s="3" t="s">
        <v>2276</v>
      </c>
      <c r="K1000" s="3" t="s">
        <v>2276</v>
      </c>
      <c r="L1000" s="3" t="s">
        <v>2276</v>
      </c>
      <c r="M1000" s="3" t="s">
        <v>2276</v>
      </c>
      <c r="N1000" s="3" t="s">
        <v>2276</v>
      </c>
      <c r="O1000" s="3" t="s">
        <v>2276</v>
      </c>
      <c r="P1000" s="3" t="s">
        <v>2276</v>
      </c>
      <c r="Q1000" s="3" t="s">
        <v>2276</v>
      </c>
      <c r="R1000" s="3" t="s">
        <v>2276</v>
      </c>
      <c r="S1000" s="3" t="s">
        <v>2276</v>
      </c>
      <c r="T1000" s="3" t="s">
        <v>2276</v>
      </c>
      <c r="U1000" s="3" t="s">
        <v>2276</v>
      </c>
      <c r="V1000" s="3" t="s">
        <v>2276</v>
      </c>
      <c r="W1000" s="3" t="s">
        <v>2276</v>
      </c>
      <c r="X1000" s="3" t="s">
        <v>2276</v>
      </c>
      <c r="Y1000" s="3" t="s">
        <v>2276</v>
      </c>
      <c r="Z1000" s="3" t="s">
        <v>2276</v>
      </c>
      <c r="AA1000" s="3" t="s">
        <v>2276</v>
      </c>
      <c r="AB1000" s="3" t="s">
        <v>2276</v>
      </c>
      <c r="AC1000" s="3"/>
      <c r="AD1000" s="3"/>
    </row>
    <row r="1001" spans="1:30" ht="40" customHeight="1">
      <c r="A1001" s="23" t="s">
        <v>3129</v>
      </c>
      <c r="B1001" s="23" t="s">
        <v>3155</v>
      </c>
      <c r="C1001" s="3" t="s">
        <v>24</v>
      </c>
      <c r="D1001" s="3" t="s">
        <v>2341</v>
      </c>
      <c r="E1001" s="3" t="s">
        <v>130</v>
      </c>
      <c r="F1001" s="4" t="s">
        <v>2276</v>
      </c>
      <c r="G1001" s="3" t="s">
        <v>2276</v>
      </c>
      <c r="H1001" s="3" t="s">
        <v>523</v>
      </c>
      <c r="I1001" s="3"/>
      <c r="J1001" s="3" t="s">
        <v>2276</v>
      </c>
      <c r="K1001" s="3" t="s">
        <v>2276</v>
      </c>
      <c r="L1001" s="3" t="s">
        <v>2276</v>
      </c>
      <c r="M1001" s="3" t="s">
        <v>2276</v>
      </c>
      <c r="N1001" s="3" t="s">
        <v>2276</v>
      </c>
      <c r="O1001" s="3" t="s">
        <v>2276</v>
      </c>
      <c r="P1001" s="3" t="s">
        <v>2276</v>
      </c>
      <c r="Q1001" s="3" t="s">
        <v>2276</v>
      </c>
      <c r="R1001" s="3" t="s">
        <v>2276</v>
      </c>
      <c r="S1001" s="3" t="s">
        <v>2276</v>
      </c>
      <c r="T1001" s="3" t="s">
        <v>2276</v>
      </c>
      <c r="U1001" s="3" t="s">
        <v>2276</v>
      </c>
      <c r="V1001" s="3" t="s">
        <v>2276</v>
      </c>
      <c r="W1001" s="3" t="s">
        <v>2276</v>
      </c>
      <c r="X1001" s="3" t="s">
        <v>2276</v>
      </c>
      <c r="Y1001" s="3" t="s">
        <v>2276</v>
      </c>
      <c r="Z1001" s="3" t="s">
        <v>2276</v>
      </c>
      <c r="AA1001" s="3" t="s">
        <v>2276</v>
      </c>
      <c r="AB1001" s="3" t="s">
        <v>2276</v>
      </c>
      <c r="AC1001" s="3"/>
      <c r="AD1001" s="3"/>
    </row>
    <row r="1002" spans="1:30" ht="40" customHeight="1">
      <c r="A1002" s="23" t="s">
        <v>3129</v>
      </c>
      <c r="B1002" s="23" t="s">
        <v>3156</v>
      </c>
      <c r="C1002" s="3" t="s">
        <v>24</v>
      </c>
      <c r="D1002" s="3" t="s">
        <v>406</v>
      </c>
      <c r="E1002" s="3" t="s">
        <v>130</v>
      </c>
      <c r="F1002" s="4" t="s">
        <v>2276</v>
      </c>
      <c r="G1002" s="3" t="s">
        <v>2276</v>
      </c>
      <c r="H1002" s="3" t="s">
        <v>523</v>
      </c>
      <c r="I1002" s="3"/>
      <c r="J1002" s="3" t="s">
        <v>2276</v>
      </c>
      <c r="K1002" s="3" t="s">
        <v>2276</v>
      </c>
      <c r="L1002" s="3" t="s">
        <v>2276</v>
      </c>
      <c r="M1002" s="3" t="s">
        <v>2276</v>
      </c>
      <c r="N1002" s="3" t="s">
        <v>2276</v>
      </c>
      <c r="O1002" s="3" t="s">
        <v>2276</v>
      </c>
      <c r="P1002" s="3" t="s">
        <v>2276</v>
      </c>
      <c r="Q1002" s="3" t="s">
        <v>2276</v>
      </c>
      <c r="R1002" s="3" t="s">
        <v>2276</v>
      </c>
      <c r="S1002" s="3" t="s">
        <v>2276</v>
      </c>
      <c r="T1002" s="3" t="s">
        <v>2276</v>
      </c>
      <c r="U1002" s="3" t="s">
        <v>2276</v>
      </c>
      <c r="V1002" s="3" t="s">
        <v>2276</v>
      </c>
      <c r="W1002" s="3" t="s">
        <v>2276</v>
      </c>
      <c r="X1002" s="3" t="s">
        <v>2276</v>
      </c>
      <c r="Y1002" s="3" t="s">
        <v>2276</v>
      </c>
      <c r="Z1002" s="3" t="s">
        <v>2276</v>
      </c>
      <c r="AA1002" s="3" t="s">
        <v>2276</v>
      </c>
      <c r="AB1002" s="3" t="s">
        <v>2276</v>
      </c>
      <c r="AC1002" s="3"/>
      <c r="AD1002" s="3"/>
    </row>
    <row r="1003" spans="1:30" ht="40" customHeight="1">
      <c r="A1003" s="36" t="s">
        <v>3129</v>
      </c>
      <c r="B1003" s="36" t="s">
        <v>3157</v>
      </c>
      <c r="C1003" s="38" t="s">
        <v>24</v>
      </c>
      <c r="D1003" s="38" t="s">
        <v>2994</v>
      </c>
      <c r="E1003" s="38" t="s">
        <v>130</v>
      </c>
      <c r="F1003" s="168" t="s">
        <v>2276</v>
      </c>
      <c r="G1003" s="3" t="s">
        <v>2276</v>
      </c>
      <c r="H1003" s="38" t="s">
        <v>523</v>
      </c>
      <c r="I1003" s="3"/>
      <c r="J1003" s="3" t="s">
        <v>2276</v>
      </c>
      <c r="K1003" s="3" t="s">
        <v>2276</v>
      </c>
      <c r="L1003" s="3" t="s">
        <v>2276</v>
      </c>
      <c r="M1003" s="3" t="s">
        <v>2276</v>
      </c>
      <c r="N1003" s="3" t="s">
        <v>2276</v>
      </c>
      <c r="O1003" s="3" t="s">
        <v>2276</v>
      </c>
      <c r="P1003" s="3" t="s">
        <v>2276</v>
      </c>
      <c r="Q1003" s="3" t="s">
        <v>2276</v>
      </c>
      <c r="R1003" s="3" t="s">
        <v>2276</v>
      </c>
      <c r="S1003" s="3" t="s">
        <v>2276</v>
      </c>
      <c r="T1003" s="3" t="s">
        <v>2276</v>
      </c>
      <c r="U1003" s="3" t="s">
        <v>2276</v>
      </c>
      <c r="V1003" s="3" t="s">
        <v>2276</v>
      </c>
      <c r="W1003" s="3" t="s">
        <v>2276</v>
      </c>
      <c r="X1003" s="3" t="s">
        <v>2276</v>
      </c>
      <c r="Y1003" s="3" t="s">
        <v>2276</v>
      </c>
      <c r="Z1003" s="3" t="s">
        <v>2276</v>
      </c>
      <c r="AA1003" s="3" t="s">
        <v>2276</v>
      </c>
      <c r="AB1003" s="3" t="s">
        <v>2276</v>
      </c>
      <c r="AC1003" s="3"/>
      <c r="AD1003" s="3"/>
    </row>
    <row r="1004" spans="1:30" ht="40" customHeight="1">
      <c r="A1004" s="23" t="s">
        <v>3129</v>
      </c>
      <c r="B1004" s="23" t="s">
        <v>3158</v>
      </c>
      <c r="C1004" s="3" t="s">
        <v>31</v>
      </c>
      <c r="D1004" s="3" t="s">
        <v>2276</v>
      </c>
      <c r="E1004" s="3" t="s">
        <v>2652</v>
      </c>
      <c r="F1004" s="4" t="s">
        <v>2276</v>
      </c>
      <c r="G1004" s="3" t="s">
        <v>2276</v>
      </c>
      <c r="H1004" s="3" t="s">
        <v>523</v>
      </c>
      <c r="I1004" s="3"/>
      <c r="J1004" s="3" t="s">
        <v>2276</v>
      </c>
      <c r="K1004" s="3" t="s">
        <v>2276</v>
      </c>
      <c r="L1004" s="3" t="s">
        <v>2276</v>
      </c>
      <c r="M1004" s="3" t="s">
        <v>2276</v>
      </c>
      <c r="N1004" s="3" t="s">
        <v>2276</v>
      </c>
      <c r="O1004" s="3" t="s">
        <v>2276</v>
      </c>
      <c r="P1004" s="3" t="s">
        <v>2276</v>
      </c>
      <c r="Q1004" s="3" t="s">
        <v>2276</v>
      </c>
      <c r="R1004" s="3" t="s">
        <v>2276</v>
      </c>
      <c r="S1004" s="3" t="s">
        <v>2276</v>
      </c>
      <c r="T1004" s="3" t="s">
        <v>2276</v>
      </c>
      <c r="U1004" s="3" t="s">
        <v>2276</v>
      </c>
      <c r="V1004" s="3" t="s">
        <v>2276</v>
      </c>
      <c r="W1004" s="3" t="s">
        <v>2276</v>
      </c>
      <c r="X1004" s="3" t="s">
        <v>2276</v>
      </c>
      <c r="Y1004" s="3" t="s">
        <v>2276</v>
      </c>
      <c r="Z1004" s="3" t="s">
        <v>2276</v>
      </c>
      <c r="AA1004" s="3" t="s">
        <v>2276</v>
      </c>
      <c r="AB1004" s="3" t="s">
        <v>2276</v>
      </c>
      <c r="AC1004" s="3"/>
      <c r="AD1004" s="3"/>
    </row>
    <row r="1005" spans="1:30" ht="40" customHeight="1">
      <c r="A1005" s="23" t="s">
        <v>3129</v>
      </c>
      <c r="B1005" s="23" t="s">
        <v>3160</v>
      </c>
      <c r="C1005" s="3" t="s">
        <v>24</v>
      </c>
      <c r="D1005" s="3" t="s">
        <v>1242</v>
      </c>
      <c r="E1005" s="3" t="s">
        <v>116</v>
      </c>
      <c r="F1005" s="4" t="s">
        <v>2662</v>
      </c>
      <c r="G1005" s="3" t="s">
        <v>2276</v>
      </c>
      <c r="H1005" s="3" t="s">
        <v>523</v>
      </c>
      <c r="I1005" s="3"/>
      <c r="J1005" s="3" t="s">
        <v>2276</v>
      </c>
      <c r="K1005" s="3" t="s">
        <v>2276</v>
      </c>
      <c r="L1005" s="3" t="s">
        <v>2276</v>
      </c>
      <c r="M1005" s="3" t="s">
        <v>2276</v>
      </c>
      <c r="N1005" s="3" t="s">
        <v>2276</v>
      </c>
      <c r="O1005" s="3" t="s">
        <v>2276</v>
      </c>
      <c r="P1005" s="3" t="s">
        <v>2276</v>
      </c>
      <c r="Q1005" s="3" t="s">
        <v>2276</v>
      </c>
      <c r="R1005" s="3" t="s">
        <v>2276</v>
      </c>
      <c r="S1005" s="3" t="s">
        <v>2276</v>
      </c>
      <c r="T1005" s="3" t="s">
        <v>2276</v>
      </c>
      <c r="U1005" s="3" t="s">
        <v>2276</v>
      </c>
      <c r="V1005" s="3" t="s">
        <v>2276</v>
      </c>
      <c r="W1005" s="3" t="s">
        <v>2276</v>
      </c>
      <c r="X1005" s="3" t="s">
        <v>2276</v>
      </c>
      <c r="Y1005" s="3" t="s">
        <v>2276</v>
      </c>
      <c r="Z1005" s="3" t="s">
        <v>2276</v>
      </c>
      <c r="AA1005" s="3" t="s">
        <v>2276</v>
      </c>
      <c r="AB1005" s="3" t="s">
        <v>2276</v>
      </c>
      <c r="AC1005" s="3"/>
      <c r="AD1005" s="3"/>
    </row>
    <row r="1006" spans="1:30" ht="40" customHeight="1">
      <c r="A1006" s="23" t="s">
        <v>3129</v>
      </c>
      <c r="B1006" s="23" t="s">
        <v>3161</v>
      </c>
      <c r="C1006" s="3" t="s">
        <v>24</v>
      </c>
      <c r="D1006" s="3" t="s">
        <v>1242</v>
      </c>
      <c r="E1006" s="3" t="s">
        <v>130</v>
      </c>
      <c r="F1006" s="4" t="s">
        <v>2662</v>
      </c>
      <c r="G1006" s="3" t="s">
        <v>2276</v>
      </c>
      <c r="H1006" s="3" t="s">
        <v>523</v>
      </c>
      <c r="I1006" s="3"/>
      <c r="J1006" s="3" t="s">
        <v>2276</v>
      </c>
      <c r="K1006" s="3" t="s">
        <v>2276</v>
      </c>
      <c r="L1006" s="3" t="s">
        <v>2276</v>
      </c>
      <c r="M1006" s="3" t="s">
        <v>2276</v>
      </c>
      <c r="N1006" s="3" t="s">
        <v>2276</v>
      </c>
      <c r="O1006" s="3" t="s">
        <v>2276</v>
      </c>
      <c r="P1006" s="3" t="s">
        <v>2276</v>
      </c>
      <c r="Q1006" s="3" t="s">
        <v>2276</v>
      </c>
      <c r="R1006" s="3" t="s">
        <v>2276</v>
      </c>
      <c r="S1006" s="3" t="s">
        <v>2276</v>
      </c>
      <c r="T1006" s="3" t="s">
        <v>2276</v>
      </c>
      <c r="U1006" s="3" t="s">
        <v>2276</v>
      </c>
      <c r="V1006" s="3" t="s">
        <v>2276</v>
      </c>
      <c r="W1006" s="3" t="s">
        <v>2276</v>
      </c>
      <c r="X1006" s="3" t="s">
        <v>2276</v>
      </c>
      <c r="Y1006" s="3" t="s">
        <v>2276</v>
      </c>
      <c r="Z1006" s="3" t="s">
        <v>2276</v>
      </c>
      <c r="AA1006" s="3" t="s">
        <v>2276</v>
      </c>
      <c r="AB1006" s="3" t="s">
        <v>2276</v>
      </c>
      <c r="AC1006" s="3"/>
      <c r="AD1006" s="3"/>
    </row>
    <row r="1007" spans="1:30" ht="40" customHeight="1">
      <c r="A1007" s="23" t="s">
        <v>3129</v>
      </c>
      <c r="B1007" s="23" t="s">
        <v>3162</v>
      </c>
      <c r="C1007" s="3" t="s">
        <v>24</v>
      </c>
      <c r="D1007" s="3" t="s">
        <v>25</v>
      </c>
      <c r="E1007" s="3" t="s">
        <v>130</v>
      </c>
      <c r="F1007" s="4" t="s">
        <v>2662</v>
      </c>
      <c r="G1007" s="3" t="s">
        <v>2276</v>
      </c>
      <c r="H1007" s="3" t="s">
        <v>523</v>
      </c>
      <c r="I1007" s="3"/>
      <c r="J1007" s="3" t="s">
        <v>2276</v>
      </c>
      <c r="K1007" s="3" t="s">
        <v>2276</v>
      </c>
      <c r="L1007" s="3" t="s">
        <v>2276</v>
      </c>
      <c r="M1007" s="3" t="s">
        <v>2276</v>
      </c>
      <c r="N1007" s="3" t="s">
        <v>2276</v>
      </c>
      <c r="O1007" s="3" t="s">
        <v>2276</v>
      </c>
      <c r="P1007" s="3" t="s">
        <v>2276</v>
      </c>
      <c r="Q1007" s="3" t="s">
        <v>2276</v>
      </c>
      <c r="R1007" s="3" t="s">
        <v>2276</v>
      </c>
      <c r="S1007" s="3" t="s">
        <v>2276</v>
      </c>
      <c r="T1007" s="3" t="s">
        <v>2276</v>
      </c>
      <c r="U1007" s="3" t="s">
        <v>2276</v>
      </c>
      <c r="V1007" s="3" t="s">
        <v>2276</v>
      </c>
      <c r="W1007" s="3" t="s">
        <v>2276</v>
      </c>
      <c r="X1007" s="3" t="s">
        <v>2276</v>
      </c>
      <c r="Y1007" s="3" t="s">
        <v>2276</v>
      </c>
      <c r="Z1007" s="3" t="s">
        <v>2276</v>
      </c>
      <c r="AA1007" s="3" t="s">
        <v>2276</v>
      </c>
      <c r="AB1007" s="3" t="s">
        <v>2276</v>
      </c>
      <c r="AC1007" s="4" t="s">
        <v>3163</v>
      </c>
      <c r="AD1007" s="3"/>
    </row>
    <row r="1008" spans="1:30" ht="40" customHeight="1">
      <c r="A1008" s="23" t="s">
        <v>3130</v>
      </c>
      <c r="B1008" s="23" t="s">
        <v>3139</v>
      </c>
      <c r="C1008" s="3" t="s">
        <v>24</v>
      </c>
      <c r="D1008" s="3" t="s">
        <v>27</v>
      </c>
      <c r="E1008" s="3" t="s">
        <v>130</v>
      </c>
      <c r="F1008" s="4" t="s">
        <v>161</v>
      </c>
      <c r="G1008" s="3" t="s">
        <v>2276</v>
      </c>
      <c r="H1008" s="3" t="s">
        <v>523</v>
      </c>
      <c r="I1008" s="3"/>
      <c r="J1008" s="3" t="s">
        <v>2276</v>
      </c>
      <c r="K1008" s="3" t="s">
        <v>2276</v>
      </c>
      <c r="L1008" s="3" t="s">
        <v>2276</v>
      </c>
      <c r="M1008" s="3" t="s">
        <v>2276</v>
      </c>
      <c r="N1008" s="3" t="s">
        <v>2276</v>
      </c>
      <c r="O1008" s="3" t="s">
        <v>2276</v>
      </c>
      <c r="P1008" s="3" t="s">
        <v>2276</v>
      </c>
      <c r="Q1008" s="3" t="s">
        <v>2276</v>
      </c>
      <c r="R1008" s="3" t="s">
        <v>2276</v>
      </c>
      <c r="S1008" s="3" t="s">
        <v>2276</v>
      </c>
      <c r="T1008" s="3" t="s">
        <v>2276</v>
      </c>
      <c r="U1008" s="3" t="s">
        <v>2276</v>
      </c>
      <c r="V1008" s="3" t="s">
        <v>2276</v>
      </c>
      <c r="W1008" s="3" t="s">
        <v>2276</v>
      </c>
      <c r="X1008" s="3" t="s">
        <v>2276</v>
      </c>
      <c r="Y1008" s="3" t="s">
        <v>2276</v>
      </c>
      <c r="Z1008" s="3" t="s">
        <v>2276</v>
      </c>
      <c r="AA1008" s="3" t="s">
        <v>2276</v>
      </c>
      <c r="AB1008" s="3" t="s">
        <v>2276</v>
      </c>
      <c r="AC1008" s="3"/>
      <c r="AD1008" s="3" t="s">
        <v>3146</v>
      </c>
    </row>
    <row r="1009" spans="1:30" ht="40" customHeight="1">
      <c r="A1009" s="23" t="s">
        <v>3130</v>
      </c>
      <c r="B1009" s="23" t="s">
        <v>3164</v>
      </c>
      <c r="C1009" s="3" t="s">
        <v>24</v>
      </c>
      <c r="D1009" s="3" t="s">
        <v>1245</v>
      </c>
      <c r="E1009" s="3" t="s">
        <v>116</v>
      </c>
      <c r="F1009" s="4" t="s">
        <v>74</v>
      </c>
      <c r="G1009" s="3" t="s">
        <v>2276</v>
      </c>
      <c r="H1009" s="3" t="s">
        <v>523</v>
      </c>
      <c r="I1009" s="3"/>
      <c r="J1009" s="3" t="s">
        <v>2276</v>
      </c>
      <c r="K1009" s="3" t="s">
        <v>2276</v>
      </c>
      <c r="L1009" s="3" t="s">
        <v>2276</v>
      </c>
      <c r="M1009" s="3" t="s">
        <v>2276</v>
      </c>
      <c r="N1009" s="3" t="s">
        <v>2276</v>
      </c>
      <c r="O1009" s="3" t="s">
        <v>2276</v>
      </c>
      <c r="P1009" s="3" t="s">
        <v>2276</v>
      </c>
      <c r="Q1009" s="3" t="s">
        <v>2276</v>
      </c>
      <c r="R1009" s="3" t="s">
        <v>2276</v>
      </c>
      <c r="S1009" s="3" t="s">
        <v>2276</v>
      </c>
      <c r="T1009" s="3" t="s">
        <v>2276</v>
      </c>
      <c r="U1009" s="3" t="s">
        <v>2276</v>
      </c>
      <c r="V1009" s="3" t="s">
        <v>2276</v>
      </c>
      <c r="W1009" s="3" t="s">
        <v>2276</v>
      </c>
      <c r="X1009" s="3" t="s">
        <v>2276</v>
      </c>
      <c r="Y1009" s="3" t="s">
        <v>2276</v>
      </c>
      <c r="Z1009" s="3" t="s">
        <v>2276</v>
      </c>
      <c r="AA1009" s="3" t="s">
        <v>2276</v>
      </c>
      <c r="AB1009" s="3" t="s">
        <v>2276</v>
      </c>
      <c r="AC1009" s="3"/>
      <c r="AD1009" s="3"/>
    </row>
    <row r="1010" spans="1:30" ht="40" customHeight="1">
      <c r="A1010" s="23" t="s">
        <v>3130</v>
      </c>
      <c r="B1010" s="23" t="s">
        <v>3165</v>
      </c>
      <c r="C1010" s="3" t="s">
        <v>24</v>
      </c>
      <c r="D1010" s="3" t="s">
        <v>1245</v>
      </c>
      <c r="E1010" s="3" t="s">
        <v>116</v>
      </c>
      <c r="F1010" s="4" t="s">
        <v>2662</v>
      </c>
      <c r="G1010" s="3" t="s">
        <v>2276</v>
      </c>
      <c r="H1010" s="3" t="s">
        <v>523</v>
      </c>
      <c r="I1010" s="3"/>
      <c r="J1010" s="3" t="s">
        <v>2276</v>
      </c>
      <c r="K1010" s="3" t="s">
        <v>2276</v>
      </c>
      <c r="L1010" s="3" t="s">
        <v>2276</v>
      </c>
      <c r="M1010" s="3" t="s">
        <v>2276</v>
      </c>
      <c r="N1010" s="3" t="s">
        <v>2276</v>
      </c>
      <c r="O1010" s="3" t="s">
        <v>2276</v>
      </c>
      <c r="P1010" s="3" t="s">
        <v>2276</v>
      </c>
      <c r="Q1010" s="3" t="s">
        <v>2276</v>
      </c>
      <c r="R1010" s="3" t="s">
        <v>2276</v>
      </c>
      <c r="S1010" s="3" t="s">
        <v>2276</v>
      </c>
      <c r="T1010" s="3" t="s">
        <v>2276</v>
      </c>
      <c r="U1010" s="3" t="s">
        <v>2276</v>
      </c>
      <c r="V1010" s="3" t="s">
        <v>2276</v>
      </c>
      <c r="W1010" s="3" t="s">
        <v>2276</v>
      </c>
      <c r="X1010" s="3" t="s">
        <v>2276</v>
      </c>
      <c r="Y1010" s="3" t="s">
        <v>2276</v>
      </c>
      <c r="Z1010" s="3" t="s">
        <v>2276</v>
      </c>
      <c r="AA1010" s="3" t="s">
        <v>2276</v>
      </c>
      <c r="AB1010" s="3" t="s">
        <v>2276</v>
      </c>
      <c r="AC1010" s="3"/>
      <c r="AD1010" s="3"/>
    </row>
    <row r="1011" spans="1:30" ht="40" customHeight="1">
      <c r="A1011" s="23" t="s">
        <v>3130</v>
      </c>
      <c r="B1011" s="23" t="s">
        <v>3166</v>
      </c>
      <c r="C1011" s="3" t="s">
        <v>24</v>
      </c>
      <c r="D1011" s="3" t="s">
        <v>2305</v>
      </c>
      <c r="E1011" s="3" t="s">
        <v>116</v>
      </c>
      <c r="F1011" s="4" t="s">
        <v>2276</v>
      </c>
      <c r="G1011" s="3" t="s">
        <v>2276</v>
      </c>
      <c r="H1011" s="3" t="s">
        <v>523</v>
      </c>
      <c r="I1011" s="3"/>
      <c r="J1011" s="3" t="s">
        <v>2276</v>
      </c>
      <c r="K1011" s="3" t="s">
        <v>2276</v>
      </c>
      <c r="L1011" s="3" t="s">
        <v>2276</v>
      </c>
      <c r="M1011" s="3" t="s">
        <v>2276</v>
      </c>
      <c r="N1011" s="3" t="s">
        <v>2276</v>
      </c>
      <c r="O1011" s="3" t="s">
        <v>2276</v>
      </c>
      <c r="P1011" s="3" t="s">
        <v>2276</v>
      </c>
      <c r="Q1011" s="3" t="s">
        <v>2276</v>
      </c>
      <c r="R1011" s="3" t="s">
        <v>2276</v>
      </c>
      <c r="S1011" s="3" t="s">
        <v>2276</v>
      </c>
      <c r="T1011" s="3" t="s">
        <v>2276</v>
      </c>
      <c r="U1011" s="3" t="s">
        <v>2276</v>
      </c>
      <c r="V1011" s="3" t="s">
        <v>2276</v>
      </c>
      <c r="W1011" s="3" t="s">
        <v>2276</v>
      </c>
      <c r="X1011" s="3" t="s">
        <v>2276</v>
      </c>
      <c r="Y1011" s="3" t="s">
        <v>2276</v>
      </c>
      <c r="Z1011" s="3" t="s">
        <v>2276</v>
      </c>
      <c r="AA1011" s="3" t="s">
        <v>2276</v>
      </c>
      <c r="AB1011" s="3" t="s">
        <v>2276</v>
      </c>
      <c r="AC1011" s="4" t="s">
        <v>3159</v>
      </c>
      <c r="AD1011" s="3"/>
    </row>
    <row r="1012" spans="1:30" ht="40" customHeight="1">
      <c r="A1012" s="23" t="s">
        <v>3130</v>
      </c>
      <c r="B1012" s="23" t="s">
        <v>3167</v>
      </c>
      <c r="C1012" s="3" t="s">
        <v>24</v>
      </c>
      <c r="D1012" s="3" t="s">
        <v>26</v>
      </c>
      <c r="E1012" s="3" t="s">
        <v>116</v>
      </c>
      <c r="F1012" s="4" t="s">
        <v>2276</v>
      </c>
      <c r="G1012" s="3" t="s">
        <v>2276</v>
      </c>
      <c r="H1012" s="3" t="s">
        <v>523</v>
      </c>
      <c r="I1012" s="3"/>
      <c r="J1012" s="3" t="s">
        <v>2276</v>
      </c>
      <c r="K1012" s="3" t="s">
        <v>2276</v>
      </c>
      <c r="L1012" s="3" t="s">
        <v>2276</v>
      </c>
      <c r="M1012" s="3" t="s">
        <v>2276</v>
      </c>
      <c r="N1012" s="3" t="s">
        <v>2276</v>
      </c>
      <c r="O1012" s="3" t="s">
        <v>2276</v>
      </c>
      <c r="P1012" s="3" t="s">
        <v>2276</v>
      </c>
      <c r="Q1012" s="3" t="s">
        <v>2276</v>
      </c>
      <c r="R1012" s="3" t="s">
        <v>2276</v>
      </c>
      <c r="S1012" s="3" t="s">
        <v>2276</v>
      </c>
      <c r="T1012" s="3" t="s">
        <v>2276</v>
      </c>
      <c r="U1012" s="3" t="s">
        <v>2276</v>
      </c>
      <c r="V1012" s="3" t="s">
        <v>2276</v>
      </c>
      <c r="W1012" s="3" t="s">
        <v>2276</v>
      </c>
      <c r="X1012" s="3" t="s">
        <v>2276</v>
      </c>
      <c r="Y1012" s="3" t="s">
        <v>2276</v>
      </c>
      <c r="Z1012" s="3" t="s">
        <v>2276</v>
      </c>
      <c r="AA1012" s="3" t="s">
        <v>2276</v>
      </c>
      <c r="AB1012" s="3" t="s">
        <v>2276</v>
      </c>
      <c r="AC1012" s="3"/>
      <c r="AD1012" s="3"/>
    </row>
    <row r="1013" spans="1:30" ht="40" customHeight="1">
      <c r="A1013" s="23" t="s">
        <v>3130</v>
      </c>
      <c r="B1013" s="23" t="s">
        <v>3168</v>
      </c>
      <c r="C1013" s="3" t="s">
        <v>24</v>
      </c>
      <c r="D1013" s="3" t="s">
        <v>2341</v>
      </c>
      <c r="E1013" s="3" t="s">
        <v>116</v>
      </c>
      <c r="F1013" s="4" t="s">
        <v>2276</v>
      </c>
      <c r="G1013" s="3" t="s">
        <v>2276</v>
      </c>
      <c r="H1013" s="3" t="s">
        <v>523</v>
      </c>
      <c r="I1013" s="3"/>
      <c r="J1013" s="3" t="s">
        <v>2276</v>
      </c>
      <c r="K1013" s="3" t="s">
        <v>2276</v>
      </c>
      <c r="L1013" s="3" t="s">
        <v>2276</v>
      </c>
      <c r="M1013" s="3" t="s">
        <v>2276</v>
      </c>
      <c r="N1013" s="3" t="s">
        <v>2276</v>
      </c>
      <c r="O1013" s="3" t="s">
        <v>2276</v>
      </c>
      <c r="P1013" s="3" t="s">
        <v>2276</v>
      </c>
      <c r="Q1013" s="3" t="s">
        <v>2276</v>
      </c>
      <c r="R1013" s="3" t="s">
        <v>2276</v>
      </c>
      <c r="S1013" s="3" t="s">
        <v>2276</v>
      </c>
      <c r="T1013" s="3" t="s">
        <v>2276</v>
      </c>
      <c r="U1013" s="3" t="s">
        <v>2276</v>
      </c>
      <c r="V1013" s="3" t="s">
        <v>2276</v>
      </c>
      <c r="W1013" s="3" t="s">
        <v>2276</v>
      </c>
      <c r="X1013" s="3" t="s">
        <v>2276</v>
      </c>
      <c r="Y1013" s="3" t="s">
        <v>2276</v>
      </c>
      <c r="Z1013" s="3" t="s">
        <v>2276</v>
      </c>
      <c r="AA1013" s="3" t="s">
        <v>2276</v>
      </c>
      <c r="AB1013" s="3" t="s">
        <v>2276</v>
      </c>
      <c r="AC1013" s="3"/>
      <c r="AD1013" s="3"/>
    </row>
    <row r="1014" spans="1:30" ht="40" customHeight="1">
      <c r="A1014" s="23" t="s">
        <v>3130</v>
      </c>
      <c r="B1014" s="23" t="s">
        <v>3169</v>
      </c>
      <c r="C1014" s="3" t="s">
        <v>24</v>
      </c>
      <c r="D1014" s="3" t="s">
        <v>406</v>
      </c>
      <c r="E1014" s="3" t="s">
        <v>116</v>
      </c>
      <c r="F1014" s="4" t="s">
        <v>2276</v>
      </c>
      <c r="G1014" s="3" t="s">
        <v>2276</v>
      </c>
      <c r="H1014" s="3" t="s">
        <v>523</v>
      </c>
      <c r="I1014" s="3"/>
      <c r="J1014" s="3" t="s">
        <v>2276</v>
      </c>
      <c r="K1014" s="3" t="s">
        <v>2276</v>
      </c>
      <c r="L1014" s="3" t="s">
        <v>2276</v>
      </c>
      <c r="M1014" s="3" t="s">
        <v>2276</v>
      </c>
      <c r="N1014" s="3" t="s">
        <v>2276</v>
      </c>
      <c r="O1014" s="3" t="s">
        <v>2276</v>
      </c>
      <c r="P1014" s="3" t="s">
        <v>2276</v>
      </c>
      <c r="Q1014" s="3" t="s">
        <v>2276</v>
      </c>
      <c r="R1014" s="3" t="s">
        <v>2276</v>
      </c>
      <c r="S1014" s="3" t="s">
        <v>2276</v>
      </c>
      <c r="T1014" s="3" t="s">
        <v>2276</v>
      </c>
      <c r="U1014" s="3" t="s">
        <v>2276</v>
      </c>
      <c r="V1014" s="3" t="s">
        <v>2276</v>
      </c>
      <c r="W1014" s="3" t="s">
        <v>2276</v>
      </c>
      <c r="X1014" s="3" t="s">
        <v>2276</v>
      </c>
      <c r="Y1014" s="3" t="s">
        <v>2276</v>
      </c>
      <c r="Z1014" s="3" t="s">
        <v>2276</v>
      </c>
      <c r="AA1014" s="3" t="s">
        <v>2276</v>
      </c>
      <c r="AB1014" s="3" t="s">
        <v>2276</v>
      </c>
      <c r="AC1014" s="3"/>
      <c r="AD1014" s="3"/>
    </row>
    <row r="1015" spans="1:30" ht="40" customHeight="1">
      <c r="A1015" s="23" t="s">
        <v>3130</v>
      </c>
      <c r="B1015" s="23" t="s">
        <v>3170</v>
      </c>
      <c r="C1015" s="3" t="s">
        <v>24</v>
      </c>
      <c r="D1015" s="3" t="s">
        <v>2994</v>
      </c>
      <c r="E1015" s="3" t="s">
        <v>116</v>
      </c>
      <c r="F1015" s="4" t="s">
        <v>2276</v>
      </c>
      <c r="G1015" s="3" t="s">
        <v>2276</v>
      </c>
      <c r="H1015" s="3" t="s">
        <v>523</v>
      </c>
      <c r="I1015" s="3"/>
      <c r="J1015" s="3" t="s">
        <v>2276</v>
      </c>
      <c r="K1015" s="3" t="s">
        <v>2276</v>
      </c>
      <c r="L1015" s="3" t="s">
        <v>2276</v>
      </c>
      <c r="M1015" s="3" t="s">
        <v>2276</v>
      </c>
      <c r="N1015" s="3" t="s">
        <v>2276</v>
      </c>
      <c r="O1015" s="3" t="s">
        <v>2276</v>
      </c>
      <c r="P1015" s="3" t="s">
        <v>2276</v>
      </c>
      <c r="Q1015" s="3" t="s">
        <v>2276</v>
      </c>
      <c r="R1015" s="3" t="s">
        <v>2276</v>
      </c>
      <c r="S1015" s="3" t="s">
        <v>2276</v>
      </c>
      <c r="T1015" s="3" t="s">
        <v>2276</v>
      </c>
      <c r="U1015" s="3" t="s">
        <v>2276</v>
      </c>
      <c r="V1015" s="3" t="s">
        <v>2276</v>
      </c>
      <c r="W1015" s="3" t="s">
        <v>2276</v>
      </c>
      <c r="X1015" s="3" t="s">
        <v>2276</v>
      </c>
      <c r="Y1015" s="3" t="s">
        <v>2276</v>
      </c>
      <c r="Z1015" s="3" t="s">
        <v>2276</v>
      </c>
      <c r="AA1015" s="3" t="s">
        <v>2276</v>
      </c>
      <c r="AB1015" s="3" t="s">
        <v>2276</v>
      </c>
      <c r="AC1015" s="3"/>
      <c r="AD1015" s="3"/>
    </row>
    <row r="1016" spans="1:30" ht="40" customHeight="1">
      <c r="A1016" s="23" t="s">
        <v>3130</v>
      </c>
      <c r="B1016" s="23" t="s">
        <v>3171</v>
      </c>
      <c r="C1016" s="3" t="s">
        <v>24</v>
      </c>
      <c r="D1016" s="3" t="s">
        <v>26</v>
      </c>
      <c r="E1016" s="3" t="s">
        <v>130</v>
      </c>
      <c r="F1016" s="4" t="s">
        <v>2276</v>
      </c>
      <c r="G1016" s="3" t="s">
        <v>2276</v>
      </c>
      <c r="H1016" s="3" t="s">
        <v>523</v>
      </c>
      <c r="I1016" s="3"/>
      <c r="J1016" s="3" t="s">
        <v>2276</v>
      </c>
      <c r="K1016" s="3" t="s">
        <v>2276</v>
      </c>
      <c r="L1016" s="3" t="s">
        <v>2276</v>
      </c>
      <c r="M1016" s="3" t="s">
        <v>2276</v>
      </c>
      <c r="N1016" s="3" t="s">
        <v>2276</v>
      </c>
      <c r="O1016" s="3" t="s">
        <v>2276</v>
      </c>
      <c r="P1016" s="3" t="s">
        <v>2276</v>
      </c>
      <c r="Q1016" s="3" t="s">
        <v>2276</v>
      </c>
      <c r="R1016" s="3" t="s">
        <v>2276</v>
      </c>
      <c r="S1016" s="3" t="s">
        <v>2276</v>
      </c>
      <c r="T1016" s="3" t="s">
        <v>2276</v>
      </c>
      <c r="U1016" s="3" t="s">
        <v>2276</v>
      </c>
      <c r="V1016" s="3" t="s">
        <v>2276</v>
      </c>
      <c r="W1016" s="3" t="s">
        <v>2276</v>
      </c>
      <c r="X1016" s="3" t="s">
        <v>2276</v>
      </c>
      <c r="Y1016" s="3" t="s">
        <v>2276</v>
      </c>
      <c r="Z1016" s="3" t="s">
        <v>2276</v>
      </c>
      <c r="AA1016" s="3" t="s">
        <v>2276</v>
      </c>
      <c r="AB1016" s="3" t="s">
        <v>2276</v>
      </c>
      <c r="AC1016" s="3"/>
      <c r="AD1016" s="3"/>
    </row>
    <row r="1017" spans="1:30" ht="40" customHeight="1">
      <c r="A1017" s="23" t="s">
        <v>3130</v>
      </c>
      <c r="B1017" s="23" t="s">
        <v>3172</v>
      </c>
      <c r="C1017" s="3" t="s">
        <v>24</v>
      </c>
      <c r="D1017" s="3" t="s">
        <v>2341</v>
      </c>
      <c r="E1017" s="3" t="s">
        <v>130</v>
      </c>
      <c r="F1017" s="4" t="s">
        <v>2276</v>
      </c>
      <c r="G1017" s="3" t="s">
        <v>2276</v>
      </c>
      <c r="H1017" s="3" t="s">
        <v>523</v>
      </c>
      <c r="I1017" s="3"/>
      <c r="J1017" s="3" t="s">
        <v>2276</v>
      </c>
      <c r="K1017" s="3" t="s">
        <v>2276</v>
      </c>
      <c r="L1017" s="3" t="s">
        <v>2276</v>
      </c>
      <c r="M1017" s="3" t="s">
        <v>2276</v>
      </c>
      <c r="N1017" s="3" t="s">
        <v>2276</v>
      </c>
      <c r="O1017" s="3" t="s">
        <v>2276</v>
      </c>
      <c r="P1017" s="3" t="s">
        <v>2276</v>
      </c>
      <c r="Q1017" s="3" t="s">
        <v>2276</v>
      </c>
      <c r="R1017" s="3" t="s">
        <v>2276</v>
      </c>
      <c r="S1017" s="3" t="s">
        <v>2276</v>
      </c>
      <c r="T1017" s="3" t="s">
        <v>2276</v>
      </c>
      <c r="U1017" s="3" t="s">
        <v>2276</v>
      </c>
      <c r="V1017" s="3" t="s">
        <v>2276</v>
      </c>
      <c r="W1017" s="3" t="s">
        <v>2276</v>
      </c>
      <c r="X1017" s="3" t="s">
        <v>2276</v>
      </c>
      <c r="Y1017" s="3" t="s">
        <v>2276</v>
      </c>
      <c r="Z1017" s="3" t="s">
        <v>2276</v>
      </c>
      <c r="AA1017" s="3" t="s">
        <v>2276</v>
      </c>
      <c r="AB1017" s="3" t="s">
        <v>2276</v>
      </c>
      <c r="AC1017" s="3"/>
      <c r="AD1017" s="3"/>
    </row>
    <row r="1018" spans="1:30" ht="40" customHeight="1">
      <c r="A1018" s="23" t="s">
        <v>3130</v>
      </c>
      <c r="B1018" s="23" t="s">
        <v>3173</v>
      </c>
      <c r="C1018" s="3" t="s">
        <v>24</v>
      </c>
      <c r="D1018" s="3" t="s">
        <v>406</v>
      </c>
      <c r="E1018" s="3" t="s">
        <v>130</v>
      </c>
      <c r="F1018" s="4" t="s">
        <v>2276</v>
      </c>
      <c r="G1018" s="3" t="s">
        <v>2276</v>
      </c>
      <c r="H1018" s="3" t="s">
        <v>523</v>
      </c>
      <c r="I1018" s="3"/>
      <c r="J1018" s="3" t="s">
        <v>2276</v>
      </c>
      <c r="K1018" s="3" t="s">
        <v>2276</v>
      </c>
      <c r="L1018" s="3" t="s">
        <v>2276</v>
      </c>
      <c r="M1018" s="3" t="s">
        <v>2276</v>
      </c>
      <c r="N1018" s="3" t="s">
        <v>2276</v>
      </c>
      <c r="O1018" s="3" t="s">
        <v>2276</v>
      </c>
      <c r="P1018" s="3" t="s">
        <v>2276</v>
      </c>
      <c r="Q1018" s="3" t="s">
        <v>2276</v>
      </c>
      <c r="R1018" s="3" t="s">
        <v>2276</v>
      </c>
      <c r="S1018" s="3" t="s">
        <v>2276</v>
      </c>
      <c r="T1018" s="3" t="s">
        <v>2276</v>
      </c>
      <c r="U1018" s="3" t="s">
        <v>2276</v>
      </c>
      <c r="V1018" s="3" t="s">
        <v>2276</v>
      </c>
      <c r="W1018" s="3" t="s">
        <v>2276</v>
      </c>
      <c r="X1018" s="3" t="s">
        <v>2276</v>
      </c>
      <c r="Y1018" s="3" t="s">
        <v>2276</v>
      </c>
      <c r="Z1018" s="3" t="s">
        <v>2276</v>
      </c>
      <c r="AA1018" s="3" t="s">
        <v>2276</v>
      </c>
      <c r="AB1018" s="3" t="s">
        <v>2276</v>
      </c>
      <c r="AC1018" s="3"/>
      <c r="AD1018" s="3"/>
    </row>
    <row r="1019" spans="1:30" ht="40" customHeight="1">
      <c r="A1019" s="23" t="s">
        <v>3130</v>
      </c>
      <c r="B1019" s="23" t="s">
        <v>3174</v>
      </c>
      <c r="C1019" s="38" t="s">
        <v>24</v>
      </c>
      <c r="D1019" s="38" t="s">
        <v>2994</v>
      </c>
      <c r="E1019" s="38" t="s">
        <v>130</v>
      </c>
      <c r="F1019" s="168" t="s">
        <v>2276</v>
      </c>
      <c r="G1019" s="3" t="s">
        <v>2276</v>
      </c>
      <c r="H1019" s="38" t="s">
        <v>523</v>
      </c>
      <c r="I1019" s="3"/>
      <c r="J1019" s="3" t="s">
        <v>2276</v>
      </c>
      <c r="K1019" s="3" t="s">
        <v>2276</v>
      </c>
      <c r="L1019" s="3" t="s">
        <v>2276</v>
      </c>
      <c r="M1019" s="3" t="s">
        <v>2276</v>
      </c>
      <c r="N1019" s="3" t="s">
        <v>2276</v>
      </c>
      <c r="O1019" s="3" t="s">
        <v>2276</v>
      </c>
      <c r="P1019" s="3" t="s">
        <v>2276</v>
      </c>
      <c r="Q1019" s="3" t="s">
        <v>2276</v>
      </c>
      <c r="R1019" s="3" t="s">
        <v>2276</v>
      </c>
      <c r="S1019" s="3" t="s">
        <v>2276</v>
      </c>
      <c r="T1019" s="3" t="s">
        <v>2276</v>
      </c>
      <c r="U1019" s="3" t="s">
        <v>2276</v>
      </c>
      <c r="V1019" s="3" t="s">
        <v>2276</v>
      </c>
      <c r="W1019" s="3" t="s">
        <v>2276</v>
      </c>
      <c r="X1019" s="3" t="s">
        <v>2276</v>
      </c>
      <c r="Y1019" s="3" t="s">
        <v>2276</v>
      </c>
      <c r="Z1019" s="3" t="s">
        <v>2276</v>
      </c>
      <c r="AA1019" s="3" t="s">
        <v>2276</v>
      </c>
      <c r="AB1019" s="3" t="s">
        <v>2276</v>
      </c>
      <c r="AC1019" s="3"/>
      <c r="AD1019" s="3"/>
    </row>
    <row r="1020" spans="1:30" ht="40" customHeight="1">
      <c r="A1020" s="23" t="s">
        <v>3130</v>
      </c>
      <c r="B1020" s="23" t="s">
        <v>3175</v>
      </c>
      <c r="C1020" s="3" t="s">
        <v>31</v>
      </c>
      <c r="D1020" s="3" t="s">
        <v>2276</v>
      </c>
      <c r="E1020" s="3" t="s">
        <v>2652</v>
      </c>
      <c r="F1020" s="4" t="s">
        <v>2276</v>
      </c>
      <c r="G1020" s="3" t="s">
        <v>2276</v>
      </c>
      <c r="H1020" s="3" t="s">
        <v>523</v>
      </c>
      <c r="I1020" s="3"/>
      <c r="J1020" s="3" t="s">
        <v>2276</v>
      </c>
      <c r="K1020" s="3" t="s">
        <v>2276</v>
      </c>
      <c r="L1020" s="3" t="s">
        <v>2276</v>
      </c>
      <c r="M1020" s="3" t="s">
        <v>2276</v>
      </c>
      <c r="N1020" s="3" t="s">
        <v>2276</v>
      </c>
      <c r="O1020" s="3" t="s">
        <v>2276</v>
      </c>
      <c r="P1020" s="3" t="s">
        <v>2276</v>
      </c>
      <c r="Q1020" s="3" t="s">
        <v>2276</v>
      </c>
      <c r="R1020" s="3" t="s">
        <v>2276</v>
      </c>
      <c r="S1020" s="3" t="s">
        <v>2276</v>
      </c>
      <c r="T1020" s="3" t="s">
        <v>2276</v>
      </c>
      <c r="U1020" s="3" t="s">
        <v>2276</v>
      </c>
      <c r="V1020" s="3" t="s">
        <v>2276</v>
      </c>
      <c r="W1020" s="3" t="s">
        <v>2276</v>
      </c>
      <c r="X1020" s="3" t="s">
        <v>2276</v>
      </c>
      <c r="Y1020" s="3" t="s">
        <v>2276</v>
      </c>
      <c r="Z1020" s="3" t="s">
        <v>2276</v>
      </c>
      <c r="AA1020" s="3" t="s">
        <v>2276</v>
      </c>
      <c r="AB1020" s="3" t="s">
        <v>2276</v>
      </c>
      <c r="AC1020" s="3"/>
      <c r="AD1020" s="3"/>
    </row>
    <row r="1021" spans="1:30" ht="40" customHeight="1">
      <c r="A1021" s="23" t="s">
        <v>3130</v>
      </c>
      <c r="B1021" s="23" t="s">
        <v>3176</v>
      </c>
      <c r="C1021" s="3" t="s">
        <v>24</v>
      </c>
      <c r="D1021" s="3" t="s">
        <v>1242</v>
      </c>
      <c r="E1021" s="3" t="s">
        <v>116</v>
      </c>
      <c r="F1021" s="4" t="s">
        <v>2662</v>
      </c>
      <c r="G1021" s="3" t="s">
        <v>2276</v>
      </c>
      <c r="H1021" s="3" t="s">
        <v>523</v>
      </c>
      <c r="I1021" s="3"/>
      <c r="J1021" s="3" t="s">
        <v>2276</v>
      </c>
      <c r="K1021" s="3" t="s">
        <v>2276</v>
      </c>
      <c r="L1021" s="3" t="s">
        <v>2276</v>
      </c>
      <c r="M1021" s="3" t="s">
        <v>2276</v>
      </c>
      <c r="N1021" s="3" t="s">
        <v>2276</v>
      </c>
      <c r="O1021" s="3" t="s">
        <v>2276</v>
      </c>
      <c r="P1021" s="3" t="s">
        <v>2276</v>
      </c>
      <c r="Q1021" s="3" t="s">
        <v>2276</v>
      </c>
      <c r="R1021" s="3" t="s">
        <v>2276</v>
      </c>
      <c r="S1021" s="3" t="s">
        <v>2276</v>
      </c>
      <c r="T1021" s="3" t="s">
        <v>2276</v>
      </c>
      <c r="U1021" s="3" t="s">
        <v>2276</v>
      </c>
      <c r="V1021" s="3" t="s">
        <v>2276</v>
      </c>
      <c r="W1021" s="3" t="s">
        <v>2276</v>
      </c>
      <c r="X1021" s="3" t="s">
        <v>2276</v>
      </c>
      <c r="Y1021" s="3" t="s">
        <v>2276</v>
      </c>
      <c r="Z1021" s="3" t="s">
        <v>2276</v>
      </c>
      <c r="AA1021" s="3" t="s">
        <v>2276</v>
      </c>
      <c r="AB1021" s="3" t="s">
        <v>2276</v>
      </c>
      <c r="AC1021" s="3"/>
      <c r="AD1021" s="3"/>
    </row>
    <row r="1022" spans="1:30" ht="40" customHeight="1">
      <c r="A1022" s="23" t="s">
        <v>3130</v>
      </c>
      <c r="B1022" s="23" t="s">
        <v>3177</v>
      </c>
      <c r="C1022" s="3" t="s">
        <v>24</v>
      </c>
      <c r="D1022" s="3" t="s">
        <v>1242</v>
      </c>
      <c r="E1022" s="3" t="s">
        <v>130</v>
      </c>
      <c r="F1022" s="4" t="s">
        <v>2662</v>
      </c>
      <c r="G1022" s="3" t="s">
        <v>2276</v>
      </c>
      <c r="H1022" s="3" t="s">
        <v>523</v>
      </c>
      <c r="I1022" s="3"/>
      <c r="J1022" s="3" t="s">
        <v>2276</v>
      </c>
      <c r="K1022" s="3" t="s">
        <v>2276</v>
      </c>
      <c r="L1022" s="3" t="s">
        <v>2276</v>
      </c>
      <c r="M1022" s="3" t="s">
        <v>2276</v>
      </c>
      <c r="N1022" s="3" t="s">
        <v>2276</v>
      </c>
      <c r="O1022" s="3" t="s">
        <v>2276</v>
      </c>
      <c r="P1022" s="3" t="s">
        <v>2276</v>
      </c>
      <c r="Q1022" s="3" t="s">
        <v>2276</v>
      </c>
      <c r="R1022" s="3" t="s">
        <v>2276</v>
      </c>
      <c r="S1022" s="3" t="s">
        <v>2276</v>
      </c>
      <c r="T1022" s="3" t="s">
        <v>2276</v>
      </c>
      <c r="U1022" s="3" t="s">
        <v>2276</v>
      </c>
      <c r="V1022" s="3" t="s">
        <v>2276</v>
      </c>
      <c r="W1022" s="3" t="s">
        <v>2276</v>
      </c>
      <c r="X1022" s="3" t="s">
        <v>2276</v>
      </c>
      <c r="Y1022" s="3" t="s">
        <v>2276</v>
      </c>
      <c r="Z1022" s="3" t="s">
        <v>2276</v>
      </c>
      <c r="AA1022" s="3" t="s">
        <v>2276</v>
      </c>
      <c r="AB1022" s="3" t="s">
        <v>2276</v>
      </c>
      <c r="AC1022" s="3"/>
      <c r="AD1022" s="3"/>
    </row>
    <row r="1023" spans="1:30" ht="40" customHeight="1">
      <c r="A1023" s="23" t="s">
        <v>3130</v>
      </c>
      <c r="B1023" s="23" t="s">
        <v>3178</v>
      </c>
      <c r="C1023" s="3" t="s">
        <v>24</v>
      </c>
      <c r="D1023" s="3" t="s">
        <v>25</v>
      </c>
      <c r="E1023" s="3" t="s">
        <v>130</v>
      </c>
      <c r="F1023" s="4" t="s">
        <v>2662</v>
      </c>
      <c r="G1023" s="3" t="s">
        <v>2276</v>
      </c>
      <c r="H1023" s="3" t="s">
        <v>523</v>
      </c>
      <c r="I1023" s="3"/>
      <c r="J1023" s="3" t="s">
        <v>2276</v>
      </c>
      <c r="K1023" s="3" t="s">
        <v>2276</v>
      </c>
      <c r="L1023" s="3" t="s">
        <v>2276</v>
      </c>
      <c r="M1023" s="3" t="s">
        <v>2276</v>
      </c>
      <c r="N1023" s="3" t="s">
        <v>2276</v>
      </c>
      <c r="O1023" s="3" t="s">
        <v>2276</v>
      </c>
      <c r="P1023" s="3" t="s">
        <v>2276</v>
      </c>
      <c r="Q1023" s="3" t="s">
        <v>2276</v>
      </c>
      <c r="R1023" s="3" t="s">
        <v>2276</v>
      </c>
      <c r="S1023" s="3" t="s">
        <v>2276</v>
      </c>
      <c r="T1023" s="3" t="s">
        <v>2276</v>
      </c>
      <c r="U1023" s="3" t="s">
        <v>2276</v>
      </c>
      <c r="V1023" s="3" t="s">
        <v>2276</v>
      </c>
      <c r="W1023" s="3" t="s">
        <v>2276</v>
      </c>
      <c r="X1023" s="3" t="s">
        <v>2276</v>
      </c>
      <c r="Y1023" s="3" t="s">
        <v>2276</v>
      </c>
      <c r="Z1023" s="3" t="s">
        <v>2276</v>
      </c>
      <c r="AA1023" s="3" t="s">
        <v>2276</v>
      </c>
      <c r="AB1023" s="3" t="s">
        <v>2276</v>
      </c>
      <c r="AC1023" s="4" t="s">
        <v>3163</v>
      </c>
      <c r="AD1023" s="3"/>
    </row>
    <row r="1024" spans="1:30" ht="40" customHeight="1">
      <c r="A1024" s="23" t="s">
        <v>3131</v>
      </c>
      <c r="B1024" s="23" t="s">
        <v>3140</v>
      </c>
      <c r="C1024" s="3" t="s">
        <v>24</v>
      </c>
      <c r="D1024" s="3" t="s">
        <v>27</v>
      </c>
      <c r="E1024" s="3" t="s">
        <v>130</v>
      </c>
      <c r="F1024" s="4" t="s">
        <v>161</v>
      </c>
      <c r="G1024" s="3" t="s">
        <v>2276</v>
      </c>
      <c r="H1024" s="3" t="s">
        <v>523</v>
      </c>
      <c r="I1024" s="3"/>
      <c r="J1024" s="3" t="s">
        <v>2276</v>
      </c>
      <c r="K1024" s="3" t="s">
        <v>2276</v>
      </c>
      <c r="L1024" s="3" t="s">
        <v>2276</v>
      </c>
      <c r="M1024" s="3" t="s">
        <v>2276</v>
      </c>
      <c r="N1024" s="3" t="s">
        <v>2276</v>
      </c>
      <c r="O1024" s="3" t="s">
        <v>2276</v>
      </c>
      <c r="P1024" s="3" t="s">
        <v>2276</v>
      </c>
      <c r="Q1024" s="3" t="s">
        <v>2276</v>
      </c>
      <c r="R1024" s="3" t="s">
        <v>2276</v>
      </c>
      <c r="S1024" s="3" t="s">
        <v>2276</v>
      </c>
      <c r="T1024" s="3" t="s">
        <v>2276</v>
      </c>
      <c r="U1024" s="3" t="s">
        <v>2276</v>
      </c>
      <c r="V1024" s="3" t="s">
        <v>2276</v>
      </c>
      <c r="W1024" s="3" t="s">
        <v>2276</v>
      </c>
      <c r="X1024" s="3" t="s">
        <v>2276</v>
      </c>
      <c r="Y1024" s="3" t="s">
        <v>2276</v>
      </c>
      <c r="Z1024" s="3" t="s">
        <v>2276</v>
      </c>
      <c r="AA1024" s="3" t="s">
        <v>2276</v>
      </c>
      <c r="AB1024" s="3" t="s">
        <v>2276</v>
      </c>
      <c r="AC1024" s="3"/>
      <c r="AD1024" s="3" t="s">
        <v>3146</v>
      </c>
    </row>
    <row r="1025" spans="1:30" ht="40" customHeight="1">
      <c r="A1025" s="23" t="s">
        <v>3131</v>
      </c>
      <c r="B1025" s="23" t="s">
        <v>3143</v>
      </c>
      <c r="C1025" s="3" t="s">
        <v>24</v>
      </c>
      <c r="D1025" s="3" t="s">
        <v>1245</v>
      </c>
      <c r="E1025" s="3" t="s">
        <v>116</v>
      </c>
      <c r="F1025" s="4" t="s">
        <v>74</v>
      </c>
      <c r="G1025" s="3" t="s">
        <v>2276</v>
      </c>
      <c r="H1025" s="3" t="s">
        <v>523</v>
      </c>
      <c r="I1025" s="3"/>
      <c r="J1025" s="3" t="s">
        <v>2276</v>
      </c>
      <c r="K1025" s="3" t="s">
        <v>2276</v>
      </c>
      <c r="L1025" s="3" t="s">
        <v>2276</v>
      </c>
      <c r="M1025" s="3" t="s">
        <v>2276</v>
      </c>
      <c r="N1025" s="3" t="s">
        <v>2276</v>
      </c>
      <c r="O1025" s="3" t="s">
        <v>2276</v>
      </c>
      <c r="P1025" s="3" t="s">
        <v>2276</v>
      </c>
      <c r="Q1025" s="3" t="s">
        <v>2276</v>
      </c>
      <c r="R1025" s="3" t="s">
        <v>2276</v>
      </c>
      <c r="S1025" s="3" t="s">
        <v>2276</v>
      </c>
      <c r="T1025" s="3" t="s">
        <v>2276</v>
      </c>
      <c r="U1025" s="3" t="s">
        <v>2276</v>
      </c>
      <c r="V1025" s="3" t="s">
        <v>2276</v>
      </c>
      <c r="W1025" s="3" t="s">
        <v>2276</v>
      </c>
      <c r="X1025" s="3" t="s">
        <v>2276</v>
      </c>
      <c r="Y1025" s="3" t="s">
        <v>2276</v>
      </c>
      <c r="Z1025" s="3" t="s">
        <v>2276</v>
      </c>
      <c r="AA1025" s="3" t="s">
        <v>2276</v>
      </c>
      <c r="AB1025" s="3" t="s">
        <v>2276</v>
      </c>
      <c r="AC1025" s="3"/>
      <c r="AD1025" s="3"/>
    </row>
    <row r="1026" spans="1:30" ht="40" customHeight="1">
      <c r="A1026" s="23" t="s">
        <v>3131</v>
      </c>
      <c r="B1026" s="23" t="s">
        <v>3179</v>
      </c>
      <c r="C1026" s="3" t="s">
        <v>24</v>
      </c>
      <c r="D1026" s="3" t="s">
        <v>1245</v>
      </c>
      <c r="E1026" s="3" t="s">
        <v>116</v>
      </c>
      <c r="F1026" s="4" t="s">
        <v>2662</v>
      </c>
      <c r="G1026" s="3" t="s">
        <v>2276</v>
      </c>
      <c r="H1026" s="3" t="s">
        <v>523</v>
      </c>
      <c r="I1026" s="3"/>
      <c r="J1026" s="3" t="s">
        <v>2276</v>
      </c>
      <c r="K1026" s="3" t="s">
        <v>2276</v>
      </c>
      <c r="L1026" s="3" t="s">
        <v>2276</v>
      </c>
      <c r="M1026" s="3" t="s">
        <v>2276</v>
      </c>
      <c r="N1026" s="3" t="s">
        <v>2276</v>
      </c>
      <c r="O1026" s="3" t="s">
        <v>2276</v>
      </c>
      <c r="P1026" s="3" t="s">
        <v>2276</v>
      </c>
      <c r="Q1026" s="3" t="s">
        <v>2276</v>
      </c>
      <c r="R1026" s="3" t="s">
        <v>2276</v>
      </c>
      <c r="S1026" s="3" t="s">
        <v>2276</v>
      </c>
      <c r="T1026" s="3" t="s">
        <v>2276</v>
      </c>
      <c r="U1026" s="3" t="s">
        <v>2276</v>
      </c>
      <c r="V1026" s="3" t="s">
        <v>2276</v>
      </c>
      <c r="W1026" s="3" t="s">
        <v>2276</v>
      </c>
      <c r="X1026" s="3" t="s">
        <v>2276</v>
      </c>
      <c r="Y1026" s="3" t="s">
        <v>2276</v>
      </c>
      <c r="Z1026" s="3" t="s">
        <v>2276</v>
      </c>
      <c r="AA1026" s="3" t="s">
        <v>2276</v>
      </c>
      <c r="AB1026" s="3" t="s">
        <v>2276</v>
      </c>
      <c r="AC1026" s="3"/>
      <c r="AD1026" s="3"/>
    </row>
    <row r="1027" spans="1:30" ht="40" customHeight="1">
      <c r="A1027" s="23" t="s">
        <v>3131</v>
      </c>
      <c r="B1027" s="23" t="s">
        <v>3180</v>
      </c>
      <c r="C1027" s="3" t="s">
        <v>24</v>
      </c>
      <c r="D1027" s="3" t="s">
        <v>2305</v>
      </c>
      <c r="E1027" s="3" t="s">
        <v>116</v>
      </c>
      <c r="F1027" s="4" t="s">
        <v>2276</v>
      </c>
      <c r="G1027" s="3" t="s">
        <v>2276</v>
      </c>
      <c r="H1027" s="3" t="s">
        <v>523</v>
      </c>
      <c r="I1027" s="3"/>
      <c r="J1027" s="3" t="s">
        <v>2276</v>
      </c>
      <c r="K1027" s="3" t="s">
        <v>2276</v>
      </c>
      <c r="L1027" s="3" t="s">
        <v>2276</v>
      </c>
      <c r="M1027" s="3" t="s">
        <v>2276</v>
      </c>
      <c r="N1027" s="3" t="s">
        <v>2276</v>
      </c>
      <c r="O1027" s="3" t="s">
        <v>2276</v>
      </c>
      <c r="P1027" s="3" t="s">
        <v>2276</v>
      </c>
      <c r="Q1027" s="3" t="s">
        <v>2276</v>
      </c>
      <c r="R1027" s="3" t="s">
        <v>2276</v>
      </c>
      <c r="S1027" s="3" t="s">
        <v>2276</v>
      </c>
      <c r="T1027" s="3" t="s">
        <v>2276</v>
      </c>
      <c r="U1027" s="3" t="s">
        <v>2276</v>
      </c>
      <c r="V1027" s="3" t="s">
        <v>2276</v>
      </c>
      <c r="W1027" s="3" t="s">
        <v>2276</v>
      </c>
      <c r="X1027" s="3" t="s">
        <v>2276</v>
      </c>
      <c r="Y1027" s="3" t="s">
        <v>2276</v>
      </c>
      <c r="Z1027" s="3" t="s">
        <v>2276</v>
      </c>
      <c r="AA1027" s="3" t="s">
        <v>2276</v>
      </c>
      <c r="AB1027" s="3" t="s">
        <v>2276</v>
      </c>
      <c r="AC1027" s="4" t="s">
        <v>3159</v>
      </c>
      <c r="AD1027" s="3"/>
    </row>
    <row r="1028" spans="1:30" ht="40" customHeight="1">
      <c r="A1028" s="23" t="s">
        <v>3131</v>
      </c>
      <c r="B1028" s="23" t="s">
        <v>3181</v>
      </c>
      <c r="C1028" s="3" t="s">
        <v>24</v>
      </c>
      <c r="D1028" s="3" t="s">
        <v>26</v>
      </c>
      <c r="E1028" s="3" t="s">
        <v>116</v>
      </c>
      <c r="F1028" s="4" t="s">
        <v>2276</v>
      </c>
      <c r="G1028" s="3" t="s">
        <v>2276</v>
      </c>
      <c r="H1028" s="3" t="s">
        <v>523</v>
      </c>
      <c r="I1028" s="3"/>
      <c r="J1028" s="3" t="s">
        <v>2276</v>
      </c>
      <c r="K1028" s="3" t="s">
        <v>2276</v>
      </c>
      <c r="L1028" s="3" t="s">
        <v>2276</v>
      </c>
      <c r="M1028" s="3" t="s">
        <v>2276</v>
      </c>
      <c r="N1028" s="3" t="s">
        <v>2276</v>
      </c>
      <c r="O1028" s="3" t="s">
        <v>2276</v>
      </c>
      <c r="P1028" s="3" t="s">
        <v>2276</v>
      </c>
      <c r="Q1028" s="3" t="s">
        <v>2276</v>
      </c>
      <c r="R1028" s="3" t="s">
        <v>2276</v>
      </c>
      <c r="S1028" s="3" t="s">
        <v>2276</v>
      </c>
      <c r="T1028" s="3" t="s">
        <v>2276</v>
      </c>
      <c r="U1028" s="3" t="s">
        <v>2276</v>
      </c>
      <c r="V1028" s="3" t="s">
        <v>2276</v>
      </c>
      <c r="W1028" s="3" t="s">
        <v>2276</v>
      </c>
      <c r="X1028" s="3" t="s">
        <v>2276</v>
      </c>
      <c r="Y1028" s="3" t="s">
        <v>2276</v>
      </c>
      <c r="Z1028" s="3" t="s">
        <v>2276</v>
      </c>
      <c r="AA1028" s="3" t="s">
        <v>2276</v>
      </c>
      <c r="AB1028" s="3" t="s">
        <v>2276</v>
      </c>
      <c r="AC1028" s="3"/>
      <c r="AD1028" s="3"/>
    </row>
    <row r="1029" spans="1:30" ht="40" customHeight="1">
      <c r="A1029" s="23" t="s">
        <v>3131</v>
      </c>
      <c r="B1029" s="23" t="s">
        <v>3182</v>
      </c>
      <c r="C1029" s="3" t="s">
        <v>24</v>
      </c>
      <c r="D1029" s="3" t="s">
        <v>2341</v>
      </c>
      <c r="E1029" s="3" t="s">
        <v>116</v>
      </c>
      <c r="F1029" s="4" t="s">
        <v>2276</v>
      </c>
      <c r="G1029" s="3" t="s">
        <v>2276</v>
      </c>
      <c r="H1029" s="3" t="s">
        <v>523</v>
      </c>
      <c r="I1029" s="3"/>
      <c r="J1029" s="3" t="s">
        <v>2276</v>
      </c>
      <c r="K1029" s="3" t="s">
        <v>2276</v>
      </c>
      <c r="L1029" s="3" t="s">
        <v>2276</v>
      </c>
      <c r="M1029" s="3" t="s">
        <v>2276</v>
      </c>
      <c r="N1029" s="3" t="s">
        <v>2276</v>
      </c>
      <c r="O1029" s="3" t="s">
        <v>2276</v>
      </c>
      <c r="P1029" s="3" t="s">
        <v>2276</v>
      </c>
      <c r="Q1029" s="3" t="s">
        <v>2276</v>
      </c>
      <c r="R1029" s="3" t="s">
        <v>2276</v>
      </c>
      <c r="S1029" s="3" t="s">
        <v>2276</v>
      </c>
      <c r="T1029" s="3" t="s">
        <v>2276</v>
      </c>
      <c r="U1029" s="3" t="s">
        <v>2276</v>
      </c>
      <c r="V1029" s="3" t="s">
        <v>2276</v>
      </c>
      <c r="W1029" s="3" t="s">
        <v>2276</v>
      </c>
      <c r="X1029" s="3" t="s">
        <v>2276</v>
      </c>
      <c r="Y1029" s="3" t="s">
        <v>2276</v>
      </c>
      <c r="Z1029" s="3" t="s">
        <v>2276</v>
      </c>
      <c r="AA1029" s="3" t="s">
        <v>2276</v>
      </c>
      <c r="AB1029" s="3" t="s">
        <v>2276</v>
      </c>
      <c r="AC1029" s="3"/>
      <c r="AD1029" s="3"/>
    </row>
    <row r="1030" spans="1:30" ht="40" customHeight="1">
      <c r="A1030" s="23" t="s">
        <v>3131</v>
      </c>
      <c r="B1030" s="23" t="s">
        <v>3183</v>
      </c>
      <c r="C1030" s="3" t="s">
        <v>24</v>
      </c>
      <c r="D1030" s="3" t="s">
        <v>406</v>
      </c>
      <c r="E1030" s="3" t="s">
        <v>116</v>
      </c>
      <c r="F1030" s="4" t="s">
        <v>2276</v>
      </c>
      <c r="G1030" s="3" t="s">
        <v>2276</v>
      </c>
      <c r="H1030" s="3" t="s">
        <v>523</v>
      </c>
      <c r="I1030" s="3"/>
      <c r="J1030" s="3" t="s">
        <v>2276</v>
      </c>
      <c r="K1030" s="3" t="s">
        <v>2276</v>
      </c>
      <c r="L1030" s="3" t="s">
        <v>2276</v>
      </c>
      <c r="M1030" s="3" t="s">
        <v>2276</v>
      </c>
      <c r="N1030" s="3" t="s">
        <v>2276</v>
      </c>
      <c r="O1030" s="3" t="s">
        <v>2276</v>
      </c>
      <c r="P1030" s="3" t="s">
        <v>2276</v>
      </c>
      <c r="Q1030" s="3" t="s">
        <v>2276</v>
      </c>
      <c r="R1030" s="3" t="s">
        <v>2276</v>
      </c>
      <c r="S1030" s="3" t="s">
        <v>2276</v>
      </c>
      <c r="T1030" s="3" t="s">
        <v>2276</v>
      </c>
      <c r="U1030" s="3" t="s">
        <v>2276</v>
      </c>
      <c r="V1030" s="3" t="s">
        <v>2276</v>
      </c>
      <c r="W1030" s="3" t="s">
        <v>2276</v>
      </c>
      <c r="X1030" s="3" t="s">
        <v>2276</v>
      </c>
      <c r="Y1030" s="3" t="s">
        <v>2276</v>
      </c>
      <c r="Z1030" s="3" t="s">
        <v>2276</v>
      </c>
      <c r="AA1030" s="3" t="s">
        <v>2276</v>
      </c>
      <c r="AB1030" s="3" t="s">
        <v>2276</v>
      </c>
      <c r="AC1030" s="3"/>
      <c r="AD1030" s="3"/>
    </row>
    <row r="1031" spans="1:30" ht="40" customHeight="1">
      <c r="A1031" s="23" t="s">
        <v>3131</v>
      </c>
      <c r="B1031" s="23" t="s">
        <v>3184</v>
      </c>
      <c r="C1031" s="3" t="s">
        <v>24</v>
      </c>
      <c r="D1031" s="3" t="s">
        <v>2994</v>
      </c>
      <c r="E1031" s="3" t="s">
        <v>116</v>
      </c>
      <c r="F1031" s="4" t="s">
        <v>2276</v>
      </c>
      <c r="G1031" s="3" t="s">
        <v>2276</v>
      </c>
      <c r="H1031" s="3" t="s">
        <v>523</v>
      </c>
      <c r="I1031" s="3"/>
      <c r="J1031" s="3" t="s">
        <v>2276</v>
      </c>
      <c r="K1031" s="3" t="s">
        <v>2276</v>
      </c>
      <c r="L1031" s="3" t="s">
        <v>2276</v>
      </c>
      <c r="M1031" s="3" t="s">
        <v>2276</v>
      </c>
      <c r="N1031" s="3" t="s">
        <v>2276</v>
      </c>
      <c r="O1031" s="3" t="s">
        <v>2276</v>
      </c>
      <c r="P1031" s="3" t="s">
        <v>2276</v>
      </c>
      <c r="Q1031" s="3" t="s">
        <v>2276</v>
      </c>
      <c r="R1031" s="3" t="s">
        <v>2276</v>
      </c>
      <c r="S1031" s="3" t="s">
        <v>2276</v>
      </c>
      <c r="T1031" s="3" t="s">
        <v>2276</v>
      </c>
      <c r="U1031" s="3" t="s">
        <v>2276</v>
      </c>
      <c r="V1031" s="3" t="s">
        <v>2276</v>
      </c>
      <c r="W1031" s="3" t="s">
        <v>2276</v>
      </c>
      <c r="X1031" s="3" t="s">
        <v>2276</v>
      </c>
      <c r="Y1031" s="3" t="s">
        <v>2276</v>
      </c>
      <c r="Z1031" s="3" t="s">
        <v>2276</v>
      </c>
      <c r="AA1031" s="3" t="s">
        <v>2276</v>
      </c>
      <c r="AB1031" s="3" t="s">
        <v>2276</v>
      </c>
      <c r="AC1031" s="3"/>
      <c r="AD1031" s="3"/>
    </row>
    <row r="1032" spans="1:30" ht="40" customHeight="1">
      <c r="A1032" s="23" t="s">
        <v>3131</v>
      </c>
      <c r="B1032" s="23" t="s">
        <v>3185</v>
      </c>
      <c r="C1032" s="3" t="s">
        <v>24</v>
      </c>
      <c r="D1032" s="3" t="s">
        <v>26</v>
      </c>
      <c r="E1032" s="3" t="s">
        <v>130</v>
      </c>
      <c r="F1032" s="4" t="s">
        <v>2276</v>
      </c>
      <c r="G1032" s="3" t="s">
        <v>2276</v>
      </c>
      <c r="H1032" s="3" t="s">
        <v>523</v>
      </c>
      <c r="I1032" s="3"/>
      <c r="J1032" s="3" t="s">
        <v>2276</v>
      </c>
      <c r="K1032" s="3" t="s">
        <v>2276</v>
      </c>
      <c r="L1032" s="3" t="s">
        <v>2276</v>
      </c>
      <c r="M1032" s="3" t="s">
        <v>2276</v>
      </c>
      <c r="N1032" s="3" t="s">
        <v>2276</v>
      </c>
      <c r="O1032" s="3" t="s">
        <v>2276</v>
      </c>
      <c r="P1032" s="3" t="s">
        <v>2276</v>
      </c>
      <c r="Q1032" s="3" t="s">
        <v>2276</v>
      </c>
      <c r="R1032" s="3" t="s">
        <v>2276</v>
      </c>
      <c r="S1032" s="3" t="s">
        <v>2276</v>
      </c>
      <c r="T1032" s="3" t="s">
        <v>2276</v>
      </c>
      <c r="U1032" s="3" t="s">
        <v>2276</v>
      </c>
      <c r="V1032" s="3" t="s">
        <v>2276</v>
      </c>
      <c r="W1032" s="3" t="s">
        <v>2276</v>
      </c>
      <c r="X1032" s="3" t="s">
        <v>2276</v>
      </c>
      <c r="Y1032" s="3" t="s">
        <v>2276</v>
      </c>
      <c r="Z1032" s="3" t="s">
        <v>2276</v>
      </c>
      <c r="AA1032" s="3" t="s">
        <v>2276</v>
      </c>
      <c r="AB1032" s="3" t="s">
        <v>2276</v>
      </c>
      <c r="AC1032" s="3"/>
      <c r="AD1032" s="3"/>
    </row>
    <row r="1033" spans="1:30" ht="40" customHeight="1">
      <c r="A1033" s="23" t="s">
        <v>3131</v>
      </c>
      <c r="B1033" s="23" t="s">
        <v>3186</v>
      </c>
      <c r="C1033" s="3" t="s">
        <v>24</v>
      </c>
      <c r="D1033" s="3" t="s">
        <v>2341</v>
      </c>
      <c r="E1033" s="3" t="s">
        <v>130</v>
      </c>
      <c r="F1033" s="4" t="s">
        <v>2276</v>
      </c>
      <c r="G1033" s="3" t="s">
        <v>2276</v>
      </c>
      <c r="H1033" s="3" t="s">
        <v>523</v>
      </c>
      <c r="I1033" s="3"/>
      <c r="J1033" s="3" t="s">
        <v>2276</v>
      </c>
      <c r="K1033" s="3" t="s">
        <v>2276</v>
      </c>
      <c r="L1033" s="3" t="s">
        <v>2276</v>
      </c>
      <c r="M1033" s="3" t="s">
        <v>2276</v>
      </c>
      <c r="N1033" s="3" t="s">
        <v>2276</v>
      </c>
      <c r="O1033" s="3" t="s">
        <v>2276</v>
      </c>
      <c r="P1033" s="3" t="s">
        <v>2276</v>
      </c>
      <c r="Q1033" s="3" t="s">
        <v>2276</v>
      </c>
      <c r="R1033" s="3" t="s">
        <v>2276</v>
      </c>
      <c r="S1033" s="3" t="s">
        <v>2276</v>
      </c>
      <c r="T1033" s="3" t="s">
        <v>2276</v>
      </c>
      <c r="U1033" s="3" t="s">
        <v>2276</v>
      </c>
      <c r="V1033" s="3" t="s">
        <v>2276</v>
      </c>
      <c r="W1033" s="3" t="s">
        <v>2276</v>
      </c>
      <c r="X1033" s="3" t="s">
        <v>2276</v>
      </c>
      <c r="Y1033" s="3" t="s">
        <v>2276</v>
      </c>
      <c r="Z1033" s="3" t="s">
        <v>2276</v>
      </c>
      <c r="AA1033" s="3" t="s">
        <v>2276</v>
      </c>
      <c r="AB1033" s="3" t="s">
        <v>2276</v>
      </c>
      <c r="AC1033" s="3"/>
      <c r="AD1033" s="3"/>
    </row>
    <row r="1034" spans="1:30" ht="40" customHeight="1">
      <c r="A1034" s="23" t="s">
        <v>3131</v>
      </c>
      <c r="B1034" s="23" t="s">
        <v>3187</v>
      </c>
      <c r="C1034" s="3" t="s">
        <v>24</v>
      </c>
      <c r="D1034" s="3" t="s">
        <v>406</v>
      </c>
      <c r="E1034" s="3" t="s">
        <v>130</v>
      </c>
      <c r="F1034" s="4" t="s">
        <v>2276</v>
      </c>
      <c r="G1034" s="3" t="s">
        <v>2276</v>
      </c>
      <c r="H1034" s="3" t="s">
        <v>523</v>
      </c>
      <c r="I1034" s="3"/>
      <c r="J1034" s="3" t="s">
        <v>2276</v>
      </c>
      <c r="K1034" s="3" t="s">
        <v>2276</v>
      </c>
      <c r="L1034" s="3" t="s">
        <v>2276</v>
      </c>
      <c r="M1034" s="3" t="s">
        <v>2276</v>
      </c>
      <c r="N1034" s="3" t="s">
        <v>2276</v>
      </c>
      <c r="O1034" s="3" t="s">
        <v>2276</v>
      </c>
      <c r="P1034" s="3" t="s">
        <v>2276</v>
      </c>
      <c r="Q1034" s="3" t="s">
        <v>2276</v>
      </c>
      <c r="R1034" s="3" t="s">
        <v>2276</v>
      </c>
      <c r="S1034" s="3" t="s">
        <v>2276</v>
      </c>
      <c r="T1034" s="3" t="s">
        <v>2276</v>
      </c>
      <c r="U1034" s="3" t="s">
        <v>2276</v>
      </c>
      <c r="V1034" s="3" t="s">
        <v>2276</v>
      </c>
      <c r="W1034" s="3" t="s">
        <v>2276</v>
      </c>
      <c r="X1034" s="3" t="s">
        <v>2276</v>
      </c>
      <c r="Y1034" s="3" t="s">
        <v>2276</v>
      </c>
      <c r="Z1034" s="3" t="s">
        <v>2276</v>
      </c>
      <c r="AA1034" s="3" t="s">
        <v>2276</v>
      </c>
      <c r="AB1034" s="3" t="s">
        <v>2276</v>
      </c>
      <c r="AC1034" s="3"/>
      <c r="AD1034" s="3"/>
    </row>
    <row r="1035" spans="1:30" ht="40" customHeight="1">
      <c r="A1035" s="23" t="s">
        <v>3131</v>
      </c>
      <c r="B1035" s="23" t="s">
        <v>3188</v>
      </c>
      <c r="C1035" s="38" t="s">
        <v>24</v>
      </c>
      <c r="D1035" s="38" t="s">
        <v>2994</v>
      </c>
      <c r="E1035" s="38" t="s">
        <v>130</v>
      </c>
      <c r="F1035" s="168" t="s">
        <v>2276</v>
      </c>
      <c r="G1035" s="3" t="s">
        <v>2276</v>
      </c>
      <c r="H1035" s="38" t="s">
        <v>523</v>
      </c>
      <c r="I1035" s="3"/>
      <c r="J1035" s="3" t="s">
        <v>2276</v>
      </c>
      <c r="K1035" s="3" t="s">
        <v>2276</v>
      </c>
      <c r="L1035" s="3" t="s">
        <v>2276</v>
      </c>
      <c r="M1035" s="3" t="s">
        <v>2276</v>
      </c>
      <c r="N1035" s="3" t="s">
        <v>2276</v>
      </c>
      <c r="O1035" s="3" t="s">
        <v>2276</v>
      </c>
      <c r="P1035" s="3" t="s">
        <v>2276</v>
      </c>
      <c r="Q1035" s="3" t="s">
        <v>2276</v>
      </c>
      <c r="R1035" s="3" t="s">
        <v>2276</v>
      </c>
      <c r="S1035" s="3" t="s">
        <v>2276</v>
      </c>
      <c r="T1035" s="3" t="s">
        <v>2276</v>
      </c>
      <c r="U1035" s="3" t="s">
        <v>2276</v>
      </c>
      <c r="V1035" s="3" t="s">
        <v>2276</v>
      </c>
      <c r="W1035" s="3" t="s">
        <v>2276</v>
      </c>
      <c r="X1035" s="3" t="s">
        <v>2276</v>
      </c>
      <c r="Y1035" s="3" t="s">
        <v>2276</v>
      </c>
      <c r="Z1035" s="3" t="s">
        <v>2276</v>
      </c>
      <c r="AA1035" s="3" t="s">
        <v>2276</v>
      </c>
      <c r="AB1035" s="3" t="s">
        <v>2276</v>
      </c>
      <c r="AC1035" s="3"/>
      <c r="AD1035" s="3"/>
    </row>
    <row r="1036" spans="1:30" ht="40" customHeight="1">
      <c r="A1036" s="23" t="s">
        <v>3131</v>
      </c>
      <c r="B1036" s="23" t="s">
        <v>3189</v>
      </c>
      <c r="C1036" s="3" t="s">
        <v>24</v>
      </c>
      <c r="D1036" s="3" t="s">
        <v>1242</v>
      </c>
      <c r="E1036" s="3" t="s">
        <v>116</v>
      </c>
      <c r="F1036" s="4" t="s">
        <v>2662</v>
      </c>
      <c r="G1036" s="3" t="s">
        <v>2276</v>
      </c>
      <c r="H1036" s="3" t="s">
        <v>523</v>
      </c>
      <c r="I1036" s="3"/>
      <c r="J1036" s="3" t="s">
        <v>2276</v>
      </c>
      <c r="K1036" s="3" t="s">
        <v>2276</v>
      </c>
      <c r="L1036" s="3" t="s">
        <v>2276</v>
      </c>
      <c r="M1036" s="3" t="s">
        <v>2276</v>
      </c>
      <c r="N1036" s="3" t="s">
        <v>2276</v>
      </c>
      <c r="O1036" s="3" t="s">
        <v>2276</v>
      </c>
      <c r="P1036" s="3" t="s">
        <v>2276</v>
      </c>
      <c r="Q1036" s="3" t="s">
        <v>2276</v>
      </c>
      <c r="R1036" s="3" t="s">
        <v>2276</v>
      </c>
      <c r="S1036" s="3" t="s">
        <v>2276</v>
      </c>
      <c r="T1036" s="3" t="s">
        <v>2276</v>
      </c>
      <c r="U1036" s="3" t="s">
        <v>2276</v>
      </c>
      <c r="V1036" s="3" t="s">
        <v>2276</v>
      </c>
      <c r="W1036" s="3" t="s">
        <v>2276</v>
      </c>
      <c r="X1036" s="3" t="s">
        <v>2276</v>
      </c>
      <c r="Y1036" s="3" t="s">
        <v>2276</v>
      </c>
      <c r="Z1036" s="3" t="s">
        <v>2276</v>
      </c>
      <c r="AA1036" s="3" t="s">
        <v>2276</v>
      </c>
      <c r="AB1036" s="3" t="s">
        <v>2276</v>
      </c>
      <c r="AC1036" s="3"/>
      <c r="AD1036" s="3"/>
    </row>
    <row r="1037" spans="1:30" ht="40" customHeight="1">
      <c r="A1037" s="23" t="s">
        <v>3131</v>
      </c>
      <c r="B1037" s="23" t="s">
        <v>3190</v>
      </c>
      <c r="C1037" s="3" t="s">
        <v>24</v>
      </c>
      <c r="D1037" s="3" t="s">
        <v>1242</v>
      </c>
      <c r="E1037" s="3" t="s">
        <v>130</v>
      </c>
      <c r="F1037" s="4" t="s">
        <v>2662</v>
      </c>
      <c r="G1037" s="3" t="s">
        <v>2276</v>
      </c>
      <c r="H1037" s="3" t="s">
        <v>523</v>
      </c>
      <c r="I1037" s="3"/>
      <c r="J1037" s="3" t="s">
        <v>2276</v>
      </c>
      <c r="K1037" s="3" t="s">
        <v>2276</v>
      </c>
      <c r="L1037" s="3" t="s">
        <v>2276</v>
      </c>
      <c r="M1037" s="3" t="s">
        <v>2276</v>
      </c>
      <c r="N1037" s="3" t="s">
        <v>2276</v>
      </c>
      <c r="O1037" s="3" t="s">
        <v>2276</v>
      </c>
      <c r="P1037" s="3" t="s">
        <v>2276</v>
      </c>
      <c r="Q1037" s="3" t="s">
        <v>2276</v>
      </c>
      <c r="R1037" s="3" t="s">
        <v>2276</v>
      </c>
      <c r="S1037" s="3" t="s">
        <v>2276</v>
      </c>
      <c r="T1037" s="3" t="s">
        <v>2276</v>
      </c>
      <c r="U1037" s="3" t="s">
        <v>2276</v>
      </c>
      <c r="V1037" s="3" t="s">
        <v>2276</v>
      </c>
      <c r="W1037" s="3" t="s">
        <v>2276</v>
      </c>
      <c r="X1037" s="3" t="s">
        <v>2276</v>
      </c>
      <c r="Y1037" s="3" t="s">
        <v>2276</v>
      </c>
      <c r="Z1037" s="3" t="s">
        <v>2276</v>
      </c>
      <c r="AA1037" s="3" t="s">
        <v>2276</v>
      </c>
      <c r="AB1037" s="3" t="s">
        <v>2276</v>
      </c>
      <c r="AC1037" s="3"/>
      <c r="AD1037" s="3"/>
    </row>
    <row r="1038" spans="1:30" ht="40" customHeight="1">
      <c r="A1038" s="23" t="s">
        <v>3132</v>
      </c>
      <c r="B1038" s="23" t="s">
        <v>3141</v>
      </c>
      <c r="C1038" s="3" t="s">
        <v>24</v>
      </c>
      <c r="D1038" s="3" t="s">
        <v>27</v>
      </c>
      <c r="E1038" s="3" t="s">
        <v>130</v>
      </c>
      <c r="F1038" s="4" t="s">
        <v>161</v>
      </c>
      <c r="G1038" s="3" t="s">
        <v>2276</v>
      </c>
      <c r="H1038" s="3" t="s">
        <v>523</v>
      </c>
      <c r="I1038" s="3"/>
      <c r="J1038" s="3" t="s">
        <v>2276</v>
      </c>
      <c r="K1038" s="3" t="s">
        <v>2276</v>
      </c>
      <c r="L1038" s="3" t="s">
        <v>2276</v>
      </c>
      <c r="M1038" s="3" t="s">
        <v>2276</v>
      </c>
      <c r="N1038" s="3" t="s">
        <v>2276</v>
      </c>
      <c r="O1038" s="3" t="s">
        <v>2276</v>
      </c>
      <c r="P1038" s="3" t="s">
        <v>2276</v>
      </c>
      <c r="Q1038" s="3" t="s">
        <v>2276</v>
      </c>
      <c r="R1038" s="3" t="s">
        <v>2276</v>
      </c>
      <c r="S1038" s="3" t="s">
        <v>2276</v>
      </c>
      <c r="T1038" s="3" t="s">
        <v>2276</v>
      </c>
      <c r="U1038" s="3" t="s">
        <v>2276</v>
      </c>
      <c r="V1038" s="3" t="s">
        <v>2276</v>
      </c>
      <c r="W1038" s="3" t="s">
        <v>2276</v>
      </c>
      <c r="X1038" s="3" t="s">
        <v>2276</v>
      </c>
      <c r="Y1038" s="3" t="s">
        <v>2276</v>
      </c>
      <c r="Z1038" s="3" t="s">
        <v>2276</v>
      </c>
      <c r="AA1038" s="3" t="s">
        <v>2276</v>
      </c>
      <c r="AB1038" s="3" t="s">
        <v>2276</v>
      </c>
      <c r="AC1038" s="3"/>
      <c r="AD1038" s="3" t="s">
        <v>3146</v>
      </c>
    </row>
    <row r="1039" spans="1:30" ht="40" customHeight="1">
      <c r="A1039" s="23" t="s">
        <v>3132</v>
      </c>
      <c r="B1039" s="23" t="s">
        <v>3191</v>
      </c>
      <c r="C1039" s="3" t="s">
        <v>24</v>
      </c>
      <c r="D1039" s="3" t="s">
        <v>1245</v>
      </c>
      <c r="E1039" s="3" t="s">
        <v>116</v>
      </c>
      <c r="F1039" s="4" t="s">
        <v>74</v>
      </c>
      <c r="G1039" s="3" t="s">
        <v>2276</v>
      </c>
      <c r="H1039" s="3" t="s">
        <v>523</v>
      </c>
      <c r="I1039" s="3"/>
      <c r="J1039" s="3" t="s">
        <v>2276</v>
      </c>
      <c r="K1039" s="3" t="s">
        <v>2276</v>
      </c>
      <c r="L1039" s="3" t="s">
        <v>2276</v>
      </c>
      <c r="M1039" s="3" t="s">
        <v>2276</v>
      </c>
      <c r="N1039" s="3" t="s">
        <v>2276</v>
      </c>
      <c r="O1039" s="3" t="s">
        <v>2276</v>
      </c>
      <c r="P1039" s="3" t="s">
        <v>2276</v>
      </c>
      <c r="Q1039" s="3" t="s">
        <v>2276</v>
      </c>
      <c r="R1039" s="3" t="s">
        <v>2276</v>
      </c>
      <c r="S1039" s="3" t="s">
        <v>2276</v>
      </c>
      <c r="T1039" s="3" t="s">
        <v>2276</v>
      </c>
      <c r="U1039" s="3" t="s">
        <v>2276</v>
      </c>
      <c r="V1039" s="3" t="s">
        <v>2276</v>
      </c>
      <c r="W1039" s="3" t="s">
        <v>2276</v>
      </c>
      <c r="X1039" s="3" t="s">
        <v>2276</v>
      </c>
      <c r="Y1039" s="3" t="s">
        <v>2276</v>
      </c>
      <c r="Z1039" s="3" t="s">
        <v>2276</v>
      </c>
      <c r="AA1039" s="3" t="s">
        <v>2276</v>
      </c>
      <c r="AB1039" s="3" t="s">
        <v>2276</v>
      </c>
      <c r="AC1039" s="3"/>
      <c r="AD1039" s="3"/>
    </row>
    <row r="1040" spans="1:30" ht="40" customHeight="1">
      <c r="A1040" s="23" t="s">
        <v>3132</v>
      </c>
      <c r="B1040" s="23" t="s">
        <v>3192</v>
      </c>
      <c r="C1040" s="3" t="s">
        <v>24</v>
      </c>
      <c r="D1040" s="3" t="s">
        <v>1245</v>
      </c>
      <c r="E1040" s="3" t="s">
        <v>116</v>
      </c>
      <c r="F1040" s="4" t="s">
        <v>2662</v>
      </c>
      <c r="G1040" s="3" t="s">
        <v>2276</v>
      </c>
      <c r="H1040" s="3" t="s">
        <v>523</v>
      </c>
      <c r="I1040" s="3"/>
      <c r="J1040" s="3" t="s">
        <v>2276</v>
      </c>
      <c r="K1040" s="3" t="s">
        <v>2276</v>
      </c>
      <c r="L1040" s="3" t="s">
        <v>2276</v>
      </c>
      <c r="M1040" s="3" t="s">
        <v>2276</v>
      </c>
      <c r="N1040" s="3" t="s">
        <v>2276</v>
      </c>
      <c r="O1040" s="3" t="s">
        <v>2276</v>
      </c>
      <c r="P1040" s="3" t="s">
        <v>2276</v>
      </c>
      <c r="Q1040" s="3" t="s">
        <v>2276</v>
      </c>
      <c r="R1040" s="3" t="s">
        <v>2276</v>
      </c>
      <c r="S1040" s="3" t="s">
        <v>2276</v>
      </c>
      <c r="T1040" s="3" t="s">
        <v>2276</v>
      </c>
      <c r="U1040" s="3" t="s">
        <v>2276</v>
      </c>
      <c r="V1040" s="3" t="s">
        <v>2276</v>
      </c>
      <c r="W1040" s="3" t="s">
        <v>2276</v>
      </c>
      <c r="X1040" s="3" t="s">
        <v>2276</v>
      </c>
      <c r="Y1040" s="3" t="s">
        <v>2276</v>
      </c>
      <c r="Z1040" s="3" t="s">
        <v>2276</v>
      </c>
      <c r="AA1040" s="3" t="s">
        <v>2276</v>
      </c>
      <c r="AB1040" s="3" t="s">
        <v>2276</v>
      </c>
      <c r="AC1040" s="3"/>
      <c r="AD1040" s="3"/>
    </row>
    <row r="1041" spans="1:30" ht="40" customHeight="1">
      <c r="A1041" s="23" t="s">
        <v>3132</v>
      </c>
      <c r="B1041" s="23" t="s">
        <v>3193</v>
      </c>
      <c r="C1041" s="3" t="s">
        <v>24</v>
      </c>
      <c r="D1041" s="3" t="s">
        <v>2305</v>
      </c>
      <c r="E1041" s="3" t="s">
        <v>116</v>
      </c>
      <c r="F1041" s="4" t="s">
        <v>2276</v>
      </c>
      <c r="G1041" s="3" t="s">
        <v>2276</v>
      </c>
      <c r="H1041" s="3" t="s">
        <v>523</v>
      </c>
      <c r="I1041" s="3"/>
      <c r="J1041" s="3" t="s">
        <v>2276</v>
      </c>
      <c r="K1041" s="3" t="s">
        <v>2276</v>
      </c>
      <c r="L1041" s="3" t="s">
        <v>2276</v>
      </c>
      <c r="M1041" s="3" t="s">
        <v>2276</v>
      </c>
      <c r="N1041" s="3" t="s">
        <v>2276</v>
      </c>
      <c r="O1041" s="3" t="s">
        <v>2276</v>
      </c>
      <c r="P1041" s="3" t="s">
        <v>2276</v>
      </c>
      <c r="Q1041" s="3" t="s">
        <v>2276</v>
      </c>
      <c r="R1041" s="3" t="s">
        <v>2276</v>
      </c>
      <c r="S1041" s="3" t="s">
        <v>2276</v>
      </c>
      <c r="T1041" s="3" t="s">
        <v>2276</v>
      </c>
      <c r="U1041" s="3" t="s">
        <v>2276</v>
      </c>
      <c r="V1041" s="3" t="s">
        <v>2276</v>
      </c>
      <c r="W1041" s="3" t="s">
        <v>2276</v>
      </c>
      <c r="X1041" s="3" t="s">
        <v>2276</v>
      </c>
      <c r="Y1041" s="3" t="s">
        <v>2276</v>
      </c>
      <c r="Z1041" s="3" t="s">
        <v>2276</v>
      </c>
      <c r="AA1041" s="3" t="s">
        <v>2276</v>
      </c>
      <c r="AB1041" s="3" t="s">
        <v>2276</v>
      </c>
      <c r="AC1041" s="4" t="s">
        <v>3159</v>
      </c>
      <c r="AD1041" s="3"/>
    </row>
    <row r="1042" spans="1:30" ht="40" customHeight="1">
      <c r="A1042" s="23" t="s">
        <v>3132</v>
      </c>
      <c r="B1042" s="23" t="s">
        <v>3194</v>
      </c>
      <c r="C1042" s="3" t="s">
        <v>24</v>
      </c>
      <c r="D1042" s="3" t="s">
        <v>26</v>
      </c>
      <c r="E1042" s="3" t="s">
        <v>116</v>
      </c>
      <c r="F1042" s="4" t="s">
        <v>2276</v>
      </c>
      <c r="G1042" s="3" t="s">
        <v>2276</v>
      </c>
      <c r="H1042" s="3" t="s">
        <v>523</v>
      </c>
      <c r="I1042" s="3"/>
      <c r="J1042" s="3" t="s">
        <v>2276</v>
      </c>
      <c r="K1042" s="3" t="s">
        <v>2276</v>
      </c>
      <c r="L1042" s="3" t="s">
        <v>2276</v>
      </c>
      <c r="M1042" s="3" t="s">
        <v>2276</v>
      </c>
      <c r="N1042" s="3" t="s">
        <v>2276</v>
      </c>
      <c r="O1042" s="3" t="s">
        <v>2276</v>
      </c>
      <c r="P1042" s="3" t="s">
        <v>2276</v>
      </c>
      <c r="Q1042" s="3" t="s">
        <v>2276</v>
      </c>
      <c r="R1042" s="3" t="s">
        <v>2276</v>
      </c>
      <c r="S1042" s="3" t="s">
        <v>2276</v>
      </c>
      <c r="T1042" s="3" t="s">
        <v>2276</v>
      </c>
      <c r="U1042" s="3" t="s">
        <v>2276</v>
      </c>
      <c r="V1042" s="3" t="s">
        <v>2276</v>
      </c>
      <c r="W1042" s="3" t="s">
        <v>2276</v>
      </c>
      <c r="X1042" s="3" t="s">
        <v>2276</v>
      </c>
      <c r="Y1042" s="3" t="s">
        <v>2276</v>
      </c>
      <c r="Z1042" s="3" t="s">
        <v>2276</v>
      </c>
      <c r="AA1042" s="3" t="s">
        <v>2276</v>
      </c>
      <c r="AB1042" s="3" t="s">
        <v>2276</v>
      </c>
      <c r="AC1042" s="3"/>
      <c r="AD1042" s="3"/>
    </row>
    <row r="1043" spans="1:30" ht="40" customHeight="1">
      <c r="A1043" s="23" t="s">
        <v>3132</v>
      </c>
      <c r="B1043" s="23" t="s">
        <v>3195</v>
      </c>
      <c r="C1043" s="3" t="s">
        <v>24</v>
      </c>
      <c r="D1043" s="3" t="s">
        <v>2341</v>
      </c>
      <c r="E1043" s="3" t="s">
        <v>116</v>
      </c>
      <c r="F1043" s="4" t="s">
        <v>2276</v>
      </c>
      <c r="G1043" s="3" t="s">
        <v>2276</v>
      </c>
      <c r="H1043" s="3" t="s">
        <v>523</v>
      </c>
      <c r="I1043" s="3"/>
      <c r="J1043" s="3" t="s">
        <v>2276</v>
      </c>
      <c r="K1043" s="3" t="s">
        <v>2276</v>
      </c>
      <c r="L1043" s="3" t="s">
        <v>2276</v>
      </c>
      <c r="M1043" s="3" t="s">
        <v>2276</v>
      </c>
      <c r="N1043" s="3" t="s">
        <v>2276</v>
      </c>
      <c r="O1043" s="3" t="s">
        <v>2276</v>
      </c>
      <c r="P1043" s="3" t="s">
        <v>2276</v>
      </c>
      <c r="Q1043" s="3" t="s">
        <v>2276</v>
      </c>
      <c r="R1043" s="3" t="s">
        <v>2276</v>
      </c>
      <c r="S1043" s="3" t="s">
        <v>2276</v>
      </c>
      <c r="T1043" s="3" t="s">
        <v>2276</v>
      </c>
      <c r="U1043" s="3" t="s">
        <v>2276</v>
      </c>
      <c r="V1043" s="3" t="s">
        <v>2276</v>
      </c>
      <c r="W1043" s="3" t="s">
        <v>2276</v>
      </c>
      <c r="X1043" s="3" t="s">
        <v>2276</v>
      </c>
      <c r="Y1043" s="3" t="s">
        <v>2276</v>
      </c>
      <c r="Z1043" s="3" t="s">
        <v>2276</v>
      </c>
      <c r="AA1043" s="3" t="s">
        <v>2276</v>
      </c>
      <c r="AB1043" s="3" t="s">
        <v>2276</v>
      </c>
      <c r="AC1043" s="3"/>
      <c r="AD1043" s="3"/>
    </row>
    <row r="1044" spans="1:30" ht="40" customHeight="1">
      <c r="A1044" s="23" t="s">
        <v>3132</v>
      </c>
      <c r="B1044" s="23" t="s">
        <v>3196</v>
      </c>
      <c r="C1044" s="3" t="s">
        <v>24</v>
      </c>
      <c r="D1044" s="3" t="s">
        <v>406</v>
      </c>
      <c r="E1044" s="3" t="s">
        <v>116</v>
      </c>
      <c r="F1044" s="4" t="s">
        <v>2276</v>
      </c>
      <c r="G1044" s="3" t="s">
        <v>2276</v>
      </c>
      <c r="H1044" s="3" t="s">
        <v>523</v>
      </c>
      <c r="I1044" s="3"/>
      <c r="J1044" s="3" t="s">
        <v>2276</v>
      </c>
      <c r="K1044" s="3" t="s">
        <v>2276</v>
      </c>
      <c r="L1044" s="3" t="s">
        <v>2276</v>
      </c>
      <c r="M1044" s="3" t="s">
        <v>2276</v>
      </c>
      <c r="N1044" s="3" t="s">
        <v>2276</v>
      </c>
      <c r="O1044" s="3" t="s">
        <v>2276</v>
      </c>
      <c r="P1044" s="3" t="s">
        <v>2276</v>
      </c>
      <c r="Q1044" s="3" t="s">
        <v>2276</v>
      </c>
      <c r="R1044" s="3" t="s">
        <v>2276</v>
      </c>
      <c r="S1044" s="3" t="s">
        <v>2276</v>
      </c>
      <c r="T1044" s="3" t="s">
        <v>2276</v>
      </c>
      <c r="U1044" s="3" t="s">
        <v>2276</v>
      </c>
      <c r="V1044" s="3" t="s">
        <v>2276</v>
      </c>
      <c r="W1044" s="3" t="s">
        <v>2276</v>
      </c>
      <c r="X1044" s="3" t="s">
        <v>2276</v>
      </c>
      <c r="Y1044" s="3" t="s">
        <v>2276</v>
      </c>
      <c r="Z1044" s="3" t="s">
        <v>2276</v>
      </c>
      <c r="AA1044" s="3" t="s">
        <v>2276</v>
      </c>
      <c r="AB1044" s="3" t="s">
        <v>2276</v>
      </c>
      <c r="AC1044" s="3"/>
      <c r="AD1044" s="3"/>
    </row>
    <row r="1045" spans="1:30" ht="40" customHeight="1">
      <c r="A1045" s="23" t="s">
        <v>3132</v>
      </c>
      <c r="B1045" s="23" t="s">
        <v>3197</v>
      </c>
      <c r="C1045" s="3" t="s">
        <v>24</v>
      </c>
      <c r="D1045" s="3" t="s">
        <v>2994</v>
      </c>
      <c r="E1045" s="3" t="s">
        <v>116</v>
      </c>
      <c r="F1045" s="4" t="s">
        <v>2276</v>
      </c>
      <c r="G1045" s="3" t="s">
        <v>2276</v>
      </c>
      <c r="H1045" s="3" t="s">
        <v>523</v>
      </c>
      <c r="I1045" s="3"/>
      <c r="J1045" s="3" t="s">
        <v>2276</v>
      </c>
      <c r="K1045" s="3" t="s">
        <v>2276</v>
      </c>
      <c r="L1045" s="3" t="s">
        <v>2276</v>
      </c>
      <c r="M1045" s="3" t="s">
        <v>2276</v>
      </c>
      <c r="N1045" s="3" t="s">
        <v>2276</v>
      </c>
      <c r="O1045" s="3" t="s">
        <v>2276</v>
      </c>
      <c r="P1045" s="3" t="s">
        <v>2276</v>
      </c>
      <c r="Q1045" s="3" t="s">
        <v>2276</v>
      </c>
      <c r="R1045" s="3" t="s">
        <v>2276</v>
      </c>
      <c r="S1045" s="3" t="s">
        <v>2276</v>
      </c>
      <c r="T1045" s="3" t="s">
        <v>2276</v>
      </c>
      <c r="U1045" s="3" t="s">
        <v>2276</v>
      </c>
      <c r="V1045" s="3" t="s">
        <v>2276</v>
      </c>
      <c r="W1045" s="3" t="s">
        <v>2276</v>
      </c>
      <c r="X1045" s="3" t="s">
        <v>2276</v>
      </c>
      <c r="Y1045" s="3" t="s">
        <v>2276</v>
      </c>
      <c r="Z1045" s="3" t="s">
        <v>2276</v>
      </c>
      <c r="AA1045" s="3" t="s">
        <v>2276</v>
      </c>
      <c r="AB1045" s="3" t="s">
        <v>2276</v>
      </c>
      <c r="AC1045" s="3"/>
      <c r="AD1045" s="3"/>
    </row>
    <row r="1046" spans="1:30" ht="40" customHeight="1">
      <c r="A1046" s="23" t="s">
        <v>3132</v>
      </c>
      <c r="B1046" s="23" t="s">
        <v>3198</v>
      </c>
      <c r="C1046" s="3" t="s">
        <v>24</v>
      </c>
      <c r="D1046" s="3" t="s">
        <v>26</v>
      </c>
      <c r="E1046" s="3" t="s">
        <v>130</v>
      </c>
      <c r="F1046" s="4" t="s">
        <v>2276</v>
      </c>
      <c r="G1046" s="3" t="s">
        <v>2276</v>
      </c>
      <c r="H1046" s="3" t="s">
        <v>523</v>
      </c>
      <c r="I1046" s="3"/>
      <c r="J1046" s="3" t="s">
        <v>2276</v>
      </c>
      <c r="K1046" s="3" t="s">
        <v>2276</v>
      </c>
      <c r="L1046" s="3" t="s">
        <v>2276</v>
      </c>
      <c r="M1046" s="3" t="s">
        <v>2276</v>
      </c>
      <c r="N1046" s="3" t="s">
        <v>2276</v>
      </c>
      <c r="O1046" s="3" t="s">
        <v>2276</v>
      </c>
      <c r="P1046" s="3" t="s">
        <v>2276</v>
      </c>
      <c r="Q1046" s="3" t="s">
        <v>2276</v>
      </c>
      <c r="R1046" s="3" t="s">
        <v>2276</v>
      </c>
      <c r="S1046" s="3" t="s">
        <v>2276</v>
      </c>
      <c r="T1046" s="3" t="s">
        <v>2276</v>
      </c>
      <c r="U1046" s="3" t="s">
        <v>2276</v>
      </c>
      <c r="V1046" s="3" t="s">
        <v>2276</v>
      </c>
      <c r="W1046" s="3" t="s">
        <v>2276</v>
      </c>
      <c r="X1046" s="3" t="s">
        <v>2276</v>
      </c>
      <c r="Y1046" s="3" t="s">
        <v>2276</v>
      </c>
      <c r="Z1046" s="3" t="s">
        <v>2276</v>
      </c>
      <c r="AA1046" s="3" t="s">
        <v>2276</v>
      </c>
      <c r="AB1046" s="3" t="s">
        <v>2276</v>
      </c>
      <c r="AC1046" s="3"/>
      <c r="AD1046" s="3"/>
    </row>
    <row r="1047" spans="1:30" ht="40" customHeight="1">
      <c r="A1047" s="23" t="s">
        <v>3132</v>
      </c>
      <c r="B1047" s="23" t="s">
        <v>3199</v>
      </c>
      <c r="C1047" s="3" t="s">
        <v>24</v>
      </c>
      <c r="D1047" s="3" t="s">
        <v>2341</v>
      </c>
      <c r="E1047" s="3" t="s">
        <v>130</v>
      </c>
      <c r="F1047" s="4" t="s">
        <v>2276</v>
      </c>
      <c r="G1047" s="3" t="s">
        <v>2276</v>
      </c>
      <c r="H1047" s="3" t="s">
        <v>523</v>
      </c>
      <c r="I1047" s="3"/>
      <c r="J1047" s="3" t="s">
        <v>2276</v>
      </c>
      <c r="K1047" s="3" t="s">
        <v>2276</v>
      </c>
      <c r="L1047" s="3" t="s">
        <v>2276</v>
      </c>
      <c r="M1047" s="3" t="s">
        <v>2276</v>
      </c>
      <c r="N1047" s="3" t="s">
        <v>2276</v>
      </c>
      <c r="O1047" s="3" t="s">
        <v>2276</v>
      </c>
      <c r="P1047" s="3" t="s">
        <v>2276</v>
      </c>
      <c r="Q1047" s="3" t="s">
        <v>2276</v>
      </c>
      <c r="R1047" s="3" t="s">
        <v>2276</v>
      </c>
      <c r="S1047" s="3" t="s">
        <v>2276</v>
      </c>
      <c r="T1047" s="3" t="s">
        <v>2276</v>
      </c>
      <c r="U1047" s="3" t="s">
        <v>2276</v>
      </c>
      <c r="V1047" s="3" t="s">
        <v>2276</v>
      </c>
      <c r="W1047" s="3" t="s">
        <v>2276</v>
      </c>
      <c r="X1047" s="3" t="s">
        <v>2276</v>
      </c>
      <c r="Y1047" s="3" t="s">
        <v>2276</v>
      </c>
      <c r="Z1047" s="3" t="s">
        <v>2276</v>
      </c>
      <c r="AA1047" s="3" t="s">
        <v>2276</v>
      </c>
      <c r="AB1047" s="3" t="s">
        <v>2276</v>
      </c>
      <c r="AC1047" s="3"/>
      <c r="AD1047" s="3"/>
    </row>
    <row r="1048" spans="1:30" ht="40" customHeight="1">
      <c r="A1048" s="23" t="s">
        <v>3132</v>
      </c>
      <c r="B1048" s="23" t="s">
        <v>3200</v>
      </c>
      <c r="C1048" s="3" t="s">
        <v>24</v>
      </c>
      <c r="D1048" s="3" t="s">
        <v>406</v>
      </c>
      <c r="E1048" s="3" t="s">
        <v>130</v>
      </c>
      <c r="F1048" s="4" t="s">
        <v>2276</v>
      </c>
      <c r="G1048" s="3" t="s">
        <v>2276</v>
      </c>
      <c r="H1048" s="3" t="s">
        <v>523</v>
      </c>
      <c r="I1048" s="3"/>
      <c r="J1048" s="3" t="s">
        <v>2276</v>
      </c>
      <c r="K1048" s="3" t="s">
        <v>2276</v>
      </c>
      <c r="L1048" s="3" t="s">
        <v>2276</v>
      </c>
      <c r="M1048" s="3" t="s">
        <v>2276</v>
      </c>
      <c r="N1048" s="3" t="s">
        <v>2276</v>
      </c>
      <c r="O1048" s="3" t="s">
        <v>2276</v>
      </c>
      <c r="P1048" s="3" t="s">
        <v>2276</v>
      </c>
      <c r="Q1048" s="3" t="s">
        <v>2276</v>
      </c>
      <c r="R1048" s="3" t="s">
        <v>2276</v>
      </c>
      <c r="S1048" s="3" t="s">
        <v>2276</v>
      </c>
      <c r="T1048" s="3" t="s">
        <v>2276</v>
      </c>
      <c r="U1048" s="3" t="s">
        <v>2276</v>
      </c>
      <c r="V1048" s="3" t="s">
        <v>2276</v>
      </c>
      <c r="W1048" s="3" t="s">
        <v>2276</v>
      </c>
      <c r="X1048" s="3" t="s">
        <v>2276</v>
      </c>
      <c r="Y1048" s="3" t="s">
        <v>2276</v>
      </c>
      <c r="Z1048" s="3" t="s">
        <v>2276</v>
      </c>
      <c r="AA1048" s="3" t="s">
        <v>2276</v>
      </c>
      <c r="AB1048" s="3" t="s">
        <v>2276</v>
      </c>
      <c r="AC1048" s="3"/>
      <c r="AD1048" s="3"/>
    </row>
    <row r="1049" spans="1:30" ht="40" customHeight="1">
      <c r="A1049" s="23" t="s">
        <v>3132</v>
      </c>
      <c r="B1049" s="23" t="s">
        <v>3201</v>
      </c>
      <c r="C1049" s="38" t="s">
        <v>24</v>
      </c>
      <c r="D1049" s="38" t="s">
        <v>2994</v>
      </c>
      <c r="E1049" s="38" t="s">
        <v>130</v>
      </c>
      <c r="F1049" s="168" t="s">
        <v>2276</v>
      </c>
      <c r="G1049" s="3" t="s">
        <v>2276</v>
      </c>
      <c r="H1049" s="38" t="s">
        <v>523</v>
      </c>
      <c r="I1049" s="3"/>
      <c r="J1049" s="3" t="s">
        <v>2276</v>
      </c>
      <c r="K1049" s="3" t="s">
        <v>2276</v>
      </c>
      <c r="L1049" s="3" t="s">
        <v>2276</v>
      </c>
      <c r="M1049" s="3" t="s">
        <v>2276</v>
      </c>
      <c r="N1049" s="3" t="s">
        <v>2276</v>
      </c>
      <c r="O1049" s="3" t="s">
        <v>2276</v>
      </c>
      <c r="P1049" s="3" t="s">
        <v>2276</v>
      </c>
      <c r="Q1049" s="3" t="s">
        <v>2276</v>
      </c>
      <c r="R1049" s="3" t="s">
        <v>2276</v>
      </c>
      <c r="S1049" s="3" t="s">
        <v>2276</v>
      </c>
      <c r="T1049" s="3" t="s">
        <v>2276</v>
      </c>
      <c r="U1049" s="3" t="s">
        <v>2276</v>
      </c>
      <c r="V1049" s="3" t="s">
        <v>2276</v>
      </c>
      <c r="W1049" s="3" t="s">
        <v>2276</v>
      </c>
      <c r="X1049" s="3" t="s">
        <v>2276</v>
      </c>
      <c r="Y1049" s="3" t="s">
        <v>2276</v>
      </c>
      <c r="Z1049" s="3" t="s">
        <v>2276</v>
      </c>
      <c r="AA1049" s="3" t="s">
        <v>2276</v>
      </c>
      <c r="AB1049" s="3" t="s">
        <v>2276</v>
      </c>
      <c r="AC1049" s="3"/>
      <c r="AD1049" s="3"/>
    </row>
    <row r="1050" spans="1:30" ht="40" customHeight="1">
      <c r="A1050" s="23" t="s">
        <v>3132</v>
      </c>
      <c r="B1050" s="23" t="s">
        <v>3202</v>
      </c>
      <c r="C1050" s="3" t="s">
        <v>24</v>
      </c>
      <c r="D1050" s="3" t="s">
        <v>1242</v>
      </c>
      <c r="E1050" s="3" t="s">
        <v>116</v>
      </c>
      <c r="F1050" s="4" t="s">
        <v>2662</v>
      </c>
      <c r="G1050" s="3" t="s">
        <v>2276</v>
      </c>
      <c r="H1050" s="3" t="s">
        <v>523</v>
      </c>
      <c r="I1050" s="3"/>
      <c r="J1050" s="3" t="s">
        <v>2276</v>
      </c>
      <c r="K1050" s="3" t="s">
        <v>2276</v>
      </c>
      <c r="L1050" s="3" t="s">
        <v>2276</v>
      </c>
      <c r="M1050" s="3" t="s">
        <v>2276</v>
      </c>
      <c r="N1050" s="3" t="s">
        <v>2276</v>
      </c>
      <c r="O1050" s="3" t="s">
        <v>2276</v>
      </c>
      <c r="P1050" s="3" t="s">
        <v>2276</v>
      </c>
      <c r="Q1050" s="3" t="s">
        <v>2276</v>
      </c>
      <c r="R1050" s="3" t="s">
        <v>2276</v>
      </c>
      <c r="S1050" s="3" t="s">
        <v>2276</v>
      </c>
      <c r="T1050" s="3" t="s">
        <v>2276</v>
      </c>
      <c r="U1050" s="3" t="s">
        <v>2276</v>
      </c>
      <c r="V1050" s="3" t="s">
        <v>2276</v>
      </c>
      <c r="W1050" s="3" t="s">
        <v>2276</v>
      </c>
      <c r="X1050" s="3" t="s">
        <v>2276</v>
      </c>
      <c r="Y1050" s="3" t="s">
        <v>2276</v>
      </c>
      <c r="Z1050" s="3" t="s">
        <v>2276</v>
      </c>
      <c r="AA1050" s="3" t="s">
        <v>2276</v>
      </c>
      <c r="AB1050" s="3" t="s">
        <v>2276</v>
      </c>
      <c r="AC1050" s="3"/>
      <c r="AD1050" s="3"/>
    </row>
    <row r="1051" spans="1:30" ht="40" customHeight="1">
      <c r="A1051" s="23" t="s">
        <v>3132</v>
      </c>
      <c r="B1051" s="23" t="s">
        <v>3203</v>
      </c>
      <c r="C1051" s="3" t="s">
        <v>24</v>
      </c>
      <c r="D1051" s="3" t="s">
        <v>1242</v>
      </c>
      <c r="E1051" s="3" t="s">
        <v>130</v>
      </c>
      <c r="F1051" s="4" t="s">
        <v>2662</v>
      </c>
      <c r="G1051" s="3" t="s">
        <v>2276</v>
      </c>
      <c r="H1051" s="3" t="s">
        <v>523</v>
      </c>
      <c r="I1051" s="3"/>
      <c r="J1051" s="3" t="s">
        <v>2276</v>
      </c>
      <c r="K1051" s="3" t="s">
        <v>2276</v>
      </c>
      <c r="L1051" s="3" t="s">
        <v>2276</v>
      </c>
      <c r="M1051" s="3" t="s">
        <v>2276</v>
      </c>
      <c r="N1051" s="3" t="s">
        <v>2276</v>
      </c>
      <c r="O1051" s="3" t="s">
        <v>2276</v>
      </c>
      <c r="P1051" s="3" t="s">
        <v>2276</v>
      </c>
      <c r="Q1051" s="3" t="s">
        <v>2276</v>
      </c>
      <c r="R1051" s="3" t="s">
        <v>2276</v>
      </c>
      <c r="S1051" s="3" t="s">
        <v>2276</v>
      </c>
      <c r="T1051" s="3" t="s">
        <v>2276</v>
      </c>
      <c r="U1051" s="3" t="s">
        <v>2276</v>
      </c>
      <c r="V1051" s="3" t="s">
        <v>2276</v>
      </c>
      <c r="W1051" s="3" t="s">
        <v>2276</v>
      </c>
      <c r="X1051" s="3" t="s">
        <v>2276</v>
      </c>
      <c r="Y1051" s="3" t="s">
        <v>2276</v>
      </c>
      <c r="Z1051" s="3" t="s">
        <v>2276</v>
      </c>
      <c r="AA1051" s="3" t="s">
        <v>2276</v>
      </c>
      <c r="AB1051" s="3" t="s">
        <v>2276</v>
      </c>
      <c r="AC1051" s="3"/>
      <c r="AD1051" s="3"/>
    </row>
    <row r="1052" spans="1:30" ht="40" customHeight="1">
      <c r="A1052" s="3" t="s">
        <v>3224</v>
      </c>
      <c r="B1052" s="23" t="s">
        <v>3226</v>
      </c>
      <c r="C1052" s="3" t="s">
        <v>24</v>
      </c>
      <c r="D1052" s="3" t="s">
        <v>27</v>
      </c>
      <c r="E1052" s="3" t="s">
        <v>130</v>
      </c>
      <c r="F1052" s="4" t="s">
        <v>74</v>
      </c>
      <c r="G1052" s="3" t="s">
        <v>2276</v>
      </c>
      <c r="H1052" s="3" t="s">
        <v>523</v>
      </c>
      <c r="I1052" s="3"/>
      <c r="J1052" s="3" t="s">
        <v>2276</v>
      </c>
      <c r="K1052" s="3" t="s">
        <v>2276</v>
      </c>
      <c r="L1052" s="3" t="s">
        <v>2276</v>
      </c>
      <c r="M1052" s="3" t="s">
        <v>2276</v>
      </c>
      <c r="N1052" s="3" t="s">
        <v>2276</v>
      </c>
      <c r="O1052" s="3" t="s">
        <v>2276</v>
      </c>
      <c r="P1052" s="3" t="s">
        <v>2276</v>
      </c>
      <c r="Q1052" s="3" t="s">
        <v>2276</v>
      </c>
      <c r="R1052" s="3" t="s">
        <v>2276</v>
      </c>
      <c r="S1052" s="3" t="s">
        <v>2276</v>
      </c>
      <c r="T1052" s="3" t="s">
        <v>2276</v>
      </c>
      <c r="U1052" s="3" t="s">
        <v>2276</v>
      </c>
      <c r="V1052" s="3" t="s">
        <v>2276</v>
      </c>
      <c r="W1052" s="3" t="s">
        <v>2276</v>
      </c>
      <c r="X1052" s="3" t="s">
        <v>2276</v>
      </c>
      <c r="Y1052" s="3" t="s">
        <v>2276</v>
      </c>
      <c r="Z1052" s="3" t="s">
        <v>404</v>
      </c>
      <c r="AA1052" s="3" t="s">
        <v>405</v>
      </c>
      <c r="AB1052" s="22" t="s">
        <v>64</v>
      </c>
      <c r="AC1052" s="4" t="s">
        <v>3237</v>
      </c>
      <c r="AD1052" s="3"/>
    </row>
    <row r="1053" spans="1:30" ht="40" customHeight="1">
      <c r="A1053" s="3" t="s">
        <v>3224</v>
      </c>
      <c r="B1053" s="23" t="s">
        <v>3227</v>
      </c>
      <c r="C1053" s="3" t="s">
        <v>24</v>
      </c>
      <c r="D1053" s="3" t="s">
        <v>27</v>
      </c>
      <c r="E1053" s="3" t="s">
        <v>130</v>
      </c>
      <c r="F1053" s="4" t="s">
        <v>28</v>
      </c>
      <c r="G1053" s="3" t="s">
        <v>2276</v>
      </c>
      <c r="H1053" s="3" t="s">
        <v>523</v>
      </c>
      <c r="I1053" s="3"/>
      <c r="J1053" s="3" t="s">
        <v>2276</v>
      </c>
      <c r="K1053" s="3" t="s">
        <v>2276</v>
      </c>
      <c r="L1053" s="3" t="s">
        <v>2276</v>
      </c>
      <c r="M1053" s="3" t="s">
        <v>2276</v>
      </c>
      <c r="N1053" s="3" t="s">
        <v>2276</v>
      </c>
      <c r="O1053" s="3" t="s">
        <v>2276</v>
      </c>
      <c r="P1053" s="3" t="s">
        <v>2276</v>
      </c>
      <c r="Q1053" s="3" t="s">
        <v>2276</v>
      </c>
      <c r="R1053" s="3" t="s">
        <v>2276</v>
      </c>
      <c r="S1053" s="3" t="s">
        <v>2276</v>
      </c>
      <c r="T1053" s="3" t="s">
        <v>2276</v>
      </c>
      <c r="U1053" s="3" t="s">
        <v>2276</v>
      </c>
      <c r="V1053" s="3" t="s">
        <v>2276</v>
      </c>
      <c r="W1053" s="3" t="s">
        <v>2276</v>
      </c>
      <c r="X1053" s="3" t="s">
        <v>2276</v>
      </c>
      <c r="Y1053" s="21">
        <v>1</v>
      </c>
      <c r="Z1053" s="3" t="s">
        <v>34</v>
      </c>
      <c r="AA1053" s="3" t="s">
        <v>405</v>
      </c>
      <c r="AB1053" s="22" t="s">
        <v>64</v>
      </c>
      <c r="AC1053" s="4" t="s">
        <v>3228</v>
      </c>
      <c r="AD1053" s="3"/>
    </row>
    <row r="1054" spans="1:30" ht="40" customHeight="1">
      <c r="A1054" s="3" t="s">
        <v>3230</v>
      </c>
      <c r="B1054" s="23" t="s">
        <v>3234</v>
      </c>
      <c r="C1054" s="3" t="s">
        <v>24</v>
      </c>
      <c r="D1054" s="3" t="s">
        <v>27</v>
      </c>
      <c r="E1054" s="3" t="s">
        <v>130</v>
      </c>
      <c r="F1054" s="4" t="s">
        <v>74</v>
      </c>
      <c r="G1054" s="3" t="s">
        <v>2276</v>
      </c>
      <c r="H1054" s="3" t="s">
        <v>523</v>
      </c>
      <c r="I1054" s="3"/>
      <c r="J1054" s="3" t="s">
        <v>2276</v>
      </c>
      <c r="K1054" s="3" t="s">
        <v>2276</v>
      </c>
      <c r="L1054" s="3" t="s">
        <v>2276</v>
      </c>
      <c r="M1054" s="3" t="s">
        <v>2276</v>
      </c>
      <c r="N1054" s="3" t="s">
        <v>2276</v>
      </c>
      <c r="O1054" s="3" t="s">
        <v>2276</v>
      </c>
      <c r="P1054" s="3" t="s">
        <v>2276</v>
      </c>
      <c r="Q1054" s="3" t="s">
        <v>2276</v>
      </c>
      <c r="R1054" s="3" t="s">
        <v>2276</v>
      </c>
      <c r="S1054" s="3" t="s">
        <v>2276</v>
      </c>
      <c r="T1054" s="3" t="s">
        <v>2276</v>
      </c>
      <c r="U1054" s="3" t="s">
        <v>2276</v>
      </c>
      <c r="V1054" s="3" t="s">
        <v>2276</v>
      </c>
      <c r="W1054" s="3" t="s">
        <v>2276</v>
      </c>
      <c r="X1054" s="3" t="s">
        <v>2276</v>
      </c>
      <c r="Y1054" s="3" t="s">
        <v>2276</v>
      </c>
      <c r="Z1054" s="3" t="s">
        <v>86</v>
      </c>
      <c r="AA1054" s="3" t="s">
        <v>405</v>
      </c>
      <c r="AB1054" s="22" t="s">
        <v>64</v>
      </c>
      <c r="AC1054" s="3"/>
      <c r="AD1054" s="3"/>
    </row>
    <row r="1055" spans="1:30" ht="40" customHeight="1">
      <c r="A1055" s="3" t="s">
        <v>3230</v>
      </c>
      <c r="B1055" s="23" t="s">
        <v>3229</v>
      </c>
      <c r="C1055" s="3" t="s">
        <v>24</v>
      </c>
      <c r="D1055" s="3" t="s">
        <v>27</v>
      </c>
      <c r="E1055" s="3" t="s">
        <v>130</v>
      </c>
      <c r="F1055" s="4" t="s">
        <v>28</v>
      </c>
      <c r="G1055" s="3" t="s">
        <v>2276</v>
      </c>
      <c r="H1055" s="3" t="s">
        <v>523</v>
      </c>
      <c r="I1055" s="3"/>
      <c r="J1055" s="3" t="s">
        <v>2276</v>
      </c>
      <c r="K1055" s="3" t="s">
        <v>2276</v>
      </c>
      <c r="L1055" s="3" t="s">
        <v>2276</v>
      </c>
      <c r="M1055" s="3" t="s">
        <v>2276</v>
      </c>
      <c r="N1055" s="3" t="s">
        <v>2276</v>
      </c>
      <c r="O1055" s="3" t="s">
        <v>2276</v>
      </c>
      <c r="P1055" s="3" t="s">
        <v>2276</v>
      </c>
      <c r="Q1055" s="3" t="s">
        <v>2276</v>
      </c>
      <c r="R1055" s="3" t="s">
        <v>2276</v>
      </c>
      <c r="S1055" s="3" t="s">
        <v>2276</v>
      </c>
      <c r="T1055" s="3" t="s">
        <v>2276</v>
      </c>
      <c r="U1055" s="3" t="s">
        <v>2276</v>
      </c>
      <c r="V1055" s="3" t="s">
        <v>2276</v>
      </c>
      <c r="W1055" s="3" t="s">
        <v>2276</v>
      </c>
      <c r="X1055" s="3" t="s">
        <v>2276</v>
      </c>
      <c r="Y1055" s="21">
        <v>1</v>
      </c>
      <c r="Z1055" s="3" t="s">
        <v>38</v>
      </c>
      <c r="AA1055" s="3" t="s">
        <v>405</v>
      </c>
      <c r="AB1055" s="22" t="s">
        <v>64</v>
      </c>
      <c r="AC1055" s="4" t="s">
        <v>3228</v>
      </c>
      <c r="AD1055" s="3"/>
    </row>
    <row r="1056" spans="1:30" ht="40" customHeight="1">
      <c r="A1056" s="11" t="s">
        <v>3238</v>
      </c>
      <c r="B1056" s="11" t="s">
        <v>3269</v>
      </c>
      <c r="C1056" s="3" t="s">
        <v>24</v>
      </c>
      <c r="D1056" s="3" t="s">
        <v>27</v>
      </c>
      <c r="E1056" s="3" t="s">
        <v>130</v>
      </c>
      <c r="F1056" s="4" t="s">
        <v>161</v>
      </c>
      <c r="G1056" s="3" t="s">
        <v>2276</v>
      </c>
      <c r="H1056" s="3" t="s">
        <v>523</v>
      </c>
      <c r="I1056" s="3"/>
      <c r="J1056" s="3" t="s">
        <v>2276</v>
      </c>
      <c r="K1056" s="3" t="s">
        <v>2276</v>
      </c>
      <c r="L1056" s="3" t="s">
        <v>2276</v>
      </c>
      <c r="M1056" s="3" t="s">
        <v>2276</v>
      </c>
      <c r="N1056" s="3" t="s">
        <v>2276</v>
      </c>
      <c r="O1056" s="3" t="s">
        <v>2276</v>
      </c>
      <c r="P1056" s="3" t="s">
        <v>2276</v>
      </c>
      <c r="Q1056" s="3" t="s">
        <v>2276</v>
      </c>
      <c r="R1056" s="3" t="s">
        <v>2276</v>
      </c>
      <c r="S1056" s="3" t="s">
        <v>2276</v>
      </c>
      <c r="T1056" s="3" t="s">
        <v>2276</v>
      </c>
      <c r="U1056" s="3" t="s">
        <v>2276</v>
      </c>
      <c r="V1056" s="3" t="s">
        <v>2276</v>
      </c>
      <c r="W1056" s="3" t="s">
        <v>2276</v>
      </c>
      <c r="X1056" s="3" t="s">
        <v>2276</v>
      </c>
      <c r="Y1056" s="3" t="s">
        <v>2276</v>
      </c>
      <c r="Z1056" s="3" t="s">
        <v>2276</v>
      </c>
      <c r="AA1056" s="3" t="s">
        <v>2276</v>
      </c>
      <c r="AB1056" s="3" t="s">
        <v>2276</v>
      </c>
      <c r="AC1056" s="3"/>
      <c r="AD1056" s="4" t="s">
        <v>3283</v>
      </c>
    </row>
    <row r="1057" spans="1:30" ht="40" customHeight="1">
      <c r="A1057" s="11" t="s">
        <v>3241</v>
      </c>
      <c r="B1057" s="11" t="s">
        <v>3270</v>
      </c>
      <c r="C1057" s="3" t="s">
        <v>24</v>
      </c>
      <c r="D1057" s="3" t="s">
        <v>27</v>
      </c>
      <c r="E1057" s="3" t="s">
        <v>130</v>
      </c>
      <c r="F1057" s="4" t="s">
        <v>161</v>
      </c>
      <c r="G1057" s="3" t="s">
        <v>2276</v>
      </c>
      <c r="H1057" s="3" t="s">
        <v>523</v>
      </c>
      <c r="I1057" s="3"/>
      <c r="J1057" s="3" t="s">
        <v>2276</v>
      </c>
      <c r="K1057" s="3" t="s">
        <v>2276</v>
      </c>
      <c r="L1057" s="3" t="s">
        <v>2276</v>
      </c>
      <c r="M1057" s="3" t="s">
        <v>2276</v>
      </c>
      <c r="N1057" s="3" t="s">
        <v>2276</v>
      </c>
      <c r="O1057" s="3" t="s">
        <v>2276</v>
      </c>
      <c r="P1057" s="3" t="s">
        <v>2276</v>
      </c>
      <c r="Q1057" s="3" t="s">
        <v>2276</v>
      </c>
      <c r="R1057" s="3" t="s">
        <v>2276</v>
      </c>
      <c r="S1057" s="3" t="s">
        <v>2276</v>
      </c>
      <c r="T1057" s="3" t="s">
        <v>2276</v>
      </c>
      <c r="U1057" s="3" t="s">
        <v>2276</v>
      </c>
      <c r="V1057" s="3" t="s">
        <v>2276</v>
      </c>
      <c r="W1057" s="3" t="s">
        <v>2276</v>
      </c>
      <c r="X1057" s="3" t="s">
        <v>2276</v>
      </c>
      <c r="Y1057" s="3" t="s">
        <v>2276</v>
      </c>
      <c r="Z1057" s="3" t="s">
        <v>2276</v>
      </c>
      <c r="AA1057" s="3" t="s">
        <v>2276</v>
      </c>
      <c r="AB1057" s="3" t="s">
        <v>2276</v>
      </c>
      <c r="AC1057" s="3"/>
      <c r="AD1057" s="4" t="s">
        <v>3283</v>
      </c>
    </row>
    <row r="1058" spans="1:30" ht="40" customHeight="1">
      <c r="A1058" s="11" t="s">
        <v>3242</v>
      </c>
      <c r="B1058" s="11" t="s">
        <v>3271</v>
      </c>
      <c r="C1058" s="3" t="s">
        <v>24</v>
      </c>
      <c r="D1058" s="3" t="s">
        <v>27</v>
      </c>
      <c r="E1058" s="3" t="s">
        <v>130</v>
      </c>
      <c r="F1058" s="4" t="s">
        <v>161</v>
      </c>
      <c r="G1058" s="3" t="s">
        <v>2276</v>
      </c>
      <c r="H1058" s="3" t="s">
        <v>523</v>
      </c>
      <c r="I1058" s="3"/>
      <c r="J1058" s="3" t="s">
        <v>2276</v>
      </c>
      <c r="K1058" s="3" t="s">
        <v>2276</v>
      </c>
      <c r="L1058" s="3" t="s">
        <v>2276</v>
      </c>
      <c r="M1058" s="3" t="s">
        <v>2276</v>
      </c>
      <c r="N1058" s="3" t="s">
        <v>2276</v>
      </c>
      <c r="O1058" s="3" t="s">
        <v>2276</v>
      </c>
      <c r="P1058" s="3" t="s">
        <v>2276</v>
      </c>
      <c r="Q1058" s="3" t="s">
        <v>2276</v>
      </c>
      <c r="R1058" s="3" t="s">
        <v>2276</v>
      </c>
      <c r="S1058" s="3" t="s">
        <v>2276</v>
      </c>
      <c r="T1058" s="3" t="s">
        <v>2276</v>
      </c>
      <c r="U1058" s="3" t="s">
        <v>2276</v>
      </c>
      <c r="V1058" s="3" t="s">
        <v>2276</v>
      </c>
      <c r="W1058" s="3" t="s">
        <v>2276</v>
      </c>
      <c r="X1058" s="3" t="s">
        <v>2276</v>
      </c>
      <c r="Y1058" s="3" t="s">
        <v>2276</v>
      </c>
      <c r="Z1058" s="3" t="s">
        <v>2276</v>
      </c>
      <c r="AA1058" s="3" t="s">
        <v>2276</v>
      </c>
      <c r="AB1058" s="3" t="s">
        <v>2276</v>
      </c>
      <c r="AC1058" s="3"/>
      <c r="AD1058" s="4" t="s">
        <v>3283</v>
      </c>
    </row>
    <row r="1059" spans="1:30" ht="40" customHeight="1">
      <c r="A1059" s="11" t="s">
        <v>3246</v>
      </c>
      <c r="B1059" s="11" t="s">
        <v>3272</v>
      </c>
      <c r="C1059" s="3" t="s">
        <v>24</v>
      </c>
      <c r="D1059" s="3" t="s">
        <v>27</v>
      </c>
      <c r="E1059" s="3" t="s">
        <v>130</v>
      </c>
      <c r="F1059" s="4" t="s">
        <v>161</v>
      </c>
      <c r="G1059" s="3" t="s">
        <v>2276</v>
      </c>
      <c r="H1059" s="3" t="s">
        <v>523</v>
      </c>
      <c r="I1059" s="3"/>
      <c r="J1059" s="3" t="s">
        <v>2276</v>
      </c>
      <c r="K1059" s="3" t="s">
        <v>2276</v>
      </c>
      <c r="L1059" s="3" t="s">
        <v>2276</v>
      </c>
      <c r="M1059" s="3" t="s">
        <v>2276</v>
      </c>
      <c r="N1059" s="3" t="s">
        <v>2276</v>
      </c>
      <c r="O1059" s="3" t="s">
        <v>2276</v>
      </c>
      <c r="P1059" s="3" t="s">
        <v>2276</v>
      </c>
      <c r="Q1059" s="3" t="s">
        <v>2276</v>
      </c>
      <c r="R1059" s="3" t="s">
        <v>2276</v>
      </c>
      <c r="S1059" s="3" t="s">
        <v>2276</v>
      </c>
      <c r="T1059" s="3" t="s">
        <v>2276</v>
      </c>
      <c r="U1059" s="3" t="s">
        <v>2276</v>
      </c>
      <c r="V1059" s="3" t="s">
        <v>2276</v>
      </c>
      <c r="W1059" s="3" t="s">
        <v>2276</v>
      </c>
      <c r="X1059" s="3" t="s">
        <v>2276</v>
      </c>
      <c r="Y1059" s="3" t="s">
        <v>2276</v>
      </c>
      <c r="Z1059" s="3" t="s">
        <v>2276</v>
      </c>
      <c r="AA1059" s="3" t="s">
        <v>2276</v>
      </c>
      <c r="AB1059" s="3" t="s">
        <v>2276</v>
      </c>
      <c r="AC1059" s="3"/>
      <c r="AD1059" s="4" t="s">
        <v>3283</v>
      </c>
    </row>
    <row r="1060" spans="1:30" ht="40" customHeight="1">
      <c r="A1060" s="11" t="s">
        <v>3247</v>
      </c>
      <c r="B1060" s="11" t="s">
        <v>3273</v>
      </c>
      <c r="C1060" s="3" t="s">
        <v>24</v>
      </c>
      <c r="D1060" s="3" t="s">
        <v>27</v>
      </c>
      <c r="E1060" s="3" t="s">
        <v>130</v>
      </c>
      <c r="F1060" s="4" t="s">
        <v>161</v>
      </c>
      <c r="G1060" s="3" t="s">
        <v>2276</v>
      </c>
      <c r="H1060" s="3" t="s">
        <v>523</v>
      </c>
      <c r="I1060" s="3"/>
      <c r="J1060" s="3" t="s">
        <v>2276</v>
      </c>
      <c r="K1060" s="3" t="s">
        <v>2276</v>
      </c>
      <c r="L1060" s="3" t="s">
        <v>2276</v>
      </c>
      <c r="M1060" s="3" t="s">
        <v>2276</v>
      </c>
      <c r="N1060" s="3" t="s">
        <v>2276</v>
      </c>
      <c r="O1060" s="3" t="s">
        <v>2276</v>
      </c>
      <c r="P1060" s="3" t="s">
        <v>2276</v>
      </c>
      <c r="Q1060" s="3" t="s">
        <v>2276</v>
      </c>
      <c r="R1060" s="3" t="s">
        <v>2276</v>
      </c>
      <c r="S1060" s="3" t="s">
        <v>2276</v>
      </c>
      <c r="T1060" s="3" t="s">
        <v>2276</v>
      </c>
      <c r="U1060" s="3" t="s">
        <v>2276</v>
      </c>
      <c r="V1060" s="3" t="s">
        <v>2276</v>
      </c>
      <c r="W1060" s="3" t="s">
        <v>2276</v>
      </c>
      <c r="X1060" s="3" t="s">
        <v>2276</v>
      </c>
      <c r="Y1060" s="3" t="s">
        <v>2276</v>
      </c>
      <c r="Z1060" s="3" t="s">
        <v>2276</v>
      </c>
      <c r="AA1060" s="3" t="s">
        <v>2276</v>
      </c>
      <c r="AB1060" s="3" t="s">
        <v>2276</v>
      </c>
      <c r="AC1060" s="3"/>
      <c r="AD1060" s="4" t="s">
        <v>3283</v>
      </c>
    </row>
    <row r="1061" spans="1:30" ht="40" customHeight="1">
      <c r="A1061" s="11" t="s">
        <v>3248</v>
      </c>
      <c r="B1061" s="11" t="s">
        <v>3274</v>
      </c>
      <c r="C1061" s="3" t="s">
        <v>24</v>
      </c>
      <c r="D1061" s="3" t="s">
        <v>27</v>
      </c>
      <c r="E1061" s="3" t="s">
        <v>130</v>
      </c>
      <c r="F1061" s="4" t="s">
        <v>161</v>
      </c>
      <c r="G1061" s="3" t="s">
        <v>2276</v>
      </c>
      <c r="H1061" s="3" t="s">
        <v>523</v>
      </c>
      <c r="I1061" s="3"/>
      <c r="J1061" s="3" t="s">
        <v>2276</v>
      </c>
      <c r="K1061" s="3" t="s">
        <v>2276</v>
      </c>
      <c r="L1061" s="3" t="s">
        <v>2276</v>
      </c>
      <c r="M1061" s="3" t="s">
        <v>2276</v>
      </c>
      <c r="N1061" s="3" t="s">
        <v>2276</v>
      </c>
      <c r="O1061" s="3" t="s">
        <v>2276</v>
      </c>
      <c r="P1061" s="3" t="s">
        <v>2276</v>
      </c>
      <c r="Q1061" s="3" t="s">
        <v>2276</v>
      </c>
      <c r="R1061" s="3" t="s">
        <v>2276</v>
      </c>
      <c r="S1061" s="3" t="s">
        <v>2276</v>
      </c>
      <c r="T1061" s="3" t="s">
        <v>2276</v>
      </c>
      <c r="U1061" s="3" t="s">
        <v>2276</v>
      </c>
      <c r="V1061" s="3" t="s">
        <v>2276</v>
      </c>
      <c r="W1061" s="3" t="s">
        <v>2276</v>
      </c>
      <c r="X1061" s="3" t="s">
        <v>2276</v>
      </c>
      <c r="Y1061" s="3" t="s">
        <v>2276</v>
      </c>
      <c r="Z1061" s="3" t="s">
        <v>2276</v>
      </c>
      <c r="AA1061" s="3" t="s">
        <v>2276</v>
      </c>
      <c r="AB1061" s="3" t="s">
        <v>2276</v>
      </c>
      <c r="AC1061" s="3"/>
      <c r="AD1061" s="4" t="s">
        <v>3283</v>
      </c>
    </row>
    <row r="1062" spans="1:30" ht="40" customHeight="1">
      <c r="A1062" s="11" t="s">
        <v>3252</v>
      </c>
      <c r="B1062" s="11" t="s">
        <v>3275</v>
      </c>
      <c r="C1062" s="3" t="s">
        <v>24</v>
      </c>
      <c r="D1062" s="3" t="s">
        <v>27</v>
      </c>
      <c r="E1062" s="3" t="s">
        <v>130</v>
      </c>
      <c r="F1062" s="4" t="s">
        <v>161</v>
      </c>
      <c r="G1062" s="3" t="s">
        <v>2276</v>
      </c>
      <c r="H1062" s="3" t="s">
        <v>523</v>
      </c>
      <c r="I1062" s="3"/>
      <c r="J1062" s="3" t="s">
        <v>2276</v>
      </c>
      <c r="K1062" s="3" t="s">
        <v>2276</v>
      </c>
      <c r="L1062" s="3" t="s">
        <v>2276</v>
      </c>
      <c r="M1062" s="3" t="s">
        <v>2276</v>
      </c>
      <c r="N1062" s="3" t="s">
        <v>2276</v>
      </c>
      <c r="O1062" s="3" t="s">
        <v>2276</v>
      </c>
      <c r="P1062" s="3" t="s">
        <v>2276</v>
      </c>
      <c r="Q1062" s="3" t="s">
        <v>2276</v>
      </c>
      <c r="R1062" s="3" t="s">
        <v>2276</v>
      </c>
      <c r="S1062" s="3" t="s">
        <v>2276</v>
      </c>
      <c r="T1062" s="3" t="s">
        <v>2276</v>
      </c>
      <c r="U1062" s="3" t="s">
        <v>2276</v>
      </c>
      <c r="V1062" s="3" t="s">
        <v>2276</v>
      </c>
      <c r="W1062" s="3" t="s">
        <v>2276</v>
      </c>
      <c r="X1062" s="3" t="s">
        <v>2276</v>
      </c>
      <c r="Y1062" s="3" t="s">
        <v>2276</v>
      </c>
      <c r="Z1062" s="3" t="s">
        <v>2276</v>
      </c>
      <c r="AA1062" s="3" t="s">
        <v>2276</v>
      </c>
      <c r="AB1062" s="3" t="s">
        <v>2276</v>
      </c>
      <c r="AC1062" s="3"/>
      <c r="AD1062" s="4" t="s">
        <v>3283</v>
      </c>
    </row>
    <row r="1063" spans="1:30" ht="40" customHeight="1">
      <c r="A1063" s="11" t="s">
        <v>3253</v>
      </c>
      <c r="B1063" s="11" t="s">
        <v>3276</v>
      </c>
      <c r="C1063" s="3" t="s">
        <v>24</v>
      </c>
      <c r="D1063" s="3" t="s">
        <v>27</v>
      </c>
      <c r="E1063" s="3" t="s">
        <v>130</v>
      </c>
      <c r="F1063" s="4" t="s">
        <v>161</v>
      </c>
      <c r="G1063" s="3" t="s">
        <v>2276</v>
      </c>
      <c r="H1063" s="3" t="s">
        <v>523</v>
      </c>
      <c r="I1063" s="3"/>
      <c r="J1063" s="3" t="s">
        <v>2276</v>
      </c>
      <c r="K1063" s="3" t="s">
        <v>2276</v>
      </c>
      <c r="L1063" s="3" t="s">
        <v>2276</v>
      </c>
      <c r="M1063" s="3" t="s">
        <v>2276</v>
      </c>
      <c r="N1063" s="3" t="s">
        <v>2276</v>
      </c>
      <c r="O1063" s="3" t="s">
        <v>2276</v>
      </c>
      <c r="P1063" s="3" t="s">
        <v>2276</v>
      </c>
      <c r="Q1063" s="3" t="s">
        <v>2276</v>
      </c>
      <c r="R1063" s="3" t="s">
        <v>2276</v>
      </c>
      <c r="S1063" s="3" t="s">
        <v>2276</v>
      </c>
      <c r="T1063" s="3" t="s">
        <v>2276</v>
      </c>
      <c r="U1063" s="3" t="s">
        <v>2276</v>
      </c>
      <c r="V1063" s="3" t="s">
        <v>2276</v>
      </c>
      <c r="W1063" s="3" t="s">
        <v>2276</v>
      </c>
      <c r="X1063" s="3" t="s">
        <v>2276</v>
      </c>
      <c r="Y1063" s="3" t="s">
        <v>2276</v>
      </c>
      <c r="Z1063" s="3" t="s">
        <v>2276</v>
      </c>
      <c r="AA1063" s="3" t="s">
        <v>2276</v>
      </c>
      <c r="AB1063" s="3" t="s">
        <v>2276</v>
      </c>
      <c r="AC1063" s="3"/>
      <c r="AD1063" s="4" t="s">
        <v>3283</v>
      </c>
    </row>
    <row r="1064" spans="1:30" ht="40" customHeight="1">
      <c r="A1064" s="11" t="s">
        <v>3254</v>
      </c>
      <c r="B1064" s="11" t="s">
        <v>3277</v>
      </c>
      <c r="C1064" s="3" t="s">
        <v>24</v>
      </c>
      <c r="D1064" s="3" t="s">
        <v>27</v>
      </c>
      <c r="E1064" s="3" t="s">
        <v>130</v>
      </c>
      <c r="F1064" s="4" t="s">
        <v>161</v>
      </c>
      <c r="G1064" s="3" t="s">
        <v>2276</v>
      </c>
      <c r="H1064" s="3" t="s">
        <v>523</v>
      </c>
      <c r="I1064" s="3"/>
      <c r="J1064" s="3" t="s">
        <v>2276</v>
      </c>
      <c r="K1064" s="3" t="s">
        <v>2276</v>
      </c>
      <c r="L1064" s="3" t="s">
        <v>2276</v>
      </c>
      <c r="M1064" s="3" t="s">
        <v>2276</v>
      </c>
      <c r="N1064" s="3" t="s">
        <v>2276</v>
      </c>
      <c r="O1064" s="3" t="s">
        <v>2276</v>
      </c>
      <c r="P1064" s="3" t="s">
        <v>2276</v>
      </c>
      <c r="Q1064" s="3" t="s">
        <v>2276</v>
      </c>
      <c r="R1064" s="3" t="s">
        <v>2276</v>
      </c>
      <c r="S1064" s="3" t="s">
        <v>2276</v>
      </c>
      <c r="T1064" s="3" t="s">
        <v>2276</v>
      </c>
      <c r="U1064" s="3" t="s">
        <v>2276</v>
      </c>
      <c r="V1064" s="3" t="s">
        <v>2276</v>
      </c>
      <c r="W1064" s="3" t="s">
        <v>2276</v>
      </c>
      <c r="X1064" s="3" t="s">
        <v>2276</v>
      </c>
      <c r="Y1064" s="3" t="s">
        <v>2276</v>
      </c>
      <c r="Z1064" s="3" t="s">
        <v>2276</v>
      </c>
      <c r="AA1064" s="3" t="s">
        <v>2276</v>
      </c>
      <c r="AB1064" s="3" t="s">
        <v>2276</v>
      </c>
      <c r="AC1064" s="3"/>
      <c r="AD1064" s="4" t="s">
        <v>3283</v>
      </c>
    </row>
    <row r="1065" spans="1:30" ht="40" customHeight="1">
      <c r="A1065" s="11" t="s">
        <v>3258</v>
      </c>
      <c r="B1065" s="11" t="s">
        <v>3278</v>
      </c>
      <c r="C1065" s="3" t="s">
        <v>24</v>
      </c>
      <c r="D1065" s="3" t="s">
        <v>27</v>
      </c>
      <c r="E1065" s="3" t="s">
        <v>130</v>
      </c>
      <c r="F1065" s="4" t="s">
        <v>161</v>
      </c>
      <c r="G1065" s="3" t="s">
        <v>2276</v>
      </c>
      <c r="H1065" s="3" t="s">
        <v>523</v>
      </c>
      <c r="I1065" s="3"/>
      <c r="J1065" s="3" t="s">
        <v>2276</v>
      </c>
      <c r="K1065" s="3" t="s">
        <v>2276</v>
      </c>
      <c r="L1065" s="3" t="s">
        <v>2276</v>
      </c>
      <c r="M1065" s="3" t="s">
        <v>2276</v>
      </c>
      <c r="N1065" s="3" t="s">
        <v>2276</v>
      </c>
      <c r="O1065" s="3" t="s">
        <v>2276</v>
      </c>
      <c r="P1065" s="3" t="s">
        <v>2276</v>
      </c>
      <c r="Q1065" s="3" t="s">
        <v>2276</v>
      </c>
      <c r="R1065" s="3" t="s">
        <v>2276</v>
      </c>
      <c r="S1065" s="3" t="s">
        <v>2276</v>
      </c>
      <c r="T1065" s="3" t="s">
        <v>2276</v>
      </c>
      <c r="U1065" s="3" t="s">
        <v>2276</v>
      </c>
      <c r="V1065" s="3" t="s">
        <v>2276</v>
      </c>
      <c r="W1065" s="3" t="s">
        <v>2276</v>
      </c>
      <c r="X1065" s="3" t="s">
        <v>2276</v>
      </c>
      <c r="Y1065" s="3" t="s">
        <v>2276</v>
      </c>
      <c r="Z1065" s="3" t="s">
        <v>2276</v>
      </c>
      <c r="AA1065" s="3" t="s">
        <v>2276</v>
      </c>
      <c r="AB1065" s="3" t="s">
        <v>2276</v>
      </c>
      <c r="AC1065" s="3"/>
      <c r="AD1065" s="4" t="s">
        <v>3283</v>
      </c>
    </row>
    <row r="1066" spans="1:30" ht="40" customHeight="1">
      <c r="A1066" s="11" t="s">
        <v>3259</v>
      </c>
      <c r="B1066" s="11" t="s">
        <v>3279</v>
      </c>
      <c r="C1066" s="3" t="s">
        <v>24</v>
      </c>
      <c r="D1066" s="3" t="s">
        <v>27</v>
      </c>
      <c r="E1066" s="3" t="s">
        <v>130</v>
      </c>
      <c r="F1066" s="4" t="s">
        <v>161</v>
      </c>
      <c r="G1066" s="3" t="s">
        <v>2276</v>
      </c>
      <c r="H1066" s="3" t="s">
        <v>523</v>
      </c>
      <c r="I1066" s="3"/>
      <c r="J1066" s="3" t="s">
        <v>2276</v>
      </c>
      <c r="K1066" s="3" t="s">
        <v>2276</v>
      </c>
      <c r="L1066" s="3" t="s">
        <v>2276</v>
      </c>
      <c r="M1066" s="3" t="s">
        <v>2276</v>
      </c>
      <c r="N1066" s="3" t="s">
        <v>2276</v>
      </c>
      <c r="O1066" s="3" t="s">
        <v>2276</v>
      </c>
      <c r="P1066" s="3" t="s">
        <v>2276</v>
      </c>
      <c r="Q1066" s="3" t="s">
        <v>2276</v>
      </c>
      <c r="R1066" s="3" t="s">
        <v>2276</v>
      </c>
      <c r="S1066" s="3" t="s">
        <v>2276</v>
      </c>
      <c r="T1066" s="3" t="s">
        <v>2276</v>
      </c>
      <c r="U1066" s="3" t="s">
        <v>2276</v>
      </c>
      <c r="V1066" s="3" t="s">
        <v>2276</v>
      </c>
      <c r="W1066" s="3" t="s">
        <v>2276</v>
      </c>
      <c r="X1066" s="3" t="s">
        <v>2276</v>
      </c>
      <c r="Y1066" s="3" t="s">
        <v>2276</v>
      </c>
      <c r="Z1066" s="3" t="s">
        <v>2276</v>
      </c>
      <c r="AA1066" s="3" t="s">
        <v>2276</v>
      </c>
      <c r="AB1066" s="3" t="s">
        <v>2276</v>
      </c>
      <c r="AC1066" s="3"/>
      <c r="AD1066" s="4" t="s">
        <v>3283</v>
      </c>
    </row>
    <row r="1067" spans="1:30" ht="40" customHeight="1">
      <c r="A1067" s="11" t="s">
        <v>3260</v>
      </c>
      <c r="B1067" s="11" t="s">
        <v>3280</v>
      </c>
      <c r="C1067" s="3" t="s">
        <v>24</v>
      </c>
      <c r="D1067" s="3" t="s">
        <v>27</v>
      </c>
      <c r="E1067" s="3" t="s">
        <v>130</v>
      </c>
      <c r="F1067" s="4" t="s">
        <v>161</v>
      </c>
      <c r="G1067" s="3" t="s">
        <v>2276</v>
      </c>
      <c r="H1067" s="3" t="s">
        <v>523</v>
      </c>
      <c r="I1067" s="3"/>
      <c r="J1067" s="3" t="s">
        <v>2276</v>
      </c>
      <c r="K1067" s="3" t="s">
        <v>2276</v>
      </c>
      <c r="L1067" s="3" t="s">
        <v>2276</v>
      </c>
      <c r="M1067" s="3" t="s">
        <v>2276</v>
      </c>
      <c r="N1067" s="3" t="s">
        <v>2276</v>
      </c>
      <c r="O1067" s="3" t="s">
        <v>2276</v>
      </c>
      <c r="P1067" s="3" t="s">
        <v>2276</v>
      </c>
      <c r="Q1067" s="3" t="s">
        <v>2276</v>
      </c>
      <c r="R1067" s="3" t="s">
        <v>2276</v>
      </c>
      <c r="S1067" s="3" t="s">
        <v>2276</v>
      </c>
      <c r="T1067" s="3" t="s">
        <v>2276</v>
      </c>
      <c r="U1067" s="3" t="s">
        <v>2276</v>
      </c>
      <c r="V1067" s="3" t="s">
        <v>2276</v>
      </c>
      <c r="W1067" s="3" t="s">
        <v>2276</v>
      </c>
      <c r="X1067" s="3" t="s">
        <v>2276</v>
      </c>
      <c r="Y1067" s="3" t="s">
        <v>2276</v>
      </c>
      <c r="Z1067" s="3" t="s">
        <v>2276</v>
      </c>
      <c r="AA1067" s="3" t="s">
        <v>2276</v>
      </c>
      <c r="AB1067" s="3" t="s">
        <v>2276</v>
      </c>
      <c r="AC1067" s="3"/>
      <c r="AD1067" s="4" t="s">
        <v>3283</v>
      </c>
    </row>
    <row r="1068" spans="1:30" ht="40" customHeight="1">
      <c r="A1068" s="11" t="s">
        <v>3264</v>
      </c>
      <c r="B1068" s="11" t="s">
        <v>3281</v>
      </c>
      <c r="C1068" s="3" t="s">
        <v>24</v>
      </c>
      <c r="D1068" s="3" t="s">
        <v>27</v>
      </c>
      <c r="E1068" s="3" t="s">
        <v>130</v>
      </c>
      <c r="F1068" s="4" t="s">
        <v>161</v>
      </c>
      <c r="G1068" s="3" t="s">
        <v>2276</v>
      </c>
      <c r="H1068" s="3" t="s">
        <v>523</v>
      </c>
      <c r="I1068" s="3"/>
      <c r="J1068" s="3" t="s">
        <v>2276</v>
      </c>
      <c r="K1068" s="3" t="s">
        <v>2276</v>
      </c>
      <c r="L1068" s="3" t="s">
        <v>2276</v>
      </c>
      <c r="M1068" s="3" t="s">
        <v>2276</v>
      </c>
      <c r="N1068" s="3" t="s">
        <v>2276</v>
      </c>
      <c r="O1068" s="3" t="s">
        <v>2276</v>
      </c>
      <c r="P1068" s="3" t="s">
        <v>2276</v>
      </c>
      <c r="Q1068" s="3" t="s">
        <v>2276</v>
      </c>
      <c r="R1068" s="3" t="s">
        <v>2276</v>
      </c>
      <c r="S1068" s="3" t="s">
        <v>2276</v>
      </c>
      <c r="T1068" s="3" t="s">
        <v>2276</v>
      </c>
      <c r="U1068" s="3" t="s">
        <v>2276</v>
      </c>
      <c r="V1068" s="3" t="s">
        <v>2276</v>
      </c>
      <c r="W1068" s="3" t="s">
        <v>2276</v>
      </c>
      <c r="X1068" s="3" t="s">
        <v>2276</v>
      </c>
      <c r="Y1068" s="3" t="s">
        <v>2276</v>
      </c>
      <c r="Z1068" s="3" t="s">
        <v>2276</v>
      </c>
      <c r="AA1068" s="3" t="s">
        <v>2276</v>
      </c>
      <c r="AB1068" s="3" t="s">
        <v>2276</v>
      </c>
      <c r="AC1068" s="3"/>
      <c r="AD1068" s="4" t="s">
        <v>3283</v>
      </c>
    </row>
    <row r="1069" spans="1:30" ht="40" customHeight="1">
      <c r="A1069" s="11" t="s">
        <v>3265</v>
      </c>
      <c r="B1069" s="11" t="s">
        <v>3282</v>
      </c>
      <c r="C1069" s="3" t="s">
        <v>24</v>
      </c>
      <c r="D1069" s="3" t="s">
        <v>27</v>
      </c>
      <c r="E1069" s="3" t="s">
        <v>130</v>
      </c>
      <c r="F1069" s="4" t="s">
        <v>161</v>
      </c>
      <c r="G1069" s="3" t="s">
        <v>2276</v>
      </c>
      <c r="H1069" s="3" t="s">
        <v>523</v>
      </c>
      <c r="I1069" s="3"/>
      <c r="J1069" s="3" t="s">
        <v>2276</v>
      </c>
      <c r="K1069" s="3" t="s">
        <v>2276</v>
      </c>
      <c r="L1069" s="3" t="s">
        <v>2276</v>
      </c>
      <c r="M1069" s="3" t="s">
        <v>2276</v>
      </c>
      <c r="N1069" s="3" t="s">
        <v>2276</v>
      </c>
      <c r="O1069" s="3" t="s">
        <v>2276</v>
      </c>
      <c r="P1069" s="3" t="s">
        <v>2276</v>
      </c>
      <c r="Q1069" s="3" t="s">
        <v>2276</v>
      </c>
      <c r="R1069" s="3" t="s">
        <v>2276</v>
      </c>
      <c r="S1069" s="3" t="s">
        <v>2276</v>
      </c>
      <c r="T1069" s="3" t="s">
        <v>2276</v>
      </c>
      <c r="U1069" s="3" t="s">
        <v>2276</v>
      </c>
      <c r="V1069" s="3" t="s">
        <v>2276</v>
      </c>
      <c r="W1069" s="3" t="s">
        <v>2276</v>
      </c>
      <c r="X1069" s="3" t="s">
        <v>2276</v>
      </c>
      <c r="Y1069" s="3" t="s">
        <v>2276</v>
      </c>
      <c r="Z1069" s="3" t="s">
        <v>2276</v>
      </c>
      <c r="AA1069" s="3" t="s">
        <v>2276</v>
      </c>
      <c r="AB1069" s="3" t="s">
        <v>2276</v>
      </c>
      <c r="AC1069" s="3"/>
      <c r="AD1069" s="4" t="s">
        <v>3283</v>
      </c>
    </row>
    <row r="1070" spans="1:30" ht="79" customHeight="1">
      <c r="A1070" s="23" t="s">
        <v>3286</v>
      </c>
      <c r="B1070" s="23" t="s">
        <v>3291</v>
      </c>
      <c r="C1070" s="3" t="s">
        <v>24</v>
      </c>
      <c r="D1070" s="3" t="s">
        <v>1245</v>
      </c>
      <c r="E1070" s="3" t="s">
        <v>116</v>
      </c>
      <c r="F1070" s="4" t="s">
        <v>55</v>
      </c>
      <c r="G1070" s="3" t="s">
        <v>2276</v>
      </c>
      <c r="H1070" s="3" t="s">
        <v>523</v>
      </c>
      <c r="I1070" s="3"/>
      <c r="J1070" s="3" t="s">
        <v>2276</v>
      </c>
      <c r="K1070" s="3" t="s">
        <v>2276</v>
      </c>
      <c r="L1070" s="3" t="s">
        <v>2276</v>
      </c>
      <c r="M1070" s="3" t="s">
        <v>2276</v>
      </c>
      <c r="N1070" s="3" t="s">
        <v>2276</v>
      </c>
      <c r="O1070" s="3" t="s">
        <v>2276</v>
      </c>
      <c r="P1070" s="3" t="s">
        <v>2276</v>
      </c>
      <c r="Q1070" s="3" t="s">
        <v>2276</v>
      </c>
      <c r="R1070" s="3" t="s">
        <v>2276</v>
      </c>
      <c r="S1070" s="3" t="s">
        <v>2276</v>
      </c>
      <c r="T1070" s="3" t="s">
        <v>2276</v>
      </c>
      <c r="U1070" s="3" t="s">
        <v>2276</v>
      </c>
      <c r="V1070" s="3" t="s">
        <v>2276</v>
      </c>
      <c r="W1070" s="3" t="s">
        <v>2276</v>
      </c>
      <c r="X1070" s="3" t="s">
        <v>2276</v>
      </c>
      <c r="Y1070" s="21">
        <v>1.5</v>
      </c>
      <c r="Z1070" s="3" t="s">
        <v>34</v>
      </c>
      <c r="AA1070" s="3" t="s">
        <v>404</v>
      </c>
      <c r="AB1070" s="3" t="s">
        <v>76</v>
      </c>
      <c r="AC1070" s="4" t="s">
        <v>3294</v>
      </c>
      <c r="AD1070" s="4" t="s">
        <v>3292</v>
      </c>
    </row>
    <row r="1071" spans="1:30" ht="52.5" customHeight="1">
      <c r="A1071" s="23" t="s">
        <v>3286</v>
      </c>
      <c r="B1071" s="23" t="s">
        <v>3293</v>
      </c>
      <c r="C1071" s="3" t="s">
        <v>24</v>
      </c>
      <c r="D1071" s="3" t="s">
        <v>1245</v>
      </c>
      <c r="E1071" s="3" t="s">
        <v>116</v>
      </c>
      <c r="F1071" s="4" t="s">
        <v>2662</v>
      </c>
      <c r="G1071" s="3" t="s">
        <v>2276</v>
      </c>
      <c r="H1071" s="3" t="s">
        <v>523</v>
      </c>
      <c r="I1071" s="3"/>
      <c r="J1071" s="3" t="s">
        <v>2276</v>
      </c>
      <c r="K1071" s="3" t="s">
        <v>2276</v>
      </c>
      <c r="L1071" s="3" t="s">
        <v>2276</v>
      </c>
      <c r="M1071" s="3" t="s">
        <v>2276</v>
      </c>
      <c r="N1071" s="3" t="s">
        <v>2276</v>
      </c>
      <c r="O1071" s="3" t="s">
        <v>2276</v>
      </c>
      <c r="P1071" s="3" t="s">
        <v>2276</v>
      </c>
      <c r="Q1071" s="3" t="s">
        <v>2276</v>
      </c>
      <c r="R1071" s="3" t="s">
        <v>2276</v>
      </c>
      <c r="S1071" s="3" t="s">
        <v>2276</v>
      </c>
      <c r="T1071" s="3" t="s">
        <v>2276</v>
      </c>
      <c r="U1071" s="3" t="s">
        <v>2276</v>
      </c>
      <c r="V1071" s="3" t="s">
        <v>2276</v>
      </c>
      <c r="W1071" s="3" t="s">
        <v>2276</v>
      </c>
      <c r="X1071" s="3" t="s">
        <v>2276</v>
      </c>
      <c r="Y1071" s="21">
        <v>3.5</v>
      </c>
      <c r="Z1071" s="3" t="s">
        <v>405</v>
      </c>
      <c r="AA1071" s="3" t="s">
        <v>425</v>
      </c>
      <c r="AB1071" s="3" t="s">
        <v>76</v>
      </c>
      <c r="AC1071" s="3"/>
      <c r="AD1071" s="3"/>
    </row>
    <row r="1072" spans="1:30" ht="45.5" customHeight="1">
      <c r="A1072" s="23" t="s">
        <v>3297</v>
      </c>
      <c r="B1072" s="23" t="s">
        <v>3308</v>
      </c>
      <c r="C1072" s="3" t="s">
        <v>24</v>
      </c>
      <c r="D1072" s="3" t="s">
        <v>25</v>
      </c>
      <c r="E1072" s="3" t="s">
        <v>5005</v>
      </c>
      <c r="F1072" s="4" t="s">
        <v>55</v>
      </c>
      <c r="G1072" s="3" t="s">
        <v>2276</v>
      </c>
      <c r="H1072" s="3" t="s">
        <v>523</v>
      </c>
      <c r="I1072" s="3"/>
      <c r="J1072" s="3" t="s">
        <v>2276</v>
      </c>
      <c r="K1072" s="3" t="s">
        <v>2276</v>
      </c>
      <c r="L1072" s="3" t="s">
        <v>2276</v>
      </c>
      <c r="M1072" s="3" t="s">
        <v>2276</v>
      </c>
      <c r="N1072" s="3" t="s">
        <v>2276</v>
      </c>
      <c r="O1072" s="3" t="s">
        <v>2276</v>
      </c>
      <c r="P1072" s="3" t="s">
        <v>2276</v>
      </c>
      <c r="Q1072" s="3" t="s">
        <v>2276</v>
      </c>
      <c r="R1072" s="3" t="s">
        <v>2276</v>
      </c>
      <c r="S1072" s="3" t="s">
        <v>2276</v>
      </c>
      <c r="T1072" s="3" t="s">
        <v>2276</v>
      </c>
      <c r="U1072" s="3" t="s">
        <v>2276</v>
      </c>
      <c r="V1072" s="3" t="s">
        <v>2276</v>
      </c>
      <c r="W1072" s="3" t="s">
        <v>2276</v>
      </c>
      <c r="X1072" s="3" t="s">
        <v>2276</v>
      </c>
      <c r="Y1072" s="21">
        <v>1</v>
      </c>
      <c r="Z1072" s="3" t="s">
        <v>188</v>
      </c>
      <c r="AA1072" s="3" t="s">
        <v>189</v>
      </c>
      <c r="AB1072" s="3" t="s">
        <v>2655</v>
      </c>
      <c r="AC1072" s="4" t="s">
        <v>3319</v>
      </c>
      <c r="AD1072" s="4" t="s">
        <v>3310</v>
      </c>
    </row>
    <row r="1073" spans="1:30" ht="44" customHeight="1">
      <c r="A1073" s="23" t="s">
        <v>3297</v>
      </c>
      <c r="B1073" s="23" t="s">
        <v>3309</v>
      </c>
      <c r="C1073" s="3" t="s">
        <v>24</v>
      </c>
      <c r="D1073" s="3" t="s">
        <v>25</v>
      </c>
      <c r="E1073" s="3" t="s">
        <v>5005</v>
      </c>
      <c r="F1073" s="4" t="s">
        <v>2662</v>
      </c>
      <c r="G1073" s="3" t="s">
        <v>2276</v>
      </c>
      <c r="H1073" s="3" t="s">
        <v>523</v>
      </c>
      <c r="I1073" s="3"/>
      <c r="J1073" s="3" t="s">
        <v>2276</v>
      </c>
      <c r="K1073" s="3" t="s">
        <v>2276</v>
      </c>
      <c r="L1073" s="3" t="s">
        <v>2276</v>
      </c>
      <c r="M1073" s="3" t="s">
        <v>2276</v>
      </c>
      <c r="N1073" s="3" t="s">
        <v>2276</v>
      </c>
      <c r="O1073" s="3" t="s">
        <v>2276</v>
      </c>
      <c r="P1073" s="3" t="s">
        <v>2276</v>
      </c>
      <c r="Q1073" s="3" t="s">
        <v>2276</v>
      </c>
      <c r="R1073" s="3" t="s">
        <v>2276</v>
      </c>
      <c r="S1073" s="3" t="s">
        <v>2276</v>
      </c>
      <c r="T1073" s="3" t="s">
        <v>2276</v>
      </c>
      <c r="U1073" s="3" t="s">
        <v>2276</v>
      </c>
      <c r="V1073" s="3" t="s">
        <v>2276</v>
      </c>
      <c r="W1073" s="3" t="s">
        <v>2276</v>
      </c>
      <c r="X1073" s="3" t="s">
        <v>2276</v>
      </c>
      <c r="Y1073" s="21">
        <v>1</v>
      </c>
      <c r="Z1073" s="3" t="s">
        <v>188</v>
      </c>
      <c r="AA1073" s="3" t="s">
        <v>189</v>
      </c>
      <c r="AB1073" s="3" t="s">
        <v>2655</v>
      </c>
      <c r="AC1073" s="4" t="s">
        <v>3319</v>
      </c>
      <c r="AD1073" s="4" t="s">
        <v>3310</v>
      </c>
    </row>
    <row r="1074" spans="1:30" ht="46.5" customHeight="1">
      <c r="A1074" s="23" t="s">
        <v>3302</v>
      </c>
      <c r="B1074" s="23" t="s">
        <v>3311</v>
      </c>
      <c r="C1074" s="3" t="s">
        <v>24</v>
      </c>
      <c r="D1074" s="3" t="s">
        <v>25</v>
      </c>
      <c r="E1074" s="3" t="s">
        <v>5005</v>
      </c>
      <c r="F1074" s="4" t="s">
        <v>55</v>
      </c>
      <c r="G1074" s="3" t="s">
        <v>2276</v>
      </c>
      <c r="H1074" s="3" t="s">
        <v>523</v>
      </c>
      <c r="I1074" s="3"/>
      <c r="J1074" s="3" t="s">
        <v>2276</v>
      </c>
      <c r="K1074" s="3" t="s">
        <v>2276</v>
      </c>
      <c r="L1074" s="3" t="s">
        <v>2276</v>
      </c>
      <c r="M1074" s="3" t="s">
        <v>2276</v>
      </c>
      <c r="N1074" s="3" t="s">
        <v>2276</v>
      </c>
      <c r="O1074" s="3" t="s">
        <v>2276</v>
      </c>
      <c r="P1074" s="3" t="s">
        <v>2276</v>
      </c>
      <c r="Q1074" s="3" t="s">
        <v>2276</v>
      </c>
      <c r="R1074" s="3" t="s">
        <v>2276</v>
      </c>
      <c r="S1074" s="3" t="s">
        <v>2276</v>
      </c>
      <c r="T1074" s="3" t="s">
        <v>2276</v>
      </c>
      <c r="U1074" s="3" t="s">
        <v>2276</v>
      </c>
      <c r="V1074" s="3" t="s">
        <v>2276</v>
      </c>
      <c r="W1074" s="3" t="s">
        <v>2276</v>
      </c>
      <c r="X1074" s="3" t="s">
        <v>2276</v>
      </c>
      <c r="Y1074" s="21">
        <v>1</v>
      </c>
      <c r="Z1074" s="3" t="s">
        <v>188</v>
      </c>
      <c r="AA1074" s="3" t="s">
        <v>189</v>
      </c>
      <c r="AB1074" s="3" t="s">
        <v>2655</v>
      </c>
      <c r="AC1074" s="4" t="s">
        <v>3319</v>
      </c>
      <c r="AD1074" s="4" t="s">
        <v>3310</v>
      </c>
    </row>
    <row r="1075" spans="1:30" ht="46.5" customHeight="1">
      <c r="A1075" s="23" t="s">
        <v>3302</v>
      </c>
      <c r="B1075" s="23" t="s">
        <v>3312</v>
      </c>
      <c r="C1075" s="3" t="s">
        <v>24</v>
      </c>
      <c r="D1075" s="3" t="s">
        <v>25</v>
      </c>
      <c r="E1075" s="3" t="s">
        <v>5005</v>
      </c>
      <c r="F1075" s="4" t="s">
        <v>2662</v>
      </c>
      <c r="G1075" s="3" t="s">
        <v>2276</v>
      </c>
      <c r="H1075" s="3" t="s">
        <v>523</v>
      </c>
      <c r="I1075" s="3"/>
      <c r="J1075" s="3" t="s">
        <v>2276</v>
      </c>
      <c r="K1075" s="3" t="s">
        <v>2276</v>
      </c>
      <c r="L1075" s="3" t="s">
        <v>2276</v>
      </c>
      <c r="M1075" s="3" t="s">
        <v>2276</v>
      </c>
      <c r="N1075" s="3" t="s">
        <v>2276</v>
      </c>
      <c r="O1075" s="3" t="s">
        <v>2276</v>
      </c>
      <c r="P1075" s="3" t="s">
        <v>2276</v>
      </c>
      <c r="Q1075" s="3" t="s">
        <v>2276</v>
      </c>
      <c r="R1075" s="3" t="s">
        <v>2276</v>
      </c>
      <c r="S1075" s="3" t="s">
        <v>2276</v>
      </c>
      <c r="T1075" s="3" t="s">
        <v>2276</v>
      </c>
      <c r="U1075" s="3" t="s">
        <v>2276</v>
      </c>
      <c r="V1075" s="3" t="s">
        <v>2276</v>
      </c>
      <c r="W1075" s="3" t="s">
        <v>2276</v>
      </c>
      <c r="X1075" s="3" t="s">
        <v>2276</v>
      </c>
      <c r="Y1075" s="21">
        <v>1</v>
      </c>
      <c r="Z1075" s="3" t="s">
        <v>188</v>
      </c>
      <c r="AA1075" s="3" t="s">
        <v>189</v>
      </c>
      <c r="AB1075" s="3" t="s">
        <v>2655</v>
      </c>
      <c r="AC1075" s="4" t="s">
        <v>3319</v>
      </c>
      <c r="AD1075" s="4" t="s">
        <v>3310</v>
      </c>
    </row>
    <row r="1076" spans="1:30" ht="49" customHeight="1">
      <c r="A1076" s="23" t="s">
        <v>3303</v>
      </c>
      <c r="B1076" s="23" t="s">
        <v>3313</v>
      </c>
      <c r="C1076" s="3" t="s">
        <v>24</v>
      </c>
      <c r="D1076" s="3" t="s">
        <v>25</v>
      </c>
      <c r="E1076" s="3" t="s">
        <v>5005</v>
      </c>
      <c r="F1076" s="4" t="s">
        <v>55</v>
      </c>
      <c r="G1076" s="3" t="s">
        <v>2276</v>
      </c>
      <c r="H1076" s="3" t="s">
        <v>523</v>
      </c>
      <c r="I1076" s="3"/>
      <c r="J1076" s="3" t="s">
        <v>2276</v>
      </c>
      <c r="K1076" s="3" t="s">
        <v>2276</v>
      </c>
      <c r="L1076" s="3" t="s">
        <v>2276</v>
      </c>
      <c r="M1076" s="3" t="s">
        <v>2276</v>
      </c>
      <c r="N1076" s="3" t="s">
        <v>2276</v>
      </c>
      <c r="O1076" s="3" t="s">
        <v>2276</v>
      </c>
      <c r="P1076" s="3" t="s">
        <v>2276</v>
      </c>
      <c r="Q1076" s="3" t="s">
        <v>2276</v>
      </c>
      <c r="R1076" s="3" t="s">
        <v>2276</v>
      </c>
      <c r="S1076" s="3" t="s">
        <v>2276</v>
      </c>
      <c r="T1076" s="3" t="s">
        <v>2276</v>
      </c>
      <c r="U1076" s="3" t="s">
        <v>2276</v>
      </c>
      <c r="V1076" s="3" t="s">
        <v>2276</v>
      </c>
      <c r="W1076" s="3" t="s">
        <v>2276</v>
      </c>
      <c r="X1076" s="3" t="s">
        <v>2276</v>
      </c>
      <c r="Y1076" s="21">
        <v>1</v>
      </c>
      <c r="Z1076" s="3" t="s">
        <v>188</v>
      </c>
      <c r="AA1076" s="3" t="s">
        <v>189</v>
      </c>
      <c r="AB1076" s="3" t="s">
        <v>2655</v>
      </c>
      <c r="AC1076" s="4" t="s">
        <v>3319</v>
      </c>
      <c r="AD1076" s="4" t="s">
        <v>3310</v>
      </c>
    </row>
    <row r="1077" spans="1:30" ht="47" customHeight="1">
      <c r="A1077" s="23" t="s">
        <v>3303</v>
      </c>
      <c r="B1077" s="23" t="s">
        <v>3314</v>
      </c>
      <c r="C1077" s="3" t="s">
        <v>24</v>
      </c>
      <c r="D1077" s="3" t="s">
        <v>25</v>
      </c>
      <c r="E1077" s="3" t="s">
        <v>5005</v>
      </c>
      <c r="F1077" s="4" t="s">
        <v>2662</v>
      </c>
      <c r="G1077" s="3" t="s">
        <v>2276</v>
      </c>
      <c r="H1077" s="3" t="s">
        <v>523</v>
      </c>
      <c r="I1077" s="3"/>
      <c r="J1077" s="3" t="s">
        <v>2276</v>
      </c>
      <c r="K1077" s="3" t="s">
        <v>2276</v>
      </c>
      <c r="L1077" s="3" t="s">
        <v>2276</v>
      </c>
      <c r="M1077" s="3" t="s">
        <v>2276</v>
      </c>
      <c r="N1077" s="3" t="s">
        <v>2276</v>
      </c>
      <c r="O1077" s="3" t="s">
        <v>2276</v>
      </c>
      <c r="P1077" s="3" t="s">
        <v>2276</v>
      </c>
      <c r="Q1077" s="3" t="s">
        <v>2276</v>
      </c>
      <c r="R1077" s="3" t="s">
        <v>2276</v>
      </c>
      <c r="S1077" s="3" t="s">
        <v>2276</v>
      </c>
      <c r="T1077" s="3" t="s">
        <v>2276</v>
      </c>
      <c r="U1077" s="3" t="s">
        <v>2276</v>
      </c>
      <c r="V1077" s="3" t="s">
        <v>2276</v>
      </c>
      <c r="W1077" s="3" t="s">
        <v>2276</v>
      </c>
      <c r="X1077" s="3" t="s">
        <v>2276</v>
      </c>
      <c r="Y1077" s="21">
        <v>1</v>
      </c>
      <c r="Z1077" s="3" t="s">
        <v>188</v>
      </c>
      <c r="AA1077" s="3" t="s">
        <v>189</v>
      </c>
      <c r="AB1077" s="3" t="s">
        <v>2655</v>
      </c>
      <c r="AC1077" s="4" t="s">
        <v>3319</v>
      </c>
      <c r="AD1077" s="4" t="s">
        <v>3310</v>
      </c>
    </row>
    <row r="1078" spans="1:30" ht="45.5" customHeight="1">
      <c r="A1078" s="23" t="s">
        <v>3305</v>
      </c>
      <c r="B1078" s="23" t="s">
        <v>3317</v>
      </c>
      <c r="C1078" s="3" t="s">
        <v>24</v>
      </c>
      <c r="D1078" s="3" t="s">
        <v>25</v>
      </c>
      <c r="E1078" s="3" t="s">
        <v>5005</v>
      </c>
      <c r="F1078" s="4" t="s">
        <v>55</v>
      </c>
      <c r="G1078" s="3" t="s">
        <v>2276</v>
      </c>
      <c r="H1078" s="3" t="s">
        <v>523</v>
      </c>
      <c r="I1078" s="3"/>
      <c r="J1078" s="3" t="s">
        <v>2276</v>
      </c>
      <c r="K1078" s="3" t="s">
        <v>2276</v>
      </c>
      <c r="L1078" s="3" t="s">
        <v>2276</v>
      </c>
      <c r="M1078" s="3" t="s">
        <v>2276</v>
      </c>
      <c r="N1078" s="3" t="s">
        <v>2276</v>
      </c>
      <c r="O1078" s="3" t="s">
        <v>2276</v>
      </c>
      <c r="P1078" s="3" t="s">
        <v>2276</v>
      </c>
      <c r="Q1078" s="3" t="s">
        <v>2276</v>
      </c>
      <c r="R1078" s="3" t="s">
        <v>2276</v>
      </c>
      <c r="S1078" s="3" t="s">
        <v>2276</v>
      </c>
      <c r="T1078" s="3" t="s">
        <v>2276</v>
      </c>
      <c r="U1078" s="3" t="s">
        <v>2276</v>
      </c>
      <c r="V1078" s="3" t="s">
        <v>2276</v>
      </c>
      <c r="W1078" s="3" t="s">
        <v>2276</v>
      </c>
      <c r="X1078" s="3" t="s">
        <v>2276</v>
      </c>
      <c r="Y1078" s="3" t="s">
        <v>2276</v>
      </c>
      <c r="Z1078" s="3" t="s">
        <v>188</v>
      </c>
      <c r="AA1078" s="3" t="s">
        <v>189</v>
      </c>
      <c r="AB1078" s="3" t="s">
        <v>2655</v>
      </c>
      <c r="AC1078" s="4" t="s">
        <v>3318</v>
      </c>
      <c r="AD1078" s="4" t="s">
        <v>3310</v>
      </c>
    </row>
    <row r="1079" spans="1:30" ht="43.5">
      <c r="A1079" s="23" t="s">
        <v>3306</v>
      </c>
      <c r="B1079" s="23" t="s">
        <v>3320</v>
      </c>
      <c r="C1079" s="3" t="s">
        <v>24</v>
      </c>
      <c r="D1079" s="3" t="s">
        <v>25</v>
      </c>
      <c r="E1079" s="3" t="s">
        <v>5005</v>
      </c>
      <c r="F1079" s="4" t="s">
        <v>55</v>
      </c>
      <c r="G1079" s="3" t="s">
        <v>2276</v>
      </c>
      <c r="H1079" s="3" t="s">
        <v>523</v>
      </c>
      <c r="I1079" s="3"/>
      <c r="J1079" s="3" t="s">
        <v>2276</v>
      </c>
      <c r="K1079" s="3" t="s">
        <v>2276</v>
      </c>
      <c r="L1079" s="3" t="s">
        <v>2276</v>
      </c>
      <c r="M1079" s="3" t="s">
        <v>2276</v>
      </c>
      <c r="N1079" s="3" t="s">
        <v>2276</v>
      </c>
      <c r="O1079" s="3" t="s">
        <v>2276</v>
      </c>
      <c r="P1079" s="3" t="s">
        <v>2276</v>
      </c>
      <c r="Q1079" s="3" t="s">
        <v>2276</v>
      </c>
      <c r="R1079" s="3" t="s">
        <v>2276</v>
      </c>
      <c r="S1079" s="3" t="s">
        <v>2276</v>
      </c>
      <c r="T1079" s="3" t="s">
        <v>2276</v>
      </c>
      <c r="U1079" s="3" t="s">
        <v>2276</v>
      </c>
      <c r="V1079" s="3" t="s">
        <v>2276</v>
      </c>
      <c r="W1079" s="3" t="s">
        <v>2276</v>
      </c>
      <c r="X1079" s="3" t="s">
        <v>2276</v>
      </c>
      <c r="Y1079" s="3" t="s">
        <v>2276</v>
      </c>
      <c r="Z1079" s="3" t="s">
        <v>188</v>
      </c>
      <c r="AA1079" s="3" t="s">
        <v>189</v>
      </c>
      <c r="AB1079" s="3" t="s">
        <v>2655</v>
      </c>
      <c r="AC1079" s="4" t="s">
        <v>3318</v>
      </c>
      <c r="AD1079" s="4" t="s">
        <v>3310</v>
      </c>
    </row>
    <row r="1080" spans="1:30" ht="43.5">
      <c r="A1080" s="23" t="s">
        <v>3307</v>
      </c>
      <c r="B1080" s="23" t="s">
        <v>3321</v>
      </c>
      <c r="C1080" s="3" t="s">
        <v>24</v>
      </c>
      <c r="D1080" s="3" t="s">
        <v>25</v>
      </c>
      <c r="E1080" s="3" t="s">
        <v>5005</v>
      </c>
      <c r="F1080" s="4" t="s">
        <v>55</v>
      </c>
      <c r="G1080" s="3" t="s">
        <v>2276</v>
      </c>
      <c r="H1080" s="3" t="s">
        <v>523</v>
      </c>
      <c r="I1080" s="3"/>
      <c r="J1080" s="3" t="s">
        <v>2276</v>
      </c>
      <c r="K1080" s="3" t="s">
        <v>2276</v>
      </c>
      <c r="L1080" s="3" t="s">
        <v>2276</v>
      </c>
      <c r="M1080" s="3" t="s">
        <v>2276</v>
      </c>
      <c r="N1080" s="3" t="s">
        <v>2276</v>
      </c>
      <c r="O1080" s="3" t="s">
        <v>2276</v>
      </c>
      <c r="P1080" s="3" t="s">
        <v>2276</v>
      </c>
      <c r="Q1080" s="3" t="s">
        <v>2276</v>
      </c>
      <c r="R1080" s="3" t="s">
        <v>2276</v>
      </c>
      <c r="S1080" s="3" t="s">
        <v>2276</v>
      </c>
      <c r="T1080" s="3" t="s">
        <v>2276</v>
      </c>
      <c r="U1080" s="3" t="s">
        <v>2276</v>
      </c>
      <c r="V1080" s="3" t="s">
        <v>2276</v>
      </c>
      <c r="W1080" s="3" t="s">
        <v>2276</v>
      </c>
      <c r="X1080" s="3" t="s">
        <v>2276</v>
      </c>
      <c r="Y1080" s="3" t="s">
        <v>2276</v>
      </c>
      <c r="Z1080" s="3" t="s">
        <v>188</v>
      </c>
      <c r="AA1080" s="3" t="s">
        <v>189</v>
      </c>
      <c r="AB1080" s="3" t="s">
        <v>2655</v>
      </c>
      <c r="AC1080" s="4" t="s">
        <v>3318</v>
      </c>
      <c r="AD1080" s="4" t="s">
        <v>3310</v>
      </c>
    </row>
    <row r="1081" spans="1:30" ht="43.5" customHeight="1">
      <c r="A1081" s="23" t="s">
        <v>3297</v>
      </c>
      <c r="B1081" s="23" t="s">
        <v>3322</v>
      </c>
      <c r="C1081" s="3" t="s">
        <v>24</v>
      </c>
      <c r="D1081" s="3" t="s">
        <v>144</v>
      </c>
      <c r="E1081" s="3" t="s">
        <v>137</v>
      </c>
      <c r="F1081" s="4" t="s">
        <v>55</v>
      </c>
      <c r="G1081" s="3" t="s">
        <v>2276</v>
      </c>
      <c r="H1081" s="3" t="s">
        <v>523</v>
      </c>
      <c r="I1081" s="3"/>
      <c r="J1081" s="3" t="s">
        <v>2276</v>
      </c>
      <c r="K1081" s="3" t="s">
        <v>2276</v>
      </c>
      <c r="L1081" s="3" t="s">
        <v>2276</v>
      </c>
      <c r="M1081" s="3" t="s">
        <v>2276</v>
      </c>
      <c r="N1081" s="3" t="s">
        <v>2276</v>
      </c>
      <c r="O1081" s="3" t="s">
        <v>2276</v>
      </c>
      <c r="P1081" s="3" t="s">
        <v>2276</v>
      </c>
      <c r="Q1081" s="3" t="s">
        <v>2276</v>
      </c>
      <c r="R1081" s="3" t="s">
        <v>2276</v>
      </c>
      <c r="S1081" s="3" t="s">
        <v>2276</v>
      </c>
      <c r="T1081" s="3" t="s">
        <v>2276</v>
      </c>
      <c r="U1081" s="3" t="s">
        <v>2276</v>
      </c>
      <c r="V1081" s="3" t="s">
        <v>2276</v>
      </c>
      <c r="W1081" s="3" t="s">
        <v>2276</v>
      </c>
      <c r="X1081" s="3" t="s">
        <v>2276</v>
      </c>
      <c r="Y1081" s="3" t="s">
        <v>2276</v>
      </c>
      <c r="Z1081" s="3" t="s">
        <v>2276</v>
      </c>
      <c r="AA1081" s="3" t="s">
        <v>2276</v>
      </c>
      <c r="AB1081" s="3" t="s">
        <v>2276</v>
      </c>
      <c r="AC1081" s="4" t="s">
        <v>3328</v>
      </c>
      <c r="AD1081" s="4"/>
    </row>
    <row r="1082" spans="1:30" ht="36" customHeight="1">
      <c r="A1082" s="23" t="s">
        <v>3297</v>
      </c>
      <c r="B1082" s="23" t="s">
        <v>3323</v>
      </c>
      <c r="C1082" s="3" t="s">
        <v>24</v>
      </c>
      <c r="D1082" s="3" t="s">
        <v>144</v>
      </c>
      <c r="E1082" s="3" t="s">
        <v>137</v>
      </c>
      <c r="F1082" s="4" t="s">
        <v>2662</v>
      </c>
      <c r="G1082" s="3" t="s">
        <v>2276</v>
      </c>
      <c r="H1082" s="3" t="s">
        <v>523</v>
      </c>
      <c r="I1082" s="3"/>
      <c r="J1082" s="3" t="s">
        <v>2276</v>
      </c>
      <c r="K1082" s="3" t="s">
        <v>2276</v>
      </c>
      <c r="L1082" s="3" t="s">
        <v>2276</v>
      </c>
      <c r="M1082" s="3" t="s">
        <v>2276</v>
      </c>
      <c r="N1082" s="3" t="s">
        <v>2276</v>
      </c>
      <c r="O1082" s="3" t="s">
        <v>2276</v>
      </c>
      <c r="P1082" s="3" t="s">
        <v>2276</v>
      </c>
      <c r="Q1082" s="3" t="s">
        <v>2276</v>
      </c>
      <c r="R1082" s="3" t="s">
        <v>2276</v>
      </c>
      <c r="S1082" s="3" t="s">
        <v>2276</v>
      </c>
      <c r="T1082" s="3" t="s">
        <v>2276</v>
      </c>
      <c r="U1082" s="3" t="s">
        <v>2276</v>
      </c>
      <c r="V1082" s="3" t="s">
        <v>2276</v>
      </c>
      <c r="W1082" s="3" t="s">
        <v>2276</v>
      </c>
      <c r="X1082" s="3" t="s">
        <v>2276</v>
      </c>
      <c r="Y1082" s="3" t="s">
        <v>2276</v>
      </c>
      <c r="Z1082" s="3" t="s">
        <v>2276</v>
      </c>
      <c r="AA1082" s="3" t="s">
        <v>2276</v>
      </c>
      <c r="AB1082" s="3" t="s">
        <v>2276</v>
      </c>
      <c r="AC1082" s="4" t="s">
        <v>3328</v>
      </c>
      <c r="AD1082" s="4"/>
    </row>
    <row r="1083" spans="1:30" ht="33.5" customHeight="1">
      <c r="A1083" s="23" t="s">
        <v>3302</v>
      </c>
      <c r="B1083" s="23" t="s">
        <v>3324</v>
      </c>
      <c r="C1083" s="3" t="s">
        <v>24</v>
      </c>
      <c r="D1083" s="3" t="s">
        <v>144</v>
      </c>
      <c r="E1083" s="3" t="s">
        <v>137</v>
      </c>
      <c r="F1083" s="4" t="s">
        <v>55</v>
      </c>
      <c r="G1083" s="3" t="s">
        <v>2276</v>
      </c>
      <c r="H1083" s="3" t="s">
        <v>523</v>
      </c>
      <c r="I1083" s="3"/>
      <c r="J1083" s="3" t="s">
        <v>2276</v>
      </c>
      <c r="K1083" s="3" t="s">
        <v>2276</v>
      </c>
      <c r="L1083" s="3" t="s">
        <v>2276</v>
      </c>
      <c r="M1083" s="3" t="s">
        <v>2276</v>
      </c>
      <c r="N1083" s="3" t="s">
        <v>2276</v>
      </c>
      <c r="O1083" s="3" t="s">
        <v>2276</v>
      </c>
      <c r="P1083" s="3" t="s">
        <v>2276</v>
      </c>
      <c r="Q1083" s="3" t="s">
        <v>2276</v>
      </c>
      <c r="R1083" s="3" t="s">
        <v>2276</v>
      </c>
      <c r="S1083" s="3" t="s">
        <v>2276</v>
      </c>
      <c r="T1083" s="3" t="s">
        <v>2276</v>
      </c>
      <c r="U1083" s="3" t="s">
        <v>2276</v>
      </c>
      <c r="V1083" s="3" t="s">
        <v>2276</v>
      </c>
      <c r="W1083" s="3" t="s">
        <v>2276</v>
      </c>
      <c r="X1083" s="3" t="s">
        <v>2276</v>
      </c>
      <c r="Y1083" s="3" t="s">
        <v>2276</v>
      </c>
      <c r="Z1083" s="3" t="s">
        <v>2276</v>
      </c>
      <c r="AA1083" s="3" t="s">
        <v>2276</v>
      </c>
      <c r="AB1083" s="3" t="s">
        <v>2276</v>
      </c>
      <c r="AC1083" s="4" t="s">
        <v>3328</v>
      </c>
      <c r="AD1083" s="4"/>
    </row>
    <row r="1084" spans="1:30" ht="35.5" customHeight="1">
      <c r="A1084" s="23" t="s">
        <v>3302</v>
      </c>
      <c r="B1084" s="23" t="s">
        <v>3325</v>
      </c>
      <c r="C1084" s="3" t="s">
        <v>24</v>
      </c>
      <c r="D1084" s="3" t="s">
        <v>144</v>
      </c>
      <c r="E1084" s="3" t="s">
        <v>137</v>
      </c>
      <c r="F1084" s="4" t="s">
        <v>2662</v>
      </c>
      <c r="G1084" s="3" t="s">
        <v>2276</v>
      </c>
      <c r="H1084" s="3" t="s">
        <v>523</v>
      </c>
      <c r="I1084" s="3"/>
      <c r="J1084" s="3" t="s">
        <v>2276</v>
      </c>
      <c r="K1084" s="3" t="s">
        <v>2276</v>
      </c>
      <c r="L1084" s="3" t="s">
        <v>2276</v>
      </c>
      <c r="M1084" s="3" t="s">
        <v>2276</v>
      </c>
      <c r="N1084" s="3" t="s">
        <v>2276</v>
      </c>
      <c r="O1084" s="3" t="s">
        <v>2276</v>
      </c>
      <c r="P1084" s="3" t="s">
        <v>2276</v>
      </c>
      <c r="Q1084" s="3" t="s">
        <v>2276</v>
      </c>
      <c r="R1084" s="3" t="s">
        <v>2276</v>
      </c>
      <c r="S1084" s="3" t="s">
        <v>2276</v>
      </c>
      <c r="T1084" s="3" t="s">
        <v>2276</v>
      </c>
      <c r="U1084" s="3" t="s">
        <v>2276</v>
      </c>
      <c r="V1084" s="3" t="s">
        <v>2276</v>
      </c>
      <c r="W1084" s="3" t="s">
        <v>2276</v>
      </c>
      <c r="X1084" s="3" t="s">
        <v>2276</v>
      </c>
      <c r="Y1084" s="3" t="s">
        <v>2276</v>
      </c>
      <c r="Z1084" s="3" t="s">
        <v>2276</v>
      </c>
      <c r="AA1084" s="3" t="s">
        <v>2276</v>
      </c>
      <c r="AB1084" s="3" t="s">
        <v>2276</v>
      </c>
      <c r="AC1084" s="4" t="s">
        <v>3328</v>
      </c>
      <c r="AD1084" s="3"/>
    </row>
    <row r="1085" spans="1:30" ht="37" customHeight="1">
      <c r="A1085" s="23" t="s">
        <v>3303</v>
      </c>
      <c r="B1085" s="23" t="s">
        <v>3326</v>
      </c>
      <c r="C1085" s="3" t="s">
        <v>24</v>
      </c>
      <c r="D1085" s="3" t="s">
        <v>144</v>
      </c>
      <c r="E1085" s="3" t="s">
        <v>137</v>
      </c>
      <c r="F1085" s="4" t="s">
        <v>55</v>
      </c>
      <c r="G1085" s="3" t="s">
        <v>2276</v>
      </c>
      <c r="H1085" s="3" t="s">
        <v>523</v>
      </c>
      <c r="I1085" s="3"/>
      <c r="J1085" s="3" t="s">
        <v>2276</v>
      </c>
      <c r="K1085" s="3" t="s">
        <v>2276</v>
      </c>
      <c r="L1085" s="3" t="s">
        <v>2276</v>
      </c>
      <c r="M1085" s="3" t="s">
        <v>2276</v>
      </c>
      <c r="N1085" s="3" t="s">
        <v>2276</v>
      </c>
      <c r="O1085" s="3" t="s">
        <v>2276</v>
      </c>
      <c r="P1085" s="3" t="s">
        <v>2276</v>
      </c>
      <c r="Q1085" s="3" t="s">
        <v>2276</v>
      </c>
      <c r="R1085" s="3" t="s">
        <v>2276</v>
      </c>
      <c r="S1085" s="3" t="s">
        <v>2276</v>
      </c>
      <c r="T1085" s="3" t="s">
        <v>2276</v>
      </c>
      <c r="U1085" s="3" t="s">
        <v>2276</v>
      </c>
      <c r="V1085" s="3" t="s">
        <v>2276</v>
      </c>
      <c r="W1085" s="3" t="s">
        <v>2276</v>
      </c>
      <c r="X1085" s="3" t="s">
        <v>2276</v>
      </c>
      <c r="Y1085" s="3" t="s">
        <v>2276</v>
      </c>
      <c r="Z1085" s="3" t="s">
        <v>2276</v>
      </c>
      <c r="AA1085" s="3" t="s">
        <v>2276</v>
      </c>
      <c r="AB1085" s="3" t="s">
        <v>2276</v>
      </c>
      <c r="AC1085" s="4" t="s">
        <v>3328</v>
      </c>
      <c r="AD1085" s="3"/>
    </row>
    <row r="1086" spans="1:30" ht="33.5" customHeight="1">
      <c r="A1086" s="23" t="s">
        <v>3303</v>
      </c>
      <c r="B1086" s="23" t="s">
        <v>3327</v>
      </c>
      <c r="C1086" s="3" t="s">
        <v>24</v>
      </c>
      <c r="D1086" s="3" t="s">
        <v>144</v>
      </c>
      <c r="E1086" s="3" t="s">
        <v>137</v>
      </c>
      <c r="F1086" s="4" t="s">
        <v>2662</v>
      </c>
      <c r="G1086" s="3" t="s">
        <v>2276</v>
      </c>
      <c r="H1086" s="3" t="s">
        <v>523</v>
      </c>
      <c r="I1086" s="3"/>
      <c r="J1086" s="3" t="s">
        <v>2276</v>
      </c>
      <c r="K1086" s="3" t="s">
        <v>2276</v>
      </c>
      <c r="L1086" s="3" t="s">
        <v>2276</v>
      </c>
      <c r="M1086" s="3" t="s">
        <v>2276</v>
      </c>
      <c r="N1086" s="3" t="s">
        <v>2276</v>
      </c>
      <c r="O1086" s="3" t="s">
        <v>2276</v>
      </c>
      <c r="P1086" s="3" t="s">
        <v>2276</v>
      </c>
      <c r="Q1086" s="3" t="s">
        <v>2276</v>
      </c>
      <c r="R1086" s="3" t="s">
        <v>2276</v>
      </c>
      <c r="S1086" s="3" t="s">
        <v>2276</v>
      </c>
      <c r="T1086" s="3" t="s">
        <v>2276</v>
      </c>
      <c r="U1086" s="3" t="s">
        <v>2276</v>
      </c>
      <c r="V1086" s="3" t="s">
        <v>2276</v>
      </c>
      <c r="W1086" s="3" t="s">
        <v>2276</v>
      </c>
      <c r="X1086" s="3" t="s">
        <v>2276</v>
      </c>
      <c r="Y1086" s="3" t="s">
        <v>2276</v>
      </c>
      <c r="Z1086" s="3" t="s">
        <v>2276</v>
      </c>
      <c r="AA1086" s="3" t="s">
        <v>2276</v>
      </c>
      <c r="AB1086" s="3" t="s">
        <v>2276</v>
      </c>
      <c r="AC1086" s="4" t="s">
        <v>3328</v>
      </c>
      <c r="AD1086" s="3"/>
    </row>
    <row r="1087" spans="1:30" ht="39" customHeight="1">
      <c r="A1087" s="23" t="s">
        <v>3315</v>
      </c>
      <c r="B1087" s="23" t="s">
        <v>3316</v>
      </c>
      <c r="C1087" s="3" t="s">
        <v>24</v>
      </c>
      <c r="D1087" s="3" t="s">
        <v>2305</v>
      </c>
      <c r="E1087" s="3" t="s">
        <v>116</v>
      </c>
      <c r="F1087" s="4" t="s">
        <v>55</v>
      </c>
      <c r="G1087" s="3" t="s">
        <v>2276</v>
      </c>
      <c r="H1087" s="3" t="s">
        <v>523</v>
      </c>
      <c r="I1087" s="3"/>
      <c r="J1087" s="3" t="s">
        <v>2276</v>
      </c>
      <c r="K1087" s="3" t="s">
        <v>2276</v>
      </c>
      <c r="L1087" s="3" t="s">
        <v>2276</v>
      </c>
      <c r="M1087" s="3" t="s">
        <v>2276</v>
      </c>
      <c r="N1087" s="3" t="s">
        <v>2276</v>
      </c>
      <c r="O1087" s="3" t="s">
        <v>2276</v>
      </c>
      <c r="P1087" s="3" t="s">
        <v>2276</v>
      </c>
      <c r="Q1087" s="3" t="s">
        <v>2276</v>
      </c>
      <c r="R1087" s="3" t="s">
        <v>2276</v>
      </c>
      <c r="S1087" s="3" t="s">
        <v>2276</v>
      </c>
      <c r="T1087" s="3" t="s">
        <v>2276</v>
      </c>
      <c r="U1087" s="3" t="s">
        <v>2276</v>
      </c>
      <c r="V1087" s="3" t="s">
        <v>2276</v>
      </c>
      <c r="W1087" s="3" t="s">
        <v>2276</v>
      </c>
      <c r="X1087" s="3" t="s">
        <v>2276</v>
      </c>
      <c r="Y1087" s="3" t="s">
        <v>2276</v>
      </c>
      <c r="Z1087" s="3" t="s">
        <v>2276</v>
      </c>
      <c r="AA1087" s="3" t="s">
        <v>2276</v>
      </c>
      <c r="AB1087" s="3" t="s">
        <v>2276</v>
      </c>
      <c r="AC1087" s="19" t="s">
        <v>3340</v>
      </c>
      <c r="AD1087" s="3"/>
    </row>
    <row r="1088" spans="1:30" ht="35.5" customHeight="1">
      <c r="A1088" s="23" t="s">
        <v>3315</v>
      </c>
      <c r="B1088" s="23" t="s">
        <v>3341</v>
      </c>
      <c r="C1088" s="3" t="s">
        <v>24</v>
      </c>
      <c r="D1088" s="3" t="s">
        <v>2305</v>
      </c>
      <c r="E1088" s="3" t="s">
        <v>116</v>
      </c>
      <c r="F1088" s="4" t="s">
        <v>161</v>
      </c>
      <c r="G1088" s="3" t="s">
        <v>2276</v>
      </c>
      <c r="H1088" s="3" t="s">
        <v>523</v>
      </c>
      <c r="I1088" s="3"/>
      <c r="J1088" s="3" t="s">
        <v>2276</v>
      </c>
      <c r="K1088" s="3" t="s">
        <v>2276</v>
      </c>
      <c r="L1088" s="3" t="s">
        <v>2276</v>
      </c>
      <c r="M1088" s="3" t="s">
        <v>2276</v>
      </c>
      <c r="N1088" s="3" t="s">
        <v>2276</v>
      </c>
      <c r="O1088" s="3" t="s">
        <v>2276</v>
      </c>
      <c r="P1088" s="3" t="s">
        <v>2276</v>
      </c>
      <c r="Q1088" s="3" t="s">
        <v>2276</v>
      </c>
      <c r="R1088" s="3" t="s">
        <v>2276</v>
      </c>
      <c r="S1088" s="3" t="s">
        <v>2276</v>
      </c>
      <c r="T1088" s="3" t="s">
        <v>2276</v>
      </c>
      <c r="U1088" s="3" t="s">
        <v>2276</v>
      </c>
      <c r="V1088" s="3" t="s">
        <v>2276</v>
      </c>
      <c r="W1088" s="3" t="s">
        <v>2276</v>
      </c>
      <c r="X1088" s="3" t="s">
        <v>2276</v>
      </c>
      <c r="Y1088" s="3" t="s">
        <v>2276</v>
      </c>
      <c r="Z1088" s="3" t="s">
        <v>2276</v>
      </c>
      <c r="AA1088" s="3" t="s">
        <v>2276</v>
      </c>
      <c r="AB1088" s="3" t="s">
        <v>2276</v>
      </c>
      <c r="AC1088" s="19" t="s">
        <v>3343</v>
      </c>
      <c r="AD1088" s="3"/>
    </row>
    <row r="1089" spans="1:30" ht="35.5" customHeight="1">
      <c r="A1089" s="23" t="s">
        <v>3315</v>
      </c>
      <c r="B1089" s="23" t="s">
        <v>3342</v>
      </c>
      <c r="C1089" s="3" t="s">
        <v>24</v>
      </c>
      <c r="D1089" s="3" t="s">
        <v>2231</v>
      </c>
      <c r="E1089" s="4" t="s">
        <v>397</v>
      </c>
      <c r="F1089" s="4" t="s">
        <v>55</v>
      </c>
      <c r="G1089" s="3" t="s">
        <v>2276</v>
      </c>
      <c r="H1089" s="3" t="s">
        <v>523</v>
      </c>
      <c r="I1089" s="3"/>
      <c r="J1089" s="3" t="s">
        <v>2276</v>
      </c>
      <c r="K1089" s="3" t="s">
        <v>2276</v>
      </c>
      <c r="L1089" s="3" t="s">
        <v>2276</v>
      </c>
      <c r="M1089" s="3" t="s">
        <v>2276</v>
      </c>
      <c r="N1089" s="3" t="s">
        <v>2276</v>
      </c>
      <c r="O1089" s="3" t="s">
        <v>2276</v>
      </c>
      <c r="P1089" s="3" t="s">
        <v>2276</v>
      </c>
      <c r="Q1089" s="3" t="s">
        <v>2276</v>
      </c>
      <c r="R1089" s="3" t="s">
        <v>2276</v>
      </c>
      <c r="S1089" s="3" t="s">
        <v>2276</v>
      </c>
      <c r="T1089" s="3" t="s">
        <v>2276</v>
      </c>
      <c r="U1089" s="3" t="s">
        <v>2276</v>
      </c>
      <c r="V1089" s="3" t="s">
        <v>2276</v>
      </c>
      <c r="W1089" s="3" t="s">
        <v>2276</v>
      </c>
      <c r="X1089" s="3" t="s">
        <v>2276</v>
      </c>
      <c r="Y1089" s="3" t="s">
        <v>2276</v>
      </c>
      <c r="Z1089" s="3" t="s">
        <v>2276</v>
      </c>
      <c r="AA1089" s="3" t="s">
        <v>2276</v>
      </c>
      <c r="AB1089" s="3" t="s">
        <v>2276</v>
      </c>
      <c r="AC1089" s="19" t="s">
        <v>3346</v>
      </c>
      <c r="AD1089" s="3"/>
    </row>
    <row r="1090" spans="1:30" ht="38" customHeight="1">
      <c r="A1090" s="23" t="s">
        <v>3315</v>
      </c>
      <c r="B1090" s="23" t="s">
        <v>3344</v>
      </c>
      <c r="C1090" s="3" t="s">
        <v>24</v>
      </c>
      <c r="D1090" s="3" t="s">
        <v>2231</v>
      </c>
      <c r="E1090" s="4" t="s">
        <v>397</v>
      </c>
      <c r="F1090" s="4" t="s">
        <v>161</v>
      </c>
      <c r="G1090" s="3" t="s">
        <v>2276</v>
      </c>
      <c r="H1090" s="3" t="s">
        <v>523</v>
      </c>
      <c r="I1090" s="3"/>
      <c r="J1090" s="3" t="s">
        <v>2276</v>
      </c>
      <c r="K1090" s="3" t="s">
        <v>2276</v>
      </c>
      <c r="L1090" s="3" t="s">
        <v>2276</v>
      </c>
      <c r="M1090" s="3" t="s">
        <v>2276</v>
      </c>
      <c r="N1090" s="3" t="s">
        <v>2276</v>
      </c>
      <c r="O1090" s="3" t="s">
        <v>2276</v>
      </c>
      <c r="P1090" s="3" t="s">
        <v>2276</v>
      </c>
      <c r="Q1090" s="3" t="s">
        <v>2276</v>
      </c>
      <c r="R1090" s="3" t="s">
        <v>2276</v>
      </c>
      <c r="S1090" s="3" t="s">
        <v>2276</v>
      </c>
      <c r="T1090" s="3" t="s">
        <v>2276</v>
      </c>
      <c r="U1090" s="3" t="s">
        <v>2276</v>
      </c>
      <c r="V1090" s="3" t="s">
        <v>2276</v>
      </c>
      <c r="W1090" s="3" t="s">
        <v>2276</v>
      </c>
      <c r="X1090" s="3" t="s">
        <v>2276</v>
      </c>
      <c r="Y1090" s="3" t="s">
        <v>2276</v>
      </c>
      <c r="Z1090" s="3" t="s">
        <v>2276</v>
      </c>
      <c r="AA1090" s="3" t="s">
        <v>2276</v>
      </c>
      <c r="AB1090" s="3" t="s">
        <v>2276</v>
      </c>
      <c r="AC1090" s="19" t="s">
        <v>3345</v>
      </c>
      <c r="AD1090" s="3"/>
    </row>
    <row r="1091" spans="1:30" ht="36.5" customHeight="1">
      <c r="A1091" s="23" t="s">
        <v>3315</v>
      </c>
      <c r="B1091" s="23" t="s">
        <v>3347</v>
      </c>
      <c r="C1091" s="3" t="s">
        <v>24</v>
      </c>
      <c r="D1091" s="3" t="s">
        <v>2231</v>
      </c>
      <c r="E1091" s="3" t="s">
        <v>45</v>
      </c>
      <c r="F1091" s="4" t="s">
        <v>2276</v>
      </c>
      <c r="G1091" s="3" t="s">
        <v>2276</v>
      </c>
      <c r="H1091" s="3" t="s">
        <v>524</v>
      </c>
      <c r="I1091" s="3"/>
      <c r="J1091" s="21">
        <v>0</v>
      </c>
      <c r="K1091" s="21">
        <v>0</v>
      </c>
      <c r="L1091" s="21">
        <v>0</v>
      </c>
      <c r="M1091" s="21">
        <v>0</v>
      </c>
      <c r="N1091" s="21">
        <v>0</v>
      </c>
      <c r="O1091" s="21">
        <v>0</v>
      </c>
      <c r="P1091" s="21">
        <v>0</v>
      </c>
      <c r="Q1091" s="21">
        <v>0</v>
      </c>
      <c r="R1091" s="21">
        <v>0</v>
      </c>
      <c r="S1091" s="21">
        <v>0</v>
      </c>
      <c r="T1091" s="21">
        <v>0</v>
      </c>
      <c r="U1091" s="21">
        <v>0</v>
      </c>
      <c r="V1091" s="21">
        <v>0</v>
      </c>
      <c r="W1091" s="21">
        <v>0</v>
      </c>
      <c r="X1091" s="21">
        <v>0</v>
      </c>
      <c r="Y1091" s="3" t="s">
        <v>2276</v>
      </c>
      <c r="Z1091" s="3" t="s">
        <v>2276</v>
      </c>
      <c r="AA1091" s="3" t="s">
        <v>2276</v>
      </c>
      <c r="AB1091" s="3" t="s">
        <v>2276</v>
      </c>
      <c r="AC1091" s="3"/>
      <c r="AD1091" s="3"/>
    </row>
    <row r="1092" spans="1:30" ht="33.5" customHeight="1">
      <c r="A1092" s="23" t="s">
        <v>3315</v>
      </c>
      <c r="B1092" s="23" t="s">
        <v>3348</v>
      </c>
      <c r="C1092" s="3" t="s">
        <v>31</v>
      </c>
      <c r="D1092" s="3" t="s">
        <v>1105</v>
      </c>
      <c r="E1092" s="3" t="s">
        <v>1105</v>
      </c>
      <c r="F1092" s="4" t="s">
        <v>2276</v>
      </c>
      <c r="G1092" s="3" t="s">
        <v>2276</v>
      </c>
      <c r="H1092" s="3" t="s">
        <v>523</v>
      </c>
      <c r="I1092" s="3"/>
      <c r="J1092" s="3" t="s">
        <v>2276</v>
      </c>
      <c r="K1092" s="3" t="s">
        <v>2276</v>
      </c>
      <c r="L1092" s="3" t="s">
        <v>2276</v>
      </c>
      <c r="M1092" s="3" t="s">
        <v>2276</v>
      </c>
      <c r="N1092" s="3" t="s">
        <v>2276</v>
      </c>
      <c r="O1092" s="3" t="s">
        <v>2276</v>
      </c>
      <c r="P1092" s="3" t="s">
        <v>2276</v>
      </c>
      <c r="Q1092" s="3" t="s">
        <v>2276</v>
      </c>
      <c r="R1092" s="3" t="s">
        <v>2276</v>
      </c>
      <c r="S1092" s="3" t="s">
        <v>2276</v>
      </c>
      <c r="T1092" s="3" t="s">
        <v>2276</v>
      </c>
      <c r="U1092" s="3" t="s">
        <v>2276</v>
      </c>
      <c r="V1092" s="3" t="s">
        <v>2276</v>
      </c>
      <c r="W1092" s="3" t="s">
        <v>2276</v>
      </c>
      <c r="X1092" s="3" t="s">
        <v>2276</v>
      </c>
      <c r="Y1092" s="3" t="s">
        <v>2276</v>
      </c>
      <c r="Z1092" s="3" t="s">
        <v>2276</v>
      </c>
      <c r="AA1092" s="3" t="s">
        <v>2276</v>
      </c>
      <c r="AB1092" s="3" t="s">
        <v>2276</v>
      </c>
      <c r="AC1092" s="3"/>
      <c r="AD1092" s="3"/>
    </row>
    <row r="1093" spans="1:30" ht="40.5" customHeight="1">
      <c r="A1093" s="23" t="s">
        <v>3315</v>
      </c>
      <c r="B1093" s="23" t="s">
        <v>3349</v>
      </c>
      <c r="C1093" s="3" t="s">
        <v>24</v>
      </c>
      <c r="D1093" s="3" t="s">
        <v>1245</v>
      </c>
      <c r="E1093" s="3" t="s">
        <v>116</v>
      </c>
      <c r="F1093" s="4" t="s">
        <v>55</v>
      </c>
      <c r="G1093" s="3" t="s">
        <v>2276</v>
      </c>
      <c r="H1093" s="3" t="s">
        <v>523</v>
      </c>
      <c r="I1093" s="3"/>
      <c r="J1093" s="3" t="s">
        <v>2276</v>
      </c>
      <c r="K1093" s="3" t="s">
        <v>2276</v>
      </c>
      <c r="L1093" s="3" t="s">
        <v>2276</v>
      </c>
      <c r="M1093" s="3" t="s">
        <v>2276</v>
      </c>
      <c r="N1093" s="3" t="s">
        <v>2276</v>
      </c>
      <c r="O1093" s="3" t="s">
        <v>2276</v>
      </c>
      <c r="P1093" s="3" t="s">
        <v>2276</v>
      </c>
      <c r="Q1093" s="3" t="s">
        <v>2276</v>
      </c>
      <c r="R1093" s="3" t="s">
        <v>2276</v>
      </c>
      <c r="S1093" s="3" t="s">
        <v>2276</v>
      </c>
      <c r="T1093" s="3" t="s">
        <v>2276</v>
      </c>
      <c r="U1093" s="3" t="s">
        <v>2276</v>
      </c>
      <c r="V1093" s="3" t="s">
        <v>2276</v>
      </c>
      <c r="W1093" s="3" t="s">
        <v>2276</v>
      </c>
      <c r="X1093" s="3" t="s">
        <v>2276</v>
      </c>
      <c r="Y1093" s="3" t="s">
        <v>2276</v>
      </c>
      <c r="Z1093" s="3" t="s">
        <v>2276</v>
      </c>
      <c r="AA1093" s="3" t="s">
        <v>2276</v>
      </c>
      <c r="AB1093" s="3" t="s">
        <v>2276</v>
      </c>
      <c r="AC1093" s="3" t="s">
        <v>3350</v>
      </c>
      <c r="AD1093" s="3"/>
    </row>
    <row r="1094" spans="1:30" ht="35" customHeight="1">
      <c r="A1094" s="3" t="s">
        <v>3352</v>
      </c>
      <c r="B1094" s="23" t="s">
        <v>3355</v>
      </c>
      <c r="C1094" s="3" t="s">
        <v>24</v>
      </c>
      <c r="D1094" s="3" t="s">
        <v>2305</v>
      </c>
      <c r="E1094" s="3" t="s">
        <v>116</v>
      </c>
      <c r="F1094" s="4" t="s">
        <v>55</v>
      </c>
      <c r="G1094" s="3" t="s">
        <v>2276</v>
      </c>
      <c r="H1094" s="3" t="s">
        <v>523</v>
      </c>
      <c r="I1094" s="3">
        <v>2000</v>
      </c>
      <c r="J1094" s="3" t="s">
        <v>2276</v>
      </c>
      <c r="K1094" s="3" t="s">
        <v>2276</v>
      </c>
      <c r="L1094" s="3" t="s">
        <v>2276</v>
      </c>
      <c r="M1094" s="3" t="s">
        <v>2276</v>
      </c>
      <c r="N1094" s="3" t="s">
        <v>2276</v>
      </c>
      <c r="O1094" s="3" t="s">
        <v>2276</v>
      </c>
      <c r="P1094" s="3" t="s">
        <v>2276</v>
      </c>
      <c r="Q1094" s="3" t="s">
        <v>2276</v>
      </c>
      <c r="R1094" s="3" t="s">
        <v>2276</v>
      </c>
      <c r="S1094" s="3" t="s">
        <v>2276</v>
      </c>
      <c r="T1094" s="3" t="s">
        <v>2276</v>
      </c>
      <c r="U1094" s="3" t="s">
        <v>2276</v>
      </c>
      <c r="V1094" s="3" t="s">
        <v>2276</v>
      </c>
      <c r="W1094" s="3" t="s">
        <v>2276</v>
      </c>
      <c r="X1094" s="3" t="s">
        <v>2276</v>
      </c>
      <c r="Y1094" s="3" t="s">
        <v>2276</v>
      </c>
      <c r="Z1094" s="3" t="s">
        <v>425</v>
      </c>
      <c r="AA1094" s="3" t="s">
        <v>127</v>
      </c>
      <c r="AB1094" s="3" t="s">
        <v>64</v>
      </c>
      <c r="AC1094" s="3"/>
      <c r="AD1094" s="4" t="s">
        <v>3359</v>
      </c>
    </row>
    <row r="1095" spans="1:30" ht="36" customHeight="1">
      <c r="A1095" s="3" t="s">
        <v>3352</v>
      </c>
      <c r="B1095" s="23" t="s">
        <v>3356</v>
      </c>
      <c r="C1095" s="3" t="s">
        <v>24</v>
      </c>
      <c r="D1095" s="3" t="s">
        <v>2231</v>
      </c>
      <c r="E1095" s="4" t="s">
        <v>397</v>
      </c>
      <c r="F1095" s="4" t="s">
        <v>55</v>
      </c>
      <c r="G1095" s="3" t="s">
        <v>2276</v>
      </c>
      <c r="H1095" s="3" t="s">
        <v>523</v>
      </c>
      <c r="I1095" s="3">
        <v>2000</v>
      </c>
      <c r="J1095" s="3" t="s">
        <v>2276</v>
      </c>
      <c r="K1095" s="3" t="s">
        <v>2276</v>
      </c>
      <c r="L1095" s="3" t="s">
        <v>2276</v>
      </c>
      <c r="M1095" s="3" t="s">
        <v>2276</v>
      </c>
      <c r="N1095" s="3" t="s">
        <v>2276</v>
      </c>
      <c r="O1095" s="3" t="s">
        <v>2276</v>
      </c>
      <c r="P1095" s="3" t="s">
        <v>2276</v>
      </c>
      <c r="Q1095" s="3" t="s">
        <v>2276</v>
      </c>
      <c r="R1095" s="3" t="s">
        <v>2276</v>
      </c>
      <c r="S1095" s="3" t="s">
        <v>2276</v>
      </c>
      <c r="T1095" s="3" t="s">
        <v>2276</v>
      </c>
      <c r="U1095" s="3" t="s">
        <v>2276</v>
      </c>
      <c r="V1095" s="3" t="s">
        <v>2276</v>
      </c>
      <c r="W1095" s="3" t="s">
        <v>2276</v>
      </c>
      <c r="X1095" s="3" t="s">
        <v>2276</v>
      </c>
      <c r="Y1095" s="3" t="s">
        <v>2276</v>
      </c>
      <c r="Z1095" s="3" t="s">
        <v>425</v>
      </c>
      <c r="AA1095" s="3" t="s">
        <v>127</v>
      </c>
      <c r="AB1095" s="3" t="s">
        <v>64</v>
      </c>
      <c r="AC1095" s="3"/>
      <c r="AD1095" s="4" t="s">
        <v>3359</v>
      </c>
    </row>
    <row r="1096" spans="1:30" ht="32.5" customHeight="1">
      <c r="A1096" s="3" t="s">
        <v>3352</v>
      </c>
      <c r="B1096" s="23" t="s">
        <v>3357</v>
      </c>
      <c r="C1096" s="3" t="s">
        <v>31</v>
      </c>
      <c r="D1096" s="3" t="s">
        <v>1105</v>
      </c>
      <c r="E1096" s="3" t="s">
        <v>1105</v>
      </c>
      <c r="F1096" s="4" t="s">
        <v>2276</v>
      </c>
      <c r="G1096" s="3" t="s">
        <v>2276</v>
      </c>
      <c r="H1096" s="3" t="s">
        <v>523</v>
      </c>
      <c r="I1096" s="3">
        <v>2000</v>
      </c>
      <c r="J1096" s="3" t="s">
        <v>2276</v>
      </c>
      <c r="K1096" s="3" t="s">
        <v>2276</v>
      </c>
      <c r="L1096" s="3" t="s">
        <v>2276</v>
      </c>
      <c r="M1096" s="3" t="s">
        <v>2276</v>
      </c>
      <c r="N1096" s="3" t="s">
        <v>2276</v>
      </c>
      <c r="O1096" s="3" t="s">
        <v>2276</v>
      </c>
      <c r="P1096" s="3" t="s">
        <v>2276</v>
      </c>
      <c r="Q1096" s="3" t="s">
        <v>2276</v>
      </c>
      <c r="R1096" s="3" t="s">
        <v>2276</v>
      </c>
      <c r="S1096" s="3" t="s">
        <v>2276</v>
      </c>
      <c r="T1096" s="3" t="s">
        <v>2276</v>
      </c>
      <c r="U1096" s="3" t="s">
        <v>2276</v>
      </c>
      <c r="V1096" s="3" t="s">
        <v>2276</v>
      </c>
      <c r="W1096" s="3" t="s">
        <v>2276</v>
      </c>
      <c r="X1096" s="3" t="s">
        <v>2276</v>
      </c>
      <c r="Y1096" s="3" t="s">
        <v>2276</v>
      </c>
      <c r="Z1096" s="3" t="s">
        <v>425</v>
      </c>
      <c r="AA1096" s="3" t="s">
        <v>127</v>
      </c>
      <c r="AB1096" s="3" t="s">
        <v>64</v>
      </c>
      <c r="AC1096" s="3"/>
      <c r="AD1096" s="4" t="s">
        <v>3359</v>
      </c>
    </row>
    <row r="1097" spans="1:30" ht="29" customHeight="1">
      <c r="A1097" s="3" t="s">
        <v>3352</v>
      </c>
      <c r="B1097" s="23" t="s">
        <v>3358</v>
      </c>
      <c r="C1097" s="3" t="s">
        <v>24</v>
      </c>
      <c r="D1097" s="3" t="s">
        <v>1245</v>
      </c>
      <c r="E1097" s="3" t="s">
        <v>116</v>
      </c>
      <c r="F1097" s="4" t="s">
        <v>55</v>
      </c>
      <c r="G1097" s="3" t="s">
        <v>2276</v>
      </c>
      <c r="H1097" s="3" t="s">
        <v>523</v>
      </c>
      <c r="I1097" s="3">
        <v>2000</v>
      </c>
      <c r="J1097" s="3" t="s">
        <v>2276</v>
      </c>
      <c r="K1097" s="3" t="s">
        <v>2276</v>
      </c>
      <c r="L1097" s="3" t="s">
        <v>2276</v>
      </c>
      <c r="M1097" s="3" t="s">
        <v>2276</v>
      </c>
      <c r="N1097" s="3" t="s">
        <v>2276</v>
      </c>
      <c r="O1097" s="3" t="s">
        <v>2276</v>
      </c>
      <c r="P1097" s="3" t="s">
        <v>2276</v>
      </c>
      <c r="Q1097" s="3" t="s">
        <v>2276</v>
      </c>
      <c r="R1097" s="3" t="s">
        <v>2276</v>
      </c>
      <c r="S1097" s="3" t="s">
        <v>2276</v>
      </c>
      <c r="T1097" s="3" t="s">
        <v>2276</v>
      </c>
      <c r="U1097" s="3" t="s">
        <v>2276</v>
      </c>
      <c r="V1097" s="3" t="s">
        <v>2276</v>
      </c>
      <c r="W1097" s="3" t="s">
        <v>2276</v>
      </c>
      <c r="X1097" s="3" t="s">
        <v>2276</v>
      </c>
      <c r="Y1097" s="3" t="s">
        <v>2276</v>
      </c>
      <c r="Z1097" s="3" t="s">
        <v>425</v>
      </c>
      <c r="AA1097" s="3" t="s">
        <v>127</v>
      </c>
      <c r="AB1097" s="3" t="s">
        <v>64</v>
      </c>
      <c r="AC1097" s="3"/>
      <c r="AD1097" s="4" t="s">
        <v>3359</v>
      </c>
    </row>
    <row r="1098" spans="1:30" ht="29">
      <c r="A1098" s="3" t="s">
        <v>3352</v>
      </c>
      <c r="B1098" s="23" t="s">
        <v>6089</v>
      </c>
      <c r="C1098" s="3" t="s">
        <v>24</v>
      </c>
      <c r="D1098" s="3" t="s">
        <v>2305</v>
      </c>
      <c r="E1098" s="3" t="s">
        <v>116</v>
      </c>
      <c r="F1098" s="4" t="s">
        <v>55</v>
      </c>
      <c r="G1098" s="3" t="s">
        <v>2276</v>
      </c>
      <c r="H1098" s="3" t="s">
        <v>523</v>
      </c>
      <c r="I1098" s="3">
        <v>2001</v>
      </c>
      <c r="J1098" s="3" t="s">
        <v>2276</v>
      </c>
      <c r="K1098" s="3" t="s">
        <v>2276</v>
      </c>
      <c r="L1098" s="3" t="s">
        <v>2276</v>
      </c>
      <c r="M1098" s="3" t="s">
        <v>2276</v>
      </c>
      <c r="N1098" s="3" t="s">
        <v>2276</v>
      </c>
      <c r="O1098" s="3" t="s">
        <v>2276</v>
      </c>
      <c r="P1098" s="3" t="s">
        <v>2276</v>
      </c>
      <c r="Q1098" s="3" t="s">
        <v>2276</v>
      </c>
      <c r="R1098" s="3" t="s">
        <v>2276</v>
      </c>
      <c r="S1098" s="3" t="s">
        <v>2276</v>
      </c>
      <c r="T1098" s="3" t="s">
        <v>2276</v>
      </c>
      <c r="U1098" s="3" t="s">
        <v>2276</v>
      </c>
      <c r="V1098" s="3" t="s">
        <v>2276</v>
      </c>
      <c r="W1098" s="3" t="s">
        <v>2276</v>
      </c>
      <c r="X1098" s="3" t="s">
        <v>2276</v>
      </c>
      <c r="Y1098" s="3" t="s">
        <v>2276</v>
      </c>
      <c r="Z1098" s="3" t="s">
        <v>425</v>
      </c>
      <c r="AA1098" s="3" t="s">
        <v>127</v>
      </c>
      <c r="AB1098" s="3" t="s">
        <v>64</v>
      </c>
      <c r="AC1098" s="3"/>
      <c r="AD1098" s="4" t="s">
        <v>3359</v>
      </c>
    </row>
    <row r="1099" spans="1:30" ht="29">
      <c r="A1099" s="3" t="s">
        <v>3352</v>
      </c>
      <c r="B1099" s="23" t="s">
        <v>6090</v>
      </c>
      <c r="C1099" s="3" t="s">
        <v>24</v>
      </c>
      <c r="D1099" s="3" t="s">
        <v>2231</v>
      </c>
      <c r="E1099" s="4" t="s">
        <v>397</v>
      </c>
      <c r="F1099" s="4" t="s">
        <v>55</v>
      </c>
      <c r="G1099" s="3" t="s">
        <v>2276</v>
      </c>
      <c r="H1099" s="3" t="s">
        <v>523</v>
      </c>
      <c r="I1099" s="3">
        <v>2001</v>
      </c>
      <c r="J1099" s="3" t="s">
        <v>2276</v>
      </c>
      <c r="K1099" s="3" t="s">
        <v>2276</v>
      </c>
      <c r="L1099" s="3" t="s">
        <v>2276</v>
      </c>
      <c r="M1099" s="3" t="s">
        <v>2276</v>
      </c>
      <c r="N1099" s="3" t="s">
        <v>2276</v>
      </c>
      <c r="O1099" s="3" t="s">
        <v>2276</v>
      </c>
      <c r="P1099" s="3" t="s">
        <v>2276</v>
      </c>
      <c r="Q1099" s="3" t="s">
        <v>2276</v>
      </c>
      <c r="R1099" s="3" t="s">
        <v>2276</v>
      </c>
      <c r="S1099" s="3" t="s">
        <v>2276</v>
      </c>
      <c r="T1099" s="3" t="s">
        <v>2276</v>
      </c>
      <c r="U1099" s="3" t="s">
        <v>2276</v>
      </c>
      <c r="V1099" s="3" t="s">
        <v>2276</v>
      </c>
      <c r="W1099" s="3" t="s">
        <v>2276</v>
      </c>
      <c r="X1099" s="3" t="s">
        <v>2276</v>
      </c>
      <c r="Y1099" s="3" t="s">
        <v>2276</v>
      </c>
      <c r="Z1099" s="3" t="s">
        <v>425</v>
      </c>
      <c r="AA1099" s="3" t="s">
        <v>127</v>
      </c>
      <c r="AB1099" s="3" t="s">
        <v>64</v>
      </c>
      <c r="AC1099" s="3"/>
      <c r="AD1099" s="4" t="s">
        <v>3359</v>
      </c>
    </row>
    <row r="1100" spans="1:30" ht="29">
      <c r="A1100" s="3" t="s">
        <v>3352</v>
      </c>
      <c r="B1100" s="23" t="s">
        <v>6091</v>
      </c>
      <c r="C1100" s="3" t="s">
        <v>31</v>
      </c>
      <c r="D1100" s="3" t="s">
        <v>1105</v>
      </c>
      <c r="E1100" s="3" t="s">
        <v>1105</v>
      </c>
      <c r="F1100" s="4" t="s">
        <v>2276</v>
      </c>
      <c r="G1100" s="3" t="s">
        <v>2276</v>
      </c>
      <c r="H1100" s="3" t="s">
        <v>523</v>
      </c>
      <c r="I1100" s="3">
        <v>2001</v>
      </c>
      <c r="J1100" s="3" t="s">
        <v>2276</v>
      </c>
      <c r="K1100" s="3" t="s">
        <v>2276</v>
      </c>
      <c r="L1100" s="3" t="s">
        <v>2276</v>
      </c>
      <c r="M1100" s="3" t="s">
        <v>2276</v>
      </c>
      <c r="N1100" s="3" t="s">
        <v>2276</v>
      </c>
      <c r="O1100" s="3" t="s">
        <v>2276</v>
      </c>
      <c r="P1100" s="3" t="s">
        <v>2276</v>
      </c>
      <c r="Q1100" s="3" t="s">
        <v>2276</v>
      </c>
      <c r="R1100" s="3" t="s">
        <v>2276</v>
      </c>
      <c r="S1100" s="3" t="s">
        <v>2276</v>
      </c>
      <c r="T1100" s="3" t="s">
        <v>2276</v>
      </c>
      <c r="U1100" s="3" t="s">
        <v>2276</v>
      </c>
      <c r="V1100" s="3" t="s">
        <v>2276</v>
      </c>
      <c r="W1100" s="3" t="s">
        <v>2276</v>
      </c>
      <c r="X1100" s="3" t="s">
        <v>2276</v>
      </c>
      <c r="Y1100" s="3" t="s">
        <v>2276</v>
      </c>
      <c r="Z1100" s="3" t="s">
        <v>425</v>
      </c>
      <c r="AA1100" s="3" t="s">
        <v>127</v>
      </c>
      <c r="AB1100" s="3" t="s">
        <v>64</v>
      </c>
      <c r="AC1100" s="3"/>
      <c r="AD1100" s="4" t="s">
        <v>3359</v>
      </c>
    </row>
    <row r="1101" spans="1:30" ht="29">
      <c r="A1101" s="3" t="s">
        <v>3352</v>
      </c>
      <c r="B1101" s="23" t="s">
        <v>6092</v>
      </c>
      <c r="C1101" s="3" t="s">
        <v>24</v>
      </c>
      <c r="D1101" s="3" t="s">
        <v>1245</v>
      </c>
      <c r="E1101" s="3" t="s">
        <v>116</v>
      </c>
      <c r="F1101" s="4" t="s">
        <v>55</v>
      </c>
      <c r="G1101" s="3" t="s">
        <v>2276</v>
      </c>
      <c r="H1101" s="3" t="s">
        <v>523</v>
      </c>
      <c r="I1101" s="3">
        <v>2001</v>
      </c>
      <c r="J1101" s="3" t="s">
        <v>2276</v>
      </c>
      <c r="K1101" s="3" t="s">
        <v>2276</v>
      </c>
      <c r="L1101" s="3" t="s">
        <v>2276</v>
      </c>
      <c r="M1101" s="3" t="s">
        <v>2276</v>
      </c>
      <c r="N1101" s="3" t="s">
        <v>2276</v>
      </c>
      <c r="O1101" s="3" t="s">
        <v>2276</v>
      </c>
      <c r="P1101" s="3" t="s">
        <v>2276</v>
      </c>
      <c r="Q1101" s="3" t="s">
        <v>2276</v>
      </c>
      <c r="R1101" s="3" t="s">
        <v>2276</v>
      </c>
      <c r="S1101" s="3" t="s">
        <v>2276</v>
      </c>
      <c r="T1101" s="3" t="s">
        <v>2276</v>
      </c>
      <c r="U1101" s="3" t="s">
        <v>2276</v>
      </c>
      <c r="V1101" s="3" t="s">
        <v>2276</v>
      </c>
      <c r="W1101" s="3" t="s">
        <v>2276</v>
      </c>
      <c r="X1101" s="3" t="s">
        <v>2276</v>
      </c>
      <c r="Y1101" s="3" t="s">
        <v>2276</v>
      </c>
      <c r="Z1101" s="3" t="s">
        <v>425</v>
      </c>
      <c r="AA1101" s="3" t="s">
        <v>127</v>
      </c>
      <c r="AB1101" s="3" t="s">
        <v>64</v>
      </c>
      <c r="AC1101" s="3"/>
      <c r="AD1101" s="4" t="s">
        <v>3359</v>
      </c>
    </row>
    <row r="1102" spans="1:30" ht="29">
      <c r="A1102" s="3" t="s">
        <v>3352</v>
      </c>
      <c r="B1102" s="23" t="s">
        <v>6093</v>
      </c>
      <c r="C1102" s="3" t="s">
        <v>24</v>
      </c>
      <c r="D1102" s="3" t="s">
        <v>2305</v>
      </c>
      <c r="E1102" s="3" t="s">
        <v>116</v>
      </c>
      <c r="F1102" s="4" t="s">
        <v>55</v>
      </c>
      <c r="G1102" s="3" t="s">
        <v>2276</v>
      </c>
      <c r="H1102" s="3" t="s">
        <v>523</v>
      </c>
      <c r="I1102" s="3">
        <v>2002</v>
      </c>
      <c r="J1102" s="3" t="s">
        <v>2276</v>
      </c>
      <c r="K1102" s="3" t="s">
        <v>2276</v>
      </c>
      <c r="L1102" s="3" t="s">
        <v>2276</v>
      </c>
      <c r="M1102" s="3" t="s">
        <v>2276</v>
      </c>
      <c r="N1102" s="3" t="s">
        <v>2276</v>
      </c>
      <c r="O1102" s="3" t="s">
        <v>2276</v>
      </c>
      <c r="P1102" s="3" t="s">
        <v>2276</v>
      </c>
      <c r="Q1102" s="3" t="s">
        <v>2276</v>
      </c>
      <c r="R1102" s="3" t="s">
        <v>2276</v>
      </c>
      <c r="S1102" s="3" t="s">
        <v>2276</v>
      </c>
      <c r="T1102" s="3" t="s">
        <v>2276</v>
      </c>
      <c r="U1102" s="3" t="s">
        <v>2276</v>
      </c>
      <c r="V1102" s="3" t="s">
        <v>2276</v>
      </c>
      <c r="W1102" s="3" t="s">
        <v>2276</v>
      </c>
      <c r="X1102" s="3" t="s">
        <v>2276</v>
      </c>
      <c r="Y1102" s="3" t="s">
        <v>2276</v>
      </c>
      <c r="Z1102" s="3" t="s">
        <v>425</v>
      </c>
      <c r="AA1102" s="3" t="s">
        <v>127</v>
      </c>
      <c r="AB1102" s="3" t="s">
        <v>64</v>
      </c>
      <c r="AC1102" s="3"/>
      <c r="AD1102" s="4" t="s">
        <v>3359</v>
      </c>
    </row>
    <row r="1103" spans="1:30" ht="29">
      <c r="A1103" s="3" t="s">
        <v>3352</v>
      </c>
      <c r="B1103" s="23" t="s">
        <v>6094</v>
      </c>
      <c r="C1103" s="3" t="s">
        <v>24</v>
      </c>
      <c r="D1103" s="3" t="s">
        <v>2231</v>
      </c>
      <c r="E1103" s="4" t="s">
        <v>397</v>
      </c>
      <c r="F1103" s="4" t="s">
        <v>55</v>
      </c>
      <c r="G1103" s="3" t="s">
        <v>2276</v>
      </c>
      <c r="H1103" s="3" t="s">
        <v>523</v>
      </c>
      <c r="I1103" s="3">
        <v>2002</v>
      </c>
      <c r="J1103" s="3" t="s">
        <v>2276</v>
      </c>
      <c r="K1103" s="3" t="s">
        <v>2276</v>
      </c>
      <c r="L1103" s="3" t="s">
        <v>2276</v>
      </c>
      <c r="M1103" s="3" t="s">
        <v>2276</v>
      </c>
      <c r="N1103" s="3" t="s">
        <v>2276</v>
      </c>
      <c r="O1103" s="3" t="s">
        <v>2276</v>
      </c>
      <c r="P1103" s="3" t="s">
        <v>2276</v>
      </c>
      <c r="Q1103" s="3" t="s">
        <v>2276</v>
      </c>
      <c r="R1103" s="3" t="s">
        <v>2276</v>
      </c>
      <c r="S1103" s="3" t="s">
        <v>2276</v>
      </c>
      <c r="T1103" s="3" t="s">
        <v>2276</v>
      </c>
      <c r="U1103" s="3" t="s">
        <v>2276</v>
      </c>
      <c r="V1103" s="3" t="s">
        <v>2276</v>
      </c>
      <c r="W1103" s="3" t="s">
        <v>2276</v>
      </c>
      <c r="X1103" s="3" t="s">
        <v>2276</v>
      </c>
      <c r="Y1103" s="3" t="s">
        <v>2276</v>
      </c>
      <c r="Z1103" s="3" t="s">
        <v>425</v>
      </c>
      <c r="AA1103" s="3" t="s">
        <v>127</v>
      </c>
      <c r="AB1103" s="3" t="s">
        <v>64</v>
      </c>
      <c r="AC1103" s="3"/>
      <c r="AD1103" s="4" t="s">
        <v>3359</v>
      </c>
    </row>
    <row r="1104" spans="1:30" ht="29">
      <c r="A1104" s="3" t="s">
        <v>3352</v>
      </c>
      <c r="B1104" s="23" t="s">
        <v>6095</v>
      </c>
      <c r="C1104" s="3" t="s">
        <v>31</v>
      </c>
      <c r="D1104" s="3" t="s">
        <v>1105</v>
      </c>
      <c r="E1104" s="3" t="s">
        <v>1105</v>
      </c>
      <c r="F1104" s="4" t="s">
        <v>2276</v>
      </c>
      <c r="G1104" s="3" t="s">
        <v>2276</v>
      </c>
      <c r="H1104" s="3" t="s">
        <v>523</v>
      </c>
      <c r="I1104" s="3">
        <v>2002</v>
      </c>
      <c r="J1104" s="3" t="s">
        <v>2276</v>
      </c>
      <c r="K1104" s="3" t="s">
        <v>2276</v>
      </c>
      <c r="L1104" s="3" t="s">
        <v>2276</v>
      </c>
      <c r="M1104" s="3" t="s">
        <v>2276</v>
      </c>
      <c r="N1104" s="3" t="s">
        <v>2276</v>
      </c>
      <c r="O1104" s="3" t="s">
        <v>2276</v>
      </c>
      <c r="P1104" s="3" t="s">
        <v>2276</v>
      </c>
      <c r="Q1104" s="3" t="s">
        <v>2276</v>
      </c>
      <c r="R1104" s="3" t="s">
        <v>2276</v>
      </c>
      <c r="S1104" s="3" t="s">
        <v>2276</v>
      </c>
      <c r="T1104" s="3" t="s">
        <v>2276</v>
      </c>
      <c r="U1104" s="3" t="s">
        <v>2276</v>
      </c>
      <c r="V1104" s="3" t="s">
        <v>2276</v>
      </c>
      <c r="W1104" s="3" t="s">
        <v>2276</v>
      </c>
      <c r="X1104" s="3" t="s">
        <v>2276</v>
      </c>
      <c r="Y1104" s="3" t="s">
        <v>2276</v>
      </c>
      <c r="Z1104" s="3" t="s">
        <v>425</v>
      </c>
      <c r="AA1104" s="3" t="s">
        <v>127</v>
      </c>
      <c r="AB1104" s="3" t="s">
        <v>64</v>
      </c>
      <c r="AC1104" s="3"/>
      <c r="AD1104" s="4" t="s">
        <v>3359</v>
      </c>
    </row>
    <row r="1105" spans="1:30" ht="29">
      <c r="A1105" s="3" t="s">
        <v>3352</v>
      </c>
      <c r="B1105" s="23" t="s">
        <v>6096</v>
      </c>
      <c r="C1105" s="3" t="s">
        <v>24</v>
      </c>
      <c r="D1105" s="3" t="s">
        <v>1245</v>
      </c>
      <c r="E1105" s="3" t="s">
        <v>116</v>
      </c>
      <c r="F1105" s="4" t="s">
        <v>55</v>
      </c>
      <c r="G1105" s="3" t="s">
        <v>2276</v>
      </c>
      <c r="H1105" s="3" t="s">
        <v>523</v>
      </c>
      <c r="I1105" s="3">
        <v>2002</v>
      </c>
      <c r="J1105" s="3" t="s">
        <v>2276</v>
      </c>
      <c r="K1105" s="3" t="s">
        <v>2276</v>
      </c>
      <c r="L1105" s="3" t="s">
        <v>2276</v>
      </c>
      <c r="M1105" s="3" t="s">
        <v>2276</v>
      </c>
      <c r="N1105" s="3" t="s">
        <v>2276</v>
      </c>
      <c r="O1105" s="3" t="s">
        <v>2276</v>
      </c>
      <c r="P1105" s="3" t="s">
        <v>2276</v>
      </c>
      <c r="Q1105" s="3" t="s">
        <v>2276</v>
      </c>
      <c r="R1105" s="3" t="s">
        <v>2276</v>
      </c>
      <c r="S1105" s="3" t="s">
        <v>2276</v>
      </c>
      <c r="T1105" s="3" t="s">
        <v>2276</v>
      </c>
      <c r="U1105" s="3" t="s">
        <v>2276</v>
      </c>
      <c r="V1105" s="3" t="s">
        <v>2276</v>
      </c>
      <c r="W1105" s="3" t="s">
        <v>2276</v>
      </c>
      <c r="X1105" s="3" t="s">
        <v>2276</v>
      </c>
      <c r="Y1105" s="3" t="s">
        <v>2276</v>
      </c>
      <c r="Z1105" s="3" t="s">
        <v>425</v>
      </c>
      <c r="AA1105" s="3" t="s">
        <v>127</v>
      </c>
      <c r="AB1105" s="3" t="s">
        <v>64</v>
      </c>
      <c r="AC1105" s="3"/>
      <c r="AD1105" s="4" t="s">
        <v>3359</v>
      </c>
    </row>
    <row r="1106" spans="1:30" ht="29">
      <c r="A1106" s="3" t="s">
        <v>3352</v>
      </c>
      <c r="B1106" s="23" t="s">
        <v>6097</v>
      </c>
      <c r="C1106" s="3" t="s">
        <v>24</v>
      </c>
      <c r="D1106" s="3" t="s">
        <v>2305</v>
      </c>
      <c r="E1106" s="3" t="s">
        <v>116</v>
      </c>
      <c r="F1106" s="4" t="s">
        <v>55</v>
      </c>
      <c r="G1106" s="3" t="s">
        <v>2276</v>
      </c>
      <c r="H1106" s="3" t="s">
        <v>523</v>
      </c>
      <c r="I1106" s="3">
        <v>2003</v>
      </c>
      <c r="J1106" s="3" t="s">
        <v>2276</v>
      </c>
      <c r="K1106" s="3" t="s">
        <v>2276</v>
      </c>
      <c r="L1106" s="3" t="s">
        <v>2276</v>
      </c>
      <c r="M1106" s="3" t="s">
        <v>2276</v>
      </c>
      <c r="N1106" s="3" t="s">
        <v>2276</v>
      </c>
      <c r="O1106" s="3" t="s">
        <v>2276</v>
      </c>
      <c r="P1106" s="3" t="s">
        <v>2276</v>
      </c>
      <c r="Q1106" s="3" t="s">
        <v>2276</v>
      </c>
      <c r="R1106" s="3" t="s">
        <v>2276</v>
      </c>
      <c r="S1106" s="3" t="s">
        <v>2276</v>
      </c>
      <c r="T1106" s="3" t="s">
        <v>2276</v>
      </c>
      <c r="U1106" s="3" t="s">
        <v>2276</v>
      </c>
      <c r="V1106" s="3" t="s">
        <v>2276</v>
      </c>
      <c r="W1106" s="3" t="s">
        <v>2276</v>
      </c>
      <c r="X1106" s="3" t="s">
        <v>2276</v>
      </c>
      <c r="Y1106" s="3" t="s">
        <v>2276</v>
      </c>
      <c r="Z1106" s="3" t="s">
        <v>425</v>
      </c>
      <c r="AA1106" s="3" t="s">
        <v>127</v>
      </c>
      <c r="AB1106" s="3" t="s">
        <v>64</v>
      </c>
      <c r="AC1106" s="3"/>
      <c r="AD1106" s="4" t="s">
        <v>3359</v>
      </c>
    </row>
    <row r="1107" spans="1:30" ht="29">
      <c r="A1107" s="3" t="s">
        <v>3352</v>
      </c>
      <c r="B1107" s="23" t="s">
        <v>6098</v>
      </c>
      <c r="C1107" s="3" t="s">
        <v>24</v>
      </c>
      <c r="D1107" s="3" t="s">
        <v>2231</v>
      </c>
      <c r="E1107" s="4" t="s">
        <v>397</v>
      </c>
      <c r="F1107" s="4" t="s">
        <v>55</v>
      </c>
      <c r="G1107" s="3" t="s">
        <v>2276</v>
      </c>
      <c r="H1107" s="3" t="s">
        <v>523</v>
      </c>
      <c r="I1107" s="3">
        <v>2003</v>
      </c>
      <c r="J1107" s="3" t="s">
        <v>2276</v>
      </c>
      <c r="K1107" s="3" t="s">
        <v>2276</v>
      </c>
      <c r="L1107" s="3" t="s">
        <v>2276</v>
      </c>
      <c r="M1107" s="3" t="s">
        <v>2276</v>
      </c>
      <c r="N1107" s="3" t="s">
        <v>2276</v>
      </c>
      <c r="O1107" s="3" t="s">
        <v>2276</v>
      </c>
      <c r="P1107" s="3" t="s">
        <v>2276</v>
      </c>
      <c r="Q1107" s="3" t="s">
        <v>2276</v>
      </c>
      <c r="R1107" s="3" t="s">
        <v>2276</v>
      </c>
      <c r="S1107" s="3" t="s">
        <v>2276</v>
      </c>
      <c r="T1107" s="3" t="s">
        <v>2276</v>
      </c>
      <c r="U1107" s="3" t="s">
        <v>2276</v>
      </c>
      <c r="V1107" s="3" t="s">
        <v>2276</v>
      </c>
      <c r="W1107" s="3" t="s">
        <v>2276</v>
      </c>
      <c r="X1107" s="3" t="s">
        <v>2276</v>
      </c>
      <c r="Y1107" s="3" t="s">
        <v>2276</v>
      </c>
      <c r="Z1107" s="3" t="s">
        <v>425</v>
      </c>
      <c r="AA1107" s="3" t="s">
        <v>127</v>
      </c>
      <c r="AB1107" s="3" t="s">
        <v>64</v>
      </c>
      <c r="AC1107" s="3"/>
      <c r="AD1107" s="4" t="s">
        <v>3359</v>
      </c>
    </row>
    <row r="1108" spans="1:30" ht="29">
      <c r="A1108" s="3" t="s">
        <v>3352</v>
      </c>
      <c r="B1108" s="23" t="s">
        <v>6099</v>
      </c>
      <c r="C1108" s="3" t="s">
        <v>31</v>
      </c>
      <c r="D1108" s="3" t="s">
        <v>1105</v>
      </c>
      <c r="E1108" s="3" t="s">
        <v>1105</v>
      </c>
      <c r="F1108" s="4" t="s">
        <v>2276</v>
      </c>
      <c r="G1108" s="3" t="s">
        <v>2276</v>
      </c>
      <c r="H1108" s="3" t="s">
        <v>523</v>
      </c>
      <c r="I1108" s="3">
        <v>2003</v>
      </c>
      <c r="J1108" s="3" t="s">
        <v>2276</v>
      </c>
      <c r="K1108" s="3" t="s">
        <v>2276</v>
      </c>
      <c r="L1108" s="3" t="s">
        <v>2276</v>
      </c>
      <c r="M1108" s="3" t="s">
        <v>2276</v>
      </c>
      <c r="N1108" s="3" t="s">
        <v>2276</v>
      </c>
      <c r="O1108" s="3" t="s">
        <v>2276</v>
      </c>
      <c r="P1108" s="3" t="s">
        <v>2276</v>
      </c>
      <c r="Q1108" s="3" t="s">
        <v>2276</v>
      </c>
      <c r="R1108" s="3" t="s">
        <v>2276</v>
      </c>
      <c r="S1108" s="3" t="s">
        <v>2276</v>
      </c>
      <c r="T1108" s="3" t="s">
        <v>2276</v>
      </c>
      <c r="U1108" s="3" t="s">
        <v>2276</v>
      </c>
      <c r="V1108" s="3" t="s">
        <v>2276</v>
      </c>
      <c r="W1108" s="3" t="s">
        <v>2276</v>
      </c>
      <c r="X1108" s="3" t="s">
        <v>2276</v>
      </c>
      <c r="Y1108" s="3" t="s">
        <v>2276</v>
      </c>
      <c r="Z1108" s="3" t="s">
        <v>425</v>
      </c>
      <c r="AA1108" s="3" t="s">
        <v>127</v>
      </c>
      <c r="AB1108" s="3" t="s">
        <v>64</v>
      </c>
      <c r="AC1108" s="3"/>
      <c r="AD1108" s="4" t="s">
        <v>3359</v>
      </c>
    </row>
    <row r="1109" spans="1:30" ht="29">
      <c r="A1109" s="3" t="s">
        <v>3352</v>
      </c>
      <c r="B1109" s="23" t="s">
        <v>6100</v>
      </c>
      <c r="C1109" s="3" t="s">
        <v>24</v>
      </c>
      <c r="D1109" s="3" t="s">
        <v>1245</v>
      </c>
      <c r="E1109" s="3" t="s">
        <v>116</v>
      </c>
      <c r="F1109" s="4" t="s">
        <v>55</v>
      </c>
      <c r="G1109" s="3" t="s">
        <v>2276</v>
      </c>
      <c r="H1109" s="3" t="s">
        <v>523</v>
      </c>
      <c r="I1109" s="3">
        <v>2003</v>
      </c>
      <c r="J1109" s="3" t="s">
        <v>2276</v>
      </c>
      <c r="K1109" s="3" t="s">
        <v>2276</v>
      </c>
      <c r="L1109" s="3" t="s">
        <v>2276</v>
      </c>
      <c r="M1109" s="3" t="s">
        <v>2276</v>
      </c>
      <c r="N1109" s="3" t="s">
        <v>2276</v>
      </c>
      <c r="O1109" s="3" t="s">
        <v>2276</v>
      </c>
      <c r="P1109" s="3" t="s">
        <v>2276</v>
      </c>
      <c r="Q1109" s="3" t="s">
        <v>2276</v>
      </c>
      <c r="R1109" s="3" t="s">
        <v>2276</v>
      </c>
      <c r="S1109" s="3" t="s">
        <v>2276</v>
      </c>
      <c r="T1109" s="3" t="s">
        <v>2276</v>
      </c>
      <c r="U1109" s="3" t="s">
        <v>2276</v>
      </c>
      <c r="V1109" s="3" t="s">
        <v>2276</v>
      </c>
      <c r="W1109" s="3" t="s">
        <v>2276</v>
      </c>
      <c r="X1109" s="3" t="s">
        <v>2276</v>
      </c>
      <c r="Y1109" s="3" t="s">
        <v>2276</v>
      </c>
      <c r="Z1109" s="3" t="s">
        <v>425</v>
      </c>
      <c r="AA1109" s="3" t="s">
        <v>127</v>
      </c>
      <c r="AB1109" s="3" t="s">
        <v>64</v>
      </c>
      <c r="AC1109" s="3"/>
      <c r="AD1109" s="4" t="s">
        <v>3359</v>
      </c>
    </row>
    <row r="1110" spans="1:30" ht="82.5" customHeight="1">
      <c r="A1110" s="11" t="s">
        <v>3364</v>
      </c>
      <c r="B1110" s="23" t="s">
        <v>3366</v>
      </c>
      <c r="C1110" s="3" t="s">
        <v>24</v>
      </c>
      <c r="D1110" s="3" t="s">
        <v>144</v>
      </c>
      <c r="E1110" s="3" t="s">
        <v>137</v>
      </c>
      <c r="F1110" s="4" t="s">
        <v>2662</v>
      </c>
      <c r="G1110" s="3" t="s">
        <v>2276</v>
      </c>
      <c r="H1110" s="3" t="s">
        <v>523</v>
      </c>
      <c r="I1110" s="3"/>
      <c r="J1110" s="3" t="s">
        <v>2276</v>
      </c>
      <c r="K1110" s="3" t="s">
        <v>2276</v>
      </c>
      <c r="L1110" s="3" t="s">
        <v>2276</v>
      </c>
      <c r="M1110" s="3" t="s">
        <v>2276</v>
      </c>
      <c r="N1110" s="3" t="s">
        <v>2276</v>
      </c>
      <c r="O1110" s="3" t="s">
        <v>2276</v>
      </c>
      <c r="P1110" s="3" t="s">
        <v>2276</v>
      </c>
      <c r="Q1110" s="3" t="s">
        <v>2276</v>
      </c>
      <c r="R1110" s="3" t="s">
        <v>2276</v>
      </c>
      <c r="S1110" s="3" t="s">
        <v>2276</v>
      </c>
      <c r="T1110" s="3" t="s">
        <v>2276</v>
      </c>
      <c r="U1110" s="3" t="s">
        <v>2276</v>
      </c>
      <c r="V1110" s="3" t="s">
        <v>2276</v>
      </c>
      <c r="W1110" s="3" t="s">
        <v>2276</v>
      </c>
      <c r="X1110" s="21">
        <v>85</v>
      </c>
      <c r="Y1110" s="3" t="s">
        <v>2276</v>
      </c>
      <c r="Z1110" s="3" t="s">
        <v>35</v>
      </c>
      <c r="AA1110" s="3" t="s">
        <v>188</v>
      </c>
      <c r="AB1110" s="3" t="s">
        <v>64</v>
      </c>
      <c r="AC1110" s="4"/>
      <c r="AD1110" s="4" t="s">
        <v>3367</v>
      </c>
    </row>
    <row r="1111" spans="1:30" ht="96.5" customHeight="1">
      <c r="A1111" s="11" t="s">
        <v>3370</v>
      </c>
      <c r="B1111" s="3" t="s">
        <v>3374</v>
      </c>
      <c r="C1111" s="3" t="s">
        <v>24</v>
      </c>
      <c r="D1111" s="3" t="s">
        <v>25</v>
      </c>
      <c r="E1111" s="3" t="s">
        <v>5005</v>
      </c>
      <c r="F1111" s="4" t="s">
        <v>2662</v>
      </c>
      <c r="G1111" s="3" t="s">
        <v>2276</v>
      </c>
      <c r="H1111" s="3" t="s">
        <v>524</v>
      </c>
      <c r="I1111" s="3"/>
      <c r="J1111" s="21">
        <v>0</v>
      </c>
      <c r="K1111" s="21">
        <v>0</v>
      </c>
      <c r="L1111" s="21">
        <v>0</v>
      </c>
      <c r="M1111" s="21">
        <v>0</v>
      </c>
      <c r="N1111" s="21">
        <v>0</v>
      </c>
      <c r="O1111" s="21">
        <v>0</v>
      </c>
      <c r="P1111" s="21">
        <v>0</v>
      </c>
      <c r="Q1111" s="21">
        <v>0</v>
      </c>
      <c r="R1111" s="21">
        <v>0</v>
      </c>
      <c r="S1111" s="21">
        <v>0</v>
      </c>
      <c r="T1111" s="21">
        <v>0</v>
      </c>
      <c r="U1111" s="21">
        <v>0</v>
      </c>
      <c r="V1111" s="21">
        <v>0</v>
      </c>
      <c r="W1111" s="21">
        <v>0</v>
      </c>
      <c r="X1111" s="21">
        <v>0</v>
      </c>
      <c r="Y1111" s="3" t="s">
        <v>2276</v>
      </c>
      <c r="Z1111" s="3" t="s">
        <v>2276</v>
      </c>
      <c r="AA1111" s="3" t="s">
        <v>2276</v>
      </c>
      <c r="AB1111" s="3" t="s">
        <v>2276</v>
      </c>
      <c r="AC1111" s="4" t="s">
        <v>3376</v>
      </c>
      <c r="AD1111" s="3"/>
    </row>
    <row r="1112" spans="1:30" ht="92.5" customHeight="1">
      <c r="A1112" s="11" t="s">
        <v>3371</v>
      </c>
      <c r="B1112" s="3" t="s">
        <v>3375</v>
      </c>
      <c r="C1112" s="3" t="s">
        <v>24</v>
      </c>
      <c r="D1112" s="3" t="s">
        <v>25</v>
      </c>
      <c r="E1112" s="3" t="s">
        <v>5005</v>
      </c>
      <c r="F1112" s="4" t="s">
        <v>2662</v>
      </c>
      <c r="G1112" s="3" t="s">
        <v>2276</v>
      </c>
      <c r="H1112" s="3" t="s">
        <v>524</v>
      </c>
      <c r="I1112" s="3"/>
      <c r="J1112" s="21">
        <v>0</v>
      </c>
      <c r="K1112" s="21">
        <v>0</v>
      </c>
      <c r="L1112" s="21">
        <v>0</v>
      </c>
      <c r="M1112" s="21">
        <v>0</v>
      </c>
      <c r="N1112" s="21">
        <v>0</v>
      </c>
      <c r="O1112" s="21">
        <v>0</v>
      </c>
      <c r="P1112" s="21">
        <v>0</v>
      </c>
      <c r="Q1112" s="21">
        <v>0</v>
      </c>
      <c r="R1112" s="21">
        <v>0</v>
      </c>
      <c r="S1112" s="21">
        <v>0</v>
      </c>
      <c r="T1112" s="21">
        <v>0</v>
      </c>
      <c r="U1112" s="21">
        <v>0</v>
      </c>
      <c r="V1112" s="21">
        <v>0</v>
      </c>
      <c r="W1112" s="21">
        <v>0</v>
      </c>
      <c r="X1112" s="21">
        <v>0</v>
      </c>
      <c r="Y1112" s="3" t="s">
        <v>2276</v>
      </c>
      <c r="Z1112" s="3" t="s">
        <v>2276</v>
      </c>
      <c r="AA1112" s="3" t="s">
        <v>2276</v>
      </c>
      <c r="AB1112" s="3" t="s">
        <v>2276</v>
      </c>
      <c r="AC1112" s="4" t="s">
        <v>3376</v>
      </c>
      <c r="AD1112" s="3"/>
    </row>
    <row r="1113" spans="1:30" ht="52" customHeight="1">
      <c r="A1113" s="11" t="s">
        <v>3378</v>
      </c>
      <c r="B1113" s="11" t="s">
        <v>3389</v>
      </c>
      <c r="C1113" s="3" t="s">
        <v>24</v>
      </c>
      <c r="D1113" s="3" t="s">
        <v>2804</v>
      </c>
      <c r="E1113" s="3" t="s">
        <v>5005</v>
      </c>
      <c r="F1113" s="4" t="s">
        <v>2662</v>
      </c>
      <c r="G1113" s="3" t="s">
        <v>2276</v>
      </c>
      <c r="H1113" s="3" t="s">
        <v>523</v>
      </c>
      <c r="I1113" s="3">
        <v>1968</v>
      </c>
      <c r="J1113" s="3" t="s">
        <v>2276</v>
      </c>
      <c r="K1113" s="3" t="s">
        <v>2276</v>
      </c>
      <c r="L1113" s="3" t="s">
        <v>2276</v>
      </c>
      <c r="M1113" s="3" t="s">
        <v>2276</v>
      </c>
      <c r="N1113" s="3" t="s">
        <v>2276</v>
      </c>
      <c r="O1113" s="3" t="s">
        <v>2276</v>
      </c>
      <c r="P1113" s="3" t="s">
        <v>2276</v>
      </c>
      <c r="Q1113" s="3" t="s">
        <v>2276</v>
      </c>
      <c r="R1113" s="3" t="s">
        <v>2276</v>
      </c>
      <c r="S1113" s="3" t="s">
        <v>2276</v>
      </c>
      <c r="T1113" s="3" t="s">
        <v>2276</v>
      </c>
      <c r="U1113" s="3" t="s">
        <v>2276</v>
      </c>
      <c r="V1113" s="3" t="s">
        <v>2276</v>
      </c>
      <c r="W1113" s="3" t="s">
        <v>2276</v>
      </c>
      <c r="X1113" s="3" t="s">
        <v>2276</v>
      </c>
      <c r="Y1113" s="3" t="s">
        <v>2276</v>
      </c>
      <c r="Z1113" s="3" t="s">
        <v>127</v>
      </c>
      <c r="AA1113" s="3" t="s">
        <v>188</v>
      </c>
      <c r="AB1113" s="3" t="s">
        <v>64</v>
      </c>
      <c r="AC1113" s="4" t="s">
        <v>3398</v>
      </c>
      <c r="AD1113" s="4" t="s">
        <v>3399</v>
      </c>
    </row>
    <row r="1114" spans="1:30" ht="56" customHeight="1">
      <c r="A1114" s="11" t="s">
        <v>3379</v>
      </c>
      <c r="B1114" s="11" t="s">
        <v>3390</v>
      </c>
      <c r="C1114" s="3" t="s">
        <v>24</v>
      </c>
      <c r="D1114" s="3" t="s">
        <v>2804</v>
      </c>
      <c r="E1114" s="3" t="s">
        <v>5005</v>
      </c>
      <c r="F1114" s="4" t="s">
        <v>2662</v>
      </c>
      <c r="G1114" s="3" t="s">
        <v>2276</v>
      </c>
      <c r="H1114" s="3" t="s">
        <v>523</v>
      </c>
      <c r="I1114" s="3">
        <v>1968</v>
      </c>
      <c r="J1114" s="3" t="s">
        <v>2276</v>
      </c>
      <c r="K1114" s="3" t="s">
        <v>2276</v>
      </c>
      <c r="L1114" s="3" t="s">
        <v>2276</v>
      </c>
      <c r="M1114" s="3" t="s">
        <v>2276</v>
      </c>
      <c r="N1114" s="3" t="s">
        <v>2276</v>
      </c>
      <c r="O1114" s="3" t="s">
        <v>2276</v>
      </c>
      <c r="P1114" s="3" t="s">
        <v>2276</v>
      </c>
      <c r="Q1114" s="3" t="s">
        <v>2276</v>
      </c>
      <c r="R1114" s="3" t="s">
        <v>2276</v>
      </c>
      <c r="S1114" s="3" t="s">
        <v>2276</v>
      </c>
      <c r="T1114" s="3" t="s">
        <v>2276</v>
      </c>
      <c r="U1114" s="3" t="s">
        <v>2276</v>
      </c>
      <c r="V1114" s="3" t="s">
        <v>2276</v>
      </c>
      <c r="W1114" s="3" t="s">
        <v>2276</v>
      </c>
      <c r="X1114" s="3" t="s">
        <v>2276</v>
      </c>
      <c r="Y1114" s="3" t="s">
        <v>2276</v>
      </c>
      <c r="Z1114" s="3" t="s">
        <v>127</v>
      </c>
      <c r="AA1114" s="3" t="s">
        <v>188</v>
      </c>
      <c r="AB1114" s="3" t="s">
        <v>64</v>
      </c>
      <c r="AC1114" s="4" t="s">
        <v>3398</v>
      </c>
      <c r="AD1114" s="4" t="s">
        <v>3399</v>
      </c>
    </row>
    <row r="1115" spans="1:30" ht="63.5" customHeight="1">
      <c r="A1115" s="11" t="s">
        <v>3383</v>
      </c>
      <c r="B1115" s="11" t="s">
        <v>3391</v>
      </c>
      <c r="C1115" s="3" t="s">
        <v>24</v>
      </c>
      <c r="D1115" s="3" t="s">
        <v>2804</v>
      </c>
      <c r="E1115" s="3" t="s">
        <v>5005</v>
      </c>
      <c r="F1115" s="4" t="s">
        <v>2662</v>
      </c>
      <c r="G1115" s="3" t="s">
        <v>2276</v>
      </c>
      <c r="H1115" s="3" t="s">
        <v>523</v>
      </c>
      <c r="I1115" s="3">
        <v>1968</v>
      </c>
      <c r="J1115" s="3" t="s">
        <v>2276</v>
      </c>
      <c r="K1115" s="3" t="s">
        <v>2276</v>
      </c>
      <c r="L1115" s="3" t="s">
        <v>2276</v>
      </c>
      <c r="M1115" s="3" t="s">
        <v>2276</v>
      </c>
      <c r="N1115" s="3" t="s">
        <v>2276</v>
      </c>
      <c r="O1115" s="3" t="s">
        <v>2276</v>
      </c>
      <c r="P1115" s="3" t="s">
        <v>2276</v>
      </c>
      <c r="Q1115" s="3" t="s">
        <v>2276</v>
      </c>
      <c r="R1115" s="3" t="s">
        <v>2276</v>
      </c>
      <c r="S1115" s="3" t="s">
        <v>2276</v>
      </c>
      <c r="T1115" s="3" t="s">
        <v>2276</v>
      </c>
      <c r="U1115" s="3" t="s">
        <v>2276</v>
      </c>
      <c r="V1115" s="3" t="s">
        <v>2276</v>
      </c>
      <c r="W1115" s="3" t="s">
        <v>2276</v>
      </c>
      <c r="X1115" s="3" t="s">
        <v>2276</v>
      </c>
      <c r="Y1115" s="3" t="s">
        <v>2276</v>
      </c>
      <c r="Z1115" s="3" t="s">
        <v>127</v>
      </c>
      <c r="AA1115" s="3" t="s">
        <v>188</v>
      </c>
      <c r="AB1115" s="3" t="s">
        <v>64</v>
      </c>
      <c r="AC1115" s="4" t="s">
        <v>3398</v>
      </c>
      <c r="AD1115" s="4" t="s">
        <v>3399</v>
      </c>
    </row>
    <row r="1116" spans="1:30" ht="56" customHeight="1">
      <c r="A1116" s="11" t="s">
        <v>3378</v>
      </c>
      <c r="B1116" s="11" t="s">
        <v>3392</v>
      </c>
      <c r="C1116" s="3" t="s">
        <v>24</v>
      </c>
      <c r="D1116" s="3" t="s">
        <v>26</v>
      </c>
      <c r="E1116" s="3" t="s">
        <v>5005</v>
      </c>
      <c r="F1116" s="4" t="s">
        <v>2662</v>
      </c>
      <c r="G1116" s="3" t="s">
        <v>2276</v>
      </c>
      <c r="H1116" s="3" t="s">
        <v>523</v>
      </c>
      <c r="I1116" s="3">
        <v>1968</v>
      </c>
      <c r="J1116" s="3" t="s">
        <v>2276</v>
      </c>
      <c r="K1116" s="3" t="s">
        <v>2276</v>
      </c>
      <c r="L1116" s="3" t="s">
        <v>2276</v>
      </c>
      <c r="M1116" s="3" t="s">
        <v>2276</v>
      </c>
      <c r="N1116" s="3" t="s">
        <v>2276</v>
      </c>
      <c r="O1116" s="3" t="s">
        <v>2276</v>
      </c>
      <c r="P1116" s="3" t="s">
        <v>2276</v>
      </c>
      <c r="Q1116" s="3" t="s">
        <v>2276</v>
      </c>
      <c r="R1116" s="3" t="s">
        <v>2276</v>
      </c>
      <c r="S1116" s="3" t="s">
        <v>2276</v>
      </c>
      <c r="T1116" s="3" t="s">
        <v>2276</v>
      </c>
      <c r="U1116" s="3" t="s">
        <v>2276</v>
      </c>
      <c r="V1116" s="3" t="s">
        <v>2276</v>
      </c>
      <c r="W1116" s="3" t="s">
        <v>2276</v>
      </c>
      <c r="X1116" s="3" t="s">
        <v>2276</v>
      </c>
      <c r="Y1116" s="3" t="s">
        <v>2276</v>
      </c>
      <c r="Z1116" s="3" t="s">
        <v>2276</v>
      </c>
      <c r="AA1116" s="3" t="s">
        <v>2276</v>
      </c>
      <c r="AB1116" s="3" t="s">
        <v>2276</v>
      </c>
      <c r="AC1116" s="4" t="s">
        <v>3398</v>
      </c>
      <c r="AD1116" s="3"/>
    </row>
    <row r="1117" spans="1:30" ht="65.5" customHeight="1">
      <c r="A1117" s="11" t="s">
        <v>3379</v>
      </c>
      <c r="B1117" s="11" t="s">
        <v>3393</v>
      </c>
      <c r="C1117" s="3" t="s">
        <v>24</v>
      </c>
      <c r="D1117" s="3" t="s">
        <v>26</v>
      </c>
      <c r="E1117" s="3" t="s">
        <v>5005</v>
      </c>
      <c r="F1117" s="4" t="s">
        <v>2662</v>
      </c>
      <c r="G1117" s="3" t="s">
        <v>2276</v>
      </c>
      <c r="H1117" s="3" t="s">
        <v>523</v>
      </c>
      <c r="I1117" s="3">
        <v>1968</v>
      </c>
      <c r="J1117" s="3" t="s">
        <v>2276</v>
      </c>
      <c r="K1117" s="3" t="s">
        <v>2276</v>
      </c>
      <c r="L1117" s="3" t="s">
        <v>2276</v>
      </c>
      <c r="M1117" s="3" t="s">
        <v>2276</v>
      </c>
      <c r="N1117" s="3" t="s">
        <v>2276</v>
      </c>
      <c r="O1117" s="3" t="s">
        <v>2276</v>
      </c>
      <c r="P1117" s="3" t="s">
        <v>2276</v>
      </c>
      <c r="Q1117" s="3" t="s">
        <v>2276</v>
      </c>
      <c r="R1117" s="3" t="s">
        <v>2276</v>
      </c>
      <c r="S1117" s="3" t="s">
        <v>2276</v>
      </c>
      <c r="T1117" s="3" t="s">
        <v>2276</v>
      </c>
      <c r="U1117" s="3" t="s">
        <v>2276</v>
      </c>
      <c r="V1117" s="3" t="s">
        <v>2276</v>
      </c>
      <c r="W1117" s="3" t="s">
        <v>2276</v>
      </c>
      <c r="X1117" s="3" t="s">
        <v>2276</v>
      </c>
      <c r="Y1117" s="3" t="s">
        <v>2276</v>
      </c>
      <c r="Z1117" s="3" t="s">
        <v>2276</v>
      </c>
      <c r="AA1117" s="3" t="s">
        <v>2276</v>
      </c>
      <c r="AB1117" s="3" t="s">
        <v>2276</v>
      </c>
      <c r="AC1117" s="4" t="s">
        <v>3398</v>
      </c>
      <c r="AD1117" s="3"/>
    </row>
    <row r="1118" spans="1:30" ht="61" customHeight="1">
      <c r="A1118" s="11" t="s">
        <v>3383</v>
      </c>
      <c r="B1118" s="11" t="s">
        <v>3394</v>
      </c>
      <c r="C1118" s="3" t="s">
        <v>24</v>
      </c>
      <c r="D1118" s="3" t="s">
        <v>26</v>
      </c>
      <c r="E1118" s="3" t="s">
        <v>5005</v>
      </c>
      <c r="F1118" s="4" t="s">
        <v>2662</v>
      </c>
      <c r="G1118" s="3" t="s">
        <v>2276</v>
      </c>
      <c r="H1118" s="3" t="s">
        <v>523</v>
      </c>
      <c r="I1118" s="3">
        <v>1968</v>
      </c>
      <c r="J1118" s="3" t="s">
        <v>2276</v>
      </c>
      <c r="K1118" s="3" t="s">
        <v>2276</v>
      </c>
      <c r="L1118" s="3" t="s">
        <v>2276</v>
      </c>
      <c r="M1118" s="3" t="s">
        <v>2276</v>
      </c>
      <c r="N1118" s="3" t="s">
        <v>2276</v>
      </c>
      <c r="O1118" s="3" t="s">
        <v>2276</v>
      </c>
      <c r="P1118" s="3" t="s">
        <v>2276</v>
      </c>
      <c r="Q1118" s="3" t="s">
        <v>2276</v>
      </c>
      <c r="R1118" s="3" t="s">
        <v>2276</v>
      </c>
      <c r="S1118" s="3" t="s">
        <v>2276</v>
      </c>
      <c r="T1118" s="3" t="s">
        <v>2276</v>
      </c>
      <c r="U1118" s="3" t="s">
        <v>2276</v>
      </c>
      <c r="V1118" s="3" t="s">
        <v>2276</v>
      </c>
      <c r="W1118" s="3" t="s">
        <v>2276</v>
      </c>
      <c r="X1118" s="3" t="s">
        <v>2276</v>
      </c>
      <c r="Y1118" s="3" t="s">
        <v>2276</v>
      </c>
      <c r="Z1118" s="3" t="s">
        <v>2276</v>
      </c>
      <c r="AA1118" s="3" t="s">
        <v>2276</v>
      </c>
      <c r="AB1118" s="3" t="s">
        <v>2276</v>
      </c>
      <c r="AC1118" s="4" t="s">
        <v>3398</v>
      </c>
      <c r="AD1118" s="3"/>
    </row>
    <row r="1119" spans="1:30" ht="55.5" customHeight="1">
      <c r="A1119" s="11" t="s">
        <v>3378</v>
      </c>
      <c r="B1119" s="11" t="s">
        <v>3395</v>
      </c>
      <c r="C1119" s="3" t="s">
        <v>24</v>
      </c>
      <c r="D1119" s="3" t="s">
        <v>2341</v>
      </c>
      <c r="E1119" s="3" t="s">
        <v>5005</v>
      </c>
      <c r="F1119" s="4" t="s">
        <v>2662</v>
      </c>
      <c r="G1119" s="3" t="s">
        <v>2276</v>
      </c>
      <c r="H1119" s="3" t="s">
        <v>523</v>
      </c>
      <c r="I1119" s="3">
        <v>1968</v>
      </c>
      <c r="J1119" s="3" t="s">
        <v>2276</v>
      </c>
      <c r="K1119" s="3" t="s">
        <v>2276</v>
      </c>
      <c r="L1119" s="3" t="s">
        <v>2276</v>
      </c>
      <c r="M1119" s="3" t="s">
        <v>2276</v>
      </c>
      <c r="N1119" s="3" t="s">
        <v>2276</v>
      </c>
      <c r="O1119" s="3" t="s">
        <v>2276</v>
      </c>
      <c r="P1119" s="3" t="s">
        <v>2276</v>
      </c>
      <c r="Q1119" s="3" t="s">
        <v>2276</v>
      </c>
      <c r="R1119" s="3" t="s">
        <v>2276</v>
      </c>
      <c r="S1119" s="3" t="s">
        <v>2276</v>
      </c>
      <c r="T1119" s="3" t="s">
        <v>2276</v>
      </c>
      <c r="U1119" s="3" t="s">
        <v>2276</v>
      </c>
      <c r="V1119" s="3" t="s">
        <v>2276</v>
      </c>
      <c r="W1119" s="3" t="s">
        <v>2276</v>
      </c>
      <c r="X1119" s="3" t="s">
        <v>2276</v>
      </c>
      <c r="Y1119" s="3" t="s">
        <v>2276</v>
      </c>
      <c r="Z1119" s="3" t="s">
        <v>2276</v>
      </c>
      <c r="AA1119" s="3" t="s">
        <v>2276</v>
      </c>
      <c r="AB1119" s="3" t="s">
        <v>2276</v>
      </c>
      <c r="AC1119" s="4" t="s">
        <v>3398</v>
      </c>
      <c r="AD1119" s="3"/>
    </row>
    <row r="1120" spans="1:30" ht="56.5" customHeight="1">
      <c r="A1120" s="11" t="s">
        <v>3379</v>
      </c>
      <c r="B1120" s="11" t="s">
        <v>3396</v>
      </c>
      <c r="C1120" s="3" t="s">
        <v>24</v>
      </c>
      <c r="D1120" s="3" t="s">
        <v>2341</v>
      </c>
      <c r="E1120" s="3" t="s">
        <v>5005</v>
      </c>
      <c r="F1120" s="4" t="s">
        <v>2662</v>
      </c>
      <c r="G1120" s="3" t="s">
        <v>2276</v>
      </c>
      <c r="H1120" s="3" t="s">
        <v>523</v>
      </c>
      <c r="I1120" s="3">
        <v>1968</v>
      </c>
      <c r="J1120" s="3" t="s">
        <v>2276</v>
      </c>
      <c r="K1120" s="3" t="s">
        <v>2276</v>
      </c>
      <c r="L1120" s="3" t="s">
        <v>2276</v>
      </c>
      <c r="M1120" s="3" t="s">
        <v>2276</v>
      </c>
      <c r="N1120" s="3" t="s">
        <v>2276</v>
      </c>
      <c r="O1120" s="3" t="s">
        <v>2276</v>
      </c>
      <c r="P1120" s="3" t="s">
        <v>2276</v>
      </c>
      <c r="Q1120" s="3" t="s">
        <v>2276</v>
      </c>
      <c r="R1120" s="3" t="s">
        <v>2276</v>
      </c>
      <c r="S1120" s="3" t="s">
        <v>2276</v>
      </c>
      <c r="T1120" s="3" t="s">
        <v>2276</v>
      </c>
      <c r="U1120" s="3" t="s">
        <v>2276</v>
      </c>
      <c r="V1120" s="3" t="s">
        <v>2276</v>
      </c>
      <c r="W1120" s="3" t="s">
        <v>2276</v>
      </c>
      <c r="X1120" s="3" t="s">
        <v>2276</v>
      </c>
      <c r="Y1120" s="3" t="s">
        <v>2276</v>
      </c>
      <c r="Z1120" s="3" t="s">
        <v>2276</v>
      </c>
      <c r="AA1120" s="3" t="s">
        <v>2276</v>
      </c>
      <c r="AB1120" s="3" t="s">
        <v>2276</v>
      </c>
      <c r="AC1120" s="4" t="s">
        <v>3398</v>
      </c>
      <c r="AD1120" s="3"/>
    </row>
    <row r="1121" spans="1:30" ht="55.5" customHeight="1">
      <c r="A1121" s="11" t="s">
        <v>3383</v>
      </c>
      <c r="B1121" s="11" t="s">
        <v>3397</v>
      </c>
      <c r="C1121" s="3" t="s">
        <v>24</v>
      </c>
      <c r="D1121" s="3" t="s">
        <v>2341</v>
      </c>
      <c r="E1121" s="3" t="s">
        <v>5005</v>
      </c>
      <c r="F1121" s="4" t="s">
        <v>2662</v>
      </c>
      <c r="G1121" s="3" t="s">
        <v>2276</v>
      </c>
      <c r="H1121" s="3" t="s">
        <v>523</v>
      </c>
      <c r="I1121" s="3">
        <v>1968</v>
      </c>
      <c r="J1121" s="3" t="s">
        <v>2276</v>
      </c>
      <c r="K1121" s="3" t="s">
        <v>2276</v>
      </c>
      <c r="L1121" s="3" t="s">
        <v>2276</v>
      </c>
      <c r="M1121" s="3" t="s">
        <v>2276</v>
      </c>
      <c r="N1121" s="3" t="s">
        <v>2276</v>
      </c>
      <c r="O1121" s="3" t="s">
        <v>2276</v>
      </c>
      <c r="P1121" s="3" t="s">
        <v>2276</v>
      </c>
      <c r="Q1121" s="3" t="s">
        <v>2276</v>
      </c>
      <c r="R1121" s="3" t="s">
        <v>2276</v>
      </c>
      <c r="S1121" s="3" t="s">
        <v>2276</v>
      </c>
      <c r="T1121" s="3" t="s">
        <v>2276</v>
      </c>
      <c r="U1121" s="3" t="s">
        <v>2276</v>
      </c>
      <c r="V1121" s="3" t="s">
        <v>2276</v>
      </c>
      <c r="W1121" s="3" t="s">
        <v>2276</v>
      </c>
      <c r="X1121" s="3" t="s">
        <v>2276</v>
      </c>
      <c r="Y1121" s="3" t="s">
        <v>2276</v>
      </c>
      <c r="Z1121" s="3" t="s">
        <v>2276</v>
      </c>
      <c r="AA1121" s="3" t="s">
        <v>2276</v>
      </c>
      <c r="AB1121" s="3" t="s">
        <v>2276</v>
      </c>
      <c r="AC1121" s="4" t="s">
        <v>3398</v>
      </c>
      <c r="AD1121" s="3"/>
    </row>
    <row r="1122" spans="1:30" ht="41.5" customHeight="1">
      <c r="A1122" s="11" t="s">
        <v>3386</v>
      </c>
      <c r="B1122" s="11" t="s">
        <v>3407</v>
      </c>
      <c r="C1122" s="3" t="s">
        <v>24</v>
      </c>
      <c r="D1122" s="3" t="s">
        <v>2804</v>
      </c>
      <c r="E1122" s="3" t="s">
        <v>5005</v>
      </c>
      <c r="F1122" s="4" t="s">
        <v>2662</v>
      </c>
      <c r="G1122" s="3" t="s">
        <v>2276</v>
      </c>
      <c r="H1122" s="3" t="s">
        <v>523</v>
      </c>
      <c r="I1122" s="3"/>
      <c r="J1122" s="3" t="s">
        <v>2276</v>
      </c>
      <c r="K1122" s="3" t="s">
        <v>2276</v>
      </c>
      <c r="L1122" s="3" t="s">
        <v>2276</v>
      </c>
      <c r="M1122" s="3" t="s">
        <v>2276</v>
      </c>
      <c r="N1122" s="3" t="s">
        <v>2276</v>
      </c>
      <c r="O1122" s="3" t="s">
        <v>2276</v>
      </c>
      <c r="P1122" s="3" t="s">
        <v>2276</v>
      </c>
      <c r="Q1122" s="3" t="s">
        <v>2276</v>
      </c>
      <c r="R1122" s="3" t="s">
        <v>2276</v>
      </c>
      <c r="S1122" s="3" t="s">
        <v>2276</v>
      </c>
      <c r="T1122" s="3" t="s">
        <v>2276</v>
      </c>
      <c r="U1122" s="3" t="s">
        <v>2276</v>
      </c>
      <c r="V1122" s="3" t="s">
        <v>2276</v>
      </c>
      <c r="W1122" s="3" t="s">
        <v>2276</v>
      </c>
      <c r="X1122" s="3" t="s">
        <v>2276</v>
      </c>
      <c r="Y1122" s="3" t="s">
        <v>2276</v>
      </c>
      <c r="Z1122" s="3" t="s">
        <v>127</v>
      </c>
      <c r="AA1122" s="3" t="s">
        <v>188</v>
      </c>
      <c r="AB1122" s="3" t="s">
        <v>64</v>
      </c>
      <c r="AC1122" s="3"/>
      <c r="AD1122" s="3"/>
    </row>
    <row r="1123" spans="1:30" ht="127" customHeight="1">
      <c r="A1123" s="11" t="s">
        <v>3387</v>
      </c>
      <c r="B1123" s="11" t="s">
        <v>3408</v>
      </c>
      <c r="C1123" s="3" t="s">
        <v>24</v>
      </c>
      <c r="D1123" s="3" t="s">
        <v>2804</v>
      </c>
      <c r="E1123" s="3" t="s">
        <v>5005</v>
      </c>
      <c r="F1123" s="4" t="s">
        <v>2662</v>
      </c>
      <c r="G1123" s="3" t="s">
        <v>2276</v>
      </c>
      <c r="H1123" s="3" t="s">
        <v>524</v>
      </c>
      <c r="I1123" s="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3" t="s">
        <v>2276</v>
      </c>
      <c r="Z1123" s="3" t="s">
        <v>2276</v>
      </c>
      <c r="AA1123" s="3" t="s">
        <v>2276</v>
      </c>
      <c r="AB1123" s="3" t="s">
        <v>2276</v>
      </c>
      <c r="AC1123" s="4" t="s">
        <v>3410</v>
      </c>
      <c r="AD1123" s="3"/>
    </row>
    <row r="1124" spans="1:30" ht="47.5" customHeight="1">
      <c r="A1124" s="11" t="s">
        <v>3388</v>
      </c>
      <c r="B1124" s="11" t="s">
        <v>3409</v>
      </c>
      <c r="C1124" s="3" t="s">
        <v>24</v>
      </c>
      <c r="D1124" s="3" t="s">
        <v>2804</v>
      </c>
      <c r="E1124" s="3" t="s">
        <v>5005</v>
      </c>
      <c r="F1124" s="4" t="s">
        <v>2662</v>
      </c>
      <c r="G1124" s="3" t="s">
        <v>2276</v>
      </c>
      <c r="H1124" s="3" t="s">
        <v>524</v>
      </c>
      <c r="I1124" s="3"/>
      <c r="J1124" s="21">
        <v>0</v>
      </c>
      <c r="K1124" s="21">
        <v>0</v>
      </c>
      <c r="L1124" s="21">
        <v>0</v>
      </c>
      <c r="M1124" s="21">
        <v>0</v>
      </c>
      <c r="N1124" s="21">
        <v>0</v>
      </c>
      <c r="O1124" s="21">
        <v>0</v>
      </c>
      <c r="P1124" s="21">
        <v>0</v>
      </c>
      <c r="Q1124" s="21">
        <v>0</v>
      </c>
      <c r="R1124" s="21">
        <v>0</v>
      </c>
      <c r="S1124" s="21">
        <v>0</v>
      </c>
      <c r="T1124" s="21">
        <v>0</v>
      </c>
      <c r="U1124" s="21">
        <v>0</v>
      </c>
      <c r="V1124" s="21">
        <v>0</v>
      </c>
      <c r="W1124" s="21">
        <v>0</v>
      </c>
      <c r="X1124" s="21">
        <v>0</v>
      </c>
      <c r="Y1124" s="3" t="s">
        <v>2276</v>
      </c>
      <c r="Z1124" s="3" t="s">
        <v>2276</v>
      </c>
      <c r="AA1124" s="3" t="s">
        <v>2276</v>
      </c>
      <c r="AB1124" s="3" t="s">
        <v>2276</v>
      </c>
      <c r="AC1124" s="4" t="s">
        <v>3411</v>
      </c>
      <c r="AD1124" s="3"/>
    </row>
    <row r="1125" spans="1:30" ht="58" customHeight="1">
      <c r="A1125" s="11" t="s">
        <v>3413</v>
      </c>
      <c r="B1125" s="11" t="s">
        <v>3418</v>
      </c>
      <c r="C1125" s="3" t="s">
        <v>24</v>
      </c>
      <c r="D1125" s="3" t="s">
        <v>1245</v>
      </c>
      <c r="E1125" s="3" t="s">
        <v>116</v>
      </c>
      <c r="F1125" s="4" t="s">
        <v>2662</v>
      </c>
      <c r="G1125" s="4" t="s">
        <v>2662</v>
      </c>
      <c r="H1125" s="3" t="s">
        <v>523</v>
      </c>
      <c r="I1125" s="3"/>
      <c r="J1125" s="3" t="s">
        <v>2276</v>
      </c>
      <c r="K1125" s="3" t="s">
        <v>2276</v>
      </c>
      <c r="L1125" s="3" t="s">
        <v>2276</v>
      </c>
      <c r="M1125" s="3" t="s">
        <v>2276</v>
      </c>
      <c r="N1125" s="3" t="s">
        <v>2276</v>
      </c>
      <c r="O1125" s="3" t="s">
        <v>2276</v>
      </c>
      <c r="P1125" s="3" t="s">
        <v>2276</v>
      </c>
      <c r="Q1125" s="3" t="s">
        <v>2276</v>
      </c>
      <c r="R1125" s="3" t="s">
        <v>2276</v>
      </c>
      <c r="S1125" s="3" t="s">
        <v>2276</v>
      </c>
      <c r="T1125" s="3" t="s">
        <v>2276</v>
      </c>
      <c r="U1125" s="3" t="s">
        <v>2276</v>
      </c>
      <c r="V1125" s="3" t="s">
        <v>2276</v>
      </c>
      <c r="W1125" s="3" t="s">
        <v>2276</v>
      </c>
      <c r="X1125" s="3" t="s">
        <v>2276</v>
      </c>
      <c r="Y1125" s="3" t="s">
        <v>2276</v>
      </c>
      <c r="Z1125" s="3" t="s">
        <v>86</v>
      </c>
      <c r="AA1125" s="3" t="s">
        <v>405</v>
      </c>
      <c r="AB1125" s="3" t="s">
        <v>64</v>
      </c>
      <c r="AC1125" s="4" t="s">
        <v>3421</v>
      </c>
      <c r="AD1125" s="3"/>
    </row>
    <row r="1126" spans="1:30" ht="76.5" customHeight="1">
      <c r="A1126" s="11" t="s">
        <v>3413</v>
      </c>
      <c r="B1126" s="11" t="s">
        <v>3419</v>
      </c>
      <c r="C1126" s="3" t="s">
        <v>24</v>
      </c>
      <c r="D1126" s="3" t="s">
        <v>2341</v>
      </c>
      <c r="E1126" s="3" t="s">
        <v>116</v>
      </c>
      <c r="F1126" s="4" t="s">
        <v>2662</v>
      </c>
      <c r="G1126" s="4" t="s">
        <v>2662</v>
      </c>
      <c r="H1126" s="3" t="s">
        <v>523</v>
      </c>
      <c r="I1126" s="3"/>
      <c r="J1126" s="3" t="s">
        <v>2276</v>
      </c>
      <c r="K1126" s="3" t="s">
        <v>2276</v>
      </c>
      <c r="L1126" s="3" t="s">
        <v>2276</v>
      </c>
      <c r="M1126" s="3" t="s">
        <v>2276</v>
      </c>
      <c r="N1126" s="3" t="s">
        <v>2276</v>
      </c>
      <c r="O1126" s="3" t="s">
        <v>2276</v>
      </c>
      <c r="P1126" s="3" t="s">
        <v>2276</v>
      </c>
      <c r="Q1126" s="3" t="s">
        <v>2276</v>
      </c>
      <c r="R1126" s="3" t="s">
        <v>2276</v>
      </c>
      <c r="S1126" s="3" t="s">
        <v>2276</v>
      </c>
      <c r="T1126" s="3" t="s">
        <v>2276</v>
      </c>
      <c r="U1126" s="3" t="s">
        <v>2276</v>
      </c>
      <c r="V1126" s="3" t="s">
        <v>2276</v>
      </c>
      <c r="W1126" s="3" t="s">
        <v>2276</v>
      </c>
      <c r="X1126" s="3" t="s">
        <v>2276</v>
      </c>
      <c r="Y1126" s="3" t="s">
        <v>2276</v>
      </c>
      <c r="Z1126" s="3" t="s">
        <v>86</v>
      </c>
      <c r="AA1126" s="3" t="s">
        <v>405</v>
      </c>
      <c r="AB1126" s="3" t="s">
        <v>64</v>
      </c>
      <c r="AC1126" s="4" t="s">
        <v>3421</v>
      </c>
      <c r="AD1126" s="3"/>
    </row>
    <row r="1127" spans="1:30" ht="113.5" customHeight="1">
      <c r="A1127" s="3" t="s">
        <v>3426</v>
      </c>
      <c r="B1127" s="3" t="s">
        <v>3429</v>
      </c>
      <c r="C1127" s="3" t="s">
        <v>24</v>
      </c>
      <c r="D1127" s="3" t="s">
        <v>1245</v>
      </c>
      <c r="E1127" s="3" t="s">
        <v>116</v>
      </c>
      <c r="F1127" s="4" t="s">
        <v>2662</v>
      </c>
      <c r="G1127" s="4" t="s">
        <v>2662</v>
      </c>
      <c r="H1127" s="3" t="s">
        <v>523</v>
      </c>
      <c r="I1127" s="3">
        <v>1953</v>
      </c>
      <c r="J1127" s="3" t="s">
        <v>2276</v>
      </c>
      <c r="K1127" s="3" t="s">
        <v>2276</v>
      </c>
      <c r="L1127" s="21">
        <v>0.5</v>
      </c>
      <c r="M1127" s="3" t="s">
        <v>2276</v>
      </c>
      <c r="N1127" s="3" t="s">
        <v>2276</v>
      </c>
      <c r="O1127" s="3" t="s">
        <v>2276</v>
      </c>
      <c r="P1127" s="3" t="s">
        <v>2276</v>
      </c>
      <c r="Q1127" s="3" t="s">
        <v>2276</v>
      </c>
      <c r="R1127" s="21">
        <v>5</v>
      </c>
      <c r="S1127" s="3" t="s">
        <v>2276</v>
      </c>
      <c r="T1127" s="3" t="s">
        <v>2276</v>
      </c>
      <c r="U1127" s="3" t="s">
        <v>2276</v>
      </c>
      <c r="V1127" s="3" t="s">
        <v>2276</v>
      </c>
      <c r="W1127" s="3" t="s">
        <v>2276</v>
      </c>
      <c r="X1127" s="3" t="s">
        <v>2276</v>
      </c>
      <c r="Y1127" s="3" t="s">
        <v>2276</v>
      </c>
      <c r="Z1127" s="3" t="s">
        <v>399</v>
      </c>
      <c r="AA1127" s="3" t="s">
        <v>127</v>
      </c>
      <c r="AB1127" s="3" t="s">
        <v>2312</v>
      </c>
      <c r="AC1127" s="4" t="s">
        <v>3442</v>
      </c>
      <c r="AD1127" s="4" t="s">
        <v>3443</v>
      </c>
    </row>
    <row r="1128" spans="1:30" ht="113.5" customHeight="1">
      <c r="A1128" s="3" t="s">
        <v>3426</v>
      </c>
      <c r="B1128" s="3" t="s">
        <v>3430</v>
      </c>
      <c r="C1128" s="3" t="s">
        <v>1105</v>
      </c>
      <c r="D1128" s="3" t="s">
        <v>1105</v>
      </c>
      <c r="E1128" s="3" t="s">
        <v>2276</v>
      </c>
      <c r="F1128" s="4" t="s">
        <v>2276</v>
      </c>
      <c r="G1128" s="4" t="s">
        <v>2662</v>
      </c>
      <c r="H1128" s="3" t="s">
        <v>523</v>
      </c>
      <c r="I1128" s="3">
        <v>1953</v>
      </c>
      <c r="J1128" s="3" t="s">
        <v>2276</v>
      </c>
      <c r="K1128" s="3" t="s">
        <v>2276</v>
      </c>
      <c r="L1128" s="21">
        <v>0.5</v>
      </c>
      <c r="M1128" s="3" t="s">
        <v>2276</v>
      </c>
      <c r="N1128" s="21">
        <v>6005</v>
      </c>
      <c r="O1128" s="3" t="s">
        <v>2276</v>
      </c>
      <c r="P1128" s="21">
        <v>63.9</v>
      </c>
      <c r="Q1128" s="3" t="s">
        <v>2276</v>
      </c>
      <c r="R1128" s="21">
        <v>10.199999999999999</v>
      </c>
      <c r="S1128" s="3" t="s">
        <v>2276</v>
      </c>
      <c r="T1128" s="3" t="s">
        <v>2276</v>
      </c>
      <c r="U1128" s="3" t="s">
        <v>2276</v>
      </c>
      <c r="V1128" s="21">
        <f>22/5</f>
        <v>4.4000000000000004</v>
      </c>
      <c r="W1128" s="3" t="s">
        <v>2276</v>
      </c>
      <c r="X1128" s="3" t="s">
        <v>2276</v>
      </c>
      <c r="Y1128" s="3" t="s">
        <v>2276</v>
      </c>
      <c r="Z1128" s="3" t="s">
        <v>399</v>
      </c>
      <c r="AA1128" s="3" t="s">
        <v>127</v>
      </c>
      <c r="AB1128" s="3" t="s">
        <v>2312</v>
      </c>
      <c r="AC1128" s="4"/>
      <c r="AD1128" s="4"/>
    </row>
    <row r="1129" spans="1:30" ht="56.5" customHeight="1">
      <c r="A1129" s="3" t="s">
        <v>3426</v>
      </c>
      <c r="B1129" s="3" t="s">
        <v>3431</v>
      </c>
      <c r="C1129" s="3" t="s">
        <v>24</v>
      </c>
      <c r="D1129" s="3" t="s">
        <v>1245</v>
      </c>
      <c r="E1129" s="3" t="s">
        <v>116</v>
      </c>
      <c r="F1129" s="4" t="s">
        <v>2662</v>
      </c>
      <c r="G1129" s="4" t="s">
        <v>2662</v>
      </c>
      <c r="H1129" s="3" t="s">
        <v>524</v>
      </c>
      <c r="I1129" s="3">
        <v>1973</v>
      </c>
      <c r="J1129" s="21">
        <v>0</v>
      </c>
      <c r="K1129" s="21">
        <v>0</v>
      </c>
      <c r="L1129" s="21">
        <v>0</v>
      </c>
      <c r="M1129" s="21">
        <v>0</v>
      </c>
      <c r="N1129" s="21">
        <v>0</v>
      </c>
      <c r="O1129" s="21">
        <v>0</v>
      </c>
      <c r="P1129" s="21">
        <v>0</v>
      </c>
      <c r="Q1129" s="21">
        <v>0</v>
      </c>
      <c r="R1129" s="21">
        <v>0</v>
      </c>
      <c r="S1129" s="21">
        <v>0</v>
      </c>
      <c r="T1129" s="21">
        <v>0</v>
      </c>
      <c r="U1129" s="21">
        <v>0</v>
      </c>
      <c r="V1129" s="21">
        <v>0</v>
      </c>
      <c r="W1129" s="21">
        <v>0</v>
      </c>
      <c r="X1129" s="21">
        <v>0</v>
      </c>
      <c r="Y1129" s="21">
        <v>0</v>
      </c>
      <c r="Z1129" s="3" t="s">
        <v>2276</v>
      </c>
      <c r="AA1129" s="3" t="s">
        <v>2276</v>
      </c>
      <c r="AB1129" s="3" t="s">
        <v>2276</v>
      </c>
      <c r="AC1129" s="4" t="s">
        <v>3423</v>
      </c>
      <c r="AD1129" s="3"/>
    </row>
    <row r="1130" spans="1:30" ht="42" customHeight="1">
      <c r="A1130" s="3" t="s">
        <v>3426</v>
      </c>
      <c r="B1130" s="3" t="s">
        <v>3432</v>
      </c>
      <c r="C1130" s="3" t="s">
        <v>1105</v>
      </c>
      <c r="D1130" s="3" t="s">
        <v>1105</v>
      </c>
      <c r="E1130" s="3" t="s">
        <v>1105</v>
      </c>
      <c r="F1130" s="4" t="s">
        <v>1105</v>
      </c>
      <c r="G1130" s="3" t="s">
        <v>2276</v>
      </c>
      <c r="H1130" s="3" t="s">
        <v>523</v>
      </c>
      <c r="I1130" s="3">
        <v>1973</v>
      </c>
      <c r="J1130" s="21">
        <f>24/'Record info'!$K$618/5</f>
        <v>1.9899672484557027E-3</v>
      </c>
      <c r="K1130" s="3" t="s">
        <v>2276</v>
      </c>
      <c r="L1130" s="21">
        <v>15</v>
      </c>
      <c r="M1130" s="3" t="s">
        <v>2276</v>
      </c>
      <c r="N1130" s="21">
        <v>24708</v>
      </c>
      <c r="O1130" s="3" t="s">
        <v>2276</v>
      </c>
      <c r="P1130" s="21">
        <v>1583.9</v>
      </c>
      <c r="Q1130" s="3" t="s">
        <v>2276</v>
      </c>
      <c r="R1130" s="21">
        <v>60.9</v>
      </c>
      <c r="S1130" s="3" t="s">
        <v>2276</v>
      </c>
      <c r="T1130" s="3" t="s">
        <v>2276</v>
      </c>
      <c r="U1130" s="3" t="s">
        <v>2276</v>
      </c>
      <c r="V1130" s="14">
        <f>16/5</f>
        <v>3.2</v>
      </c>
      <c r="W1130" s="3" t="s">
        <v>2276</v>
      </c>
      <c r="X1130" s="3" t="s">
        <v>2276</v>
      </c>
      <c r="Y1130" s="3" t="s">
        <v>2276</v>
      </c>
      <c r="Z1130" s="3" t="s">
        <v>2276</v>
      </c>
      <c r="AA1130" s="3" t="s">
        <v>2276</v>
      </c>
      <c r="AB1130" s="3" t="s">
        <v>2276</v>
      </c>
      <c r="AC1130" s="4" t="s">
        <v>3424</v>
      </c>
      <c r="AD1130" s="3"/>
    </row>
    <row r="1131" spans="1:30" ht="42" customHeight="1">
      <c r="A1131" s="3" t="s">
        <v>3426</v>
      </c>
      <c r="B1131" s="3" t="s">
        <v>3433</v>
      </c>
      <c r="C1131" s="3" t="s">
        <v>24</v>
      </c>
      <c r="D1131" s="3" t="s">
        <v>1245</v>
      </c>
      <c r="E1131" s="3" t="s">
        <v>116</v>
      </c>
      <c r="F1131" s="4" t="s">
        <v>2662</v>
      </c>
      <c r="G1131" s="4" t="s">
        <v>2662</v>
      </c>
      <c r="H1131" s="3" t="s">
        <v>524</v>
      </c>
      <c r="I1131" s="3">
        <v>1981</v>
      </c>
      <c r="J1131" s="21">
        <v>0</v>
      </c>
      <c r="K1131" s="21">
        <v>0</v>
      </c>
      <c r="L1131" s="21">
        <v>0</v>
      </c>
      <c r="M1131" s="21">
        <v>0</v>
      </c>
      <c r="N1131" s="21">
        <v>0</v>
      </c>
      <c r="O1131" s="21">
        <v>0</v>
      </c>
      <c r="P1131" s="21">
        <v>0</v>
      </c>
      <c r="Q1131" s="21">
        <v>0</v>
      </c>
      <c r="R1131" s="21">
        <v>0</v>
      </c>
      <c r="S1131" s="21">
        <v>0</v>
      </c>
      <c r="T1131" s="21">
        <v>0</v>
      </c>
      <c r="U1131" s="21">
        <v>0</v>
      </c>
      <c r="V1131" s="21">
        <v>0</v>
      </c>
      <c r="W1131" s="21">
        <v>0</v>
      </c>
      <c r="X1131" s="21">
        <v>0</v>
      </c>
      <c r="Y1131" s="21">
        <v>0</v>
      </c>
      <c r="Z1131" s="3" t="s">
        <v>2276</v>
      </c>
      <c r="AA1131" s="3" t="s">
        <v>2276</v>
      </c>
      <c r="AB1131" s="3" t="s">
        <v>2276</v>
      </c>
      <c r="AC1131" s="4" t="s">
        <v>3423</v>
      </c>
      <c r="AD1131" s="3"/>
    </row>
    <row r="1132" spans="1:30" ht="42" customHeight="1">
      <c r="A1132" s="3" t="s">
        <v>3426</v>
      </c>
      <c r="B1132" s="3" t="s">
        <v>3434</v>
      </c>
      <c r="C1132" s="3" t="s">
        <v>1105</v>
      </c>
      <c r="D1132" s="3" t="s">
        <v>1105</v>
      </c>
      <c r="E1132" s="3" t="s">
        <v>1105</v>
      </c>
      <c r="F1132" s="4" t="s">
        <v>1105</v>
      </c>
      <c r="G1132" s="3" t="s">
        <v>2276</v>
      </c>
      <c r="H1132" s="3" t="s">
        <v>523</v>
      </c>
      <c r="I1132" s="3">
        <v>1981</v>
      </c>
      <c r="J1132" s="161">
        <f>4/'Record info'!$K$618/5</f>
        <v>3.3166120807595043E-4</v>
      </c>
      <c r="K1132" s="3" t="s">
        <v>2276</v>
      </c>
      <c r="L1132" s="21">
        <v>17113</v>
      </c>
      <c r="M1132" s="3" t="s">
        <v>2276</v>
      </c>
      <c r="N1132" s="21">
        <v>129646</v>
      </c>
      <c r="O1132" s="3" t="s">
        <v>2276</v>
      </c>
      <c r="P1132" s="21">
        <v>52644</v>
      </c>
      <c r="Q1132" s="3" t="s">
        <v>2276</v>
      </c>
      <c r="R1132" s="3" t="s">
        <v>2276</v>
      </c>
      <c r="S1132" s="3" t="s">
        <v>2276</v>
      </c>
      <c r="T1132" s="3" t="s">
        <v>2276</v>
      </c>
      <c r="U1132" s="3" t="s">
        <v>2276</v>
      </c>
      <c r="V1132" s="14">
        <f>87/5</f>
        <v>17.399999999999999</v>
      </c>
      <c r="W1132" s="3" t="s">
        <v>2276</v>
      </c>
      <c r="X1132" s="3" t="s">
        <v>2276</v>
      </c>
      <c r="Y1132" s="3" t="s">
        <v>2276</v>
      </c>
      <c r="Z1132" s="3" t="s">
        <v>2276</v>
      </c>
      <c r="AA1132" s="3" t="s">
        <v>2276</v>
      </c>
      <c r="AB1132" s="3" t="s">
        <v>2276</v>
      </c>
      <c r="AC1132" s="4" t="s">
        <v>3424</v>
      </c>
      <c r="AD1132" s="3"/>
    </row>
    <row r="1133" spans="1:30" ht="42" customHeight="1">
      <c r="A1133" s="3" t="s">
        <v>3426</v>
      </c>
      <c r="B1133" s="3" t="s">
        <v>3435</v>
      </c>
      <c r="C1133" s="3" t="s">
        <v>24</v>
      </c>
      <c r="D1133" s="3" t="s">
        <v>1245</v>
      </c>
      <c r="E1133" s="3" t="s">
        <v>116</v>
      </c>
      <c r="F1133" s="4" t="s">
        <v>2662</v>
      </c>
      <c r="G1133" s="4" t="s">
        <v>2662</v>
      </c>
      <c r="H1133" s="3" t="s">
        <v>524</v>
      </c>
      <c r="I1133" s="3">
        <v>1988</v>
      </c>
      <c r="J1133" s="21">
        <v>0</v>
      </c>
      <c r="K1133" s="21">
        <v>0</v>
      </c>
      <c r="L1133" s="21">
        <v>0</v>
      </c>
      <c r="M1133" s="21">
        <v>0</v>
      </c>
      <c r="N1133" s="21">
        <v>0</v>
      </c>
      <c r="O1133" s="21">
        <v>0</v>
      </c>
      <c r="P1133" s="21">
        <v>0</v>
      </c>
      <c r="Q1133" s="21">
        <v>0</v>
      </c>
      <c r="R1133" s="21">
        <v>0</v>
      </c>
      <c r="S1133" s="21">
        <v>0</v>
      </c>
      <c r="T1133" s="21">
        <v>0</v>
      </c>
      <c r="U1133" s="21">
        <v>0</v>
      </c>
      <c r="V1133" s="21">
        <v>0</v>
      </c>
      <c r="W1133" s="21">
        <v>0</v>
      </c>
      <c r="X1133" s="21">
        <v>0</v>
      </c>
      <c r="Y1133" s="21">
        <v>0</v>
      </c>
      <c r="Z1133" s="3" t="s">
        <v>2276</v>
      </c>
      <c r="AA1133" s="3" t="s">
        <v>2276</v>
      </c>
      <c r="AB1133" s="3" t="s">
        <v>2276</v>
      </c>
      <c r="AC1133" s="4" t="s">
        <v>3423</v>
      </c>
      <c r="AD1133" s="3"/>
    </row>
    <row r="1134" spans="1:30" ht="41" customHeight="1">
      <c r="A1134" s="3" t="s">
        <v>3426</v>
      </c>
      <c r="B1134" s="3" t="s">
        <v>3436</v>
      </c>
      <c r="C1134" s="3" t="s">
        <v>1105</v>
      </c>
      <c r="D1134" s="3" t="s">
        <v>1105</v>
      </c>
      <c r="E1134" s="3" t="s">
        <v>1105</v>
      </c>
      <c r="F1134" s="4" t="s">
        <v>1105</v>
      </c>
      <c r="G1134" s="3" t="s">
        <v>2276</v>
      </c>
      <c r="H1134" s="3" t="s">
        <v>523</v>
      </c>
      <c r="I1134" s="3">
        <v>1988</v>
      </c>
      <c r="J1134" s="21">
        <f>19/'Record info'!$K$618/5</f>
        <v>1.5753907383607648E-3</v>
      </c>
      <c r="K1134" s="3" t="s">
        <v>2276</v>
      </c>
      <c r="L1134" s="21">
        <v>1</v>
      </c>
      <c r="M1134" s="3" t="s">
        <v>2276</v>
      </c>
      <c r="N1134" s="21">
        <v>71346</v>
      </c>
      <c r="O1134" s="3" t="s">
        <v>2276</v>
      </c>
      <c r="P1134" s="21">
        <v>4970.8999999999996</v>
      </c>
      <c r="Q1134" s="3" t="s">
        <v>2276</v>
      </c>
      <c r="R1134" s="21">
        <v>309.89999999999998</v>
      </c>
      <c r="S1134" s="3" t="s">
        <v>2276</v>
      </c>
      <c r="T1134" s="3" t="s">
        <v>2276</v>
      </c>
      <c r="U1134" s="3" t="s">
        <v>2276</v>
      </c>
      <c r="V1134" s="14">
        <f>39/5</f>
        <v>7.8</v>
      </c>
      <c r="W1134" s="3" t="s">
        <v>2276</v>
      </c>
      <c r="X1134" s="3" t="s">
        <v>2276</v>
      </c>
      <c r="Y1134" s="3" t="s">
        <v>2276</v>
      </c>
      <c r="Z1134" s="3" t="s">
        <v>2276</v>
      </c>
      <c r="AA1134" s="3" t="s">
        <v>2276</v>
      </c>
      <c r="AB1134" s="3" t="s">
        <v>2276</v>
      </c>
      <c r="AC1134" s="4" t="s">
        <v>3424</v>
      </c>
      <c r="AD1134" s="3"/>
    </row>
    <row r="1135" spans="1:30" ht="45.5" customHeight="1">
      <c r="A1135" s="3" t="s">
        <v>3426</v>
      </c>
      <c r="B1135" s="3" t="s">
        <v>3437</v>
      </c>
      <c r="C1135" s="3" t="s">
        <v>24</v>
      </c>
      <c r="D1135" s="3" t="s">
        <v>1245</v>
      </c>
      <c r="E1135" s="3" t="s">
        <v>116</v>
      </c>
      <c r="F1135" s="4" t="s">
        <v>2662</v>
      </c>
      <c r="G1135" s="4" t="s">
        <v>2662</v>
      </c>
      <c r="H1135" s="3" t="s">
        <v>524</v>
      </c>
      <c r="I1135" s="3">
        <v>1994</v>
      </c>
      <c r="J1135" s="21">
        <v>0</v>
      </c>
      <c r="K1135" s="21">
        <v>0</v>
      </c>
      <c r="L1135" s="21">
        <v>0</v>
      </c>
      <c r="M1135" s="21">
        <v>0</v>
      </c>
      <c r="N1135" s="21">
        <v>0</v>
      </c>
      <c r="O1135" s="21">
        <v>0</v>
      </c>
      <c r="P1135" s="21">
        <v>0</v>
      </c>
      <c r="Q1135" s="21">
        <v>0</v>
      </c>
      <c r="R1135" s="21">
        <v>0</v>
      </c>
      <c r="S1135" s="21">
        <v>0</v>
      </c>
      <c r="T1135" s="21">
        <v>0</v>
      </c>
      <c r="U1135" s="21">
        <v>0</v>
      </c>
      <c r="V1135" s="21">
        <v>0</v>
      </c>
      <c r="W1135" s="21">
        <v>0</v>
      </c>
      <c r="X1135" s="21">
        <v>0</v>
      </c>
      <c r="Y1135" s="21">
        <v>0</v>
      </c>
      <c r="Z1135" s="3" t="s">
        <v>2276</v>
      </c>
      <c r="AA1135" s="3" t="s">
        <v>2276</v>
      </c>
      <c r="AB1135" s="3" t="s">
        <v>2276</v>
      </c>
      <c r="AC1135" s="4" t="s">
        <v>3423</v>
      </c>
      <c r="AD1135" s="3"/>
    </row>
    <row r="1136" spans="1:30" ht="42.5" customHeight="1">
      <c r="A1136" s="3" t="s">
        <v>3426</v>
      </c>
      <c r="B1136" s="3" t="s">
        <v>3438</v>
      </c>
      <c r="C1136" s="3" t="s">
        <v>1105</v>
      </c>
      <c r="D1136" s="3" t="s">
        <v>1105</v>
      </c>
      <c r="E1136" s="3" t="s">
        <v>1105</v>
      </c>
      <c r="F1136" s="4" t="s">
        <v>1105</v>
      </c>
      <c r="G1136" s="3" t="s">
        <v>2276</v>
      </c>
      <c r="H1136" s="3" t="s">
        <v>523</v>
      </c>
      <c r="I1136" s="3">
        <v>1994</v>
      </c>
      <c r="J1136" s="21">
        <f>83/'Record info'!$K$618/5</f>
        <v>6.8819700675759711E-3</v>
      </c>
      <c r="K1136" s="3" t="s">
        <v>2276</v>
      </c>
      <c r="L1136" s="21">
        <v>8</v>
      </c>
      <c r="M1136" s="3" t="s">
        <v>2276</v>
      </c>
      <c r="N1136" s="21">
        <v>11992</v>
      </c>
      <c r="O1136" s="3" t="s">
        <v>2276</v>
      </c>
      <c r="P1136" s="21">
        <v>561.29999999999995</v>
      </c>
      <c r="Q1136" s="3" t="s">
        <v>2276</v>
      </c>
      <c r="R1136" s="21">
        <v>91.2</v>
      </c>
      <c r="S1136" s="3" t="s">
        <v>2276</v>
      </c>
      <c r="T1136" s="3" t="s">
        <v>2276</v>
      </c>
      <c r="U1136" s="3" t="s">
        <v>2276</v>
      </c>
      <c r="V1136" s="14">
        <f>19/5</f>
        <v>3.8</v>
      </c>
      <c r="W1136" s="3" t="s">
        <v>2276</v>
      </c>
      <c r="X1136" s="3" t="s">
        <v>2276</v>
      </c>
      <c r="Y1136" s="3" t="s">
        <v>2276</v>
      </c>
      <c r="Z1136" s="3" t="s">
        <v>2276</v>
      </c>
      <c r="AA1136" s="3" t="s">
        <v>2276</v>
      </c>
      <c r="AB1136" s="3" t="s">
        <v>2276</v>
      </c>
      <c r="AC1136" s="4" t="s">
        <v>3424</v>
      </c>
      <c r="AD1136" s="3"/>
    </row>
    <row r="1137" spans="1:30" ht="55.5" customHeight="1">
      <c r="A1137" s="3" t="s">
        <v>3426</v>
      </c>
      <c r="B1137" s="3" t="s">
        <v>3439</v>
      </c>
      <c r="C1137" s="3" t="s">
        <v>24</v>
      </c>
      <c r="D1137" s="3" t="s">
        <v>1245</v>
      </c>
      <c r="E1137" s="3" t="s">
        <v>116</v>
      </c>
      <c r="F1137" s="4" t="s">
        <v>2662</v>
      </c>
      <c r="G1137" s="4" t="s">
        <v>2662</v>
      </c>
      <c r="H1137" s="3" t="s">
        <v>524</v>
      </c>
      <c r="I1137" s="3">
        <v>2000</v>
      </c>
      <c r="J1137" s="21">
        <v>0</v>
      </c>
      <c r="K1137" s="21">
        <v>0</v>
      </c>
      <c r="L1137" s="21">
        <v>0</v>
      </c>
      <c r="M1137" s="21">
        <v>0</v>
      </c>
      <c r="N1137" s="21">
        <v>0</v>
      </c>
      <c r="O1137" s="21">
        <v>0</v>
      </c>
      <c r="P1137" s="21">
        <v>0</v>
      </c>
      <c r="Q1137" s="21">
        <v>0</v>
      </c>
      <c r="R1137" s="21">
        <v>0</v>
      </c>
      <c r="S1137" s="21">
        <v>0</v>
      </c>
      <c r="T1137" s="21">
        <v>0</v>
      </c>
      <c r="U1137" s="21">
        <v>0</v>
      </c>
      <c r="V1137" s="21">
        <v>0</v>
      </c>
      <c r="W1137" s="21">
        <v>0</v>
      </c>
      <c r="X1137" s="21">
        <v>0</v>
      </c>
      <c r="Y1137" s="21">
        <v>0</v>
      </c>
      <c r="Z1137" s="3" t="s">
        <v>2276</v>
      </c>
      <c r="AA1137" s="3" t="s">
        <v>2276</v>
      </c>
      <c r="AB1137" s="3" t="s">
        <v>2276</v>
      </c>
      <c r="AC1137" s="4" t="s">
        <v>3423</v>
      </c>
      <c r="AD1137" s="3"/>
    </row>
    <row r="1138" spans="1:30" ht="55.5" customHeight="1">
      <c r="A1138" s="3" t="s">
        <v>3426</v>
      </c>
      <c r="B1138" s="3" t="s">
        <v>5021</v>
      </c>
      <c r="C1138" s="3" t="s">
        <v>1105</v>
      </c>
      <c r="D1138" s="3" t="s">
        <v>1105</v>
      </c>
      <c r="E1138" s="3" t="s">
        <v>1105</v>
      </c>
      <c r="F1138" s="4" t="s">
        <v>1105</v>
      </c>
      <c r="G1138" s="3" t="s">
        <v>2276</v>
      </c>
      <c r="H1138" s="3" t="s">
        <v>523</v>
      </c>
      <c r="I1138" s="3">
        <v>2000</v>
      </c>
      <c r="J1138" s="21">
        <f>25/'Record info'!$K$618/5</f>
        <v>2.0728825504746904E-3</v>
      </c>
      <c r="K1138" s="3" t="s">
        <v>2276</v>
      </c>
      <c r="L1138" s="21">
        <v>19</v>
      </c>
      <c r="M1138" s="3" t="s">
        <v>2276</v>
      </c>
      <c r="N1138" s="21">
        <v>3683</v>
      </c>
      <c r="O1138" s="3" t="s">
        <v>2276</v>
      </c>
      <c r="P1138" s="21">
        <v>444.2</v>
      </c>
      <c r="Q1138" s="3" t="s">
        <v>2276</v>
      </c>
      <c r="R1138" s="21">
        <v>78.2</v>
      </c>
      <c r="S1138" s="3" t="s">
        <v>2276</v>
      </c>
      <c r="T1138" s="3" t="s">
        <v>2276</v>
      </c>
      <c r="U1138" s="3" t="s">
        <v>2276</v>
      </c>
      <c r="V1138" s="21">
        <f>4.6/5</f>
        <v>0.91999999999999993</v>
      </c>
      <c r="W1138" s="3" t="s">
        <v>2276</v>
      </c>
      <c r="X1138" s="3" t="s">
        <v>2276</v>
      </c>
      <c r="Y1138" s="3" t="s">
        <v>2276</v>
      </c>
      <c r="Z1138" s="3" t="s">
        <v>2276</v>
      </c>
      <c r="AA1138" s="3" t="s">
        <v>2276</v>
      </c>
      <c r="AB1138" s="3" t="s">
        <v>2276</v>
      </c>
      <c r="AC1138" s="4" t="s">
        <v>3424</v>
      </c>
      <c r="AD1138" s="3"/>
    </row>
    <row r="1139" spans="1:30" ht="39" customHeight="1">
      <c r="A1139" s="11" t="s">
        <v>3445</v>
      </c>
      <c r="B1139" s="11" t="s">
        <v>3447</v>
      </c>
      <c r="C1139" s="3" t="s">
        <v>24</v>
      </c>
      <c r="D1139" s="3" t="s">
        <v>1245</v>
      </c>
      <c r="E1139" s="3" t="s">
        <v>116</v>
      </c>
      <c r="F1139" s="4" t="s">
        <v>2662</v>
      </c>
      <c r="G1139" s="4" t="s">
        <v>2662</v>
      </c>
      <c r="H1139" s="3" t="s">
        <v>523</v>
      </c>
      <c r="I1139" s="3"/>
      <c r="J1139" s="3" t="s">
        <v>2276</v>
      </c>
      <c r="K1139" s="3" t="s">
        <v>2276</v>
      </c>
      <c r="L1139" s="3" t="s">
        <v>2276</v>
      </c>
      <c r="M1139" s="3" t="s">
        <v>2276</v>
      </c>
      <c r="N1139" s="3" t="s">
        <v>2276</v>
      </c>
      <c r="O1139" s="3" t="s">
        <v>2276</v>
      </c>
      <c r="P1139" s="3" t="s">
        <v>2276</v>
      </c>
      <c r="Q1139" s="3" t="s">
        <v>2276</v>
      </c>
      <c r="R1139" s="3" t="s">
        <v>2276</v>
      </c>
      <c r="S1139" s="3" t="s">
        <v>2276</v>
      </c>
      <c r="T1139" s="3" t="s">
        <v>2276</v>
      </c>
      <c r="U1139" s="3" t="s">
        <v>2276</v>
      </c>
      <c r="V1139" s="3" t="s">
        <v>2276</v>
      </c>
      <c r="W1139" s="3" t="s">
        <v>2276</v>
      </c>
      <c r="X1139" s="3" t="s">
        <v>2276</v>
      </c>
      <c r="Y1139" s="3" t="s">
        <v>2276</v>
      </c>
      <c r="Z1139" s="3" t="s">
        <v>86</v>
      </c>
      <c r="AA1139" s="3" t="s">
        <v>68</v>
      </c>
      <c r="AB1139" s="3" t="s">
        <v>2655</v>
      </c>
      <c r="AC1139" s="4" t="s">
        <v>3449</v>
      </c>
      <c r="AD1139" s="3"/>
    </row>
    <row r="1140" spans="1:30" ht="44.5" customHeight="1">
      <c r="A1140" s="11" t="s">
        <v>3445</v>
      </c>
      <c r="B1140" s="11" t="s">
        <v>3448</v>
      </c>
      <c r="C1140" s="3" t="s">
        <v>24</v>
      </c>
      <c r="D1140" s="3" t="s">
        <v>1242</v>
      </c>
      <c r="E1140" s="3" t="s">
        <v>116</v>
      </c>
      <c r="F1140" s="4" t="s">
        <v>2662</v>
      </c>
      <c r="G1140" s="4" t="s">
        <v>2662</v>
      </c>
      <c r="H1140" s="3" t="s">
        <v>523</v>
      </c>
      <c r="I1140" s="3"/>
      <c r="J1140" s="3" t="s">
        <v>2276</v>
      </c>
      <c r="K1140" s="3" t="s">
        <v>2276</v>
      </c>
      <c r="L1140" s="3" t="s">
        <v>2276</v>
      </c>
      <c r="M1140" s="3" t="s">
        <v>2276</v>
      </c>
      <c r="N1140" s="3" t="s">
        <v>2276</v>
      </c>
      <c r="O1140" s="3" t="s">
        <v>2276</v>
      </c>
      <c r="P1140" s="3" t="s">
        <v>2276</v>
      </c>
      <c r="Q1140" s="3" t="s">
        <v>2276</v>
      </c>
      <c r="R1140" s="3" t="s">
        <v>2276</v>
      </c>
      <c r="S1140" s="3" t="s">
        <v>2276</v>
      </c>
      <c r="T1140" s="3" t="s">
        <v>2276</v>
      </c>
      <c r="U1140" s="3" t="s">
        <v>2276</v>
      </c>
      <c r="V1140" s="3" t="s">
        <v>2276</v>
      </c>
      <c r="W1140" s="3" t="s">
        <v>2276</v>
      </c>
      <c r="X1140" s="3" t="s">
        <v>2276</v>
      </c>
      <c r="Y1140" s="3" t="s">
        <v>2276</v>
      </c>
      <c r="Z1140" s="3" t="s">
        <v>86</v>
      </c>
      <c r="AA1140" s="3" t="s">
        <v>405</v>
      </c>
      <c r="AB1140" s="3" t="s">
        <v>2655</v>
      </c>
      <c r="AC1140" s="4" t="s">
        <v>3450</v>
      </c>
      <c r="AD1140" s="3"/>
    </row>
    <row r="1141" spans="1:30" ht="45" customHeight="1">
      <c r="A1141" s="11" t="s">
        <v>3445</v>
      </c>
      <c r="B1141" s="11" t="s">
        <v>3451</v>
      </c>
      <c r="C1141" s="3" t="s">
        <v>24</v>
      </c>
      <c r="D1141" s="3" t="s">
        <v>2305</v>
      </c>
      <c r="E1141" s="3" t="s">
        <v>116</v>
      </c>
      <c r="F1141" s="4" t="s">
        <v>55</v>
      </c>
      <c r="G1141" s="3" t="s">
        <v>55</v>
      </c>
      <c r="H1141" s="3" t="s">
        <v>523</v>
      </c>
      <c r="I1141" s="3"/>
      <c r="J1141" s="3" t="s">
        <v>2276</v>
      </c>
      <c r="K1141" s="3" t="s">
        <v>2276</v>
      </c>
      <c r="L1141" s="3" t="s">
        <v>2276</v>
      </c>
      <c r="M1141" s="3" t="s">
        <v>2276</v>
      </c>
      <c r="N1141" s="3" t="s">
        <v>2276</v>
      </c>
      <c r="O1141" s="3" t="s">
        <v>2276</v>
      </c>
      <c r="P1141" s="3" t="s">
        <v>2276</v>
      </c>
      <c r="Q1141" s="3" t="s">
        <v>2276</v>
      </c>
      <c r="R1141" s="3" t="s">
        <v>2276</v>
      </c>
      <c r="S1141" s="3" t="s">
        <v>2276</v>
      </c>
      <c r="T1141" s="3" t="s">
        <v>2276</v>
      </c>
      <c r="U1141" s="3" t="s">
        <v>2276</v>
      </c>
      <c r="V1141" s="3" t="s">
        <v>2276</v>
      </c>
      <c r="W1141" s="3" t="s">
        <v>2276</v>
      </c>
      <c r="X1141" s="3" t="s">
        <v>2276</v>
      </c>
      <c r="Y1141" s="3" t="s">
        <v>2276</v>
      </c>
      <c r="Z1141" s="3" t="s">
        <v>86</v>
      </c>
      <c r="AA1141" s="3" t="s">
        <v>68</v>
      </c>
      <c r="AB1141" s="3" t="s">
        <v>64</v>
      </c>
      <c r="AC1141" s="4" t="s">
        <v>3453</v>
      </c>
      <c r="AD1141" s="3"/>
    </row>
    <row r="1142" spans="1:30" ht="46" customHeight="1">
      <c r="A1142" s="11" t="s">
        <v>3445</v>
      </c>
      <c r="B1142" s="11" t="s">
        <v>3452</v>
      </c>
      <c r="C1142" s="3" t="s">
        <v>2656</v>
      </c>
      <c r="D1142" s="3" t="s">
        <v>2276</v>
      </c>
      <c r="E1142" s="3" t="s">
        <v>2276</v>
      </c>
      <c r="F1142" s="4" t="s">
        <v>2276</v>
      </c>
      <c r="G1142" s="3" t="s">
        <v>2276</v>
      </c>
      <c r="H1142" s="3" t="s">
        <v>523</v>
      </c>
      <c r="I1142" s="3"/>
      <c r="J1142" s="3" t="s">
        <v>2276</v>
      </c>
      <c r="K1142" s="3" t="s">
        <v>2276</v>
      </c>
      <c r="L1142" s="3" t="s">
        <v>2276</v>
      </c>
      <c r="M1142" s="3" t="s">
        <v>2276</v>
      </c>
      <c r="N1142" s="3" t="s">
        <v>2276</v>
      </c>
      <c r="O1142" s="3" t="s">
        <v>2276</v>
      </c>
      <c r="P1142" s="3" t="s">
        <v>2276</v>
      </c>
      <c r="Q1142" s="3" t="s">
        <v>2276</v>
      </c>
      <c r="R1142" s="3" t="s">
        <v>2276</v>
      </c>
      <c r="S1142" s="3" t="s">
        <v>2276</v>
      </c>
      <c r="T1142" s="3" t="s">
        <v>2276</v>
      </c>
      <c r="U1142" s="3" t="s">
        <v>2276</v>
      </c>
      <c r="V1142" s="3" t="s">
        <v>2276</v>
      </c>
      <c r="W1142" s="3" t="s">
        <v>2276</v>
      </c>
      <c r="X1142" s="3" t="s">
        <v>2276</v>
      </c>
      <c r="Y1142" s="3" t="s">
        <v>2276</v>
      </c>
      <c r="Z1142" s="11" t="s">
        <v>68</v>
      </c>
      <c r="AA1142" s="11" t="s">
        <v>127</v>
      </c>
      <c r="AB1142" s="11" t="s">
        <v>64</v>
      </c>
      <c r="AC1142" s="4" t="s">
        <v>3456</v>
      </c>
      <c r="AD1142" s="3"/>
    </row>
    <row r="1143" spans="1:30" ht="55.5" customHeight="1">
      <c r="A1143" s="11" t="s">
        <v>3445</v>
      </c>
      <c r="B1143" s="11" t="s">
        <v>3454</v>
      </c>
      <c r="C1143" s="3" t="s">
        <v>2458</v>
      </c>
      <c r="D1143" s="3" t="s">
        <v>1245</v>
      </c>
      <c r="E1143" s="3" t="s">
        <v>116</v>
      </c>
      <c r="F1143" s="4" t="s">
        <v>2662</v>
      </c>
      <c r="G1143" s="3" t="s">
        <v>2276</v>
      </c>
      <c r="H1143" s="3" t="s">
        <v>523</v>
      </c>
      <c r="I1143" s="3"/>
      <c r="J1143" s="3" t="s">
        <v>2276</v>
      </c>
      <c r="K1143" s="3" t="s">
        <v>2276</v>
      </c>
      <c r="L1143" s="3" t="s">
        <v>2276</v>
      </c>
      <c r="M1143" s="3" t="s">
        <v>2276</v>
      </c>
      <c r="N1143" s="3" t="s">
        <v>2276</v>
      </c>
      <c r="O1143" s="3" t="s">
        <v>2276</v>
      </c>
      <c r="P1143" s="3" t="s">
        <v>2276</v>
      </c>
      <c r="Q1143" s="3" t="s">
        <v>2276</v>
      </c>
      <c r="R1143" s="3" t="s">
        <v>2276</v>
      </c>
      <c r="S1143" s="3" t="s">
        <v>2276</v>
      </c>
      <c r="T1143" s="3" t="s">
        <v>2276</v>
      </c>
      <c r="U1143" s="3" t="s">
        <v>2276</v>
      </c>
      <c r="V1143" s="3" t="s">
        <v>2276</v>
      </c>
      <c r="W1143" s="3" t="s">
        <v>2276</v>
      </c>
      <c r="X1143" s="3" t="s">
        <v>2276</v>
      </c>
      <c r="Y1143" s="3" t="s">
        <v>2276</v>
      </c>
      <c r="Z1143" s="3" t="s">
        <v>425</v>
      </c>
      <c r="AA1143" s="3" t="s">
        <v>68</v>
      </c>
      <c r="AB1143" s="3" t="s">
        <v>64</v>
      </c>
      <c r="AC1143" s="4" t="s">
        <v>3455</v>
      </c>
      <c r="AD1143" s="3"/>
    </row>
    <row r="1144" spans="1:30" ht="45" customHeight="1">
      <c r="A1144" s="11" t="s">
        <v>3460</v>
      </c>
      <c r="B1144" s="11" t="s">
        <v>3465</v>
      </c>
      <c r="C1144" s="3" t="s">
        <v>24</v>
      </c>
      <c r="D1144" s="3" t="s">
        <v>2804</v>
      </c>
      <c r="E1144" s="3" t="s">
        <v>5005</v>
      </c>
      <c r="F1144" s="4" t="s">
        <v>2662</v>
      </c>
      <c r="G1144" s="3" t="s">
        <v>2276</v>
      </c>
      <c r="H1144" s="3" t="s">
        <v>523</v>
      </c>
      <c r="I1144" s="3"/>
      <c r="J1144" s="3" t="s">
        <v>2276</v>
      </c>
      <c r="K1144" s="3" t="s">
        <v>2276</v>
      </c>
      <c r="L1144" s="3" t="s">
        <v>2276</v>
      </c>
      <c r="M1144" s="3" t="s">
        <v>2276</v>
      </c>
      <c r="N1144" s="3" t="s">
        <v>2276</v>
      </c>
      <c r="O1144" s="3" t="s">
        <v>2276</v>
      </c>
      <c r="P1144" s="3" t="s">
        <v>2276</v>
      </c>
      <c r="Q1144" s="3" t="s">
        <v>2276</v>
      </c>
      <c r="R1144" s="3" t="s">
        <v>2276</v>
      </c>
      <c r="S1144" s="3" t="s">
        <v>2276</v>
      </c>
      <c r="T1144" s="3" t="s">
        <v>2276</v>
      </c>
      <c r="U1144" s="3" t="s">
        <v>2276</v>
      </c>
      <c r="V1144" s="3" t="s">
        <v>2276</v>
      </c>
      <c r="W1144" s="3" t="s">
        <v>2276</v>
      </c>
      <c r="X1144" s="3" t="s">
        <v>2276</v>
      </c>
      <c r="Y1144" s="3" t="s">
        <v>2276</v>
      </c>
      <c r="Z1144" s="3" t="s">
        <v>189</v>
      </c>
      <c r="AA1144" s="3" t="s">
        <v>38</v>
      </c>
      <c r="AB1144" s="3" t="s">
        <v>64</v>
      </c>
      <c r="AC1144" s="4" t="s">
        <v>3466</v>
      </c>
      <c r="AD1144" s="3"/>
    </row>
    <row r="1145" spans="1:30" ht="81.5" customHeight="1">
      <c r="A1145" s="11" t="s">
        <v>3460</v>
      </c>
      <c r="B1145" s="11" t="s">
        <v>3467</v>
      </c>
      <c r="C1145" s="3" t="s">
        <v>24</v>
      </c>
      <c r="D1145" s="3" t="s">
        <v>25</v>
      </c>
      <c r="E1145" s="3" t="s">
        <v>5005</v>
      </c>
      <c r="F1145" s="4" t="s">
        <v>2662</v>
      </c>
      <c r="G1145" s="3" t="s">
        <v>2276</v>
      </c>
      <c r="H1145" s="3" t="s">
        <v>524</v>
      </c>
      <c r="I1145" s="3"/>
      <c r="J1145" s="21">
        <v>0</v>
      </c>
      <c r="K1145" s="21">
        <v>0</v>
      </c>
      <c r="L1145" s="21">
        <v>0</v>
      </c>
      <c r="M1145" s="21">
        <v>0</v>
      </c>
      <c r="N1145" s="21">
        <v>0</v>
      </c>
      <c r="O1145" s="21">
        <v>0</v>
      </c>
      <c r="P1145" s="21">
        <v>0</v>
      </c>
      <c r="Q1145" s="21">
        <v>0</v>
      </c>
      <c r="R1145" s="21">
        <v>0</v>
      </c>
      <c r="S1145" s="21">
        <v>0</v>
      </c>
      <c r="T1145" s="21">
        <v>0</v>
      </c>
      <c r="U1145" s="21">
        <v>0</v>
      </c>
      <c r="V1145" s="21">
        <v>0</v>
      </c>
      <c r="W1145" s="21">
        <v>0</v>
      </c>
      <c r="X1145" s="21">
        <v>0</v>
      </c>
      <c r="Y1145" s="21">
        <v>0</v>
      </c>
      <c r="Z1145" s="3" t="s">
        <v>68</v>
      </c>
      <c r="AA1145" s="3" t="s">
        <v>35</v>
      </c>
      <c r="AB1145" s="3" t="s">
        <v>2276</v>
      </c>
      <c r="AC1145" s="4" t="s">
        <v>3468</v>
      </c>
      <c r="AD1145" s="3"/>
    </row>
    <row r="1146" spans="1:30" ht="54.5" customHeight="1">
      <c r="A1146" s="11" t="s">
        <v>3460</v>
      </c>
      <c r="B1146" s="11" t="s">
        <v>3469</v>
      </c>
      <c r="C1146" s="3" t="s">
        <v>24</v>
      </c>
      <c r="D1146" s="3" t="s">
        <v>143</v>
      </c>
      <c r="E1146" s="3" t="s">
        <v>130</v>
      </c>
      <c r="F1146" s="4" t="s">
        <v>74</v>
      </c>
      <c r="G1146" s="3" t="s">
        <v>2276</v>
      </c>
      <c r="H1146" s="3" t="s">
        <v>523</v>
      </c>
      <c r="I1146" s="3"/>
      <c r="J1146" s="3" t="s">
        <v>2276</v>
      </c>
      <c r="K1146" s="3" t="s">
        <v>2276</v>
      </c>
      <c r="L1146" s="3" t="s">
        <v>2276</v>
      </c>
      <c r="M1146" s="3" t="s">
        <v>2276</v>
      </c>
      <c r="N1146" s="3" t="s">
        <v>2276</v>
      </c>
      <c r="O1146" s="3" t="s">
        <v>2276</v>
      </c>
      <c r="P1146" s="3" t="s">
        <v>2276</v>
      </c>
      <c r="Q1146" s="3" t="s">
        <v>2276</v>
      </c>
      <c r="R1146" s="3" t="s">
        <v>2276</v>
      </c>
      <c r="S1146" s="3" t="s">
        <v>2276</v>
      </c>
      <c r="T1146" s="3" t="s">
        <v>2276</v>
      </c>
      <c r="U1146" s="3" t="s">
        <v>2276</v>
      </c>
      <c r="V1146" s="3" t="s">
        <v>2276</v>
      </c>
      <c r="W1146" s="3" t="s">
        <v>2276</v>
      </c>
      <c r="X1146" s="3" t="s">
        <v>2276</v>
      </c>
      <c r="Y1146" s="3" t="s">
        <v>2276</v>
      </c>
      <c r="Z1146" s="3" t="s">
        <v>2276</v>
      </c>
      <c r="AA1146" s="3" t="s">
        <v>2276</v>
      </c>
      <c r="AB1146" s="3" t="s">
        <v>2276</v>
      </c>
      <c r="AC1146" s="3"/>
      <c r="AD1146" s="3"/>
    </row>
    <row r="1147" spans="1:30" ht="47" customHeight="1">
      <c r="A1147" s="11" t="s">
        <v>3460</v>
      </c>
      <c r="B1147" s="11" t="s">
        <v>3470</v>
      </c>
      <c r="C1147" s="3" t="s">
        <v>24</v>
      </c>
      <c r="D1147" s="3" t="s">
        <v>2659</v>
      </c>
      <c r="E1147" s="3" t="s">
        <v>130</v>
      </c>
      <c r="F1147" s="4" t="s">
        <v>28</v>
      </c>
      <c r="G1147" s="3" t="s">
        <v>2276</v>
      </c>
      <c r="H1147" s="3" t="s">
        <v>523</v>
      </c>
      <c r="I1147" s="3"/>
      <c r="J1147" s="3" t="s">
        <v>2276</v>
      </c>
      <c r="K1147" s="3" t="s">
        <v>2276</v>
      </c>
      <c r="L1147" s="3" t="s">
        <v>2276</v>
      </c>
      <c r="M1147" s="3" t="s">
        <v>2276</v>
      </c>
      <c r="N1147" s="3" t="s">
        <v>2276</v>
      </c>
      <c r="O1147" s="3" t="s">
        <v>2276</v>
      </c>
      <c r="P1147" s="3" t="s">
        <v>2276</v>
      </c>
      <c r="Q1147" s="3" t="s">
        <v>2276</v>
      </c>
      <c r="R1147" s="3" t="s">
        <v>2276</v>
      </c>
      <c r="S1147" s="3" t="s">
        <v>2276</v>
      </c>
      <c r="T1147" s="3" t="s">
        <v>2276</v>
      </c>
      <c r="U1147" s="3" t="s">
        <v>2276</v>
      </c>
      <c r="V1147" s="3" t="s">
        <v>2276</v>
      </c>
      <c r="W1147" s="3" t="s">
        <v>2276</v>
      </c>
      <c r="X1147" s="3" t="s">
        <v>2276</v>
      </c>
      <c r="Y1147" s="3" t="s">
        <v>2276</v>
      </c>
      <c r="Z1147" s="3" t="s">
        <v>189</v>
      </c>
      <c r="AA1147" s="3" t="s">
        <v>38</v>
      </c>
      <c r="AB1147" s="3" t="s">
        <v>64</v>
      </c>
      <c r="AC1147" s="3" t="s">
        <v>3472</v>
      </c>
      <c r="AD1147" s="3"/>
    </row>
    <row r="1148" spans="1:30" ht="45.5" customHeight="1">
      <c r="A1148" s="11" t="s">
        <v>3460</v>
      </c>
      <c r="B1148" s="11" t="s">
        <v>3471</v>
      </c>
      <c r="C1148" s="3" t="s">
        <v>24</v>
      </c>
      <c r="D1148" s="3" t="s">
        <v>27</v>
      </c>
      <c r="E1148" s="3" t="s">
        <v>130</v>
      </c>
      <c r="F1148" s="4" t="s">
        <v>161</v>
      </c>
      <c r="G1148" s="3" t="s">
        <v>2276</v>
      </c>
      <c r="H1148" s="3" t="s">
        <v>523</v>
      </c>
      <c r="I1148" s="3"/>
      <c r="J1148" s="3" t="s">
        <v>2276</v>
      </c>
      <c r="K1148" s="3" t="s">
        <v>2276</v>
      </c>
      <c r="L1148" s="3" t="s">
        <v>2276</v>
      </c>
      <c r="M1148" s="3" t="s">
        <v>2276</v>
      </c>
      <c r="N1148" s="3" t="s">
        <v>2276</v>
      </c>
      <c r="O1148" s="3" t="s">
        <v>2276</v>
      </c>
      <c r="P1148" s="3" t="s">
        <v>2276</v>
      </c>
      <c r="Q1148" s="3" t="s">
        <v>2276</v>
      </c>
      <c r="R1148" s="3" t="s">
        <v>2276</v>
      </c>
      <c r="S1148" s="3" t="s">
        <v>2276</v>
      </c>
      <c r="T1148" s="3" t="s">
        <v>2276</v>
      </c>
      <c r="U1148" s="3" t="s">
        <v>2276</v>
      </c>
      <c r="V1148" s="3" t="s">
        <v>2276</v>
      </c>
      <c r="W1148" s="3" t="s">
        <v>2276</v>
      </c>
      <c r="X1148" s="3" t="s">
        <v>2276</v>
      </c>
      <c r="Y1148" s="3" t="s">
        <v>2276</v>
      </c>
      <c r="Z1148" s="3" t="s">
        <v>189</v>
      </c>
      <c r="AA1148" s="3" t="s">
        <v>38</v>
      </c>
      <c r="AB1148" s="3" t="s">
        <v>64</v>
      </c>
      <c r="AC1148" s="3" t="s">
        <v>3472</v>
      </c>
      <c r="AD1148" s="3"/>
    </row>
    <row r="1149" spans="1:30" ht="45" customHeight="1">
      <c r="A1149" s="11" t="s">
        <v>3460</v>
      </c>
      <c r="B1149" s="11" t="s">
        <v>3475</v>
      </c>
      <c r="C1149" s="3" t="s">
        <v>24</v>
      </c>
      <c r="D1149" s="3" t="s">
        <v>3476</v>
      </c>
      <c r="E1149" s="3" t="s">
        <v>863</v>
      </c>
      <c r="F1149" s="4" t="s">
        <v>161</v>
      </c>
      <c r="G1149" s="3" t="s">
        <v>2276</v>
      </c>
      <c r="H1149" s="3" t="s">
        <v>523</v>
      </c>
      <c r="I1149" s="3"/>
      <c r="J1149" s="3" t="s">
        <v>2276</v>
      </c>
      <c r="K1149" s="3" t="s">
        <v>2276</v>
      </c>
      <c r="L1149" s="3" t="s">
        <v>2276</v>
      </c>
      <c r="M1149" s="3" t="s">
        <v>2276</v>
      </c>
      <c r="N1149" s="3" t="s">
        <v>2276</v>
      </c>
      <c r="O1149" s="3" t="s">
        <v>2276</v>
      </c>
      <c r="P1149" s="3" t="s">
        <v>2276</v>
      </c>
      <c r="Q1149" s="3" t="s">
        <v>2276</v>
      </c>
      <c r="R1149" s="3" t="s">
        <v>2276</v>
      </c>
      <c r="S1149" s="3" t="s">
        <v>2276</v>
      </c>
      <c r="T1149" s="3" t="s">
        <v>2276</v>
      </c>
      <c r="U1149" s="3" t="s">
        <v>2276</v>
      </c>
      <c r="V1149" s="3" t="s">
        <v>2276</v>
      </c>
      <c r="W1149" s="3" t="s">
        <v>2276</v>
      </c>
      <c r="X1149" s="3" t="s">
        <v>2276</v>
      </c>
      <c r="Y1149" s="3" t="s">
        <v>2276</v>
      </c>
      <c r="Z1149" s="3" t="s">
        <v>2276</v>
      </c>
      <c r="AA1149" s="3" t="s">
        <v>2276</v>
      </c>
      <c r="AB1149" s="3" t="s">
        <v>2276</v>
      </c>
      <c r="AC1149" s="3"/>
      <c r="AD1149" s="3"/>
    </row>
    <row r="1150" spans="1:30" ht="44.5" customHeight="1">
      <c r="A1150" s="11" t="s">
        <v>3460</v>
      </c>
      <c r="B1150" s="11" t="s">
        <v>3478</v>
      </c>
      <c r="C1150" s="3" t="s">
        <v>2458</v>
      </c>
      <c r="D1150" s="3" t="s">
        <v>3476</v>
      </c>
      <c r="E1150" s="3" t="s">
        <v>863</v>
      </c>
      <c r="F1150" s="4" t="s">
        <v>161</v>
      </c>
      <c r="G1150" s="3" t="s">
        <v>74</v>
      </c>
      <c r="H1150" s="3" t="s">
        <v>523</v>
      </c>
      <c r="I1150" s="3"/>
      <c r="J1150" s="3" t="s">
        <v>2276</v>
      </c>
      <c r="K1150" s="3" t="s">
        <v>2276</v>
      </c>
      <c r="L1150" s="3" t="s">
        <v>2276</v>
      </c>
      <c r="M1150" s="3" t="s">
        <v>2276</v>
      </c>
      <c r="N1150" s="3" t="s">
        <v>2276</v>
      </c>
      <c r="O1150" s="3" t="s">
        <v>2276</v>
      </c>
      <c r="P1150" s="3" t="s">
        <v>2276</v>
      </c>
      <c r="Q1150" s="3" t="s">
        <v>2276</v>
      </c>
      <c r="R1150" s="3" t="s">
        <v>2276</v>
      </c>
      <c r="S1150" s="3" t="s">
        <v>2276</v>
      </c>
      <c r="T1150" s="3" t="s">
        <v>2276</v>
      </c>
      <c r="U1150" s="3" t="s">
        <v>2276</v>
      </c>
      <c r="V1150" s="3" t="s">
        <v>2276</v>
      </c>
      <c r="W1150" s="3" t="s">
        <v>2276</v>
      </c>
      <c r="X1150" s="3" t="s">
        <v>2276</v>
      </c>
      <c r="Y1150" s="3" t="s">
        <v>2276</v>
      </c>
      <c r="Z1150" s="3" t="s">
        <v>2276</v>
      </c>
      <c r="AA1150" s="3" t="s">
        <v>2276</v>
      </c>
      <c r="AB1150" s="3" t="s">
        <v>2276</v>
      </c>
      <c r="AC1150" s="11" t="s">
        <v>3477</v>
      </c>
      <c r="AD1150" s="3"/>
    </row>
    <row r="1151" spans="1:30" ht="44.5" customHeight="1">
      <c r="A1151" s="11" t="s">
        <v>3460</v>
      </c>
      <c r="B1151" s="11" t="s">
        <v>3479</v>
      </c>
      <c r="C1151" s="3" t="s">
        <v>24</v>
      </c>
      <c r="D1151" s="3" t="s">
        <v>3480</v>
      </c>
      <c r="E1151" s="3" t="s">
        <v>116</v>
      </c>
      <c r="F1151" s="4" t="s">
        <v>74</v>
      </c>
      <c r="G1151" s="3" t="s">
        <v>74</v>
      </c>
      <c r="H1151" s="3" t="s">
        <v>523</v>
      </c>
      <c r="I1151" s="3"/>
      <c r="J1151" s="3" t="s">
        <v>2276</v>
      </c>
      <c r="K1151" s="3" t="s">
        <v>2276</v>
      </c>
      <c r="L1151" s="3" t="s">
        <v>2276</v>
      </c>
      <c r="M1151" s="3" t="s">
        <v>2276</v>
      </c>
      <c r="N1151" s="3" t="s">
        <v>2276</v>
      </c>
      <c r="O1151" s="3" t="s">
        <v>2276</v>
      </c>
      <c r="P1151" s="3" t="s">
        <v>2276</v>
      </c>
      <c r="Q1151" s="3" t="s">
        <v>2276</v>
      </c>
      <c r="R1151" s="3" t="s">
        <v>2276</v>
      </c>
      <c r="S1151" s="3" t="s">
        <v>2276</v>
      </c>
      <c r="T1151" s="3" t="s">
        <v>2276</v>
      </c>
      <c r="U1151" s="3" t="s">
        <v>2276</v>
      </c>
      <c r="V1151" s="3" t="s">
        <v>2276</v>
      </c>
      <c r="W1151" s="3" t="s">
        <v>2276</v>
      </c>
      <c r="X1151" s="3" t="s">
        <v>2276</v>
      </c>
      <c r="Y1151" s="3" t="s">
        <v>2276</v>
      </c>
      <c r="Z1151" s="3" t="s">
        <v>2276</v>
      </c>
      <c r="AA1151" s="3" t="s">
        <v>2276</v>
      </c>
      <c r="AB1151" s="3" t="s">
        <v>2276</v>
      </c>
      <c r="AC1151" s="19" t="s">
        <v>3481</v>
      </c>
      <c r="AD1151" s="3"/>
    </row>
    <row r="1152" spans="1:30" ht="44.5" customHeight="1">
      <c r="A1152" s="35" t="s">
        <v>3460</v>
      </c>
      <c r="B1152" s="35" t="s">
        <v>3482</v>
      </c>
      <c r="C1152" s="38" t="s">
        <v>2458</v>
      </c>
      <c r="D1152" s="38" t="s">
        <v>3480</v>
      </c>
      <c r="E1152" s="38" t="s">
        <v>116</v>
      </c>
      <c r="F1152" s="168" t="s">
        <v>74</v>
      </c>
      <c r="G1152" s="38" t="s">
        <v>74</v>
      </c>
      <c r="H1152" s="38" t="s">
        <v>523</v>
      </c>
      <c r="I1152" s="38"/>
      <c r="J1152" s="38" t="s">
        <v>2276</v>
      </c>
      <c r="K1152" s="38" t="s">
        <v>2276</v>
      </c>
      <c r="L1152" s="38" t="s">
        <v>2276</v>
      </c>
      <c r="M1152" s="38" t="s">
        <v>2276</v>
      </c>
      <c r="N1152" s="38" t="s">
        <v>2276</v>
      </c>
      <c r="O1152" s="38" t="s">
        <v>2276</v>
      </c>
      <c r="P1152" s="38" t="s">
        <v>2276</v>
      </c>
      <c r="Q1152" s="38" t="s">
        <v>2276</v>
      </c>
      <c r="R1152" s="38" t="s">
        <v>2276</v>
      </c>
      <c r="S1152" s="38" t="s">
        <v>2276</v>
      </c>
      <c r="T1152" s="38" t="s">
        <v>2276</v>
      </c>
      <c r="U1152" s="38" t="s">
        <v>2276</v>
      </c>
      <c r="V1152" s="38" t="s">
        <v>2276</v>
      </c>
      <c r="W1152" s="38" t="s">
        <v>2276</v>
      </c>
      <c r="X1152" s="38" t="s">
        <v>2276</v>
      </c>
      <c r="Y1152" s="38" t="s">
        <v>2276</v>
      </c>
      <c r="Z1152" s="38" t="s">
        <v>2276</v>
      </c>
      <c r="AA1152" s="38" t="s">
        <v>2276</v>
      </c>
      <c r="AB1152" s="38" t="s">
        <v>2276</v>
      </c>
      <c r="AC1152" s="55" t="s">
        <v>3481</v>
      </c>
      <c r="AD1152" s="3"/>
    </row>
    <row r="1153" spans="1:30" ht="98.5" customHeight="1">
      <c r="A1153" s="11" t="s">
        <v>3460</v>
      </c>
      <c r="B1153" s="11" t="s">
        <v>3483</v>
      </c>
      <c r="C1153" s="3" t="s">
        <v>24</v>
      </c>
      <c r="D1153" s="3" t="s">
        <v>2346</v>
      </c>
      <c r="E1153" s="3" t="s">
        <v>5005</v>
      </c>
      <c r="F1153" s="4" t="s">
        <v>28</v>
      </c>
      <c r="G1153" s="3" t="s">
        <v>2276</v>
      </c>
      <c r="H1153" s="3" t="s">
        <v>523</v>
      </c>
      <c r="I1153" s="3"/>
      <c r="J1153" s="3" t="s">
        <v>2276</v>
      </c>
      <c r="K1153" s="3" t="s">
        <v>2276</v>
      </c>
      <c r="L1153" s="3" t="s">
        <v>2276</v>
      </c>
      <c r="M1153" s="3" t="s">
        <v>2276</v>
      </c>
      <c r="N1153" s="3" t="s">
        <v>2276</v>
      </c>
      <c r="O1153" s="3" t="s">
        <v>2276</v>
      </c>
      <c r="P1153" s="3" t="s">
        <v>2276</v>
      </c>
      <c r="Q1153" s="3" t="s">
        <v>2276</v>
      </c>
      <c r="R1153" s="3" t="s">
        <v>2276</v>
      </c>
      <c r="S1153" s="3" t="s">
        <v>2276</v>
      </c>
      <c r="T1153" s="3" t="s">
        <v>2276</v>
      </c>
      <c r="U1153" s="3" t="s">
        <v>2276</v>
      </c>
      <c r="V1153" s="3" t="s">
        <v>2276</v>
      </c>
      <c r="W1153" s="3" t="s">
        <v>2276</v>
      </c>
      <c r="X1153" s="3" t="s">
        <v>2276</v>
      </c>
      <c r="Y1153" s="3" t="s">
        <v>2276</v>
      </c>
      <c r="Z1153" s="3" t="s">
        <v>2276</v>
      </c>
      <c r="AA1153" s="3" t="s">
        <v>2276</v>
      </c>
      <c r="AB1153" s="3" t="s">
        <v>2276</v>
      </c>
      <c r="AC1153" s="4" t="s">
        <v>3484</v>
      </c>
      <c r="AD1153" s="3"/>
    </row>
    <row r="1154" spans="1:30" ht="37.5" customHeight="1">
      <c r="A1154" s="11" t="s">
        <v>3491</v>
      </c>
      <c r="B1154" s="11" t="s">
        <v>3497</v>
      </c>
      <c r="C1154" s="3" t="s">
        <v>1105</v>
      </c>
      <c r="D1154" s="3" t="s">
        <v>1105</v>
      </c>
      <c r="E1154" s="3" t="s">
        <v>1105</v>
      </c>
      <c r="F1154" s="4" t="s">
        <v>1105</v>
      </c>
      <c r="G1154" s="3" t="s">
        <v>1105</v>
      </c>
      <c r="H1154" s="3" t="s">
        <v>523</v>
      </c>
      <c r="I1154" s="3">
        <v>2009</v>
      </c>
      <c r="J1154" s="3" t="s">
        <v>2276</v>
      </c>
      <c r="K1154" s="3" t="s">
        <v>2276</v>
      </c>
      <c r="L1154" s="3" t="s">
        <v>2276</v>
      </c>
      <c r="M1154" s="3" t="s">
        <v>2276</v>
      </c>
      <c r="N1154" s="3" t="s">
        <v>2276</v>
      </c>
      <c r="O1154" s="3" t="s">
        <v>2276</v>
      </c>
      <c r="P1154" s="3" t="s">
        <v>2276</v>
      </c>
      <c r="Q1154" s="3" t="s">
        <v>2276</v>
      </c>
      <c r="R1154" s="3" t="s">
        <v>2276</v>
      </c>
      <c r="S1154" s="3" t="s">
        <v>2276</v>
      </c>
      <c r="T1154" s="21">
        <v>5377.8</v>
      </c>
      <c r="U1154" s="3" t="s">
        <v>2276</v>
      </c>
      <c r="V1154" s="3" t="s">
        <v>2276</v>
      </c>
      <c r="W1154" s="3" t="s">
        <v>2276</v>
      </c>
      <c r="X1154" s="3" t="s">
        <v>2276</v>
      </c>
      <c r="Y1154" s="3" t="s">
        <v>2276</v>
      </c>
      <c r="Z1154" s="3" t="s">
        <v>2276</v>
      </c>
      <c r="AA1154" s="3" t="s">
        <v>2276</v>
      </c>
      <c r="AB1154" s="3" t="s">
        <v>2276</v>
      </c>
      <c r="AC1154" s="3"/>
      <c r="AD1154" s="3"/>
    </row>
    <row r="1155" spans="1:30" ht="37.5" customHeight="1">
      <c r="A1155" s="11" t="s">
        <v>3491</v>
      </c>
      <c r="B1155" s="11" t="s">
        <v>3498</v>
      </c>
      <c r="C1155" s="3" t="s">
        <v>1105</v>
      </c>
      <c r="D1155" s="3" t="s">
        <v>1105</v>
      </c>
      <c r="E1155" s="3" t="s">
        <v>1105</v>
      </c>
      <c r="F1155" s="4" t="s">
        <v>1105</v>
      </c>
      <c r="G1155" s="3" t="s">
        <v>1105</v>
      </c>
      <c r="H1155" s="3" t="s">
        <v>523</v>
      </c>
      <c r="I1155" s="3">
        <v>2010</v>
      </c>
      <c r="J1155" s="3" t="s">
        <v>2276</v>
      </c>
      <c r="K1155" s="3" t="s">
        <v>2276</v>
      </c>
      <c r="L1155" s="3" t="s">
        <v>2276</v>
      </c>
      <c r="M1155" s="3" t="s">
        <v>2276</v>
      </c>
      <c r="N1155" s="3" t="s">
        <v>2276</v>
      </c>
      <c r="O1155" s="3" t="s">
        <v>2276</v>
      </c>
      <c r="P1155" s="3" t="s">
        <v>2276</v>
      </c>
      <c r="Q1155" s="3" t="s">
        <v>2276</v>
      </c>
      <c r="R1155" s="3" t="s">
        <v>2276</v>
      </c>
      <c r="S1155" s="3" t="s">
        <v>2276</v>
      </c>
      <c r="T1155" s="21">
        <v>10079.33</v>
      </c>
      <c r="U1155" s="3" t="s">
        <v>2276</v>
      </c>
      <c r="V1155" s="3" t="s">
        <v>2276</v>
      </c>
      <c r="W1155" s="3" t="s">
        <v>2276</v>
      </c>
      <c r="X1155" s="3" t="s">
        <v>2276</v>
      </c>
      <c r="Y1155" s="3" t="s">
        <v>2276</v>
      </c>
      <c r="Z1155" s="3" t="s">
        <v>2276</v>
      </c>
      <c r="AA1155" s="3" t="s">
        <v>2276</v>
      </c>
      <c r="AB1155" s="3" t="s">
        <v>2276</v>
      </c>
      <c r="AC1155" s="3"/>
      <c r="AD1155" s="3"/>
    </row>
    <row r="1156" spans="1:30" ht="37.5" customHeight="1">
      <c r="A1156" s="11" t="s">
        <v>3491</v>
      </c>
      <c r="B1156" s="11" t="s">
        <v>3499</v>
      </c>
      <c r="C1156" s="3" t="s">
        <v>1105</v>
      </c>
      <c r="D1156" s="3" t="s">
        <v>1105</v>
      </c>
      <c r="E1156" s="3" t="s">
        <v>1105</v>
      </c>
      <c r="F1156" s="4" t="s">
        <v>1105</v>
      </c>
      <c r="G1156" s="3" t="s">
        <v>1105</v>
      </c>
      <c r="H1156" s="3" t="s">
        <v>523</v>
      </c>
      <c r="I1156" s="3">
        <v>2011</v>
      </c>
      <c r="J1156" s="3" t="s">
        <v>2276</v>
      </c>
      <c r="K1156" s="3" t="s">
        <v>2276</v>
      </c>
      <c r="L1156" s="3" t="s">
        <v>2276</v>
      </c>
      <c r="M1156" s="3" t="s">
        <v>2276</v>
      </c>
      <c r="N1156" s="3" t="s">
        <v>2276</v>
      </c>
      <c r="O1156" s="3" t="s">
        <v>2276</v>
      </c>
      <c r="P1156" s="3" t="s">
        <v>2276</v>
      </c>
      <c r="Q1156" s="3" t="s">
        <v>2276</v>
      </c>
      <c r="R1156" s="3" t="s">
        <v>2276</v>
      </c>
      <c r="S1156" s="3" t="s">
        <v>2276</v>
      </c>
      <c r="T1156" s="21">
        <v>6966.96</v>
      </c>
      <c r="U1156" s="3" t="s">
        <v>2276</v>
      </c>
      <c r="V1156" s="3" t="s">
        <v>2276</v>
      </c>
      <c r="W1156" s="3" t="s">
        <v>2276</v>
      </c>
      <c r="X1156" s="3" t="s">
        <v>2276</v>
      </c>
      <c r="Y1156" s="3" t="s">
        <v>2276</v>
      </c>
      <c r="Z1156" s="3" t="s">
        <v>2276</v>
      </c>
      <c r="AA1156" s="3" t="s">
        <v>2276</v>
      </c>
      <c r="AB1156" s="3" t="s">
        <v>2276</v>
      </c>
      <c r="AC1156" s="3"/>
      <c r="AD1156" s="3"/>
    </row>
    <row r="1157" spans="1:30" ht="37.5" customHeight="1">
      <c r="A1157" s="11" t="s">
        <v>3491</v>
      </c>
      <c r="B1157" s="11" t="s">
        <v>3502</v>
      </c>
      <c r="C1157" s="3" t="s">
        <v>1105</v>
      </c>
      <c r="D1157" s="3" t="s">
        <v>1105</v>
      </c>
      <c r="E1157" s="3" t="s">
        <v>1105</v>
      </c>
      <c r="F1157" s="4" t="s">
        <v>1105</v>
      </c>
      <c r="G1157" s="3" t="s">
        <v>1105</v>
      </c>
      <c r="H1157" s="3" t="s">
        <v>523</v>
      </c>
      <c r="I1157" s="3">
        <v>2012</v>
      </c>
      <c r="J1157" s="3" t="s">
        <v>2276</v>
      </c>
      <c r="K1157" s="3" t="s">
        <v>2276</v>
      </c>
      <c r="L1157" s="3" t="s">
        <v>2276</v>
      </c>
      <c r="M1157" s="3" t="s">
        <v>2276</v>
      </c>
      <c r="N1157" s="3" t="s">
        <v>2276</v>
      </c>
      <c r="O1157" s="3" t="s">
        <v>2276</v>
      </c>
      <c r="P1157" s="3" t="s">
        <v>2276</v>
      </c>
      <c r="Q1157" s="3" t="s">
        <v>2276</v>
      </c>
      <c r="R1157" s="3" t="s">
        <v>2276</v>
      </c>
      <c r="S1157" s="3" t="s">
        <v>2276</v>
      </c>
      <c r="T1157" s="21">
        <v>4866.6099999999997</v>
      </c>
      <c r="U1157" s="3" t="s">
        <v>2276</v>
      </c>
      <c r="V1157" s="3" t="s">
        <v>2276</v>
      </c>
      <c r="W1157" s="3" t="s">
        <v>2276</v>
      </c>
      <c r="X1157" s="3" t="s">
        <v>2276</v>
      </c>
      <c r="Y1157" s="3" t="s">
        <v>2276</v>
      </c>
      <c r="Z1157" s="3" t="s">
        <v>2276</v>
      </c>
      <c r="AA1157" s="3" t="s">
        <v>2276</v>
      </c>
      <c r="AB1157" s="3" t="s">
        <v>2276</v>
      </c>
      <c r="AC1157" s="3"/>
      <c r="AD1157" s="3"/>
    </row>
    <row r="1158" spans="1:30" ht="37.5" customHeight="1">
      <c r="A1158" s="11" t="s">
        <v>3491</v>
      </c>
      <c r="B1158" s="11" t="s">
        <v>3503</v>
      </c>
      <c r="C1158" s="3" t="s">
        <v>1105</v>
      </c>
      <c r="D1158" s="3" t="s">
        <v>1105</v>
      </c>
      <c r="E1158" s="3" t="s">
        <v>1105</v>
      </c>
      <c r="F1158" s="4" t="s">
        <v>1105</v>
      </c>
      <c r="G1158" s="3" t="s">
        <v>1105</v>
      </c>
      <c r="H1158" s="3" t="s">
        <v>523</v>
      </c>
      <c r="I1158" s="3">
        <v>2013</v>
      </c>
      <c r="J1158" s="3" t="s">
        <v>2276</v>
      </c>
      <c r="K1158" s="3" t="s">
        <v>2276</v>
      </c>
      <c r="L1158" s="3" t="s">
        <v>2276</v>
      </c>
      <c r="M1158" s="3" t="s">
        <v>2276</v>
      </c>
      <c r="N1158" s="3" t="s">
        <v>2276</v>
      </c>
      <c r="O1158" s="3" t="s">
        <v>2276</v>
      </c>
      <c r="P1158" s="3" t="s">
        <v>2276</v>
      </c>
      <c r="Q1158" s="3" t="s">
        <v>2276</v>
      </c>
      <c r="R1158" s="3" t="s">
        <v>2276</v>
      </c>
      <c r="S1158" s="3" t="s">
        <v>2276</v>
      </c>
      <c r="T1158" s="21">
        <v>4766.0200000000004</v>
      </c>
      <c r="U1158" s="3" t="s">
        <v>2276</v>
      </c>
      <c r="V1158" s="3" t="s">
        <v>2276</v>
      </c>
      <c r="W1158" s="3" t="s">
        <v>2276</v>
      </c>
      <c r="X1158" s="3" t="s">
        <v>2276</v>
      </c>
      <c r="Y1158" s="3" t="s">
        <v>2276</v>
      </c>
      <c r="Z1158" s="3" t="s">
        <v>2276</v>
      </c>
      <c r="AA1158" s="3" t="s">
        <v>2276</v>
      </c>
      <c r="AB1158" s="3" t="s">
        <v>2276</v>
      </c>
      <c r="AC1158" s="3"/>
      <c r="AD1158" s="3"/>
    </row>
    <row r="1159" spans="1:30" ht="37.5" customHeight="1">
      <c r="A1159" s="11" t="s">
        <v>3491</v>
      </c>
      <c r="B1159" s="11" t="s">
        <v>3504</v>
      </c>
      <c r="C1159" s="3" t="s">
        <v>1105</v>
      </c>
      <c r="D1159" s="3" t="s">
        <v>1105</v>
      </c>
      <c r="E1159" s="3" t="s">
        <v>1105</v>
      </c>
      <c r="F1159" s="4" t="s">
        <v>1105</v>
      </c>
      <c r="G1159" s="3" t="s">
        <v>1105</v>
      </c>
      <c r="H1159" s="3" t="s">
        <v>523</v>
      </c>
      <c r="I1159" s="3">
        <v>2014</v>
      </c>
      <c r="J1159" s="3" t="s">
        <v>2276</v>
      </c>
      <c r="K1159" s="3" t="s">
        <v>2276</v>
      </c>
      <c r="L1159" s="3" t="s">
        <v>2276</v>
      </c>
      <c r="M1159" s="3" t="s">
        <v>2276</v>
      </c>
      <c r="N1159" s="3" t="s">
        <v>2276</v>
      </c>
      <c r="O1159" s="3" t="s">
        <v>2276</v>
      </c>
      <c r="P1159" s="3" t="s">
        <v>2276</v>
      </c>
      <c r="Q1159" s="3" t="s">
        <v>2276</v>
      </c>
      <c r="R1159" s="3" t="s">
        <v>2276</v>
      </c>
      <c r="S1159" s="3" t="s">
        <v>2276</v>
      </c>
      <c r="T1159" s="21">
        <v>3186.23</v>
      </c>
      <c r="U1159" s="3" t="s">
        <v>2276</v>
      </c>
      <c r="V1159" s="3" t="s">
        <v>2276</v>
      </c>
      <c r="W1159" s="3" t="s">
        <v>2276</v>
      </c>
      <c r="X1159" s="3" t="s">
        <v>2276</v>
      </c>
      <c r="Y1159" s="3" t="s">
        <v>2276</v>
      </c>
      <c r="Z1159" s="3" t="s">
        <v>2276</v>
      </c>
      <c r="AA1159" s="3" t="s">
        <v>2276</v>
      </c>
      <c r="AB1159" s="3" t="s">
        <v>2276</v>
      </c>
      <c r="AC1159" s="3"/>
      <c r="AD1159" s="3"/>
    </row>
    <row r="1160" spans="1:30" ht="45" customHeight="1">
      <c r="A1160" s="11" t="s">
        <v>3530</v>
      </c>
      <c r="B1160" s="3" t="s">
        <v>3533</v>
      </c>
      <c r="C1160" s="3" t="s">
        <v>24</v>
      </c>
      <c r="D1160" s="3" t="s">
        <v>1242</v>
      </c>
      <c r="E1160" s="3" t="s">
        <v>5005</v>
      </c>
      <c r="F1160" s="4" t="s">
        <v>2662</v>
      </c>
      <c r="G1160" s="3" t="s">
        <v>2276</v>
      </c>
      <c r="H1160" s="3" t="s">
        <v>523</v>
      </c>
      <c r="I1160" s="3"/>
      <c r="J1160" s="3" t="s">
        <v>2276</v>
      </c>
      <c r="K1160" s="3" t="s">
        <v>2276</v>
      </c>
      <c r="L1160" s="3" t="s">
        <v>2276</v>
      </c>
      <c r="M1160" s="3" t="s">
        <v>2276</v>
      </c>
      <c r="N1160" s="3" t="s">
        <v>2276</v>
      </c>
      <c r="O1160" s="3" t="s">
        <v>2276</v>
      </c>
      <c r="P1160" s="3" t="s">
        <v>2276</v>
      </c>
      <c r="Q1160" s="3" t="s">
        <v>2276</v>
      </c>
      <c r="R1160" s="3" t="s">
        <v>2276</v>
      </c>
      <c r="S1160" s="3" t="s">
        <v>2276</v>
      </c>
      <c r="T1160" s="3" t="s">
        <v>2276</v>
      </c>
      <c r="U1160" s="3" t="s">
        <v>2276</v>
      </c>
      <c r="V1160" s="3" t="s">
        <v>2276</v>
      </c>
      <c r="W1160" s="3" t="s">
        <v>2276</v>
      </c>
      <c r="X1160" s="3" t="s">
        <v>2276</v>
      </c>
      <c r="Y1160" s="21">
        <v>4.5</v>
      </c>
      <c r="Z1160" s="3" t="s">
        <v>425</v>
      </c>
      <c r="AA1160" s="3" t="s">
        <v>68</v>
      </c>
      <c r="AB1160" s="3" t="s">
        <v>64</v>
      </c>
      <c r="AC1160" s="3"/>
      <c r="AD1160" s="3"/>
    </row>
    <row r="1161" spans="1:30" ht="45" customHeight="1">
      <c r="A1161" s="11" t="s">
        <v>3530</v>
      </c>
      <c r="B1161" s="3" t="s">
        <v>3534</v>
      </c>
      <c r="C1161" s="3" t="s">
        <v>24</v>
      </c>
      <c r="D1161" s="3" t="s">
        <v>1242</v>
      </c>
      <c r="E1161" s="3" t="s">
        <v>5005</v>
      </c>
      <c r="F1161" s="4" t="s">
        <v>74</v>
      </c>
      <c r="G1161" s="3" t="s">
        <v>2276</v>
      </c>
      <c r="H1161" s="3" t="s">
        <v>524</v>
      </c>
      <c r="I1161" s="3"/>
      <c r="J1161" s="21">
        <v>0</v>
      </c>
      <c r="K1161" s="21">
        <v>0</v>
      </c>
      <c r="L1161" s="21">
        <v>0</v>
      </c>
      <c r="M1161" s="21">
        <v>0</v>
      </c>
      <c r="N1161" s="21">
        <v>0</v>
      </c>
      <c r="O1161" s="21">
        <v>0</v>
      </c>
      <c r="P1161" s="21">
        <v>0</v>
      </c>
      <c r="Q1161" s="21">
        <v>0</v>
      </c>
      <c r="R1161" s="21">
        <v>0</v>
      </c>
      <c r="S1161" s="21">
        <v>0</v>
      </c>
      <c r="T1161" s="21">
        <v>0</v>
      </c>
      <c r="U1161" s="21">
        <v>0</v>
      </c>
      <c r="V1161" s="21">
        <v>0</v>
      </c>
      <c r="W1161" s="21">
        <v>0</v>
      </c>
      <c r="X1161" s="21">
        <v>0</v>
      </c>
      <c r="Y1161" s="3" t="s">
        <v>2276</v>
      </c>
      <c r="Z1161" s="3" t="s">
        <v>2276</v>
      </c>
      <c r="AA1161" s="3" t="s">
        <v>2276</v>
      </c>
      <c r="AB1161" s="3" t="s">
        <v>2276</v>
      </c>
      <c r="AC1161" s="4" t="s">
        <v>3536</v>
      </c>
      <c r="AD1161" s="3"/>
    </row>
    <row r="1162" spans="1:30" ht="45" customHeight="1">
      <c r="A1162" s="11" t="s">
        <v>3530</v>
      </c>
      <c r="B1162" s="3" t="s">
        <v>3535</v>
      </c>
      <c r="C1162" s="3" t="s">
        <v>24</v>
      </c>
      <c r="D1162" s="3" t="s">
        <v>2804</v>
      </c>
      <c r="E1162" s="3" t="s">
        <v>5005</v>
      </c>
      <c r="F1162" s="4" t="s">
        <v>2662</v>
      </c>
      <c r="G1162" s="3" t="s">
        <v>2276</v>
      </c>
      <c r="H1162" s="3" t="s">
        <v>523</v>
      </c>
      <c r="I1162" s="3"/>
      <c r="J1162" s="3" t="s">
        <v>2276</v>
      </c>
      <c r="K1162" s="3" t="s">
        <v>2276</v>
      </c>
      <c r="L1162" s="3" t="s">
        <v>2276</v>
      </c>
      <c r="M1162" s="3" t="s">
        <v>2276</v>
      </c>
      <c r="N1162" s="3" t="s">
        <v>2276</v>
      </c>
      <c r="O1162" s="3" t="s">
        <v>2276</v>
      </c>
      <c r="P1162" s="3" t="s">
        <v>2276</v>
      </c>
      <c r="Q1162" s="3" t="s">
        <v>2276</v>
      </c>
      <c r="R1162" s="3" t="s">
        <v>2276</v>
      </c>
      <c r="S1162" s="3" t="s">
        <v>2276</v>
      </c>
      <c r="T1162" s="3" t="s">
        <v>2276</v>
      </c>
      <c r="U1162" s="3" t="s">
        <v>2276</v>
      </c>
      <c r="V1162" s="3" t="s">
        <v>2276</v>
      </c>
      <c r="W1162" s="3" t="s">
        <v>2276</v>
      </c>
      <c r="X1162" s="3" t="s">
        <v>2276</v>
      </c>
      <c r="Y1162" s="21">
        <v>4.5</v>
      </c>
      <c r="Z1162" s="3" t="s">
        <v>404</v>
      </c>
      <c r="AA1162" s="3" t="s">
        <v>68</v>
      </c>
      <c r="AB1162" s="3" t="s">
        <v>64</v>
      </c>
      <c r="AC1162" s="3"/>
      <c r="AD1162" s="3"/>
    </row>
    <row r="1163" spans="1:30" ht="45" customHeight="1">
      <c r="A1163" s="11" t="s">
        <v>3530</v>
      </c>
      <c r="B1163" s="3" t="s">
        <v>3537</v>
      </c>
      <c r="C1163" s="3" t="s">
        <v>24</v>
      </c>
      <c r="D1163" s="3" t="s">
        <v>2804</v>
      </c>
      <c r="E1163" s="3" t="s">
        <v>5005</v>
      </c>
      <c r="F1163" s="4" t="s">
        <v>2662</v>
      </c>
      <c r="G1163" s="3" t="s">
        <v>2276</v>
      </c>
      <c r="H1163" s="3" t="s">
        <v>523</v>
      </c>
      <c r="I1163" s="3"/>
      <c r="J1163" s="3" t="s">
        <v>2276</v>
      </c>
      <c r="K1163" s="3" t="s">
        <v>2276</v>
      </c>
      <c r="L1163" s="3" t="s">
        <v>2276</v>
      </c>
      <c r="M1163" s="3" t="s">
        <v>2276</v>
      </c>
      <c r="N1163" s="3" t="s">
        <v>2276</v>
      </c>
      <c r="O1163" s="3" t="s">
        <v>2276</v>
      </c>
      <c r="P1163" s="3" t="s">
        <v>2276</v>
      </c>
      <c r="Q1163" s="3" t="s">
        <v>2276</v>
      </c>
      <c r="R1163" s="3" t="s">
        <v>2276</v>
      </c>
      <c r="S1163" s="3" t="s">
        <v>2276</v>
      </c>
      <c r="T1163" s="3" t="s">
        <v>2276</v>
      </c>
      <c r="U1163" s="3" t="s">
        <v>2276</v>
      </c>
      <c r="V1163" s="3" t="s">
        <v>2276</v>
      </c>
      <c r="W1163" s="3" t="s">
        <v>2276</v>
      </c>
      <c r="X1163" s="3" t="s">
        <v>2276</v>
      </c>
      <c r="Y1163" s="21">
        <v>4.5</v>
      </c>
      <c r="Z1163" s="3" t="s">
        <v>399</v>
      </c>
      <c r="AA1163" s="3" t="s">
        <v>38</v>
      </c>
      <c r="AB1163" s="3" t="s">
        <v>64</v>
      </c>
      <c r="AC1163" s="3"/>
      <c r="AD1163" s="3"/>
    </row>
    <row r="1164" spans="1:30" ht="45" customHeight="1">
      <c r="A1164" s="11" t="s">
        <v>3530</v>
      </c>
      <c r="B1164" s="3" t="s">
        <v>3538</v>
      </c>
      <c r="C1164" s="3" t="s">
        <v>24</v>
      </c>
      <c r="D1164" s="3" t="s">
        <v>25</v>
      </c>
      <c r="E1164" s="3" t="s">
        <v>5005</v>
      </c>
      <c r="F1164" s="4" t="s">
        <v>2662</v>
      </c>
      <c r="G1164" s="3" t="s">
        <v>2276</v>
      </c>
      <c r="H1164" s="3" t="s">
        <v>523</v>
      </c>
      <c r="I1164" s="3"/>
      <c r="J1164" s="3" t="s">
        <v>2276</v>
      </c>
      <c r="K1164" s="3" t="s">
        <v>2276</v>
      </c>
      <c r="L1164" s="3" t="s">
        <v>2276</v>
      </c>
      <c r="M1164" s="3" t="s">
        <v>2276</v>
      </c>
      <c r="N1164" s="3" t="s">
        <v>2276</v>
      </c>
      <c r="O1164" s="3" t="s">
        <v>2276</v>
      </c>
      <c r="P1164" s="3" t="s">
        <v>2276</v>
      </c>
      <c r="Q1164" s="3" t="s">
        <v>2276</v>
      </c>
      <c r="R1164" s="3" t="s">
        <v>2276</v>
      </c>
      <c r="S1164" s="3" t="s">
        <v>2276</v>
      </c>
      <c r="T1164" s="3" t="s">
        <v>2276</v>
      </c>
      <c r="U1164" s="3" t="s">
        <v>2276</v>
      </c>
      <c r="V1164" s="3" t="s">
        <v>2276</v>
      </c>
      <c r="W1164" s="3" t="s">
        <v>2276</v>
      </c>
      <c r="X1164" s="3" t="s">
        <v>2276</v>
      </c>
      <c r="Y1164" s="21">
        <v>4.5</v>
      </c>
      <c r="Z1164" s="3" t="s">
        <v>404</v>
      </c>
      <c r="AA1164" s="3" t="s">
        <v>68</v>
      </c>
      <c r="AB1164" s="3" t="s">
        <v>64</v>
      </c>
      <c r="AC1164" s="3"/>
      <c r="AD1164" s="3"/>
    </row>
    <row r="1165" spans="1:30" ht="45" customHeight="1">
      <c r="A1165" s="11" t="s">
        <v>3530</v>
      </c>
      <c r="B1165" s="3" t="s">
        <v>3539</v>
      </c>
      <c r="C1165" s="3" t="s">
        <v>24</v>
      </c>
      <c r="D1165" s="3" t="s">
        <v>25</v>
      </c>
      <c r="E1165" s="3" t="s">
        <v>5005</v>
      </c>
      <c r="F1165" s="4" t="s">
        <v>2662</v>
      </c>
      <c r="G1165" s="3" t="s">
        <v>2276</v>
      </c>
      <c r="H1165" s="3" t="s">
        <v>523</v>
      </c>
      <c r="I1165" s="3"/>
      <c r="J1165" s="3" t="s">
        <v>2276</v>
      </c>
      <c r="K1165" s="3" t="s">
        <v>2276</v>
      </c>
      <c r="L1165" s="3" t="s">
        <v>2276</v>
      </c>
      <c r="M1165" s="3" t="s">
        <v>2276</v>
      </c>
      <c r="N1165" s="3" t="s">
        <v>2276</v>
      </c>
      <c r="O1165" s="3" t="s">
        <v>2276</v>
      </c>
      <c r="P1165" s="3" t="s">
        <v>2276</v>
      </c>
      <c r="Q1165" s="3" t="s">
        <v>2276</v>
      </c>
      <c r="R1165" s="3" t="s">
        <v>2276</v>
      </c>
      <c r="S1165" s="3" t="s">
        <v>2276</v>
      </c>
      <c r="T1165" s="3" t="s">
        <v>2276</v>
      </c>
      <c r="U1165" s="3" t="s">
        <v>2276</v>
      </c>
      <c r="V1165" s="3" t="s">
        <v>2276</v>
      </c>
      <c r="W1165" s="3" t="s">
        <v>2276</v>
      </c>
      <c r="X1165" s="3" t="s">
        <v>2276</v>
      </c>
      <c r="Y1165" s="21">
        <v>4.5</v>
      </c>
      <c r="Z1165" s="3" t="s">
        <v>399</v>
      </c>
      <c r="AA1165" s="3" t="s">
        <v>38</v>
      </c>
      <c r="AB1165" s="3" t="s">
        <v>64</v>
      </c>
      <c r="AC1165" s="3"/>
      <c r="AD1165" s="3"/>
    </row>
    <row r="1166" spans="1:30" ht="45" customHeight="1">
      <c r="A1166" s="11" t="s">
        <v>3530</v>
      </c>
      <c r="B1166" s="3" t="s">
        <v>3540</v>
      </c>
      <c r="C1166" s="3" t="s">
        <v>24</v>
      </c>
      <c r="D1166" s="3" t="s">
        <v>26</v>
      </c>
      <c r="E1166" s="3" t="s">
        <v>5005</v>
      </c>
      <c r="F1166" s="4" t="s">
        <v>2662</v>
      </c>
      <c r="G1166" s="3" t="s">
        <v>2276</v>
      </c>
      <c r="H1166" s="3" t="s">
        <v>523</v>
      </c>
      <c r="I1166" s="3"/>
      <c r="J1166" s="3" t="s">
        <v>2276</v>
      </c>
      <c r="K1166" s="3" t="s">
        <v>2276</v>
      </c>
      <c r="L1166" s="3" t="s">
        <v>2276</v>
      </c>
      <c r="M1166" s="3" t="s">
        <v>2276</v>
      </c>
      <c r="N1166" s="3" t="s">
        <v>2276</v>
      </c>
      <c r="O1166" s="3" t="s">
        <v>2276</v>
      </c>
      <c r="P1166" s="3" t="s">
        <v>2276</v>
      </c>
      <c r="Q1166" s="3" t="s">
        <v>2276</v>
      </c>
      <c r="R1166" s="3" t="s">
        <v>2276</v>
      </c>
      <c r="S1166" s="3" t="s">
        <v>2276</v>
      </c>
      <c r="T1166" s="3" t="s">
        <v>2276</v>
      </c>
      <c r="U1166" s="3" t="s">
        <v>2276</v>
      </c>
      <c r="V1166" s="3" t="s">
        <v>2276</v>
      </c>
      <c r="W1166" s="3" t="s">
        <v>2276</v>
      </c>
      <c r="X1166" s="3" t="s">
        <v>2276</v>
      </c>
      <c r="Y1166" s="21">
        <v>4.5</v>
      </c>
      <c r="Z1166" s="3" t="s">
        <v>404</v>
      </c>
      <c r="AA1166" s="3" t="s">
        <v>68</v>
      </c>
      <c r="AB1166" s="3" t="s">
        <v>64</v>
      </c>
      <c r="AC1166" s="3"/>
      <c r="AD1166" s="3"/>
    </row>
    <row r="1167" spans="1:30" ht="45" customHeight="1">
      <c r="A1167" s="11" t="s">
        <v>3530</v>
      </c>
      <c r="B1167" s="3" t="s">
        <v>3541</v>
      </c>
      <c r="C1167" s="3" t="s">
        <v>24</v>
      </c>
      <c r="D1167" s="3" t="s">
        <v>26</v>
      </c>
      <c r="E1167" s="3" t="s">
        <v>5005</v>
      </c>
      <c r="F1167" s="4" t="s">
        <v>2662</v>
      </c>
      <c r="G1167" s="3" t="s">
        <v>2276</v>
      </c>
      <c r="H1167" s="3" t="s">
        <v>523</v>
      </c>
      <c r="I1167" s="3"/>
      <c r="J1167" s="3" t="s">
        <v>2276</v>
      </c>
      <c r="K1167" s="3" t="s">
        <v>2276</v>
      </c>
      <c r="L1167" s="3" t="s">
        <v>2276</v>
      </c>
      <c r="M1167" s="3" t="s">
        <v>2276</v>
      </c>
      <c r="N1167" s="3" t="s">
        <v>2276</v>
      </c>
      <c r="O1167" s="3" t="s">
        <v>2276</v>
      </c>
      <c r="P1167" s="3" t="s">
        <v>2276</v>
      </c>
      <c r="Q1167" s="3" t="s">
        <v>2276</v>
      </c>
      <c r="R1167" s="3" t="s">
        <v>2276</v>
      </c>
      <c r="S1167" s="3" t="s">
        <v>2276</v>
      </c>
      <c r="T1167" s="3" t="s">
        <v>2276</v>
      </c>
      <c r="U1167" s="3" t="s">
        <v>2276</v>
      </c>
      <c r="V1167" s="3" t="s">
        <v>2276</v>
      </c>
      <c r="W1167" s="3" t="s">
        <v>2276</v>
      </c>
      <c r="X1167" s="3" t="s">
        <v>2276</v>
      </c>
      <c r="Y1167" s="21">
        <v>4.5</v>
      </c>
      <c r="Z1167" s="3" t="s">
        <v>399</v>
      </c>
      <c r="AA1167" s="3" t="s">
        <v>38</v>
      </c>
      <c r="AB1167" s="3" t="s">
        <v>64</v>
      </c>
      <c r="AC1167" s="3"/>
      <c r="AD1167" s="3"/>
    </row>
    <row r="1168" spans="1:30" ht="45" customHeight="1">
      <c r="A1168" s="11" t="s">
        <v>3530</v>
      </c>
      <c r="B1168" s="3" t="s">
        <v>3542</v>
      </c>
      <c r="C1168" s="3" t="s">
        <v>24</v>
      </c>
      <c r="D1168" s="3" t="s">
        <v>2341</v>
      </c>
      <c r="E1168" s="3" t="s">
        <v>5005</v>
      </c>
      <c r="F1168" s="4" t="s">
        <v>2662</v>
      </c>
      <c r="G1168" s="3" t="s">
        <v>2276</v>
      </c>
      <c r="H1168" s="3" t="s">
        <v>523</v>
      </c>
      <c r="I1168" s="3"/>
      <c r="J1168" s="3" t="s">
        <v>2276</v>
      </c>
      <c r="K1168" s="3" t="s">
        <v>2276</v>
      </c>
      <c r="L1168" s="3" t="s">
        <v>2276</v>
      </c>
      <c r="M1168" s="3" t="s">
        <v>2276</v>
      </c>
      <c r="N1168" s="3" t="s">
        <v>2276</v>
      </c>
      <c r="O1168" s="3" t="s">
        <v>2276</v>
      </c>
      <c r="P1168" s="3" t="s">
        <v>2276</v>
      </c>
      <c r="Q1168" s="3" t="s">
        <v>2276</v>
      </c>
      <c r="R1168" s="3" t="s">
        <v>2276</v>
      </c>
      <c r="S1168" s="3" t="s">
        <v>2276</v>
      </c>
      <c r="T1168" s="3" t="s">
        <v>2276</v>
      </c>
      <c r="U1168" s="3" t="s">
        <v>2276</v>
      </c>
      <c r="V1168" s="3" t="s">
        <v>2276</v>
      </c>
      <c r="W1168" s="3" t="s">
        <v>2276</v>
      </c>
      <c r="X1168" s="3" t="s">
        <v>2276</v>
      </c>
      <c r="Y1168" s="21">
        <v>4.5</v>
      </c>
      <c r="Z1168" s="3" t="s">
        <v>404</v>
      </c>
      <c r="AA1168" s="3" t="s">
        <v>68</v>
      </c>
      <c r="AB1168" s="3" t="s">
        <v>64</v>
      </c>
      <c r="AC1168" s="3"/>
      <c r="AD1168" s="3"/>
    </row>
    <row r="1169" spans="1:30" ht="45" customHeight="1">
      <c r="A1169" s="11" t="s">
        <v>3530</v>
      </c>
      <c r="B1169" s="3" t="s">
        <v>3543</v>
      </c>
      <c r="C1169" s="3" t="s">
        <v>24</v>
      </c>
      <c r="D1169" s="3" t="s">
        <v>2341</v>
      </c>
      <c r="E1169" s="3" t="s">
        <v>5005</v>
      </c>
      <c r="F1169" s="4" t="s">
        <v>2662</v>
      </c>
      <c r="G1169" s="3" t="s">
        <v>2276</v>
      </c>
      <c r="H1169" s="3" t="s">
        <v>523</v>
      </c>
      <c r="I1169" s="3"/>
      <c r="J1169" s="3" t="s">
        <v>2276</v>
      </c>
      <c r="K1169" s="3" t="s">
        <v>2276</v>
      </c>
      <c r="L1169" s="3" t="s">
        <v>2276</v>
      </c>
      <c r="M1169" s="3" t="s">
        <v>2276</v>
      </c>
      <c r="N1169" s="3" t="s">
        <v>2276</v>
      </c>
      <c r="O1169" s="3" t="s">
        <v>2276</v>
      </c>
      <c r="P1169" s="3" t="s">
        <v>2276</v>
      </c>
      <c r="Q1169" s="3" t="s">
        <v>2276</v>
      </c>
      <c r="R1169" s="3" t="s">
        <v>2276</v>
      </c>
      <c r="S1169" s="3" t="s">
        <v>2276</v>
      </c>
      <c r="T1169" s="3" t="s">
        <v>2276</v>
      </c>
      <c r="U1169" s="3" t="s">
        <v>2276</v>
      </c>
      <c r="V1169" s="3" t="s">
        <v>2276</v>
      </c>
      <c r="W1169" s="3" t="s">
        <v>2276</v>
      </c>
      <c r="X1169" s="3" t="s">
        <v>2276</v>
      </c>
      <c r="Y1169" s="21">
        <v>4.5</v>
      </c>
      <c r="Z1169" s="3" t="s">
        <v>399</v>
      </c>
      <c r="AA1169" s="3" t="s">
        <v>38</v>
      </c>
      <c r="AB1169" s="3" t="s">
        <v>64</v>
      </c>
      <c r="AC1169" s="3"/>
      <c r="AD1169" s="3"/>
    </row>
    <row r="1170" spans="1:30" ht="45" customHeight="1">
      <c r="A1170" s="11" t="s">
        <v>3530</v>
      </c>
      <c r="B1170" s="3" t="s">
        <v>3544</v>
      </c>
      <c r="C1170" s="3" t="s">
        <v>24</v>
      </c>
      <c r="D1170" s="3" t="s">
        <v>1131</v>
      </c>
      <c r="E1170" s="3" t="s">
        <v>5005</v>
      </c>
      <c r="F1170" s="4" t="s">
        <v>2662</v>
      </c>
      <c r="G1170" s="3" t="s">
        <v>2276</v>
      </c>
      <c r="H1170" s="3" t="s">
        <v>523</v>
      </c>
      <c r="I1170" s="3"/>
      <c r="J1170" s="3" t="s">
        <v>2276</v>
      </c>
      <c r="K1170" s="3" t="s">
        <v>2276</v>
      </c>
      <c r="L1170" s="3" t="s">
        <v>2276</v>
      </c>
      <c r="M1170" s="3" t="s">
        <v>2276</v>
      </c>
      <c r="N1170" s="3" t="s">
        <v>2276</v>
      </c>
      <c r="O1170" s="3" t="s">
        <v>2276</v>
      </c>
      <c r="P1170" s="3" t="s">
        <v>2276</v>
      </c>
      <c r="Q1170" s="3" t="s">
        <v>2276</v>
      </c>
      <c r="R1170" s="3" t="s">
        <v>2276</v>
      </c>
      <c r="S1170" s="3" t="s">
        <v>2276</v>
      </c>
      <c r="T1170" s="3" t="s">
        <v>2276</v>
      </c>
      <c r="U1170" s="3" t="s">
        <v>2276</v>
      </c>
      <c r="V1170" s="3" t="s">
        <v>2276</v>
      </c>
      <c r="W1170" s="3" t="s">
        <v>2276</v>
      </c>
      <c r="X1170" s="3" t="s">
        <v>2276</v>
      </c>
      <c r="Y1170" s="21">
        <v>4.5</v>
      </c>
      <c r="Z1170" s="3" t="s">
        <v>404</v>
      </c>
      <c r="AA1170" s="3" t="s">
        <v>68</v>
      </c>
      <c r="AB1170" s="3" t="s">
        <v>64</v>
      </c>
      <c r="AC1170" s="3"/>
      <c r="AD1170" s="3"/>
    </row>
    <row r="1171" spans="1:30" ht="45" customHeight="1">
      <c r="A1171" s="11" t="s">
        <v>3530</v>
      </c>
      <c r="B1171" s="3" t="s">
        <v>3545</v>
      </c>
      <c r="C1171" s="3" t="s">
        <v>24</v>
      </c>
      <c r="D1171" s="3" t="s">
        <v>1131</v>
      </c>
      <c r="E1171" s="3" t="s">
        <v>5005</v>
      </c>
      <c r="F1171" s="4" t="s">
        <v>2662</v>
      </c>
      <c r="G1171" s="3" t="s">
        <v>2276</v>
      </c>
      <c r="H1171" s="3" t="s">
        <v>523</v>
      </c>
      <c r="I1171" s="3"/>
      <c r="J1171" s="3" t="s">
        <v>2276</v>
      </c>
      <c r="K1171" s="3" t="s">
        <v>2276</v>
      </c>
      <c r="L1171" s="3" t="s">
        <v>2276</v>
      </c>
      <c r="M1171" s="3" t="s">
        <v>2276</v>
      </c>
      <c r="N1171" s="3" t="s">
        <v>2276</v>
      </c>
      <c r="O1171" s="3" t="s">
        <v>2276</v>
      </c>
      <c r="P1171" s="3" t="s">
        <v>2276</v>
      </c>
      <c r="Q1171" s="3" t="s">
        <v>2276</v>
      </c>
      <c r="R1171" s="3" t="s">
        <v>2276</v>
      </c>
      <c r="S1171" s="3" t="s">
        <v>2276</v>
      </c>
      <c r="T1171" s="3" t="s">
        <v>2276</v>
      </c>
      <c r="U1171" s="3" t="s">
        <v>2276</v>
      </c>
      <c r="V1171" s="3" t="s">
        <v>2276</v>
      </c>
      <c r="W1171" s="3" t="s">
        <v>2276</v>
      </c>
      <c r="X1171" s="3" t="s">
        <v>2276</v>
      </c>
      <c r="Y1171" s="21">
        <v>4.5</v>
      </c>
      <c r="Z1171" s="3" t="s">
        <v>399</v>
      </c>
      <c r="AA1171" s="3" t="s">
        <v>38</v>
      </c>
      <c r="AB1171" s="3" t="s">
        <v>64</v>
      </c>
      <c r="AC1171" s="3"/>
      <c r="AD1171" s="3"/>
    </row>
    <row r="1172" spans="1:30" ht="40" customHeight="1">
      <c r="A1172" s="11" t="s">
        <v>3530</v>
      </c>
      <c r="B1172" s="3" t="s">
        <v>3546</v>
      </c>
      <c r="C1172" s="3" t="s">
        <v>24</v>
      </c>
      <c r="D1172" s="3" t="s">
        <v>1105</v>
      </c>
      <c r="E1172" s="3" t="s">
        <v>116</v>
      </c>
      <c r="F1172" s="4" t="s">
        <v>74</v>
      </c>
      <c r="G1172" s="3" t="s">
        <v>2276</v>
      </c>
      <c r="H1172" s="3" t="s">
        <v>524</v>
      </c>
      <c r="I1172" s="3"/>
      <c r="J1172" s="21">
        <v>0</v>
      </c>
      <c r="K1172" s="21">
        <v>0</v>
      </c>
      <c r="L1172" s="21">
        <v>0</v>
      </c>
      <c r="M1172" s="21">
        <v>0</v>
      </c>
      <c r="N1172" s="21">
        <v>0</v>
      </c>
      <c r="O1172" s="21">
        <v>0</v>
      </c>
      <c r="P1172" s="21">
        <v>0</v>
      </c>
      <c r="Q1172" s="21">
        <v>0</v>
      </c>
      <c r="R1172" s="21">
        <v>0</v>
      </c>
      <c r="S1172" s="21">
        <v>0</v>
      </c>
      <c r="T1172" s="21">
        <v>0</v>
      </c>
      <c r="U1172" s="21">
        <v>0</v>
      </c>
      <c r="V1172" s="21">
        <v>0</v>
      </c>
      <c r="W1172" s="21">
        <v>0</v>
      </c>
      <c r="X1172" s="21">
        <v>0</v>
      </c>
      <c r="Y1172" s="3" t="s">
        <v>2276</v>
      </c>
      <c r="Z1172" s="3" t="s">
        <v>2276</v>
      </c>
      <c r="AA1172" s="3" t="s">
        <v>2276</v>
      </c>
      <c r="AB1172" s="3" t="s">
        <v>2276</v>
      </c>
      <c r="AC1172" s="4" t="s">
        <v>3536</v>
      </c>
      <c r="AD1172" s="3"/>
    </row>
    <row r="1173" spans="1:30" ht="92.5" customHeight="1">
      <c r="A1173" s="11" t="s">
        <v>3532</v>
      </c>
      <c r="B1173" s="11" t="s">
        <v>3553</v>
      </c>
      <c r="C1173" s="3" t="s">
        <v>24</v>
      </c>
      <c r="D1173" s="3" t="s">
        <v>1242</v>
      </c>
      <c r="E1173" s="3" t="s">
        <v>5005</v>
      </c>
      <c r="F1173" s="4" t="s">
        <v>2662</v>
      </c>
      <c r="G1173" s="3" t="s">
        <v>2276</v>
      </c>
      <c r="H1173" s="3" t="s">
        <v>524</v>
      </c>
      <c r="I1173" s="3"/>
      <c r="J1173" s="21">
        <v>0</v>
      </c>
      <c r="K1173" s="21">
        <v>0</v>
      </c>
      <c r="L1173" s="21">
        <v>0</v>
      </c>
      <c r="M1173" s="21">
        <v>0</v>
      </c>
      <c r="N1173" s="21">
        <v>0</v>
      </c>
      <c r="O1173" s="21">
        <v>0</v>
      </c>
      <c r="P1173" s="21">
        <v>0</v>
      </c>
      <c r="Q1173" s="21">
        <v>0</v>
      </c>
      <c r="R1173" s="21">
        <v>0</v>
      </c>
      <c r="S1173" s="21">
        <v>0</v>
      </c>
      <c r="T1173" s="21">
        <v>0</v>
      </c>
      <c r="U1173" s="21">
        <v>0</v>
      </c>
      <c r="V1173" s="21">
        <v>0</v>
      </c>
      <c r="W1173" s="21">
        <v>0</v>
      </c>
      <c r="X1173" s="21">
        <v>0</v>
      </c>
      <c r="Y1173" s="3" t="s">
        <v>2276</v>
      </c>
      <c r="Z1173" s="3" t="s">
        <v>2276</v>
      </c>
      <c r="AA1173" s="3" t="s">
        <v>2276</v>
      </c>
      <c r="AB1173" s="3" t="s">
        <v>2276</v>
      </c>
      <c r="AC1173" s="4" t="s">
        <v>3554</v>
      </c>
      <c r="AD1173" s="3"/>
    </row>
    <row r="1174" spans="1:30" ht="72.5">
      <c r="A1174" s="11" t="s">
        <v>3532</v>
      </c>
      <c r="B1174" s="11" t="s">
        <v>3555</v>
      </c>
      <c r="C1174" s="3" t="s">
        <v>24</v>
      </c>
      <c r="D1174" s="3" t="s">
        <v>2804</v>
      </c>
      <c r="E1174" s="3" t="s">
        <v>5005</v>
      </c>
      <c r="F1174" s="4" t="s">
        <v>2662</v>
      </c>
      <c r="G1174" s="3" t="s">
        <v>2276</v>
      </c>
      <c r="H1174" s="3" t="s">
        <v>524</v>
      </c>
      <c r="I1174" s="3"/>
      <c r="J1174" s="21">
        <v>0</v>
      </c>
      <c r="K1174" s="21">
        <v>0</v>
      </c>
      <c r="L1174" s="21">
        <v>0</v>
      </c>
      <c r="M1174" s="21">
        <v>0</v>
      </c>
      <c r="N1174" s="21">
        <v>0</v>
      </c>
      <c r="O1174" s="21">
        <v>0</v>
      </c>
      <c r="P1174" s="21">
        <v>0</v>
      </c>
      <c r="Q1174" s="21">
        <v>0</v>
      </c>
      <c r="R1174" s="21">
        <v>0</v>
      </c>
      <c r="S1174" s="21">
        <v>0</v>
      </c>
      <c r="T1174" s="21">
        <v>0</v>
      </c>
      <c r="U1174" s="21">
        <v>0</v>
      </c>
      <c r="V1174" s="21">
        <v>0</v>
      </c>
      <c r="W1174" s="21">
        <v>0</v>
      </c>
      <c r="X1174" s="21">
        <v>0</v>
      </c>
      <c r="Y1174" s="3" t="s">
        <v>2276</v>
      </c>
      <c r="Z1174" s="3" t="s">
        <v>2276</v>
      </c>
      <c r="AA1174" s="3" t="s">
        <v>2276</v>
      </c>
      <c r="AB1174" s="3" t="s">
        <v>2276</v>
      </c>
      <c r="AC1174" s="4" t="s">
        <v>3554</v>
      </c>
      <c r="AD1174" s="3"/>
    </row>
    <row r="1175" spans="1:30" ht="72.5">
      <c r="A1175" s="11" t="s">
        <v>3532</v>
      </c>
      <c r="B1175" s="11" t="s">
        <v>3556</v>
      </c>
      <c r="C1175" s="3" t="s">
        <v>24</v>
      </c>
      <c r="D1175" s="3" t="s">
        <v>26</v>
      </c>
      <c r="E1175" s="3" t="s">
        <v>5005</v>
      </c>
      <c r="F1175" s="4" t="s">
        <v>2662</v>
      </c>
      <c r="G1175" s="3" t="s">
        <v>2276</v>
      </c>
      <c r="H1175" s="3" t="s">
        <v>524</v>
      </c>
      <c r="I1175" s="3"/>
      <c r="J1175" s="21">
        <v>0</v>
      </c>
      <c r="K1175" s="21">
        <v>0</v>
      </c>
      <c r="L1175" s="21">
        <v>0</v>
      </c>
      <c r="M1175" s="21">
        <v>0</v>
      </c>
      <c r="N1175" s="21">
        <v>0</v>
      </c>
      <c r="O1175" s="21">
        <v>0</v>
      </c>
      <c r="P1175" s="21">
        <v>0</v>
      </c>
      <c r="Q1175" s="21">
        <v>0</v>
      </c>
      <c r="R1175" s="21">
        <v>0</v>
      </c>
      <c r="S1175" s="21">
        <v>0</v>
      </c>
      <c r="T1175" s="21">
        <v>0</v>
      </c>
      <c r="U1175" s="21">
        <v>0</v>
      </c>
      <c r="V1175" s="21">
        <v>0</v>
      </c>
      <c r="W1175" s="21">
        <v>0</v>
      </c>
      <c r="X1175" s="21">
        <v>0</v>
      </c>
      <c r="Y1175" s="3" t="s">
        <v>2276</v>
      </c>
      <c r="Z1175" s="3" t="s">
        <v>2276</v>
      </c>
      <c r="AA1175" s="3" t="s">
        <v>2276</v>
      </c>
      <c r="AB1175" s="3" t="s">
        <v>2276</v>
      </c>
      <c r="AC1175" s="4" t="s">
        <v>3554</v>
      </c>
      <c r="AD1175" s="3"/>
    </row>
    <row r="1176" spans="1:30" ht="72.5">
      <c r="A1176" s="11" t="s">
        <v>3532</v>
      </c>
      <c r="B1176" s="11" t="s">
        <v>3557</v>
      </c>
      <c r="C1176" s="3" t="s">
        <v>24</v>
      </c>
      <c r="D1176" s="3" t="s">
        <v>25</v>
      </c>
      <c r="E1176" s="3" t="s">
        <v>5005</v>
      </c>
      <c r="F1176" s="4" t="s">
        <v>2662</v>
      </c>
      <c r="G1176" s="3" t="s">
        <v>2276</v>
      </c>
      <c r="H1176" s="3" t="s">
        <v>524</v>
      </c>
      <c r="I1176" s="3"/>
      <c r="J1176" s="21">
        <v>0</v>
      </c>
      <c r="K1176" s="21">
        <v>0</v>
      </c>
      <c r="L1176" s="21">
        <v>0</v>
      </c>
      <c r="M1176" s="21">
        <v>0</v>
      </c>
      <c r="N1176" s="21">
        <v>0</v>
      </c>
      <c r="O1176" s="21">
        <v>0</v>
      </c>
      <c r="P1176" s="21">
        <v>0</v>
      </c>
      <c r="Q1176" s="21">
        <v>0</v>
      </c>
      <c r="R1176" s="21">
        <v>0</v>
      </c>
      <c r="S1176" s="21">
        <v>0</v>
      </c>
      <c r="T1176" s="21">
        <v>0</v>
      </c>
      <c r="U1176" s="21">
        <v>0</v>
      </c>
      <c r="V1176" s="21">
        <v>0</v>
      </c>
      <c r="W1176" s="21">
        <v>0</v>
      </c>
      <c r="X1176" s="21">
        <v>0</v>
      </c>
      <c r="Y1176" s="3" t="s">
        <v>2276</v>
      </c>
      <c r="Z1176" s="3" t="s">
        <v>2276</v>
      </c>
      <c r="AA1176" s="3" t="s">
        <v>2276</v>
      </c>
      <c r="AB1176" s="3" t="s">
        <v>2276</v>
      </c>
      <c r="AC1176" s="4" t="s">
        <v>3554</v>
      </c>
      <c r="AD1176" s="3"/>
    </row>
    <row r="1177" spans="1:30" ht="72.5">
      <c r="A1177" s="11" t="s">
        <v>3532</v>
      </c>
      <c r="B1177" s="11" t="s">
        <v>3558</v>
      </c>
      <c r="C1177" s="3" t="s">
        <v>24</v>
      </c>
      <c r="D1177" s="3" t="s">
        <v>2341</v>
      </c>
      <c r="E1177" s="3" t="s">
        <v>5005</v>
      </c>
      <c r="F1177" s="4" t="s">
        <v>2662</v>
      </c>
      <c r="G1177" s="3" t="s">
        <v>2276</v>
      </c>
      <c r="H1177" s="3" t="s">
        <v>524</v>
      </c>
      <c r="I1177" s="3"/>
      <c r="J1177" s="21">
        <v>0</v>
      </c>
      <c r="K1177" s="21">
        <v>0</v>
      </c>
      <c r="L1177" s="21">
        <v>0</v>
      </c>
      <c r="M1177" s="21">
        <v>0</v>
      </c>
      <c r="N1177" s="21">
        <v>0</v>
      </c>
      <c r="O1177" s="21">
        <v>0</v>
      </c>
      <c r="P1177" s="21">
        <v>0</v>
      </c>
      <c r="Q1177" s="21">
        <v>0</v>
      </c>
      <c r="R1177" s="21">
        <v>0</v>
      </c>
      <c r="S1177" s="21">
        <v>0</v>
      </c>
      <c r="T1177" s="21">
        <v>0</v>
      </c>
      <c r="U1177" s="21">
        <v>0</v>
      </c>
      <c r="V1177" s="21">
        <v>0</v>
      </c>
      <c r="W1177" s="21">
        <v>0</v>
      </c>
      <c r="X1177" s="21">
        <v>0</v>
      </c>
      <c r="Y1177" s="3" t="s">
        <v>2276</v>
      </c>
      <c r="Z1177" s="3" t="s">
        <v>2276</v>
      </c>
      <c r="AA1177" s="3" t="s">
        <v>2276</v>
      </c>
      <c r="AB1177" s="3" t="s">
        <v>2276</v>
      </c>
      <c r="AC1177" s="4" t="s">
        <v>3554</v>
      </c>
      <c r="AD1177" s="3"/>
    </row>
    <row r="1178" spans="1:30" ht="72.5">
      <c r="A1178" s="11" t="s">
        <v>3532</v>
      </c>
      <c r="B1178" s="11" t="s">
        <v>3559</v>
      </c>
      <c r="C1178" s="3" t="s">
        <v>24</v>
      </c>
      <c r="D1178" s="3" t="s">
        <v>1131</v>
      </c>
      <c r="E1178" s="3" t="s">
        <v>5005</v>
      </c>
      <c r="F1178" s="4" t="s">
        <v>2662</v>
      </c>
      <c r="G1178" s="3" t="s">
        <v>2276</v>
      </c>
      <c r="H1178" s="3" t="s">
        <v>524</v>
      </c>
      <c r="I1178" s="3"/>
      <c r="J1178" s="21">
        <v>0</v>
      </c>
      <c r="K1178" s="21">
        <v>0</v>
      </c>
      <c r="L1178" s="21">
        <v>0</v>
      </c>
      <c r="M1178" s="21">
        <v>0</v>
      </c>
      <c r="N1178" s="21">
        <v>0</v>
      </c>
      <c r="O1178" s="21">
        <v>0</v>
      </c>
      <c r="P1178" s="21">
        <v>0</v>
      </c>
      <c r="Q1178" s="21">
        <v>0</v>
      </c>
      <c r="R1178" s="21">
        <v>0</v>
      </c>
      <c r="S1178" s="21">
        <v>0</v>
      </c>
      <c r="T1178" s="21">
        <v>0</v>
      </c>
      <c r="U1178" s="21">
        <v>0</v>
      </c>
      <c r="V1178" s="21">
        <v>0</v>
      </c>
      <c r="W1178" s="21">
        <v>0</v>
      </c>
      <c r="X1178" s="21">
        <v>0</v>
      </c>
      <c r="Y1178" s="3" t="s">
        <v>2276</v>
      </c>
      <c r="Z1178" s="3" t="s">
        <v>2276</v>
      </c>
      <c r="AA1178" s="3" t="s">
        <v>2276</v>
      </c>
      <c r="AB1178" s="3" t="s">
        <v>2276</v>
      </c>
      <c r="AC1178" s="4" t="s">
        <v>3554</v>
      </c>
      <c r="AD1178" s="3"/>
    </row>
    <row r="1179" spans="1:30" ht="29">
      <c r="A1179" s="11" t="s">
        <v>3532</v>
      </c>
      <c r="B1179" s="11" t="s">
        <v>3560</v>
      </c>
      <c r="C1179" s="3" t="s">
        <v>24</v>
      </c>
      <c r="D1179" s="3" t="s">
        <v>25</v>
      </c>
      <c r="E1179" s="3" t="s">
        <v>5005</v>
      </c>
      <c r="F1179" s="4" t="s">
        <v>2662</v>
      </c>
      <c r="G1179" s="3" t="s">
        <v>2276</v>
      </c>
      <c r="H1179" s="3" t="s">
        <v>523</v>
      </c>
      <c r="I1179" s="3">
        <v>1998</v>
      </c>
      <c r="J1179" s="3" t="s">
        <v>2276</v>
      </c>
      <c r="K1179" s="3" t="s">
        <v>2276</v>
      </c>
      <c r="L1179" s="3" t="s">
        <v>2276</v>
      </c>
      <c r="M1179" s="3" t="s">
        <v>2276</v>
      </c>
      <c r="N1179" s="3" t="s">
        <v>2276</v>
      </c>
      <c r="O1179" s="3" t="s">
        <v>2276</v>
      </c>
      <c r="P1179" s="3" t="s">
        <v>2276</v>
      </c>
      <c r="Q1179" s="3" t="s">
        <v>2276</v>
      </c>
      <c r="R1179" s="3" t="s">
        <v>2276</v>
      </c>
      <c r="S1179" s="3" t="s">
        <v>2276</v>
      </c>
      <c r="T1179" s="3" t="s">
        <v>2276</v>
      </c>
      <c r="U1179" s="3" t="s">
        <v>2276</v>
      </c>
      <c r="V1179" s="3" t="s">
        <v>2276</v>
      </c>
      <c r="W1179" s="3" t="s">
        <v>2276</v>
      </c>
      <c r="X1179" s="3" t="s">
        <v>2276</v>
      </c>
      <c r="Y1179" s="3" t="s">
        <v>2276</v>
      </c>
      <c r="Z1179" s="3" t="s">
        <v>68</v>
      </c>
      <c r="AA1179" s="3" t="s">
        <v>68</v>
      </c>
      <c r="AB1179" s="3" t="s">
        <v>2276</v>
      </c>
      <c r="AC1179" s="3" t="s">
        <v>3568</v>
      </c>
      <c r="AD1179" s="3"/>
    </row>
    <row r="1180" spans="1:30" ht="38" customHeight="1">
      <c r="A1180" s="11" t="s">
        <v>3532</v>
      </c>
      <c r="B1180" s="11" t="s">
        <v>3561</v>
      </c>
      <c r="C1180" s="3" t="s">
        <v>31</v>
      </c>
      <c r="D1180" s="3" t="s">
        <v>2276</v>
      </c>
      <c r="E1180" s="3" t="s">
        <v>2652</v>
      </c>
      <c r="F1180" s="4" t="s">
        <v>2276</v>
      </c>
      <c r="G1180" s="3" t="s">
        <v>2276</v>
      </c>
      <c r="H1180" s="3" t="s">
        <v>523</v>
      </c>
      <c r="I1180" s="3">
        <v>1999</v>
      </c>
      <c r="J1180" s="3" t="s">
        <v>2276</v>
      </c>
      <c r="K1180" s="3" t="s">
        <v>2276</v>
      </c>
      <c r="L1180" s="3" t="s">
        <v>2276</v>
      </c>
      <c r="M1180" s="3" t="s">
        <v>2276</v>
      </c>
      <c r="N1180" s="3" t="s">
        <v>2276</v>
      </c>
      <c r="O1180" s="3" t="s">
        <v>2276</v>
      </c>
      <c r="P1180" s="3" t="s">
        <v>2276</v>
      </c>
      <c r="Q1180" s="3" t="s">
        <v>2276</v>
      </c>
      <c r="R1180" s="3" t="s">
        <v>2276</v>
      </c>
      <c r="S1180" s="3" t="s">
        <v>2276</v>
      </c>
      <c r="T1180" s="3" t="s">
        <v>2276</v>
      </c>
      <c r="U1180" s="3" t="s">
        <v>2276</v>
      </c>
      <c r="V1180" s="3" t="s">
        <v>2276</v>
      </c>
      <c r="W1180" s="3" t="s">
        <v>2276</v>
      </c>
      <c r="X1180" s="3" t="s">
        <v>2276</v>
      </c>
      <c r="Y1180" s="3" t="s">
        <v>2276</v>
      </c>
      <c r="Z1180" s="3" t="s">
        <v>425</v>
      </c>
      <c r="AA1180" s="3" t="s">
        <v>425</v>
      </c>
      <c r="AB1180" s="3" t="s">
        <v>2276</v>
      </c>
      <c r="AC1180" s="4" t="s">
        <v>3569</v>
      </c>
      <c r="AD1180" s="3"/>
    </row>
    <row r="1181" spans="1:30" ht="37" customHeight="1">
      <c r="A1181" s="11" t="s">
        <v>3532</v>
      </c>
      <c r="B1181" s="11" t="s">
        <v>3562</v>
      </c>
      <c r="C1181" s="3" t="s">
        <v>2458</v>
      </c>
      <c r="D1181" s="3" t="s">
        <v>2994</v>
      </c>
      <c r="E1181" s="3" t="s">
        <v>5005</v>
      </c>
      <c r="F1181" s="4" t="s">
        <v>2662</v>
      </c>
      <c r="G1181" s="3" t="s">
        <v>2276</v>
      </c>
      <c r="H1181" s="3" t="s">
        <v>523</v>
      </c>
      <c r="I1181" s="3">
        <v>2000</v>
      </c>
      <c r="J1181" s="3" t="s">
        <v>2276</v>
      </c>
      <c r="K1181" s="3" t="s">
        <v>2276</v>
      </c>
      <c r="L1181" s="3" t="s">
        <v>2276</v>
      </c>
      <c r="M1181" s="3" t="s">
        <v>2276</v>
      </c>
      <c r="N1181" s="3" t="s">
        <v>2276</v>
      </c>
      <c r="O1181" s="3" t="s">
        <v>2276</v>
      </c>
      <c r="P1181" s="3" t="s">
        <v>2276</v>
      </c>
      <c r="Q1181" s="3" t="s">
        <v>2276</v>
      </c>
      <c r="R1181" s="3" t="s">
        <v>2276</v>
      </c>
      <c r="S1181" s="3" t="s">
        <v>2276</v>
      </c>
      <c r="T1181" s="3" t="s">
        <v>2276</v>
      </c>
      <c r="U1181" s="3" t="s">
        <v>2276</v>
      </c>
      <c r="V1181" s="3" t="s">
        <v>2276</v>
      </c>
      <c r="W1181" s="3" t="s">
        <v>2276</v>
      </c>
      <c r="X1181" s="3" t="s">
        <v>2276</v>
      </c>
      <c r="Y1181" s="3" t="s">
        <v>2276</v>
      </c>
      <c r="Z1181" s="3" t="s">
        <v>405</v>
      </c>
      <c r="AA1181" s="3" t="s">
        <v>405</v>
      </c>
      <c r="AB1181" s="3" t="s">
        <v>2276</v>
      </c>
      <c r="AC1181" s="3" t="s">
        <v>3570</v>
      </c>
      <c r="AD1181" s="3"/>
    </row>
    <row r="1182" spans="1:30" ht="37" customHeight="1">
      <c r="A1182" s="11" t="s">
        <v>3532</v>
      </c>
      <c r="B1182" s="11" t="s">
        <v>3563</v>
      </c>
      <c r="C1182" s="3" t="s">
        <v>24</v>
      </c>
      <c r="D1182" s="3" t="s">
        <v>2276</v>
      </c>
      <c r="E1182" s="3" t="s">
        <v>5005</v>
      </c>
      <c r="F1182" s="4" t="s">
        <v>2662</v>
      </c>
      <c r="G1182" s="3" t="s">
        <v>2276</v>
      </c>
      <c r="H1182" s="3" t="s">
        <v>523</v>
      </c>
      <c r="I1182" s="3">
        <v>2000</v>
      </c>
      <c r="J1182" s="3" t="s">
        <v>2276</v>
      </c>
      <c r="K1182" s="3" t="s">
        <v>2276</v>
      </c>
      <c r="L1182" s="3" t="s">
        <v>2276</v>
      </c>
      <c r="M1182" s="3" t="s">
        <v>2276</v>
      </c>
      <c r="N1182" s="3" t="s">
        <v>2276</v>
      </c>
      <c r="O1182" s="3" t="s">
        <v>2276</v>
      </c>
      <c r="P1182" s="3" t="s">
        <v>2276</v>
      </c>
      <c r="Q1182" s="3" t="s">
        <v>2276</v>
      </c>
      <c r="R1182" s="3" t="s">
        <v>2276</v>
      </c>
      <c r="S1182" s="3" t="s">
        <v>2276</v>
      </c>
      <c r="T1182" s="3" t="s">
        <v>2276</v>
      </c>
      <c r="U1182" s="3" t="s">
        <v>2276</v>
      </c>
      <c r="V1182" s="3" t="s">
        <v>2276</v>
      </c>
      <c r="W1182" s="3" t="s">
        <v>2276</v>
      </c>
      <c r="X1182" s="3" t="s">
        <v>2276</v>
      </c>
      <c r="Y1182" s="3" t="s">
        <v>2276</v>
      </c>
      <c r="Z1182" s="3" t="s">
        <v>405</v>
      </c>
      <c r="AA1182" s="3" t="s">
        <v>405</v>
      </c>
      <c r="AB1182" s="3" t="s">
        <v>2276</v>
      </c>
      <c r="AC1182" s="3" t="s">
        <v>3571</v>
      </c>
      <c r="AD1182" s="3"/>
    </row>
    <row r="1183" spans="1:30" ht="37" customHeight="1">
      <c r="A1183" s="11" t="s">
        <v>3532</v>
      </c>
      <c r="B1183" s="11" t="s">
        <v>3564</v>
      </c>
      <c r="C1183" s="3" t="s">
        <v>2458</v>
      </c>
      <c r="D1183" s="3" t="s">
        <v>2994</v>
      </c>
      <c r="E1183" s="3" t="s">
        <v>5005</v>
      </c>
      <c r="F1183" s="4" t="s">
        <v>2662</v>
      </c>
      <c r="G1183" s="3" t="s">
        <v>2276</v>
      </c>
      <c r="H1183" s="3" t="s">
        <v>523</v>
      </c>
      <c r="I1183" s="3">
        <v>2003</v>
      </c>
      <c r="J1183" s="3" t="s">
        <v>2276</v>
      </c>
      <c r="K1183" s="3" t="s">
        <v>2276</v>
      </c>
      <c r="L1183" s="3" t="s">
        <v>2276</v>
      </c>
      <c r="M1183" s="3" t="s">
        <v>2276</v>
      </c>
      <c r="N1183" s="3" t="s">
        <v>2276</v>
      </c>
      <c r="O1183" s="3" t="s">
        <v>2276</v>
      </c>
      <c r="P1183" s="3" t="s">
        <v>2276</v>
      </c>
      <c r="Q1183" s="3" t="s">
        <v>2276</v>
      </c>
      <c r="R1183" s="3" t="s">
        <v>2276</v>
      </c>
      <c r="S1183" s="3" t="s">
        <v>2276</v>
      </c>
      <c r="T1183" s="3" t="s">
        <v>2276</v>
      </c>
      <c r="U1183" s="3" t="s">
        <v>2276</v>
      </c>
      <c r="V1183" s="3" t="s">
        <v>2276</v>
      </c>
      <c r="W1183" s="3" t="s">
        <v>2276</v>
      </c>
      <c r="X1183" s="3" t="s">
        <v>2276</v>
      </c>
      <c r="Y1183" s="3" t="s">
        <v>2276</v>
      </c>
      <c r="Z1183" s="3" t="s">
        <v>34</v>
      </c>
      <c r="AA1183" s="3" t="s">
        <v>34</v>
      </c>
      <c r="AB1183" s="3" t="s">
        <v>2276</v>
      </c>
      <c r="AC1183" s="3" t="s">
        <v>3570</v>
      </c>
      <c r="AD1183" s="3"/>
    </row>
    <row r="1184" spans="1:30" ht="37" customHeight="1">
      <c r="A1184" s="11" t="s">
        <v>3532</v>
      </c>
      <c r="B1184" s="11" t="s">
        <v>3565</v>
      </c>
      <c r="C1184" s="3" t="s">
        <v>31</v>
      </c>
      <c r="D1184" s="3" t="s">
        <v>2276</v>
      </c>
      <c r="E1184" s="3" t="s">
        <v>2652</v>
      </c>
      <c r="F1184" s="4" t="s">
        <v>2662</v>
      </c>
      <c r="G1184" s="3" t="s">
        <v>2276</v>
      </c>
      <c r="H1184" s="3" t="s">
        <v>523</v>
      </c>
      <c r="I1184" s="3">
        <v>2003</v>
      </c>
      <c r="J1184" s="3" t="s">
        <v>2276</v>
      </c>
      <c r="K1184" s="3" t="s">
        <v>2276</v>
      </c>
      <c r="L1184" s="3" t="s">
        <v>2276</v>
      </c>
      <c r="M1184" s="3" t="s">
        <v>2276</v>
      </c>
      <c r="N1184" s="3" t="s">
        <v>2276</v>
      </c>
      <c r="O1184" s="3" t="s">
        <v>2276</v>
      </c>
      <c r="P1184" s="3" t="s">
        <v>2276</v>
      </c>
      <c r="Q1184" s="3" t="s">
        <v>2276</v>
      </c>
      <c r="R1184" s="3" t="s">
        <v>2276</v>
      </c>
      <c r="S1184" s="3" t="s">
        <v>2276</v>
      </c>
      <c r="T1184" s="3" t="s">
        <v>2276</v>
      </c>
      <c r="U1184" s="3" t="s">
        <v>2276</v>
      </c>
      <c r="V1184" s="3" t="s">
        <v>2276</v>
      </c>
      <c r="W1184" s="3" t="s">
        <v>2276</v>
      </c>
      <c r="X1184" s="3" t="s">
        <v>2276</v>
      </c>
      <c r="Y1184" s="3" t="s">
        <v>2276</v>
      </c>
      <c r="Z1184" s="3" t="s">
        <v>425</v>
      </c>
      <c r="AA1184" s="3" t="s">
        <v>425</v>
      </c>
      <c r="AB1184" s="3" t="s">
        <v>2276</v>
      </c>
      <c r="AC1184" s="3" t="s">
        <v>3572</v>
      </c>
      <c r="AD1184" s="3"/>
    </row>
    <row r="1185" spans="1:30" ht="37" customHeight="1">
      <c r="A1185" s="11" t="s">
        <v>3532</v>
      </c>
      <c r="B1185" s="11" t="s">
        <v>3566</v>
      </c>
      <c r="C1185" s="3" t="s">
        <v>2458</v>
      </c>
      <c r="D1185" s="3" t="s">
        <v>3476</v>
      </c>
      <c r="E1185" s="3" t="s">
        <v>116</v>
      </c>
      <c r="F1185" s="4" t="s">
        <v>2662</v>
      </c>
      <c r="G1185" s="3" t="s">
        <v>2276</v>
      </c>
      <c r="H1185" s="3" t="s">
        <v>523</v>
      </c>
      <c r="I1185" s="3">
        <v>2004</v>
      </c>
      <c r="J1185" s="3" t="s">
        <v>2276</v>
      </c>
      <c r="K1185" s="3" t="s">
        <v>2276</v>
      </c>
      <c r="L1185" s="3" t="s">
        <v>2276</v>
      </c>
      <c r="M1185" s="3" t="s">
        <v>2276</v>
      </c>
      <c r="N1185" s="3" t="s">
        <v>2276</v>
      </c>
      <c r="O1185" s="3" t="s">
        <v>2276</v>
      </c>
      <c r="P1185" s="3" t="s">
        <v>2276</v>
      </c>
      <c r="Q1185" s="3" t="s">
        <v>2276</v>
      </c>
      <c r="R1185" s="3" t="s">
        <v>2276</v>
      </c>
      <c r="S1185" s="3" t="s">
        <v>2276</v>
      </c>
      <c r="T1185" s="3" t="s">
        <v>2276</v>
      </c>
      <c r="U1185" s="3" t="s">
        <v>2276</v>
      </c>
      <c r="V1185" s="3" t="s">
        <v>2276</v>
      </c>
      <c r="W1185" s="3" t="s">
        <v>2276</v>
      </c>
      <c r="X1185" s="3" t="s">
        <v>2276</v>
      </c>
      <c r="Y1185" s="3" t="s">
        <v>2276</v>
      </c>
      <c r="Z1185" s="3" t="s">
        <v>404</v>
      </c>
      <c r="AA1185" s="3" t="s">
        <v>404</v>
      </c>
      <c r="AB1185" s="3" t="s">
        <v>2276</v>
      </c>
      <c r="AC1185" s="3" t="s">
        <v>3476</v>
      </c>
      <c r="AD1185" s="3"/>
    </row>
    <row r="1186" spans="1:30" ht="37" customHeight="1">
      <c r="A1186" s="11" t="s">
        <v>3532</v>
      </c>
      <c r="B1186" s="11" t="s">
        <v>3567</v>
      </c>
      <c r="C1186" s="3" t="s">
        <v>2458</v>
      </c>
      <c r="D1186" s="3" t="s">
        <v>3476</v>
      </c>
      <c r="E1186" s="3" t="s">
        <v>116</v>
      </c>
      <c r="F1186" s="4" t="s">
        <v>2662</v>
      </c>
      <c r="G1186" s="3" t="s">
        <v>2276</v>
      </c>
      <c r="H1186" s="3" t="s">
        <v>523</v>
      </c>
      <c r="I1186" s="3">
        <v>2005</v>
      </c>
      <c r="J1186" s="3" t="s">
        <v>2276</v>
      </c>
      <c r="K1186" s="3" t="s">
        <v>2276</v>
      </c>
      <c r="L1186" s="3" t="s">
        <v>2276</v>
      </c>
      <c r="M1186" s="3" t="s">
        <v>2276</v>
      </c>
      <c r="N1186" s="3" t="s">
        <v>2276</v>
      </c>
      <c r="O1186" s="3" t="s">
        <v>2276</v>
      </c>
      <c r="P1186" s="3" t="s">
        <v>2276</v>
      </c>
      <c r="Q1186" s="3" t="s">
        <v>2276</v>
      </c>
      <c r="R1186" s="3" t="s">
        <v>2276</v>
      </c>
      <c r="S1186" s="3" t="s">
        <v>2276</v>
      </c>
      <c r="T1186" s="3" t="s">
        <v>2276</v>
      </c>
      <c r="U1186" s="3" t="s">
        <v>2276</v>
      </c>
      <c r="V1186" s="3" t="s">
        <v>2276</v>
      </c>
      <c r="W1186" s="3" t="s">
        <v>2276</v>
      </c>
      <c r="X1186" s="3" t="s">
        <v>2276</v>
      </c>
      <c r="Y1186" s="3" t="s">
        <v>2276</v>
      </c>
      <c r="Z1186" s="3" t="s">
        <v>399</v>
      </c>
      <c r="AA1186" s="3" t="s">
        <v>399</v>
      </c>
      <c r="AB1186" s="3" t="s">
        <v>2276</v>
      </c>
      <c r="AC1186" s="3" t="s">
        <v>3476</v>
      </c>
      <c r="AD1186" s="3"/>
    </row>
    <row r="1187" spans="1:30" ht="30" customHeight="1">
      <c r="A1187" s="11" t="s">
        <v>3586</v>
      </c>
      <c r="B1187" s="3" t="s">
        <v>3599</v>
      </c>
      <c r="C1187" s="3" t="s">
        <v>24</v>
      </c>
      <c r="D1187" s="3" t="s">
        <v>27</v>
      </c>
      <c r="E1187" s="3" t="s">
        <v>130</v>
      </c>
      <c r="F1187" s="4" t="s">
        <v>161</v>
      </c>
      <c r="G1187" s="3" t="s">
        <v>2276</v>
      </c>
      <c r="H1187" s="3" t="s">
        <v>523</v>
      </c>
      <c r="I1187" s="3"/>
      <c r="J1187" s="3" t="s">
        <v>2276</v>
      </c>
      <c r="K1187" s="3" t="s">
        <v>2276</v>
      </c>
      <c r="L1187" s="3" t="s">
        <v>2276</v>
      </c>
      <c r="M1187" s="3" t="s">
        <v>2276</v>
      </c>
      <c r="N1187" s="3" t="s">
        <v>2276</v>
      </c>
      <c r="O1187" s="3" t="s">
        <v>2276</v>
      </c>
      <c r="P1187" s="3" t="s">
        <v>2276</v>
      </c>
      <c r="Q1187" s="3" t="s">
        <v>2276</v>
      </c>
      <c r="R1187" s="3" t="s">
        <v>2276</v>
      </c>
      <c r="S1187" s="3" t="s">
        <v>2276</v>
      </c>
      <c r="T1187" s="3" t="s">
        <v>2276</v>
      </c>
      <c r="U1187" s="3" t="s">
        <v>2276</v>
      </c>
      <c r="V1187" s="3" t="s">
        <v>2276</v>
      </c>
      <c r="W1187" s="3" t="s">
        <v>2276</v>
      </c>
      <c r="X1187" s="3" t="s">
        <v>2276</v>
      </c>
      <c r="Y1187" s="3" t="s">
        <v>2276</v>
      </c>
      <c r="Z1187" s="3" t="s">
        <v>2276</v>
      </c>
      <c r="AA1187" s="3" t="s">
        <v>2276</v>
      </c>
      <c r="AB1187" s="3" t="s">
        <v>2276</v>
      </c>
      <c r="AC1187" s="4" t="s">
        <v>3609</v>
      </c>
      <c r="AD1187" s="3"/>
    </row>
    <row r="1188" spans="1:30" ht="30" customHeight="1">
      <c r="A1188" s="11" t="s">
        <v>3589</v>
      </c>
      <c r="B1188" s="3" t="s">
        <v>3600</v>
      </c>
      <c r="C1188" s="3" t="s">
        <v>24</v>
      </c>
      <c r="D1188" s="3" t="s">
        <v>27</v>
      </c>
      <c r="E1188" s="3" t="s">
        <v>130</v>
      </c>
      <c r="F1188" s="4" t="s">
        <v>161</v>
      </c>
      <c r="G1188" s="3" t="s">
        <v>2276</v>
      </c>
      <c r="H1188" s="3" t="s">
        <v>523</v>
      </c>
      <c r="I1188" s="3"/>
      <c r="J1188" s="3" t="s">
        <v>2276</v>
      </c>
      <c r="K1188" s="3" t="s">
        <v>2276</v>
      </c>
      <c r="L1188" s="3" t="s">
        <v>2276</v>
      </c>
      <c r="M1188" s="3" t="s">
        <v>2276</v>
      </c>
      <c r="N1188" s="3" t="s">
        <v>2276</v>
      </c>
      <c r="O1188" s="3" t="s">
        <v>2276</v>
      </c>
      <c r="P1188" s="3" t="s">
        <v>2276</v>
      </c>
      <c r="Q1188" s="3" t="s">
        <v>2276</v>
      </c>
      <c r="R1188" s="3" t="s">
        <v>2276</v>
      </c>
      <c r="S1188" s="3" t="s">
        <v>2276</v>
      </c>
      <c r="T1188" s="3" t="s">
        <v>2276</v>
      </c>
      <c r="U1188" s="3" t="s">
        <v>2276</v>
      </c>
      <c r="V1188" s="3" t="s">
        <v>2276</v>
      </c>
      <c r="W1188" s="3" t="s">
        <v>2276</v>
      </c>
      <c r="X1188" s="3" t="s">
        <v>2276</v>
      </c>
      <c r="Y1188" s="3" t="s">
        <v>2276</v>
      </c>
      <c r="Z1188" s="3" t="s">
        <v>2276</v>
      </c>
      <c r="AA1188" s="3" t="s">
        <v>2276</v>
      </c>
      <c r="AB1188" s="3" t="s">
        <v>2276</v>
      </c>
      <c r="AC1188" s="4" t="s">
        <v>3610</v>
      </c>
      <c r="AD1188" s="3"/>
    </row>
    <row r="1189" spans="1:30" ht="30" customHeight="1">
      <c r="A1189" s="11" t="s">
        <v>3590</v>
      </c>
      <c r="B1189" s="3" t="s">
        <v>3601</v>
      </c>
      <c r="C1189" s="3" t="s">
        <v>24</v>
      </c>
      <c r="D1189" s="3" t="s">
        <v>27</v>
      </c>
      <c r="E1189" s="3" t="s">
        <v>130</v>
      </c>
      <c r="F1189" s="4" t="s">
        <v>161</v>
      </c>
      <c r="G1189" s="3" t="s">
        <v>2276</v>
      </c>
      <c r="H1189" s="3" t="s">
        <v>523</v>
      </c>
      <c r="I1189" s="3"/>
      <c r="J1189" s="3" t="s">
        <v>2276</v>
      </c>
      <c r="K1189" s="3" t="s">
        <v>2276</v>
      </c>
      <c r="L1189" s="3" t="s">
        <v>2276</v>
      </c>
      <c r="M1189" s="3" t="s">
        <v>2276</v>
      </c>
      <c r="N1189" s="3" t="s">
        <v>2276</v>
      </c>
      <c r="O1189" s="3" t="s">
        <v>2276</v>
      </c>
      <c r="P1189" s="3" t="s">
        <v>2276</v>
      </c>
      <c r="Q1189" s="3" t="s">
        <v>2276</v>
      </c>
      <c r="R1189" s="3" t="s">
        <v>2276</v>
      </c>
      <c r="S1189" s="3" t="s">
        <v>2276</v>
      </c>
      <c r="T1189" s="3" t="s">
        <v>2276</v>
      </c>
      <c r="U1189" s="3" t="s">
        <v>2276</v>
      </c>
      <c r="V1189" s="3" t="s">
        <v>2276</v>
      </c>
      <c r="W1189" s="3" t="s">
        <v>2276</v>
      </c>
      <c r="X1189" s="3" t="s">
        <v>2276</v>
      </c>
      <c r="Y1189" s="3" t="s">
        <v>2276</v>
      </c>
      <c r="Z1189" s="3" t="s">
        <v>2276</v>
      </c>
      <c r="AA1189" s="3" t="s">
        <v>2276</v>
      </c>
      <c r="AB1189" s="3" t="s">
        <v>2276</v>
      </c>
      <c r="AC1189" s="4" t="s">
        <v>3611</v>
      </c>
      <c r="AD1189" s="3"/>
    </row>
    <row r="1190" spans="1:30" ht="30" customHeight="1">
      <c r="A1190" s="11" t="s">
        <v>3591</v>
      </c>
      <c r="B1190" s="3" t="s">
        <v>3602</v>
      </c>
      <c r="C1190" s="3" t="s">
        <v>24</v>
      </c>
      <c r="D1190" s="3" t="s">
        <v>27</v>
      </c>
      <c r="E1190" s="3" t="s">
        <v>130</v>
      </c>
      <c r="F1190" s="4" t="s">
        <v>161</v>
      </c>
      <c r="G1190" s="3" t="s">
        <v>2276</v>
      </c>
      <c r="H1190" s="3" t="s">
        <v>523</v>
      </c>
      <c r="I1190" s="3"/>
      <c r="J1190" s="3" t="s">
        <v>2276</v>
      </c>
      <c r="K1190" s="3" t="s">
        <v>2276</v>
      </c>
      <c r="L1190" s="3" t="s">
        <v>2276</v>
      </c>
      <c r="M1190" s="3" t="s">
        <v>2276</v>
      </c>
      <c r="N1190" s="3" t="s">
        <v>2276</v>
      </c>
      <c r="O1190" s="3" t="s">
        <v>2276</v>
      </c>
      <c r="P1190" s="3" t="s">
        <v>2276</v>
      </c>
      <c r="Q1190" s="3" t="s">
        <v>2276</v>
      </c>
      <c r="R1190" s="3" t="s">
        <v>2276</v>
      </c>
      <c r="S1190" s="3" t="s">
        <v>2276</v>
      </c>
      <c r="T1190" s="3" t="s">
        <v>2276</v>
      </c>
      <c r="U1190" s="3" t="s">
        <v>2276</v>
      </c>
      <c r="V1190" s="3" t="s">
        <v>2276</v>
      </c>
      <c r="W1190" s="3" t="s">
        <v>2276</v>
      </c>
      <c r="X1190" s="3" t="s">
        <v>2276</v>
      </c>
      <c r="Y1190" s="3" t="s">
        <v>2276</v>
      </c>
      <c r="Z1190" s="3" t="s">
        <v>2276</v>
      </c>
      <c r="AA1190" s="3" t="s">
        <v>2276</v>
      </c>
      <c r="AB1190" s="3" t="s">
        <v>2276</v>
      </c>
      <c r="AC1190" s="4" t="s">
        <v>3611</v>
      </c>
      <c r="AD1190" s="3"/>
    </row>
    <row r="1191" spans="1:30" ht="30" customHeight="1">
      <c r="A1191" s="11" t="s">
        <v>3592</v>
      </c>
      <c r="B1191" s="3" t="s">
        <v>3603</v>
      </c>
      <c r="C1191" s="3" t="s">
        <v>24</v>
      </c>
      <c r="D1191" s="3" t="s">
        <v>27</v>
      </c>
      <c r="E1191" s="3" t="s">
        <v>130</v>
      </c>
      <c r="F1191" s="4" t="s">
        <v>161</v>
      </c>
      <c r="G1191" s="3" t="s">
        <v>2276</v>
      </c>
      <c r="H1191" s="3" t="s">
        <v>524</v>
      </c>
      <c r="I1191" s="3"/>
      <c r="J1191" s="21">
        <v>0</v>
      </c>
      <c r="K1191" s="21">
        <v>0</v>
      </c>
      <c r="L1191" s="21">
        <v>0</v>
      </c>
      <c r="M1191" s="21">
        <v>0</v>
      </c>
      <c r="N1191" s="21">
        <v>0</v>
      </c>
      <c r="O1191" s="21">
        <v>0</v>
      </c>
      <c r="P1191" s="21">
        <v>0</v>
      </c>
      <c r="Q1191" s="21">
        <v>0</v>
      </c>
      <c r="R1191" s="21">
        <v>0</v>
      </c>
      <c r="S1191" s="21">
        <v>0</v>
      </c>
      <c r="T1191" s="21">
        <v>0</v>
      </c>
      <c r="U1191" s="21">
        <v>0</v>
      </c>
      <c r="V1191" s="21">
        <v>0</v>
      </c>
      <c r="W1191" s="21">
        <v>0</v>
      </c>
      <c r="X1191" s="21">
        <v>0</v>
      </c>
      <c r="Y1191" s="3" t="s">
        <v>2276</v>
      </c>
      <c r="Z1191" s="3" t="s">
        <v>2276</v>
      </c>
      <c r="AA1191" s="3" t="s">
        <v>2276</v>
      </c>
      <c r="AB1191" s="3" t="s">
        <v>2276</v>
      </c>
      <c r="AC1191" s="3"/>
      <c r="AD1191" s="3"/>
    </row>
    <row r="1192" spans="1:30" ht="36" customHeight="1">
      <c r="A1192" s="11" t="s">
        <v>3586</v>
      </c>
      <c r="B1192" s="3" t="s">
        <v>3604</v>
      </c>
      <c r="C1192" s="3" t="s">
        <v>24</v>
      </c>
      <c r="D1192" s="3" t="s">
        <v>2659</v>
      </c>
      <c r="E1192" s="3" t="s">
        <v>130</v>
      </c>
      <c r="F1192" s="4" t="s">
        <v>28</v>
      </c>
      <c r="G1192" s="3" t="s">
        <v>2276</v>
      </c>
      <c r="H1192" s="3" t="s">
        <v>523</v>
      </c>
      <c r="I1192" s="3"/>
      <c r="J1192" s="3" t="s">
        <v>2276</v>
      </c>
      <c r="K1192" s="3" t="s">
        <v>2276</v>
      </c>
      <c r="L1192" s="3" t="s">
        <v>2276</v>
      </c>
      <c r="M1192" s="3" t="s">
        <v>2276</v>
      </c>
      <c r="N1192" s="3" t="s">
        <v>2276</v>
      </c>
      <c r="O1192" s="3" t="s">
        <v>2276</v>
      </c>
      <c r="P1192" s="3" t="s">
        <v>2276</v>
      </c>
      <c r="Q1192" s="3" t="s">
        <v>2276</v>
      </c>
      <c r="R1192" s="3" t="s">
        <v>2276</v>
      </c>
      <c r="S1192" s="3" t="s">
        <v>2276</v>
      </c>
      <c r="T1192" s="3" t="s">
        <v>2276</v>
      </c>
      <c r="U1192" s="3" t="s">
        <v>2276</v>
      </c>
      <c r="V1192" s="3" t="s">
        <v>2276</v>
      </c>
      <c r="W1192" s="3" t="s">
        <v>2276</v>
      </c>
      <c r="X1192" s="3" t="s">
        <v>2276</v>
      </c>
      <c r="Y1192" s="3" t="s">
        <v>2276</v>
      </c>
      <c r="Z1192" s="3" t="s">
        <v>2276</v>
      </c>
      <c r="AA1192" s="3" t="s">
        <v>2276</v>
      </c>
      <c r="AB1192" s="3" t="s">
        <v>2276</v>
      </c>
      <c r="AC1192" s="4" t="s">
        <v>3612</v>
      </c>
      <c r="AD1192" s="3"/>
    </row>
    <row r="1193" spans="1:30" ht="36" customHeight="1">
      <c r="A1193" s="11" t="s">
        <v>3589</v>
      </c>
      <c r="B1193" s="3" t="s">
        <v>3605</v>
      </c>
      <c r="C1193" s="3" t="s">
        <v>24</v>
      </c>
      <c r="D1193" s="3" t="s">
        <v>2659</v>
      </c>
      <c r="E1193" s="3" t="s">
        <v>130</v>
      </c>
      <c r="F1193" s="4" t="s">
        <v>28</v>
      </c>
      <c r="G1193" s="3" t="s">
        <v>2276</v>
      </c>
      <c r="H1193" s="3" t="s">
        <v>523</v>
      </c>
      <c r="I1193" s="3"/>
      <c r="J1193" s="3" t="s">
        <v>2276</v>
      </c>
      <c r="K1193" s="3" t="s">
        <v>2276</v>
      </c>
      <c r="L1193" s="3" t="s">
        <v>2276</v>
      </c>
      <c r="M1193" s="3" t="s">
        <v>2276</v>
      </c>
      <c r="N1193" s="3" t="s">
        <v>2276</v>
      </c>
      <c r="O1193" s="3" t="s">
        <v>2276</v>
      </c>
      <c r="P1193" s="3" t="s">
        <v>2276</v>
      </c>
      <c r="Q1193" s="3" t="s">
        <v>2276</v>
      </c>
      <c r="R1193" s="3" t="s">
        <v>2276</v>
      </c>
      <c r="S1193" s="3" t="s">
        <v>2276</v>
      </c>
      <c r="T1193" s="3" t="s">
        <v>2276</v>
      </c>
      <c r="U1193" s="3" t="s">
        <v>2276</v>
      </c>
      <c r="V1193" s="3" t="s">
        <v>2276</v>
      </c>
      <c r="W1193" s="3" t="s">
        <v>2276</v>
      </c>
      <c r="X1193" s="3" t="s">
        <v>2276</v>
      </c>
      <c r="Y1193" s="3" t="s">
        <v>2276</v>
      </c>
      <c r="Z1193" s="3" t="s">
        <v>2276</v>
      </c>
      <c r="AA1193" s="3" t="s">
        <v>2276</v>
      </c>
      <c r="AB1193" s="3" t="s">
        <v>2276</v>
      </c>
      <c r="AC1193" s="4" t="s">
        <v>3612</v>
      </c>
      <c r="AD1193" s="3"/>
    </row>
    <row r="1194" spans="1:30" ht="36" customHeight="1">
      <c r="A1194" s="11" t="s">
        <v>3590</v>
      </c>
      <c r="B1194" s="3" t="s">
        <v>3606</v>
      </c>
      <c r="C1194" s="3" t="s">
        <v>24</v>
      </c>
      <c r="D1194" s="3" t="s">
        <v>2659</v>
      </c>
      <c r="E1194" s="3" t="s">
        <v>130</v>
      </c>
      <c r="F1194" s="4" t="s">
        <v>28</v>
      </c>
      <c r="G1194" s="3" t="s">
        <v>2276</v>
      </c>
      <c r="H1194" s="3" t="s">
        <v>523</v>
      </c>
      <c r="I1194" s="3"/>
      <c r="J1194" s="3" t="s">
        <v>2276</v>
      </c>
      <c r="K1194" s="3" t="s">
        <v>2276</v>
      </c>
      <c r="L1194" s="3" t="s">
        <v>2276</v>
      </c>
      <c r="M1194" s="3" t="s">
        <v>2276</v>
      </c>
      <c r="N1194" s="3" t="s">
        <v>2276</v>
      </c>
      <c r="O1194" s="3" t="s">
        <v>2276</v>
      </c>
      <c r="P1194" s="3" t="s">
        <v>2276</v>
      </c>
      <c r="Q1194" s="3" t="s">
        <v>2276</v>
      </c>
      <c r="R1194" s="3" t="s">
        <v>2276</v>
      </c>
      <c r="S1194" s="3" t="s">
        <v>2276</v>
      </c>
      <c r="T1194" s="3" t="s">
        <v>2276</v>
      </c>
      <c r="U1194" s="3" t="s">
        <v>2276</v>
      </c>
      <c r="V1194" s="3" t="s">
        <v>2276</v>
      </c>
      <c r="W1194" s="3" t="s">
        <v>2276</v>
      </c>
      <c r="X1194" s="3" t="s">
        <v>2276</v>
      </c>
      <c r="Y1194" s="3" t="s">
        <v>2276</v>
      </c>
      <c r="Z1194" s="3" t="s">
        <v>2276</v>
      </c>
      <c r="AA1194" s="3" t="s">
        <v>2276</v>
      </c>
      <c r="AB1194" s="3" t="s">
        <v>2276</v>
      </c>
      <c r="AC1194" s="4" t="s">
        <v>3612</v>
      </c>
      <c r="AD1194" s="3"/>
    </row>
    <row r="1195" spans="1:30" ht="36" customHeight="1">
      <c r="A1195" s="11" t="s">
        <v>3591</v>
      </c>
      <c r="B1195" s="3" t="s">
        <v>3607</v>
      </c>
      <c r="C1195" s="3" t="s">
        <v>24</v>
      </c>
      <c r="D1195" s="3" t="s">
        <v>2659</v>
      </c>
      <c r="E1195" s="3" t="s">
        <v>130</v>
      </c>
      <c r="F1195" s="4" t="s">
        <v>28</v>
      </c>
      <c r="G1195" s="3" t="s">
        <v>2276</v>
      </c>
      <c r="H1195" s="3" t="s">
        <v>523</v>
      </c>
      <c r="I1195" s="3"/>
      <c r="J1195" s="3" t="s">
        <v>2276</v>
      </c>
      <c r="K1195" s="3" t="s">
        <v>2276</v>
      </c>
      <c r="L1195" s="3" t="s">
        <v>2276</v>
      </c>
      <c r="M1195" s="3" t="s">
        <v>2276</v>
      </c>
      <c r="N1195" s="3" t="s">
        <v>2276</v>
      </c>
      <c r="O1195" s="3" t="s">
        <v>2276</v>
      </c>
      <c r="P1195" s="3" t="s">
        <v>2276</v>
      </c>
      <c r="Q1195" s="3" t="s">
        <v>2276</v>
      </c>
      <c r="R1195" s="3" t="s">
        <v>2276</v>
      </c>
      <c r="S1195" s="3" t="s">
        <v>2276</v>
      </c>
      <c r="T1195" s="3" t="s">
        <v>2276</v>
      </c>
      <c r="U1195" s="3" t="s">
        <v>2276</v>
      </c>
      <c r="V1195" s="3" t="s">
        <v>2276</v>
      </c>
      <c r="W1195" s="3" t="s">
        <v>2276</v>
      </c>
      <c r="X1195" s="3" t="s">
        <v>2276</v>
      </c>
      <c r="Y1195" s="3" t="s">
        <v>2276</v>
      </c>
      <c r="Z1195" s="3" t="s">
        <v>2276</v>
      </c>
      <c r="AA1195" s="3" t="s">
        <v>2276</v>
      </c>
      <c r="AB1195" s="3" t="s">
        <v>2276</v>
      </c>
      <c r="AC1195" s="4" t="s">
        <v>3612</v>
      </c>
      <c r="AD1195" s="3"/>
    </row>
    <row r="1196" spans="1:30" ht="36" customHeight="1">
      <c r="A1196" s="11" t="s">
        <v>3592</v>
      </c>
      <c r="B1196" s="3" t="s">
        <v>3608</v>
      </c>
      <c r="C1196" s="3" t="s">
        <v>24</v>
      </c>
      <c r="D1196" s="3" t="s">
        <v>2659</v>
      </c>
      <c r="E1196" s="3" t="s">
        <v>130</v>
      </c>
      <c r="F1196" s="4" t="s">
        <v>28</v>
      </c>
      <c r="G1196" s="3" t="s">
        <v>2276</v>
      </c>
      <c r="H1196" s="3" t="s">
        <v>523</v>
      </c>
      <c r="I1196" s="3"/>
      <c r="J1196" s="3" t="s">
        <v>2276</v>
      </c>
      <c r="K1196" s="3" t="s">
        <v>2276</v>
      </c>
      <c r="L1196" s="3" t="s">
        <v>2276</v>
      </c>
      <c r="M1196" s="3" t="s">
        <v>2276</v>
      </c>
      <c r="N1196" s="3" t="s">
        <v>2276</v>
      </c>
      <c r="O1196" s="3" t="s">
        <v>2276</v>
      </c>
      <c r="P1196" s="3" t="s">
        <v>2276</v>
      </c>
      <c r="Q1196" s="3" t="s">
        <v>2276</v>
      </c>
      <c r="R1196" s="3" t="s">
        <v>2276</v>
      </c>
      <c r="S1196" s="3" t="s">
        <v>2276</v>
      </c>
      <c r="T1196" s="3" t="s">
        <v>2276</v>
      </c>
      <c r="U1196" s="3" t="s">
        <v>2276</v>
      </c>
      <c r="V1196" s="3" t="s">
        <v>2276</v>
      </c>
      <c r="W1196" s="3" t="s">
        <v>2276</v>
      </c>
      <c r="X1196" s="3" t="s">
        <v>2276</v>
      </c>
      <c r="Y1196" s="3" t="s">
        <v>2276</v>
      </c>
      <c r="Z1196" s="3" t="s">
        <v>2276</v>
      </c>
      <c r="AA1196" s="3" t="s">
        <v>2276</v>
      </c>
      <c r="AB1196" s="3" t="s">
        <v>2276</v>
      </c>
      <c r="AC1196" s="4" t="s">
        <v>3612</v>
      </c>
      <c r="AD1196" s="3"/>
    </row>
    <row r="1197" spans="1:30" ht="41" customHeight="1">
      <c r="A1197" s="11" t="s">
        <v>3614</v>
      </c>
      <c r="B1197" s="11" t="s">
        <v>3618</v>
      </c>
      <c r="C1197" s="3" t="s">
        <v>24</v>
      </c>
      <c r="D1197" s="3" t="s">
        <v>2804</v>
      </c>
      <c r="E1197" s="3" t="s">
        <v>5005</v>
      </c>
      <c r="F1197" s="4" t="s">
        <v>2276</v>
      </c>
      <c r="G1197" s="3" t="s">
        <v>2276</v>
      </c>
      <c r="H1197" s="3" t="s">
        <v>524</v>
      </c>
      <c r="I1197" s="3"/>
      <c r="J1197" s="21">
        <v>0</v>
      </c>
      <c r="K1197" s="21">
        <v>0</v>
      </c>
      <c r="L1197" s="21">
        <v>0</v>
      </c>
      <c r="M1197" s="21">
        <v>0</v>
      </c>
      <c r="N1197" s="21">
        <v>0</v>
      </c>
      <c r="O1197" s="21">
        <v>0</v>
      </c>
      <c r="P1197" s="21">
        <v>0</v>
      </c>
      <c r="Q1197" s="21">
        <v>0</v>
      </c>
      <c r="R1197" s="21">
        <v>0</v>
      </c>
      <c r="S1197" s="21">
        <v>0</v>
      </c>
      <c r="T1197" s="21">
        <v>0</v>
      </c>
      <c r="U1197" s="21">
        <v>0</v>
      </c>
      <c r="V1197" s="21">
        <v>0</v>
      </c>
      <c r="W1197" s="21">
        <v>0</v>
      </c>
      <c r="X1197" s="21">
        <v>0</v>
      </c>
      <c r="Y1197" s="3" t="s">
        <v>2276</v>
      </c>
      <c r="Z1197" s="3" t="s">
        <v>2276</v>
      </c>
      <c r="AA1197" s="3" t="s">
        <v>2276</v>
      </c>
      <c r="AB1197" s="3" t="s">
        <v>2276</v>
      </c>
      <c r="AC1197" s="3"/>
      <c r="AD1197" s="4" t="s">
        <v>3620</v>
      </c>
    </row>
    <row r="1198" spans="1:30" ht="43" customHeight="1">
      <c r="A1198" s="11" t="s">
        <v>3614</v>
      </c>
      <c r="B1198" s="11" t="s">
        <v>3619</v>
      </c>
      <c r="C1198" s="3" t="s">
        <v>24</v>
      </c>
      <c r="D1198" s="3" t="s">
        <v>25</v>
      </c>
      <c r="E1198" s="3" t="s">
        <v>5005</v>
      </c>
      <c r="F1198" s="4" t="s">
        <v>2276</v>
      </c>
      <c r="G1198" s="3" t="s">
        <v>2276</v>
      </c>
      <c r="H1198" s="3" t="s">
        <v>524</v>
      </c>
      <c r="I1198" s="3"/>
      <c r="J1198" s="21">
        <v>0</v>
      </c>
      <c r="K1198" s="21">
        <v>0</v>
      </c>
      <c r="L1198" s="21">
        <v>0</v>
      </c>
      <c r="M1198" s="21">
        <v>0</v>
      </c>
      <c r="N1198" s="21">
        <v>0</v>
      </c>
      <c r="O1198" s="21">
        <v>0</v>
      </c>
      <c r="P1198" s="21">
        <v>0</v>
      </c>
      <c r="Q1198" s="21">
        <v>0</v>
      </c>
      <c r="R1198" s="21">
        <v>0</v>
      </c>
      <c r="S1198" s="21">
        <v>0</v>
      </c>
      <c r="T1198" s="21">
        <v>0</v>
      </c>
      <c r="U1198" s="21">
        <v>0</v>
      </c>
      <c r="V1198" s="21">
        <v>0</v>
      </c>
      <c r="W1198" s="21">
        <v>0</v>
      </c>
      <c r="X1198" s="21">
        <v>0</v>
      </c>
      <c r="Y1198" s="3" t="s">
        <v>2276</v>
      </c>
      <c r="Z1198" s="3" t="s">
        <v>2276</v>
      </c>
      <c r="AA1198" s="3" t="s">
        <v>2276</v>
      </c>
      <c r="AB1198" s="3" t="s">
        <v>2276</v>
      </c>
      <c r="AC1198" s="3"/>
      <c r="AD1198" s="4" t="s">
        <v>3620</v>
      </c>
    </row>
    <row r="1199" spans="1:30" ht="40" customHeight="1">
      <c r="A1199" s="11" t="s">
        <v>3614</v>
      </c>
      <c r="B1199" s="11" t="s">
        <v>3622</v>
      </c>
      <c r="C1199" s="3" t="s">
        <v>24</v>
      </c>
      <c r="D1199" s="3" t="s">
        <v>2804</v>
      </c>
      <c r="E1199" s="3" t="s">
        <v>45</v>
      </c>
      <c r="F1199" s="4" t="s">
        <v>2276</v>
      </c>
      <c r="G1199" s="3" t="s">
        <v>2276</v>
      </c>
      <c r="H1199" s="3" t="s">
        <v>524</v>
      </c>
      <c r="I1199" s="3"/>
      <c r="J1199" s="21">
        <v>0</v>
      </c>
      <c r="K1199" s="21">
        <v>0</v>
      </c>
      <c r="L1199" s="21">
        <v>0</v>
      </c>
      <c r="M1199" s="21">
        <v>0</v>
      </c>
      <c r="N1199" s="21">
        <v>0</v>
      </c>
      <c r="O1199" s="21">
        <v>0</v>
      </c>
      <c r="P1199" s="21">
        <v>0</v>
      </c>
      <c r="Q1199" s="21">
        <v>0</v>
      </c>
      <c r="R1199" s="21">
        <v>0</v>
      </c>
      <c r="S1199" s="21">
        <v>0</v>
      </c>
      <c r="T1199" s="21">
        <v>0</v>
      </c>
      <c r="U1199" s="21">
        <v>0</v>
      </c>
      <c r="V1199" s="21">
        <v>0</v>
      </c>
      <c r="W1199" s="21">
        <v>0</v>
      </c>
      <c r="X1199" s="21">
        <v>0</v>
      </c>
      <c r="Y1199" s="3" t="s">
        <v>2276</v>
      </c>
      <c r="Z1199" s="3" t="s">
        <v>2276</v>
      </c>
      <c r="AA1199" s="3" t="s">
        <v>2276</v>
      </c>
      <c r="AB1199" s="3" t="s">
        <v>2276</v>
      </c>
      <c r="AC1199" s="3"/>
      <c r="AD1199" s="4" t="s">
        <v>3620</v>
      </c>
    </row>
    <row r="1200" spans="1:30" ht="41" customHeight="1">
      <c r="A1200" s="11" t="s">
        <v>3614</v>
      </c>
      <c r="B1200" s="11" t="s">
        <v>3623</v>
      </c>
      <c r="C1200" s="3" t="s">
        <v>24</v>
      </c>
      <c r="D1200" s="3" t="s">
        <v>25</v>
      </c>
      <c r="E1200" s="3" t="s">
        <v>45</v>
      </c>
      <c r="F1200" s="4" t="s">
        <v>2276</v>
      </c>
      <c r="G1200" s="3" t="s">
        <v>2276</v>
      </c>
      <c r="H1200" s="3" t="s">
        <v>524</v>
      </c>
      <c r="I1200" s="3"/>
      <c r="J1200" s="21">
        <v>0</v>
      </c>
      <c r="K1200" s="21">
        <v>0</v>
      </c>
      <c r="L1200" s="21">
        <v>0</v>
      </c>
      <c r="M1200" s="21">
        <v>0</v>
      </c>
      <c r="N1200" s="21">
        <v>0</v>
      </c>
      <c r="O1200" s="21">
        <v>0</v>
      </c>
      <c r="P1200" s="21">
        <v>0</v>
      </c>
      <c r="Q1200" s="21">
        <v>0</v>
      </c>
      <c r="R1200" s="21">
        <v>0</v>
      </c>
      <c r="S1200" s="21">
        <v>0</v>
      </c>
      <c r="T1200" s="21">
        <v>0</v>
      </c>
      <c r="U1200" s="21">
        <v>0</v>
      </c>
      <c r="V1200" s="21">
        <v>0</v>
      </c>
      <c r="W1200" s="21">
        <v>0</v>
      </c>
      <c r="X1200" s="21">
        <v>0</v>
      </c>
      <c r="Y1200" s="3" t="s">
        <v>2276</v>
      </c>
      <c r="Z1200" s="3" t="s">
        <v>2276</v>
      </c>
      <c r="AA1200" s="3" t="s">
        <v>2276</v>
      </c>
      <c r="AB1200" s="3" t="s">
        <v>2276</v>
      </c>
      <c r="AC1200" s="3"/>
      <c r="AD1200" s="4" t="s">
        <v>3620</v>
      </c>
    </row>
    <row r="1201" spans="1:30" ht="28" customHeight="1">
      <c r="A1201" s="3" t="s">
        <v>3625</v>
      </c>
      <c r="B1201" s="3" t="s">
        <v>3635</v>
      </c>
      <c r="C1201" s="3" t="s">
        <v>24</v>
      </c>
      <c r="D1201" s="3" t="s">
        <v>27</v>
      </c>
      <c r="E1201" s="3" t="s">
        <v>130</v>
      </c>
      <c r="F1201" s="4" t="s">
        <v>2276</v>
      </c>
      <c r="G1201" s="3" t="s">
        <v>2276</v>
      </c>
      <c r="H1201" s="3" t="s">
        <v>523</v>
      </c>
      <c r="I1201" s="3"/>
      <c r="J1201" s="3" t="s">
        <v>2276</v>
      </c>
      <c r="K1201" s="3" t="s">
        <v>2276</v>
      </c>
      <c r="L1201" s="3" t="s">
        <v>2276</v>
      </c>
      <c r="M1201" s="3" t="s">
        <v>2276</v>
      </c>
      <c r="N1201" s="3" t="s">
        <v>2276</v>
      </c>
      <c r="O1201" s="3" t="s">
        <v>2276</v>
      </c>
      <c r="P1201" s="3" t="s">
        <v>2276</v>
      </c>
      <c r="Q1201" s="3" t="s">
        <v>2276</v>
      </c>
      <c r="R1201" s="3" t="s">
        <v>2276</v>
      </c>
      <c r="S1201" s="3" t="s">
        <v>2276</v>
      </c>
      <c r="T1201" s="3" t="s">
        <v>2276</v>
      </c>
      <c r="U1201" s="3" t="s">
        <v>2276</v>
      </c>
      <c r="V1201" s="3" t="s">
        <v>2276</v>
      </c>
      <c r="W1201" s="3" t="s">
        <v>2276</v>
      </c>
      <c r="X1201" s="3" t="s">
        <v>2276</v>
      </c>
      <c r="Y1201" s="3" t="s">
        <v>2276</v>
      </c>
      <c r="Z1201" s="3" t="s">
        <v>2276</v>
      </c>
      <c r="AA1201" s="3" t="s">
        <v>2276</v>
      </c>
      <c r="AB1201" s="3" t="s">
        <v>2276</v>
      </c>
      <c r="AC1201" s="3"/>
      <c r="AD1201" s="3"/>
    </row>
    <row r="1202" spans="1:30" ht="28" customHeight="1">
      <c r="A1202" s="3" t="s">
        <v>3626</v>
      </c>
      <c r="B1202" s="3" t="s">
        <v>3636</v>
      </c>
      <c r="C1202" s="3" t="s">
        <v>24</v>
      </c>
      <c r="D1202" s="3" t="s">
        <v>27</v>
      </c>
      <c r="E1202" s="3" t="s">
        <v>130</v>
      </c>
      <c r="F1202" s="4" t="s">
        <v>2276</v>
      </c>
      <c r="G1202" s="3" t="s">
        <v>2276</v>
      </c>
      <c r="H1202" s="3" t="s">
        <v>523</v>
      </c>
      <c r="I1202" s="3"/>
      <c r="J1202" s="3" t="s">
        <v>2276</v>
      </c>
      <c r="K1202" s="3" t="s">
        <v>2276</v>
      </c>
      <c r="L1202" s="3" t="s">
        <v>2276</v>
      </c>
      <c r="M1202" s="3" t="s">
        <v>2276</v>
      </c>
      <c r="N1202" s="3" t="s">
        <v>2276</v>
      </c>
      <c r="O1202" s="3" t="s">
        <v>2276</v>
      </c>
      <c r="P1202" s="3" t="s">
        <v>2276</v>
      </c>
      <c r="Q1202" s="3" t="s">
        <v>2276</v>
      </c>
      <c r="R1202" s="3" t="s">
        <v>2276</v>
      </c>
      <c r="S1202" s="3" t="s">
        <v>2276</v>
      </c>
      <c r="T1202" s="3" t="s">
        <v>2276</v>
      </c>
      <c r="U1202" s="3" t="s">
        <v>2276</v>
      </c>
      <c r="V1202" s="3" t="s">
        <v>2276</v>
      </c>
      <c r="W1202" s="3" t="s">
        <v>2276</v>
      </c>
      <c r="X1202" s="3" t="s">
        <v>2276</v>
      </c>
      <c r="Y1202" s="3" t="s">
        <v>2276</v>
      </c>
      <c r="Z1202" s="3" t="s">
        <v>2276</v>
      </c>
      <c r="AA1202" s="3" t="s">
        <v>2276</v>
      </c>
      <c r="AB1202" s="3" t="s">
        <v>2276</v>
      </c>
      <c r="AC1202" s="3"/>
      <c r="AD1202" s="3"/>
    </row>
    <row r="1203" spans="1:30" ht="28" customHeight="1">
      <c r="A1203" s="3" t="s">
        <v>3629</v>
      </c>
      <c r="B1203" s="3" t="s">
        <v>3637</v>
      </c>
      <c r="C1203" s="3" t="s">
        <v>24</v>
      </c>
      <c r="D1203" s="3" t="s">
        <v>27</v>
      </c>
      <c r="E1203" s="3" t="s">
        <v>130</v>
      </c>
      <c r="F1203" s="4" t="s">
        <v>2276</v>
      </c>
      <c r="G1203" s="3" t="s">
        <v>2276</v>
      </c>
      <c r="H1203" s="3" t="s">
        <v>523</v>
      </c>
      <c r="I1203" s="3"/>
      <c r="J1203" s="3" t="s">
        <v>2276</v>
      </c>
      <c r="K1203" s="3" t="s">
        <v>2276</v>
      </c>
      <c r="L1203" s="3" t="s">
        <v>2276</v>
      </c>
      <c r="M1203" s="3" t="s">
        <v>2276</v>
      </c>
      <c r="N1203" s="3" t="s">
        <v>2276</v>
      </c>
      <c r="O1203" s="3" t="s">
        <v>2276</v>
      </c>
      <c r="P1203" s="3" t="s">
        <v>2276</v>
      </c>
      <c r="Q1203" s="3" t="s">
        <v>2276</v>
      </c>
      <c r="R1203" s="3" t="s">
        <v>2276</v>
      </c>
      <c r="S1203" s="3" t="s">
        <v>2276</v>
      </c>
      <c r="T1203" s="3" t="s">
        <v>2276</v>
      </c>
      <c r="U1203" s="3" t="s">
        <v>2276</v>
      </c>
      <c r="V1203" s="3" t="s">
        <v>2276</v>
      </c>
      <c r="W1203" s="3" t="s">
        <v>2276</v>
      </c>
      <c r="X1203" s="3" t="s">
        <v>2276</v>
      </c>
      <c r="Y1203" s="3" t="s">
        <v>2276</v>
      </c>
      <c r="Z1203" s="3" t="s">
        <v>2276</v>
      </c>
      <c r="AA1203" s="3" t="s">
        <v>2276</v>
      </c>
      <c r="AB1203" s="3" t="s">
        <v>2276</v>
      </c>
      <c r="AC1203" s="3"/>
      <c r="AD1203" s="3"/>
    </row>
    <row r="1204" spans="1:30" ht="27" customHeight="1">
      <c r="A1204" s="3" t="s">
        <v>3630</v>
      </c>
      <c r="B1204" s="3" t="s">
        <v>3638</v>
      </c>
      <c r="C1204" s="3" t="s">
        <v>24</v>
      </c>
      <c r="D1204" s="3" t="s">
        <v>27</v>
      </c>
      <c r="E1204" s="3" t="s">
        <v>130</v>
      </c>
      <c r="F1204" s="4" t="s">
        <v>2276</v>
      </c>
      <c r="G1204" s="3" t="s">
        <v>2276</v>
      </c>
      <c r="H1204" s="3" t="s">
        <v>523</v>
      </c>
      <c r="I1204" s="3">
        <v>2017</v>
      </c>
      <c r="J1204" s="3" t="s">
        <v>2276</v>
      </c>
      <c r="K1204" s="3" t="s">
        <v>2276</v>
      </c>
      <c r="L1204" s="3" t="s">
        <v>2276</v>
      </c>
      <c r="M1204" s="3" t="s">
        <v>2276</v>
      </c>
      <c r="N1204" s="3" t="s">
        <v>2276</v>
      </c>
      <c r="O1204" s="3" t="s">
        <v>2276</v>
      </c>
      <c r="P1204" s="3" t="s">
        <v>2276</v>
      </c>
      <c r="Q1204" s="3" t="s">
        <v>2276</v>
      </c>
      <c r="R1204" s="3" t="s">
        <v>2276</v>
      </c>
      <c r="S1204" s="3" t="s">
        <v>2276</v>
      </c>
      <c r="T1204" s="3" t="s">
        <v>2276</v>
      </c>
      <c r="U1204" s="3" t="s">
        <v>2276</v>
      </c>
      <c r="V1204" s="3" t="s">
        <v>2276</v>
      </c>
      <c r="W1204" s="3" t="s">
        <v>2276</v>
      </c>
      <c r="X1204" s="3" t="s">
        <v>2276</v>
      </c>
      <c r="Y1204" s="3" t="s">
        <v>2276</v>
      </c>
      <c r="Z1204" s="3" t="s">
        <v>2276</v>
      </c>
      <c r="AA1204" s="3" t="s">
        <v>2276</v>
      </c>
      <c r="AB1204" s="3" t="s">
        <v>2276</v>
      </c>
      <c r="AC1204" s="3"/>
      <c r="AD1204" s="3"/>
    </row>
    <row r="1205" spans="1:30" ht="24.5" customHeight="1">
      <c r="A1205" s="3" t="s">
        <v>3625</v>
      </c>
      <c r="B1205" s="3" t="s">
        <v>3639</v>
      </c>
      <c r="C1205" s="3" t="s">
        <v>24</v>
      </c>
      <c r="D1205" s="3" t="s">
        <v>144</v>
      </c>
      <c r="E1205" s="3" t="s">
        <v>137</v>
      </c>
      <c r="F1205" s="4" t="s">
        <v>2276</v>
      </c>
      <c r="G1205" s="3" t="s">
        <v>2276</v>
      </c>
      <c r="H1205" s="3" t="s">
        <v>523</v>
      </c>
      <c r="I1205" s="3"/>
      <c r="J1205" s="3" t="s">
        <v>2276</v>
      </c>
      <c r="K1205" s="3" t="s">
        <v>2276</v>
      </c>
      <c r="L1205" s="3" t="s">
        <v>2276</v>
      </c>
      <c r="M1205" s="3" t="s">
        <v>2276</v>
      </c>
      <c r="N1205" s="3" t="s">
        <v>2276</v>
      </c>
      <c r="O1205" s="3" t="s">
        <v>2276</v>
      </c>
      <c r="P1205" s="3" t="s">
        <v>2276</v>
      </c>
      <c r="Q1205" s="3" t="s">
        <v>2276</v>
      </c>
      <c r="R1205" s="3" t="s">
        <v>2276</v>
      </c>
      <c r="S1205" s="3" t="s">
        <v>2276</v>
      </c>
      <c r="T1205" s="3" t="s">
        <v>2276</v>
      </c>
      <c r="U1205" s="3" t="s">
        <v>2276</v>
      </c>
      <c r="V1205" s="3" t="s">
        <v>2276</v>
      </c>
      <c r="W1205" s="3" t="s">
        <v>2276</v>
      </c>
      <c r="X1205" s="3" t="s">
        <v>2276</v>
      </c>
      <c r="Y1205" s="3" t="s">
        <v>2276</v>
      </c>
      <c r="Z1205" s="3" t="s">
        <v>2276</v>
      </c>
      <c r="AA1205" s="3" t="s">
        <v>2276</v>
      </c>
      <c r="AB1205" s="3" t="s">
        <v>2276</v>
      </c>
      <c r="AC1205" s="3"/>
      <c r="AD1205" s="3"/>
    </row>
    <row r="1206" spans="1:30" ht="24.5" customHeight="1">
      <c r="A1206" s="3" t="s">
        <v>3626</v>
      </c>
      <c r="B1206" s="3" t="s">
        <v>3640</v>
      </c>
      <c r="C1206" s="3" t="s">
        <v>24</v>
      </c>
      <c r="D1206" s="3" t="s">
        <v>144</v>
      </c>
      <c r="E1206" s="3" t="s">
        <v>137</v>
      </c>
      <c r="F1206" s="4" t="s">
        <v>2276</v>
      </c>
      <c r="G1206" s="3" t="s">
        <v>2276</v>
      </c>
      <c r="H1206" s="3" t="s">
        <v>523</v>
      </c>
      <c r="I1206" s="3"/>
      <c r="J1206" s="3" t="s">
        <v>2276</v>
      </c>
      <c r="K1206" s="3" t="s">
        <v>2276</v>
      </c>
      <c r="L1206" s="3" t="s">
        <v>2276</v>
      </c>
      <c r="M1206" s="3" t="s">
        <v>2276</v>
      </c>
      <c r="N1206" s="3" t="s">
        <v>2276</v>
      </c>
      <c r="O1206" s="3" t="s">
        <v>2276</v>
      </c>
      <c r="P1206" s="3" t="s">
        <v>2276</v>
      </c>
      <c r="Q1206" s="3" t="s">
        <v>2276</v>
      </c>
      <c r="R1206" s="3" t="s">
        <v>2276</v>
      </c>
      <c r="S1206" s="3" t="s">
        <v>2276</v>
      </c>
      <c r="T1206" s="3" t="s">
        <v>2276</v>
      </c>
      <c r="U1206" s="3" t="s">
        <v>2276</v>
      </c>
      <c r="V1206" s="3" t="s">
        <v>2276</v>
      </c>
      <c r="W1206" s="3" t="s">
        <v>2276</v>
      </c>
      <c r="X1206" s="3" t="s">
        <v>2276</v>
      </c>
      <c r="Y1206" s="3" t="s">
        <v>2276</v>
      </c>
      <c r="Z1206" s="3" t="s">
        <v>2276</v>
      </c>
      <c r="AA1206" s="3" t="s">
        <v>2276</v>
      </c>
      <c r="AB1206" s="3" t="s">
        <v>2276</v>
      </c>
      <c r="AC1206" s="3"/>
      <c r="AD1206" s="3"/>
    </row>
    <row r="1207" spans="1:30" ht="24.5" customHeight="1">
      <c r="A1207" s="3" t="s">
        <v>3629</v>
      </c>
      <c r="B1207" s="3" t="s">
        <v>3641</v>
      </c>
      <c r="C1207" s="3" t="s">
        <v>24</v>
      </c>
      <c r="D1207" s="3" t="s">
        <v>144</v>
      </c>
      <c r="E1207" s="3" t="s">
        <v>137</v>
      </c>
      <c r="F1207" s="4" t="s">
        <v>2276</v>
      </c>
      <c r="G1207" s="3" t="s">
        <v>2276</v>
      </c>
      <c r="H1207" s="3" t="s">
        <v>523</v>
      </c>
      <c r="I1207" s="3"/>
      <c r="J1207" s="3" t="s">
        <v>2276</v>
      </c>
      <c r="K1207" s="3" t="s">
        <v>2276</v>
      </c>
      <c r="L1207" s="3" t="s">
        <v>2276</v>
      </c>
      <c r="M1207" s="3" t="s">
        <v>2276</v>
      </c>
      <c r="N1207" s="3" t="s">
        <v>2276</v>
      </c>
      <c r="O1207" s="3" t="s">
        <v>2276</v>
      </c>
      <c r="P1207" s="3" t="s">
        <v>2276</v>
      </c>
      <c r="Q1207" s="3" t="s">
        <v>2276</v>
      </c>
      <c r="R1207" s="3" t="s">
        <v>2276</v>
      </c>
      <c r="S1207" s="3" t="s">
        <v>2276</v>
      </c>
      <c r="T1207" s="3" t="s">
        <v>2276</v>
      </c>
      <c r="U1207" s="3" t="s">
        <v>2276</v>
      </c>
      <c r="V1207" s="3" t="s">
        <v>2276</v>
      </c>
      <c r="W1207" s="3" t="s">
        <v>2276</v>
      </c>
      <c r="X1207" s="3" t="s">
        <v>2276</v>
      </c>
      <c r="Y1207" s="3" t="s">
        <v>2276</v>
      </c>
      <c r="Z1207" s="3" t="s">
        <v>2276</v>
      </c>
      <c r="AA1207" s="3" t="s">
        <v>2276</v>
      </c>
      <c r="AB1207" s="3" t="s">
        <v>2276</v>
      </c>
      <c r="AC1207" s="3"/>
      <c r="AD1207" s="3"/>
    </row>
    <row r="1208" spans="1:30" ht="66" customHeight="1">
      <c r="A1208" s="3" t="s">
        <v>3664</v>
      </c>
      <c r="B1208" s="3" t="s">
        <v>3669</v>
      </c>
      <c r="C1208" s="3" t="s">
        <v>24</v>
      </c>
      <c r="D1208" s="3" t="s">
        <v>27</v>
      </c>
      <c r="E1208" s="4" t="s">
        <v>397</v>
      </c>
      <c r="F1208" s="4" t="s">
        <v>28</v>
      </c>
      <c r="G1208" s="3" t="s">
        <v>28</v>
      </c>
      <c r="H1208" s="3" t="s">
        <v>523</v>
      </c>
      <c r="I1208" s="3"/>
      <c r="J1208" s="3" t="s">
        <v>2276</v>
      </c>
      <c r="K1208" s="3" t="s">
        <v>2276</v>
      </c>
      <c r="L1208" s="3" t="s">
        <v>2276</v>
      </c>
      <c r="M1208" s="3" t="s">
        <v>2276</v>
      </c>
      <c r="N1208" s="3" t="s">
        <v>2276</v>
      </c>
      <c r="O1208" s="3" t="s">
        <v>2276</v>
      </c>
      <c r="P1208" s="3" t="s">
        <v>2276</v>
      </c>
      <c r="Q1208" s="3" t="s">
        <v>2276</v>
      </c>
      <c r="R1208" s="3" t="s">
        <v>2276</v>
      </c>
      <c r="S1208" s="3" t="s">
        <v>2276</v>
      </c>
      <c r="T1208" s="3" t="s">
        <v>2276</v>
      </c>
      <c r="U1208" s="3" t="s">
        <v>2276</v>
      </c>
      <c r="V1208" s="3" t="s">
        <v>2276</v>
      </c>
      <c r="W1208" s="3" t="s">
        <v>2276</v>
      </c>
      <c r="X1208" s="3" t="s">
        <v>2276</v>
      </c>
      <c r="Y1208" s="3" t="s">
        <v>2276</v>
      </c>
      <c r="Z1208" s="3" t="s">
        <v>405</v>
      </c>
      <c r="AA1208" s="3" t="s">
        <v>68</v>
      </c>
      <c r="AB1208" s="3" t="s">
        <v>64</v>
      </c>
      <c r="AC1208" s="3"/>
      <c r="AD1208" s="3"/>
    </row>
    <row r="1209" spans="1:30" ht="66" customHeight="1">
      <c r="A1209" s="3" t="s">
        <v>3664</v>
      </c>
      <c r="B1209" s="3" t="s">
        <v>3670</v>
      </c>
      <c r="C1209" s="3" t="s">
        <v>2458</v>
      </c>
      <c r="D1209" s="3" t="s">
        <v>2231</v>
      </c>
      <c r="E1209" s="4" t="s">
        <v>397</v>
      </c>
      <c r="F1209" s="4" t="s">
        <v>2276</v>
      </c>
      <c r="G1209" s="3" t="s">
        <v>2276</v>
      </c>
      <c r="H1209" s="3" t="s">
        <v>523</v>
      </c>
      <c r="I1209" s="3"/>
      <c r="J1209" s="3" t="s">
        <v>2276</v>
      </c>
      <c r="K1209" s="3" t="s">
        <v>2276</v>
      </c>
      <c r="L1209" s="3" t="s">
        <v>2276</v>
      </c>
      <c r="M1209" s="3" t="s">
        <v>2276</v>
      </c>
      <c r="N1209" s="3" t="s">
        <v>2276</v>
      </c>
      <c r="O1209" s="3" t="s">
        <v>2276</v>
      </c>
      <c r="P1209" s="3" t="s">
        <v>2276</v>
      </c>
      <c r="Q1209" s="3" t="s">
        <v>2276</v>
      </c>
      <c r="R1209" s="3" t="s">
        <v>2276</v>
      </c>
      <c r="S1209" s="3" t="s">
        <v>2276</v>
      </c>
      <c r="T1209" s="3" t="s">
        <v>2276</v>
      </c>
      <c r="U1209" s="3" t="s">
        <v>2276</v>
      </c>
      <c r="V1209" s="3" t="s">
        <v>2276</v>
      </c>
      <c r="W1209" s="3" t="s">
        <v>2276</v>
      </c>
      <c r="X1209" s="3" t="s">
        <v>2276</v>
      </c>
      <c r="Y1209" s="3" t="s">
        <v>2276</v>
      </c>
      <c r="Z1209" s="3" t="s">
        <v>405</v>
      </c>
      <c r="AA1209" s="3" t="s">
        <v>68</v>
      </c>
      <c r="AB1209" s="3" t="s">
        <v>64</v>
      </c>
      <c r="AC1209" s="3"/>
      <c r="AD1209" s="3"/>
    </row>
    <row r="1210" spans="1:30" ht="66" customHeight="1">
      <c r="A1210" s="3" t="s">
        <v>3664</v>
      </c>
      <c r="B1210" s="3" t="s">
        <v>3671</v>
      </c>
      <c r="C1210" s="3" t="s">
        <v>2458</v>
      </c>
      <c r="D1210" s="3" t="s">
        <v>2231</v>
      </c>
      <c r="E1210" s="4" t="s">
        <v>396</v>
      </c>
      <c r="F1210" s="4" t="s">
        <v>2276</v>
      </c>
      <c r="G1210" s="3" t="s">
        <v>2276</v>
      </c>
      <c r="H1210" s="3" t="s">
        <v>523</v>
      </c>
      <c r="I1210" s="3"/>
      <c r="J1210" s="3" t="s">
        <v>2276</v>
      </c>
      <c r="K1210" s="3" t="s">
        <v>2276</v>
      </c>
      <c r="L1210" s="3" t="s">
        <v>2276</v>
      </c>
      <c r="M1210" s="3" t="s">
        <v>2276</v>
      </c>
      <c r="N1210" s="3" t="s">
        <v>2276</v>
      </c>
      <c r="O1210" s="3" t="s">
        <v>2276</v>
      </c>
      <c r="P1210" s="3" t="s">
        <v>2276</v>
      </c>
      <c r="Q1210" s="3" t="s">
        <v>2276</v>
      </c>
      <c r="R1210" s="3" t="s">
        <v>2276</v>
      </c>
      <c r="S1210" s="3" t="s">
        <v>2276</v>
      </c>
      <c r="T1210" s="3" t="s">
        <v>2276</v>
      </c>
      <c r="U1210" s="3" t="s">
        <v>2276</v>
      </c>
      <c r="V1210" s="3" t="s">
        <v>2276</v>
      </c>
      <c r="W1210" s="3" t="s">
        <v>2276</v>
      </c>
      <c r="X1210" s="3" t="s">
        <v>2276</v>
      </c>
      <c r="Y1210" s="3" t="s">
        <v>2276</v>
      </c>
      <c r="Z1210" s="3" t="s">
        <v>405</v>
      </c>
      <c r="AA1210" s="3" t="s">
        <v>68</v>
      </c>
      <c r="AB1210" s="3" t="s">
        <v>64</v>
      </c>
      <c r="AC1210" s="3"/>
      <c r="AD1210" s="3"/>
    </row>
    <row r="1211" spans="1:30" ht="97" customHeight="1">
      <c r="A1211" s="3" t="s">
        <v>3664</v>
      </c>
      <c r="B1211" s="3" t="s">
        <v>3672</v>
      </c>
      <c r="C1211" s="3" t="s">
        <v>2658</v>
      </c>
      <c r="D1211" s="3" t="s">
        <v>1105</v>
      </c>
      <c r="E1211" s="4" t="s">
        <v>397</v>
      </c>
      <c r="F1211" s="4" t="s">
        <v>2276</v>
      </c>
      <c r="G1211" s="3" t="s">
        <v>2276</v>
      </c>
      <c r="H1211" s="3" t="s">
        <v>523</v>
      </c>
      <c r="I1211" s="3">
        <v>2009</v>
      </c>
      <c r="J1211" s="3" t="s">
        <v>2276</v>
      </c>
      <c r="K1211" s="3" t="s">
        <v>2276</v>
      </c>
      <c r="L1211" s="3" t="s">
        <v>2276</v>
      </c>
      <c r="M1211" s="3" t="s">
        <v>2276</v>
      </c>
      <c r="N1211" s="3" t="s">
        <v>2276</v>
      </c>
      <c r="O1211" s="3" t="s">
        <v>2276</v>
      </c>
      <c r="P1211" s="3" t="s">
        <v>2276</v>
      </c>
      <c r="Q1211" s="3" t="s">
        <v>2276</v>
      </c>
      <c r="R1211" s="3" t="s">
        <v>2276</v>
      </c>
      <c r="S1211" s="3" t="s">
        <v>2276</v>
      </c>
      <c r="T1211" s="3" t="s">
        <v>2276</v>
      </c>
      <c r="U1211" s="3" t="s">
        <v>2276</v>
      </c>
      <c r="V1211" s="3" t="s">
        <v>2276</v>
      </c>
      <c r="W1211" s="3" t="s">
        <v>2276</v>
      </c>
      <c r="X1211" s="3" t="s">
        <v>2276</v>
      </c>
      <c r="Y1211" s="3" t="s">
        <v>2276</v>
      </c>
      <c r="Z1211" s="3" t="s">
        <v>405</v>
      </c>
      <c r="AA1211" s="3" t="s">
        <v>68</v>
      </c>
      <c r="AB1211" s="3" t="s">
        <v>64</v>
      </c>
      <c r="AC1211" s="4" t="s">
        <v>3692</v>
      </c>
      <c r="AD1211" s="4" t="s">
        <v>3690</v>
      </c>
    </row>
    <row r="1212" spans="1:30" ht="97" customHeight="1">
      <c r="A1212" s="3" t="s">
        <v>3664</v>
      </c>
      <c r="B1212" s="3" t="s">
        <v>3674</v>
      </c>
      <c r="C1212" s="3" t="s">
        <v>2658</v>
      </c>
      <c r="D1212" s="3" t="s">
        <v>2231</v>
      </c>
      <c r="E1212" s="4" t="s">
        <v>396</v>
      </c>
      <c r="F1212" s="4" t="s">
        <v>2276</v>
      </c>
      <c r="G1212" s="3" t="s">
        <v>2276</v>
      </c>
      <c r="H1212" s="3" t="s">
        <v>523</v>
      </c>
      <c r="I1212" s="3">
        <v>2009</v>
      </c>
      <c r="J1212" s="3" t="s">
        <v>2276</v>
      </c>
      <c r="K1212" s="3" t="s">
        <v>2276</v>
      </c>
      <c r="L1212" s="3" t="s">
        <v>2276</v>
      </c>
      <c r="M1212" s="3" t="s">
        <v>2276</v>
      </c>
      <c r="N1212" s="3" t="s">
        <v>2276</v>
      </c>
      <c r="O1212" s="3" t="s">
        <v>2276</v>
      </c>
      <c r="P1212" s="3" t="s">
        <v>2276</v>
      </c>
      <c r="Q1212" s="3" t="s">
        <v>2276</v>
      </c>
      <c r="R1212" s="3" t="s">
        <v>2276</v>
      </c>
      <c r="S1212" s="3" t="s">
        <v>2276</v>
      </c>
      <c r="T1212" s="3" t="s">
        <v>2276</v>
      </c>
      <c r="U1212" s="3" t="s">
        <v>2276</v>
      </c>
      <c r="V1212" s="3" t="s">
        <v>2276</v>
      </c>
      <c r="W1212" s="3" t="s">
        <v>2276</v>
      </c>
      <c r="X1212" s="3" t="s">
        <v>2276</v>
      </c>
      <c r="Y1212" s="3" t="s">
        <v>2276</v>
      </c>
      <c r="Z1212" s="3" t="s">
        <v>405</v>
      </c>
      <c r="AA1212" s="3" t="s">
        <v>68</v>
      </c>
      <c r="AB1212" s="3" t="s">
        <v>64</v>
      </c>
      <c r="AC1212" s="4" t="s">
        <v>3689</v>
      </c>
      <c r="AD1212" s="4" t="s">
        <v>3691</v>
      </c>
    </row>
    <row r="1213" spans="1:30" ht="97" customHeight="1">
      <c r="A1213" s="3" t="s">
        <v>3664</v>
      </c>
      <c r="B1213" s="3" t="s">
        <v>3676</v>
      </c>
      <c r="C1213" s="3" t="s">
        <v>2658</v>
      </c>
      <c r="D1213" s="3" t="s">
        <v>1105</v>
      </c>
      <c r="E1213" s="4" t="s">
        <v>397</v>
      </c>
      <c r="F1213" s="4" t="s">
        <v>2276</v>
      </c>
      <c r="G1213" s="3" t="s">
        <v>2276</v>
      </c>
      <c r="H1213" s="3" t="s">
        <v>523</v>
      </c>
      <c r="I1213" s="3">
        <v>2010</v>
      </c>
      <c r="J1213" s="3" t="s">
        <v>2276</v>
      </c>
      <c r="K1213" s="3" t="s">
        <v>2276</v>
      </c>
      <c r="L1213" s="3" t="s">
        <v>2276</v>
      </c>
      <c r="M1213" s="3" t="s">
        <v>2276</v>
      </c>
      <c r="N1213" s="3" t="s">
        <v>2276</v>
      </c>
      <c r="O1213" s="3" t="s">
        <v>2276</v>
      </c>
      <c r="P1213" s="3" t="s">
        <v>2276</v>
      </c>
      <c r="Q1213" s="3" t="s">
        <v>2276</v>
      </c>
      <c r="R1213" s="3" t="s">
        <v>2276</v>
      </c>
      <c r="S1213" s="3" t="s">
        <v>2276</v>
      </c>
      <c r="T1213" s="3" t="s">
        <v>2276</v>
      </c>
      <c r="U1213" s="3" t="s">
        <v>2276</v>
      </c>
      <c r="V1213" s="3" t="s">
        <v>2276</v>
      </c>
      <c r="W1213" s="3" t="s">
        <v>2276</v>
      </c>
      <c r="X1213" s="3" t="s">
        <v>2276</v>
      </c>
      <c r="Y1213" s="3" t="s">
        <v>2276</v>
      </c>
      <c r="Z1213" s="3" t="s">
        <v>405</v>
      </c>
      <c r="AA1213" s="3" t="s">
        <v>68</v>
      </c>
      <c r="AB1213" s="3" t="s">
        <v>64</v>
      </c>
      <c r="AC1213" s="4" t="s">
        <v>3692</v>
      </c>
      <c r="AD1213" s="4" t="s">
        <v>3690</v>
      </c>
    </row>
    <row r="1214" spans="1:30" ht="97" customHeight="1">
      <c r="A1214" s="3" t="s">
        <v>3664</v>
      </c>
      <c r="B1214" s="3" t="s">
        <v>3677</v>
      </c>
      <c r="C1214" s="3" t="s">
        <v>2658</v>
      </c>
      <c r="D1214" s="3" t="s">
        <v>2231</v>
      </c>
      <c r="E1214" s="4" t="s">
        <v>396</v>
      </c>
      <c r="F1214" s="4" t="s">
        <v>2276</v>
      </c>
      <c r="G1214" s="3" t="s">
        <v>2276</v>
      </c>
      <c r="H1214" s="3" t="s">
        <v>523</v>
      </c>
      <c r="I1214" s="3">
        <v>2010</v>
      </c>
      <c r="J1214" s="3" t="s">
        <v>2276</v>
      </c>
      <c r="K1214" s="3" t="s">
        <v>2276</v>
      </c>
      <c r="L1214" s="3" t="s">
        <v>2276</v>
      </c>
      <c r="M1214" s="3" t="s">
        <v>2276</v>
      </c>
      <c r="N1214" s="3" t="s">
        <v>2276</v>
      </c>
      <c r="O1214" s="3" t="s">
        <v>2276</v>
      </c>
      <c r="P1214" s="3" t="s">
        <v>2276</v>
      </c>
      <c r="Q1214" s="3" t="s">
        <v>2276</v>
      </c>
      <c r="R1214" s="3" t="s">
        <v>2276</v>
      </c>
      <c r="S1214" s="3" t="s">
        <v>2276</v>
      </c>
      <c r="T1214" s="3" t="s">
        <v>2276</v>
      </c>
      <c r="U1214" s="3" t="s">
        <v>2276</v>
      </c>
      <c r="V1214" s="3" t="s">
        <v>2276</v>
      </c>
      <c r="W1214" s="3" t="s">
        <v>2276</v>
      </c>
      <c r="X1214" s="3" t="s">
        <v>2276</v>
      </c>
      <c r="Y1214" s="3" t="s">
        <v>2276</v>
      </c>
      <c r="Z1214" s="3" t="s">
        <v>405</v>
      </c>
      <c r="AA1214" s="3" t="s">
        <v>68</v>
      </c>
      <c r="AB1214" s="3" t="s">
        <v>64</v>
      </c>
      <c r="AC1214" s="4" t="s">
        <v>3689</v>
      </c>
      <c r="AD1214" s="4" t="s">
        <v>3691</v>
      </c>
    </row>
    <row r="1215" spans="1:30" ht="97" customHeight="1">
      <c r="A1215" s="3" t="s">
        <v>3664</v>
      </c>
      <c r="B1215" s="3" t="s">
        <v>3678</v>
      </c>
      <c r="C1215" s="3" t="s">
        <v>2658</v>
      </c>
      <c r="D1215" s="3" t="s">
        <v>1105</v>
      </c>
      <c r="E1215" s="4" t="s">
        <v>397</v>
      </c>
      <c r="F1215" s="4" t="s">
        <v>2276</v>
      </c>
      <c r="G1215" s="3" t="s">
        <v>2276</v>
      </c>
      <c r="H1215" s="3" t="s">
        <v>523</v>
      </c>
      <c r="I1215" s="3">
        <v>2011</v>
      </c>
      <c r="J1215" s="3" t="s">
        <v>2276</v>
      </c>
      <c r="K1215" s="3" t="s">
        <v>2276</v>
      </c>
      <c r="L1215" s="3" t="s">
        <v>2276</v>
      </c>
      <c r="M1215" s="3" t="s">
        <v>2276</v>
      </c>
      <c r="N1215" s="3" t="s">
        <v>2276</v>
      </c>
      <c r="O1215" s="3" t="s">
        <v>2276</v>
      </c>
      <c r="P1215" s="3" t="s">
        <v>2276</v>
      </c>
      <c r="Q1215" s="3" t="s">
        <v>2276</v>
      </c>
      <c r="R1215" s="3" t="s">
        <v>2276</v>
      </c>
      <c r="S1215" s="3" t="s">
        <v>2276</v>
      </c>
      <c r="T1215" s="3" t="s">
        <v>2276</v>
      </c>
      <c r="U1215" s="3" t="s">
        <v>2276</v>
      </c>
      <c r="V1215" s="3" t="s">
        <v>2276</v>
      </c>
      <c r="W1215" s="3" t="s">
        <v>2276</v>
      </c>
      <c r="X1215" s="3" t="s">
        <v>2276</v>
      </c>
      <c r="Y1215" s="3" t="s">
        <v>2276</v>
      </c>
      <c r="Z1215" s="3" t="s">
        <v>405</v>
      </c>
      <c r="AA1215" s="3" t="s">
        <v>68</v>
      </c>
      <c r="AB1215" s="3" t="s">
        <v>64</v>
      </c>
      <c r="AC1215" s="4" t="s">
        <v>3692</v>
      </c>
      <c r="AD1215" s="4" t="s">
        <v>3690</v>
      </c>
    </row>
    <row r="1216" spans="1:30" ht="97" customHeight="1">
      <c r="A1216" s="3" t="s">
        <v>3664</v>
      </c>
      <c r="B1216" s="3" t="s">
        <v>3679</v>
      </c>
      <c r="C1216" s="3" t="s">
        <v>2658</v>
      </c>
      <c r="D1216" s="3" t="s">
        <v>2231</v>
      </c>
      <c r="E1216" s="4" t="s">
        <v>396</v>
      </c>
      <c r="F1216" s="4" t="s">
        <v>2276</v>
      </c>
      <c r="G1216" s="3" t="s">
        <v>2276</v>
      </c>
      <c r="H1216" s="3" t="s">
        <v>523</v>
      </c>
      <c r="I1216" s="3">
        <v>2011</v>
      </c>
      <c r="J1216" s="3" t="s">
        <v>2276</v>
      </c>
      <c r="K1216" s="3" t="s">
        <v>2276</v>
      </c>
      <c r="L1216" s="3" t="s">
        <v>2276</v>
      </c>
      <c r="M1216" s="3" t="s">
        <v>2276</v>
      </c>
      <c r="N1216" s="3" t="s">
        <v>2276</v>
      </c>
      <c r="O1216" s="3" t="s">
        <v>2276</v>
      </c>
      <c r="P1216" s="3" t="s">
        <v>2276</v>
      </c>
      <c r="Q1216" s="3" t="s">
        <v>2276</v>
      </c>
      <c r="R1216" s="3" t="s">
        <v>2276</v>
      </c>
      <c r="S1216" s="3" t="s">
        <v>2276</v>
      </c>
      <c r="T1216" s="3" t="s">
        <v>2276</v>
      </c>
      <c r="U1216" s="3" t="s">
        <v>2276</v>
      </c>
      <c r="V1216" s="3" t="s">
        <v>2276</v>
      </c>
      <c r="W1216" s="3" t="s">
        <v>2276</v>
      </c>
      <c r="X1216" s="3" t="s">
        <v>2276</v>
      </c>
      <c r="Y1216" s="3" t="s">
        <v>2276</v>
      </c>
      <c r="Z1216" s="3" t="s">
        <v>405</v>
      </c>
      <c r="AA1216" s="3" t="s">
        <v>68</v>
      </c>
      <c r="AB1216" s="3" t="s">
        <v>64</v>
      </c>
      <c r="AC1216" s="4" t="s">
        <v>3689</v>
      </c>
      <c r="AD1216" s="4" t="s">
        <v>3691</v>
      </c>
    </row>
    <row r="1217" spans="1:30" ht="97" customHeight="1">
      <c r="A1217" s="3" t="s">
        <v>3664</v>
      </c>
      <c r="B1217" s="3" t="s">
        <v>3682</v>
      </c>
      <c r="C1217" s="3" t="s">
        <v>2658</v>
      </c>
      <c r="D1217" s="3" t="s">
        <v>1105</v>
      </c>
      <c r="E1217" s="4" t="s">
        <v>397</v>
      </c>
      <c r="F1217" s="4" t="s">
        <v>2276</v>
      </c>
      <c r="G1217" s="3" t="s">
        <v>2276</v>
      </c>
      <c r="H1217" s="3" t="s">
        <v>523</v>
      </c>
      <c r="I1217" s="3">
        <v>2012</v>
      </c>
      <c r="J1217" s="3" t="s">
        <v>2276</v>
      </c>
      <c r="K1217" s="3" t="s">
        <v>2276</v>
      </c>
      <c r="L1217" s="3" t="s">
        <v>2276</v>
      </c>
      <c r="M1217" s="3" t="s">
        <v>2276</v>
      </c>
      <c r="N1217" s="3" t="s">
        <v>2276</v>
      </c>
      <c r="O1217" s="3" t="s">
        <v>2276</v>
      </c>
      <c r="P1217" s="3" t="s">
        <v>2276</v>
      </c>
      <c r="Q1217" s="3" t="s">
        <v>2276</v>
      </c>
      <c r="R1217" s="3" t="s">
        <v>2276</v>
      </c>
      <c r="S1217" s="3" t="s">
        <v>2276</v>
      </c>
      <c r="T1217" s="3" t="s">
        <v>2276</v>
      </c>
      <c r="U1217" s="3" t="s">
        <v>2276</v>
      </c>
      <c r="V1217" s="3" t="s">
        <v>2276</v>
      </c>
      <c r="W1217" s="3" t="s">
        <v>2276</v>
      </c>
      <c r="X1217" s="3" t="s">
        <v>2276</v>
      </c>
      <c r="Y1217" s="3" t="s">
        <v>2276</v>
      </c>
      <c r="Z1217" s="3" t="s">
        <v>405</v>
      </c>
      <c r="AA1217" s="3" t="s">
        <v>68</v>
      </c>
      <c r="AB1217" s="3" t="s">
        <v>64</v>
      </c>
      <c r="AC1217" s="4" t="s">
        <v>3692</v>
      </c>
      <c r="AD1217" s="4" t="s">
        <v>3690</v>
      </c>
    </row>
    <row r="1218" spans="1:30" ht="97" customHeight="1">
      <c r="A1218" s="3" t="s">
        <v>3664</v>
      </c>
      <c r="B1218" s="3" t="s">
        <v>3683</v>
      </c>
      <c r="C1218" s="3" t="s">
        <v>2658</v>
      </c>
      <c r="D1218" s="3" t="s">
        <v>2231</v>
      </c>
      <c r="E1218" s="4" t="s">
        <v>396</v>
      </c>
      <c r="F1218" s="4" t="s">
        <v>2276</v>
      </c>
      <c r="G1218" s="3" t="s">
        <v>2276</v>
      </c>
      <c r="H1218" s="3" t="s">
        <v>523</v>
      </c>
      <c r="I1218" s="3">
        <v>2012</v>
      </c>
      <c r="J1218" s="3" t="s">
        <v>2276</v>
      </c>
      <c r="K1218" s="3" t="s">
        <v>2276</v>
      </c>
      <c r="L1218" s="3" t="s">
        <v>2276</v>
      </c>
      <c r="M1218" s="3" t="s">
        <v>2276</v>
      </c>
      <c r="N1218" s="3" t="s">
        <v>2276</v>
      </c>
      <c r="O1218" s="3" t="s">
        <v>2276</v>
      </c>
      <c r="P1218" s="3" t="s">
        <v>2276</v>
      </c>
      <c r="Q1218" s="3" t="s">
        <v>2276</v>
      </c>
      <c r="R1218" s="3" t="s">
        <v>2276</v>
      </c>
      <c r="S1218" s="3" t="s">
        <v>2276</v>
      </c>
      <c r="T1218" s="3" t="s">
        <v>2276</v>
      </c>
      <c r="U1218" s="3" t="s">
        <v>2276</v>
      </c>
      <c r="V1218" s="3" t="s">
        <v>2276</v>
      </c>
      <c r="W1218" s="3" t="s">
        <v>2276</v>
      </c>
      <c r="X1218" s="3" t="s">
        <v>2276</v>
      </c>
      <c r="Y1218" s="3" t="s">
        <v>2276</v>
      </c>
      <c r="Z1218" s="3" t="s">
        <v>405</v>
      </c>
      <c r="AA1218" s="3" t="s">
        <v>68</v>
      </c>
      <c r="AB1218" s="3" t="s">
        <v>64</v>
      </c>
      <c r="AC1218" s="4" t="s">
        <v>3689</v>
      </c>
      <c r="AD1218" s="4" t="s">
        <v>3691</v>
      </c>
    </row>
    <row r="1219" spans="1:30" ht="89.5" customHeight="1">
      <c r="A1219" s="3" t="s">
        <v>3664</v>
      </c>
      <c r="B1219" s="3" t="s">
        <v>3684</v>
      </c>
      <c r="C1219" s="3" t="s">
        <v>24</v>
      </c>
      <c r="D1219" s="3" t="s">
        <v>2346</v>
      </c>
      <c r="E1219" s="3" t="s">
        <v>2276</v>
      </c>
      <c r="F1219" s="4" t="s">
        <v>2663</v>
      </c>
      <c r="G1219" s="3" t="s">
        <v>2276</v>
      </c>
      <c r="H1219" s="3" t="s">
        <v>523</v>
      </c>
      <c r="I1219" s="3"/>
      <c r="J1219" s="3" t="s">
        <v>2276</v>
      </c>
      <c r="K1219" s="3" t="s">
        <v>2276</v>
      </c>
      <c r="L1219" s="3" t="s">
        <v>2276</v>
      </c>
      <c r="M1219" s="3" t="s">
        <v>2276</v>
      </c>
      <c r="N1219" s="3" t="s">
        <v>2276</v>
      </c>
      <c r="O1219" s="3" t="s">
        <v>2276</v>
      </c>
      <c r="P1219" s="3" t="s">
        <v>2276</v>
      </c>
      <c r="Q1219" s="3" t="s">
        <v>2276</v>
      </c>
      <c r="R1219" s="3" t="s">
        <v>2276</v>
      </c>
      <c r="S1219" s="3" t="s">
        <v>2276</v>
      </c>
      <c r="T1219" s="3" t="s">
        <v>2276</v>
      </c>
      <c r="U1219" s="3" t="s">
        <v>2276</v>
      </c>
      <c r="V1219" s="3" t="s">
        <v>2276</v>
      </c>
      <c r="W1219" s="3" t="s">
        <v>2276</v>
      </c>
      <c r="X1219" s="3" t="s">
        <v>2276</v>
      </c>
      <c r="Y1219" s="3" t="s">
        <v>2276</v>
      </c>
      <c r="Z1219" s="3" t="s">
        <v>34</v>
      </c>
      <c r="AA1219" s="3" t="s">
        <v>35</v>
      </c>
      <c r="AB1219" s="3" t="s">
        <v>64</v>
      </c>
      <c r="AC1219" s="4" t="s">
        <v>3675</v>
      </c>
      <c r="AD1219" s="3"/>
    </row>
    <row r="1220" spans="1:30" ht="89.5" customHeight="1">
      <c r="A1220" s="3" t="s">
        <v>3664</v>
      </c>
      <c r="B1220" s="3" t="s">
        <v>3685</v>
      </c>
      <c r="C1220" s="3" t="s">
        <v>24</v>
      </c>
      <c r="D1220" s="3" t="s">
        <v>25</v>
      </c>
      <c r="E1220" s="3" t="s">
        <v>45</v>
      </c>
      <c r="F1220" s="4" t="s">
        <v>29</v>
      </c>
      <c r="G1220" s="3" t="s">
        <v>2276</v>
      </c>
      <c r="H1220" s="3" t="s">
        <v>523</v>
      </c>
      <c r="I1220" s="3"/>
      <c r="J1220" s="3" t="s">
        <v>2276</v>
      </c>
      <c r="K1220" s="3" t="s">
        <v>2276</v>
      </c>
      <c r="L1220" s="3" t="s">
        <v>2276</v>
      </c>
      <c r="M1220" s="3" t="s">
        <v>2276</v>
      </c>
      <c r="N1220" s="3" t="s">
        <v>2276</v>
      </c>
      <c r="O1220" s="3" t="s">
        <v>2276</v>
      </c>
      <c r="P1220" s="3" t="s">
        <v>2276</v>
      </c>
      <c r="Q1220" s="3" t="s">
        <v>2276</v>
      </c>
      <c r="R1220" s="3" t="s">
        <v>2276</v>
      </c>
      <c r="S1220" s="3" t="s">
        <v>2276</v>
      </c>
      <c r="T1220" s="3" t="s">
        <v>2276</v>
      </c>
      <c r="U1220" s="3" t="s">
        <v>2276</v>
      </c>
      <c r="V1220" s="3" t="s">
        <v>2276</v>
      </c>
      <c r="W1220" s="3" t="s">
        <v>2276</v>
      </c>
      <c r="X1220" s="3" t="s">
        <v>2276</v>
      </c>
      <c r="Y1220" s="3" t="s">
        <v>2276</v>
      </c>
      <c r="Z1220" s="3" t="s">
        <v>34</v>
      </c>
      <c r="AA1220" s="3" t="s">
        <v>35</v>
      </c>
      <c r="AB1220" s="3" t="s">
        <v>64</v>
      </c>
      <c r="AC1220" s="3"/>
      <c r="AD1220" s="3"/>
    </row>
    <row r="1221" spans="1:30" ht="89.5" customHeight="1">
      <c r="A1221" s="3" t="s">
        <v>3664</v>
      </c>
      <c r="B1221" s="3" t="s">
        <v>3686</v>
      </c>
      <c r="C1221" s="3" t="s">
        <v>24</v>
      </c>
      <c r="D1221" s="3" t="s">
        <v>1242</v>
      </c>
      <c r="E1221" s="3" t="s">
        <v>2276</v>
      </c>
      <c r="F1221" s="4" t="s">
        <v>2276</v>
      </c>
      <c r="G1221" s="3" t="s">
        <v>2276</v>
      </c>
      <c r="H1221" s="3" t="s">
        <v>523</v>
      </c>
      <c r="I1221" s="3"/>
      <c r="J1221" s="3" t="s">
        <v>2276</v>
      </c>
      <c r="K1221" s="3" t="s">
        <v>2276</v>
      </c>
      <c r="L1221" s="3" t="s">
        <v>2276</v>
      </c>
      <c r="M1221" s="3" t="s">
        <v>2276</v>
      </c>
      <c r="N1221" s="3" t="s">
        <v>2276</v>
      </c>
      <c r="O1221" s="3" t="s">
        <v>2276</v>
      </c>
      <c r="P1221" s="3" t="s">
        <v>2276</v>
      </c>
      <c r="Q1221" s="3" t="s">
        <v>2276</v>
      </c>
      <c r="R1221" s="3" t="s">
        <v>2276</v>
      </c>
      <c r="S1221" s="3" t="s">
        <v>2276</v>
      </c>
      <c r="T1221" s="3" t="s">
        <v>2276</v>
      </c>
      <c r="U1221" s="3" t="s">
        <v>2276</v>
      </c>
      <c r="V1221" s="3" t="s">
        <v>2276</v>
      </c>
      <c r="W1221" s="3" t="s">
        <v>2276</v>
      </c>
      <c r="X1221" s="3" t="s">
        <v>2276</v>
      </c>
      <c r="Y1221" s="3" t="s">
        <v>2276</v>
      </c>
      <c r="Z1221" s="3" t="s">
        <v>34</v>
      </c>
      <c r="AA1221" s="3" t="s">
        <v>35</v>
      </c>
      <c r="AB1221" s="3" t="s">
        <v>64</v>
      </c>
      <c r="AC1221" s="3"/>
      <c r="AD1221" s="3"/>
    </row>
    <row r="1222" spans="1:30" ht="89.5" customHeight="1">
      <c r="A1222" s="3" t="s">
        <v>3664</v>
      </c>
      <c r="B1222" s="3" t="s">
        <v>3687</v>
      </c>
      <c r="C1222" s="3" t="s">
        <v>2458</v>
      </c>
      <c r="D1222" s="3" t="s">
        <v>2994</v>
      </c>
      <c r="E1222" s="3" t="s">
        <v>2652</v>
      </c>
      <c r="F1222" s="4" t="s">
        <v>2276</v>
      </c>
      <c r="G1222" s="3" t="s">
        <v>2276</v>
      </c>
      <c r="H1222" s="3" t="s">
        <v>523</v>
      </c>
      <c r="I1222" s="3"/>
      <c r="J1222" s="3" t="s">
        <v>2276</v>
      </c>
      <c r="K1222" s="3" t="s">
        <v>2276</v>
      </c>
      <c r="L1222" s="3" t="s">
        <v>2276</v>
      </c>
      <c r="M1222" s="3" t="s">
        <v>2276</v>
      </c>
      <c r="N1222" s="3" t="s">
        <v>2276</v>
      </c>
      <c r="O1222" s="3" t="s">
        <v>2276</v>
      </c>
      <c r="P1222" s="3" t="s">
        <v>2276</v>
      </c>
      <c r="Q1222" s="3" t="s">
        <v>2276</v>
      </c>
      <c r="R1222" s="3" t="s">
        <v>2276</v>
      </c>
      <c r="S1222" s="3" t="s">
        <v>2276</v>
      </c>
      <c r="T1222" s="3" t="s">
        <v>2276</v>
      </c>
      <c r="U1222" s="3" t="s">
        <v>2276</v>
      </c>
      <c r="V1222" s="3" t="s">
        <v>2276</v>
      </c>
      <c r="W1222" s="3" t="s">
        <v>2276</v>
      </c>
      <c r="X1222" s="3" t="s">
        <v>2276</v>
      </c>
      <c r="Y1222" s="3" t="s">
        <v>2276</v>
      </c>
      <c r="Z1222" s="3" t="s">
        <v>34</v>
      </c>
      <c r="AA1222" s="3" t="s">
        <v>35</v>
      </c>
      <c r="AB1222" s="3" t="s">
        <v>64</v>
      </c>
      <c r="AC1222" s="3" t="s">
        <v>3680</v>
      </c>
      <c r="AD1222" s="3"/>
    </row>
    <row r="1223" spans="1:30" ht="89.5" customHeight="1">
      <c r="A1223" s="3" t="s">
        <v>3664</v>
      </c>
      <c r="B1223" s="3" t="s">
        <v>3688</v>
      </c>
      <c r="C1223" s="3" t="s">
        <v>31</v>
      </c>
      <c r="D1223" s="3" t="s">
        <v>2276</v>
      </c>
      <c r="E1223" s="3" t="s">
        <v>2653</v>
      </c>
      <c r="F1223" s="4" t="s">
        <v>2276</v>
      </c>
      <c r="G1223" s="3" t="s">
        <v>2276</v>
      </c>
      <c r="H1223" s="3" t="s">
        <v>523</v>
      </c>
      <c r="I1223" s="3"/>
      <c r="J1223" s="3" t="s">
        <v>2276</v>
      </c>
      <c r="K1223" s="3" t="s">
        <v>2276</v>
      </c>
      <c r="L1223" s="3" t="s">
        <v>2276</v>
      </c>
      <c r="M1223" s="3" t="s">
        <v>2276</v>
      </c>
      <c r="N1223" s="3" t="s">
        <v>2276</v>
      </c>
      <c r="O1223" s="3" t="s">
        <v>2276</v>
      </c>
      <c r="P1223" s="3" t="s">
        <v>2276</v>
      </c>
      <c r="Q1223" s="3" t="s">
        <v>2276</v>
      </c>
      <c r="R1223" s="3" t="s">
        <v>2276</v>
      </c>
      <c r="S1223" s="3" t="s">
        <v>2276</v>
      </c>
      <c r="T1223" s="3" t="s">
        <v>2276</v>
      </c>
      <c r="U1223" s="3" t="s">
        <v>2276</v>
      </c>
      <c r="V1223" s="3" t="s">
        <v>2276</v>
      </c>
      <c r="W1223" s="3" t="s">
        <v>2276</v>
      </c>
      <c r="X1223" s="3" t="s">
        <v>2276</v>
      </c>
      <c r="Y1223" s="3" t="s">
        <v>2276</v>
      </c>
      <c r="Z1223" s="3" t="s">
        <v>34</v>
      </c>
      <c r="AA1223" s="3" t="s">
        <v>35</v>
      </c>
      <c r="AB1223" s="3" t="s">
        <v>64</v>
      </c>
      <c r="AC1223" s="4" t="s">
        <v>3681</v>
      </c>
      <c r="AD1223" s="3"/>
    </row>
    <row r="1224" spans="1:30" ht="109.5" customHeight="1">
      <c r="A1224" s="3" t="s">
        <v>3666</v>
      </c>
      <c r="B1224" s="3" t="s">
        <v>3667</v>
      </c>
      <c r="C1224" s="3" t="s">
        <v>24</v>
      </c>
      <c r="D1224" s="3" t="s">
        <v>27</v>
      </c>
      <c r="E1224" s="3" t="s">
        <v>84</v>
      </c>
      <c r="F1224" s="4" t="s">
        <v>28</v>
      </c>
      <c r="G1224" s="3" t="s">
        <v>2276</v>
      </c>
      <c r="H1224" s="3" t="s">
        <v>524</v>
      </c>
      <c r="I1224" s="3"/>
      <c r="J1224" s="21">
        <v>0</v>
      </c>
      <c r="K1224" s="21">
        <v>0</v>
      </c>
      <c r="L1224" s="21">
        <v>0</v>
      </c>
      <c r="M1224" s="21">
        <v>0</v>
      </c>
      <c r="N1224" s="21">
        <v>0</v>
      </c>
      <c r="O1224" s="21">
        <v>0</v>
      </c>
      <c r="P1224" s="21">
        <v>0</v>
      </c>
      <c r="Q1224" s="21">
        <v>0</v>
      </c>
      <c r="R1224" s="21">
        <v>0</v>
      </c>
      <c r="S1224" s="21">
        <v>0</v>
      </c>
      <c r="T1224" s="21">
        <v>0</v>
      </c>
      <c r="U1224" s="21">
        <v>0</v>
      </c>
      <c r="V1224" s="21">
        <v>0</v>
      </c>
      <c r="W1224" s="21">
        <v>0</v>
      </c>
      <c r="X1224" s="21">
        <v>0</v>
      </c>
      <c r="Y1224" s="3" t="s">
        <v>2276</v>
      </c>
      <c r="Z1224" s="3" t="s">
        <v>2276</v>
      </c>
      <c r="AA1224" s="3" t="s">
        <v>2276</v>
      </c>
      <c r="AB1224" s="3" t="s">
        <v>2276</v>
      </c>
      <c r="AC1224" s="4" t="s">
        <v>3668</v>
      </c>
      <c r="AD1224" s="3"/>
    </row>
    <row r="1225" spans="1:30" ht="42.5" customHeight="1">
      <c r="A1225" s="11" t="s">
        <v>3700</v>
      </c>
      <c r="B1225" s="11" t="s">
        <v>3711</v>
      </c>
      <c r="C1225" s="3" t="s">
        <v>1105</v>
      </c>
      <c r="D1225" s="3" t="s">
        <v>1105</v>
      </c>
      <c r="E1225" s="3" t="s">
        <v>1105</v>
      </c>
      <c r="F1225" s="4" t="s">
        <v>2276</v>
      </c>
      <c r="G1225" s="3" t="s">
        <v>74</v>
      </c>
      <c r="H1225" s="3" t="s">
        <v>524</v>
      </c>
      <c r="I1225" s="3"/>
      <c r="J1225" s="21">
        <v>0</v>
      </c>
      <c r="K1225" s="21">
        <v>0</v>
      </c>
      <c r="L1225" s="21">
        <v>0</v>
      </c>
      <c r="M1225" s="21">
        <v>0</v>
      </c>
      <c r="N1225" s="21">
        <v>0</v>
      </c>
      <c r="O1225" s="21">
        <v>0</v>
      </c>
      <c r="P1225" s="21">
        <v>0</v>
      </c>
      <c r="Q1225" s="21">
        <v>0</v>
      </c>
      <c r="R1225" s="21">
        <v>0</v>
      </c>
      <c r="S1225" s="21">
        <v>0</v>
      </c>
      <c r="T1225" s="21">
        <v>0</v>
      </c>
      <c r="U1225" s="21">
        <v>0</v>
      </c>
      <c r="V1225" s="21">
        <v>0</v>
      </c>
      <c r="W1225" s="21">
        <v>0</v>
      </c>
      <c r="X1225" s="21">
        <v>0</v>
      </c>
      <c r="Y1225" s="3" t="s">
        <v>2276</v>
      </c>
      <c r="Z1225" s="3" t="s">
        <v>2276</v>
      </c>
      <c r="AA1225" s="3" t="s">
        <v>2276</v>
      </c>
      <c r="AB1225" s="3" t="s">
        <v>2276</v>
      </c>
      <c r="AC1225" s="4" t="s">
        <v>3707</v>
      </c>
      <c r="AD1225" s="3"/>
    </row>
    <row r="1226" spans="1:30" ht="42.5" customHeight="1">
      <c r="A1226" s="11" t="s">
        <v>3700</v>
      </c>
      <c r="B1226" s="11" t="s">
        <v>3709</v>
      </c>
      <c r="C1226" s="3" t="s">
        <v>1105</v>
      </c>
      <c r="D1226" s="3" t="s">
        <v>1105</v>
      </c>
      <c r="E1226" s="3" t="s">
        <v>1105</v>
      </c>
      <c r="F1226" s="4" t="s">
        <v>2276</v>
      </c>
      <c r="G1226" s="3" t="s">
        <v>55</v>
      </c>
      <c r="H1226" s="3" t="s">
        <v>523</v>
      </c>
      <c r="I1226" s="3"/>
      <c r="J1226" s="3" t="s">
        <v>2276</v>
      </c>
      <c r="K1226" s="3" t="s">
        <v>2276</v>
      </c>
      <c r="L1226" s="3" t="s">
        <v>2276</v>
      </c>
      <c r="M1226" s="3" t="s">
        <v>2276</v>
      </c>
      <c r="N1226" s="3" t="s">
        <v>2276</v>
      </c>
      <c r="O1226" s="3" t="s">
        <v>2276</v>
      </c>
      <c r="P1226" s="3" t="s">
        <v>2276</v>
      </c>
      <c r="Q1226" s="3" t="s">
        <v>2276</v>
      </c>
      <c r="R1226" s="3" t="s">
        <v>2276</v>
      </c>
      <c r="S1226" s="3" t="s">
        <v>2276</v>
      </c>
      <c r="T1226" s="3" t="s">
        <v>2276</v>
      </c>
      <c r="U1226" s="3" t="s">
        <v>2276</v>
      </c>
      <c r="V1226" s="3" t="s">
        <v>2276</v>
      </c>
      <c r="W1226" s="3" t="s">
        <v>2276</v>
      </c>
      <c r="X1226" s="3" t="s">
        <v>2276</v>
      </c>
      <c r="Y1226" s="3" t="s">
        <v>2276</v>
      </c>
      <c r="Z1226" s="3" t="s">
        <v>2276</v>
      </c>
      <c r="AA1226" s="3" t="s">
        <v>2276</v>
      </c>
      <c r="AB1226" s="3" t="s">
        <v>2276</v>
      </c>
      <c r="AC1226" s="4" t="s">
        <v>3708</v>
      </c>
      <c r="AD1226" s="3"/>
    </row>
    <row r="1227" spans="1:30" ht="41" customHeight="1">
      <c r="A1227" s="11" t="s">
        <v>3700</v>
      </c>
      <c r="B1227" s="11" t="s">
        <v>3712</v>
      </c>
      <c r="C1227" s="3" t="s">
        <v>1105</v>
      </c>
      <c r="D1227" s="3" t="s">
        <v>2276</v>
      </c>
      <c r="E1227" s="3" t="s">
        <v>1105</v>
      </c>
      <c r="F1227" s="4" t="s">
        <v>2276</v>
      </c>
      <c r="G1227" s="3" t="s">
        <v>2663</v>
      </c>
      <c r="H1227" s="3" t="s">
        <v>524</v>
      </c>
      <c r="I1227" s="3"/>
      <c r="J1227" s="21">
        <v>0</v>
      </c>
      <c r="K1227" s="21">
        <v>0</v>
      </c>
      <c r="L1227" s="21">
        <v>0</v>
      </c>
      <c r="M1227" s="21">
        <v>0</v>
      </c>
      <c r="N1227" s="21">
        <v>0</v>
      </c>
      <c r="O1227" s="21">
        <v>0</v>
      </c>
      <c r="P1227" s="21">
        <v>0</v>
      </c>
      <c r="Q1227" s="21">
        <v>0</v>
      </c>
      <c r="R1227" s="21">
        <v>0</v>
      </c>
      <c r="S1227" s="21">
        <v>0</v>
      </c>
      <c r="T1227" s="21">
        <v>0</v>
      </c>
      <c r="U1227" s="21">
        <v>0</v>
      </c>
      <c r="V1227" s="21">
        <v>0</v>
      </c>
      <c r="W1227" s="21">
        <v>0</v>
      </c>
      <c r="X1227" s="21">
        <v>0</v>
      </c>
      <c r="Y1227" s="3" t="s">
        <v>2276</v>
      </c>
      <c r="Z1227" s="3" t="s">
        <v>2276</v>
      </c>
      <c r="AA1227" s="3" t="s">
        <v>2276</v>
      </c>
      <c r="AB1227" s="3" t="s">
        <v>2276</v>
      </c>
      <c r="AC1227" s="4" t="s">
        <v>3707</v>
      </c>
      <c r="AD1227" s="3"/>
    </row>
    <row r="1228" spans="1:30" ht="42.5" customHeight="1">
      <c r="A1228" s="11" t="s">
        <v>3701</v>
      </c>
      <c r="B1228" s="11" t="s">
        <v>3710</v>
      </c>
      <c r="C1228" s="3" t="s">
        <v>1105</v>
      </c>
      <c r="D1228" s="3" t="s">
        <v>2276</v>
      </c>
      <c r="E1228" s="3" t="s">
        <v>1105</v>
      </c>
      <c r="F1228" s="4" t="s">
        <v>2276</v>
      </c>
      <c r="G1228" s="3" t="s">
        <v>2276</v>
      </c>
      <c r="H1228" s="3" t="s">
        <v>523</v>
      </c>
      <c r="I1228" s="3"/>
      <c r="J1228" s="3" t="s">
        <v>2276</v>
      </c>
      <c r="K1228" s="3" t="s">
        <v>2276</v>
      </c>
      <c r="L1228" s="3" t="s">
        <v>2276</v>
      </c>
      <c r="M1228" s="3" t="s">
        <v>2276</v>
      </c>
      <c r="N1228" s="3" t="s">
        <v>2276</v>
      </c>
      <c r="O1228" s="3" t="s">
        <v>2276</v>
      </c>
      <c r="P1228" s="3" t="s">
        <v>2276</v>
      </c>
      <c r="Q1228" s="3" t="s">
        <v>2276</v>
      </c>
      <c r="R1228" s="3" t="s">
        <v>2276</v>
      </c>
      <c r="S1228" s="3" t="s">
        <v>2276</v>
      </c>
      <c r="T1228" s="3" t="s">
        <v>2276</v>
      </c>
      <c r="U1228" s="3" t="s">
        <v>2276</v>
      </c>
      <c r="V1228" s="3" t="s">
        <v>2276</v>
      </c>
      <c r="W1228" s="3" t="s">
        <v>2276</v>
      </c>
      <c r="X1228" s="3" t="s">
        <v>2276</v>
      </c>
      <c r="Y1228" s="3" t="s">
        <v>2276</v>
      </c>
      <c r="Z1228" s="3" t="s">
        <v>2276</v>
      </c>
      <c r="AA1228" s="3" t="s">
        <v>2276</v>
      </c>
      <c r="AB1228" s="3" t="s">
        <v>2276</v>
      </c>
      <c r="AC1228" s="4" t="s">
        <v>3708</v>
      </c>
      <c r="AD1228" s="3"/>
    </row>
    <row r="1229" spans="1:30" ht="32" customHeight="1">
      <c r="A1229" s="11" t="s">
        <v>3716</v>
      </c>
      <c r="B1229" s="11" t="s">
        <v>3720</v>
      </c>
      <c r="C1229" s="3" t="s">
        <v>24</v>
      </c>
      <c r="D1229" s="3" t="s">
        <v>1242</v>
      </c>
      <c r="E1229" s="3" t="s">
        <v>116</v>
      </c>
      <c r="F1229" s="4" t="s">
        <v>2662</v>
      </c>
      <c r="G1229" s="3" t="s">
        <v>2276</v>
      </c>
      <c r="H1229" s="3" t="s">
        <v>523</v>
      </c>
      <c r="I1229" s="3"/>
      <c r="J1229" s="3" t="s">
        <v>2276</v>
      </c>
      <c r="K1229" s="3" t="s">
        <v>2276</v>
      </c>
      <c r="L1229" s="3" t="s">
        <v>2276</v>
      </c>
      <c r="M1229" s="3" t="s">
        <v>2276</v>
      </c>
      <c r="N1229" s="3" t="s">
        <v>2276</v>
      </c>
      <c r="O1229" s="3" t="s">
        <v>2276</v>
      </c>
      <c r="P1229" s="3" t="s">
        <v>2276</v>
      </c>
      <c r="Q1229" s="3" t="s">
        <v>2276</v>
      </c>
      <c r="R1229" s="3" t="s">
        <v>2276</v>
      </c>
      <c r="S1229" s="3" t="s">
        <v>2276</v>
      </c>
      <c r="T1229" s="3" t="s">
        <v>2276</v>
      </c>
      <c r="U1229" s="3" t="s">
        <v>2276</v>
      </c>
      <c r="V1229" s="3" t="s">
        <v>2276</v>
      </c>
      <c r="W1229" s="3" t="s">
        <v>2276</v>
      </c>
      <c r="X1229" s="3" t="s">
        <v>2276</v>
      </c>
      <c r="Y1229" s="3" t="s">
        <v>2276</v>
      </c>
      <c r="Z1229" s="3" t="s">
        <v>38</v>
      </c>
      <c r="AA1229" s="3" t="s">
        <v>34</v>
      </c>
      <c r="AB1229" s="3" t="s">
        <v>64</v>
      </c>
      <c r="AC1229" s="163"/>
      <c r="AD1229" s="3"/>
    </row>
    <row r="1230" spans="1:30" ht="31" customHeight="1">
      <c r="A1230" s="11" t="s">
        <v>3716</v>
      </c>
      <c r="B1230" s="11" t="s">
        <v>3721</v>
      </c>
      <c r="C1230" s="3" t="s">
        <v>24</v>
      </c>
      <c r="D1230" s="3" t="s">
        <v>406</v>
      </c>
      <c r="E1230" s="3" t="s">
        <v>130</v>
      </c>
      <c r="F1230" s="4" t="s">
        <v>2276</v>
      </c>
      <c r="G1230" s="3" t="s">
        <v>2276</v>
      </c>
      <c r="H1230" s="3" t="s">
        <v>523</v>
      </c>
      <c r="I1230" s="3"/>
      <c r="J1230" s="3" t="s">
        <v>2276</v>
      </c>
      <c r="K1230" s="3" t="s">
        <v>2276</v>
      </c>
      <c r="L1230" s="3" t="s">
        <v>2276</v>
      </c>
      <c r="M1230" s="3" t="s">
        <v>2276</v>
      </c>
      <c r="N1230" s="3" t="s">
        <v>2276</v>
      </c>
      <c r="O1230" s="3" t="s">
        <v>2276</v>
      </c>
      <c r="P1230" s="3" t="s">
        <v>2276</v>
      </c>
      <c r="Q1230" s="3" t="s">
        <v>2276</v>
      </c>
      <c r="R1230" s="3" t="s">
        <v>2276</v>
      </c>
      <c r="S1230" s="3" t="s">
        <v>2276</v>
      </c>
      <c r="T1230" s="3" t="s">
        <v>2276</v>
      </c>
      <c r="U1230" s="3" t="s">
        <v>2276</v>
      </c>
      <c r="V1230" s="3" t="s">
        <v>2276</v>
      </c>
      <c r="W1230" s="3" t="s">
        <v>2276</v>
      </c>
      <c r="X1230" s="3" t="s">
        <v>2276</v>
      </c>
      <c r="Y1230" s="3" t="s">
        <v>2276</v>
      </c>
      <c r="Z1230" s="3" t="s">
        <v>38</v>
      </c>
      <c r="AA1230" s="3" t="s">
        <v>68</v>
      </c>
      <c r="AB1230" s="3" t="s">
        <v>64</v>
      </c>
      <c r="AC1230" s="163"/>
      <c r="AD1230" s="3"/>
    </row>
    <row r="1231" spans="1:30" ht="33.5" customHeight="1">
      <c r="A1231" s="11" t="s">
        <v>3716</v>
      </c>
      <c r="B1231" s="11" t="s">
        <v>3722</v>
      </c>
      <c r="C1231" s="3" t="s">
        <v>24</v>
      </c>
      <c r="D1231" s="3" t="s">
        <v>406</v>
      </c>
      <c r="E1231" s="3" t="s">
        <v>116</v>
      </c>
      <c r="F1231" s="4" t="s">
        <v>2276</v>
      </c>
      <c r="G1231" s="3" t="s">
        <v>2276</v>
      </c>
      <c r="H1231" s="3" t="s">
        <v>523</v>
      </c>
      <c r="I1231" s="3"/>
      <c r="J1231" s="3" t="s">
        <v>2276</v>
      </c>
      <c r="K1231" s="3" t="s">
        <v>2276</v>
      </c>
      <c r="L1231" s="3" t="s">
        <v>2276</v>
      </c>
      <c r="M1231" s="3" t="s">
        <v>2276</v>
      </c>
      <c r="N1231" s="3" t="s">
        <v>2276</v>
      </c>
      <c r="O1231" s="3" t="s">
        <v>2276</v>
      </c>
      <c r="P1231" s="3" t="s">
        <v>2276</v>
      </c>
      <c r="Q1231" s="3" t="s">
        <v>2276</v>
      </c>
      <c r="R1231" s="3" t="s">
        <v>2276</v>
      </c>
      <c r="S1231" s="3" t="s">
        <v>2276</v>
      </c>
      <c r="T1231" s="3" t="s">
        <v>2276</v>
      </c>
      <c r="U1231" s="3" t="s">
        <v>2276</v>
      </c>
      <c r="V1231" s="3" t="s">
        <v>2276</v>
      </c>
      <c r="W1231" s="3" t="s">
        <v>2276</v>
      </c>
      <c r="X1231" s="3" t="s">
        <v>2276</v>
      </c>
      <c r="Y1231" s="3" t="s">
        <v>2276</v>
      </c>
      <c r="Z1231" s="3" t="s">
        <v>38</v>
      </c>
      <c r="AA1231" s="3" t="s">
        <v>68</v>
      </c>
      <c r="AB1231" s="3" t="s">
        <v>64</v>
      </c>
      <c r="AC1231" s="163"/>
      <c r="AD1231" s="3"/>
    </row>
    <row r="1232" spans="1:30" ht="32.5" customHeight="1">
      <c r="A1232" s="11" t="s">
        <v>3716</v>
      </c>
      <c r="B1232" s="11" t="s">
        <v>3723</v>
      </c>
      <c r="C1232" s="3" t="s">
        <v>24</v>
      </c>
      <c r="D1232" s="3" t="s">
        <v>27</v>
      </c>
      <c r="E1232" s="3" t="s">
        <v>130</v>
      </c>
      <c r="F1232" s="4" t="s">
        <v>28</v>
      </c>
      <c r="G1232" s="3" t="s">
        <v>2276</v>
      </c>
      <c r="H1232" s="3" t="s">
        <v>523</v>
      </c>
      <c r="I1232" s="3"/>
      <c r="J1232" s="3" t="s">
        <v>2276</v>
      </c>
      <c r="K1232" s="3" t="s">
        <v>2276</v>
      </c>
      <c r="L1232" s="3" t="s">
        <v>2276</v>
      </c>
      <c r="M1232" s="3" t="s">
        <v>2276</v>
      </c>
      <c r="N1232" s="3" t="s">
        <v>2276</v>
      </c>
      <c r="O1232" s="3" t="s">
        <v>2276</v>
      </c>
      <c r="P1232" s="3" t="s">
        <v>2276</v>
      </c>
      <c r="Q1232" s="3" t="s">
        <v>2276</v>
      </c>
      <c r="R1232" s="3" t="s">
        <v>2276</v>
      </c>
      <c r="S1232" s="3" t="s">
        <v>2276</v>
      </c>
      <c r="T1232" s="3" t="s">
        <v>2276</v>
      </c>
      <c r="U1232" s="3" t="s">
        <v>2276</v>
      </c>
      <c r="V1232" s="3" t="s">
        <v>2276</v>
      </c>
      <c r="W1232" s="3" t="s">
        <v>2276</v>
      </c>
      <c r="X1232" s="3" t="s">
        <v>2276</v>
      </c>
      <c r="Y1232" s="3" t="s">
        <v>2276</v>
      </c>
      <c r="Z1232" s="3" t="s">
        <v>405</v>
      </c>
      <c r="AA1232" s="3" t="s">
        <v>68</v>
      </c>
      <c r="AB1232" s="3" t="s">
        <v>64</v>
      </c>
      <c r="AC1232" s="163"/>
      <c r="AD1232" s="3"/>
    </row>
    <row r="1233" spans="1:30" ht="32.5" customHeight="1">
      <c r="A1233" s="11" t="s">
        <v>3716</v>
      </c>
      <c r="B1233" s="11" t="s">
        <v>3724</v>
      </c>
      <c r="C1233" s="3" t="s">
        <v>24</v>
      </c>
      <c r="D1233" s="3" t="s">
        <v>1245</v>
      </c>
      <c r="E1233" s="3" t="s">
        <v>116</v>
      </c>
      <c r="F1233" s="4" t="s">
        <v>2662</v>
      </c>
      <c r="G1233" s="3" t="s">
        <v>2276</v>
      </c>
      <c r="H1233" s="3" t="s">
        <v>523</v>
      </c>
      <c r="I1233" s="3"/>
      <c r="J1233" s="3" t="s">
        <v>2276</v>
      </c>
      <c r="K1233" s="3" t="s">
        <v>2276</v>
      </c>
      <c r="L1233" s="3" t="s">
        <v>2276</v>
      </c>
      <c r="M1233" s="3" t="s">
        <v>2276</v>
      </c>
      <c r="N1233" s="3" t="s">
        <v>2276</v>
      </c>
      <c r="O1233" s="3" t="s">
        <v>2276</v>
      </c>
      <c r="P1233" s="3" t="s">
        <v>2276</v>
      </c>
      <c r="Q1233" s="3" t="s">
        <v>2276</v>
      </c>
      <c r="R1233" s="3" t="s">
        <v>2276</v>
      </c>
      <c r="S1233" s="3" t="s">
        <v>2276</v>
      </c>
      <c r="T1233" s="3" t="s">
        <v>2276</v>
      </c>
      <c r="U1233" s="3" t="s">
        <v>2276</v>
      </c>
      <c r="V1233" s="3" t="s">
        <v>2276</v>
      </c>
      <c r="W1233" s="3" t="s">
        <v>2276</v>
      </c>
      <c r="X1233" s="3" t="s">
        <v>2276</v>
      </c>
      <c r="Y1233" s="3" t="s">
        <v>2276</v>
      </c>
      <c r="Z1233" s="3" t="s">
        <v>38</v>
      </c>
      <c r="AA1233" s="3" t="s">
        <v>68</v>
      </c>
      <c r="AB1233" s="3" t="s">
        <v>64</v>
      </c>
      <c r="AC1233" s="163"/>
      <c r="AD1233" s="3"/>
    </row>
    <row r="1234" spans="1:30" ht="32" customHeight="1">
      <c r="A1234" s="11" t="s">
        <v>3716</v>
      </c>
      <c r="B1234" s="11" t="s">
        <v>3725</v>
      </c>
      <c r="C1234" s="3" t="s">
        <v>24</v>
      </c>
      <c r="D1234" s="3" t="s">
        <v>3480</v>
      </c>
      <c r="E1234" s="3" t="s">
        <v>116</v>
      </c>
      <c r="F1234" s="4" t="s">
        <v>2662</v>
      </c>
      <c r="G1234" s="3" t="s">
        <v>2276</v>
      </c>
      <c r="H1234" s="3" t="s">
        <v>523</v>
      </c>
      <c r="I1234" s="3"/>
      <c r="J1234" s="3" t="s">
        <v>2276</v>
      </c>
      <c r="K1234" s="3" t="s">
        <v>2276</v>
      </c>
      <c r="L1234" s="3" t="s">
        <v>2276</v>
      </c>
      <c r="M1234" s="3" t="s">
        <v>2276</v>
      </c>
      <c r="N1234" s="3" t="s">
        <v>2276</v>
      </c>
      <c r="O1234" s="3" t="s">
        <v>2276</v>
      </c>
      <c r="P1234" s="3" t="s">
        <v>2276</v>
      </c>
      <c r="Q1234" s="3" t="s">
        <v>2276</v>
      </c>
      <c r="R1234" s="3" t="s">
        <v>2276</v>
      </c>
      <c r="S1234" s="3" t="s">
        <v>2276</v>
      </c>
      <c r="T1234" s="3" t="s">
        <v>2276</v>
      </c>
      <c r="U1234" s="3" t="s">
        <v>2276</v>
      </c>
      <c r="V1234" s="3" t="s">
        <v>2276</v>
      </c>
      <c r="W1234" s="3" t="s">
        <v>2276</v>
      </c>
      <c r="X1234" s="3" t="s">
        <v>2276</v>
      </c>
      <c r="Y1234" s="3" t="s">
        <v>2276</v>
      </c>
      <c r="Z1234" s="3" t="s">
        <v>86</v>
      </c>
      <c r="AA1234" s="3" t="s">
        <v>425</v>
      </c>
      <c r="AB1234" s="3" t="s">
        <v>64</v>
      </c>
      <c r="AC1234" s="163"/>
      <c r="AD1234" s="3"/>
    </row>
    <row r="1235" spans="1:30" ht="35" customHeight="1">
      <c r="A1235" s="11" t="s">
        <v>3716</v>
      </c>
      <c r="B1235" s="11" t="s">
        <v>3726</v>
      </c>
      <c r="C1235" s="3" t="s">
        <v>24</v>
      </c>
      <c r="D1235" s="3" t="s">
        <v>25</v>
      </c>
      <c r="E1235" s="3" t="s">
        <v>5005</v>
      </c>
      <c r="F1235" s="4" t="s">
        <v>55</v>
      </c>
      <c r="G1235" s="3" t="s">
        <v>2276</v>
      </c>
      <c r="H1235" s="3" t="s">
        <v>523</v>
      </c>
      <c r="I1235" s="3"/>
      <c r="J1235" s="3" t="s">
        <v>2276</v>
      </c>
      <c r="K1235" s="3" t="s">
        <v>2276</v>
      </c>
      <c r="L1235" s="3" t="s">
        <v>2276</v>
      </c>
      <c r="M1235" s="3" t="s">
        <v>2276</v>
      </c>
      <c r="N1235" s="3" t="s">
        <v>2276</v>
      </c>
      <c r="O1235" s="3" t="s">
        <v>2276</v>
      </c>
      <c r="P1235" s="3" t="s">
        <v>2276</v>
      </c>
      <c r="Q1235" s="3" t="s">
        <v>2276</v>
      </c>
      <c r="R1235" s="3" t="s">
        <v>2276</v>
      </c>
      <c r="S1235" s="3" t="s">
        <v>2276</v>
      </c>
      <c r="T1235" s="3" t="s">
        <v>2276</v>
      </c>
      <c r="U1235" s="3" t="s">
        <v>2276</v>
      </c>
      <c r="V1235" s="3" t="s">
        <v>2276</v>
      </c>
      <c r="W1235" s="3" t="s">
        <v>2276</v>
      </c>
      <c r="X1235" s="3" t="s">
        <v>2276</v>
      </c>
      <c r="Y1235" s="3" t="s">
        <v>2276</v>
      </c>
      <c r="Z1235" s="3" t="s">
        <v>34</v>
      </c>
      <c r="AA1235" s="3" t="s">
        <v>425</v>
      </c>
      <c r="AB1235" s="3" t="s">
        <v>64</v>
      </c>
      <c r="AC1235" s="163"/>
      <c r="AD1235" s="3"/>
    </row>
    <row r="1236" spans="1:30" ht="33.5" customHeight="1">
      <c r="A1236" s="11" t="s">
        <v>3716</v>
      </c>
      <c r="B1236" s="11" t="s">
        <v>3727</v>
      </c>
      <c r="C1236" s="3" t="s">
        <v>24</v>
      </c>
      <c r="D1236" s="3" t="s">
        <v>26</v>
      </c>
      <c r="E1236" s="3" t="s">
        <v>5005</v>
      </c>
      <c r="F1236" s="4" t="s">
        <v>2276</v>
      </c>
      <c r="G1236" s="3" t="s">
        <v>2276</v>
      </c>
      <c r="H1236" s="3" t="s">
        <v>523</v>
      </c>
      <c r="I1236" s="3"/>
      <c r="J1236" s="3" t="s">
        <v>2276</v>
      </c>
      <c r="K1236" s="3" t="s">
        <v>2276</v>
      </c>
      <c r="L1236" s="3" t="s">
        <v>2276</v>
      </c>
      <c r="M1236" s="3" t="s">
        <v>2276</v>
      </c>
      <c r="N1236" s="3" t="s">
        <v>2276</v>
      </c>
      <c r="O1236" s="3" t="s">
        <v>2276</v>
      </c>
      <c r="P1236" s="3" t="s">
        <v>2276</v>
      </c>
      <c r="Q1236" s="3" t="s">
        <v>2276</v>
      </c>
      <c r="R1236" s="3" t="s">
        <v>2276</v>
      </c>
      <c r="S1236" s="3" t="s">
        <v>2276</v>
      </c>
      <c r="T1236" s="3" t="s">
        <v>2276</v>
      </c>
      <c r="U1236" s="3" t="s">
        <v>2276</v>
      </c>
      <c r="V1236" s="3" t="s">
        <v>2276</v>
      </c>
      <c r="W1236" s="3" t="s">
        <v>2276</v>
      </c>
      <c r="X1236" s="3" t="s">
        <v>2276</v>
      </c>
      <c r="Y1236" s="3" t="s">
        <v>2276</v>
      </c>
      <c r="Z1236" s="3" t="s">
        <v>38</v>
      </c>
      <c r="AA1236" s="3" t="s">
        <v>68</v>
      </c>
      <c r="AB1236" s="3" t="s">
        <v>64</v>
      </c>
      <c r="AC1236" s="163"/>
      <c r="AD1236" s="3"/>
    </row>
    <row r="1237" spans="1:30" ht="34.5" customHeight="1">
      <c r="A1237" s="11" t="s">
        <v>3716</v>
      </c>
      <c r="B1237" s="11" t="s">
        <v>3728</v>
      </c>
      <c r="C1237" s="3" t="s">
        <v>24</v>
      </c>
      <c r="D1237" s="3" t="s">
        <v>2341</v>
      </c>
      <c r="E1237" s="3" t="s">
        <v>116</v>
      </c>
      <c r="F1237" s="4" t="s">
        <v>2662</v>
      </c>
      <c r="G1237" s="3" t="s">
        <v>2276</v>
      </c>
      <c r="H1237" s="3" t="s">
        <v>523</v>
      </c>
      <c r="I1237" s="3"/>
      <c r="J1237" s="3" t="s">
        <v>2276</v>
      </c>
      <c r="K1237" s="3" t="s">
        <v>2276</v>
      </c>
      <c r="L1237" s="3" t="s">
        <v>2276</v>
      </c>
      <c r="M1237" s="3" t="s">
        <v>2276</v>
      </c>
      <c r="N1237" s="3" t="s">
        <v>2276</v>
      </c>
      <c r="O1237" s="3" t="s">
        <v>2276</v>
      </c>
      <c r="P1237" s="3" t="s">
        <v>2276</v>
      </c>
      <c r="Q1237" s="3" t="s">
        <v>2276</v>
      </c>
      <c r="R1237" s="3" t="s">
        <v>2276</v>
      </c>
      <c r="S1237" s="3" t="s">
        <v>2276</v>
      </c>
      <c r="T1237" s="3" t="s">
        <v>2276</v>
      </c>
      <c r="U1237" s="3" t="s">
        <v>2276</v>
      </c>
      <c r="V1237" s="3" t="s">
        <v>2276</v>
      </c>
      <c r="W1237" s="3" t="s">
        <v>2276</v>
      </c>
      <c r="X1237" s="3" t="s">
        <v>2276</v>
      </c>
      <c r="Y1237" s="3" t="s">
        <v>2276</v>
      </c>
      <c r="Z1237" s="3" t="s">
        <v>38</v>
      </c>
      <c r="AA1237" s="3" t="s">
        <v>68</v>
      </c>
      <c r="AB1237" s="3" t="s">
        <v>64</v>
      </c>
      <c r="AC1237" s="163"/>
      <c r="AD1237" s="3"/>
    </row>
    <row r="1238" spans="1:30" ht="39" customHeight="1">
      <c r="A1238" s="11" t="s">
        <v>3716</v>
      </c>
      <c r="B1238" s="11" t="s">
        <v>3731</v>
      </c>
      <c r="C1238" s="3" t="s">
        <v>1105</v>
      </c>
      <c r="D1238" s="3" t="s">
        <v>1105</v>
      </c>
      <c r="E1238" s="3" t="s">
        <v>1105</v>
      </c>
      <c r="F1238" s="4" t="s">
        <v>1105</v>
      </c>
      <c r="G1238" s="3" t="s">
        <v>1105</v>
      </c>
      <c r="H1238" s="3" t="s">
        <v>523</v>
      </c>
      <c r="I1238" s="3">
        <v>2000</v>
      </c>
      <c r="J1238" s="3" t="s">
        <v>2276</v>
      </c>
      <c r="K1238" s="3" t="s">
        <v>2276</v>
      </c>
      <c r="L1238" s="3" t="s">
        <v>2276</v>
      </c>
      <c r="M1238" s="3" t="s">
        <v>2276</v>
      </c>
      <c r="N1238" s="3" t="s">
        <v>2276</v>
      </c>
      <c r="O1238" s="3" t="s">
        <v>2276</v>
      </c>
      <c r="P1238" s="3" t="s">
        <v>2276</v>
      </c>
      <c r="Q1238" s="3" t="s">
        <v>2276</v>
      </c>
      <c r="R1238" s="3" t="s">
        <v>2276</v>
      </c>
      <c r="S1238" s="3" t="s">
        <v>2276</v>
      </c>
      <c r="T1238" s="3" t="s">
        <v>2276</v>
      </c>
      <c r="U1238" s="3" t="s">
        <v>2276</v>
      </c>
      <c r="V1238" s="3" t="s">
        <v>2276</v>
      </c>
      <c r="W1238" s="3" t="s">
        <v>2276</v>
      </c>
      <c r="X1238" s="3" t="s">
        <v>2276</v>
      </c>
      <c r="Y1238" s="3" t="s">
        <v>2276</v>
      </c>
      <c r="Z1238" s="3" t="s">
        <v>38</v>
      </c>
      <c r="AA1238" s="3" t="s">
        <v>68</v>
      </c>
      <c r="AB1238" s="3" t="s">
        <v>76</v>
      </c>
      <c r="AC1238" s="4" t="s">
        <v>3733</v>
      </c>
      <c r="AD1238" s="3"/>
    </row>
    <row r="1239" spans="1:30" ht="38" customHeight="1">
      <c r="A1239" s="11" t="s">
        <v>3716</v>
      </c>
      <c r="B1239" s="11" t="s">
        <v>3732</v>
      </c>
      <c r="C1239" s="3" t="s">
        <v>1105</v>
      </c>
      <c r="D1239" s="3" t="s">
        <v>1105</v>
      </c>
      <c r="E1239" s="3" t="s">
        <v>1105</v>
      </c>
      <c r="F1239" s="4" t="s">
        <v>1105</v>
      </c>
      <c r="G1239" s="3" t="s">
        <v>1105</v>
      </c>
      <c r="H1239" s="3" t="s">
        <v>523</v>
      </c>
      <c r="I1239" s="3">
        <v>2006</v>
      </c>
      <c r="J1239" s="3" t="s">
        <v>2276</v>
      </c>
      <c r="K1239" s="3" t="s">
        <v>2276</v>
      </c>
      <c r="L1239" s="3" t="s">
        <v>2276</v>
      </c>
      <c r="M1239" s="3" t="s">
        <v>2276</v>
      </c>
      <c r="N1239" s="3" t="s">
        <v>2276</v>
      </c>
      <c r="O1239" s="3" t="s">
        <v>2276</v>
      </c>
      <c r="P1239" s="3" t="s">
        <v>2276</v>
      </c>
      <c r="Q1239" s="3" t="s">
        <v>2276</v>
      </c>
      <c r="R1239" s="3" t="s">
        <v>2276</v>
      </c>
      <c r="S1239" s="3" t="s">
        <v>2276</v>
      </c>
      <c r="T1239" s="3" t="s">
        <v>2276</v>
      </c>
      <c r="U1239" s="3" t="s">
        <v>2276</v>
      </c>
      <c r="V1239" s="3" t="s">
        <v>2276</v>
      </c>
      <c r="W1239" s="3" t="s">
        <v>2276</v>
      </c>
      <c r="X1239" s="3" t="s">
        <v>2276</v>
      </c>
      <c r="Y1239" s="3" t="s">
        <v>2276</v>
      </c>
      <c r="Z1239" s="3" t="s">
        <v>38</v>
      </c>
      <c r="AA1239" s="3" t="s">
        <v>68</v>
      </c>
      <c r="AB1239" s="3" t="s">
        <v>2655</v>
      </c>
      <c r="AC1239" s="3" t="s">
        <v>3734</v>
      </c>
      <c r="AD1239" s="3"/>
    </row>
    <row r="1240" spans="1:30" ht="35" customHeight="1">
      <c r="A1240" s="11" t="s">
        <v>3737</v>
      </c>
      <c r="B1240" s="11" t="s">
        <v>3740</v>
      </c>
      <c r="C1240" s="3" t="s">
        <v>24</v>
      </c>
      <c r="D1240" s="3" t="s">
        <v>2804</v>
      </c>
      <c r="E1240" s="3" t="s">
        <v>5005</v>
      </c>
      <c r="F1240" s="4" t="s">
        <v>2662</v>
      </c>
      <c r="G1240" s="4" t="s">
        <v>2662</v>
      </c>
      <c r="H1240" s="3" t="s">
        <v>523</v>
      </c>
      <c r="I1240" s="3"/>
      <c r="J1240" s="163" t="s">
        <v>2276</v>
      </c>
      <c r="K1240" s="21">
        <v>0.5</v>
      </c>
      <c r="L1240" s="21">
        <v>0.5</v>
      </c>
      <c r="M1240" s="3" t="s">
        <v>2276</v>
      </c>
      <c r="N1240" s="3" t="s">
        <v>2276</v>
      </c>
      <c r="O1240" s="3" t="s">
        <v>2276</v>
      </c>
      <c r="P1240" s="3" t="s">
        <v>2276</v>
      </c>
      <c r="Q1240" s="3" t="s">
        <v>2276</v>
      </c>
      <c r="R1240" s="3" t="s">
        <v>2276</v>
      </c>
      <c r="S1240" s="3" t="s">
        <v>2276</v>
      </c>
      <c r="T1240" s="3" t="s">
        <v>2276</v>
      </c>
      <c r="U1240" s="3" t="s">
        <v>2276</v>
      </c>
      <c r="V1240" s="3" t="s">
        <v>2276</v>
      </c>
      <c r="W1240" s="3" t="s">
        <v>2276</v>
      </c>
      <c r="X1240" s="3" t="s">
        <v>2276</v>
      </c>
      <c r="Y1240" s="3" t="s">
        <v>2276</v>
      </c>
      <c r="Z1240" s="3" t="s">
        <v>68</v>
      </c>
      <c r="AA1240" s="3" t="s">
        <v>188</v>
      </c>
      <c r="AB1240" s="3" t="s">
        <v>76</v>
      </c>
      <c r="AC1240" s="4"/>
      <c r="AD1240" s="3"/>
    </row>
    <row r="1241" spans="1:30" ht="41" customHeight="1">
      <c r="A1241" s="11" t="s">
        <v>3737</v>
      </c>
      <c r="B1241" s="11" t="s">
        <v>3741</v>
      </c>
      <c r="C1241" s="3" t="s">
        <v>24</v>
      </c>
      <c r="D1241" s="3" t="s">
        <v>26</v>
      </c>
      <c r="E1241" s="3" t="s">
        <v>5005</v>
      </c>
      <c r="F1241" s="4" t="s">
        <v>2662</v>
      </c>
      <c r="G1241" s="4" t="s">
        <v>2662</v>
      </c>
      <c r="H1241" s="3" t="s">
        <v>523</v>
      </c>
      <c r="I1241" s="3"/>
      <c r="J1241" s="163" t="s">
        <v>2276</v>
      </c>
      <c r="K1241" s="21">
        <v>0.5</v>
      </c>
      <c r="L1241" s="21">
        <v>0.5</v>
      </c>
      <c r="M1241" s="3" t="s">
        <v>2276</v>
      </c>
      <c r="N1241" s="3" t="s">
        <v>2276</v>
      </c>
      <c r="O1241" s="3" t="s">
        <v>2276</v>
      </c>
      <c r="P1241" s="3" t="s">
        <v>2276</v>
      </c>
      <c r="Q1241" s="3" t="s">
        <v>2276</v>
      </c>
      <c r="R1241" s="3" t="s">
        <v>2276</v>
      </c>
      <c r="S1241" s="3" t="s">
        <v>2276</v>
      </c>
      <c r="T1241" s="3" t="s">
        <v>2276</v>
      </c>
      <c r="U1241" s="3" t="s">
        <v>2276</v>
      </c>
      <c r="V1241" s="3" t="s">
        <v>2276</v>
      </c>
      <c r="W1241" s="3" t="s">
        <v>2276</v>
      </c>
      <c r="X1241" s="3" t="s">
        <v>2276</v>
      </c>
      <c r="Y1241" s="3" t="s">
        <v>2276</v>
      </c>
      <c r="Z1241" s="3" t="s">
        <v>68</v>
      </c>
      <c r="AA1241" s="3" t="s">
        <v>188</v>
      </c>
      <c r="AB1241" s="3" t="s">
        <v>76</v>
      </c>
      <c r="AC1241" s="4" t="s">
        <v>3745</v>
      </c>
      <c r="AD1241" s="3"/>
    </row>
    <row r="1242" spans="1:30" ht="88" customHeight="1">
      <c r="A1242" s="11" t="s">
        <v>3737</v>
      </c>
      <c r="B1242" s="11" t="s">
        <v>3742</v>
      </c>
      <c r="C1242" s="3" t="s">
        <v>24</v>
      </c>
      <c r="D1242" s="3" t="s">
        <v>1105</v>
      </c>
      <c r="E1242" s="3" t="s">
        <v>5005</v>
      </c>
      <c r="F1242" s="4" t="s">
        <v>2662</v>
      </c>
      <c r="G1242" s="4" t="s">
        <v>2662</v>
      </c>
      <c r="H1242" s="3" t="s">
        <v>523</v>
      </c>
      <c r="I1242" s="3"/>
      <c r="J1242" s="163" t="s">
        <v>2276</v>
      </c>
      <c r="K1242" s="21">
        <v>0.5</v>
      </c>
      <c r="L1242" s="21">
        <v>0.5</v>
      </c>
      <c r="M1242" s="3" t="s">
        <v>2276</v>
      </c>
      <c r="N1242" s="3" t="s">
        <v>2276</v>
      </c>
      <c r="O1242" s="3" t="s">
        <v>2276</v>
      </c>
      <c r="P1242" s="3" t="s">
        <v>2276</v>
      </c>
      <c r="Q1242" s="3" t="s">
        <v>2276</v>
      </c>
      <c r="R1242" s="3" t="s">
        <v>2276</v>
      </c>
      <c r="S1242" s="3" t="s">
        <v>2276</v>
      </c>
      <c r="T1242" s="3" t="s">
        <v>2276</v>
      </c>
      <c r="U1242" s="3" t="s">
        <v>2276</v>
      </c>
      <c r="V1242" s="3" t="s">
        <v>2276</v>
      </c>
      <c r="W1242" s="3" t="s">
        <v>2276</v>
      </c>
      <c r="X1242" s="3" t="s">
        <v>2276</v>
      </c>
      <c r="Y1242" s="14">
        <v>10.199999999999999</v>
      </c>
      <c r="Z1242" s="3" t="s">
        <v>68</v>
      </c>
      <c r="AA1242" s="3" t="s">
        <v>188</v>
      </c>
      <c r="AB1242" s="3" t="s">
        <v>76</v>
      </c>
      <c r="AC1242" s="4" t="s">
        <v>3744</v>
      </c>
      <c r="AD1242" s="4" t="s">
        <v>5004</v>
      </c>
    </row>
    <row r="1243" spans="1:30" ht="59" customHeight="1">
      <c r="A1243" s="11" t="s">
        <v>3737</v>
      </c>
      <c r="B1243" s="11" t="s">
        <v>3743</v>
      </c>
      <c r="C1243" s="3" t="s">
        <v>24</v>
      </c>
      <c r="D1243" s="3" t="s">
        <v>1105</v>
      </c>
      <c r="E1243" s="3" t="s">
        <v>5005</v>
      </c>
      <c r="F1243" s="4" t="s">
        <v>55</v>
      </c>
      <c r="G1243" s="4" t="s">
        <v>55</v>
      </c>
      <c r="H1243" s="3" t="s">
        <v>524</v>
      </c>
      <c r="I1243" s="3"/>
      <c r="J1243" s="21">
        <v>0</v>
      </c>
      <c r="K1243" s="21">
        <v>0</v>
      </c>
      <c r="L1243" s="21">
        <v>0</v>
      </c>
      <c r="M1243" s="21">
        <v>0</v>
      </c>
      <c r="N1243" s="21">
        <v>0</v>
      </c>
      <c r="O1243" s="21">
        <v>0</v>
      </c>
      <c r="P1243" s="21">
        <v>0</v>
      </c>
      <c r="Q1243" s="21">
        <v>0</v>
      </c>
      <c r="R1243" s="21">
        <v>0</v>
      </c>
      <c r="S1243" s="21">
        <v>0</v>
      </c>
      <c r="T1243" s="21">
        <v>0</v>
      </c>
      <c r="U1243" s="21">
        <v>0</v>
      </c>
      <c r="V1243" s="21">
        <v>0</v>
      </c>
      <c r="W1243" s="21">
        <v>0</v>
      </c>
      <c r="X1243" s="21">
        <v>0</v>
      </c>
      <c r="Y1243" s="3" t="s">
        <v>2276</v>
      </c>
      <c r="Z1243" s="3" t="s">
        <v>2276</v>
      </c>
      <c r="AA1243" s="3" t="s">
        <v>2276</v>
      </c>
      <c r="AB1243" s="3" t="s">
        <v>2276</v>
      </c>
      <c r="AC1243" s="4" t="s">
        <v>3746</v>
      </c>
      <c r="AD1243" s="3"/>
    </row>
    <row r="1244" spans="1:30" ht="46.5" customHeight="1">
      <c r="A1244" s="11" t="s">
        <v>3737</v>
      </c>
      <c r="B1244" s="11" t="s">
        <v>5003</v>
      </c>
      <c r="C1244" s="3" t="s">
        <v>2656</v>
      </c>
      <c r="D1244" s="3" t="s">
        <v>2276</v>
      </c>
      <c r="E1244" s="3" t="s">
        <v>2276</v>
      </c>
      <c r="F1244" s="4" t="s">
        <v>2276</v>
      </c>
      <c r="G1244" s="3" t="s">
        <v>2276</v>
      </c>
      <c r="H1244" s="3" t="s">
        <v>524</v>
      </c>
      <c r="I1244" s="3"/>
      <c r="J1244" s="21">
        <v>0</v>
      </c>
      <c r="K1244" s="21">
        <v>0</v>
      </c>
      <c r="L1244" s="21">
        <v>0</v>
      </c>
      <c r="M1244" s="21">
        <v>0</v>
      </c>
      <c r="N1244" s="21">
        <v>0</v>
      </c>
      <c r="O1244" s="21">
        <v>0</v>
      </c>
      <c r="P1244" s="21">
        <v>0</v>
      </c>
      <c r="Q1244" s="21">
        <v>0</v>
      </c>
      <c r="R1244" s="21">
        <v>0</v>
      </c>
      <c r="S1244" s="21">
        <v>0</v>
      </c>
      <c r="T1244" s="21">
        <v>0</v>
      </c>
      <c r="U1244" s="21">
        <v>0</v>
      </c>
      <c r="V1244" s="21">
        <v>0</v>
      </c>
      <c r="W1244" s="21">
        <v>0</v>
      </c>
      <c r="X1244" s="21">
        <v>0</v>
      </c>
      <c r="Y1244" s="3" t="s">
        <v>2276</v>
      </c>
      <c r="Z1244" s="3" t="s">
        <v>2276</v>
      </c>
      <c r="AA1244" s="3" t="s">
        <v>2276</v>
      </c>
      <c r="AB1244" s="3" t="s">
        <v>2276</v>
      </c>
      <c r="AC1244" s="4" t="s">
        <v>3747</v>
      </c>
      <c r="AD1244" s="3"/>
    </row>
    <row r="1245" spans="1:30" ht="167" customHeight="1">
      <c r="A1245" s="11" t="s">
        <v>3752</v>
      </c>
      <c r="B1245" s="11" t="s">
        <v>3755</v>
      </c>
      <c r="C1245" s="3" t="s">
        <v>24</v>
      </c>
      <c r="D1245" s="3" t="s">
        <v>25</v>
      </c>
      <c r="E1245" s="3" t="s">
        <v>5005</v>
      </c>
      <c r="F1245" s="4" t="s">
        <v>2662</v>
      </c>
      <c r="G1245" s="3" t="s">
        <v>2276</v>
      </c>
      <c r="H1245" s="3" t="s">
        <v>524</v>
      </c>
      <c r="I1245" s="3"/>
      <c r="J1245" s="21">
        <v>0</v>
      </c>
      <c r="K1245" s="21">
        <v>0</v>
      </c>
      <c r="L1245" s="21">
        <v>0</v>
      </c>
      <c r="M1245" s="21">
        <v>0</v>
      </c>
      <c r="N1245" s="21">
        <v>0</v>
      </c>
      <c r="O1245" s="21">
        <v>0</v>
      </c>
      <c r="P1245" s="21">
        <v>0</v>
      </c>
      <c r="Q1245" s="21">
        <v>0</v>
      </c>
      <c r="R1245" s="21">
        <v>0</v>
      </c>
      <c r="S1245" s="21">
        <v>0</v>
      </c>
      <c r="T1245" s="21">
        <v>0</v>
      </c>
      <c r="U1245" s="21">
        <v>0</v>
      </c>
      <c r="V1245" s="21">
        <v>0</v>
      </c>
      <c r="W1245" s="21">
        <v>0</v>
      </c>
      <c r="X1245" s="21">
        <v>0</v>
      </c>
      <c r="Y1245" s="21">
        <v>0</v>
      </c>
      <c r="Z1245" s="3" t="s">
        <v>2276</v>
      </c>
      <c r="AA1245" s="3" t="s">
        <v>2276</v>
      </c>
      <c r="AB1245" s="3" t="s">
        <v>2276</v>
      </c>
      <c r="AC1245" s="4" t="s">
        <v>3760</v>
      </c>
      <c r="AD1245" s="3"/>
    </row>
    <row r="1246" spans="1:30" ht="67.5" customHeight="1">
      <c r="A1246" s="11" t="s">
        <v>3752</v>
      </c>
      <c r="B1246" s="11" t="s">
        <v>3756</v>
      </c>
      <c r="C1246" s="3" t="s">
        <v>24</v>
      </c>
      <c r="D1246" s="3" t="s">
        <v>143</v>
      </c>
      <c r="E1246" s="3" t="s">
        <v>5005</v>
      </c>
      <c r="F1246" s="4" t="s">
        <v>74</v>
      </c>
      <c r="G1246" s="3" t="s">
        <v>2276</v>
      </c>
      <c r="H1246" s="3" t="s">
        <v>524</v>
      </c>
      <c r="I1246" s="3"/>
      <c r="J1246" s="21">
        <v>0</v>
      </c>
      <c r="K1246" s="21">
        <v>0</v>
      </c>
      <c r="L1246" s="21">
        <v>0</v>
      </c>
      <c r="M1246" s="21">
        <v>0</v>
      </c>
      <c r="N1246" s="21">
        <v>0</v>
      </c>
      <c r="O1246" s="21">
        <v>0</v>
      </c>
      <c r="P1246" s="21">
        <v>0</v>
      </c>
      <c r="Q1246" s="21">
        <v>0</v>
      </c>
      <c r="R1246" s="21">
        <v>0</v>
      </c>
      <c r="S1246" s="21">
        <v>0</v>
      </c>
      <c r="T1246" s="21">
        <v>0</v>
      </c>
      <c r="U1246" s="21">
        <v>0</v>
      </c>
      <c r="V1246" s="21">
        <v>0</v>
      </c>
      <c r="W1246" s="21">
        <v>0</v>
      </c>
      <c r="X1246" s="21">
        <v>0</v>
      </c>
      <c r="Y1246" s="21">
        <v>0</v>
      </c>
      <c r="Z1246" s="3" t="s">
        <v>2276</v>
      </c>
      <c r="AA1246" s="3" t="s">
        <v>2276</v>
      </c>
      <c r="AB1246" s="3" t="s">
        <v>2276</v>
      </c>
      <c r="AC1246" s="4" t="s">
        <v>3761</v>
      </c>
      <c r="AD1246" s="3"/>
    </row>
    <row r="1247" spans="1:30" ht="67.5" customHeight="1">
      <c r="A1247" s="11" t="s">
        <v>3752</v>
      </c>
      <c r="B1247" s="11" t="s">
        <v>3757</v>
      </c>
      <c r="C1247" s="3" t="s">
        <v>24</v>
      </c>
      <c r="D1247" s="3" t="s">
        <v>25</v>
      </c>
      <c r="E1247" s="3" t="s">
        <v>5005</v>
      </c>
      <c r="F1247" s="4" t="s">
        <v>29</v>
      </c>
      <c r="G1247" s="3" t="s">
        <v>2276</v>
      </c>
      <c r="H1247" s="3" t="s">
        <v>524</v>
      </c>
      <c r="I1247" s="3"/>
      <c r="J1247" s="21">
        <v>0</v>
      </c>
      <c r="K1247" s="21">
        <v>0</v>
      </c>
      <c r="L1247" s="21">
        <v>0</v>
      </c>
      <c r="M1247" s="21">
        <v>0</v>
      </c>
      <c r="N1247" s="21">
        <v>0</v>
      </c>
      <c r="O1247" s="21">
        <v>0</v>
      </c>
      <c r="P1247" s="21">
        <v>0</v>
      </c>
      <c r="Q1247" s="21">
        <v>0</v>
      </c>
      <c r="R1247" s="21">
        <v>0</v>
      </c>
      <c r="S1247" s="21">
        <v>0</v>
      </c>
      <c r="T1247" s="21">
        <v>0</v>
      </c>
      <c r="U1247" s="21">
        <v>0</v>
      </c>
      <c r="V1247" s="21">
        <v>0</v>
      </c>
      <c r="W1247" s="21">
        <v>0</v>
      </c>
      <c r="X1247" s="21">
        <v>0</v>
      </c>
      <c r="Y1247" s="21">
        <v>0</v>
      </c>
      <c r="Z1247" s="3" t="s">
        <v>2276</v>
      </c>
      <c r="AA1247" s="3" t="s">
        <v>2276</v>
      </c>
      <c r="AB1247" s="3" t="s">
        <v>2276</v>
      </c>
      <c r="AC1247" s="4" t="s">
        <v>3761</v>
      </c>
      <c r="AD1247" s="3"/>
    </row>
    <row r="1248" spans="1:30" ht="110.5" customHeight="1">
      <c r="A1248" s="11" t="s">
        <v>3758</v>
      </c>
      <c r="B1248" s="11" t="s">
        <v>3762</v>
      </c>
      <c r="C1248" s="3" t="s">
        <v>24</v>
      </c>
      <c r="D1248" s="3" t="s">
        <v>25</v>
      </c>
      <c r="E1248" s="3" t="s">
        <v>5005</v>
      </c>
      <c r="F1248" s="4" t="s">
        <v>2662</v>
      </c>
      <c r="G1248" s="3" t="s">
        <v>2276</v>
      </c>
      <c r="H1248" s="3" t="s">
        <v>524</v>
      </c>
      <c r="I1248" s="3"/>
      <c r="J1248" s="21">
        <v>0</v>
      </c>
      <c r="K1248" s="21">
        <v>0</v>
      </c>
      <c r="L1248" s="21">
        <v>0</v>
      </c>
      <c r="M1248" s="21">
        <v>0</v>
      </c>
      <c r="N1248" s="21">
        <v>0</v>
      </c>
      <c r="O1248" s="21">
        <v>0</v>
      </c>
      <c r="P1248" s="21">
        <v>0</v>
      </c>
      <c r="Q1248" s="21">
        <v>0</v>
      </c>
      <c r="R1248" s="21">
        <v>0</v>
      </c>
      <c r="S1248" s="21">
        <v>0</v>
      </c>
      <c r="T1248" s="21">
        <v>0</v>
      </c>
      <c r="U1248" s="21">
        <v>0</v>
      </c>
      <c r="V1248" s="21">
        <v>0</v>
      </c>
      <c r="W1248" s="21">
        <v>0</v>
      </c>
      <c r="X1248" s="21">
        <v>0</v>
      </c>
      <c r="Y1248" s="21">
        <v>0</v>
      </c>
      <c r="Z1248" s="3" t="s">
        <v>2276</v>
      </c>
      <c r="AA1248" s="3" t="s">
        <v>2276</v>
      </c>
      <c r="AB1248" s="3" t="s">
        <v>2276</v>
      </c>
      <c r="AC1248" s="4" t="s">
        <v>3767</v>
      </c>
      <c r="AD1248" s="3"/>
    </row>
    <row r="1249" spans="1:30" ht="109.5" customHeight="1">
      <c r="A1249" s="11" t="s">
        <v>3758</v>
      </c>
      <c r="B1249" s="11" t="s">
        <v>3763</v>
      </c>
      <c r="C1249" s="3" t="s">
        <v>24</v>
      </c>
      <c r="D1249" s="3" t="s">
        <v>143</v>
      </c>
      <c r="E1249" s="3" t="s">
        <v>5005</v>
      </c>
      <c r="F1249" s="4" t="s">
        <v>74</v>
      </c>
      <c r="G1249" s="3" t="s">
        <v>2276</v>
      </c>
      <c r="H1249" s="3" t="s">
        <v>524</v>
      </c>
      <c r="I1249" s="3"/>
      <c r="J1249" s="21">
        <v>0</v>
      </c>
      <c r="K1249" s="21">
        <v>0</v>
      </c>
      <c r="L1249" s="21">
        <v>0</v>
      </c>
      <c r="M1249" s="21">
        <v>0</v>
      </c>
      <c r="N1249" s="21">
        <v>0</v>
      </c>
      <c r="O1249" s="21">
        <v>0</v>
      </c>
      <c r="P1249" s="21">
        <v>0</v>
      </c>
      <c r="Q1249" s="21">
        <v>0</v>
      </c>
      <c r="R1249" s="21">
        <v>0</v>
      </c>
      <c r="S1249" s="21">
        <v>0</v>
      </c>
      <c r="T1249" s="21">
        <v>0</v>
      </c>
      <c r="U1249" s="21">
        <v>0</v>
      </c>
      <c r="V1249" s="21">
        <v>0</v>
      </c>
      <c r="W1249" s="21">
        <v>0</v>
      </c>
      <c r="X1249" s="21">
        <v>0</v>
      </c>
      <c r="Y1249" s="21">
        <v>0</v>
      </c>
      <c r="Z1249" s="3" t="s">
        <v>2276</v>
      </c>
      <c r="AA1249" s="3" t="s">
        <v>2276</v>
      </c>
      <c r="AB1249" s="3" t="s">
        <v>2276</v>
      </c>
      <c r="AC1249" s="4" t="s">
        <v>3767</v>
      </c>
      <c r="AD1249" s="3"/>
    </row>
    <row r="1250" spans="1:30" ht="105.5" customHeight="1">
      <c r="A1250" s="11" t="s">
        <v>3758</v>
      </c>
      <c r="B1250" s="11" t="s">
        <v>3764</v>
      </c>
      <c r="C1250" s="3" t="s">
        <v>24</v>
      </c>
      <c r="D1250" s="3" t="s">
        <v>25</v>
      </c>
      <c r="E1250" s="3" t="s">
        <v>5005</v>
      </c>
      <c r="F1250" s="4" t="s">
        <v>29</v>
      </c>
      <c r="G1250" s="3" t="s">
        <v>2276</v>
      </c>
      <c r="H1250" s="3" t="s">
        <v>524</v>
      </c>
      <c r="I1250" s="3"/>
      <c r="J1250" s="21">
        <v>0</v>
      </c>
      <c r="K1250" s="21">
        <v>0</v>
      </c>
      <c r="L1250" s="21">
        <v>0</v>
      </c>
      <c r="M1250" s="21">
        <v>0</v>
      </c>
      <c r="N1250" s="21">
        <v>0</v>
      </c>
      <c r="O1250" s="21">
        <v>0</v>
      </c>
      <c r="P1250" s="21">
        <v>0</v>
      </c>
      <c r="Q1250" s="21">
        <v>0</v>
      </c>
      <c r="R1250" s="21">
        <v>0</v>
      </c>
      <c r="S1250" s="21">
        <v>0</v>
      </c>
      <c r="T1250" s="21">
        <v>0</v>
      </c>
      <c r="U1250" s="21">
        <v>0</v>
      </c>
      <c r="V1250" s="21">
        <v>0</v>
      </c>
      <c r="W1250" s="21">
        <v>0</v>
      </c>
      <c r="X1250" s="21">
        <v>0</v>
      </c>
      <c r="Y1250" s="21">
        <v>0</v>
      </c>
      <c r="Z1250" s="3" t="s">
        <v>2276</v>
      </c>
      <c r="AA1250" s="3" t="s">
        <v>2276</v>
      </c>
      <c r="AB1250" s="3" t="s">
        <v>2276</v>
      </c>
      <c r="AC1250" s="4" t="s">
        <v>3767</v>
      </c>
      <c r="AD1250" s="3"/>
    </row>
    <row r="1251" spans="1:30" ht="54.5" customHeight="1">
      <c r="A1251" s="11" t="s">
        <v>3758</v>
      </c>
      <c r="B1251" s="11" t="s">
        <v>3765</v>
      </c>
      <c r="C1251" s="3" t="s">
        <v>24</v>
      </c>
      <c r="D1251" s="3" t="s">
        <v>27</v>
      </c>
      <c r="E1251" s="3" t="s">
        <v>130</v>
      </c>
      <c r="F1251" s="4" t="s">
        <v>74</v>
      </c>
      <c r="G1251" s="3" t="s">
        <v>2276</v>
      </c>
      <c r="H1251" s="3" t="s">
        <v>523</v>
      </c>
      <c r="I1251" s="3"/>
      <c r="J1251" s="3" t="s">
        <v>2276</v>
      </c>
      <c r="K1251" s="3" t="s">
        <v>2276</v>
      </c>
      <c r="L1251" s="3" t="s">
        <v>2276</v>
      </c>
      <c r="M1251" s="3" t="s">
        <v>2276</v>
      </c>
      <c r="N1251" s="3" t="s">
        <v>2276</v>
      </c>
      <c r="O1251" s="3" t="s">
        <v>2276</v>
      </c>
      <c r="P1251" s="3" t="s">
        <v>2276</v>
      </c>
      <c r="Q1251" s="3" t="s">
        <v>2276</v>
      </c>
      <c r="R1251" s="3" t="s">
        <v>2276</v>
      </c>
      <c r="S1251" s="3" t="s">
        <v>2276</v>
      </c>
      <c r="T1251" s="3" t="s">
        <v>2276</v>
      </c>
      <c r="U1251" s="3" t="s">
        <v>2276</v>
      </c>
      <c r="V1251" s="3" t="s">
        <v>2276</v>
      </c>
      <c r="W1251" s="3" t="s">
        <v>2276</v>
      </c>
      <c r="X1251" s="3" t="s">
        <v>2276</v>
      </c>
      <c r="Y1251" s="3" t="s">
        <v>2276</v>
      </c>
      <c r="Z1251" s="3" t="s">
        <v>2276</v>
      </c>
      <c r="AA1251" s="3" t="s">
        <v>2276</v>
      </c>
      <c r="AB1251" s="3" t="s">
        <v>2276</v>
      </c>
      <c r="AC1251" s="3"/>
      <c r="AD1251" s="3"/>
    </row>
    <row r="1252" spans="1:30" ht="47" customHeight="1">
      <c r="A1252" s="11" t="s">
        <v>3758</v>
      </c>
      <c r="B1252" s="11" t="s">
        <v>3766</v>
      </c>
      <c r="C1252" s="3" t="s">
        <v>24</v>
      </c>
      <c r="D1252" s="3" t="s">
        <v>27</v>
      </c>
      <c r="E1252" s="3" t="s">
        <v>130</v>
      </c>
      <c r="F1252" s="4" t="s">
        <v>161</v>
      </c>
      <c r="G1252" s="3" t="s">
        <v>2276</v>
      </c>
      <c r="H1252" s="3" t="s">
        <v>523</v>
      </c>
      <c r="I1252" s="3"/>
      <c r="J1252" s="3" t="s">
        <v>2276</v>
      </c>
      <c r="K1252" s="3" t="s">
        <v>2276</v>
      </c>
      <c r="L1252" s="3" t="s">
        <v>2276</v>
      </c>
      <c r="M1252" s="3" t="s">
        <v>2276</v>
      </c>
      <c r="N1252" s="3" t="s">
        <v>2276</v>
      </c>
      <c r="O1252" s="3" t="s">
        <v>2276</v>
      </c>
      <c r="P1252" s="3" t="s">
        <v>2276</v>
      </c>
      <c r="Q1252" s="3" t="s">
        <v>2276</v>
      </c>
      <c r="R1252" s="3" t="s">
        <v>2276</v>
      </c>
      <c r="S1252" s="3" t="s">
        <v>2276</v>
      </c>
      <c r="T1252" s="3" t="s">
        <v>2276</v>
      </c>
      <c r="U1252" s="3" t="s">
        <v>2276</v>
      </c>
      <c r="V1252" s="3" t="s">
        <v>2276</v>
      </c>
      <c r="W1252" s="3" t="s">
        <v>2276</v>
      </c>
      <c r="X1252" s="3" t="s">
        <v>2276</v>
      </c>
      <c r="Y1252" s="3" t="s">
        <v>2276</v>
      </c>
      <c r="Z1252" s="3" t="s">
        <v>2276</v>
      </c>
      <c r="AA1252" s="3" t="s">
        <v>2276</v>
      </c>
      <c r="AB1252" s="3" t="s">
        <v>2276</v>
      </c>
      <c r="AC1252" s="3"/>
      <c r="AD1252" s="3"/>
    </row>
    <row r="1253" spans="1:30" ht="51" customHeight="1">
      <c r="A1253" s="11" t="s">
        <v>3769</v>
      </c>
      <c r="B1253" s="11" t="s">
        <v>3774</v>
      </c>
      <c r="C1253" s="3" t="s">
        <v>24</v>
      </c>
      <c r="D1253" s="3" t="s">
        <v>25</v>
      </c>
      <c r="E1253" s="3" t="s">
        <v>45</v>
      </c>
      <c r="F1253" s="4" t="s">
        <v>29</v>
      </c>
      <c r="G1253" s="3" t="s">
        <v>2276</v>
      </c>
      <c r="H1253" s="3" t="s">
        <v>523</v>
      </c>
      <c r="I1253" s="3"/>
      <c r="J1253" s="3" t="s">
        <v>2276</v>
      </c>
      <c r="K1253" s="3" t="s">
        <v>2276</v>
      </c>
      <c r="L1253" s="3" t="s">
        <v>2276</v>
      </c>
      <c r="M1253" s="3" t="s">
        <v>2276</v>
      </c>
      <c r="N1253" s="3" t="s">
        <v>2276</v>
      </c>
      <c r="O1253" s="3" t="s">
        <v>2276</v>
      </c>
      <c r="P1253" s="3" t="s">
        <v>2276</v>
      </c>
      <c r="Q1253" s="3" t="s">
        <v>2276</v>
      </c>
      <c r="R1253" s="3" t="s">
        <v>2276</v>
      </c>
      <c r="S1253" s="3" t="s">
        <v>2276</v>
      </c>
      <c r="T1253" s="3" t="s">
        <v>2276</v>
      </c>
      <c r="U1253" s="3" t="s">
        <v>2276</v>
      </c>
      <c r="V1253" s="3" t="s">
        <v>2276</v>
      </c>
      <c r="W1253" s="3" t="s">
        <v>2276</v>
      </c>
      <c r="X1253" s="3" t="s">
        <v>2276</v>
      </c>
      <c r="Y1253" s="3" t="s">
        <v>2276</v>
      </c>
      <c r="Z1253" s="3" t="s">
        <v>2276</v>
      </c>
      <c r="AA1253" s="3" t="s">
        <v>2276</v>
      </c>
      <c r="AB1253" s="3" t="s">
        <v>2276</v>
      </c>
      <c r="AC1253" s="4"/>
      <c r="AD1253" s="4" t="s">
        <v>3777</v>
      </c>
    </row>
    <row r="1254" spans="1:30" ht="42" customHeight="1">
      <c r="A1254" s="11" t="s">
        <v>3769</v>
      </c>
      <c r="B1254" s="11" t="s">
        <v>3775</v>
      </c>
      <c r="C1254" s="3" t="s">
        <v>24</v>
      </c>
      <c r="D1254" s="3" t="s">
        <v>1245</v>
      </c>
      <c r="E1254" s="3" t="s">
        <v>116</v>
      </c>
      <c r="F1254" s="4" t="s">
        <v>55</v>
      </c>
      <c r="G1254" s="3" t="s">
        <v>2276</v>
      </c>
      <c r="H1254" s="3" t="s">
        <v>523</v>
      </c>
      <c r="I1254" s="3"/>
      <c r="J1254" s="3" t="s">
        <v>2276</v>
      </c>
      <c r="K1254" s="3" t="s">
        <v>2276</v>
      </c>
      <c r="L1254" s="3" t="s">
        <v>2276</v>
      </c>
      <c r="M1254" s="3" t="s">
        <v>2276</v>
      </c>
      <c r="N1254" s="3" t="s">
        <v>2276</v>
      </c>
      <c r="O1254" s="3" t="s">
        <v>2276</v>
      </c>
      <c r="P1254" s="3" t="s">
        <v>2276</v>
      </c>
      <c r="Q1254" s="3" t="s">
        <v>2276</v>
      </c>
      <c r="R1254" s="3" t="s">
        <v>2276</v>
      </c>
      <c r="S1254" s="3" t="s">
        <v>2276</v>
      </c>
      <c r="T1254" s="3" t="s">
        <v>2276</v>
      </c>
      <c r="U1254" s="3" t="s">
        <v>2276</v>
      </c>
      <c r="V1254" s="3" t="s">
        <v>2276</v>
      </c>
      <c r="W1254" s="3" t="s">
        <v>2276</v>
      </c>
      <c r="X1254" s="3" t="s">
        <v>2276</v>
      </c>
      <c r="Y1254" s="3" t="s">
        <v>2276</v>
      </c>
      <c r="Z1254" s="3" t="s">
        <v>2276</v>
      </c>
      <c r="AA1254" s="3" t="s">
        <v>2276</v>
      </c>
      <c r="AB1254" s="3" t="s">
        <v>2276</v>
      </c>
      <c r="AC1254" s="4" t="s">
        <v>3778</v>
      </c>
      <c r="AD1254" s="3"/>
    </row>
    <row r="1255" spans="1:30" ht="55.5" customHeight="1">
      <c r="A1255" s="11" t="s">
        <v>3769</v>
      </c>
      <c r="B1255" s="11" t="s">
        <v>3776</v>
      </c>
      <c r="C1255" s="3" t="s">
        <v>24</v>
      </c>
      <c r="D1255" s="3" t="s">
        <v>144</v>
      </c>
      <c r="E1255" s="3" t="s">
        <v>137</v>
      </c>
      <c r="F1255" s="4" t="s">
        <v>55</v>
      </c>
      <c r="G1255" s="3" t="s">
        <v>2276</v>
      </c>
      <c r="H1255" s="3" t="s">
        <v>523</v>
      </c>
      <c r="I1255" s="3"/>
      <c r="J1255" s="3" t="s">
        <v>2276</v>
      </c>
      <c r="K1255" s="3" t="s">
        <v>2276</v>
      </c>
      <c r="L1255" s="3" t="s">
        <v>2276</v>
      </c>
      <c r="M1255" s="3" t="s">
        <v>2276</v>
      </c>
      <c r="N1255" s="3" t="s">
        <v>2276</v>
      </c>
      <c r="O1255" s="3" t="s">
        <v>2276</v>
      </c>
      <c r="P1255" s="3" t="s">
        <v>2276</v>
      </c>
      <c r="Q1255" s="3" t="s">
        <v>2276</v>
      </c>
      <c r="R1255" s="3" t="s">
        <v>2276</v>
      </c>
      <c r="S1255" s="3" t="s">
        <v>2276</v>
      </c>
      <c r="T1255" s="3" t="s">
        <v>2276</v>
      </c>
      <c r="U1255" s="3" t="s">
        <v>2276</v>
      </c>
      <c r="V1255" s="3" t="s">
        <v>2276</v>
      </c>
      <c r="W1255" s="3" t="s">
        <v>2276</v>
      </c>
      <c r="X1255" s="3" t="s">
        <v>2276</v>
      </c>
      <c r="Y1255" s="3" t="s">
        <v>2276</v>
      </c>
      <c r="Z1255" s="3" t="s">
        <v>2276</v>
      </c>
      <c r="AA1255" s="3" t="s">
        <v>2276</v>
      </c>
      <c r="AB1255" s="3" t="s">
        <v>2276</v>
      </c>
      <c r="AC1255" s="4" t="s">
        <v>3779</v>
      </c>
      <c r="AD1255" s="3"/>
    </row>
    <row r="1256" spans="1:30" ht="40.5" customHeight="1">
      <c r="A1256" s="11" t="s">
        <v>3783</v>
      </c>
      <c r="B1256" s="11" t="s">
        <v>3786</v>
      </c>
      <c r="C1256" s="3" t="s">
        <v>24</v>
      </c>
      <c r="D1256" s="3" t="s">
        <v>25</v>
      </c>
      <c r="E1256" s="3" t="s">
        <v>45</v>
      </c>
      <c r="F1256" s="4" t="s">
        <v>29</v>
      </c>
      <c r="G1256" s="3" t="s">
        <v>2276</v>
      </c>
      <c r="H1256" s="3" t="s">
        <v>523</v>
      </c>
      <c r="I1256" s="3"/>
      <c r="J1256" s="3" t="s">
        <v>2276</v>
      </c>
      <c r="K1256" s="3" t="s">
        <v>2276</v>
      </c>
      <c r="L1256" s="3" t="s">
        <v>2276</v>
      </c>
      <c r="M1256" s="3" t="s">
        <v>2276</v>
      </c>
      <c r="N1256" s="3" t="s">
        <v>2276</v>
      </c>
      <c r="O1256" s="3" t="s">
        <v>2276</v>
      </c>
      <c r="P1256" s="3" t="s">
        <v>2276</v>
      </c>
      <c r="Q1256" s="3" t="s">
        <v>2276</v>
      </c>
      <c r="R1256" s="3" t="s">
        <v>2276</v>
      </c>
      <c r="S1256" s="3" t="s">
        <v>2276</v>
      </c>
      <c r="T1256" s="3" t="s">
        <v>2276</v>
      </c>
      <c r="U1256" s="3" t="s">
        <v>2276</v>
      </c>
      <c r="V1256" s="3" t="s">
        <v>2276</v>
      </c>
      <c r="W1256" s="3" t="s">
        <v>2276</v>
      </c>
      <c r="X1256" s="3" t="s">
        <v>2276</v>
      </c>
      <c r="Y1256" s="3" t="s">
        <v>2276</v>
      </c>
      <c r="Z1256" s="3" t="s">
        <v>399</v>
      </c>
      <c r="AA1256" s="3" t="s">
        <v>127</v>
      </c>
      <c r="AB1256" s="3" t="s">
        <v>2312</v>
      </c>
      <c r="AC1256" s="4" t="s">
        <v>3787</v>
      </c>
      <c r="AD1256" s="3"/>
    </row>
    <row r="1257" spans="1:30" ht="40" customHeight="1">
      <c r="A1257" s="11" t="s">
        <v>3783</v>
      </c>
      <c r="B1257" s="11" t="s">
        <v>3788</v>
      </c>
      <c r="C1257" s="3" t="s">
        <v>24</v>
      </c>
      <c r="D1257" s="3" t="s">
        <v>27</v>
      </c>
      <c r="E1257" s="3" t="s">
        <v>130</v>
      </c>
      <c r="F1257" s="4" t="s">
        <v>2276</v>
      </c>
      <c r="G1257" s="3" t="s">
        <v>2276</v>
      </c>
      <c r="H1257" s="3" t="s">
        <v>523</v>
      </c>
      <c r="I1257" s="3"/>
      <c r="J1257" s="3" t="s">
        <v>2276</v>
      </c>
      <c r="K1257" s="3" t="s">
        <v>2276</v>
      </c>
      <c r="L1257" s="3" t="s">
        <v>2276</v>
      </c>
      <c r="M1257" s="3" t="s">
        <v>2276</v>
      </c>
      <c r="N1257" s="3" t="s">
        <v>2276</v>
      </c>
      <c r="O1257" s="3" t="s">
        <v>2276</v>
      </c>
      <c r="P1257" s="3" t="s">
        <v>2276</v>
      </c>
      <c r="Q1257" s="3" t="s">
        <v>2276</v>
      </c>
      <c r="R1257" s="3" t="s">
        <v>2276</v>
      </c>
      <c r="S1257" s="3" t="s">
        <v>2276</v>
      </c>
      <c r="T1257" s="3" t="s">
        <v>2276</v>
      </c>
      <c r="U1257" s="3" t="s">
        <v>2276</v>
      </c>
      <c r="V1257" s="3" t="s">
        <v>2276</v>
      </c>
      <c r="W1257" s="3" t="s">
        <v>2276</v>
      </c>
      <c r="X1257" s="3" t="s">
        <v>2276</v>
      </c>
      <c r="Y1257" s="3" t="s">
        <v>2276</v>
      </c>
      <c r="Z1257" s="3" t="s">
        <v>2276</v>
      </c>
      <c r="AA1257" s="3" t="s">
        <v>2276</v>
      </c>
      <c r="AB1257" s="3" t="s">
        <v>2276</v>
      </c>
      <c r="AC1257" s="4"/>
      <c r="AD1257" s="3"/>
    </row>
    <row r="1258" spans="1:30" ht="40" customHeight="1">
      <c r="A1258" s="11" t="s">
        <v>3783</v>
      </c>
      <c r="B1258" s="11" t="s">
        <v>3789</v>
      </c>
      <c r="C1258" s="3" t="s">
        <v>24</v>
      </c>
      <c r="D1258" s="3" t="s">
        <v>1242</v>
      </c>
      <c r="E1258" s="3" t="s">
        <v>1105</v>
      </c>
      <c r="F1258" s="4" t="s">
        <v>55</v>
      </c>
      <c r="G1258" s="3" t="s">
        <v>2276</v>
      </c>
      <c r="H1258" s="3" t="s">
        <v>523</v>
      </c>
      <c r="I1258" s="3"/>
      <c r="J1258" s="3" t="s">
        <v>2276</v>
      </c>
      <c r="K1258" s="3" t="s">
        <v>2276</v>
      </c>
      <c r="L1258" s="3" t="s">
        <v>2276</v>
      </c>
      <c r="M1258" s="3" t="s">
        <v>2276</v>
      </c>
      <c r="N1258" s="3" t="s">
        <v>2276</v>
      </c>
      <c r="O1258" s="3" t="s">
        <v>2276</v>
      </c>
      <c r="P1258" s="3" t="s">
        <v>2276</v>
      </c>
      <c r="Q1258" s="3" t="s">
        <v>2276</v>
      </c>
      <c r="R1258" s="3" t="s">
        <v>2276</v>
      </c>
      <c r="S1258" s="3" t="s">
        <v>2276</v>
      </c>
      <c r="T1258" s="3" t="s">
        <v>2276</v>
      </c>
      <c r="U1258" s="3" t="s">
        <v>2276</v>
      </c>
      <c r="V1258" s="3" t="s">
        <v>2276</v>
      </c>
      <c r="W1258" s="3" t="s">
        <v>2276</v>
      </c>
      <c r="X1258" s="3" t="s">
        <v>2276</v>
      </c>
      <c r="Y1258" s="3" t="s">
        <v>2276</v>
      </c>
      <c r="Z1258" s="3" t="s">
        <v>2276</v>
      </c>
      <c r="AA1258" s="3" t="s">
        <v>2276</v>
      </c>
      <c r="AB1258" s="3" t="s">
        <v>2276</v>
      </c>
      <c r="AC1258" s="4"/>
      <c r="AD1258" s="3"/>
    </row>
    <row r="1259" spans="1:30" ht="43" customHeight="1">
      <c r="A1259" s="11" t="s">
        <v>3783</v>
      </c>
      <c r="B1259" s="11" t="s">
        <v>3790</v>
      </c>
      <c r="C1259" s="3" t="s">
        <v>24</v>
      </c>
      <c r="D1259" s="3" t="s">
        <v>26</v>
      </c>
      <c r="E1259" s="3" t="s">
        <v>45</v>
      </c>
      <c r="F1259" s="4" t="s">
        <v>29</v>
      </c>
      <c r="G1259" s="3" t="s">
        <v>2276</v>
      </c>
      <c r="H1259" s="3" t="s">
        <v>523</v>
      </c>
      <c r="I1259" s="3"/>
      <c r="J1259" s="3" t="s">
        <v>2276</v>
      </c>
      <c r="K1259" s="3" t="s">
        <v>2276</v>
      </c>
      <c r="L1259" s="3" t="s">
        <v>2276</v>
      </c>
      <c r="M1259" s="3" t="s">
        <v>2276</v>
      </c>
      <c r="N1259" s="3" t="s">
        <v>2276</v>
      </c>
      <c r="O1259" s="3" t="s">
        <v>2276</v>
      </c>
      <c r="P1259" s="3" t="s">
        <v>2276</v>
      </c>
      <c r="Q1259" s="3" t="s">
        <v>2276</v>
      </c>
      <c r="R1259" s="3" t="s">
        <v>2276</v>
      </c>
      <c r="S1259" s="3" t="s">
        <v>2276</v>
      </c>
      <c r="T1259" s="3" t="s">
        <v>2276</v>
      </c>
      <c r="U1259" s="3" t="s">
        <v>2276</v>
      </c>
      <c r="V1259" s="3" t="s">
        <v>2276</v>
      </c>
      <c r="W1259" s="3" t="s">
        <v>2276</v>
      </c>
      <c r="X1259" s="3" t="s">
        <v>2276</v>
      </c>
      <c r="Y1259" s="3" t="s">
        <v>2276</v>
      </c>
      <c r="Z1259" s="3" t="s">
        <v>34</v>
      </c>
      <c r="AA1259" s="3" t="s">
        <v>405</v>
      </c>
      <c r="AB1259" s="3" t="s">
        <v>64</v>
      </c>
      <c r="AC1259" s="4" t="s">
        <v>3791</v>
      </c>
      <c r="AD1259" s="3"/>
    </row>
    <row r="1260" spans="1:30" ht="38" customHeight="1">
      <c r="A1260" s="11" t="s">
        <v>3783</v>
      </c>
      <c r="B1260" s="11" t="s">
        <v>3793</v>
      </c>
      <c r="C1260" s="3" t="s">
        <v>24</v>
      </c>
      <c r="D1260" s="3" t="s">
        <v>1245</v>
      </c>
      <c r="E1260" s="3" t="s">
        <v>116</v>
      </c>
      <c r="F1260" s="4" t="s">
        <v>55</v>
      </c>
      <c r="G1260" s="3" t="s">
        <v>2276</v>
      </c>
      <c r="H1260" s="3" t="s">
        <v>523</v>
      </c>
      <c r="I1260" s="3"/>
      <c r="J1260" s="3" t="s">
        <v>2276</v>
      </c>
      <c r="K1260" s="3" t="s">
        <v>2276</v>
      </c>
      <c r="L1260" s="3" t="s">
        <v>2276</v>
      </c>
      <c r="M1260" s="3" t="s">
        <v>2276</v>
      </c>
      <c r="N1260" s="3" t="s">
        <v>2276</v>
      </c>
      <c r="O1260" s="3" t="s">
        <v>2276</v>
      </c>
      <c r="P1260" s="3" t="s">
        <v>2276</v>
      </c>
      <c r="Q1260" s="3" t="s">
        <v>2276</v>
      </c>
      <c r="R1260" s="3" t="s">
        <v>2276</v>
      </c>
      <c r="S1260" s="3" t="s">
        <v>2276</v>
      </c>
      <c r="T1260" s="3" t="s">
        <v>2276</v>
      </c>
      <c r="U1260" s="3" t="s">
        <v>2276</v>
      </c>
      <c r="V1260" s="3" t="s">
        <v>2276</v>
      </c>
      <c r="W1260" s="3" t="s">
        <v>2276</v>
      </c>
      <c r="X1260" s="3" t="s">
        <v>2276</v>
      </c>
      <c r="Y1260" s="3" t="s">
        <v>2276</v>
      </c>
      <c r="Z1260" s="3" t="s">
        <v>2276</v>
      </c>
      <c r="AA1260" s="3" t="s">
        <v>2276</v>
      </c>
      <c r="AB1260" s="3" t="s">
        <v>2276</v>
      </c>
      <c r="AC1260" s="4" t="s">
        <v>3778</v>
      </c>
      <c r="AD1260" s="3"/>
    </row>
    <row r="1261" spans="1:30" ht="54.5" customHeight="1">
      <c r="A1261" s="11" t="s">
        <v>3783</v>
      </c>
      <c r="B1261" s="11" t="s">
        <v>3794</v>
      </c>
      <c r="C1261" s="3" t="s">
        <v>24</v>
      </c>
      <c r="D1261" s="3" t="s">
        <v>144</v>
      </c>
      <c r="E1261" s="3" t="s">
        <v>137</v>
      </c>
      <c r="F1261" s="4" t="s">
        <v>55</v>
      </c>
      <c r="G1261" s="3" t="s">
        <v>2276</v>
      </c>
      <c r="H1261" s="3" t="s">
        <v>523</v>
      </c>
      <c r="I1261" s="3"/>
      <c r="J1261" s="3" t="s">
        <v>2276</v>
      </c>
      <c r="K1261" s="3" t="s">
        <v>2276</v>
      </c>
      <c r="L1261" s="3" t="s">
        <v>2276</v>
      </c>
      <c r="M1261" s="3" t="s">
        <v>2276</v>
      </c>
      <c r="N1261" s="3" t="s">
        <v>2276</v>
      </c>
      <c r="O1261" s="3" t="s">
        <v>2276</v>
      </c>
      <c r="P1261" s="3" t="s">
        <v>2276</v>
      </c>
      <c r="Q1261" s="3" t="s">
        <v>2276</v>
      </c>
      <c r="R1261" s="3" t="s">
        <v>2276</v>
      </c>
      <c r="S1261" s="3" t="s">
        <v>2276</v>
      </c>
      <c r="T1261" s="3" t="s">
        <v>2276</v>
      </c>
      <c r="U1261" s="3" t="s">
        <v>2276</v>
      </c>
      <c r="V1261" s="3" t="s">
        <v>2276</v>
      </c>
      <c r="W1261" s="3" t="s">
        <v>2276</v>
      </c>
      <c r="X1261" s="3" t="s">
        <v>2276</v>
      </c>
      <c r="Y1261" s="3" t="s">
        <v>2276</v>
      </c>
      <c r="Z1261" s="3" t="s">
        <v>2276</v>
      </c>
      <c r="AA1261" s="3" t="s">
        <v>2276</v>
      </c>
      <c r="AB1261" s="3" t="s">
        <v>2276</v>
      </c>
      <c r="AC1261" s="4" t="s">
        <v>3779</v>
      </c>
      <c r="AD1261" s="3"/>
    </row>
    <row r="1262" spans="1:30" ht="73" customHeight="1">
      <c r="A1262" s="11" t="s">
        <v>3797</v>
      </c>
      <c r="B1262" s="11" t="s">
        <v>3801</v>
      </c>
      <c r="C1262" s="3" t="s">
        <v>24</v>
      </c>
      <c r="D1262" s="3" t="s">
        <v>1242</v>
      </c>
      <c r="E1262" s="3" t="s">
        <v>1105</v>
      </c>
      <c r="F1262" s="4" t="s">
        <v>2662</v>
      </c>
      <c r="G1262" s="3" t="s">
        <v>2276</v>
      </c>
      <c r="H1262" s="3" t="s">
        <v>523</v>
      </c>
      <c r="I1262" s="3"/>
      <c r="J1262" s="3" t="s">
        <v>2276</v>
      </c>
      <c r="K1262" s="3" t="s">
        <v>2276</v>
      </c>
      <c r="L1262" s="3" t="s">
        <v>2276</v>
      </c>
      <c r="M1262" s="3" t="s">
        <v>2276</v>
      </c>
      <c r="N1262" s="3" t="s">
        <v>2276</v>
      </c>
      <c r="O1262" s="3" t="s">
        <v>2276</v>
      </c>
      <c r="P1262" s="3" t="s">
        <v>2276</v>
      </c>
      <c r="Q1262" s="3" t="s">
        <v>2276</v>
      </c>
      <c r="R1262" s="3" t="s">
        <v>2276</v>
      </c>
      <c r="S1262" s="3" t="s">
        <v>2276</v>
      </c>
      <c r="T1262" s="3" t="s">
        <v>2276</v>
      </c>
      <c r="U1262" s="3" t="s">
        <v>2276</v>
      </c>
      <c r="V1262" s="3" t="s">
        <v>2276</v>
      </c>
      <c r="W1262" s="3" t="s">
        <v>2276</v>
      </c>
      <c r="X1262" s="3" t="s">
        <v>2276</v>
      </c>
      <c r="Y1262" s="3" t="s">
        <v>2276</v>
      </c>
      <c r="Z1262" s="3" t="s">
        <v>68</v>
      </c>
      <c r="AA1262" s="3" t="s">
        <v>35</v>
      </c>
      <c r="AB1262" s="3" t="s">
        <v>64</v>
      </c>
      <c r="AC1262" s="4" t="s">
        <v>3814</v>
      </c>
      <c r="AD1262" s="3"/>
    </row>
    <row r="1263" spans="1:30" ht="67.5" customHeight="1">
      <c r="A1263" s="11" t="s">
        <v>3797</v>
      </c>
      <c r="B1263" s="11" t="s">
        <v>3802</v>
      </c>
      <c r="C1263" s="3" t="s">
        <v>24</v>
      </c>
      <c r="D1263" s="3" t="s">
        <v>27</v>
      </c>
      <c r="E1263" s="3" t="s">
        <v>130</v>
      </c>
      <c r="F1263" s="4" t="s">
        <v>161</v>
      </c>
      <c r="G1263" s="3" t="s">
        <v>2276</v>
      </c>
      <c r="H1263" s="3" t="s">
        <v>523</v>
      </c>
      <c r="I1263" s="3"/>
      <c r="J1263" s="3" t="s">
        <v>2276</v>
      </c>
      <c r="K1263" s="3" t="s">
        <v>2276</v>
      </c>
      <c r="L1263" s="3" t="s">
        <v>2276</v>
      </c>
      <c r="M1263" s="3" t="s">
        <v>2276</v>
      </c>
      <c r="N1263" s="3" t="s">
        <v>2276</v>
      </c>
      <c r="O1263" s="3" t="s">
        <v>2276</v>
      </c>
      <c r="P1263" s="3" t="s">
        <v>2276</v>
      </c>
      <c r="Q1263" s="3" t="s">
        <v>2276</v>
      </c>
      <c r="R1263" s="3" t="s">
        <v>2276</v>
      </c>
      <c r="S1263" s="3" t="s">
        <v>2276</v>
      </c>
      <c r="T1263" s="3" t="s">
        <v>2276</v>
      </c>
      <c r="U1263" s="3" t="s">
        <v>2276</v>
      </c>
      <c r="V1263" s="3" t="s">
        <v>2276</v>
      </c>
      <c r="W1263" s="3" t="s">
        <v>2276</v>
      </c>
      <c r="X1263" s="3" t="s">
        <v>2276</v>
      </c>
      <c r="Y1263" s="3" t="s">
        <v>2276</v>
      </c>
      <c r="Z1263" s="3" t="s">
        <v>127</v>
      </c>
      <c r="AA1263" s="3" t="s">
        <v>399</v>
      </c>
      <c r="AB1263" s="3" t="s">
        <v>64</v>
      </c>
      <c r="AC1263" s="4" t="s">
        <v>3808</v>
      </c>
      <c r="AD1263" s="4"/>
    </row>
    <row r="1264" spans="1:30" ht="62" customHeight="1">
      <c r="A1264" s="19" t="s">
        <v>3797</v>
      </c>
      <c r="B1264" s="11" t="s">
        <v>3804</v>
      </c>
      <c r="C1264" s="4" t="s">
        <v>24</v>
      </c>
      <c r="D1264" s="4" t="s">
        <v>27</v>
      </c>
      <c r="E1264" s="4" t="s">
        <v>130</v>
      </c>
      <c r="F1264" s="4" t="s">
        <v>28</v>
      </c>
      <c r="G1264" s="3" t="s">
        <v>2276</v>
      </c>
      <c r="H1264" s="3" t="s">
        <v>523</v>
      </c>
      <c r="I1264" s="3"/>
      <c r="J1264" s="3" t="s">
        <v>2276</v>
      </c>
      <c r="K1264" s="3" t="s">
        <v>2276</v>
      </c>
      <c r="L1264" s="3" t="s">
        <v>2276</v>
      </c>
      <c r="M1264" s="3" t="s">
        <v>2276</v>
      </c>
      <c r="N1264" s="3" t="s">
        <v>2276</v>
      </c>
      <c r="O1264" s="3" t="s">
        <v>2276</v>
      </c>
      <c r="P1264" s="3" t="s">
        <v>2276</v>
      </c>
      <c r="Q1264" s="3" t="s">
        <v>2276</v>
      </c>
      <c r="R1264" s="3" t="s">
        <v>2276</v>
      </c>
      <c r="S1264" s="3" t="s">
        <v>2276</v>
      </c>
      <c r="T1264" s="3" t="s">
        <v>2276</v>
      </c>
      <c r="U1264" s="3" t="s">
        <v>2276</v>
      </c>
      <c r="V1264" s="3" t="s">
        <v>2276</v>
      </c>
      <c r="W1264" s="3" t="s">
        <v>2276</v>
      </c>
      <c r="X1264" s="3" t="s">
        <v>2276</v>
      </c>
      <c r="Y1264" s="3" t="s">
        <v>2276</v>
      </c>
      <c r="Z1264" s="3" t="s">
        <v>38</v>
      </c>
      <c r="AA1264" s="3" t="s">
        <v>86</v>
      </c>
      <c r="AB1264" s="3" t="s">
        <v>64</v>
      </c>
      <c r="AC1264" s="4" t="s">
        <v>3813</v>
      </c>
      <c r="AD1264" s="3"/>
    </row>
    <row r="1265" spans="1:30" ht="46.5" customHeight="1">
      <c r="A1265" s="19" t="s">
        <v>3797</v>
      </c>
      <c r="B1265" s="11" t="s">
        <v>3805</v>
      </c>
      <c r="C1265" s="4" t="s">
        <v>24</v>
      </c>
      <c r="D1265" s="4" t="s">
        <v>25</v>
      </c>
      <c r="E1265" s="4" t="s">
        <v>45</v>
      </c>
      <c r="F1265" s="4" t="s">
        <v>2662</v>
      </c>
      <c r="G1265" s="3" t="s">
        <v>2276</v>
      </c>
      <c r="H1265" s="3" t="s">
        <v>523</v>
      </c>
      <c r="I1265" s="3"/>
      <c r="J1265" s="3" t="s">
        <v>2276</v>
      </c>
      <c r="K1265" s="3" t="s">
        <v>2276</v>
      </c>
      <c r="L1265" s="3" t="s">
        <v>2276</v>
      </c>
      <c r="M1265" s="3" t="s">
        <v>2276</v>
      </c>
      <c r="N1265" s="3" t="s">
        <v>2276</v>
      </c>
      <c r="O1265" s="3" t="s">
        <v>2276</v>
      </c>
      <c r="P1265" s="3" t="s">
        <v>2276</v>
      </c>
      <c r="Q1265" s="3" t="s">
        <v>2276</v>
      </c>
      <c r="R1265" s="3" t="s">
        <v>2276</v>
      </c>
      <c r="S1265" s="3" t="s">
        <v>2276</v>
      </c>
      <c r="T1265" s="3" t="s">
        <v>2276</v>
      </c>
      <c r="U1265" s="3" t="s">
        <v>2276</v>
      </c>
      <c r="V1265" s="3" t="s">
        <v>2276</v>
      </c>
      <c r="W1265" s="3" t="s">
        <v>2276</v>
      </c>
      <c r="X1265" s="3" t="s">
        <v>2276</v>
      </c>
      <c r="Y1265" s="3" t="s">
        <v>2276</v>
      </c>
      <c r="Z1265" s="3" t="s">
        <v>2276</v>
      </c>
      <c r="AA1265" s="3" t="s">
        <v>2276</v>
      </c>
      <c r="AB1265" s="3" t="s">
        <v>2276</v>
      </c>
      <c r="AC1265" s="3"/>
      <c r="AD1265" s="3"/>
    </row>
    <row r="1266" spans="1:30" ht="47.5" customHeight="1">
      <c r="A1266" s="19" t="s">
        <v>3797</v>
      </c>
      <c r="B1266" s="11" t="s">
        <v>3806</v>
      </c>
      <c r="C1266" s="4" t="s">
        <v>24</v>
      </c>
      <c r="D1266" s="4" t="s">
        <v>1245</v>
      </c>
      <c r="E1266" s="4" t="s">
        <v>116</v>
      </c>
      <c r="F1266" s="4" t="s">
        <v>2662</v>
      </c>
      <c r="G1266" s="3" t="s">
        <v>2276</v>
      </c>
      <c r="H1266" s="3" t="s">
        <v>523</v>
      </c>
      <c r="I1266" s="3"/>
      <c r="J1266" s="3" t="s">
        <v>2276</v>
      </c>
      <c r="K1266" s="3" t="s">
        <v>2276</v>
      </c>
      <c r="L1266" s="3" t="s">
        <v>2276</v>
      </c>
      <c r="M1266" s="3" t="s">
        <v>2276</v>
      </c>
      <c r="N1266" s="3" t="s">
        <v>2276</v>
      </c>
      <c r="O1266" s="3" t="s">
        <v>2276</v>
      </c>
      <c r="P1266" s="3" t="s">
        <v>2276</v>
      </c>
      <c r="Q1266" s="3" t="s">
        <v>2276</v>
      </c>
      <c r="R1266" s="3" t="s">
        <v>2276</v>
      </c>
      <c r="S1266" s="3" t="s">
        <v>2276</v>
      </c>
      <c r="T1266" s="3" t="s">
        <v>2276</v>
      </c>
      <c r="U1266" s="3" t="s">
        <v>2276</v>
      </c>
      <c r="V1266" s="3" t="s">
        <v>2276</v>
      </c>
      <c r="W1266" s="3" t="s">
        <v>2276</v>
      </c>
      <c r="X1266" s="3" t="s">
        <v>2276</v>
      </c>
      <c r="Y1266" s="3" t="s">
        <v>2276</v>
      </c>
      <c r="Z1266" s="3" t="s">
        <v>2276</v>
      </c>
      <c r="AA1266" s="3" t="s">
        <v>2276</v>
      </c>
      <c r="AB1266" s="3" t="s">
        <v>2276</v>
      </c>
      <c r="AC1266" s="3"/>
      <c r="AD1266" s="3"/>
    </row>
    <row r="1267" spans="1:30" ht="41.5" customHeight="1">
      <c r="A1267" s="19" t="s">
        <v>3797</v>
      </c>
      <c r="B1267" s="11" t="s">
        <v>3809</v>
      </c>
      <c r="C1267" s="3" t="s">
        <v>2658</v>
      </c>
      <c r="D1267" s="3" t="s">
        <v>2276</v>
      </c>
      <c r="E1267" s="3" t="s">
        <v>2276</v>
      </c>
      <c r="F1267" s="4" t="s">
        <v>74</v>
      </c>
      <c r="G1267" s="3" t="s">
        <v>74</v>
      </c>
      <c r="H1267" s="3" t="s">
        <v>523</v>
      </c>
      <c r="I1267" s="3"/>
      <c r="J1267" s="3" t="s">
        <v>2276</v>
      </c>
      <c r="K1267" s="3" t="s">
        <v>2276</v>
      </c>
      <c r="L1267" s="3" t="s">
        <v>2276</v>
      </c>
      <c r="M1267" s="3" t="s">
        <v>2276</v>
      </c>
      <c r="N1267" s="3" t="s">
        <v>2276</v>
      </c>
      <c r="O1267" s="3" t="s">
        <v>2276</v>
      </c>
      <c r="P1267" s="3" t="s">
        <v>2276</v>
      </c>
      <c r="Q1267" s="3" t="s">
        <v>2276</v>
      </c>
      <c r="R1267" s="3" t="s">
        <v>2276</v>
      </c>
      <c r="S1267" s="3" t="s">
        <v>2276</v>
      </c>
      <c r="T1267" s="3" t="s">
        <v>2276</v>
      </c>
      <c r="U1267" s="3" t="s">
        <v>2276</v>
      </c>
      <c r="V1267" s="3" t="s">
        <v>2276</v>
      </c>
      <c r="W1267" s="3" t="s">
        <v>2276</v>
      </c>
      <c r="X1267" s="3" t="s">
        <v>2276</v>
      </c>
      <c r="Y1267" s="3" t="s">
        <v>2276</v>
      </c>
      <c r="Z1267" s="3" t="s">
        <v>68</v>
      </c>
      <c r="AA1267" s="3" t="s">
        <v>38</v>
      </c>
      <c r="AB1267" s="3" t="s">
        <v>76</v>
      </c>
      <c r="AC1267" s="3"/>
      <c r="AD1267" s="4" t="s">
        <v>3807</v>
      </c>
    </row>
    <row r="1268" spans="1:30" ht="37" customHeight="1">
      <c r="A1268" s="19" t="s">
        <v>3816</v>
      </c>
      <c r="B1268" s="11" t="s">
        <v>3818</v>
      </c>
      <c r="C1268" s="3" t="s">
        <v>24</v>
      </c>
      <c r="D1268" s="3" t="s">
        <v>1242</v>
      </c>
      <c r="E1268" s="3" t="s">
        <v>1105</v>
      </c>
      <c r="F1268" s="4" t="s">
        <v>2662</v>
      </c>
      <c r="G1268" s="3" t="s">
        <v>2276</v>
      </c>
      <c r="H1268" s="3" t="s">
        <v>523</v>
      </c>
      <c r="I1268" s="3"/>
      <c r="J1268" s="3" t="s">
        <v>2276</v>
      </c>
      <c r="K1268" s="3" t="s">
        <v>2276</v>
      </c>
      <c r="L1268" s="3" t="s">
        <v>2276</v>
      </c>
      <c r="M1268" s="3" t="s">
        <v>2276</v>
      </c>
      <c r="N1268" s="3" t="s">
        <v>2276</v>
      </c>
      <c r="O1268" s="3" t="s">
        <v>2276</v>
      </c>
      <c r="P1268" s="3" t="s">
        <v>2276</v>
      </c>
      <c r="Q1268" s="3" t="s">
        <v>2276</v>
      </c>
      <c r="R1268" s="3" t="s">
        <v>2276</v>
      </c>
      <c r="S1268" s="3" t="s">
        <v>2276</v>
      </c>
      <c r="T1268" s="3" t="s">
        <v>2276</v>
      </c>
      <c r="U1268" s="3" t="s">
        <v>2276</v>
      </c>
      <c r="V1268" s="3" t="s">
        <v>2276</v>
      </c>
      <c r="W1268" s="3" t="s">
        <v>2276</v>
      </c>
      <c r="X1268" s="3" t="s">
        <v>2276</v>
      </c>
      <c r="Y1268" s="3" t="s">
        <v>2276</v>
      </c>
      <c r="Z1268" s="3" t="s">
        <v>68</v>
      </c>
      <c r="AA1268" s="3" t="s">
        <v>127</v>
      </c>
      <c r="AB1268" s="3" t="s">
        <v>64</v>
      </c>
      <c r="AC1268" s="3"/>
      <c r="AD1268" s="3"/>
    </row>
    <row r="1269" spans="1:30" ht="37" customHeight="1">
      <c r="A1269" s="19" t="s">
        <v>3816</v>
      </c>
      <c r="B1269" s="11" t="s">
        <v>3819</v>
      </c>
      <c r="C1269" s="4" t="s">
        <v>24</v>
      </c>
      <c r="D1269" s="4" t="s">
        <v>25</v>
      </c>
      <c r="E1269" s="4" t="s">
        <v>45</v>
      </c>
      <c r="F1269" s="4" t="s">
        <v>2662</v>
      </c>
      <c r="G1269" s="3" t="s">
        <v>2276</v>
      </c>
      <c r="H1269" s="3" t="s">
        <v>523</v>
      </c>
      <c r="I1269" s="3"/>
      <c r="J1269" s="3" t="s">
        <v>2276</v>
      </c>
      <c r="K1269" s="3" t="s">
        <v>2276</v>
      </c>
      <c r="L1269" s="3" t="s">
        <v>2276</v>
      </c>
      <c r="M1269" s="3" t="s">
        <v>2276</v>
      </c>
      <c r="N1269" s="3" t="s">
        <v>2276</v>
      </c>
      <c r="O1269" s="3" t="s">
        <v>2276</v>
      </c>
      <c r="P1269" s="3" t="s">
        <v>2276</v>
      </c>
      <c r="Q1269" s="3" t="s">
        <v>2276</v>
      </c>
      <c r="R1269" s="3" t="s">
        <v>2276</v>
      </c>
      <c r="S1269" s="3" t="s">
        <v>2276</v>
      </c>
      <c r="T1269" s="3" t="s">
        <v>2276</v>
      </c>
      <c r="U1269" s="3" t="s">
        <v>2276</v>
      </c>
      <c r="V1269" s="3" t="s">
        <v>2276</v>
      </c>
      <c r="W1269" s="3" t="s">
        <v>2276</v>
      </c>
      <c r="X1269" s="3" t="s">
        <v>2276</v>
      </c>
      <c r="Y1269" s="3" t="s">
        <v>2276</v>
      </c>
      <c r="Z1269" s="3" t="s">
        <v>68</v>
      </c>
      <c r="AA1269" s="3" t="s">
        <v>127</v>
      </c>
      <c r="AB1269" s="3" t="s">
        <v>64</v>
      </c>
      <c r="AC1269" s="3"/>
      <c r="AD1269" s="3"/>
    </row>
    <row r="1270" spans="1:30" ht="37" customHeight="1">
      <c r="A1270" s="19" t="s">
        <v>3816</v>
      </c>
      <c r="B1270" s="11" t="s">
        <v>3820</v>
      </c>
      <c r="C1270" s="4" t="s">
        <v>24</v>
      </c>
      <c r="D1270" s="4" t="s">
        <v>26</v>
      </c>
      <c r="E1270" s="4" t="s">
        <v>1105</v>
      </c>
      <c r="F1270" s="4" t="s">
        <v>2662</v>
      </c>
      <c r="G1270" s="3" t="s">
        <v>2276</v>
      </c>
      <c r="H1270" s="3" t="s">
        <v>523</v>
      </c>
      <c r="I1270" s="3"/>
      <c r="J1270" s="3" t="s">
        <v>2276</v>
      </c>
      <c r="K1270" s="3" t="s">
        <v>2276</v>
      </c>
      <c r="L1270" s="3" t="s">
        <v>2276</v>
      </c>
      <c r="M1270" s="3" t="s">
        <v>2276</v>
      </c>
      <c r="N1270" s="3" t="s">
        <v>2276</v>
      </c>
      <c r="O1270" s="3" t="s">
        <v>2276</v>
      </c>
      <c r="P1270" s="3" t="s">
        <v>2276</v>
      </c>
      <c r="Q1270" s="3" t="s">
        <v>2276</v>
      </c>
      <c r="R1270" s="3" t="s">
        <v>2276</v>
      </c>
      <c r="S1270" s="3" t="s">
        <v>2276</v>
      </c>
      <c r="T1270" s="3" t="s">
        <v>2276</v>
      </c>
      <c r="U1270" s="3" t="s">
        <v>2276</v>
      </c>
      <c r="V1270" s="3" t="s">
        <v>2276</v>
      </c>
      <c r="W1270" s="3" t="s">
        <v>2276</v>
      </c>
      <c r="X1270" s="3" t="s">
        <v>2276</v>
      </c>
      <c r="Y1270" s="3" t="s">
        <v>2276</v>
      </c>
      <c r="Z1270" s="3" t="s">
        <v>68</v>
      </c>
      <c r="AA1270" s="3" t="s">
        <v>127</v>
      </c>
      <c r="AB1270" s="3" t="s">
        <v>64</v>
      </c>
      <c r="AC1270" s="3"/>
      <c r="AD1270" s="3"/>
    </row>
    <row r="1271" spans="1:30" ht="37" customHeight="1">
      <c r="A1271" s="19" t="s">
        <v>3816</v>
      </c>
      <c r="B1271" s="11" t="s">
        <v>3821</v>
      </c>
      <c r="C1271" s="4" t="s">
        <v>24</v>
      </c>
      <c r="D1271" s="4" t="s">
        <v>1245</v>
      </c>
      <c r="E1271" s="4" t="s">
        <v>116</v>
      </c>
      <c r="F1271" s="4" t="s">
        <v>2662</v>
      </c>
      <c r="G1271" s="3" t="s">
        <v>2276</v>
      </c>
      <c r="H1271" s="3" t="s">
        <v>523</v>
      </c>
      <c r="I1271" s="3"/>
      <c r="J1271" s="3" t="s">
        <v>2276</v>
      </c>
      <c r="K1271" s="3" t="s">
        <v>2276</v>
      </c>
      <c r="L1271" s="3" t="s">
        <v>2276</v>
      </c>
      <c r="M1271" s="3" t="s">
        <v>2276</v>
      </c>
      <c r="N1271" s="3" t="s">
        <v>2276</v>
      </c>
      <c r="O1271" s="3" t="s">
        <v>2276</v>
      </c>
      <c r="P1271" s="3" t="s">
        <v>2276</v>
      </c>
      <c r="Q1271" s="3" t="s">
        <v>2276</v>
      </c>
      <c r="R1271" s="3" t="s">
        <v>2276</v>
      </c>
      <c r="S1271" s="3" t="s">
        <v>2276</v>
      </c>
      <c r="T1271" s="3" t="s">
        <v>2276</v>
      </c>
      <c r="U1271" s="3" t="s">
        <v>2276</v>
      </c>
      <c r="V1271" s="3" t="s">
        <v>2276</v>
      </c>
      <c r="W1271" s="3" t="s">
        <v>2276</v>
      </c>
      <c r="X1271" s="3" t="s">
        <v>2276</v>
      </c>
      <c r="Y1271" s="3" t="s">
        <v>2276</v>
      </c>
      <c r="Z1271" s="3" t="s">
        <v>68</v>
      </c>
      <c r="AA1271" s="3" t="s">
        <v>127</v>
      </c>
      <c r="AB1271" s="3" t="s">
        <v>64</v>
      </c>
      <c r="AC1271" s="3"/>
      <c r="AD1271" s="3"/>
    </row>
    <row r="1272" spans="1:30" ht="32.5" customHeight="1">
      <c r="A1272" s="19" t="s">
        <v>3816</v>
      </c>
      <c r="B1272" s="11" t="s">
        <v>3822</v>
      </c>
      <c r="C1272" s="3" t="s">
        <v>24</v>
      </c>
      <c r="D1272" s="3" t="s">
        <v>27</v>
      </c>
      <c r="E1272" s="3" t="s">
        <v>130</v>
      </c>
      <c r="F1272" s="4" t="s">
        <v>161</v>
      </c>
      <c r="G1272" s="3" t="s">
        <v>2276</v>
      </c>
      <c r="H1272" s="3" t="s">
        <v>523</v>
      </c>
      <c r="I1272" s="3"/>
      <c r="J1272" s="3" t="s">
        <v>2276</v>
      </c>
      <c r="K1272" s="3" t="s">
        <v>2276</v>
      </c>
      <c r="L1272" s="3" t="s">
        <v>2276</v>
      </c>
      <c r="M1272" s="3" t="s">
        <v>2276</v>
      </c>
      <c r="N1272" s="3" t="s">
        <v>2276</v>
      </c>
      <c r="O1272" s="3" t="s">
        <v>2276</v>
      </c>
      <c r="P1272" s="3" t="s">
        <v>2276</v>
      </c>
      <c r="Q1272" s="3" t="s">
        <v>2276</v>
      </c>
      <c r="R1272" s="3" t="s">
        <v>2276</v>
      </c>
      <c r="S1272" s="3" t="s">
        <v>2276</v>
      </c>
      <c r="T1272" s="3" t="s">
        <v>2276</v>
      </c>
      <c r="U1272" s="3" t="s">
        <v>2276</v>
      </c>
      <c r="V1272" s="3" t="s">
        <v>2276</v>
      </c>
      <c r="W1272" s="3" t="s">
        <v>2276</v>
      </c>
      <c r="X1272" s="3" t="s">
        <v>2276</v>
      </c>
      <c r="Y1272" s="3" t="s">
        <v>2276</v>
      </c>
      <c r="Z1272" s="3" t="s">
        <v>127</v>
      </c>
      <c r="AA1272" s="3" t="s">
        <v>399</v>
      </c>
      <c r="AB1272" s="3" t="s">
        <v>64</v>
      </c>
      <c r="AC1272" s="3"/>
      <c r="AD1272" s="3"/>
    </row>
    <row r="1273" spans="1:30" ht="33.5" customHeight="1">
      <c r="A1273" s="19" t="s">
        <v>3816</v>
      </c>
      <c r="B1273" s="11" t="s">
        <v>3823</v>
      </c>
      <c r="C1273" s="4" t="s">
        <v>24</v>
      </c>
      <c r="D1273" s="4" t="s">
        <v>1242</v>
      </c>
      <c r="E1273" s="4" t="s">
        <v>130</v>
      </c>
      <c r="F1273" s="4" t="s">
        <v>161</v>
      </c>
      <c r="G1273" s="3" t="s">
        <v>2276</v>
      </c>
      <c r="H1273" s="3" t="s">
        <v>523</v>
      </c>
      <c r="I1273" s="3"/>
      <c r="J1273" s="3" t="s">
        <v>2276</v>
      </c>
      <c r="K1273" s="3" t="s">
        <v>2276</v>
      </c>
      <c r="L1273" s="3" t="s">
        <v>2276</v>
      </c>
      <c r="M1273" s="3" t="s">
        <v>2276</v>
      </c>
      <c r="N1273" s="3" t="s">
        <v>2276</v>
      </c>
      <c r="O1273" s="3" t="s">
        <v>2276</v>
      </c>
      <c r="P1273" s="3" t="s">
        <v>2276</v>
      </c>
      <c r="Q1273" s="3" t="s">
        <v>2276</v>
      </c>
      <c r="R1273" s="3" t="s">
        <v>2276</v>
      </c>
      <c r="S1273" s="3" t="s">
        <v>2276</v>
      </c>
      <c r="T1273" s="3" t="s">
        <v>2276</v>
      </c>
      <c r="U1273" s="3" t="s">
        <v>2276</v>
      </c>
      <c r="V1273" s="3" t="s">
        <v>2276</v>
      </c>
      <c r="W1273" s="3" t="s">
        <v>2276</v>
      </c>
      <c r="X1273" s="3" t="s">
        <v>2276</v>
      </c>
      <c r="Y1273" s="3" t="s">
        <v>2276</v>
      </c>
      <c r="Z1273" s="3" t="s">
        <v>127</v>
      </c>
      <c r="AA1273" s="3" t="s">
        <v>399</v>
      </c>
      <c r="AB1273" s="3" t="s">
        <v>64</v>
      </c>
      <c r="AC1273" s="3"/>
      <c r="AD1273" s="3"/>
    </row>
    <row r="1274" spans="1:30" ht="38" customHeight="1">
      <c r="A1274" s="19" t="s">
        <v>3816</v>
      </c>
      <c r="B1274" s="11" t="s">
        <v>3824</v>
      </c>
      <c r="C1274" s="3" t="s">
        <v>24</v>
      </c>
      <c r="D1274" s="3" t="s">
        <v>61</v>
      </c>
      <c r="E1274" s="3" t="s">
        <v>116</v>
      </c>
      <c r="F1274" s="4" t="s">
        <v>74</v>
      </c>
      <c r="G1274" s="3" t="s">
        <v>74</v>
      </c>
      <c r="H1274" s="3" t="s">
        <v>523</v>
      </c>
      <c r="I1274" s="3"/>
      <c r="J1274" s="3" t="s">
        <v>2276</v>
      </c>
      <c r="K1274" s="3" t="s">
        <v>2276</v>
      </c>
      <c r="L1274" s="3" t="s">
        <v>2276</v>
      </c>
      <c r="M1274" s="3" t="s">
        <v>2276</v>
      </c>
      <c r="N1274" s="3" t="s">
        <v>2276</v>
      </c>
      <c r="O1274" s="3" t="s">
        <v>2276</v>
      </c>
      <c r="P1274" s="3" t="s">
        <v>2276</v>
      </c>
      <c r="Q1274" s="3" t="s">
        <v>2276</v>
      </c>
      <c r="R1274" s="3" t="s">
        <v>2276</v>
      </c>
      <c r="S1274" s="3" t="s">
        <v>2276</v>
      </c>
      <c r="T1274" s="3" t="s">
        <v>2276</v>
      </c>
      <c r="U1274" s="3" t="s">
        <v>2276</v>
      </c>
      <c r="V1274" s="3" t="s">
        <v>2276</v>
      </c>
      <c r="W1274" s="3" t="s">
        <v>2276</v>
      </c>
      <c r="X1274" s="3" t="s">
        <v>2276</v>
      </c>
      <c r="Y1274" s="3" t="s">
        <v>2276</v>
      </c>
      <c r="Z1274" s="3" t="s">
        <v>399</v>
      </c>
      <c r="AA1274" s="3" t="s">
        <v>38</v>
      </c>
      <c r="AB1274" s="3" t="s">
        <v>64</v>
      </c>
      <c r="AC1274" s="3"/>
      <c r="AD1274" s="3"/>
    </row>
    <row r="1275" spans="1:30" ht="42" customHeight="1">
      <c r="A1275" s="19" t="s">
        <v>3816</v>
      </c>
      <c r="B1275" s="11" t="s">
        <v>3826</v>
      </c>
      <c r="C1275" s="3" t="s">
        <v>31</v>
      </c>
      <c r="D1275" s="3" t="s">
        <v>2276</v>
      </c>
      <c r="E1275" s="3" t="s">
        <v>1105</v>
      </c>
      <c r="F1275" s="4" t="s">
        <v>2276</v>
      </c>
      <c r="G1275" s="3" t="s">
        <v>74</v>
      </c>
      <c r="H1275" s="3" t="s">
        <v>523</v>
      </c>
      <c r="I1275" s="3"/>
      <c r="J1275" s="3" t="s">
        <v>2276</v>
      </c>
      <c r="K1275" s="3" t="s">
        <v>2276</v>
      </c>
      <c r="L1275" s="3" t="s">
        <v>2276</v>
      </c>
      <c r="M1275" s="3" t="s">
        <v>2276</v>
      </c>
      <c r="N1275" s="3" t="s">
        <v>2276</v>
      </c>
      <c r="O1275" s="3" t="s">
        <v>2276</v>
      </c>
      <c r="P1275" s="3" t="s">
        <v>2276</v>
      </c>
      <c r="Q1275" s="3" t="s">
        <v>2276</v>
      </c>
      <c r="R1275" s="3" t="s">
        <v>2276</v>
      </c>
      <c r="S1275" s="3" t="s">
        <v>2276</v>
      </c>
      <c r="T1275" s="3" t="s">
        <v>2276</v>
      </c>
      <c r="U1275" s="3" t="s">
        <v>2276</v>
      </c>
      <c r="V1275" s="3" t="s">
        <v>2276</v>
      </c>
      <c r="W1275" s="3" t="s">
        <v>2276</v>
      </c>
      <c r="X1275" s="3" t="s">
        <v>2276</v>
      </c>
      <c r="Y1275" s="3" t="s">
        <v>2276</v>
      </c>
      <c r="Z1275" s="3" t="s">
        <v>399</v>
      </c>
      <c r="AA1275" s="3" t="s">
        <v>38</v>
      </c>
      <c r="AB1275" s="3" t="s">
        <v>64</v>
      </c>
      <c r="AC1275" s="3"/>
      <c r="AD1275" s="3"/>
    </row>
    <row r="1276" spans="1:30" ht="41" customHeight="1">
      <c r="A1276" s="19" t="s">
        <v>3816</v>
      </c>
      <c r="B1276" s="11" t="s">
        <v>3827</v>
      </c>
      <c r="C1276" s="3" t="s">
        <v>24</v>
      </c>
      <c r="D1276" s="3" t="s">
        <v>27</v>
      </c>
      <c r="E1276" s="3" t="s">
        <v>130</v>
      </c>
      <c r="F1276" s="4" t="s">
        <v>74</v>
      </c>
      <c r="G1276" s="3" t="s">
        <v>2276</v>
      </c>
      <c r="H1276" s="3" t="s">
        <v>523</v>
      </c>
      <c r="I1276" s="3"/>
      <c r="J1276" s="3" t="s">
        <v>2276</v>
      </c>
      <c r="K1276" s="3" t="s">
        <v>2276</v>
      </c>
      <c r="L1276" s="3" t="s">
        <v>2276</v>
      </c>
      <c r="M1276" s="3" t="s">
        <v>2276</v>
      </c>
      <c r="N1276" s="3" t="s">
        <v>2276</v>
      </c>
      <c r="O1276" s="3" t="s">
        <v>2276</v>
      </c>
      <c r="P1276" s="3" t="s">
        <v>2276</v>
      </c>
      <c r="Q1276" s="3" t="s">
        <v>2276</v>
      </c>
      <c r="R1276" s="3" t="s">
        <v>2276</v>
      </c>
      <c r="S1276" s="3" t="s">
        <v>2276</v>
      </c>
      <c r="T1276" s="3" t="s">
        <v>2276</v>
      </c>
      <c r="U1276" s="3" t="s">
        <v>2276</v>
      </c>
      <c r="V1276" s="3" t="s">
        <v>2276</v>
      </c>
      <c r="W1276" s="3" t="s">
        <v>2276</v>
      </c>
      <c r="X1276" s="3" t="s">
        <v>2276</v>
      </c>
      <c r="Y1276" s="3" t="s">
        <v>2276</v>
      </c>
      <c r="Z1276" s="3" t="s">
        <v>188</v>
      </c>
      <c r="AA1276" s="3" t="s">
        <v>38</v>
      </c>
      <c r="AB1276" s="3" t="s">
        <v>64</v>
      </c>
      <c r="AC1276" s="3"/>
      <c r="AD1276" s="3"/>
    </row>
    <row r="1277" spans="1:30" ht="43.5" customHeight="1">
      <c r="A1277" s="19" t="s">
        <v>3832</v>
      </c>
      <c r="B1277" s="11" t="s">
        <v>3838</v>
      </c>
      <c r="C1277" s="3" t="s">
        <v>24</v>
      </c>
      <c r="D1277" s="3" t="s">
        <v>3476</v>
      </c>
      <c r="E1277" s="3" t="s">
        <v>116</v>
      </c>
      <c r="F1277" s="4" t="s">
        <v>2662</v>
      </c>
      <c r="G1277" s="3" t="s">
        <v>2276</v>
      </c>
      <c r="H1277" s="3" t="s">
        <v>524</v>
      </c>
      <c r="I1277" s="3"/>
      <c r="J1277" s="21">
        <v>0</v>
      </c>
      <c r="K1277" s="21">
        <v>0</v>
      </c>
      <c r="L1277" s="21">
        <v>0</v>
      </c>
      <c r="M1277" s="21">
        <v>0</v>
      </c>
      <c r="N1277" s="21">
        <v>0</v>
      </c>
      <c r="O1277" s="21">
        <v>0</v>
      </c>
      <c r="P1277" s="21">
        <v>0</v>
      </c>
      <c r="Q1277" s="21">
        <v>0</v>
      </c>
      <c r="R1277" s="21">
        <v>0</v>
      </c>
      <c r="S1277" s="21">
        <v>0</v>
      </c>
      <c r="T1277" s="21">
        <v>0</v>
      </c>
      <c r="U1277" s="21">
        <v>0</v>
      </c>
      <c r="V1277" s="21">
        <v>0</v>
      </c>
      <c r="W1277" s="21">
        <v>0</v>
      </c>
      <c r="X1277" s="21">
        <v>0</v>
      </c>
      <c r="Y1277" s="21">
        <v>0</v>
      </c>
      <c r="Z1277" s="3" t="s">
        <v>2276</v>
      </c>
      <c r="AA1277" s="3" t="s">
        <v>2276</v>
      </c>
      <c r="AB1277" s="3" t="s">
        <v>2276</v>
      </c>
      <c r="AC1277" s="3"/>
      <c r="AD1277" s="3"/>
    </row>
    <row r="1278" spans="1:30" ht="63.5" customHeight="1">
      <c r="A1278" s="19" t="s">
        <v>3841</v>
      </c>
      <c r="B1278" s="11" t="s">
        <v>3845</v>
      </c>
      <c r="C1278" s="3" t="s">
        <v>24</v>
      </c>
      <c r="D1278" s="3" t="s">
        <v>2804</v>
      </c>
      <c r="E1278" s="3" t="s">
        <v>5005</v>
      </c>
      <c r="F1278" s="4" t="s">
        <v>2662</v>
      </c>
      <c r="G1278" s="4" t="s">
        <v>2662</v>
      </c>
      <c r="H1278" s="3" t="s">
        <v>523</v>
      </c>
      <c r="I1278" s="3"/>
      <c r="J1278" s="3" t="s">
        <v>2276</v>
      </c>
      <c r="K1278" s="3" t="s">
        <v>2276</v>
      </c>
      <c r="L1278" s="3" t="s">
        <v>2276</v>
      </c>
      <c r="M1278" s="3" t="s">
        <v>2276</v>
      </c>
      <c r="N1278" s="3" t="s">
        <v>2276</v>
      </c>
      <c r="O1278" s="3" t="s">
        <v>2276</v>
      </c>
      <c r="P1278" s="3" t="s">
        <v>2276</v>
      </c>
      <c r="Q1278" s="3" t="s">
        <v>2276</v>
      </c>
      <c r="R1278" s="3" t="s">
        <v>2276</v>
      </c>
      <c r="S1278" s="3" t="s">
        <v>2276</v>
      </c>
      <c r="T1278" s="3" t="s">
        <v>2276</v>
      </c>
      <c r="U1278" s="3" t="s">
        <v>2276</v>
      </c>
      <c r="V1278" s="3" t="s">
        <v>2276</v>
      </c>
      <c r="W1278" s="3" t="s">
        <v>2276</v>
      </c>
      <c r="X1278" s="3" t="s">
        <v>2276</v>
      </c>
      <c r="Y1278" s="3" t="s">
        <v>2276</v>
      </c>
      <c r="Z1278" s="3" t="s">
        <v>2276</v>
      </c>
      <c r="AA1278" s="3" t="s">
        <v>2276</v>
      </c>
      <c r="AB1278" s="3" t="s">
        <v>2276</v>
      </c>
      <c r="AC1278" s="3"/>
      <c r="AD1278" s="4" t="s">
        <v>3846</v>
      </c>
    </row>
    <row r="1279" spans="1:30" ht="59.5" customHeight="1">
      <c r="A1279" s="19" t="s">
        <v>3841</v>
      </c>
      <c r="B1279" s="11" t="s">
        <v>3847</v>
      </c>
      <c r="C1279" s="3" t="s">
        <v>2656</v>
      </c>
      <c r="D1279" s="3" t="s">
        <v>2276</v>
      </c>
      <c r="E1279" s="3" t="s">
        <v>2276</v>
      </c>
      <c r="F1279" s="4" t="s">
        <v>2276</v>
      </c>
      <c r="G1279" s="3" t="s">
        <v>2276</v>
      </c>
      <c r="H1279" s="3" t="s">
        <v>524</v>
      </c>
      <c r="I1279" s="3"/>
      <c r="J1279" s="21">
        <v>0</v>
      </c>
      <c r="K1279" s="21">
        <v>0</v>
      </c>
      <c r="L1279" s="21">
        <v>0</v>
      </c>
      <c r="M1279" s="21">
        <v>0</v>
      </c>
      <c r="N1279" s="21">
        <v>0</v>
      </c>
      <c r="O1279" s="21">
        <v>0</v>
      </c>
      <c r="P1279" s="21">
        <v>0</v>
      </c>
      <c r="Q1279" s="21">
        <v>0</v>
      </c>
      <c r="R1279" s="21">
        <v>0</v>
      </c>
      <c r="S1279" s="21">
        <v>0</v>
      </c>
      <c r="T1279" s="21">
        <v>0</v>
      </c>
      <c r="U1279" s="21">
        <v>0</v>
      </c>
      <c r="V1279" s="21">
        <v>0</v>
      </c>
      <c r="W1279" s="21">
        <v>0</v>
      </c>
      <c r="X1279" s="21">
        <v>0</v>
      </c>
      <c r="Y1279" s="21">
        <v>0</v>
      </c>
      <c r="Z1279" s="3" t="s">
        <v>2276</v>
      </c>
      <c r="AA1279" s="3" t="s">
        <v>2276</v>
      </c>
      <c r="AB1279" s="3" t="s">
        <v>2276</v>
      </c>
      <c r="AC1279" s="3"/>
      <c r="AD1279" s="4" t="s">
        <v>3848</v>
      </c>
    </row>
    <row r="1280" spans="1:30" ht="101" customHeight="1">
      <c r="A1280" s="19" t="s">
        <v>3850</v>
      </c>
      <c r="B1280" s="11" t="s">
        <v>3857</v>
      </c>
      <c r="C1280" s="3" t="s">
        <v>24</v>
      </c>
      <c r="D1280" s="3" t="s">
        <v>25</v>
      </c>
      <c r="E1280" s="3" t="s">
        <v>2276</v>
      </c>
      <c r="F1280" s="4" t="s">
        <v>55</v>
      </c>
      <c r="G1280" s="3" t="s">
        <v>2276</v>
      </c>
      <c r="H1280" s="3" t="s">
        <v>524</v>
      </c>
      <c r="I1280" s="3"/>
      <c r="J1280" s="21">
        <v>0</v>
      </c>
      <c r="K1280" s="21">
        <v>0</v>
      </c>
      <c r="L1280" s="21">
        <v>0</v>
      </c>
      <c r="M1280" s="21">
        <v>0</v>
      </c>
      <c r="N1280" s="21">
        <v>0</v>
      </c>
      <c r="O1280" s="21">
        <v>0</v>
      </c>
      <c r="P1280" s="21">
        <v>0</v>
      </c>
      <c r="Q1280" s="21">
        <v>0</v>
      </c>
      <c r="R1280" s="21">
        <v>0</v>
      </c>
      <c r="S1280" s="21">
        <v>0</v>
      </c>
      <c r="T1280" s="21">
        <v>0</v>
      </c>
      <c r="U1280" s="21">
        <v>0</v>
      </c>
      <c r="V1280" s="21">
        <v>0</v>
      </c>
      <c r="W1280" s="21">
        <v>0</v>
      </c>
      <c r="X1280" s="21">
        <v>0</v>
      </c>
      <c r="Y1280" s="3" t="s">
        <v>2276</v>
      </c>
      <c r="Z1280" s="3" t="s">
        <v>2276</v>
      </c>
      <c r="AA1280" s="3" t="s">
        <v>2276</v>
      </c>
      <c r="AB1280" s="3" t="s">
        <v>2276</v>
      </c>
      <c r="AC1280" s="24" t="s">
        <v>3858</v>
      </c>
      <c r="AD1280" s="24" t="s">
        <v>3899</v>
      </c>
    </row>
    <row r="1281" spans="1:30" ht="52.5" customHeight="1">
      <c r="A1281" s="19" t="s">
        <v>3861</v>
      </c>
      <c r="B1281" s="11" t="s">
        <v>3865</v>
      </c>
      <c r="C1281" s="3" t="s">
        <v>1105</v>
      </c>
      <c r="D1281" s="3" t="s">
        <v>1105</v>
      </c>
      <c r="E1281" s="3" t="s">
        <v>116</v>
      </c>
      <c r="F1281" s="4" t="s">
        <v>2276</v>
      </c>
      <c r="G1281" s="3" t="s">
        <v>2276</v>
      </c>
      <c r="H1281" s="3" t="s">
        <v>523</v>
      </c>
      <c r="I1281" s="3">
        <v>1992</v>
      </c>
      <c r="J1281" s="3" t="s">
        <v>2276</v>
      </c>
      <c r="K1281" s="3" t="s">
        <v>2276</v>
      </c>
      <c r="L1281" s="3" t="s">
        <v>2276</v>
      </c>
      <c r="M1281" s="3" t="s">
        <v>2276</v>
      </c>
      <c r="N1281" s="3" t="s">
        <v>2276</v>
      </c>
      <c r="O1281" s="3" t="s">
        <v>2276</v>
      </c>
      <c r="P1281" s="3" t="s">
        <v>2276</v>
      </c>
      <c r="Q1281" s="3" t="s">
        <v>2276</v>
      </c>
      <c r="R1281" s="3" t="s">
        <v>2276</v>
      </c>
      <c r="S1281" s="3" t="s">
        <v>2276</v>
      </c>
      <c r="T1281" s="3" t="s">
        <v>2276</v>
      </c>
      <c r="U1281" s="3" t="s">
        <v>2276</v>
      </c>
      <c r="V1281" s="3" t="s">
        <v>2276</v>
      </c>
      <c r="W1281" s="3" t="s">
        <v>2276</v>
      </c>
      <c r="X1281" s="3" t="s">
        <v>2276</v>
      </c>
      <c r="Y1281" s="3" t="s">
        <v>2276</v>
      </c>
      <c r="Z1281" s="3" t="s">
        <v>399</v>
      </c>
      <c r="AA1281" s="3" t="s">
        <v>86</v>
      </c>
      <c r="AB1281" s="3" t="s">
        <v>2276</v>
      </c>
      <c r="AC1281" s="4" t="s">
        <v>3866</v>
      </c>
      <c r="AD1281" s="4" t="s">
        <v>3878</v>
      </c>
    </row>
    <row r="1282" spans="1:30" ht="52.5" customHeight="1">
      <c r="A1282" s="19" t="s">
        <v>3861</v>
      </c>
      <c r="B1282" s="11" t="s">
        <v>3867</v>
      </c>
      <c r="C1282" s="3" t="s">
        <v>1105</v>
      </c>
      <c r="D1282" s="3" t="s">
        <v>1105</v>
      </c>
      <c r="E1282" s="3" t="s">
        <v>116</v>
      </c>
      <c r="F1282" s="4" t="s">
        <v>2276</v>
      </c>
      <c r="G1282" s="3" t="s">
        <v>2276</v>
      </c>
      <c r="H1282" s="3" t="s">
        <v>523</v>
      </c>
      <c r="I1282" s="3">
        <v>1993</v>
      </c>
      <c r="J1282" s="3" t="s">
        <v>2276</v>
      </c>
      <c r="K1282" s="3" t="s">
        <v>2276</v>
      </c>
      <c r="L1282" s="3" t="s">
        <v>2276</v>
      </c>
      <c r="M1282" s="3" t="s">
        <v>2276</v>
      </c>
      <c r="N1282" s="3" t="s">
        <v>2276</v>
      </c>
      <c r="O1282" s="3" t="s">
        <v>2276</v>
      </c>
      <c r="P1282" s="3" t="s">
        <v>2276</v>
      </c>
      <c r="Q1282" s="3" t="s">
        <v>2276</v>
      </c>
      <c r="R1282" s="3" t="s">
        <v>2276</v>
      </c>
      <c r="S1282" s="3" t="s">
        <v>2276</v>
      </c>
      <c r="T1282" s="3" t="s">
        <v>2276</v>
      </c>
      <c r="U1282" s="3" t="s">
        <v>2276</v>
      </c>
      <c r="V1282" s="3" t="s">
        <v>2276</v>
      </c>
      <c r="W1282" s="3" t="s">
        <v>2276</v>
      </c>
      <c r="X1282" s="3" t="s">
        <v>2276</v>
      </c>
      <c r="Y1282" s="3" t="s">
        <v>2276</v>
      </c>
      <c r="Z1282" s="3" t="s">
        <v>399</v>
      </c>
      <c r="AA1282" s="3" t="s">
        <v>86</v>
      </c>
      <c r="AB1282" s="3" t="s">
        <v>2276</v>
      </c>
      <c r="AC1282" s="4" t="s">
        <v>3866</v>
      </c>
      <c r="AD1282" s="4" t="s">
        <v>3878</v>
      </c>
    </row>
    <row r="1283" spans="1:30" ht="52.5" customHeight="1">
      <c r="A1283" s="19" t="s">
        <v>3861</v>
      </c>
      <c r="B1283" s="11" t="s">
        <v>3868</v>
      </c>
      <c r="C1283" s="3" t="s">
        <v>1105</v>
      </c>
      <c r="D1283" s="3" t="s">
        <v>1105</v>
      </c>
      <c r="E1283" s="3" t="s">
        <v>116</v>
      </c>
      <c r="F1283" s="4" t="s">
        <v>2276</v>
      </c>
      <c r="G1283" s="3" t="s">
        <v>2276</v>
      </c>
      <c r="H1283" s="3" t="s">
        <v>523</v>
      </c>
      <c r="I1283" s="3">
        <v>1994</v>
      </c>
      <c r="J1283" s="3" t="s">
        <v>2276</v>
      </c>
      <c r="K1283" s="3" t="s">
        <v>2276</v>
      </c>
      <c r="L1283" s="3" t="s">
        <v>2276</v>
      </c>
      <c r="M1283" s="3" t="s">
        <v>2276</v>
      </c>
      <c r="N1283" s="3" t="s">
        <v>2276</v>
      </c>
      <c r="O1283" s="3" t="s">
        <v>2276</v>
      </c>
      <c r="P1283" s="3" t="s">
        <v>2276</v>
      </c>
      <c r="Q1283" s="3" t="s">
        <v>2276</v>
      </c>
      <c r="R1283" s="3" t="s">
        <v>2276</v>
      </c>
      <c r="S1283" s="3" t="s">
        <v>2276</v>
      </c>
      <c r="T1283" s="3" t="s">
        <v>2276</v>
      </c>
      <c r="U1283" s="3" t="s">
        <v>2276</v>
      </c>
      <c r="V1283" s="3" t="s">
        <v>2276</v>
      </c>
      <c r="W1283" s="3" t="s">
        <v>2276</v>
      </c>
      <c r="X1283" s="3" t="s">
        <v>2276</v>
      </c>
      <c r="Y1283" s="3" t="s">
        <v>2276</v>
      </c>
      <c r="Z1283" s="3" t="s">
        <v>399</v>
      </c>
      <c r="AA1283" s="3" t="s">
        <v>86</v>
      </c>
      <c r="AB1283" s="3" t="s">
        <v>2276</v>
      </c>
      <c r="AC1283" s="4" t="s">
        <v>3866</v>
      </c>
      <c r="AD1283" s="4" t="s">
        <v>3878</v>
      </c>
    </row>
    <row r="1284" spans="1:30" ht="52.5" customHeight="1">
      <c r="A1284" s="19" t="s">
        <v>3861</v>
      </c>
      <c r="B1284" s="11" t="s">
        <v>3869</v>
      </c>
      <c r="C1284" s="3" t="s">
        <v>1105</v>
      </c>
      <c r="D1284" s="3" t="s">
        <v>1105</v>
      </c>
      <c r="E1284" s="3" t="s">
        <v>116</v>
      </c>
      <c r="F1284" s="4" t="s">
        <v>2276</v>
      </c>
      <c r="G1284" s="3" t="s">
        <v>2276</v>
      </c>
      <c r="H1284" s="3" t="s">
        <v>523</v>
      </c>
      <c r="I1284" s="3">
        <v>1995</v>
      </c>
      <c r="J1284" s="3" t="s">
        <v>2276</v>
      </c>
      <c r="K1284" s="3" t="s">
        <v>2276</v>
      </c>
      <c r="L1284" s="3" t="s">
        <v>2276</v>
      </c>
      <c r="M1284" s="3" t="s">
        <v>2276</v>
      </c>
      <c r="N1284" s="3" t="s">
        <v>2276</v>
      </c>
      <c r="O1284" s="3" t="s">
        <v>2276</v>
      </c>
      <c r="P1284" s="3" t="s">
        <v>2276</v>
      </c>
      <c r="Q1284" s="3" t="s">
        <v>2276</v>
      </c>
      <c r="R1284" s="3" t="s">
        <v>2276</v>
      </c>
      <c r="S1284" s="3" t="s">
        <v>2276</v>
      </c>
      <c r="T1284" s="3" t="s">
        <v>2276</v>
      </c>
      <c r="U1284" s="3" t="s">
        <v>2276</v>
      </c>
      <c r="V1284" s="3" t="s">
        <v>2276</v>
      </c>
      <c r="W1284" s="3" t="s">
        <v>2276</v>
      </c>
      <c r="X1284" s="3" t="s">
        <v>2276</v>
      </c>
      <c r="Y1284" s="3" t="s">
        <v>2276</v>
      </c>
      <c r="Z1284" s="3" t="s">
        <v>399</v>
      </c>
      <c r="AA1284" s="3" t="s">
        <v>86</v>
      </c>
      <c r="AB1284" s="3" t="s">
        <v>2276</v>
      </c>
      <c r="AC1284" s="4" t="s">
        <v>3866</v>
      </c>
      <c r="AD1284" s="4" t="s">
        <v>3878</v>
      </c>
    </row>
    <row r="1285" spans="1:30" ht="52.5" customHeight="1">
      <c r="A1285" s="19" t="s">
        <v>3861</v>
      </c>
      <c r="B1285" s="11" t="s">
        <v>3870</v>
      </c>
      <c r="C1285" s="3" t="s">
        <v>1105</v>
      </c>
      <c r="D1285" s="3" t="s">
        <v>1105</v>
      </c>
      <c r="E1285" s="3" t="s">
        <v>116</v>
      </c>
      <c r="F1285" s="4" t="s">
        <v>2276</v>
      </c>
      <c r="G1285" s="3" t="s">
        <v>2276</v>
      </c>
      <c r="H1285" s="3" t="s">
        <v>523</v>
      </c>
      <c r="I1285" s="3">
        <v>1996</v>
      </c>
      <c r="J1285" s="3" t="s">
        <v>2276</v>
      </c>
      <c r="K1285" s="3" t="s">
        <v>2276</v>
      </c>
      <c r="L1285" s="3" t="s">
        <v>2276</v>
      </c>
      <c r="M1285" s="3" t="s">
        <v>2276</v>
      </c>
      <c r="N1285" s="3" t="s">
        <v>2276</v>
      </c>
      <c r="O1285" s="3" t="s">
        <v>2276</v>
      </c>
      <c r="P1285" s="3" t="s">
        <v>2276</v>
      </c>
      <c r="Q1285" s="3" t="s">
        <v>2276</v>
      </c>
      <c r="R1285" s="3" t="s">
        <v>2276</v>
      </c>
      <c r="S1285" s="3" t="s">
        <v>2276</v>
      </c>
      <c r="T1285" s="3" t="s">
        <v>2276</v>
      </c>
      <c r="U1285" s="3" t="s">
        <v>2276</v>
      </c>
      <c r="V1285" s="3" t="s">
        <v>2276</v>
      </c>
      <c r="W1285" s="3" t="s">
        <v>2276</v>
      </c>
      <c r="X1285" s="3" t="s">
        <v>2276</v>
      </c>
      <c r="Y1285" s="3" t="s">
        <v>2276</v>
      </c>
      <c r="Z1285" s="3" t="s">
        <v>399</v>
      </c>
      <c r="AA1285" s="3" t="s">
        <v>86</v>
      </c>
      <c r="AB1285" s="3" t="s">
        <v>2276</v>
      </c>
      <c r="AC1285" s="4" t="s">
        <v>3866</v>
      </c>
      <c r="AD1285" s="4" t="s">
        <v>3878</v>
      </c>
    </row>
    <row r="1286" spans="1:30" ht="52.5" customHeight="1">
      <c r="A1286" s="19" t="s">
        <v>3861</v>
      </c>
      <c r="B1286" s="11" t="s">
        <v>3871</v>
      </c>
      <c r="C1286" s="3" t="s">
        <v>1105</v>
      </c>
      <c r="D1286" s="3" t="s">
        <v>1105</v>
      </c>
      <c r="E1286" s="3" t="s">
        <v>116</v>
      </c>
      <c r="F1286" s="4" t="s">
        <v>2276</v>
      </c>
      <c r="G1286" s="3" t="s">
        <v>2276</v>
      </c>
      <c r="H1286" s="3" t="s">
        <v>523</v>
      </c>
      <c r="I1286" s="3">
        <v>1997</v>
      </c>
      <c r="J1286" s="3" t="s">
        <v>2276</v>
      </c>
      <c r="K1286" s="3" t="s">
        <v>2276</v>
      </c>
      <c r="L1286" s="3" t="s">
        <v>2276</v>
      </c>
      <c r="M1286" s="3" t="s">
        <v>2276</v>
      </c>
      <c r="N1286" s="3" t="s">
        <v>2276</v>
      </c>
      <c r="O1286" s="3" t="s">
        <v>2276</v>
      </c>
      <c r="P1286" s="3" t="s">
        <v>2276</v>
      </c>
      <c r="Q1286" s="3" t="s">
        <v>2276</v>
      </c>
      <c r="R1286" s="3" t="s">
        <v>2276</v>
      </c>
      <c r="S1286" s="3" t="s">
        <v>2276</v>
      </c>
      <c r="T1286" s="3" t="s">
        <v>2276</v>
      </c>
      <c r="U1286" s="3" t="s">
        <v>2276</v>
      </c>
      <c r="V1286" s="3" t="s">
        <v>2276</v>
      </c>
      <c r="W1286" s="3" t="s">
        <v>2276</v>
      </c>
      <c r="X1286" s="3" t="s">
        <v>2276</v>
      </c>
      <c r="Y1286" s="3" t="s">
        <v>2276</v>
      </c>
      <c r="Z1286" s="3" t="s">
        <v>399</v>
      </c>
      <c r="AA1286" s="3" t="s">
        <v>86</v>
      </c>
      <c r="AB1286" s="3" t="s">
        <v>2276</v>
      </c>
      <c r="AC1286" s="4" t="s">
        <v>3866</v>
      </c>
      <c r="AD1286" s="4" t="s">
        <v>3878</v>
      </c>
    </row>
    <row r="1287" spans="1:30" ht="52.5" customHeight="1">
      <c r="A1287" s="19" t="s">
        <v>3861</v>
      </c>
      <c r="B1287" s="11" t="s">
        <v>3872</v>
      </c>
      <c r="C1287" s="3" t="s">
        <v>1105</v>
      </c>
      <c r="D1287" s="3" t="s">
        <v>1105</v>
      </c>
      <c r="E1287" s="3" t="s">
        <v>116</v>
      </c>
      <c r="F1287" s="4" t="s">
        <v>2276</v>
      </c>
      <c r="G1287" s="3" t="s">
        <v>2276</v>
      </c>
      <c r="H1287" s="3" t="s">
        <v>523</v>
      </c>
      <c r="I1287" s="3">
        <v>1998</v>
      </c>
      <c r="J1287" s="3" t="s">
        <v>2276</v>
      </c>
      <c r="K1287" s="3" t="s">
        <v>2276</v>
      </c>
      <c r="L1287" s="3" t="s">
        <v>2276</v>
      </c>
      <c r="M1287" s="3" t="s">
        <v>2276</v>
      </c>
      <c r="N1287" s="3" t="s">
        <v>2276</v>
      </c>
      <c r="O1287" s="3" t="s">
        <v>2276</v>
      </c>
      <c r="P1287" s="3" t="s">
        <v>2276</v>
      </c>
      <c r="Q1287" s="3" t="s">
        <v>2276</v>
      </c>
      <c r="R1287" s="3" t="s">
        <v>2276</v>
      </c>
      <c r="S1287" s="3" t="s">
        <v>2276</v>
      </c>
      <c r="T1287" s="3" t="s">
        <v>2276</v>
      </c>
      <c r="U1287" s="3" t="s">
        <v>2276</v>
      </c>
      <c r="V1287" s="3" t="s">
        <v>2276</v>
      </c>
      <c r="W1287" s="3" t="s">
        <v>2276</v>
      </c>
      <c r="X1287" s="3" t="s">
        <v>2276</v>
      </c>
      <c r="Y1287" s="3" t="s">
        <v>2276</v>
      </c>
      <c r="Z1287" s="3" t="s">
        <v>399</v>
      </c>
      <c r="AA1287" s="3" t="s">
        <v>86</v>
      </c>
      <c r="AB1287" s="3" t="s">
        <v>2276</v>
      </c>
      <c r="AC1287" s="4" t="s">
        <v>3866</v>
      </c>
      <c r="AD1287" s="4" t="s">
        <v>3878</v>
      </c>
    </row>
    <row r="1288" spans="1:30" ht="52.5" customHeight="1">
      <c r="A1288" s="19" t="s">
        <v>3861</v>
      </c>
      <c r="B1288" s="11" t="s">
        <v>3873</v>
      </c>
      <c r="C1288" s="3" t="s">
        <v>1105</v>
      </c>
      <c r="D1288" s="3" t="s">
        <v>1105</v>
      </c>
      <c r="E1288" s="3" t="s">
        <v>116</v>
      </c>
      <c r="F1288" s="4" t="s">
        <v>2276</v>
      </c>
      <c r="G1288" s="3" t="s">
        <v>2276</v>
      </c>
      <c r="H1288" s="3" t="s">
        <v>523</v>
      </c>
      <c r="I1288" s="3">
        <v>1999</v>
      </c>
      <c r="J1288" s="3" t="s">
        <v>2276</v>
      </c>
      <c r="K1288" s="3" t="s">
        <v>2276</v>
      </c>
      <c r="L1288" s="3" t="s">
        <v>2276</v>
      </c>
      <c r="M1288" s="3" t="s">
        <v>2276</v>
      </c>
      <c r="N1288" s="3" t="s">
        <v>2276</v>
      </c>
      <c r="O1288" s="3" t="s">
        <v>2276</v>
      </c>
      <c r="P1288" s="3" t="s">
        <v>2276</v>
      </c>
      <c r="Q1288" s="3" t="s">
        <v>2276</v>
      </c>
      <c r="R1288" s="3" t="s">
        <v>2276</v>
      </c>
      <c r="S1288" s="3" t="s">
        <v>2276</v>
      </c>
      <c r="T1288" s="3" t="s">
        <v>2276</v>
      </c>
      <c r="U1288" s="3" t="s">
        <v>2276</v>
      </c>
      <c r="V1288" s="3" t="s">
        <v>2276</v>
      </c>
      <c r="W1288" s="3" t="s">
        <v>2276</v>
      </c>
      <c r="X1288" s="3" t="s">
        <v>2276</v>
      </c>
      <c r="Y1288" s="3" t="s">
        <v>2276</v>
      </c>
      <c r="Z1288" s="3" t="s">
        <v>399</v>
      </c>
      <c r="AA1288" s="3" t="s">
        <v>86</v>
      </c>
      <c r="AB1288" s="3" t="s">
        <v>2276</v>
      </c>
      <c r="AC1288" s="4" t="s">
        <v>3866</v>
      </c>
      <c r="AD1288" s="4" t="s">
        <v>3878</v>
      </c>
    </row>
    <row r="1289" spans="1:30" ht="52.5" customHeight="1">
      <c r="A1289" s="19" t="s">
        <v>3861</v>
      </c>
      <c r="B1289" s="11" t="s">
        <v>3874</v>
      </c>
      <c r="C1289" s="3" t="s">
        <v>1105</v>
      </c>
      <c r="D1289" s="3" t="s">
        <v>1105</v>
      </c>
      <c r="E1289" s="3" t="s">
        <v>116</v>
      </c>
      <c r="F1289" s="4" t="s">
        <v>2276</v>
      </c>
      <c r="G1289" s="3" t="s">
        <v>2276</v>
      </c>
      <c r="H1289" s="3" t="s">
        <v>523</v>
      </c>
      <c r="I1289" s="3">
        <v>2000</v>
      </c>
      <c r="J1289" s="3" t="s">
        <v>2276</v>
      </c>
      <c r="K1289" s="3" t="s">
        <v>2276</v>
      </c>
      <c r="L1289" s="3" t="s">
        <v>2276</v>
      </c>
      <c r="M1289" s="3" t="s">
        <v>2276</v>
      </c>
      <c r="N1289" s="3" t="s">
        <v>2276</v>
      </c>
      <c r="O1289" s="3" t="s">
        <v>2276</v>
      </c>
      <c r="P1289" s="3" t="s">
        <v>2276</v>
      </c>
      <c r="Q1289" s="3" t="s">
        <v>2276</v>
      </c>
      <c r="R1289" s="3" t="s">
        <v>2276</v>
      </c>
      <c r="S1289" s="3" t="s">
        <v>2276</v>
      </c>
      <c r="T1289" s="3" t="s">
        <v>2276</v>
      </c>
      <c r="U1289" s="3" t="s">
        <v>2276</v>
      </c>
      <c r="V1289" s="3" t="s">
        <v>2276</v>
      </c>
      <c r="W1289" s="3" t="s">
        <v>2276</v>
      </c>
      <c r="X1289" s="3" t="s">
        <v>2276</v>
      </c>
      <c r="Y1289" s="3" t="s">
        <v>2276</v>
      </c>
      <c r="Z1289" s="3" t="s">
        <v>399</v>
      </c>
      <c r="AA1289" s="3" t="s">
        <v>86</v>
      </c>
      <c r="AB1289" s="3" t="s">
        <v>2276</v>
      </c>
      <c r="AC1289" s="4" t="s">
        <v>3866</v>
      </c>
      <c r="AD1289" s="4" t="s">
        <v>3878</v>
      </c>
    </row>
    <row r="1290" spans="1:30" ht="52.5" customHeight="1">
      <c r="A1290" s="19" t="s">
        <v>3861</v>
      </c>
      <c r="B1290" s="11" t="s">
        <v>3875</v>
      </c>
      <c r="C1290" s="3" t="s">
        <v>1105</v>
      </c>
      <c r="D1290" s="3" t="s">
        <v>1105</v>
      </c>
      <c r="E1290" s="3" t="s">
        <v>116</v>
      </c>
      <c r="F1290" s="4" t="s">
        <v>2276</v>
      </c>
      <c r="G1290" s="3" t="s">
        <v>2276</v>
      </c>
      <c r="H1290" s="3" t="s">
        <v>523</v>
      </c>
      <c r="I1290" s="3">
        <v>2001</v>
      </c>
      <c r="J1290" s="3" t="s">
        <v>2276</v>
      </c>
      <c r="K1290" s="3" t="s">
        <v>2276</v>
      </c>
      <c r="L1290" s="3" t="s">
        <v>2276</v>
      </c>
      <c r="M1290" s="3" t="s">
        <v>2276</v>
      </c>
      <c r="N1290" s="3" t="s">
        <v>2276</v>
      </c>
      <c r="O1290" s="3" t="s">
        <v>2276</v>
      </c>
      <c r="P1290" s="3" t="s">
        <v>2276</v>
      </c>
      <c r="Q1290" s="3" t="s">
        <v>2276</v>
      </c>
      <c r="R1290" s="3" t="s">
        <v>2276</v>
      </c>
      <c r="S1290" s="3" t="s">
        <v>2276</v>
      </c>
      <c r="T1290" s="3" t="s">
        <v>2276</v>
      </c>
      <c r="U1290" s="3" t="s">
        <v>2276</v>
      </c>
      <c r="V1290" s="3" t="s">
        <v>2276</v>
      </c>
      <c r="W1290" s="3" t="s">
        <v>2276</v>
      </c>
      <c r="X1290" s="3" t="s">
        <v>2276</v>
      </c>
      <c r="Y1290" s="3" t="s">
        <v>2276</v>
      </c>
      <c r="Z1290" s="3" t="s">
        <v>399</v>
      </c>
      <c r="AA1290" s="3" t="s">
        <v>86</v>
      </c>
      <c r="AB1290" s="3" t="s">
        <v>2276</v>
      </c>
      <c r="AC1290" s="4" t="s">
        <v>3866</v>
      </c>
      <c r="AD1290" s="4" t="s">
        <v>3878</v>
      </c>
    </row>
    <row r="1291" spans="1:30" ht="52.5" customHeight="1">
      <c r="A1291" s="19" t="s">
        <v>3861</v>
      </c>
      <c r="B1291" s="11" t="s">
        <v>3876</v>
      </c>
      <c r="C1291" s="3" t="s">
        <v>1105</v>
      </c>
      <c r="D1291" s="3" t="s">
        <v>1105</v>
      </c>
      <c r="E1291" s="3" t="s">
        <v>116</v>
      </c>
      <c r="F1291" s="4" t="s">
        <v>2276</v>
      </c>
      <c r="G1291" s="3" t="s">
        <v>2276</v>
      </c>
      <c r="H1291" s="3" t="s">
        <v>523</v>
      </c>
      <c r="I1291" s="3">
        <v>2002</v>
      </c>
      <c r="J1291" s="3" t="s">
        <v>2276</v>
      </c>
      <c r="K1291" s="3" t="s">
        <v>2276</v>
      </c>
      <c r="L1291" s="3" t="s">
        <v>2276</v>
      </c>
      <c r="M1291" s="3" t="s">
        <v>2276</v>
      </c>
      <c r="N1291" s="3" t="s">
        <v>2276</v>
      </c>
      <c r="O1291" s="3" t="s">
        <v>2276</v>
      </c>
      <c r="P1291" s="3" t="s">
        <v>2276</v>
      </c>
      <c r="Q1291" s="3" t="s">
        <v>2276</v>
      </c>
      <c r="R1291" s="3" t="s">
        <v>2276</v>
      </c>
      <c r="S1291" s="3" t="s">
        <v>2276</v>
      </c>
      <c r="T1291" s="3" t="s">
        <v>2276</v>
      </c>
      <c r="U1291" s="3" t="s">
        <v>2276</v>
      </c>
      <c r="V1291" s="3" t="s">
        <v>2276</v>
      </c>
      <c r="W1291" s="3" t="s">
        <v>2276</v>
      </c>
      <c r="X1291" s="3" t="s">
        <v>2276</v>
      </c>
      <c r="Y1291" s="3" t="s">
        <v>2276</v>
      </c>
      <c r="Z1291" s="3" t="s">
        <v>399</v>
      </c>
      <c r="AA1291" s="3" t="s">
        <v>86</v>
      </c>
      <c r="AB1291" s="3" t="s">
        <v>2276</v>
      </c>
      <c r="AC1291" s="4" t="s">
        <v>3866</v>
      </c>
      <c r="AD1291" s="4" t="s">
        <v>3878</v>
      </c>
    </row>
    <row r="1292" spans="1:30" ht="52.5" customHeight="1">
      <c r="A1292" s="19" t="s">
        <v>3861</v>
      </c>
      <c r="B1292" s="11" t="s">
        <v>3877</v>
      </c>
      <c r="C1292" s="3" t="s">
        <v>1105</v>
      </c>
      <c r="D1292" s="3" t="s">
        <v>1105</v>
      </c>
      <c r="E1292" s="3" t="s">
        <v>116</v>
      </c>
      <c r="F1292" s="4" t="s">
        <v>2276</v>
      </c>
      <c r="G1292" s="3" t="s">
        <v>2276</v>
      </c>
      <c r="H1292" s="3" t="s">
        <v>523</v>
      </c>
      <c r="I1292" s="3">
        <v>2003</v>
      </c>
      <c r="J1292" s="3" t="s">
        <v>2276</v>
      </c>
      <c r="K1292" s="3" t="s">
        <v>2276</v>
      </c>
      <c r="L1292" s="3" t="s">
        <v>2276</v>
      </c>
      <c r="M1292" s="3" t="s">
        <v>2276</v>
      </c>
      <c r="N1292" s="3" t="s">
        <v>2276</v>
      </c>
      <c r="O1292" s="3" t="s">
        <v>2276</v>
      </c>
      <c r="P1292" s="3" t="s">
        <v>2276</v>
      </c>
      <c r="Q1292" s="3" t="s">
        <v>2276</v>
      </c>
      <c r="R1292" s="3" t="s">
        <v>2276</v>
      </c>
      <c r="S1292" s="3" t="s">
        <v>2276</v>
      </c>
      <c r="T1292" s="3" t="s">
        <v>2276</v>
      </c>
      <c r="U1292" s="3" t="s">
        <v>2276</v>
      </c>
      <c r="V1292" s="3" t="s">
        <v>2276</v>
      </c>
      <c r="W1292" s="3" t="s">
        <v>2276</v>
      </c>
      <c r="X1292" s="3" t="s">
        <v>2276</v>
      </c>
      <c r="Y1292" s="3" t="s">
        <v>2276</v>
      </c>
      <c r="Z1292" s="3" t="s">
        <v>399</v>
      </c>
      <c r="AA1292" s="3" t="s">
        <v>86</v>
      </c>
      <c r="AB1292" s="3" t="s">
        <v>2276</v>
      </c>
      <c r="AC1292" s="4" t="s">
        <v>3866</v>
      </c>
      <c r="AD1292" s="4" t="s">
        <v>3878</v>
      </c>
    </row>
    <row r="1293" spans="1:30" ht="41.5" customHeight="1">
      <c r="A1293" s="19" t="s">
        <v>3861</v>
      </c>
      <c r="B1293" s="11" t="s">
        <v>3879</v>
      </c>
      <c r="C1293" s="3" t="s">
        <v>24</v>
      </c>
      <c r="D1293" s="3" t="s">
        <v>1245</v>
      </c>
      <c r="E1293" s="3" t="s">
        <v>116</v>
      </c>
      <c r="F1293" s="4" t="s">
        <v>2662</v>
      </c>
      <c r="G1293" s="4" t="s">
        <v>2662</v>
      </c>
      <c r="H1293" s="3" t="s">
        <v>523</v>
      </c>
      <c r="I1293" s="3"/>
      <c r="J1293" s="3" t="s">
        <v>2276</v>
      </c>
      <c r="K1293" s="3" t="s">
        <v>2276</v>
      </c>
      <c r="L1293" s="3" t="s">
        <v>2276</v>
      </c>
      <c r="M1293" s="3" t="s">
        <v>2276</v>
      </c>
      <c r="N1293" s="3" t="s">
        <v>2276</v>
      </c>
      <c r="O1293" s="3" t="s">
        <v>2276</v>
      </c>
      <c r="P1293" s="3" t="s">
        <v>2276</v>
      </c>
      <c r="Q1293" s="3" t="s">
        <v>2276</v>
      </c>
      <c r="R1293" s="3" t="s">
        <v>2276</v>
      </c>
      <c r="S1293" s="3" t="s">
        <v>2276</v>
      </c>
      <c r="T1293" s="3" t="s">
        <v>2276</v>
      </c>
      <c r="U1293" s="3" t="s">
        <v>2276</v>
      </c>
      <c r="V1293" s="3" t="s">
        <v>2276</v>
      </c>
      <c r="W1293" s="3" t="s">
        <v>2276</v>
      </c>
      <c r="X1293" s="3" t="s">
        <v>2276</v>
      </c>
      <c r="Y1293" s="3" t="s">
        <v>2276</v>
      </c>
      <c r="Z1293" s="3" t="s">
        <v>2276</v>
      </c>
      <c r="AA1293" s="3" t="s">
        <v>2276</v>
      </c>
      <c r="AB1293" s="3" t="s">
        <v>2276</v>
      </c>
      <c r="AC1293" s="4" t="s">
        <v>3886</v>
      </c>
      <c r="AD1293" s="3"/>
    </row>
    <row r="1294" spans="1:30" ht="39" customHeight="1">
      <c r="A1294" s="19" t="s">
        <v>3861</v>
      </c>
      <c r="B1294" s="11" t="s">
        <v>3880</v>
      </c>
      <c r="C1294" s="3" t="s">
        <v>24</v>
      </c>
      <c r="D1294" s="3" t="s">
        <v>2305</v>
      </c>
      <c r="E1294" s="3" t="s">
        <v>116</v>
      </c>
      <c r="F1294" s="4" t="s">
        <v>2662</v>
      </c>
      <c r="G1294" s="4" t="s">
        <v>2662</v>
      </c>
      <c r="H1294" s="3" t="s">
        <v>523</v>
      </c>
      <c r="I1294" s="3"/>
      <c r="J1294" s="3" t="s">
        <v>2276</v>
      </c>
      <c r="K1294" s="3" t="s">
        <v>2276</v>
      </c>
      <c r="L1294" s="3" t="s">
        <v>2276</v>
      </c>
      <c r="M1294" s="3" t="s">
        <v>2276</v>
      </c>
      <c r="N1294" s="3" t="s">
        <v>2276</v>
      </c>
      <c r="O1294" s="3" t="s">
        <v>2276</v>
      </c>
      <c r="P1294" s="3" t="s">
        <v>2276</v>
      </c>
      <c r="Q1294" s="3" t="s">
        <v>2276</v>
      </c>
      <c r="R1294" s="3" t="s">
        <v>2276</v>
      </c>
      <c r="S1294" s="3" t="s">
        <v>2276</v>
      </c>
      <c r="T1294" s="3" t="s">
        <v>2276</v>
      </c>
      <c r="U1294" s="3" t="s">
        <v>2276</v>
      </c>
      <c r="V1294" s="3" t="s">
        <v>2276</v>
      </c>
      <c r="W1294" s="3" t="s">
        <v>2276</v>
      </c>
      <c r="X1294" s="3" t="s">
        <v>2276</v>
      </c>
      <c r="Y1294" s="3" t="s">
        <v>2276</v>
      </c>
      <c r="Z1294" s="3" t="s">
        <v>2276</v>
      </c>
      <c r="AA1294" s="3" t="s">
        <v>2276</v>
      </c>
      <c r="AB1294" s="3" t="s">
        <v>2276</v>
      </c>
      <c r="AC1294" s="3"/>
      <c r="AD1294" s="3"/>
    </row>
    <row r="1295" spans="1:30" ht="33.5" customHeight="1">
      <c r="A1295" s="19" t="s">
        <v>3861</v>
      </c>
      <c r="B1295" s="11" t="s">
        <v>3881</v>
      </c>
      <c r="C1295" s="3" t="s">
        <v>24</v>
      </c>
      <c r="D1295" s="3" t="s">
        <v>2341</v>
      </c>
      <c r="E1295" s="3" t="s">
        <v>116</v>
      </c>
      <c r="F1295" s="4" t="s">
        <v>2662</v>
      </c>
      <c r="G1295" s="4" t="s">
        <v>2662</v>
      </c>
      <c r="H1295" s="3" t="s">
        <v>523</v>
      </c>
      <c r="I1295" s="3"/>
      <c r="J1295" s="3" t="s">
        <v>2276</v>
      </c>
      <c r="K1295" s="3" t="s">
        <v>2276</v>
      </c>
      <c r="L1295" s="3" t="s">
        <v>2276</v>
      </c>
      <c r="M1295" s="3" t="s">
        <v>2276</v>
      </c>
      <c r="N1295" s="3" t="s">
        <v>2276</v>
      </c>
      <c r="O1295" s="3" t="s">
        <v>2276</v>
      </c>
      <c r="P1295" s="3" t="s">
        <v>2276</v>
      </c>
      <c r="Q1295" s="3" t="s">
        <v>2276</v>
      </c>
      <c r="R1295" s="3" t="s">
        <v>2276</v>
      </c>
      <c r="S1295" s="3" t="s">
        <v>2276</v>
      </c>
      <c r="T1295" s="3" t="s">
        <v>2276</v>
      </c>
      <c r="U1295" s="3" t="s">
        <v>2276</v>
      </c>
      <c r="V1295" s="3" t="s">
        <v>2276</v>
      </c>
      <c r="W1295" s="3" t="s">
        <v>2276</v>
      </c>
      <c r="X1295" s="3" t="s">
        <v>2276</v>
      </c>
      <c r="Y1295" s="3" t="s">
        <v>2276</v>
      </c>
      <c r="Z1295" s="3" t="s">
        <v>2276</v>
      </c>
      <c r="AA1295" s="3" t="s">
        <v>2276</v>
      </c>
      <c r="AB1295" s="3" t="s">
        <v>2276</v>
      </c>
      <c r="AC1295" s="3"/>
      <c r="AD1295" s="3"/>
    </row>
    <row r="1296" spans="1:30" ht="33.5" customHeight="1">
      <c r="A1296" s="19" t="s">
        <v>3861</v>
      </c>
      <c r="B1296" s="11" t="s">
        <v>3882</v>
      </c>
      <c r="C1296" s="3" t="s">
        <v>24</v>
      </c>
      <c r="D1296" s="3" t="s">
        <v>26</v>
      </c>
      <c r="E1296" s="3" t="s">
        <v>116</v>
      </c>
      <c r="F1296" s="4" t="s">
        <v>2662</v>
      </c>
      <c r="G1296" s="4" t="s">
        <v>2662</v>
      </c>
      <c r="H1296" s="3" t="s">
        <v>523</v>
      </c>
      <c r="I1296" s="3"/>
      <c r="J1296" s="3" t="s">
        <v>2276</v>
      </c>
      <c r="K1296" s="3" t="s">
        <v>2276</v>
      </c>
      <c r="L1296" s="3" t="s">
        <v>2276</v>
      </c>
      <c r="M1296" s="3" t="s">
        <v>2276</v>
      </c>
      <c r="N1296" s="3" t="s">
        <v>2276</v>
      </c>
      <c r="O1296" s="3" t="s">
        <v>2276</v>
      </c>
      <c r="P1296" s="3" t="s">
        <v>2276</v>
      </c>
      <c r="Q1296" s="3" t="s">
        <v>2276</v>
      </c>
      <c r="R1296" s="3" t="s">
        <v>2276</v>
      </c>
      <c r="S1296" s="3" t="s">
        <v>2276</v>
      </c>
      <c r="T1296" s="3" t="s">
        <v>2276</v>
      </c>
      <c r="U1296" s="3" t="s">
        <v>2276</v>
      </c>
      <c r="V1296" s="3" t="s">
        <v>2276</v>
      </c>
      <c r="W1296" s="3" t="s">
        <v>2276</v>
      </c>
      <c r="X1296" s="3" t="s">
        <v>2276</v>
      </c>
      <c r="Y1296" s="3" t="s">
        <v>2276</v>
      </c>
      <c r="Z1296" s="3" t="s">
        <v>2276</v>
      </c>
      <c r="AA1296" s="3" t="s">
        <v>2276</v>
      </c>
      <c r="AB1296" s="3" t="s">
        <v>2276</v>
      </c>
      <c r="AC1296" s="3"/>
      <c r="AD1296" s="3"/>
    </row>
    <row r="1297" spans="1:30" ht="37" customHeight="1">
      <c r="A1297" s="19" t="s">
        <v>3861</v>
      </c>
      <c r="B1297" s="11" t="s">
        <v>3883</v>
      </c>
      <c r="C1297" s="3" t="s">
        <v>24</v>
      </c>
      <c r="D1297" s="3" t="s">
        <v>1242</v>
      </c>
      <c r="E1297" s="3" t="s">
        <v>116</v>
      </c>
      <c r="F1297" s="4" t="s">
        <v>2662</v>
      </c>
      <c r="G1297" s="4" t="s">
        <v>2662</v>
      </c>
      <c r="H1297" s="3" t="s">
        <v>523</v>
      </c>
      <c r="I1297" s="3"/>
      <c r="J1297" s="3" t="s">
        <v>2276</v>
      </c>
      <c r="K1297" s="3" t="s">
        <v>2276</v>
      </c>
      <c r="L1297" s="72">
        <v>0.04</v>
      </c>
      <c r="M1297" s="72">
        <v>0.25</v>
      </c>
      <c r="N1297" s="3" t="s">
        <v>2276</v>
      </c>
      <c r="O1297" s="3" t="s">
        <v>2276</v>
      </c>
      <c r="P1297" s="3" t="s">
        <v>2276</v>
      </c>
      <c r="Q1297" s="3" t="s">
        <v>2276</v>
      </c>
      <c r="R1297" s="3" t="s">
        <v>2276</v>
      </c>
      <c r="S1297" s="3" t="s">
        <v>2276</v>
      </c>
      <c r="T1297" s="3" t="s">
        <v>2276</v>
      </c>
      <c r="U1297" s="3" t="s">
        <v>2276</v>
      </c>
      <c r="V1297" s="3" t="s">
        <v>2276</v>
      </c>
      <c r="W1297" s="3" t="s">
        <v>2276</v>
      </c>
      <c r="X1297" s="3" t="s">
        <v>2276</v>
      </c>
      <c r="Y1297" s="3" t="s">
        <v>2276</v>
      </c>
      <c r="Z1297" s="3" t="s">
        <v>2276</v>
      </c>
      <c r="AA1297" s="3" t="s">
        <v>2276</v>
      </c>
      <c r="AB1297" s="3" t="s">
        <v>2276</v>
      </c>
      <c r="AC1297" s="8" t="s">
        <v>3885</v>
      </c>
      <c r="AD1297" s="3"/>
    </row>
    <row r="1298" spans="1:30" ht="43" customHeight="1">
      <c r="A1298" s="19" t="s">
        <v>3861</v>
      </c>
      <c r="B1298" s="11" t="s">
        <v>3883</v>
      </c>
      <c r="C1298" s="3" t="s">
        <v>24</v>
      </c>
      <c r="D1298" s="3" t="s">
        <v>27</v>
      </c>
      <c r="E1298" s="3" t="s">
        <v>130</v>
      </c>
      <c r="F1298" s="4" t="s">
        <v>2662</v>
      </c>
      <c r="G1298" s="4" t="s">
        <v>2662</v>
      </c>
      <c r="H1298" s="3" t="s">
        <v>523</v>
      </c>
      <c r="I1298" s="3"/>
      <c r="J1298" s="3" t="s">
        <v>2276</v>
      </c>
      <c r="K1298" s="3" t="s">
        <v>2276</v>
      </c>
      <c r="L1298" s="3" t="s">
        <v>2276</v>
      </c>
      <c r="M1298" s="3" t="s">
        <v>2276</v>
      </c>
      <c r="N1298" s="3" t="s">
        <v>2276</v>
      </c>
      <c r="O1298" s="3" t="s">
        <v>2276</v>
      </c>
      <c r="P1298" s="3" t="s">
        <v>2276</v>
      </c>
      <c r="Q1298" s="3" t="s">
        <v>2276</v>
      </c>
      <c r="R1298" s="3" t="s">
        <v>2276</v>
      </c>
      <c r="S1298" s="3" t="s">
        <v>2276</v>
      </c>
      <c r="T1298" s="3" t="s">
        <v>2276</v>
      </c>
      <c r="U1298" s="3" t="s">
        <v>2276</v>
      </c>
      <c r="V1298" s="3" t="s">
        <v>2276</v>
      </c>
      <c r="W1298" s="3" t="s">
        <v>2276</v>
      </c>
      <c r="X1298" s="3" t="s">
        <v>2276</v>
      </c>
      <c r="Y1298" s="3" t="s">
        <v>2276</v>
      </c>
      <c r="Z1298" s="3" t="s">
        <v>2276</v>
      </c>
      <c r="AA1298" s="3" t="s">
        <v>2276</v>
      </c>
      <c r="AB1298" s="3" t="s">
        <v>2276</v>
      </c>
      <c r="AC1298" s="3"/>
      <c r="AD1298" s="3"/>
    </row>
    <row r="1299" spans="1:30" ht="42" customHeight="1">
      <c r="A1299" s="19" t="s">
        <v>3861</v>
      </c>
      <c r="B1299" s="11" t="s">
        <v>3884</v>
      </c>
      <c r="C1299" s="3" t="s">
        <v>2458</v>
      </c>
      <c r="D1299" s="3" t="s">
        <v>2276</v>
      </c>
      <c r="E1299" s="3" t="s">
        <v>116</v>
      </c>
      <c r="F1299" s="4" t="s">
        <v>2662</v>
      </c>
      <c r="G1299" s="3" t="s">
        <v>74</v>
      </c>
      <c r="H1299" s="3" t="s">
        <v>523</v>
      </c>
      <c r="I1299" s="3"/>
      <c r="J1299" s="3" t="s">
        <v>2276</v>
      </c>
      <c r="K1299" s="3" t="s">
        <v>2276</v>
      </c>
      <c r="L1299" s="3" t="s">
        <v>2276</v>
      </c>
      <c r="M1299" s="3" t="s">
        <v>2276</v>
      </c>
      <c r="N1299" s="3" t="s">
        <v>2276</v>
      </c>
      <c r="O1299" s="3" t="s">
        <v>2276</v>
      </c>
      <c r="P1299" s="3" t="s">
        <v>2276</v>
      </c>
      <c r="Q1299" s="3" t="s">
        <v>2276</v>
      </c>
      <c r="R1299" s="3" t="s">
        <v>2276</v>
      </c>
      <c r="S1299" s="3" t="s">
        <v>2276</v>
      </c>
      <c r="T1299" s="3" t="s">
        <v>2276</v>
      </c>
      <c r="U1299" s="3" t="s">
        <v>2276</v>
      </c>
      <c r="V1299" s="3" t="s">
        <v>2276</v>
      </c>
      <c r="W1299" s="3" t="s">
        <v>2276</v>
      </c>
      <c r="X1299" s="3" t="s">
        <v>2276</v>
      </c>
      <c r="Y1299" s="3" t="s">
        <v>2276</v>
      </c>
      <c r="Z1299" s="3" t="s">
        <v>2276</v>
      </c>
      <c r="AA1299" s="3" t="s">
        <v>2276</v>
      </c>
      <c r="AB1299" s="3" t="s">
        <v>2276</v>
      </c>
      <c r="AC1299" s="3"/>
      <c r="AD1299" s="3"/>
    </row>
    <row r="1300" spans="1:30" ht="35.5" customHeight="1">
      <c r="A1300" s="19" t="s">
        <v>3892</v>
      </c>
      <c r="B1300" s="11" t="s">
        <v>3897</v>
      </c>
      <c r="C1300" s="3" t="s">
        <v>24</v>
      </c>
      <c r="D1300" s="3" t="s">
        <v>2804</v>
      </c>
      <c r="E1300" s="3" t="s">
        <v>5005</v>
      </c>
      <c r="F1300" s="4" t="s">
        <v>2276</v>
      </c>
      <c r="G1300" s="3" t="s">
        <v>2276</v>
      </c>
      <c r="H1300" s="3" t="s">
        <v>523</v>
      </c>
      <c r="I1300" s="3"/>
      <c r="J1300" s="3" t="s">
        <v>2276</v>
      </c>
      <c r="K1300" s="3" t="s">
        <v>2276</v>
      </c>
      <c r="L1300" s="3" t="s">
        <v>2276</v>
      </c>
      <c r="M1300" s="3" t="s">
        <v>2276</v>
      </c>
      <c r="N1300" s="3" t="s">
        <v>2276</v>
      </c>
      <c r="O1300" s="3" t="s">
        <v>2276</v>
      </c>
      <c r="P1300" s="3" t="s">
        <v>2276</v>
      </c>
      <c r="Q1300" s="3" t="s">
        <v>2276</v>
      </c>
      <c r="R1300" s="3" t="s">
        <v>2276</v>
      </c>
      <c r="S1300" s="3" t="s">
        <v>2276</v>
      </c>
      <c r="T1300" s="3" t="s">
        <v>2276</v>
      </c>
      <c r="U1300" s="3" t="s">
        <v>2276</v>
      </c>
      <c r="V1300" s="3" t="s">
        <v>2276</v>
      </c>
      <c r="W1300" s="3" t="s">
        <v>2276</v>
      </c>
      <c r="X1300" s="3" t="s">
        <v>2276</v>
      </c>
      <c r="Y1300" s="3" t="s">
        <v>2276</v>
      </c>
      <c r="Z1300" s="3" t="s">
        <v>188</v>
      </c>
      <c r="AA1300" s="3" t="s">
        <v>38</v>
      </c>
      <c r="AB1300" s="3" t="s">
        <v>2276</v>
      </c>
      <c r="AC1300" s="3"/>
      <c r="AD1300" s="3"/>
    </row>
    <row r="1301" spans="1:30" ht="37" customHeight="1">
      <c r="A1301" s="19" t="s">
        <v>3893</v>
      </c>
      <c r="B1301" s="11" t="s">
        <v>3898</v>
      </c>
      <c r="C1301" s="3" t="s">
        <v>24</v>
      </c>
      <c r="D1301" s="3" t="s">
        <v>2804</v>
      </c>
      <c r="E1301" s="3" t="s">
        <v>5005</v>
      </c>
      <c r="F1301" s="4" t="s">
        <v>2276</v>
      </c>
      <c r="G1301" s="3" t="s">
        <v>2276</v>
      </c>
      <c r="H1301" s="3" t="s">
        <v>523</v>
      </c>
      <c r="I1301" s="3"/>
      <c r="J1301" s="3" t="s">
        <v>2276</v>
      </c>
      <c r="K1301" s="3" t="s">
        <v>2276</v>
      </c>
      <c r="L1301" s="3" t="s">
        <v>2276</v>
      </c>
      <c r="M1301" s="3" t="s">
        <v>2276</v>
      </c>
      <c r="N1301" s="3" t="s">
        <v>2276</v>
      </c>
      <c r="O1301" s="3" t="s">
        <v>2276</v>
      </c>
      <c r="P1301" s="3" t="s">
        <v>2276</v>
      </c>
      <c r="Q1301" s="3" t="s">
        <v>2276</v>
      </c>
      <c r="R1301" s="3" t="s">
        <v>2276</v>
      </c>
      <c r="S1301" s="3" t="s">
        <v>2276</v>
      </c>
      <c r="T1301" s="3" t="s">
        <v>2276</v>
      </c>
      <c r="U1301" s="3" t="s">
        <v>2276</v>
      </c>
      <c r="V1301" s="3" t="s">
        <v>2276</v>
      </c>
      <c r="W1301" s="3" t="s">
        <v>2276</v>
      </c>
      <c r="X1301" s="3" t="s">
        <v>2276</v>
      </c>
      <c r="Y1301" s="3" t="s">
        <v>2276</v>
      </c>
      <c r="Z1301" s="3" t="s">
        <v>188</v>
      </c>
      <c r="AA1301" s="3" t="s">
        <v>38</v>
      </c>
      <c r="AB1301" s="3" t="s">
        <v>2276</v>
      </c>
      <c r="AC1301" s="3"/>
      <c r="AD1301" s="3"/>
    </row>
    <row r="1302" spans="1:30" ht="39" customHeight="1">
      <c r="A1302" s="19" t="s">
        <v>3901</v>
      </c>
      <c r="B1302" s="11" t="s">
        <v>3914</v>
      </c>
      <c r="C1302" s="3" t="s">
        <v>24</v>
      </c>
      <c r="D1302" s="3" t="s">
        <v>26</v>
      </c>
      <c r="E1302" s="3" t="s">
        <v>5005</v>
      </c>
      <c r="F1302" s="4" t="s">
        <v>2276</v>
      </c>
      <c r="G1302" s="3" t="s">
        <v>2276</v>
      </c>
      <c r="H1302" s="3" t="s">
        <v>523</v>
      </c>
      <c r="I1302" s="3"/>
      <c r="J1302" s="3" t="s">
        <v>2276</v>
      </c>
      <c r="K1302" s="3" t="s">
        <v>2276</v>
      </c>
      <c r="L1302" s="3" t="s">
        <v>2276</v>
      </c>
      <c r="M1302" s="3" t="s">
        <v>2276</v>
      </c>
      <c r="N1302" s="3" t="s">
        <v>2276</v>
      </c>
      <c r="O1302" s="3" t="s">
        <v>2276</v>
      </c>
      <c r="P1302" s="3" t="s">
        <v>2276</v>
      </c>
      <c r="Q1302" s="3" t="s">
        <v>2276</v>
      </c>
      <c r="R1302" s="3" t="s">
        <v>2276</v>
      </c>
      <c r="S1302" s="3" t="s">
        <v>2276</v>
      </c>
      <c r="T1302" s="3" t="s">
        <v>2276</v>
      </c>
      <c r="U1302" s="3" t="s">
        <v>2276</v>
      </c>
      <c r="V1302" s="3" t="s">
        <v>2276</v>
      </c>
      <c r="W1302" s="3" t="s">
        <v>2276</v>
      </c>
      <c r="X1302" s="3" t="s">
        <v>2276</v>
      </c>
      <c r="Y1302" s="3" t="s">
        <v>2276</v>
      </c>
      <c r="Z1302" s="3" t="s">
        <v>35</v>
      </c>
      <c r="AA1302" s="3" t="s">
        <v>34</v>
      </c>
      <c r="AB1302" s="3" t="s">
        <v>2276</v>
      </c>
      <c r="AC1302" s="3"/>
      <c r="AD1302" s="4" t="s">
        <v>3915</v>
      </c>
    </row>
    <row r="1303" spans="1:30" ht="39" customHeight="1">
      <c r="A1303" s="19" t="s">
        <v>3907</v>
      </c>
      <c r="B1303" s="19" t="s">
        <v>3916</v>
      </c>
      <c r="C1303" s="3" t="s">
        <v>24</v>
      </c>
      <c r="D1303" s="3" t="s">
        <v>26</v>
      </c>
      <c r="E1303" s="3" t="s">
        <v>5005</v>
      </c>
      <c r="F1303" s="4" t="s">
        <v>2276</v>
      </c>
      <c r="G1303" s="3" t="s">
        <v>2276</v>
      </c>
      <c r="H1303" s="3" t="s">
        <v>523</v>
      </c>
      <c r="I1303" s="3"/>
      <c r="J1303" s="3" t="s">
        <v>2276</v>
      </c>
      <c r="K1303" s="3" t="s">
        <v>2276</v>
      </c>
      <c r="L1303" s="3" t="s">
        <v>2276</v>
      </c>
      <c r="M1303" s="3" t="s">
        <v>2276</v>
      </c>
      <c r="N1303" s="3" t="s">
        <v>2276</v>
      </c>
      <c r="O1303" s="3" t="s">
        <v>2276</v>
      </c>
      <c r="P1303" s="3" t="s">
        <v>2276</v>
      </c>
      <c r="Q1303" s="3" t="s">
        <v>2276</v>
      </c>
      <c r="R1303" s="3" t="s">
        <v>2276</v>
      </c>
      <c r="S1303" s="3" t="s">
        <v>2276</v>
      </c>
      <c r="T1303" s="3" t="s">
        <v>2276</v>
      </c>
      <c r="U1303" s="3" t="s">
        <v>2276</v>
      </c>
      <c r="V1303" s="3" t="s">
        <v>2276</v>
      </c>
      <c r="W1303" s="3" t="s">
        <v>2276</v>
      </c>
      <c r="X1303" s="3" t="s">
        <v>2276</v>
      </c>
      <c r="Y1303" s="3" t="s">
        <v>2276</v>
      </c>
      <c r="Z1303" s="3" t="s">
        <v>35</v>
      </c>
      <c r="AA1303" s="3" t="s">
        <v>34</v>
      </c>
      <c r="AB1303" s="3" t="s">
        <v>2276</v>
      </c>
      <c r="AC1303" s="3"/>
      <c r="AD1303" s="4" t="s">
        <v>3915</v>
      </c>
    </row>
    <row r="1304" spans="1:30" ht="38" customHeight="1">
      <c r="A1304" s="19" t="s">
        <v>3909</v>
      </c>
      <c r="B1304" s="19" t="s">
        <v>3917</v>
      </c>
      <c r="C1304" s="3" t="s">
        <v>24</v>
      </c>
      <c r="D1304" s="3" t="s">
        <v>26</v>
      </c>
      <c r="E1304" s="3" t="s">
        <v>5005</v>
      </c>
      <c r="F1304" s="4" t="s">
        <v>2276</v>
      </c>
      <c r="G1304" s="3" t="s">
        <v>2276</v>
      </c>
      <c r="H1304" s="3" t="s">
        <v>523</v>
      </c>
      <c r="I1304" s="3"/>
      <c r="J1304" s="3" t="s">
        <v>2276</v>
      </c>
      <c r="K1304" s="3" t="s">
        <v>2276</v>
      </c>
      <c r="L1304" s="3" t="s">
        <v>2276</v>
      </c>
      <c r="M1304" s="3" t="s">
        <v>2276</v>
      </c>
      <c r="N1304" s="3" t="s">
        <v>2276</v>
      </c>
      <c r="O1304" s="3" t="s">
        <v>2276</v>
      </c>
      <c r="P1304" s="3" t="s">
        <v>2276</v>
      </c>
      <c r="Q1304" s="3" t="s">
        <v>2276</v>
      </c>
      <c r="R1304" s="3" t="s">
        <v>2276</v>
      </c>
      <c r="S1304" s="3" t="s">
        <v>2276</v>
      </c>
      <c r="T1304" s="3" t="s">
        <v>2276</v>
      </c>
      <c r="U1304" s="3" t="s">
        <v>2276</v>
      </c>
      <c r="V1304" s="3" t="s">
        <v>2276</v>
      </c>
      <c r="W1304" s="3" t="s">
        <v>2276</v>
      </c>
      <c r="X1304" s="3" t="s">
        <v>2276</v>
      </c>
      <c r="Y1304" s="3" t="s">
        <v>2276</v>
      </c>
      <c r="Z1304" s="3" t="s">
        <v>35</v>
      </c>
      <c r="AA1304" s="3" t="s">
        <v>34</v>
      </c>
      <c r="AB1304" s="3" t="s">
        <v>2276</v>
      </c>
      <c r="AC1304" s="3"/>
      <c r="AD1304" s="4" t="s">
        <v>3915</v>
      </c>
    </row>
    <row r="1305" spans="1:30" ht="36.5" customHeight="1">
      <c r="A1305" s="19" t="s">
        <v>3908</v>
      </c>
      <c r="B1305" s="19" t="s">
        <v>3918</v>
      </c>
      <c r="C1305" s="3" t="s">
        <v>24</v>
      </c>
      <c r="D1305" s="3" t="s">
        <v>26</v>
      </c>
      <c r="E1305" s="3" t="s">
        <v>5005</v>
      </c>
      <c r="F1305" s="4" t="s">
        <v>2276</v>
      </c>
      <c r="G1305" s="3" t="s">
        <v>2276</v>
      </c>
      <c r="H1305" s="3" t="s">
        <v>523</v>
      </c>
      <c r="I1305" s="3"/>
      <c r="J1305" s="3" t="s">
        <v>2276</v>
      </c>
      <c r="K1305" s="3" t="s">
        <v>2276</v>
      </c>
      <c r="L1305" s="3" t="s">
        <v>2276</v>
      </c>
      <c r="M1305" s="3" t="s">
        <v>2276</v>
      </c>
      <c r="N1305" s="3" t="s">
        <v>2276</v>
      </c>
      <c r="O1305" s="3" t="s">
        <v>2276</v>
      </c>
      <c r="P1305" s="3" t="s">
        <v>2276</v>
      </c>
      <c r="Q1305" s="3" t="s">
        <v>2276</v>
      </c>
      <c r="R1305" s="3" t="s">
        <v>2276</v>
      </c>
      <c r="S1305" s="3" t="s">
        <v>2276</v>
      </c>
      <c r="T1305" s="3" t="s">
        <v>2276</v>
      </c>
      <c r="U1305" s="3" t="s">
        <v>2276</v>
      </c>
      <c r="V1305" s="3" t="s">
        <v>2276</v>
      </c>
      <c r="W1305" s="3" t="s">
        <v>2276</v>
      </c>
      <c r="X1305" s="3" t="s">
        <v>2276</v>
      </c>
      <c r="Y1305" s="3" t="s">
        <v>2276</v>
      </c>
      <c r="Z1305" s="3" t="s">
        <v>35</v>
      </c>
      <c r="AA1305" s="3" t="s">
        <v>34</v>
      </c>
      <c r="AB1305" s="3" t="s">
        <v>2276</v>
      </c>
      <c r="AC1305" s="3"/>
      <c r="AD1305" s="4" t="s">
        <v>3915</v>
      </c>
    </row>
    <row r="1306" spans="1:30" ht="35.5" customHeight="1">
      <c r="A1306" s="19" t="s">
        <v>3910</v>
      </c>
      <c r="B1306" s="19" t="s">
        <v>3919</v>
      </c>
      <c r="C1306" s="3" t="s">
        <v>24</v>
      </c>
      <c r="D1306" s="3" t="s">
        <v>26</v>
      </c>
      <c r="E1306" s="3" t="s">
        <v>5005</v>
      </c>
      <c r="F1306" s="4" t="s">
        <v>2276</v>
      </c>
      <c r="G1306" s="3" t="s">
        <v>2276</v>
      </c>
      <c r="H1306" s="3" t="s">
        <v>523</v>
      </c>
      <c r="I1306" s="3"/>
      <c r="J1306" s="3" t="s">
        <v>2276</v>
      </c>
      <c r="K1306" s="3" t="s">
        <v>2276</v>
      </c>
      <c r="L1306" s="3" t="s">
        <v>2276</v>
      </c>
      <c r="M1306" s="3" t="s">
        <v>2276</v>
      </c>
      <c r="N1306" s="3" t="s">
        <v>2276</v>
      </c>
      <c r="O1306" s="3" t="s">
        <v>2276</v>
      </c>
      <c r="P1306" s="3" t="s">
        <v>2276</v>
      </c>
      <c r="Q1306" s="3" t="s">
        <v>2276</v>
      </c>
      <c r="R1306" s="3" t="s">
        <v>2276</v>
      </c>
      <c r="S1306" s="3" t="s">
        <v>2276</v>
      </c>
      <c r="T1306" s="3" t="s">
        <v>2276</v>
      </c>
      <c r="U1306" s="3" t="s">
        <v>2276</v>
      </c>
      <c r="V1306" s="3" t="s">
        <v>2276</v>
      </c>
      <c r="W1306" s="3" t="s">
        <v>2276</v>
      </c>
      <c r="X1306" s="3" t="s">
        <v>2276</v>
      </c>
      <c r="Y1306" s="3" t="s">
        <v>2276</v>
      </c>
      <c r="Z1306" s="3" t="s">
        <v>35</v>
      </c>
      <c r="AA1306" s="3" t="s">
        <v>34</v>
      </c>
      <c r="AB1306" s="3" t="s">
        <v>2276</v>
      </c>
      <c r="AC1306" s="3"/>
      <c r="AD1306" s="4" t="s">
        <v>3915</v>
      </c>
    </row>
    <row r="1307" spans="1:30" ht="41" customHeight="1">
      <c r="A1307" s="19" t="s">
        <v>3911</v>
      </c>
      <c r="B1307" s="19" t="s">
        <v>3920</v>
      </c>
      <c r="C1307" s="3" t="s">
        <v>24</v>
      </c>
      <c r="D1307" s="3" t="s">
        <v>26</v>
      </c>
      <c r="E1307" s="3" t="s">
        <v>5005</v>
      </c>
      <c r="F1307" s="4" t="s">
        <v>2276</v>
      </c>
      <c r="G1307" s="3" t="s">
        <v>2276</v>
      </c>
      <c r="H1307" s="3" t="s">
        <v>523</v>
      </c>
      <c r="I1307" s="3"/>
      <c r="J1307" s="3" t="s">
        <v>2276</v>
      </c>
      <c r="K1307" s="3" t="s">
        <v>2276</v>
      </c>
      <c r="L1307" s="3" t="s">
        <v>2276</v>
      </c>
      <c r="M1307" s="3" t="s">
        <v>2276</v>
      </c>
      <c r="N1307" s="3" t="s">
        <v>2276</v>
      </c>
      <c r="O1307" s="3" t="s">
        <v>2276</v>
      </c>
      <c r="P1307" s="3" t="s">
        <v>2276</v>
      </c>
      <c r="Q1307" s="3" t="s">
        <v>2276</v>
      </c>
      <c r="R1307" s="3" t="s">
        <v>2276</v>
      </c>
      <c r="S1307" s="3" t="s">
        <v>2276</v>
      </c>
      <c r="T1307" s="3" t="s">
        <v>2276</v>
      </c>
      <c r="U1307" s="3" t="s">
        <v>2276</v>
      </c>
      <c r="V1307" s="3" t="s">
        <v>2276</v>
      </c>
      <c r="W1307" s="3" t="s">
        <v>2276</v>
      </c>
      <c r="X1307" s="3" t="s">
        <v>2276</v>
      </c>
      <c r="Y1307" s="3" t="s">
        <v>2276</v>
      </c>
      <c r="Z1307" s="3" t="s">
        <v>35</v>
      </c>
      <c r="AA1307" s="3" t="s">
        <v>34</v>
      </c>
      <c r="AB1307" s="3" t="s">
        <v>2276</v>
      </c>
      <c r="AC1307" s="3"/>
      <c r="AD1307" s="4" t="s">
        <v>3915</v>
      </c>
    </row>
    <row r="1308" spans="1:30" ht="46" customHeight="1">
      <c r="A1308" s="19" t="s">
        <v>3922</v>
      </c>
      <c r="B1308" s="19" t="s">
        <v>3956</v>
      </c>
      <c r="C1308" s="3" t="s">
        <v>24</v>
      </c>
      <c r="D1308" s="3" t="s">
        <v>25</v>
      </c>
      <c r="E1308" s="3" t="s">
        <v>5005</v>
      </c>
      <c r="F1308" s="4" t="s">
        <v>2662</v>
      </c>
      <c r="G1308" s="3" t="s">
        <v>2276</v>
      </c>
      <c r="H1308" s="3" t="s">
        <v>523</v>
      </c>
      <c r="I1308" s="3"/>
      <c r="J1308" s="3" t="s">
        <v>2276</v>
      </c>
      <c r="K1308" s="3" t="s">
        <v>2276</v>
      </c>
      <c r="L1308" s="3" t="s">
        <v>2276</v>
      </c>
      <c r="M1308" s="3" t="s">
        <v>2276</v>
      </c>
      <c r="N1308" s="3" t="s">
        <v>2276</v>
      </c>
      <c r="O1308" s="3" t="s">
        <v>2276</v>
      </c>
      <c r="P1308" s="3" t="s">
        <v>2276</v>
      </c>
      <c r="Q1308" s="3" t="s">
        <v>2276</v>
      </c>
      <c r="R1308" s="3" t="s">
        <v>2276</v>
      </c>
      <c r="S1308" s="3" t="s">
        <v>2276</v>
      </c>
      <c r="T1308" s="3" t="s">
        <v>2276</v>
      </c>
      <c r="U1308" s="3" t="s">
        <v>2276</v>
      </c>
      <c r="V1308" s="3" t="s">
        <v>2276</v>
      </c>
      <c r="W1308" s="3" t="s">
        <v>2276</v>
      </c>
      <c r="X1308" s="3" t="s">
        <v>2276</v>
      </c>
      <c r="Y1308" s="3" t="s">
        <v>2276</v>
      </c>
      <c r="Z1308" s="3" t="s">
        <v>2276</v>
      </c>
      <c r="AA1308" s="3" t="s">
        <v>2276</v>
      </c>
      <c r="AB1308" s="3" t="s">
        <v>2276</v>
      </c>
      <c r="AC1308" s="4" t="s">
        <v>4383</v>
      </c>
      <c r="AD1308" s="4" t="s">
        <v>3960</v>
      </c>
    </row>
    <row r="1309" spans="1:30" ht="46" customHeight="1">
      <c r="A1309" s="19" t="s">
        <v>3923</v>
      </c>
      <c r="B1309" s="19" t="s">
        <v>3957</v>
      </c>
      <c r="C1309" s="3" t="s">
        <v>24</v>
      </c>
      <c r="D1309" s="3" t="s">
        <v>25</v>
      </c>
      <c r="E1309" s="3" t="s">
        <v>5005</v>
      </c>
      <c r="F1309" s="4" t="s">
        <v>2662</v>
      </c>
      <c r="G1309" s="3" t="s">
        <v>2276</v>
      </c>
      <c r="H1309" s="3" t="s">
        <v>523</v>
      </c>
      <c r="I1309" s="3"/>
      <c r="J1309" s="3" t="s">
        <v>2276</v>
      </c>
      <c r="K1309" s="3" t="s">
        <v>2276</v>
      </c>
      <c r="L1309" s="3" t="s">
        <v>2276</v>
      </c>
      <c r="M1309" s="3" t="s">
        <v>2276</v>
      </c>
      <c r="N1309" s="3" t="s">
        <v>2276</v>
      </c>
      <c r="O1309" s="3" t="s">
        <v>2276</v>
      </c>
      <c r="P1309" s="3" t="s">
        <v>2276</v>
      </c>
      <c r="Q1309" s="3" t="s">
        <v>2276</v>
      </c>
      <c r="R1309" s="3" t="s">
        <v>2276</v>
      </c>
      <c r="S1309" s="3" t="s">
        <v>2276</v>
      </c>
      <c r="T1309" s="3" t="s">
        <v>2276</v>
      </c>
      <c r="U1309" s="3" t="s">
        <v>2276</v>
      </c>
      <c r="V1309" s="3" t="s">
        <v>2276</v>
      </c>
      <c r="W1309" s="3" t="s">
        <v>2276</v>
      </c>
      <c r="X1309" s="3" t="s">
        <v>2276</v>
      </c>
      <c r="Y1309" s="3" t="s">
        <v>2276</v>
      </c>
      <c r="Z1309" s="3" t="s">
        <v>2276</v>
      </c>
      <c r="AA1309" s="3" t="s">
        <v>2276</v>
      </c>
      <c r="AB1309" s="3" t="s">
        <v>2276</v>
      </c>
      <c r="AC1309" s="4" t="s">
        <v>4383</v>
      </c>
      <c r="AD1309" s="4" t="s">
        <v>3960</v>
      </c>
    </row>
    <row r="1310" spans="1:30" ht="46" customHeight="1">
      <c r="A1310" s="19" t="s">
        <v>3925</v>
      </c>
      <c r="B1310" s="19" t="s">
        <v>3958</v>
      </c>
      <c r="C1310" s="3" t="s">
        <v>24</v>
      </c>
      <c r="D1310" s="3" t="s">
        <v>25</v>
      </c>
      <c r="E1310" s="3" t="s">
        <v>5005</v>
      </c>
      <c r="F1310" s="4" t="s">
        <v>2662</v>
      </c>
      <c r="G1310" s="3" t="s">
        <v>2276</v>
      </c>
      <c r="H1310" s="3" t="s">
        <v>523</v>
      </c>
      <c r="I1310" s="3"/>
      <c r="J1310" s="3" t="s">
        <v>2276</v>
      </c>
      <c r="K1310" s="3" t="s">
        <v>2276</v>
      </c>
      <c r="L1310" s="3" t="s">
        <v>2276</v>
      </c>
      <c r="M1310" s="3" t="s">
        <v>2276</v>
      </c>
      <c r="N1310" s="3" t="s">
        <v>2276</v>
      </c>
      <c r="O1310" s="3" t="s">
        <v>2276</v>
      </c>
      <c r="P1310" s="3" t="s">
        <v>2276</v>
      </c>
      <c r="Q1310" s="3" t="s">
        <v>2276</v>
      </c>
      <c r="R1310" s="3" t="s">
        <v>2276</v>
      </c>
      <c r="S1310" s="3" t="s">
        <v>2276</v>
      </c>
      <c r="T1310" s="3" t="s">
        <v>2276</v>
      </c>
      <c r="U1310" s="3" t="s">
        <v>2276</v>
      </c>
      <c r="V1310" s="3" t="s">
        <v>2276</v>
      </c>
      <c r="W1310" s="3" t="s">
        <v>2276</v>
      </c>
      <c r="X1310" s="3" t="s">
        <v>2276</v>
      </c>
      <c r="Y1310" s="3" t="s">
        <v>2276</v>
      </c>
      <c r="Z1310" s="3" t="s">
        <v>2276</v>
      </c>
      <c r="AA1310" s="3" t="s">
        <v>2276</v>
      </c>
      <c r="AB1310" s="3" t="s">
        <v>2276</v>
      </c>
      <c r="AC1310" s="4" t="s">
        <v>4383</v>
      </c>
      <c r="AD1310" s="4" t="s">
        <v>3960</v>
      </c>
    </row>
    <row r="1311" spans="1:30" ht="46" customHeight="1">
      <c r="A1311" s="19" t="s">
        <v>3926</v>
      </c>
      <c r="B1311" s="19" t="s">
        <v>3959</v>
      </c>
      <c r="C1311" s="3" t="s">
        <v>24</v>
      </c>
      <c r="D1311" s="3" t="s">
        <v>25</v>
      </c>
      <c r="E1311" s="3" t="s">
        <v>5005</v>
      </c>
      <c r="F1311" s="4" t="s">
        <v>2662</v>
      </c>
      <c r="G1311" s="3" t="s">
        <v>2276</v>
      </c>
      <c r="H1311" s="3" t="s">
        <v>523</v>
      </c>
      <c r="I1311" s="3"/>
      <c r="J1311" s="3" t="s">
        <v>2276</v>
      </c>
      <c r="K1311" s="3" t="s">
        <v>2276</v>
      </c>
      <c r="L1311" s="3" t="s">
        <v>2276</v>
      </c>
      <c r="M1311" s="3" t="s">
        <v>2276</v>
      </c>
      <c r="N1311" s="3" t="s">
        <v>2276</v>
      </c>
      <c r="O1311" s="3" t="s">
        <v>2276</v>
      </c>
      <c r="P1311" s="3" t="s">
        <v>2276</v>
      </c>
      <c r="Q1311" s="3" t="s">
        <v>2276</v>
      </c>
      <c r="R1311" s="3" t="s">
        <v>2276</v>
      </c>
      <c r="S1311" s="3" t="s">
        <v>2276</v>
      </c>
      <c r="T1311" s="3" t="s">
        <v>2276</v>
      </c>
      <c r="U1311" s="3" t="s">
        <v>2276</v>
      </c>
      <c r="V1311" s="3" t="s">
        <v>2276</v>
      </c>
      <c r="W1311" s="3" t="s">
        <v>2276</v>
      </c>
      <c r="X1311" s="3" t="s">
        <v>2276</v>
      </c>
      <c r="Y1311" s="3" t="s">
        <v>2276</v>
      </c>
      <c r="Z1311" s="3" t="s">
        <v>2276</v>
      </c>
      <c r="AA1311" s="3" t="s">
        <v>2276</v>
      </c>
      <c r="AB1311" s="3" t="s">
        <v>2276</v>
      </c>
      <c r="AC1311" s="4" t="s">
        <v>4383</v>
      </c>
      <c r="AD1311" s="4" t="s">
        <v>3960</v>
      </c>
    </row>
    <row r="1312" spans="1:30" ht="46" customHeight="1">
      <c r="A1312" s="11" t="s">
        <v>3930</v>
      </c>
      <c r="B1312" s="11" t="s">
        <v>3947</v>
      </c>
      <c r="C1312" s="3" t="s">
        <v>24</v>
      </c>
      <c r="D1312" s="3" t="s">
        <v>25</v>
      </c>
      <c r="E1312" s="3" t="s">
        <v>5005</v>
      </c>
      <c r="F1312" s="4" t="s">
        <v>2662</v>
      </c>
      <c r="G1312" s="3" t="s">
        <v>2276</v>
      </c>
      <c r="H1312" s="3" t="s">
        <v>523</v>
      </c>
      <c r="I1312" s="3"/>
      <c r="J1312" s="3" t="s">
        <v>2276</v>
      </c>
      <c r="K1312" s="3" t="s">
        <v>2276</v>
      </c>
      <c r="L1312" s="3" t="s">
        <v>2276</v>
      </c>
      <c r="M1312" s="3" t="s">
        <v>2276</v>
      </c>
      <c r="N1312" s="3" t="s">
        <v>2276</v>
      </c>
      <c r="O1312" s="3" t="s">
        <v>2276</v>
      </c>
      <c r="P1312" s="3" t="s">
        <v>2276</v>
      </c>
      <c r="Q1312" s="3" t="s">
        <v>2276</v>
      </c>
      <c r="R1312" s="3" t="s">
        <v>2276</v>
      </c>
      <c r="S1312" s="3" t="s">
        <v>2276</v>
      </c>
      <c r="T1312" s="3" t="s">
        <v>2276</v>
      </c>
      <c r="U1312" s="3" t="s">
        <v>2276</v>
      </c>
      <c r="V1312" s="3" t="s">
        <v>2276</v>
      </c>
      <c r="W1312" s="3" t="s">
        <v>2276</v>
      </c>
      <c r="X1312" s="3" t="s">
        <v>2276</v>
      </c>
      <c r="Y1312" s="3" t="s">
        <v>2276</v>
      </c>
      <c r="Z1312" s="3" t="s">
        <v>2276</v>
      </c>
      <c r="AA1312" s="3" t="s">
        <v>2276</v>
      </c>
      <c r="AB1312" s="3" t="s">
        <v>2276</v>
      </c>
      <c r="AC1312" s="4" t="s">
        <v>4384</v>
      </c>
      <c r="AD1312" s="4" t="s">
        <v>3960</v>
      </c>
    </row>
    <row r="1313" spans="1:30" ht="46" customHeight="1">
      <c r="A1313" s="11" t="s">
        <v>3931</v>
      </c>
      <c r="B1313" s="11" t="s">
        <v>3948</v>
      </c>
      <c r="C1313" s="3" t="s">
        <v>24</v>
      </c>
      <c r="D1313" s="3" t="s">
        <v>25</v>
      </c>
      <c r="E1313" s="3" t="s">
        <v>5005</v>
      </c>
      <c r="F1313" s="4" t="s">
        <v>2662</v>
      </c>
      <c r="G1313" s="3" t="s">
        <v>2276</v>
      </c>
      <c r="H1313" s="3" t="s">
        <v>523</v>
      </c>
      <c r="I1313" s="3"/>
      <c r="J1313" s="3" t="s">
        <v>2276</v>
      </c>
      <c r="K1313" s="3" t="s">
        <v>2276</v>
      </c>
      <c r="L1313" s="3" t="s">
        <v>2276</v>
      </c>
      <c r="M1313" s="3" t="s">
        <v>2276</v>
      </c>
      <c r="N1313" s="3" t="s">
        <v>2276</v>
      </c>
      <c r="O1313" s="3" t="s">
        <v>2276</v>
      </c>
      <c r="P1313" s="3" t="s">
        <v>2276</v>
      </c>
      <c r="Q1313" s="3" t="s">
        <v>2276</v>
      </c>
      <c r="R1313" s="3" t="s">
        <v>2276</v>
      </c>
      <c r="S1313" s="3" t="s">
        <v>2276</v>
      </c>
      <c r="T1313" s="3" t="s">
        <v>2276</v>
      </c>
      <c r="U1313" s="3" t="s">
        <v>2276</v>
      </c>
      <c r="V1313" s="3" t="s">
        <v>2276</v>
      </c>
      <c r="W1313" s="3" t="s">
        <v>2276</v>
      </c>
      <c r="X1313" s="3" t="s">
        <v>2276</v>
      </c>
      <c r="Y1313" s="3" t="s">
        <v>2276</v>
      </c>
      <c r="Z1313" s="3" t="s">
        <v>2276</v>
      </c>
      <c r="AA1313" s="3" t="s">
        <v>2276</v>
      </c>
      <c r="AB1313" s="3" t="s">
        <v>2276</v>
      </c>
      <c r="AC1313" s="4" t="s">
        <v>4384</v>
      </c>
      <c r="AD1313" s="4" t="s">
        <v>3960</v>
      </c>
    </row>
    <row r="1314" spans="1:30" ht="46" customHeight="1">
      <c r="A1314" s="11" t="s">
        <v>3932</v>
      </c>
      <c r="B1314" s="11" t="s">
        <v>3949</v>
      </c>
      <c r="C1314" s="3" t="s">
        <v>24</v>
      </c>
      <c r="D1314" s="3" t="s">
        <v>25</v>
      </c>
      <c r="E1314" s="3" t="s">
        <v>5005</v>
      </c>
      <c r="F1314" s="4" t="s">
        <v>2662</v>
      </c>
      <c r="G1314" s="3" t="s">
        <v>2276</v>
      </c>
      <c r="H1314" s="3" t="s">
        <v>523</v>
      </c>
      <c r="I1314" s="3"/>
      <c r="J1314" s="3" t="s">
        <v>2276</v>
      </c>
      <c r="K1314" s="3" t="s">
        <v>2276</v>
      </c>
      <c r="L1314" s="3" t="s">
        <v>2276</v>
      </c>
      <c r="M1314" s="3" t="s">
        <v>2276</v>
      </c>
      <c r="N1314" s="3" t="s">
        <v>2276</v>
      </c>
      <c r="O1314" s="3" t="s">
        <v>2276</v>
      </c>
      <c r="P1314" s="3" t="s">
        <v>2276</v>
      </c>
      <c r="Q1314" s="3" t="s">
        <v>2276</v>
      </c>
      <c r="R1314" s="3" t="s">
        <v>2276</v>
      </c>
      <c r="S1314" s="3" t="s">
        <v>2276</v>
      </c>
      <c r="T1314" s="3" t="s">
        <v>2276</v>
      </c>
      <c r="U1314" s="3" t="s">
        <v>2276</v>
      </c>
      <c r="V1314" s="3" t="s">
        <v>2276</v>
      </c>
      <c r="W1314" s="3" t="s">
        <v>2276</v>
      </c>
      <c r="X1314" s="3" t="s">
        <v>2276</v>
      </c>
      <c r="Y1314" s="3" t="s">
        <v>2276</v>
      </c>
      <c r="Z1314" s="3" t="s">
        <v>2276</v>
      </c>
      <c r="AA1314" s="3" t="s">
        <v>2276</v>
      </c>
      <c r="AB1314" s="3" t="s">
        <v>2276</v>
      </c>
      <c r="AC1314" s="4" t="s">
        <v>4385</v>
      </c>
      <c r="AD1314" s="4" t="s">
        <v>3960</v>
      </c>
    </row>
    <row r="1315" spans="1:30" ht="46" customHeight="1">
      <c r="A1315" s="19" t="s">
        <v>3922</v>
      </c>
      <c r="B1315" s="19" t="s">
        <v>3961</v>
      </c>
      <c r="C1315" s="3" t="s">
        <v>2458</v>
      </c>
      <c r="D1315" s="3" t="s">
        <v>25</v>
      </c>
      <c r="E1315" s="3" t="s">
        <v>5005</v>
      </c>
      <c r="F1315" s="4" t="s">
        <v>2662</v>
      </c>
      <c r="G1315" s="3" t="s">
        <v>2276</v>
      </c>
      <c r="H1315" s="3" t="s">
        <v>523</v>
      </c>
      <c r="I1315" s="3"/>
      <c r="J1315" s="3" t="s">
        <v>2276</v>
      </c>
      <c r="K1315" s="3" t="s">
        <v>2276</v>
      </c>
      <c r="L1315" s="3" t="s">
        <v>2276</v>
      </c>
      <c r="M1315" s="3" t="s">
        <v>2276</v>
      </c>
      <c r="N1315" s="3" t="s">
        <v>2276</v>
      </c>
      <c r="O1315" s="3" t="s">
        <v>2276</v>
      </c>
      <c r="P1315" s="3" t="s">
        <v>2276</v>
      </c>
      <c r="Q1315" s="3" t="s">
        <v>2276</v>
      </c>
      <c r="R1315" s="3" t="s">
        <v>2276</v>
      </c>
      <c r="S1315" s="3" t="s">
        <v>2276</v>
      </c>
      <c r="T1315" s="3" t="s">
        <v>2276</v>
      </c>
      <c r="U1315" s="3" t="s">
        <v>2276</v>
      </c>
      <c r="V1315" s="3" t="s">
        <v>2276</v>
      </c>
      <c r="W1315" s="3" t="s">
        <v>2276</v>
      </c>
      <c r="X1315" s="3" t="s">
        <v>2276</v>
      </c>
      <c r="Y1315" s="3" t="s">
        <v>2276</v>
      </c>
      <c r="Z1315" s="3" t="s">
        <v>2276</v>
      </c>
      <c r="AA1315" s="3" t="s">
        <v>2276</v>
      </c>
      <c r="AB1315" s="3" t="s">
        <v>2276</v>
      </c>
      <c r="AC1315" s="4" t="s">
        <v>4383</v>
      </c>
      <c r="AD1315" s="4" t="s">
        <v>3960</v>
      </c>
    </row>
    <row r="1316" spans="1:30" ht="46" customHeight="1">
      <c r="A1316" s="19" t="s">
        <v>3923</v>
      </c>
      <c r="B1316" s="19" t="s">
        <v>3962</v>
      </c>
      <c r="C1316" s="3" t="s">
        <v>2458</v>
      </c>
      <c r="D1316" s="3" t="s">
        <v>25</v>
      </c>
      <c r="E1316" s="3" t="s">
        <v>5005</v>
      </c>
      <c r="F1316" s="4" t="s">
        <v>2662</v>
      </c>
      <c r="G1316" s="3" t="s">
        <v>2276</v>
      </c>
      <c r="H1316" s="3" t="s">
        <v>523</v>
      </c>
      <c r="I1316" s="3"/>
      <c r="J1316" s="3" t="s">
        <v>2276</v>
      </c>
      <c r="K1316" s="3" t="s">
        <v>2276</v>
      </c>
      <c r="L1316" s="3" t="s">
        <v>2276</v>
      </c>
      <c r="M1316" s="3" t="s">
        <v>2276</v>
      </c>
      <c r="N1316" s="3" t="s">
        <v>2276</v>
      </c>
      <c r="O1316" s="3" t="s">
        <v>2276</v>
      </c>
      <c r="P1316" s="3" t="s">
        <v>2276</v>
      </c>
      <c r="Q1316" s="3" t="s">
        <v>2276</v>
      </c>
      <c r="R1316" s="3" t="s">
        <v>2276</v>
      </c>
      <c r="S1316" s="3" t="s">
        <v>2276</v>
      </c>
      <c r="T1316" s="3" t="s">
        <v>2276</v>
      </c>
      <c r="U1316" s="3" t="s">
        <v>2276</v>
      </c>
      <c r="V1316" s="3" t="s">
        <v>2276</v>
      </c>
      <c r="W1316" s="3" t="s">
        <v>2276</v>
      </c>
      <c r="X1316" s="3" t="s">
        <v>2276</v>
      </c>
      <c r="Y1316" s="3" t="s">
        <v>2276</v>
      </c>
      <c r="Z1316" s="3" t="s">
        <v>2276</v>
      </c>
      <c r="AA1316" s="3" t="s">
        <v>2276</v>
      </c>
      <c r="AB1316" s="3" t="s">
        <v>2276</v>
      </c>
      <c r="AC1316" s="4" t="s">
        <v>4383</v>
      </c>
      <c r="AD1316" s="4" t="s">
        <v>3960</v>
      </c>
    </row>
    <row r="1317" spans="1:30" ht="46" customHeight="1">
      <c r="A1317" s="19" t="s">
        <v>3925</v>
      </c>
      <c r="B1317" s="19" t="s">
        <v>3963</v>
      </c>
      <c r="C1317" s="3" t="s">
        <v>2458</v>
      </c>
      <c r="D1317" s="3" t="s">
        <v>25</v>
      </c>
      <c r="E1317" s="3" t="s">
        <v>5005</v>
      </c>
      <c r="F1317" s="4" t="s">
        <v>2662</v>
      </c>
      <c r="G1317" s="3" t="s">
        <v>2276</v>
      </c>
      <c r="H1317" s="3" t="s">
        <v>523</v>
      </c>
      <c r="I1317" s="3"/>
      <c r="J1317" s="3" t="s">
        <v>2276</v>
      </c>
      <c r="K1317" s="3" t="s">
        <v>2276</v>
      </c>
      <c r="L1317" s="3" t="s">
        <v>2276</v>
      </c>
      <c r="M1317" s="3" t="s">
        <v>2276</v>
      </c>
      <c r="N1317" s="3" t="s">
        <v>2276</v>
      </c>
      <c r="O1317" s="3" t="s">
        <v>2276</v>
      </c>
      <c r="P1317" s="3" t="s">
        <v>2276</v>
      </c>
      <c r="Q1317" s="3" t="s">
        <v>2276</v>
      </c>
      <c r="R1317" s="3" t="s">
        <v>2276</v>
      </c>
      <c r="S1317" s="3" t="s">
        <v>2276</v>
      </c>
      <c r="T1317" s="3" t="s">
        <v>2276</v>
      </c>
      <c r="U1317" s="3" t="s">
        <v>2276</v>
      </c>
      <c r="V1317" s="3" t="s">
        <v>2276</v>
      </c>
      <c r="W1317" s="3" t="s">
        <v>2276</v>
      </c>
      <c r="X1317" s="3" t="s">
        <v>2276</v>
      </c>
      <c r="Y1317" s="3" t="s">
        <v>2276</v>
      </c>
      <c r="Z1317" s="3" t="s">
        <v>2276</v>
      </c>
      <c r="AA1317" s="3" t="s">
        <v>2276</v>
      </c>
      <c r="AB1317" s="3" t="s">
        <v>2276</v>
      </c>
      <c r="AC1317" s="4" t="s">
        <v>4383</v>
      </c>
      <c r="AD1317" s="4" t="s">
        <v>3960</v>
      </c>
    </row>
    <row r="1318" spans="1:30" ht="46" customHeight="1">
      <c r="A1318" s="19" t="s">
        <v>3926</v>
      </c>
      <c r="B1318" s="19" t="s">
        <v>3964</v>
      </c>
      <c r="C1318" s="3" t="s">
        <v>2458</v>
      </c>
      <c r="D1318" s="3" t="s">
        <v>25</v>
      </c>
      <c r="E1318" s="3" t="s">
        <v>5005</v>
      </c>
      <c r="F1318" s="4" t="s">
        <v>2662</v>
      </c>
      <c r="G1318" s="3" t="s">
        <v>2276</v>
      </c>
      <c r="H1318" s="3" t="s">
        <v>523</v>
      </c>
      <c r="I1318" s="3"/>
      <c r="J1318" s="3" t="s">
        <v>2276</v>
      </c>
      <c r="K1318" s="3" t="s">
        <v>2276</v>
      </c>
      <c r="L1318" s="3" t="s">
        <v>2276</v>
      </c>
      <c r="M1318" s="3" t="s">
        <v>2276</v>
      </c>
      <c r="N1318" s="3" t="s">
        <v>2276</v>
      </c>
      <c r="O1318" s="3" t="s">
        <v>2276</v>
      </c>
      <c r="P1318" s="3" t="s">
        <v>2276</v>
      </c>
      <c r="Q1318" s="3" t="s">
        <v>2276</v>
      </c>
      <c r="R1318" s="3" t="s">
        <v>2276</v>
      </c>
      <c r="S1318" s="3" t="s">
        <v>2276</v>
      </c>
      <c r="T1318" s="3" t="s">
        <v>2276</v>
      </c>
      <c r="U1318" s="3" t="s">
        <v>2276</v>
      </c>
      <c r="V1318" s="3" t="s">
        <v>2276</v>
      </c>
      <c r="W1318" s="3" t="s">
        <v>2276</v>
      </c>
      <c r="X1318" s="3" t="s">
        <v>2276</v>
      </c>
      <c r="Y1318" s="3" t="s">
        <v>2276</v>
      </c>
      <c r="Z1318" s="3" t="s">
        <v>2276</v>
      </c>
      <c r="AA1318" s="3" t="s">
        <v>2276</v>
      </c>
      <c r="AB1318" s="3" t="s">
        <v>2276</v>
      </c>
      <c r="AC1318" s="4" t="s">
        <v>4386</v>
      </c>
      <c r="AD1318" s="4" t="s">
        <v>3960</v>
      </c>
    </row>
    <row r="1319" spans="1:30" ht="46" customHeight="1">
      <c r="A1319" s="11" t="s">
        <v>3930</v>
      </c>
      <c r="B1319" s="11" t="s">
        <v>3950</v>
      </c>
      <c r="C1319" s="3" t="s">
        <v>2458</v>
      </c>
      <c r="D1319" s="3" t="s">
        <v>25</v>
      </c>
      <c r="E1319" s="3" t="s">
        <v>5005</v>
      </c>
      <c r="F1319" s="4" t="s">
        <v>2662</v>
      </c>
      <c r="G1319" s="3" t="s">
        <v>2276</v>
      </c>
      <c r="H1319" s="3" t="s">
        <v>523</v>
      </c>
      <c r="I1319" s="3"/>
      <c r="J1319" s="3" t="s">
        <v>2276</v>
      </c>
      <c r="K1319" s="3" t="s">
        <v>2276</v>
      </c>
      <c r="L1319" s="3" t="s">
        <v>2276</v>
      </c>
      <c r="M1319" s="3" t="s">
        <v>2276</v>
      </c>
      <c r="N1319" s="3" t="s">
        <v>2276</v>
      </c>
      <c r="O1319" s="3" t="s">
        <v>2276</v>
      </c>
      <c r="P1319" s="3" t="s">
        <v>2276</v>
      </c>
      <c r="Q1319" s="3" t="s">
        <v>2276</v>
      </c>
      <c r="R1319" s="3" t="s">
        <v>2276</v>
      </c>
      <c r="S1319" s="3" t="s">
        <v>2276</v>
      </c>
      <c r="T1319" s="3" t="s">
        <v>2276</v>
      </c>
      <c r="U1319" s="3" t="s">
        <v>2276</v>
      </c>
      <c r="V1319" s="3" t="s">
        <v>2276</v>
      </c>
      <c r="W1319" s="3" t="s">
        <v>2276</v>
      </c>
      <c r="X1319" s="3" t="s">
        <v>2276</v>
      </c>
      <c r="Y1319" s="3" t="s">
        <v>2276</v>
      </c>
      <c r="Z1319" s="3" t="s">
        <v>2276</v>
      </c>
      <c r="AA1319" s="3" t="s">
        <v>2276</v>
      </c>
      <c r="AB1319" s="3" t="s">
        <v>2276</v>
      </c>
      <c r="AC1319" s="4" t="s">
        <v>4384</v>
      </c>
      <c r="AD1319" s="4" t="s">
        <v>3960</v>
      </c>
    </row>
    <row r="1320" spans="1:30" ht="46" customHeight="1">
      <c r="A1320" s="11" t="s">
        <v>3931</v>
      </c>
      <c r="B1320" s="11" t="s">
        <v>3951</v>
      </c>
      <c r="C1320" s="3" t="s">
        <v>2458</v>
      </c>
      <c r="D1320" s="3" t="s">
        <v>25</v>
      </c>
      <c r="E1320" s="3" t="s">
        <v>5005</v>
      </c>
      <c r="F1320" s="4" t="s">
        <v>2662</v>
      </c>
      <c r="G1320" s="3" t="s">
        <v>2276</v>
      </c>
      <c r="H1320" s="3" t="s">
        <v>523</v>
      </c>
      <c r="I1320" s="3"/>
      <c r="J1320" s="3" t="s">
        <v>2276</v>
      </c>
      <c r="K1320" s="3" t="s">
        <v>2276</v>
      </c>
      <c r="L1320" s="3" t="s">
        <v>2276</v>
      </c>
      <c r="M1320" s="3" t="s">
        <v>2276</v>
      </c>
      <c r="N1320" s="3" t="s">
        <v>2276</v>
      </c>
      <c r="O1320" s="3" t="s">
        <v>2276</v>
      </c>
      <c r="P1320" s="3" t="s">
        <v>2276</v>
      </c>
      <c r="Q1320" s="3" t="s">
        <v>2276</v>
      </c>
      <c r="R1320" s="3" t="s">
        <v>2276</v>
      </c>
      <c r="S1320" s="3" t="s">
        <v>2276</v>
      </c>
      <c r="T1320" s="3" t="s">
        <v>2276</v>
      </c>
      <c r="U1320" s="3" t="s">
        <v>2276</v>
      </c>
      <c r="V1320" s="3" t="s">
        <v>2276</v>
      </c>
      <c r="W1320" s="3" t="s">
        <v>2276</v>
      </c>
      <c r="X1320" s="3" t="s">
        <v>2276</v>
      </c>
      <c r="Y1320" s="3" t="s">
        <v>2276</v>
      </c>
      <c r="Z1320" s="3" t="s">
        <v>2276</v>
      </c>
      <c r="AA1320" s="3" t="s">
        <v>2276</v>
      </c>
      <c r="AB1320" s="3" t="s">
        <v>2276</v>
      </c>
      <c r="AC1320" s="4" t="s">
        <v>4384</v>
      </c>
      <c r="AD1320" s="4" t="s">
        <v>3960</v>
      </c>
    </row>
    <row r="1321" spans="1:30" ht="46" customHeight="1">
      <c r="A1321" s="11" t="s">
        <v>3932</v>
      </c>
      <c r="B1321" s="11" t="s">
        <v>3952</v>
      </c>
      <c r="C1321" s="3" t="s">
        <v>2458</v>
      </c>
      <c r="D1321" s="3" t="s">
        <v>25</v>
      </c>
      <c r="E1321" s="3" t="s">
        <v>5005</v>
      </c>
      <c r="F1321" s="4" t="s">
        <v>2662</v>
      </c>
      <c r="G1321" s="3" t="s">
        <v>2276</v>
      </c>
      <c r="H1321" s="3" t="s">
        <v>523</v>
      </c>
      <c r="I1321" s="3"/>
      <c r="J1321" s="3" t="s">
        <v>2276</v>
      </c>
      <c r="K1321" s="3" t="s">
        <v>2276</v>
      </c>
      <c r="L1321" s="3" t="s">
        <v>2276</v>
      </c>
      <c r="M1321" s="3" t="s">
        <v>2276</v>
      </c>
      <c r="N1321" s="3" t="s">
        <v>2276</v>
      </c>
      <c r="O1321" s="3" t="s">
        <v>2276</v>
      </c>
      <c r="P1321" s="3" t="s">
        <v>2276</v>
      </c>
      <c r="Q1321" s="3" t="s">
        <v>2276</v>
      </c>
      <c r="R1321" s="3" t="s">
        <v>2276</v>
      </c>
      <c r="S1321" s="3" t="s">
        <v>2276</v>
      </c>
      <c r="T1321" s="3" t="s">
        <v>2276</v>
      </c>
      <c r="U1321" s="3" t="s">
        <v>2276</v>
      </c>
      <c r="V1321" s="3" t="s">
        <v>2276</v>
      </c>
      <c r="W1321" s="3" t="s">
        <v>2276</v>
      </c>
      <c r="X1321" s="3" t="s">
        <v>2276</v>
      </c>
      <c r="Y1321" s="3" t="s">
        <v>2276</v>
      </c>
      <c r="Z1321" s="3" t="s">
        <v>2276</v>
      </c>
      <c r="AA1321" s="3" t="s">
        <v>2276</v>
      </c>
      <c r="AB1321" s="3" t="s">
        <v>2276</v>
      </c>
      <c r="AC1321" s="4" t="s">
        <v>4385</v>
      </c>
      <c r="AD1321" s="4" t="s">
        <v>3960</v>
      </c>
    </row>
    <row r="1322" spans="1:30" ht="32" customHeight="1">
      <c r="A1322" s="11" t="s">
        <v>3967</v>
      </c>
      <c r="B1322" s="11" t="s">
        <v>3975</v>
      </c>
      <c r="C1322" s="3" t="s">
        <v>24</v>
      </c>
      <c r="D1322" s="3" t="s">
        <v>26</v>
      </c>
      <c r="E1322" s="3" t="s">
        <v>5005</v>
      </c>
      <c r="F1322" s="4" t="s">
        <v>2662</v>
      </c>
      <c r="G1322" s="3" t="s">
        <v>2276</v>
      </c>
      <c r="H1322" s="3" t="s">
        <v>523</v>
      </c>
      <c r="I1322" s="3"/>
      <c r="J1322" s="3" t="s">
        <v>2276</v>
      </c>
      <c r="K1322" s="3" t="s">
        <v>2276</v>
      </c>
      <c r="L1322" s="3" t="s">
        <v>2276</v>
      </c>
      <c r="M1322" s="3" t="s">
        <v>2276</v>
      </c>
      <c r="N1322" s="3" t="s">
        <v>2276</v>
      </c>
      <c r="O1322" s="3" t="s">
        <v>2276</v>
      </c>
      <c r="P1322" s="3" t="s">
        <v>2276</v>
      </c>
      <c r="Q1322" s="3" t="s">
        <v>2276</v>
      </c>
      <c r="R1322" s="3" t="s">
        <v>2276</v>
      </c>
      <c r="S1322" s="3" t="s">
        <v>2276</v>
      </c>
      <c r="T1322" s="3" t="s">
        <v>2276</v>
      </c>
      <c r="U1322" s="3" t="s">
        <v>2276</v>
      </c>
      <c r="V1322" s="3" t="s">
        <v>2276</v>
      </c>
      <c r="W1322" s="3" t="s">
        <v>2276</v>
      </c>
      <c r="X1322" s="3" t="s">
        <v>2276</v>
      </c>
      <c r="Y1322" s="3" t="s">
        <v>2276</v>
      </c>
      <c r="Z1322" s="3" t="s">
        <v>2276</v>
      </c>
      <c r="AA1322" s="3" t="s">
        <v>2276</v>
      </c>
      <c r="AB1322" s="3" t="s">
        <v>2276</v>
      </c>
      <c r="AC1322" s="3" t="s">
        <v>3979</v>
      </c>
      <c r="AD1322" s="3"/>
    </row>
    <row r="1323" spans="1:30" ht="37" customHeight="1">
      <c r="A1323" s="11" t="s">
        <v>3967</v>
      </c>
      <c r="B1323" s="11" t="s">
        <v>3977</v>
      </c>
      <c r="C1323" s="3" t="s">
        <v>24</v>
      </c>
      <c r="D1323" s="3" t="s">
        <v>26</v>
      </c>
      <c r="E1323" s="3" t="s">
        <v>45</v>
      </c>
      <c r="F1323" s="4" t="s">
        <v>2662</v>
      </c>
      <c r="G1323" s="3" t="s">
        <v>2276</v>
      </c>
      <c r="H1323" s="3" t="s">
        <v>523</v>
      </c>
      <c r="I1323" s="3"/>
      <c r="J1323" s="3" t="s">
        <v>2276</v>
      </c>
      <c r="K1323" s="3" t="s">
        <v>2276</v>
      </c>
      <c r="L1323" s="3" t="s">
        <v>2276</v>
      </c>
      <c r="M1323" s="3" t="s">
        <v>2276</v>
      </c>
      <c r="N1323" s="3" t="s">
        <v>2276</v>
      </c>
      <c r="O1323" s="3" t="s">
        <v>2276</v>
      </c>
      <c r="P1323" s="3" t="s">
        <v>2276</v>
      </c>
      <c r="Q1323" s="3" t="s">
        <v>2276</v>
      </c>
      <c r="R1323" s="3" t="s">
        <v>2276</v>
      </c>
      <c r="S1323" s="3" t="s">
        <v>2276</v>
      </c>
      <c r="T1323" s="3" t="s">
        <v>2276</v>
      </c>
      <c r="U1323" s="3" t="s">
        <v>2276</v>
      </c>
      <c r="V1323" s="3" t="s">
        <v>2276</v>
      </c>
      <c r="W1323" s="3" t="s">
        <v>2276</v>
      </c>
      <c r="X1323" s="3" t="s">
        <v>2276</v>
      </c>
      <c r="Y1323" s="3" t="s">
        <v>2276</v>
      </c>
      <c r="Z1323" s="3" t="s">
        <v>2276</v>
      </c>
      <c r="AA1323" s="3" t="s">
        <v>2276</v>
      </c>
      <c r="AB1323" s="3" t="s">
        <v>2276</v>
      </c>
      <c r="AC1323" s="3" t="s">
        <v>3979</v>
      </c>
      <c r="AD1323" s="3"/>
    </row>
    <row r="1324" spans="1:30" ht="32" customHeight="1">
      <c r="A1324" s="11" t="s">
        <v>3967</v>
      </c>
      <c r="B1324" s="11" t="s">
        <v>3981</v>
      </c>
      <c r="C1324" s="3" t="s">
        <v>24</v>
      </c>
      <c r="D1324" s="3" t="s">
        <v>26</v>
      </c>
      <c r="E1324" s="3" t="s">
        <v>5005</v>
      </c>
      <c r="F1324" s="4" t="s">
        <v>74</v>
      </c>
      <c r="G1324" s="3" t="s">
        <v>2276</v>
      </c>
      <c r="H1324" s="3" t="s">
        <v>523</v>
      </c>
      <c r="I1324" s="3"/>
      <c r="J1324" s="3" t="s">
        <v>2276</v>
      </c>
      <c r="K1324" s="3" t="s">
        <v>2276</v>
      </c>
      <c r="L1324" s="3" t="s">
        <v>2276</v>
      </c>
      <c r="M1324" s="3" t="s">
        <v>2276</v>
      </c>
      <c r="N1324" s="3" t="s">
        <v>2276</v>
      </c>
      <c r="O1324" s="3" t="s">
        <v>2276</v>
      </c>
      <c r="P1324" s="3" t="s">
        <v>2276</v>
      </c>
      <c r="Q1324" s="3" t="s">
        <v>2276</v>
      </c>
      <c r="R1324" s="3" t="s">
        <v>2276</v>
      </c>
      <c r="S1324" s="3" t="s">
        <v>2276</v>
      </c>
      <c r="T1324" s="3" t="s">
        <v>2276</v>
      </c>
      <c r="U1324" s="3" t="s">
        <v>2276</v>
      </c>
      <c r="V1324" s="3" t="s">
        <v>2276</v>
      </c>
      <c r="W1324" s="3" t="s">
        <v>2276</v>
      </c>
      <c r="X1324" s="3" t="s">
        <v>2276</v>
      </c>
      <c r="Y1324" s="3" t="s">
        <v>2276</v>
      </c>
      <c r="Z1324" s="3" t="s">
        <v>2276</v>
      </c>
      <c r="AA1324" s="3" t="s">
        <v>2276</v>
      </c>
      <c r="AB1324" s="3" t="s">
        <v>2276</v>
      </c>
      <c r="AC1324" s="3" t="s">
        <v>3979</v>
      </c>
      <c r="AD1324" s="3"/>
    </row>
    <row r="1325" spans="1:30" ht="31" customHeight="1">
      <c r="A1325" s="11" t="s">
        <v>3967</v>
      </c>
      <c r="B1325" s="11" t="s">
        <v>3982</v>
      </c>
      <c r="C1325" s="3" t="s">
        <v>24</v>
      </c>
      <c r="D1325" s="3" t="s">
        <v>26</v>
      </c>
      <c r="E1325" s="3" t="s">
        <v>45</v>
      </c>
      <c r="F1325" s="4" t="s">
        <v>74</v>
      </c>
      <c r="G1325" s="3" t="s">
        <v>2276</v>
      </c>
      <c r="H1325" s="3" t="s">
        <v>523</v>
      </c>
      <c r="I1325" s="3"/>
      <c r="J1325" s="3" t="s">
        <v>2276</v>
      </c>
      <c r="K1325" s="3" t="s">
        <v>2276</v>
      </c>
      <c r="L1325" s="3" t="s">
        <v>2276</v>
      </c>
      <c r="M1325" s="3" t="s">
        <v>2276</v>
      </c>
      <c r="N1325" s="3" t="s">
        <v>2276</v>
      </c>
      <c r="O1325" s="3" t="s">
        <v>2276</v>
      </c>
      <c r="P1325" s="3" t="s">
        <v>2276</v>
      </c>
      <c r="Q1325" s="3" t="s">
        <v>2276</v>
      </c>
      <c r="R1325" s="3" t="s">
        <v>2276</v>
      </c>
      <c r="S1325" s="3" t="s">
        <v>2276</v>
      </c>
      <c r="T1325" s="3" t="s">
        <v>2276</v>
      </c>
      <c r="U1325" s="3" t="s">
        <v>2276</v>
      </c>
      <c r="V1325" s="3" t="s">
        <v>2276</v>
      </c>
      <c r="W1325" s="3" t="s">
        <v>2276</v>
      </c>
      <c r="X1325" s="3" t="s">
        <v>2276</v>
      </c>
      <c r="Y1325" s="3" t="s">
        <v>2276</v>
      </c>
      <c r="Z1325" s="3" t="s">
        <v>2276</v>
      </c>
      <c r="AA1325" s="3" t="s">
        <v>2276</v>
      </c>
      <c r="AB1325" s="3" t="s">
        <v>2276</v>
      </c>
      <c r="AC1325" s="3" t="s">
        <v>3979</v>
      </c>
      <c r="AD1325" s="3"/>
    </row>
    <row r="1326" spans="1:30" ht="37" customHeight="1">
      <c r="A1326" s="11" t="s">
        <v>3972</v>
      </c>
      <c r="B1326" s="11" t="s">
        <v>3976</v>
      </c>
      <c r="C1326" s="3" t="s">
        <v>24</v>
      </c>
      <c r="D1326" s="3" t="s">
        <v>26</v>
      </c>
      <c r="E1326" s="3" t="s">
        <v>5005</v>
      </c>
      <c r="F1326" s="4" t="s">
        <v>2662</v>
      </c>
      <c r="G1326" s="3" t="s">
        <v>2276</v>
      </c>
      <c r="H1326" s="3" t="s">
        <v>524</v>
      </c>
      <c r="I1326" s="3"/>
      <c r="J1326" s="21">
        <v>0</v>
      </c>
      <c r="K1326" s="21">
        <v>0</v>
      </c>
      <c r="L1326" s="21">
        <v>0</v>
      </c>
      <c r="M1326" s="21">
        <v>0</v>
      </c>
      <c r="N1326" s="21">
        <v>0</v>
      </c>
      <c r="O1326" s="21">
        <v>0</v>
      </c>
      <c r="P1326" s="21">
        <v>0</v>
      </c>
      <c r="Q1326" s="21">
        <v>0</v>
      </c>
      <c r="R1326" s="21">
        <v>0</v>
      </c>
      <c r="S1326" s="21">
        <v>0</v>
      </c>
      <c r="T1326" s="21">
        <v>0</v>
      </c>
      <c r="U1326" s="21">
        <v>0</v>
      </c>
      <c r="V1326" s="21">
        <v>0</v>
      </c>
      <c r="W1326" s="21">
        <v>0</v>
      </c>
      <c r="X1326" s="21">
        <v>0</v>
      </c>
      <c r="Y1326" s="3" t="s">
        <v>2276</v>
      </c>
      <c r="Z1326" s="3" t="s">
        <v>2276</v>
      </c>
      <c r="AA1326" s="3" t="s">
        <v>2276</v>
      </c>
      <c r="AB1326" s="3" t="s">
        <v>2276</v>
      </c>
      <c r="AC1326" s="4" t="s">
        <v>3980</v>
      </c>
      <c r="AD1326" s="3"/>
    </row>
    <row r="1327" spans="1:30" ht="37" customHeight="1">
      <c r="A1327" s="11" t="s">
        <v>3972</v>
      </c>
      <c r="B1327" s="11" t="s">
        <v>3978</v>
      </c>
      <c r="C1327" s="3" t="s">
        <v>24</v>
      </c>
      <c r="D1327" s="3" t="s">
        <v>26</v>
      </c>
      <c r="E1327" s="3" t="s">
        <v>45</v>
      </c>
      <c r="F1327" s="4" t="s">
        <v>2662</v>
      </c>
      <c r="G1327" s="3" t="s">
        <v>2276</v>
      </c>
      <c r="H1327" s="3" t="s">
        <v>524</v>
      </c>
      <c r="I1327" s="3"/>
      <c r="J1327" s="21">
        <v>0</v>
      </c>
      <c r="K1327" s="21">
        <v>0</v>
      </c>
      <c r="L1327" s="21">
        <v>0</v>
      </c>
      <c r="M1327" s="21">
        <v>0</v>
      </c>
      <c r="N1327" s="21">
        <v>0</v>
      </c>
      <c r="O1327" s="21">
        <v>0</v>
      </c>
      <c r="P1327" s="21">
        <v>0</v>
      </c>
      <c r="Q1327" s="21">
        <v>0</v>
      </c>
      <c r="R1327" s="21">
        <v>0</v>
      </c>
      <c r="S1327" s="21">
        <v>0</v>
      </c>
      <c r="T1327" s="21">
        <v>0</v>
      </c>
      <c r="U1327" s="21">
        <v>0</v>
      </c>
      <c r="V1327" s="21">
        <v>0</v>
      </c>
      <c r="W1327" s="21">
        <v>0</v>
      </c>
      <c r="X1327" s="21">
        <v>0</v>
      </c>
      <c r="Y1327" s="3" t="s">
        <v>2276</v>
      </c>
      <c r="Z1327" s="3" t="s">
        <v>2276</v>
      </c>
      <c r="AA1327" s="3" t="s">
        <v>2276</v>
      </c>
      <c r="AB1327" s="3" t="s">
        <v>2276</v>
      </c>
      <c r="AC1327" s="4" t="s">
        <v>3980</v>
      </c>
      <c r="AD1327" s="3"/>
    </row>
    <row r="1328" spans="1:30" ht="37" customHeight="1">
      <c r="A1328" s="11" t="s">
        <v>3972</v>
      </c>
      <c r="B1328" s="11" t="s">
        <v>3983</v>
      </c>
      <c r="C1328" s="3" t="s">
        <v>24</v>
      </c>
      <c r="D1328" s="3" t="s">
        <v>26</v>
      </c>
      <c r="E1328" s="3" t="s">
        <v>5005</v>
      </c>
      <c r="F1328" s="4" t="s">
        <v>74</v>
      </c>
      <c r="G1328" s="3" t="s">
        <v>2276</v>
      </c>
      <c r="H1328" s="3" t="s">
        <v>524</v>
      </c>
      <c r="I1328" s="3"/>
      <c r="J1328" s="21">
        <v>0</v>
      </c>
      <c r="K1328" s="21">
        <v>0</v>
      </c>
      <c r="L1328" s="21">
        <v>0</v>
      </c>
      <c r="M1328" s="21">
        <v>0</v>
      </c>
      <c r="N1328" s="21">
        <v>0</v>
      </c>
      <c r="O1328" s="21">
        <v>0</v>
      </c>
      <c r="P1328" s="21">
        <v>0</v>
      </c>
      <c r="Q1328" s="21">
        <v>0</v>
      </c>
      <c r="R1328" s="21">
        <v>0</v>
      </c>
      <c r="S1328" s="21">
        <v>0</v>
      </c>
      <c r="T1328" s="21">
        <v>0</v>
      </c>
      <c r="U1328" s="21">
        <v>0</v>
      </c>
      <c r="V1328" s="21">
        <v>0</v>
      </c>
      <c r="W1328" s="21">
        <v>0</v>
      </c>
      <c r="X1328" s="21">
        <v>0</v>
      </c>
      <c r="Y1328" s="3" t="s">
        <v>2276</v>
      </c>
      <c r="Z1328" s="3" t="s">
        <v>2276</v>
      </c>
      <c r="AA1328" s="3" t="s">
        <v>2276</v>
      </c>
      <c r="AB1328" s="3" t="s">
        <v>2276</v>
      </c>
      <c r="AC1328" s="4" t="s">
        <v>3980</v>
      </c>
      <c r="AD1328" s="3"/>
    </row>
    <row r="1329" spans="1:30" ht="37" customHeight="1">
      <c r="A1329" s="11" t="s">
        <v>3972</v>
      </c>
      <c r="B1329" s="11" t="s">
        <v>3984</v>
      </c>
      <c r="C1329" s="3" t="s">
        <v>24</v>
      </c>
      <c r="D1329" s="3" t="s">
        <v>26</v>
      </c>
      <c r="E1329" s="3" t="s">
        <v>45</v>
      </c>
      <c r="F1329" s="4" t="s">
        <v>74</v>
      </c>
      <c r="G1329" s="3" t="s">
        <v>2276</v>
      </c>
      <c r="H1329" s="3" t="s">
        <v>524</v>
      </c>
      <c r="I1329" s="3"/>
      <c r="J1329" s="21">
        <v>0</v>
      </c>
      <c r="K1329" s="21">
        <v>0</v>
      </c>
      <c r="L1329" s="21">
        <v>0</v>
      </c>
      <c r="M1329" s="21">
        <v>0</v>
      </c>
      <c r="N1329" s="21">
        <v>0</v>
      </c>
      <c r="O1329" s="21">
        <v>0</v>
      </c>
      <c r="P1329" s="21">
        <v>0</v>
      </c>
      <c r="Q1329" s="21">
        <v>0</v>
      </c>
      <c r="R1329" s="21">
        <v>0</v>
      </c>
      <c r="S1329" s="21">
        <v>0</v>
      </c>
      <c r="T1329" s="21">
        <v>0</v>
      </c>
      <c r="U1329" s="21">
        <v>0</v>
      </c>
      <c r="V1329" s="21">
        <v>0</v>
      </c>
      <c r="W1329" s="21">
        <v>0</v>
      </c>
      <c r="X1329" s="21">
        <v>0</v>
      </c>
      <c r="Y1329" s="3" t="s">
        <v>2276</v>
      </c>
      <c r="Z1329" s="3" t="s">
        <v>2276</v>
      </c>
      <c r="AA1329" s="3" t="s">
        <v>2276</v>
      </c>
      <c r="AB1329" s="3" t="s">
        <v>2276</v>
      </c>
      <c r="AC1329" s="4" t="s">
        <v>3980</v>
      </c>
      <c r="AD1329" s="3"/>
    </row>
    <row r="1330" spans="1:30" ht="35.5" customHeight="1">
      <c r="A1330" s="11" t="s">
        <v>3972</v>
      </c>
      <c r="B1330" s="11" t="s">
        <v>3985</v>
      </c>
      <c r="C1330" s="3" t="s">
        <v>24</v>
      </c>
      <c r="D1330" s="3" t="s">
        <v>3476</v>
      </c>
      <c r="E1330" s="3" t="s">
        <v>116</v>
      </c>
      <c r="F1330" s="4" t="s">
        <v>2662</v>
      </c>
      <c r="G1330" s="3" t="s">
        <v>2276</v>
      </c>
      <c r="H1330" s="3" t="s">
        <v>523</v>
      </c>
      <c r="I1330" s="3"/>
      <c r="J1330" s="3" t="s">
        <v>2276</v>
      </c>
      <c r="K1330" s="3" t="s">
        <v>2276</v>
      </c>
      <c r="L1330" s="3" t="s">
        <v>2276</v>
      </c>
      <c r="M1330" s="3" t="s">
        <v>2276</v>
      </c>
      <c r="N1330" s="3" t="s">
        <v>2276</v>
      </c>
      <c r="O1330" s="3" t="s">
        <v>2276</v>
      </c>
      <c r="P1330" s="3" t="s">
        <v>2276</v>
      </c>
      <c r="Q1330" s="3" t="s">
        <v>2276</v>
      </c>
      <c r="R1330" s="3" t="s">
        <v>2276</v>
      </c>
      <c r="S1330" s="3" t="s">
        <v>2276</v>
      </c>
      <c r="T1330" s="3" t="s">
        <v>2276</v>
      </c>
      <c r="U1330" s="3" t="s">
        <v>2276</v>
      </c>
      <c r="V1330" s="3" t="s">
        <v>2276</v>
      </c>
      <c r="W1330" s="3" t="s">
        <v>2276</v>
      </c>
      <c r="X1330" s="3" t="s">
        <v>2276</v>
      </c>
      <c r="Y1330" s="3" t="s">
        <v>2276</v>
      </c>
      <c r="Z1330" s="3" t="s">
        <v>2276</v>
      </c>
      <c r="AA1330" s="3" t="s">
        <v>2276</v>
      </c>
      <c r="AB1330" s="3" t="s">
        <v>2276</v>
      </c>
      <c r="AC1330" s="3"/>
      <c r="AD1330" s="3"/>
    </row>
    <row r="1331" spans="1:30" ht="47.5" customHeight="1">
      <c r="A1331" s="11" t="s">
        <v>3989</v>
      </c>
      <c r="B1331" s="11" t="s">
        <v>3997</v>
      </c>
      <c r="C1331" s="3" t="s">
        <v>24</v>
      </c>
      <c r="D1331" s="3" t="s">
        <v>25</v>
      </c>
      <c r="E1331" s="3" t="s">
        <v>5005</v>
      </c>
      <c r="F1331" s="4" t="s">
        <v>29</v>
      </c>
      <c r="G1331" s="3" t="s">
        <v>2276</v>
      </c>
      <c r="H1331" s="3" t="s">
        <v>523</v>
      </c>
      <c r="I1331" s="3"/>
      <c r="J1331" s="3" t="s">
        <v>2276</v>
      </c>
      <c r="K1331" s="3" t="s">
        <v>2276</v>
      </c>
      <c r="L1331" s="3" t="s">
        <v>2276</v>
      </c>
      <c r="M1331" s="3" t="s">
        <v>2276</v>
      </c>
      <c r="N1331" s="3" t="s">
        <v>2276</v>
      </c>
      <c r="O1331" s="3" t="s">
        <v>2276</v>
      </c>
      <c r="P1331" s="3" t="s">
        <v>2276</v>
      </c>
      <c r="Q1331" s="3" t="s">
        <v>2276</v>
      </c>
      <c r="R1331" s="3" t="s">
        <v>2276</v>
      </c>
      <c r="S1331" s="3" t="s">
        <v>2276</v>
      </c>
      <c r="T1331" s="3" t="s">
        <v>2276</v>
      </c>
      <c r="U1331" s="3" t="s">
        <v>2276</v>
      </c>
      <c r="V1331" s="3" t="s">
        <v>2276</v>
      </c>
      <c r="W1331" s="3" t="s">
        <v>2276</v>
      </c>
      <c r="X1331" s="3" t="s">
        <v>2276</v>
      </c>
      <c r="Y1331" s="3" t="s">
        <v>2276</v>
      </c>
      <c r="Z1331" s="3" t="s">
        <v>2276</v>
      </c>
      <c r="AA1331" s="3" t="s">
        <v>2276</v>
      </c>
      <c r="AB1331" s="3" t="s">
        <v>2276</v>
      </c>
      <c r="AC1331" s="3" t="s">
        <v>4010</v>
      </c>
      <c r="AD1331" s="3"/>
    </row>
    <row r="1332" spans="1:30" ht="46" customHeight="1">
      <c r="A1332" s="11" t="s">
        <v>3989</v>
      </c>
      <c r="B1332" s="11" t="s">
        <v>4001</v>
      </c>
      <c r="C1332" s="3" t="s">
        <v>24</v>
      </c>
      <c r="D1332" s="3" t="s">
        <v>2804</v>
      </c>
      <c r="E1332" s="3" t="s">
        <v>5005</v>
      </c>
      <c r="F1332" s="4" t="s">
        <v>2662</v>
      </c>
      <c r="G1332" s="3" t="s">
        <v>2276</v>
      </c>
      <c r="H1332" s="3" t="s">
        <v>523</v>
      </c>
      <c r="I1332" s="3"/>
      <c r="J1332" s="3" t="s">
        <v>2276</v>
      </c>
      <c r="K1332" s="3" t="s">
        <v>2276</v>
      </c>
      <c r="L1332" s="3" t="s">
        <v>2276</v>
      </c>
      <c r="M1332" s="3" t="s">
        <v>2276</v>
      </c>
      <c r="N1332" s="3" t="s">
        <v>2276</v>
      </c>
      <c r="O1332" s="3" t="s">
        <v>2276</v>
      </c>
      <c r="P1332" s="3" t="s">
        <v>2276</v>
      </c>
      <c r="Q1332" s="3" t="s">
        <v>2276</v>
      </c>
      <c r="R1332" s="3" t="s">
        <v>2276</v>
      </c>
      <c r="S1332" s="3" t="s">
        <v>2276</v>
      </c>
      <c r="T1332" s="3" t="s">
        <v>2276</v>
      </c>
      <c r="U1332" s="3" t="s">
        <v>2276</v>
      </c>
      <c r="V1332" s="3" t="s">
        <v>2276</v>
      </c>
      <c r="W1332" s="3" t="s">
        <v>2276</v>
      </c>
      <c r="X1332" s="3" t="s">
        <v>2276</v>
      </c>
      <c r="Y1332" s="3" t="s">
        <v>2276</v>
      </c>
      <c r="Z1332" s="3" t="s">
        <v>2276</v>
      </c>
      <c r="AA1332" s="3" t="s">
        <v>2276</v>
      </c>
      <c r="AB1332" s="3" t="s">
        <v>2276</v>
      </c>
      <c r="AC1332" s="3" t="s">
        <v>4011</v>
      </c>
      <c r="AD1332" s="3"/>
    </row>
    <row r="1333" spans="1:30" ht="53.5" customHeight="1">
      <c r="A1333" s="11" t="s">
        <v>3990</v>
      </c>
      <c r="B1333" s="11" t="s">
        <v>4004</v>
      </c>
      <c r="C1333" s="3" t="s">
        <v>24</v>
      </c>
      <c r="D1333" s="3" t="s">
        <v>25</v>
      </c>
      <c r="E1333" s="4" t="s">
        <v>3854</v>
      </c>
      <c r="F1333" s="4" t="s">
        <v>29</v>
      </c>
      <c r="G1333" s="3" t="s">
        <v>2276</v>
      </c>
      <c r="H1333" s="3" t="s">
        <v>523</v>
      </c>
      <c r="I1333" s="3"/>
      <c r="J1333" s="3" t="s">
        <v>2276</v>
      </c>
      <c r="K1333" s="3" t="s">
        <v>2276</v>
      </c>
      <c r="L1333" s="3" t="s">
        <v>2276</v>
      </c>
      <c r="M1333" s="3" t="s">
        <v>2276</v>
      </c>
      <c r="N1333" s="3" t="s">
        <v>2276</v>
      </c>
      <c r="O1333" s="3" t="s">
        <v>2276</v>
      </c>
      <c r="P1333" s="3" t="s">
        <v>2276</v>
      </c>
      <c r="Q1333" s="3" t="s">
        <v>2276</v>
      </c>
      <c r="R1333" s="3" t="s">
        <v>2276</v>
      </c>
      <c r="S1333" s="3" t="s">
        <v>2276</v>
      </c>
      <c r="T1333" s="3" t="s">
        <v>2276</v>
      </c>
      <c r="U1333" s="3" t="s">
        <v>2276</v>
      </c>
      <c r="V1333" s="3" t="s">
        <v>2276</v>
      </c>
      <c r="W1333" s="3" t="s">
        <v>2276</v>
      </c>
      <c r="X1333" s="3" t="s">
        <v>2276</v>
      </c>
      <c r="Y1333" s="3" t="s">
        <v>2276</v>
      </c>
      <c r="Z1333" s="3" t="s">
        <v>2276</v>
      </c>
      <c r="AA1333" s="3" t="s">
        <v>2276</v>
      </c>
      <c r="AB1333" s="3" t="s">
        <v>2276</v>
      </c>
      <c r="AC1333" s="3" t="s">
        <v>4010</v>
      </c>
      <c r="AD1333" s="3"/>
    </row>
    <row r="1334" spans="1:30" ht="55.5" customHeight="1">
      <c r="A1334" s="11" t="s">
        <v>3990</v>
      </c>
      <c r="B1334" s="11" t="s">
        <v>4005</v>
      </c>
      <c r="C1334" s="3" t="s">
        <v>24</v>
      </c>
      <c r="D1334" s="3" t="s">
        <v>2804</v>
      </c>
      <c r="E1334" s="4" t="s">
        <v>3854</v>
      </c>
      <c r="F1334" s="4" t="s">
        <v>2662</v>
      </c>
      <c r="G1334" s="3" t="s">
        <v>2276</v>
      </c>
      <c r="H1334" s="3" t="s">
        <v>523</v>
      </c>
      <c r="I1334" s="3"/>
      <c r="J1334" s="3" t="s">
        <v>2276</v>
      </c>
      <c r="K1334" s="3" t="s">
        <v>2276</v>
      </c>
      <c r="L1334" s="3" t="s">
        <v>2276</v>
      </c>
      <c r="M1334" s="3" t="s">
        <v>2276</v>
      </c>
      <c r="N1334" s="3" t="s">
        <v>2276</v>
      </c>
      <c r="O1334" s="3" t="s">
        <v>2276</v>
      </c>
      <c r="P1334" s="3" t="s">
        <v>2276</v>
      </c>
      <c r="Q1334" s="3" t="s">
        <v>2276</v>
      </c>
      <c r="R1334" s="3" t="s">
        <v>2276</v>
      </c>
      <c r="S1334" s="3" t="s">
        <v>2276</v>
      </c>
      <c r="T1334" s="3" t="s">
        <v>2276</v>
      </c>
      <c r="U1334" s="3" t="s">
        <v>2276</v>
      </c>
      <c r="V1334" s="3" t="s">
        <v>2276</v>
      </c>
      <c r="W1334" s="3" t="s">
        <v>2276</v>
      </c>
      <c r="X1334" s="3" t="s">
        <v>2276</v>
      </c>
      <c r="Y1334" s="3" t="s">
        <v>2276</v>
      </c>
      <c r="Z1334" s="3" t="s">
        <v>2276</v>
      </c>
      <c r="AA1334" s="3" t="s">
        <v>2276</v>
      </c>
      <c r="AB1334" s="3" t="s">
        <v>2276</v>
      </c>
      <c r="AC1334" s="3" t="s">
        <v>4011</v>
      </c>
      <c r="AD1334" s="3"/>
    </row>
    <row r="1335" spans="1:30" ht="49.5" customHeight="1">
      <c r="A1335" s="11" t="s">
        <v>3990</v>
      </c>
      <c r="B1335" s="11" t="s">
        <v>3998</v>
      </c>
      <c r="C1335" s="3" t="s">
        <v>24</v>
      </c>
      <c r="D1335" s="3" t="s">
        <v>25</v>
      </c>
      <c r="E1335" s="3" t="s">
        <v>5005</v>
      </c>
      <c r="F1335" s="4" t="s">
        <v>29</v>
      </c>
      <c r="G1335" s="3" t="s">
        <v>2276</v>
      </c>
      <c r="H1335" s="3" t="s">
        <v>523</v>
      </c>
      <c r="I1335" s="3"/>
      <c r="J1335" s="3" t="s">
        <v>2276</v>
      </c>
      <c r="K1335" s="3" t="s">
        <v>2276</v>
      </c>
      <c r="L1335" s="3" t="s">
        <v>2276</v>
      </c>
      <c r="M1335" s="3" t="s">
        <v>2276</v>
      </c>
      <c r="N1335" s="3" t="s">
        <v>2276</v>
      </c>
      <c r="O1335" s="3" t="s">
        <v>2276</v>
      </c>
      <c r="P1335" s="3" t="s">
        <v>2276</v>
      </c>
      <c r="Q1335" s="3" t="s">
        <v>2276</v>
      </c>
      <c r="R1335" s="3" t="s">
        <v>2276</v>
      </c>
      <c r="S1335" s="3" t="s">
        <v>2276</v>
      </c>
      <c r="T1335" s="3" t="s">
        <v>2276</v>
      </c>
      <c r="U1335" s="3" t="s">
        <v>2276</v>
      </c>
      <c r="V1335" s="3" t="s">
        <v>2276</v>
      </c>
      <c r="W1335" s="3" t="s">
        <v>2276</v>
      </c>
      <c r="X1335" s="3" t="s">
        <v>2276</v>
      </c>
      <c r="Y1335" s="3" t="s">
        <v>2276</v>
      </c>
      <c r="Z1335" s="3" t="s">
        <v>2276</v>
      </c>
      <c r="AA1335" s="3" t="s">
        <v>2276</v>
      </c>
      <c r="AB1335" s="3" t="s">
        <v>2276</v>
      </c>
      <c r="AC1335" s="3" t="s">
        <v>4012</v>
      </c>
      <c r="AD1335" s="3"/>
    </row>
    <row r="1336" spans="1:30" ht="53" customHeight="1">
      <c r="A1336" s="11" t="s">
        <v>3990</v>
      </c>
      <c r="B1336" s="11" t="s">
        <v>4002</v>
      </c>
      <c r="C1336" s="3" t="s">
        <v>24</v>
      </c>
      <c r="D1336" s="3" t="s">
        <v>2804</v>
      </c>
      <c r="E1336" s="3" t="s">
        <v>5005</v>
      </c>
      <c r="F1336" s="4" t="s">
        <v>2662</v>
      </c>
      <c r="G1336" s="3" t="s">
        <v>2276</v>
      </c>
      <c r="H1336" s="3" t="s">
        <v>523</v>
      </c>
      <c r="I1336" s="3"/>
      <c r="J1336" s="3" t="s">
        <v>2276</v>
      </c>
      <c r="K1336" s="3" t="s">
        <v>2276</v>
      </c>
      <c r="L1336" s="3" t="s">
        <v>2276</v>
      </c>
      <c r="M1336" s="3" t="s">
        <v>2276</v>
      </c>
      <c r="N1336" s="3" t="s">
        <v>2276</v>
      </c>
      <c r="O1336" s="3" t="s">
        <v>2276</v>
      </c>
      <c r="P1336" s="3" t="s">
        <v>2276</v>
      </c>
      <c r="Q1336" s="3" t="s">
        <v>2276</v>
      </c>
      <c r="R1336" s="3" t="s">
        <v>2276</v>
      </c>
      <c r="S1336" s="3" t="s">
        <v>2276</v>
      </c>
      <c r="T1336" s="3" t="s">
        <v>2276</v>
      </c>
      <c r="U1336" s="3" t="s">
        <v>2276</v>
      </c>
      <c r="V1336" s="3" t="s">
        <v>2276</v>
      </c>
      <c r="W1336" s="3" t="s">
        <v>2276</v>
      </c>
      <c r="X1336" s="3" t="s">
        <v>2276</v>
      </c>
      <c r="Y1336" s="3" t="s">
        <v>2276</v>
      </c>
      <c r="Z1336" s="3" t="s">
        <v>2276</v>
      </c>
      <c r="AA1336" s="3" t="s">
        <v>2276</v>
      </c>
      <c r="AB1336" s="3" t="s">
        <v>2276</v>
      </c>
      <c r="AC1336" s="3" t="s">
        <v>4014</v>
      </c>
      <c r="AD1336" s="3"/>
    </row>
    <row r="1337" spans="1:30" ht="50.5" customHeight="1">
      <c r="A1337" s="11" t="s">
        <v>3990</v>
      </c>
      <c r="B1337" s="11" t="s">
        <v>4006</v>
      </c>
      <c r="C1337" s="3" t="s">
        <v>24</v>
      </c>
      <c r="D1337" s="3" t="s">
        <v>25</v>
      </c>
      <c r="E1337" s="4" t="s">
        <v>3854</v>
      </c>
      <c r="F1337" s="4" t="s">
        <v>29</v>
      </c>
      <c r="G1337" s="3" t="s">
        <v>2276</v>
      </c>
      <c r="H1337" s="3" t="s">
        <v>523</v>
      </c>
      <c r="I1337" s="3"/>
      <c r="J1337" s="3" t="s">
        <v>2276</v>
      </c>
      <c r="K1337" s="3" t="s">
        <v>2276</v>
      </c>
      <c r="L1337" s="3" t="s">
        <v>2276</v>
      </c>
      <c r="M1337" s="3" t="s">
        <v>2276</v>
      </c>
      <c r="N1337" s="3" t="s">
        <v>2276</v>
      </c>
      <c r="O1337" s="3" t="s">
        <v>2276</v>
      </c>
      <c r="P1337" s="3" t="s">
        <v>2276</v>
      </c>
      <c r="Q1337" s="3" t="s">
        <v>2276</v>
      </c>
      <c r="R1337" s="3" t="s">
        <v>2276</v>
      </c>
      <c r="S1337" s="3" t="s">
        <v>2276</v>
      </c>
      <c r="T1337" s="3" t="s">
        <v>2276</v>
      </c>
      <c r="U1337" s="3" t="s">
        <v>2276</v>
      </c>
      <c r="V1337" s="3" t="s">
        <v>2276</v>
      </c>
      <c r="W1337" s="3" t="s">
        <v>2276</v>
      </c>
      <c r="X1337" s="3" t="s">
        <v>2276</v>
      </c>
      <c r="Y1337" s="3" t="s">
        <v>2276</v>
      </c>
      <c r="Z1337" s="3" t="s">
        <v>2276</v>
      </c>
      <c r="AA1337" s="3" t="s">
        <v>2276</v>
      </c>
      <c r="AB1337" s="3" t="s">
        <v>2276</v>
      </c>
      <c r="AC1337" s="3" t="s">
        <v>4012</v>
      </c>
      <c r="AD1337" s="3"/>
    </row>
    <row r="1338" spans="1:30" ht="47" customHeight="1">
      <c r="A1338" s="11" t="s">
        <v>3990</v>
      </c>
      <c r="B1338" s="11" t="s">
        <v>4007</v>
      </c>
      <c r="C1338" s="3" t="s">
        <v>24</v>
      </c>
      <c r="D1338" s="3" t="s">
        <v>2804</v>
      </c>
      <c r="E1338" s="4" t="s">
        <v>3854</v>
      </c>
      <c r="F1338" s="4" t="s">
        <v>2662</v>
      </c>
      <c r="G1338" s="3" t="s">
        <v>2276</v>
      </c>
      <c r="H1338" s="3" t="s">
        <v>523</v>
      </c>
      <c r="I1338" s="3"/>
      <c r="J1338" s="3" t="s">
        <v>2276</v>
      </c>
      <c r="K1338" s="3" t="s">
        <v>2276</v>
      </c>
      <c r="L1338" s="3" t="s">
        <v>2276</v>
      </c>
      <c r="M1338" s="3" t="s">
        <v>2276</v>
      </c>
      <c r="N1338" s="3" t="s">
        <v>2276</v>
      </c>
      <c r="O1338" s="3" t="s">
        <v>2276</v>
      </c>
      <c r="P1338" s="3" t="s">
        <v>2276</v>
      </c>
      <c r="Q1338" s="3" t="s">
        <v>2276</v>
      </c>
      <c r="R1338" s="3" t="s">
        <v>2276</v>
      </c>
      <c r="S1338" s="3" t="s">
        <v>2276</v>
      </c>
      <c r="T1338" s="3" t="s">
        <v>2276</v>
      </c>
      <c r="U1338" s="3" t="s">
        <v>2276</v>
      </c>
      <c r="V1338" s="3" t="s">
        <v>2276</v>
      </c>
      <c r="W1338" s="3" t="s">
        <v>2276</v>
      </c>
      <c r="X1338" s="3" t="s">
        <v>2276</v>
      </c>
      <c r="Y1338" s="3" t="s">
        <v>2276</v>
      </c>
      <c r="Z1338" s="3" t="s">
        <v>2276</v>
      </c>
      <c r="AA1338" s="3" t="s">
        <v>2276</v>
      </c>
      <c r="AB1338" s="3" t="s">
        <v>2276</v>
      </c>
      <c r="AC1338" s="3" t="s">
        <v>4014</v>
      </c>
      <c r="AD1338" s="3"/>
    </row>
    <row r="1339" spans="1:30" ht="50" customHeight="1">
      <c r="A1339" s="11" t="s">
        <v>3995</v>
      </c>
      <c r="B1339" s="11" t="s">
        <v>3999</v>
      </c>
      <c r="C1339" s="3" t="s">
        <v>24</v>
      </c>
      <c r="D1339" s="3" t="s">
        <v>25</v>
      </c>
      <c r="E1339" s="3" t="s">
        <v>5005</v>
      </c>
      <c r="F1339" s="4" t="s">
        <v>29</v>
      </c>
      <c r="G1339" s="3" t="s">
        <v>2276</v>
      </c>
      <c r="H1339" s="3" t="s">
        <v>523</v>
      </c>
      <c r="I1339" s="3"/>
      <c r="J1339" s="3" t="s">
        <v>2276</v>
      </c>
      <c r="K1339" s="3" t="s">
        <v>2276</v>
      </c>
      <c r="L1339" s="3" t="s">
        <v>2276</v>
      </c>
      <c r="M1339" s="3" t="s">
        <v>2276</v>
      </c>
      <c r="N1339" s="3" t="s">
        <v>2276</v>
      </c>
      <c r="O1339" s="3" t="s">
        <v>2276</v>
      </c>
      <c r="P1339" s="3" t="s">
        <v>2276</v>
      </c>
      <c r="Q1339" s="3" t="s">
        <v>2276</v>
      </c>
      <c r="R1339" s="3" t="s">
        <v>2276</v>
      </c>
      <c r="S1339" s="3" t="s">
        <v>2276</v>
      </c>
      <c r="T1339" s="3" t="s">
        <v>2276</v>
      </c>
      <c r="U1339" s="3" t="s">
        <v>2276</v>
      </c>
      <c r="V1339" s="3" t="s">
        <v>2276</v>
      </c>
      <c r="W1339" s="3" t="s">
        <v>2276</v>
      </c>
      <c r="X1339" s="3" t="s">
        <v>2276</v>
      </c>
      <c r="Y1339" s="3" t="s">
        <v>2276</v>
      </c>
      <c r="Z1339" s="3" t="s">
        <v>2276</v>
      </c>
      <c r="AA1339" s="3" t="s">
        <v>2276</v>
      </c>
      <c r="AB1339" s="3" t="s">
        <v>2276</v>
      </c>
      <c r="AC1339" s="3" t="s">
        <v>4013</v>
      </c>
      <c r="AD1339" s="3"/>
    </row>
    <row r="1340" spans="1:30" ht="51.5" customHeight="1">
      <c r="A1340" s="11" t="s">
        <v>3995</v>
      </c>
      <c r="B1340" s="11" t="s">
        <v>4003</v>
      </c>
      <c r="C1340" s="3" t="s">
        <v>24</v>
      </c>
      <c r="D1340" s="3" t="s">
        <v>2804</v>
      </c>
      <c r="E1340" s="3" t="s">
        <v>5005</v>
      </c>
      <c r="F1340" s="4" t="s">
        <v>2662</v>
      </c>
      <c r="G1340" s="3" t="s">
        <v>2276</v>
      </c>
      <c r="H1340" s="3" t="s">
        <v>523</v>
      </c>
      <c r="I1340" s="3"/>
      <c r="J1340" s="3" t="s">
        <v>2276</v>
      </c>
      <c r="K1340" s="3" t="s">
        <v>2276</v>
      </c>
      <c r="L1340" s="3" t="s">
        <v>2276</v>
      </c>
      <c r="M1340" s="3" t="s">
        <v>2276</v>
      </c>
      <c r="N1340" s="3" t="s">
        <v>2276</v>
      </c>
      <c r="O1340" s="3" t="s">
        <v>2276</v>
      </c>
      <c r="P1340" s="3" t="s">
        <v>2276</v>
      </c>
      <c r="Q1340" s="3" t="s">
        <v>2276</v>
      </c>
      <c r="R1340" s="3" t="s">
        <v>2276</v>
      </c>
      <c r="S1340" s="3" t="s">
        <v>2276</v>
      </c>
      <c r="T1340" s="3" t="s">
        <v>2276</v>
      </c>
      <c r="U1340" s="3" t="s">
        <v>2276</v>
      </c>
      <c r="V1340" s="3" t="s">
        <v>2276</v>
      </c>
      <c r="W1340" s="3" t="s">
        <v>2276</v>
      </c>
      <c r="X1340" s="3" t="s">
        <v>2276</v>
      </c>
      <c r="Y1340" s="3" t="s">
        <v>2276</v>
      </c>
      <c r="Z1340" s="3" t="s">
        <v>2276</v>
      </c>
      <c r="AA1340" s="3" t="s">
        <v>2276</v>
      </c>
      <c r="AB1340" s="3" t="s">
        <v>2276</v>
      </c>
      <c r="AC1340" s="3" t="s">
        <v>4014</v>
      </c>
      <c r="AD1340" s="3"/>
    </row>
    <row r="1341" spans="1:30" ht="52.5" customHeight="1">
      <c r="A1341" s="11" t="s">
        <v>3995</v>
      </c>
      <c r="B1341" s="11" t="s">
        <v>4008</v>
      </c>
      <c r="C1341" s="3" t="s">
        <v>24</v>
      </c>
      <c r="D1341" s="3" t="s">
        <v>25</v>
      </c>
      <c r="E1341" s="4" t="s">
        <v>3854</v>
      </c>
      <c r="F1341" s="4" t="s">
        <v>29</v>
      </c>
      <c r="G1341" s="3" t="s">
        <v>2276</v>
      </c>
      <c r="H1341" s="3" t="s">
        <v>523</v>
      </c>
      <c r="I1341" s="3"/>
      <c r="J1341" s="3" t="s">
        <v>2276</v>
      </c>
      <c r="K1341" s="3" t="s">
        <v>2276</v>
      </c>
      <c r="L1341" s="3" t="s">
        <v>2276</v>
      </c>
      <c r="M1341" s="3" t="s">
        <v>2276</v>
      </c>
      <c r="N1341" s="3" t="s">
        <v>2276</v>
      </c>
      <c r="O1341" s="3" t="s">
        <v>2276</v>
      </c>
      <c r="P1341" s="3" t="s">
        <v>2276</v>
      </c>
      <c r="Q1341" s="3" t="s">
        <v>2276</v>
      </c>
      <c r="R1341" s="3" t="s">
        <v>2276</v>
      </c>
      <c r="S1341" s="3" t="s">
        <v>2276</v>
      </c>
      <c r="T1341" s="3" t="s">
        <v>2276</v>
      </c>
      <c r="U1341" s="3" t="s">
        <v>2276</v>
      </c>
      <c r="V1341" s="3" t="s">
        <v>2276</v>
      </c>
      <c r="W1341" s="3" t="s">
        <v>2276</v>
      </c>
      <c r="X1341" s="3" t="s">
        <v>2276</v>
      </c>
      <c r="Y1341" s="3" t="s">
        <v>2276</v>
      </c>
      <c r="Z1341" s="3" t="s">
        <v>2276</v>
      </c>
      <c r="AA1341" s="3" t="s">
        <v>2276</v>
      </c>
      <c r="AB1341" s="3" t="s">
        <v>2276</v>
      </c>
      <c r="AC1341" s="3" t="s">
        <v>4013</v>
      </c>
      <c r="AD1341" s="3"/>
    </row>
    <row r="1342" spans="1:30" ht="47.5" customHeight="1">
      <c r="A1342" s="11" t="s">
        <v>3995</v>
      </c>
      <c r="B1342" s="11" t="s">
        <v>4009</v>
      </c>
      <c r="C1342" s="3" t="s">
        <v>24</v>
      </c>
      <c r="D1342" s="3" t="s">
        <v>2804</v>
      </c>
      <c r="E1342" s="4" t="s">
        <v>3854</v>
      </c>
      <c r="F1342" s="4" t="s">
        <v>2662</v>
      </c>
      <c r="G1342" s="3" t="s">
        <v>2276</v>
      </c>
      <c r="H1342" s="3" t="s">
        <v>523</v>
      </c>
      <c r="I1342" s="3"/>
      <c r="J1342" s="3" t="s">
        <v>2276</v>
      </c>
      <c r="K1342" s="3" t="s">
        <v>2276</v>
      </c>
      <c r="L1342" s="3" t="s">
        <v>2276</v>
      </c>
      <c r="M1342" s="3" t="s">
        <v>2276</v>
      </c>
      <c r="N1342" s="3" t="s">
        <v>2276</v>
      </c>
      <c r="O1342" s="3" t="s">
        <v>2276</v>
      </c>
      <c r="P1342" s="3" t="s">
        <v>2276</v>
      </c>
      <c r="Q1342" s="3" t="s">
        <v>2276</v>
      </c>
      <c r="R1342" s="3" t="s">
        <v>2276</v>
      </c>
      <c r="S1342" s="3" t="s">
        <v>2276</v>
      </c>
      <c r="T1342" s="3" t="s">
        <v>2276</v>
      </c>
      <c r="U1342" s="3" t="s">
        <v>2276</v>
      </c>
      <c r="V1342" s="3" t="s">
        <v>2276</v>
      </c>
      <c r="W1342" s="3" t="s">
        <v>2276</v>
      </c>
      <c r="X1342" s="3" t="s">
        <v>2276</v>
      </c>
      <c r="Y1342" s="3" t="s">
        <v>2276</v>
      </c>
      <c r="Z1342" s="3" t="s">
        <v>2276</v>
      </c>
      <c r="AA1342" s="3" t="s">
        <v>2276</v>
      </c>
      <c r="AB1342" s="3" t="s">
        <v>2276</v>
      </c>
      <c r="AC1342" s="3" t="s">
        <v>4014</v>
      </c>
      <c r="AD1342" s="3"/>
    </row>
    <row r="1343" spans="1:30" ht="30" customHeight="1">
      <c r="A1343" s="11" t="s">
        <v>4015</v>
      </c>
      <c r="B1343" s="11" t="s">
        <v>4020</v>
      </c>
      <c r="C1343" s="3" t="s">
        <v>24</v>
      </c>
      <c r="D1343" s="3" t="s">
        <v>2804</v>
      </c>
      <c r="E1343" s="3" t="s">
        <v>5005</v>
      </c>
      <c r="F1343" s="4" t="s">
        <v>2662</v>
      </c>
      <c r="G1343" s="3" t="s">
        <v>2276</v>
      </c>
      <c r="H1343" s="3" t="s">
        <v>523</v>
      </c>
      <c r="I1343" s="3"/>
      <c r="J1343" s="3" t="s">
        <v>2276</v>
      </c>
      <c r="K1343" s="3" t="s">
        <v>2276</v>
      </c>
      <c r="L1343" s="3" t="s">
        <v>2276</v>
      </c>
      <c r="M1343" s="3" t="s">
        <v>2276</v>
      </c>
      <c r="N1343" s="3" t="s">
        <v>2276</v>
      </c>
      <c r="O1343" s="3" t="s">
        <v>2276</v>
      </c>
      <c r="P1343" s="3" t="s">
        <v>2276</v>
      </c>
      <c r="Q1343" s="3" t="s">
        <v>2276</v>
      </c>
      <c r="R1343" s="3" t="s">
        <v>2276</v>
      </c>
      <c r="S1343" s="3" t="s">
        <v>2276</v>
      </c>
      <c r="T1343" s="3" t="s">
        <v>2276</v>
      </c>
      <c r="U1343" s="3" t="s">
        <v>2276</v>
      </c>
      <c r="V1343" s="3" t="s">
        <v>2276</v>
      </c>
      <c r="W1343" s="3" t="s">
        <v>2276</v>
      </c>
      <c r="X1343" s="3" t="s">
        <v>2276</v>
      </c>
      <c r="Y1343" s="3" t="s">
        <v>2276</v>
      </c>
      <c r="Z1343" s="3" t="s">
        <v>35</v>
      </c>
      <c r="AA1343" s="3" t="s">
        <v>38</v>
      </c>
      <c r="AB1343" s="3" t="s">
        <v>2276</v>
      </c>
      <c r="AC1343" s="3"/>
      <c r="AD1343" s="3"/>
    </row>
    <row r="1344" spans="1:30" ht="33.5" customHeight="1">
      <c r="A1344" s="11" t="s">
        <v>4015</v>
      </c>
      <c r="B1344" s="11" t="s">
        <v>4021</v>
      </c>
      <c r="C1344" s="3" t="s">
        <v>24</v>
      </c>
      <c r="D1344" s="3" t="s">
        <v>25</v>
      </c>
      <c r="E1344" s="3" t="s">
        <v>5005</v>
      </c>
      <c r="F1344" s="4" t="s">
        <v>29</v>
      </c>
      <c r="G1344" s="3" t="s">
        <v>2276</v>
      </c>
      <c r="H1344" s="3" t="s">
        <v>523</v>
      </c>
      <c r="I1344" s="3"/>
      <c r="J1344" s="3" t="s">
        <v>2276</v>
      </c>
      <c r="K1344" s="3" t="s">
        <v>2276</v>
      </c>
      <c r="L1344" s="3" t="s">
        <v>2276</v>
      </c>
      <c r="M1344" s="3" t="s">
        <v>2276</v>
      </c>
      <c r="N1344" s="3" t="s">
        <v>2276</v>
      </c>
      <c r="O1344" s="3" t="s">
        <v>2276</v>
      </c>
      <c r="P1344" s="3" t="s">
        <v>2276</v>
      </c>
      <c r="Q1344" s="3" t="s">
        <v>2276</v>
      </c>
      <c r="R1344" s="3" t="s">
        <v>2276</v>
      </c>
      <c r="S1344" s="3" t="s">
        <v>2276</v>
      </c>
      <c r="T1344" s="3" t="s">
        <v>2276</v>
      </c>
      <c r="U1344" s="3" t="s">
        <v>2276</v>
      </c>
      <c r="V1344" s="3" t="s">
        <v>2276</v>
      </c>
      <c r="W1344" s="3" t="s">
        <v>2276</v>
      </c>
      <c r="X1344" s="3" t="s">
        <v>2276</v>
      </c>
      <c r="Y1344" s="3" t="s">
        <v>2276</v>
      </c>
      <c r="Z1344" s="3" t="s">
        <v>35</v>
      </c>
      <c r="AA1344" s="3" t="s">
        <v>38</v>
      </c>
      <c r="AB1344" s="3" t="s">
        <v>2276</v>
      </c>
      <c r="AC1344" s="3"/>
      <c r="AD1344" s="3"/>
    </row>
    <row r="1345" spans="1:30" ht="30" customHeight="1">
      <c r="A1345" s="11" t="s">
        <v>4015</v>
      </c>
      <c r="B1345" s="11" t="s">
        <v>4022</v>
      </c>
      <c r="C1345" s="3" t="s">
        <v>2458</v>
      </c>
      <c r="D1345" s="3" t="s">
        <v>2276</v>
      </c>
      <c r="E1345" s="3" t="s">
        <v>5005</v>
      </c>
      <c r="F1345" s="4" t="s">
        <v>2276</v>
      </c>
      <c r="G1345" s="3" t="s">
        <v>74</v>
      </c>
      <c r="H1345" s="3" t="s">
        <v>523</v>
      </c>
      <c r="I1345" s="3"/>
      <c r="J1345" s="3" t="s">
        <v>2276</v>
      </c>
      <c r="K1345" s="3" t="s">
        <v>2276</v>
      </c>
      <c r="L1345" s="3" t="s">
        <v>2276</v>
      </c>
      <c r="M1345" s="3" t="s">
        <v>2276</v>
      </c>
      <c r="N1345" s="3" t="s">
        <v>2276</v>
      </c>
      <c r="O1345" s="3" t="s">
        <v>2276</v>
      </c>
      <c r="P1345" s="3" t="s">
        <v>2276</v>
      </c>
      <c r="Q1345" s="3" t="s">
        <v>2276</v>
      </c>
      <c r="R1345" s="3" t="s">
        <v>2276</v>
      </c>
      <c r="S1345" s="3" t="s">
        <v>2276</v>
      </c>
      <c r="T1345" s="3" t="s">
        <v>2276</v>
      </c>
      <c r="U1345" s="3" t="s">
        <v>2276</v>
      </c>
      <c r="V1345" s="3" t="s">
        <v>2276</v>
      </c>
      <c r="W1345" s="3" t="s">
        <v>2276</v>
      </c>
      <c r="X1345" s="3" t="s">
        <v>2276</v>
      </c>
      <c r="Y1345" s="3" t="s">
        <v>2276</v>
      </c>
      <c r="Z1345" s="3" t="s">
        <v>35</v>
      </c>
      <c r="AA1345" s="3" t="s">
        <v>38</v>
      </c>
      <c r="AB1345" s="3" t="s">
        <v>2276</v>
      </c>
      <c r="AC1345" s="3"/>
      <c r="AD1345" s="3"/>
    </row>
    <row r="1346" spans="1:30" ht="44.5" customHeight="1">
      <c r="A1346" s="11" t="s">
        <v>4015</v>
      </c>
      <c r="B1346" s="11" t="s">
        <v>4023</v>
      </c>
      <c r="C1346" s="3" t="s">
        <v>24</v>
      </c>
      <c r="D1346" s="3" t="s">
        <v>2804</v>
      </c>
      <c r="E1346" s="3" t="s">
        <v>45</v>
      </c>
      <c r="F1346" s="4" t="s">
        <v>2662</v>
      </c>
      <c r="G1346" s="3" t="s">
        <v>2276</v>
      </c>
      <c r="H1346" s="3" t="s">
        <v>523</v>
      </c>
      <c r="I1346" s="3"/>
      <c r="J1346" s="3" t="s">
        <v>2276</v>
      </c>
      <c r="K1346" s="3" t="s">
        <v>2276</v>
      </c>
      <c r="L1346" s="3" t="s">
        <v>2276</v>
      </c>
      <c r="M1346" s="3" t="s">
        <v>2276</v>
      </c>
      <c r="N1346" s="3" t="s">
        <v>2276</v>
      </c>
      <c r="O1346" s="3" t="s">
        <v>2276</v>
      </c>
      <c r="P1346" s="3" t="s">
        <v>2276</v>
      </c>
      <c r="Q1346" s="3" t="s">
        <v>2276</v>
      </c>
      <c r="R1346" s="3" t="s">
        <v>2276</v>
      </c>
      <c r="S1346" s="3" t="s">
        <v>2276</v>
      </c>
      <c r="T1346" s="3" t="s">
        <v>2276</v>
      </c>
      <c r="U1346" s="3" t="s">
        <v>2276</v>
      </c>
      <c r="V1346" s="3" t="s">
        <v>2276</v>
      </c>
      <c r="W1346" s="3" t="s">
        <v>2276</v>
      </c>
      <c r="X1346" s="3" t="s">
        <v>2276</v>
      </c>
      <c r="Y1346" s="3" t="s">
        <v>2276</v>
      </c>
      <c r="Z1346" s="3" t="s">
        <v>2276</v>
      </c>
      <c r="AA1346" s="3" t="s">
        <v>2276</v>
      </c>
      <c r="AB1346" s="3" t="s">
        <v>2276</v>
      </c>
      <c r="AC1346" s="3"/>
      <c r="AD1346" s="3"/>
    </row>
    <row r="1347" spans="1:30" ht="36.5" customHeight="1">
      <c r="A1347" s="11" t="s">
        <v>4015</v>
      </c>
      <c r="B1347" s="11" t="s">
        <v>4024</v>
      </c>
      <c r="C1347" s="3" t="s">
        <v>24</v>
      </c>
      <c r="D1347" s="3" t="s">
        <v>25</v>
      </c>
      <c r="E1347" s="3" t="s">
        <v>45</v>
      </c>
      <c r="F1347" s="4" t="s">
        <v>29</v>
      </c>
      <c r="G1347" s="3" t="s">
        <v>2276</v>
      </c>
      <c r="H1347" s="3" t="s">
        <v>523</v>
      </c>
      <c r="I1347" s="3"/>
      <c r="J1347" s="3" t="s">
        <v>2276</v>
      </c>
      <c r="K1347" s="3" t="s">
        <v>2276</v>
      </c>
      <c r="L1347" s="3" t="s">
        <v>2276</v>
      </c>
      <c r="M1347" s="3" t="s">
        <v>2276</v>
      </c>
      <c r="N1347" s="3" t="s">
        <v>2276</v>
      </c>
      <c r="O1347" s="3" t="s">
        <v>2276</v>
      </c>
      <c r="P1347" s="3" t="s">
        <v>2276</v>
      </c>
      <c r="Q1347" s="3" t="s">
        <v>2276</v>
      </c>
      <c r="R1347" s="3" t="s">
        <v>2276</v>
      </c>
      <c r="S1347" s="3" t="s">
        <v>2276</v>
      </c>
      <c r="T1347" s="3" t="s">
        <v>2276</v>
      </c>
      <c r="U1347" s="3" t="s">
        <v>2276</v>
      </c>
      <c r="V1347" s="3" t="s">
        <v>2276</v>
      </c>
      <c r="W1347" s="3" t="s">
        <v>2276</v>
      </c>
      <c r="X1347" s="3" t="s">
        <v>2276</v>
      </c>
      <c r="Y1347" s="3" t="s">
        <v>2276</v>
      </c>
      <c r="Z1347" s="3" t="s">
        <v>2276</v>
      </c>
      <c r="AA1347" s="3" t="s">
        <v>2276</v>
      </c>
      <c r="AB1347" s="3" t="s">
        <v>2276</v>
      </c>
      <c r="AC1347" s="3"/>
      <c r="AD1347" s="3"/>
    </row>
    <row r="1348" spans="1:30" ht="33.5" customHeight="1">
      <c r="A1348" s="11" t="s">
        <v>4015</v>
      </c>
      <c r="B1348" s="11" t="s">
        <v>4025</v>
      </c>
      <c r="C1348" s="3" t="s">
        <v>24</v>
      </c>
      <c r="D1348" s="3" t="s">
        <v>2276</v>
      </c>
      <c r="E1348" s="3" t="s">
        <v>45</v>
      </c>
      <c r="F1348" s="4" t="s">
        <v>74</v>
      </c>
      <c r="G1348" s="3" t="s">
        <v>74</v>
      </c>
      <c r="H1348" s="3" t="s">
        <v>523</v>
      </c>
      <c r="I1348" s="3"/>
      <c r="J1348" s="3" t="s">
        <v>2276</v>
      </c>
      <c r="K1348" s="3" t="s">
        <v>2276</v>
      </c>
      <c r="L1348" s="3" t="s">
        <v>2276</v>
      </c>
      <c r="M1348" s="3" t="s">
        <v>2276</v>
      </c>
      <c r="N1348" s="3" t="s">
        <v>2276</v>
      </c>
      <c r="O1348" s="3" t="s">
        <v>2276</v>
      </c>
      <c r="P1348" s="3" t="s">
        <v>2276</v>
      </c>
      <c r="Q1348" s="3" t="s">
        <v>2276</v>
      </c>
      <c r="R1348" s="3" t="s">
        <v>2276</v>
      </c>
      <c r="S1348" s="3" t="s">
        <v>2276</v>
      </c>
      <c r="T1348" s="3" t="s">
        <v>2276</v>
      </c>
      <c r="U1348" s="3" t="s">
        <v>2276</v>
      </c>
      <c r="V1348" s="3" t="s">
        <v>2276</v>
      </c>
      <c r="W1348" s="3" t="s">
        <v>2276</v>
      </c>
      <c r="X1348" s="3" t="s">
        <v>2276</v>
      </c>
      <c r="Y1348" s="3" t="s">
        <v>2276</v>
      </c>
      <c r="Z1348" s="3" t="s">
        <v>2276</v>
      </c>
      <c r="AA1348" s="3" t="s">
        <v>2276</v>
      </c>
      <c r="AB1348" s="3" t="s">
        <v>2276</v>
      </c>
      <c r="AC1348" s="3"/>
      <c r="AD1348" s="3"/>
    </row>
    <row r="1349" spans="1:30" ht="33" customHeight="1">
      <c r="A1349" s="11" t="s">
        <v>4015</v>
      </c>
      <c r="B1349" s="11" t="s">
        <v>4026</v>
      </c>
      <c r="C1349" s="3" t="s">
        <v>24</v>
      </c>
      <c r="D1349" s="3" t="s">
        <v>143</v>
      </c>
      <c r="E1349" s="4" t="s">
        <v>397</v>
      </c>
      <c r="F1349" s="4" t="s">
        <v>74</v>
      </c>
      <c r="G1349" s="3" t="s">
        <v>74</v>
      </c>
      <c r="H1349" s="3" t="s">
        <v>523</v>
      </c>
      <c r="I1349" s="3"/>
      <c r="J1349" s="3" t="s">
        <v>2276</v>
      </c>
      <c r="K1349" s="3" t="s">
        <v>2276</v>
      </c>
      <c r="L1349" s="3" t="s">
        <v>2276</v>
      </c>
      <c r="M1349" s="3" t="s">
        <v>2276</v>
      </c>
      <c r="N1349" s="3" t="s">
        <v>2276</v>
      </c>
      <c r="O1349" s="3" t="s">
        <v>2276</v>
      </c>
      <c r="P1349" s="3" t="s">
        <v>2276</v>
      </c>
      <c r="Q1349" s="3" t="s">
        <v>2276</v>
      </c>
      <c r="R1349" s="3" t="s">
        <v>2276</v>
      </c>
      <c r="S1349" s="3" t="s">
        <v>2276</v>
      </c>
      <c r="T1349" s="3" t="s">
        <v>2276</v>
      </c>
      <c r="U1349" s="3" t="s">
        <v>2276</v>
      </c>
      <c r="V1349" s="3" t="s">
        <v>2276</v>
      </c>
      <c r="W1349" s="3" t="s">
        <v>2276</v>
      </c>
      <c r="X1349" s="3" t="s">
        <v>2276</v>
      </c>
      <c r="Y1349" s="3" t="s">
        <v>2276</v>
      </c>
      <c r="Z1349" s="3" t="s">
        <v>2276</v>
      </c>
      <c r="AA1349" s="3" t="s">
        <v>2276</v>
      </c>
      <c r="AB1349" s="3" t="s">
        <v>2276</v>
      </c>
      <c r="AC1349" s="3"/>
      <c r="AD1349" s="3"/>
    </row>
    <row r="1350" spans="1:30" ht="56.5" customHeight="1">
      <c r="A1350" s="11" t="s">
        <v>4028</v>
      </c>
      <c r="B1350" s="11" t="s">
        <v>4039</v>
      </c>
      <c r="C1350" s="3" t="s">
        <v>24</v>
      </c>
      <c r="D1350" s="3" t="s">
        <v>2804</v>
      </c>
      <c r="E1350" s="3" t="s">
        <v>5005</v>
      </c>
      <c r="F1350" s="4" t="s">
        <v>55</v>
      </c>
      <c r="G1350" s="3" t="s">
        <v>2276</v>
      </c>
      <c r="H1350" s="3" t="s">
        <v>524</v>
      </c>
      <c r="I1350" s="3"/>
      <c r="J1350" s="21">
        <v>0</v>
      </c>
      <c r="K1350" s="21">
        <v>0</v>
      </c>
      <c r="L1350" s="21">
        <v>0</v>
      </c>
      <c r="M1350" s="21">
        <v>0</v>
      </c>
      <c r="N1350" s="21">
        <v>0</v>
      </c>
      <c r="O1350" s="21">
        <v>0</v>
      </c>
      <c r="P1350" s="21">
        <v>0</v>
      </c>
      <c r="Q1350" s="21">
        <v>0</v>
      </c>
      <c r="R1350" s="21">
        <v>0</v>
      </c>
      <c r="S1350" s="21">
        <v>0</v>
      </c>
      <c r="T1350" s="21">
        <v>0</v>
      </c>
      <c r="U1350" s="21">
        <v>0</v>
      </c>
      <c r="V1350" s="21">
        <v>0</v>
      </c>
      <c r="W1350" s="21">
        <v>0</v>
      </c>
      <c r="X1350" s="21">
        <v>0</v>
      </c>
      <c r="Y1350" s="3" t="s">
        <v>2276</v>
      </c>
      <c r="Z1350" s="3" t="s">
        <v>2276</v>
      </c>
      <c r="AA1350" s="3" t="s">
        <v>2276</v>
      </c>
      <c r="AB1350" s="3" t="s">
        <v>2276</v>
      </c>
      <c r="AC1350" s="4" t="s">
        <v>4047</v>
      </c>
      <c r="AD1350" s="3"/>
    </row>
    <row r="1351" spans="1:30" ht="56.5" customHeight="1">
      <c r="A1351" s="11" t="s">
        <v>4029</v>
      </c>
      <c r="B1351" s="11" t="s">
        <v>4040</v>
      </c>
      <c r="C1351" s="3" t="s">
        <v>24</v>
      </c>
      <c r="D1351" s="3" t="s">
        <v>2804</v>
      </c>
      <c r="E1351" s="3" t="s">
        <v>5005</v>
      </c>
      <c r="F1351" s="4" t="s">
        <v>55</v>
      </c>
      <c r="G1351" s="3" t="s">
        <v>2276</v>
      </c>
      <c r="H1351" s="3" t="s">
        <v>524</v>
      </c>
      <c r="I1351" s="3"/>
      <c r="J1351" s="21">
        <v>0</v>
      </c>
      <c r="K1351" s="21">
        <v>0</v>
      </c>
      <c r="L1351" s="21">
        <v>0</v>
      </c>
      <c r="M1351" s="21">
        <v>0</v>
      </c>
      <c r="N1351" s="21">
        <v>0</v>
      </c>
      <c r="O1351" s="21">
        <v>0</v>
      </c>
      <c r="P1351" s="21">
        <v>0</v>
      </c>
      <c r="Q1351" s="21">
        <v>0</v>
      </c>
      <c r="R1351" s="21">
        <v>0</v>
      </c>
      <c r="S1351" s="21">
        <v>0</v>
      </c>
      <c r="T1351" s="21">
        <v>0</v>
      </c>
      <c r="U1351" s="21">
        <v>0</v>
      </c>
      <c r="V1351" s="21">
        <v>0</v>
      </c>
      <c r="W1351" s="21">
        <v>0</v>
      </c>
      <c r="X1351" s="21">
        <v>0</v>
      </c>
      <c r="Y1351" s="3" t="s">
        <v>2276</v>
      </c>
      <c r="Z1351" s="3" t="s">
        <v>2276</v>
      </c>
      <c r="AA1351" s="3" t="s">
        <v>2276</v>
      </c>
      <c r="AB1351" s="3" t="s">
        <v>2276</v>
      </c>
      <c r="AC1351" s="4" t="s">
        <v>4047</v>
      </c>
      <c r="AD1351" s="3"/>
    </row>
    <row r="1352" spans="1:30" ht="56.5" customHeight="1">
      <c r="A1352" s="11" t="s">
        <v>4030</v>
      </c>
      <c r="B1352" s="11" t="s">
        <v>4041</v>
      </c>
      <c r="C1352" s="3" t="s">
        <v>24</v>
      </c>
      <c r="D1352" s="3" t="s">
        <v>2804</v>
      </c>
      <c r="E1352" s="3" t="s">
        <v>5005</v>
      </c>
      <c r="F1352" s="4" t="s">
        <v>55</v>
      </c>
      <c r="G1352" s="3" t="s">
        <v>2276</v>
      </c>
      <c r="H1352" s="3" t="s">
        <v>524</v>
      </c>
      <c r="I1352" s="3"/>
      <c r="J1352" s="21">
        <v>0</v>
      </c>
      <c r="K1352" s="21">
        <v>0</v>
      </c>
      <c r="L1352" s="21">
        <v>0</v>
      </c>
      <c r="M1352" s="21">
        <v>0</v>
      </c>
      <c r="N1352" s="21">
        <v>0</v>
      </c>
      <c r="O1352" s="21">
        <v>0</v>
      </c>
      <c r="P1352" s="21">
        <v>0</v>
      </c>
      <c r="Q1352" s="21">
        <v>0</v>
      </c>
      <c r="R1352" s="21">
        <v>0</v>
      </c>
      <c r="S1352" s="21">
        <v>0</v>
      </c>
      <c r="T1352" s="21">
        <v>0</v>
      </c>
      <c r="U1352" s="21">
        <v>0</v>
      </c>
      <c r="V1352" s="21">
        <v>0</v>
      </c>
      <c r="W1352" s="21">
        <v>0</v>
      </c>
      <c r="X1352" s="21">
        <v>0</v>
      </c>
      <c r="Y1352" s="3" t="s">
        <v>2276</v>
      </c>
      <c r="Z1352" s="3" t="s">
        <v>2276</v>
      </c>
      <c r="AA1352" s="3" t="s">
        <v>2276</v>
      </c>
      <c r="AB1352" s="3" t="s">
        <v>2276</v>
      </c>
      <c r="AC1352" s="4" t="s">
        <v>4047</v>
      </c>
      <c r="AD1352" s="3"/>
    </row>
    <row r="1353" spans="1:30" ht="56.5" customHeight="1">
      <c r="A1353" s="11" t="s">
        <v>4031</v>
      </c>
      <c r="B1353" s="11" t="s">
        <v>4042</v>
      </c>
      <c r="C1353" s="3" t="s">
        <v>24</v>
      </c>
      <c r="D1353" s="3" t="s">
        <v>2804</v>
      </c>
      <c r="E1353" s="3" t="s">
        <v>5005</v>
      </c>
      <c r="F1353" s="4" t="s">
        <v>55</v>
      </c>
      <c r="G1353" s="3" t="s">
        <v>2276</v>
      </c>
      <c r="H1353" s="3" t="s">
        <v>524</v>
      </c>
      <c r="I1353" s="3"/>
      <c r="J1353" s="21">
        <v>0</v>
      </c>
      <c r="K1353" s="21">
        <v>0</v>
      </c>
      <c r="L1353" s="21">
        <v>0</v>
      </c>
      <c r="M1353" s="21">
        <v>0</v>
      </c>
      <c r="N1353" s="21">
        <v>0</v>
      </c>
      <c r="O1353" s="21">
        <v>0</v>
      </c>
      <c r="P1353" s="21">
        <v>0</v>
      </c>
      <c r="Q1353" s="21">
        <v>0</v>
      </c>
      <c r="R1353" s="21">
        <v>0</v>
      </c>
      <c r="S1353" s="21">
        <v>0</v>
      </c>
      <c r="T1353" s="21">
        <v>0</v>
      </c>
      <c r="U1353" s="21">
        <v>0</v>
      </c>
      <c r="V1353" s="21">
        <v>0</v>
      </c>
      <c r="W1353" s="21">
        <v>0</v>
      </c>
      <c r="X1353" s="21">
        <v>0</v>
      </c>
      <c r="Y1353" s="3" t="s">
        <v>2276</v>
      </c>
      <c r="Z1353" s="3" t="s">
        <v>2276</v>
      </c>
      <c r="AA1353" s="3" t="s">
        <v>2276</v>
      </c>
      <c r="AB1353" s="3" t="s">
        <v>2276</v>
      </c>
      <c r="AC1353" s="4" t="s">
        <v>4047</v>
      </c>
      <c r="AD1353" s="3"/>
    </row>
    <row r="1354" spans="1:30" ht="56.5" customHeight="1">
      <c r="A1354" s="11" t="s">
        <v>4028</v>
      </c>
      <c r="B1354" s="11" t="s">
        <v>4043</v>
      </c>
      <c r="C1354" s="3" t="s">
        <v>24</v>
      </c>
      <c r="D1354" s="3" t="s">
        <v>2804</v>
      </c>
      <c r="E1354" s="3" t="s">
        <v>5005</v>
      </c>
      <c r="F1354" s="4" t="s">
        <v>2662</v>
      </c>
      <c r="G1354" s="3" t="s">
        <v>2276</v>
      </c>
      <c r="H1354" s="3" t="s">
        <v>524</v>
      </c>
      <c r="I1354" s="3"/>
      <c r="J1354" s="21">
        <v>0</v>
      </c>
      <c r="K1354" s="21">
        <v>0</v>
      </c>
      <c r="L1354" s="21">
        <v>0</v>
      </c>
      <c r="M1354" s="21">
        <v>0</v>
      </c>
      <c r="N1354" s="21">
        <v>0</v>
      </c>
      <c r="O1354" s="21">
        <v>0</v>
      </c>
      <c r="P1354" s="21">
        <v>0</v>
      </c>
      <c r="Q1354" s="21">
        <v>0</v>
      </c>
      <c r="R1354" s="21">
        <v>0</v>
      </c>
      <c r="S1354" s="21">
        <v>0</v>
      </c>
      <c r="T1354" s="21">
        <v>0</v>
      </c>
      <c r="U1354" s="21">
        <v>0</v>
      </c>
      <c r="V1354" s="21">
        <v>0</v>
      </c>
      <c r="W1354" s="21">
        <v>0</v>
      </c>
      <c r="X1354" s="21">
        <v>0</v>
      </c>
      <c r="Y1354" s="3" t="s">
        <v>2276</v>
      </c>
      <c r="Z1354" s="3" t="s">
        <v>2276</v>
      </c>
      <c r="AA1354" s="3" t="s">
        <v>2276</v>
      </c>
      <c r="AB1354" s="3" t="s">
        <v>2276</v>
      </c>
      <c r="AC1354" s="4" t="s">
        <v>4047</v>
      </c>
      <c r="AD1354" s="3"/>
    </row>
    <row r="1355" spans="1:30" ht="56.5" customHeight="1">
      <c r="A1355" s="11" t="s">
        <v>4029</v>
      </c>
      <c r="B1355" s="11" t="s">
        <v>4044</v>
      </c>
      <c r="C1355" s="3" t="s">
        <v>24</v>
      </c>
      <c r="D1355" s="3" t="s">
        <v>2804</v>
      </c>
      <c r="E1355" s="3" t="s">
        <v>5005</v>
      </c>
      <c r="F1355" s="4" t="s">
        <v>2662</v>
      </c>
      <c r="G1355" s="3" t="s">
        <v>2276</v>
      </c>
      <c r="H1355" s="3" t="s">
        <v>524</v>
      </c>
      <c r="I1355" s="3"/>
      <c r="J1355" s="21">
        <v>0</v>
      </c>
      <c r="K1355" s="21">
        <v>0</v>
      </c>
      <c r="L1355" s="21">
        <v>0</v>
      </c>
      <c r="M1355" s="21">
        <v>0</v>
      </c>
      <c r="N1355" s="21">
        <v>0</v>
      </c>
      <c r="O1355" s="21">
        <v>0</v>
      </c>
      <c r="P1355" s="21">
        <v>0</v>
      </c>
      <c r="Q1355" s="21">
        <v>0</v>
      </c>
      <c r="R1355" s="21">
        <v>0</v>
      </c>
      <c r="S1355" s="21">
        <v>0</v>
      </c>
      <c r="T1355" s="21">
        <v>0</v>
      </c>
      <c r="U1355" s="21">
        <v>0</v>
      </c>
      <c r="V1355" s="21">
        <v>0</v>
      </c>
      <c r="W1355" s="21">
        <v>0</v>
      </c>
      <c r="X1355" s="21">
        <v>0</v>
      </c>
      <c r="Y1355" s="3" t="s">
        <v>2276</v>
      </c>
      <c r="Z1355" s="3" t="s">
        <v>2276</v>
      </c>
      <c r="AA1355" s="3" t="s">
        <v>2276</v>
      </c>
      <c r="AB1355" s="3" t="s">
        <v>2276</v>
      </c>
      <c r="AC1355" s="4" t="s">
        <v>4047</v>
      </c>
      <c r="AD1355" s="3"/>
    </row>
    <row r="1356" spans="1:30" ht="56.5" customHeight="1">
      <c r="A1356" s="11" t="s">
        <v>4030</v>
      </c>
      <c r="B1356" s="11" t="s">
        <v>4045</v>
      </c>
      <c r="C1356" s="3" t="s">
        <v>24</v>
      </c>
      <c r="D1356" s="3" t="s">
        <v>2804</v>
      </c>
      <c r="E1356" s="3" t="s">
        <v>5005</v>
      </c>
      <c r="F1356" s="4" t="s">
        <v>2662</v>
      </c>
      <c r="G1356" s="3" t="s">
        <v>2276</v>
      </c>
      <c r="H1356" s="3" t="s">
        <v>524</v>
      </c>
      <c r="I1356" s="3"/>
      <c r="J1356" s="21">
        <v>0</v>
      </c>
      <c r="K1356" s="21">
        <v>0</v>
      </c>
      <c r="L1356" s="21">
        <v>0</v>
      </c>
      <c r="M1356" s="21">
        <v>0</v>
      </c>
      <c r="N1356" s="21">
        <v>0</v>
      </c>
      <c r="O1356" s="21">
        <v>0</v>
      </c>
      <c r="P1356" s="21">
        <v>0</v>
      </c>
      <c r="Q1356" s="21">
        <v>0</v>
      </c>
      <c r="R1356" s="21">
        <v>0</v>
      </c>
      <c r="S1356" s="21">
        <v>0</v>
      </c>
      <c r="T1356" s="21">
        <v>0</v>
      </c>
      <c r="U1356" s="21">
        <v>0</v>
      </c>
      <c r="V1356" s="21">
        <v>0</v>
      </c>
      <c r="W1356" s="21">
        <v>0</v>
      </c>
      <c r="X1356" s="21">
        <v>0</v>
      </c>
      <c r="Y1356" s="3" t="s">
        <v>2276</v>
      </c>
      <c r="Z1356" s="3" t="s">
        <v>2276</v>
      </c>
      <c r="AA1356" s="3" t="s">
        <v>2276</v>
      </c>
      <c r="AB1356" s="3" t="s">
        <v>2276</v>
      </c>
      <c r="AC1356" s="4" t="s">
        <v>4047</v>
      </c>
      <c r="AD1356" s="3"/>
    </row>
    <row r="1357" spans="1:30" ht="56.5" customHeight="1">
      <c r="A1357" s="11" t="s">
        <v>4031</v>
      </c>
      <c r="B1357" s="11" t="s">
        <v>4046</v>
      </c>
      <c r="C1357" s="3" t="s">
        <v>24</v>
      </c>
      <c r="D1357" s="3" t="s">
        <v>2804</v>
      </c>
      <c r="E1357" s="3" t="s">
        <v>5005</v>
      </c>
      <c r="F1357" s="4" t="s">
        <v>2662</v>
      </c>
      <c r="G1357" s="3" t="s">
        <v>2276</v>
      </c>
      <c r="H1357" s="3" t="s">
        <v>524</v>
      </c>
      <c r="I1357" s="3"/>
      <c r="J1357" s="21">
        <v>0</v>
      </c>
      <c r="K1357" s="21">
        <v>0</v>
      </c>
      <c r="L1357" s="21">
        <v>0</v>
      </c>
      <c r="M1357" s="21">
        <v>0</v>
      </c>
      <c r="N1357" s="21">
        <v>0</v>
      </c>
      <c r="O1357" s="21">
        <v>0</v>
      </c>
      <c r="P1357" s="21">
        <v>0</v>
      </c>
      <c r="Q1357" s="21">
        <v>0</v>
      </c>
      <c r="R1357" s="21">
        <v>0</v>
      </c>
      <c r="S1357" s="21">
        <v>0</v>
      </c>
      <c r="T1357" s="21">
        <v>0</v>
      </c>
      <c r="U1357" s="21">
        <v>0</v>
      </c>
      <c r="V1357" s="21">
        <v>0</v>
      </c>
      <c r="W1357" s="21">
        <v>0</v>
      </c>
      <c r="X1357" s="21">
        <v>0</v>
      </c>
      <c r="Y1357" s="3" t="s">
        <v>2276</v>
      </c>
      <c r="Z1357" s="3" t="s">
        <v>2276</v>
      </c>
      <c r="AA1357" s="3" t="s">
        <v>2276</v>
      </c>
      <c r="AB1357" s="3" t="s">
        <v>2276</v>
      </c>
      <c r="AC1357" s="4" t="s">
        <v>4047</v>
      </c>
      <c r="AD1357" s="3"/>
    </row>
    <row r="1358" spans="1:30" ht="29.5" customHeight="1">
      <c r="A1358" s="11" t="s">
        <v>4048</v>
      </c>
      <c r="B1358" s="3" t="s">
        <v>4049</v>
      </c>
      <c r="C1358" s="3" t="s">
        <v>2658</v>
      </c>
      <c r="D1358" s="3" t="s">
        <v>2276</v>
      </c>
      <c r="E1358" s="3" t="s">
        <v>2276</v>
      </c>
      <c r="F1358" s="4" t="s">
        <v>2276</v>
      </c>
      <c r="G1358" s="4" t="s">
        <v>74</v>
      </c>
      <c r="H1358" s="4" t="s">
        <v>523</v>
      </c>
      <c r="I1358" s="3">
        <v>2007</v>
      </c>
      <c r="J1358" s="3" t="s">
        <v>2276</v>
      </c>
      <c r="K1358" s="3" t="s">
        <v>2276</v>
      </c>
      <c r="L1358" s="3" t="s">
        <v>2276</v>
      </c>
      <c r="M1358" s="3" t="s">
        <v>2276</v>
      </c>
      <c r="N1358" s="3" t="s">
        <v>2276</v>
      </c>
      <c r="O1358" s="3" t="s">
        <v>2276</v>
      </c>
      <c r="P1358" s="3" t="s">
        <v>2276</v>
      </c>
      <c r="Q1358" s="3" t="s">
        <v>2276</v>
      </c>
      <c r="R1358" s="3" t="s">
        <v>2276</v>
      </c>
      <c r="S1358" s="3" t="s">
        <v>2276</v>
      </c>
      <c r="T1358" s="3" t="s">
        <v>2276</v>
      </c>
      <c r="U1358" s="3" t="s">
        <v>2276</v>
      </c>
      <c r="V1358" s="3" t="s">
        <v>2276</v>
      </c>
      <c r="W1358" s="3" t="s">
        <v>2276</v>
      </c>
      <c r="X1358" s="3" t="s">
        <v>2276</v>
      </c>
      <c r="Y1358" s="3" t="s">
        <v>2276</v>
      </c>
      <c r="Z1358" s="3" t="s">
        <v>2276</v>
      </c>
      <c r="AA1358" s="3" t="s">
        <v>2276</v>
      </c>
      <c r="AB1358" s="3" t="s">
        <v>2276</v>
      </c>
      <c r="AC1358" s="3" t="s">
        <v>4071</v>
      </c>
      <c r="AD1358" s="3"/>
    </row>
    <row r="1359" spans="1:30" ht="29.5" customHeight="1">
      <c r="A1359" s="11" t="s">
        <v>4063</v>
      </c>
      <c r="B1359" s="3" t="s">
        <v>4066</v>
      </c>
      <c r="C1359" s="3" t="s">
        <v>2658</v>
      </c>
      <c r="D1359" s="3" t="s">
        <v>2276</v>
      </c>
      <c r="E1359" s="3" t="s">
        <v>2276</v>
      </c>
      <c r="F1359" s="4" t="s">
        <v>2276</v>
      </c>
      <c r="G1359" s="4" t="s">
        <v>74</v>
      </c>
      <c r="H1359" s="4" t="s">
        <v>523</v>
      </c>
      <c r="I1359" s="3">
        <v>2007</v>
      </c>
      <c r="J1359" s="3" t="s">
        <v>2276</v>
      </c>
      <c r="K1359" s="3" t="s">
        <v>2276</v>
      </c>
      <c r="L1359" s="3" t="s">
        <v>2276</v>
      </c>
      <c r="M1359" s="3" t="s">
        <v>2276</v>
      </c>
      <c r="N1359" s="3" t="s">
        <v>2276</v>
      </c>
      <c r="O1359" s="3" t="s">
        <v>2276</v>
      </c>
      <c r="P1359" s="3" t="s">
        <v>2276</v>
      </c>
      <c r="Q1359" s="3" t="s">
        <v>2276</v>
      </c>
      <c r="R1359" s="3" t="s">
        <v>2276</v>
      </c>
      <c r="S1359" s="3" t="s">
        <v>2276</v>
      </c>
      <c r="T1359" s="3" t="s">
        <v>2276</v>
      </c>
      <c r="U1359" s="3" t="s">
        <v>2276</v>
      </c>
      <c r="V1359" s="3" t="s">
        <v>2276</v>
      </c>
      <c r="W1359" s="3" t="s">
        <v>2276</v>
      </c>
      <c r="X1359" s="3" t="s">
        <v>2276</v>
      </c>
      <c r="Y1359" s="3" t="s">
        <v>2276</v>
      </c>
      <c r="Z1359" s="3" t="s">
        <v>2276</v>
      </c>
      <c r="AA1359" s="3" t="s">
        <v>2276</v>
      </c>
      <c r="AB1359" s="3" t="s">
        <v>2276</v>
      </c>
      <c r="AC1359" s="3" t="s">
        <v>4071</v>
      </c>
      <c r="AD1359" s="3"/>
    </row>
    <row r="1360" spans="1:30" ht="29.5" customHeight="1">
      <c r="A1360" s="11" t="s">
        <v>4048</v>
      </c>
      <c r="B1360" s="3" t="s">
        <v>4067</v>
      </c>
      <c r="C1360" s="3" t="s">
        <v>2658</v>
      </c>
      <c r="D1360" s="3" t="s">
        <v>2276</v>
      </c>
      <c r="E1360" s="3" t="s">
        <v>2276</v>
      </c>
      <c r="F1360" s="4" t="s">
        <v>2276</v>
      </c>
      <c r="G1360" s="4" t="s">
        <v>28</v>
      </c>
      <c r="H1360" s="4" t="s">
        <v>523</v>
      </c>
      <c r="I1360" s="3">
        <v>2007</v>
      </c>
      <c r="J1360" s="3" t="s">
        <v>2276</v>
      </c>
      <c r="K1360" s="3" t="s">
        <v>2276</v>
      </c>
      <c r="L1360" s="3" t="s">
        <v>2276</v>
      </c>
      <c r="M1360" s="3" t="s">
        <v>2276</v>
      </c>
      <c r="N1360" s="3" t="s">
        <v>2276</v>
      </c>
      <c r="O1360" s="3" t="s">
        <v>2276</v>
      </c>
      <c r="P1360" s="3" t="s">
        <v>2276</v>
      </c>
      <c r="Q1360" s="3" t="s">
        <v>2276</v>
      </c>
      <c r="R1360" s="3" t="s">
        <v>2276</v>
      </c>
      <c r="S1360" s="3" t="s">
        <v>2276</v>
      </c>
      <c r="T1360" s="3" t="s">
        <v>2276</v>
      </c>
      <c r="U1360" s="3" t="s">
        <v>2276</v>
      </c>
      <c r="V1360" s="3" t="s">
        <v>2276</v>
      </c>
      <c r="W1360" s="3" t="s">
        <v>2276</v>
      </c>
      <c r="X1360" s="3" t="s">
        <v>2276</v>
      </c>
      <c r="Y1360" s="3" t="s">
        <v>2276</v>
      </c>
      <c r="Z1360" s="3" t="s">
        <v>2276</v>
      </c>
      <c r="AA1360" s="3" t="s">
        <v>2276</v>
      </c>
      <c r="AB1360" s="3" t="s">
        <v>2276</v>
      </c>
      <c r="AC1360" s="3" t="s">
        <v>4071</v>
      </c>
      <c r="AD1360" s="3"/>
    </row>
    <row r="1361" spans="1:30" ht="29.5" customHeight="1">
      <c r="A1361" s="11" t="s">
        <v>4063</v>
      </c>
      <c r="B1361" s="3" t="s">
        <v>4068</v>
      </c>
      <c r="C1361" s="3" t="s">
        <v>2658</v>
      </c>
      <c r="D1361" s="3" t="s">
        <v>2276</v>
      </c>
      <c r="E1361" s="3" t="s">
        <v>2276</v>
      </c>
      <c r="F1361" s="4" t="s">
        <v>2276</v>
      </c>
      <c r="G1361" s="4" t="s">
        <v>28</v>
      </c>
      <c r="H1361" s="4" t="s">
        <v>523</v>
      </c>
      <c r="I1361" s="3">
        <v>2007</v>
      </c>
      <c r="J1361" s="3" t="s">
        <v>2276</v>
      </c>
      <c r="K1361" s="3" t="s">
        <v>2276</v>
      </c>
      <c r="L1361" s="3" t="s">
        <v>2276</v>
      </c>
      <c r="M1361" s="3" t="s">
        <v>2276</v>
      </c>
      <c r="N1361" s="3" t="s">
        <v>2276</v>
      </c>
      <c r="O1361" s="3" t="s">
        <v>2276</v>
      </c>
      <c r="P1361" s="3" t="s">
        <v>2276</v>
      </c>
      <c r="Q1361" s="3" t="s">
        <v>2276</v>
      </c>
      <c r="R1361" s="3" t="s">
        <v>2276</v>
      </c>
      <c r="S1361" s="3" t="s">
        <v>2276</v>
      </c>
      <c r="T1361" s="3" t="s">
        <v>2276</v>
      </c>
      <c r="U1361" s="3" t="s">
        <v>2276</v>
      </c>
      <c r="V1361" s="3" t="s">
        <v>2276</v>
      </c>
      <c r="W1361" s="3" t="s">
        <v>2276</v>
      </c>
      <c r="X1361" s="3" t="s">
        <v>2276</v>
      </c>
      <c r="Y1361" s="3" t="s">
        <v>2276</v>
      </c>
      <c r="Z1361" s="3" t="s">
        <v>2276</v>
      </c>
      <c r="AA1361" s="3" t="s">
        <v>2276</v>
      </c>
      <c r="AB1361" s="3" t="s">
        <v>2276</v>
      </c>
      <c r="AC1361" s="3" t="s">
        <v>4071</v>
      </c>
      <c r="AD1361" s="3"/>
    </row>
    <row r="1362" spans="1:30" ht="29.5" customHeight="1">
      <c r="A1362" s="11" t="s">
        <v>4048</v>
      </c>
      <c r="B1362" s="3" t="s">
        <v>4069</v>
      </c>
      <c r="C1362" s="3" t="s">
        <v>2658</v>
      </c>
      <c r="D1362" s="3" t="s">
        <v>2276</v>
      </c>
      <c r="E1362" s="3" t="s">
        <v>2276</v>
      </c>
      <c r="F1362" s="4" t="s">
        <v>2276</v>
      </c>
      <c r="G1362" s="4" t="s">
        <v>2662</v>
      </c>
      <c r="H1362" s="4" t="s">
        <v>523</v>
      </c>
      <c r="I1362" s="3">
        <v>2007</v>
      </c>
      <c r="J1362" s="3" t="s">
        <v>2276</v>
      </c>
      <c r="K1362" s="3" t="s">
        <v>2276</v>
      </c>
      <c r="L1362" s="3" t="s">
        <v>2276</v>
      </c>
      <c r="M1362" s="3" t="s">
        <v>2276</v>
      </c>
      <c r="N1362" s="3" t="s">
        <v>2276</v>
      </c>
      <c r="O1362" s="3" t="s">
        <v>2276</v>
      </c>
      <c r="P1362" s="3" t="s">
        <v>2276</v>
      </c>
      <c r="Q1362" s="3" t="s">
        <v>2276</v>
      </c>
      <c r="R1362" s="3" t="s">
        <v>2276</v>
      </c>
      <c r="S1362" s="3" t="s">
        <v>2276</v>
      </c>
      <c r="T1362" s="3" t="s">
        <v>2276</v>
      </c>
      <c r="U1362" s="3" t="s">
        <v>2276</v>
      </c>
      <c r="V1362" s="3" t="s">
        <v>2276</v>
      </c>
      <c r="W1362" s="3" t="s">
        <v>2276</v>
      </c>
      <c r="X1362" s="3" t="s">
        <v>2276</v>
      </c>
      <c r="Y1362" s="3" t="s">
        <v>2276</v>
      </c>
      <c r="Z1362" s="3" t="s">
        <v>2276</v>
      </c>
      <c r="AA1362" s="3" t="s">
        <v>2276</v>
      </c>
      <c r="AB1362" s="3" t="s">
        <v>2276</v>
      </c>
      <c r="AC1362" s="3" t="s">
        <v>4071</v>
      </c>
      <c r="AD1362" s="3"/>
    </row>
    <row r="1363" spans="1:30" ht="29.5" customHeight="1">
      <c r="A1363" s="11" t="s">
        <v>4063</v>
      </c>
      <c r="B1363" s="3" t="s">
        <v>4070</v>
      </c>
      <c r="C1363" s="3" t="s">
        <v>2658</v>
      </c>
      <c r="D1363" s="3" t="s">
        <v>2276</v>
      </c>
      <c r="E1363" s="3" t="s">
        <v>2276</v>
      </c>
      <c r="F1363" s="4" t="s">
        <v>2276</v>
      </c>
      <c r="G1363" s="4" t="s">
        <v>2662</v>
      </c>
      <c r="H1363" s="4" t="s">
        <v>523</v>
      </c>
      <c r="I1363" s="3">
        <v>2007</v>
      </c>
      <c r="J1363" s="3" t="s">
        <v>2276</v>
      </c>
      <c r="K1363" s="3" t="s">
        <v>2276</v>
      </c>
      <c r="L1363" s="3" t="s">
        <v>2276</v>
      </c>
      <c r="M1363" s="3" t="s">
        <v>2276</v>
      </c>
      <c r="N1363" s="3" t="s">
        <v>2276</v>
      </c>
      <c r="O1363" s="3" t="s">
        <v>2276</v>
      </c>
      <c r="P1363" s="3" t="s">
        <v>2276</v>
      </c>
      <c r="Q1363" s="3" t="s">
        <v>2276</v>
      </c>
      <c r="R1363" s="3" t="s">
        <v>2276</v>
      </c>
      <c r="S1363" s="3" t="s">
        <v>2276</v>
      </c>
      <c r="T1363" s="3" t="s">
        <v>2276</v>
      </c>
      <c r="U1363" s="3" t="s">
        <v>2276</v>
      </c>
      <c r="V1363" s="3" t="s">
        <v>2276</v>
      </c>
      <c r="W1363" s="3" t="s">
        <v>2276</v>
      </c>
      <c r="X1363" s="3" t="s">
        <v>2276</v>
      </c>
      <c r="Y1363" s="3" t="s">
        <v>2276</v>
      </c>
      <c r="Z1363" s="3" t="s">
        <v>2276</v>
      </c>
      <c r="AA1363" s="3" t="s">
        <v>2276</v>
      </c>
      <c r="AB1363" s="3" t="s">
        <v>2276</v>
      </c>
      <c r="AC1363" s="3" t="s">
        <v>4071</v>
      </c>
      <c r="AD1363" s="3"/>
    </row>
    <row r="1364" spans="1:30" ht="31" customHeight="1">
      <c r="A1364" s="11" t="s">
        <v>4086</v>
      </c>
      <c r="B1364" s="11" t="s">
        <v>4090</v>
      </c>
      <c r="C1364" s="3" t="s">
        <v>24</v>
      </c>
      <c r="D1364" s="3" t="s">
        <v>2804</v>
      </c>
      <c r="E1364" s="3" t="s">
        <v>5005</v>
      </c>
      <c r="F1364" s="4" t="s">
        <v>55</v>
      </c>
      <c r="G1364" s="3" t="s">
        <v>2276</v>
      </c>
      <c r="H1364" s="3" t="s">
        <v>524</v>
      </c>
      <c r="I1364" s="3"/>
      <c r="J1364" s="21">
        <v>0</v>
      </c>
      <c r="K1364" s="21">
        <v>0</v>
      </c>
      <c r="L1364" s="21">
        <v>0</v>
      </c>
      <c r="M1364" s="21">
        <v>0</v>
      </c>
      <c r="N1364" s="21">
        <v>0</v>
      </c>
      <c r="O1364" s="21">
        <v>0</v>
      </c>
      <c r="P1364" s="21">
        <v>0</v>
      </c>
      <c r="Q1364" s="21">
        <v>0</v>
      </c>
      <c r="R1364" s="21">
        <v>0</v>
      </c>
      <c r="S1364" s="21">
        <v>0</v>
      </c>
      <c r="T1364" s="21">
        <v>0</v>
      </c>
      <c r="U1364" s="21">
        <v>0</v>
      </c>
      <c r="V1364" s="21">
        <v>0</v>
      </c>
      <c r="W1364" s="21">
        <v>0</v>
      </c>
      <c r="X1364" s="21">
        <v>0</v>
      </c>
      <c r="Y1364" s="3" t="s">
        <v>2276</v>
      </c>
      <c r="Z1364" s="3" t="s">
        <v>2276</v>
      </c>
      <c r="AA1364" s="3" t="s">
        <v>2276</v>
      </c>
      <c r="AB1364" s="3" t="s">
        <v>2276</v>
      </c>
      <c r="AC1364" s="3"/>
      <c r="AD1364" s="3"/>
    </row>
    <row r="1365" spans="1:30" ht="32.5" customHeight="1">
      <c r="A1365" s="11" t="s">
        <v>4086</v>
      </c>
      <c r="B1365" s="11" t="s">
        <v>4091</v>
      </c>
      <c r="C1365" s="3" t="s">
        <v>24</v>
      </c>
      <c r="D1365" s="3" t="s">
        <v>2804</v>
      </c>
      <c r="E1365" s="3" t="s">
        <v>5005</v>
      </c>
      <c r="F1365" s="4" t="s">
        <v>74</v>
      </c>
      <c r="G1365" s="3" t="s">
        <v>2276</v>
      </c>
      <c r="H1365" s="3" t="s">
        <v>524</v>
      </c>
      <c r="I1365" s="3"/>
      <c r="J1365" s="21">
        <v>0</v>
      </c>
      <c r="K1365" s="21">
        <v>0</v>
      </c>
      <c r="L1365" s="21">
        <v>0</v>
      </c>
      <c r="M1365" s="21">
        <v>0</v>
      </c>
      <c r="N1365" s="21">
        <v>0</v>
      </c>
      <c r="O1365" s="21">
        <v>0</v>
      </c>
      <c r="P1365" s="21">
        <v>0</v>
      </c>
      <c r="Q1365" s="21">
        <v>0</v>
      </c>
      <c r="R1365" s="21">
        <v>0</v>
      </c>
      <c r="S1365" s="21">
        <v>0</v>
      </c>
      <c r="T1365" s="21">
        <v>0</v>
      </c>
      <c r="U1365" s="21">
        <v>0</v>
      </c>
      <c r="V1365" s="21">
        <v>0</v>
      </c>
      <c r="W1365" s="21">
        <v>0</v>
      </c>
      <c r="X1365" s="21">
        <v>0</v>
      </c>
      <c r="Y1365" s="3" t="s">
        <v>2276</v>
      </c>
      <c r="Z1365" s="3" t="s">
        <v>2276</v>
      </c>
      <c r="AA1365" s="3" t="s">
        <v>2276</v>
      </c>
      <c r="AB1365" s="3" t="s">
        <v>2276</v>
      </c>
      <c r="AC1365" s="3"/>
      <c r="AD1365" s="3"/>
    </row>
    <row r="1366" spans="1:30" ht="31.5" customHeight="1">
      <c r="A1366" s="11" t="s">
        <v>4086</v>
      </c>
      <c r="B1366" s="11" t="s">
        <v>4092</v>
      </c>
      <c r="C1366" s="3" t="s">
        <v>24</v>
      </c>
      <c r="D1366" s="3" t="s">
        <v>2804</v>
      </c>
      <c r="E1366" s="3" t="s">
        <v>5005</v>
      </c>
      <c r="F1366" s="4" t="s">
        <v>2662</v>
      </c>
      <c r="G1366" s="3" t="s">
        <v>2276</v>
      </c>
      <c r="H1366" s="3" t="s">
        <v>524</v>
      </c>
      <c r="I1366" s="3"/>
      <c r="J1366" s="21">
        <v>0</v>
      </c>
      <c r="K1366" s="21">
        <v>0</v>
      </c>
      <c r="L1366" s="21">
        <v>0</v>
      </c>
      <c r="M1366" s="21">
        <v>0</v>
      </c>
      <c r="N1366" s="21">
        <v>0</v>
      </c>
      <c r="O1366" s="21">
        <v>0</v>
      </c>
      <c r="P1366" s="21">
        <v>0</v>
      </c>
      <c r="Q1366" s="21">
        <v>0</v>
      </c>
      <c r="R1366" s="21">
        <v>0</v>
      </c>
      <c r="S1366" s="21">
        <v>0</v>
      </c>
      <c r="T1366" s="21">
        <v>0</v>
      </c>
      <c r="U1366" s="21">
        <v>0</v>
      </c>
      <c r="V1366" s="21">
        <v>0</v>
      </c>
      <c r="W1366" s="21">
        <v>0</v>
      </c>
      <c r="X1366" s="21">
        <v>0</v>
      </c>
      <c r="Y1366" s="3" t="s">
        <v>2276</v>
      </c>
      <c r="Z1366" s="3" t="s">
        <v>2276</v>
      </c>
      <c r="AA1366" s="3" t="s">
        <v>2276</v>
      </c>
      <c r="AB1366" s="3" t="s">
        <v>2276</v>
      </c>
      <c r="AC1366" s="3"/>
      <c r="AD1366" s="3"/>
    </row>
    <row r="1367" spans="1:30" ht="35.5" customHeight="1">
      <c r="A1367" s="11" t="s">
        <v>4086</v>
      </c>
      <c r="B1367" s="11" t="s">
        <v>4093</v>
      </c>
      <c r="C1367" s="3" t="s">
        <v>31</v>
      </c>
      <c r="D1367" s="3" t="s">
        <v>2276</v>
      </c>
      <c r="E1367" s="3" t="s">
        <v>2276</v>
      </c>
      <c r="F1367" s="4" t="s">
        <v>2276</v>
      </c>
      <c r="G1367" s="3" t="s">
        <v>74</v>
      </c>
      <c r="H1367" s="3" t="s">
        <v>523</v>
      </c>
      <c r="I1367" s="3"/>
      <c r="J1367" s="3" t="s">
        <v>2276</v>
      </c>
      <c r="K1367" s="3" t="s">
        <v>2276</v>
      </c>
      <c r="L1367" s="3" t="s">
        <v>2276</v>
      </c>
      <c r="M1367" s="3" t="s">
        <v>2276</v>
      </c>
      <c r="N1367" s="3" t="s">
        <v>2276</v>
      </c>
      <c r="O1367" s="3" t="s">
        <v>2276</v>
      </c>
      <c r="P1367" s="3" t="s">
        <v>2276</v>
      </c>
      <c r="Q1367" s="3" t="s">
        <v>2276</v>
      </c>
      <c r="R1367" s="3" t="s">
        <v>2276</v>
      </c>
      <c r="S1367" s="3" t="s">
        <v>2276</v>
      </c>
      <c r="T1367" s="3" t="s">
        <v>2276</v>
      </c>
      <c r="U1367" s="3" t="s">
        <v>2276</v>
      </c>
      <c r="V1367" s="3" t="s">
        <v>2276</v>
      </c>
      <c r="W1367" s="3" t="s">
        <v>2276</v>
      </c>
      <c r="X1367" s="3" t="s">
        <v>2276</v>
      </c>
      <c r="Y1367" s="21">
        <v>18</v>
      </c>
      <c r="Z1367" s="3" t="s">
        <v>189</v>
      </c>
      <c r="AA1367" s="3" t="s">
        <v>34</v>
      </c>
      <c r="AB1367" s="3" t="s">
        <v>2276</v>
      </c>
      <c r="AC1367" s="3"/>
      <c r="AD1367" s="3"/>
    </row>
    <row r="1368" spans="1:30" ht="35.5" customHeight="1">
      <c r="A1368" s="11" t="s">
        <v>4086</v>
      </c>
      <c r="B1368" s="11" t="s">
        <v>4094</v>
      </c>
      <c r="C1368" s="3" t="s">
        <v>31</v>
      </c>
      <c r="D1368" s="3" t="s">
        <v>2276</v>
      </c>
      <c r="E1368" s="3" t="s">
        <v>2276</v>
      </c>
      <c r="F1368" s="4" t="s">
        <v>2276</v>
      </c>
      <c r="G1368" s="3" t="s">
        <v>74</v>
      </c>
      <c r="H1368" s="3" t="s">
        <v>523</v>
      </c>
      <c r="I1368" s="3">
        <v>1994</v>
      </c>
      <c r="J1368" s="3" t="s">
        <v>2276</v>
      </c>
      <c r="K1368" s="3" t="s">
        <v>2276</v>
      </c>
      <c r="L1368" s="3" t="s">
        <v>2276</v>
      </c>
      <c r="M1368" s="3" t="s">
        <v>2276</v>
      </c>
      <c r="N1368" s="3" t="s">
        <v>2276</v>
      </c>
      <c r="O1368" s="3" t="s">
        <v>2276</v>
      </c>
      <c r="P1368" s="3" t="s">
        <v>2276</v>
      </c>
      <c r="Q1368" s="3" t="s">
        <v>2276</v>
      </c>
      <c r="R1368" s="3" t="s">
        <v>2276</v>
      </c>
      <c r="S1368" s="3" t="s">
        <v>2276</v>
      </c>
      <c r="T1368" s="3" t="s">
        <v>2276</v>
      </c>
      <c r="U1368" s="3" t="s">
        <v>2276</v>
      </c>
      <c r="V1368" s="3" t="s">
        <v>2276</v>
      </c>
      <c r="W1368" s="3" t="s">
        <v>2276</v>
      </c>
      <c r="X1368" s="3" t="s">
        <v>2276</v>
      </c>
      <c r="Y1368" s="3" t="s">
        <v>2276</v>
      </c>
      <c r="Z1368" s="3" t="s">
        <v>189</v>
      </c>
      <c r="AA1368" s="3" t="s">
        <v>34</v>
      </c>
      <c r="AB1368" s="3" t="s">
        <v>2276</v>
      </c>
      <c r="AC1368" s="3"/>
      <c r="AD1368" s="3"/>
    </row>
    <row r="1369" spans="1:30" ht="40" customHeight="1">
      <c r="A1369" s="11" t="s">
        <v>4086</v>
      </c>
      <c r="B1369" s="11" t="s">
        <v>4095</v>
      </c>
      <c r="C1369" s="3" t="s">
        <v>31</v>
      </c>
      <c r="D1369" s="3" t="s">
        <v>2276</v>
      </c>
      <c r="E1369" s="3" t="s">
        <v>2276</v>
      </c>
      <c r="F1369" s="4" t="s">
        <v>2276</v>
      </c>
      <c r="G1369" s="3" t="s">
        <v>74</v>
      </c>
      <c r="H1369" s="3" t="s">
        <v>523</v>
      </c>
      <c r="I1369" s="3">
        <v>1996</v>
      </c>
      <c r="J1369" s="3" t="s">
        <v>2276</v>
      </c>
      <c r="K1369" s="3" t="s">
        <v>2276</v>
      </c>
      <c r="L1369" s="3" t="s">
        <v>2276</v>
      </c>
      <c r="M1369" s="3" t="s">
        <v>2276</v>
      </c>
      <c r="N1369" s="3" t="s">
        <v>2276</v>
      </c>
      <c r="O1369" s="3" t="s">
        <v>2276</v>
      </c>
      <c r="P1369" s="3" t="s">
        <v>2276</v>
      </c>
      <c r="Q1369" s="3" t="s">
        <v>2276</v>
      </c>
      <c r="R1369" s="3" t="s">
        <v>2276</v>
      </c>
      <c r="S1369" s="3" t="s">
        <v>2276</v>
      </c>
      <c r="T1369" s="3" t="s">
        <v>2276</v>
      </c>
      <c r="U1369" s="3" t="s">
        <v>2276</v>
      </c>
      <c r="V1369" s="3" t="s">
        <v>2276</v>
      </c>
      <c r="W1369" s="3" t="s">
        <v>2276</v>
      </c>
      <c r="X1369" s="3" t="s">
        <v>2276</v>
      </c>
      <c r="Y1369" s="3" t="s">
        <v>2276</v>
      </c>
      <c r="Z1369" s="3" t="s">
        <v>189</v>
      </c>
      <c r="AA1369" s="3" t="s">
        <v>34</v>
      </c>
      <c r="AB1369" s="3" t="s">
        <v>2276</v>
      </c>
      <c r="AC1369" s="3"/>
      <c r="AD1369" s="3"/>
    </row>
    <row r="1370" spans="1:30" ht="40" customHeight="1">
      <c r="A1370" s="11" t="s">
        <v>4086</v>
      </c>
      <c r="B1370" s="11" t="s">
        <v>4096</v>
      </c>
      <c r="C1370" s="3" t="s">
        <v>31</v>
      </c>
      <c r="D1370" s="3" t="s">
        <v>2276</v>
      </c>
      <c r="E1370" s="3" t="s">
        <v>2276</v>
      </c>
      <c r="F1370" s="4" t="s">
        <v>2276</v>
      </c>
      <c r="G1370" s="3" t="s">
        <v>74</v>
      </c>
      <c r="H1370" s="3" t="s">
        <v>523</v>
      </c>
      <c r="I1370" s="3">
        <v>1997</v>
      </c>
      <c r="J1370" s="3" t="s">
        <v>2276</v>
      </c>
      <c r="K1370" s="3" t="s">
        <v>2276</v>
      </c>
      <c r="L1370" s="3" t="s">
        <v>2276</v>
      </c>
      <c r="M1370" s="3" t="s">
        <v>2276</v>
      </c>
      <c r="N1370" s="3" t="s">
        <v>2276</v>
      </c>
      <c r="O1370" s="3" t="s">
        <v>2276</v>
      </c>
      <c r="P1370" s="3" t="s">
        <v>2276</v>
      </c>
      <c r="Q1370" s="3" t="s">
        <v>2276</v>
      </c>
      <c r="R1370" s="3" t="s">
        <v>2276</v>
      </c>
      <c r="S1370" s="3" t="s">
        <v>2276</v>
      </c>
      <c r="T1370" s="3" t="s">
        <v>2276</v>
      </c>
      <c r="U1370" s="3" t="s">
        <v>2276</v>
      </c>
      <c r="V1370" s="3" t="s">
        <v>2276</v>
      </c>
      <c r="W1370" s="3" t="s">
        <v>2276</v>
      </c>
      <c r="X1370" s="3" t="s">
        <v>2276</v>
      </c>
      <c r="Y1370" s="3" t="s">
        <v>2276</v>
      </c>
      <c r="Z1370" s="3" t="s">
        <v>189</v>
      </c>
      <c r="AA1370" s="3" t="s">
        <v>34</v>
      </c>
      <c r="AB1370" s="3" t="s">
        <v>2276</v>
      </c>
      <c r="AC1370" s="3"/>
      <c r="AD1370" s="3"/>
    </row>
    <row r="1371" spans="1:30" ht="40" customHeight="1">
      <c r="A1371" s="11" t="s">
        <v>4086</v>
      </c>
      <c r="B1371" s="11" t="s">
        <v>4097</v>
      </c>
      <c r="C1371" s="3" t="s">
        <v>31</v>
      </c>
      <c r="D1371" s="3" t="s">
        <v>2276</v>
      </c>
      <c r="E1371" s="3" t="s">
        <v>2276</v>
      </c>
      <c r="F1371" s="4" t="s">
        <v>2276</v>
      </c>
      <c r="G1371" s="3" t="s">
        <v>74</v>
      </c>
      <c r="H1371" s="3" t="s">
        <v>523</v>
      </c>
      <c r="I1371" s="3">
        <v>2007</v>
      </c>
      <c r="J1371" s="3" t="s">
        <v>2276</v>
      </c>
      <c r="K1371" s="3" t="s">
        <v>2276</v>
      </c>
      <c r="L1371" s="3" t="s">
        <v>2276</v>
      </c>
      <c r="M1371" s="3" t="s">
        <v>2276</v>
      </c>
      <c r="N1371" s="3" t="s">
        <v>2276</v>
      </c>
      <c r="O1371" s="3" t="s">
        <v>2276</v>
      </c>
      <c r="P1371" s="3" t="s">
        <v>2276</v>
      </c>
      <c r="Q1371" s="3" t="s">
        <v>2276</v>
      </c>
      <c r="R1371" s="3" t="s">
        <v>2276</v>
      </c>
      <c r="S1371" s="3" t="s">
        <v>2276</v>
      </c>
      <c r="T1371" s="3" t="s">
        <v>2276</v>
      </c>
      <c r="U1371" s="3" t="s">
        <v>2276</v>
      </c>
      <c r="V1371" s="3" t="s">
        <v>2276</v>
      </c>
      <c r="W1371" s="3" t="s">
        <v>2276</v>
      </c>
      <c r="X1371" s="3" t="s">
        <v>2276</v>
      </c>
      <c r="Y1371" s="3" t="s">
        <v>2276</v>
      </c>
      <c r="Z1371" s="3" t="s">
        <v>189</v>
      </c>
      <c r="AA1371" s="3" t="s">
        <v>34</v>
      </c>
      <c r="AB1371" s="3" t="s">
        <v>2276</v>
      </c>
      <c r="AC1371" s="3"/>
      <c r="AD1371" s="3"/>
    </row>
    <row r="1372" spans="1:30" ht="36.5" customHeight="1">
      <c r="A1372" s="11" t="s">
        <v>4086</v>
      </c>
      <c r="B1372" s="11" t="s">
        <v>4098</v>
      </c>
      <c r="C1372" s="3" t="s">
        <v>2656</v>
      </c>
      <c r="D1372" s="3" t="s">
        <v>2276</v>
      </c>
      <c r="E1372" s="3" t="s">
        <v>2276</v>
      </c>
      <c r="F1372" s="4" t="s">
        <v>2276</v>
      </c>
      <c r="G1372" s="3" t="s">
        <v>74</v>
      </c>
      <c r="H1372" s="3" t="s">
        <v>524</v>
      </c>
      <c r="I1372" s="3"/>
      <c r="J1372" s="21">
        <v>0</v>
      </c>
      <c r="K1372" s="21">
        <v>0</v>
      </c>
      <c r="L1372" s="21">
        <v>0</v>
      </c>
      <c r="M1372" s="21">
        <v>0</v>
      </c>
      <c r="N1372" s="21">
        <v>0</v>
      </c>
      <c r="O1372" s="21">
        <v>0</v>
      </c>
      <c r="P1372" s="21">
        <v>0</v>
      </c>
      <c r="Q1372" s="21">
        <v>0</v>
      </c>
      <c r="R1372" s="21">
        <v>0</v>
      </c>
      <c r="S1372" s="21">
        <v>0</v>
      </c>
      <c r="T1372" s="21">
        <v>0</v>
      </c>
      <c r="U1372" s="21">
        <v>0</v>
      </c>
      <c r="V1372" s="21">
        <v>0</v>
      </c>
      <c r="W1372" s="21">
        <v>0</v>
      </c>
      <c r="X1372" s="21">
        <v>0</v>
      </c>
      <c r="Y1372" s="3" t="s">
        <v>2276</v>
      </c>
      <c r="Z1372" s="3" t="s">
        <v>189</v>
      </c>
      <c r="AA1372" s="3" t="s">
        <v>34</v>
      </c>
      <c r="AB1372" s="3" t="s">
        <v>2276</v>
      </c>
      <c r="AC1372" s="4" t="s">
        <v>4099</v>
      </c>
      <c r="AD1372" s="3"/>
    </row>
    <row r="1373" spans="1:30" ht="39" customHeight="1">
      <c r="A1373" s="11" t="s">
        <v>4108</v>
      </c>
      <c r="B1373" s="3" t="s">
        <v>4118</v>
      </c>
      <c r="C1373" s="3" t="s">
        <v>24</v>
      </c>
      <c r="D1373" s="3" t="s">
        <v>25</v>
      </c>
      <c r="E1373" s="3" t="s">
        <v>5005</v>
      </c>
      <c r="F1373" s="4" t="s">
        <v>55</v>
      </c>
      <c r="G1373" s="3" t="s">
        <v>2276</v>
      </c>
      <c r="H1373" s="3" t="s">
        <v>523</v>
      </c>
      <c r="I1373" s="3"/>
      <c r="J1373" s="3" t="s">
        <v>2276</v>
      </c>
      <c r="K1373" s="3" t="s">
        <v>2276</v>
      </c>
      <c r="L1373" s="3" t="s">
        <v>2276</v>
      </c>
      <c r="M1373" s="3" t="s">
        <v>2276</v>
      </c>
      <c r="N1373" s="3" t="s">
        <v>2276</v>
      </c>
      <c r="O1373" s="3" t="s">
        <v>2276</v>
      </c>
      <c r="P1373" s="3" t="s">
        <v>2276</v>
      </c>
      <c r="Q1373" s="3" t="s">
        <v>2276</v>
      </c>
      <c r="R1373" s="3" t="s">
        <v>2276</v>
      </c>
      <c r="S1373" s="3" t="s">
        <v>2276</v>
      </c>
      <c r="T1373" s="3" t="s">
        <v>2276</v>
      </c>
      <c r="U1373" s="3" t="s">
        <v>2276</v>
      </c>
      <c r="V1373" s="3" t="s">
        <v>2276</v>
      </c>
      <c r="W1373" s="3" t="s">
        <v>2276</v>
      </c>
      <c r="X1373" s="3" t="s">
        <v>2276</v>
      </c>
      <c r="Y1373" s="3" t="s">
        <v>2276</v>
      </c>
      <c r="Z1373" s="3" t="s">
        <v>2276</v>
      </c>
      <c r="AA1373" s="3" t="s">
        <v>2276</v>
      </c>
      <c r="AB1373" s="3" t="s">
        <v>2276</v>
      </c>
      <c r="AC1373" s="3"/>
      <c r="AD1373" s="3"/>
    </row>
    <row r="1374" spans="1:30" ht="39" customHeight="1">
      <c r="A1374" s="11" t="s">
        <v>4108</v>
      </c>
      <c r="B1374" s="3" t="s">
        <v>4119</v>
      </c>
      <c r="C1374" s="3" t="s">
        <v>24</v>
      </c>
      <c r="D1374" s="3" t="s">
        <v>25</v>
      </c>
      <c r="E1374" s="3" t="s">
        <v>45</v>
      </c>
      <c r="F1374" s="4" t="s">
        <v>55</v>
      </c>
      <c r="G1374" s="3" t="s">
        <v>2276</v>
      </c>
      <c r="H1374" s="3" t="s">
        <v>523</v>
      </c>
      <c r="I1374" s="3"/>
      <c r="J1374" s="3" t="s">
        <v>2276</v>
      </c>
      <c r="K1374" s="3" t="s">
        <v>2276</v>
      </c>
      <c r="L1374" s="3" t="s">
        <v>2276</v>
      </c>
      <c r="M1374" s="3" t="s">
        <v>2276</v>
      </c>
      <c r="N1374" s="3" t="s">
        <v>2276</v>
      </c>
      <c r="O1374" s="3" t="s">
        <v>2276</v>
      </c>
      <c r="P1374" s="3" t="s">
        <v>2276</v>
      </c>
      <c r="Q1374" s="3" t="s">
        <v>2276</v>
      </c>
      <c r="R1374" s="3" t="s">
        <v>2276</v>
      </c>
      <c r="S1374" s="3" t="s">
        <v>2276</v>
      </c>
      <c r="T1374" s="3" t="s">
        <v>2276</v>
      </c>
      <c r="U1374" s="3" t="s">
        <v>2276</v>
      </c>
      <c r="V1374" s="3" t="s">
        <v>2276</v>
      </c>
      <c r="W1374" s="3" t="s">
        <v>2276</v>
      </c>
      <c r="X1374" s="3" t="s">
        <v>2276</v>
      </c>
      <c r="Y1374" s="3" t="s">
        <v>2276</v>
      </c>
      <c r="Z1374" s="3" t="s">
        <v>2276</v>
      </c>
      <c r="AA1374" s="3" t="s">
        <v>2276</v>
      </c>
      <c r="AB1374" s="3" t="s">
        <v>2276</v>
      </c>
      <c r="AC1374" s="3"/>
      <c r="AD1374" s="3"/>
    </row>
    <row r="1375" spans="1:30" ht="36" customHeight="1">
      <c r="A1375" s="11" t="s">
        <v>4109</v>
      </c>
      <c r="B1375" s="3" t="s">
        <v>4120</v>
      </c>
      <c r="C1375" s="3" t="s">
        <v>24</v>
      </c>
      <c r="D1375" s="3" t="s">
        <v>25</v>
      </c>
      <c r="E1375" s="3" t="s">
        <v>5005</v>
      </c>
      <c r="F1375" s="4" t="s">
        <v>55</v>
      </c>
      <c r="G1375" s="3" t="s">
        <v>2276</v>
      </c>
      <c r="H1375" s="3" t="s">
        <v>523</v>
      </c>
      <c r="I1375" s="3"/>
      <c r="J1375" s="3" t="s">
        <v>2276</v>
      </c>
      <c r="K1375" s="3" t="s">
        <v>2276</v>
      </c>
      <c r="L1375" s="3" t="s">
        <v>2276</v>
      </c>
      <c r="M1375" s="3" t="s">
        <v>2276</v>
      </c>
      <c r="N1375" s="3" t="s">
        <v>2276</v>
      </c>
      <c r="O1375" s="3" t="s">
        <v>2276</v>
      </c>
      <c r="P1375" s="3" t="s">
        <v>2276</v>
      </c>
      <c r="Q1375" s="3" t="s">
        <v>2276</v>
      </c>
      <c r="R1375" s="3" t="s">
        <v>2276</v>
      </c>
      <c r="S1375" s="3" t="s">
        <v>2276</v>
      </c>
      <c r="T1375" s="3" t="s">
        <v>2276</v>
      </c>
      <c r="U1375" s="3" t="s">
        <v>2276</v>
      </c>
      <c r="V1375" s="3" t="s">
        <v>2276</v>
      </c>
      <c r="W1375" s="3" t="s">
        <v>2276</v>
      </c>
      <c r="X1375" s="3" t="s">
        <v>2276</v>
      </c>
      <c r="Y1375" s="3" t="s">
        <v>2276</v>
      </c>
      <c r="Z1375" s="3" t="s">
        <v>425</v>
      </c>
      <c r="AA1375" s="3" t="s">
        <v>35</v>
      </c>
      <c r="AB1375" s="3" t="s">
        <v>64</v>
      </c>
      <c r="AC1375" s="3" t="s">
        <v>4117</v>
      </c>
      <c r="AD1375" s="3"/>
    </row>
    <row r="1376" spans="1:30" ht="36.5" customHeight="1">
      <c r="A1376" s="11" t="s">
        <v>4109</v>
      </c>
      <c r="B1376" s="3" t="s">
        <v>4121</v>
      </c>
      <c r="C1376" s="3" t="s">
        <v>24</v>
      </c>
      <c r="D1376" s="3" t="s">
        <v>25</v>
      </c>
      <c r="E1376" s="3" t="s">
        <v>45</v>
      </c>
      <c r="F1376" s="4" t="s">
        <v>55</v>
      </c>
      <c r="G1376" s="3" t="s">
        <v>2276</v>
      </c>
      <c r="H1376" s="3" t="s">
        <v>523</v>
      </c>
      <c r="I1376" s="3"/>
      <c r="J1376" s="3" t="s">
        <v>2276</v>
      </c>
      <c r="K1376" s="3" t="s">
        <v>2276</v>
      </c>
      <c r="L1376" s="3" t="s">
        <v>2276</v>
      </c>
      <c r="M1376" s="3" t="s">
        <v>2276</v>
      </c>
      <c r="N1376" s="3" t="s">
        <v>2276</v>
      </c>
      <c r="O1376" s="3" t="s">
        <v>2276</v>
      </c>
      <c r="P1376" s="3" t="s">
        <v>2276</v>
      </c>
      <c r="Q1376" s="3" t="s">
        <v>2276</v>
      </c>
      <c r="R1376" s="3" t="s">
        <v>2276</v>
      </c>
      <c r="S1376" s="3" t="s">
        <v>2276</v>
      </c>
      <c r="T1376" s="3" t="s">
        <v>2276</v>
      </c>
      <c r="U1376" s="3" t="s">
        <v>2276</v>
      </c>
      <c r="V1376" s="3" t="s">
        <v>2276</v>
      </c>
      <c r="W1376" s="3" t="s">
        <v>2276</v>
      </c>
      <c r="X1376" s="3" t="s">
        <v>2276</v>
      </c>
      <c r="Y1376" s="3" t="s">
        <v>2276</v>
      </c>
      <c r="Z1376" s="3" t="s">
        <v>425</v>
      </c>
      <c r="AA1376" s="3" t="s">
        <v>35</v>
      </c>
      <c r="AB1376" s="3" t="s">
        <v>64</v>
      </c>
      <c r="AC1376" s="3" t="s">
        <v>4117</v>
      </c>
      <c r="AD1376" s="3"/>
    </row>
    <row r="1377" spans="1:30" ht="73.5" customHeight="1">
      <c r="A1377" s="11" t="s">
        <v>4129</v>
      </c>
      <c r="B1377" s="11" t="s">
        <v>4133</v>
      </c>
      <c r="C1377" s="3" t="s">
        <v>24</v>
      </c>
      <c r="D1377" s="3" t="s">
        <v>2804</v>
      </c>
      <c r="E1377" s="3" t="s">
        <v>5005</v>
      </c>
      <c r="F1377" s="4" t="s">
        <v>2662</v>
      </c>
      <c r="G1377" s="3" t="s">
        <v>2276</v>
      </c>
      <c r="H1377" s="3" t="s">
        <v>523</v>
      </c>
      <c r="I1377" s="3"/>
      <c r="J1377" s="3" t="s">
        <v>2276</v>
      </c>
      <c r="K1377" s="3" t="s">
        <v>2276</v>
      </c>
      <c r="L1377" s="3" t="s">
        <v>2276</v>
      </c>
      <c r="M1377" s="3" t="s">
        <v>2276</v>
      </c>
      <c r="N1377" s="3" t="s">
        <v>2276</v>
      </c>
      <c r="O1377" s="3" t="s">
        <v>2276</v>
      </c>
      <c r="P1377" s="3" t="s">
        <v>2276</v>
      </c>
      <c r="Q1377" s="3" t="s">
        <v>2276</v>
      </c>
      <c r="R1377" s="3" t="s">
        <v>2276</v>
      </c>
      <c r="S1377" s="3" t="s">
        <v>2276</v>
      </c>
      <c r="T1377" s="3" t="s">
        <v>2276</v>
      </c>
      <c r="U1377" s="3" t="s">
        <v>2276</v>
      </c>
      <c r="V1377" s="3" t="s">
        <v>2276</v>
      </c>
      <c r="W1377" s="3" t="s">
        <v>2276</v>
      </c>
      <c r="X1377" s="3" t="s">
        <v>2276</v>
      </c>
      <c r="Y1377" s="3" t="s">
        <v>2276</v>
      </c>
      <c r="Z1377" s="3" t="s">
        <v>2276</v>
      </c>
      <c r="AA1377" s="3" t="s">
        <v>2276</v>
      </c>
      <c r="AB1377" s="3" t="s">
        <v>2276</v>
      </c>
      <c r="AC1377" s="4" t="s">
        <v>4135</v>
      </c>
      <c r="AD1377" s="3"/>
    </row>
    <row r="1378" spans="1:30" ht="98.5" customHeight="1">
      <c r="A1378" s="11" t="s">
        <v>4129</v>
      </c>
      <c r="B1378" s="11" t="s">
        <v>4134</v>
      </c>
      <c r="C1378" s="3" t="s">
        <v>24</v>
      </c>
      <c r="D1378" s="3" t="s">
        <v>2804</v>
      </c>
      <c r="E1378" s="3" t="s">
        <v>45</v>
      </c>
      <c r="F1378" s="4" t="s">
        <v>2662</v>
      </c>
      <c r="G1378" s="3" t="s">
        <v>2276</v>
      </c>
      <c r="H1378" s="3" t="s">
        <v>523</v>
      </c>
      <c r="I1378" s="3"/>
      <c r="J1378" s="3" t="s">
        <v>2276</v>
      </c>
      <c r="K1378" s="3" t="s">
        <v>2276</v>
      </c>
      <c r="L1378" s="3" t="s">
        <v>2276</v>
      </c>
      <c r="M1378" s="3" t="s">
        <v>2276</v>
      </c>
      <c r="N1378" s="3" t="s">
        <v>2276</v>
      </c>
      <c r="O1378" s="3" t="s">
        <v>2276</v>
      </c>
      <c r="P1378" s="3" t="s">
        <v>2276</v>
      </c>
      <c r="Q1378" s="3" t="s">
        <v>2276</v>
      </c>
      <c r="R1378" s="3" t="s">
        <v>2276</v>
      </c>
      <c r="S1378" s="3" t="s">
        <v>2276</v>
      </c>
      <c r="T1378" s="3" t="s">
        <v>2276</v>
      </c>
      <c r="U1378" s="3" t="s">
        <v>2276</v>
      </c>
      <c r="V1378" s="3" t="s">
        <v>2276</v>
      </c>
      <c r="W1378" s="3" t="s">
        <v>2276</v>
      </c>
      <c r="X1378" s="3" t="s">
        <v>2276</v>
      </c>
      <c r="Y1378" s="3" t="s">
        <v>2276</v>
      </c>
      <c r="Z1378" s="3" t="s">
        <v>2276</v>
      </c>
      <c r="AA1378" s="3" t="s">
        <v>2276</v>
      </c>
      <c r="AB1378" s="3" t="s">
        <v>2276</v>
      </c>
      <c r="AC1378" s="4" t="s">
        <v>4135</v>
      </c>
      <c r="AD1378" s="3"/>
    </row>
    <row r="1379" spans="1:30" ht="40" customHeight="1">
      <c r="A1379" s="3" t="s">
        <v>4138</v>
      </c>
      <c r="B1379" s="3" t="s">
        <v>4143</v>
      </c>
      <c r="C1379" s="3" t="s">
        <v>24</v>
      </c>
      <c r="D1379" s="3" t="s">
        <v>143</v>
      </c>
      <c r="E1379" s="3" t="s">
        <v>5005</v>
      </c>
      <c r="F1379" s="4" t="s">
        <v>74</v>
      </c>
      <c r="G1379" s="3" t="s">
        <v>2276</v>
      </c>
      <c r="H1379" s="3" t="s">
        <v>523</v>
      </c>
      <c r="I1379" s="3"/>
      <c r="J1379" s="3" t="s">
        <v>2276</v>
      </c>
      <c r="K1379" s="3" t="s">
        <v>2276</v>
      </c>
      <c r="L1379" s="3" t="s">
        <v>2276</v>
      </c>
      <c r="M1379" s="3" t="s">
        <v>2276</v>
      </c>
      <c r="N1379" s="3" t="s">
        <v>2276</v>
      </c>
      <c r="O1379" s="3" t="s">
        <v>2276</v>
      </c>
      <c r="P1379" s="3" t="s">
        <v>2276</v>
      </c>
      <c r="Q1379" s="3" t="s">
        <v>2276</v>
      </c>
      <c r="R1379" s="3" t="s">
        <v>2276</v>
      </c>
      <c r="S1379" s="3" t="s">
        <v>2276</v>
      </c>
      <c r="T1379" s="3" t="s">
        <v>2276</v>
      </c>
      <c r="U1379" s="3" t="s">
        <v>2276</v>
      </c>
      <c r="V1379" s="3" t="s">
        <v>2276</v>
      </c>
      <c r="W1379" s="3" t="s">
        <v>2276</v>
      </c>
      <c r="X1379" s="3" t="s">
        <v>2276</v>
      </c>
      <c r="Y1379" s="3" t="s">
        <v>2276</v>
      </c>
      <c r="Z1379" s="3" t="s">
        <v>2276</v>
      </c>
      <c r="AA1379" s="3" t="s">
        <v>2276</v>
      </c>
      <c r="AB1379" s="3" t="s">
        <v>2276</v>
      </c>
      <c r="AC1379" s="4" t="s">
        <v>4145</v>
      </c>
      <c r="AD1379" s="3"/>
    </row>
    <row r="1380" spans="1:30" ht="40" customHeight="1">
      <c r="A1380" s="3" t="s">
        <v>4138</v>
      </c>
      <c r="B1380" s="3" t="s">
        <v>4144</v>
      </c>
      <c r="C1380" s="3" t="s">
        <v>24</v>
      </c>
      <c r="D1380" s="3" t="s">
        <v>143</v>
      </c>
      <c r="E1380" s="3" t="s">
        <v>45</v>
      </c>
      <c r="F1380" s="4" t="s">
        <v>74</v>
      </c>
      <c r="G1380" s="3" t="s">
        <v>2276</v>
      </c>
      <c r="H1380" s="3" t="s">
        <v>523</v>
      </c>
      <c r="I1380" s="3"/>
      <c r="J1380" s="3" t="s">
        <v>2276</v>
      </c>
      <c r="K1380" s="3" t="s">
        <v>2276</v>
      </c>
      <c r="L1380" s="3" t="s">
        <v>2276</v>
      </c>
      <c r="M1380" s="3" t="s">
        <v>2276</v>
      </c>
      <c r="N1380" s="3" t="s">
        <v>2276</v>
      </c>
      <c r="O1380" s="3" t="s">
        <v>2276</v>
      </c>
      <c r="P1380" s="3" t="s">
        <v>2276</v>
      </c>
      <c r="Q1380" s="3" t="s">
        <v>2276</v>
      </c>
      <c r="R1380" s="3" t="s">
        <v>2276</v>
      </c>
      <c r="S1380" s="3" t="s">
        <v>2276</v>
      </c>
      <c r="T1380" s="3" t="s">
        <v>2276</v>
      </c>
      <c r="U1380" s="3" t="s">
        <v>2276</v>
      </c>
      <c r="V1380" s="3" t="s">
        <v>2276</v>
      </c>
      <c r="W1380" s="3" t="s">
        <v>2276</v>
      </c>
      <c r="X1380" s="3" t="s">
        <v>2276</v>
      </c>
      <c r="Y1380" s="3" t="s">
        <v>2276</v>
      </c>
      <c r="Z1380" s="3" t="s">
        <v>2276</v>
      </c>
      <c r="AA1380" s="3" t="s">
        <v>2276</v>
      </c>
      <c r="AB1380" s="3" t="s">
        <v>2276</v>
      </c>
      <c r="AC1380" s="4" t="s">
        <v>4145</v>
      </c>
      <c r="AD1380" s="3"/>
    </row>
    <row r="1381" spans="1:30" ht="47.5" customHeight="1">
      <c r="A1381" s="11" t="s">
        <v>4146</v>
      </c>
      <c r="B1381" s="11" t="s">
        <v>4154</v>
      </c>
      <c r="C1381" s="3" t="s">
        <v>24</v>
      </c>
      <c r="D1381" s="3" t="s">
        <v>27</v>
      </c>
      <c r="E1381" s="4" t="s">
        <v>3854</v>
      </c>
      <c r="F1381" s="4" t="s">
        <v>2662</v>
      </c>
      <c r="G1381" s="3" t="s">
        <v>2276</v>
      </c>
      <c r="H1381" s="3" t="s">
        <v>523</v>
      </c>
      <c r="I1381" s="3"/>
      <c r="J1381" s="3" t="s">
        <v>2276</v>
      </c>
      <c r="K1381" s="3" t="s">
        <v>2276</v>
      </c>
      <c r="L1381" s="3" t="s">
        <v>2276</v>
      </c>
      <c r="M1381" s="3" t="s">
        <v>2276</v>
      </c>
      <c r="N1381" s="3" t="s">
        <v>2276</v>
      </c>
      <c r="O1381" s="3" t="s">
        <v>2276</v>
      </c>
      <c r="P1381" s="3" t="s">
        <v>2276</v>
      </c>
      <c r="Q1381" s="3" t="s">
        <v>2276</v>
      </c>
      <c r="R1381" s="3" t="s">
        <v>2276</v>
      </c>
      <c r="S1381" s="3" t="s">
        <v>2276</v>
      </c>
      <c r="T1381" s="3" t="s">
        <v>2276</v>
      </c>
      <c r="U1381" s="3" t="s">
        <v>2276</v>
      </c>
      <c r="V1381" s="3" t="s">
        <v>2276</v>
      </c>
      <c r="W1381" s="3" t="s">
        <v>2276</v>
      </c>
      <c r="X1381" s="3" t="s">
        <v>2276</v>
      </c>
      <c r="Y1381" s="3" t="s">
        <v>2276</v>
      </c>
      <c r="Z1381" s="3" t="s">
        <v>405</v>
      </c>
      <c r="AA1381" s="3" t="s">
        <v>68</v>
      </c>
      <c r="AB1381" s="3" t="s">
        <v>64</v>
      </c>
      <c r="AC1381" s="4" t="s">
        <v>4185</v>
      </c>
      <c r="AD1381" s="3"/>
    </row>
    <row r="1382" spans="1:30" ht="49.5" customHeight="1">
      <c r="A1382" s="11" t="s">
        <v>4146</v>
      </c>
      <c r="B1382" s="11" t="s">
        <v>4155</v>
      </c>
      <c r="C1382" s="3" t="s">
        <v>24</v>
      </c>
      <c r="D1382" s="3" t="s">
        <v>25</v>
      </c>
      <c r="E1382" s="4" t="s">
        <v>3854</v>
      </c>
      <c r="F1382" s="4" t="s">
        <v>2662</v>
      </c>
      <c r="G1382" s="3" t="s">
        <v>2276</v>
      </c>
      <c r="H1382" s="3" t="s">
        <v>523</v>
      </c>
      <c r="I1382" s="3"/>
      <c r="J1382" s="3" t="s">
        <v>2276</v>
      </c>
      <c r="K1382" s="3" t="s">
        <v>2276</v>
      </c>
      <c r="L1382" s="3" t="s">
        <v>2276</v>
      </c>
      <c r="M1382" s="3" t="s">
        <v>2276</v>
      </c>
      <c r="N1382" s="3" t="s">
        <v>2276</v>
      </c>
      <c r="O1382" s="3" t="s">
        <v>2276</v>
      </c>
      <c r="P1382" s="3" t="s">
        <v>2276</v>
      </c>
      <c r="Q1382" s="3" t="s">
        <v>2276</v>
      </c>
      <c r="R1382" s="3" t="s">
        <v>2276</v>
      </c>
      <c r="S1382" s="3" t="s">
        <v>2276</v>
      </c>
      <c r="T1382" s="3" t="s">
        <v>2276</v>
      </c>
      <c r="U1382" s="3" t="s">
        <v>2276</v>
      </c>
      <c r="V1382" s="3" t="s">
        <v>2276</v>
      </c>
      <c r="W1382" s="3" t="s">
        <v>2276</v>
      </c>
      <c r="X1382" s="3" t="s">
        <v>2276</v>
      </c>
      <c r="Y1382" s="3" t="s">
        <v>2276</v>
      </c>
      <c r="Z1382" s="3" t="s">
        <v>86</v>
      </c>
      <c r="AA1382" s="3" t="s">
        <v>425</v>
      </c>
      <c r="AB1382" s="3" t="s">
        <v>76</v>
      </c>
      <c r="AC1382" s="4" t="s">
        <v>4185</v>
      </c>
      <c r="AD1382" s="3"/>
    </row>
    <row r="1383" spans="1:30" ht="52.5" customHeight="1">
      <c r="A1383" s="11" t="s">
        <v>4146</v>
      </c>
      <c r="B1383" s="11" t="s">
        <v>4156</v>
      </c>
      <c r="C1383" s="3" t="s">
        <v>24</v>
      </c>
      <c r="D1383" s="3" t="s">
        <v>26</v>
      </c>
      <c r="E1383" s="4" t="s">
        <v>3854</v>
      </c>
      <c r="F1383" s="4" t="s">
        <v>2662</v>
      </c>
      <c r="G1383" s="3" t="s">
        <v>2276</v>
      </c>
      <c r="H1383" s="3" t="s">
        <v>523</v>
      </c>
      <c r="I1383" s="3"/>
      <c r="J1383" s="3" t="s">
        <v>2276</v>
      </c>
      <c r="K1383" s="3" t="s">
        <v>2276</v>
      </c>
      <c r="L1383" s="3" t="s">
        <v>2276</v>
      </c>
      <c r="M1383" s="3" t="s">
        <v>2276</v>
      </c>
      <c r="N1383" s="3" t="s">
        <v>2276</v>
      </c>
      <c r="O1383" s="3" t="s">
        <v>2276</v>
      </c>
      <c r="P1383" s="3" t="s">
        <v>2276</v>
      </c>
      <c r="Q1383" s="3" t="s">
        <v>2276</v>
      </c>
      <c r="R1383" s="3" t="s">
        <v>2276</v>
      </c>
      <c r="S1383" s="3" t="s">
        <v>2276</v>
      </c>
      <c r="T1383" s="3" t="s">
        <v>2276</v>
      </c>
      <c r="U1383" s="3" t="s">
        <v>2276</v>
      </c>
      <c r="V1383" s="3" t="s">
        <v>2276</v>
      </c>
      <c r="W1383" s="3" t="s">
        <v>2276</v>
      </c>
      <c r="X1383" s="3" t="s">
        <v>2276</v>
      </c>
      <c r="Y1383" s="3" t="s">
        <v>2276</v>
      </c>
      <c r="Z1383" s="3" t="s">
        <v>86</v>
      </c>
      <c r="AA1383" s="3" t="s">
        <v>68</v>
      </c>
      <c r="AB1383" s="3" t="s">
        <v>64</v>
      </c>
      <c r="AC1383" s="4" t="s">
        <v>4189</v>
      </c>
      <c r="AD1383" s="3"/>
    </row>
    <row r="1384" spans="1:30" ht="52.5" customHeight="1">
      <c r="A1384" s="11" t="s">
        <v>4146</v>
      </c>
      <c r="B1384" s="11" t="s">
        <v>4157</v>
      </c>
      <c r="C1384" s="3" t="s">
        <v>24</v>
      </c>
      <c r="D1384" s="3" t="s">
        <v>2659</v>
      </c>
      <c r="E1384" s="4" t="s">
        <v>3854</v>
      </c>
      <c r="F1384" s="4" t="s">
        <v>28</v>
      </c>
      <c r="G1384" s="3" t="s">
        <v>2276</v>
      </c>
      <c r="H1384" s="3" t="s">
        <v>523</v>
      </c>
      <c r="I1384" s="3"/>
      <c r="J1384" s="3" t="s">
        <v>2276</v>
      </c>
      <c r="K1384" s="3" t="s">
        <v>2276</v>
      </c>
      <c r="L1384" s="3" t="s">
        <v>2276</v>
      </c>
      <c r="M1384" s="3" t="s">
        <v>2276</v>
      </c>
      <c r="N1384" s="3" t="s">
        <v>2276</v>
      </c>
      <c r="O1384" s="3" t="s">
        <v>2276</v>
      </c>
      <c r="P1384" s="3" t="s">
        <v>2276</v>
      </c>
      <c r="Q1384" s="3" t="s">
        <v>2276</v>
      </c>
      <c r="R1384" s="3" t="s">
        <v>2276</v>
      </c>
      <c r="S1384" s="3" t="s">
        <v>2276</v>
      </c>
      <c r="T1384" s="3" t="s">
        <v>2276</v>
      </c>
      <c r="U1384" s="3" t="s">
        <v>2276</v>
      </c>
      <c r="V1384" s="3" t="s">
        <v>2276</v>
      </c>
      <c r="W1384" s="3" t="s">
        <v>2276</v>
      </c>
      <c r="X1384" s="3" t="s">
        <v>2276</v>
      </c>
      <c r="Y1384" s="3" t="s">
        <v>2276</v>
      </c>
      <c r="Z1384" s="3" t="s">
        <v>425</v>
      </c>
      <c r="AA1384" s="3" t="s">
        <v>68</v>
      </c>
      <c r="AB1384" s="3" t="s">
        <v>64</v>
      </c>
      <c r="AC1384" s="4" t="s">
        <v>4185</v>
      </c>
      <c r="AD1384" s="3"/>
    </row>
    <row r="1385" spans="1:30" ht="58.5" customHeight="1">
      <c r="A1385" s="11" t="s">
        <v>4146</v>
      </c>
      <c r="B1385" s="11" t="s">
        <v>4158</v>
      </c>
      <c r="C1385" s="3" t="s">
        <v>24</v>
      </c>
      <c r="D1385" s="3" t="s">
        <v>143</v>
      </c>
      <c r="E1385" s="4" t="s">
        <v>3854</v>
      </c>
      <c r="F1385" s="4" t="s">
        <v>74</v>
      </c>
      <c r="G1385" s="3" t="s">
        <v>2276</v>
      </c>
      <c r="H1385" s="3" t="s">
        <v>523</v>
      </c>
      <c r="I1385" s="3"/>
      <c r="J1385" s="3" t="s">
        <v>2276</v>
      </c>
      <c r="K1385" s="3" t="s">
        <v>2276</v>
      </c>
      <c r="L1385" s="3" t="s">
        <v>2276</v>
      </c>
      <c r="M1385" s="3" t="s">
        <v>2276</v>
      </c>
      <c r="N1385" s="3" t="s">
        <v>2276</v>
      </c>
      <c r="O1385" s="3" t="s">
        <v>2276</v>
      </c>
      <c r="P1385" s="3" t="s">
        <v>2276</v>
      </c>
      <c r="Q1385" s="3" t="s">
        <v>2276</v>
      </c>
      <c r="R1385" s="3" t="s">
        <v>2276</v>
      </c>
      <c r="S1385" s="3" t="s">
        <v>2276</v>
      </c>
      <c r="T1385" s="3" t="s">
        <v>2276</v>
      </c>
      <c r="U1385" s="3" t="s">
        <v>2276</v>
      </c>
      <c r="V1385" s="3" t="s">
        <v>2276</v>
      </c>
      <c r="W1385" s="3" t="s">
        <v>2276</v>
      </c>
      <c r="X1385" s="3" t="s">
        <v>2276</v>
      </c>
      <c r="Y1385" s="3" t="s">
        <v>2276</v>
      </c>
      <c r="Z1385" s="3" t="s">
        <v>404</v>
      </c>
      <c r="AA1385" s="3" t="s">
        <v>68</v>
      </c>
      <c r="AB1385" s="3" t="s">
        <v>64</v>
      </c>
      <c r="AC1385" s="4" t="s">
        <v>4190</v>
      </c>
      <c r="AD1385" s="3"/>
    </row>
    <row r="1386" spans="1:30" ht="53.5" customHeight="1">
      <c r="A1386" s="11" t="s">
        <v>4146</v>
      </c>
      <c r="B1386" s="11" t="s">
        <v>4159</v>
      </c>
      <c r="C1386" s="3" t="s">
        <v>24</v>
      </c>
      <c r="D1386" s="3" t="s">
        <v>1245</v>
      </c>
      <c r="E1386" s="4" t="s">
        <v>3854</v>
      </c>
      <c r="F1386" s="4" t="s">
        <v>2662</v>
      </c>
      <c r="G1386" s="3" t="s">
        <v>2276</v>
      </c>
      <c r="H1386" s="3" t="s">
        <v>523</v>
      </c>
      <c r="I1386" s="3"/>
      <c r="J1386" s="3" t="s">
        <v>2276</v>
      </c>
      <c r="K1386" s="3" t="s">
        <v>2276</v>
      </c>
      <c r="L1386" s="3" t="s">
        <v>2276</v>
      </c>
      <c r="M1386" s="3" t="s">
        <v>2276</v>
      </c>
      <c r="N1386" s="3" t="s">
        <v>2276</v>
      </c>
      <c r="O1386" s="3" t="s">
        <v>2276</v>
      </c>
      <c r="P1386" s="3" t="s">
        <v>2276</v>
      </c>
      <c r="Q1386" s="3" t="s">
        <v>2276</v>
      </c>
      <c r="R1386" s="3" t="s">
        <v>2276</v>
      </c>
      <c r="S1386" s="3" t="s">
        <v>2276</v>
      </c>
      <c r="T1386" s="3" t="s">
        <v>2276</v>
      </c>
      <c r="U1386" s="3" t="s">
        <v>2276</v>
      </c>
      <c r="V1386" s="3" t="s">
        <v>2276</v>
      </c>
      <c r="W1386" s="3" t="s">
        <v>2276</v>
      </c>
      <c r="X1386" s="3" t="s">
        <v>2276</v>
      </c>
      <c r="Y1386" s="3" t="s">
        <v>2276</v>
      </c>
      <c r="Z1386" s="3" t="s">
        <v>404</v>
      </c>
      <c r="AA1386" s="3" t="s">
        <v>68</v>
      </c>
      <c r="AB1386" s="3" t="s">
        <v>76</v>
      </c>
      <c r="AC1386" s="4" t="s">
        <v>4191</v>
      </c>
      <c r="AD1386" s="3"/>
    </row>
    <row r="1387" spans="1:30" ht="53.5" customHeight="1">
      <c r="A1387" s="11" t="s">
        <v>4146</v>
      </c>
      <c r="B1387" s="11" t="s">
        <v>4160</v>
      </c>
      <c r="C1387" s="3" t="s">
        <v>24</v>
      </c>
      <c r="D1387" s="3" t="s">
        <v>3476</v>
      </c>
      <c r="E1387" s="19" t="s">
        <v>863</v>
      </c>
      <c r="F1387" s="4" t="s">
        <v>2662</v>
      </c>
      <c r="G1387" s="3" t="s">
        <v>2276</v>
      </c>
      <c r="H1387" s="3" t="s">
        <v>523</v>
      </c>
      <c r="I1387" s="3"/>
      <c r="J1387" s="3" t="s">
        <v>2276</v>
      </c>
      <c r="K1387" s="3" t="s">
        <v>2276</v>
      </c>
      <c r="L1387" s="3" t="s">
        <v>2276</v>
      </c>
      <c r="M1387" s="3" t="s">
        <v>2276</v>
      </c>
      <c r="N1387" s="3" t="s">
        <v>2276</v>
      </c>
      <c r="O1387" s="3" t="s">
        <v>2276</v>
      </c>
      <c r="P1387" s="3" t="s">
        <v>2276</v>
      </c>
      <c r="Q1387" s="3" t="s">
        <v>2276</v>
      </c>
      <c r="R1387" s="3" t="s">
        <v>2276</v>
      </c>
      <c r="S1387" s="3" t="s">
        <v>2276</v>
      </c>
      <c r="T1387" s="3" t="s">
        <v>2276</v>
      </c>
      <c r="U1387" s="3" t="s">
        <v>2276</v>
      </c>
      <c r="V1387" s="3" t="s">
        <v>2276</v>
      </c>
      <c r="W1387" s="3" t="s">
        <v>2276</v>
      </c>
      <c r="X1387" s="3" t="s">
        <v>2276</v>
      </c>
      <c r="Y1387" s="3" t="s">
        <v>2276</v>
      </c>
      <c r="Z1387" s="3" t="s">
        <v>34</v>
      </c>
      <c r="AA1387" s="3" t="s">
        <v>425</v>
      </c>
      <c r="AB1387" s="3" t="s">
        <v>64</v>
      </c>
      <c r="AC1387" s="4" t="s">
        <v>4185</v>
      </c>
      <c r="AD1387" s="3"/>
    </row>
    <row r="1388" spans="1:30" ht="41.5" customHeight="1">
      <c r="A1388" s="11" t="s">
        <v>4146</v>
      </c>
      <c r="B1388" s="11" t="s">
        <v>4161</v>
      </c>
      <c r="C1388" s="3" t="s">
        <v>2458</v>
      </c>
      <c r="D1388" s="3" t="s">
        <v>3476</v>
      </c>
      <c r="E1388" s="19" t="s">
        <v>863</v>
      </c>
      <c r="F1388" s="4" t="s">
        <v>2662</v>
      </c>
      <c r="G1388" s="3" t="s">
        <v>2276</v>
      </c>
      <c r="H1388" s="3" t="s">
        <v>523</v>
      </c>
      <c r="I1388" s="3"/>
      <c r="J1388" s="3" t="s">
        <v>2276</v>
      </c>
      <c r="K1388" s="3" t="s">
        <v>2276</v>
      </c>
      <c r="L1388" s="3" t="s">
        <v>2276</v>
      </c>
      <c r="M1388" s="3" t="s">
        <v>2276</v>
      </c>
      <c r="N1388" s="3" t="s">
        <v>2276</v>
      </c>
      <c r="O1388" s="3" t="s">
        <v>2276</v>
      </c>
      <c r="P1388" s="3" t="s">
        <v>2276</v>
      </c>
      <c r="Q1388" s="3" t="s">
        <v>2276</v>
      </c>
      <c r="R1388" s="3" t="s">
        <v>2276</v>
      </c>
      <c r="S1388" s="3" t="s">
        <v>2276</v>
      </c>
      <c r="T1388" s="3" t="s">
        <v>2276</v>
      </c>
      <c r="U1388" s="3" t="s">
        <v>2276</v>
      </c>
      <c r="V1388" s="3" t="s">
        <v>2276</v>
      </c>
      <c r="W1388" s="3" t="s">
        <v>2276</v>
      </c>
      <c r="X1388" s="3" t="s">
        <v>2276</v>
      </c>
      <c r="Y1388" s="3" t="s">
        <v>2276</v>
      </c>
      <c r="Z1388" s="3" t="s">
        <v>34</v>
      </c>
      <c r="AA1388" s="3" t="s">
        <v>425</v>
      </c>
      <c r="AB1388" s="3" t="s">
        <v>64</v>
      </c>
      <c r="AC1388" s="3"/>
      <c r="AD1388" s="3"/>
    </row>
    <row r="1389" spans="1:30" ht="41.5" customHeight="1">
      <c r="A1389" s="11" t="s">
        <v>4146</v>
      </c>
      <c r="B1389" s="11" t="s">
        <v>4163</v>
      </c>
      <c r="C1389" s="3" t="s">
        <v>24</v>
      </c>
      <c r="D1389" s="3" t="s">
        <v>4162</v>
      </c>
      <c r="E1389" s="19" t="s">
        <v>863</v>
      </c>
      <c r="F1389" s="4" t="s">
        <v>2662</v>
      </c>
      <c r="G1389" s="3" t="s">
        <v>2276</v>
      </c>
      <c r="H1389" s="3" t="s">
        <v>523</v>
      </c>
      <c r="I1389" s="3"/>
      <c r="J1389" s="3" t="s">
        <v>2276</v>
      </c>
      <c r="K1389" s="3" t="s">
        <v>2276</v>
      </c>
      <c r="L1389" s="3" t="s">
        <v>2276</v>
      </c>
      <c r="M1389" s="3" t="s">
        <v>2276</v>
      </c>
      <c r="N1389" s="3" t="s">
        <v>2276</v>
      </c>
      <c r="O1389" s="3" t="s">
        <v>2276</v>
      </c>
      <c r="P1389" s="3" t="s">
        <v>2276</v>
      </c>
      <c r="Q1389" s="3" t="s">
        <v>2276</v>
      </c>
      <c r="R1389" s="3" t="s">
        <v>2276</v>
      </c>
      <c r="S1389" s="3" t="s">
        <v>2276</v>
      </c>
      <c r="T1389" s="3" t="s">
        <v>2276</v>
      </c>
      <c r="U1389" s="3" t="s">
        <v>2276</v>
      </c>
      <c r="V1389" s="3" t="s">
        <v>2276</v>
      </c>
      <c r="W1389" s="3" t="s">
        <v>2276</v>
      </c>
      <c r="X1389" s="3" t="s">
        <v>2276</v>
      </c>
      <c r="Y1389" s="3" t="s">
        <v>2276</v>
      </c>
      <c r="Z1389" s="3" t="s">
        <v>34</v>
      </c>
      <c r="AA1389" s="3" t="s">
        <v>68</v>
      </c>
      <c r="AB1389" s="3" t="s">
        <v>76</v>
      </c>
      <c r="AC1389" s="4" t="s">
        <v>4189</v>
      </c>
      <c r="AD1389" s="3"/>
    </row>
    <row r="1390" spans="1:30" ht="53" customHeight="1">
      <c r="A1390" s="11" t="s">
        <v>4146</v>
      </c>
      <c r="B1390" s="11" t="s">
        <v>4166</v>
      </c>
      <c r="C1390" s="3" t="s">
        <v>24</v>
      </c>
      <c r="D1390" s="3" t="s">
        <v>2341</v>
      </c>
      <c r="E1390" s="4" t="s">
        <v>3854</v>
      </c>
      <c r="F1390" s="4" t="s">
        <v>2662</v>
      </c>
      <c r="G1390" s="3" t="s">
        <v>2276</v>
      </c>
      <c r="H1390" s="3" t="s">
        <v>523</v>
      </c>
      <c r="I1390" s="3"/>
      <c r="J1390" s="3" t="s">
        <v>2276</v>
      </c>
      <c r="K1390" s="3" t="s">
        <v>2276</v>
      </c>
      <c r="L1390" s="3" t="s">
        <v>2276</v>
      </c>
      <c r="M1390" s="3" t="s">
        <v>2276</v>
      </c>
      <c r="N1390" s="3" t="s">
        <v>2276</v>
      </c>
      <c r="O1390" s="3" t="s">
        <v>2276</v>
      </c>
      <c r="P1390" s="3" t="s">
        <v>2276</v>
      </c>
      <c r="Q1390" s="3" t="s">
        <v>2276</v>
      </c>
      <c r="R1390" s="3" t="s">
        <v>2276</v>
      </c>
      <c r="S1390" s="3" t="s">
        <v>2276</v>
      </c>
      <c r="T1390" s="3" t="s">
        <v>2276</v>
      </c>
      <c r="U1390" s="3" t="s">
        <v>2276</v>
      </c>
      <c r="V1390" s="3" t="s">
        <v>2276</v>
      </c>
      <c r="W1390" s="3" t="s">
        <v>2276</v>
      </c>
      <c r="X1390" s="3" t="s">
        <v>2276</v>
      </c>
      <c r="Y1390" s="3" t="s">
        <v>2276</v>
      </c>
      <c r="Z1390" s="3" t="s">
        <v>86</v>
      </c>
      <c r="AA1390" s="3" t="s">
        <v>68</v>
      </c>
      <c r="AB1390" s="3" t="s">
        <v>64</v>
      </c>
      <c r="AC1390" s="4" t="s">
        <v>4193</v>
      </c>
      <c r="AD1390" s="3"/>
    </row>
    <row r="1391" spans="1:30" ht="40.5" customHeight="1">
      <c r="A1391" s="11" t="s">
        <v>4146</v>
      </c>
      <c r="B1391" s="11" t="s">
        <v>4177</v>
      </c>
      <c r="C1391" s="3" t="s">
        <v>24</v>
      </c>
      <c r="D1391" s="3" t="s">
        <v>3480</v>
      </c>
      <c r="E1391" s="19" t="s">
        <v>863</v>
      </c>
      <c r="F1391" s="4" t="s">
        <v>74</v>
      </c>
      <c r="G1391" s="3" t="s">
        <v>2276</v>
      </c>
      <c r="H1391" s="3" t="s">
        <v>523</v>
      </c>
      <c r="I1391" s="3"/>
      <c r="J1391" s="3" t="s">
        <v>2276</v>
      </c>
      <c r="K1391" s="3" t="s">
        <v>2276</v>
      </c>
      <c r="L1391" s="3" t="s">
        <v>2276</v>
      </c>
      <c r="M1391" s="3" t="s">
        <v>2276</v>
      </c>
      <c r="N1391" s="3" t="s">
        <v>2276</v>
      </c>
      <c r="O1391" s="3" t="s">
        <v>2276</v>
      </c>
      <c r="P1391" s="3" t="s">
        <v>2276</v>
      </c>
      <c r="Q1391" s="3" t="s">
        <v>2276</v>
      </c>
      <c r="R1391" s="3" t="s">
        <v>2276</v>
      </c>
      <c r="S1391" s="3" t="s">
        <v>2276</v>
      </c>
      <c r="T1391" s="3" t="s">
        <v>2276</v>
      </c>
      <c r="U1391" s="3" t="s">
        <v>2276</v>
      </c>
      <c r="V1391" s="3" t="s">
        <v>2276</v>
      </c>
      <c r="W1391" s="3" t="s">
        <v>2276</v>
      </c>
      <c r="X1391" s="3" t="s">
        <v>2276</v>
      </c>
      <c r="Y1391" s="3" t="s">
        <v>2276</v>
      </c>
      <c r="Z1391" s="3" t="s">
        <v>86</v>
      </c>
      <c r="AA1391" s="3" t="s">
        <v>34</v>
      </c>
      <c r="AB1391" s="3" t="s">
        <v>64</v>
      </c>
      <c r="AC1391" s="4" t="s">
        <v>4192</v>
      </c>
      <c r="AD1391" s="3"/>
    </row>
    <row r="1392" spans="1:30" ht="59" customHeight="1">
      <c r="A1392" s="11" t="s">
        <v>4146</v>
      </c>
      <c r="B1392" s="11" t="s">
        <v>4180</v>
      </c>
      <c r="C1392" s="3" t="s">
        <v>24</v>
      </c>
      <c r="D1392" s="3" t="s">
        <v>2346</v>
      </c>
      <c r="E1392" s="19" t="s">
        <v>3854</v>
      </c>
      <c r="F1392" s="4" t="s">
        <v>74</v>
      </c>
      <c r="G1392" s="3" t="s">
        <v>2276</v>
      </c>
      <c r="H1392" s="3" t="s">
        <v>523</v>
      </c>
      <c r="I1392" s="3"/>
      <c r="J1392" s="3" t="s">
        <v>2276</v>
      </c>
      <c r="K1392" s="3" t="s">
        <v>2276</v>
      </c>
      <c r="L1392" s="3" t="s">
        <v>2276</v>
      </c>
      <c r="M1392" s="3" t="s">
        <v>2276</v>
      </c>
      <c r="N1392" s="3" t="s">
        <v>2276</v>
      </c>
      <c r="O1392" s="3" t="s">
        <v>2276</v>
      </c>
      <c r="P1392" s="3" t="s">
        <v>2276</v>
      </c>
      <c r="Q1392" s="3" t="s">
        <v>2276</v>
      </c>
      <c r="R1392" s="3" t="s">
        <v>2276</v>
      </c>
      <c r="S1392" s="3" t="s">
        <v>2276</v>
      </c>
      <c r="T1392" s="3" t="s">
        <v>2276</v>
      </c>
      <c r="U1392" s="3" t="s">
        <v>2276</v>
      </c>
      <c r="V1392" s="3" t="s">
        <v>2276</v>
      </c>
      <c r="W1392" s="3" t="s">
        <v>2276</v>
      </c>
      <c r="X1392" s="3" t="s">
        <v>2276</v>
      </c>
      <c r="Y1392" s="3" t="s">
        <v>2276</v>
      </c>
      <c r="Z1392" s="3" t="s">
        <v>2276</v>
      </c>
      <c r="AA1392" s="3" t="s">
        <v>2276</v>
      </c>
      <c r="AB1392" s="3" t="s">
        <v>2276</v>
      </c>
      <c r="AC1392" s="4" t="s">
        <v>4188</v>
      </c>
      <c r="AD1392" s="3"/>
    </row>
    <row r="1393" spans="1:30" ht="53" customHeight="1">
      <c r="A1393" s="11" t="s">
        <v>4146</v>
      </c>
      <c r="B1393" s="11" t="s">
        <v>4183</v>
      </c>
      <c r="C1393" s="3" t="s">
        <v>2458</v>
      </c>
      <c r="D1393" s="3" t="s">
        <v>2994</v>
      </c>
      <c r="E1393" s="19" t="s">
        <v>3854</v>
      </c>
      <c r="F1393" s="4" t="s">
        <v>2276</v>
      </c>
      <c r="G1393" s="3" t="s">
        <v>2276</v>
      </c>
      <c r="H1393" s="3" t="s">
        <v>523</v>
      </c>
      <c r="I1393" s="3"/>
      <c r="J1393" s="3" t="s">
        <v>2276</v>
      </c>
      <c r="K1393" s="3" t="s">
        <v>2276</v>
      </c>
      <c r="L1393" s="3" t="s">
        <v>2276</v>
      </c>
      <c r="M1393" s="3" t="s">
        <v>2276</v>
      </c>
      <c r="N1393" s="3" t="s">
        <v>2276</v>
      </c>
      <c r="O1393" s="3" t="s">
        <v>2276</v>
      </c>
      <c r="P1393" s="3" t="s">
        <v>2276</v>
      </c>
      <c r="Q1393" s="3" t="s">
        <v>2276</v>
      </c>
      <c r="R1393" s="3" t="s">
        <v>2276</v>
      </c>
      <c r="S1393" s="3" t="s">
        <v>2276</v>
      </c>
      <c r="T1393" s="3" t="s">
        <v>2276</v>
      </c>
      <c r="U1393" s="3" t="s">
        <v>2276</v>
      </c>
      <c r="V1393" s="3" t="s">
        <v>2276</v>
      </c>
      <c r="W1393" s="3" t="s">
        <v>2276</v>
      </c>
      <c r="X1393" s="3" t="s">
        <v>2276</v>
      </c>
      <c r="Y1393" s="3" t="s">
        <v>2276</v>
      </c>
      <c r="Z1393" s="3" t="s">
        <v>399</v>
      </c>
      <c r="AA1393" s="3" t="s">
        <v>127</v>
      </c>
      <c r="AB1393" s="3" t="s">
        <v>2312</v>
      </c>
      <c r="AC1393" s="4" t="s">
        <v>4186</v>
      </c>
      <c r="AD1393" s="3"/>
    </row>
    <row r="1394" spans="1:30" ht="51" customHeight="1">
      <c r="A1394" s="11" t="s">
        <v>4146</v>
      </c>
      <c r="B1394" s="11" t="s">
        <v>4184</v>
      </c>
      <c r="C1394" s="3" t="s">
        <v>2458</v>
      </c>
      <c r="D1394" s="3" t="s">
        <v>2994</v>
      </c>
      <c r="E1394" s="19" t="s">
        <v>863</v>
      </c>
      <c r="F1394" s="4" t="s">
        <v>2276</v>
      </c>
      <c r="G1394" s="3" t="s">
        <v>2276</v>
      </c>
      <c r="H1394" s="3" t="s">
        <v>523</v>
      </c>
      <c r="I1394" s="3"/>
      <c r="J1394" s="3" t="s">
        <v>2276</v>
      </c>
      <c r="K1394" s="3" t="s">
        <v>2276</v>
      </c>
      <c r="L1394" s="3" t="s">
        <v>2276</v>
      </c>
      <c r="M1394" s="3" t="s">
        <v>2276</v>
      </c>
      <c r="N1394" s="3" t="s">
        <v>2276</v>
      </c>
      <c r="O1394" s="3" t="s">
        <v>2276</v>
      </c>
      <c r="P1394" s="3" t="s">
        <v>2276</v>
      </c>
      <c r="Q1394" s="3" t="s">
        <v>2276</v>
      </c>
      <c r="R1394" s="3" t="s">
        <v>2276</v>
      </c>
      <c r="S1394" s="3" t="s">
        <v>2276</v>
      </c>
      <c r="T1394" s="3" t="s">
        <v>2276</v>
      </c>
      <c r="U1394" s="3" t="s">
        <v>2276</v>
      </c>
      <c r="V1394" s="3" t="s">
        <v>2276</v>
      </c>
      <c r="W1394" s="3" t="s">
        <v>2276</v>
      </c>
      <c r="X1394" s="3" t="s">
        <v>2276</v>
      </c>
      <c r="Y1394" s="3" t="s">
        <v>2276</v>
      </c>
      <c r="Z1394" s="3" t="s">
        <v>399</v>
      </c>
      <c r="AA1394" s="3" t="s">
        <v>127</v>
      </c>
      <c r="AB1394" s="3" t="s">
        <v>2312</v>
      </c>
      <c r="AC1394" s="4" t="s">
        <v>4186</v>
      </c>
      <c r="AD1394" s="3"/>
    </row>
    <row r="1395" spans="1:30" ht="40" customHeight="1">
      <c r="A1395" s="11" t="s">
        <v>4147</v>
      </c>
      <c r="B1395" s="11" t="s">
        <v>4164</v>
      </c>
      <c r="C1395" s="3" t="s">
        <v>24</v>
      </c>
      <c r="D1395" s="3" t="s">
        <v>25</v>
      </c>
      <c r="E1395" s="19" t="s">
        <v>5005</v>
      </c>
      <c r="F1395" s="4" t="s">
        <v>2662</v>
      </c>
      <c r="G1395" s="3" t="s">
        <v>2276</v>
      </c>
      <c r="H1395" s="3" t="s">
        <v>523</v>
      </c>
      <c r="I1395" s="3"/>
      <c r="J1395" s="3" t="s">
        <v>2276</v>
      </c>
      <c r="K1395" s="3" t="s">
        <v>2276</v>
      </c>
      <c r="L1395" s="3" t="s">
        <v>2276</v>
      </c>
      <c r="M1395" s="3" t="s">
        <v>2276</v>
      </c>
      <c r="N1395" s="3" t="s">
        <v>2276</v>
      </c>
      <c r="O1395" s="3" t="s">
        <v>2276</v>
      </c>
      <c r="P1395" s="3" t="s">
        <v>2276</v>
      </c>
      <c r="Q1395" s="3" t="s">
        <v>2276</v>
      </c>
      <c r="R1395" s="3" t="s">
        <v>2276</v>
      </c>
      <c r="S1395" s="3" t="s">
        <v>2276</v>
      </c>
      <c r="T1395" s="3" t="s">
        <v>2276</v>
      </c>
      <c r="U1395" s="3" t="s">
        <v>2276</v>
      </c>
      <c r="V1395" s="3" t="s">
        <v>2276</v>
      </c>
      <c r="W1395" s="3" t="s">
        <v>2276</v>
      </c>
      <c r="X1395" s="3" t="s">
        <v>2276</v>
      </c>
      <c r="Y1395" s="3" t="s">
        <v>2276</v>
      </c>
      <c r="Z1395" s="3" t="s">
        <v>404</v>
      </c>
      <c r="AA1395" s="3" t="s">
        <v>425</v>
      </c>
      <c r="AB1395" s="3" t="s">
        <v>64</v>
      </c>
      <c r="AC1395" s="4" t="s">
        <v>4185</v>
      </c>
      <c r="AD1395" s="3"/>
    </row>
    <row r="1396" spans="1:30" ht="40" customHeight="1">
      <c r="A1396" s="11" t="s">
        <v>4147</v>
      </c>
      <c r="B1396" s="11" t="s">
        <v>4165</v>
      </c>
      <c r="C1396" s="3" t="s">
        <v>24</v>
      </c>
      <c r="D1396" s="3" t="s">
        <v>25</v>
      </c>
      <c r="E1396" s="3" t="s">
        <v>45</v>
      </c>
      <c r="F1396" s="4" t="s">
        <v>2662</v>
      </c>
      <c r="G1396" s="3" t="s">
        <v>2276</v>
      </c>
      <c r="H1396" s="3" t="s">
        <v>523</v>
      </c>
      <c r="I1396" s="3"/>
      <c r="J1396" s="3" t="s">
        <v>2276</v>
      </c>
      <c r="K1396" s="3" t="s">
        <v>2276</v>
      </c>
      <c r="L1396" s="3" t="s">
        <v>2276</v>
      </c>
      <c r="M1396" s="3" t="s">
        <v>2276</v>
      </c>
      <c r="N1396" s="3" t="s">
        <v>2276</v>
      </c>
      <c r="O1396" s="3" t="s">
        <v>2276</v>
      </c>
      <c r="P1396" s="3" t="s">
        <v>2276</v>
      </c>
      <c r="Q1396" s="3" t="s">
        <v>2276</v>
      </c>
      <c r="R1396" s="3" t="s">
        <v>2276</v>
      </c>
      <c r="S1396" s="3" t="s">
        <v>2276</v>
      </c>
      <c r="T1396" s="3" t="s">
        <v>2276</v>
      </c>
      <c r="U1396" s="3" t="s">
        <v>2276</v>
      </c>
      <c r="V1396" s="3" t="s">
        <v>2276</v>
      </c>
      <c r="W1396" s="3" t="s">
        <v>2276</v>
      </c>
      <c r="X1396" s="3" t="s">
        <v>2276</v>
      </c>
      <c r="Y1396" s="3" t="s">
        <v>2276</v>
      </c>
      <c r="Z1396" s="3" t="s">
        <v>404</v>
      </c>
      <c r="AA1396" s="3" t="s">
        <v>425</v>
      </c>
      <c r="AB1396" s="3" t="s">
        <v>64</v>
      </c>
      <c r="AC1396" s="4" t="s">
        <v>4185</v>
      </c>
      <c r="AD1396" s="3"/>
    </row>
    <row r="1397" spans="1:30" ht="40" customHeight="1">
      <c r="A1397" s="11" t="s">
        <v>4147</v>
      </c>
      <c r="B1397" s="11" t="s">
        <v>4167</v>
      </c>
      <c r="C1397" s="3" t="s">
        <v>24</v>
      </c>
      <c r="D1397" s="3" t="s">
        <v>26</v>
      </c>
      <c r="E1397" s="19" t="s">
        <v>5005</v>
      </c>
      <c r="F1397" s="4" t="s">
        <v>2662</v>
      </c>
      <c r="G1397" s="3" t="s">
        <v>2276</v>
      </c>
      <c r="H1397" s="3" t="s">
        <v>523</v>
      </c>
      <c r="I1397" s="3"/>
      <c r="J1397" s="3" t="s">
        <v>2276</v>
      </c>
      <c r="K1397" s="3" t="s">
        <v>2276</v>
      </c>
      <c r="L1397" s="3" t="s">
        <v>2276</v>
      </c>
      <c r="M1397" s="3" t="s">
        <v>2276</v>
      </c>
      <c r="N1397" s="3" t="s">
        <v>2276</v>
      </c>
      <c r="O1397" s="3" t="s">
        <v>2276</v>
      </c>
      <c r="P1397" s="3" t="s">
        <v>2276</v>
      </c>
      <c r="Q1397" s="3" t="s">
        <v>2276</v>
      </c>
      <c r="R1397" s="3" t="s">
        <v>2276</v>
      </c>
      <c r="S1397" s="3" t="s">
        <v>2276</v>
      </c>
      <c r="T1397" s="3" t="s">
        <v>2276</v>
      </c>
      <c r="U1397" s="3" t="s">
        <v>2276</v>
      </c>
      <c r="V1397" s="3" t="s">
        <v>2276</v>
      </c>
      <c r="W1397" s="3" t="s">
        <v>2276</v>
      </c>
      <c r="X1397" s="3" t="s">
        <v>2276</v>
      </c>
      <c r="Y1397" s="3" t="s">
        <v>2276</v>
      </c>
      <c r="Z1397" s="3" t="s">
        <v>86</v>
      </c>
      <c r="AA1397" s="3" t="s">
        <v>68</v>
      </c>
      <c r="AB1397" s="3" t="s">
        <v>64</v>
      </c>
      <c r="AC1397" s="4" t="s">
        <v>4185</v>
      </c>
      <c r="AD1397" s="3"/>
    </row>
    <row r="1398" spans="1:30" ht="40" customHeight="1">
      <c r="A1398" s="11" t="s">
        <v>4147</v>
      </c>
      <c r="B1398" s="11" t="s">
        <v>4168</v>
      </c>
      <c r="C1398" s="3" t="s">
        <v>24</v>
      </c>
      <c r="D1398" s="3" t="s">
        <v>26</v>
      </c>
      <c r="E1398" s="3" t="s">
        <v>45</v>
      </c>
      <c r="F1398" s="4" t="s">
        <v>2662</v>
      </c>
      <c r="G1398" s="3" t="s">
        <v>2276</v>
      </c>
      <c r="H1398" s="3" t="s">
        <v>523</v>
      </c>
      <c r="I1398" s="3"/>
      <c r="J1398" s="3" t="s">
        <v>2276</v>
      </c>
      <c r="K1398" s="3" t="s">
        <v>2276</v>
      </c>
      <c r="L1398" s="3" t="s">
        <v>2276</v>
      </c>
      <c r="M1398" s="3" t="s">
        <v>2276</v>
      </c>
      <c r="N1398" s="3" t="s">
        <v>2276</v>
      </c>
      <c r="O1398" s="3" t="s">
        <v>2276</v>
      </c>
      <c r="P1398" s="3" t="s">
        <v>2276</v>
      </c>
      <c r="Q1398" s="3" t="s">
        <v>2276</v>
      </c>
      <c r="R1398" s="3" t="s">
        <v>2276</v>
      </c>
      <c r="S1398" s="3" t="s">
        <v>2276</v>
      </c>
      <c r="T1398" s="3" t="s">
        <v>2276</v>
      </c>
      <c r="U1398" s="3" t="s">
        <v>2276</v>
      </c>
      <c r="V1398" s="3" t="s">
        <v>2276</v>
      </c>
      <c r="W1398" s="3" t="s">
        <v>2276</v>
      </c>
      <c r="X1398" s="3" t="s">
        <v>2276</v>
      </c>
      <c r="Y1398" s="3" t="s">
        <v>2276</v>
      </c>
      <c r="Z1398" s="3" t="s">
        <v>86</v>
      </c>
      <c r="AA1398" s="3" t="s">
        <v>68</v>
      </c>
      <c r="AB1398" s="3" t="s">
        <v>64</v>
      </c>
      <c r="AC1398" s="4" t="s">
        <v>4185</v>
      </c>
      <c r="AD1398" s="3"/>
    </row>
    <row r="1399" spans="1:30" ht="51" customHeight="1">
      <c r="A1399" s="11" t="s">
        <v>4147</v>
      </c>
      <c r="B1399" s="11" t="s">
        <v>4169</v>
      </c>
      <c r="C1399" s="3" t="s">
        <v>24</v>
      </c>
      <c r="D1399" s="3" t="s">
        <v>3480</v>
      </c>
      <c r="E1399" s="19" t="s">
        <v>5005</v>
      </c>
      <c r="F1399" s="4" t="s">
        <v>74</v>
      </c>
      <c r="G1399" s="3" t="s">
        <v>2276</v>
      </c>
      <c r="H1399" s="3" t="s">
        <v>523</v>
      </c>
      <c r="I1399" s="3"/>
      <c r="J1399" s="3" t="s">
        <v>2276</v>
      </c>
      <c r="K1399" s="3" t="s">
        <v>2276</v>
      </c>
      <c r="L1399" s="3" t="s">
        <v>2276</v>
      </c>
      <c r="M1399" s="3" t="s">
        <v>2276</v>
      </c>
      <c r="N1399" s="3" t="s">
        <v>2276</v>
      </c>
      <c r="O1399" s="3" t="s">
        <v>2276</v>
      </c>
      <c r="P1399" s="3" t="s">
        <v>2276</v>
      </c>
      <c r="Q1399" s="3" t="s">
        <v>2276</v>
      </c>
      <c r="R1399" s="3" t="s">
        <v>2276</v>
      </c>
      <c r="S1399" s="3" t="s">
        <v>2276</v>
      </c>
      <c r="T1399" s="3" t="s">
        <v>2276</v>
      </c>
      <c r="U1399" s="3" t="s">
        <v>2276</v>
      </c>
      <c r="V1399" s="3" t="s">
        <v>2276</v>
      </c>
      <c r="W1399" s="3" t="s">
        <v>2276</v>
      </c>
      <c r="X1399" s="3" t="s">
        <v>2276</v>
      </c>
      <c r="Y1399" s="3" t="s">
        <v>2276</v>
      </c>
      <c r="Z1399" s="3" t="s">
        <v>86</v>
      </c>
      <c r="AA1399" s="3" t="s">
        <v>404</v>
      </c>
      <c r="AB1399" s="3" t="s">
        <v>64</v>
      </c>
      <c r="AC1399" s="4" t="s">
        <v>4194</v>
      </c>
      <c r="AD1399" s="3"/>
    </row>
    <row r="1400" spans="1:30" ht="52" customHeight="1">
      <c r="A1400" s="11" t="s">
        <v>4147</v>
      </c>
      <c r="B1400" s="11" t="s">
        <v>4170</v>
      </c>
      <c r="C1400" s="3" t="s">
        <v>24</v>
      </c>
      <c r="D1400" s="3" t="s">
        <v>3480</v>
      </c>
      <c r="E1400" s="3" t="s">
        <v>45</v>
      </c>
      <c r="F1400" s="4" t="s">
        <v>74</v>
      </c>
      <c r="G1400" s="3" t="s">
        <v>2276</v>
      </c>
      <c r="H1400" s="3" t="s">
        <v>523</v>
      </c>
      <c r="I1400" s="3"/>
      <c r="J1400" s="3" t="s">
        <v>2276</v>
      </c>
      <c r="K1400" s="3" t="s">
        <v>2276</v>
      </c>
      <c r="L1400" s="3" t="s">
        <v>2276</v>
      </c>
      <c r="M1400" s="3" t="s">
        <v>2276</v>
      </c>
      <c r="N1400" s="3" t="s">
        <v>2276</v>
      </c>
      <c r="O1400" s="3" t="s">
        <v>2276</v>
      </c>
      <c r="P1400" s="3" t="s">
        <v>2276</v>
      </c>
      <c r="Q1400" s="3" t="s">
        <v>2276</v>
      </c>
      <c r="R1400" s="3" t="s">
        <v>2276</v>
      </c>
      <c r="S1400" s="3" t="s">
        <v>2276</v>
      </c>
      <c r="T1400" s="3" t="s">
        <v>2276</v>
      </c>
      <c r="U1400" s="3" t="s">
        <v>2276</v>
      </c>
      <c r="V1400" s="3" t="s">
        <v>2276</v>
      </c>
      <c r="W1400" s="3" t="s">
        <v>2276</v>
      </c>
      <c r="X1400" s="3" t="s">
        <v>2276</v>
      </c>
      <c r="Y1400" s="3" t="s">
        <v>2276</v>
      </c>
      <c r="Z1400" s="3" t="s">
        <v>86</v>
      </c>
      <c r="AA1400" s="3" t="s">
        <v>404</v>
      </c>
      <c r="AB1400" s="3" t="s">
        <v>64</v>
      </c>
      <c r="AC1400" s="4" t="s">
        <v>4194</v>
      </c>
      <c r="AD1400" s="3"/>
    </row>
    <row r="1401" spans="1:30" ht="40" customHeight="1">
      <c r="A1401" s="11" t="s">
        <v>4147</v>
      </c>
      <c r="B1401" s="11" t="s">
        <v>4171</v>
      </c>
      <c r="C1401" s="3" t="s">
        <v>24</v>
      </c>
      <c r="D1401" s="3" t="s">
        <v>4162</v>
      </c>
      <c r="E1401" s="19" t="s">
        <v>5005</v>
      </c>
      <c r="F1401" s="4" t="s">
        <v>74</v>
      </c>
      <c r="G1401" s="3" t="s">
        <v>2276</v>
      </c>
      <c r="H1401" s="3" t="s">
        <v>523</v>
      </c>
      <c r="I1401" s="3"/>
      <c r="J1401" s="3" t="s">
        <v>2276</v>
      </c>
      <c r="K1401" s="3" t="s">
        <v>2276</v>
      </c>
      <c r="L1401" s="3" t="s">
        <v>2276</v>
      </c>
      <c r="M1401" s="3" t="s">
        <v>2276</v>
      </c>
      <c r="N1401" s="3" t="s">
        <v>2276</v>
      </c>
      <c r="O1401" s="3" t="s">
        <v>2276</v>
      </c>
      <c r="P1401" s="3" t="s">
        <v>2276</v>
      </c>
      <c r="Q1401" s="3" t="s">
        <v>2276</v>
      </c>
      <c r="R1401" s="3" t="s">
        <v>2276</v>
      </c>
      <c r="S1401" s="3" t="s">
        <v>2276</v>
      </c>
      <c r="T1401" s="3" t="s">
        <v>2276</v>
      </c>
      <c r="U1401" s="3" t="s">
        <v>2276</v>
      </c>
      <c r="V1401" s="3" t="s">
        <v>2276</v>
      </c>
      <c r="W1401" s="3" t="s">
        <v>2276</v>
      </c>
      <c r="X1401" s="3" t="s">
        <v>2276</v>
      </c>
      <c r="Y1401" s="3" t="s">
        <v>2276</v>
      </c>
      <c r="Z1401" s="3" t="s">
        <v>425</v>
      </c>
      <c r="AA1401" s="3" t="s">
        <v>68</v>
      </c>
      <c r="AB1401" s="3" t="s">
        <v>64</v>
      </c>
      <c r="AC1401" s="4" t="s">
        <v>4195</v>
      </c>
      <c r="AD1401" s="3"/>
    </row>
    <row r="1402" spans="1:30" ht="40" customHeight="1">
      <c r="A1402" s="11" t="s">
        <v>4147</v>
      </c>
      <c r="B1402" s="11" t="s">
        <v>4172</v>
      </c>
      <c r="C1402" s="3" t="s">
        <v>24</v>
      </c>
      <c r="D1402" s="3" t="s">
        <v>4162</v>
      </c>
      <c r="E1402" s="3" t="s">
        <v>45</v>
      </c>
      <c r="F1402" s="4" t="s">
        <v>74</v>
      </c>
      <c r="G1402" s="3" t="s">
        <v>2276</v>
      </c>
      <c r="H1402" s="3" t="s">
        <v>523</v>
      </c>
      <c r="I1402" s="3"/>
      <c r="J1402" s="3" t="s">
        <v>2276</v>
      </c>
      <c r="K1402" s="3" t="s">
        <v>2276</v>
      </c>
      <c r="L1402" s="3" t="s">
        <v>2276</v>
      </c>
      <c r="M1402" s="3" t="s">
        <v>2276</v>
      </c>
      <c r="N1402" s="3" t="s">
        <v>2276</v>
      </c>
      <c r="O1402" s="3" t="s">
        <v>2276</v>
      </c>
      <c r="P1402" s="3" t="s">
        <v>2276</v>
      </c>
      <c r="Q1402" s="3" t="s">
        <v>2276</v>
      </c>
      <c r="R1402" s="3" t="s">
        <v>2276</v>
      </c>
      <c r="S1402" s="3" t="s">
        <v>2276</v>
      </c>
      <c r="T1402" s="3" t="s">
        <v>2276</v>
      </c>
      <c r="U1402" s="3" t="s">
        <v>2276</v>
      </c>
      <c r="V1402" s="3" t="s">
        <v>2276</v>
      </c>
      <c r="W1402" s="3" t="s">
        <v>2276</v>
      </c>
      <c r="X1402" s="3" t="s">
        <v>2276</v>
      </c>
      <c r="Y1402" s="3" t="s">
        <v>2276</v>
      </c>
      <c r="Z1402" s="3" t="s">
        <v>425</v>
      </c>
      <c r="AA1402" s="3" t="s">
        <v>68</v>
      </c>
      <c r="AB1402" s="3" t="s">
        <v>64</v>
      </c>
      <c r="AC1402" s="4" t="s">
        <v>4195</v>
      </c>
      <c r="AD1402" s="3"/>
    </row>
    <row r="1403" spans="1:30" ht="40" customHeight="1">
      <c r="A1403" s="11" t="s">
        <v>4147</v>
      </c>
      <c r="B1403" s="11" t="s">
        <v>4173</v>
      </c>
      <c r="C1403" s="3" t="s">
        <v>24</v>
      </c>
      <c r="D1403" s="3" t="s">
        <v>2341</v>
      </c>
      <c r="E1403" s="19" t="s">
        <v>5005</v>
      </c>
      <c r="F1403" s="4" t="s">
        <v>2662</v>
      </c>
      <c r="G1403" s="3" t="s">
        <v>2276</v>
      </c>
      <c r="H1403" s="3" t="s">
        <v>523</v>
      </c>
      <c r="I1403" s="3"/>
      <c r="J1403" s="3" t="s">
        <v>2276</v>
      </c>
      <c r="K1403" s="3" t="s">
        <v>2276</v>
      </c>
      <c r="L1403" s="3" t="s">
        <v>2276</v>
      </c>
      <c r="M1403" s="3" t="s">
        <v>2276</v>
      </c>
      <c r="N1403" s="3" t="s">
        <v>2276</v>
      </c>
      <c r="O1403" s="3" t="s">
        <v>2276</v>
      </c>
      <c r="P1403" s="3" t="s">
        <v>2276</v>
      </c>
      <c r="Q1403" s="3" t="s">
        <v>2276</v>
      </c>
      <c r="R1403" s="3" t="s">
        <v>2276</v>
      </c>
      <c r="S1403" s="3" t="s">
        <v>2276</v>
      </c>
      <c r="T1403" s="3" t="s">
        <v>2276</v>
      </c>
      <c r="U1403" s="3" t="s">
        <v>2276</v>
      </c>
      <c r="V1403" s="3" t="s">
        <v>2276</v>
      </c>
      <c r="W1403" s="3" t="s">
        <v>2276</v>
      </c>
      <c r="X1403" s="3" t="s">
        <v>2276</v>
      </c>
      <c r="Y1403" s="3" t="s">
        <v>2276</v>
      </c>
      <c r="Z1403" s="3" t="s">
        <v>86</v>
      </c>
      <c r="AA1403" s="3" t="s">
        <v>68</v>
      </c>
      <c r="AB1403" s="3" t="s">
        <v>64</v>
      </c>
      <c r="AC1403" s="19" t="s">
        <v>4187</v>
      </c>
      <c r="AD1403" s="3"/>
    </row>
    <row r="1404" spans="1:30" ht="40" customHeight="1">
      <c r="A1404" s="11" t="s">
        <v>4147</v>
      </c>
      <c r="B1404" s="11" t="s">
        <v>4174</v>
      </c>
      <c r="C1404" s="3" t="s">
        <v>24</v>
      </c>
      <c r="D1404" s="3" t="s">
        <v>2341</v>
      </c>
      <c r="E1404" s="3" t="s">
        <v>45</v>
      </c>
      <c r="F1404" s="4" t="s">
        <v>2662</v>
      </c>
      <c r="G1404" s="3" t="s">
        <v>2276</v>
      </c>
      <c r="H1404" s="3" t="s">
        <v>523</v>
      </c>
      <c r="I1404" s="3"/>
      <c r="J1404" s="3" t="s">
        <v>2276</v>
      </c>
      <c r="K1404" s="3" t="s">
        <v>2276</v>
      </c>
      <c r="L1404" s="3" t="s">
        <v>2276</v>
      </c>
      <c r="M1404" s="3" t="s">
        <v>2276</v>
      </c>
      <c r="N1404" s="3" t="s">
        <v>2276</v>
      </c>
      <c r="O1404" s="3" t="s">
        <v>2276</v>
      </c>
      <c r="P1404" s="3" t="s">
        <v>2276</v>
      </c>
      <c r="Q1404" s="3" t="s">
        <v>2276</v>
      </c>
      <c r="R1404" s="3" t="s">
        <v>2276</v>
      </c>
      <c r="S1404" s="3" t="s">
        <v>2276</v>
      </c>
      <c r="T1404" s="3" t="s">
        <v>2276</v>
      </c>
      <c r="U1404" s="3" t="s">
        <v>2276</v>
      </c>
      <c r="V1404" s="3" t="s">
        <v>2276</v>
      </c>
      <c r="W1404" s="3" t="s">
        <v>2276</v>
      </c>
      <c r="X1404" s="3" t="s">
        <v>2276</v>
      </c>
      <c r="Y1404" s="3" t="s">
        <v>2276</v>
      </c>
      <c r="Z1404" s="3" t="s">
        <v>86</v>
      </c>
      <c r="AA1404" s="3" t="s">
        <v>68</v>
      </c>
      <c r="AB1404" s="3" t="s">
        <v>64</v>
      </c>
      <c r="AC1404" s="19" t="s">
        <v>4187</v>
      </c>
      <c r="AD1404" s="3"/>
    </row>
    <row r="1405" spans="1:30" ht="46.5" customHeight="1">
      <c r="A1405" s="11" t="s">
        <v>4147</v>
      </c>
      <c r="B1405" s="11" t="s">
        <v>4181</v>
      </c>
      <c r="C1405" s="3" t="s">
        <v>2458</v>
      </c>
      <c r="D1405" s="3" t="s">
        <v>2994</v>
      </c>
      <c r="E1405" s="3" t="s">
        <v>5005</v>
      </c>
      <c r="F1405" s="4" t="s">
        <v>2276</v>
      </c>
      <c r="G1405" s="3" t="s">
        <v>2276</v>
      </c>
      <c r="H1405" s="3" t="s">
        <v>523</v>
      </c>
      <c r="I1405" s="3"/>
      <c r="J1405" s="3" t="s">
        <v>2276</v>
      </c>
      <c r="K1405" s="3" t="s">
        <v>2276</v>
      </c>
      <c r="L1405" s="3" t="s">
        <v>2276</v>
      </c>
      <c r="M1405" s="3" t="s">
        <v>2276</v>
      </c>
      <c r="N1405" s="3" t="s">
        <v>2276</v>
      </c>
      <c r="O1405" s="3" t="s">
        <v>2276</v>
      </c>
      <c r="P1405" s="3" t="s">
        <v>2276</v>
      </c>
      <c r="Q1405" s="3" t="s">
        <v>2276</v>
      </c>
      <c r="R1405" s="3" t="s">
        <v>2276</v>
      </c>
      <c r="S1405" s="3" t="s">
        <v>2276</v>
      </c>
      <c r="T1405" s="3" t="s">
        <v>2276</v>
      </c>
      <c r="U1405" s="3" t="s">
        <v>2276</v>
      </c>
      <c r="V1405" s="3" t="s">
        <v>2276</v>
      </c>
      <c r="W1405" s="3" t="s">
        <v>2276</v>
      </c>
      <c r="X1405" s="3" t="s">
        <v>2276</v>
      </c>
      <c r="Y1405" s="3" t="s">
        <v>2276</v>
      </c>
      <c r="Z1405" s="3" t="s">
        <v>399</v>
      </c>
      <c r="AA1405" s="3" t="s">
        <v>127</v>
      </c>
      <c r="AB1405" s="3" t="s">
        <v>2312</v>
      </c>
      <c r="AC1405" s="4" t="s">
        <v>4186</v>
      </c>
      <c r="AD1405" s="3"/>
    </row>
    <row r="1406" spans="1:30" ht="41" customHeight="1">
      <c r="A1406" s="11" t="s">
        <v>4147</v>
      </c>
      <c r="B1406" s="11" t="s">
        <v>4182</v>
      </c>
      <c r="C1406" s="3" t="s">
        <v>2458</v>
      </c>
      <c r="D1406" s="3" t="s">
        <v>2994</v>
      </c>
      <c r="E1406" s="3" t="s">
        <v>45</v>
      </c>
      <c r="F1406" s="4" t="s">
        <v>2276</v>
      </c>
      <c r="G1406" s="3" t="s">
        <v>2276</v>
      </c>
      <c r="H1406" s="3" t="s">
        <v>523</v>
      </c>
      <c r="I1406" s="3"/>
      <c r="J1406" s="3" t="s">
        <v>2276</v>
      </c>
      <c r="K1406" s="3" t="s">
        <v>2276</v>
      </c>
      <c r="L1406" s="3" t="s">
        <v>2276</v>
      </c>
      <c r="M1406" s="3" t="s">
        <v>2276</v>
      </c>
      <c r="N1406" s="3" t="s">
        <v>2276</v>
      </c>
      <c r="O1406" s="3" t="s">
        <v>2276</v>
      </c>
      <c r="P1406" s="3" t="s">
        <v>2276</v>
      </c>
      <c r="Q1406" s="3" t="s">
        <v>2276</v>
      </c>
      <c r="R1406" s="3" t="s">
        <v>2276</v>
      </c>
      <c r="S1406" s="3" t="s">
        <v>2276</v>
      </c>
      <c r="T1406" s="3" t="s">
        <v>2276</v>
      </c>
      <c r="U1406" s="3" t="s">
        <v>2276</v>
      </c>
      <c r="V1406" s="3" t="s">
        <v>2276</v>
      </c>
      <c r="W1406" s="3" t="s">
        <v>2276</v>
      </c>
      <c r="X1406" s="3" t="s">
        <v>2276</v>
      </c>
      <c r="Y1406" s="3" t="s">
        <v>2276</v>
      </c>
      <c r="Z1406" s="3" t="s">
        <v>399</v>
      </c>
      <c r="AA1406" s="3" t="s">
        <v>127</v>
      </c>
      <c r="AB1406" s="3" t="s">
        <v>2312</v>
      </c>
      <c r="AC1406" s="4" t="s">
        <v>4186</v>
      </c>
      <c r="AD1406" s="3"/>
    </row>
    <row r="1407" spans="1:30" ht="42" customHeight="1">
      <c r="A1407" s="11" t="s">
        <v>4197</v>
      </c>
      <c r="B1407" s="11" t="s">
        <v>4200</v>
      </c>
      <c r="C1407" s="3" t="s">
        <v>24</v>
      </c>
      <c r="D1407" s="3" t="s">
        <v>25</v>
      </c>
      <c r="E1407" s="3" t="s">
        <v>84</v>
      </c>
      <c r="F1407" s="4" t="s">
        <v>55</v>
      </c>
      <c r="G1407" s="3" t="s">
        <v>2276</v>
      </c>
      <c r="H1407" s="3" t="s">
        <v>524</v>
      </c>
      <c r="I1407" s="3"/>
      <c r="J1407" s="21">
        <v>0</v>
      </c>
      <c r="K1407" s="21">
        <v>0</v>
      </c>
      <c r="L1407" s="21">
        <v>0</v>
      </c>
      <c r="M1407" s="21">
        <v>0</v>
      </c>
      <c r="N1407" s="21">
        <v>0</v>
      </c>
      <c r="O1407" s="21">
        <v>0</v>
      </c>
      <c r="P1407" s="21">
        <v>0</v>
      </c>
      <c r="Q1407" s="21">
        <v>0</v>
      </c>
      <c r="R1407" s="21">
        <v>0</v>
      </c>
      <c r="S1407" s="21">
        <v>0</v>
      </c>
      <c r="T1407" s="21">
        <v>0</v>
      </c>
      <c r="U1407" s="21">
        <v>0</v>
      </c>
      <c r="V1407" s="21">
        <v>0</v>
      </c>
      <c r="W1407" s="21">
        <v>0</v>
      </c>
      <c r="X1407" s="21">
        <v>0</v>
      </c>
      <c r="Y1407" s="3" t="s">
        <v>2276</v>
      </c>
      <c r="Z1407" s="3" t="s">
        <v>2276</v>
      </c>
      <c r="AA1407" s="3" t="s">
        <v>2276</v>
      </c>
      <c r="AB1407" s="3" t="s">
        <v>2276</v>
      </c>
      <c r="AC1407" s="4" t="s">
        <v>4202</v>
      </c>
      <c r="AD1407" s="3"/>
    </row>
    <row r="1408" spans="1:30" ht="43.5" customHeight="1">
      <c r="A1408" s="11" t="s">
        <v>4197</v>
      </c>
      <c r="B1408" s="11" t="s">
        <v>4201</v>
      </c>
      <c r="C1408" s="3" t="s">
        <v>24</v>
      </c>
      <c r="D1408" s="3" t="s">
        <v>25</v>
      </c>
      <c r="E1408" s="3" t="s">
        <v>45</v>
      </c>
      <c r="F1408" s="4" t="s">
        <v>55</v>
      </c>
      <c r="G1408" s="3" t="s">
        <v>55</v>
      </c>
      <c r="H1408" s="3" t="s">
        <v>523</v>
      </c>
      <c r="I1408" s="3"/>
      <c r="J1408" s="3" t="s">
        <v>2276</v>
      </c>
      <c r="K1408" s="3" t="s">
        <v>2276</v>
      </c>
      <c r="L1408" s="3" t="s">
        <v>2276</v>
      </c>
      <c r="M1408" s="3" t="s">
        <v>2276</v>
      </c>
      <c r="N1408" s="3" t="s">
        <v>2276</v>
      </c>
      <c r="O1408" s="3" t="s">
        <v>2276</v>
      </c>
      <c r="P1408" s="3" t="s">
        <v>2276</v>
      </c>
      <c r="Q1408" s="3" t="s">
        <v>2276</v>
      </c>
      <c r="R1408" s="3" t="s">
        <v>2276</v>
      </c>
      <c r="S1408" s="3" t="s">
        <v>2276</v>
      </c>
      <c r="T1408" s="3" t="s">
        <v>2276</v>
      </c>
      <c r="U1408" s="3" t="s">
        <v>2276</v>
      </c>
      <c r="V1408" s="3" t="s">
        <v>2276</v>
      </c>
      <c r="W1408" s="3" t="s">
        <v>2276</v>
      </c>
      <c r="X1408" s="3" t="s">
        <v>2276</v>
      </c>
      <c r="Y1408" s="3" t="s">
        <v>2276</v>
      </c>
      <c r="Z1408" s="3" t="s">
        <v>2276</v>
      </c>
      <c r="AA1408" s="3" t="s">
        <v>2276</v>
      </c>
      <c r="AB1408" s="3" t="s">
        <v>2276</v>
      </c>
      <c r="AC1408" s="4" t="s">
        <v>4203</v>
      </c>
      <c r="AD1408" s="3"/>
    </row>
    <row r="1409" spans="1:30" ht="35.5" customHeight="1">
      <c r="A1409" s="11" t="s">
        <v>4197</v>
      </c>
      <c r="B1409" s="11" t="s">
        <v>4204</v>
      </c>
      <c r="C1409" s="3" t="s">
        <v>1105</v>
      </c>
      <c r="D1409" s="3" t="s">
        <v>2276</v>
      </c>
      <c r="E1409" s="3" t="s">
        <v>45</v>
      </c>
      <c r="F1409" s="4" t="s">
        <v>2276</v>
      </c>
      <c r="G1409" s="3" t="s">
        <v>55</v>
      </c>
      <c r="H1409" s="3" t="s">
        <v>523</v>
      </c>
      <c r="I1409" s="3">
        <v>2002</v>
      </c>
      <c r="J1409" s="3" t="s">
        <v>2276</v>
      </c>
      <c r="K1409" s="3" t="s">
        <v>2276</v>
      </c>
      <c r="L1409" s="3" t="s">
        <v>2276</v>
      </c>
      <c r="M1409" s="3" t="s">
        <v>2276</v>
      </c>
      <c r="N1409" s="3" t="s">
        <v>2276</v>
      </c>
      <c r="O1409" s="3" t="s">
        <v>2276</v>
      </c>
      <c r="P1409" s="3" t="s">
        <v>2276</v>
      </c>
      <c r="Q1409" s="3" t="s">
        <v>2276</v>
      </c>
      <c r="R1409" s="3" t="s">
        <v>2276</v>
      </c>
      <c r="S1409" s="3" t="s">
        <v>2276</v>
      </c>
      <c r="T1409" s="3" t="s">
        <v>2276</v>
      </c>
      <c r="U1409" s="3" t="s">
        <v>2276</v>
      </c>
      <c r="V1409" s="21">
        <f>100*(6626+6432)/(191976*'Land use'!$O$698/100)</f>
        <v>11.081067890384245</v>
      </c>
      <c r="W1409" s="3" t="s">
        <v>2276</v>
      </c>
      <c r="X1409" s="21">
        <f>100*(6626+6432)/191976</f>
        <v>6.8018919031545613</v>
      </c>
      <c r="Y1409" s="3" t="s">
        <v>2276</v>
      </c>
      <c r="Z1409" s="3" t="s">
        <v>2276</v>
      </c>
      <c r="AA1409" s="3" t="s">
        <v>2276</v>
      </c>
      <c r="AB1409" s="3" t="s">
        <v>2276</v>
      </c>
      <c r="AC1409" s="3"/>
      <c r="AD1409" s="3"/>
    </row>
    <row r="1410" spans="1:30" ht="35.5" customHeight="1">
      <c r="A1410" s="11" t="s">
        <v>4197</v>
      </c>
      <c r="B1410" s="11" t="s">
        <v>4205</v>
      </c>
      <c r="C1410" s="3" t="s">
        <v>1105</v>
      </c>
      <c r="D1410" s="3" t="s">
        <v>2276</v>
      </c>
      <c r="E1410" s="3" t="s">
        <v>45</v>
      </c>
      <c r="F1410" s="4" t="s">
        <v>2276</v>
      </c>
      <c r="G1410" s="3" t="s">
        <v>55</v>
      </c>
      <c r="H1410" s="3" t="s">
        <v>523</v>
      </c>
      <c r="I1410" s="3">
        <v>2005</v>
      </c>
      <c r="J1410" s="3" t="s">
        <v>2276</v>
      </c>
      <c r="K1410" s="3" t="s">
        <v>2276</v>
      </c>
      <c r="L1410" s="3" t="s">
        <v>2276</v>
      </c>
      <c r="M1410" s="3" t="s">
        <v>2276</v>
      </c>
      <c r="N1410" s="3" t="s">
        <v>2276</v>
      </c>
      <c r="O1410" s="3" t="s">
        <v>2276</v>
      </c>
      <c r="P1410" s="3" t="s">
        <v>2276</v>
      </c>
      <c r="Q1410" s="3" t="s">
        <v>2276</v>
      </c>
      <c r="R1410" s="3" t="s">
        <v>2276</v>
      </c>
      <c r="S1410" s="3" t="s">
        <v>2276</v>
      </c>
      <c r="T1410" s="3" t="s">
        <v>2276</v>
      </c>
      <c r="U1410" s="3" t="s">
        <v>2276</v>
      </c>
      <c r="V1410" s="21">
        <f>100 * (4283+1392+6432) / (191976*'Land use'!$O$698/100)</f>
        <v>10.27404571518472</v>
      </c>
      <c r="W1410" s="3" t="s">
        <v>2276</v>
      </c>
      <c r="X1410" s="21">
        <f>100 * (4283+1392+6432) / 191976</f>
        <v>6.3065174813518352</v>
      </c>
      <c r="Y1410" s="3" t="s">
        <v>2276</v>
      </c>
      <c r="Z1410" s="3" t="s">
        <v>2276</v>
      </c>
      <c r="AA1410" s="3" t="s">
        <v>2276</v>
      </c>
      <c r="AB1410" s="3" t="s">
        <v>2276</v>
      </c>
      <c r="AC1410" s="3"/>
      <c r="AD1410" s="3"/>
    </row>
    <row r="1411" spans="1:30" ht="92.5" customHeight="1">
      <c r="A1411" s="11" t="s">
        <v>4210</v>
      </c>
      <c r="B1411" s="11" t="s">
        <v>4214</v>
      </c>
      <c r="C1411" s="3" t="s">
        <v>24</v>
      </c>
      <c r="D1411" s="3" t="s">
        <v>2804</v>
      </c>
      <c r="E1411" s="3" t="s">
        <v>45</v>
      </c>
      <c r="F1411" s="4" t="s">
        <v>2662</v>
      </c>
      <c r="G1411" s="3" t="s">
        <v>2276</v>
      </c>
      <c r="H1411" s="3" t="s">
        <v>523</v>
      </c>
      <c r="I1411" s="3"/>
      <c r="J1411" s="3" t="s">
        <v>2276</v>
      </c>
      <c r="K1411" s="3" t="s">
        <v>2276</v>
      </c>
      <c r="L1411" s="3" t="s">
        <v>2276</v>
      </c>
      <c r="M1411" s="3" t="s">
        <v>2276</v>
      </c>
      <c r="N1411" s="3" t="s">
        <v>2276</v>
      </c>
      <c r="O1411" s="3" t="s">
        <v>2276</v>
      </c>
      <c r="P1411" s="3" t="s">
        <v>2276</v>
      </c>
      <c r="Q1411" s="3" t="s">
        <v>2276</v>
      </c>
      <c r="R1411" s="3" t="s">
        <v>2276</v>
      </c>
      <c r="S1411" s="3" t="s">
        <v>2276</v>
      </c>
      <c r="T1411" s="3" t="s">
        <v>2276</v>
      </c>
      <c r="U1411" s="3" t="s">
        <v>2276</v>
      </c>
      <c r="V1411" s="3" t="s">
        <v>2276</v>
      </c>
      <c r="W1411" s="3" t="s">
        <v>2276</v>
      </c>
      <c r="X1411" s="3" t="s">
        <v>2276</v>
      </c>
      <c r="Y1411" s="3" t="s">
        <v>2276</v>
      </c>
      <c r="Z1411" s="3" t="s">
        <v>2276</v>
      </c>
      <c r="AA1411" s="3" t="s">
        <v>2276</v>
      </c>
      <c r="AB1411" s="3" t="s">
        <v>2276</v>
      </c>
      <c r="AC1411" s="4" t="s">
        <v>4215</v>
      </c>
      <c r="AD1411" s="3"/>
    </row>
    <row r="1412" spans="1:30" ht="41" customHeight="1">
      <c r="A1412" s="11" t="s">
        <v>4220</v>
      </c>
      <c r="B1412" s="11" t="s">
        <v>4224</v>
      </c>
      <c r="C1412" s="3" t="s">
        <v>24</v>
      </c>
      <c r="D1412" s="3" t="s">
        <v>1242</v>
      </c>
      <c r="E1412" s="3" t="s">
        <v>137</v>
      </c>
      <c r="F1412" s="4" t="s">
        <v>2662</v>
      </c>
      <c r="G1412" s="3" t="s">
        <v>2276</v>
      </c>
      <c r="H1412" s="3" t="s">
        <v>523</v>
      </c>
      <c r="I1412" s="3"/>
      <c r="J1412" s="3" t="s">
        <v>2276</v>
      </c>
      <c r="K1412" s="3" t="s">
        <v>2276</v>
      </c>
      <c r="L1412" s="3" t="s">
        <v>2276</v>
      </c>
      <c r="M1412" s="3" t="s">
        <v>2276</v>
      </c>
      <c r="N1412" s="3" t="s">
        <v>2276</v>
      </c>
      <c r="O1412" s="3" t="s">
        <v>2276</v>
      </c>
      <c r="P1412" s="3" t="s">
        <v>2276</v>
      </c>
      <c r="Q1412" s="3" t="s">
        <v>2276</v>
      </c>
      <c r="R1412" s="3" t="s">
        <v>2276</v>
      </c>
      <c r="S1412" s="3" t="s">
        <v>2276</v>
      </c>
      <c r="T1412" s="3" t="s">
        <v>2276</v>
      </c>
      <c r="U1412" s="3" t="s">
        <v>2276</v>
      </c>
      <c r="V1412" s="3" t="s">
        <v>2276</v>
      </c>
      <c r="W1412" s="3" t="s">
        <v>2276</v>
      </c>
      <c r="X1412" s="3" t="s">
        <v>2276</v>
      </c>
      <c r="Y1412" s="3" t="s">
        <v>2276</v>
      </c>
      <c r="Z1412" s="3" t="s">
        <v>86</v>
      </c>
      <c r="AA1412" s="3" t="s">
        <v>404</v>
      </c>
      <c r="AB1412" s="3" t="s">
        <v>2655</v>
      </c>
      <c r="AC1412" s="4" t="s">
        <v>4227</v>
      </c>
      <c r="AD1412" s="3"/>
    </row>
    <row r="1413" spans="1:30" ht="42" customHeight="1">
      <c r="A1413" s="11" t="s">
        <v>4220</v>
      </c>
      <c r="B1413" s="11" t="s">
        <v>4225</v>
      </c>
      <c r="C1413" s="3" t="s">
        <v>24</v>
      </c>
      <c r="D1413" s="3" t="s">
        <v>1245</v>
      </c>
      <c r="E1413" s="3" t="s">
        <v>2652</v>
      </c>
      <c r="F1413" s="4" t="s">
        <v>2662</v>
      </c>
      <c r="G1413" s="3" t="s">
        <v>2276</v>
      </c>
      <c r="H1413" s="3" t="s">
        <v>523</v>
      </c>
      <c r="I1413" s="3"/>
      <c r="J1413" s="3" t="s">
        <v>2276</v>
      </c>
      <c r="K1413" s="3" t="s">
        <v>2276</v>
      </c>
      <c r="L1413" s="3" t="s">
        <v>2276</v>
      </c>
      <c r="M1413" s="3" t="s">
        <v>2276</v>
      </c>
      <c r="N1413" s="3" t="s">
        <v>2276</v>
      </c>
      <c r="O1413" s="3" t="s">
        <v>2276</v>
      </c>
      <c r="P1413" s="3" t="s">
        <v>2276</v>
      </c>
      <c r="Q1413" s="3" t="s">
        <v>2276</v>
      </c>
      <c r="R1413" s="3" t="s">
        <v>2276</v>
      </c>
      <c r="S1413" s="3" t="s">
        <v>2276</v>
      </c>
      <c r="T1413" s="3" t="s">
        <v>2276</v>
      </c>
      <c r="U1413" s="3" t="s">
        <v>2276</v>
      </c>
      <c r="V1413" s="3" t="s">
        <v>2276</v>
      </c>
      <c r="W1413" s="3" t="s">
        <v>2276</v>
      </c>
      <c r="X1413" s="3" t="s">
        <v>2276</v>
      </c>
      <c r="Y1413" s="3" t="s">
        <v>2276</v>
      </c>
      <c r="Z1413" s="3" t="s">
        <v>86</v>
      </c>
      <c r="AA1413" s="3" t="s">
        <v>404</v>
      </c>
      <c r="AB1413" s="3" t="s">
        <v>2655</v>
      </c>
      <c r="AC1413" s="4" t="s">
        <v>4226</v>
      </c>
      <c r="AD1413" s="3"/>
    </row>
    <row r="1414" spans="1:30" ht="44.5" customHeight="1">
      <c r="A1414" s="11" t="s">
        <v>4220</v>
      </c>
      <c r="B1414" s="11" t="s">
        <v>4228</v>
      </c>
      <c r="C1414" s="3" t="s">
        <v>2458</v>
      </c>
      <c r="D1414" s="3" t="s">
        <v>1245</v>
      </c>
      <c r="E1414" s="3" t="s">
        <v>116</v>
      </c>
      <c r="F1414" s="4" t="s">
        <v>74</v>
      </c>
      <c r="G1414" s="3" t="s">
        <v>2276</v>
      </c>
      <c r="H1414" s="3" t="s">
        <v>523</v>
      </c>
      <c r="I1414" s="3"/>
      <c r="J1414" s="3" t="s">
        <v>2276</v>
      </c>
      <c r="K1414" s="3" t="s">
        <v>2276</v>
      </c>
      <c r="L1414" s="3" t="s">
        <v>2276</v>
      </c>
      <c r="M1414" s="3" t="s">
        <v>2276</v>
      </c>
      <c r="N1414" s="3" t="s">
        <v>2276</v>
      </c>
      <c r="O1414" s="3" t="s">
        <v>2276</v>
      </c>
      <c r="P1414" s="3" t="s">
        <v>2276</v>
      </c>
      <c r="Q1414" s="3" t="s">
        <v>2276</v>
      </c>
      <c r="R1414" s="3" t="s">
        <v>2276</v>
      </c>
      <c r="S1414" s="3" t="s">
        <v>2276</v>
      </c>
      <c r="T1414" s="3" t="s">
        <v>2276</v>
      </c>
      <c r="U1414" s="3" t="s">
        <v>2276</v>
      </c>
      <c r="V1414" s="3" t="s">
        <v>2276</v>
      </c>
      <c r="W1414" s="3" t="s">
        <v>2276</v>
      </c>
      <c r="X1414" s="3" t="s">
        <v>2276</v>
      </c>
      <c r="Y1414" s="3" t="s">
        <v>2276</v>
      </c>
      <c r="Z1414" s="3" t="s">
        <v>405</v>
      </c>
      <c r="AA1414" s="3" t="s">
        <v>68</v>
      </c>
      <c r="AB1414" s="3" t="s">
        <v>76</v>
      </c>
      <c r="AC1414" s="4" t="s">
        <v>4230</v>
      </c>
      <c r="AD1414" s="3"/>
    </row>
    <row r="1415" spans="1:30" ht="45.5" customHeight="1">
      <c r="A1415" s="11" t="s">
        <v>4220</v>
      </c>
      <c r="B1415" s="11" t="s">
        <v>4229</v>
      </c>
      <c r="C1415" s="3" t="s">
        <v>2458</v>
      </c>
      <c r="D1415" s="3" t="s">
        <v>2276</v>
      </c>
      <c r="E1415" s="3" t="s">
        <v>2276</v>
      </c>
      <c r="F1415" s="4" t="s">
        <v>2662</v>
      </c>
      <c r="G1415" s="3" t="s">
        <v>2276</v>
      </c>
      <c r="H1415" s="3" t="s">
        <v>523</v>
      </c>
      <c r="I1415" s="3"/>
      <c r="J1415" s="3" t="s">
        <v>2276</v>
      </c>
      <c r="K1415" s="3" t="s">
        <v>2276</v>
      </c>
      <c r="L1415" s="3" t="s">
        <v>2276</v>
      </c>
      <c r="M1415" s="3" t="s">
        <v>2276</v>
      </c>
      <c r="N1415" s="3" t="s">
        <v>2276</v>
      </c>
      <c r="O1415" s="3" t="s">
        <v>2276</v>
      </c>
      <c r="P1415" s="3" t="s">
        <v>2276</v>
      </c>
      <c r="Q1415" s="3" t="s">
        <v>2276</v>
      </c>
      <c r="R1415" s="3" t="s">
        <v>2276</v>
      </c>
      <c r="S1415" s="3" t="s">
        <v>2276</v>
      </c>
      <c r="T1415" s="3" t="s">
        <v>2276</v>
      </c>
      <c r="U1415" s="3" t="s">
        <v>2276</v>
      </c>
      <c r="V1415" s="3" t="s">
        <v>2276</v>
      </c>
      <c r="W1415" s="3" t="s">
        <v>2276</v>
      </c>
      <c r="X1415" s="3" t="s">
        <v>2276</v>
      </c>
      <c r="Y1415" s="3" t="s">
        <v>2276</v>
      </c>
      <c r="Z1415" s="3" t="s">
        <v>405</v>
      </c>
      <c r="AA1415" s="3" t="s">
        <v>68</v>
      </c>
      <c r="AB1415" s="3" t="s">
        <v>76</v>
      </c>
      <c r="AC1415" s="4" t="s">
        <v>4231</v>
      </c>
      <c r="AD1415" s="3"/>
    </row>
    <row r="1416" spans="1:30" ht="69.5" customHeight="1">
      <c r="A1416" s="11" t="s">
        <v>4221</v>
      </c>
      <c r="B1416" s="11" t="s">
        <v>4232</v>
      </c>
      <c r="C1416" s="3" t="s">
        <v>24</v>
      </c>
      <c r="D1416" s="3" t="s">
        <v>1242</v>
      </c>
      <c r="E1416" s="4" t="s">
        <v>3854</v>
      </c>
      <c r="F1416" s="4" t="s">
        <v>2662</v>
      </c>
      <c r="G1416" s="3" t="s">
        <v>2276</v>
      </c>
      <c r="H1416" s="3" t="s">
        <v>523</v>
      </c>
      <c r="I1416" s="3"/>
      <c r="J1416" s="3" t="s">
        <v>2276</v>
      </c>
      <c r="K1416" s="3" t="s">
        <v>2276</v>
      </c>
      <c r="L1416" s="3" t="s">
        <v>2276</v>
      </c>
      <c r="M1416" s="3" t="s">
        <v>2276</v>
      </c>
      <c r="N1416" s="3" t="s">
        <v>2276</v>
      </c>
      <c r="O1416" s="3" t="s">
        <v>2276</v>
      </c>
      <c r="P1416" s="3" t="s">
        <v>2276</v>
      </c>
      <c r="Q1416" s="3" t="s">
        <v>2276</v>
      </c>
      <c r="R1416" s="3" t="s">
        <v>2276</v>
      </c>
      <c r="S1416" s="3" t="s">
        <v>2276</v>
      </c>
      <c r="T1416" s="3" t="s">
        <v>2276</v>
      </c>
      <c r="U1416" s="3" t="s">
        <v>2276</v>
      </c>
      <c r="V1416" s="3" t="s">
        <v>2276</v>
      </c>
      <c r="W1416" s="3" t="s">
        <v>2276</v>
      </c>
      <c r="X1416" s="3" t="s">
        <v>2276</v>
      </c>
      <c r="Y1416" s="3" t="s">
        <v>2276</v>
      </c>
      <c r="Z1416" s="3" t="s">
        <v>86</v>
      </c>
      <c r="AA1416" s="3" t="s">
        <v>405</v>
      </c>
      <c r="AB1416" s="3" t="s">
        <v>64</v>
      </c>
      <c r="AC1416" s="4" t="s">
        <v>4248</v>
      </c>
      <c r="AD1416" s="4" t="s">
        <v>4249</v>
      </c>
    </row>
    <row r="1417" spans="1:30" ht="41" customHeight="1">
      <c r="A1417" s="11" t="s">
        <v>4221</v>
      </c>
      <c r="B1417" s="11" t="s">
        <v>4233</v>
      </c>
      <c r="C1417" s="3" t="s">
        <v>24</v>
      </c>
      <c r="D1417" s="3" t="s">
        <v>27</v>
      </c>
      <c r="E1417" s="3" t="s">
        <v>130</v>
      </c>
      <c r="F1417" s="4" t="s">
        <v>2662</v>
      </c>
      <c r="G1417" s="3" t="s">
        <v>2276</v>
      </c>
      <c r="H1417" s="3" t="s">
        <v>523</v>
      </c>
      <c r="I1417" s="3"/>
      <c r="J1417" s="3" t="s">
        <v>2276</v>
      </c>
      <c r="K1417" s="21">
        <v>1E-3</v>
      </c>
      <c r="L1417" s="3" t="s">
        <v>2276</v>
      </c>
      <c r="M1417" s="21">
        <v>4.0000000000000001E-3</v>
      </c>
      <c r="N1417" s="3" t="s">
        <v>2276</v>
      </c>
      <c r="O1417" s="3" t="s">
        <v>2276</v>
      </c>
      <c r="P1417" s="3" t="s">
        <v>2276</v>
      </c>
      <c r="Q1417" s="3" t="s">
        <v>2276</v>
      </c>
      <c r="R1417" s="3" t="s">
        <v>2276</v>
      </c>
      <c r="S1417" s="3" t="s">
        <v>2276</v>
      </c>
      <c r="T1417" s="3" t="s">
        <v>2276</v>
      </c>
      <c r="U1417" s="3" t="s">
        <v>2276</v>
      </c>
      <c r="V1417" s="3" t="s">
        <v>2276</v>
      </c>
      <c r="W1417" s="3" t="s">
        <v>2276</v>
      </c>
      <c r="X1417" s="3" t="s">
        <v>2276</v>
      </c>
      <c r="Y1417" s="3" t="s">
        <v>2276</v>
      </c>
      <c r="Z1417" s="3" t="s">
        <v>68</v>
      </c>
      <c r="AA1417" s="3" t="s">
        <v>35</v>
      </c>
      <c r="AB1417" s="3" t="s">
        <v>64</v>
      </c>
      <c r="AC1417" s="4" t="s">
        <v>4241</v>
      </c>
      <c r="AD1417" s="3"/>
    </row>
    <row r="1418" spans="1:30" ht="37" customHeight="1">
      <c r="A1418" s="11" t="s">
        <v>4221</v>
      </c>
      <c r="B1418" s="11" t="s">
        <v>4234</v>
      </c>
      <c r="C1418" s="3" t="s">
        <v>24</v>
      </c>
      <c r="D1418" s="3" t="s">
        <v>3480</v>
      </c>
      <c r="E1418" s="3" t="s">
        <v>116</v>
      </c>
      <c r="F1418" s="4" t="s">
        <v>2662</v>
      </c>
      <c r="G1418" s="3" t="s">
        <v>2276</v>
      </c>
      <c r="H1418" s="3" t="s">
        <v>523</v>
      </c>
      <c r="I1418" s="3"/>
      <c r="J1418" s="3" t="s">
        <v>2276</v>
      </c>
      <c r="K1418" s="3" t="s">
        <v>2276</v>
      </c>
      <c r="L1418" s="3" t="s">
        <v>2276</v>
      </c>
      <c r="M1418" s="3" t="s">
        <v>2276</v>
      </c>
      <c r="N1418" s="3" t="s">
        <v>2276</v>
      </c>
      <c r="O1418" s="3" t="s">
        <v>2276</v>
      </c>
      <c r="P1418" s="3" t="s">
        <v>2276</v>
      </c>
      <c r="Q1418" s="3" t="s">
        <v>2276</v>
      </c>
      <c r="R1418" s="3" t="s">
        <v>2276</v>
      </c>
      <c r="S1418" s="3" t="s">
        <v>2276</v>
      </c>
      <c r="T1418" s="3" t="s">
        <v>2276</v>
      </c>
      <c r="U1418" s="3" t="s">
        <v>2276</v>
      </c>
      <c r="V1418" s="3" t="s">
        <v>2276</v>
      </c>
      <c r="W1418" s="3" t="s">
        <v>2276</v>
      </c>
      <c r="X1418" s="3" t="s">
        <v>2276</v>
      </c>
      <c r="Y1418" s="3" t="s">
        <v>2276</v>
      </c>
      <c r="Z1418" s="3" t="s">
        <v>34</v>
      </c>
      <c r="AA1418" s="3" t="s">
        <v>425</v>
      </c>
      <c r="AB1418" s="3" t="s">
        <v>64</v>
      </c>
      <c r="AC1418" s="4" t="s">
        <v>4236</v>
      </c>
      <c r="AD1418" s="3"/>
    </row>
    <row r="1419" spans="1:30" ht="38" customHeight="1">
      <c r="A1419" s="11" t="s">
        <v>4221</v>
      </c>
      <c r="B1419" s="11" t="s">
        <v>4237</v>
      </c>
      <c r="C1419" s="3" t="s">
        <v>24</v>
      </c>
      <c r="D1419" s="3" t="s">
        <v>3480</v>
      </c>
      <c r="E1419" s="3" t="s">
        <v>116</v>
      </c>
      <c r="F1419" s="4" t="s">
        <v>2662</v>
      </c>
      <c r="G1419" s="3" t="s">
        <v>2276</v>
      </c>
      <c r="H1419" s="3" t="s">
        <v>523</v>
      </c>
      <c r="I1419" s="3"/>
      <c r="J1419" s="3" t="s">
        <v>2276</v>
      </c>
      <c r="K1419" s="3" t="s">
        <v>2276</v>
      </c>
      <c r="L1419" s="3" t="s">
        <v>2276</v>
      </c>
      <c r="M1419" s="3" t="s">
        <v>2276</v>
      </c>
      <c r="N1419" s="3" t="s">
        <v>2276</v>
      </c>
      <c r="O1419" s="3" t="s">
        <v>2276</v>
      </c>
      <c r="P1419" s="3" t="s">
        <v>2276</v>
      </c>
      <c r="Q1419" s="3" t="s">
        <v>2276</v>
      </c>
      <c r="R1419" s="3" t="s">
        <v>2276</v>
      </c>
      <c r="S1419" s="3" t="s">
        <v>2276</v>
      </c>
      <c r="T1419" s="3" t="s">
        <v>2276</v>
      </c>
      <c r="U1419" s="3" t="s">
        <v>2276</v>
      </c>
      <c r="V1419" s="3" t="s">
        <v>2276</v>
      </c>
      <c r="W1419" s="3" t="s">
        <v>2276</v>
      </c>
      <c r="X1419" s="3" t="s">
        <v>2276</v>
      </c>
      <c r="Y1419" s="3" t="s">
        <v>2276</v>
      </c>
      <c r="Z1419" s="3" t="s">
        <v>405</v>
      </c>
      <c r="AA1419" s="3" t="s">
        <v>425</v>
      </c>
      <c r="AB1419" s="3" t="s">
        <v>64</v>
      </c>
      <c r="AC1419" s="4" t="s">
        <v>4240</v>
      </c>
      <c r="AD1419" s="3"/>
    </row>
    <row r="1420" spans="1:30" ht="34.5" customHeight="1">
      <c r="A1420" s="11" t="s">
        <v>4221</v>
      </c>
      <c r="B1420" s="11" t="s">
        <v>4238</v>
      </c>
      <c r="C1420" s="3" t="s">
        <v>24</v>
      </c>
      <c r="D1420" s="3" t="s">
        <v>3476</v>
      </c>
      <c r="E1420" s="3" t="s">
        <v>863</v>
      </c>
      <c r="F1420" s="4" t="s">
        <v>2662</v>
      </c>
      <c r="G1420" s="3" t="s">
        <v>2276</v>
      </c>
      <c r="H1420" s="3" t="s">
        <v>523</v>
      </c>
      <c r="I1420" s="3"/>
      <c r="J1420" s="3" t="s">
        <v>2276</v>
      </c>
      <c r="K1420" s="3" t="s">
        <v>2276</v>
      </c>
      <c r="L1420" s="3" t="s">
        <v>2276</v>
      </c>
      <c r="M1420" s="3" t="s">
        <v>2276</v>
      </c>
      <c r="N1420" s="3" t="s">
        <v>2276</v>
      </c>
      <c r="O1420" s="3" t="s">
        <v>2276</v>
      </c>
      <c r="P1420" s="3" t="s">
        <v>2276</v>
      </c>
      <c r="Q1420" s="3" t="s">
        <v>2276</v>
      </c>
      <c r="R1420" s="3" t="s">
        <v>2276</v>
      </c>
      <c r="S1420" s="3" t="s">
        <v>2276</v>
      </c>
      <c r="T1420" s="3" t="s">
        <v>2276</v>
      </c>
      <c r="U1420" s="3" t="s">
        <v>2276</v>
      </c>
      <c r="V1420" s="3" t="s">
        <v>2276</v>
      </c>
      <c r="W1420" s="3" t="s">
        <v>2276</v>
      </c>
      <c r="X1420" s="3" t="s">
        <v>2276</v>
      </c>
      <c r="Y1420" s="3" t="s">
        <v>2276</v>
      </c>
      <c r="Z1420" s="3" t="s">
        <v>188</v>
      </c>
      <c r="AA1420" s="3" t="s">
        <v>35</v>
      </c>
      <c r="AB1420" s="3" t="s">
        <v>64</v>
      </c>
      <c r="AC1420" s="3" t="s">
        <v>4243</v>
      </c>
      <c r="AD1420" s="3"/>
    </row>
    <row r="1421" spans="1:30" ht="39" customHeight="1">
      <c r="A1421" s="11" t="s">
        <v>4221</v>
      </c>
      <c r="B1421" s="11" t="s">
        <v>4239</v>
      </c>
      <c r="C1421" s="3" t="s">
        <v>24</v>
      </c>
      <c r="D1421" s="3" t="s">
        <v>26</v>
      </c>
      <c r="E1421" s="3" t="s">
        <v>2276</v>
      </c>
      <c r="F1421" s="4" t="s">
        <v>2662</v>
      </c>
      <c r="G1421" s="3" t="s">
        <v>2276</v>
      </c>
      <c r="H1421" s="3" t="s">
        <v>523</v>
      </c>
      <c r="I1421" s="3"/>
      <c r="J1421" s="3" t="s">
        <v>2276</v>
      </c>
      <c r="K1421" s="3" t="s">
        <v>2276</v>
      </c>
      <c r="L1421" s="3" t="s">
        <v>2276</v>
      </c>
      <c r="M1421" s="3" t="s">
        <v>2276</v>
      </c>
      <c r="N1421" s="3" t="s">
        <v>2276</v>
      </c>
      <c r="O1421" s="3" t="s">
        <v>2276</v>
      </c>
      <c r="P1421" s="3" t="s">
        <v>2276</v>
      </c>
      <c r="Q1421" s="3" t="s">
        <v>2276</v>
      </c>
      <c r="R1421" s="3" t="s">
        <v>2276</v>
      </c>
      <c r="S1421" s="3" t="s">
        <v>2276</v>
      </c>
      <c r="T1421" s="3" t="s">
        <v>2276</v>
      </c>
      <c r="U1421" s="3" t="s">
        <v>2276</v>
      </c>
      <c r="V1421" s="3" t="s">
        <v>2276</v>
      </c>
      <c r="W1421" s="3" t="s">
        <v>2276</v>
      </c>
      <c r="X1421" s="3" t="s">
        <v>2276</v>
      </c>
      <c r="Y1421" s="3" t="s">
        <v>2276</v>
      </c>
      <c r="Z1421" s="3" t="s">
        <v>405</v>
      </c>
      <c r="AA1421" s="3" t="s">
        <v>68</v>
      </c>
      <c r="AB1421" s="3" t="s">
        <v>64</v>
      </c>
      <c r="AC1421" s="4" t="s">
        <v>4242</v>
      </c>
      <c r="AD1421" s="3"/>
    </row>
    <row r="1422" spans="1:30" ht="40" customHeight="1">
      <c r="A1422" s="11" t="s">
        <v>4221</v>
      </c>
      <c r="B1422" s="11" t="s">
        <v>4244</v>
      </c>
      <c r="C1422" s="3" t="s">
        <v>24</v>
      </c>
      <c r="D1422" s="3" t="s">
        <v>1245</v>
      </c>
      <c r="E1422" s="3" t="s">
        <v>116</v>
      </c>
      <c r="F1422" s="4" t="s">
        <v>2662</v>
      </c>
      <c r="G1422" s="3" t="s">
        <v>2276</v>
      </c>
      <c r="H1422" s="3" t="s">
        <v>523</v>
      </c>
      <c r="I1422" s="3"/>
      <c r="J1422" s="3" t="s">
        <v>2276</v>
      </c>
      <c r="K1422" s="3" t="s">
        <v>2276</v>
      </c>
      <c r="L1422" s="3" t="s">
        <v>2276</v>
      </c>
      <c r="M1422" s="3" t="s">
        <v>2276</v>
      </c>
      <c r="N1422" s="3" t="s">
        <v>2276</v>
      </c>
      <c r="O1422" s="3" t="s">
        <v>2276</v>
      </c>
      <c r="P1422" s="3" t="s">
        <v>2276</v>
      </c>
      <c r="Q1422" s="3" t="s">
        <v>2276</v>
      </c>
      <c r="R1422" s="3" t="s">
        <v>2276</v>
      </c>
      <c r="S1422" s="3" t="s">
        <v>2276</v>
      </c>
      <c r="T1422" s="3" t="s">
        <v>2276</v>
      </c>
      <c r="U1422" s="3" t="s">
        <v>2276</v>
      </c>
      <c r="V1422" s="3" t="s">
        <v>2276</v>
      </c>
      <c r="W1422" s="3" t="s">
        <v>2276</v>
      </c>
      <c r="X1422" s="3" t="s">
        <v>2276</v>
      </c>
      <c r="Y1422" s="3" t="s">
        <v>2276</v>
      </c>
      <c r="Z1422" s="3" t="s">
        <v>188</v>
      </c>
      <c r="AA1422" s="3" t="s">
        <v>35</v>
      </c>
      <c r="AB1422" s="3" t="s">
        <v>64</v>
      </c>
      <c r="AC1422" s="3" t="s">
        <v>4245</v>
      </c>
      <c r="AD1422" s="3"/>
    </row>
    <row r="1423" spans="1:30" ht="50.5" customHeight="1">
      <c r="A1423" s="11" t="s">
        <v>4221</v>
      </c>
      <c r="B1423" s="11" t="s">
        <v>4246</v>
      </c>
      <c r="C1423" s="3" t="s">
        <v>24</v>
      </c>
      <c r="D1423" s="3" t="s">
        <v>25</v>
      </c>
      <c r="E1423" s="4" t="s">
        <v>3854</v>
      </c>
      <c r="F1423" s="4" t="s">
        <v>2662</v>
      </c>
      <c r="G1423" s="3" t="s">
        <v>2276</v>
      </c>
      <c r="H1423" s="3" t="s">
        <v>523</v>
      </c>
      <c r="I1423" s="3"/>
      <c r="J1423" s="3" t="s">
        <v>2276</v>
      </c>
      <c r="K1423" s="3" t="s">
        <v>2276</v>
      </c>
      <c r="L1423" s="3" t="s">
        <v>2276</v>
      </c>
      <c r="M1423" s="3" t="s">
        <v>2276</v>
      </c>
      <c r="N1423" s="3" t="s">
        <v>2276</v>
      </c>
      <c r="O1423" s="3" t="s">
        <v>2276</v>
      </c>
      <c r="P1423" s="3" t="s">
        <v>2276</v>
      </c>
      <c r="Q1423" s="3" t="s">
        <v>2276</v>
      </c>
      <c r="R1423" s="3" t="s">
        <v>2276</v>
      </c>
      <c r="S1423" s="3" t="s">
        <v>2276</v>
      </c>
      <c r="T1423" s="3" t="s">
        <v>2276</v>
      </c>
      <c r="U1423" s="3" t="s">
        <v>2276</v>
      </c>
      <c r="V1423" s="3" t="s">
        <v>2276</v>
      </c>
      <c r="W1423" s="3" t="s">
        <v>2276</v>
      </c>
      <c r="X1423" s="3" t="s">
        <v>2276</v>
      </c>
      <c r="Y1423" s="3" t="s">
        <v>2276</v>
      </c>
      <c r="Z1423" s="3" t="s">
        <v>2276</v>
      </c>
      <c r="AA1423" s="3" t="s">
        <v>2276</v>
      </c>
      <c r="AB1423" s="3" t="s">
        <v>2276</v>
      </c>
      <c r="AC1423" s="3" t="s">
        <v>4247</v>
      </c>
      <c r="AD1423" s="3"/>
    </row>
    <row r="1424" spans="1:30" ht="54.5" customHeight="1">
      <c r="A1424" s="11" t="s">
        <v>4256</v>
      </c>
      <c r="B1424" s="11" t="s">
        <v>4263</v>
      </c>
      <c r="C1424" s="3" t="s">
        <v>24</v>
      </c>
      <c r="D1424" s="3" t="s">
        <v>25</v>
      </c>
      <c r="E1424" s="4" t="s">
        <v>3854</v>
      </c>
      <c r="F1424" s="4" t="s">
        <v>2662</v>
      </c>
      <c r="G1424" s="3" t="s">
        <v>2276</v>
      </c>
      <c r="H1424" s="3" t="s">
        <v>523</v>
      </c>
      <c r="I1424" s="3"/>
      <c r="J1424" s="3" t="s">
        <v>2276</v>
      </c>
      <c r="K1424" s="3" t="s">
        <v>2276</v>
      </c>
      <c r="L1424" s="3" t="s">
        <v>2276</v>
      </c>
      <c r="M1424" s="3" t="s">
        <v>2276</v>
      </c>
      <c r="N1424" s="3" t="s">
        <v>2276</v>
      </c>
      <c r="O1424" s="3" t="s">
        <v>2276</v>
      </c>
      <c r="P1424" s="3" t="s">
        <v>2276</v>
      </c>
      <c r="Q1424" s="3" t="s">
        <v>2276</v>
      </c>
      <c r="R1424" s="3" t="s">
        <v>2276</v>
      </c>
      <c r="S1424" s="3" t="s">
        <v>2276</v>
      </c>
      <c r="T1424" s="3" t="s">
        <v>2276</v>
      </c>
      <c r="U1424" s="3" t="s">
        <v>2276</v>
      </c>
      <c r="V1424" s="3" t="s">
        <v>2276</v>
      </c>
      <c r="W1424" s="3" t="s">
        <v>2276</v>
      </c>
      <c r="X1424" s="3" t="s">
        <v>2276</v>
      </c>
      <c r="Y1424" s="3" t="s">
        <v>2276</v>
      </c>
      <c r="Z1424" s="3" t="s">
        <v>2276</v>
      </c>
      <c r="AA1424" s="3" t="s">
        <v>2276</v>
      </c>
      <c r="AB1424" s="3" t="s">
        <v>2276</v>
      </c>
      <c r="AC1424" s="3" t="s">
        <v>4273</v>
      </c>
      <c r="AD1424" s="4" t="s">
        <v>4279</v>
      </c>
    </row>
    <row r="1425" spans="1:30" ht="60" customHeight="1">
      <c r="A1425" s="11" t="s">
        <v>4256</v>
      </c>
      <c r="B1425" s="11" t="s">
        <v>4264</v>
      </c>
      <c r="C1425" s="3" t="s">
        <v>2458</v>
      </c>
      <c r="D1425" s="3" t="s">
        <v>25</v>
      </c>
      <c r="E1425" s="4" t="s">
        <v>3854</v>
      </c>
      <c r="F1425" s="4" t="s">
        <v>74</v>
      </c>
      <c r="G1425" s="3" t="s">
        <v>2276</v>
      </c>
      <c r="H1425" s="3" t="s">
        <v>523</v>
      </c>
      <c r="I1425" s="3"/>
      <c r="J1425" s="3" t="s">
        <v>2276</v>
      </c>
      <c r="K1425" s="3" t="s">
        <v>2276</v>
      </c>
      <c r="L1425" s="3" t="s">
        <v>2276</v>
      </c>
      <c r="M1425" s="3" t="s">
        <v>2276</v>
      </c>
      <c r="N1425" s="3" t="s">
        <v>2276</v>
      </c>
      <c r="O1425" s="3" t="s">
        <v>2276</v>
      </c>
      <c r="P1425" s="3" t="s">
        <v>2276</v>
      </c>
      <c r="Q1425" s="3" t="s">
        <v>2276</v>
      </c>
      <c r="R1425" s="3" t="s">
        <v>2276</v>
      </c>
      <c r="S1425" s="3" t="s">
        <v>2276</v>
      </c>
      <c r="T1425" s="3" t="s">
        <v>2276</v>
      </c>
      <c r="U1425" s="3" t="s">
        <v>2276</v>
      </c>
      <c r="V1425" s="3" t="s">
        <v>2276</v>
      </c>
      <c r="W1425" s="3" t="s">
        <v>2276</v>
      </c>
      <c r="X1425" s="3" t="s">
        <v>2276</v>
      </c>
      <c r="Y1425" s="3" t="s">
        <v>2276</v>
      </c>
      <c r="Z1425" s="3" t="s">
        <v>2276</v>
      </c>
      <c r="AA1425" s="3" t="s">
        <v>2276</v>
      </c>
      <c r="AB1425" s="3" t="s">
        <v>2276</v>
      </c>
      <c r="AC1425" s="3" t="s">
        <v>2276</v>
      </c>
      <c r="AD1425" s="4" t="s">
        <v>4279</v>
      </c>
    </row>
    <row r="1426" spans="1:30" ht="54.5" customHeight="1">
      <c r="A1426" s="11" t="s">
        <v>4256</v>
      </c>
      <c r="B1426" s="11" t="s">
        <v>4265</v>
      </c>
      <c r="C1426" s="3" t="s">
        <v>24</v>
      </c>
      <c r="D1426" s="3" t="s">
        <v>2994</v>
      </c>
      <c r="E1426" s="4" t="s">
        <v>1105</v>
      </c>
      <c r="F1426" s="4" t="s">
        <v>2276</v>
      </c>
      <c r="G1426" s="3" t="s">
        <v>2276</v>
      </c>
      <c r="H1426" s="3" t="s">
        <v>523</v>
      </c>
      <c r="I1426" s="3"/>
      <c r="J1426" s="3" t="s">
        <v>2276</v>
      </c>
      <c r="K1426" s="3" t="s">
        <v>2276</v>
      </c>
      <c r="L1426" s="3" t="s">
        <v>2276</v>
      </c>
      <c r="M1426" s="3" t="s">
        <v>2276</v>
      </c>
      <c r="N1426" s="3" t="s">
        <v>2276</v>
      </c>
      <c r="O1426" s="3" t="s">
        <v>2276</v>
      </c>
      <c r="P1426" s="3" t="s">
        <v>2276</v>
      </c>
      <c r="Q1426" s="3" t="s">
        <v>2276</v>
      </c>
      <c r="R1426" s="3" t="s">
        <v>2276</v>
      </c>
      <c r="S1426" s="3" t="s">
        <v>2276</v>
      </c>
      <c r="T1426" s="3" t="s">
        <v>2276</v>
      </c>
      <c r="U1426" s="3" t="s">
        <v>2276</v>
      </c>
      <c r="V1426" s="3" t="s">
        <v>2276</v>
      </c>
      <c r="W1426" s="3" t="s">
        <v>2276</v>
      </c>
      <c r="X1426" s="3" t="s">
        <v>2276</v>
      </c>
      <c r="Y1426" s="3" t="s">
        <v>2276</v>
      </c>
      <c r="Z1426" s="3" t="s">
        <v>2276</v>
      </c>
      <c r="AA1426" s="3" t="s">
        <v>2276</v>
      </c>
      <c r="AB1426" s="3" t="s">
        <v>2276</v>
      </c>
      <c r="AC1426" s="3" t="s">
        <v>4278</v>
      </c>
      <c r="AD1426" s="4" t="s">
        <v>4279</v>
      </c>
    </row>
    <row r="1427" spans="1:30" ht="48" customHeight="1">
      <c r="A1427" s="11" t="s">
        <v>4256</v>
      </c>
      <c r="B1427" s="11" t="s">
        <v>4266</v>
      </c>
      <c r="C1427" s="3" t="s">
        <v>2458</v>
      </c>
      <c r="D1427" s="3" t="s">
        <v>2994</v>
      </c>
      <c r="E1427" s="4" t="s">
        <v>1105</v>
      </c>
      <c r="F1427" s="4" t="s">
        <v>2276</v>
      </c>
      <c r="G1427" s="3" t="s">
        <v>2276</v>
      </c>
      <c r="H1427" s="3" t="s">
        <v>523</v>
      </c>
      <c r="I1427" s="3"/>
      <c r="J1427" s="3" t="s">
        <v>2276</v>
      </c>
      <c r="K1427" s="3" t="s">
        <v>2276</v>
      </c>
      <c r="L1427" s="3" t="s">
        <v>2276</v>
      </c>
      <c r="M1427" s="3" t="s">
        <v>2276</v>
      </c>
      <c r="N1427" s="3" t="s">
        <v>2276</v>
      </c>
      <c r="O1427" s="3" t="s">
        <v>2276</v>
      </c>
      <c r="P1427" s="3" t="s">
        <v>2276</v>
      </c>
      <c r="Q1427" s="3" t="s">
        <v>2276</v>
      </c>
      <c r="R1427" s="3" t="s">
        <v>2276</v>
      </c>
      <c r="S1427" s="3" t="s">
        <v>2276</v>
      </c>
      <c r="T1427" s="3" t="s">
        <v>2276</v>
      </c>
      <c r="U1427" s="3" t="s">
        <v>2276</v>
      </c>
      <c r="V1427" s="3" t="s">
        <v>2276</v>
      </c>
      <c r="W1427" s="3" t="s">
        <v>2276</v>
      </c>
      <c r="X1427" s="3" t="s">
        <v>2276</v>
      </c>
      <c r="Y1427" s="3" t="s">
        <v>2276</v>
      </c>
      <c r="Z1427" s="3" t="s">
        <v>2276</v>
      </c>
      <c r="AA1427" s="3" t="s">
        <v>2276</v>
      </c>
      <c r="AB1427" s="3" t="s">
        <v>2276</v>
      </c>
      <c r="AC1427" s="3" t="s">
        <v>2276</v>
      </c>
      <c r="AD1427" s="4" t="s">
        <v>4279</v>
      </c>
    </row>
    <row r="1428" spans="1:30" ht="42" customHeight="1">
      <c r="A1428" s="11" t="s">
        <v>4256</v>
      </c>
      <c r="B1428" s="11" t="s">
        <v>4267</v>
      </c>
      <c r="C1428" s="3" t="s">
        <v>31</v>
      </c>
      <c r="D1428" s="3" t="s">
        <v>30</v>
      </c>
      <c r="E1428" s="3" t="s">
        <v>1105</v>
      </c>
      <c r="F1428" s="4" t="s">
        <v>2276</v>
      </c>
      <c r="G1428" s="3" t="s">
        <v>2276</v>
      </c>
      <c r="H1428" s="3" t="s">
        <v>523</v>
      </c>
      <c r="I1428" s="3"/>
      <c r="J1428" s="3" t="s">
        <v>2276</v>
      </c>
      <c r="K1428" s="3" t="s">
        <v>2276</v>
      </c>
      <c r="L1428" s="3" t="s">
        <v>2276</v>
      </c>
      <c r="M1428" s="3" t="s">
        <v>2276</v>
      </c>
      <c r="N1428" s="3" t="s">
        <v>2276</v>
      </c>
      <c r="O1428" s="3" t="s">
        <v>2276</v>
      </c>
      <c r="P1428" s="3" t="s">
        <v>2276</v>
      </c>
      <c r="Q1428" s="3" t="s">
        <v>2276</v>
      </c>
      <c r="R1428" s="3" t="s">
        <v>2276</v>
      </c>
      <c r="S1428" s="3" t="s">
        <v>2276</v>
      </c>
      <c r="T1428" s="3" t="s">
        <v>2276</v>
      </c>
      <c r="U1428" s="3" t="s">
        <v>2276</v>
      </c>
      <c r="V1428" s="3" t="s">
        <v>2276</v>
      </c>
      <c r="W1428" s="3" t="s">
        <v>2276</v>
      </c>
      <c r="X1428" s="3" t="s">
        <v>2276</v>
      </c>
      <c r="Y1428" s="3" t="s">
        <v>2276</v>
      </c>
      <c r="Z1428" s="3" t="s">
        <v>2276</v>
      </c>
      <c r="AA1428" s="3" t="s">
        <v>2276</v>
      </c>
      <c r="AB1428" s="3" t="s">
        <v>2276</v>
      </c>
      <c r="AC1428" s="4" t="s">
        <v>4275</v>
      </c>
      <c r="AD1428" s="4" t="s">
        <v>4279</v>
      </c>
    </row>
    <row r="1429" spans="1:30" ht="48" customHeight="1">
      <c r="A1429" s="11" t="s">
        <v>4256</v>
      </c>
      <c r="B1429" s="11" t="s">
        <v>4268</v>
      </c>
      <c r="C1429" s="3" t="s">
        <v>31</v>
      </c>
      <c r="D1429" s="3" t="s">
        <v>30</v>
      </c>
      <c r="E1429" s="3" t="s">
        <v>2652</v>
      </c>
      <c r="F1429" s="4" t="s">
        <v>2276</v>
      </c>
      <c r="G1429" s="3" t="s">
        <v>2276</v>
      </c>
      <c r="H1429" s="3" t="s">
        <v>523</v>
      </c>
      <c r="I1429" s="3"/>
      <c r="J1429" s="3" t="s">
        <v>2276</v>
      </c>
      <c r="K1429" s="3" t="s">
        <v>2276</v>
      </c>
      <c r="L1429" s="3" t="s">
        <v>2276</v>
      </c>
      <c r="M1429" s="3" t="s">
        <v>2276</v>
      </c>
      <c r="N1429" s="3" t="s">
        <v>2276</v>
      </c>
      <c r="O1429" s="3" t="s">
        <v>2276</v>
      </c>
      <c r="P1429" s="3" t="s">
        <v>2276</v>
      </c>
      <c r="Q1429" s="3" t="s">
        <v>2276</v>
      </c>
      <c r="R1429" s="3" t="s">
        <v>2276</v>
      </c>
      <c r="S1429" s="3" t="s">
        <v>2276</v>
      </c>
      <c r="T1429" s="3" t="s">
        <v>2276</v>
      </c>
      <c r="U1429" s="3" t="s">
        <v>2276</v>
      </c>
      <c r="V1429" s="3" t="s">
        <v>2276</v>
      </c>
      <c r="W1429" s="3" t="s">
        <v>2276</v>
      </c>
      <c r="X1429" s="3" t="s">
        <v>2276</v>
      </c>
      <c r="Y1429" s="3" t="s">
        <v>2276</v>
      </c>
      <c r="Z1429" s="3" t="s">
        <v>2276</v>
      </c>
      <c r="AA1429" s="3" t="s">
        <v>2276</v>
      </c>
      <c r="AB1429" s="3" t="s">
        <v>2276</v>
      </c>
      <c r="AC1429" s="4" t="s">
        <v>4274</v>
      </c>
      <c r="AD1429" s="4" t="s">
        <v>4279</v>
      </c>
    </row>
    <row r="1430" spans="1:30" ht="60" customHeight="1">
      <c r="A1430" s="11" t="s">
        <v>4256</v>
      </c>
      <c r="B1430" s="11" t="s">
        <v>4269</v>
      </c>
      <c r="C1430" s="3" t="s">
        <v>24</v>
      </c>
      <c r="D1430" s="3" t="s">
        <v>2231</v>
      </c>
      <c r="E1430" s="4" t="s">
        <v>3854</v>
      </c>
      <c r="F1430" s="4" t="s">
        <v>2276</v>
      </c>
      <c r="G1430" s="3" t="s">
        <v>2276</v>
      </c>
      <c r="H1430" s="3" t="s">
        <v>523</v>
      </c>
      <c r="I1430" s="3"/>
      <c r="J1430" s="3" t="s">
        <v>2276</v>
      </c>
      <c r="K1430" s="3" t="s">
        <v>2276</v>
      </c>
      <c r="L1430" s="3" t="s">
        <v>2276</v>
      </c>
      <c r="M1430" s="3" t="s">
        <v>2276</v>
      </c>
      <c r="N1430" s="3" t="s">
        <v>2276</v>
      </c>
      <c r="O1430" s="3" t="s">
        <v>2276</v>
      </c>
      <c r="P1430" s="3" t="s">
        <v>2276</v>
      </c>
      <c r="Q1430" s="3" t="s">
        <v>2276</v>
      </c>
      <c r="R1430" s="3" t="s">
        <v>2276</v>
      </c>
      <c r="S1430" s="3" t="s">
        <v>2276</v>
      </c>
      <c r="T1430" s="3" t="s">
        <v>2276</v>
      </c>
      <c r="U1430" s="3" t="s">
        <v>2276</v>
      </c>
      <c r="V1430" s="3" t="s">
        <v>2276</v>
      </c>
      <c r="W1430" s="3" t="s">
        <v>2276</v>
      </c>
      <c r="X1430" s="3" t="s">
        <v>2276</v>
      </c>
      <c r="Y1430" s="3" t="s">
        <v>2276</v>
      </c>
      <c r="Z1430" s="3" t="s">
        <v>2276</v>
      </c>
      <c r="AA1430" s="3" t="s">
        <v>2276</v>
      </c>
      <c r="AB1430" s="3" t="s">
        <v>2276</v>
      </c>
      <c r="AC1430" s="3" t="s">
        <v>4276</v>
      </c>
      <c r="AD1430" s="4" t="s">
        <v>4279</v>
      </c>
    </row>
    <row r="1431" spans="1:30" ht="54.5" customHeight="1">
      <c r="A1431" s="11" t="s">
        <v>4256</v>
      </c>
      <c r="B1431" s="11" t="s">
        <v>4270</v>
      </c>
      <c r="C1431" s="3" t="s">
        <v>24</v>
      </c>
      <c r="D1431" s="3" t="s">
        <v>2659</v>
      </c>
      <c r="E1431" s="4" t="s">
        <v>3854</v>
      </c>
      <c r="F1431" s="4" t="s">
        <v>2276</v>
      </c>
      <c r="G1431" s="3" t="s">
        <v>2276</v>
      </c>
      <c r="H1431" s="3" t="s">
        <v>523</v>
      </c>
      <c r="I1431" s="3"/>
      <c r="J1431" s="3" t="s">
        <v>2276</v>
      </c>
      <c r="K1431" s="3" t="s">
        <v>2276</v>
      </c>
      <c r="L1431" s="3" t="s">
        <v>2276</v>
      </c>
      <c r="M1431" s="3" t="s">
        <v>2276</v>
      </c>
      <c r="N1431" s="3" t="s">
        <v>2276</v>
      </c>
      <c r="O1431" s="3" t="s">
        <v>2276</v>
      </c>
      <c r="P1431" s="3" t="s">
        <v>2276</v>
      </c>
      <c r="Q1431" s="3" t="s">
        <v>2276</v>
      </c>
      <c r="R1431" s="3" t="s">
        <v>2276</v>
      </c>
      <c r="S1431" s="3" t="s">
        <v>2276</v>
      </c>
      <c r="T1431" s="3" t="s">
        <v>2276</v>
      </c>
      <c r="U1431" s="3" t="s">
        <v>2276</v>
      </c>
      <c r="V1431" s="3" t="s">
        <v>2276</v>
      </c>
      <c r="W1431" s="3" t="s">
        <v>2276</v>
      </c>
      <c r="X1431" s="3" t="s">
        <v>2276</v>
      </c>
      <c r="Y1431" s="3" t="s">
        <v>2276</v>
      </c>
      <c r="Z1431" s="3" t="s">
        <v>2276</v>
      </c>
      <c r="AA1431" s="3" t="s">
        <v>2276</v>
      </c>
      <c r="AB1431" s="3" t="s">
        <v>2276</v>
      </c>
      <c r="AC1431" s="3" t="s">
        <v>4277</v>
      </c>
      <c r="AD1431" s="4" t="s">
        <v>4279</v>
      </c>
    </row>
    <row r="1432" spans="1:30" ht="50" customHeight="1">
      <c r="A1432" s="11" t="s">
        <v>4256</v>
      </c>
      <c r="B1432" s="11" t="s">
        <v>4271</v>
      </c>
      <c r="C1432" s="3" t="s">
        <v>24</v>
      </c>
      <c r="D1432" s="3" t="s">
        <v>2346</v>
      </c>
      <c r="E1432" s="4" t="s">
        <v>2276</v>
      </c>
      <c r="F1432" s="4" t="s">
        <v>2276</v>
      </c>
      <c r="G1432" s="3" t="s">
        <v>2276</v>
      </c>
      <c r="H1432" s="3" t="s">
        <v>523</v>
      </c>
      <c r="I1432" s="3"/>
      <c r="J1432" s="3" t="s">
        <v>2276</v>
      </c>
      <c r="K1432" s="3" t="s">
        <v>2276</v>
      </c>
      <c r="L1432" s="3" t="s">
        <v>2276</v>
      </c>
      <c r="M1432" s="3" t="s">
        <v>2276</v>
      </c>
      <c r="N1432" s="3" t="s">
        <v>2276</v>
      </c>
      <c r="O1432" s="3" t="s">
        <v>2276</v>
      </c>
      <c r="P1432" s="3" t="s">
        <v>2276</v>
      </c>
      <c r="Q1432" s="3" t="s">
        <v>2276</v>
      </c>
      <c r="R1432" s="3" t="s">
        <v>2276</v>
      </c>
      <c r="S1432" s="3" t="s">
        <v>2276</v>
      </c>
      <c r="T1432" s="3" t="s">
        <v>2276</v>
      </c>
      <c r="U1432" s="3" t="s">
        <v>2276</v>
      </c>
      <c r="V1432" s="3" t="s">
        <v>2276</v>
      </c>
      <c r="W1432" s="3" t="s">
        <v>2276</v>
      </c>
      <c r="X1432" s="3" t="s">
        <v>2276</v>
      </c>
      <c r="Y1432" s="3" t="s">
        <v>2276</v>
      </c>
      <c r="Z1432" s="3" t="s">
        <v>2276</v>
      </c>
      <c r="AA1432" s="3" t="s">
        <v>2276</v>
      </c>
      <c r="AB1432" s="3" t="s">
        <v>2276</v>
      </c>
      <c r="AC1432" s="169" t="s">
        <v>4280</v>
      </c>
      <c r="AD1432" s="4" t="s">
        <v>4279</v>
      </c>
    </row>
    <row r="1433" spans="1:30" ht="27" customHeight="1">
      <c r="A1433" s="11" t="s">
        <v>4257</v>
      </c>
      <c r="B1433" s="11" t="s">
        <v>4281</v>
      </c>
      <c r="C1433" s="3" t="s">
        <v>24</v>
      </c>
      <c r="D1433" s="3" t="s">
        <v>25</v>
      </c>
      <c r="E1433" s="4" t="s">
        <v>3854</v>
      </c>
      <c r="F1433" s="4" t="s">
        <v>2662</v>
      </c>
      <c r="G1433" s="3" t="s">
        <v>2276</v>
      </c>
      <c r="H1433" s="3" t="s">
        <v>523</v>
      </c>
      <c r="I1433" s="3"/>
      <c r="J1433" s="3" t="s">
        <v>2276</v>
      </c>
      <c r="K1433" s="3" t="s">
        <v>2276</v>
      </c>
      <c r="L1433" s="3" t="s">
        <v>2276</v>
      </c>
      <c r="M1433" s="3" t="s">
        <v>2276</v>
      </c>
      <c r="N1433" s="3" t="s">
        <v>2276</v>
      </c>
      <c r="O1433" s="3" t="s">
        <v>2276</v>
      </c>
      <c r="P1433" s="3" t="s">
        <v>2276</v>
      </c>
      <c r="Q1433" s="3" t="s">
        <v>2276</v>
      </c>
      <c r="R1433" s="3" t="s">
        <v>2276</v>
      </c>
      <c r="S1433" s="3" t="s">
        <v>2276</v>
      </c>
      <c r="T1433" s="3" t="s">
        <v>2276</v>
      </c>
      <c r="U1433" s="3" t="s">
        <v>2276</v>
      </c>
      <c r="V1433" s="3" t="s">
        <v>2276</v>
      </c>
      <c r="W1433" s="3" t="s">
        <v>2276</v>
      </c>
      <c r="X1433" s="3" t="s">
        <v>2276</v>
      </c>
      <c r="Y1433" s="3" t="s">
        <v>2276</v>
      </c>
      <c r="Z1433" s="3" t="s">
        <v>2276</v>
      </c>
      <c r="AA1433" s="3" t="s">
        <v>2276</v>
      </c>
      <c r="AB1433" s="3" t="s">
        <v>2276</v>
      </c>
      <c r="AC1433" s="3" t="s">
        <v>4273</v>
      </c>
      <c r="AD1433" s="4" t="s">
        <v>4279</v>
      </c>
    </row>
    <row r="1434" spans="1:30" ht="29">
      <c r="A1434" s="11" t="s">
        <v>4257</v>
      </c>
      <c r="B1434" s="11" t="s">
        <v>4282</v>
      </c>
      <c r="C1434" s="3" t="s">
        <v>2458</v>
      </c>
      <c r="D1434" s="3" t="s">
        <v>25</v>
      </c>
      <c r="E1434" s="4" t="s">
        <v>3854</v>
      </c>
      <c r="F1434" s="4" t="s">
        <v>74</v>
      </c>
      <c r="G1434" s="3" t="s">
        <v>2276</v>
      </c>
      <c r="H1434" s="3" t="s">
        <v>523</v>
      </c>
      <c r="I1434" s="3"/>
      <c r="J1434" s="3" t="s">
        <v>2276</v>
      </c>
      <c r="K1434" s="3" t="s">
        <v>2276</v>
      </c>
      <c r="L1434" s="3" t="s">
        <v>2276</v>
      </c>
      <c r="M1434" s="3" t="s">
        <v>2276</v>
      </c>
      <c r="N1434" s="3" t="s">
        <v>2276</v>
      </c>
      <c r="O1434" s="3" t="s">
        <v>2276</v>
      </c>
      <c r="P1434" s="3" t="s">
        <v>2276</v>
      </c>
      <c r="Q1434" s="3" t="s">
        <v>2276</v>
      </c>
      <c r="R1434" s="3" t="s">
        <v>2276</v>
      </c>
      <c r="S1434" s="3" t="s">
        <v>2276</v>
      </c>
      <c r="T1434" s="3" t="s">
        <v>2276</v>
      </c>
      <c r="U1434" s="3" t="s">
        <v>2276</v>
      </c>
      <c r="V1434" s="3" t="s">
        <v>2276</v>
      </c>
      <c r="W1434" s="3" t="s">
        <v>2276</v>
      </c>
      <c r="X1434" s="3" t="s">
        <v>2276</v>
      </c>
      <c r="Y1434" s="3" t="s">
        <v>2276</v>
      </c>
      <c r="Z1434" s="3" t="s">
        <v>2276</v>
      </c>
      <c r="AA1434" s="3" t="s">
        <v>2276</v>
      </c>
      <c r="AB1434" s="3" t="s">
        <v>2276</v>
      </c>
      <c r="AC1434" s="3" t="s">
        <v>2276</v>
      </c>
      <c r="AD1434" s="4" t="s">
        <v>4279</v>
      </c>
    </row>
    <row r="1435" spans="1:30" ht="29">
      <c r="A1435" s="11" t="s">
        <v>4257</v>
      </c>
      <c r="B1435" s="11" t="s">
        <v>4283</v>
      </c>
      <c r="C1435" s="3" t="s">
        <v>24</v>
      </c>
      <c r="D1435" s="3" t="s">
        <v>2994</v>
      </c>
      <c r="E1435" s="4" t="s">
        <v>1105</v>
      </c>
      <c r="F1435" s="4" t="s">
        <v>2276</v>
      </c>
      <c r="G1435" s="3" t="s">
        <v>2276</v>
      </c>
      <c r="H1435" s="3" t="s">
        <v>523</v>
      </c>
      <c r="I1435" s="3"/>
      <c r="J1435" s="3" t="s">
        <v>2276</v>
      </c>
      <c r="K1435" s="3" t="s">
        <v>2276</v>
      </c>
      <c r="L1435" s="3" t="s">
        <v>2276</v>
      </c>
      <c r="M1435" s="3" t="s">
        <v>2276</v>
      </c>
      <c r="N1435" s="3" t="s">
        <v>2276</v>
      </c>
      <c r="O1435" s="3" t="s">
        <v>2276</v>
      </c>
      <c r="P1435" s="3" t="s">
        <v>2276</v>
      </c>
      <c r="Q1435" s="3" t="s">
        <v>2276</v>
      </c>
      <c r="R1435" s="3" t="s">
        <v>2276</v>
      </c>
      <c r="S1435" s="3" t="s">
        <v>2276</v>
      </c>
      <c r="T1435" s="3" t="s">
        <v>2276</v>
      </c>
      <c r="U1435" s="3" t="s">
        <v>2276</v>
      </c>
      <c r="V1435" s="3" t="s">
        <v>2276</v>
      </c>
      <c r="W1435" s="3" t="s">
        <v>2276</v>
      </c>
      <c r="X1435" s="3" t="s">
        <v>2276</v>
      </c>
      <c r="Y1435" s="3" t="s">
        <v>2276</v>
      </c>
      <c r="Z1435" s="3" t="s">
        <v>2276</v>
      </c>
      <c r="AA1435" s="3" t="s">
        <v>2276</v>
      </c>
      <c r="AB1435" s="3" t="s">
        <v>2276</v>
      </c>
      <c r="AC1435" s="3" t="s">
        <v>4278</v>
      </c>
      <c r="AD1435" s="4" t="s">
        <v>4279</v>
      </c>
    </row>
    <row r="1436" spans="1:30" ht="29">
      <c r="A1436" s="11" t="s">
        <v>4257</v>
      </c>
      <c r="B1436" s="11" t="s">
        <v>4284</v>
      </c>
      <c r="C1436" s="3" t="s">
        <v>2458</v>
      </c>
      <c r="D1436" s="3" t="s">
        <v>2994</v>
      </c>
      <c r="E1436" s="4" t="s">
        <v>1105</v>
      </c>
      <c r="F1436" s="4" t="s">
        <v>2276</v>
      </c>
      <c r="G1436" s="3" t="s">
        <v>2276</v>
      </c>
      <c r="H1436" s="3" t="s">
        <v>523</v>
      </c>
      <c r="I1436" s="3"/>
      <c r="J1436" s="3" t="s">
        <v>2276</v>
      </c>
      <c r="K1436" s="3" t="s">
        <v>2276</v>
      </c>
      <c r="L1436" s="3" t="s">
        <v>2276</v>
      </c>
      <c r="M1436" s="3" t="s">
        <v>2276</v>
      </c>
      <c r="N1436" s="3" t="s">
        <v>2276</v>
      </c>
      <c r="O1436" s="3" t="s">
        <v>2276</v>
      </c>
      <c r="P1436" s="3" t="s">
        <v>2276</v>
      </c>
      <c r="Q1436" s="3" t="s">
        <v>2276</v>
      </c>
      <c r="R1436" s="3" t="s">
        <v>2276</v>
      </c>
      <c r="S1436" s="3" t="s">
        <v>2276</v>
      </c>
      <c r="T1436" s="3" t="s">
        <v>2276</v>
      </c>
      <c r="U1436" s="3" t="s">
        <v>2276</v>
      </c>
      <c r="V1436" s="3" t="s">
        <v>2276</v>
      </c>
      <c r="W1436" s="3" t="s">
        <v>2276</v>
      </c>
      <c r="X1436" s="3" t="s">
        <v>2276</v>
      </c>
      <c r="Y1436" s="3" t="s">
        <v>2276</v>
      </c>
      <c r="Z1436" s="3" t="s">
        <v>2276</v>
      </c>
      <c r="AA1436" s="3" t="s">
        <v>2276</v>
      </c>
      <c r="AB1436" s="3" t="s">
        <v>2276</v>
      </c>
      <c r="AC1436" s="3" t="s">
        <v>2276</v>
      </c>
      <c r="AD1436" s="4" t="s">
        <v>4279</v>
      </c>
    </row>
    <row r="1437" spans="1:30" ht="29">
      <c r="A1437" s="11" t="s">
        <v>4257</v>
      </c>
      <c r="B1437" s="11" t="s">
        <v>4285</v>
      </c>
      <c r="C1437" s="3" t="s">
        <v>31</v>
      </c>
      <c r="D1437" s="3" t="s">
        <v>30</v>
      </c>
      <c r="E1437" s="3" t="s">
        <v>1105</v>
      </c>
      <c r="F1437" s="4" t="s">
        <v>2276</v>
      </c>
      <c r="G1437" s="3" t="s">
        <v>2276</v>
      </c>
      <c r="H1437" s="3" t="s">
        <v>523</v>
      </c>
      <c r="I1437" s="3"/>
      <c r="J1437" s="3" t="s">
        <v>2276</v>
      </c>
      <c r="K1437" s="3" t="s">
        <v>2276</v>
      </c>
      <c r="L1437" s="3" t="s">
        <v>2276</v>
      </c>
      <c r="M1437" s="3" t="s">
        <v>2276</v>
      </c>
      <c r="N1437" s="3" t="s">
        <v>2276</v>
      </c>
      <c r="O1437" s="3" t="s">
        <v>2276</v>
      </c>
      <c r="P1437" s="3" t="s">
        <v>2276</v>
      </c>
      <c r="Q1437" s="3" t="s">
        <v>2276</v>
      </c>
      <c r="R1437" s="3" t="s">
        <v>2276</v>
      </c>
      <c r="S1437" s="3" t="s">
        <v>2276</v>
      </c>
      <c r="T1437" s="3" t="s">
        <v>2276</v>
      </c>
      <c r="U1437" s="3" t="s">
        <v>2276</v>
      </c>
      <c r="V1437" s="3" t="s">
        <v>2276</v>
      </c>
      <c r="W1437" s="3" t="s">
        <v>2276</v>
      </c>
      <c r="X1437" s="3" t="s">
        <v>2276</v>
      </c>
      <c r="Y1437" s="3" t="s">
        <v>2276</v>
      </c>
      <c r="Z1437" s="3" t="s">
        <v>2276</v>
      </c>
      <c r="AA1437" s="3" t="s">
        <v>2276</v>
      </c>
      <c r="AB1437" s="3" t="s">
        <v>2276</v>
      </c>
      <c r="AC1437" s="4" t="s">
        <v>4275</v>
      </c>
      <c r="AD1437" s="4" t="s">
        <v>4279</v>
      </c>
    </row>
    <row r="1438" spans="1:30" ht="29">
      <c r="A1438" s="11" t="s">
        <v>4257</v>
      </c>
      <c r="B1438" s="11" t="s">
        <v>4286</v>
      </c>
      <c r="C1438" s="3" t="s">
        <v>31</v>
      </c>
      <c r="D1438" s="3" t="s">
        <v>30</v>
      </c>
      <c r="E1438" s="3" t="s">
        <v>2652</v>
      </c>
      <c r="F1438" s="4" t="s">
        <v>2276</v>
      </c>
      <c r="G1438" s="3" t="s">
        <v>2276</v>
      </c>
      <c r="H1438" s="3" t="s">
        <v>523</v>
      </c>
      <c r="I1438" s="3"/>
      <c r="J1438" s="3" t="s">
        <v>2276</v>
      </c>
      <c r="K1438" s="3" t="s">
        <v>2276</v>
      </c>
      <c r="L1438" s="3" t="s">
        <v>2276</v>
      </c>
      <c r="M1438" s="3" t="s">
        <v>2276</v>
      </c>
      <c r="N1438" s="3" t="s">
        <v>2276</v>
      </c>
      <c r="O1438" s="3" t="s">
        <v>2276</v>
      </c>
      <c r="P1438" s="3" t="s">
        <v>2276</v>
      </c>
      <c r="Q1438" s="3" t="s">
        <v>2276</v>
      </c>
      <c r="R1438" s="3" t="s">
        <v>2276</v>
      </c>
      <c r="S1438" s="3" t="s">
        <v>2276</v>
      </c>
      <c r="T1438" s="3" t="s">
        <v>2276</v>
      </c>
      <c r="U1438" s="3" t="s">
        <v>2276</v>
      </c>
      <c r="V1438" s="3" t="s">
        <v>2276</v>
      </c>
      <c r="W1438" s="3" t="s">
        <v>2276</v>
      </c>
      <c r="X1438" s="3" t="s">
        <v>2276</v>
      </c>
      <c r="Y1438" s="3" t="s">
        <v>2276</v>
      </c>
      <c r="Z1438" s="3" t="s">
        <v>2276</v>
      </c>
      <c r="AA1438" s="3" t="s">
        <v>2276</v>
      </c>
      <c r="AB1438" s="3" t="s">
        <v>2276</v>
      </c>
      <c r="AC1438" s="4" t="s">
        <v>4274</v>
      </c>
      <c r="AD1438" s="4" t="s">
        <v>4279</v>
      </c>
    </row>
    <row r="1439" spans="1:30" ht="29">
      <c r="A1439" s="11" t="s">
        <v>4257</v>
      </c>
      <c r="B1439" s="11" t="s">
        <v>4287</v>
      </c>
      <c r="C1439" s="3" t="s">
        <v>24</v>
      </c>
      <c r="D1439" s="3" t="s">
        <v>2231</v>
      </c>
      <c r="E1439" s="4" t="s">
        <v>3854</v>
      </c>
      <c r="F1439" s="4" t="s">
        <v>2276</v>
      </c>
      <c r="G1439" s="3" t="s">
        <v>2276</v>
      </c>
      <c r="H1439" s="3" t="s">
        <v>523</v>
      </c>
      <c r="I1439" s="3"/>
      <c r="J1439" s="3" t="s">
        <v>2276</v>
      </c>
      <c r="K1439" s="3" t="s">
        <v>2276</v>
      </c>
      <c r="L1439" s="3" t="s">
        <v>2276</v>
      </c>
      <c r="M1439" s="3" t="s">
        <v>2276</v>
      </c>
      <c r="N1439" s="3" t="s">
        <v>2276</v>
      </c>
      <c r="O1439" s="3" t="s">
        <v>2276</v>
      </c>
      <c r="P1439" s="3" t="s">
        <v>2276</v>
      </c>
      <c r="Q1439" s="3" t="s">
        <v>2276</v>
      </c>
      <c r="R1439" s="3" t="s">
        <v>2276</v>
      </c>
      <c r="S1439" s="3" t="s">
        <v>2276</v>
      </c>
      <c r="T1439" s="3" t="s">
        <v>2276</v>
      </c>
      <c r="U1439" s="3" t="s">
        <v>2276</v>
      </c>
      <c r="V1439" s="3" t="s">
        <v>2276</v>
      </c>
      <c r="W1439" s="3" t="s">
        <v>2276</v>
      </c>
      <c r="X1439" s="3" t="s">
        <v>2276</v>
      </c>
      <c r="Y1439" s="3" t="s">
        <v>2276</v>
      </c>
      <c r="Z1439" s="3" t="s">
        <v>2276</v>
      </c>
      <c r="AA1439" s="3" t="s">
        <v>2276</v>
      </c>
      <c r="AB1439" s="3" t="s">
        <v>2276</v>
      </c>
      <c r="AC1439" s="3" t="s">
        <v>4276</v>
      </c>
      <c r="AD1439" s="4" t="s">
        <v>4279</v>
      </c>
    </row>
    <row r="1440" spans="1:30" ht="45.5" customHeight="1">
      <c r="A1440" s="11" t="s">
        <v>4257</v>
      </c>
      <c r="B1440" s="11" t="s">
        <v>4288</v>
      </c>
      <c r="C1440" s="3" t="s">
        <v>24</v>
      </c>
      <c r="D1440" s="3" t="s">
        <v>2659</v>
      </c>
      <c r="E1440" s="4" t="s">
        <v>3854</v>
      </c>
      <c r="F1440" s="4" t="s">
        <v>2276</v>
      </c>
      <c r="G1440" s="3" t="s">
        <v>2276</v>
      </c>
      <c r="H1440" s="3" t="s">
        <v>523</v>
      </c>
      <c r="I1440" s="3"/>
      <c r="J1440" s="3" t="s">
        <v>2276</v>
      </c>
      <c r="K1440" s="3" t="s">
        <v>2276</v>
      </c>
      <c r="L1440" s="3" t="s">
        <v>2276</v>
      </c>
      <c r="M1440" s="3" t="s">
        <v>2276</v>
      </c>
      <c r="N1440" s="3" t="s">
        <v>2276</v>
      </c>
      <c r="O1440" s="3" t="s">
        <v>2276</v>
      </c>
      <c r="P1440" s="3" t="s">
        <v>2276</v>
      </c>
      <c r="Q1440" s="3" t="s">
        <v>2276</v>
      </c>
      <c r="R1440" s="3" t="s">
        <v>2276</v>
      </c>
      <c r="S1440" s="3" t="s">
        <v>2276</v>
      </c>
      <c r="T1440" s="3" t="s">
        <v>2276</v>
      </c>
      <c r="U1440" s="3" t="s">
        <v>2276</v>
      </c>
      <c r="V1440" s="3" t="s">
        <v>2276</v>
      </c>
      <c r="W1440" s="3" t="s">
        <v>2276</v>
      </c>
      <c r="X1440" s="3" t="s">
        <v>2276</v>
      </c>
      <c r="Y1440" s="3" t="s">
        <v>2276</v>
      </c>
      <c r="Z1440" s="3" t="s">
        <v>2276</v>
      </c>
      <c r="AA1440" s="3" t="s">
        <v>2276</v>
      </c>
      <c r="AB1440" s="3" t="s">
        <v>2276</v>
      </c>
      <c r="AC1440" s="3" t="s">
        <v>4277</v>
      </c>
      <c r="AD1440" s="4" t="s">
        <v>4279</v>
      </c>
    </row>
    <row r="1441" spans="1:30" ht="43.5">
      <c r="A1441" s="11" t="s">
        <v>4257</v>
      </c>
      <c r="B1441" s="11" t="s">
        <v>4289</v>
      </c>
      <c r="C1441" s="3" t="s">
        <v>24</v>
      </c>
      <c r="D1441" s="3" t="s">
        <v>2346</v>
      </c>
      <c r="E1441" s="4" t="s">
        <v>2276</v>
      </c>
      <c r="F1441" s="4" t="s">
        <v>2276</v>
      </c>
      <c r="G1441" s="3" t="s">
        <v>2276</v>
      </c>
      <c r="H1441" s="3" t="s">
        <v>523</v>
      </c>
      <c r="I1441" s="3"/>
      <c r="J1441" s="3" t="s">
        <v>2276</v>
      </c>
      <c r="K1441" s="3" t="s">
        <v>2276</v>
      </c>
      <c r="L1441" s="3" t="s">
        <v>2276</v>
      </c>
      <c r="M1441" s="3" t="s">
        <v>2276</v>
      </c>
      <c r="N1441" s="3" t="s">
        <v>2276</v>
      </c>
      <c r="O1441" s="3" t="s">
        <v>2276</v>
      </c>
      <c r="P1441" s="3" t="s">
        <v>2276</v>
      </c>
      <c r="Q1441" s="3" t="s">
        <v>2276</v>
      </c>
      <c r="R1441" s="3" t="s">
        <v>2276</v>
      </c>
      <c r="S1441" s="3" t="s">
        <v>2276</v>
      </c>
      <c r="T1441" s="3" t="s">
        <v>2276</v>
      </c>
      <c r="U1441" s="3" t="s">
        <v>2276</v>
      </c>
      <c r="V1441" s="3" t="s">
        <v>2276</v>
      </c>
      <c r="W1441" s="3" t="s">
        <v>2276</v>
      </c>
      <c r="X1441" s="3" t="s">
        <v>2276</v>
      </c>
      <c r="Y1441" s="3" t="s">
        <v>2276</v>
      </c>
      <c r="Z1441" s="3" t="s">
        <v>2276</v>
      </c>
      <c r="AA1441" s="3" t="s">
        <v>2276</v>
      </c>
      <c r="AB1441" s="3" t="s">
        <v>2276</v>
      </c>
      <c r="AC1441" s="169" t="s">
        <v>4280</v>
      </c>
      <c r="AD1441" s="4" t="s">
        <v>4279</v>
      </c>
    </row>
    <row r="1442" spans="1:30" ht="54.5" customHeight="1">
      <c r="A1442" s="11" t="s">
        <v>4065</v>
      </c>
      <c r="B1442" s="11" t="s">
        <v>4290</v>
      </c>
      <c r="C1442" s="3" t="s">
        <v>24</v>
      </c>
      <c r="D1442" s="3" t="s">
        <v>25</v>
      </c>
      <c r="E1442" s="4" t="s">
        <v>3854</v>
      </c>
      <c r="F1442" s="4" t="s">
        <v>2662</v>
      </c>
      <c r="G1442" s="3" t="s">
        <v>2276</v>
      </c>
      <c r="H1442" s="3" t="s">
        <v>523</v>
      </c>
      <c r="I1442" s="3"/>
      <c r="J1442" s="3" t="s">
        <v>2276</v>
      </c>
      <c r="K1442" s="3" t="s">
        <v>2276</v>
      </c>
      <c r="L1442" s="3" t="s">
        <v>2276</v>
      </c>
      <c r="M1442" s="3" t="s">
        <v>2276</v>
      </c>
      <c r="N1442" s="3" t="s">
        <v>2276</v>
      </c>
      <c r="O1442" s="3" t="s">
        <v>2276</v>
      </c>
      <c r="P1442" s="3" t="s">
        <v>2276</v>
      </c>
      <c r="Q1442" s="3" t="s">
        <v>2276</v>
      </c>
      <c r="R1442" s="3" t="s">
        <v>2276</v>
      </c>
      <c r="S1442" s="3" t="s">
        <v>2276</v>
      </c>
      <c r="T1442" s="3" t="s">
        <v>2276</v>
      </c>
      <c r="U1442" s="3" t="s">
        <v>2276</v>
      </c>
      <c r="V1442" s="3" t="s">
        <v>2276</v>
      </c>
      <c r="W1442" s="3" t="s">
        <v>2276</v>
      </c>
      <c r="X1442" s="3" t="s">
        <v>2276</v>
      </c>
      <c r="Y1442" s="3" t="s">
        <v>2276</v>
      </c>
      <c r="Z1442" s="3" t="s">
        <v>2276</v>
      </c>
      <c r="AA1442" s="3" t="s">
        <v>2276</v>
      </c>
      <c r="AB1442" s="3" t="s">
        <v>2276</v>
      </c>
      <c r="AC1442" s="3" t="s">
        <v>4273</v>
      </c>
      <c r="AD1442" s="4" t="s">
        <v>4279</v>
      </c>
    </row>
    <row r="1443" spans="1:30" ht="52.5" customHeight="1">
      <c r="A1443" s="11" t="s">
        <v>4065</v>
      </c>
      <c r="B1443" s="11" t="s">
        <v>4291</v>
      </c>
      <c r="C1443" s="3" t="s">
        <v>2458</v>
      </c>
      <c r="D1443" s="3" t="s">
        <v>25</v>
      </c>
      <c r="E1443" s="4" t="s">
        <v>3854</v>
      </c>
      <c r="F1443" s="4" t="s">
        <v>74</v>
      </c>
      <c r="G1443" s="3" t="s">
        <v>2276</v>
      </c>
      <c r="H1443" s="3" t="s">
        <v>523</v>
      </c>
      <c r="I1443" s="3"/>
      <c r="J1443" s="3" t="s">
        <v>2276</v>
      </c>
      <c r="K1443" s="3" t="s">
        <v>2276</v>
      </c>
      <c r="L1443" s="3" t="s">
        <v>2276</v>
      </c>
      <c r="M1443" s="3" t="s">
        <v>2276</v>
      </c>
      <c r="N1443" s="3" t="s">
        <v>2276</v>
      </c>
      <c r="O1443" s="3" t="s">
        <v>2276</v>
      </c>
      <c r="P1443" s="3" t="s">
        <v>2276</v>
      </c>
      <c r="Q1443" s="3" t="s">
        <v>2276</v>
      </c>
      <c r="R1443" s="3" t="s">
        <v>2276</v>
      </c>
      <c r="S1443" s="3" t="s">
        <v>2276</v>
      </c>
      <c r="T1443" s="3" t="s">
        <v>2276</v>
      </c>
      <c r="U1443" s="3" t="s">
        <v>2276</v>
      </c>
      <c r="V1443" s="3" t="s">
        <v>2276</v>
      </c>
      <c r="W1443" s="3" t="s">
        <v>2276</v>
      </c>
      <c r="X1443" s="3" t="s">
        <v>2276</v>
      </c>
      <c r="Y1443" s="3" t="s">
        <v>2276</v>
      </c>
      <c r="Z1443" s="3" t="s">
        <v>2276</v>
      </c>
      <c r="AA1443" s="3" t="s">
        <v>2276</v>
      </c>
      <c r="AB1443" s="3" t="s">
        <v>2276</v>
      </c>
      <c r="AC1443" s="3" t="s">
        <v>2276</v>
      </c>
      <c r="AD1443" s="4" t="s">
        <v>4279</v>
      </c>
    </row>
    <row r="1444" spans="1:30" ht="29">
      <c r="A1444" s="11" t="s">
        <v>4065</v>
      </c>
      <c r="B1444" s="11" t="s">
        <v>4292</v>
      </c>
      <c r="C1444" s="3" t="s">
        <v>24</v>
      </c>
      <c r="D1444" s="3" t="s">
        <v>2994</v>
      </c>
      <c r="E1444" s="4" t="s">
        <v>1105</v>
      </c>
      <c r="F1444" s="4" t="s">
        <v>2276</v>
      </c>
      <c r="G1444" s="3" t="s">
        <v>2276</v>
      </c>
      <c r="H1444" s="3" t="s">
        <v>523</v>
      </c>
      <c r="I1444" s="3"/>
      <c r="J1444" s="3" t="s">
        <v>2276</v>
      </c>
      <c r="K1444" s="3" t="s">
        <v>2276</v>
      </c>
      <c r="L1444" s="3" t="s">
        <v>2276</v>
      </c>
      <c r="M1444" s="3" t="s">
        <v>2276</v>
      </c>
      <c r="N1444" s="3" t="s">
        <v>2276</v>
      </c>
      <c r="O1444" s="3" t="s">
        <v>2276</v>
      </c>
      <c r="P1444" s="3" t="s">
        <v>2276</v>
      </c>
      <c r="Q1444" s="3" t="s">
        <v>2276</v>
      </c>
      <c r="R1444" s="3" t="s">
        <v>2276</v>
      </c>
      <c r="S1444" s="3" t="s">
        <v>2276</v>
      </c>
      <c r="T1444" s="3" t="s">
        <v>2276</v>
      </c>
      <c r="U1444" s="3" t="s">
        <v>2276</v>
      </c>
      <c r="V1444" s="3" t="s">
        <v>2276</v>
      </c>
      <c r="W1444" s="3" t="s">
        <v>2276</v>
      </c>
      <c r="X1444" s="3" t="s">
        <v>2276</v>
      </c>
      <c r="Y1444" s="3" t="s">
        <v>2276</v>
      </c>
      <c r="Z1444" s="3" t="s">
        <v>2276</v>
      </c>
      <c r="AA1444" s="3" t="s">
        <v>2276</v>
      </c>
      <c r="AB1444" s="3" t="s">
        <v>2276</v>
      </c>
      <c r="AC1444" s="3" t="s">
        <v>4278</v>
      </c>
      <c r="AD1444" s="4" t="s">
        <v>4279</v>
      </c>
    </row>
    <row r="1445" spans="1:30" ht="29">
      <c r="A1445" s="11" t="s">
        <v>4065</v>
      </c>
      <c r="B1445" s="11" t="s">
        <v>4293</v>
      </c>
      <c r="C1445" s="3" t="s">
        <v>2458</v>
      </c>
      <c r="D1445" s="3" t="s">
        <v>2994</v>
      </c>
      <c r="E1445" s="4" t="s">
        <v>1105</v>
      </c>
      <c r="F1445" s="4" t="s">
        <v>2276</v>
      </c>
      <c r="G1445" s="3" t="s">
        <v>2276</v>
      </c>
      <c r="H1445" s="3" t="s">
        <v>523</v>
      </c>
      <c r="I1445" s="3"/>
      <c r="J1445" s="3" t="s">
        <v>2276</v>
      </c>
      <c r="K1445" s="3" t="s">
        <v>2276</v>
      </c>
      <c r="L1445" s="3" t="s">
        <v>2276</v>
      </c>
      <c r="M1445" s="3" t="s">
        <v>2276</v>
      </c>
      <c r="N1445" s="3" t="s">
        <v>2276</v>
      </c>
      <c r="O1445" s="3" t="s">
        <v>2276</v>
      </c>
      <c r="P1445" s="3" t="s">
        <v>2276</v>
      </c>
      <c r="Q1445" s="3" t="s">
        <v>2276</v>
      </c>
      <c r="R1445" s="3" t="s">
        <v>2276</v>
      </c>
      <c r="S1445" s="3" t="s">
        <v>2276</v>
      </c>
      <c r="T1445" s="3" t="s">
        <v>2276</v>
      </c>
      <c r="U1445" s="3" t="s">
        <v>2276</v>
      </c>
      <c r="V1445" s="3" t="s">
        <v>2276</v>
      </c>
      <c r="W1445" s="3" t="s">
        <v>2276</v>
      </c>
      <c r="X1445" s="3" t="s">
        <v>2276</v>
      </c>
      <c r="Y1445" s="3" t="s">
        <v>2276</v>
      </c>
      <c r="Z1445" s="3" t="s">
        <v>2276</v>
      </c>
      <c r="AA1445" s="3" t="s">
        <v>2276</v>
      </c>
      <c r="AB1445" s="3" t="s">
        <v>2276</v>
      </c>
      <c r="AC1445" s="3" t="s">
        <v>2276</v>
      </c>
      <c r="AD1445" s="4" t="s">
        <v>4279</v>
      </c>
    </row>
    <row r="1446" spans="1:30" ht="29">
      <c r="A1446" s="11" t="s">
        <v>4065</v>
      </c>
      <c r="B1446" s="11" t="s">
        <v>4294</v>
      </c>
      <c r="C1446" s="3" t="s">
        <v>31</v>
      </c>
      <c r="D1446" s="3" t="s">
        <v>30</v>
      </c>
      <c r="E1446" s="3" t="s">
        <v>1105</v>
      </c>
      <c r="F1446" s="4" t="s">
        <v>2276</v>
      </c>
      <c r="G1446" s="3" t="s">
        <v>2276</v>
      </c>
      <c r="H1446" s="3" t="s">
        <v>523</v>
      </c>
      <c r="I1446" s="3"/>
      <c r="J1446" s="3" t="s">
        <v>2276</v>
      </c>
      <c r="K1446" s="3" t="s">
        <v>2276</v>
      </c>
      <c r="L1446" s="3" t="s">
        <v>2276</v>
      </c>
      <c r="M1446" s="3" t="s">
        <v>2276</v>
      </c>
      <c r="N1446" s="3" t="s">
        <v>2276</v>
      </c>
      <c r="O1446" s="3" t="s">
        <v>2276</v>
      </c>
      <c r="P1446" s="3" t="s">
        <v>2276</v>
      </c>
      <c r="Q1446" s="3" t="s">
        <v>2276</v>
      </c>
      <c r="R1446" s="3" t="s">
        <v>2276</v>
      </c>
      <c r="S1446" s="3" t="s">
        <v>2276</v>
      </c>
      <c r="T1446" s="3" t="s">
        <v>2276</v>
      </c>
      <c r="U1446" s="3" t="s">
        <v>2276</v>
      </c>
      <c r="V1446" s="3" t="s">
        <v>2276</v>
      </c>
      <c r="W1446" s="3" t="s">
        <v>2276</v>
      </c>
      <c r="X1446" s="3" t="s">
        <v>2276</v>
      </c>
      <c r="Y1446" s="3" t="s">
        <v>2276</v>
      </c>
      <c r="Z1446" s="3" t="s">
        <v>2276</v>
      </c>
      <c r="AA1446" s="3" t="s">
        <v>2276</v>
      </c>
      <c r="AB1446" s="3" t="s">
        <v>2276</v>
      </c>
      <c r="AC1446" s="4" t="s">
        <v>4275</v>
      </c>
      <c r="AD1446" s="4" t="s">
        <v>4279</v>
      </c>
    </row>
    <row r="1447" spans="1:30" ht="29">
      <c r="A1447" s="11" t="s">
        <v>4065</v>
      </c>
      <c r="B1447" s="11" t="s">
        <v>4295</v>
      </c>
      <c r="C1447" s="3" t="s">
        <v>31</v>
      </c>
      <c r="D1447" s="3" t="s">
        <v>30</v>
      </c>
      <c r="E1447" s="3" t="s">
        <v>2652</v>
      </c>
      <c r="F1447" s="4" t="s">
        <v>2276</v>
      </c>
      <c r="G1447" s="3" t="s">
        <v>2276</v>
      </c>
      <c r="H1447" s="3" t="s">
        <v>523</v>
      </c>
      <c r="I1447" s="3"/>
      <c r="J1447" s="3" t="s">
        <v>2276</v>
      </c>
      <c r="K1447" s="3" t="s">
        <v>2276</v>
      </c>
      <c r="L1447" s="3" t="s">
        <v>2276</v>
      </c>
      <c r="M1447" s="3" t="s">
        <v>2276</v>
      </c>
      <c r="N1447" s="3" t="s">
        <v>2276</v>
      </c>
      <c r="O1447" s="3" t="s">
        <v>2276</v>
      </c>
      <c r="P1447" s="3" t="s">
        <v>2276</v>
      </c>
      <c r="Q1447" s="3" t="s">
        <v>2276</v>
      </c>
      <c r="R1447" s="3" t="s">
        <v>2276</v>
      </c>
      <c r="S1447" s="3" t="s">
        <v>2276</v>
      </c>
      <c r="T1447" s="3" t="s">
        <v>2276</v>
      </c>
      <c r="U1447" s="3" t="s">
        <v>2276</v>
      </c>
      <c r="V1447" s="3" t="s">
        <v>2276</v>
      </c>
      <c r="W1447" s="3" t="s">
        <v>2276</v>
      </c>
      <c r="X1447" s="3" t="s">
        <v>2276</v>
      </c>
      <c r="Y1447" s="3" t="s">
        <v>2276</v>
      </c>
      <c r="Z1447" s="3" t="s">
        <v>2276</v>
      </c>
      <c r="AA1447" s="3" t="s">
        <v>2276</v>
      </c>
      <c r="AB1447" s="3" t="s">
        <v>2276</v>
      </c>
      <c r="AC1447" s="4" t="s">
        <v>4274</v>
      </c>
      <c r="AD1447" s="4" t="s">
        <v>4279</v>
      </c>
    </row>
    <row r="1448" spans="1:30" ht="60" customHeight="1">
      <c r="A1448" s="11" t="s">
        <v>4065</v>
      </c>
      <c r="B1448" s="11" t="s">
        <v>4296</v>
      </c>
      <c r="C1448" s="3" t="s">
        <v>24</v>
      </c>
      <c r="D1448" s="3" t="s">
        <v>2231</v>
      </c>
      <c r="E1448" s="4" t="s">
        <v>3854</v>
      </c>
      <c r="F1448" s="4" t="s">
        <v>2276</v>
      </c>
      <c r="G1448" s="3" t="s">
        <v>2276</v>
      </c>
      <c r="H1448" s="3" t="s">
        <v>523</v>
      </c>
      <c r="I1448" s="3"/>
      <c r="J1448" s="3" t="s">
        <v>2276</v>
      </c>
      <c r="K1448" s="3" t="s">
        <v>2276</v>
      </c>
      <c r="L1448" s="3" t="s">
        <v>2276</v>
      </c>
      <c r="M1448" s="3" t="s">
        <v>2276</v>
      </c>
      <c r="N1448" s="3" t="s">
        <v>2276</v>
      </c>
      <c r="O1448" s="3" t="s">
        <v>2276</v>
      </c>
      <c r="P1448" s="3" t="s">
        <v>2276</v>
      </c>
      <c r="Q1448" s="3" t="s">
        <v>2276</v>
      </c>
      <c r="R1448" s="3" t="s">
        <v>2276</v>
      </c>
      <c r="S1448" s="3" t="s">
        <v>2276</v>
      </c>
      <c r="T1448" s="3" t="s">
        <v>2276</v>
      </c>
      <c r="U1448" s="3" t="s">
        <v>2276</v>
      </c>
      <c r="V1448" s="3" t="s">
        <v>2276</v>
      </c>
      <c r="W1448" s="3" t="s">
        <v>2276</v>
      </c>
      <c r="X1448" s="3" t="s">
        <v>2276</v>
      </c>
      <c r="Y1448" s="3" t="s">
        <v>2276</v>
      </c>
      <c r="Z1448" s="3" t="s">
        <v>2276</v>
      </c>
      <c r="AA1448" s="3" t="s">
        <v>2276</v>
      </c>
      <c r="AB1448" s="3" t="s">
        <v>2276</v>
      </c>
      <c r="AC1448" s="3" t="s">
        <v>4276</v>
      </c>
      <c r="AD1448" s="4" t="s">
        <v>4279</v>
      </c>
    </row>
    <row r="1449" spans="1:30" ht="60.5" customHeight="1">
      <c r="A1449" s="11" t="s">
        <v>4065</v>
      </c>
      <c r="B1449" s="11" t="s">
        <v>4297</v>
      </c>
      <c r="C1449" s="3" t="s">
        <v>24</v>
      </c>
      <c r="D1449" s="3" t="s">
        <v>2659</v>
      </c>
      <c r="E1449" s="4" t="s">
        <v>3854</v>
      </c>
      <c r="F1449" s="4" t="s">
        <v>2276</v>
      </c>
      <c r="G1449" s="3" t="s">
        <v>2276</v>
      </c>
      <c r="H1449" s="3" t="s">
        <v>523</v>
      </c>
      <c r="I1449" s="3"/>
      <c r="J1449" s="3" t="s">
        <v>2276</v>
      </c>
      <c r="K1449" s="3" t="s">
        <v>2276</v>
      </c>
      <c r="L1449" s="3" t="s">
        <v>2276</v>
      </c>
      <c r="M1449" s="3" t="s">
        <v>2276</v>
      </c>
      <c r="N1449" s="3" t="s">
        <v>2276</v>
      </c>
      <c r="O1449" s="3" t="s">
        <v>2276</v>
      </c>
      <c r="P1449" s="3" t="s">
        <v>2276</v>
      </c>
      <c r="Q1449" s="3" t="s">
        <v>2276</v>
      </c>
      <c r="R1449" s="3" t="s">
        <v>2276</v>
      </c>
      <c r="S1449" s="3" t="s">
        <v>2276</v>
      </c>
      <c r="T1449" s="3" t="s">
        <v>2276</v>
      </c>
      <c r="U1449" s="3" t="s">
        <v>2276</v>
      </c>
      <c r="V1449" s="3" t="s">
        <v>2276</v>
      </c>
      <c r="W1449" s="3" t="s">
        <v>2276</v>
      </c>
      <c r="X1449" s="3" t="s">
        <v>2276</v>
      </c>
      <c r="Y1449" s="3" t="s">
        <v>2276</v>
      </c>
      <c r="Z1449" s="3" t="s">
        <v>2276</v>
      </c>
      <c r="AA1449" s="3" t="s">
        <v>2276</v>
      </c>
      <c r="AB1449" s="3" t="s">
        <v>2276</v>
      </c>
      <c r="AC1449" s="3" t="s">
        <v>4277</v>
      </c>
      <c r="AD1449" s="4" t="s">
        <v>4279</v>
      </c>
    </row>
    <row r="1450" spans="1:30" ht="43.5">
      <c r="A1450" s="11" t="s">
        <v>4065</v>
      </c>
      <c r="B1450" s="11" t="s">
        <v>4298</v>
      </c>
      <c r="C1450" s="3" t="s">
        <v>24</v>
      </c>
      <c r="D1450" s="3" t="s">
        <v>2346</v>
      </c>
      <c r="E1450" s="4" t="s">
        <v>2276</v>
      </c>
      <c r="F1450" s="4" t="s">
        <v>2276</v>
      </c>
      <c r="G1450" s="3" t="s">
        <v>2276</v>
      </c>
      <c r="H1450" s="3" t="s">
        <v>523</v>
      </c>
      <c r="I1450" s="3"/>
      <c r="J1450" s="3" t="s">
        <v>2276</v>
      </c>
      <c r="K1450" s="3" t="s">
        <v>2276</v>
      </c>
      <c r="L1450" s="3" t="s">
        <v>2276</v>
      </c>
      <c r="M1450" s="3" t="s">
        <v>2276</v>
      </c>
      <c r="N1450" s="3" t="s">
        <v>2276</v>
      </c>
      <c r="O1450" s="3" t="s">
        <v>2276</v>
      </c>
      <c r="P1450" s="3" t="s">
        <v>2276</v>
      </c>
      <c r="Q1450" s="3" t="s">
        <v>2276</v>
      </c>
      <c r="R1450" s="3" t="s">
        <v>2276</v>
      </c>
      <c r="S1450" s="3" t="s">
        <v>2276</v>
      </c>
      <c r="T1450" s="3" t="s">
        <v>2276</v>
      </c>
      <c r="U1450" s="3" t="s">
        <v>2276</v>
      </c>
      <c r="V1450" s="3" t="s">
        <v>2276</v>
      </c>
      <c r="W1450" s="3" t="s">
        <v>2276</v>
      </c>
      <c r="X1450" s="3" t="s">
        <v>2276</v>
      </c>
      <c r="Y1450" s="3" t="s">
        <v>2276</v>
      </c>
      <c r="Z1450" s="3" t="s">
        <v>2276</v>
      </c>
      <c r="AA1450" s="3" t="s">
        <v>2276</v>
      </c>
      <c r="AB1450" s="3" t="s">
        <v>2276</v>
      </c>
      <c r="AC1450" s="169" t="s">
        <v>4280</v>
      </c>
      <c r="AD1450" s="4" t="s">
        <v>4279</v>
      </c>
    </row>
    <row r="1451" spans="1:30" ht="48.5" customHeight="1">
      <c r="A1451" s="11" t="s">
        <v>4256</v>
      </c>
      <c r="B1451" s="11" t="s">
        <v>4272</v>
      </c>
      <c r="C1451" s="3" t="s">
        <v>24</v>
      </c>
      <c r="D1451" s="3" t="s">
        <v>2276</v>
      </c>
      <c r="E1451" s="3" t="s">
        <v>2276</v>
      </c>
      <c r="F1451" s="4" t="s">
        <v>2276</v>
      </c>
      <c r="G1451" s="3" t="s">
        <v>74</v>
      </c>
      <c r="H1451" s="3" t="s">
        <v>523</v>
      </c>
      <c r="I1451" s="3"/>
      <c r="J1451" s="3" t="s">
        <v>2276</v>
      </c>
      <c r="K1451" s="22" t="s">
        <v>2276</v>
      </c>
      <c r="L1451" s="22" t="s">
        <v>2276</v>
      </c>
      <c r="M1451" s="22" t="s">
        <v>2276</v>
      </c>
      <c r="N1451" s="22" t="s">
        <v>2276</v>
      </c>
      <c r="O1451" s="22" t="s">
        <v>2276</v>
      </c>
      <c r="P1451" s="22" t="s">
        <v>2276</v>
      </c>
      <c r="Q1451" s="22" t="s">
        <v>2276</v>
      </c>
      <c r="R1451" s="22" t="s">
        <v>2276</v>
      </c>
      <c r="S1451" s="22" t="s">
        <v>2276</v>
      </c>
      <c r="T1451" s="22" t="s">
        <v>2276</v>
      </c>
      <c r="U1451" s="22" t="s">
        <v>2276</v>
      </c>
      <c r="V1451" s="22" t="s">
        <v>2276</v>
      </c>
      <c r="W1451" s="3" t="s">
        <v>2276</v>
      </c>
      <c r="X1451" s="3" t="s">
        <v>2276</v>
      </c>
      <c r="Y1451" s="3" t="s">
        <v>2276</v>
      </c>
      <c r="Z1451" s="3" t="s">
        <v>2276</v>
      </c>
      <c r="AA1451" s="3" t="s">
        <v>2276</v>
      </c>
      <c r="AB1451" s="3" t="s">
        <v>2276</v>
      </c>
      <c r="AC1451" s="4" t="s">
        <v>4302</v>
      </c>
      <c r="AD1451" s="4" t="s">
        <v>4303</v>
      </c>
    </row>
    <row r="1452" spans="1:30" ht="48.5" customHeight="1">
      <c r="A1452" s="11" t="s">
        <v>4256</v>
      </c>
      <c r="B1452" s="11" t="s">
        <v>4299</v>
      </c>
      <c r="C1452" s="3" t="s">
        <v>2656</v>
      </c>
      <c r="D1452" s="3" t="s">
        <v>2276</v>
      </c>
      <c r="E1452" s="3" t="s">
        <v>2276</v>
      </c>
      <c r="F1452" s="4" t="s">
        <v>2276</v>
      </c>
      <c r="G1452" s="3" t="s">
        <v>74</v>
      </c>
      <c r="H1452" s="3" t="s">
        <v>523</v>
      </c>
      <c r="I1452" s="3"/>
      <c r="J1452" s="3" t="s">
        <v>2276</v>
      </c>
      <c r="K1452" s="22" t="s">
        <v>2276</v>
      </c>
      <c r="L1452" s="22" t="s">
        <v>2276</v>
      </c>
      <c r="M1452" s="22" t="s">
        <v>2276</v>
      </c>
      <c r="N1452" s="22" t="s">
        <v>2276</v>
      </c>
      <c r="O1452" s="22" t="s">
        <v>2276</v>
      </c>
      <c r="P1452" s="22" t="s">
        <v>2276</v>
      </c>
      <c r="Q1452" s="22" t="s">
        <v>2276</v>
      </c>
      <c r="R1452" s="22" t="s">
        <v>2276</v>
      </c>
      <c r="S1452" s="22" t="s">
        <v>2276</v>
      </c>
      <c r="T1452" s="22" t="s">
        <v>2276</v>
      </c>
      <c r="U1452" s="22" t="s">
        <v>2276</v>
      </c>
      <c r="V1452" s="22" t="s">
        <v>2276</v>
      </c>
      <c r="W1452" s="3" t="s">
        <v>2276</v>
      </c>
      <c r="X1452" s="3" t="s">
        <v>2276</v>
      </c>
      <c r="Y1452" s="3" t="s">
        <v>2276</v>
      </c>
      <c r="Z1452" s="3" t="s">
        <v>2276</v>
      </c>
      <c r="AA1452" s="3" t="s">
        <v>2276</v>
      </c>
      <c r="AB1452" s="3" t="s">
        <v>2276</v>
      </c>
      <c r="AC1452" s="4" t="s">
        <v>4302</v>
      </c>
      <c r="AD1452" s="4" t="s">
        <v>4303</v>
      </c>
    </row>
    <row r="1453" spans="1:30" ht="48.5" customHeight="1">
      <c r="A1453" s="11" t="s">
        <v>4256</v>
      </c>
      <c r="B1453" s="11" t="s">
        <v>4300</v>
      </c>
      <c r="C1453" s="3" t="s">
        <v>2458</v>
      </c>
      <c r="D1453" s="3" t="s">
        <v>2276</v>
      </c>
      <c r="E1453" s="3" t="s">
        <v>2276</v>
      </c>
      <c r="F1453" s="4" t="s">
        <v>2276</v>
      </c>
      <c r="G1453" s="3" t="s">
        <v>74</v>
      </c>
      <c r="H1453" s="3" t="s">
        <v>523</v>
      </c>
      <c r="I1453" s="3"/>
      <c r="J1453" s="3" t="s">
        <v>2276</v>
      </c>
      <c r="K1453" s="22" t="s">
        <v>2276</v>
      </c>
      <c r="L1453" s="22" t="s">
        <v>2276</v>
      </c>
      <c r="M1453" s="22" t="s">
        <v>2276</v>
      </c>
      <c r="N1453" s="22" t="s">
        <v>2276</v>
      </c>
      <c r="O1453" s="22" t="s">
        <v>2276</v>
      </c>
      <c r="P1453" s="22" t="s">
        <v>2276</v>
      </c>
      <c r="Q1453" s="22" t="s">
        <v>2276</v>
      </c>
      <c r="R1453" s="22" t="s">
        <v>2276</v>
      </c>
      <c r="S1453" s="22" t="s">
        <v>2276</v>
      </c>
      <c r="T1453" s="22" t="s">
        <v>2276</v>
      </c>
      <c r="U1453" s="22" t="s">
        <v>2276</v>
      </c>
      <c r="V1453" s="22" t="s">
        <v>2276</v>
      </c>
      <c r="W1453" s="3" t="s">
        <v>2276</v>
      </c>
      <c r="X1453" s="3" t="s">
        <v>2276</v>
      </c>
      <c r="Y1453" s="3" t="s">
        <v>2276</v>
      </c>
      <c r="Z1453" s="3" t="s">
        <v>2276</v>
      </c>
      <c r="AA1453" s="3" t="s">
        <v>2276</v>
      </c>
      <c r="AB1453" s="3" t="s">
        <v>2276</v>
      </c>
      <c r="AC1453" s="4" t="s">
        <v>4302</v>
      </c>
      <c r="AD1453" s="4" t="s">
        <v>4303</v>
      </c>
    </row>
    <row r="1454" spans="1:30" ht="48.5" customHeight="1">
      <c r="A1454" s="11" t="s">
        <v>4256</v>
      </c>
      <c r="B1454" s="11" t="s">
        <v>4301</v>
      </c>
      <c r="C1454" s="3" t="s">
        <v>31</v>
      </c>
      <c r="D1454" s="3" t="s">
        <v>30</v>
      </c>
      <c r="E1454" s="3" t="s">
        <v>2276</v>
      </c>
      <c r="F1454" s="4" t="s">
        <v>2276</v>
      </c>
      <c r="G1454" s="3" t="s">
        <v>74</v>
      </c>
      <c r="H1454" s="3" t="s">
        <v>523</v>
      </c>
      <c r="I1454" s="3"/>
      <c r="J1454" s="3" t="s">
        <v>2276</v>
      </c>
      <c r="K1454" s="22" t="s">
        <v>2276</v>
      </c>
      <c r="L1454" s="22" t="s">
        <v>2276</v>
      </c>
      <c r="M1454" s="22" t="s">
        <v>2276</v>
      </c>
      <c r="N1454" s="22" t="s">
        <v>2276</v>
      </c>
      <c r="O1454" s="22" t="s">
        <v>2276</v>
      </c>
      <c r="P1454" s="22" t="s">
        <v>2276</v>
      </c>
      <c r="Q1454" s="22" t="s">
        <v>2276</v>
      </c>
      <c r="R1454" s="22" t="s">
        <v>2276</v>
      </c>
      <c r="S1454" s="22" t="s">
        <v>2276</v>
      </c>
      <c r="T1454" s="22" t="s">
        <v>2276</v>
      </c>
      <c r="U1454" s="22" t="s">
        <v>2276</v>
      </c>
      <c r="V1454" s="22" t="s">
        <v>2276</v>
      </c>
      <c r="W1454" s="3" t="s">
        <v>2276</v>
      </c>
      <c r="X1454" s="3" t="s">
        <v>2276</v>
      </c>
      <c r="Y1454" s="3" t="s">
        <v>2276</v>
      </c>
      <c r="Z1454" s="3" t="s">
        <v>2276</v>
      </c>
      <c r="AA1454" s="3" t="s">
        <v>2276</v>
      </c>
      <c r="AB1454" s="3" t="s">
        <v>2276</v>
      </c>
      <c r="AC1454" s="4" t="s">
        <v>4302</v>
      </c>
      <c r="AD1454" s="4" t="s">
        <v>4303</v>
      </c>
    </row>
    <row r="1455" spans="1:30" ht="48.5" customHeight="1">
      <c r="A1455" s="11" t="s">
        <v>4256</v>
      </c>
      <c r="B1455" s="11" t="s">
        <v>5044</v>
      </c>
      <c r="C1455" s="3" t="s">
        <v>1105</v>
      </c>
      <c r="D1455" s="3" t="s">
        <v>1105</v>
      </c>
      <c r="E1455" s="3" t="s">
        <v>2276</v>
      </c>
      <c r="F1455" s="4" t="s">
        <v>2276</v>
      </c>
      <c r="G1455" s="3" t="s">
        <v>74</v>
      </c>
      <c r="H1455" s="3" t="s">
        <v>523</v>
      </c>
      <c r="I1455" s="3"/>
      <c r="J1455" s="3" t="s">
        <v>2276</v>
      </c>
      <c r="K1455" s="3" t="s">
        <v>2276</v>
      </c>
      <c r="L1455" s="3" t="s">
        <v>2276</v>
      </c>
      <c r="M1455" s="3" t="s">
        <v>2276</v>
      </c>
      <c r="N1455" s="3" t="s">
        <v>2276</v>
      </c>
      <c r="O1455" s="3" t="s">
        <v>2276</v>
      </c>
      <c r="P1455" s="21">
        <f>286/(182)</f>
        <v>1.5714285714285714</v>
      </c>
      <c r="Q1455" s="3" t="s">
        <v>2276</v>
      </c>
      <c r="R1455" s="3" t="s">
        <v>2276</v>
      </c>
      <c r="S1455" s="3" t="s">
        <v>2276</v>
      </c>
      <c r="T1455" s="3" t="s">
        <v>2276</v>
      </c>
      <c r="U1455" s="3" t="s">
        <v>2276</v>
      </c>
      <c r="V1455" s="3">
        <v>3.06</v>
      </c>
      <c r="W1455" s="3" t="s">
        <v>2276</v>
      </c>
      <c r="X1455" s="21">
        <f>286/57.84</f>
        <v>4.9446749654218527</v>
      </c>
      <c r="Y1455" s="3" t="s">
        <v>2276</v>
      </c>
      <c r="Z1455" s="3" t="s">
        <v>2276</v>
      </c>
      <c r="AA1455" s="3" t="s">
        <v>2276</v>
      </c>
      <c r="AB1455" s="3" t="s">
        <v>2276</v>
      </c>
      <c r="AC1455" s="4" t="s">
        <v>4302</v>
      </c>
      <c r="AD1455" s="4"/>
    </row>
    <row r="1456" spans="1:30" ht="29">
      <c r="A1456" s="11" t="s">
        <v>4257</v>
      </c>
      <c r="B1456" s="11" t="s">
        <v>4304</v>
      </c>
      <c r="C1456" s="3" t="s">
        <v>24</v>
      </c>
      <c r="D1456" s="3" t="s">
        <v>2276</v>
      </c>
      <c r="E1456" s="3" t="s">
        <v>2276</v>
      </c>
      <c r="F1456" s="4" t="s">
        <v>2276</v>
      </c>
      <c r="G1456" s="3" t="s">
        <v>74</v>
      </c>
      <c r="H1456" s="3" t="s">
        <v>523</v>
      </c>
      <c r="I1456" s="3"/>
      <c r="J1456" s="3" t="s">
        <v>2276</v>
      </c>
      <c r="K1456" s="22" t="s">
        <v>2276</v>
      </c>
      <c r="L1456" s="22" t="s">
        <v>2276</v>
      </c>
      <c r="M1456" s="22" t="s">
        <v>2276</v>
      </c>
      <c r="N1456" s="22" t="s">
        <v>2276</v>
      </c>
      <c r="O1456" s="22" t="s">
        <v>2276</v>
      </c>
      <c r="P1456" s="22" t="s">
        <v>2276</v>
      </c>
      <c r="Q1456" s="22" t="s">
        <v>2276</v>
      </c>
      <c r="R1456" s="22" t="s">
        <v>2276</v>
      </c>
      <c r="S1456" s="22" t="s">
        <v>2276</v>
      </c>
      <c r="T1456" s="22" t="s">
        <v>2276</v>
      </c>
      <c r="U1456" s="22" t="s">
        <v>2276</v>
      </c>
      <c r="V1456" s="22" t="s">
        <v>2276</v>
      </c>
      <c r="W1456" s="3" t="s">
        <v>2276</v>
      </c>
      <c r="X1456" s="21" t="s">
        <v>2276</v>
      </c>
      <c r="Y1456" s="3" t="s">
        <v>2276</v>
      </c>
      <c r="Z1456" s="3" t="s">
        <v>2276</v>
      </c>
      <c r="AA1456" s="3" t="s">
        <v>2276</v>
      </c>
      <c r="AB1456" s="3" t="s">
        <v>2276</v>
      </c>
      <c r="AC1456" s="4" t="s">
        <v>4302</v>
      </c>
      <c r="AD1456" s="4" t="s">
        <v>4303</v>
      </c>
    </row>
    <row r="1457" spans="1:30" ht="29">
      <c r="A1457" s="11" t="s">
        <v>4257</v>
      </c>
      <c r="B1457" s="11" t="s">
        <v>4305</v>
      </c>
      <c r="C1457" s="3" t="s">
        <v>2656</v>
      </c>
      <c r="D1457" s="3" t="s">
        <v>2276</v>
      </c>
      <c r="E1457" s="3" t="s">
        <v>2276</v>
      </c>
      <c r="F1457" s="4" t="s">
        <v>2276</v>
      </c>
      <c r="G1457" s="3" t="s">
        <v>74</v>
      </c>
      <c r="H1457" s="3" t="s">
        <v>523</v>
      </c>
      <c r="I1457" s="3"/>
      <c r="J1457" s="3" t="s">
        <v>2276</v>
      </c>
      <c r="K1457" s="22" t="s">
        <v>2276</v>
      </c>
      <c r="L1457" s="22" t="s">
        <v>2276</v>
      </c>
      <c r="M1457" s="22" t="s">
        <v>2276</v>
      </c>
      <c r="N1457" s="22" t="s">
        <v>2276</v>
      </c>
      <c r="O1457" s="22" t="s">
        <v>2276</v>
      </c>
      <c r="P1457" s="22" t="s">
        <v>2276</v>
      </c>
      <c r="Q1457" s="22" t="s">
        <v>2276</v>
      </c>
      <c r="R1457" s="22" t="s">
        <v>2276</v>
      </c>
      <c r="S1457" s="22" t="s">
        <v>2276</v>
      </c>
      <c r="T1457" s="22" t="s">
        <v>2276</v>
      </c>
      <c r="U1457" s="22" t="s">
        <v>2276</v>
      </c>
      <c r="V1457" s="22" t="s">
        <v>2276</v>
      </c>
      <c r="W1457" s="3" t="s">
        <v>2276</v>
      </c>
      <c r="X1457" s="21" t="s">
        <v>2276</v>
      </c>
      <c r="Y1457" s="3" t="s">
        <v>2276</v>
      </c>
      <c r="Z1457" s="3" t="s">
        <v>2276</v>
      </c>
      <c r="AA1457" s="3" t="s">
        <v>2276</v>
      </c>
      <c r="AB1457" s="3" t="s">
        <v>2276</v>
      </c>
      <c r="AC1457" s="4" t="s">
        <v>4302</v>
      </c>
      <c r="AD1457" s="4" t="s">
        <v>4303</v>
      </c>
    </row>
    <row r="1458" spans="1:30" ht="29">
      <c r="A1458" s="11" t="s">
        <v>4257</v>
      </c>
      <c r="B1458" s="11" t="s">
        <v>4306</v>
      </c>
      <c r="C1458" s="3" t="s">
        <v>2458</v>
      </c>
      <c r="D1458" s="3" t="s">
        <v>2276</v>
      </c>
      <c r="E1458" s="3" t="s">
        <v>2276</v>
      </c>
      <c r="F1458" s="4" t="s">
        <v>2276</v>
      </c>
      <c r="G1458" s="3" t="s">
        <v>74</v>
      </c>
      <c r="H1458" s="3" t="s">
        <v>523</v>
      </c>
      <c r="I1458" s="3"/>
      <c r="J1458" s="3" t="s">
        <v>2276</v>
      </c>
      <c r="K1458" s="22" t="s">
        <v>2276</v>
      </c>
      <c r="L1458" s="22" t="s">
        <v>2276</v>
      </c>
      <c r="M1458" s="22" t="s">
        <v>2276</v>
      </c>
      <c r="N1458" s="22" t="s">
        <v>2276</v>
      </c>
      <c r="O1458" s="22" t="s">
        <v>2276</v>
      </c>
      <c r="P1458" s="22" t="s">
        <v>2276</v>
      </c>
      <c r="Q1458" s="22" t="s">
        <v>2276</v>
      </c>
      <c r="R1458" s="22" t="s">
        <v>2276</v>
      </c>
      <c r="S1458" s="22" t="s">
        <v>2276</v>
      </c>
      <c r="T1458" s="22" t="s">
        <v>2276</v>
      </c>
      <c r="U1458" s="22" t="s">
        <v>2276</v>
      </c>
      <c r="V1458" s="22" t="s">
        <v>2276</v>
      </c>
      <c r="W1458" s="3" t="s">
        <v>2276</v>
      </c>
      <c r="X1458" s="21" t="s">
        <v>2276</v>
      </c>
      <c r="Y1458" s="3" t="s">
        <v>2276</v>
      </c>
      <c r="Z1458" s="3" t="s">
        <v>2276</v>
      </c>
      <c r="AA1458" s="3" t="s">
        <v>2276</v>
      </c>
      <c r="AB1458" s="3" t="s">
        <v>2276</v>
      </c>
      <c r="AC1458" s="4" t="s">
        <v>4302</v>
      </c>
      <c r="AD1458" s="4" t="s">
        <v>4303</v>
      </c>
    </row>
    <row r="1459" spans="1:30" ht="42" customHeight="1">
      <c r="A1459" s="11" t="s">
        <v>4257</v>
      </c>
      <c r="B1459" s="11" t="s">
        <v>4307</v>
      </c>
      <c r="C1459" s="3" t="s">
        <v>31</v>
      </c>
      <c r="D1459" s="3" t="s">
        <v>30</v>
      </c>
      <c r="E1459" s="3" t="s">
        <v>2276</v>
      </c>
      <c r="F1459" s="4" t="s">
        <v>2276</v>
      </c>
      <c r="G1459" s="3" t="s">
        <v>74</v>
      </c>
      <c r="H1459" s="3" t="s">
        <v>523</v>
      </c>
      <c r="I1459" s="3"/>
      <c r="J1459" s="3" t="s">
        <v>2276</v>
      </c>
      <c r="K1459" s="22" t="s">
        <v>2276</v>
      </c>
      <c r="L1459" s="22" t="s">
        <v>2276</v>
      </c>
      <c r="M1459" s="22" t="s">
        <v>2276</v>
      </c>
      <c r="N1459" s="22" t="s">
        <v>2276</v>
      </c>
      <c r="O1459" s="22" t="s">
        <v>2276</v>
      </c>
      <c r="P1459" s="22" t="s">
        <v>2276</v>
      </c>
      <c r="Q1459" s="22" t="s">
        <v>2276</v>
      </c>
      <c r="R1459" s="22" t="s">
        <v>2276</v>
      </c>
      <c r="S1459" s="22" t="s">
        <v>2276</v>
      </c>
      <c r="T1459" s="22" t="s">
        <v>2276</v>
      </c>
      <c r="U1459" s="22" t="s">
        <v>2276</v>
      </c>
      <c r="V1459" s="22" t="s">
        <v>2276</v>
      </c>
      <c r="W1459" s="3" t="s">
        <v>2276</v>
      </c>
      <c r="X1459" s="21" t="s">
        <v>2276</v>
      </c>
      <c r="Y1459" s="3" t="s">
        <v>2276</v>
      </c>
      <c r="Z1459" s="3" t="s">
        <v>2276</v>
      </c>
      <c r="AA1459" s="3" t="s">
        <v>2276</v>
      </c>
      <c r="AB1459" s="3" t="s">
        <v>2276</v>
      </c>
      <c r="AC1459" s="4" t="s">
        <v>4302</v>
      </c>
      <c r="AD1459" s="4" t="s">
        <v>4303</v>
      </c>
    </row>
    <row r="1460" spans="1:30" ht="42" customHeight="1">
      <c r="A1460" s="11" t="s">
        <v>4257</v>
      </c>
      <c r="B1460" s="11" t="s">
        <v>5046</v>
      </c>
      <c r="C1460" s="3" t="s">
        <v>1105</v>
      </c>
      <c r="D1460" s="3" t="s">
        <v>1105</v>
      </c>
      <c r="E1460" s="3" t="s">
        <v>2276</v>
      </c>
      <c r="F1460" s="4" t="s">
        <v>2276</v>
      </c>
      <c r="G1460" s="3" t="s">
        <v>74</v>
      </c>
      <c r="H1460" s="3" t="s">
        <v>523</v>
      </c>
      <c r="I1460" s="3"/>
      <c r="J1460" s="3" t="s">
        <v>2276</v>
      </c>
      <c r="K1460" s="3" t="s">
        <v>2276</v>
      </c>
      <c r="L1460" s="3" t="s">
        <v>2276</v>
      </c>
      <c r="M1460" s="3" t="s">
        <v>2276</v>
      </c>
      <c r="N1460" s="3" t="s">
        <v>2276</v>
      </c>
      <c r="O1460" s="3" t="s">
        <v>2276</v>
      </c>
      <c r="P1460" s="21">
        <f>143/(78)</f>
        <v>1.8333333333333333</v>
      </c>
      <c r="Q1460" s="3" t="s">
        <v>2276</v>
      </c>
      <c r="R1460" s="3" t="s">
        <v>2276</v>
      </c>
      <c r="S1460" s="3" t="s">
        <v>2276</v>
      </c>
      <c r="T1460" s="3" t="s">
        <v>2276</v>
      </c>
      <c r="U1460" s="3" t="s">
        <v>2276</v>
      </c>
      <c r="V1460" s="3">
        <v>2.13</v>
      </c>
      <c r="W1460" s="3" t="s">
        <v>2276</v>
      </c>
      <c r="X1460" s="21">
        <f>143/56.77</f>
        <v>2.5189360577769948</v>
      </c>
      <c r="Y1460" s="3" t="s">
        <v>2276</v>
      </c>
      <c r="Z1460" s="3" t="s">
        <v>2276</v>
      </c>
      <c r="AA1460" s="3" t="s">
        <v>2276</v>
      </c>
      <c r="AB1460" s="3" t="s">
        <v>2276</v>
      </c>
      <c r="AC1460" s="4" t="s">
        <v>4302</v>
      </c>
      <c r="AD1460" s="4"/>
    </row>
    <row r="1461" spans="1:30" ht="29">
      <c r="A1461" s="11" t="s">
        <v>4065</v>
      </c>
      <c r="B1461" s="11" t="s">
        <v>4308</v>
      </c>
      <c r="C1461" s="3" t="s">
        <v>24</v>
      </c>
      <c r="D1461" s="3" t="s">
        <v>2276</v>
      </c>
      <c r="E1461" s="3" t="s">
        <v>2276</v>
      </c>
      <c r="F1461" s="4" t="s">
        <v>2276</v>
      </c>
      <c r="G1461" s="3" t="s">
        <v>74</v>
      </c>
      <c r="H1461" s="3" t="s">
        <v>523</v>
      </c>
      <c r="I1461" s="3"/>
      <c r="J1461" s="3" t="s">
        <v>2276</v>
      </c>
      <c r="K1461" s="22" t="s">
        <v>2276</v>
      </c>
      <c r="L1461" s="22" t="s">
        <v>2276</v>
      </c>
      <c r="M1461" s="22" t="s">
        <v>2276</v>
      </c>
      <c r="N1461" s="22" t="s">
        <v>2276</v>
      </c>
      <c r="O1461" s="22" t="s">
        <v>2276</v>
      </c>
      <c r="P1461" s="22" t="s">
        <v>2276</v>
      </c>
      <c r="Q1461" s="22" t="s">
        <v>2276</v>
      </c>
      <c r="R1461" s="22" t="s">
        <v>2276</v>
      </c>
      <c r="S1461" s="22" t="s">
        <v>2276</v>
      </c>
      <c r="T1461" s="22" t="s">
        <v>2276</v>
      </c>
      <c r="U1461" s="22" t="s">
        <v>2276</v>
      </c>
      <c r="V1461" s="22" t="s">
        <v>2276</v>
      </c>
      <c r="W1461" s="3" t="s">
        <v>2276</v>
      </c>
      <c r="X1461" s="21" t="s">
        <v>2276</v>
      </c>
      <c r="Y1461" s="3" t="s">
        <v>2276</v>
      </c>
      <c r="Z1461" s="3" t="s">
        <v>2276</v>
      </c>
      <c r="AA1461" s="3" t="s">
        <v>2276</v>
      </c>
      <c r="AB1461" s="3" t="s">
        <v>2276</v>
      </c>
      <c r="AC1461" s="4" t="s">
        <v>4302</v>
      </c>
      <c r="AD1461" s="4" t="s">
        <v>4303</v>
      </c>
    </row>
    <row r="1462" spans="1:30" ht="29">
      <c r="A1462" s="11" t="s">
        <v>4065</v>
      </c>
      <c r="B1462" s="11" t="s">
        <v>4309</v>
      </c>
      <c r="C1462" s="3" t="s">
        <v>2656</v>
      </c>
      <c r="D1462" s="3" t="s">
        <v>2276</v>
      </c>
      <c r="E1462" s="3" t="s">
        <v>2276</v>
      </c>
      <c r="F1462" s="4" t="s">
        <v>2276</v>
      </c>
      <c r="G1462" s="3" t="s">
        <v>74</v>
      </c>
      <c r="H1462" s="3" t="s">
        <v>523</v>
      </c>
      <c r="I1462" s="3"/>
      <c r="J1462" s="3" t="s">
        <v>2276</v>
      </c>
      <c r="K1462" s="22" t="s">
        <v>2276</v>
      </c>
      <c r="L1462" s="22" t="s">
        <v>2276</v>
      </c>
      <c r="M1462" s="22" t="s">
        <v>2276</v>
      </c>
      <c r="N1462" s="22" t="s">
        <v>2276</v>
      </c>
      <c r="O1462" s="22" t="s">
        <v>2276</v>
      </c>
      <c r="P1462" s="22" t="s">
        <v>2276</v>
      </c>
      <c r="Q1462" s="22" t="s">
        <v>2276</v>
      </c>
      <c r="R1462" s="22" t="s">
        <v>2276</v>
      </c>
      <c r="S1462" s="22" t="s">
        <v>2276</v>
      </c>
      <c r="T1462" s="22" t="s">
        <v>2276</v>
      </c>
      <c r="U1462" s="22" t="s">
        <v>2276</v>
      </c>
      <c r="V1462" s="22" t="s">
        <v>2276</v>
      </c>
      <c r="W1462" s="3" t="s">
        <v>2276</v>
      </c>
      <c r="X1462" s="21" t="s">
        <v>2276</v>
      </c>
      <c r="Y1462" s="3" t="s">
        <v>2276</v>
      </c>
      <c r="Z1462" s="3" t="s">
        <v>2276</v>
      </c>
      <c r="AA1462" s="3" t="s">
        <v>2276</v>
      </c>
      <c r="AB1462" s="3" t="s">
        <v>2276</v>
      </c>
      <c r="AC1462" s="4" t="s">
        <v>4302</v>
      </c>
      <c r="AD1462" s="4" t="s">
        <v>4303</v>
      </c>
    </row>
    <row r="1463" spans="1:30" ht="29">
      <c r="A1463" s="11" t="s">
        <v>4065</v>
      </c>
      <c r="B1463" s="11" t="s">
        <v>4310</v>
      </c>
      <c r="C1463" s="3" t="s">
        <v>2458</v>
      </c>
      <c r="D1463" s="3" t="s">
        <v>2276</v>
      </c>
      <c r="E1463" s="3" t="s">
        <v>2276</v>
      </c>
      <c r="F1463" s="4" t="s">
        <v>2276</v>
      </c>
      <c r="G1463" s="3" t="s">
        <v>74</v>
      </c>
      <c r="H1463" s="3" t="s">
        <v>523</v>
      </c>
      <c r="I1463" s="3"/>
      <c r="J1463" s="3" t="s">
        <v>2276</v>
      </c>
      <c r="K1463" s="22" t="s">
        <v>2276</v>
      </c>
      <c r="L1463" s="22" t="s">
        <v>2276</v>
      </c>
      <c r="M1463" s="22" t="s">
        <v>2276</v>
      </c>
      <c r="N1463" s="22" t="s">
        <v>2276</v>
      </c>
      <c r="O1463" s="22" t="s">
        <v>2276</v>
      </c>
      <c r="P1463" s="22" t="s">
        <v>2276</v>
      </c>
      <c r="Q1463" s="22" t="s">
        <v>2276</v>
      </c>
      <c r="R1463" s="22" t="s">
        <v>2276</v>
      </c>
      <c r="S1463" s="22" t="s">
        <v>2276</v>
      </c>
      <c r="T1463" s="22" t="s">
        <v>2276</v>
      </c>
      <c r="U1463" s="22" t="s">
        <v>2276</v>
      </c>
      <c r="V1463" s="22" t="s">
        <v>2276</v>
      </c>
      <c r="W1463" s="3" t="s">
        <v>2276</v>
      </c>
      <c r="X1463" s="21" t="s">
        <v>2276</v>
      </c>
      <c r="Y1463" s="3" t="s">
        <v>2276</v>
      </c>
      <c r="Z1463" s="3" t="s">
        <v>2276</v>
      </c>
      <c r="AA1463" s="3" t="s">
        <v>2276</v>
      </c>
      <c r="AB1463" s="3" t="s">
        <v>2276</v>
      </c>
      <c r="AC1463" s="4" t="s">
        <v>4302</v>
      </c>
      <c r="AD1463" s="4" t="s">
        <v>4303</v>
      </c>
    </row>
    <row r="1464" spans="1:30" ht="37" customHeight="1">
      <c r="A1464" s="11" t="s">
        <v>4065</v>
      </c>
      <c r="B1464" s="11" t="s">
        <v>4311</v>
      </c>
      <c r="C1464" s="3" t="s">
        <v>31</v>
      </c>
      <c r="D1464" s="3" t="s">
        <v>30</v>
      </c>
      <c r="E1464" s="3" t="s">
        <v>2276</v>
      </c>
      <c r="F1464" s="4" t="s">
        <v>2276</v>
      </c>
      <c r="G1464" s="3" t="s">
        <v>74</v>
      </c>
      <c r="H1464" s="3" t="s">
        <v>523</v>
      </c>
      <c r="I1464" s="3"/>
      <c r="J1464" s="3" t="s">
        <v>2276</v>
      </c>
      <c r="K1464" s="22" t="s">
        <v>2276</v>
      </c>
      <c r="L1464" s="22" t="s">
        <v>2276</v>
      </c>
      <c r="M1464" s="22" t="s">
        <v>2276</v>
      </c>
      <c r="N1464" s="22" t="s">
        <v>2276</v>
      </c>
      <c r="O1464" s="22" t="s">
        <v>2276</v>
      </c>
      <c r="P1464" s="22" t="s">
        <v>2276</v>
      </c>
      <c r="Q1464" s="22" t="s">
        <v>2276</v>
      </c>
      <c r="R1464" s="22" t="s">
        <v>2276</v>
      </c>
      <c r="S1464" s="22" t="s">
        <v>2276</v>
      </c>
      <c r="T1464" s="22" t="s">
        <v>2276</v>
      </c>
      <c r="U1464" s="22" t="s">
        <v>2276</v>
      </c>
      <c r="V1464" s="22" t="s">
        <v>2276</v>
      </c>
      <c r="W1464" s="3" t="s">
        <v>2276</v>
      </c>
      <c r="X1464" s="21" t="s">
        <v>2276</v>
      </c>
      <c r="Y1464" s="3" t="s">
        <v>2276</v>
      </c>
      <c r="Z1464" s="3" t="s">
        <v>2276</v>
      </c>
      <c r="AA1464" s="3" t="s">
        <v>2276</v>
      </c>
      <c r="AB1464" s="3" t="s">
        <v>2276</v>
      </c>
      <c r="AC1464" s="4" t="s">
        <v>4302</v>
      </c>
      <c r="AD1464" s="4" t="s">
        <v>4303</v>
      </c>
    </row>
    <row r="1465" spans="1:30" ht="37" customHeight="1">
      <c r="A1465" s="11" t="s">
        <v>4065</v>
      </c>
      <c r="B1465" s="11" t="s">
        <v>5045</v>
      </c>
      <c r="C1465" s="3" t="s">
        <v>1105</v>
      </c>
      <c r="D1465" s="3" t="s">
        <v>1105</v>
      </c>
      <c r="E1465" s="3" t="s">
        <v>2276</v>
      </c>
      <c r="F1465" s="4" t="s">
        <v>2276</v>
      </c>
      <c r="G1465" s="3" t="s">
        <v>74</v>
      </c>
      <c r="H1465" s="3" t="s">
        <v>523</v>
      </c>
      <c r="I1465" s="3"/>
      <c r="J1465" s="3" t="s">
        <v>2276</v>
      </c>
      <c r="K1465" s="3" t="s">
        <v>2276</v>
      </c>
      <c r="L1465" s="3" t="s">
        <v>2276</v>
      </c>
      <c r="M1465" s="3" t="s">
        <v>2276</v>
      </c>
      <c r="N1465" s="3" t="s">
        <v>2276</v>
      </c>
      <c r="O1465" s="3" t="s">
        <v>2276</v>
      </c>
      <c r="P1465" s="21">
        <f>104/(208)</f>
        <v>0.5</v>
      </c>
      <c r="Q1465" s="3" t="s">
        <v>2276</v>
      </c>
      <c r="R1465" s="3" t="s">
        <v>2276</v>
      </c>
      <c r="S1465" s="3" t="s">
        <v>2276</v>
      </c>
      <c r="T1465" s="3" t="s">
        <v>2276</v>
      </c>
      <c r="U1465" s="3" t="s">
        <v>2276</v>
      </c>
      <c r="V1465" s="3">
        <v>0.83</v>
      </c>
      <c r="W1465" s="3" t="s">
        <v>2276</v>
      </c>
      <c r="X1465" s="21">
        <f>104/89</f>
        <v>1.1685393258426966</v>
      </c>
      <c r="Y1465" s="3" t="s">
        <v>2276</v>
      </c>
      <c r="Z1465" s="3" t="s">
        <v>2276</v>
      </c>
      <c r="AA1465" s="3" t="s">
        <v>2276</v>
      </c>
      <c r="AB1465" s="3" t="s">
        <v>2276</v>
      </c>
      <c r="AC1465" s="4" t="s">
        <v>4302</v>
      </c>
      <c r="AD1465" s="4"/>
    </row>
    <row r="1466" spans="1:30" ht="33" customHeight="1">
      <c r="A1466" s="11" t="s">
        <v>4360</v>
      </c>
      <c r="B1466" s="11" t="s">
        <v>4363</v>
      </c>
      <c r="C1466" s="3" t="s">
        <v>24</v>
      </c>
      <c r="D1466" s="3" t="s">
        <v>27</v>
      </c>
      <c r="E1466" s="3" t="s">
        <v>130</v>
      </c>
      <c r="F1466" s="4" t="s">
        <v>2276</v>
      </c>
      <c r="G1466" s="3" t="s">
        <v>2276</v>
      </c>
      <c r="H1466" s="3" t="s">
        <v>523</v>
      </c>
      <c r="I1466" s="3"/>
      <c r="J1466" s="22" t="s">
        <v>2276</v>
      </c>
      <c r="K1466" s="22" t="s">
        <v>2276</v>
      </c>
      <c r="L1466" s="22" t="s">
        <v>2276</v>
      </c>
      <c r="M1466" s="22" t="s">
        <v>2276</v>
      </c>
      <c r="N1466" s="22" t="s">
        <v>2276</v>
      </c>
      <c r="O1466" s="22" t="s">
        <v>2276</v>
      </c>
      <c r="P1466" s="22" t="s">
        <v>2276</v>
      </c>
      <c r="Q1466" s="22" t="s">
        <v>2276</v>
      </c>
      <c r="R1466" s="22" t="s">
        <v>2276</v>
      </c>
      <c r="S1466" s="22" t="s">
        <v>2276</v>
      </c>
      <c r="T1466" s="22" t="s">
        <v>2276</v>
      </c>
      <c r="U1466" s="22" t="s">
        <v>2276</v>
      </c>
      <c r="V1466" s="22" t="s">
        <v>2276</v>
      </c>
      <c r="W1466" s="22" t="s">
        <v>2276</v>
      </c>
      <c r="X1466" s="22" t="s">
        <v>2276</v>
      </c>
      <c r="Y1466" s="22" t="s">
        <v>2276</v>
      </c>
      <c r="Z1466" s="22" t="s">
        <v>2276</v>
      </c>
      <c r="AA1466" s="22" t="s">
        <v>2276</v>
      </c>
      <c r="AB1466" s="22" t="s">
        <v>2276</v>
      </c>
      <c r="AC1466" s="4"/>
      <c r="AD1466" s="3"/>
    </row>
    <row r="1467" spans="1:30" ht="29" customHeight="1">
      <c r="A1467" s="11" t="s">
        <v>4360</v>
      </c>
      <c r="B1467" s="11" t="s">
        <v>4364</v>
      </c>
      <c r="C1467" s="3" t="s">
        <v>24</v>
      </c>
      <c r="D1467" s="3" t="s">
        <v>25</v>
      </c>
      <c r="E1467" s="3" t="s">
        <v>5005</v>
      </c>
      <c r="F1467" s="4" t="s">
        <v>2276</v>
      </c>
      <c r="G1467" s="3" t="s">
        <v>2276</v>
      </c>
      <c r="H1467" s="3" t="s">
        <v>523</v>
      </c>
      <c r="I1467" s="3"/>
      <c r="J1467" s="22" t="s">
        <v>2276</v>
      </c>
      <c r="K1467" s="22" t="s">
        <v>2276</v>
      </c>
      <c r="L1467" s="22" t="s">
        <v>2276</v>
      </c>
      <c r="M1467" s="22" t="s">
        <v>2276</v>
      </c>
      <c r="N1467" s="22" t="s">
        <v>2276</v>
      </c>
      <c r="O1467" s="22" t="s">
        <v>2276</v>
      </c>
      <c r="P1467" s="22" t="s">
        <v>2276</v>
      </c>
      <c r="Q1467" s="22" t="s">
        <v>2276</v>
      </c>
      <c r="R1467" s="22" t="s">
        <v>2276</v>
      </c>
      <c r="S1467" s="22" t="s">
        <v>2276</v>
      </c>
      <c r="T1467" s="22" t="s">
        <v>2276</v>
      </c>
      <c r="U1467" s="22" t="s">
        <v>2276</v>
      </c>
      <c r="V1467" s="22" t="s">
        <v>2276</v>
      </c>
      <c r="W1467" s="22" t="s">
        <v>2276</v>
      </c>
      <c r="X1467" s="22" t="s">
        <v>2276</v>
      </c>
      <c r="Y1467" s="22" t="s">
        <v>2276</v>
      </c>
      <c r="Z1467" s="22" t="s">
        <v>2276</v>
      </c>
      <c r="AA1467" s="22" t="s">
        <v>2276</v>
      </c>
      <c r="AB1467" s="22" t="s">
        <v>2276</v>
      </c>
      <c r="AC1467" s="3"/>
      <c r="AD1467" s="3"/>
    </row>
    <row r="1468" spans="1:30" ht="36.5" customHeight="1">
      <c r="A1468" s="11" t="s">
        <v>4360</v>
      </c>
      <c r="B1468" s="11" t="s">
        <v>4365</v>
      </c>
      <c r="C1468" s="3" t="s">
        <v>24</v>
      </c>
      <c r="D1468" s="3" t="s">
        <v>25</v>
      </c>
      <c r="E1468" s="3" t="s">
        <v>45</v>
      </c>
      <c r="F1468" s="4" t="s">
        <v>2276</v>
      </c>
      <c r="G1468" s="3" t="s">
        <v>2276</v>
      </c>
      <c r="H1468" s="3" t="s">
        <v>523</v>
      </c>
      <c r="I1468" s="3"/>
      <c r="J1468" s="22" t="s">
        <v>2276</v>
      </c>
      <c r="K1468" s="22" t="s">
        <v>2276</v>
      </c>
      <c r="L1468" s="22" t="s">
        <v>2276</v>
      </c>
      <c r="M1468" s="22" t="s">
        <v>2276</v>
      </c>
      <c r="N1468" s="22" t="s">
        <v>2276</v>
      </c>
      <c r="O1468" s="22" t="s">
        <v>2276</v>
      </c>
      <c r="P1468" s="22" t="s">
        <v>2276</v>
      </c>
      <c r="Q1468" s="22" t="s">
        <v>2276</v>
      </c>
      <c r="R1468" s="22" t="s">
        <v>2276</v>
      </c>
      <c r="S1468" s="22" t="s">
        <v>2276</v>
      </c>
      <c r="T1468" s="22" t="s">
        <v>2276</v>
      </c>
      <c r="U1468" s="22" t="s">
        <v>2276</v>
      </c>
      <c r="V1468" s="22" t="s">
        <v>2276</v>
      </c>
      <c r="W1468" s="22" t="s">
        <v>2276</v>
      </c>
      <c r="X1468" s="22" t="s">
        <v>2276</v>
      </c>
      <c r="Y1468" s="22" t="s">
        <v>2276</v>
      </c>
      <c r="Z1468" s="22" t="s">
        <v>2276</v>
      </c>
      <c r="AA1468" s="22" t="s">
        <v>2276</v>
      </c>
      <c r="AB1468" s="22" t="s">
        <v>2276</v>
      </c>
      <c r="AC1468" s="3"/>
      <c r="AD1468" s="3"/>
    </row>
    <row r="1469" spans="1:30" ht="34.5" customHeight="1">
      <c r="A1469" s="11" t="s">
        <v>4362</v>
      </c>
      <c r="B1469" s="11" t="s">
        <v>4366</v>
      </c>
      <c r="C1469" s="3" t="s">
        <v>24</v>
      </c>
      <c r="D1469" s="3" t="s">
        <v>1242</v>
      </c>
      <c r="E1469" s="3" t="s">
        <v>137</v>
      </c>
      <c r="F1469" s="4" t="s">
        <v>74</v>
      </c>
      <c r="G1469" s="3" t="s">
        <v>2276</v>
      </c>
      <c r="H1469" s="3" t="s">
        <v>524</v>
      </c>
      <c r="I1469" s="3"/>
      <c r="J1469" s="21">
        <v>0</v>
      </c>
      <c r="K1469" s="21">
        <v>0</v>
      </c>
      <c r="L1469" s="21">
        <v>0</v>
      </c>
      <c r="M1469" s="21">
        <v>0</v>
      </c>
      <c r="N1469" s="21">
        <v>0</v>
      </c>
      <c r="O1469" s="21">
        <v>0</v>
      </c>
      <c r="P1469" s="21">
        <v>0</v>
      </c>
      <c r="Q1469" s="21">
        <v>0</v>
      </c>
      <c r="R1469" s="21">
        <v>0</v>
      </c>
      <c r="S1469" s="21">
        <v>0</v>
      </c>
      <c r="T1469" s="21">
        <v>0</v>
      </c>
      <c r="U1469" s="21">
        <v>0</v>
      </c>
      <c r="V1469" s="21">
        <v>0</v>
      </c>
      <c r="W1469" s="21">
        <v>0</v>
      </c>
      <c r="X1469" s="21">
        <v>0</v>
      </c>
      <c r="Y1469" s="22" t="s">
        <v>2276</v>
      </c>
      <c r="Z1469" s="22" t="s">
        <v>2276</v>
      </c>
      <c r="AA1469" s="22" t="s">
        <v>2276</v>
      </c>
      <c r="AB1469" s="22" t="s">
        <v>2276</v>
      </c>
      <c r="AC1469" s="3" t="s">
        <v>4375</v>
      </c>
      <c r="AD1469" s="3"/>
    </row>
    <row r="1470" spans="1:30" ht="34.5" customHeight="1">
      <c r="A1470" s="11" t="s">
        <v>4362</v>
      </c>
      <c r="B1470" s="11" t="s">
        <v>4367</v>
      </c>
      <c r="C1470" s="3" t="s">
        <v>24</v>
      </c>
      <c r="D1470" s="3" t="s">
        <v>25</v>
      </c>
      <c r="E1470" s="3" t="s">
        <v>45</v>
      </c>
      <c r="F1470" s="4" t="s">
        <v>74</v>
      </c>
      <c r="G1470" s="3" t="s">
        <v>2276</v>
      </c>
      <c r="H1470" s="3" t="s">
        <v>523</v>
      </c>
      <c r="I1470" s="3"/>
      <c r="J1470" s="22" t="s">
        <v>2276</v>
      </c>
      <c r="K1470" s="22" t="s">
        <v>2276</v>
      </c>
      <c r="L1470" s="22" t="s">
        <v>2276</v>
      </c>
      <c r="M1470" s="22" t="s">
        <v>2276</v>
      </c>
      <c r="N1470" s="22" t="s">
        <v>2276</v>
      </c>
      <c r="O1470" s="22" t="s">
        <v>2276</v>
      </c>
      <c r="P1470" s="22" t="s">
        <v>2276</v>
      </c>
      <c r="Q1470" s="22" t="s">
        <v>2276</v>
      </c>
      <c r="R1470" s="22" t="s">
        <v>2276</v>
      </c>
      <c r="S1470" s="22" t="s">
        <v>2276</v>
      </c>
      <c r="T1470" s="22" t="s">
        <v>2276</v>
      </c>
      <c r="U1470" s="22" t="s">
        <v>2276</v>
      </c>
      <c r="V1470" s="22" t="s">
        <v>2276</v>
      </c>
      <c r="W1470" s="22" t="s">
        <v>2276</v>
      </c>
      <c r="X1470" s="22" t="s">
        <v>2276</v>
      </c>
      <c r="Y1470" s="22" t="s">
        <v>2276</v>
      </c>
      <c r="Z1470" s="22" t="s">
        <v>2276</v>
      </c>
      <c r="AA1470" s="22" t="s">
        <v>2276</v>
      </c>
      <c r="AB1470" s="22" t="s">
        <v>2276</v>
      </c>
      <c r="AC1470" s="3" t="s">
        <v>4370</v>
      </c>
      <c r="AD1470" s="3"/>
    </row>
    <row r="1471" spans="1:30" ht="34.5" customHeight="1">
      <c r="A1471" s="11" t="s">
        <v>4362</v>
      </c>
      <c r="B1471" s="11" t="s">
        <v>4368</v>
      </c>
      <c r="C1471" s="3" t="s">
        <v>24</v>
      </c>
      <c r="D1471" s="3" t="s">
        <v>25</v>
      </c>
      <c r="E1471" s="3" t="s">
        <v>45</v>
      </c>
      <c r="F1471" s="4" t="s">
        <v>55</v>
      </c>
      <c r="G1471" s="3" t="s">
        <v>2276</v>
      </c>
      <c r="H1471" s="3" t="s">
        <v>523</v>
      </c>
      <c r="I1471" s="3"/>
      <c r="J1471" s="22" t="s">
        <v>2276</v>
      </c>
      <c r="K1471" s="22" t="s">
        <v>2276</v>
      </c>
      <c r="L1471" s="22" t="s">
        <v>2276</v>
      </c>
      <c r="M1471" s="22" t="s">
        <v>2276</v>
      </c>
      <c r="N1471" s="22" t="s">
        <v>2276</v>
      </c>
      <c r="O1471" s="22" t="s">
        <v>2276</v>
      </c>
      <c r="P1471" s="22" t="s">
        <v>2276</v>
      </c>
      <c r="Q1471" s="22" t="s">
        <v>2276</v>
      </c>
      <c r="R1471" s="22" t="s">
        <v>2276</v>
      </c>
      <c r="S1471" s="22" t="s">
        <v>2276</v>
      </c>
      <c r="T1471" s="22" t="s">
        <v>2276</v>
      </c>
      <c r="U1471" s="22" t="s">
        <v>2276</v>
      </c>
      <c r="V1471" s="22" t="s">
        <v>2276</v>
      </c>
      <c r="W1471" s="22" t="s">
        <v>2276</v>
      </c>
      <c r="X1471" s="22" t="s">
        <v>2276</v>
      </c>
      <c r="Y1471" s="22" t="s">
        <v>2276</v>
      </c>
      <c r="Z1471" s="22" t="s">
        <v>2276</v>
      </c>
      <c r="AA1471" s="22" t="s">
        <v>2276</v>
      </c>
      <c r="AB1471" s="22" t="s">
        <v>2276</v>
      </c>
      <c r="AC1471" s="3"/>
      <c r="AD1471" s="3"/>
    </row>
    <row r="1472" spans="1:30" ht="40" customHeight="1">
      <c r="A1472" s="11" t="s">
        <v>4362</v>
      </c>
      <c r="B1472" s="11" t="s">
        <v>4369</v>
      </c>
      <c r="C1472" s="3" t="s">
        <v>24</v>
      </c>
      <c r="D1472" s="3" t="s">
        <v>2346</v>
      </c>
      <c r="E1472" s="3" t="s">
        <v>45</v>
      </c>
      <c r="F1472" s="4" t="s">
        <v>2276</v>
      </c>
      <c r="G1472" s="3" t="s">
        <v>2276</v>
      </c>
      <c r="H1472" s="3" t="s">
        <v>523</v>
      </c>
      <c r="I1472" s="3"/>
      <c r="J1472" s="22" t="s">
        <v>2276</v>
      </c>
      <c r="K1472" s="22" t="s">
        <v>2276</v>
      </c>
      <c r="L1472" s="22" t="s">
        <v>2276</v>
      </c>
      <c r="M1472" s="22" t="s">
        <v>2276</v>
      </c>
      <c r="N1472" s="22" t="s">
        <v>2276</v>
      </c>
      <c r="O1472" s="22" t="s">
        <v>2276</v>
      </c>
      <c r="P1472" s="22" t="s">
        <v>2276</v>
      </c>
      <c r="Q1472" s="22" t="s">
        <v>2276</v>
      </c>
      <c r="R1472" s="22" t="s">
        <v>2276</v>
      </c>
      <c r="S1472" s="22" t="s">
        <v>2276</v>
      </c>
      <c r="T1472" s="22" t="s">
        <v>2276</v>
      </c>
      <c r="U1472" s="22" t="s">
        <v>2276</v>
      </c>
      <c r="V1472" s="22" t="s">
        <v>2276</v>
      </c>
      <c r="W1472" s="22" t="s">
        <v>2276</v>
      </c>
      <c r="X1472" s="22" t="s">
        <v>2276</v>
      </c>
      <c r="Y1472" s="22" t="s">
        <v>2276</v>
      </c>
      <c r="Z1472" s="22" t="s">
        <v>2276</v>
      </c>
      <c r="AA1472" s="22" t="s">
        <v>2276</v>
      </c>
      <c r="AB1472" s="22" t="s">
        <v>2276</v>
      </c>
      <c r="AC1472" s="3"/>
      <c r="AD1472" s="3"/>
    </row>
    <row r="1473" spans="1:30" ht="39" customHeight="1">
      <c r="A1473" s="11" t="s">
        <v>4362</v>
      </c>
      <c r="B1473" s="11" t="s">
        <v>4371</v>
      </c>
      <c r="C1473" s="3" t="s">
        <v>2656</v>
      </c>
      <c r="D1473" s="3" t="s">
        <v>2276</v>
      </c>
      <c r="E1473" s="3" t="s">
        <v>2276</v>
      </c>
      <c r="F1473" s="4" t="s">
        <v>2276</v>
      </c>
      <c r="G1473" s="3" t="s">
        <v>2276</v>
      </c>
      <c r="H1473" s="3" t="s">
        <v>523</v>
      </c>
      <c r="I1473" s="3"/>
      <c r="J1473" s="22" t="s">
        <v>2276</v>
      </c>
      <c r="K1473" s="22" t="s">
        <v>2276</v>
      </c>
      <c r="L1473" s="22" t="s">
        <v>2276</v>
      </c>
      <c r="M1473" s="22" t="s">
        <v>2276</v>
      </c>
      <c r="N1473" s="22" t="s">
        <v>2276</v>
      </c>
      <c r="O1473" s="22" t="s">
        <v>2276</v>
      </c>
      <c r="P1473" s="22" t="s">
        <v>2276</v>
      </c>
      <c r="Q1473" s="22" t="s">
        <v>2276</v>
      </c>
      <c r="R1473" s="22" t="s">
        <v>2276</v>
      </c>
      <c r="S1473" s="22" t="s">
        <v>2276</v>
      </c>
      <c r="T1473" s="22" t="s">
        <v>2276</v>
      </c>
      <c r="U1473" s="22" t="s">
        <v>2276</v>
      </c>
      <c r="V1473" s="22" t="s">
        <v>2276</v>
      </c>
      <c r="W1473" s="22" t="s">
        <v>2276</v>
      </c>
      <c r="X1473" s="22" t="s">
        <v>2276</v>
      </c>
      <c r="Y1473" s="22" t="s">
        <v>2276</v>
      </c>
      <c r="Z1473" s="22" t="s">
        <v>2276</v>
      </c>
      <c r="AA1473" s="22" t="s">
        <v>2276</v>
      </c>
      <c r="AB1473" s="22" t="s">
        <v>2276</v>
      </c>
      <c r="AC1473" s="3"/>
      <c r="AD1473" s="3"/>
    </row>
    <row r="1474" spans="1:30" ht="64.5" customHeight="1">
      <c r="A1474" s="11" t="s">
        <v>4362</v>
      </c>
      <c r="B1474" s="11" t="s">
        <v>4372</v>
      </c>
      <c r="C1474" s="3" t="s">
        <v>2658</v>
      </c>
      <c r="D1474" s="3" t="s">
        <v>2276</v>
      </c>
      <c r="E1474" s="3" t="s">
        <v>2276</v>
      </c>
      <c r="F1474" s="4" t="s">
        <v>2276</v>
      </c>
      <c r="G1474" s="3" t="s">
        <v>74</v>
      </c>
      <c r="H1474" s="3" t="s">
        <v>523</v>
      </c>
      <c r="I1474" s="3"/>
      <c r="J1474" s="22" t="s">
        <v>2276</v>
      </c>
      <c r="K1474" s="22" t="s">
        <v>2276</v>
      </c>
      <c r="L1474" s="22" t="s">
        <v>2276</v>
      </c>
      <c r="M1474" s="22" t="s">
        <v>2276</v>
      </c>
      <c r="N1474" s="22" t="s">
        <v>2276</v>
      </c>
      <c r="O1474" s="22" t="s">
        <v>2276</v>
      </c>
      <c r="P1474" s="22" t="s">
        <v>2276</v>
      </c>
      <c r="Q1474" s="22" t="s">
        <v>2276</v>
      </c>
      <c r="R1474" s="22" t="s">
        <v>2276</v>
      </c>
      <c r="S1474" s="22" t="s">
        <v>2276</v>
      </c>
      <c r="T1474" s="21">
        <f>3840-1390</f>
        <v>2450</v>
      </c>
      <c r="U1474" s="22" t="s">
        <v>2276</v>
      </c>
      <c r="V1474" s="22" t="s">
        <v>2276</v>
      </c>
      <c r="W1474" s="22" t="s">
        <v>2276</v>
      </c>
      <c r="X1474" s="22" t="s">
        <v>2276</v>
      </c>
      <c r="Y1474" s="22" t="s">
        <v>2276</v>
      </c>
      <c r="Z1474" s="22" t="s">
        <v>2276</v>
      </c>
      <c r="AA1474" s="22" t="s">
        <v>2276</v>
      </c>
      <c r="AB1474" s="22" t="s">
        <v>2276</v>
      </c>
      <c r="AC1474" s="3"/>
      <c r="AD1474" s="3"/>
    </row>
    <row r="1475" spans="1:30" ht="67" customHeight="1">
      <c r="A1475" s="11" t="s">
        <v>4362</v>
      </c>
      <c r="B1475" s="11" t="s">
        <v>4376</v>
      </c>
      <c r="C1475" s="3" t="s">
        <v>2458</v>
      </c>
      <c r="D1475" s="3" t="s">
        <v>25</v>
      </c>
      <c r="E1475" s="3" t="s">
        <v>84</v>
      </c>
      <c r="F1475" s="4" t="s">
        <v>2276</v>
      </c>
      <c r="G1475" s="3" t="s">
        <v>74</v>
      </c>
      <c r="H1475" s="3" t="s">
        <v>523</v>
      </c>
      <c r="I1475" s="3"/>
      <c r="J1475" s="22" t="s">
        <v>2276</v>
      </c>
      <c r="K1475" s="22" t="s">
        <v>2276</v>
      </c>
      <c r="L1475" s="22" t="s">
        <v>2276</v>
      </c>
      <c r="M1475" s="22" t="s">
        <v>2276</v>
      </c>
      <c r="N1475" s="22" t="s">
        <v>2276</v>
      </c>
      <c r="O1475" s="22" t="s">
        <v>2276</v>
      </c>
      <c r="P1475" s="22" t="s">
        <v>2276</v>
      </c>
      <c r="Q1475" s="22" t="s">
        <v>2276</v>
      </c>
      <c r="R1475" s="22" t="s">
        <v>2276</v>
      </c>
      <c r="S1475" s="22" t="s">
        <v>2276</v>
      </c>
      <c r="T1475" s="21">
        <v>1390</v>
      </c>
      <c r="U1475" s="22" t="s">
        <v>2276</v>
      </c>
      <c r="V1475" s="22" t="s">
        <v>2276</v>
      </c>
      <c r="W1475" s="22" t="s">
        <v>2276</v>
      </c>
      <c r="X1475" s="22" t="s">
        <v>2276</v>
      </c>
      <c r="Y1475" s="22" t="s">
        <v>2276</v>
      </c>
      <c r="Z1475" s="22" t="s">
        <v>2276</v>
      </c>
      <c r="AA1475" s="22" t="s">
        <v>2276</v>
      </c>
      <c r="AB1475" s="22" t="s">
        <v>2276</v>
      </c>
      <c r="AC1475" s="4" t="s">
        <v>4374</v>
      </c>
      <c r="AD1475" s="3"/>
    </row>
    <row r="1476" spans="1:30" ht="49" customHeight="1">
      <c r="A1476" s="11" t="s">
        <v>4387</v>
      </c>
      <c r="B1476" s="3" t="s">
        <v>4405</v>
      </c>
      <c r="C1476" s="3" t="s">
        <v>24</v>
      </c>
      <c r="D1476" s="3" t="s">
        <v>27</v>
      </c>
      <c r="E1476" s="3" t="s">
        <v>130</v>
      </c>
      <c r="F1476" s="4" t="s">
        <v>2276</v>
      </c>
      <c r="G1476" s="3" t="s">
        <v>74</v>
      </c>
      <c r="H1476" s="3" t="s">
        <v>523</v>
      </c>
      <c r="I1476" s="3"/>
      <c r="J1476" s="22" t="s">
        <v>2276</v>
      </c>
      <c r="K1476" s="22" t="s">
        <v>2276</v>
      </c>
      <c r="L1476" s="22" t="s">
        <v>2276</v>
      </c>
      <c r="M1476" s="22" t="s">
        <v>2276</v>
      </c>
      <c r="N1476" s="22" t="s">
        <v>2276</v>
      </c>
      <c r="O1476" s="22" t="s">
        <v>2276</v>
      </c>
      <c r="P1476" s="22" t="s">
        <v>2276</v>
      </c>
      <c r="Q1476" s="22" t="s">
        <v>2276</v>
      </c>
      <c r="R1476" s="22" t="s">
        <v>2276</v>
      </c>
      <c r="S1476" s="22" t="s">
        <v>2276</v>
      </c>
      <c r="T1476" s="22" t="s">
        <v>2276</v>
      </c>
      <c r="U1476" s="22" t="s">
        <v>2276</v>
      </c>
      <c r="V1476" s="22" t="s">
        <v>2276</v>
      </c>
      <c r="W1476" s="22" t="s">
        <v>2276</v>
      </c>
      <c r="X1476" s="22" t="s">
        <v>2276</v>
      </c>
      <c r="Y1476" s="22" t="s">
        <v>2276</v>
      </c>
      <c r="Z1476" s="3" t="s">
        <v>399</v>
      </c>
      <c r="AA1476" s="3" t="s">
        <v>38</v>
      </c>
      <c r="AB1476" s="3" t="s">
        <v>2655</v>
      </c>
      <c r="AC1476" s="3"/>
      <c r="AD1476" s="4" t="s">
        <v>4407</v>
      </c>
    </row>
    <row r="1477" spans="1:30" ht="45.5" customHeight="1">
      <c r="A1477" s="11" t="s">
        <v>4387</v>
      </c>
      <c r="B1477" s="3" t="s">
        <v>4413</v>
      </c>
      <c r="C1477" s="3" t="s">
        <v>24</v>
      </c>
      <c r="D1477" s="3" t="s">
        <v>27</v>
      </c>
      <c r="E1477" s="3" t="s">
        <v>130</v>
      </c>
      <c r="F1477" s="4" t="s">
        <v>2276</v>
      </c>
      <c r="G1477" s="4" t="s">
        <v>161</v>
      </c>
      <c r="H1477" s="3" t="s">
        <v>523</v>
      </c>
      <c r="I1477" s="3"/>
      <c r="J1477" s="22" t="s">
        <v>2276</v>
      </c>
      <c r="K1477" s="22" t="s">
        <v>2276</v>
      </c>
      <c r="L1477" s="22" t="s">
        <v>2276</v>
      </c>
      <c r="M1477" s="22" t="s">
        <v>2276</v>
      </c>
      <c r="N1477" s="22" t="s">
        <v>2276</v>
      </c>
      <c r="O1477" s="22" t="s">
        <v>2276</v>
      </c>
      <c r="P1477" s="22" t="s">
        <v>2276</v>
      </c>
      <c r="Q1477" s="22" t="s">
        <v>2276</v>
      </c>
      <c r="R1477" s="22" t="s">
        <v>2276</v>
      </c>
      <c r="S1477" s="22" t="s">
        <v>2276</v>
      </c>
      <c r="T1477" s="22" t="s">
        <v>2276</v>
      </c>
      <c r="U1477" s="22" t="s">
        <v>2276</v>
      </c>
      <c r="V1477" s="22" t="s">
        <v>2276</v>
      </c>
      <c r="W1477" s="22" t="s">
        <v>2276</v>
      </c>
      <c r="X1477" s="22" t="s">
        <v>2276</v>
      </c>
      <c r="Y1477" s="22" t="s">
        <v>2276</v>
      </c>
      <c r="Z1477" s="3" t="s">
        <v>399</v>
      </c>
      <c r="AA1477" s="3" t="s">
        <v>38</v>
      </c>
      <c r="AB1477" s="3" t="s">
        <v>2655</v>
      </c>
      <c r="AC1477" s="3"/>
      <c r="AD1477" s="4" t="s">
        <v>4407</v>
      </c>
    </row>
    <row r="1478" spans="1:30" ht="49.5" customHeight="1">
      <c r="A1478" s="11" t="s">
        <v>4389</v>
      </c>
      <c r="B1478" s="3" t="s">
        <v>4406</v>
      </c>
      <c r="C1478" s="3" t="s">
        <v>24</v>
      </c>
      <c r="D1478" s="3" t="s">
        <v>2231</v>
      </c>
      <c r="E1478" s="4" t="s">
        <v>397</v>
      </c>
      <c r="F1478" s="4" t="s">
        <v>2276</v>
      </c>
      <c r="G1478" s="3" t="s">
        <v>74</v>
      </c>
      <c r="H1478" s="3" t="s">
        <v>523</v>
      </c>
      <c r="I1478" s="3"/>
      <c r="J1478" s="22" t="s">
        <v>2276</v>
      </c>
      <c r="K1478" s="22" t="s">
        <v>2276</v>
      </c>
      <c r="L1478" s="22" t="s">
        <v>2276</v>
      </c>
      <c r="M1478" s="22" t="s">
        <v>2276</v>
      </c>
      <c r="N1478" s="22" t="s">
        <v>2276</v>
      </c>
      <c r="O1478" s="22" t="s">
        <v>2276</v>
      </c>
      <c r="P1478" s="22" t="s">
        <v>2276</v>
      </c>
      <c r="Q1478" s="22" t="s">
        <v>2276</v>
      </c>
      <c r="R1478" s="22" t="s">
        <v>2276</v>
      </c>
      <c r="S1478" s="22" t="s">
        <v>2276</v>
      </c>
      <c r="T1478" s="22" t="s">
        <v>2276</v>
      </c>
      <c r="U1478" s="22" t="s">
        <v>2276</v>
      </c>
      <c r="V1478" s="22" t="s">
        <v>2276</v>
      </c>
      <c r="W1478" s="22" t="s">
        <v>2276</v>
      </c>
      <c r="X1478" s="22" t="s">
        <v>2276</v>
      </c>
      <c r="Y1478" s="22" t="s">
        <v>2276</v>
      </c>
      <c r="Z1478" s="22" t="s">
        <v>2276</v>
      </c>
      <c r="AA1478" s="22" t="s">
        <v>2276</v>
      </c>
      <c r="AB1478" s="22" t="s">
        <v>2276</v>
      </c>
      <c r="AC1478" s="4" t="s">
        <v>4415</v>
      </c>
      <c r="AD1478" s="4" t="s">
        <v>4407</v>
      </c>
    </row>
    <row r="1479" spans="1:30" ht="43.5" customHeight="1">
      <c r="A1479" s="11" t="s">
        <v>4389</v>
      </c>
      <c r="B1479" s="3" t="s">
        <v>4414</v>
      </c>
      <c r="C1479" s="3" t="s">
        <v>24</v>
      </c>
      <c r="D1479" s="3" t="s">
        <v>2231</v>
      </c>
      <c r="E1479" s="4" t="s">
        <v>397</v>
      </c>
      <c r="F1479" s="4" t="s">
        <v>2276</v>
      </c>
      <c r="G1479" s="4" t="s">
        <v>2662</v>
      </c>
      <c r="H1479" s="3" t="s">
        <v>523</v>
      </c>
      <c r="I1479" s="3"/>
      <c r="J1479" s="22" t="s">
        <v>2276</v>
      </c>
      <c r="K1479" s="22" t="s">
        <v>2276</v>
      </c>
      <c r="L1479" s="22" t="s">
        <v>2276</v>
      </c>
      <c r="M1479" s="22" t="s">
        <v>2276</v>
      </c>
      <c r="N1479" s="22" t="s">
        <v>2276</v>
      </c>
      <c r="O1479" s="22" t="s">
        <v>2276</v>
      </c>
      <c r="P1479" s="22" t="s">
        <v>2276</v>
      </c>
      <c r="Q1479" s="22" t="s">
        <v>2276</v>
      </c>
      <c r="R1479" s="22" t="s">
        <v>2276</v>
      </c>
      <c r="S1479" s="22" t="s">
        <v>2276</v>
      </c>
      <c r="T1479" s="22" t="s">
        <v>2276</v>
      </c>
      <c r="U1479" s="22" t="s">
        <v>2276</v>
      </c>
      <c r="V1479" s="22" t="s">
        <v>2276</v>
      </c>
      <c r="W1479" s="22" t="s">
        <v>2276</v>
      </c>
      <c r="X1479" s="22" t="s">
        <v>2276</v>
      </c>
      <c r="Y1479" s="22" t="s">
        <v>2276</v>
      </c>
      <c r="Z1479" s="22" t="s">
        <v>2276</v>
      </c>
      <c r="AA1479" s="22" t="s">
        <v>2276</v>
      </c>
      <c r="AB1479" s="22" t="s">
        <v>2276</v>
      </c>
      <c r="AC1479" s="4" t="s">
        <v>4415</v>
      </c>
      <c r="AD1479" s="4" t="s">
        <v>4407</v>
      </c>
    </row>
    <row r="1480" spans="1:30" ht="48" customHeight="1">
      <c r="A1480" s="11" t="s">
        <v>4390</v>
      </c>
      <c r="B1480" s="3" t="s">
        <v>4416</v>
      </c>
      <c r="C1480" s="3" t="s">
        <v>24</v>
      </c>
      <c r="D1480" s="3" t="s">
        <v>2231</v>
      </c>
      <c r="E1480" s="4" t="s">
        <v>397</v>
      </c>
      <c r="F1480" s="4" t="s">
        <v>2276</v>
      </c>
      <c r="G1480" s="3" t="s">
        <v>74</v>
      </c>
      <c r="H1480" s="3" t="s">
        <v>523</v>
      </c>
      <c r="I1480" s="3"/>
      <c r="J1480" s="3" t="s">
        <v>2276</v>
      </c>
      <c r="K1480" s="3" t="s">
        <v>2276</v>
      </c>
      <c r="L1480" s="3" t="s">
        <v>2276</v>
      </c>
      <c r="M1480" s="3" t="s">
        <v>2276</v>
      </c>
      <c r="N1480" s="3" t="s">
        <v>2276</v>
      </c>
      <c r="O1480" s="3" t="s">
        <v>2276</v>
      </c>
      <c r="P1480" s="3" t="s">
        <v>2276</v>
      </c>
      <c r="Q1480" s="3" t="s">
        <v>2276</v>
      </c>
      <c r="R1480" s="3" t="s">
        <v>2276</v>
      </c>
      <c r="S1480" s="3" t="s">
        <v>2276</v>
      </c>
      <c r="T1480" s="3" t="s">
        <v>2276</v>
      </c>
      <c r="U1480" s="3" t="s">
        <v>2276</v>
      </c>
      <c r="V1480" s="3" t="s">
        <v>2276</v>
      </c>
      <c r="W1480" s="3" t="s">
        <v>2276</v>
      </c>
      <c r="X1480" s="3" t="s">
        <v>2276</v>
      </c>
      <c r="Y1480" s="3" t="s">
        <v>2276</v>
      </c>
      <c r="Z1480" s="22" t="s">
        <v>2276</v>
      </c>
      <c r="AA1480" s="22" t="s">
        <v>2276</v>
      </c>
      <c r="AB1480" s="22" t="s">
        <v>2276</v>
      </c>
      <c r="AC1480" s="4" t="s">
        <v>4415</v>
      </c>
      <c r="AD1480" s="4" t="s">
        <v>4407</v>
      </c>
    </row>
    <row r="1481" spans="1:30" ht="50.5" customHeight="1">
      <c r="A1481" s="11" t="s">
        <v>4390</v>
      </c>
      <c r="B1481" s="3" t="s">
        <v>4417</v>
      </c>
      <c r="C1481" s="3" t="s">
        <v>24</v>
      </c>
      <c r="D1481" s="3" t="s">
        <v>2231</v>
      </c>
      <c r="E1481" s="4" t="s">
        <v>397</v>
      </c>
      <c r="F1481" s="4" t="s">
        <v>2276</v>
      </c>
      <c r="G1481" s="4" t="s">
        <v>2662</v>
      </c>
      <c r="H1481" s="3" t="s">
        <v>523</v>
      </c>
      <c r="I1481" s="3"/>
      <c r="J1481" s="3" t="s">
        <v>2276</v>
      </c>
      <c r="K1481" s="3" t="s">
        <v>2276</v>
      </c>
      <c r="L1481" s="3" t="s">
        <v>2276</v>
      </c>
      <c r="M1481" s="3" t="s">
        <v>2276</v>
      </c>
      <c r="N1481" s="3" t="s">
        <v>2276</v>
      </c>
      <c r="O1481" s="3" t="s">
        <v>2276</v>
      </c>
      <c r="P1481" s="3" t="s">
        <v>2276</v>
      </c>
      <c r="Q1481" s="3" t="s">
        <v>2276</v>
      </c>
      <c r="R1481" s="3" t="s">
        <v>2276</v>
      </c>
      <c r="S1481" s="3" t="s">
        <v>2276</v>
      </c>
      <c r="T1481" s="3" t="s">
        <v>2276</v>
      </c>
      <c r="U1481" s="3" t="s">
        <v>2276</v>
      </c>
      <c r="V1481" s="3" t="s">
        <v>2276</v>
      </c>
      <c r="W1481" s="3" t="s">
        <v>2276</v>
      </c>
      <c r="X1481" s="3" t="s">
        <v>2276</v>
      </c>
      <c r="Y1481" s="3" t="s">
        <v>2276</v>
      </c>
      <c r="Z1481" s="22" t="s">
        <v>2276</v>
      </c>
      <c r="AA1481" s="22" t="s">
        <v>2276</v>
      </c>
      <c r="AB1481" s="22" t="s">
        <v>2276</v>
      </c>
      <c r="AC1481" s="4" t="s">
        <v>4415</v>
      </c>
      <c r="AD1481" s="4" t="s">
        <v>4407</v>
      </c>
    </row>
    <row r="1482" spans="1:30" ht="43.5" customHeight="1">
      <c r="A1482" s="11" t="s">
        <v>4391</v>
      </c>
      <c r="B1482" s="3" t="s">
        <v>4395</v>
      </c>
      <c r="C1482" s="3" t="s">
        <v>24</v>
      </c>
      <c r="D1482" s="3" t="s">
        <v>25</v>
      </c>
      <c r="E1482" s="3" t="s">
        <v>45</v>
      </c>
      <c r="F1482" s="4" t="s">
        <v>2662</v>
      </c>
      <c r="G1482" s="3" t="s">
        <v>2276</v>
      </c>
      <c r="H1482" s="3" t="s">
        <v>523</v>
      </c>
      <c r="I1482" s="3"/>
      <c r="J1482" s="3" t="s">
        <v>2276</v>
      </c>
      <c r="K1482" s="3" t="s">
        <v>2276</v>
      </c>
      <c r="L1482" s="3" t="s">
        <v>2276</v>
      </c>
      <c r="M1482" s="3" t="s">
        <v>2276</v>
      </c>
      <c r="N1482" s="3" t="s">
        <v>2276</v>
      </c>
      <c r="O1482" s="3" t="s">
        <v>2276</v>
      </c>
      <c r="P1482" s="3" t="s">
        <v>2276</v>
      </c>
      <c r="Q1482" s="3" t="s">
        <v>2276</v>
      </c>
      <c r="R1482" s="3" t="s">
        <v>2276</v>
      </c>
      <c r="S1482" s="3" t="s">
        <v>2276</v>
      </c>
      <c r="T1482" s="3" t="s">
        <v>2276</v>
      </c>
      <c r="U1482" s="3" t="s">
        <v>2276</v>
      </c>
      <c r="V1482" s="3" t="s">
        <v>2276</v>
      </c>
      <c r="W1482" s="3" t="s">
        <v>2276</v>
      </c>
      <c r="X1482" s="3" t="s">
        <v>2276</v>
      </c>
      <c r="Y1482" s="3" t="s">
        <v>2276</v>
      </c>
      <c r="Z1482" s="3" t="s">
        <v>35</v>
      </c>
      <c r="AA1482" s="3" t="s">
        <v>189</v>
      </c>
      <c r="AB1482" s="3" t="s">
        <v>64</v>
      </c>
      <c r="AC1482" s="4" t="s">
        <v>4404</v>
      </c>
      <c r="AD1482" s="4" t="s">
        <v>4407</v>
      </c>
    </row>
    <row r="1483" spans="1:30" ht="48" customHeight="1">
      <c r="A1483" s="11" t="s">
        <v>4391</v>
      </c>
      <c r="B1483" s="3" t="s">
        <v>4396</v>
      </c>
      <c r="C1483" s="3" t="s">
        <v>24</v>
      </c>
      <c r="D1483" s="3" t="s">
        <v>27</v>
      </c>
      <c r="E1483" s="3" t="s">
        <v>130</v>
      </c>
      <c r="F1483" s="4" t="s">
        <v>161</v>
      </c>
      <c r="G1483" s="3" t="s">
        <v>2276</v>
      </c>
      <c r="H1483" s="3" t="s">
        <v>523</v>
      </c>
      <c r="I1483" s="3"/>
      <c r="J1483" s="3" t="s">
        <v>2276</v>
      </c>
      <c r="K1483" s="3" t="s">
        <v>2276</v>
      </c>
      <c r="L1483" s="3" t="s">
        <v>2276</v>
      </c>
      <c r="M1483" s="3" t="s">
        <v>2276</v>
      </c>
      <c r="N1483" s="3" t="s">
        <v>2276</v>
      </c>
      <c r="O1483" s="3" t="s">
        <v>2276</v>
      </c>
      <c r="P1483" s="3" t="s">
        <v>2276</v>
      </c>
      <c r="Q1483" s="3" t="s">
        <v>2276</v>
      </c>
      <c r="R1483" s="3" t="s">
        <v>2276</v>
      </c>
      <c r="S1483" s="3" t="s">
        <v>2276</v>
      </c>
      <c r="T1483" s="3" t="s">
        <v>2276</v>
      </c>
      <c r="U1483" s="3" t="s">
        <v>2276</v>
      </c>
      <c r="V1483" s="3" t="s">
        <v>2276</v>
      </c>
      <c r="W1483" s="3" t="s">
        <v>2276</v>
      </c>
      <c r="X1483" s="3" t="s">
        <v>2276</v>
      </c>
      <c r="Y1483" s="3" t="s">
        <v>2276</v>
      </c>
      <c r="Z1483" s="3" t="s">
        <v>189</v>
      </c>
      <c r="AA1483" s="3" t="s">
        <v>86</v>
      </c>
      <c r="AB1483" s="3" t="s">
        <v>76</v>
      </c>
      <c r="AC1483" s="3"/>
      <c r="AD1483" s="4" t="s">
        <v>4407</v>
      </c>
    </row>
    <row r="1484" spans="1:30" ht="52.5" customHeight="1">
      <c r="A1484" s="11" t="s">
        <v>4391</v>
      </c>
      <c r="B1484" s="3" t="s">
        <v>4400</v>
      </c>
      <c r="C1484" s="3" t="s">
        <v>24</v>
      </c>
      <c r="D1484" s="3" t="s">
        <v>2231</v>
      </c>
      <c r="E1484" s="4" t="s">
        <v>396</v>
      </c>
      <c r="F1484" s="4" t="s">
        <v>74</v>
      </c>
      <c r="G1484" s="3" t="s">
        <v>2276</v>
      </c>
      <c r="H1484" s="3" t="s">
        <v>523</v>
      </c>
      <c r="I1484" s="3"/>
      <c r="J1484" s="3" t="s">
        <v>2276</v>
      </c>
      <c r="K1484" s="3" t="s">
        <v>2276</v>
      </c>
      <c r="L1484" s="3" t="s">
        <v>2276</v>
      </c>
      <c r="M1484" s="3" t="s">
        <v>2276</v>
      </c>
      <c r="N1484" s="3" t="s">
        <v>2276</v>
      </c>
      <c r="O1484" s="3" t="s">
        <v>2276</v>
      </c>
      <c r="P1484" s="3" t="s">
        <v>2276</v>
      </c>
      <c r="Q1484" s="3" t="s">
        <v>2276</v>
      </c>
      <c r="R1484" s="3" t="s">
        <v>2276</v>
      </c>
      <c r="S1484" s="3" t="s">
        <v>2276</v>
      </c>
      <c r="T1484" s="3" t="s">
        <v>2276</v>
      </c>
      <c r="U1484" s="3" t="s">
        <v>2276</v>
      </c>
      <c r="V1484" s="3" t="s">
        <v>2276</v>
      </c>
      <c r="W1484" s="3" t="s">
        <v>2276</v>
      </c>
      <c r="X1484" s="3" t="s">
        <v>2276</v>
      </c>
      <c r="Y1484" s="3" t="s">
        <v>2276</v>
      </c>
      <c r="Z1484" s="3" t="s">
        <v>189</v>
      </c>
      <c r="AA1484" s="3" t="s">
        <v>86</v>
      </c>
      <c r="AB1484" s="3" t="s">
        <v>76</v>
      </c>
      <c r="AC1484" s="4" t="s">
        <v>4404</v>
      </c>
      <c r="AD1484" s="4" t="s">
        <v>4407</v>
      </c>
    </row>
    <row r="1485" spans="1:30" ht="57" customHeight="1">
      <c r="A1485" s="11" t="s">
        <v>4392</v>
      </c>
      <c r="B1485" s="3" t="s">
        <v>4401</v>
      </c>
      <c r="C1485" s="3" t="s">
        <v>24</v>
      </c>
      <c r="D1485" s="3" t="s">
        <v>25</v>
      </c>
      <c r="E1485" s="3" t="s">
        <v>45</v>
      </c>
      <c r="F1485" s="4" t="s">
        <v>2662</v>
      </c>
      <c r="G1485" s="3" t="s">
        <v>2276</v>
      </c>
      <c r="H1485" s="3" t="s">
        <v>523</v>
      </c>
      <c r="I1485" s="3"/>
      <c r="J1485" s="3" t="s">
        <v>2276</v>
      </c>
      <c r="K1485" s="3" t="s">
        <v>2276</v>
      </c>
      <c r="L1485" s="3" t="s">
        <v>2276</v>
      </c>
      <c r="M1485" s="3" t="s">
        <v>2276</v>
      </c>
      <c r="N1485" s="3" t="s">
        <v>2276</v>
      </c>
      <c r="O1485" s="3" t="s">
        <v>2276</v>
      </c>
      <c r="P1485" s="3" t="s">
        <v>2276</v>
      </c>
      <c r="Q1485" s="3" t="s">
        <v>2276</v>
      </c>
      <c r="R1485" s="3" t="s">
        <v>2276</v>
      </c>
      <c r="S1485" s="3" t="s">
        <v>2276</v>
      </c>
      <c r="T1485" s="3" t="s">
        <v>2276</v>
      </c>
      <c r="U1485" s="3" t="s">
        <v>2276</v>
      </c>
      <c r="V1485" s="3" t="s">
        <v>2276</v>
      </c>
      <c r="W1485" s="3" t="s">
        <v>2276</v>
      </c>
      <c r="X1485" s="3" t="s">
        <v>2276</v>
      </c>
      <c r="Y1485" s="3" t="s">
        <v>2276</v>
      </c>
      <c r="Z1485" s="3" t="s">
        <v>35</v>
      </c>
      <c r="AA1485" s="3" t="s">
        <v>188</v>
      </c>
      <c r="AB1485" s="3" t="s">
        <v>64</v>
      </c>
      <c r="AC1485" s="4" t="s">
        <v>4404</v>
      </c>
      <c r="AD1485" s="4" t="s">
        <v>4407</v>
      </c>
    </row>
    <row r="1486" spans="1:30" ht="53.5" customHeight="1">
      <c r="A1486" s="11" t="s">
        <v>4392</v>
      </c>
      <c r="B1486" s="3" t="s">
        <v>4402</v>
      </c>
      <c r="C1486" s="3" t="s">
        <v>24</v>
      </c>
      <c r="D1486" s="3" t="s">
        <v>27</v>
      </c>
      <c r="E1486" s="3" t="s">
        <v>130</v>
      </c>
      <c r="F1486" s="4" t="s">
        <v>161</v>
      </c>
      <c r="G1486" s="3" t="s">
        <v>2276</v>
      </c>
      <c r="H1486" s="3" t="s">
        <v>523</v>
      </c>
      <c r="I1486" s="3"/>
      <c r="J1486" s="3" t="s">
        <v>2276</v>
      </c>
      <c r="K1486" s="3" t="s">
        <v>2276</v>
      </c>
      <c r="L1486" s="3" t="s">
        <v>2276</v>
      </c>
      <c r="M1486" s="3" t="s">
        <v>2276</v>
      </c>
      <c r="N1486" s="3" t="s">
        <v>2276</v>
      </c>
      <c r="O1486" s="3" t="s">
        <v>2276</v>
      </c>
      <c r="P1486" s="3" t="s">
        <v>2276</v>
      </c>
      <c r="Q1486" s="3" t="s">
        <v>2276</v>
      </c>
      <c r="R1486" s="3" t="s">
        <v>2276</v>
      </c>
      <c r="S1486" s="3" t="s">
        <v>2276</v>
      </c>
      <c r="T1486" s="3" t="s">
        <v>2276</v>
      </c>
      <c r="U1486" s="3" t="s">
        <v>2276</v>
      </c>
      <c r="V1486" s="3" t="s">
        <v>2276</v>
      </c>
      <c r="W1486" s="3" t="s">
        <v>2276</v>
      </c>
      <c r="X1486" s="3" t="s">
        <v>2276</v>
      </c>
      <c r="Y1486" s="3" t="s">
        <v>2276</v>
      </c>
      <c r="Z1486" s="3" t="s">
        <v>189</v>
      </c>
      <c r="AA1486" s="3" t="s">
        <v>38</v>
      </c>
      <c r="AB1486" s="3" t="s">
        <v>64</v>
      </c>
      <c r="AC1486" s="3"/>
      <c r="AD1486" s="4" t="s">
        <v>4407</v>
      </c>
    </row>
    <row r="1487" spans="1:30" ht="47" customHeight="1">
      <c r="A1487" s="11" t="s">
        <v>4393</v>
      </c>
      <c r="B1487" s="3" t="s">
        <v>4403</v>
      </c>
      <c r="C1487" s="3" t="s">
        <v>24</v>
      </c>
      <c r="D1487" s="3" t="s">
        <v>25</v>
      </c>
      <c r="E1487" s="3" t="s">
        <v>5005</v>
      </c>
      <c r="F1487" s="4" t="s">
        <v>2662</v>
      </c>
      <c r="G1487" s="3" t="s">
        <v>2276</v>
      </c>
      <c r="H1487" s="3" t="s">
        <v>523</v>
      </c>
      <c r="I1487" s="3"/>
      <c r="J1487" s="3" t="s">
        <v>2276</v>
      </c>
      <c r="K1487" s="3" t="s">
        <v>2276</v>
      </c>
      <c r="L1487" s="3" t="s">
        <v>2276</v>
      </c>
      <c r="M1487" s="3" t="s">
        <v>2276</v>
      </c>
      <c r="N1487" s="3" t="s">
        <v>2276</v>
      </c>
      <c r="O1487" s="3" t="s">
        <v>2276</v>
      </c>
      <c r="P1487" s="3" t="s">
        <v>2276</v>
      </c>
      <c r="Q1487" s="3" t="s">
        <v>2276</v>
      </c>
      <c r="R1487" s="3" t="s">
        <v>2276</v>
      </c>
      <c r="S1487" s="3" t="s">
        <v>2276</v>
      </c>
      <c r="T1487" s="3" t="s">
        <v>2276</v>
      </c>
      <c r="U1487" s="3" t="s">
        <v>2276</v>
      </c>
      <c r="V1487" s="3" t="s">
        <v>2276</v>
      </c>
      <c r="W1487" s="3" t="s">
        <v>2276</v>
      </c>
      <c r="X1487" s="3" t="s">
        <v>2276</v>
      </c>
      <c r="Y1487" s="3" t="s">
        <v>2276</v>
      </c>
      <c r="Z1487" s="3" t="s">
        <v>35</v>
      </c>
      <c r="AA1487" s="3" t="s">
        <v>188</v>
      </c>
      <c r="AB1487" s="3" t="s">
        <v>64</v>
      </c>
      <c r="AC1487" s="4" t="s">
        <v>4404</v>
      </c>
      <c r="AD1487" s="4" t="s">
        <v>4407</v>
      </c>
    </row>
    <row r="1488" spans="1:30" ht="44.5" customHeight="1">
      <c r="A1488" s="11" t="s">
        <v>4393</v>
      </c>
      <c r="B1488" s="3" t="s">
        <v>4409</v>
      </c>
      <c r="C1488" s="3" t="s">
        <v>24</v>
      </c>
      <c r="D1488" s="3" t="s">
        <v>27</v>
      </c>
      <c r="E1488" s="3" t="s">
        <v>130</v>
      </c>
      <c r="F1488" s="4" t="s">
        <v>161</v>
      </c>
      <c r="G1488" s="3" t="s">
        <v>2276</v>
      </c>
      <c r="H1488" s="3" t="s">
        <v>523</v>
      </c>
      <c r="I1488" s="3"/>
      <c r="J1488" s="3" t="s">
        <v>2276</v>
      </c>
      <c r="K1488" s="3" t="s">
        <v>2276</v>
      </c>
      <c r="L1488" s="3" t="s">
        <v>2276</v>
      </c>
      <c r="M1488" s="3" t="s">
        <v>2276</v>
      </c>
      <c r="N1488" s="3" t="s">
        <v>2276</v>
      </c>
      <c r="O1488" s="3" t="s">
        <v>2276</v>
      </c>
      <c r="P1488" s="3" t="s">
        <v>2276</v>
      </c>
      <c r="Q1488" s="3" t="s">
        <v>2276</v>
      </c>
      <c r="R1488" s="3" t="s">
        <v>2276</v>
      </c>
      <c r="S1488" s="3" t="s">
        <v>2276</v>
      </c>
      <c r="T1488" s="3" t="s">
        <v>2276</v>
      </c>
      <c r="U1488" s="3" t="s">
        <v>2276</v>
      </c>
      <c r="V1488" s="3" t="s">
        <v>2276</v>
      </c>
      <c r="W1488" s="3" t="s">
        <v>2276</v>
      </c>
      <c r="X1488" s="3" t="s">
        <v>2276</v>
      </c>
      <c r="Y1488" s="3" t="s">
        <v>2276</v>
      </c>
      <c r="Z1488" s="3" t="s">
        <v>189</v>
      </c>
      <c r="AA1488" s="3" t="s">
        <v>38</v>
      </c>
      <c r="AB1488" s="3" t="s">
        <v>64</v>
      </c>
      <c r="AC1488" s="3"/>
      <c r="AD1488" s="4" t="s">
        <v>4407</v>
      </c>
    </row>
    <row r="1489" spans="1:30" ht="56.5" customHeight="1">
      <c r="A1489" s="11" t="s">
        <v>4418</v>
      </c>
      <c r="B1489" s="11" t="s">
        <v>4428</v>
      </c>
      <c r="C1489" s="3" t="s">
        <v>24</v>
      </c>
      <c r="D1489" s="3" t="s">
        <v>1105</v>
      </c>
      <c r="E1489" s="3" t="s">
        <v>5005</v>
      </c>
      <c r="F1489" s="4" t="s">
        <v>2662</v>
      </c>
      <c r="G1489" s="3" t="s">
        <v>2276</v>
      </c>
      <c r="H1489" s="3" t="s">
        <v>524</v>
      </c>
      <c r="I1489" s="3"/>
      <c r="J1489" s="21">
        <v>0</v>
      </c>
      <c r="K1489" s="21">
        <v>0</v>
      </c>
      <c r="L1489" s="21">
        <v>0</v>
      </c>
      <c r="M1489" s="21">
        <v>0</v>
      </c>
      <c r="N1489" s="21">
        <v>0</v>
      </c>
      <c r="O1489" s="21">
        <v>0</v>
      </c>
      <c r="P1489" s="21">
        <v>0</v>
      </c>
      <c r="Q1489" s="21">
        <v>0</v>
      </c>
      <c r="R1489" s="21">
        <v>0</v>
      </c>
      <c r="S1489" s="21">
        <v>0</v>
      </c>
      <c r="T1489" s="21">
        <v>0</v>
      </c>
      <c r="U1489" s="21">
        <v>0</v>
      </c>
      <c r="V1489" s="21">
        <v>0</v>
      </c>
      <c r="W1489" s="21">
        <v>0</v>
      </c>
      <c r="X1489" s="21">
        <v>0</v>
      </c>
      <c r="Y1489" s="3" t="s">
        <v>2276</v>
      </c>
      <c r="Z1489" s="3" t="s">
        <v>2276</v>
      </c>
      <c r="AA1489" s="3" t="s">
        <v>2276</v>
      </c>
      <c r="AB1489" s="3" t="s">
        <v>2276</v>
      </c>
      <c r="AC1489" s="4" t="s">
        <v>4430</v>
      </c>
      <c r="AD1489" s="3"/>
    </row>
    <row r="1490" spans="1:30" ht="57" customHeight="1">
      <c r="A1490" s="11" t="s">
        <v>4421</v>
      </c>
      <c r="B1490" s="11" t="s">
        <v>4429</v>
      </c>
      <c r="C1490" s="3" t="s">
        <v>24</v>
      </c>
      <c r="D1490" s="3" t="s">
        <v>1105</v>
      </c>
      <c r="E1490" s="3" t="s">
        <v>1105</v>
      </c>
      <c r="F1490" s="4" t="s">
        <v>74</v>
      </c>
      <c r="G1490" s="3" t="s">
        <v>2276</v>
      </c>
      <c r="H1490" s="3" t="s">
        <v>524</v>
      </c>
      <c r="I1490" s="3"/>
      <c r="J1490" s="21">
        <v>0</v>
      </c>
      <c r="K1490" s="21">
        <v>0</v>
      </c>
      <c r="L1490" s="21">
        <v>0</v>
      </c>
      <c r="M1490" s="21">
        <v>0</v>
      </c>
      <c r="N1490" s="21">
        <v>0</v>
      </c>
      <c r="O1490" s="21">
        <v>0</v>
      </c>
      <c r="P1490" s="21">
        <v>0</v>
      </c>
      <c r="Q1490" s="21">
        <v>0</v>
      </c>
      <c r="R1490" s="21">
        <v>0</v>
      </c>
      <c r="S1490" s="21">
        <v>0</v>
      </c>
      <c r="T1490" s="21">
        <v>0</v>
      </c>
      <c r="U1490" s="21">
        <v>0</v>
      </c>
      <c r="V1490" s="21">
        <v>0</v>
      </c>
      <c r="W1490" s="21">
        <v>0</v>
      </c>
      <c r="X1490" s="21">
        <v>0</v>
      </c>
      <c r="Y1490" s="3" t="s">
        <v>2276</v>
      </c>
      <c r="Z1490" s="3" t="s">
        <v>2276</v>
      </c>
      <c r="AA1490" s="3" t="s">
        <v>2276</v>
      </c>
      <c r="AB1490" s="3" t="s">
        <v>2276</v>
      </c>
      <c r="AC1490" s="4" t="s">
        <v>4431</v>
      </c>
      <c r="AD1490" s="3"/>
    </row>
    <row r="1491" spans="1:30" ht="50.5" customHeight="1">
      <c r="A1491" s="11" t="s">
        <v>4421</v>
      </c>
      <c r="B1491" s="11" t="s">
        <v>4433</v>
      </c>
      <c r="C1491" s="3" t="s">
        <v>24</v>
      </c>
      <c r="D1491" s="3" t="s">
        <v>1242</v>
      </c>
      <c r="E1491" s="3" t="s">
        <v>137</v>
      </c>
      <c r="F1491" s="4" t="s">
        <v>74</v>
      </c>
      <c r="G1491" s="3" t="s">
        <v>2276</v>
      </c>
      <c r="H1491" s="3" t="s">
        <v>524</v>
      </c>
      <c r="I1491" s="3"/>
      <c r="J1491" s="21">
        <v>0</v>
      </c>
      <c r="K1491" s="21">
        <v>0</v>
      </c>
      <c r="L1491" s="21">
        <v>0</v>
      </c>
      <c r="M1491" s="21">
        <v>0</v>
      </c>
      <c r="N1491" s="21">
        <v>0</v>
      </c>
      <c r="O1491" s="21">
        <v>0</v>
      </c>
      <c r="P1491" s="21">
        <v>0</v>
      </c>
      <c r="Q1491" s="21">
        <v>0</v>
      </c>
      <c r="R1491" s="21">
        <v>0</v>
      </c>
      <c r="S1491" s="21">
        <v>0</v>
      </c>
      <c r="T1491" s="21">
        <v>0</v>
      </c>
      <c r="U1491" s="21">
        <v>0</v>
      </c>
      <c r="V1491" s="21">
        <v>0</v>
      </c>
      <c r="W1491" s="21">
        <v>0</v>
      </c>
      <c r="X1491" s="21">
        <v>0</v>
      </c>
      <c r="Y1491" s="3" t="s">
        <v>2276</v>
      </c>
      <c r="Z1491" s="3" t="s">
        <v>2276</v>
      </c>
      <c r="AA1491" s="3" t="s">
        <v>2276</v>
      </c>
      <c r="AB1491" s="3" t="s">
        <v>2276</v>
      </c>
      <c r="AC1491" s="19" t="s">
        <v>4434</v>
      </c>
      <c r="AD1491" s="3"/>
    </row>
    <row r="1492" spans="1:30" ht="40" customHeight="1">
      <c r="A1492" s="11" t="s">
        <v>4436</v>
      </c>
      <c r="B1492" s="11" t="s">
        <v>4438</v>
      </c>
      <c r="C1492" s="3" t="s">
        <v>24</v>
      </c>
      <c r="D1492" s="3" t="s">
        <v>25</v>
      </c>
      <c r="E1492" s="3" t="s">
        <v>45</v>
      </c>
      <c r="F1492" s="4" t="s">
        <v>74</v>
      </c>
      <c r="G1492" s="3" t="s">
        <v>2276</v>
      </c>
      <c r="H1492" s="3" t="s">
        <v>524</v>
      </c>
      <c r="I1492" s="3"/>
      <c r="J1492" s="21">
        <v>0</v>
      </c>
      <c r="K1492" s="21">
        <v>0</v>
      </c>
      <c r="L1492" s="21">
        <v>0</v>
      </c>
      <c r="M1492" s="21">
        <v>0</v>
      </c>
      <c r="N1492" s="21">
        <v>0</v>
      </c>
      <c r="O1492" s="21">
        <v>0</v>
      </c>
      <c r="P1492" s="21">
        <v>0</v>
      </c>
      <c r="Q1492" s="21">
        <v>0</v>
      </c>
      <c r="R1492" s="21">
        <v>0</v>
      </c>
      <c r="S1492" s="21">
        <v>0</v>
      </c>
      <c r="T1492" s="21">
        <v>0</v>
      </c>
      <c r="U1492" s="21">
        <v>0</v>
      </c>
      <c r="V1492" s="21">
        <v>0</v>
      </c>
      <c r="W1492" s="21">
        <v>0</v>
      </c>
      <c r="X1492" s="21">
        <v>0</v>
      </c>
      <c r="Y1492" s="3" t="s">
        <v>2276</v>
      </c>
      <c r="Z1492" s="3" t="s">
        <v>2276</v>
      </c>
      <c r="AA1492" s="3" t="s">
        <v>2276</v>
      </c>
      <c r="AB1492" s="3" t="s">
        <v>2276</v>
      </c>
      <c r="AC1492" s="4" t="s">
        <v>4445</v>
      </c>
      <c r="AD1492" s="3"/>
    </row>
    <row r="1493" spans="1:30" ht="40" customHeight="1">
      <c r="A1493" s="11" t="s">
        <v>4440</v>
      </c>
      <c r="B1493" s="11" t="s">
        <v>4441</v>
      </c>
      <c r="C1493" s="3" t="s">
        <v>24</v>
      </c>
      <c r="D1493" s="3" t="s">
        <v>25</v>
      </c>
      <c r="E1493" s="3" t="s">
        <v>5005</v>
      </c>
      <c r="F1493" s="4" t="s">
        <v>74</v>
      </c>
      <c r="G1493" s="3" t="s">
        <v>2276</v>
      </c>
      <c r="H1493" s="3" t="s">
        <v>524</v>
      </c>
      <c r="I1493" s="3"/>
      <c r="J1493" s="21">
        <v>0</v>
      </c>
      <c r="K1493" s="21">
        <v>0</v>
      </c>
      <c r="L1493" s="21">
        <v>0</v>
      </c>
      <c r="M1493" s="21">
        <v>0</v>
      </c>
      <c r="N1493" s="21">
        <v>0</v>
      </c>
      <c r="O1493" s="21">
        <v>0</v>
      </c>
      <c r="P1493" s="21">
        <v>0</v>
      </c>
      <c r="Q1493" s="21">
        <v>0</v>
      </c>
      <c r="R1493" s="21">
        <v>0</v>
      </c>
      <c r="S1493" s="21">
        <v>0</v>
      </c>
      <c r="T1493" s="21">
        <v>0</v>
      </c>
      <c r="U1493" s="21">
        <v>0</v>
      </c>
      <c r="V1493" s="21">
        <v>0</v>
      </c>
      <c r="W1493" s="21">
        <v>0</v>
      </c>
      <c r="X1493" s="21">
        <v>0</v>
      </c>
      <c r="Y1493" s="3" t="s">
        <v>2276</v>
      </c>
      <c r="Z1493" s="3" t="s">
        <v>2276</v>
      </c>
      <c r="AA1493" s="3" t="s">
        <v>2276</v>
      </c>
      <c r="AB1493" s="3" t="s">
        <v>2276</v>
      </c>
      <c r="AC1493" s="4" t="s">
        <v>4445</v>
      </c>
      <c r="AD1493" s="3"/>
    </row>
    <row r="1494" spans="1:30" ht="40" customHeight="1">
      <c r="A1494" s="11" t="s">
        <v>4436</v>
      </c>
      <c r="B1494" s="11" t="s">
        <v>4439</v>
      </c>
      <c r="C1494" s="3" t="s">
        <v>24</v>
      </c>
      <c r="D1494" s="3" t="s">
        <v>25</v>
      </c>
      <c r="E1494" s="3" t="s">
        <v>45</v>
      </c>
      <c r="F1494" s="4" t="s">
        <v>2662</v>
      </c>
      <c r="G1494" s="3" t="s">
        <v>2276</v>
      </c>
      <c r="H1494" s="3" t="s">
        <v>524</v>
      </c>
      <c r="I1494" s="3"/>
      <c r="J1494" s="21">
        <v>0</v>
      </c>
      <c r="K1494" s="21">
        <v>0</v>
      </c>
      <c r="L1494" s="21">
        <v>0</v>
      </c>
      <c r="M1494" s="21">
        <v>0</v>
      </c>
      <c r="N1494" s="21">
        <v>0</v>
      </c>
      <c r="O1494" s="21">
        <v>0</v>
      </c>
      <c r="P1494" s="21">
        <v>0</v>
      </c>
      <c r="Q1494" s="21">
        <v>0</v>
      </c>
      <c r="R1494" s="21">
        <v>0</v>
      </c>
      <c r="S1494" s="21">
        <v>0</v>
      </c>
      <c r="T1494" s="21">
        <v>0</v>
      </c>
      <c r="U1494" s="21">
        <v>0</v>
      </c>
      <c r="V1494" s="21">
        <v>0</v>
      </c>
      <c r="W1494" s="21">
        <v>0</v>
      </c>
      <c r="X1494" s="21">
        <v>0</v>
      </c>
      <c r="Y1494" s="3" t="s">
        <v>2276</v>
      </c>
      <c r="Z1494" s="3" t="s">
        <v>2276</v>
      </c>
      <c r="AA1494" s="3" t="s">
        <v>2276</v>
      </c>
      <c r="AB1494" s="3" t="s">
        <v>2276</v>
      </c>
      <c r="AC1494" s="4" t="s">
        <v>4445</v>
      </c>
      <c r="AD1494" s="3"/>
    </row>
    <row r="1495" spans="1:30" ht="40" customHeight="1">
      <c r="A1495" s="11" t="s">
        <v>4440</v>
      </c>
      <c r="B1495" s="11" t="s">
        <v>4442</v>
      </c>
      <c r="C1495" s="3" t="s">
        <v>24</v>
      </c>
      <c r="D1495" s="3" t="s">
        <v>25</v>
      </c>
      <c r="E1495" s="3" t="s">
        <v>5005</v>
      </c>
      <c r="F1495" s="4" t="s">
        <v>2662</v>
      </c>
      <c r="G1495" s="3" t="s">
        <v>2276</v>
      </c>
      <c r="H1495" s="3" t="s">
        <v>524</v>
      </c>
      <c r="I1495" s="3"/>
      <c r="J1495" s="21">
        <v>0</v>
      </c>
      <c r="K1495" s="21">
        <v>0</v>
      </c>
      <c r="L1495" s="21">
        <v>0</v>
      </c>
      <c r="M1495" s="21">
        <v>0</v>
      </c>
      <c r="N1495" s="21">
        <v>0</v>
      </c>
      <c r="O1495" s="21">
        <v>0</v>
      </c>
      <c r="P1495" s="21">
        <v>0</v>
      </c>
      <c r="Q1495" s="21">
        <v>0</v>
      </c>
      <c r="R1495" s="21">
        <v>0</v>
      </c>
      <c r="S1495" s="21">
        <v>0</v>
      </c>
      <c r="T1495" s="21">
        <v>0</v>
      </c>
      <c r="U1495" s="21">
        <v>0</v>
      </c>
      <c r="V1495" s="21">
        <v>0</v>
      </c>
      <c r="W1495" s="21">
        <v>0</v>
      </c>
      <c r="X1495" s="21">
        <v>0</v>
      </c>
      <c r="Y1495" s="3" t="s">
        <v>2276</v>
      </c>
      <c r="Z1495" s="3" t="s">
        <v>2276</v>
      </c>
      <c r="AA1495" s="3" t="s">
        <v>2276</v>
      </c>
      <c r="AB1495" s="3" t="s">
        <v>2276</v>
      </c>
      <c r="AC1495" s="4" t="s">
        <v>4445</v>
      </c>
      <c r="AD1495" s="3"/>
    </row>
    <row r="1496" spans="1:30" ht="54.5" customHeight="1">
      <c r="A1496" s="11" t="s">
        <v>4436</v>
      </c>
      <c r="B1496" s="11" t="s">
        <v>4443</v>
      </c>
      <c r="C1496" s="3" t="s">
        <v>1105</v>
      </c>
      <c r="D1496" s="3" t="s">
        <v>1105</v>
      </c>
      <c r="E1496" s="3" t="s">
        <v>1105</v>
      </c>
      <c r="F1496" s="4" t="s">
        <v>2276</v>
      </c>
      <c r="G1496" s="4" t="s">
        <v>2662</v>
      </c>
      <c r="H1496" s="3" t="s">
        <v>524</v>
      </c>
      <c r="I1496" s="3"/>
      <c r="J1496" s="21">
        <v>0</v>
      </c>
      <c r="K1496" s="21">
        <v>0</v>
      </c>
      <c r="L1496" s="21">
        <v>0</v>
      </c>
      <c r="M1496" s="21">
        <v>0</v>
      </c>
      <c r="N1496" s="21">
        <v>0</v>
      </c>
      <c r="O1496" s="21">
        <v>0</v>
      </c>
      <c r="P1496" s="21">
        <v>0</v>
      </c>
      <c r="Q1496" s="21">
        <v>0</v>
      </c>
      <c r="R1496" s="21">
        <v>0</v>
      </c>
      <c r="S1496" s="21">
        <v>0</v>
      </c>
      <c r="T1496" s="21">
        <v>0</v>
      </c>
      <c r="U1496" s="21">
        <v>0</v>
      </c>
      <c r="V1496" s="21">
        <v>0</v>
      </c>
      <c r="W1496" s="21">
        <v>0</v>
      </c>
      <c r="X1496" s="21">
        <v>0</v>
      </c>
      <c r="Y1496" s="3" t="s">
        <v>2276</v>
      </c>
      <c r="Z1496" s="3" t="s">
        <v>2276</v>
      </c>
      <c r="AA1496" s="3" t="s">
        <v>2276</v>
      </c>
      <c r="AB1496" s="3" t="s">
        <v>2276</v>
      </c>
      <c r="AC1496" s="4" t="s">
        <v>4446</v>
      </c>
      <c r="AD1496" s="3"/>
    </row>
    <row r="1497" spans="1:30" ht="54.5" customHeight="1">
      <c r="A1497" s="11" t="s">
        <v>4440</v>
      </c>
      <c r="B1497" s="11" t="s">
        <v>4444</v>
      </c>
      <c r="C1497" s="3" t="s">
        <v>1105</v>
      </c>
      <c r="D1497" s="3" t="s">
        <v>1105</v>
      </c>
      <c r="E1497" s="3" t="s">
        <v>1105</v>
      </c>
      <c r="F1497" s="4" t="s">
        <v>2276</v>
      </c>
      <c r="G1497" s="4" t="s">
        <v>2662</v>
      </c>
      <c r="H1497" s="3" t="s">
        <v>524</v>
      </c>
      <c r="I1497" s="3"/>
      <c r="J1497" s="21">
        <v>0</v>
      </c>
      <c r="K1497" s="21">
        <v>0</v>
      </c>
      <c r="L1497" s="21">
        <v>0</v>
      </c>
      <c r="M1497" s="21">
        <v>0</v>
      </c>
      <c r="N1497" s="21">
        <v>0</v>
      </c>
      <c r="O1497" s="21">
        <v>0</v>
      </c>
      <c r="P1497" s="21">
        <v>0</v>
      </c>
      <c r="Q1497" s="21">
        <v>0</v>
      </c>
      <c r="R1497" s="21">
        <v>0</v>
      </c>
      <c r="S1497" s="21">
        <v>0</v>
      </c>
      <c r="T1497" s="21">
        <v>0</v>
      </c>
      <c r="U1497" s="21">
        <v>0</v>
      </c>
      <c r="V1497" s="21">
        <v>0</v>
      </c>
      <c r="W1497" s="21">
        <v>0</v>
      </c>
      <c r="X1497" s="21">
        <v>0</v>
      </c>
      <c r="Y1497" s="3" t="s">
        <v>2276</v>
      </c>
      <c r="Z1497" s="3" t="s">
        <v>2276</v>
      </c>
      <c r="AA1497" s="3" t="s">
        <v>2276</v>
      </c>
      <c r="AB1497" s="3" t="s">
        <v>2276</v>
      </c>
      <c r="AC1497" s="4" t="s">
        <v>4446</v>
      </c>
      <c r="AD1497" s="3"/>
    </row>
    <row r="1498" spans="1:30" ht="40.5" customHeight="1">
      <c r="A1498" s="11" t="s">
        <v>4448</v>
      </c>
      <c r="B1498" s="11" t="s">
        <v>4457</v>
      </c>
      <c r="C1498" s="3" t="s">
        <v>24</v>
      </c>
      <c r="D1498" s="3" t="s">
        <v>27</v>
      </c>
      <c r="E1498" s="3" t="s">
        <v>130</v>
      </c>
      <c r="F1498" s="4" t="s">
        <v>161</v>
      </c>
      <c r="G1498" s="3" t="s">
        <v>2276</v>
      </c>
      <c r="H1498" s="3" t="s">
        <v>523</v>
      </c>
      <c r="I1498" s="3"/>
      <c r="J1498" s="4" t="s">
        <v>2276</v>
      </c>
      <c r="K1498" s="4" t="s">
        <v>2276</v>
      </c>
      <c r="L1498" s="4" t="s">
        <v>2276</v>
      </c>
      <c r="M1498" s="4" t="s">
        <v>2276</v>
      </c>
      <c r="N1498" s="4" t="s">
        <v>2276</v>
      </c>
      <c r="O1498" s="4" t="s">
        <v>2276</v>
      </c>
      <c r="P1498" s="4" t="s">
        <v>2276</v>
      </c>
      <c r="Q1498" s="4" t="s">
        <v>2276</v>
      </c>
      <c r="R1498" s="4" t="s">
        <v>2276</v>
      </c>
      <c r="S1498" s="4" t="s">
        <v>2276</v>
      </c>
      <c r="T1498" s="4" t="s">
        <v>2276</v>
      </c>
      <c r="U1498" s="4" t="s">
        <v>2276</v>
      </c>
      <c r="V1498" s="4" t="s">
        <v>2276</v>
      </c>
      <c r="W1498" s="4" t="s">
        <v>2276</v>
      </c>
      <c r="X1498" s="4" t="s">
        <v>2276</v>
      </c>
      <c r="Y1498" s="4" t="s">
        <v>2276</v>
      </c>
      <c r="Z1498" s="4" t="s">
        <v>2276</v>
      </c>
      <c r="AA1498" s="4" t="s">
        <v>2276</v>
      </c>
      <c r="AB1498" s="3" t="s">
        <v>2276</v>
      </c>
      <c r="AC1498" s="3"/>
      <c r="AD1498" s="4" t="s">
        <v>4459</v>
      </c>
    </row>
    <row r="1499" spans="1:30" ht="43.5" customHeight="1">
      <c r="A1499" s="11" t="s">
        <v>4448</v>
      </c>
      <c r="B1499" s="11" t="s">
        <v>4458</v>
      </c>
      <c r="C1499" s="3" t="s">
        <v>24</v>
      </c>
      <c r="D1499" s="3" t="s">
        <v>1131</v>
      </c>
      <c r="E1499" s="3" t="s">
        <v>130</v>
      </c>
      <c r="F1499" s="4" t="s">
        <v>28</v>
      </c>
      <c r="G1499" s="3" t="s">
        <v>2276</v>
      </c>
      <c r="H1499" s="3" t="s">
        <v>523</v>
      </c>
      <c r="I1499" s="3"/>
      <c r="J1499" s="4" t="s">
        <v>2276</v>
      </c>
      <c r="K1499" s="4" t="s">
        <v>2276</v>
      </c>
      <c r="L1499" s="4" t="s">
        <v>2276</v>
      </c>
      <c r="M1499" s="4" t="s">
        <v>2276</v>
      </c>
      <c r="N1499" s="4" t="s">
        <v>2276</v>
      </c>
      <c r="O1499" s="4" t="s">
        <v>2276</v>
      </c>
      <c r="P1499" s="4" t="s">
        <v>2276</v>
      </c>
      <c r="Q1499" s="4" t="s">
        <v>2276</v>
      </c>
      <c r="R1499" s="4" t="s">
        <v>2276</v>
      </c>
      <c r="S1499" s="4" t="s">
        <v>2276</v>
      </c>
      <c r="T1499" s="4" t="s">
        <v>2276</v>
      </c>
      <c r="U1499" s="4" t="s">
        <v>2276</v>
      </c>
      <c r="V1499" s="4" t="s">
        <v>2276</v>
      </c>
      <c r="W1499" s="4" t="s">
        <v>2276</v>
      </c>
      <c r="X1499" s="4" t="s">
        <v>2276</v>
      </c>
      <c r="Y1499" s="21">
        <v>0.3</v>
      </c>
      <c r="Z1499" s="4" t="s">
        <v>2276</v>
      </c>
      <c r="AA1499" s="4" t="s">
        <v>2276</v>
      </c>
      <c r="AB1499" t="s">
        <v>64</v>
      </c>
      <c r="AC1499" s="4" t="s">
        <v>4463</v>
      </c>
      <c r="AD1499" s="3"/>
    </row>
    <row r="1500" spans="1:30" ht="42" customHeight="1">
      <c r="A1500" s="11" t="s">
        <v>4451</v>
      </c>
      <c r="B1500" s="11" t="s">
        <v>4460</v>
      </c>
      <c r="C1500" s="3" t="s">
        <v>24</v>
      </c>
      <c r="D1500" s="3" t="s">
        <v>27</v>
      </c>
      <c r="E1500" s="3" t="s">
        <v>130</v>
      </c>
      <c r="F1500" s="4" t="s">
        <v>161</v>
      </c>
      <c r="G1500" s="3" t="s">
        <v>2276</v>
      </c>
      <c r="H1500" s="3" t="s">
        <v>523</v>
      </c>
      <c r="I1500" s="3"/>
      <c r="J1500" s="4" t="s">
        <v>2276</v>
      </c>
      <c r="K1500" s="4" t="s">
        <v>2276</v>
      </c>
      <c r="L1500" s="4" t="s">
        <v>2276</v>
      </c>
      <c r="M1500" s="4" t="s">
        <v>2276</v>
      </c>
      <c r="N1500" s="4" t="s">
        <v>2276</v>
      </c>
      <c r="O1500" s="4" t="s">
        <v>2276</v>
      </c>
      <c r="P1500" s="4" t="s">
        <v>2276</v>
      </c>
      <c r="Q1500" s="4" t="s">
        <v>2276</v>
      </c>
      <c r="R1500" s="4" t="s">
        <v>2276</v>
      </c>
      <c r="S1500" s="4" t="s">
        <v>2276</v>
      </c>
      <c r="T1500" s="4" t="s">
        <v>2276</v>
      </c>
      <c r="U1500" s="4" t="s">
        <v>2276</v>
      </c>
      <c r="V1500" s="4" t="s">
        <v>2276</v>
      </c>
      <c r="W1500" s="4" t="s">
        <v>2276</v>
      </c>
      <c r="X1500" s="4" t="s">
        <v>2276</v>
      </c>
      <c r="Y1500" s="4" t="s">
        <v>2276</v>
      </c>
      <c r="Z1500" s="4" t="s">
        <v>2276</v>
      </c>
      <c r="AA1500" s="4" t="s">
        <v>2276</v>
      </c>
      <c r="AB1500" s="3" t="s">
        <v>2276</v>
      </c>
      <c r="AC1500" s="3"/>
      <c r="AD1500" s="4" t="s">
        <v>4462</v>
      </c>
    </row>
    <row r="1501" spans="1:30" ht="44.5" customHeight="1">
      <c r="A1501" s="11" t="s">
        <v>4451</v>
      </c>
      <c r="B1501" s="11" t="s">
        <v>4461</v>
      </c>
      <c r="C1501" s="3" t="s">
        <v>24</v>
      </c>
      <c r="D1501" s="3" t="s">
        <v>2659</v>
      </c>
      <c r="E1501" s="3" t="s">
        <v>130</v>
      </c>
      <c r="F1501" s="4" t="s">
        <v>28</v>
      </c>
      <c r="G1501" s="3" t="s">
        <v>2276</v>
      </c>
      <c r="H1501" s="3" t="s">
        <v>523</v>
      </c>
      <c r="I1501" s="3"/>
      <c r="J1501" s="4" t="s">
        <v>2276</v>
      </c>
      <c r="K1501" s="4" t="s">
        <v>2276</v>
      </c>
      <c r="L1501" s="4" t="s">
        <v>2276</v>
      </c>
      <c r="M1501" s="4" t="s">
        <v>2276</v>
      </c>
      <c r="N1501" s="4" t="s">
        <v>2276</v>
      </c>
      <c r="O1501" s="4" t="s">
        <v>2276</v>
      </c>
      <c r="P1501" s="4" t="s">
        <v>2276</v>
      </c>
      <c r="Q1501" s="4" t="s">
        <v>2276</v>
      </c>
      <c r="R1501" s="4" t="s">
        <v>2276</v>
      </c>
      <c r="S1501" s="4" t="s">
        <v>2276</v>
      </c>
      <c r="T1501" s="4" t="s">
        <v>2276</v>
      </c>
      <c r="U1501" s="4" t="s">
        <v>2276</v>
      </c>
      <c r="V1501" s="4" t="s">
        <v>2276</v>
      </c>
      <c r="W1501" s="4" t="s">
        <v>2276</v>
      </c>
      <c r="X1501" s="4" t="s">
        <v>2276</v>
      </c>
      <c r="Y1501" s="21">
        <v>1</v>
      </c>
      <c r="Z1501" s="4" t="s">
        <v>2276</v>
      </c>
      <c r="AA1501" s="4" t="s">
        <v>2276</v>
      </c>
      <c r="AB1501" t="s">
        <v>64</v>
      </c>
      <c r="AC1501" s="3" t="s">
        <v>4466</v>
      </c>
      <c r="AD1501" s="3"/>
    </row>
    <row r="1502" spans="1:30" ht="41" customHeight="1">
      <c r="A1502" s="11" t="s">
        <v>4451</v>
      </c>
      <c r="B1502" s="11" t="s">
        <v>4464</v>
      </c>
      <c r="C1502" s="3" t="s">
        <v>24</v>
      </c>
      <c r="D1502" s="3" t="s">
        <v>1131</v>
      </c>
      <c r="E1502" s="3" t="s">
        <v>130</v>
      </c>
      <c r="F1502" s="4" t="s">
        <v>28</v>
      </c>
      <c r="G1502" s="3" t="s">
        <v>2276</v>
      </c>
      <c r="H1502" s="3" t="s">
        <v>524</v>
      </c>
      <c r="I1502" s="3"/>
      <c r="J1502" s="21">
        <v>0</v>
      </c>
      <c r="K1502" s="21">
        <v>0</v>
      </c>
      <c r="L1502" s="21">
        <v>0</v>
      </c>
      <c r="M1502" s="21">
        <v>0</v>
      </c>
      <c r="N1502" s="21">
        <v>0</v>
      </c>
      <c r="O1502" s="21">
        <v>0</v>
      </c>
      <c r="P1502" s="21">
        <v>0</v>
      </c>
      <c r="Q1502" s="21">
        <v>0</v>
      </c>
      <c r="R1502" s="21">
        <v>0</v>
      </c>
      <c r="S1502" s="21">
        <v>0</v>
      </c>
      <c r="T1502" s="21">
        <v>0</v>
      </c>
      <c r="U1502" s="21">
        <v>0</v>
      </c>
      <c r="V1502" s="21">
        <v>0</v>
      </c>
      <c r="W1502" s="21">
        <v>0</v>
      </c>
      <c r="X1502" s="21">
        <v>0</v>
      </c>
      <c r="Y1502" s="3" t="s">
        <v>2276</v>
      </c>
      <c r="Z1502" s="3" t="s">
        <v>2276</v>
      </c>
      <c r="AA1502" s="3" t="s">
        <v>2276</v>
      </c>
      <c r="AB1502" s="3" t="s">
        <v>2276</v>
      </c>
      <c r="AC1502" s="19" t="s">
        <v>4465</v>
      </c>
      <c r="AD1502" s="3"/>
    </row>
    <row r="1503" spans="1:30" ht="43.5" customHeight="1">
      <c r="A1503" s="11" t="s">
        <v>4453</v>
      </c>
      <c r="B1503" s="11" t="s">
        <v>4467</v>
      </c>
      <c r="C1503" s="3" t="s">
        <v>24</v>
      </c>
      <c r="D1503" s="3" t="s">
        <v>27</v>
      </c>
      <c r="E1503" s="3" t="s">
        <v>130</v>
      </c>
      <c r="F1503" s="4" t="s">
        <v>161</v>
      </c>
      <c r="G1503" s="3" t="s">
        <v>2276</v>
      </c>
      <c r="H1503" s="3" t="s">
        <v>523</v>
      </c>
      <c r="I1503" s="3"/>
      <c r="J1503" s="4" t="s">
        <v>2276</v>
      </c>
      <c r="K1503" s="4" t="s">
        <v>2276</v>
      </c>
      <c r="L1503" s="4" t="s">
        <v>2276</v>
      </c>
      <c r="M1503" s="4" t="s">
        <v>2276</v>
      </c>
      <c r="N1503" s="4" t="s">
        <v>2276</v>
      </c>
      <c r="O1503" s="4" t="s">
        <v>2276</v>
      </c>
      <c r="P1503" s="4" t="s">
        <v>2276</v>
      </c>
      <c r="Q1503" s="21">
        <v>1</v>
      </c>
      <c r="R1503" s="4" t="s">
        <v>2276</v>
      </c>
      <c r="S1503" s="4" t="s">
        <v>2276</v>
      </c>
      <c r="T1503" s="4" t="s">
        <v>2276</v>
      </c>
      <c r="U1503" s="4" t="s">
        <v>2276</v>
      </c>
      <c r="V1503" s="4" t="s">
        <v>2276</v>
      </c>
      <c r="W1503" s="4" t="s">
        <v>2276</v>
      </c>
      <c r="X1503" s="4" t="s">
        <v>2276</v>
      </c>
      <c r="Y1503" s="4" t="s">
        <v>2276</v>
      </c>
      <c r="Z1503" s="4" t="s">
        <v>2276</v>
      </c>
      <c r="AA1503" s="4" t="s">
        <v>2276</v>
      </c>
      <c r="AB1503" s="4" t="s">
        <v>2276</v>
      </c>
      <c r="AC1503" s="3"/>
      <c r="AD1503" s="3" t="s">
        <v>4469</v>
      </c>
    </row>
    <row r="1504" spans="1:30" ht="45.5" customHeight="1">
      <c r="A1504" s="3" t="s">
        <v>4473</v>
      </c>
      <c r="B1504" s="11" t="s">
        <v>4475</v>
      </c>
      <c r="C1504" s="3" t="s">
        <v>24</v>
      </c>
      <c r="D1504" s="3" t="s">
        <v>2804</v>
      </c>
      <c r="E1504" s="3" t="s">
        <v>5005</v>
      </c>
      <c r="F1504" s="4" t="s">
        <v>2662</v>
      </c>
      <c r="G1504" s="3" t="s">
        <v>2276</v>
      </c>
      <c r="H1504" s="3" t="s">
        <v>523</v>
      </c>
      <c r="I1504" s="3"/>
      <c r="J1504" s="4" t="s">
        <v>2276</v>
      </c>
      <c r="K1504" s="4" t="s">
        <v>2276</v>
      </c>
      <c r="L1504" s="4" t="s">
        <v>2276</v>
      </c>
      <c r="M1504" s="4" t="s">
        <v>2276</v>
      </c>
      <c r="N1504" s="4" t="s">
        <v>2276</v>
      </c>
      <c r="O1504" s="4" t="s">
        <v>2276</v>
      </c>
      <c r="P1504" s="4" t="s">
        <v>2276</v>
      </c>
      <c r="Q1504" s="21">
        <v>2</v>
      </c>
      <c r="R1504" s="4" t="s">
        <v>2276</v>
      </c>
      <c r="S1504" s="4" t="s">
        <v>2276</v>
      </c>
      <c r="T1504" s="4" t="s">
        <v>2276</v>
      </c>
      <c r="U1504" s="4" t="s">
        <v>2276</v>
      </c>
      <c r="V1504" s="4" t="s">
        <v>2276</v>
      </c>
      <c r="W1504" s="4" t="s">
        <v>2276</v>
      </c>
      <c r="X1504" s="4" t="s">
        <v>2276</v>
      </c>
      <c r="Y1504" s="4" t="s">
        <v>2276</v>
      </c>
      <c r="Z1504" s="4" t="s">
        <v>2276</v>
      </c>
      <c r="AA1504" s="4" t="s">
        <v>2276</v>
      </c>
      <c r="AB1504" s="4" t="s">
        <v>2276</v>
      </c>
      <c r="AC1504" s="3"/>
      <c r="AD1504" s="3"/>
    </row>
    <row r="1505" spans="1:30" ht="60" customHeight="1">
      <c r="A1505" s="38" t="s">
        <v>4473</v>
      </c>
      <c r="B1505" s="35" t="s">
        <v>4476</v>
      </c>
      <c r="C1505" s="38" t="s">
        <v>24</v>
      </c>
      <c r="D1505" s="38" t="s">
        <v>2231</v>
      </c>
      <c r="E1505" s="38" t="s">
        <v>5005</v>
      </c>
      <c r="F1505" s="168" t="s">
        <v>2662</v>
      </c>
      <c r="G1505" s="3" t="s">
        <v>2276</v>
      </c>
      <c r="H1505" s="3" t="s">
        <v>523</v>
      </c>
      <c r="I1505" s="38"/>
      <c r="J1505" s="4" t="s">
        <v>2276</v>
      </c>
      <c r="K1505" s="4" t="s">
        <v>2276</v>
      </c>
      <c r="L1505" s="4" t="s">
        <v>2276</v>
      </c>
      <c r="M1505" s="4" t="s">
        <v>2276</v>
      </c>
      <c r="N1505" s="4" t="s">
        <v>2276</v>
      </c>
      <c r="O1505" s="4" t="s">
        <v>2276</v>
      </c>
      <c r="P1505" s="4" t="s">
        <v>2276</v>
      </c>
      <c r="Q1505" s="21">
        <v>3</v>
      </c>
      <c r="R1505" s="4" t="s">
        <v>2276</v>
      </c>
      <c r="S1505" s="4" t="s">
        <v>2276</v>
      </c>
      <c r="T1505" s="4" t="s">
        <v>2276</v>
      </c>
      <c r="U1505" s="4" t="s">
        <v>2276</v>
      </c>
      <c r="V1505" s="4" t="s">
        <v>2276</v>
      </c>
      <c r="W1505" s="4" t="s">
        <v>2276</v>
      </c>
      <c r="X1505" s="4" t="s">
        <v>2276</v>
      </c>
      <c r="Y1505" s="4" t="s">
        <v>2276</v>
      </c>
      <c r="Z1505" s="4" t="s">
        <v>2276</v>
      </c>
      <c r="AA1505" s="4" t="s">
        <v>2276</v>
      </c>
      <c r="AB1505" s="4" t="s">
        <v>2276</v>
      </c>
      <c r="AC1505" s="173" t="s">
        <v>4480</v>
      </c>
      <c r="AD1505" s="38"/>
    </row>
    <row r="1506" spans="1:30" ht="57.5" customHeight="1">
      <c r="A1506" s="3" t="s">
        <v>4473</v>
      </c>
      <c r="B1506" s="11" t="s">
        <v>4477</v>
      </c>
      <c r="C1506" s="3" t="s">
        <v>24</v>
      </c>
      <c r="D1506" s="3" t="s">
        <v>2341</v>
      </c>
      <c r="E1506" s="3" t="s">
        <v>5005</v>
      </c>
      <c r="F1506" s="4" t="s">
        <v>2662</v>
      </c>
      <c r="G1506" s="3" t="s">
        <v>2276</v>
      </c>
      <c r="H1506" s="3" t="s">
        <v>523</v>
      </c>
      <c r="I1506" s="3"/>
      <c r="J1506" s="4" t="s">
        <v>2276</v>
      </c>
      <c r="K1506" s="4" t="s">
        <v>2276</v>
      </c>
      <c r="L1506" s="4" t="s">
        <v>2276</v>
      </c>
      <c r="M1506" s="4" t="s">
        <v>2276</v>
      </c>
      <c r="N1506" s="4" t="s">
        <v>2276</v>
      </c>
      <c r="O1506" s="4" t="s">
        <v>2276</v>
      </c>
      <c r="P1506" s="4" t="s">
        <v>2276</v>
      </c>
      <c r="Q1506" s="21">
        <v>4</v>
      </c>
      <c r="R1506" s="4" t="s">
        <v>2276</v>
      </c>
      <c r="S1506" s="4" t="s">
        <v>2276</v>
      </c>
      <c r="T1506" s="4" t="s">
        <v>2276</v>
      </c>
      <c r="U1506" s="4" t="s">
        <v>2276</v>
      </c>
      <c r="V1506" s="4" t="s">
        <v>2276</v>
      </c>
      <c r="W1506" s="4" t="s">
        <v>2276</v>
      </c>
      <c r="X1506" s="4" t="s">
        <v>2276</v>
      </c>
      <c r="Y1506" s="4" t="s">
        <v>2276</v>
      </c>
      <c r="Z1506" s="4" t="s">
        <v>2276</v>
      </c>
      <c r="AA1506" s="4" t="s">
        <v>2276</v>
      </c>
      <c r="AB1506" s="4" t="s">
        <v>2276</v>
      </c>
      <c r="AC1506" s="113" t="s">
        <v>4480</v>
      </c>
      <c r="AD1506" s="3"/>
    </row>
    <row r="1507" spans="1:30" ht="52.5" customHeight="1">
      <c r="A1507" s="3" t="s">
        <v>4473</v>
      </c>
      <c r="B1507" s="11" t="s">
        <v>4478</v>
      </c>
      <c r="C1507" s="3" t="s">
        <v>24</v>
      </c>
      <c r="D1507" s="3" t="s">
        <v>2231</v>
      </c>
      <c r="E1507" s="3" t="s">
        <v>5005</v>
      </c>
      <c r="F1507" s="4" t="s">
        <v>74</v>
      </c>
      <c r="G1507" s="3" t="s">
        <v>2276</v>
      </c>
      <c r="H1507" s="3" t="s">
        <v>523</v>
      </c>
      <c r="I1507" s="3"/>
      <c r="J1507" s="4" t="s">
        <v>2276</v>
      </c>
      <c r="K1507" s="4" t="s">
        <v>2276</v>
      </c>
      <c r="L1507" s="4" t="s">
        <v>2276</v>
      </c>
      <c r="M1507" s="4" t="s">
        <v>2276</v>
      </c>
      <c r="N1507" s="4" t="s">
        <v>2276</v>
      </c>
      <c r="O1507" s="4" t="s">
        <v>2276</v>
      </c>
      <c r="P1507" s="4" t="s">
        <v>2276</v>
      </c>
      <c r="Q1507" s="21">
        <v>5</v>
      </c>
      <c r="R1507" s="4" t="s">
        <v>2276</v>
      </c>
      <c r="S1507" s="4" t="s">
        <v>2276</v>
      </c>
      <c r="T1507" s="4" t="s">
        <v>2276</v>
      </c>
      <c r="U1507" s="4" t="s">
        <v>2276</v>
      </c>
      <c r="V1507" s="4" t="s">
        <v>2276</v>
      </c>
      <c r="W1507" s="4" t="s">
        <v>2276</v>
      </c>
      <c r="X1507" s="4" t="s">
        <v>2276</v>
      </c>
      <c r="Y1507" s="4" t="s">
        <v>2276</v>
      </c>
      <c r="Z1507" s="4" t="s">
        <v>2276</v>
      </c>
      <c r="AA1507" s="4" t="s">
        <v>2276</v>
      </c>
      <c r="AB1507" s="4" t="s">
        <v>2276</v>
      </c>
      <c r="AC1507" s="113" t="s">
        <v>4480</v>
      </c>
      <c r="AD1507" s="3"/>
    </row>
    <row r="1508" spans="1:30" ht="60" customHeight="1">
      <c r="A1508" s="3" t="s">
        <v>4473</v>
      </c>
      <c r="B1508" s="11" t="s">
        <v>4479</v>
      </c>
      <c r="C1508" s="3" t="s">
        <v>24</v>
      </c>
      <c r="D1508" s="3" t="s">
        <v>2341</v>
      </c>
      <c r="E1508" s="3" t="s">
        <v>5005</v>
      </c>
      <c r="F1508" s="4" t="s">
        <v>74</v>
      </c>
      <c r="G1508" s="3" t="s">
        <v>2276</v>
      </c>
      <c r="H1508" s="3" t="s">
        <v>523</v>
      </c>
      <c r="I1508" s="3"/>
      <c r="J1508" s="4" t="s">
        <v>2276</v>
      </c>
      <c r="K1508" s="4" t="s">
        <v>2276</v>
      </c>
      <c r="L1508" s="4" t="s">
        <v>2276</v>
      </c>
      <c r="M1508" s="4" t="s">
        <v>2276</v>
      </c>
      <c r="N1508" s="4" t="s">
        <v>2276</v>
      </c>
      <c r="O1508" s="4" t="s">
        <v>2276</v>
      </c>
      <c r="P1508" s="4" t="s">
        <v>2276</v>
      </c>
      <c r="Q1508" s="21">
        <v>6</v>
      </c>
      <c r="R1508" s="4" t="s">
        <v>2276</v>
      </c>
      <c r="S1508" s="4" t="s">
        <v>2276</v>
      </c>
      <c r="T1508" s="4" t="s">
        <v>2276</v>
      </c>
      <c r="U1508" s="4" t="s">
        <v>2276</v>
      </c>
      <c r="V1508" s="4" t="s">
        <v>2276</v>
      </c>
      <c r="W1508" s="4" t="s">
        <v>2276</v>
      </c>
      <c r="X1508" s="4" t="s">
        <v>2276</v>
      </c>
      <c r="Y1508" s="4" t="s">
        <v>2276</v>
      </c>
      <c r="Z1508" s="4" t="s">
        <v>2276</v>
      </c>
      <c r="AA1508" s="4" t="s">
        <v>2276</v>
      </c>
      <c r="AB1508" s="4" t="s">
        <v>2276</v>
      </c>
      <c r="AC1508" s="113" t="s">
        <v>4480</v>
      </c>
      <c r="AD1508" s="3"/>
    </row>
    <row r="1509" spans="1:30" ht="46.5" customHeight="1">
      <c r="A1509" s="3" t="s">
        <v>4473</v>
      </c>
      <c r="B1509" s="11" t="s">
        <v>4481</v>
      </c>
      <c r="C1509" s="3" t="s">
        <v>2458</v>
      </c>
      <c r="D1509" s="3" t="s">
        <v>1105</v>
      </c>
      <c r="E1509" s="3" t="s">
        <v>5005</v>
      </c>
      <c r="F1509" s="4" t="s">
        <v>2276</v>
      </c>
      <c r="G1509" s="3" t="s">
        <v>74</v>
      </c>
      <c r="H1509" s="3" t="s">
        <v>523</v>
      </c>
      <c r="I1509" s="3"/>
      <c r="J1509" s="4" t="s">
        <v>2276</v>
      </c>
      <c r="K1509" s="4" t="s">
        <v>2276</v>
      </c>
      <c r="L1509" s="4" t="s">
        <v>2276</v>
      </c>
      <c r="M1509" s="4" t="s">
        <v>2276</v>
      </c>
      <c r="N1509" s="4" t="s">
        <v>2276</v>
      </c>
      <c r="O1509" s="4" t="s">
        <v>2276</v>
      </c>
      <c r="P1509" s="4" t="s">
        <v>2276</v>
      </c>
      <c r="Q1509" s="4" t="s">
        <v>2276</v>
      </c>
      <c r="R1509" s="4" t="s">
        <v>2276</v>
      </c>
      <c r="S1509" s="4" t="s">
        <v>2276</v>
      </c>
      <c r="T1509" s="4" t="s">
        <v>2276</v>
      </c>
      <c r="U1509" s="4" t="s">
        <v>2276</v>
      </c>
      <c r="V1509" s="4" t="s">
        <v>2276</v>
      </c>
      <c r="W1509" s="4" t="s">
        <v>2276</v>
      </c>
      <c r="X1509" s="4" t="s">
        <v>2276</v>
      </c>
      <c r="Y1509" s="4" t="s">
        <v>2276</v>
      </c>
      <c r="Z1509" s="4" t="s">
        <v>2276</v>
      </c>
      <c r="AA1509" s="4" t="s">
        <v>2276</v>
      </c>
      <c r="AB1509" s="4" t="s">
        <v>2276</v>
      </c>
      <c r="AC1509" s="3"/>
      <c r="AD1509" s="4" t="s">
        <v>4483</v>
      </c>
    </row>
    <row r="1510" spans="1:30" ht="45.5" customHeight="1">
      <c r="A1510" s="3" t="s">
        <v>4473</v>
      </c>
      <c r="B1510" s="11" t="s">
        <v>4482</v>
      </c>
      <c r="C1510" s="3" t="s">
        <v>2658</v>
      </c>
      <c r="D1510" s="3" t="s">
        <v>2276</v>
      </c>
      <c r="E1510" s="3" t="s">
        <v>2276</v>
      </c>
      <c r="F1510" s="4" t="s">
        <v>2276</v>
      </c>
      <c r="G1510" s="3" t="s">
        <v>74</v>
      </c>
      <c r="H1510" s="3" t="s">
        <v>523</v>
      </c>
      <c r="I1510" s="3"/>
      <c r="J1510" s="4" t="s">
        <v>2276</v>
      </c>
      <c r="K1510" s="4" t="s">
        <v>2276</v>
      </c>
      <c r="L1510" s="4" t="s">
        <v>2276</v>
      </c>
      <c r="M1510" s="4" t="s">
        <v>2276</v>
      </c>
      <c r="N1510" s="4" t="s">
        <v>2276</v>
      </c>
      <c r="O1510" s="4" t="s">
        <v>2276</v>
      </c>
      <c r="P1510" s="4" t="s">
        <v>2276</v>
      </c>
      <c r="Q1510" s="4" t="s">
        <v>2276</v>
      </c>
      <c r="R1510" s="4" t="s">
        <v>2276</v>
      </c>
      <c r="S1510" s="4" t="s">
        <v>2276</v>
      </c>
      <c r="T1510" s="21">
        <v>40</v>
      </c>
      <c r="U1510" s="4" t="s">
        <v>2276</v>
      </c>
      <c r="V1510" s="4" t="s">
        <v>2276</v>
      </c>
      <c r="W1510" s="4" t="s">
        <v>2276</v>
      </c>
      <c r="X1510" s="4" t="s">
        <v>2276</v>
      </c>
      <c r="Y1510" s="4" t="s">
        <v>2276</v>
      </c>
      <c r="Z1510" s="3" t="s">
        <v>38</v>
      </c>
      <c r="AA1510" s="3" t="s">
        <v>38</v>
      </c>
      <c r="AB1510" s="3" t="s">
        <v>2276</v>
      </c>
      <c r="AC1510" s="3"/>
      <c r="AD1510" s="3"/>
    </row>
    <row r="1511" spans="1:30" ht="57" customHeight="1">
      <c r="A1511" s="11" t="s">
        <v>4485</v>
      </c>
      <c r="B1511" s="11" t="s">
        <v>4490</v>
      </c>
      <c r="C1511" s="3" t="s">
        <v>24</v>
      </c>
      <c r="D1511" s="3" t="s">
        <v>26</v>
      </c>
      <c r="E1511" s="3" t="s">
        <v>5005</v>
      </c>
      <c r="F1511" s="4" t="s">
        <v>74</v>
      </c>
      <c r="G1511" s="3" t="s">
        <v>74</v>
      </c>
      <c r="H1511" s="3" t="s">
        <v>523</v>
      </c>
      <c r="I1511" s="3"/>
      <c r="J1511" s="4" t="s">
        <v>2276</v>
      </c>
      <c r="K1511" s="4" t="s">
        <v>2276</v>
      </c>
      <c r="L1511" s="4" t="s">
        <v>2276</v>
      </c>
      <c r="M1511" s="4" t="s">
        <v>2276</v>
      </c>
      <c r="N1511" s="4" t="s">
        <v>2276</v>
      </c>
      <c r="O1511" s="4" t="s">
        <v>2276</v>
      </c>
      <c r="P1511" s="4" t="s">
        <v>2276</v>
      </c>
      <c r="Q1511" s="4" t="s">
        <v>2276</v>
      </c>
      <c r="R1511" s="4" t="s">
        <v>2276</v>
      </c>
      <c r="S1511" s="4" t="s">
        <v>2276</v>
      </c>
      <c r="T1511" s="4" t="s">
        <v>2276</v>
      </c>
      <c r="U1511" s="4" t="s">
        <v>2276</v>
      </c>
      <c r="V1511" s="4" t="s">
        <v>2276</v>
      </c>
      <c r="W1511" s="4" t="s">
        <v>2276</v>
      </c>
      <c r="X1511" s="4" t="s">
        <v>2276</v>
      </c>
      <c r="Y1511" s="4" t="s">
        <v>2276</v>
      </c>
      <c r="Z1511" s="4" t="s">
        <v>2276</v>
      </c>
      <c r="AA1511" s="4" t="s">
        <v>2276</v>
      </c>
      <c r="AB1511" s="4" t="s">
        <v>2276</v>
      </c>
      <c r="AC1511" s="4" t="s">
        <v>4494</v>
      </c>
      <c r="AD1511" s="3"/>
    </row>
    <row r="1512" spans="1:30" ht="51.5" customHeight="1">
      <c r="A1512" s="11" t="s">
        <v>4485</v>
      </c>
      <c r="B1512" s="11" t="s">
        <v>4491</v>
      </c>
      <c r="C1512" s="3" t="s">
        <v>24</v>
      </c>
      <c r="D1512" s="3" t="s">
        <v>143</v>
      </c>
      <c r="E1512" s="3" t="s">
        <v>5005</v>
      </c>
      <c r="F1512" s="4" t="s">
        <v>74</v>
      </c>
      <c r="G1512" s="3" t="s">
        <v>74</v>
      </c>
      <c r="H1512" s="3" t="s">
        <v>523</v>
      </c>
      <c r="I1512" s="3"/>
      <c r="J1512" s="4" t="s">
        <v>2276</v>
      </c>
      <c r="K1512" s="4" t="s">
        <v>2276</v>
      </c>
      <c r="L1512" s="4" t="s">
        <v>2276</v>
      </c>
      <c r="M1512" s="4" t="s">
        <v>2276</v>
      </c>
      <c r="N1512" s="4" t="s">
        <v>2276</v>
      </c>
      <c r="O1512" s="4" t="s">
        <v>2276</v>
      </c>
      <c r="P1512" s="4" t="s">
        <v>2276</v>
      </c>
      <c r="Q1512" s="4" t="s">
        <v>2276</v>
      </c>
      <c r="R1512" s="4" t="s">
        <v>2276</v>
      </c>
      <c r="S1512" s="4" t="s">
        <v>2276</v>
      </c>
      <c r="T1512" s="4" t="s">
        <v>2276</v>
      </c>
      <c r="U1512" s="4" t="s">
        <v>2276</v>
      </c>
      <c r="V1512" s="4" t="s">
        <v>2276</v>
      </c>
      <c r="W1512" s="4" t="s">
        <v>2276</v>
      </c>
      <c r="X1512" s="4" t="s">
        <v>2276</v>
      </c>
      <c r="Y1512" s="4" t="s">
        <v>2276</v>
      </c>
      <c r="Z1512" s="4" t="s">
        <v>2276</v>
      </c>
      <c r="AA1512" s="4" t="s">
        <v>2276</v>
      </c>
      <c r="AB1512" s="4" t="s">
        <v>2276</v>
      </c>
      <c r="AC1512" s="4" t="s">
        <v>4494</v>
      </c>
      <c r="AD1512" s="3"/>
    </row>
    <row r="1513" spans="1:30" ht="47" customHeight="1">
      <c r="A1513" s="11" t="s">
        <v>4487</v>
      </c>
      <c r="B1513" s="11" t="s">
        <v>4492</v>
      </c>
      <c r="C1513" s="3" t="s">
        <v>24</v>
      </c>
      <c r="D1513" s="3" t="s">
        <v>26</v>
      </c>
      <c r="E1513" s="3" t="s">
        <v>5005</v>
      </c>
      <c r="F1513" s="4" t="s">
        <v>2662</v>
      </c>
      <c r="G1513" s="3" t="s">
        <v>2276</v>
      </c>
      <c r="H1513" s="3" t="s">
        <v>523</v>
      </c>
      <c r="I1513" s="3"/>
      <c r="J1513" s="4" t="s">
        <v>2276</v>
      </c>
      <c r="K1513" s="4" t="s">
        <v>2276</v>
      </c>
      <c r="L1513" s="4" t="s">
        <v>2276</v>
      </c>
      <c r="M1513" s="4" t="s">
        <v>2276</v>
      </c>
      <c r="N1513" s="4" t="s">
        <v>2276</v>
      </c>
      <c r="O1513" s="4" t="s">
        <v>2276</v>
      </c>
      <c r="P1513" s="4" t="s">
        <v>2276</v>
      </c>
      <c r="Q1513" s="4" t="s">
        <v>2276</v>
      </c>
      <c r="R1513" s="4" t="s">
        <v>2276</v>
      </c>
      <c r="S1513" s="4" t="s">
        <v>2276</v>
      </c>
      <c r="T1513" s="4" t="s">
        <v>2276</v>
      </c>
      <c r="U1513" s="4" t="s">
        <v>2276</v>
      </c>
      <c r="V1513" s="4" t="s">
        <v>2276</v>
      </c>
      <c r="W1513" s="4" t="s">
        <v>2276</v>
      </c>
      <c r="X1513" s="4" t="s">
        <v>2276</v>
      </c>
      <c r="Y1513" s="4" t="s">
        <v>2276</v>
      </c>
      <c r="Z1513" s="4" t="s">
        <v>2276</v>
      </c>
      <c r="AA1513" s="4" t="s">
        <v>2276</v>
      </c>
      <c r="AB1513" s="4" t="s">
        <v>2276</v>
      </c>
      <c r="AC1513" s="4" t="s">
        <v>4494</v>
      </c>
      <c r="AD1513" s="3"/>
    </row>
    <row r="1514" spans="1:30" ht="57.5" customHeight="1">
      <c r="A1514" s="11" t="s">
        <v>4487</v>
      </c>
      <c r="B1514" s="11" t="s">
        <v>4493</v>
      </c>
      <c r="C1514" s="3" t="s">
        <v>24</v>
      </c>
      <c r="D1514" s="3" t="s">
        <v>25</v>
      </c>
      <c r="E1514" s="3" t="s">
        <v>5005</v>
      </c>
      <c r="F1514" s="4" t="s">
        <v>55</v>
      </c>
      <c r="G1514" s="3" t="s">
        <v>2276</v>
      </c>
      <c r="H1514" s="3" t="s">
        <v>523</v>
      </c>
      <c r="I1514" s="3"/>
      <c r="J1514" s="4" t="s">
        <v>2276</v>
      </c>
      <c r="K1514" s="4" t="s">
        <v>2276</v>
      </c>
      <c r="L1514" s="4" t="s">
        <v>2276</v>
      </c>
      <c r="M1514" s="4" t="s">
        <v>2276</v>
      </c>
      <c r="N1514" s="4" t="s">
        <v>2276</v>
      </c>
      <c r="O1514" s="4" t="s">
        <v>2276</v>
      </c>
      <c r="P1514" s="4" t="s">
        <v>2276</v>
      </c>
      <c r="Q1514" s="4" t="s">
        <v>2276</v>
      </c>
      <c r="R1514" s="4" t="s">
        <v>2276</v>
      </c>
      <c r="S1514" s="4" t="s">
        <v>2276</v>
      </c>
      <c r="T1514" s="4" t="s">
        <v>2276</v>
      </c>
      <c r="U1514" s="4" t="s">
        <v>2276</v>
      </c>
      <c r="V1514" s="4" t="s">
        <v>2276</v>
      </c>
      <c r="W1514" s="4" t="s">
        <v>2276</v>
      </c>
      <c r="X1514" s="4" t="s">
        <v>2276</v>
      </c>
      <c r="Y1514" s="4" t="s">
        <v>2276</v>
      </c>
      <c r="Z1514" s="4" t="s">
        <v>2276</v>
      </c>
      <c r="AA1514" s="4" t="s">
        <v>2276</v>
      </c>
      <c r="AB1514" s="4" t="s">
        <v>2276</v>
      </c>
      <c r="AC1514" s="4" t="s">
        <v>4495</v>
      </c>
      <c r="AD1514" s="3"/>
    </row>
    <row r="1515" spans="1:30" ht="47" customHeight="1">
      <c r="A1515" s="19" t="s">
        <v>4488</v>
      </c>
      <c r="B1515" s="19" t="s">
        <v>4496</v>
      </c>
      <c r="C1515" s="4" t="s">
        <v>24</v>
      </c>
      <c r="D1515" s="4" t="s">
        <v>2994</v>
      </c>
      <c r="E1515" s="4" t="s">
        <v>5005</v>
      </c>
      <c r="F1515" s="4" t="s">
        <v>2276</v>
      </c>
      <c r="G1515" s="3" t="s">
        <v>2276</v>
      </c>
      <c r="H1515" s="3" t="s">
        <v>523</v>
      </c>
      <c r="I1515" s="4"/>
      <c r="J1515" s="4" t="s">
        <v>2276</v>
      </c>
      <c r="K1515" s="4" t="s">
        <v>2276</v>
      </c>
      <c r="L1515" s="4" t="s">
        <v>2276</v>
      </c>
      <c r="M1515" s="4" t="s">
        <v>2276</v>
      </c>
      <c r="N1515" s="4" t="s">
        <v>2276</v>
      </c>
      <c r="O1515" s="4" t="s">
        <v>2276</v>
      </c>
      <c r="P1515" s="4" t="s">
        <v>2276</v>
      </c>
      <c r="Q1515" s="4" t="s">
        <v>2276</v>
      </c>
      <c r="R1515" s="4" t="s">
        <v>2276</v>
      </c>
      <c r="S1515" s="4" t="s">
        <v>2276</v>
      </c>
      <c r="T1515" s="4" t="s">
        <v>2276</v>
      </c>
      <c r="U1515" s="4" t="s">
        <v>2276</v>
      </c>
      <c r="V1515" s="4" t="s">
        <v>2276</v>
      </c>
      <c r="W1515" s="4" t="s">
        <v>2276</v>
      </c>
      <c r="X1515" s="4" t="s">
        <v>2276</v>
      </c>
      <c r="Y1515" s="4" t="s">
        <v>2276</v>
      </c>
      <c r="Z1515" s="4" t="s">
        <v>2276</v>
      </c>
      <c r="AA1515" s="4" t="s">
        <v>2276</v>
      </c>
      <c r="AB1515" s="4" t="s">
        <v>2276</v>
      </c>
      <c r="AC1515" s="4" t="s">
        <v>4498</v>
      </c>
      <c r="AD1515" s="4"/>
    </row>
    <row r="1516" spans="1:30" ht="49.5" customHeight="1">
      <c r="A1516" s="19" t="s">
        <v>4489</v>
      </c>
      <c r="B1516" s="19" t="s">
        <v>4497</v>
      </c>
      <c r="C1516" s="4" t="s">
        <v>24</v>
      </c>
      <c r="D1516" s="4" t="s">
        <v>2994</v>
      </c>
      <c r="E1516" s="4" t="s">
        <v>5005</v>
      </c>
      <c r="F1516" s="4" t="s">
        <v>2276</v>
      </c>
      <c r="G1516" s="3" t="s">
        <v>2276</v>
      </c>
      <c r="H1516" s="3" t="s">
        <v>523</v>
      </c>
      <c r="I1516" s="4"/>
      <c r="J1516" s="4" t="s">
        <v>2276</v>
      </c>
      <c r="K1516" s="4" t="s">
        <v>2276</v>
      </c>
      <c r="L1516" s="4" t="s">
        <v>2276</v>
      </c>
      <c r="M1516" s="4" t="s">
        <v>2276</v>
      </c>
      <c r="N1516" s="4" t="s">
        <v>2276</v>
      </c>
      <c r="O1516" s="4" t="s">
        <v>2276</v>
      </c>
      <c r="P1516" s="4" t="s">
        <v>2276</v>
      </c>
      <c r="Q1516" s="4" t="s">
        <v>2276</v>
      </c>
      <c r="R1516" s="4" t="s">
        <v>2276</v>
      </c>
      <c r="S1516" s="4" t="s">
        <v>2276</v>
      </c>
      <c r="T1516" s="4" t="s">
        <v>2276</v>
      </c>
      <c r="U1516" s="4" t="s">
        <v>2276</v>
      </c>
      <c r="V1516" s="4" t="s">
        <v>2276</v>
      </c>
      <c r="W1516" s="4" t="s">
        <v>2276</v>
      </c>
      <c r="X1516" s="4" t="s">
        <v>2276</v>
      </c>
      <c r="Y1516" s="4" t="s">
        <v>2276</v>
      </c>
      <c r="Z1516" s="4" t="s">
        <v>2276</v>
      </c>
      <c r="AA1516" s="4" t="s">
        <v>2276</v>
      </c>
      <c r="AB1516" s="4" t="s">
        <v>2276</v>
      </c>
      <c r="AC1516" s="4" t="s">
        <v>4498</v>
      </c>
      <c r="AD1516" s="4"/>
    </row>
    <row r="1517" spans="1:30" ht="39" customHeight="1">
      <c r="A1517" s="11" t="s">
        <v>4502</v>
      </c>
      <c r="B1517" s="11" t="s">
        <v>4508</v>
      </c>
      <c r="C1517" s="3" t="s">
        <v>1105</v>
      </c>
      <c r="D1517" s="3" t="s">
        <v>1105</v>
      </c>
      <c r="E1517" s="3" t="s">
        <v>1105</v>
      </c>
      <c r="F1517" s="4" t="s">
        <v>1105</v>
      </c>
      <c r="G1517" s="3" t="s">
        <v>1105</v>
      </c>
      <c r="H1517" s="3" t="s">
        <v>524</v>
      </c>
      <c r="I1517" s="3"/>
      <c r="J1517" s="21">
        <v>0</v>
      </c>
      <c r="K1517" s="21">
        <v>0</v>
      </c>
      <c r="L1517" s="21">
        <v>0</v>
      </c>
      <c r="M1517" s="21">
        <v>0</v>
      </c>
      <c r="N1517" s="21">
        <v>0</v>
      </c>
      <c r="O1517" s="21">
        <v>0</v>
      </c>
      <c r="P1517" s="21">
        <v>0</v>
      </c>
      <c r="Q1517" s="21">
        <v>0</v>
      </c>
      <c r="R1517" s="21">
        <v>0</v>
      </c>
      <c r="S1517" s="21">
        <v>0</v>
      </c>
      <c r="T1517" s="21">
        <v>0</v>
      </c>
      <c r="U1517" s="21">
        <v>0</v>
      </c>
      <c r="V1517" s="21">
        <v>0</v>
      </c>
      <c r="W1517" s="21">
        <v>0</v>
      </c>
      <c r="X1517" s="21">
        <v>0</v>
      </c>
      <c r="Y1517" s="4" t="s">
        <v>2276</v>
      </c>
      <c r="Z1517" s="4" t="s">
        <v>2276</v>
      </c>
      <c r="AA1517" s="4" t="s">
        <v>2276</v>
      </c>
      <c r="AB1517" s="4" t="s">
        <v>2276</v>
      </c>
      <c r="AC1517" s="175" t="s">
        <v>4509</v>
      </c>
      <c r="AD1517" s="3"/>
    </row>
    <row r="1518" spans="1:30" ht="34.5" customHeight="1">
      <c r="A1518" s="11" t="s">
        <v>4506</v>
      </c>
      <c r="B1518" s="11" t="s">
        <v>4512</v>
      </c>
      <c r="C1518" s="3" t="s">
        <v>24</v>
      </c>
      <c r="D1518" s="3" t="s">
        <v>1105</v>
      </c>
      <c r="E1518" s="3" t="s">
        <v>2647</v>
      </c>
      <c r="F1518" s="4" t="s">
        <v>1105</v>
      </c>
      <c r="G1518" s="3" t="s">
        <v>1105</v>
      </c>
      <c r="H1518" s="3" t="s">
        <v>524</v>
      </c>
      <c r="I1518" s="3"/>
      <c r="J1518" s="21">
        <v>0</v>
      </c>
      <c r="K1518" s="21">
        <v>0</v>
      </c>
      <c r="L1518" s="21">
        <v>0</v>
      </c>
      <c r="M1518" s="21">
        <v>0</v>
      </c>
      <c r="N1518" s="21">
        <v>0</v>
      </c>
      <c r="O1518" s="21">
        <v>0</v>
      </c>
      <c r="P1518" s="21">
        <v>0</v>
      </c>
      <c r="Q1518" s="21">
        <v>0</v>
      </c>
      <c r="R1518" s="21">
        <v>0</v>
      </c>
      <c r="S1518" s="21">
        <v>0</v>
      </c>
      <c r="T1518" s="21">
        <v>0</v>
      </c>
      <c r="U1518" s="21">
        <v>0</v>
      </c>
      <c r="V1518" s="21">
        <v>0</v>
      </c>
      <c r="W1518" s="21">
        <v>0</v>
      </c>
      <c r="X1518" s="21">
        <v>0</v>
      </c>
      <c r="Y1518" s="4" t="s">
        <v>2276</v>
      </c>
      <c r="Z1518" s="4" t="s">
        <v>2276</v>
      </c>
      <c r="AA1518" s="4" t="s">
        <v>2276</v>
      </c>
      <c r="AB1518" s="4" t="s">
        <v>2276</v>
      </c>
      <c r="AC1518" s="176" t="s">
        <v>4511</v>
      </c>
      <c r="AD1518" s="3"/>
    </row>
    <row r="1519" spans="1:30" ht="41" customHeight="1">
      <c r="A1519" s="11" t="s">
        <v>4506</v>
      </c>
      <c r="B1519" s="11" t="s">
        <v>4513</v>
      </c>
      <c r="C1519" s="3" t="s">
        <v>24</v>
      </c>
      <c r="D1519" s="3" t="s">
        <v>1105</v>
      </c>
      <c r="E1519" s="3" t="s">
        <v>45</v>
      </c>
      <c r="F1519" s="4" t="s">
        <v>1105</v>
      </c>
      <c r="G1519" s="3" t="s">
        <v>1105</v>
      </c>
      <c r="H1519" s="3" t="s">
        <v>524</v>
      </c>
      <c r="I1519" s="3"/>
      <c r="J1519" s="21">
        <v>0</v>
      </c>
      <c r="K1519" s="21">
        <v>0</v>
      </c>
      <c r="L1519" s="21">
        <v>0</v>
      </c>
      <c r="M1519" s="21">
        <v>0</v>
      </c>
      <c r="N1519" s="21">
        <v>0</v>
      </c>
      <c r="O1519" s="21">
        <v>0</v>
      </c>
      <c r="P1519" s="21">
        <v>0</v>
      </c>
      <c r="Q1519" s="21">
        <v>0</v>
      </c>
      <c r="R1519" s="21">
        <v>0</v>
      </c>
      <c r="S1519" s="21">
        <v>0</v>
      </c>
      <c r="T1519" s="21">
        <v>0</v>
      </c>
      <c r="U1519" s="21">
        <v>0</v>
      </c>
      <c r="V1519" s="21">
        <v>0</v>
      </c>
      <c r="W1519" s="21">
        <v>0</v>
      </c>
      <c r="X1519" s="21">
        <v>0</v>
      </c>
      <c r="Y1519" s="4" t="s">
        <v>2276</v>
      </c>
      <c r="Z1519" s="4" t="s">
        <v>2276</v>
      </c>
      <c r="AA1519" s="4" t="s">
        <v>2276</v>
      </c>
      <c r="AB1519" s="4" t="s">
        <v>2276</v>
      </c>
      <c r="AC1519" s="176" t="s">
        <v>4511</v>
      </c>
      <c r="AD1519" s="3"/>
    </row>
    <row r="1520" spans="1:30" ht="45.5" customHeight="1">
      <c r="A1520" s="11" t="s">
        <v>4518</v>
      </c>
      <c r="B1520" s="11" t="s">
        <v>4528</v>
      </c>
      <c r="C1520" s="3" t="s">
        <v>1105</v>
      </c>
      <c r="D1520" s="3" t="s">
        <v>1105</v>
      </c>
      <c r="E1520" s="3" t="s">
        <v>1105</v>
      </c>
      <c r="F1520" s="4" t="s">
        <v>1105</v>
      </c>
      <c r="G1520" s="3" t="s">
        <v>1105</v>
      </c>
      <c r="H1520" s="3" t="s">
        <v>523</v>
      </c>
      <c r="I1520" s="3"/>
      <c r="J1520" s="4" t="s">
        <v>2276</v>
      </c>
      <c r="K1520" s="4" t="s">
        <v>2276</v>
      </c>
      <c r="L1520" s="4" t="s">
        <v>2276</v>
      </c>
      <c r="M1520" s="4" t="s">
        <v>2276</v>
      </c>
      <c r="N1520" s="4" t="s">
        <v>2276</v>
      </c>
      <c r="O1520" s="4" t="s">
        <v>2276</v>
      </c>
      <c r="P1520" s="4" t="s">
        <v>2276</v>
      </c>
      <c r="Q1520" s="4" t="s">
        <v>2276</v>
      </c>
      <c r="R1520" s="4" t="s">
        <v>2276</v>
      </c>
      <c r="S1520" s="4" t="s">
        <v>2276</v>
      </c>
      <c r="T1520" s="4" t="s">
        <v>2276</v>
      </c>
      <c r="U1520" s="4" t="s">
        <v>2276</v>
      </c>
      <c r="V1520" s="4" t="s">
        <v>2276</v>
      </c>
      <c r="W1520" s="4" t="s">
        <v>2276</v>
      </c>
      <c r="X1520" s="4" t="s">
        <v>2276</v>
      </c>
      <c r="Y1520" s="21">
        <v>2</v>
      </c>
      <c r="Z1520" s="4" t="s">
        <v>2276</v>
      </c>
      <c r="AA1520" s="4" t="s">
        <v>2276</v>
      </c>
      <c r="AB1520" s="4" t="s">
        <v>2276</v>
      </c>
      <c r="AC1520" s="4" t="s">
        <v>4538</v>
      </c>
      <c r="AD1520" s="3" t="s">
        <v>4537</v>
      </c>
    </row>
    <row r="1521" spans="1:30" ht="41" customHeight="1">
      <c r="A1521" s="11" t="s">
        <v>4519</v>
      </c>
      <c r="B1521" s="11" t="s">
        <v>4529</v>
      </c>
      <c r="C1521" s="3" t="s">
        <v>1105</v>
      </c>
      <c r="D1521" s="3" t="s">
        <v>1105</v>
      </c>
      <c r="E1521" s="3" t="s">
        <v>1105</v>
      </c>
      <c r="F1521" s="4" t="s">
        <v>1105</v>
      </c>
      <c r="G1521" s="3" t="s">
        <v>1105</v>
      </c>
      <c r="H1521" s="3" t="s">
        <v>523</v>
      </c>
      <c r="I1521" s="3">
        <v>1967</v>
      </c>
      <c r="J1521" s="4" t="s">
        <v>2276</v>
      </c>
      <c r="K1521" s="4" t="s">
        <v>2276</v>
      </c>
      <c r="L1521" s="4" t="s">
        <v>2276</v>
      </c>
      <c r="M1521" s="4" t="s">
        <v>2276</v>
      </c>
      <c r="N1521" s="4" t="s">
        <v>2276</v>
      </c>
      <c r="O1521" s="4" t="s">
        <v>2276</v>
      </c>
      <c r="P1521" s="4" t="s">
        <v>2276</v>
      </c>
      <c r="Q1521" s="4" t="s">
        <v>2276</v>
      </c>
      <c r="R1521" s="4" t="s">
        <v>2276</v>
      </c>
      <c r="S1521" s="4" t="s">
        <v>2276</v>
      </c>
      <c r="T1521" s="4" t="s">
        <v>2276</v>
      </c>
      <c r="U1521" s="4" t="s">
        <v>2276</v>
      </c>
      <c r="V1521" s="4" t="s">
        <v>2276</v>
      </c>
      <c r="W1521" s="4" t="s">
        <v>2276</v>
      </c>
      <c r="X1521" s="4" t="s">
        <v>2276</v>
      </c>
      <c r="Y1521" s="21">
        <v>3</v>
      </c>
      <c r="Z1521" s="4" t="s">
        <v>2276</v>
      </c>
      <c r="AA1521" s="4" t="s">
        <v>2276</v>
      </c>
      <c r="AB1521" s="4" t="s">
        <v>2276</v>
      </c>
      <c r="AC1521" s="3"/>
      <c r="AD1521" s="3"/>
    </row>
    <row r="1522" spans="1:30" ht="41" customHeight="1">
      <c r="A1522" s="11" t="s">
        <v>4520</v>
      </c>
      <c r="B1522" s="11" t="s">
        <v>4530</v>
      </c>
      <c r="C1522" s="3" t="s">
        <v>1105</v>
      </c>
      <c r="D1522" s="3" t="s">
        <v>1105</v>
      </c>
      <c r="E1522" s="3" t="s">
        <v>1105</v>
      </c>
      <c r="F1522" s="4" t="s">
        <v>1105</v>
      </c>
      <c r="G1522" s="3" t="s">
        <v>1105</v>
      </c>
      <c r="H1522" s="3" t="s">
        <v>523</v>
      </c>
      <c r="I1522" s="3">
        <v>1967</v>
      </c>
      <c r="J1522" s="4" t="s">
        <v>2276</v>
      </c>
      <c r="K1522" s="4" t="s">
        <v>2276</v>
      </c>
      <c r="L1522" s="4" t="s">
        <v>2276</v>
      </c>
      <c r="M1522" s="4" t="s">
        <v>2276</v>
      </c>
      <c r="N1522" s="4" t="s">
        <v>2276</v>
      </c>
      <c r="O1522" s="4" t="s">
        <v>2276</v>
      </c>
      <c r="P1522" s="4" t="s">
        <v>2276</v>
      </c>
      <c r="Q1522" s="4" t="s">
        <v>2276</v>
      </c>
      <c r="R1522" s="4" t="s">
        <v>2276</v>
      </c>
      <c r="S1522" s="4" t="s">
        <v>2276</v>
      </c>
      <c r="T1522" s="4" t="s">
        <v>2276</v>
      </c>
      <c r="U1522" s="4" t="s">
        <v>2276</v>
      </c>
      <c r="V1522" s="4" t="s">
        <v>2276</v>
      </c>
      <c r="W1522" s="4" t="s">
        <v>2276</v>
      </c>
      <c r="X1522" s="4" t="s">
        <v>2276</v>
      </c>
      <c r="Y1522" s="21">
        <v>3</v>
      </c>
      <c r="Z1522" s="4" t="s">
        <v>2276</v>
      </c>
      <c r="AA1522" s="4" t="s">
        <v>2276</v>
      </c>
      <c r="AB1522" s="4" t="s">
        <v>2276</v>
      </c>
      <c r="AC1522" s="3"/>
      <c r="AD1522" s="3"/>
    </row>
    <row r="1523" spans="1:30" ht="41" customHeight="1">
      <c r="A1523" s="11" t="s">
        <v>4521</v>
      </c>
      <c r="B1523" s="11" t="s">
        <v>4531</v>
      </c>
      <c r="C1523" s="3" t="s">
        <v>1105</v>
      </c>
      <c r="D1523" s="3" t="s">
        <v>1105</v>
      </c>
      <c r="E1523" s="3" t="s">
        <v>1105</v>
      </c>
      <c r="F1523" s="4" t="s">
        <v>1105</v>
      </c>
      <c r="G1523" s="3" t="s">
        <v>1105</v>
      </c>
      <c r="H1523" s="3" t="s">
        <v>523</v>
      </c>
      <c r="I1523" s="3">
        <v>1967</v>
      </c>
      <c r="J1523" s="4" t="s">
        <v>2276</v>
      </c>
      <c r="K1523" s="4" t="s">
        <v>2276</v>
      </c>
      <c r="L1523" s="4" t="s">
        <v>2276</v>
      </c>
      <c r="M1523" s="4" t="s">
        <v>2276</v>
      </c>
      <c r="N1523" s="4" t="s">
        <v>2276</v>
      </c>
      <c r="O1523" s="4" t="s">
        <v>2276</v>
      </c>
      <c r="P1523" s="4" t="s">
        <v>2276</v>
      </c>
      <c r="Q1523" s="4" t="s">
        <v>2276</v>
      </c>
      <c r="R1523" s="4" t="s">
        <v>2276</v>
      </c>
      <c r="S1523" s="4" t="s">
        <v>2276</v>
      </c>
      <c r="T1523" s="4" t="s">
        <v>2276</v>
      </c>
      <c r="U1523" s="4" t="s">
        <v>2276</v>
      </c>
      <c r="V1523" s="4" t="s">
        <v>2276</v>
      </c>
      <c r="W1523" s="4" t="s">
        <v>2276</v>
      </c>
      <c r="X1523" s="4" t="s">
        <v>2276</v>
      </c>
      <c r="Y1523" s="21">
        <v>3</v>
      </c>
      <c r="Z1523" s="4" t="s">
        <v>2276</v>
      </c>
      <c r="AA1523" s="4" t="s">
        <v>2276</v>
      </c>
      <c r="AB1523" s="4" t="s">
        <v>2276</v>
      </c>
      <c r="AC1523" s="3"/>
      <c r="AD1523" s="3"/>
    </row>
    <row r="1524" spans="1:30" ht="41" customHeight="1">
      <c r="A1524" s="11" t="s">
        <v>4522</v>
      </c>
      <c r="B1524" s="11" t="s">
        <v>4532</v>
      </c>
      <c r="C1524" s="3" t="s">
        <v>1105</v>
      </c>
      <c r="D1524" s="3" t="s">
        <v>1105</v>
      </c>
      <c r="E1524" s="3" t="s">
        <v>1105</v>
      </c>
      <c r="F1524" s="4" t="s">
        <v>1105</v>
      </c>
      <c r="G1524" s="3" t="s">
        <v>1105</v>
      </c>
      <c r="H1524" s="3" t="s">
        <v>523</v>
      </c>
      <c r="I1524" s="3">
        <v>1967</v>
      </c>
      <c r="J1524" s="4" t="s">
        <v>2276</v>
      </c>
      <c r="K1524" s="4" t="s">
        <v>2276</v>
      </c>
      <c r="L1524" s="4" t="s">
        <v>2276</v>
      </c>
      <c r="M1524" s="4" t="s">
        <v>2276</v>
      </c>
      <c r="N1524" s="4" t="s">
        <v>2276</v>
      </c>
      <c r="O1524" s="4" t="s">
        <v>2276</v>
      </c>
      <c r="P1524" s="4" t="s">
        <v>2276</v>
      </c>
      <c r="Q1524" s="4" t="s">
        <v>2276</v>
      </c>
      <c r="R1524" s="4" t="s">
        <v>2276</v>
      </c>
      <c r="S1524" s="4" t="s">
        <v>2276</v>
      </c>
      <c r="T1524" s="4" t="s">
        <v>2276</v>
      </c>
      <c r="U1524" s="4" t="s">
        <v>2276</v>
      </c>
      <c r="V1524" s="4" t="s">
        <v>2276</v>
      </c>
      <c r="W1524" s="4" t="s">
        <v>2276</v>
      </c>
      <c r="X1524" s="4" t="s">
        <v>2276</v>
      </c>
      <c r="Y1524" s="21">
        <v>3</v>
      </c>
      <c r="Z1524" s="4" t="s">
        <v>2276</v>
      </c>
      <c r="AA1524" s="4" t="s">
        <v>2276</v>
      </c>
      <c r="AB1524" s="4" t="s">
        <v>2276</v>
      </c>
      <c r="AC1524" s="3"/>
      <c r="AD1524" s="3"/>
    </row>
    <row r="1525" spans="1:30" ht="50" customHeight="1">
      <c r="A1525" s="11" t="s">
        <v>4519</v>
      </c>
      <c r="B1525" s="11" t="s">
        <v>4533</v>
      </c>
      <c r="C1525" s="3" t="s">
        <v>1105</v>
      </c>
      <c r="D1525" s="3" t="s">
        <v>1105</v>
      </c>
      <c r="E1525" s="3" t="s">
        <v>1105</v>
      </c>
      <c r="F1525" s="4" t="s">
        <v>1105</v>
      </c>
      <c r="G1525" s="3" t="s">
        <v>1105</v>
      </c>
      <c r="H1525" s="3" t="s">
        <v>523</v>
      </c>
      <c r="I1525" s="11">
        <v>1973</v>
      </c>
      <c r="J1525" s="4" t="s">
        <v>2276</v>
      </c>
      <c r="K1525" s="4" t="s">
        <v>2276</v>
      </c>
      <c r="L1525" s="4" t="s">
        <v>2276</v>
      </c>
      <c r="M1525" s="4" t="s">
        <v>2276</v>
      </c>
      <c r="N1525" s="4" t="s">
        <v>2276</v>
      </c>
      <c r="O1525" s="4" t="s">
        <v>2276</v>
      </c>
      <c r="P1525" s="4" t="s">
        <v>2276</v>
      </c>
      <c r="Q1525" s="4" t="s">
        <v>2276</v>
      </c>
      <c r="R1525" s="4" t="s">
        <v>2276</v>
      </c>
      <c r="S1525" s="4" t="s">
        <v>2276</v>
      </c>
      <c r="T1525" s="4" t="s">
        <v>2276</v>
      </c>
      <c r="U1525" s="4" t="s">
        <v>2276</v>
      </c>
      <c r="V1525" s="4" t="s">
        <v>2276</v>
      </c>
      <c r="W1525" s="4" t="s">
        <v>2276</v>
      </c>
      <c r="X1525" s="4" t="s">
        <v>2276</v>
      </c>
      <c r="Y1525" s="4" t="s">
        <v>2276</v>
      </c>
      <c r="Z1525" s="4" t="s">
        <v>2276</v>
      </c>
      <c r="AA1525" s="4" t="s">
        <v>2276</v>
      </c>
      <c r="AB1525" s="4" t="s">
        <v>2276</v>
      </c>
      <c r="AC1525" s="4" t="s">
        <v>4539</v>
      </c>
      <c r="AD1525" s="3"/>
    </row>
    <row r="1526" spans="1:30" ht="50" customHeight="1">
      <c r="A1526" s="11" t="s">
        <v>4520</v>
      </c>
      <c r="B1526" s="11" t="s">
        <v>4534</v>
      </c>
      <c r="C1526" s="3" t="s">
        <v>1105</v>
      </c>
      <c r="D1526" s="3" t="s">
        <v>1105</v>
      </c>
      <c r="E1526" s="3" t="s">
        <v>1105</v>
      </c>
      <c r="F1526" s="4" t="s">
        <v>1105</v>
      </c>
      <c r="G1526" s="3" t="s">
        <v>1105</v>
      </c>
      <c r="H1526" s="3" t="s">
        <v>523</v>
      </c>
      <c r="I1526" s="11">
        <v>1973</v>
      </c>
      <c r="J1526" s="4" t="s">
        <v>2276</v>
      </c>
      <c r="K1526" s="4" t="s">
        <v>2276</v>
      </c>
      <c r="L1526" s="4" t="s">
        <v>2276</v>
      </c>
      <c r="M1526" s="4" t="s">
        <v>2276</v>
      </c>
      <c r="N1526" s="4" t="s">
        <v>2276</v>
      </c>
      <c r="O1526" s="4" t="s">
        <v>2276</v>
      </c>
      <c r="P1526" s="4" t="s">
        <v>2276</v>
      </c>
      <c r="Q1526" s="4" t="s">
        <v>2276</v>
      </c>
      <c r="R1526" s="4" t="s">
        <v>2276</v>
      </c>
      <c r="S1526" s="4" t="s">
        <v>2276</v>
      </c>
      <c r="T1526" s="4" t="s">
        <v>2276</v>
      </c>
      <c r="U1526" s="4" t="s">
        <v>2276</v>
      </c>
      <c r="V1526" s="4" t="s">
        <v>2276</v>
      </c>
      <c r="W1526" s="4" t="s">
        <v>2276</v>
      </c>
      <c r="X1526" s="4" t="s">
        <v>2276</v>
      </c>
      <c r="Y1526" s="4" t="s">
        <v>2276</v>
      </c>
      <c r="Z1526" s="4" t="s">
        <v>2276</v>
      </c>
      <c r="AA1526" s="4" t="s">
        <v>2276</v>
      </c>
      <c r="AB1526" s="4" t="s">
        <v>2276</v>
      </c>
      <c r="AC1526" s="4" t="s">
        <v>4539</v>
      </c>
      <c r="AD1526" s="3"/>
    </row>
    <row r="1527" spans="1:30" ht="50" customHeight="1">
      <c r="A1527" s="11" t="s">
        <v>4521</v>
      </c>
      <c r="B1527" s="11" t="s">
        <v>4535</v>
      </c>
      <c r="C1527" s="3" t="s">
        <v>1105</v>
      </c>
      <c r="D1527" s="3" t="s">
        <v>1105</v>
      </c>
      <c r="E1527" s="3" t="s">
        <v>1105</v>
      </c>
      <c r="F1527" s="4" t="s">
        <v>1105</v>
      </c>
      <c r="G1527" s="3" t="s">
        <v>1105</v>
      </c>
      <c r="H1527" s="3" t="s">
        <v>523</v>
      </c>
      <c r="I1527" s="11">
        <v>1973</v>
      </c>
      <c r="J1527" s="4" t="s">
        <v>2276</v>
      </c>
      <c r="K1527" s="4" t="s">
        <v>2276</v>
      </c>
      <c r="L1527" s="4" t="s">
        <v>2276</v>
      </c>
      <c r="M1527" s="4" t="s">
        <v>2276</v>
      </c>
      <c r="N1527" s="4" t="s">
        <v>2276</v>
      </c>
      <c r="O1527" s="4" t="s">
        <v>2276</v>
      </c>
      <c r="P1527" s="4" t="s">
        <v>2276</v>
      </c>
      <c r="Q1527" s="4" t="s">
        <v>2276</v>
      </c>
      <c r="R1527" s="4" t="s">
        <v>2276</v>
      </c>
      <c r="S1527" s="4" t="s">
        <v>2276</v>
      </c>
      <c r="T1527" s="4" t="s">
        <v>2276</v>
      </c>
      <c r="U1527" s="4" t="s">
        <v>2276</v>
      </c>
      <c r="V1527" s="4" t="s">
        <v>2276</v>
      </c>
      <c r="W1527" s="4" t="s">
        <v>2276</v>
      </c>
      <c r="X1527" s="4" t="s">
        <v>2276</v>
      </c>
      <c r="Y1527" s="4" t="s">
        <v>2276</v>
      </c>
      <c r="Z1527" s="4" t="s">
        <v>2276</v>
      </c>
      <c r="AA1527" s="4" t="s">
        <v>2276</v>
      </c>
      <c r="AB1527" s="4" t="s">
        <v>2276</v>
      </c>
      <c r="AC1527" s="4" t="s">
        <v>4539</v>
      </c>
      <c r="AD1527" s="3"/>
    </row>
    <row r="1528" spans="1:30" ht="50" customHeight="1">
      <c r="A1528" s="11" t="s">
        <v>4522</v>
      </c>
      <c r="B1528" s="11" t="s">
        <v>4536</v>
      </c>
      <c r="C1528" s="3" t="s">
        <v>1105</v>
      </c>
      <c r="D1528" s="3" t="s">
        <v>1105</v>
      </c>
      <c r="E1528" s="3" t="s">
        <v>1105</v>
      </c>
      <c r="F1528" s="4" t="s">
        <v>1105</v>
      </c>
      <c r="G1528" s="3" t="s">
        <v>1105</v>
      </c>
      <c r="H1528" s="3" t="s">
        <v>524</v>
      </c>
      <c r="I1528" s="11">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v>0</v>
      </c>
      <c r="Y1528" s="4" t="s">
        <v>2276</v>
      </c>
      <c r="Z1528" s="4" t="s">
        <v>2276</v>
      </c>
      <c r="AA1528" s="4" t="s">
        <v>2276</v>
      </c>
      <c r="AB1528" s="4" t="s">
        <v>2276</v>
      </c>
      <c r="AC1528" s="4" t="s">
        <v>4540</v>
      </c>
      <c r="AD1528" s="3"/>
    </row>
    <row r="1529" spans="1:30" ht="42" customHeight="1">
      <c r="A1529" s="11" t="s">
        <v>4543</v>
      </c>
      <c r="B1529" s="11" t="s">
        <v>4549</v>
      </c>
      <c r="C1529" s="3" t="s">
        <v>24</v>
      </c>
      <c r="D1529" s="3" t="s">
        <v>25</v>
      </c>
      <c r="E1529" s="3" t="s">
        <v>5005</v>
      </c>
      <c r="F1529" s="4" t="s">
        <v>2662</v>
      </c>
      <c r="G1529" s="3" t="s">
        <v>1105</v>
      </c>
      <c r="H1529" s="3" t="s">
        <v>523</v>
      </c>
      <c r="I1529" s="3"/>
      <c r="J1529" s="4" t="s">
        <v>2276</v>
      </c>
      <c r="K1529" s="4" t="s">
        <v>2276</v>
      </c>
      <c r="L1529" s="4" t="s">
        <v>2276</v>
      </c>
      <c r="M1529" s="4" t="s">
        <v>2276</v>
      </c>
      <c r="N1529" s="4" t="s">
        <v>2276</v>
      </c>
      <c r="O1529" s="4" t="s">
        <v>2276</v>
      </c>
      <c r="P1529" s="4" t="s">
        <v>2276</v>
      </c>
      <c r="Q1529" s="4" t="s">
        <v>2276</v>
      </c>
      <c r="R1529" s="4" t="s">
        <v>2276</v>
      </c>
      <c r="S1529" s="4" t="s">
        <v>2276</v>
      </c>
      <c r="T1529" s="4" t="s">
        <v>2276</v>
      </c>
      <c r="U1529" s="4" t="s">
        <v>2276</v>
      </c>
      <c r="V1529" s="4" t="s">
        <v>2276</v>
      </c>
      <c r="W1529" s="4" t="s">
        <v>2276</v>
      </c>
      <c r="X1529" s="4" t="s">
        <v>2276</v>
      </c>
      <c r="Y1529" s="4" t="s">
        <v>2276</v>
      </c>
      <c r="Z1529" s="4" t="s">
        <v>2276</v>
      </c>
      <c r="AA1529" s="4" t="s">
        <v>2276</v>
      </c>
      <c r="AB1529" s="4" t="s">
        <v>2276</v>
      </c>
      <c r="AC1529" s="3"/>
      <c r="AD1529" s="3"/>
    </row>
    <row r="1530" spans="1:30" ht="42" customHeight="1">
      <c r="A1530" s="11" t="s">
        <v>4543</v>
      </c>
      <c r="B1530" s="11" t="s">
        <v>4550</v>
      </c>
      <c r="C1530" s="3" t="s">
        <v>24</v>
      </c>
      <c r="D1530" s="3" t="s">
        <v>1131</v>
      </c>
      <c r="E1530" s="3" t="s">
        <v>130</v>
      </c>
      <c r="F1530" s="4" t="s">
        <v>2662</v>
      </c>
      <c r="G1530" s="3" t="s">
        <v>1105</v>
      </c>
      <c r="H1530" s="3" t="s">
        <v>523</v>
      </c>
      <c r="I1530" s="3"/>
      <c r="J1530" s="4" t="s">
        <v>2276</v>
      </c>
      <c r="K1530" s="4" t="s">
        <v>2276</v>
      </c>
      <c r="L1530" s="4" t="s">
        <v>2276</v>
      </c>
      <c r="M1530" s="4" t="s">
        <v>2276</v>
      </c>
      <c r="N1530" s="4" t="s">
        <v>2276</v>
      </c>
      <c r="O1530" s="4" t="s">
        <v>2276</v>
      </c>
      <c r="P1530" s="4" t="s">
        <v>2276</v>
      </c>
      <c r="Q1530" s="4" t="s">
        <v>2276</v>
      </c>
      <c r="R1530" s="4" t="s">
        <v>2276</v>
      </c>
      <c r="S1530" s="4" t="s">
        <v>2276</v>
      </c>
      <c r="T1530" s="4" t="s">
        <v>2276</v>
      </c>
      <c r="U1530" s="4" t="s">
        <v>2276</v>
      </c>
      <c r="V1530" s="4" t="s">
        <v>2276</v>
      </c>
      <c r="W1530" s="4" t="s">
        <v>2276</v>
      </c>
      <c r="X1530" s="4" t="s">
        <v>2276</v>
      </c>
      <c r="Y1530" s="4" t="s">
        <v>2276</v>
      </c>
      <c r="Z1530" s="4" t="s">
        <v>2276</v>
      </c>
      <c r="AA1530" s="4" t="s">
        <v>2276</v>
      </c>
      <c r="AB1530" s="4" t="s">
        <v>2276</v>
      </c>
      <c r="AC1530" s="3"/>
      <c r="AD1530" s="3"/>
    </row>
    <row r="1531" spans="1:30" ht="42" customHeight="1">
      <c r="A1531" s="11" t="s">
        <v>4543</v>
      </c>
      <c r="B1531" s="11" t="s">
        <v>4551</v>
      </c>
      <c r="C1531" s="3" t="s">
        <v>24</v>
      </c>
      <c r="D1531" s="3" t="s">
        <v>1131</v>
      </c>
      <c r="E1531" s="3" t="s">
        <v>5005</v>
      </c>
      <c r="F1531" s="4" t="s">
        <v>2662</v>
      </c>
      <c r="G1531" s="3" t="s">
        <v>1105</v>
      </c>
      <c r="H1531" s="3" t="s">
        <v>523</v>
      </c>
      <c r="I1531" s="3"/>
      <c r="J1531" s="4" t="s">
        <v>2276</v>
      </c>
      <c r="K1531" s="4" t="s">
        <v>2276</v>
      </c>
      <c r="L1531" s="4" t="s">
        <v>2276</v>
      </c>
      <c r="M1531" s="4" t="s">
        <v>2276</v>
      </c>
      <c r="N1531" s="4" t="s">
        <v>2276</v>
      </c>
      <c r="O1531" s="4" t="s">
        <v>2276</v>
      </c>
      <c r="P1531" s="4" t="s">
        <v>2276</v>
      </c>
      <c r="Q1531" s="4" t="s">
        <v>2276</v>
      </c>
      <c r="R1531" s="4" t="s">
        <v>2276</v>
      </c>
      <c r="S1531" s="4" t="s">
        <v>2276</v>
      </c>
      <c r="T1531" s="4" t="s">
        <v>2276</v>
      </c>
      <c r="U1531" s="4" t="s">
        <v>2276</v>
      </c>
      <c r="V1531" s="4" t="s">
        <v>2276</v>
      </c>
      <c r="W1531" s="4" t="s">
        <v>2276</v>
      </c>
      <c r="X1531" s="4" t="s">
        <v>2276</v>
      </c>
      <c r="Y1531" s="4" t="s">
        <v>2276</v>
      </c>
      <c r="Z1531" s="4" t="s">
        <v>2276</v>
      </c>
      <c r="AA1531" s="4" t="s">
        <v>2276</v>
      </c>
      <c r="AB1531" s="4" t="s">
        <v>2276</v>
      </c>
      <c r="AC1531" s="3"/>
      <c r="AD1531" s="3"/>
    </row>
    <row r="1532" spans="1:30" ht="42" customHeight="1">
      <c r="A1532" s="11" t="s">
        <v>4543</v>
      </c>
      <c r="B1532" s="11" t="s">
        <v>4552</v>
      </c>
      <c r="C1532" s="3" t="s">
        <v>24</v>
      </c>
      <c r="D1532" s="3" t="s">
        <v>1131</v>
      </c>
      <c r="E1532" s="3" t="s">
        <v>116</v>
      </c>
      <c r="F1532" s="4" t="s">
        <v>2662</v>
      </c>
      <c r="G1532" s="3" t="s">
        <v>1105</v>
      </c>
      <c r="H1532" s="3" t="s">
        <v>523</v>
      </c>
      <c r="I1532" s="3"/>
      <c r="J1532" s="4" t="s">
        <v>2276</v>
      </c>
      <c r="K1532" s="4" t="s">
        <v>2276</v>
      </c>
      <c r="L1532" s="4" t="s">
        <v>2276</v>
      </c>
      <c r="M1532" s="4" t="s">
        <v>2276</v>
      </c>
      <c r="N1532" s="4" t="s">
        <v>2276</v>
      </c>
      <c r="O1532" s="4" t="s">
        <v>2276</v>
      </c>
      <c r="P1532" s="4" t="s">
        <v>2276</v>
      </c>
      <c r="Q1532" s="4" t="s">
        <v>2276</v>
      </c>
      <c r="R1532" s="4" t="s">
        <v>2276</v>
      </c>
      <c r="S1532" s="4" t="s">
        <v>2276</v>
      </c>
      <c r="T1532" s="4" t="s">
        <v>2276</v>
      </c>
      <c r="U1532" s="4" t="s">
        <v>2276</v>
      </c>
      <c r="V1532" s="4" t="s">
        <v>2276</v>
      </c>
      <c r="W1532" s="4" t="s">
        <v>2276</v>
      </c>
      <c r="X1532" s="4" t="s">
        <v>2276</v>
      </c>
      <c r="Y1532" s="4" t="s">
        <v>2276</v>
      </c>
      <c r="Z1532" s="4" t="s">
        <v>2276</v>
      </c>
      <c r="AA1532" s="4" t="s">
        <v>2276</v>
      </c>
      <c r="AB1532" s="4" t="s">
        <v>2276</v>
      </c>
      <c r="AC1532" s="3"/>
      <c r="AD1532" s="3"/>
    </row>
    <row r="1533" spans="1:30" ht="42" customHeight="1">
      <c r="A1533" s="11" t="s">
        <v>4543</v>
      </c>
      <c r="B1533" s="11" t="s">
        <v>4553</v>
      </c>
      <c r="C1533" s="3" t="s">
        <v>24</v>
      </c>
      <c r="D1533" s="3" t="s">
        <v>2305</v>
      </c>
      <c r="E1533" s="3" t="s">
        <v>5005</v>
      </c>
      <c r="F1533" s="4" t="s">
        <v>2662</v>
      </c>
      <c r="G1533" s="3" t="s">
        <v>1105</v>
      </c>
      <c r="H1533" s="3" t="s">
        <v>523</v>
      </c>
      <c r="I1533" s="3"/>
      <c r="J1533" s="4" t="s">
        <v>2276</v>
      </c>
      <c r="K1533" s="4" t="s">
        <v>2276</v>
      </c>
      <c r="L1533" s="4" t="s">
        <v>2276</v>
      </c>
      <c r="M1533" s="4" t="s">
        <v>2276</v>
      </c>
      <c r="N1533" s="4" t="s">
        <v>2276</v>
      </c>
      <c r="O1533" s="4" t="s">
        <v>2276</v>
      </c>
      <c r="P1533" s="4" t="s">
        <v>2276</v>
      </c>
      <c r="Q1533" s="4" t="s">
        <v>2276</v>
      </c>
      <c r="R1533" s="4" t="s">
        <v>2276</v>
      </c>
      <c r="S1533" s="4" t="s">
        <v>2276</v>
      </c>
      <c r="T1533" s="4" t="s">
        <v>2276</v>
      </c>
      <c r="U1533" s="4" t="s">
        <v>2276</v>
      </c>
      <c r="V1533" s="4" t="s">
        <v>2276</v>
      </c>
      <c r="W1533" s="4" t="s">
        <v>2276</v>
      </c>
      <c r="X1533" s="4" t="s">
        <v>2276</v>
      </c>
      <c r="Y1533" s="4" t="s">
        <v>2276</v>
      </c>
      <c r="Z1533" s="4" t="s">
        <v>2276</v>
      </c>
      <c r="AA1533" s="4" t="s">
        <v>2276</v>
      </c>
      <c r="AB1533" s="4" t="s">
        <v>2276</v>
      </c>
      <c r="AC1533" s="3"/>
      <c r="AD1533" s="3"/>
    </row>
    <row r="1534" spans="1:30" ht="42" customHeight="1">
      <c r="A1534" s="11" t="s">
        <v>4543</v>
      </c>
      <c r="B1534" s="11" t="s">
        <v>4554</v>
      </c>
      <c r="C1534" s="3" t="s">
        <v>24</v>
      </c>
      <c r="D1534" s="3" t="s">
        <v>2341</v>
      </c>
      <c r="E1534" s="3" t="s">
        <v>116</v>
      </c>
      <c r="F1534" s="4" t="s">
        <v>2662</v>
      </c>
      <c r="G1534" s="3" t="s">
        <v>1105</v>
      </c>
      <c r="H1534" s="3" t="s">
        <v>523</v>
      </c>
      <c r="I1534" s="3"/>
      <c r="J1534" s="4" t="s">
        <v>2276</v>
      </c>
      <c r="K1534" s="4" t="s">
        <v>2276</v>
      </c>
      <c r="L1534" s="4" t="s">
        <v>2276</v>
      </c>
      <c r="M1534" s="4" t="s">
        <v>2276</v>
      </c>
      <c r="N1534" s="4" t="s">
        <v>2276</v>
      </c>
      <c r="O1534" s="4" t="s">
        <v>2276</v>
      </c>
      <c r="P1534" s="4" t="s">
        <v>2276</v>
      </c>
      <c r="Q1534" s="4" t="s">
        <v>2276</v>
      </c>
      <c r="R1534" s="4" t="s">
        <v>2276</v>
      </c>
      <c r="S1534" s="4" t="s">
        <v>2276</v>
      </c>
      <c r="T1534" s="4" t="s">
        <v>2276</v>
      </c>
      <c r="U1534" s="4" t="s">
        <v>2276</v>
      </c>
      <c r="V1534" s="4" t="s">
        <v>2276</v>
      </c>
      <c r="W1534" s="4" t="s">
        <v>2276</v>
      </c>
      <c r="X1534" s="4" t="s">
        <v>2276</v>
      </c>
      <c r="Y1534" s="4" t="s">
        <v>2276</v>
      </c>
      <c r="Z1534" s="4" t="s">
        <v>2276</v>
      </c>
      <c r="AA1534" s="4" t="s">
        <v>2276</v>
      </c>
      <c r="AB1534" s="4" t="s">
        <v>2276</v>
      </c>
      <c r="AC1534" s="3"/>
      <c r="AD1534" s="3"/>
    </row>
    <row r="1535" spans="1:30" ht="42" customHeight="1">
      <c r="A1535" s="11" t="s">
        <v>4543</v>
      </c>
      <c r="B1535" s="11" t="s">
        <v>4555</v>
      </c>
      <c r="C1535" s="3" t="s">
        <v>24</v>
      </c>
      <c r="D1535" s="3" t="s">
        <v>27</v>
      </c>
      <c r="E1535" s="3" t="s">
        <v>130</v>
      </c>
      <c r="F1535" s="4" t="s">
        <v>2662</v>
      </c>
      <c r="G1535" s="3" t="s">
        <v>1105</v>
      </c>
      <c r="H1535" s="3" t="s">
        <v>523</v>
      </c>
      <c r="I1535" s="3"/>
      <c r="J1535" s="4" t="s">
        <v>2276</v>
      </c>
      <c r="K1535" s="4" t="s">
        <v>2276</v>
      </c>
      <c r="L1535" s="4" t="s">
        <v>2276</v>
      </c>
      <c r="M1535" s="4" t="s">
        <v>2276</v>
      </c>
      <c r="N1535" s="4" t="s">
        <v>2276</v>
      </c>
      <c r="O1535" s="4" t="s">
        <v>2276</v>
      </c>
      <c r="P1535" s="4" t="s">
        <v>2276</v>
      </c>
      <c r="Q1535" s="4" t="s">
        <v>2276</v>
      </c>
      <c r="R1535" s="4" t="s">
        <v>2276</v>
      </c>
      <c r="S1535" s="4" t="s">
        <v>2276</v>
      </c>
      <c r="T1535" s="4" t="s">
        <v>2276</v>
      </c>
      <c r="U1535" s="4" t="s">
        <v>2276</v>
      </c>
      <c r="V1535" s="4" t="s">
        <v>2276</v>
      </c>
      <c r="W1535" s="4" t="s">
        <v>2276</v>
      </c>
      <c r="X1535" s="4" t="s">
        <v>2276</v>
      </c>
      <c r="Y1535" s="4" t="s">
        <v>2276</v>
      </c>
      <c r="Z1535" s="4" t="s">
        <v>2276</v>
      </c>
      <c r="AA1535" s="4" t="s">
        <v>2276</v>
      </c>
      <c r="AB1535" s="4" t="s">
        <v>2276</v>
      </c>
      <c r="AC1535" s="3"/>
      <c r="AD1535" s="3"/>
    </row>
    <row r="1536" spans="1:30" ht="42" customHeight="1">
      <c r="A1536" s="11" t="s">
        <v>4543</v>
      </c>
      <c r="B1536" s="11" t="s">
        <v>4556</v>
      </c>
      <c r="C1536" s="3" t="s">
        <v>24</v>
      </c>
      <c r="D1536" s="3" t="s">
        <v>2231</v>
      </c>
      <c r="E1536" s="3" t="s">
        <v>130</v>
      </c>
      <c r="F1536" s="4" t="s">
        <v>2662</v>
      </c>
      <c r="G1536" s="3" t="s">
        <v>1105</v>
      </c>
      <c r="H1536" s="3" t="s">
        <v>523</v>
      </c>
      <c r="I1536" s="3"/>
      <c r="J1536" s="4" t="s">
        <v>2276</v>
      </c>
      <c r="K1536" s="4" t="s">
        <v>2276</v>
      </c>
      <c r="L1536" s="4" t="s">
        <v>2276</v>
      </c>
      <c r="M1536" s="4" t="s">
        <v>2276</v>
      </c>
      <c r="N1536" s="4" t="s">
        <v>2276</v>
      </c>
      <c r="O1536" s="4" t="s">
        <v>2276</v>
      </c>
      <c r="P1536" s="4" t="s">
        <v>2276</v>
      </c>
      <c r="Q1536" s="4" t="s">
        <v>2276</v>
      </c>
      <c r="R1536" s="4" t="s">
        <v>2276</v>
      </c>
      <c r="S1536" s="4" t="s">
        <v>2276</v>
      </c>
      <c r="T1536" s="4" t="s">
        <v>2276</v>
      </c>
      <c r="U1536" s="4" t="s">
        <v>2276</v>
      </c>
      <c r="V1536" s="4" t="s">
        <v>2276</v>
      </c>
      <c r="W1536" s="4" t="s">
        <v>2276</v>
      </c>
      <c r="X1536" s="4" t="s">
        <v>2276</v>
      </c>
      <c r="Y1536" s="4" t="s">
        <v>2276</v>
      </c>
      <c r="Z1536" s="4" t="s">
        <v>2276</v>
      </c>
      <c r="AA1536" s="4" t="s">
        <v>2276</v>
      </c>
      <c r="AB1536" s="4" t="s">
        <v>2276</v>
      </c>
      <c r="AC1536" s="3"/>
      <c r="AD1536" s="3"/>
    </row>
    <row r="1537" spans="1:30" ht="42" customHeight="1">
      <c r="A1537" s="11" t="s">
        <v>4543</v>
      </c>
      <c r="B1537" s="11" t="s">
        <v>4557</v>
      </c>
      <c r="C1537" s="3" t="s">
        <v>24</v>
      </c>
      <c r="D1537" s="3" t="s">
        <v>3480</v>
      </c>
      <c r="E1537" s="3" t="s">
        <v>116</v>
      </c>
      <c r="F1537" s="4" t="s">
        <v>2662</v>
      </c>
      <c r="G1537" s="3" t="s">
        <v>1105</v>
      </c>
      <c r="H1537" s="3" t="s">
        <v>523</v>
      </c>
      <c r="I1537" s="3"/>
      <c r="J1537" s="4" t="s">
        <v>2276</v>
      </c>
      <c r="K1537" s="4" t="s">
        <v>2276</v>
      </c>
      <c r="L1537" s="4" t="s">
        <v>2276</v>
      </c>
      <c r="M1537" s="4" t="s">
        <v>2276</v>
      </c>
      <c r="N1537" s="4" t="s">
        <v>2276</v>
      </c>
      <c r="O1537" s="4" t="s">
        <v>2276</v>
      </c>
      <c r="P1537" s="4" t="s">
        <v>2276</v>
      </c>
      <c r="Q1537" s="4" t="s">
        <v>2276</v>
      </c>
      <c r="R1537" s="4" t="s">
        <v>2276</v>
      </c>
      <c r="S1537" s="4" t="s">
        <v>2276</v>
      </c>
      <c r="T1537" s="4" t="s">
        <v>2276</v>
      </c>
      <c r="U1537" s="4" t="s">
        <v>2276</v>
      </c>
      <c r="V1537" s="4" t="s">
        <v>2276</v>
      </c>
      <c r="W1537" s="4" t="s">
        <v>2276</v>
      </c>
      <c r="X1537" s="4" t="s">
        <v>2276</v>
      </c>
      <c r="Y1537" s="4" t="s">
        <v>2276</v>
      </c>
      <c r="Z1537" s="4" t="s">
        <v>2276</v>
      </c>
      <c r="AA1537" s="4" t="s">
        <v>2276</v>
      </c>
      <c r="AB1537" s="4" t="s">
        <v>2276</v>
      </c>
      <c r="AC1537" s="4" t="s">
        <v>4559</v>
      </c>
      <c r="AD1537" s="3"/>
    </row>
    <row r="1538" spans="1:30" ht="45" customHeight="1">
      <c r="A1538" s="11" t="s">
        <v>4543</v>
      </c>
      <c r="B1538" s="11" t="s">
        <v>4558</v>
      </c>
      <c r="C1538" s="3" t="s">
        <v>24</v>
      </c>
      <c r="D1538" s="3" t="s">
        <v>26</v>
      </c>
      <c r="E1538" s="3" t="s">
        <v>5005</v>
      </c>
      <c r="F1538" s="4" t="s">
        <v>2662</v>
      </c>
      <c r="G1538" s="3" t="s">
        <v>1105</v>
      </c>
      <c r="H1538" s="3" t="s">
        <v>523</v>
      </c>
      <c r="I1538" s="3"/>
      <c r="J1538" s="4" t="s">
        <v>2276</v>
      </c>
      <c r="K1538" s="4" t="s">
        <v>2276</v>
      </c>
      <c r="L1538" s="4" t="s">
        <v>2276</v>
      </c>
      <c r="M1538" s="4" t="s">
        <v>2276</v>
      </c>
      <c r="N1538" s="4" t="s">
        <v>2276</v>
      </c>
      <c r="O1538" s="4" t="s">
        <v>2276</v>
      </c>
      <c r="P1538" s="4" t="s">
        <v>2276</v>
      </c>
      <c r="Q1538" s="4" t="s">
        <v>2276</v>
      </c>
      <c r="R1538" s="4" t="s">
        <v>2276</v>
      </c>
      <c r="S1538" s="4" t="s">
        <v>2276</v>
      </c>
      <c r="T1538" s="4" t="s">
        <v>2276</v>
      </c>
      <c r="U1538" s="4" t="s">
        <v>2276</v>
      </c>
      <c r="V1538" s="4" t="s">
        <v>2276</v>
      </c>
      <c r="W1538" s="4" t="s">
        <v>2276</v>
      </c>
      <c r="X1538" s="4" t="s">
        <v>2276</v>
      </c>
      <c r="Y1538" s="4" t="s">
        <v>2276</v>
      </c>
      <c r="Z1538" s="4" t="s">
        <v>2276</v>
      </c>
      <c r="AA1538" s="4" t="s">
        <v>2276</v>
      </c>
      <c r="AB1538" s="4" t="s">
        <v>2276</v>
      </c>
      <c r="AC1538" s="3"/>
      <c r="AD1538" s="3"/>
    </row>
    <row r="1539" spans="1:30" ht="64.5" customHeight="1">
      <c r="A1539" s="11" t="s">
        <v>4543</v>
      </c>
      <c r="B1539" s="11" t="s">
        <v>4579</v>
      </c>
      <c r="C1539" s="3" t="s">
        <v>24</v>
      </c>
      <c r="D1539" s="3" t="s">
        <v>1105</v>
      </c>
      <c r="E1539" s="3" t="s">
        <v>5005</v>
      </c>
      <c r="F1539" s="4" t="s">
        <v>2662</v>
      </c>
      <c r="G1539" s="3" t="s">
        <v>1105</v>
      </c>
      <c r="H1539" s="3" t="s">
        <v>523</v>
      </c>
      <c r="I1539" s="3"/>
      <c r="J1539" s="4" t="s">
        <v>2276</v>
      </c>
      <c r="K1539" s="4" t="s">
        <v>2276</v>
      </c>
      <c r="L1539" s="4" t="s">
        <v>2276</v>
      </c>
      <c r="M1539" s="4" t="s">
        <v>2276</v>
      </c>
      <c r="N1539" s="4" t="s">
        <v>2276</v>
      </c>
      <c r="O1539" s="4" t="s">
        <v>2276</v>
      </c>
      <c r="P1539" s="4" t="s">
        <v>2276</v>
      </c>
      <c r="Q1539" s="4" t="s">
        <v>2276</v>
      </c>
      <c r="R1539" s="4" t="s">
        <v>2276</v>
      </c>
      <c r="S1539" s="4" t="s">
        <v>2276</v>
      </c>
      <c r="T1539" s="4" t="s">
        <v>2276</v>
      </c>
      <c r="U1539" s="4" t="s">
        <v>2276</v>
      </c>
      <c r="V1539" s="4" t="s">
        <v>2276</v>
      </c>
      <c r="W1539" s="4" t="s">
        <v>2276</v>
      </c>
      <c r="X1539" s="4" t="s">
        <v>2276</v>
      </c>
      <c r="Y1539" s="4" t="s">
        <v>2276</v>
      </c>
      <c r="Z1539" s="3" t="s">
        <v>38</v>
      </c>
      <c r="AA1539" s="3" t="s">
        <v>425</v>
      </c>
      <c r="AB1539" s="3" t="s">
        <v>76</v>
      </c>
      <c r="AC1539" s="4" t="s">
        <v>4580</v>
      </c>
      <c r="AD1539" s="3"/>
    </row>
    <row r="1540" spans="1:30" ht="29">
      <c r="A1540" s="11" t="s">
        <v>4546</v>
      </c>
      <c r="B1540" s="11" t="s">
        <v>4560</v>
      </c>
      <c r="C1540" s="3" t="s">
        <v>24</v>
      </c>
      <c r="D1540" s="3" t="s">
        <v>25</v>
      </c>
      <c r="E1540" s="3" t="s">
        <v>5005</v>
      </c>
      <c r="F1540" s="4" t="s">
        <v>2662</v>
      </c>
      <c r="G1540" s="3" t="s">
        <v>1105</v>
      </c>
      <c r="H1540" s="3" t="s">
        <v>523</v>
      </c>
      <c r="I1540" s="3"/>
      <c r="J1540" s="4" t="s">
        <v>2276</v>
      </c>
      <c r="K1540" s="4" t="s">
        <v>2276</v>
      </c>
      <c r="L1540" s="4" t="s">
        <v>2276</v>
      </c>
      <c r="M1540" s="4" t="s">
        <v>2276</v>
      </c>
      <c r="N1540" s="4" t="s">
        <v>2276</v>
      </c>
      <c r="O1540" s="4" t="s">
        <v>2276</v>
      </c>
      <c r="P1540" s="4" t="s">
        <v>2276</v>
      </c>
      <c r="Q1540" s="4" t="s">
        <v>2276</v>
      </c>
      <c r="R1540" s="4" t="s">
        <v>2276</v>
      </c>
      <c r="S1540" s="4" t="s">
        <v>2276</v>
      </c>
      <c r="T1540" s="4" t="s">
        <v>2276</v>
      </c>
      <c r="U1540" s="4" t="s">
        <v>2276</v>
      </c>
      <c r="V1540" s="4" t="s">
        <v>2276</v>
      </c>
      <c r="W1540" s="4" t="s">
        <v>2276</v>
      </c>
      <c r="X1540" s="4" t="s">
        <v>2276</v>
      </c>
      <c r="Y1540" s="4" t="s">
        <v>2276</v>
      </c>
      <c r="Z1540" s="4" t="s">
        <v>2276</v>
      </c>
      <c r="AA1540" s="4" t="s">
        <v>2276</v>
      </c>
      <c r="AB1540" s="4" t="s">
        <v>2276</v>
      </c>
      <c r="AC1540" s="3"/>
      <c r="AD1540" s="3"/>
    </row>
    <row r="1541" spans="1:30" ht="29">
      <c r="A1541" s="11" t="s">
        <v>4546</v>
      </c>
      <c r="B1541" s="11" t="s">
        <v>4561</v>
      </c>
      <c r="C1541" s="3" t="s">
        <v>24</v>
      </c>
      <c r="D1541" s="3" t="s">
        <v>1131</v>
      </c>
      <c r="E1541" s="3" t="s">
        <v>130</v>
      </c>
      <c r="F1541" s="4" t="s">
        <v>2662</v>
      </c>
      <c r="G1541" s="3" t="s">
        <v>1105</v>
      </c>
      <c r="H1541" s="3" t="s">
        <v>523</v>
      </c>
      <c r="I1541" s="3"/>
      <c r="J1541" s="4" t="s">
        <v>2276</v>
      </c>
      <c r="K1541" s="4" t="s">
        <v>2276</v>
      </c>
      <c r="L1541" s="4" t="s">
        <v>2276</v>
      </c>
      <c r="M1541" s="4" t="s">
        <v>2276</v>
      </c>
      <c r="N1541" s="4" t="s">
        <v>2276</v>
      </c>
      <c r="O1541" s="4" t="s">
        <v>2276</v>
      </c>
      <c r="P1541" s="4" t="s">
        <v>2276</v>
      </c>
      <c r="Q1541" s="4" t="s">
        <v>2276</v>
      </c>
      <c r="R1541" s="4" t="s">
        <v>2276</v>
      </c>
      <c r="S1541" s="4" t="s">
        <v>2276</v>
      </c>
      <c r="T1541" s="4" t="s">
        <v>2276</v>
      </c>
      <c r="U1541" s="4" t="s">
        <v>2276</v>
      </c>
      <c r="V1541" s="4" t="s">
        <v>2276</v>
      </c>
      <c r="W1541" s="4" t="s">
        <v>2276</v>
      </c>
      <c r="X1541" s="4" t="s">
        <v>2276</v>
      </c>
      <c r="Y1541" s="4" t="s">
        <v>2276</v>
      </c>
      <c r="Z1541" s="4" t="s">
        <v>2276</v>
      </c>
      <c r="AA1541" s="4" t="s">
        <v>2276</v>
      </c>
      <c r="AB1541" s="4" t="s">
        <v>2276</v>
      </c>
      <c r="AC1541" s="3"/>
      <c r="AD1541" s="3"/>
    </row>
    <row r="1542" spans="1:30" ht="29">
      <c r="A1542" s="11" t="s">
        <v>4546</v>
      </c>
      <c r="B1542" s="11" t="s">
        <v>4562</v>
      </c>
      <c r="C1542" s="3" t="s">
        <v>24</v>
      </c>
      <c r="D1542" s="3" t="s">
        <v>1131</v>
      </c>
      <c r="E1542" s="3" t="s">
        <v>5005</v>
      </c>
      <c r="F1542" s="4" t="s">
        <v>2662</v>
      </c>
      <c r="G1542" s="3" t="s">
        <v>1105</v>
      </c>
      <c r="H1542" s="3" t="s">
        <v>523</v>
      </c>
      <c r="I1542" s="3"/>
      <c r="J1542" s="4" t="s">
        <v>2276</v>
      </c>
      <c r="K1542" s="4" t="s">
        <v>2276</v>
      </c>
      <c r="L1542" s="4" t="s">
        <v>2276</v>
      </c>
      <c r="M1542" s="4" t="s">
        <v>2276</v>
      </c>
      <c r="N1542" s="4" t="s">
        <v>2276</v>
      </c>
      <c r="O1542" s="4" t="s">
        <v>2276</v>
      </c>
      <c r="P1542" s="4" t="s">
        <v>2276</v>
      </c>
      <c r="Q1542" s="4" t="s">
        <v>2276</v>
      </c>
      <c r="R1542" s="4" t="s">
        <v>2276</v>
      </c>
      <c r="S1542" s="4" t="s">
        <v>2276</v>
      </c>
      <c r="T1542" s="4" t="s">
        <v>2276</v>
      </c>
      <c r="U1542" s="4" t="s">
        <v>2276</v>
      </c>
      <c r="V1542" s="4" t="s">
        <v>2276</v>
      </c>
      <c r="W1542" s="4" t="s">
        <v>2276</v>
      </c>
      <c r="X1542" s="4" t="s">
        <v>2276</v>
      </c>
      <c r="Y1542" s="4" t="s">
        <v>2276</v>
      </c>
      <c r="Z1542" s="4" t="s">
        <v>2276</v>
      </c>
      <c r="AA1542" s="4" t="s">
        <v>2276</v>
      </c>
      <c r="AB1542" s="4" t="s">
        <v>2276</v>
      </c>
      <c r="AC1542" s="3"/>
      <c r="AD1542" s="3"/>
    </row>
    <row r="1543" spans="1:30" ht="29">
      <c r="A1543" s="11" t="s">
        <v>4546</v>
      </c>
      <c r="B1543" s="11" t="s">
        <v>4563</v>
      </c>
      <c r="C1543" s="3" t="s">
        <v>24</v>
      </c>
      <c r="D1543" s="3" t="s">
        <v>1131</v>
      </c>
      <c r="E1543" s="3" t="s">
        <v>116</v>
      </c>
      <c r="F1543" s="4" t="s">
        <v>2662</v>
      </c>
      <c r="G1543" s="3" t="s">
        <v>1105</v>
      </c>
      <c r="H1543" s="3" t="s">
        <v>523</v>
      </c>
      <c r="I1543" s="3"/>
      <c r="J1543" s="4" t="s">
        <v>2276</v>
      </c>
      <c r="K1543" s="4" t="s">
        <v>2276</v>
      </c>
      <c r="L1543" s="4" t="s">
        <v>2276</v>
      </c>
      <c r="M1543" s="4" t="s">
        <v>2276</v>
      </c>
      <c r="N1543" s="4" t="s">
        <v>2276</v>
      </c>
      <c r="O1543" s="4" t="s">
        <v>2276</v>
      </c>
      <c r="P1543" s="4" t="s">
        <v>2276</v>
      </c>
      <c r="Q1543" s="4" t="s">
        <v>2276</v>
      </c>
      <c r="R1543" s="4" t="s">
        <v>2276</v>
      </c>
      <c r="S1543" s="4" t="s">
        <v>2276</v>
      </c>
      <c r="T1543" s="4" t="s">
        <v>2276</v>
      </c>
      <c r="U1543" s="4" t="s">
        <v>2276</v>
      </c>
      <c r="V1543" s="4" t="s">
        <v>2276</v>
      </c>
      <c r="W1543" s="4" t="s">
        <v>2276</v>
      </c>
      <c r="X1543" s="4" t="s">
        <v>2276</v>
      </c>
      <c r="Y1543" s="4" t="s">
        <v>2276</v>
      </c>
      <c r="Z1543" s="4" t="s">
        <v>2276</v>
      </c>
      <c r="AA1543" s="4" t="s">
        <v>2276</v>
      </c>
      <c r="AB1543" s="4" t="s">
        <v>2276</v>
      </c>
      <c r="AC1543" s="3"/>
      <c r="AD1543" s="3"/>
    </row>
    <row r="1544" spans="1:30" ht="29">
      <c r="A1544" s="11" t="s">
        <v>4546</v>
      </c>
      <c r="B1544" s="11" t="s">
        <v>4564</v>
      </c>
      <c r="C1544" s="3" t="s">
        <v>24</v>
      </c>
      <c r="D1544" s="3" t="s">
        <v>2305</v>
      </c>
      <c r="E1544" s="3" t="s">
        <v>5005</v>
      </c>
      <c r="F1544" s="4" t="s">
        <v>2662</v>
      </c>
      <c r="G1544" s="3" t="s">
        <v>1105</v>
      </c>
      <c r="H1544" s="3" t="s">
        <v>523</v>
      </c>
      <c r="I1544" s="3"/>
      <c r="J1544" s="4" t="s">
        <v>2276</v>
      </c>
      <c r="K1544" s="4" t="s">
        <v>2276</v>
      </c>
      <c r="L1544" s="4" t="s">
        <v>2276</v>
      </c>
      <c r="M1544" s="4" t="s">
        <v>2276</v>
      </c>
      <c r="N1544" s="4" t="s">
        <v>2276</v>
      </c>
      <c r="O1544" s="4" t="s">
        <v>2276</v>
      </c>
      <c r="P1544" s="4" t="s">
        <v>2276</v>
      </c>
      <c r="Q1544" s="4" t="s">
        <v>2276</v>
      </c>
      <c r="R1544" s="4" t="s">
        <v>2276</v>
      </c>
      <c r="S1544" s="4" t="s">
        <v>2276</v>
      </c>
      <c r="T1544" s="4" t="s">
        <v>2276</v>
      </c>
      <c r="U1544" s="4" t="s">
        <v>2276</v>
      </c>
      <c r="V1544" s="4" t="s">
        <v>2276</v>
      </c>
      <c r="W1544" s="4" t="s">
        <v>2276</v>
      </c>
      <c r="X1544" s="4" t="s">
        <v>2276</v>
      </c>
      <c r="Y1544" s="4" t="s">
        <v>2276</v>
      </c>
      <c r="Z1544" s="4" t="s">
        <v>2276</v>
      </c>
      <c r="AA1544" s="4" t="s">
        <v>2276</v>
      </c>
      <c r="AB1544" s="4" t="s">
        <v>2276</v>
      </c>
      <c r="AC1544" s="3"/>
      <c r="AD1544" s="3"/>
    </row>
    <row r="1545" spans="1:30" ht="29">
      <c r="A1545" s="11" t="s">
        <v>4546</v>
      </c>
      <c r="B1545" s="11" t="s">
        <v>4565</v>
      </c>
      <c r="C1545" s="3" t="s">
        <v>24</v>
      </c>
      <c r="D1545" s="3" t="s">
        <v>2341</v>
      </c>
      <c r="E1545" s="3" t="s">
        <v>116</v>
      </c>
      <c r="F1545" s="4" t="s">
        <v>2662</v>
      </c>
      <c r="G1545" s="3" t="s">
        <v>1105</v>
      </c>
      <c r="H1545" s="3" t="s">
        <v>523</v>
      </c>
      <c r="I1545" s="3"/>
      <c r="J1545" s="4" t="s">
        <v>2276</v>
      </c>
      <c r="K1545" s="4" t="s">
        <v>2276</v>
      </c>
      <c r="L1545" s="4" t="s">
        <v>2276</v>
      </c>
      <c r="M1545" s="4" t="s">
        <v>2276</v>
      </c>
      <c r="N1545" s="4" t="s">
        <v>2276</v>
      </c>
      <c r="O1545" s="4" t="s">
        <v>2276</v>
      </c>
      <c r="P1545" s="4" t="s">
        <v>2276</v>
      </c>
      <c r="Q1545" s="4" t="s">
        <v>2276</v>
      </c>
      <c r="R1545" s="4" t="s">
        <v>2276</v>
      </c>
      <c r="S1545" s="4" t="s">
        <v>2276</v>
      </c>
      <c r="T1545" s="4" t="s">
        <v>2276</v>
      </c>
      <c r="U1545" s="4" t="s">
        <v>2276</v>
      </c>
      <c r="V1545" s="4" t="s">
        <v>2276</v>
      </c>
      <c r="W1545" s="4" t="s">
        <v>2276</v>
      </c>
      <c r="X1545" s="4" t="s">
        <v>2276</v>
      </c>
      <c r="Y1545" s="4" t="s">
        <v>2276</v>
      </c>
      <c r="Z1545" s="4" t="s">
        <v>2276</v>
      </c>
      <c r="AA1545" s="4" t="s">
        <v>2276</v>
      </c>
      <c r="AB1545" s="4" t="s">
        <v>2276</v>
      </c>
      <c r="AC1545" s="3"/>
      <c r="AD1545" s="3"/>
    </row>
    <row r="1546" spans="1:30" ht="29">
      <c r="A1546" s="11" t="s">
        <v>4546</v>
      </c>
      <c r="B1546" s="11" t="s">
        <v>4566</v>
      </c>
      <c r="C1546" s="3" t="s">
        <v>24</v>
      </c>
      <c r="D1546" s="3" t="s">
        <v>27</v>
      </c>
      <c r="E1546" s="3" t="s">
        <v>130</v>
      </c>
      <c r="F1546" s="4" t="s">
        <v>2662</v>
      </c>
      <c r="G1546" s="3" t="s">
        <v>1105</v>
      </c>
      <c r="H1546" s="3" t="s">
        <v>523</v>
      </c>
      <c r="I1546" s="3"/>
      <c r="J1546" s="4" t="s">
        <v>2276</v>
      </c>
      <c r="K1546" s="4" t="s">
        <v>2276</v>
      </c>
      <c r="L1546" s="4" t="s">
        <v>2276</v>
      </c>
      <c r="M1546" s="4" t="s">
        <v>2276</v>
      </c>
      <c r="N1546" s="4" t="s">
        <v>2276</v>
      </c>
      <c r="O1546" s="4" t="s">
        <v>2276</v>
      </c>
      <c r="P1546" s="4" t="s">
        <v>2276</v>
      </c>
      <c r="Q1546" s="4" t="s">
        <v>2276</v>
      </c>
      <c r="R1546" s="4" t="s">
        <v>2276</v>
      </c>
      <c r="S1546" s="4" t="s">
        <v>2276</v>
      </c>
      <c r="T1546" s="4" t="s">
        <v>2276</v>
      </c>
      <c r="U1546" s="4" t="s">
        <v>2276</v>
      </c>
      <c r="V1546" s="4" t="s">
        <v>2276</v>
      </c>
      <c r="W1546" s="4" t="s">
        <v>2276</v>
      </c>
      <c r="X1546" s="4" t="s">
        <v>2276</v>
      </c>
      <c r="Y1546" s="4" t="s">
        <v>2276</v>
      </c>
      <c r="Z1546" s="4" t="s">
        <v>2276</v>
      </c>
      <c r="AA1546" s="4" t="s">
        <v>2276</v>
      </c>
      <c r="AB1546" s="4" t="s">
        <v>2276</v>
      </c>
      <c r="AC1546" s="3"/>
      <c r="AD1546" s="3"/>
    </row>
    <row r="1547" spans="1:30" ht="29">
      <c r="A1547" s="11" t="s">
        <v>4546</v>
      </c>
      <c r="B1547" s="11" t="s">
        <v>4567</v>
      </c>
      <c r="C1547" s="3" t="s">
        <v>24</v>
      </c>
      <c r="D1547" s="3" t="s">
        <v>2231</v>
      </c>
      <c r="E1547" s="3" t="s">
        <v>130</v>
      </c>
      <c r="F1547" s="4" t="s">
        <v>2662</v>
      </c>
      <c r="G1547" s="3" t="s">
        <v>1105</v>
      </c>
      <c r="H1547" s="3" t="s">
        <v>523</v>
      </c>
      <c r="I1547" s="3"/>
      <c r="J1547" s="4" t="s">
        <v>2276</v>
      </c>
      <c r="K1547" s="4" t="s">
        <v>2276</v>
      </c>
      <c r="L1547" s="4" t="s">
        <v>2276</v>
      </c>
      <c r="M1547" s="4" t="s">
        <v>2276</v>
      </c>
      <c r="N1547" s="4" t="s">
        <v>2276</v>
      </c>
      <c r="O1547" s="4" t="s">
        <v>2276</v>
      </c>
      <c r="P1547" s="4" t="s">
        <v>2276</v>
      </c>
      <c r="Q1547" s="4" t="s">
        <v>2276</v>
      </c>
      <c r="R1547" s="4" t="s">
        <v>2276</v>
      </c>
      <c r="S1547" s="4" t="s">
        <v>2276</v>
      </c>
      <c r="T1547" s="4" t="s">
        <v>2276</v>
      </c>
      <c r="U1547" s="4" t="s">
        <v>2276</v>
      </c>
      <c r="V1547" s="4" t="s">
        <v>2276</v>
      </c>
      <c r="W1547" s="4" t="s">
        <v>2276</v>
      </c>
      <c r="X1547" s="4" t="s">
        <v>2276</v>
      </c>
      <c r="Y1547" s="4" t="s">
        <v>2276</v>
      </c>
      <c r="Z1547" s="4" t="s">
        <v>2276</v>
      </c>
      <c r="AA1547" s="4" t="s">
        <v>2276</v>
      </c>
      <c r="AB1547" s="4" t="s">
        <v>2276</v>
      </c>
      <c r="AC1547" s="4" t="s">
        <v>4559</v>
      </c>
      <c r="AD1547" s="3"/>
    </row>
    <row r="1548" spans="1:30" ht="29">
      <c r="A1548" s="11" t="s">
        <v>4546</v>
      </c>
      <c r="B1548" s="11" t="s">
        <v>4568</v>
      </c>
      <c r="C1548" s="3" t="s">
        <v>24</v>
      </c>
      <c r="D1548" s="3" t="s">
        <v>3480</v>
      </c>
      <c r="E1548" s="3" t="s">
        <v>116</v>
      </c>
      <c r="F1548" s="4" t="s">
        <v>2662</v>
      </c>
      <c r="G1548" s="3" t="s">
        <v>1105</v>
      </c>
      <c r="H1548" s="3" t="s">
        <v>523</v>
      </c>
      <c r="I1548" s="3"/>
      <c r="J1548" s="4" t="s">
        <v>2276</v>
      </c>
      <c r="K1548" s="4" t="s">
        <v>2276</v>
      </c>
      <c r="L1548" s="4" t="s">
        <v>2276</v>
      </c>
      <c r="M1548" s="4" t="s">
        <v>2276</v>
      </c>
      <c r="N1548" s="4" t="s">
        <v>2276</v>
      </c>
      <c r="O1548" s="4" t="s">
        <v>2276</v>
      </c>
      <c r="P1548" s="4" t="s">
        <v>2276</v>
      </c>
      <c r="Q1548" s="4" t="s">
        <v>2276</v>
      </c>
      <c r="R1548" s="4" t="s">
        <v>2276</v>
      </c>
      <c r="S1548" s="4" t="s">
        <v>2276</v>
      </c>
      <c r="T1548" s="4" t="s">
        <v>2276</v>
      </c>
      <c r="U1548" s="4" t="s">
        <v>2276</v>
      </c>
      <c r="V1548" s="4" t="s">
        <v>2276</v>
      </c>
      <c r="W1548" s="4" t="s">
        <v>2276</v>
      </c>
      <c r="X1548" s="4" t="s">
        <v>2276</v>
      </c>
      <c r="Y1548" s="4" t="s">
        <v>2276</v>
      </c>
      <c r="Z1548" s="4" t="s">
        <v>2276</v>
      </c>
      <c r="AA1548" s="4" t="s">
        <v>2276</v>
      </c>
      <c r="AB1548" s="4" t="s">
        <v>2276</v>
      </c>
      <c r="AC1548" s="3"/>
      <c r="AD1548" s="3"/>
    </row>
    <row r="1549" spans="1:30" ht="46.5" customHeight="1">
      <c r="A1549" s="11" t="s">
        <v>4546</v>
      </c>
      <c r="B1549" s="11" t="s">
        <v>4569</v>
      </c>
      <c r="C1549" s="3" t="s">
        <v>24</v>
      </c>
      <c r="D1549" s="3" t="s">
        <v>26</v>
      </c>
      <c r="E1549" s="3" t="s">
        <v>5005</v>
      </c>
      <c r="F1549" s="4" t="s">
        <v>2662</v>
      </c>
      <c r="G1549" s="3" t="s">
        <v>1105</v>
      </c>
      <c r="H1549" s="3" t="s">
        <v>523</v>
      </c>
      <c r="I1549" s="3"/>
      <c r="J1549" s="4" t="s">
        <v>2276</v>
      </c>
      <c r="K1549" s="4" t="s">
        <v>2276</v>
      </c>
      <c r="L1549" s="4" t="s">
        <v>2276</v>
      </c>
      <c r="M1549" s="4" t="s">
        <v>2276</v>
      </c>
      <c r="N1549" s="4" t="s">
        <v>2276</v>
      </c>
      <c r="O1549" s="4" t="s">
        <v>2276</v>
      </c>
      <c r="P1549" s="4" t="s">
        <v>2276</v>
      </c>
      <c r="Q1549" s="4" t="s">
        <v>2276</v>
      </c>
      <c r="R1549" s="4" t="s">
        <v>2276</v>
      </c>
      <c r="S1549" s="4" t="s">
        <v>2276</v>
      </c>
      <c r="T1549" s="4" t="s">
        <v>2276</v>
      </c>
      <c r="U1549" s="4" t="s">
        <v>2276</v>
      </c>
      <c r="V1549" s="4" t="s">
        <v>2276</v>
      </c>
      <c r="W1549" s="4" t="s">
        <v>2276</v>
      </c>
      <c r="X1549" s="4" t="s">
        <v>2276</v>
      </c>
      <c r="Y1549" s="4" t="s">
        <v>2276</v>
      </c>
      <c r="Z1549" s="4" t="s">
        <v>2276</v>
      </c>
      <c r="AA1549" s="4" t="s">
        <v>2276</v>
      </c>
      <c r="AB1549" s="4" t="s">
        <v>2276</v>
      </c>
      <c r="AC1549" s="3"/>
      <c r="AD1549" s="3"/>
    </row>
    <row r="1550" spans="1:30" ht="60" customHeight="1">
      <c r="A1550" s="11" t="s">
        <v>4546</v>
      </c>
      <c r="B1550" s="11" t="s">
        <v>4578</v>
      </c>
      <c r="C1550" s="3" t="s">
        <v>24</v>
      </c>
      <c r="D1550" s="3" t="s">
        <v>1105</v>
      </c>
      <c r="E1550" s="3" t="s">
        <v>5005</v>
      </c>
      <c r="F1550" s="4" t="s">
        <v>2662</v>
      </c>
      <c r="G1550" s="3" t="s">
        <v>1105</v>
      </c>
      <c r="H1550" s="3" t="s">
        <v>523</v>
      </c>
      <c r="I1550" s="3"/>
      <c r="J1550" s="4" t="s">
        <v>2276</v>
      </c>
      <c r="K1550" s="4" t="s">
        <v>2276</v>
      </c>
      <c r="L1550" s="4" t="s">
        <v>2276</v>
      </c>
      <c r="M1550" s="4" t="s">
        <v>2276</v>
      </c>
      <c r="N1550" s="4" t="s">
        <v>2276</v>
      </c>
      <c r="O1550" s="4" t="s">
        <v>2276</v>
      </c>
      <c r="P1550" s="4" t="s">
        <v>2276</v>
      </c>
      <c r="Q1550" s="4" t="s">
        <v>2276</v>
      </c>
      <c r="R1550" s="4" t="s">
        <v>2276</v>
      </c>
      <c r="S1550" s="4" t="s">
        <v>2276</v>
      </c>
      <c r="T1550" s="4" t="s">
        <v>2276</v>
      </c>
      <c r="U1550" s="4" t="s">
        <v>2276</v>
      </c>
      <c r="V1550" s="4" t="s">
        <v>2276</v>
      </c>
      <c r="W1550" s="4" t="s">
        <v>2276</v>
      </c>
      <c r="X1550" s="4" t="s">
        <v>2276</v>
      </c>
      <c r="Y1550" s="4" t="s">
        <v>2276</v>
      </c>
      <c r="Z1550" s="3" t="s">
        <v>38</v>
      </c>
      <c r="AA1550" s="3" t="s">
        <v>425</v>
      </c>
      <c r="AB1550" s="3" t="s">
        <v>76</v>
      </c>
      <c r="AC1550" s="4" t="s">
        <v>4580</v>
      </c>
      <c r="AD1550" s="3"/>
    </row>
    <row r="1551" spans="1:30" ht="49" customHeight="1">
      <c r="A1551" s="11" t="s">
        <v>4571</v>
      </c>
      <c r="B1551" s="11" t="s">
        <v>4574</v>
      </c>
      <c r="C1551" s="3" t="s">
        <v>24</v>
      </c>
      <c r="D1551" s="3" t="s">
        <v>144</v>
      </c>
      <c r="E1551" s="3" t="s">
        <v>137</v>
      </c>
      <c r="F1551" s="4" t="s">
        <v>2662</v>
      </c>
      <c r="G1551" s="3" t="s">
        <v>1105</v>
      </c>
      <c r="H1551" s="3" t="s">
        <v>523</v>
      </c>
      <c r="I1551" s="3"/>
      <c r="J1551" s="4" t="s">
        <v>2276</v>
      </c>
      <c r="K1551" s="4" t="s">
        <v>2276</v>
      </c>
      <c r="L1551" s="4" t="s">
        <v>2276</v>
      </c>
      <c r="M1551" s="4" t="s">
        <v>2276</v>
      </c>
      <c r="N1551" s="4" t="s">
        <v>2276</v>
      </c>
      <c r="O1551" s="4" t="s">
        <v>2276</v>
      </c>
      <c r="P1551" s="4" t="s">
        <v>2276</v>
      </c>
      <c r="Q1551" s="4" t="s">
        <v>2276</v>
      </c>
      <c r="R1551" s="4" t="s">
        <v>2276</v>
      </c>
      <c r="S1551" s="4" t="s">
        <v>2276</v>
      </c>
      <c r="T1551" s="4" t="s">
        <v>2276</v>
      </c>
      <c r="U1551" s="4" t="s">
        <v>2276</v>
      </c>
      <c r="V1551" s="4" t="s">
        <v>2276</v>
      </c>
      <c r="W1551" s="4" t="s">
        <v>2276</v>
      </c>
      <c r="X1551" s="4" t="s">
        <v>2276</v>
      </c>
      <c r="Y1551" s="4" t="s">
        <v>2276</v>
      </c>
      <c r="Z1551" s="4" t="s">
        <v>2276</v>
      </c>
      <c r="AA1551" s="4" t="s">
        <v>2276</v>
      </c>
      <c r="AB1551" s="4" t="s">
        <v>2276</v>
      </c>
      <c r="AC1551" s="4"/>
      <c r="AD1551" s="3"/>
    </row>
    <row r="1552" spans="1:30" ht="41" customHeight="1">
      <c r="A1552" s="11" t="s">
        <v>4571</v>
      </c>
      <c r="B1552" s="11" t="s">
        <v>4575</v>
      </c>
      <c r="C1552" s="3" t="s">
        <v>24</v>
      </c>
      <c r="D1552" s="3" t="s">
        <v>1245</v>
      </c>
      <c r="E1552" s="3" t="s">
        <v>2652</v>
      </c>
      <c r="F1552" s="4" t="s">
        <v>2662</v>
      </c>
      <c r="G1552" s="3" t="s">
        <v>1105</v>
      </c>
      <c r="H1552" s="3" t="s">
        <v>523</v>
      </c>
      <c r="I1552" s="3"/>
      <c r="J1552" s="4" t="s">
        <v>2276</v>
      </c>
      <c r="K1552" s="4" t="s">
        <v>2276</v>
      </c>
      <c r="L1552" s="4" t="s">
        <v>2276</v>
      </c>
      <c r="M1552" s="4" t="s">
        <v>2276</v>
      </c>
      <c r="N1552" s="4" t="s">
        <v>2276</v>
      </c>
      <c r="O1552" s="4" t="s">
        <v>2276</v>
      </c>
      <c r="P1552" s="4" t="s">
        <v>2276</v>
      </c>
      <c r="Q1552" s="4" t="s">
        <v>2276</v>
      </c>
      <c r="R1552" s="4" t="s">
        <v>2276</v>
      </c>
      <c r="S1552" s="4" t="s">
        <v>2276</v>
      </c>
      <c r="T1552" s="4" t="s">
        <v>2276</v>
      </c>
      <c r="U1552" s="4" t="s">
        <v>2276</v>
      </c>
      <c r="V1552" s="4" t="s">
        <v>2276</v>
      </c>
      <c r="W1552" s="4" t="s">
        <v>2276</v>
      </c>
      <c r="X1552" s="4" t="s">
        <v>2276</v>
      </c>
      <c r="Y1552" s="4" t="s">
        <v>2276</v>
      </c>
      <c r="Z1552" s="4" t="s">
        <v>2276</v>
      </c>
      <c r="AA1552" s="4" t="s">
        <v>2276</v>
      </c>
      <c r="AB1552" s="4" t="s">
        <v>2276</v>
      </c>
      <c r="AC1552" s="3"/>
      <c r="AD1552" s="3"/>
    </row>
    <row r="1553" spans="1:30" ht="48.5" customHeight="1">
      <c r="A1553" s="11" t="s">
        <v>4571</v>
      </c>
      <c r="B1553" s="11" t="s">
        <v>4576</v>
      </c>
      <c r="C1553" s="3" t="s">
        <v>24</v>
      </c>
      <c r="D1553" s="3" t="s">
        <v>1105</v>
      </c>
      <c r="E1553" s="3" t="s">
        <v>1105</v>
      </c>
      <c r="F1553" s="4" t="s">
        <v>2662</v>
      </c>
      <c r="G1553" s="3" t="s">
        <v>1105</v>
      </c>
      <c r="H1553" s="3" t="s">
        <v>523</v>
      </c>
      <c r="I1553" s="3"/>
      <c r="J1553" s="4" t="s">
        <v>2276</v>
      </c>
      <c r="K1553" s="4" t="s">
        <v>2276</v>
      </c>
      <c r="L1553" s="4" t="s">
        <v>2276</v>
      </c>
      <c r="M1553" s="4" t="s">
        <v>2276</v>
      </c>
      <c r="N1553" s="4" t="s">
        <v>2276</v>
      </c>
      <c r="O1553" s="4" t="s">
        <v>2276</v>
      </c>
      <c r="P1553" s="4" t="s">
        <v>2276</v>
      </c>
      <c r="Q1553" s="4" t="s">
        <v>2276</v>
      </c>
      <c r="R1553" s="4" t="s">
        <v>2276</v>
      </c>
      <c r="S1553" s="4" t="s">
        <v>2276</v>
      </c>
      <c r="T1553" s="4" t="s">
        <v>2276</v>
      </c>
      <c r="U1553" s="4" t="s">
        <v>2276</v>
      </c>
      <c r="V1553" s="4" t="s">
        <v>2276</v>
      </c>
      <c r="W1553" s="4" t="s">
        <v>2276</v>
      </c>
      <c r="X1553" s="4" t="s">
        <v>2276</v>
      </c>
      <c r="Y1553" s="4" t="s">
        <v>2276</v>
      </c>
      <c r="Z1553" s="4" t="s">
        <v>2276</v>
      </c>
      <c r="AA1553" s="4" t="s">
        <v>2276</v>
      </c>
      <c r="AB1553" s="4" t="s">
        <v>2276</v>
      </c>
      <c r="AC1553" s="4" t="s">
        <v>4577</v>
      </c>
      <c r="AD1553" s="3"/>
    </row>
    <row r="1554" spans="1:30" ht="40.5" customHeight="1">
      <c r="A1554" s="11" t="s">
        <v>4582</v>
      </c>
      <c r="B1554" s="35" t="s">
        <v>4583</v>
      </c>
      <c r="C1554" s="38" t="s">
        <v>24</v>
      </c>
      <c r="D1554" s="38" t="s">
        <v>26</v>
      </c>
      <c r="E1554" t="s">
        <v>5005</v>
      </c>
      <c r="F1554" s="4" t="s">
        <v>2662</v>
      </c>
      <c r="G1554" s="3" t="s">
        <v>1105</v>
      </c>
      <c r="H1554" s="3" t="s">
        <v>523</v>
      </c>
      <c r="I1554" s="38"/>
      <c r="J1554" s="4" t="s">
        <v>2276</v>
      </c>
      <c r="K1554" s="4" t="s">
        <v>2276</v>
      </c>
      <c r="L1554" s="4" t="s">
        <v>2276</v>
      </c>
      <c r="M1554" s="4" t="s">
        <v>2276</v>
      </c>
      <c r="N1554" s="4" t="s">
        <v>2276</v>
      </c>
      <c r="O1554" s="4" t="s">
        <v>2276</v>
      </c>
      <c r="P1554" s="4" t="s">
        <v>2276</v>
      </c>
      <c r="Q1554" s="4" t="s">
        <v>2276</v>
      </c>
      <c r="R1554" s="4" t="s">
        <v>2276</v>
      </c>
      <c r="S1554" s="4" t="s">
        <v>2276</v>
      </c>
      <c r="T1554" s="4" t="s">
        <v>2276</v>
      </c>
      <c r="U1554" s="4" t="s">
        <v>2276</v>
      </c>
      <c r="V1554" s="4" t="s">
        <v>2276</v>
      </c>
      <c r="W1554" s="4" t="s">
        <v>2276</v>
      </c>
      <c r="X1554" s="4" t="s">
        <v>2276</v>
      </c>
      <c r="Y1554" s="4" t="s">
        <v>2276</v>
      </c>
      <c r="Z1554" s="4" t="s">
        <v>2276</v>
      </c>
      <c r="AA1554" s="4" t="s">
        <v>2276</v>
      </c>
      <c r="AB1554" s="4" t="s">
        <v>2276</v>
      </c>
      <c r="AC1554" s="38"/>
      <c r="AD1554" s="38"/>
    </row>
    <row r="1555" spans="1:30" ht="42.5" customHeight="1">
      <c r="A1555" s="11" t="s">
        <v>4582</v>
      </c>
      <c r="B1555" s="11" t="s">
        <v>4584</v>
      </c>
      <c r="C1555" s="3" t="s">
        <v>24</v>
      </c>
      <c r="D1555" s="3" t="s">
        <v>1105</v>
      </c>
      <c r="E1555" s="3" t="s">
        <v>5005</v>
      </c>
      <c r="F1555" s="4" t="s">
        <v>2662</v>
      </c>
      <c r="G1555" s="3" t="s">
        <v>1105</v>
      </c>
      <c r="H1555" s="3" t="s">
        <v>523</v>
      </c>
      <c r="I1555" s="3"/>
      <c r="J1555" s="4" t="s">
        <v>2276</v>
      </c>
      <c r="K1555" s="4" t="s">
        <v>2276</v>
      </c>
      <c r="L1555" s="4" t="s">
        <v>2276</v>
      </c>
      <c r="M1555" s="4" t="s">
        <v>2276</v>
      </c>
      <c r="N1555" s="4" t="s">
        <v>2276</v>
      </c>
      <c r="O1555" s="4" t="s">
        <v>2276</v>
      </c>
      <c r="P1555" s="4" t="s">
        <v>2276</v>
      </c>
      <c r="Q1555" s="4" t="s">
        <v>2276</v>
      </c>
      <c r="R1555" s="4" t="s">
        <v>2276</v>
      </c>
      <c r="S1555" s="4" t="s">
        <v>2276</v>
      </c>
      <c r="T1555" s="4" t="s">
        <v>2276</v>
      </c>
      <c r="U1555" s="4" t="s">
        <v>2276</v>
      </c>
      <c r="V1555" s="4" t="s">
        <v>2276</v>
      </c>
      <c r="W1555" s="4" t="s">
        <v>2276</v>
      </c>
      <c r="X1555" s="4" t="s">
        <v>2276</v>
      </c>
      <c r="Y1555" s="4" t="s">
        <v>2276</v>
      </c>
      <c r="Z1555" s="4" t="s">
        <v>2276</v>
      </c>
      <c r="AA1555" s="4" t="s">
        <v>2276</v>
      </c>
      <c r="AB1555" s="4" t="s">
        <v>2276</v>
      </c>
      <c r="AC1555" s="3"/>
      <c r="AD1555" s="3"/>
    </row>
    <row r="1556" spans="1:30" ht="33.5" customHeight="1">
      <c r="A1556" s="11" t="s">
        <v>4585</v>
      </c>
      <c r="B1556" s="11" t="s">
        <v>4589</v>
      </c>
      <c r="C1556" s="3" t="s">
        <v>24</v>
      </c>
      <c r="D1556" s="3" t="s">
        <v>1242</v>
      </c>
      <c r="E1556" s="3" t="s">
        <v>137</v>
      </c>
      <c r="F1556" s="4" t="s">
        <v>2662</v>
      </c>
      <c r="G1556" s="3" t="s">
        <v>1105</v>
      </c>
      <c r="H1556" s="3" t="s">
        <v>523</v>
      </c>
      <c r="I1556" s="3"/>
      <c r="J1556" s="4" t="s">
        <v>2276</v>
      </c>
      <c r="K1556" s="4" t="s">
        <v>2276</v>
      </c>
      <c r="L1556" s="4" t="s">
        <v>2276</v>
      </c>
      <c r="M1556" s="4" t="s">
        <v>2276</v>
      </c>
      <c r="N1556" s="4" t="s">
        <v>2276</v>
      </c>
      <c r="O1556" s="4" t="s">
        <v>2276</v>
      </c>
      <c r="P1556" s="4" t="s">
        <v>2276</v>
      </c>
      <c r="Q1556" s="4" t="s">
        <v>2276</v>
      </c>
      <c r="R1556" s="4" t="s">
        <v>2276</v>
      </c>
      <c r="S1556" s="4" t="s">
        <v>2276</v>
      </c>
      <c r="T1556" s="4" t="s">
        <v>2276</v>
      </c>
      <c r="U1556" s="4" t="s">
        <v>2276</v>
      </c>
      <c r="V1556" s="4" t="s">
        <v>2276</v>
      </c>
      <c r="W1556" s="4" t="s">
        <v>2276</v>
      </c>
      <c r="X1556" s="4" t="s">
        <v>2276</v>
      </c>
      <c r="Y1556" s="4" t="s">
        <v>2276</v>
      </c>
      <c r="Z1556" s="4" t="s">
        <v>2276</v>
      </c>
      <c r="AA1556" s="4" t="s">
        <v>2276</v>
      </c>
      <c r="AB1556" s="4" t="s">
        <v>2276</v>
      </c>
      <c r="AC1556" s="3" t="s">
        <v>4593</v>
      </c>
      <c r="AD1556" s="3"/>
    </row>
    <row r="1557" spans="1:30" ht="33.5" customHeight="1">
      <c r="A1557" s="11" t="s">
        <v>4586</v>
      </c>
      <c r="B1557" s="11" t="s">
        <v>4590</v>
      </c>
      <c r="C1557" s="3" t="s">
        <v>24</v>
      </c>
      <c r="D1557" s="3" t="s">
        <v>1242</v>
      </c>
      <c r="E1557" s="3" t="s">
        <v>137</v>
      </c>
      <c r="F1557" s="4" t="s">
        <v>2662</v>
      </c>
      <c r="G1557" s="3" t="s">
        <v>1105</v>
      </c>
      <c r="H1557" s="3" t="s">
        <v>523</v>
      </c>
      <c r="I1557" s="3"/>
      <c r="J1557" s="4" t="s">
        <v>2276</v>
      </c>
      <c r="K1557" s="4" t="s">
        <v>2276</v>
      </c>
      <c r="L1557" s="4" t="s">
        <v>2276</v>
      </c>
      <c r="M1557" s="4" t="s">
        <v>2276</v>
      </c>
      <c r="N1557" s="4" t="s">
        <v>2276</v>
      </c>
      <c r="O1557" s="4" t="s">
        <v>2276</v>
      </c>
      <c r="P1557" s="4" t="s">
        <v>2276</v>
      </c>
      <c r="Q1557" s="4" t="s">
        <v>2276</v>
      </c>
      <c r="R1557" s="4" t="s">
        <v>2276</v>
      </c>
      <c r="S1557" s="4" t="s">
        <v>2276</v>
      </c>
      <c r="T1557" s="4" t="s">
        <v>2276</v>
      </c>
      <c r="U1557" s="4" t="s">
        <v>2276</v>
      </c>
      <c r="V1557" s="4" t="s">
        <v>2276</v>
      </c>
      <c r="W1557" s="4" t="s">
        <v>2276</v>
      </c>
      <c r="X1557" s="4" t="s">
        <v>2276</v>
      </c>
      <c r="Y1557" s="4" t="s">
        <v>2276</v>
      </c>
      <c r="Z1557" s="4" t="s">
        <v>2276</v>
      </c>
      <c r="AA1557" s="4" t="s">
        <v>2276</v>
      </c>
      <c r="AB1557" s="4" t="s">
        <v>2276</v>
      </c>
      <c r="AC1557" s="3" t="s">
        <v>4593</v>
      </c>
      <c r="AD1557" s="3"/>
    </row>
    <row r="1558" spans="1:30" ht="29">
      <c r="A1558" s="11" t="s">
        <v>4585</v>
      </c>
      <c r="B1558" s="11" t="s">
        <v>4591</v>
      </c>
      <c r="C1558" s="3" t="s">
        <v>24</v>
      </c>
      <c r="D1558" s="3" t="s">
        <v>144</v>
      </c>
      <c r="E1558" s="3" t="s">
        <v>137</v>
      </c>
      <c r="F1558" s="4" t="s">
        <v>2662</v>
      </c>
      <c r="G1558" s="3" t="s">
        <v>1105</v>
      </c>
      <c r="H1558" s="3" t="s">
        <v>523</v>
      </c>
      <c r="I1558" s="3"/>
      <c r="J1558" s="4" t="s">
        <v>2276</v>
      </c>
      <c r="K1558" s="4" t="s">
        <v>2276</v>
      </c>
      <c r="L1558" s="4" t="s">
        <v>2276</v>
      </c>
      <c r="M1558" s="4" t="s">
        <v>2276</v>
      </c>
      <c r="N1558" s="4" t="s">
        <v>2276</v>
      </c>
      <c r="O1558" s="4" t="s">
        <v>2276</v>
      </c>
      <c r="P1558" s="4" t="s">
        <v>2276</v>
      </c>
      <c r="Q1558" s="4" t="s">
        <v>2276</v>
      </c>
      <c r="R1558" s="4" t="s">
        <v>2276</v>
      </c>
      <c r="S1558" s="4" t="s">
        <v>2276</v>
      </c>
      <c r="T1558" s="4" t="s">
        <v>2276</v>
      </c>
      <c r="U1558" s="4" t="s">
        <v>2276</v>
      </c>
      <c r="V1558" s="4" t="s">
        <v>2276</v>
      </c>
      <c r="W1558" s="4" t="s">
        <v>2276</v>
      </c>
      <c r="X1558" s="4" t="s">
        <v>2276</v>
      </c>
      <c r="Y1558" s="4" t="s">
        <v>2276</v>
      </c>
      <c r="Z1558" s="4" t="s">
        <v>2276</v>
      </c>
      <c r="AA1558" s="4" t="s">
        <v>2276</v>
      </c>
      <c r="AB1558" s="4" t="s">
        <v>2276</v>
      </c>
      <c r="AC1558" s="3" t="s">
        <v>4593</v>
      </c>
      <c r="AD1558" s="3"/>
    </row>
    <row r="1559" spans="1:30" ht="31" customHeight="1">
      <c r="A1559" s="11" t="s">
        <v>4586</v>
      </c>
      <c r="B1559" s="11" t="s">
        <v>4592</v>
      </c>
      <c r="C1559" s="3" t="s">
        <v>24</v>
      </c>
      <c r="D1559" s="3" t="s">
        <v>144</v>
      </c>
      <c r="E1559" s="3" t="s">
        <v>137</v>
      </c>
      <c r="F1559" s="4" t="s">
        <v>2662</v>
      </c>
      <c r="G1559" s="3" t="s">
        <v>1105</v>
      </c>
      <c r="H1559" s="3" t="s">
        <v>523</v>
      </c>
      <c r="I1559" s="3"/>
      <c r="J1559" s="4" t="s">
        <v>2276</v>
      </c>
      <c r="K1559" s="4" t="s">
        <v>2276</v>
      </c>
      <c r="L1559" s="4" t="s">
        <v>2276</v>
      </c>
      <c r="M1559" s="4" t="s">
        <v>2276</v>
      </c>
      <c r="N1559" s="4" t="s">
        <v>2276</v>
      </c>
      <c r="O1559" s="4" t="s">
        <v>2276</v>
      </c>
      <c r="P1559" s="4" t="s">
        <v>2276</v>
      </c>
      <c r="Q1559" s="4" t="s">
        <v>2276</v>
      </c>
      <c r="R1559" s="4" t="s">
        <v>2276</v>
      </c>
      <c r="S1559" s="4" t="s">
        <v>2276</v>
      </c>
      <c r="T1559" s="4" t="s">
        <v>2276</v>
      </c>
      <c r="U1559" s="4" t="s">
        <v>2276</v>
      </c>
      <c r="V1559" s="4" t="s">
        <v>2276</v>
      </c>
      <c r="W1559" s="4" t="s">
        <v>2276</v>
      </c>
      <c r="X1559" s="4" t="s">
        <v>2276</v>
      </c>
      <c r="Y1559" s="4" t="s">
        <v>2276</v>
      </c>
      <c r="Z1559" s="4" t="s">
        <v>2276</v>
      </c>
      <c r="AA1559" s="4" t="s">
        <v>2276</v>
      </c>
      <c r="AB1559" s="4" t="s">
        <v>2276</v>
      </c>
      <c r="AC1559" s="3" t="s">
        <v>4593</v>
      </c>
      <c r="AD1559" s="3"/>
    </row>
    <row r="1560" spans="1:30" ht="49.5" customHeight="1">
      <c r="A1560" s="19" t="s">
        <v>4597</v>
      </c>
      <c r="B1560" s="19" t="s">
        <v>4606</v>
      </c>
      <c r="C1560" s="4" t="s">
        <v>2656</v>
      </c>
      <c r="D1560" s="4" t="s">
        <v>1242</v>
      </c>
      <c r="E1560" s="4" t="s">
        <v>137</v>
      </c>
      <c r="F1560" s="4" t="s">
        <v>2662</v>
      </c>
      <c r="G1560" s="4" t="s">
        <v>2662</v>
      </c>
      <c r="H1560" s="4" t="s">
        <v>523</v>
      </c>
      <c r="I1560" s="3"/>
      <c r="J1560" s="4" t="s">
        <v>2276</v>
      </c>
      <c r="K1560" s="4" t="s">
        <v>2276</v>
      </c>
      <c r="L1560" s="4" t="s">
        <v>2276</v>
      </c>
      <c r="M1560" s="4" t="s">
        <v>2276</v>
      </c>
      <c r="N1560" s="4" t="s">
        <v>2276</v>
      </c>
      <c r="O1560" s="4" t="s">
        <v>2276</v>
      </c>
      <c r="P1560" s="4" t="s">
        <v>2276</v>
      </c>
      <c r="Q1560" s="4" t="s">
        <v>2276</v>
      </c>
      <c r="R1560" s="4" t="s">
        <v>2276</v>
      </c>
      <c r="S1560" s="4" t="s">
        <v>2276</v>
      </c>
      <c r="T1560" s="4" t="s">
        <v>2276</v>
      </c>
      <c r="U1560" s="4" t="s">
        <v>2276</v>
      </c>
      <c r="V1560" s="4" t="s">
        <v>2276</v>
      </c>
      <c r="W1560" s="21">
        <v>12</v>
      </c>
      <c r="X1560" s="4" t="s">
        <v>2276</v>
      </c>
      <c r="Y1560" s="14">
        <v>7.4</v>
      </c>
      <c r="Z1560" s="3" t="s">
        <v>425</v>
      </c>
      <c r="AA1560" s="3" t="s">
        <v>68</v>
      </c>
      <c r="AB1560" s="3" t="s">
        <v>64</v>
      </c>
      <c r="AC1560" s="4" t="s">
        <v>4607</v>
      </c>
      <c r="AD1560" s="4" t="s">
        <v>4610</v>
      </c>
    </row>
    <row r="1561" spans="1:30" ht="56.5" customHeight="1">
      <c r="A1561" s="19" t="s">
        <v>4597</v>
      </c>
      <c r="B1561" s="19" t="s">
        <v>4608</v>
      </c>
      <c r="C1561" s="3" t="s">
        <v>24</v>
      </c>
      <c r="D1561" s="3" t="s">
        <v>1105</v>
      </c>
      <c r="E1561" s="4" t="s">
        <v>137</v>
      </c>
      <c r="F1561" s="4" t="s">
        <v>2662</v>
      </c>
      <c r="G1561" s="4" t="s">
        <v>2662</v>
      </c>
      <c r="H1561" s="4" t="s">
        <v>524</v>
      </c>
      <c r="I1561" s="3"/>
      <c r="J1561" s="21">
        <v>0</v>
      </c>
      <c r="K1561" s="21">
        <v>0</v>
      </c>
      <c r="L1561" s="21">
        <v>0</v>
      </c>
      <c r="M1561" s="21">
        <v>0</v>
      </c>
      <c r="N1561" s="21">
        <v>0</v>
      </c>
      <c r="O1561" s="21">
        <v>0</v>
      </c>
      <c r="P1561" s="21">
        <v>0</v>
      </c>
      <c r="Q1561" s="21">
        <v>0</v>
      </c>
      <c r="R1561" s="21">
        <v>0</v>
      </c>
      <c r="S1561" s="21">
        <v>0</v>
      </c>
      <c r="T1561" s="21">
        <v>0</v>
      </c>
      <c r="U1561" s="21">
        <v>0</v>
      </c>
      <c r="V1561" s="21">
        <v>0</v>
      </c>
      <c r="W1561" s="21">
        <v>0</v>
      </c>
      <c r="X1561" s="21">
        <v>0</v>
      </c>
      <c r="Y1561" s="4" t="s">
        <v>2276</v>
      </c>
      <c r="Z1561" s="4" t="s">
        <v>2276</v>
      </c>
      <c r="AA1561" s="4" t="s">
        <v>2276</v>
      </c>
      <c r="AB1561" s="4" t="s">
        <v>2276</v>
      </c>
      <c r="AC1561" s="4" t="s">
        <v>4609</v>
      </c>
      <c r="AD1561" s="3"/>
    </row>
    <row r="1562" spans="1:30" ht="38" customHeight="1">
      <c r="A1562" s="11" t="s">
        <v>4601</v>
      </c>
      <c r="B1562" s="3" t="s">
        <v>4611</v>
      </c>
      <c r="C1562" s="3" t="s">
        <v>24</v>
      </c>
      <c r="D1562" s="3" t="s">
        <v>144</v>
      </c>
      <c r="E1562" s="4" t="s">
        <v>137</v>
      </c>
      <c r="F1562" s="4" t="s">
        <v>2662</v>
      </c>
      <c r="G1562" s="4" t="s">
        <v>2662</v>
      </c>
      <c r="H1562" s="4" t="s">
        <v>523</v>
      </c>
      <c r="I1562" s="3"/>
      <c r="J1562" s="4" t="s">
        <v>2276</v>
      </c>
      <c r="K1562" s="4" t="s">
        <v>2276</v>
      </c>
      <c r="L1562" s="4" t="s">
        <v>2276</v>
      </c>
      <c r="M1562" s="4" t="s">
        <v>2276</v>
      </c>
      <c r="N1562" s="4" t="s">
        <v>2276</v>
      </c>
      <c r="O1562" s="4" t="s">
        <v>2276</v>
      </c>
      <c r="P1562" s="4" t="s">
        <v>2276</v>
      </c>
      <c r="Q1562" s="4" t="s">
        <v>2276</v>
      </c>
      <c r="R1562" s="4" t="s">
        <v>2276</v>
      </c>
      <c r="S1562" s="4" t="s">
        <v>2276</v>
      </c>
      <c r="T1562" s="4" t="s">
        <v>2276</v>
      </c>
      <c r="U1562" s="4" t="s">
        <v>2276</v>
      </c>
      <c r="V1562" s="4" t="s">
        <v>2276</v>
      </c>
      <c r="W1562" s="4" t="s">
        <v>2276</v>
      </c>
      <c r="X1562" s="4" t="s">
        <v>2276</v>
      </c>
      <c r="Y1562" s="4" t="s">
        <v>2276</v>
      </c>
      <c r="Z1562" s="4" t="s">
        <v>2276</v>
      </c>
      <c r="AA1562" s="4" t="s">
        <v>2276</v>
      </c>
      <c r="AB1562" s="4" t="s">
        <v>2276</v>
      </c>
      <c r="AC1562" s="3" t="s">
        <v>4593</v>
      </c>
      <c r="AD1562" s="3"/>
    </row>
    <row r="1563" spans="1:30" ht="32.5" customHeight="1">
      <c r="A1563" s="11" t="s">
        <v>4602</v>
      </c>
      <c r="B1563" s="3" t="s">
        <v>4612</v>
      </c>
      <c r="C1563" s="3" t="s">
        <v>24</v>
      </c>
      <c r="D1563" s="3" t="s">
        <v>144</v>
      </c>
      <c r="E1563" s="4" t="s">
        <v>137</v>
      </c>
      <c r="F1563" s="4" t="s">
        <v>2662</v>
      </c>
      <c r="G1563" s="4" t="s">
        <v>2662</v>
      </c>
      <c r="H1563" s="4" t="s">
        <v>523</v>
      </c>
      <c r="I1563" s="3"/>
      <c r="J1563" s="4" t="s">
        <v>2276</v>
      </c>
      <c r="K1563" s="4" t="s">
        <v>2276</v>
      </c>
      <c r="L1563" s="4" t="s">
        <v>2276</v>
      </c>
      <c r="M1563" s="4" t="s">
        <v>2276</v>
      </c>
      <c r="N1563" s="4" t="s">
        <v>2276</v>
      </c>
      <c r="O1563" s="4" t="s">
        <v>2276</v>
      </c>
      <c r="P1563" s="4" t="s">
        <v>2276</v>
      </c>
      <c r="Q1563" s="4" t="s">
        <v>2276</v>
      </c>
      <c r="R1563" s="4" t="s">
        <v>2276</v>
      </c>
      <c r="S1563" s="4" t="s">
        <v>2276</v>
      </c>
      <c r="T1563" s="4" t="s">
        <v>2276</v>
      </c>
      <c r="U1563" s="4" t="s">
        <v>2276</v>
      </c>
      <c r="V1563" s="4" t="s">
        <v>2276</v>
      </c>
      <c r="W1563" s="4" t="s">
        <v>2276</v>
      </c>
      <c r="X1563" s="4" t="s">
        <v>2276</v>
      </c>
      <c r="Y1563" s="4" t="s">
        <v>2276</v>
      </c>
      <c r="Z1563" s="4" t="s">
        <v>2276</v>
      </c>
      <c r="AA1563" s="4" t="s">
        <v>2276</v>
      </c>
      <c r="AB1563" s="4" t="s">
        <v>2276</v>
      </c>
      <c r="AC1563" s="3" t="s">
        <v>4593</v>
      </c>
      <c r="AD1563" s="3"/>
    </row>
    <row r="1564" spans="1:30" ht="68" customHeight="1">
      <c r="A1564" s="11" t="s">
        <v>4603</v>
      </c>
      <c r="B1564" s="3" t="s">
        <v>4613</v>
      </c>
      <c r="C1564" s="3" t="s">
        <v>24</v>
      </c>
      <c r="D1564" s="3" t="s">
        <v>144</v>
      </c>
      <c r="E1564" s="4" t="s">
        <v>137</v>
      </c>
      <c r="F1564" s="4" t="s">
        <v>2662</v>
      </c>
      <c r="G1564" s="4" t="s">
        <v>2662</v>
      </c>
      <c r="H1564" s="4" t="s">
        <v>523</v>
      </c>
      <c r="I1564" s="3"/>
      <c r="J1564" s="4" t="s">
        <v>2276</v>
      </c>
      <c r="K1564" s="4" t="s">
        <v>2276</v>
      </c>
      <c r="L1564" s="4" t="s">
        <v>2276</v>
      </c>
      <c r="M1564" s="4" t="s">
        <v>2276</v>
      </c>
      <c r="N1564" s="4" t="s">
        <v>2276</v>
      </c>
      <c r="O1564" s="4" t="s">
        <v>2276</v>
      </c>
      <c r="P1564" s="4" t="s">
        <v>2276</v>
      </c>
      <c r="Q1564" s="4" t="s">
        <v>2276</v>
      </c>
      <c r="R1564" s="4" t="s">
        <v>2276</v>
      </c>
      <c r="S1564" s="4" t="s">
        <v>2276</v>
      </c>
      <c r="T1564" s="4" t="s">
        <v>2276</v>
      </c>
      <c r="U1564" s="4" t="s">
        <v>2276</v>
      </c>
      <c r="V1564" s="4" t="s">
        <v>2276</v>
      </c>
      <c r="W1564" s="4" t="s">
        <v>2276</v>
      </c>
      <c r="X1564" s="4" t="s">
        <v>2276</v>
      </c>
      <c r="Y1564" s="4" t="s">
        <v>2276</v>
      </c>
      <c r="Z1564" s="3" t="s">
        <v>38</v>
      </c>
      <c r="AA1564" s="3" t="s">
        <v>35</v>
      </c>
      <c r="AB1564" s="3" t="s">
        <v>64</v>
      </c>
      <c r="AC1564" s="3" t="s">
        <v>4593</v>
      </c>
      <c r="AD1564" s="4" t="s">
        <v>4614</v>
      </c>
    </row>
    <row r="1565" spans="1:30" ht="66.5" customHeight="1">
      <c r="A1565" s="3" t="s">
        <v>4620</v>
      </c>
      <c r="B1565" s="11" t="s">
        <v>4629</v>
      </c>
      <c r="C1565" s="3" t="s">
        <v>24</v>
      </c>
      <c r="D1565" s="3" t="s">
        <v>2804</v>
      </c>
      <c r="E1565" s="3" t="s">
        <v>2647</v>
      </c>
      <c r="F1565" s="4" t="s">
        <v>2662</v>
      </c>
      <c r="G1565" s="3" t="s">
        <v>2276</v>
      </c>
      <c r="H1565" s="4" t="s">
        <v>524</v>
      </c>
      <c r="I1565" s="3"/>
      <c r="J1565" s="21">
        <v>0</v>
      </c>
      <c r="K1565" s="21">
        <v>0</v>
      </c>
      <c r="L1565" s="21">
        <v>0</v>
      </c>
      <c r="M1565" s="21">
        <v>0</v>
      </c>
      <c r="N1565" s="21">
        <v>0</v>
      </c>
      <c r="O1565" s="21">
        <v>0</v>
      </c>
      <c r="P1565" s="21">
        <v>0</v>
      </c>
      <c r="Q1565" s="21">
        <v>0</v>
      </c>
      <c r="R1565" s="21">
        <v>0</v>
      </c>
      <c r="S1565" s="21">
        <v>0</v>
      </c>
      <c r="T1565" s="21">
        <v>0</v>
      </c>
      <c r="U1565" s="21">
        <v>0</v>
      </c>
      <c r="V1565" s="21">
        <v>0</v>
      </c>
      <c r="W1565" s="21">
        <v>0</v>
      </c>
      <c r="X1565" s="21">
        <v>0</v>
      </c>
      <c r="Y1565" s="4" t="s">
        <v>2276</v>
      </c>
      <c r="Z1565" s="4" t="s">
        <v>2276</v>
      </c>
      <c r="AA1565" s="4" t="s">
        <v>2276</v>
      </c>
      <c r="AB1565" s="4" t="s">
        <v>2276</v>
      </c>
      <c r="AC1565" s="4" t="s">
        <v>4636</v>
      </c>
      <c r="AD1565" s="3"/>
    </row>
    <row r="1566" spans="1:30" ht="66.5" customHeight="1">
      <c r="A1566" s="3" t="s">
        <v>4620</v>
      </c>
      <c r="B1566" s="11" t="s">
        <v>4632</v>
      </c>
      <c r="C1566" s="3" t="s">
        <v>24</v>
      </c>
      <c r="D1566" s="3" t="s">
        <v>25</v>
      </c>
      <c r="E1566" s="3" t="s">
        <v>2647</v>
      </c>
      <c r="F1566" s="4" t="s">
        <v>2662</v>
      </c>
      <c r="G1566" s="3" t="s">
        <v>2276</v>
      </c>
      <c r="H1566" s="4" t="s">
        <v>524</v>
      </c>
      <c r="I1566" s="3"/>
      <c r="J1566" s="21">
        <v>0</v>
      </c>
      <c r="K1566" s="21">
        <v>0</v>
      </c>
      <c r="L1566" s="21">
        <v>0</v>
      </c>
      <c r="M1566" s="21">
        <v>0</v>
      </c>
      <c r="N1566" s="21">
        <v>0</v>
      </c>
      <c r="O1566" s="21">
        <v>0</v>
      </c>
      <c r="P1566" s="21">
        <v>0</v>
      </c>
      <c r="Q1566" s="21">
        <v>0</v>
      </c>
      <c r="R1566" s="21">
        <v>0</v>
      </c>
      <c r="S1566" s="21">
        <v>0</v>
      </c>
      <c r="T1566" s="21">
        <v>0</v>
      </c>
      <c r="U1566" s="21">
        <v>0</v>
      </c>
      <c r="V1566" s="21">
        <v>0</v>
      </c>
      <c r="W1566" s="21">
        <v>0</v>
      </c>
      <c r="X1566" s="21">
        <v>0</v>
      </c>
      <c r="Y1566" s="4" t="s">
        <v>2276</v>
      </c>
      <c r="Z1566" s="4" t="s">
        <v>2276</v>
      </c>
      <c r="AA1566" s="4" t="s">
        <v>2276</v>
      </c>
      <c r="AB1566" s="4" t="s">
        <v>2276</v>
      </c>
      <c r="AC1566" s="4" t="s">
        <v>4636</v>
      </c>
      <c r="AD1566" s="3"/>
    </row>
    <row r="1567" spans="1:30" ht="71" customHeight="1">
      <c r="A1567" s="3" t="s">
        <v>4620</v>
      </c>
      <c r="B1567" s="11" t="s">
        <v>4637</v>
      </c>
      <c r="C1567" s="3" t="s">
        <v>24</v>
      </c>
      <c r="D1567" s="3" t="s">
        <v>2804</v>
      </c>
      <c r="E1567" s="3" t="s">
        <v>5005</v>
      </c>
      <c r="F1567" s="4" t="s">
        <v>2662</v>
      </c>
      <c r="G1567" s="3" t="s">
        <v>2276</v>
      </c>
      <c r="H1567" s="4" t="s">
        <v>524</v>
      </c>
      <c r="I1567" s="3"/>
      <c r="J1567" s="177">
        <v>0</v>
      </c>
      <c r="K1567" s="21">
        <v>0</v>
      </c>
      <c r="L1567" s="21">
        <v>0</v>
      </c>
      <c r="M1567" s="21">
        <v>0</v>
      </c>
      <c r="N1567" s="21">
        <v>0</v>
      </c>
      <c r="O1567" s="21">
        <v>0</v>
      </c>
      <c r="P1567" s="21">
        <v>0</v>
      </c>
      <c r="Q1567" s="21">
        <v>0</v>
      </c>
      <c r="R1567" s="21">
        <v>0</v>
      </c>
      <c r="S1567" s="21">
        <v>0</v>
      </c>
      <c r="T1567" s="21">
        <v>0</v>
      </c>
      <c r="U1567" s="21">
        <v>0</v>
      </c>
      <c r="V1567" s="21">
        <v>0</v>
      </c>
      <c r="W1567" s="21">
        <v>0</v>
      </c>
      <c r="X1567" s="21">
        <v>0</v>
      </c>
      <c r="Y1567" s="4" t="s">
        <v>2276</v>
      </c>
      <c r="Z1567" s="4" t="s">
        <v>2276</v>
      </c>
      <c r="AA1567" s="4" t="s">
        <v>2276</v>
      </c>
      <c r="AB1567" s="4" t="s">
        <v>2276</v>
      </c>
      <c r="AC1567" s="4" t="s">
        <v>4639</v>
      </c>
      <c r="AD1567" s="3"/>
    </row>
    <row r="1568" spans="1:30" ht="63.5" customHeight="1">
      <c r="A1568" s="3" t="s">
        <v>4643</v>
      </c>
      <c r="B1568" s="11" t="s">
        <v>4650</v>
      </c>
      <c r="C1568" s="3" t="s">
        <v>24</v>
      </c>
      <c r="D1568" s="3" t="s">
        <v>1242</v>
      </c>
      <c r="E1568" s="3" t="s">
        <v>2649</v>
      </c>
      <c r="F1568" s="4" t="s">
        <v>74</v>
      </c>
      <c r="G1568" s="3" t="s">
        <v>2276</v>
      </c>
      <c r="H1568" s="4" t="s">
        <v>524</v>
      </c>
      <c r="I1568" s="178"/>
      <c r="J1568" s="21">
        <v>0</v>
      </c>
      <c r="K1568" s="21">
        <v>0</v>
      </c>
      <c r="L1568" s="21">
        <v>0</v>
      </c>
      <c r="M1568" s="21">
        <v>0</v>
      </c>
      <c r="N1568" s="21">
        <v>0</v>
      </c>
      <c r="O1568" s="21">
        <v>0</v>
      </c>
      <c r="P1568" s="21">
        <v>0</v>
      </c>
      <c r="Q1568" s="21">
        <v>0</v>
      </c>
      <c r="R1568" s="21">
        <v>0</v>
      </c>
      <c r="S1568" s="21">
        <v>0</v>
      </c>
      <c r="T1568" s="21">
        <v>0</v>
      </c>
      <c r="U1568" s="21">
        <v>0</v>
      </c>
      <c r="V1568" s="21">
        <v>0</v>
      </c>
      <c r="W1568" s="21">
        <v>0</v>
      </c>
      <c r="X1568" s="21">
        <v>0</v>
      </c>
      <c r="Y1568" s="4" t="s">
        <v>2276</v>
      </c>
      <c r="Z1568" s="4" t="s">
        <v>2276</v>
      </c>
      <c r="AA1568" s="4" t="s">
        <v>2276</v>
      </c>
      <c r="AB1568" s="4" t="s">
        <v>2276</v>
      </c>
      <c r="AC1568" s="4" t="s">
        <v>4656</v>
      </c>
      <c r="AD1568" s="3"/>
    </row>
    <row r="1569" spans="1:30" ht="51" customHeight="1">
      <c r="A1569" s="11" t="s">
        <v>4643</v>
      </c>
      <c r="B1569" s="11" t="s">
        <v>4652</v>
      </c>
      <c r="C1569" s="3" t="s">
        <v>24</v>
      </c>
      <c r="D1569" s="3" t="s">
        <v>2994</v>
      </c>
      <c r="E1569" s="3" t="s">
        <v>5005</v>
      </c>
      <c r="F1569" s="4" t="s">
        <v>2276</v>
      </c>
      <c r="G1569" s="3" t="s">
        <v>2276</v>
      </c>
      <c r="H1569" s="3" t="s">
        <v>523</v>
      </c>
      <c r="I1569" s="178"/>
      <c r="J1569" s="4" t="s">
        <v>2276</v>
      </c>
      <c r="K1569" s="4" t="s">
        <v>2276</v>
      </c>
      <c r="L1569" s="4" t="s">
        <v>2276</v>
      </c>
      <c r="M1569" s="4" t="s">
        <v>2276</v>
      </c>
      <c r="N1569" s="4" t="s">
        <v>2276</v>
      </c>
      <c r="O1569" s="4" t="s">
        <v>2276</v>
      </c>
      <c r="P1569" s="4" t="s">
        <v>2276</v>
      </c>
      <c r="Q1569" s="4" t="s">
        <v>2276</v>
      </c>
      <c r="R1569" s="4" t="s">
        <v>2276</v>
      </c>
      <c r="S1569" s="4" t="s">
        <v>2276</v>
      </c>
      <c r="T1569" s="4" t="s">
        <v>2276</v>
      </c>
      <c r="U1569" s="4" t="s">
        <v>2276</v>
      </c>
      <c r="V1569" s="4" t="s">
        <v>2276</v>
      </c>
      <c r="W1569" s="4" t="s">
        <v>2276</v>
      </c>
      <c r="X1569" s="4" t="s">
        <v>2276</v>
      </c>
      <c r="Y1569" s="4" t="s">
        <v>2276</v>
      </c>
      <c r="Z1569" s="4" t="s">
        <v>2276</v>
      </c>
      <c r="AA1569" s="4" t="s">
        <v>2276</v>
      </c>
      <c r="AB1569" s="4" t="s">
        <v>2276</v>
      </c>
      <c r="AC1569" s="19" t="s">
        <v>4655</v>
      </c>
      <c r="AD1569" s="3"/>
    </row>
    <row r="1570" spans="1:30" ht="68" customHeight="1">
      <c r="A1570" s="3" t="s">
        <v>4644</v>
      </c>
      <c r="B1570" s="11" t="s">
        <v>4653</v>
      </c>
      <c r="C1570" s="3" t="s">
        <v>24</v>
      </c>
      <c r="D1570" s="3" t="s">
        <v>1242</v>
      </c>
      <c r="E1570" s="3" t="s">
        <v>2649</v>
      </c>
      <c r="F1570" s="4" t="s">
        <v>74</v>
      </c>
      <c r="G1570" s="3" t="s">
        <v>2276</v>
      </c>
      <c r="H1570" s="4" t="s">
        <v>524</v>
      </c>
      <c r="I1570" s="178"/>
      <c r="J1570" s="21">
        <v>0</v>
      </c>
      <c r="K1570" s="21">
        <v>0</v>
      </c>
      <c r="L1570" s="21">
        <v>0</v>
      </c>
      <c r="M1570" s="21">
        <v>0</v>
      </c>
      <c r="N1570" s="21">
        <v>0</v>
      </c>
      <c r="O1570" s="21">
        <v>0</v>
      </c>
      <c r="P1570" s="21">
        <v>0</v>
      </c>
      <c r="Q1570" s="21">
        <v>0</v>
      </c>
      <c r="R1570" s="21">
        <v>0</v>
      </c>
      <c r="S1570" s="21">
        <v>0</v>
      </c>
      <c r="T1570" s="21">
        <v>0</v>
      </c>
      <c r="U1570" s="21">
        <v>0</v>
      </c>
      <c r="V1570" s="21">
        <v>0</v>
      </c>
      <c r="W1570" s="21">
        <v>0</v>
      </c>
      <c r="X1570" s="21">
        <v>0</v>
      </c>
      <c r="Y1570" s="4" t="s">
        <v>2276</v>
      </c>
      <c r="Z1570" s="4" t="s">
        <v>2276</v>
      </c>
      <c r="AA1570" s="4" t="s">
        <v>2276</v>
      </c>
      <c r="AB1570" s="4" t="s">
        <v>2276</v>
      </c>
      <c r="AC1570" s="4" t="s">
        <v>4656</v>
      </c>
      <c r="AD1570" s="3"/>
    </row>
    <row r="1571" spans="1:30" ht="42.5" customHeight="1">
      <c r="A1571" s="3" t="s">
        <v>4661</v>
      </c>
      <c r="B1571" s="3" t="s">
        <v>4664</v>
      </c>
      <c r="C1571" s="3" t="s">
        <v>24</v>
      </c>
      <c r="D1571" s="3" t="s">
        <v>25</v>
      </c>
      <c r="E1571" s="3" t="s">
        <v>5005</v>
      </c>
      <c r="F1571" s="4" t="s">
        <v>2662</v>
      </c>
      <c r="G1571" s="3" t="s">
        <v>2276</v>
      </c>
      <c r="H1571" s="3" t="s">
        <v>523</v>
      </c>
      <c r="I1571" s="3">
        <v>1970</v>
      </c>
      <c r="J1571" s="4" t="s">
        <v>2276</v>
      </c>
      <c r="K1571" s="4" t="s">
        <v>2276</v>
      </c>
      <c r="L1571" s="4" t="s">
        <v>2276</v>
      </c>
      <c r="M1571" s="4" t="s">
        <v>2276</v>
      </c>
      <c r="N1571" s="4" t="s">
        <v>2276</v>
      </c>
      <c r="O1571" s="4" t="s">
        <v>2276</v>
      </c>
      <c r="P1571" s="4" t="s">
        <v>2276</v>
      </c>
      <c r="Q1571" s="4" t="s">
        <v>2276</v>
      </c>
      <c r="R1571" s="4" t="s">
        <v>2276</v>
      </c>
      <c r="S1571" s="4" t="s">
        <v>2276</v>
      </c>
      <c r="T1571" s="4" t="s">
        <v>2276</v>
      </c>
      <c r="U1571" s="4" t="s">
        <v>2276</v>
      </c>
      <c r="V1571" s="4" t="s">
        <v>2276</v>
      </c>
      <c r="W1571" s="4" t="s">
        <v>2276</v>
      </c>
      <c r="X1571" s="4" t="s">
        <v>2276</v>
      </c>
      <c r="Y1571" s="21">
        <v>1</v>
      </c>
      <c r="Z1571" s="4" t="s">
        <v>2276</v>
      </c>
      <c r="AA1571" s="4" t="s">
        <v>2276</v>
      </c>
      <c r="AB1571" s="3" t="s">
        <v>2276</v>
      </c>
      <c r="AC1571" s="3" t="s">
        <v>4666</v>
      </c>
      <c r="AD1571" s="3"/>
    </row>
    <row r="1572" spans="1:30" ht="56" customHeight="1">
      <c r="A1572" s="11" t="s">
        <v>4661</v>
      </c>
      <c r="B1572" s="11" t="s">
        <v>4665</v>
      </c>
      <c r="C1572" s="3" t="s">
        <v>24</v>
      </c>
      <c r="D1572" s="3" t="s">
        <v>2804</v>
      </c>
      <c r="E1572" s="3" t="s">
        <v>5005</v>
      </c>
      <c r="F1572" s="4" t="s">
        <v>2662</v>
      </c>
      <c r="G1572" s="3" t="s">
        <v>2276</v>
      </c>
      <c r="H1572" s="4" t="s">
        <v>524</v>
      </c>
      <c r="I1572" s="3"/>
      <c r="J1572" s="21">
        <v>0</v>
      </c>
      <c r="K1572" s="21">
        <v>0</v>
      </c>
      <c r="L1572" s="21">
        <v>0</v>
      </c>
      <c r="M1572" s="21">
        <v>0</v>
      </c>
      <c r="N1572" s="21">
        <v>0</v>
      </c>
      <c r="O1572" s="21">
        <v>0</v>
      </c>
      <c r="P1572" s="21">
        <v>0</v>
      </c>
      <c r="Q1572" s="21">
        <v>0</v>
      </c>
      <c r="R1572" s="21">
        <v>0</v>
      </c>
      <c r="S1572" s="21">
        <v>0</v>
      </c>
      <c r="T1572" s="21">
        <v>0</v>
      </c>
      <c r="U1572" s="21">
        <v>0</v>
      </c>
      <c r="V1572" s="21">
        <v>0</v>
      </c>
      <c r="W1572" s="21">
        <v>0</v>
      </c>
      <c r="X1572" s="21">
        <v>0</v>
      </c>
      <c r="Y1572" s="4" t="s">
        <v>2276</v>
      </c>
      <c r="Z1572" s="4" t="s">
        <v>2276</v>
      </c>
      <c r="AA1572" s="4" t="s">
        <v>2276</v>
      </c>
      <c r="AB1572" s="4" t="s">
        <v>2276</v>
      </c>
      <c r="AC1572" s="4" t="s">
        <v>4667</v>
      </c>
      <c r="AD1572" s="3"/>
    </row>
    <row r="1573" spans="1:30" ht="42.5" customHeight="1">
      <c r="A1573" s="11" t="s">
        <v>4661</v>
      </c>
      <c r="B1573" s="11" t="s">
        <v>4668</v>
      </c>
      <c r="C1573" s="3" t="s">
        <v>24</v>
      </c>
      <c r="D1573" s="3" t="s">
        <v>26</v>
      </c>
      <c r="E1573" s="3" t="s">
        <v>5005</v>
      </c>
      <c r="F1573" s="4" t="s">
        <v>2662</v>
      </c>
      <c r="G1573" s="3" t="s">
        <v>2276</v>
      </c>
      <c r="H1573" s="3" t="s">
        <v>523</v>
      </c>
      <c r="I1573" s="3"/>
      <c r="J1573" s="4" t="s">
        <v>2276</v>
      </c>
      <c r="K1573" s="4" t="s">
        <v>2276</v>
      </c>
      <c r="L1573" s="4" t="s">
        <v>2276</v>
      </c>
      <c r="M1573" s="4" t="s">
        <v>2276</v>
      </c>
      <c r="N1573" s="4" t="s">
        <v>2276</v>
      </c>
      <c r="O1573" s="4" t="s">
        <v>2276</v>
      </c>
      <c r="P1573" s="4" t="s">
        <v>2276</v>
      </c>
      <c r="Q1573" s="4" t="s">
        <v>2276</v>
      </c>
      <c r="R1573" s="4" t="s">
        <v>2276</v>
      </c>
      <c r="S1573" s="4" t="s">
        <v>2276</v>
      </c>
      <c r="T1573" s="4" t="s">
        <v>2276</v>
      </c>
      <c r="U1573" s="4" t="s">
        <v>2276</v>
      </c>
      <c r="V1573" s="4" t="s">
        <v>2276</v>
      </c>
      <c r="W1573" s="4" t="s">
        <v>2276</v>
      </c>
      <c r="X1573" s="4" t="s">
        <v>2276</v>
      </c>
      <c r="Y1573" s="4" t="s">
        <v>2276</v>
      </c>
      <c r="Z1573" s="4" t="s">
        <v>2276</v>
      </c>
      <c r="AA1573" s="4" t="s">
        <v>2276</v>
      </c>
      <c r="AB1573" s="4" t="s">
        <v>2276</v>
      </c>
      <c r="AC1573" s="3" t="s">
        <v>4669</v>
      </c>
      <c r="AD1573" s="3"/>
    </row>
    <row r="1574" spans="1:30" ht="39" customHeight="1">
      <c r="A1574" s="11" t="s">
        <v>4671</v>
      </c>
      <c r="B1574" s="11" t="s">
        <v>4684</v>
      </c>
      <c r="C1574" s="3" t="s">
        <v>24</v>
      </c>
      <c r="D1574" s="3" t="s">
        <v>27</v>
      </c>
      <c r="E1574" s="3" t="s">
        <v>84</v>
      </c>
      <c r="F1574" s="4" t="s">
        <v>28</v>
      </c>
      <c r="G1574" s="3" t="s">
        <v>2276</v>
      </c>
      <c r="H1574" s="4" t="s">
        <v>524</v>
      </c>
      <c r="I1574" s="3"/>
      <c r="J1574" s="21">
        <v>0</v>
      </c>
      <c r="K1574" s="21">
        <v>0</v>
      </c>
      <c r="L1574" s="21">
        <v>0</v>
      </c>
      <c r="M1574" s="21">
        <v>0</v>
      </c>
      <c r="N1574" s="21">
        <v>0</v>
      </c>
      <c r="O1574" s="21">
        <v>0</v>
      </c>
      <c r="P1574" s="21">
        <v>0</v>
      </c>
      <c r="Q1574" s="21">
        <v>0</v>
      </c>
      <c r="R1574" s="21">
        <v>0</v>
      </c>
      <c r="S1574" s="21">
        <v>0</v>
      </c>
      <c r="T1574" s="21">
        <v>0</v>
      </c>
      <c r="U1574" s="21">
        <v>0</v>
      </c>
      <c r="V1574" s="21">
        <v>0</v>
      </c>
      <c r="W1574" s="21">
        <v>0</v>
      </c>
      <c r="X1574" s="21">
        <v>0</v>
      </c>
      <c r="Y1574" s="4" t="s">
        <v>2276</v>
      </c>
      <c r="Z1574" s="4" t="s">
        <v>2276</v>
      </c>
      <c r="AA1574" s="4" t="s">
        <v>2276</v>
      </c>
      <c r="AB1574" s="4" t="s">
        <v>2276</v>
      </c>
      <c r="AC1574" s="4" t="s">
        <v>4688</v>
      </c>
      <c r="AD1574" s="3"/>
    </row>
    <row r="1575" spans="1:30" ht="37.5" customHeight="1">
      <c r="A1575" s="11" t="s">
        <v>4672</v>
      </c>
      <c r="B1575" s="11" t="s">
        <v>4685</v>
      </c>
      <c r="C1575" s="3" t="s">
        <v>24</v>
      </c>
      <c r="D1575" s="3" t="s">
        <v>27</v>
      </c>
      <c r="E1575" s="3" t="s">
        <v>84</v>
      </c>
      <c r="F1575" s="4" t="s">
        <v>28</v>
      </c>
      <c r="G1575" s="3" t="s">
        <v>2276</v>
      </c>
      <c r="H1575" s="4" t="s">
        <v>524</v>
      </c>
      <c r="I1575" s="3"/>
      <c r="J1575" s="21">
        <v>0</v>
      </c>
      <c r="K1575" s="21">
        <v>0</v>
      </c>
      <c r="L1575" s="21">
        <v>0</v>
      </c>
      <c r="M1575" s="21">
        <v>0</v>
      </c>
      <c r="N1575" s="21">
        <v>0</v>
      </c>
      <c r="O1575" s="21">
        <v>0</v>
      </c>
      <c r="P1575" s="21">
        <v>0</v>
      </c>
      <c r="Q1575" s="21">
        <v>0</v>
      </c>
      <c r="R1575" s="21">
        <v>0</v>
      </c>
      <c r="S1575" s="21">
        <v>0</v>
      </c>
      <c r="T1575" s="21">
        <v>0</v>
      </c>
      <c r="U1575" s="21">
        <v>0</v>
      </c>
      <c r="V1575" s="21">
        <v>0</v>
      </c>
      <c r="W1575" s="21">
        <v>0</v>
      </c>
      <c r="X1575" s="21">
        <v>0</v>
      </c>
      <c r="Y1575" s="4" t="s">
        <v>2276</v>
      </c>
      <c r="Z1575" s="4" t="s">
        <v>2276</v>
      </c>
      <c r="AA1575" s="4" t="s">
        <v>2276</v>
      </c>
      <c r="AB1575" s="4" t="s">
        <v>2276</v>
      </c>
      <c r="AC1575" s="4" t="s">
        <v>4688</v>
      </c>
      <c r="AD1575" s="3"/>
    </row>
    <row r="1576" spans="1:30" ht="37.5" customHeight="1">
      <c r="A1576" s="11" t="s">
        <v>4673</v>
      </c>
      <c r="B1576" s="11" t="s">
        <v>4686</v>
      </c>
      <c r="C1576" s="3" t="s">
        <v>24</v>
      </c>
      <c r="D1576" s="3" t="s">
        <v>27</v>
      </c>
      <c r="E1576" s="3" t="s">
        <v>84</v>
      </c>
      <c r="F1576" s="4" t="s">
        <v>28</v>
      </c>
      <c r="G1576" s="3" t="s">
        <v>2276</v>
      </c>
      <c r="H1576" s="4" t="s">
        <v>524</v>
      </c>
      <c r="I1576" s="3"/>
      <c r="J1576" s="21">
        <v>0</v>
      </c>
      <c r="K1576" s="21">
        <v>0</v>
      </c>
      <c r="L1576" s="21">
        <v>0</v>
      </c>
      <c r="M1576" s="21">
        <v>0</v>
      </c>
      <c r="N1576" s="21">
        <v>0</v>
      </c>
      <c r="O1576" s="21">
        <v>0</v>
      </c>
      <c r="P1576" s="21">
        <v>0</v>
      </c>
      <c r="Q1576" s="21">
        <v>0</v>
      </c>
      <c r="R1576" s="21">
        <v>0</v>
      </c>
      <c r="S1576" s="21">
        <v>0</v>
      </c>
      <c r="T1576" s="21">
        <v>0</v>
      </c>
      <c r="U1576" s="21">
        <v>0</v>
      </c>
      <c r="V1576" s="21">
        <v>0</v>
      </c>
      <c r="W1576" s="21">
        <v>0</v>
      </c>
      <c r="X1576" s="21">
        <v>0</v>
      </c>
      <c r="Y1576" s="4" t="s">
        <v>2276</v>
      </c>
      <c r="Z1576" s="4" t="s">
        <v>2276</v>
      </c>
      <c r="AA1576" s="4" t="s">
        <v>2276</v>
      </c>
      <c r="AB1576" s="4" t="s">
        <v>2276</v>
      </c>
      <c r="AC1576" s="4" t="s">
        <v>4688</v>
      </c>
      <c r="AD1576" s="3"/>
    </row>
    <row r="1577" spans="1:30" ht="36.5" customHeight="1">
      <c r="A1577" s="11" t="s">
        <v>4674</v>
      </c>
      <c r="B1577" s="11" t="s">
        <v>4687</v>
      </c>
      <c r="C1577" s="3" t="s">
        <v>24</v>
      </c>
      <c r="D1577" s="3" t="s">
        <v>27</v>
      </c>
      <c r="E1577" s="3" t="s">
        <v>84</v>
      </c>
      <c r="F1577" s="4" t="s">
        <v>28</v>
      </c>
      <c r="G1577" s="3" t="s">
        <v>2276</v>
      </c>
      <c r="H1577" s="4" t="s">
        <v>524</v>
      </c>
      <c r="I1577" s="3"/>
      <c r="J1577" s="21">
        <v>0</v>
      </c>
      <c r="K1577" s="21">
        <v>0</v>
      </c>
      <c r="L1577" s="21">
        <v>0</v>
      </c>
      <c r="M1577" s="21">
        <v>0</v>
      </c>
      <c r="N1577" s="21">
        <v>0</v>
      </c>
      <c r="O1577" s="21">
        <v>0</v>
      </c>
      <c r="P1577" s="21">
        <v>0</v>
      </c>
      <c r="Q1577" s="21">
        <v>0</v>
      </c>
      <c r="R1577" s="21">
        <v>0</v>
      </c>
      <c r="S1577" s="21">
        <v>0</v>
      </c>
      <c r="T1577" s="21">
        <v>0</v>
      </c>
      <c r="U1577" s="21">
        <v>0</v>
      </c>
      <c r="V1577" s="21">
        <v>0</v>
      </c>
      <c r="W1577" s="21">
        <v>0</v>
      </c>
      <c r="X1577" s="21">
        <v>0</v>
      </c>
      <c r="Y1577" s="4" t="s">
        <v>2276</v>
      </c>
      <c r="Z1577" s="4" t="s">
        <v>2276</v>
      </c>
      <c r="AA1577" s="4" t="s">
        <v>2276</v>
      </c>
      <c r="AB1577" s="4" t="s">
        <v>2276</v>
      </c>
      <c r="AC1577" s="4" t="s">
        <v>4688</v>
      </c>
      <c r="AD1577" s="3"/>
    </row>
    <row r="1578" spans="1:30" ht="49" customHeight="1">
      <c r="A1578" s="11" t="s">
        <v>4671</v>
      </c>
      <c r="B1578" s="11" t="s">
        <v>4689</v>
      </c>
      <c r="C1578" s="3" t="s">
        <v>24</v>
      </c>
      <c r="D1578" s="3" t="s">
        <v>27</v>
      </c>
      <c r="E1578" s="4" t="s">
        <v>3854</v>
      </c>
      <c r="F1578" s="4" t="s">
        <v>28</v>
      </c>
      <c r="G1578" s="3" t="s">
        <v>2276</v>
      </c>
      <c r="H1578" s="4" t="s">
        <v>524</v>
      </c>
      <c r="I1578" s="3"/>
      <c r="J1578" s="21">
        <v>0</v>
      </c>
      <c r="K1578" s="21">
        <v>0</v>
      </c>
      <c r="L1578" s="21">
        <v>0</v>
      </c>
      <c r="M1578" s="21">
        <v>0</v>
      </c>
      <c r="N1578" s="21">
        <v>0</v>
      </c>
      <c r="O1578" s="21">
        <v>0</v>
      </c>
      <c r="P1578" s="21">
        <v>0</v>
      </c>
      <c r="Q1578" s="21">
        <v>0</v>
      </c>
      <c r="R1578" s="21">
        <v>0</v>
      </c>
      <c r="S1578" s="21">
        <v>0</v>
      </c>
      <c r="T1578" s="21">
        <v>0</v>
      </c>
      <c r="U1578" s="21">
        <v>0</v>
      </c>
      <c r="V1578" s="21">
        <v>0</v>
      </c>
      <c r="W1578" s="21">
        <v>0</v>
      </c>
      <c r="X1578" s="21">
        <v>0</v>
      </c>
      <c r="Y1578" s="4" t="s">
        <v>2276</v>
      </c>
      <c r="Z1578" s="4" t="s">
        <v>2276</v>
      </c>
      <c r="AA1578" s="4" t="s">
        <v>2276</v>
      </c>
      <c r="AB1578" s="4" t="s">
        <v>2276</v>
      </c>
      <c r="AC1578" s="4" t="s">
        <v>4693</v>
      </c>
      <c r="AD1578" s="3"/>
    </row>
    <row r="1579" spans="1:30" ht="49" customHeight="1">
      <c r="A1579" s="11" t="s">
        <v>4672</v>
      </c>
      <c r="B1579" s="11" t="s">
        <v>4690</v>
      </c>
      <c r="C1579" s="3" t="s">
        <v>24</v>
      </c>
      <c r="D1579" s="3" t="s">
        <v>27</v>
      </c>
      <c r="E1579" s="4" t="s">
        <v>3854</v>
      </c>
      <c r="F1579" s="4" t="s">
        <v>28</v>
      </c>
      <c r="G1579" s="3" t="s">
        <v>2276</v>
      </c>
      <c r="H1579" s="4" t="s">
        <v>524</v>
      </c>
      <c r="I1579" s="3"/>
      <c r="J1579" s="21">
        <v>0</v>
      </c>
      <c r="K1579" s="21">
        <v>0</v>
      </c>
      <c r="L1579" s="21">
        <v>0</v>
      </c>
      <c r="M1579" s="21">
        <v>0</v>
      </c>
      <c r="N1579" s="21">
        <v>0</v>
      </c>
      <c r="O1579" s="21">
        <v>0</v>
      </c>
      <c r="P1579" s="21">
        <v>0</v>
      </c>
      <c r="Q1579" s="21">
        <v>0</v>
      </c>
      <c r="R1579" s="21">
        <v>0</v>
      </c>
      <c r="S1579" s="21">
        <v>0</v>
      </c>
      <c r="T1579" s="21">
        <v>0</v>
      </c>
      <c r="U1579" s="21">
        <v>0</v>
      </c>
      <c r="V1579" s="21">
        <v>0</v>
      </c>
      <c r="W1579" s="21">
        <v>0</v>
      </c>
      <c r="X1579" s="21">
        <v>0</v>
      </c>
      <c r="Y1579" s="4" t="s">
        <v>2276</v>
      </c>
      <c r="Z1579" s="4" t="s">
        <v>2276</v>
      </c>
      <c r="AA1579" s="4" t="s">
        <v>2276</v>
      </c>
      <c r="AB1579" s="4" t="s">
        <v>2276</v>
      </c>
      <c r="AC1579" s="4" t="s">
        <v>4693</v>
      </c>
      <c r="AD1579" s="3"/>
    </row>
    <row r="1580" spans="1:30" ht="49" customHeight="1">
      <c r="A1580" s="11" t="s">
        <v>4673</v>
      </c>
      <c r="B1580" s="11" t="s">
        <v>4691</v>
      </c>
      <c r="C1580" s="3" t="s">
        <v>24</v>
      </c>
      <c r="D1580" s="3" t="s">
        <v>27</v>
      </c>
      <c r="E1580" s="4" t="s">
        <v>3854</v>
      </c>
      <c r="F1580" s="4" t="s">
        <v>28</v>
      </c>
      <c r="G1580" s="3" t="s">
        <v>2276</v>
      </c>
      <c r="H1580" s="4" t="s">
        <v>524</v>
      </c>
      <c r="I1580" s="3"/>
      <c r="J1580" s="21">
        <v>0</v>
      </c>
      <c r="K1580" s="21">
        <v>0</v>
      </c>
      <c r="L1580" s="21">
        <v>0</v>
      </c>
      <c r="M1580" s="21">
        <v>0</v>
      </c>
      <c r="N1580" s="21">
        <v>0</v>
      </c>
      <c r="O1580" s="21">
        <v>0</v>
      </c>
      <c r="P1580" s="21">
        <v>0</v>
      </c>
      <c r="Q1580" s="21">
        <v>0</v>
      </c>
      <c r="R1580" s="21">
        <v>0</v>
      </c>
      <c r="S1580" s="21">
        <v>0</v>
      </c>
      <c r="T1580" s="21">
        <v>0</v>
      </c>
      <c r="U1580" s="21">
        <v>0</v>
      </c>
      <c r="V1580" s="21">
        <v>0</v>
      </c>
      <c r="W1580" s="21">
        <v>0</v>
      </c>
      <c r="X1580" s="21">
        <v>0</v>
      </c>
      <c r="Y1580" s="4" t="s">
        <v>2276</v>
      </c>
      <c r="Z1580" s="4" t="s">
        <v>2276</v>
      </c>
      <c r="AA1580" s="4" t="s">
        <v>2276</v>
      </c>
      <c r="AB1580" s="4" t="s">
        <v>2276</v>
      </c>
      <c r="AC1580" s="4" t="s">
        <v>4693</v>
      </c>
      <c r="AD1580" s="3"/>
    </row>
    <row r="1581" spans="1:30" ht="49" customHeight="1">
      <c r="A1581" s="11" t="s">
        <v>4674</v>
      </c>
      <c r="B1581" s="11" t="s">
        <v>4692</v>
      </c>
      <c r="C1581" s="3" t="s">
        <v>24</v>
      </c>
      <c r="D1581" s="3" t="s">
        <v>27</v>
      </c>
      <c r="E1581" s="4" t="s">
        <v>3854</v>
      </c>
      <c r="F1581" s="4" t="s">
        <v>28</v>
      </c>
      <c r="G1581" s="3" t="s">
        <v>2276</v>
      </c>
      <c r="H1581" s="4" t="s">
        <v>524</v>
      </c>
      <c r="I1581" s="3"/>
      <c r="J1581" s="21">
        <v>0</v>
      </c>
      <c r="K1581" s="21">
        <v>0</v>
      </c>
      <c r="L1581" s="21">
        <v>0</v>
      </c>
      <c r="M1581" s="21">
        <v>0</v>
      </c>
      <c r="N1581" s="21">
        <v>0</v>
      </c>
      <c r="O1581" s="21">
        <v>0</v>
      </c>
      <c r="P1581" s="21">
        <v>0</v>
      </c>
      <c r="Q1581" s="21">
        <v>0</v>
      </c>
      <c r="R1581" s="21">
        <v>0</v>
      </c>
      <c r="S1581" s="21">
        <v>0</v>
      </c>
      <c r="T1581" s="21">
        <v>0</v>
      </c>
      <c r="U1581" s="21">
        <v>0</v>
      </c>
      <c r="V1581" s="21">
        <v>0</v>
      </c>
      <c r="W1581" s="21">
        <v>0</v>
      </c>
      <c r="X1581" s="21">
        <v>0</v>
      </c>
      <c r="Y1581" s="4" t="s">
        <v>2276</v>
      </c>
      <c r="Z1581" s="4" t="s">
        <v>2276</v>
      </c>
      <c r="AA1581" s="4" t="s">
        <v>2276</v>
      </c>
      <c r="AB1581" s="4" t="s">
        <v>2276</v>
      </c>
      <c r="AC1581" s="4" t="s">
        <v>4693</v>
      </c>
      <c r="AD1581" s="3"/>
    </row>
    <row r="1582" spans="1:30" ht="38" customHeight="1">
      <c r="A1582" s="3" t="s">
        <v>4695</v>
      </c>
      <c r="B1582" s="3" t="s">
        <v>4702</v>
      </c>
      <c r="C1582" s="3" t="s">
        <v>24</v>
      </c>
      <c r="D1582" s="3" t="s">
        <v>1245</v>
      </c>
      <c r="E1582" s="3" t="s">
        <v>5005</v>
      </c>
      <c r="F1582" s="4" t="s">
        <v>2662</v>
      </c>
      <c r="G1582" s="3" t="s">
        <v>2276</v>
      </c>
      <c r="H1582" s="4" t="s">
        <v>524</v>
      </c>
      <c r="I1582" s="3"/>
      <c r="J1582" s="21">
        <v>0</v>
      </c>
      <c r="K1582" s="21">
        <v>0</v>
      </c>
      <c r="L1582" s="21">
        <v>0</v>
      </c>
      <c r="M1582" s="21">
        <v>0</v>
      </c>
      <c r="N1582" s="21">
        <v>0</v>
      </c>
      <c r="O1582" s="21">
        <v>0</v>
      </c>
      <c r="P1582" s="21">
        <v>0</v>
      </c>
      <c r="Q1582" s="21">
        <v>0</v>
      </c>
      <c r="R1582" s="21">
        <v>0</v>
      </c>
      <c r="S1582" s="21">
        <v>0</v>
      </c>
      <c r="T1582" s="21">
        <v>0</v>
      </c>
      <c r="U1582" s="21">
        <v>0</v>
      </c>
      <c r="V1582" s="21">
        <v>0</v>
      </c>
      <c r="W1582" s="21">
        <v>0</v>
      </c>
      <c r="X1582" s="21">
        <v>0</v>
      </c>
      <c r="Y1582" s="4" t="s">
        <v>2276</v>
      </c>
      <c r="Z1582" s="4" t="s">
        <v>2276</v>
      </c>
      <c r="AA1582" s="4" t="s">
        <v>2276</v>
      </c>
      <c r="AB1582" s="4" t="s">
        <v>2276</v>
      </c>
      <c r="AC1582" s="4" t="s">
        <v>4706</v>
      </c>
      <c r="AD1582" s="3"/>
    </row>
    <row r="1583" spans="1:30" ht="38" customHeight="1">
      <c r="A1583" s="3" t="s">
        <v>4696</v>
      </c>
      <c r="B1583" s="3" t="s">
        <v>4703</v>
      </c>
      <c r="C1583" s="3" t="s">
        <v>24</v>
      </c>
      <c r="D1583" s="3" t="s">
        <v>1245</v>
      </c>
      <c r="E1583" s="3" t="s">
        <v>5005</v>
      </c>
      <c r="F1583" s="4" t="s">
        <v>2662</v>
      </c>
      <c r="G1583" s="3" t="s">
        <v>2276</v>
      </c>
      <c r="H1583" s="4" t="s">
        <v>524</v>
      </c>
      <c r="I1583" s="3"/>
      <c r="J1583" s="21">
        <v>0</v>
      </c>
      <c r="K1583" s="21">
        <v>0</v>
      </c>
      <c r="L1583" s="21">
        <v>0</v>
      </c>
      <c r="M1583" s="21">
        <v>0</v>
      </c>
      <c r="N1583" s="21">
        <v>0</v>
      </c>
      <c r="O1583" s="21">
        <v>0</v>
      </c>
      <c r="P1583" s="21">
        <v>0</v>
      </c>
      <c r="Q1583" s="21">
        <v>0</v>
      </c>
      <c r="R1583" s="21">
        <v>0</v>
      </c>
      <c r="S1583" s="21">
        <v>0</v>
      </c>
      <c r="T1583" s="21">
        <v>0</v>
      </c>
      <c r="U1583" s="21">
        <v>0</v>
      </c>
      <c r="V1583" s="21">
        <v>0</v>
      </c>
      <c r="W1583" s="21">
        <v>0</v>
      </c>
      <c r="X1583" s="21">
        <v>0</v>
      </c>
      <c r="Y1583" s="4" t="s">
        <v>2276</v>
      </c>
      <c r="Z1583" s="4" t="s">
        <v>2276</v>
      </c>
      <c r="AA1583" s="4" t="s">
        <v>2276</v>
      </c>
      <c r="AB1583" s="4" t="s">
        <v>2276</v>
      </c>
      <c r="AC1583" s="4" t="s">
        <v>4706</v>
      </c>
      <c r="AD1583" s="3"/>
    </row>
    <row r="1584" spans="1:30" ht="38" customHeight="1">
      <c r="A1584" s="3" t="s">
        <v>4697</v>
      </c>
      <c r="B1584" s="3" t="s">
        <v>4704</v>
      </c>
      <c r="C1584" s="3" t="s">
        <v>24</v>
      </c>
      <c r="D1584" s="3" t="s">
        <v>1245</v>
      </c>
      <c r="E1584" s="3" t="s">
        <v>5005</v>
      </c>
      <c r="F1584" s="4" t="s">
        <v>2662</v>
      </c>
      <c r="G1584" s="3" t="s">
        <v>2276</v>
      </c>
      <c r="H1584" s="4" t="s">
        <v>524</v>
      </c>
      <c r="I1584" s="3"/>
      <c r="J1584" s="21">
        <v>0</v>
      </c>
      <c r="K1584" s="21">
        <v>0</v>
      </c>
      <c r="L1584" s="21">
        <v>0</v>
      </c>
      <c r="M1584" s="21">
        <v>0</v>
      </c>
      <c r="N1584" s="21">
        <v>0</v>
      </c>
      <c r="O1584" s="21">
        <v>0</v>
      </c>
      <c r="P1584" s="21">
        <v>0</v>
      </c>
      <c r="Q1584" s="21">
        <v>0</v>
      </c>
      <c r="R1584" s="21">
        <v>0</v>
      </c>
      <c r="S1584" s="21">
        <v>0</v>
      </c>
      <c r="T1584" s="21">
        <v>0</v>
      </c>
      <c r="U1584" s="21">
        <v>0</v>
      </c>
      <c r="V1584" s="21">
        <v>0</v>
      </c>
      <c r="W1584" s="21">
        <v>0</v>
      </c>
      <c r="X1584" s="21">
        <v>0</v>
      </c>
      <c r="Y1584" s="4" t="s">
        <v>2276</v>
      </c>
      <c r="Z1584" s="4" t="s">
        <v>2276</v>
      </c>
      <c r="AA1584" s="4" t="s">
        <v>2276</v>
      </c>
      <c r="AB1584" s="4" t="s">
        <v>2276</v>
      </c>
      <c r="AC1584" s="4" t="s">
        <v>4706</v>
      </c>
      <c r="AD1584" s="3"/>
    </row>
    <row r="1585" spans="1:30" ht="54.5" customHeight="1">
      <c r="A1585" s="3" t="s">
        <v>4695</v>
      </c>
      <c r="B1585" s="3" t="s">
        <v>4707</v>
      </c>
      <c r="C1585" s="3" t="s">
        <v>24</v>
      </c>
      <c r="D1585" s="3" t="s">
        <v>2231</v>
      </c>
      <c r="E1585" s="4" t="s">
        <v>397</v>
      </c>
      <c r="F1585" s="4" t="s">
        <v>2662</v>
      </c>
      <c r="G1585" s="3" t="s">
        <v>2276</v>
      </c>
      <c r="H1585" s="3" t="s">
        <v>523</v>
      </c>
      <c r="I1585" s="3"/>
      <c r="J1585" s="4" t="s">
        <v>2276</v>
      </c>
      <c r="K1585" s="4" t="s">
        <v>2276</v>
      </c>
      <c r="L1585" s="4" t="s">
        <v>2276</v>
      </c>
      <c r="M1585" s="4" t="s">
        <v>2276</v>
      </c>
      <c r="N1585" s="4" t="s">
        <v>2276</v>
      </c>
      <c r="O1585" s="4" t="s">
        <v>2276</v>
      </c>
      <c r="P1585" s="4" t="s">
        <v>2276</v>
      </c>
      <c r="Q1585" s="4" t="s">
        <v>2276</v>
      </c>
      <c r="R1585" s="4" t="s">
        <v>2276</v>
      </c>
      <c r="S1585" s="4" t="s">
        <v>2276</v>
      </c>
      <c r="T1585" s="4" t="s">
        <v>2276</v>
      </c>
      <c r="U1585" s="4" t="s">
        <v>2276</v>
      </c>
      <c r="V1585" s="4" t="s">
        <v>2276</v>
      </c>
      <c r="W1585" s="4" t="s">
        <v>2276</v>
      </c>
      <c r="X1585" s="4" t="s">
        <v>2276</v>
      </c>
      <c r="Y1585" s="4" t="s">
        <v>2276</v>
      </c>
      <c r="Z1585" s="4" t="s">
        <v>2276</v>
      </c>
      <c r="AA1585" s="4" t="s">
        <v>2276</v>
      </c>
      <c r="AB1585" s="4" t="s">
        <v>2276</v>
      </c>
      <c r="AC1585" s="4" t="s">
        <v>4713</v>
      </c>
      <c r="AD1585" s="3"/>
    </row>
    <row r="1586" spans="1:30" ht="54.5" customHeight="1">
      <c r="A1586" s="3" t="s">
        <v>4696</v>
      </c>
      <c r="B1586" s="3" t="s">
        <v>4708</v>
      </c>
      <c r="C1586" s="3" t="s">
        <v>24</v>
      </c>
      <c r="D1586" s="3" t="s">
        <v>2231</v>
      </c>
      <c r="E1586" s="4" t="s">
        <v>397</v>
      </c>
      <c r="F1586" s="4" t="s">
        <v>2662</v>
      </c>
      <c r="G1586" s="3" t="s">
        <v>2276</v>
      </c>
      <c r="H1586" s="3" t="s">
        <v>523</v>
      </c>
      <c r="I1586" s="3"/>
      <c r="J1586" s="4" t="s">
        <v>2276</v>
      </c>
      <c r="K1586" s="4" t="s">
        <v>2276</v>
      </c>
      <c r="L1586" s="4" t="s">
        <v>2276</v>
      </c>
      <c r="M1586" s="4" t="s">
        <v>2276</v>
      </c>
      <c r="N1586" s="4" t="s">
        <v>2276</v>
      </c>
      <c r="O1586" s="4" t="s">
        <v>2276</v>
      </c>
      <c r="P1586" s="4" t="s">
        <v>2276</v>
      </c>
      <c r="Q1586" s="4" t="s">
        <v>2276</v>
      </c>
      <c r="R1586" s="4" t="s">
        <v>2276</v>
      </c>
      <c r="S1586" s="4" t="s">
        <v>2276</v>
      </c>
      <c r="T1586" s="4" t="s">
        <v>2276</v>
      </c>
      <c r="U1586" s="4" t="s">
        <v>2276</v>
      </c>
      <c r="V1586" s="4" t="s">
        <v>2276</v>
      </c>
      <c r="W1586" s="4" t="s">
        <v>2276</v>
      </c>
      <c r="X1586" s="4" t="s">
        <v>2276</v>
      </c>
      <c r="Y1586" s="4" t="s">
        <v>2276</v>
      </c>
      <c r="Z1586" s="4" t="s">
        <v>2276</v>
      </c>
      <c r="AA1586" s="4" t="s">
        <v>2276</v>
      </c>
      <c r="AB1586" s="4" t="s">
        <v>2276</v>
      </c>
      <c r="AC1586" s="4" t="s">
        <v>4713</v>
      </c>
      <c r="AD1586" s="3"/>
    </row>
    <row r="1587" spans="1:30" ht="54.5" customHeight="1">
      <c r="A1587" s="3" t="s">
        <v>4697</v>
      </c>
      <c r="B1587" s="3" t="s">
        <v>4709</v>
      </c>
      <c r="C1587" s="3" t="s">
        <v>24</v>
      </c>
      <c r="D1587" s="3" t="s">
        <v>2231</v>
      </c>
      <c r="E1587" s="4" t="s">
        <v>397</v>
      </c>
      <c r="F1587" s="4" t="s">
        <v>2662</v>
      </c>
      <c r="G1587" s="3" t="s">
        <v>2276</v>
      </c>
      <c r="H1587" s="3" t="s">
        <v>523</v>
      </c>
      <c r="I1587" s="3"/>
      <c r="J1587" s="4" t="s">
        <v>2276</v>
      </c>
      <c r="K1587" s="4" t="s">
        <v>2276</v>
      </c>
      <c r="L1587" s="4" t="s">
        <v>2276</v>
      </c>
      <c r="M1587" s="4" t="s">
        <v>2276</v>
      </c>
      <c r="N1587" s="4" t="s">
        <v>2276</v>
      </c>
      <c r="O1587" s="4" t="s">
        <v>2276</v>
      </c>
      <c r="P1587" s="4" t="s">
        <v>2276</v>
      </c>
      <c r="Q1587" s="4" t="s">
        <v>2276</v>
      </c>
      <c r="R1587" s="4" t="s">
        <v>2276</v>
      </c>
      <c r="S1587" s="4" t="s">
        <v>2276</v>
      </c>
      <c r="T1587" s="4" t="s">
        <v>2276</v>
      </c>
      <c r="U1587" s="4" t="s">
        <v>2276</v>
      </c>
      <c r="V1587" s="4" t="s">
        <v>2276</v>
      </c>
      <c r="W1587" s="4" t="s">
        <v>2276</v>
      </c>
      <c r="X1587" s="4" t="s">
        <v>2276</v>
      </c>
      <c r="Y1587" s="4" t="s">
        <v>2276</v>
      </c>
      <c r="Z1587" s="4" t="s">
        <v>2276</v>
      </c>
      <c r="AA1587" s="4" t="s">
        <v>2276</v>
      </c>
      <c r="AB1587" s="4" t="s">
        <v>2276</v>
      </c>
      <c r="AC1587" s="4" t="s">
        <v>4713</v>
      </c>
      <c r="AD1587" s="3"/>
    </row>
    <row r="1588" spans="1:30" ht="54.5" customHeight="1">
      <c r="A1588" s="3" t="s">
        <v>4695</v>
      </c>
      <c r="B1588" s="3" t="s">
        <v>4710</v>
      </c>
      <c r="C1588" s="3" t="s">
        <v>24</v>
      </c>
      <c r="D1588" s="3" t="s">
        <v>2346</v>
      </c>
      <c r="E1588" s="4" t="s">
        <v>397</v>
      </c>
      <c r="F1588" s="4" t="s">
        <v>29</v>
      </c>
      <c r="G1588" s="3" t="s">
        <v>2276</v>
      </c>
      <c r="H1588" s="3" t="s">
        <v>523</v>
      </c>
      <c r="I1588" s="3"/>
      <c r="J1588" s="4" t="s">
        <v>2276</v>
      </c>
      <c r="K1588" s="4" t="s">
        <v>2276</v>
      </c>
      <c r="L1588" s="4" t="s">
        <v>2276</v>
      </c>
      <c r="M1588" s="4" t="s">
        <v>2276</v>
      </c>
      <c r="N1588" s="4" t="s">
        <v>2276</v>
      </c>
      <c r="O1588" s="4" t="s">
        <v>2276</v>
      </c>
      <c r="P1588" s="4" t="s">
        <v>2276</v>
      </c>
      <c r="Q1588" s="4" t="s">
        <v>2276</v>
      </c>
      <c r="R1588" s="4" t="s">
        <v>2276</v>
      </c>
      <c r="S1588" s="4" t="s">
        <v>2276</v>
      </c>
      <c r="T1588" s="4" t="s">
        <v>2276</v>
      </c>
      <c r="U1588" s="4" t="s">
        <v>2276</v>
      </c>
      <c r="V1588" s="4" t="s">
        <v>2276</v>
      </c>
      <c r="W1588" s="4" t="s">
        <v>2276</v>
      </c>
      <c r="X1588" s="4" t="s">
        <v>2276</v>
      </c>
      <c r="Y1588" s="4" t="s">
        <v>2276</v>
      </c>
      <c r="Z1588" s="4" t="s">
        <v>2276</v>
      </c>
      <c r="AA1588" s="4" t="s">
        <v>2276</v>
      </c>
      <c r="AB1588" s="4" t="s">
        <v>2276</v>
      </c>
      <c r="AC1588" s="4" t="s">
        <v>4713</v>
      </c>
      <c r="AD1588" s="3"/>
    </row>
    <row r="1589" spans="1:30" ht="54.5" customHeight="1">
      <c r="A1589" s="3" t="s">
        <v>4696</v>
      </c>
      <c r="B1589" s="3" t="s">
        <v>4711</v>
      </c>
      <c r="C1589" s="3" t="s">
        <v>24</v>
      </c>
      <c r="D1589" s="3" t="s">
        <v>2346</v>
      </c>
      <c r="E1589" s="4" t="s">
        <v>397</v>
      </c>
      <c r="F1589" s="4" t="s">
        <v>29</v>
      </c>
      <c r="G1589" s="3" t="s">
        <v>2276</v>
      </c>
      <c r="H1589" s="3" t="s">
        <v>523</v>
      </c>
      <c r="I1589" s="3"/>
      <c r="J1589" s="4" t="s">
        <v>2276</v>
      </c>
      <c r="K1589" s="4" t="s">
        <v>2276</v>
      </c>
      <c r="L1589" s="4" t="s">
        <v>2276</v>
      </c>
      <c r="M1589" s="4" t="s">
        <v>2276</v>
      </c>
      <c r="N1589" s="4" t="s">
        <v>2276</v>
      </c>
      <c r="O1589" s="4" t="s">
        <v>2276</v>
      </c>
      <c r="P1589" s="4" t="s">
        <v>2276</v>
      </c>
      <c r="Q1589" s="4" t="s">
        <v>2276</v>
      </c>
      <c r="R1589" s="4" t="s">
        <v>2276</v>
      </c>
      <c r="S1589" s="4" t="s">
        <v>2276</v>
      </c>
      <c r="T1589" s="4" t="s">
        <v>2276</v>
      </c>
      <c r="U1589" s="4" t="s">
        <v>2276</v>
      </c>
      <c r="V1589" s="4" t="s">
        <v>2276</v>
      </c>
      <c r="W1589" s="4" t="s">
        <v>2276</v>
      </c>
      <c r="X1589" s="4" t="s">
        <v>2276</v>
      </c>
      <c r="Y1589" s="4" t="s">
        <v>2276</v>
      </c>
      <c r="Z1589" s="4" t="s">
        <v>2276</v>
      </c>
      <c r="AA1589" s="4" t="s">
        <v>2276</v>
      </c>
      <c r="AB1589" s="4" t="s">
        <v>2276</v>
      </c>
      <c r="AC1589" s="4" t="s">
        <v>4713</v>
      </c>
      <c r="AD1589" s="3"/>
    </row>
    <row r="1590" spans="1:30" ht="54.5" customHeight="1">
      <c r="A1590" s="3" t="s">
        <v>4697</v>
      </c>
      <c r="B1590" s="3" t="s">
        <v>4712</v>
      </c>
      <c r="C1590" s="3" t="s">
        <v>24</v>
      </c>
      <c r="D1590" s="3" t="s">
        <v>2346</v>
      </c>
      <c r="E1590" s="4" t="s">
        <v>397</v>
      </c>
      <c r="F1590" s="4" t="s">
        <v>29</v>
      </c>
      <c r="G1590" s="3" t="s">
        <v>2276</v>
      </c>
      <c r="H1590" s="3" t="s">
        <v>523</v>
      </c>
      <c r="I1590" s="3"/>
      <c r="J1590" s="4" t="s">
        <v>2276</v>
      </c>
      <c r="K1590" s="4" t="s">
        <v>2276</v>
      </c>
      <c r="L1590" s="4" t="s">
        <v>2276</v>
      </c>
      <c r="M1590" s="4" t="s">
        <v>2276</v>
      </c>
      <c r="N1590" s="4" t="s">
        <v>2276</v>
      </c>
      <c r="O1590" s="4" t="s">
        <v>2276</v>
      </c>
      <c r="P1590" s="4" t="s">
        <v>2276</v>
      </c>
      <c r="Q1590" s="4" t="s">
        <v>2276</v>
      </c>
      <c r="R1590" s="4" t="s">
        <v>2276</v>
      </c>
      <c r="S1590" s="4" t="s">
        <v>2276</v>
      </c>
      <c r="T1590" s="4" t="s">
        <v>2276</v>
      </c>
      <c r="U1590" s="4" t="s">
        <v>2276</v>
      </c>
      <c r="V1590" s="4" t="s">
        <v>2276</v>
      </c>
      <c r="W1590" s="4" t="s">
        <v>2276</v>
      </c>
      <c r="X1590" s="4" t="s">
        <v>2276</v>
      </c>
      <c r="Y1590" s="4" t="s">
        <v>2276</v>
      </c>
      <c r="Z1590" s="4" t="s">
        <v>2276</v>
      </c>
      <c r="AA1590" s="4" t="s">
        <v>2276</v>
      </c>
      <c r="AB1590" s="4" t="s">
        <v>2276</v>
      </c>
      <c r="AC1590" s="4" t="s">
        <v>4713</v>
      </c>
      <c r="AD1590" s="3"/>
    </row>
    <row r="1591" spans="1:30" ht="57.5" customHeight="1">
      <c r="A1591" s="11" t="s">
        <v>4716</v>
      </c>
      <c r="B1591" s="11" t="s">
        <v>4724</v>
      </c>
      <c r="C1591" s="3" t="s">
        <v>24</v>
      </c>
      <c r="D1591" s="3" t="s">
        <v>2346</v>
      </c>
      <c r="E1591" s="3" t="s">
        <v>84</v>
      </c>
      <c r="F1591" s="4" t="s">
        <v>29</v>
      </c>
      <c r="G1591" s="3" t="s">
        <v>2276</v>
      </c>
      <c r="H1591" s="3" t="s">
        <v>523</v>
      </c>
      <c r="I1591" s="3"/>
      <c r="J1591" s="4" t="s">
        <v>2276</v>
      </c>
      <c r="K1591" s="4" t="s">
        <v>2276</v>
      </c>
      <c r="L1591" s="4" t="s">
        <v>2276</v>
      </c>
      <c r="M1591" s="4" t="s">
        <v>2276</v>
      </c>
      <c r="N1591" s="4" t="s">
        <v>2276</v>
      </c>
      <c r="O1591" s="4" t="s">
        <v>2276</v>
      </c>
      <c r="P1591" s="4" t="s">
        <v>2276</v>
      </c>
      <c r="Q1591" s="4" t="s">
        <v>2276</v>
      </c>
      <c r="R1591" s="4" t="s">
        <v>2276</v>
      </c>
      <c r="S1591" s="4" t="s">
        <v>2276</v>
      </c>
      <c r="T1591" s="4" t="s">
        <v>2276</v>
      </c>
      <c r="U1591" s="4" t="s">
        <v>2276</v>
      </c>
      <c r="V1591" s="4" t="s">
        <v>2276</v>
      </c>
      <c r="W1591" s="4" t="s">
        <v>2276</v>
      </c>
      <c r="X1591" s="4" t="s">
        <v>2276</v>
      </c>
      <c r="Y1591" s="4" t="s">
        <v>2276</v>
      </c>
      <c r="Z1591" s="3" t="s">
        <v>404</v>
      </c>
      <c r="AA1591" s="3" t="s">
        <v>68</v>
      </c>
      <c r="AB1591" s="3" t="s">
        <v>64</v>
      </c>
      <c r="AC1591" s="4" t="s">
        <v>4725</v>
      </c>
      <c r="AD1591" s="3"/>
    </row>
    <row r="1592" spans="1:30" ht="57.5" customHeight="1">
      <c r="A1592" s="11" t="s">
        <v>4716</v>
      </c>
      <c r="B1592" s="11" t="s">
        <v>4726</v>
      </c>
      <c r="C1592" s="3" t="s">
        <v>24</v>
      </c>
      <c r="D1592" s="3" t="s">
        <v>1105</v>
      </c>
      <c r="E1592" s="3" t="s">
        <v>2647</v>
      </c>
      <c r="F1592" s="4" t="s">
        <v>28</v>
      </c>
      <c r="G1592" s="3" t="s">
        <v>2276</v>
      </c>
      <c r="H1592" s="3" t="s">
        <v>524</v>
      </c>
      <c r="I1592" s="3"/>
      <c r="J1592" s="21">
        <v>0</v>
      </c>
      <c r="K1592" s="21">
        <v>0</v>
      </c>
      <c r="L1592" s="21">
        <v>0</v>
      </c>
      <c r="M1592" s="21">
        <v>0</v>
      </c>
      <c r="N1592" s="21">
        <v>0</v>
      </c>
      <c r="O1592" s="21">
        <v>0</v>
      </c>
      <c r="P1592" s="21">
        <v>0</v>
      </c>
      <c r="Q1592" s="21">
        <v>0</v>
      </c>
      <c r="R1592" s="21">
        <v>0</v>
      </c>
      <c r="S1592" s="21">
        <v>0</v>
      </c>
      <c r="T1592" s="21">
        <v>0</v>
      </c>
      <c r="U1592" s="21">
        <v>0</v>
      </c>
      <c r="V1592" s="21">
        <v>0</v>
      </c>
      <c r="W1592" s="21">
        <v>0</v>
      </c>
      <c r="X1592" s="21">
        <v>0</v>
      </c>
      <c r="Y1592" s="4" t="s">
        <v>2276</v>
      </c>
      <c r="Z1592" s="4" t="s">
        <v>2276</v>
      </c>
      <c r="AA1592" s="4" t="s">
        <v>2276</v>
      </c>
      <c r="AB1592" s="4" t="s">
        <v>2276</v>
      </c>
      <c r="AC1592" s="4"/>
      <c r="AD1592" s="3"/>
    </row>
    <row r="1593" spans="1:30" ht="54.5" customHeight="1">
      <c r="A1593" s="11" t="s">
        <v>4716</v>
      </c>
      <c r="B1593" s="11" t="s">
        <v>4727</v>
      </c>
      <c r="C1593" s="3" t="s">
        <v>2656</v>
      </c>
      <c r="D1593" s="3" t="s">
        <v>2276</v>
      </c>
      <c r="E1593" s="3" t="s">
        <v>2276</v>
      </c>
      <c r="F1593" s="4" t="s">
        <v>2276</v>
      </c>
      <c r="G1593" s="4" t="s">
        <v>2662</v>
      </c>
      <c r="H1593" s="3" t="s">
        <v>523</v>
      </c>
      <c r="I1593" s="3"/>
      <c r="J1593" s="4" t="s">
        <v>2276</v>
      </c>
      <c r="K1593" s="4" t="s">
        <v>2276</v>
      </c>
      <c r="L1593" s="4" t="s">
        <v>2276</v>
      </c>
      <c r="M1593" s="4" t="s">
        <v>2276</v>
      </c>
      <c r="N1593" s="4" t="s">
        <v>2276</v>
      </c>
      <c r="O1593" s="4" t="s">
        <v>2276</v>
      </c>
      <c r="P1593" s="4" t="s">
        <v>2276</v>
      </c>
      <c r="Q1593" s="4" t="s">
        <v>2276</v>
      </c>
      <c r="R1593" s="4" t="s">
        <v>2276</v>
      </c>
      <c r="S1593" s="4" t="s">
        <v>2276</v>
      </c>
      <c r="T1593" s="4" t="s">
        <v>2276</v>
      </c>
      <c r="U1593" s="4" t="s">
        <v>2276</v>
      </c>
      <c r="V1593" s="4" t="s">
        <v>2276</v>
      </c>
      <c r="W1593" s="4" t="s">
        <v>2276</v>
      </c>
      <c r="X1593" s="4" t="s">
        <v>2276</v>
      </c>
      <c r="Y1593" s="4" t="s">
        <v>2276</v>
      </c>
      <c r="Z1593" s="4" t="s">
        <v>2276</v>
      </c>
      <c r="AA1593" s="4" t="s">
        <v>2276</v>
      </c>
      <c r="AB1593" s="4" t="s">
        <v>2276</v>
      </c>
      <c r="AC1593" s="3"/>
      <c r="AD1593" s="3"/>
    </row>
    <row r="1594" spans="1:30" ht="54.5" customHeight="1">
      <c r="A1594" s="11" t="s">
        <v>4716</v>
      </c>
      <c r="B1594" s="11" t="s">
        <v>4728</v>
      </c>
      <c r="C1594" s="3" t="s">
        <v>2656</v>
      </c>
      <c r="D1594" s="3" t="s">
        <v>2276</v>
      </c>
      <c r="E1594" s="3" t="s">
        <v>2276</v>
      </c>
      <c r="F1594" s="4" t="s">
        <v>2276</v>
      </c>
      <c r="G1594" s="3" t="s">
        <v>28</v>
      </c>
      <c r="H1594" s="3" t="s">
        <v>524</v>
      </c>
      <c r="I1594" s="3"/>
      <c r="J1594" s="21">
        <v>0</v>
      </c>
      <c r="K1594" s="21">
        <v>0</v>
      </c>
      <c r="L1594" s="21">
        <v>0</v>
      </c>
      <c r="M1594" s="21">
        <v>0</v>
      </c>
      <c r="N1594" s="21">
        <v>0</v>
      </c>
      <c r="O1594" s="21">
        <v>0</v>
      </c>
      <c r="P1594" s="21">
        <v>0</v>
      </c>
      <c r="Q1594" s="21">
        <v>0</v>
      </c>
      <c r="R1594" s="21">
        <v>0</v>
      </c>
      <c r="S1594" s="21">
        <v>0</v>
      </c>
      <c r="T1594" s="21">
        <v>0</v>
      </c>
      <c r="U1594" s="21">
        <v>0</v>
      </c>
      <c r="V1594" s="21">
        <v>0</v>
      </c>
      <c r="W1594" s="21">
        <v>0</v>
      </c>
      <c r="X1594" s="21">
        <v>0</v>
      </c>
      <c r="Y1594" s="4" t="s">
        <v>2276</v>
      </c>
      <c r="Z1594" s="4" t="s">
        <v>2276</v>
      </c>
      <c r="AA1594" s="4" t="s">
        <v>2276</v>
      </c>
      <c r="AB1594" s="4" t="s">
        <v>2276</v>
      </c>
      <c r="AC1594" s="4" t="s">
        <v>4729</v>
      </c>
      <c r="AD1594" s="3"/>
    </row>
    <row r="1595" spans="1:30" ht="52.5" customHeight="1">
      <c r="A1595" s="11" t="s">
        <v>4716</v>
      </c>
      <c r="B1595" s="11" t="s">
        <v>4775</v>
      </c>
      <c r="C1595" s="3" t="s">
        <v>24</v>
      </c>
      <c r="D1595" s="3" t="s">
        <v>2804</v>
      </c>
      <c r="E1595" s="3" t="s">
        <v>5005</v>
      </c>
      <c r="F1595" s="4" t="s">
        <v>2662</v>
      </c>
      <c r="G1595" s="3" t="s">
        <v>2276</v>
      </c>
      <c r="H1595" s="3" t="s">
        <v>523</v>
      </c>
      <c r="I1595" s="3"/>
      <c r="J1595" s="4" t="s">
        <v>2276</v>
      </c>
      <c r="K1595" s="4" t="s">
        <v>2276</v>
      </c>
      <c r="L1595" s="4" t="s">
        <v>2276</v>
      </c>
      <c r="M1595" s="4" t="s">
        <v>2276</v>
      </c>
      <c r="N1595" s="4" t="s">
        <v>2276</v>
      </c>
      <c r="O1595" s="4" t="s">
        <v>2276</v>
      </c>
      <c r="P1595" s="4" t="s">
        <v>2276</v>
      </c>
      <c r="Q1595" s="4" t="s">
        <v>2276</v>
      </c>
      <c r="R1595" s="4" t="s">
        <v>2276</v>
      </c>
      <c r="S1595" s="4" t="s">
        <v>2276</v>
      </c>
      <c r="T1595" s="4" t="s">
        <v>2276</v>
      </c>
      <c r="U1595" s="4" t="s">
        <v>2276</v>
      </c>
      <c r="V1595" s="4" t="s">
        <v>2276</v>
      </c>
      <c r="W1595" s="4" t="s">
        <v>2276</v>
      </c>
      <c r="X1595" s="4" t="s">
        <v>2276</v>
      </c>
      <c r="Y1595" s="4" t="s">
        <v>2276</v>
      </c>
      <c r="Z1595" s="4" t="s">
        <v>2276</v>
      </c>
      <c r="AA1595" s="4" t="s">
        <v>2276</v>
      </c>
      <c r="AB1595" s="4" t="s">
        <v>2276</v>
      </c>
      <c r="AC1595" s="4" t="s">
        <v>4732</v>
      </c>
      <c r="AD1595" s="3"/>
    </row>
    <row r="1596" spans="1:30" ht="54.5" customHeight="1">
      <c r="A1596" s="11" t="s">
        <v>4742</v>
      </c>
      <c r="B1596" s="11" t="s">
        <v>4749</v>
      </c>
      <c r="C1596" s="3" t="s">
        <v>2656</v>
      </c>
      <c r="D1596" s="3" t="s">
        <v>2276</v>
      </c>
      <c r="E1596" s="3" t="s">
        <v>2276</v>
      </c>
      <c r="F1596" s="4" t="s">
        <v>2276</v>
      </c>
      <c r="G1596" s="60" t="s">
        <v>2662</v>
      </c>
      <c r="H1596" s="3" t="s">
        <v>523</v>
      </c>
      <c r="I1596" s="3">
        <v>1937</v>
      </c>
      <c r="J1596" s="4" t="s">
        <v>2276</v>
      </c>
      <c r="K1596" s="4" t="s">
        <v>2276</v>
      </c>
      <c r="L1596" s="4" t="s">
        <v>2276</v>
      </c>
      <c r="M1596" s="4" t="s">
        <v>2276</v>
      </c>
      <c r="N1596" s="4" t="s">
        <v>2276</v>
      </c>
      <c r="O1596" s="4" t="s">
        <v>2276</v>
      </c>
      <c r="P1596" s="4" t="s">
        <v>2276</v>
      </c>
      <c r="Q1596" s="4" t="s">
        <v>2276</v>
      </c>
      <c r="R1596" s="4" t="s">
        <v>2276</v>
      </c>
      <c r="S1596" s="4" t="s">
        <v>2276</v>
      </c>
      <c r="T1596" s="4" t="s">
        <v>2276</v>
      </c>
      <c r="U1596" s="4" t="s">
        <v>2276</v>
      </c>
      <c r="V1596" s="4" t="s">
        <v>2276</v>
      </c>
      <c r="W1596" s="4" t="s">
        <v>2276</v>
      </c>
      <c r="X1596" s="4" t="s">
        <v>2276</v>
      </c>
      <c r="Y1596" s="4" t="s">
        <v>2276</v>
      </c>
      <c r="Z1596" s="4" t="s">
        <v>2276</v>
      </c>
      <c r="AA1596" s="4" t="s">
        <v>2276</v>
      </c>
      <c r="AB1596" s="4" t="s">
        <v>2276</v>
      </c>
      <c r="AC1596" s="4" t="s">
        <v>4751</v>
      </c>
      <c r="AD1596" s="3"/>
    </row>
    <row r="1597" spans="1:30" ht="55.5" customHeight="1">
      <c r="A1597" s="35" t="s">
        <v>4742</v>
      </c>
      <c r="B1597" s="35" t="s">
        <v>4750</v>
      </c>
      <c r="C1597" s="38" t="s">
        <v>24</v>
      </c>
      <c r="D1597" s="38" t="s">
        <v>144</v>
      </c>
      <c r="E1597" s="3" t="s">
        <v>137</v>
      </c>
      <c r="F1597" s="168" t="s">
        <v>2662</v>
      </c>
      <c r="G1597" s="168" t="s">
        <v>2276</v>
      </c>
      <c r="H1597" s="38" t="s">
        <v>524</v>
      </c>
      <c r="I1597" s="3">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21">
        <v>0</v>
      </c>
      <c r="Y1597" s="21">
        <v>0</v>
      </c>
      <c r="Z1597" s="4" t="s">
        <v>2276</v>
      </c>
      <c r="AA1597" s="4" t="s">
        <v>2276</v>
      </c>
      <c r="AB1597" s="4" t="s">
        <v>2276</v>
      </c>
      <c r="AC1597" s="38"/>
      <c r="AD1597" s="168"/>
    </row>
    <row r="1598" spans="1:30" s="122" customFormat="1" ht="43.5" customHeight="1">
      <c r="A1598" s="11" t="s">
        <v>4742</v>
      </c>
      <c r="B1598" s="11" t="s">
        <v>4752</v>
      </c>
      <c r="C1598" s="3" t="s">
        <v>24</v>
      </c>
      <c r="D1598" s="3" t="s">
        <v>2276</v>
      </c>
      <c r="E1598" s="3" t="s">
        <v>1105</v>
      </c>
      <c r="F1598" s="4" t="s">
        <v>2662</v>
      </c>
      <c r="G1598" s="168" t="s">
        <v>2276</v>
      </c>
      <c r="H1598" s="3" t="s">
        <v>523</v>
      </c>
      <c r="I1598" s="3">
        <v>1990</v>
      </c>
      <c r="J1598" s="4" t="s">
        <v>2276</v>
      </c>
      <c r="K1598" s="4" t="s">
        <v>2276</v>
      </c>
      <c r="L1598" s="4" t="s">
        <v>2276</v>
      </c>
      <c r="M1598" s="4" t="s">
        <v>2276</v>
      </c>
      <c r="N1598" s="4" t="s">
        <v>2276</v>
      </c>
      <c r="O1598" s="4" t="s">
        <v>2276</v>
      </c>
      <c r="P1598" s="4" t="s">
        <v>2276</v>
      </c>
      <c r="Q1598" s="4" t="s">
        <v>2276</v>
      </c>
      <c r="R1598" s="4" t="s">
        <v>2276</v>
      </c>
      <c r="S1598" s="4" t="s">
        <v>2276</v>
      </c>
      <c r="T1598" s="4" t="s">
        <v>2276</v>
      </c>
      <c r="U1598" s="4" t="s">
        <v>2276</v>
      </c>
      <c r="V1598" s="4" t="s">
        <v>2276</v>
      </c>
      <c r="W1598" s="4" t="s">
        <v>2276</v>
      </c>
      <c r="X1598" s="4" t="s">
        <v>2276</v>
      </c>
      <c r="Y1598" s="4" t="s">
        <v>2276</v>
      </c>
      <c r="Z1598" s="3" t="s">
        <v>38</v>
      </c>
      <c r="AA1598" s="3" t="s">
        <v>405</v>
      </c>
      <c r="AB1598" s="3" t="s">
        <v>76</v>
      </c>
      <c r="AC1598" s="4" t="s">
        <v>4762</v>
      </c>
      <c r="AD1598" s="168" t="s">
        <v>4753</v>
      </c>
    </row>
    <row r="1599" spans="1:30" s="122" customFormat="1" ht="43.5" customHeight="1">
      <c r="A1599" s="11" t="s">
        <v>4747</v>
      </c>
      <c r="B1599" s="11" t="s">
        <v>4754</v>
      </c>
      <c r="C1599" s="3" t="s">
        <v>24</v>
      </c>
      <c r="D1599" s="3" t="s">
        <v>2276</v>
      </c>
      <c r="E1599" s="3" t="s">
        <v>5005</v>
      </c>
      <c r="F1599" s="4" t="s">
        <v>2662</v>
      </c>
      <c r="G1599" s="168" t="s">
        <v>2276</v>
      </c>
      <c r="H1599" s="3" t="s">
        <v>523</v>
      </c>
      <c r="I1599" s="3">
        <v>1990</v>
      </c>
      <c r="J1599" s="4" t="s">
        <v>2276</v>
      </c>
      <c r="K1599" s="4" t="s">
        <v>2276</v>
      </c>
      <c r="L1599" s="4" t="s">
        <v>2276</v>
      </c>
      <c r="M1599" s="4" t="s">
        <v>2276</v>
      </c>
      <c r="N1599" s="4" t="s">
        <v>2276</v>
      </c>
      <c r="O1599" s="4" t="s">
        <v>2276</v>
      </c>
      <c r="P1599" s="4" t="s">
        <v>2276</v>
      </c>
      <c r="Q1599" s="4" t="s">
        <v>2276</v>
      </c>
      <c r="R1599" s="4" t="s">
        <v>2276</v>
      </c>
      <c r="S1599" s="4" t="s">
        <v>2276</v>
      </c>
      <c r="T1599" s="4" t="s">
        <v>2276</v>
      </c>
      <c r="U1599" s="4" t="s">
        <v>2276</v>
      </c>
      <c r="V1599" s="4" t="s">
        <v>2276</v>
      </c>
      <c r="W1599" s="4" t="s">
        <v>2276</v>
      </c>
      <c r="X1599" s="4" t="s">
        <v>2276</v>
      </c>
      <c r="Y1599" s="4" t="s">
        <v>2276</v>
      </c>
      <c r="Z1599" s="3" t="s">
        <v>38</v>
      </c>
      <c r="AA1599" s="3" t="s">
        <v>405</v>
      </c>
      <c r="AB1599" s="3" t="s">
        <v>76</v>
      </c>
      <c r="AC1599" s="4" t="s">
        <v>4762</v>
      </c>
      <c r="AD1599" s="168" t="s">
        <v>4753</v>
      </c>
    </row>
    <row r="1600" spans="1:30" s="122" customFormat="1" ht="43.5" customHeight="1">
      <c r="A1600" s="11" t="s">
        <v>4747</v>
      </c>
      <c r="B1600" s="11" t="s">
        <v>4756</v>
      </c>
      <c r="C1600" s="3" t="s">
        <v>24</v>
      </c>
      <c r="D1600" s="3" t="s">
        <v>2276</v>
      </c>
      <c r="E1600" s="3" t="s">
        <v>5005</v>
      </c>
      <c r="F1600" s="4" t="s">
        <v>2662</v>
      </c>
      <c r="G1600" s="168" t="s">
        <v>2276</v>
      </c>
      <c r="H1600" s="3" t="s">
        <v>523</v>
      </c>
      <c r="I1600" s="3">
        <v>1990</v>
      </c>
      <c r="J1600" s="4" t="s">
        <v>2276</v>
      </c>
      <c r="K1600" s="4" t="s">
        <v>2276</v>
      </c>
      <c r="L1600" s="4" t="s">
        <v>2276</v>
      </c>
      <c r="M1600" s="4" t="s">
        <v>2276</v>
      </c>
      <c r="N1600" s="4" t="s">
        <v>2276</v>
      </c>
      <c r="O1600" s="4" t="s">
        <v>2276</v>
      </c>
      <c r="P1600" s="4" t="s">
        <v>2276</v>
      </c>
      <c r="Q1600" s="4" t="s">
        <v>2276</v>
      </c>
      <c r="R1600" s="4" t="s">
        <v>2276</v>
      </c>
      <c r="S1600" s="4" t="s">
        <v>2276</v>
      </c>
      <c r="T1600" s="4" t="s">
        <v>2276</v>
      </c>
      <c r="U1600" s="4" t="s">
        <v>2276</v>
      </c>
      <c r="V1600" s="4" t="s">
        <v>2276</v>
      </c>
      <c r="W1600" s="4" t="s">
        <v>2276</v>
      </c>
      <c r="X1600" s="4" t="s">
        <v>2276</v>
      </c>
      <c r="Y1600" s="4" t="s">
        <v>2276</v>
      </c>
      <c r="Z1600" s="3" t="s">
        <v>38</v>
      </c>
      <c r="AA1600" s="3" t="s">
        <v>405</v>
      </c>
      <c r="AB1600" s="3" t="s">
        <v>76</v>
      </c>
      <c r="AC1600" s="4" t="s">
        <v>4762</v>
      </c>
      <c r="AD1600" s="168" t="s">
        <v>4753</v>
      </c>
    </row>
    <row r="1601" spans="1:30" s="122" customFormat="1" ht="43.5" customHeight="1">
      <c r="A1601" s="11" t="s">
        <v>4747</v>
      </c>
      <c r="B1601" s="11" t="s">
        <v>4757</v>
      </c>
      <c r="C1601" s="3" t="s">
        <v>24</v>
      </c>
      <c r="D1601" s="3" t="s">
        <v>2276</v>
      </c>
      <c r="E1601" s="3" t="s">
        <v>45</v>
      </c>
      <c r="F1601" s="4" t="s">
        <v>2662</v>
      </c>
      <c r="G1601" s="168" t="s">
        <v>2276</v>
      </c>
      <c r="H1601" s="3" t="s">
        <v>523</v>
      </c>
      <c r="I1601" s="3">
        <v>1990</v>
      </c>
      <c r="J1601" s="4" t="s">
        <v>2276</v>
      </c>
      <c r="K1601" s="4" t="s">
        <v>2276</v>
      </c>
      <c r="L1601" s="4" t="s">
        <v>2276</v>
      </c>
      <c r="M1601" s="4" t="s">
        <v>2276</v>
      </c>
      <c r="N1601" s="4" t="s">
        <v>2276</v>
      </c>
      <c r="O1601" s="4" t="s">
        <v>2276</v>
      </c>
      <c r="P1601" s="4" t="s">
        <v>2276</v>
      </c>
      <c r="Q1601" s="4" t="s">
        <v>2276</v>
      </c>
      <c r="R1601" s="4" t="s">
        <v>2276</v>
      </c>
      <c r="S1601" s="4" t="s">
        <v>2276</v>
      </c>
      <c r="T1601" s="4" t="s">
        <v>2276</v>
      </c>
      <c r="U1601" s="4" t="s">
        <v>2276</v>
      </c>
      <c r="V1601" s="4" t="s">
        <v>2276</v>
      </c>
      <c r="W1601" s="4" t="s">
        <v>2276</v>
      </c>
      <c r="X1601" s="4" t="s">
        <v>2276</v>
      </c>
      <c r="Y1601" s="4" t="s">
        <v>2276</v>
      </c>
      <c r="Z1601" s="3" t="s">
        <v>38</v>
      </c>
      <c r="AA1601" s="3" t="s">
        <v>405</v>
      </c>
      <c r="AB1601" s="3" t="s">
        <v>76</v>
      </c>
      <c r="AC1601" s="4" t="s">
        <v>4762</v>
      </c>
      <c r="AD1601" s="168" t="s">
        <v>4753</v>
      </c>
    </row>
    <row r="1602" spans="1:30" s="122" customFormat="1" ht="43.5" customHeight="1">
      <c r="A1602" s="11" t="s">
        <v>4747</v>
      </c>
      <c r="B1602" s="11" t="s">
        <v>4758</v>
      </c>
      <c r="C1602" s="3" t="s">
        <v>24</v>
      </c>
      <c r="D1602" s="3" t="s">
        <v>2276</v>
      </c>
      <c r="E1602" s="3" t="s">
        <v>130</v>
      </c>
      <c r="F1602" s="4" t="s">
        <v>2662</v>
      </c>
      <c r="G1602" s="168" t="s">
        <v>2276</v>
      </c>
      <c r="H1602" s="3" t="s">
        <v>523</v>
      </c>
      <c r="I1602" s="3">
        <v>1990</v>
      </c>
      <c r="J1602" s="4" t="s">
        <v>2276</v>
      </c>
      <c r="K1602" s="4" t="s">
        <v>2276</v>
      </c>
      <c r="L1602" s="4" t="s">
        <v>2276</v>
      </c>
      <c r="M1602" s="4" t="s">
        <v>2276</v>
      </c>
      <c r="N1602" s="4" t="s">
        <v>2276</v>
      </c>
      <c r="O1602" s="4" t="s">
        <v>2276</v>
      </c>
      <c r="P1602" s="4" t="s">
        <v>2276</v>
      </c>
      <c r="Q1602" s="4" t="s">
        <v>2276</v>
      </c>
      <c r="R1602" s="4" t="s">
        <v>2276</v>
      </c>
      <c r="S1602" s="4" t="s">
        <v>2276</v>
      </c>
      <c r="T1602" s="4" t="s">
        <v>2276</v>
      </c>
      <c r="U1602" s="4" t="s">
        <v>2276</v>
      </c>
      <c r="V1602" s="4" t="s">
        <v>2276</v>
      </c>
      <c r="W1602" s="4" t="s">
        <v>2276</v>
      </c>
      <c r="X1602" s="4" t="s">
        <v>2276</v>
      </c>
      <c r="Y1602" s="4" t="s">
        <v>2276</v>
      </c>
      <c r="Z1602" s="3" t="s">
        <v>38</v>
      </c>
      <c r="AA1602" s="3" t="s">
        <v>405</v>
      </c>
      <c r="AB1602" s="3" t="s">
        <v>76</v>
      </c>
      <c r="AC1602" s="4" t="s">
        <v>4762</v>
      </c>
      <c r="AD1602" s="168" t="s">
        <v>4753</v>
      </c>
    </row>
    <row r="1603" spans="1:30" s="122" customFormat="1" ht="43.5" customHeight="1">
      <c r="A1603" s="11" t="s">
        <v>4748</v>
      </c>
      <c r="B1603" s="11" t="s">
        <v>4755</v>
      </c>
      <c r="C1603" s="3" t="s">
        <v>24</v>
      </c>
      <c r="D1603" s="3" t="s">
        <v>25</v>
      </c>
      <c r="E1603" s="3" t="s">
        <v>45</v>
      </c>
      <c r="F1603" s="4" t="s">
        <v>2662</v>
      </c>
      <c r="G1603" s="168" t="s">
        <v>2276</v>
      </c>
      <c r="H1603" s="3" t="s">
        <v>524</v>
      </c>
      <c r="I1603" s="3">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21">
        <v>0</v>
      </c>
      <c r="Y1603" s="21">
        <v>0</v>
      </c>
      <c r="Z1603" s="4" t="s">
        <v>2276</v>
      </c>
      <c r="AA1603" s="4" t="s">
        <v>2276</v>
      </c>
      <c r="AB1603" s="4" t="s">
        <v>2276</v>
      </c>
      <c r="AC1603" s="3"/>
      <c r="AD1603" s="3"/>
    </row>
    <row r="1604" spans="1:30" s="122" customFormat="1" ht="43.5" customHeight="1">
      <c r="A1604" s="11" t="s">
        <v>4748</v>
      </c>
      <c r="B1604" s="11" t="s">
        <v>4759</v>
      </c>
      <c r="C1604" s="3" t="s">
        <v>24</v>
      </c>
      <c r="D1604" s="3" t="s">
        <v>25</v>
      </c>
      <c r="E1604" s="3" t="s">
        <v>45</v>
      </c>
      <c r="F1604" s="4" t="s">
        <v>2662</v>
      </c>
      <c r="G1604" s="168" t="s">
        <v>2276</v>
      </c>
      <c r="H1604" s="3" t="s">
        <v>523</v>
      </c>
      <c r="I1604" s="3">
        <v>1990</v>
      </c>
      <c r="J1604" s="4" t="s">
        <v>2276</v>
      </c>
      <c r="K1604" s="4" t="s">
        <v>2276</v>
      </c>
      <c r="L1604" s="4" t="s">
        <v>2276</v>
      </c>
      <c r="M1604" s="4" t="s">
        <v>2276</v>
      </c>
      <c r="N1604" s="4" t="s">
        <v>2276</v>
      </c>
      <c r="O1604" s="4" t="s">
        <v>2276</v>
      </c>
      <c r="P1604" s="4" t="s">
        <v>2276</v>
      </c>
      <c r="Q1604" s="4" t="s">
        <v>2276</v>
      </c>
      <c r="R1604" s="4" t="s">
        <v>2276</v>
      </c>
      <c r="S1604" s="4" t="s">
        <v>2276</v>
      </c>
      <c r="T1604" s="4" t="s">
        <v>2276</v>
      </c>
      <c r="U1604" s="4" t="s">
        <v>2276</v>
      </c>
      <c r="V1604" s="4" t="s">
        <v>2276</v>
      </c>
      <c r="W1604" s="4" t="s">
        <v>2276</v>
      </c>
      <c r="X1604" s="4" t="s">
        <v>2276</v>
      </c>
      <c r="Y1604" s="4" t="s">
        <v>2276</v>
      </c>
      <c r="Z1604" s="3" t="s">
        <v>38</v>
      </c>
      <c r="AA1604" s="3" t="s">
        <v>405</v>
      </c>
      <c r="AB1604" s="3" t="s">
        <v>2276</v>
      </c>
      <c r="AC1604" s="3"/>
      <c r="AD1604" s="168" t="s">
        <v>4753</v>
      </c>
    </row>
    <row r="1605" spans="1:30" s="122" customFormat="1" ht="43.5" customHeight="1">
      <c r="A1605" s="11" t="s">
        <v>4748</v>
      </c>
      <c r="B1605" s="11" t="s">
        <v>4760</v>
      </c>
      <c r="C1605" s="3" t="s">
        <v>24</v>
      </c>
      <c r="D1605" s="3" t="s">
        <v>25</v>
      </c>
      <c r="E1605" s="3" t="s">
        <v>2647</v>
      </c>
      <c r="F1605" s="4" t="s">
        <v>2662</v>
      </c>
      <c r="G1605" s="168" t="s">
        <v>2276</v>
      </c>
      <c r="H1605" s="3" t="s">
        <v>524</v>
      </c>
      <c r="I1605" s="3">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21">
        <v>0</v>
      </c>
      <c r="Y1605" s="21">
        <v>0</v>
      </c>
      <c r="Z1605" s="4" t="s">
        <v>2276</v>
      </c>
      <c r="AA1605" s="4" t="s">
        <v>2276</v>
      </c>
      <c r="AB1605" s="4" t="s">
        <v>2276</v>
      </c>
      <c r="AC1605" s="3"/>
      <c r="AD1605" s="3"/>
    </row>
    <row r="1606" spans="1:30" s="122" customFormat="1" ht="39" customHeight="1">
      <c r="A1606" s="11" t="s">
        <v>4748</v>
      </c>
      <c r="B1606" s="11" t="s">
        <v>4761</v>
      </c>
      <c r="C1606" s="3" t="s">
        <v>24</v>
      </c>
      <c r="D1606" s="3" t="s">
        <v>25</v>
      </c>
      <c r="E1606" s="3" t="s">
        <v>2647</v>
      </c>
      <c r="F1606" s="4" t="s">
        <v>2662</v>
      </c>
      <c r="G1606" s="4" t="s">
        <v>2276</v>
      </c>
      <c r="H1606" s="3" t="s">
        <v>523</v>
      </c>
      <c r="I1606" s="3">
        <v>1990</v>
      </c>
      <c r="J1606" s="4" t="s">
        <v>2276</v>
      </c>
      <c r="K1606" s="4" t="s">
        <v>2276</v>
      </c>
      <c r="L1606" s="4" t="s">
        <v>2276</v>
      </c>
      <c r="M1606" s="4" t="s">
        <v>2276</v>
      </c>
      <c r="N1606" s="4" t="s">
        <v>2276</v>
      </c>
      <c r="O1606" s="4" t="s">
        <v>2276</v>
      </c>
      <c r="P1606" s="4" t="s">
        <v>2276</v>
      </c>
      <c r="Q1606" s="4" t="s">
        <v>2276</v>
      </c>
      <c r="R1606" s="4" t="s">
        <v>2276</v>
      </c>
      <c r="S1606" s="4" t="s">
        <v>2276</v>
      </c>
      <c r="T1606" s="4" t="s">
        <v>2276</v>
      </c>
      <c r="U1606" s="4" t="s">
        <v>2276</v>
      </c>
      <c r="V1606" s="4" t="s">
        <v>2276</v>
      </c>
      <c r="W1606" s="4" t="s">
        <v>2276</v>
      </c>
      <c r="X1606" s="4" t="s">
        <v>2276</v>
      </c>
      <c r="Y1606" s="4" t="s">
        <v>2276</v>
      </c>
      <c r="Z1606" s="3" t="s">
        <v>38</v>
      </c>
      <c r="AA1606" s="3" t="s">
        <v>405</v>
      </c>
      <c r="AB1606" s="3" t="s">
        <v>2276</v>
      </c>
      <c r="AC1606" s="3"/>
      <c r="AD1606" s="4" t="s">
        <v>4753</v>
      </c>
    </row>
    <row r="1607" spans="1:30" ht="40" customHeight="1">
      <c r="A1607" s="11" t="s">
        <v>4773</v>
      </c>
      <c r="B1607" s="11" t="s">
        <v>4774</v>
      </c>
      <c r="C1607" s="3" t="s">
        <v>1105</v>
      </c>
      <c r="D1607" s="3" t="s">
        <v>1105</v>
      </c>
      <c r="E1607" s="3" t="s">
        <v>1105</v>
      </c>
      <c r="F1607" s="4" t="s">
        <v>2276</v>
      </c>
      <c r="G1607" s="4" t="s">
        <v>2662</v>
      </c>
      <c r="H1607" s="3" t="s">
        <v>523</v>
      </c>
      <c r="I1607" s="3"/>
      <c r="J1607" s="4" t="s">
        <v>2276</v>
      </c>
      <c r="K1607" s="4" t="s">
        <v>2276</v>
      </c>
      <c r="L1607" s="4" t="s">
        <v>2276</v>
      </c>
      <c r="M1607" s="4" t="s">
        <v>2276</v>
      </c>
      <c r="N1607" s="4" t="s">
        <v>2276</v>
      </c>
      <c r="O1607" s="4" t="s">
        <v>2276</v>
      </c>
      <c r="P1607" s="4" t="s">
        <v>2276</v>
      </c>
      <c r="Q1607" s="4" t="s">
        <v>2276</v>
      </c>
      <c r="R1607" s="4" t="s">
        <v>2276</v>
      </c>
      <c r="S1607" s="4" t="s">
        <v>2276</v>
      </c>
      <c r="T1607" s="4" t="s">
        <v>2276</v>
      </c>
      <c r="U1607" s="4" t="s">
        <v>2276</v>
      </c>
      <c r="V1607" s="4" t="s">
        <v>2276</v>
      </c>
      <c r="W1607" s="4" t="s">
        <v>2276</v>
      </c>
      <c r="X1607" s="4" t="s">
        <v>2276</v>
      </c>
      <c r="Y1607" s="4" t="s">
        <v>2276</v>
      </c>
      <c r="Z1607" s="4" t="s">
        <v>2276</v>
      </c>
      <c r="AA1607" s="4" t="s">
        <v>2276</v>
      </c>
      <c r="AB1607" s="4" t="s">
        <v>2276</v>
      </c>
      <c r="AC1607" s="3"/>
      <c r="AD1607" s="3"/>
    </row>
    <row r="1608" spans="1:30" ht="67.5" customHeight="1">
      <c r="A1608" s="11" t="s">
        <v>4777</v>
      </c>
      <c r="B1608" s="11" t="s">
        <v>4783</v>
      </c>
      <c r="C1608" s="3" t="s">
        <v>24</v>
      </c>
      <c r="D1608" s="3" t="s">
        <v>2804</v>
      </c>
      <c r="E1608" s="3" t="s">
        <v>5005</v>
      </c>
      <c r="F1608" s="4" t="s">
        <v>2662</v>
      </c>
      <c r="G1608" s="4" t="s">
        <v>2662</v>
      </c>
      <c r="H1608" s="3" t="s">
        <v>524</v>
      </c>
      <c r="I1608" s="3"/>
      <c r="J1608" s="21">
        <v>0</v>
      </c>
      <c r="K1608" s="21">
        <v>0</v>
      </c>
      <c r="L1608" s="21">
        <v>0</v>
      </c>
      <c r="M1608" s="21">
        <v>0</v>
      </c>
      <c r="N1608" s="21">
        <v>0</v>
      </c>
      <c r="O1608" s="21">
        <v>0</v>
      </c>
      <c r="P1608" s="21">
        <v>0</v>
      </c>
      <c r="Q1608" s="21">
        <v>0</v>
      </c>
      <c r="R1608" s="21">
        <v>0</v>
      </c>
      <c r="S1608" s="21">
        <v>0</v>
      </c>
      <c r="T1608" s="21">
        <v>0</v>
      </c>
      <c r="U1608" s="21">
        <v>0</v>
      </c>
      <c r="V1608" s="21">
        <v>0</v>
      </c>
      <c r="W1608" s="21">
        <v>0</v>
      </c>
      <c r="X1608" s="21">
        <v>0</v>
      </c>
      <c r="Y1608" s="21">
        <v>0</v>
      </c>
      <c r="Z1608" s="4" t="s">
        <v>2276</v>
      </c>
      <c r="AA1608" s="4" t="s">
        <v>2276</v>
      </c>
      <c r="AB1608" s="4" t="s">
        <v>2276</v>
      </c>
      <c r="AC1608" s="4" t="s">
        <v>4789</v>
      </c>
      <c r="AD1608" s="3"/>
    </row>
    <row r="1609" spans="1:30" ht="44.5" customHeight="1">
      <c r="A1609" s="11" t="s">
        <v>4781</v>
      </c>
      <c r="B1609" s="11" t="s">
        <v>4784</v>
      </c>
      <c r="C1609" s="3" t="s">
        <v>24</v>
      </c>
      <c r="D1609" s="3" t="s">
        <v>2804</v>
      </c>
      <c r="E1609" s="3" t="s">
        <v>5005</v>
      </c>
      <c r="F1609" s="4" t="s">
        <v>2662</v>
      </c>
      <c r="G1609" s="4" t="s">
        <v>2662</v>
      </c>
      <c r="H1609" s="3" t="s">
        <v>523</v>
      </c>
      <c r="I1609" s="3"/>
      <c r="J1609" s="4" t="s">
        <v>2276</v>
      </c>
      <c r="K1609" s="4" t="s">
        <v>2276</v>
      </c>
      <c r="L1609" s="4" t="s">
        <v>2276</v>
      </c>
      <c r="M1609" s="4" t="s">
        <v>2276</v>
      </c>
      <c r="N1609" s="4" t="s">
        <v>2276</v>
      </c>
      <c r="O1609" s="4" t="s">
        <v>2276</v>
      </c>
      <c r="P1609" s="4" t="s">
        <v>2276</v>
      </c>
      <c r="Q1609" s="4" t="s">
        <v>2276</v>
      </c>
      <c r="R1609" s="4" t="s">
        <v>2276</v>
      </c>
      <c r="S1609" s="4" t="s">
        <v>2276</v>
      </c>
      <c r="T1609" s="4" t="s">
        <v>2276</v>
      </c>
      <c r="U1609" s="4" t="s">
        <v>2276</v>
      </c>
      <c r="V1609" s="4" t="s">
        <v>2276</v>
      </c>
      <c r="W1609" s="4" t="s">
        <v>2276</v>
      </c>
      <c r="X1609" s="4" t="s">
        <v>2276</v>
      </c>
      <c r="Y1609" s="4" t="s">
        <v>2276</v>
      </c>
      <c r="Z1609" s="4" t="s">
        <v>2276</v>
      </c>
      <c r="AA1609" s="4" t="s">
        <v>2276</v>
      </c>
      <c r="AB1609" s="4" t="s">
        <v>2276</v>
      </c>
      <c r="AC1609" s="3"/>
      <c r="AD1609" s="3"/>
    </row>
    <row r="1610" spans="1:30" ht="32.5" customHeight="1">
      <c r="A1610" s="11" t="s">
        <v>4791</v>
      </c>
      <c r="B1610" s="11" t="s">
        <v>4794</v>
      </c>
      <c r="C1610" s="3" t="s">
        <v>24</v>
      </c>
      <c r="D1610" s="3" t="s">
        <v>2804</v>
      </c>
      <c r="E1610" s="3" t="s">
        <v>5005</v>
      </c>
      <c r="F1610" s="4" t="s">
        <v>2662</v>
      </c>
      <c r="G1610" s="4" t="s">
        <v>2276</v>
      </c>
      <c r="H1610" s="3" t="s">
        <v>523</v>
      </c>
      <c r="I1610" s="3"/>
      <c r="J1610" s="4" t="s">
        <v>2276</v>
      </c>
      <c r="K1610" s="4" t="s">
        <v>2276</v>
      </c>
      <c r="L1610" s="4" t="s">
        <v>2276</v>
      </c>
      <c r="M1610" s="4" t="s">
        <v>2276</v>
      </c>
      <c r="N1610" s="4" t="s">
        <v>2276</v>
      </c>
      <c r="O1610" s="4" t="s">
        <v>2276</v>
      </c>
      <c r="P1610" s="4" t="s">
        <v>2276</v>
      </c>
      <c r="Q1610" s="4" t="s">
        <v>2276</v>
      </c>
      <c r="R1610" s="4" t="s">
        <v>2276</v>
      </c>
      <c r="S1610" s="4" t="s">
        <v>2276</v>
      </c>
      <c r="T1610" s="4" t="s">
        <v>2276</v>
      </c>
      <c r="U1610" s="4" t="s">
        <v>2276</v>
      </c>
      <c r="V1610" s="4" t="s">
        <v>2276</v>
      </c>
      <c r="W1610" s="4" t="s">
        <v>2276</v>
      </c>
      <c r="X1610" s="4" t="s">
        <v>2276</v>
      </c>
      <c r="Y1610" s="4" t="s">
        <v>2276</v>
      </c>
      <c r="Z1610" s="4" t="s">
        <v>2276</v>
      </c>
      <c r="AA1610" s="4" t="s">
        <v>2276</v>
      </c>
      <c r="AB1610" s="4" t="s">
        <v>2276</v>
      </c>
      <c r="AC1610" s="3"/>
      <c r="AD1610" s="3"/>
    </row>
    <row r="1611" spans="1:30" ht="32.5" customHeight="1">
      <c r="A1611" s="11" t="s">
        <v>4793</v>
      </c>
      <c r="B1611" s="11" t="s">
        <v>4795</v>
      </c>
      <c r="C1611" s="3" t="s">
        <v>24</v>
      </c>
      <c r="D1611" s="3" t="s">
        <v>1105</v>
      </c>
      <c r="E1611" s="3" t="s">
        <v>130</v>
      </c>
      <c r="F1611" s="4" t="s">
        <v>2276</v>
      </c>
      <c r="G1611" s="4" t="s">
        <v>2276</v>
      </c>
      <c r="H1611" s="3" t="s">
        <v>523</v>
      </c>
      <c r="I1611" s="3"/>
      <c r="J1611" s="4" t="s">
        <v>2276</v>
      </c>
      <c r="K1611" s="4" t="s">
        <v>2276</v>
      </c>
      <c r="L1611" s="4" t="s">
        <v>2276</v>
      </c>
      <c r="M1611" s="4" t="s">
        <v>2276</v>
      </c>
      <c r="N1611" s="4" t="s">
        <v>2276</v>
      </c>
      <c r="O1611" s="4" t="s">
        <v>2276</v>
      </c>
      <c r="P1611" s="4" t="s">
        <v>2276</v>
      </c>
      <c r="Q1611" s="4" t="s">
        <v>2276</v>
      </c>
      <c r="R1611" s="4" t="s">
        <v>2276</v>
      </c>
      <c r="S1611" s="4" t="s">
        <v>2276</v>
      </c>
      <c r="T1611" s="4" t="s">
        <v>2276</v>
      </c>
      <c r="U1611" s="4" t="s">
        <v>2276</v>
      </c>
      <c r="V1611" s="4" t="s">
        <v>2276</v>
      </c>
      <c r="W1611" s="4" t="s">
        <v>2276</v>
      </c>
      <c r="X1611" s="4" t="s">
        <v>2276</v>
      </c>
      <c r="Y1611" s="4" t="s">
        <v>2276</v>
      </c>
      <c r="Z1611" s="4" t="s">
        <v>2276</v>
      </c>
      <c r="AA1611" s="4" t="s">
        <v>2276</v>
      </c>
      <c r="AB1611" s="4" t="s">
        <v>2276</v>
      </c>
      <c r="AC1611" s="3"/>
      <c r="AD1611" s="3"/>
    </row>
    <row r="1612" spans="1:30" ht="54.5" customHeight="1">
      <c r="A1612" s="11" t="s">
        <v>4793</v>
      </c>
      <c r="B1612" s="11" t="s">
        <v>4796</v>
      </c>
      <c r="C1612" s="3" t="s">
        <v>24</v>
      </c>
      <c r="D1612" s="3" t="s">
        <v>2804</v>
      </c>
      <c r="E1612" s="3" t="s">
        <v>5005</v>
      </c>
      <c r="F1612" s="4" t="s">
        <v>74</v>
      </c>
      <c r="G1612" s="4" t="s">
        <v>2276</v>
      </c>
      <c r="H1612" s="3" t="s">
        <v>524</v>
      </c>
      <c r="I1612" s="3"/>
      <c r="J1612" s="21">
        <v>0</v>
      </c>
      <c r="K1612" s="21">
        <v>0</v>
      </c>
      <c r="L1612" s="21">
        <v>0</v>
      </c>
      <c r="M1612" s="21">
        <v>0</v>
      </c>
      <c r="N1612" s="21">
        <v>0</v>
      </c>
      <c r="O1612" s="21">
        <v>0</v>
      </c>
      <c r="P1612" s="21">
        <v>0</v>
      </c>
      <c r="Q1612" s="21">
        <v>0</v>
      </c>
      <c r="R1612" s="21">
        <v>0</v>
      </c>
      <c r="S1612" s="21">
        <v>0</v>
      </c>
      <c r="T1612" s="21">
        <v>0</v>
      </c>
      <c r="U1612" s="21">
        <v>0</v>
      </c>
      <c r="V1612" s="21">
        <v>0</v>
      </c>
      <c r="W1612" s="21">
        <v>0</v>
      </c>
      <c r="X1612" s="21">
        <v>0</v>
      </c>
      <c r="Y1612" s="21">
        <v>0</v>
      </c>
      <c r="Z1612" s="4" t="s">
        <v>2276</v>
      </c>
      <c r="AA1612" s="4" t="s">
        <v>2276</v>
      </c>
      <c r="AB1612" s="4" t="s">
        <v>2276</v>
      </c>
      <c r="AC1612" s="4" t="s">
        <v>4785</v>
      </c>
      <c r="AD1612" s="3"/>
    </row>
    <row r="1613" spans="1:30" ht="46.5" customHeight="1">
      <c r="A1613" s="11" t="s">
        <v>4799</v>
      </c>
      <c r="B1613" s="11" t="s">
        <v>4813</v>
      </c>
      <c r="C1613" s="3" t="s">
        <v>24</v>
      </c>
      <c r="D1613" s="3" t="s">
        <v>2804</v>
      </c>
      <c r="E1613" s="3" t="s">
        <v>5005</v>
      </c>
      <c r="F1613" s="4" t="s">
        <v>74</v>
      </c>
      <c r="G1613" s="4" t="s">
        <v>2276</v>
      </c>
      <c r="H1613" s="3" t="s">
        <v>524</v>
      </c>
      <c r="I1613" s="3"/>
      <c r="J1613" s="21">
        <v>0</v>
      </c>
      <c r="K1613" s="21">
        <v>0</v>
      </c>
      <c r="L1613" s="21">
        <v>0</v>
      </c>
      <c r="M1613" s="21">
        <v>0</v>
      </c>
      <c r="N1613" s="21">
        <v>0</v>
      </c>
      <c r="O1613" s="21">
        <v>0</v>
      </c>
      <c r="P1613" s="21">
        <v>0</v>
      </c>
      <c r="Q1613" s="21">
        <v>0</v>
      </c>
      <c r="R1613" s="21">
        <v>0</v>
      </c>
      <c r="S1613" s="21">
        <v>0</v>
      </c>
      <c r="T1613" s="21">
        <v>0</v>
      </c>
      <c r="U1613" s="21">
        <v>0</v>
      </c>
      <c r="V1613" s="21">
        <v>0</v>
      </c>
      <c r="W1613" s="21">
        <v>0</v>
      </c>
      <c r="X1613" s="21">
        <v>0</v>
      </c>
      <c r="Y1613" s="21">
        <v>0</v>
      </c>
      <c r="Z1613" s="4" t="s">
        <v>2276</v>
      </c>
      <c r="AA1613" s="4" t="s">
        <v>2276</v>
      </c>
      <c r="AB1613" s="4" t="s">
        <v>2276</v>
      </c>
      <c r="AC1613" s="4" t="s">
        <v>4823</v>
      </c>
      <c r="AD1613" s="3"/>
    </row>
    <row r="1614" spans="1:30" ht="46.5" customHeight="1">
      <c r="A1614" s="11" t="s">
        <v>4802</v>
      </c>
      <c r="B1614" s="11" t="s">
        <v>4814</v>
      </c>
      <c r="C1614" s="3" t="s">
        <v>24</v>
      </c>
      <c r="D1614" s="3" t="s">
        <v>2804</v>
      </c>
      <c r="E1614" s="3" t="s">
        <v>5005</v>
      </c>
      <c r="F1614" s="4" t="s">
        <v>74</v>
      </c>
      <c r="G1614" s="4" t="s">
        <v>2276</v>
      </c>
      <c r="H1614" s="3" t="s">
        <v>524</v>
      </c>
      <c r="I1614" s="3"/>
      <c r="J1614" s="21">
        <v>0</v>
      </c>
      <c r="K1614" s="21">
        <v>0</v>
      </c>
      <c r="L1614" s="21">
        <v>0</v>
      </c>
      <c r="M1614" s="21">
        <v>0</v>
      </c>
      <c r="N1614" s="21">
        <v>0</v>
      </c>
      <c r="O1614" s="21">
        <v>0</v>
      </c>
      <c r="P1614" s="21">
        <v>0</v>
      </c>
      <c r="Q1614" s="21">
        <v>0</v>
      </c>
      <c r="R1614" s="21">
        <v>0</v>
      </c>
      <c r="S1614" s="21">
        <v>0</v>
      </c>
      <c r="T1614" s="21">
        <v>0</v>
      </c>
      <c r="U1614" s="21">
        <v>0</v>
      </c>
      <c r="V1614" s="21">
        <v>0</v>
      </c>
      <c r="W1614" s="21">
        <v>0</v>
      </c>
      <c r="X1614" s="21">
        <v>0</v>
      </c>
      <c r="Y1614" s="21">
        <v>0</v>
      </c>
      <c r="Z1614" s="4" t="s">
        <v>2276</v>
      </c>
      <c r="AA1614" s="4" t="s">
        <v>2276</v>
      </c>
      <c r="AB1614" s="4" t="s">
        <v>2276</v>
      </c>
      <c r="AC1614" s="4" t="s">
        <v>4823</v>
      </c>
      <c r="AD1614" s="3"/>
    </row>
    <row r="1615" spans="1:30" ht="46.5" customHeight="1">
      <c r="A1615" s="11" t="s">
        <v>4803</v>
      </c>
      <c r="B1615" s="11" t="s">
        <v>4815</v>
      </c>
      <c r="C1615" s="3" t="s">
        <v>24</v>
      </c>
      <c r="D1615" s="3" t="s">
        <v>2804</v>
      </c>
      <c r="E1615" s="3" t="s">
        <v>5005</v>
      </c>
      <c r="F1615" s="4" t="s">
        <v>74</v>
      </c>
      <c r="G1615" s="4" t="s">
        <v>2276</v>
      </c>
      <c r="H1615" s="3" t="s">
        <v>524</v>
      </c>
      <c r="I1615" s="3"/>
      <c r="J1615" s="21">
        <v>0</v>
      </c>
      <c r="K1615" s="21">
        <v>0</v>
      </c>
      <c r="L1615" s="21">
        <v>0</v>
      </c>
      <c r="M1615" s="21">
        <v>0</v>
      </c>
      <c r="N1615" s="21">
        <v>0</v>
      </c>
      <c r="O1615" s="21">
        <v>0</v>
      </c>
      <c r="P1615" s="21">
        <v>0</v>
      </c>
      <c r="Q1615" s="21">
        <v>0</v>
      </c>
      <c r="R1615" s="21">
        <v>0</v>
      </c>
      <c r="S1615" s="21">
        <v>0</v>
      </c>
      <c r="T1615" s="21">
        <v>0</v>
      </c>
      <c r="U1615" s="21">
        <v>0</v>
      </c>
      <c r="V1615" s="21">
        <v>0</v>
      </c>
      <c r="W1615" s="21">
        <v>0</v>
      </c>
      <c r="X1615" s="21">
        <v>0</v>
      </c>
      <c r="Y1615" s="21">
        <v>0</v>
      </c>
      <c r="Z1615" s="4" t="s">
        <v>2276</v>
      </c>
      <c r="AA1615" s="4" t="s">
        <v>2276</v>
      </c>
      <c r="AB1615" s="4" t="s">
        <v>2276</v>
      </c>
      <c r="AC1615" s="4" t="s">
        <v>4823</v>
      </c>
      <c r="AD1615" s="3"/>
    </row>
    <row r="1616" spans="1:30" ht="46.5" customHeight="1">
      <c r="A1616" s="11" t="s">
        <v>4804</v>
      </c>
      <c r="B1616" s="11" t="s">
        <v>4816</v>
      </c>
      <c r="C1616" s="3" t="s">
        <v>24</v>
      </c>
      <c r="D1616" s="3" t="s">
        <v>2804</v>
      </c>
      <c r="E1616" s="3" t="s">
        <v>5005</v>
      </c>
      <c r="F1616" s="4" t="s">
        <v>74</v>
      </c>
      <c r="G1616" s="4" t="s">
        <v>2276</v>
      </c>
      <c r="H1616" s="3" t="s">
        <v>524</v>
      </c>
      <c r="I1616" s="3"/>
      <c r="J1616" s="21">
        <v>0</v>
      </c>
      <c r="K1616" s="21">
        <v>0</v>
      </c>
      <c r="L1616" s="21">
        <v>0</v>
      </c>
      <c r="M1616" s="21">
        <v>0</v>
      </c>
      <c r="N1616" s="21">
        <v>0</v>
      </c>
      <c r="O1616" s="21">
        <v>0</v>
      </c>
      <c r="P1616" s="21">
        <v>0</v>
      </c>
      <c r="Q1616" s="21">
        <v>0</v>
      </c>
      <c r="R1616" s="21">
        <v>0</v>
      </c>
      <c r="S1616" s="21">
        <v>0</v>
      </c>
      <c r="T1616" s="21">
        <v>0</v>
      </c>
      <c r="U1616" s="21">
        <v>0</v>
      </c>
      <c r="V1616" s="21">
        <v>0</v>
      </c>
      <c r="W1616" s="21">
        <v>0</v>
      </c>
      <c r="X1616" s="21">
        <v>0</v>
      </c>
      <c r="Y1616" s="21">
        <v>0</v>
      </c>
      <c r="Z1616" s="4" t="s">
        <v>2276</v>
      </c>
      <c r="AA1616" s="4" t="s">
        <v>2276</v>
      </c>
      <c r="AB1616" s="4" t="s">
        <v>2276</v>
      </c>
      <c r="AC1616" s="4" t="s">
        <v>4823</v>
      </c>
      <c r="AD1616" s="3"/>
    </row>
    <row r="1617" spans="1:30" ht="46.5" customHeight="1">
      <c r="A1617" s="11" t="s">
        <v>4805</v>
      </c>
      <c r="B1617" s="11" t="s">
        <v>4817</v>
      </c>
      <c r="C1617" s="3" t="s">
        <v>24</v>
      </c>
      <c r="D1617" s="3" t="s">
        <v>2804</v>
      </c>
      <c r="E1617" s="3" t="s">
        <v>5005</v>
      </c>
      <c r="F1617" s="4" t="s">
        <v>74</v>
      </c>
      <c r="G1617" s="4" t="s">
        <v>2276</v>
      </c>
      <c r="H1617" s="3" t="s">
        <v>524</v>
      </c>
      <c r="I1617" s="3"/>
      <c r="J1617" s="21">
        <v>0</v>
      </c>
      <c r="K1617" s="21">
        <v>0</v>
      </c>
      <c r="L1617" s="21">
        <v>0</v>
      </c>
      <c r="M1617" s="21">
        <v>0</v>
      </c>
      <c r="N1617" s="21">
        <v>0</v>
      </c>
      <c r="O1617" s="21">
        <v>0</v>
      </c>
      <c r="P1617" s="21">
        <v>0</v>
      </c>
      <c r="Q1617" s="21">
        <v>0</v>
      </c>
      <c r="R1617" s="21">
        <v>0</v>
      </c>
      <c r="S1617" s="21">
        <v>0</v>
      </c>
      <c r="T1617" s="21">
        <v>0</v>
      </c>
      <c r="U1617" s="21">
        <v>0</v>
      </c>
      <c r="V1617" s="21">
        <v>0</v>
      </c>
      <c r="W1617" s="21">
        <v>0</v>
      </c>
      <c r="X1617" s="21">
        <v>0</v>
      </c>
      <c r="Y1617" s="21">
        <v>0</v>
      </c>
      <c r="Z1617" s="4" t="s">
        <v>2276</v>
      </c>
      <c r="AA1617" s="4" t="s">
        <v>2276</v>
      </c>
      <c r="AB1617" s="4" t="s">
        <v>2276</v>
      </c>
      <c r="AC1617" s="4" t="s">
        <v>4823</v>
      </c>
      <c r="AD1617" s="3"/>
    </row>
    <row r="1618" spans="1:30" ht="46.5" customHeight="1">
      <c r="A1618" s="11" t="s">
        <v>4799</v>
      </c>
      <c r="B1618" s="11" t="s">
        <v>4818</v>
      </c>
      <c r="C1618" s="3" t="s">
        <v>24</v>
      </c>
      <c r="D1618" s="3" t="s">
        <v>2231</v>
      </c>
      <c r="E1618" s="3" t="s">
        <v>5005</v>
      </c>
      <c r="F1618" s="4" t="s">
        <v>74</v>
      </c>
      <c r="G1618" s="4" t="s">
        <v>2276</v>
      </c>
      <c r="H1618" s="3" t="s">
        <v>524</v>
      </c>
      <c r="I1618" s="3"/>
      <c r="J1618" s="21">
        <v>0</v>
      </c>
      <c r="K1618" s="21">
        <v>0</v>
      </c>
      <c r="L1618" s="21">
        <v>0</v>
      </c>
      <c r="M1618" s="21">
        <v>0</v>
      </c>
      <c r="N1618" s="21">
        <v>0</v>
      </c>
      <c r="O1618" s="21">
        <v>0</v>
      </c>
      <c r="P1618" s="21">
        <v>0</v>
      </c>
      <c r="Q1618" s="21">
        <v>0</v>
      </c>
      <c r="R1618" s="21">
        <v>0</v>
      </c>
      <c r="S1618" s="21">
        <v>0</v>
      </c>
      <c r="T1618" s="21">
        <v>0</v>
      </c>
      <c r="U1618" s="21">
        <v>0</v>
      </c>
      <c r="V1618" s="21">
        <v>0</v>
      </c>
      <c r="W1618" s="21">
        <v>0</v>
      </c>
      <c r="X1618" s="21">
        <v>0</v>
      </c>
      <c r="Y1618" s="21">
        <v>0</v>
      </c>
      <c r="Z1618" s="4" t="s">
        <v>2276</v>
      </c>
      <c r="AA1618" s="4" t="s">
        <v>2276</v>
      </c>
      <c r="AB1618" s="4" t="s">
        <v>2276</v>
      </c>
      <c r="AC1618" s="4" t="s">
        <v>4823</v>
      </c>
      <c r="AD1618" s="3"/>
    </row>
    <row r="1619" spans="1:30" ht="46.5" customHeight="1">
      <c r="A1619" s="11" t="s">
        <v>4802</v>
      </c>
      <c r="B1619" s="11" t="s">
        <v>4819</v>
      </c>
      <c r="C1619" s="3" t="s">
        <v>24</v>
      </c>
      <c r="D1619" s="3" t="s">
        <v>2231</v>
      </c>
      <c r="E1619" s="3" t="s">
        <v>5005</v>
      </c>
      <c r="F1619" s="4" t="s">
        <v>74</v>
      </c>
      <c r="G1619" s="4" t="s">
        <v>2276</v>
      </c>
      <c r="H1619" s="3" t="s">
        <v>524</v>
      </c>
      <c r="I1619" s="3"/>
      <c r="J1619" s="21">
        <v>0</v>
      </c>
      <c r="K1619" s="21">
        <v>0</v>
      </c>
      <c r="L1619" s="21">
        <v>0</v>
      </c>
      <c r="M1619" s="21">
        <v>0</v>
      </c>
      <c r="N1619" s="21">
        <v>0</v>
      </c>
      <c r="O1619" s="21">
        <v>0</v>
      </c>
      <c r="P1619" s="21">
        <v>0</v>
      </c>
      <c r="Q1619" s="21">
        <v>0</v>
      </c>
      <c r="R1619" s="21">
        <v>0</v>
      </c>
      <c r="S1619" s="21">
        <v>0</v>
      </c>
      <c r="T1619" s="21">
        <v>0</v>
      </c>
      <c r="U1619" s="21">
        <v>0</v>
      </c>
      <c r="V1619" s="21">
        <v>0</v>
      </c>
      <c r="W1619" s="21">
        <v>0</v>
      </c>
      <c r="X1619" s="21">
        <v>0</v>
      </c>
      <c r="Y1619" s="21">
        <v>0</v>
      </c>
      <c r="Z1619" s="4" t="s">
        <v>2276</v>
      </c>
      <c r="AA1619" s="4" t="s">
        <v>2276</v>
      </c>
      <c r="AB1619" s="4" t="s">
        <v>2276</v>
      </c>
      <c r="AC1619" s="4" t="s">
        <v>4823</v>
      </c>
      <c r="AD1619" s="3"/>
    </row>
    <row r="1620" spans="1:30" ht="46.5" customHeight="1">
      <c r="A1620" s="11" t="s">
        <v>4803</v>
      </c>
      <c r="B1620" s="11" t="s">
        <v>4820</v>
      </c>
      <c r="C1620" s="3" t="s">
        <v>24</v>
      </c>
      <c r="D1620" s="3" t="s">
        <v>2231</v>
      </c>
      <c r="E1620" s="3" t="s">
        <v>5005</v>
      </c>
      <c r="F1620" s="4" t="s">
        <v>74</v>
      </c>
      <c r="G1620" s="4" t="s">
        <v>2276</v>
      </c>
      <c r="H1620" s="3" t="s">
        <v>524</v>
      </c>
      <c r="I1620" s="3"/>
      <c r="J1620" s="21">
        <v>0</v>
      </c>
      <c r="K1620" s="21">
        <v>0</v>
      </c>
      <c r="L1620" s="21">
        <v>0</v>
      </c>
      <c r="M1620" s="21">
        <v>0</v>
      </c>
      <c r="N1620" s="21">
        <v>0</v>
      </c>
      <c r="O1620" s="21">
        <v>0</v>
      </c>
      <c r="P1620" s="21">
        <v>0</v>
      </c>
      <c r="Q1620" s="21">
        <v>0</v>
      </c>
      <c r="R1620" s="21">
        <v>0</v>
      </c>
      <c r="S1620" s="21">
        <v>0</v>
      </c>
      <c r="T1620" s="21">
        <v>0</v>
      </c>
      <c r="U1620" s="21">
        <v>0</v>
      </c>
      <c r="V1620" s="21">
        <v>0</v>
      </c>
      <c r="W1620" s="21">
        <v>0</v>
      </c>
      <c r="X1620" s="21">
        <v>0</v>
      </c>
      <c r="Y1620" s="21">
        <v>0</v>
      </c>
      <c r="Z1620" s="4" t="s">
        <v>2276</v>
      </c>
      <c r="AA1620" s="4" t="s">
        <v>2276</v>
      </c>
      <c r="AB1620" s="4" t="s">
        <v>2276</v>
      </c>
      <c r="AC1620" s="4" t="s">
        <v>4823</v>
      </c>
      <c r="AD1620" s="3"/>
    </row>
    <row r="1621" spans="1:30" ht="46.5" customHeight="1">
      <c r="A1621" s="11" t="s">
        <v>4804</v>
      </c>
      <c r="B1621" s="11" t="s">
        <v>4821</v>
      </c>
      <c r="C1621" s="3" t="s">
        <v>24</v>
      </c>
      <c r="D1621" s="3" t="s">
        <v>2231</v>
      </c>
      <c r="E1621" s="3" t="s">
        <v>5005</v>
      </c>
      <c r="F1621" s="4" t="s">
        <v>74</v>
      </c>
      <c r="G1621" s="4" t="s">
        <v>2276</v>
      </c>
      <c r="H1621" s="3" t="s">
        <v>524</v>
      </c>
      <c r="I1621" s="3"/>
      <c r="J1621" s="21">
        <v>0</v>
      </c>
      <c r="K1621" s="21">
        <v>0</v>
      </c>
      <c r="L1621" s="21">
        <v>0</v>
      </c>
      <c r="M1621" s="21">
        <v>0</v>
      </c>
      <c r="N1621" s="21">
        <v>0</v>
      </c>
      <c r="O1621" s="21">
        <v>0</v>
      </c>
      <c r="P1621" s="21">
        <v>0</v>
      </c>
      <c r="Q1621" s="21">
        <v>0</v>
      </c>
      <c r="R1621" s="21">
        <v>0</v>
      </c>
      <c r="S1621" s="21">
        <v>0</v>
      </c>
      <c r="T1621" s="21">
        <v>0</v>
      </c>
      <c r="U1621" s="21">
        <v>0</v>
      </c>
      <c r="V1621" s="21">
        <v>0</v>
      </c>
      <c r="W1621" s="21">
        <v>0</v>
      </c>
      <c r="X1621" s="21">
        <v>0</v>
      </c>
      <c r="Y1621" s="21">
        <v>0</v>
      </c>
      <c r="Z1621" s="4" t="s">
        <v>2276</v>
      </c>
      <c r="AA1621" s="4" t="s">
        <v>2276</v>
      </c>
      <c r="AB1621" s="4" t="s">
        <v>2276</v>
      </c>
      <c r="AC1621" s="4" t="s">
        <v>4823</v>
      </c>
      <c r="AD1621" s="3"/>
    </row>
    <row r="1622" spans="1:30" ht="46.5" customHeight="1">
      <c r="A1622" s="11" t="s">
        <v>4805</v>
      </c>
      <c r="B1622" s="11" t="s">
        <v>4822</v>
      </c>
      <c r="C1622" s="3" t="s">
        <v>24</v>
      </c>
      <c r="D1622" s="3" t="s">
        <v>2231</v>
      </c>
      <c r="E1622" s="3" t="s">
        <v>5005</v>
      </c>
      <c r="F1622" s="4" t="s">
        <v>74</v>
      </c>
      <c r="G1622" s="4" t="s">
        <v>2276</v>
      </c>
      <c r="H1622" s="3" t="s">
        <v>524</v>
      </c>
      <c r="I1622" s="3"/>
      <c r="J1622" s="21">
        <v>0</v>
      </c>
      <c r="K1622" s="21">
        <v>0</v>
      </c>
      <c r="L1622" s="21">
        <v>0</v>
      </c>
      <c r="M1622" s="21">
        <v>0</v>
      </c>
      <c r="N1622" s="21">
        <v>0</v>
      </c>
      <c r="O1622" s="21">
        <v>0</v>
      </c>
      <c r="P1622" s="21">
        <v>0</v>
      </c>
      <c r="Q1622" s="21">
        <v>0</v>
      </c>
      <c r="R1622" s="21">
        <v>0</v>
      </c>
      <c r="S1622" s="21">
        <v>0</v>
      </c>
      <c r="T1622" s="21">
        <v>0</v>
      </c>
      <c r="U1622" s="21">
        <v>0</v>
      </c>
      <c r="V1622" s="21">
        <v>0</v>
      </c>
      <c r="W1622" s="21">
        <v>0</v>
      </c>
      <c r="X1622" s="21">
        <v>0</v>
      </c>
      <c r="Y1622" s="21">
        <v>0</v>
      </c>
      <c r="Z1622" s="4" t="s">
        <v>2276</v>
      </c>
      <c r="AA1622" s="4" t="s">
        <v>2276</v>
      </c>
      <c r="AB1622" s="4" t="s">
        <v>2276</v>
      </c>
      <c r="AC1622" s="4" t="s">
        <v>4823</v>
      </c>
      <c r="AD1622" s="3"/>
    </row>
    <row r="1623" spans="1:30" ht="38.5" customHeight="1">
      <c r="A1623" s="11" t="s">
        <v>4802</v>
      </c>
      <c r="B1623" s="11" t="s">
        <v>4824</v>
      </c>
      <c r="C1623" s="3" t="s">
        <v>31</v>
      </c>
      <c r="D1623" s="3" t="s">
        <v>30</v>
      </c>
      <c r="E1623" s="3" t="s">
        <v>2276</v>
      </c>
      <c r="F1623" s="4" t="s">
        <v>74</v>
      </c>
      <c r="G1623" s="4" t="s">
        <v>2276</v>
      </c>
      <c r="H1623" s="3" t="s">
        <v>523</v>
      </c>
      <c r="I1623" s="3"/>
      <c r="J1623" s="4" t="s">
        <v>2276</v>
      </c>
      <c r="K1623" s="4" t="s">
        <v>2276</v>
      </c>
      <c r="L1623" s="4" t="s">
        <v>2276</v>
      </c>
      <c r="M1623" s="4" t="s">
        <v>2276</v>
      </c>
      <c r="N1623" s="4" t="s">
        <v>2276</v>
      </c>
      <c r="O1623" s="4" t="s">
        <v>2276</v>
      </c>
      <c r="P1623" s="4" t="s">
        <v>2276</v>
      </c>
      <c r="Q1623" s="4" t="s">
        <v>2276</v>
      </c>
      <c r="R1623" s="4" t="s">
        <v>2276</v>
      </c>
      <c r="S1623" s="4" t="s">
        <v>2276</v>
      </c>
      <c r="T1623" s="4" t="s">
        <v>2276</v>
      </c>
      <c r="U1623" s="4" t="s">
        <v>2276</v>
      </c>
      <c r="V1623" s="4" t="s">
        <v>2276</v>
      </c>
      <c r="W1623" s="4" t="s">
        <v>2276</v>
      </c>
      <c r="X1623" s="4" t="s">
        <v>2276</v>
      </c>
      <c r="Y1623" s="4" t="s">
        <v>2276</v>
      </c>
      <c r="Z1623" s="4" t="s">
        <v>2276</v>
      </c>
      <c r="AA1623" s="4" t="s">
        <v>2276</v>
      </c>
      <c r="AB1623" s="4" t="s">
        <v>2276</v>
      </c>
      <c r="AC1623" s="3" t="s">
        <v>4828</v>
      </c>
      <c r="AD1623" s="3"/>
    </row>
    <row r="1624" spans="1:30" ht="38.5" customHeight="1">
      <c r="A1624" s="11" t="s">
        <v>4803</v>
      </c>
      <c r="B1624" s="11" t="s">
        <v>4825</v>
      </c>
      <c r="C1624" s="3" t="s">
        <v>31</v>
      </c>
      <c r="D1624" s="3" t="s">
        <v>30</v>
      </c>
      <c r="E1624" s="3" t="s">
        <v>2276</v>
      </c>
      <c r="F1624" s="4" t="s">
        <v>74</v>
      </c>
      <c r="G1624" s="4" t="s">
        <v>2276</v>
      </c>
      <c r="H1624" s="3" t="s">
        <v>523</v>
      </c>
      <c r="I1624" s="3"/>
      <c r="J1624" s="4" t="s">
        <v>2276</v>
      </c>
      <c r="K1624" s="4" t="s">
        <v>2276</v>
      </c>
      <c r="L1624" s="4" t="s">
        <v>2276</v>
      </c>
      <c r="M1624" s="4" t="s">
        <v>2276</v>
      </c>
      <c r="N1624" s="4" t="s">
        <v>2276</v>
      </c>
      <c r="O1624" s="4" t="s">
        <v>2276</v>
      </c>
      <c r="P1624" s="4" t="s">
        <v>2276</v>
      </c>
      <c r="Q1624" s="4" t="s">
        <v>2276</v>
      </c>
      <c r="R1624" s="4" t="s">
        <v>2276</v>
      </c>
      <c r="S1624" s="4" t="s">
        <v>2276</v>
      </c>
      <c r="T1624" s="4" t="s">
        <v>2276</v>
      </c>
      <c r="U1624" s="4" t="s">
        <v>2276</v>
      </c>
      <c r="V1624" s="4" t="s">
        <v>2276</v>
      </c>
      <c r="W1624" s="4" t="s">
        <v>2276</v>
      </c>
      <c r="X1624" s="4" t="s">
        <v>2276</v>
      </c>
      <c r="Y1624" s="4" t="s">
        <v>2276</v>
      </c>
      <c r="Z1624" s="4" t="s">
        <v>2276</v>
      </c>
      <c r="AA1624" s="4" t="s">
        <v>2276</v>
      </c>
      <c r="AB1624" s="4" t="s">
        <v>2276</v>
      </c>
      <c r="AC1624" s="3" t="s">
        <v>4828</v>
      </c>
      <c r="AD1624" s="3"/>
    </row>
    <row r="1625" spans="1:30" ht="38.5" customHeight="1">
      <c r="A1625" s="11" t="s">
        <v>4804</v>
      </c>
      <c r="B1625" s="11" t="s">
        <v>4826</v>
      </c>
      <c r="C1625" s="3" t="s">
        <v>31</v>
      </c>
      <c r="D1625" s="3" t="s">
        <v>30</v>
      </c>
      <c r="E1625" s="3" t="s">
        <v>2276</v>
      </c>
      <c r="F1625" s="4" t="s">
        <v>74</v>
      </c>
      <c r="G1625" s="4" t="s">
        <v>2276</v>
      </c>
      <c r="H1625" s="3" t="s">
        <v>523</v>
      </c>
      <c r="I1625" s="3"/>
      <c r="J1625" s="4" t="s">
        <v>2276</v>
      </c>
      <c r="K1625" s="4" t="s">
        <v>2276</v>
      </c>
      <c r="L1625" s="4" t="s">
        <v>2276</v>
      </c>
      <c r="M1625" s="4" t="s">
        <v>2276</v>
      </c>
      <c r="N1625" s="4" t="s">
        <v>2276</v>
      </c>
      <c r="O1625" s="4" t="s">
        <v>2276</v>
      </c>
      <c r="P1625" s="4" t="s">
        <v>2276</v>
      </c>
      <c r="Q1625" s="4" t="s">
        <v>2276</v>
      </c>
      <c r="R1625" s="4" t="s">
        <v>2276</v>
      </c>
      <c r="S1625" s="4" t="s">
        <v>2276</v>
      </c>
      <c r="T1625" s="4" t="s">
        <v>2276</v>
      </c>
      <c r="U1625" s="4" t="s">
        <v>2276</v>
      </c>
      <c r="V1625" s="4" t="s">
        <v>2276</v>
      </c>
      <c r="W1625" s="4" t="s">
        <v>2276</v>
      </c>
      <c r="X1625" s="4" t="s">
        <v>2276</v>
      </c>
      <c r="Y1625" s="4" t="s">
        <v>2276</v>
      </c>
      <c r="Z1625" s="4" t="s">
        <v>2276</v>
      </c>
      <c r="AA1625" s="4" t="s">
        <v>2276</v>
      </c>
      <c r="AB1625" s="4" t="s">
        <v>2276</v>
      </c>
      <c r="AC1625" s="3" t="s">
        <v>4828</v>
      </c>
      <c r="AD1625" s="3"/>
    </row>
    <row r="1626" spans="1:30" ht="38.5" customHeight="1">
      <c r="A1626" s="11" t="s">
        <v>4805</v>
      </c>
      <c r="B1626" s="11" t="s">
        <v>4827</v>
      </c>
      <c r="C1626" s="3" t="s">
        <v>31</v>
      </c>
      <c r="D1626" s="3" t="s">
        <v>30</v>
      </c>
      <c r="E1626" s="3" t="s">
        <v>2276</v>
      </c>
      <c r="F1626" s="4" t="s">
        <v>74</v>
      </c>
      <c r="G1626" s="4" t="s">
        <v>2276</v>
      </c>
      <c r="H1626" s="3" t="s">
        <v>523</v>
      </c>
      <c r="I1626" s="3"/>
      <c r="J1626" s="4" t="s">
        <v>2276</v>
      </c>
      <c r="K1626" s="4" t="s">
        <v>2276</v>
      </c>
      <c r="L1626" s="4" t="s">
        <v>2276</v>
      </c>
      <c r="M1626" s="4" t="s">
        <v>2276</v>
      </c>
      <c r="N1626" s="4" t="s">
        <v>2276</v>
      </c>
      <c r="O1626" s="4" t="s">
        <v>2276</v>
      </c>
      <c r="P1626" s="4" t="s">
        <v>2276</v>
      </c>
      <c r="Q1626" s="4" t="s">
        <v>2276</v>
      </c>
      <c r="R1626" s="4" t="s">
        <v>2276</v>
      </c>
      <c r="S1626" s="4" t="s">
        <v>2276</v>
      </c>
      <c r="T1626" s="4" t="s">
        <v>2276</v>
      </c>
      <c r="U1626" s="4" t="s">
        <v>2276</v>
      </c>
      <c r="V1626" s="4" t="s">
        <v>2276</v>
      </c>
      <c r="W1626" s="4" t="s">
        <v>2276</v>
      </c>
      <c r="X1626" s="4" t="s">
        <v>2276</v>
      </c>
      <c r="Y1626" s="4" t="s">
        <v>2276</v>
      </c>
      <c r="Z1626" s="4" t="s">
        <v>2276</v>
      </c>
      <c r="AA1626" s="4" t="s">
        <v>2276</v>
      </c>
      <c r="AB1626" s="4" t="s">
        <v>2276</v>
      </c>
      <c r="AC1626" s="3" t="s">
        <v>4828</v>
      </c>
      <c r="AD1626" s="3"/>
    </row>
    <row r="1627" spans="1:30" ht="40" customHeight="1">
      <c r="A1627" s="11" t="s">
        <v>4803</v>
      </c>
      <c r="B1627" s="11" t="s">
        <v>4829</v>
      </c>
      <c r="C1627" s="3" t="s">
        <v>24</v>
      </c>
      <c r="D1627" s="3" t="s">
        <v>1242</v>
      </c>
      <c r="E1627" s="3" t="s">
        <v>2649</v>
      </c>
      <c r="F1627" s="4" t="s">
        <v>74</v>
      </c>
      <c r="G1627" s="4" t="s">
        <v>2276</v>
      </c>
      <c r="H1627" s="3" t="s">
        <v>524</v>
      </c>
      <c r="I1627" s="3"/>
      <c r="J1627" s="21">
        <v>0</v>
      </c>
      <c r="K1627" s="21">
        <v>0</v>
      </c>
      <c r="L1627" s="21">
        <v>0</v>
      </c>
      <c r="M1627" s="21">
        <v>0</v>
      </c>
      <c r="N1627" s="21">
        <v>0</v>
      </c>
      <c r="O1627" s="21">
        <v>0</v>
      </c>
      <c r="P1627" s="21">
        <v>0</v>
      </c>
      <c r="Q1627" s="21">
        <v>0</v>
      </c>
      <c r="R1627" s="21">
        <v>0</v>
      </c>
      <c r="S1627" s="21">
        <v>0</v>
      </c>
      <c r="T1627" s="21">
        <v>0</v>
      </c>
      <c r="U1627" s="21">
        <v>0</v>
      </c>
      <c r="V1627" s="21">
        <v>0</v>
      </c>
      <c r="W1627" s="21">
        <v>0</v>
      </c>
      <c r="X1627" s="21">
        <v>0</v>
      </c>
      <c r="Y1627" s="21">
        <v>0</v>
      </c>
      <c r="Z1627" s="4" t="s">
        <v>2276</v>
      </c>
      <c r="AA1627" s="4" t="s">
        <v>2276</v>
      </c>
      <c r="AB1627" s="4" t="s">
        <v>2276</v>
      </c>
      <c r="AC1627" s="4" t="s">
        <v>4832</v>
      </c>
      <c r="AD1627" s="3"/>
    </row>
    <row r="1628" spans="1:30" ht="40" customHeight="1">
      <c r="A1628" s="11" t="s">
        <v>4804</v>
      </c>
      <c r="B1628" s="11" t="s">
        <v>4830</v>
      </c>
      <c r="C1628" s="3" t="s">
        <v>24</v>
      </c>
      <c r="D1628" s="3" t="s">
        <v>1242</v>
      </c>
      <c r="E1628" s="3" t="s">
        <v>2649</v>
      </c>
      <c r="F1628" s="4" t="s">
        <v>74</v>
      </c>
      <c r="G1628" s="4" t="s">
        <v>2276</v>
      </c>
      <c r="H1628" s="3" t="s">
        <v>524</v>
      </c>
      <c r="I1628" s="3"/>
      <c r="J1628" s="21">
        <v>0</v>
      </c>
      <c r="K1628" s="21">
        <v>0</v>
      </c>
      <c r="L1628" s="21">
        <v>0</v>
      </c>
      <c r="M1628" s="21">
        <v>0</v>
      </c>
      <c r="N1628" s="21">
        <v>0</v>
      </c>
      <c r="O1628" s="21">
        <v>0</v>
      </c>
      <c r="P1628" s="21">
        <v>0</v>
      </c>
      <c r="Q1628" s="21">
        <v>0</v>
      </c>
      <c r="R1628" s="21">
        <v>0</v>
      </c>
      <c r="S1628" s="21">
        <v>0</v>
      </c>
      <c r="T1628" s="21">
        <v>0</v>
      </c>
      <c r="U1628" s="21">
        <v>0</v>
      </c>
      <c r="V1628" s="21">
        <v>0</v>
      </c>
      <c r="W1628" s="21">
        <v>0</v>
      </c>
      <c r="X1628" s="21">
        <v>0</v>
      </c>
      <c r="Y1628" s="21">
        <v>0</v>
      </c>
      <c r="Z1628" s="4" t="s">
        <v>2276</v>
      </c>
      <c r="AA1628" s="4" t="s">
        <v>2276</v>
      </c>
      <c r="AB1628" s="4" t="s">
        <v>2276</v>
      </c>
      <c r="AC1628" s="4" t="s">
        <v>4832</v>
      </c>
      <c r="AD1628" s="3"/>
    </row>
    <row r="1629" spans="1:30" ht="40" customHeight="1">
      <c r="A1629" s="11" t="s">
        <v>4805</v>
      </c>
      <c r="B1629" s="11" t="s">
        <v>4831</v>
      </c>
      <c r="C1629" s="3" t="s">
        <v>24</v>
      </c>
      <c r="D1629" s="3" t="s">
        <v>1242</v>
      </c>
      <c r="E1629" s="3" t="s">
        <v>2649</v>
      </c>
      <c r="F1629" s="4" t="s">
        <v>74</v>
      </c>
      <c r="G1629" s="4" t="s">
        <v>2276</v>
      </c>
      <c r="H1629" s="3" t="s">
        <v>524</v>
      </c>
      <c r="I1629" s="3"/>
      <c r="J1629" s="21">
        <v>0</v>
      </c>
      <c r="K1629" s="21">
        <v>0</v>
      </c>
      <c r="L1629" s="21">
        <v>0</v>
      </c>
      <c r="M1629" s="21">
        <v>0</v>
      </c>
      <c r="N1629" s="21">
        <v>0</v>
      </c>
      <c r="O1629" s="21">
        <v>0</v>
      </c>
      <c r="P1629" s="21">
        <v>0</v>
      </c>
      <c r="Q1629" s="21">
        <v>0</v>
      </c>
      <c r="R1629" s="21">
        <v>0</v>
      </c>
      <c r="S1629" s="21">
        <v>0</v>
      </c>
      <c r="T1629" s="21">
        <v>0</v>
      </c>
      <c r="U1629" s="21">
        <v>0</v>
      </c>
      <c r="V1629" s="21">
        <v>0</v>
      </c>
      <c r="W1629" s="21">
        <v>0</v>
      </c>
      <c r="X1629" s="21">
        <v>0</v>
      </c>
      <c r="Y1629" s="21">
        <v>0</v>
      </c>
      <c r="Z1629" s="4" t="s">
        <v>2276</v>
      </c>
      <c r="AA1629" s="4" t="s">
        <v>2276</v>
      </c>
      <c r="AB1629" s="4" t="s">
        <v>2276</v>
      </c>
      <c r="AC1629" s="4" t="s">
        <v>4832</v>
      </c>
      <c r="AD1629" s="3"/>
    </row>
    <row r="1630" spans="1:30" ht="40.5" customHeight="1">
      <c r="A1630" s="11" t="s">
        <v>4799</v>
      </c>
      <c r="B1630" s="11" t="s">
        <v>6101</v>
      </c>
      <c r="C1630" s="3" t="s">
        <v>1105</v>
      </c>
      <c r="D1630" s="3" t="s">
        <v>2276</v>
      </c>
      <c r="E1630" s="3" t="s">
        <v>2276</v>
      </c>
      <c r="F1630" s="4" t="s">
        <v>2276</v>
      </c>
      <c r="G1630" s="3" t="s">
        <v>74</v>
      </c>
      <c r="H1630" s="3" t="s">
        <v>523</v>
      </c>
      <c r="I1630" s="3"/>
      <c r="J1630" s="4" t="s">
        <v>2276</v>
      </c>
      <c r="K1630" s="4" t="s">
        <v>2276</v>
      </c>
      <c r="L1630" s="4" t="s">
        <v>2276</v>
      </c>
      <c r="M1630" s="4" t="s">
        <v>2276</v>
      </c>
      <c r="N1630" s="4" t="s">
        <v>2276</v>
      </c>
      <c r="O1630" s="4" t="s">
        <v>2276</v>
      </c>
      <c r="P1630" s="4" t="s">
        <v>2276</v>
      </c>
      <c r="Q1630" s="4" t="s">
        <v>2276</v>
      </c>
      <c r="R1630" s="4" t="s">
        <v>2276</v>
      </c>
      <c r="S1630" s="4" t="s">
        <v>2276</v>
      </c>
      <c r="T1630" s="4" t="s">
        <v>2276</v>
      </c>
      <c r="U1630" s="4" t="s">
        <v>2276</v>
      </c>
      <c r="V1630" s="4" t="s">
        <v>2276</v>
      </c>
      <c r="W1630" s="4" t="s">
        <v>2276</v>
      </c>
      <c r="X1630" s="4" t="s">
        <v>2276</v>
      </c>
      <c r="Y1630" s="4" t="s">
        <v>2276</v>
      </c>
      <c r="Z1630" s="4" t="s">
        <v>2276</v>
      </c>
      <c r="AA1630" s="4" t="s">
        <v>2276</v>
      </c>
      <c r="AB1630" s="4" t="s">
        <v>2276</v>
      </c>
      <c r="AC1630" s="4"/>
      <c r="AD1630" s="4" t="s">
        <v>4835</v>
      </c>
    </row>
    <row r="1631" spans="1:30" ht="40.5" customHeight="1">
      <c r="A1631" s="11" t="s">
        <v>4802</v>
      </c>
      <c r="B1631" s="11" t="s">
        <v>6102</v>
      </c>
      <c r="C1631" s="3" t="s">
        <v>1105</v>
      </c>
      <c r="D1631" s="3" t="s">
        <v>2276</v>
      </c>
      <c r="E1631" s="3" t="s">
        <v>2276</v>
      </c>
      <c r="F1631" s="4" t="s">
        <v>2276</v>
      </c>
      <c r="G1631" s="3" t="s">
        <v>74</v>
      </c>
      <c r="H1631" s="3" t="s">
        <v>523</v>
      </c>
      <c r="I1631" s="3"/>
      <c r="J1631" s="4" t="s">
        <v>2276</v>
      </c>
      <c r="K1631" s="4" t="s">
        <v>2276</v>
      </c>
      <c r="L1631" s="4" t="s">
        <v>2276</v>
      </c>
      <c r="M1631" s="4" t="s">
        <v>2276</v>
      </c>
      <c r="N1631" s="4" t="s">
        <v>2276</v>
      </c>
      <c r="O1631" s="4" t="s">
        <v>2276</v>
      </c>
      <c r="P1631" s="4" t="s">
        <v>2276</v>
      </c>
      <c r="Q1631" s="4" t="s">
        <v>2276</v>
      </c>
      <c r="R1631" s="4" t="s">
        <v>2276</v>
      </c>
      <c r="S1631" s="4" t="s">
        <v>2276</v>
      </c>
      <c r="T1631" s="4" t="s">
        <v>2276</v>
      </c>
      <c r="U1631" s="4" t="s">
        <v>2276</v>
      </c>
      <c r="V1631" s="4" t="s">
        <v>2276</v>
      </c>
      <c r="W1631" s="4" t="s">
        <v>2276</v>
      </c>
      <c r="X1631" s="4" t="s">
        <v>2276</v>
      </c>
      <c r="Y1631" s="4" t="s">
        <v>2276</v>
      </c>
      <c r="Z1631" s="4" t="s">
        <v>2276</v>
      </c>
      <c r="AA1631" s="4" t="s">
        <v>2276</v>
      </c>
      <c r="AB1631" s="4" t="s">
        <v>2276</v>
      </c>
      <c r="AC1631" s="4"/>
      <c r="AD1631" s="4" t="s">
        <v>4835</v>
      </c>
    </row>
    <row r="1632" spans="1:30" ht="40.5" customHeight="1">
      <c r="A1632" s="11" t="s">
        <v>4803</v>
      </c>
      <c r="B1632" s="11" t="s">
        <v>6103</v>
      </c>
      <c r="C1632" s="3" t="s">
        <v>1105</v>
      </c>
      <c r="D1632" s="3" t="s">
        <v>2276</v>
      </c>
      <c r="E1632" s="3" t="s">
        <v>2276</v>
      </c>
      <c r="F1632" s="4" t="s">
        <v>2276</v>
      </c>
      <c r="G1632" s="3" t="s">
        <v>74</v>
      </c>
      <c r="H1632" s="3" t="s">
        <v>523</v>
      </c>
      <c r="I1632" s="3"/>
      <c r="J1632" s="4" t="s">
        <v>2276</v>
      </c>
      <c r="K1632" s="4" t="s">
        <v>2276</v>
      </c>
      <c r="L1632" s="4" t="s">
        <v>2276</v>
      </c>
      <c r="M1632" s="4" t="s">
        <v>2276</v>
      </c>
      <c r="N1632" s="4" t="s">
        <v>2276</v>
      </c>
      <c r="O1632" s="4" t="s">
        <v>2276</v>
      </c>
      <c r="P1632" s="4" t="s">
        <v>2276</v>
      </c>
      <c r="Q1632" s="4" t="s">
        <v>2276</v>
      </c>
      <c r="R1632" s="4" t="s">
        <v>2276</v>
      </c>
      <c r="S1632" s="4" t="s">
        <v>2276</v>
      </c>
      <c r="T1632" s="4" t="s">
        <v>2276</v>
      </c>
      <c r="U1632" s="4" t="s">
        <v>2276</v>
      </c>
      <c r="V1632" s="4" t="s">
        <v>2276</v>
      </c>
      <c r="W1632" s="4" t="s">
        <v>2276</v>
      </c>
      <c r="X1632" s="4" t="s">
        <v>2276</v>
      </c>
      <c r="Y1632" s="21">
        <v>21</v>
      </c>
      <c r="Z1632" s="4" t="s">
        <v>2276</v>
      </c>
      <c r="AA1632" s="4" t="s">
        <v>2276</v>
      </c>
      <c r="AB1632" s="4" t="s">
        <v>2276</v>
      </c>
      <c r="AC1632" s="3"/>
      <c r="AD1632" s="3"/>
    </row>
    <row r="1633" spans="1:30" ht="40.5" customHeight="1">
      <c r="A1633" s="11" t="s">
        <v>4804</v>
      </c>
      <c r="B1633" s="11" t="s">
        <v>6104</v>
      </c>
      <c r="C1633" s="3" t="s">
        <v>1105</v>
      </c>
      <c r="D1633" s="3" t="s">
        <v>2276</v>
      </c>
      <c r="E1633" s="3" t="s">
        <v>2276</v>
      </c>
      <c r="F1633" s="4" t="s">
        <v>2276</v>
      </c>
      <c r="G1633" s="3" t="s">
        <v>74</v>
      </c>
      <c r="H1633" s="3" t="s">
        <v>523</v>
      </c>
      <c r="I1633" s="3"/>
      <c r="J1633" s="4" t="s">
        <v>2276</v>
      </c>
      <c r="K1633" s="4" t="s">
        <v>2276</v>
      </c>
      <c r="L1633" s="4" t="s">
        <v>2276</v>
      </c>
      <c r="M1633" s="4" t="s">
        <v>2276</v>
      </c>
      <c r="N1633" s="4" t="s">
        <v>2276</v>
      </c>
      <c r="O1633" s="4" t="s">
        <v>2276</v>
      </c>
      <c r="P1633" s="4" t="s">
        <v>2276</v>
      </c>
      <c r="Q1633" s="4" t="s">
        <v>2276</v>
      </c>
      <c r="R1633" s="4" t="s">
        <v>2276</v>
      </c>
      <c r="S1633" s="4" t="s">
        <v>2276</v>
      </c>
      <c r="T1633" s="4" t="s">
        <v>2276</v>
      </c>
      <c r="U1633" s="4" t="s">
        <v>2276</v>
      </c>
      <c r="V1633" s="4" t="s">
        <v>2276</v>
      </c>
      <c r="W1633" s="4" t="s">
        <v>2276</v>
      </c>
      <c r="X1633" s="4" t="s">
        <v>2276</v>
      </c>
      <c r="Y1633" s="21">
        <v>13</v>
      </c>
      <c r="Z1633" s="4" t="s">
        <v>2276</v>
      </c>
      <c r="AA1633" s="4" t="s">
        <v>2276</v>
      </c>
      <c r="AB1633" s="4" t="s">
        <v>2276</v>
      </c>
      <c r="AC1633" s="3"/>
      <c r="AD1633" s="3"/>
    </row>
    <row r="1634" spans="1:30" ht="40.5" customHeight="1">
      <c r="A1634" s="11" t="s">
        <v>4805</v>
      </c>
      <c r="B1634" s="11" t="s">
        <v>6105</v>
      </c>
      <c r="C1634" s="3" t="s">
        <v>1105</v>
      </c>
      <c r="D1634" s="3" t="s">
        <v>2276</v>
      </c>
      <c r="E1634" s="3" t="s">
        <v>2276</v>
      </c>
      <c r="F1634" s="4" t="s">
        <v>2276</v>
      </c>
      <c r="G1634" s="3" t="s">
        <v>74</v>
      </c>
      <c r="H1634" s="3" t="s">
        <v>523</v>
      </c>
      <c r="I1634" s="3"/>
      <c r="J1634" s="4" t="s">
        <v>2276</v>
      </c>
      <c r="K1634" s="4" t="s">
        <v>2276</v>
      </c>
      <c r="L1634" s="4" t="s">
        <v>2276</v>
      </c>
      <c r="M1634" s="4" t="s">
        <v>2276</v>
      </c>
      <c r="N1634" s="4" t="s">
        <v>2276</v>
      </c>
      <c r="O1634" s="4" t="s">
        <v>2276</v>
      </c>
      <c r="P1634" s="4" t="s">
        <v>2276</v>
      </c>
      <c r="Q1634" s="4" t="s">
        <v>2276</v>
      </c>
      <c r="R1634" s="4" t="s">
        <v>2276</v>
      </c>
      <c r="S1634" s="4" t="s">
        <v>2276</v>
      </c>
      <c r="T1634" s="4" t="s">
        <v>2276</v>
      </c>
      <c r="U1634" s="4" t="s">
        <v>2276</v>
      </c>
      <c r="V1634" s="4" t="s">
        <v>2276</v>
      </c>
      <c r="W1634" s="4" t="s">
        <v>2276</v>
      </c>
      <c r="X1634" s="4" t="s">
        <v>2276</v>
      </c>
      <c r="Y1634" s="21">
        <v>13</v>
      </c>
      <c r="Z1634" s="4" t="s">
        <v>2276</v>
      </c>
      <c r="AA1634" s="4" t="s">
        <v>2276</v>
      </c>
      <c r="AB1634" s="4" t="s">
        <v>2276</v>
      </c>
      <c r="AC1634" s="3"/>
      <c r="AD1634" s="3"/>
    </row>
    <row r="1635" spans="1:30" ht="45.5" customHeight="1">
      <c r="A1635" s="11" t="s">
        <v>4848</v>
      </c>
      <c r="B1635" s="11" t="s">
        <v>4899</v>
      </c>
      <c r="C1635" s="3" t="s">
        <v>24</v>
      </c>
      <c r="D1635" s="3" t="s">
        <v>2276</v>
      </c>
      <c r="E1635" s="3" t="s">
        <v>45</v>
      </c>
      <c r="F1635" s="4" t="s">
        <v>2276</v>
      </c>
      <c r="G1635" s="4" t="s">
        <v>2662</v>
      </c>
      <c r="H1635" s="3" t="s">
        <v>523</v>
      </c>
      <c r="I1635" s="3"/>
      <c r="J1635" s="4" t="s">
        <v>2276</v>
      </c>
      <c r="K1635" s="4" t="s">
        <v>2276</v>
      </c>
      <c r="L1635" s="4" t="s">
        <v>2276</v>
      </c>
      <c r="M1635" s="4" t="s">
        <v>2276</v>
      </c>
      <c r="N1635" s="4" t="s">
        <v>2276</v>
      </c>
      <c r="O1635" s="4" t="s">
        <v>2276</v>
      </c>
      <c r="P1635" s="4" t="s">
        <v>2276</v>
      </c>
      <c r="Q1635" s="4" t="s">
        <v>2276</v>
      </c>
      <c r="R1635" s="4" t="s">
        <v>2276</v>
      </c>
      <c r="S1635" s="4" t="s">
        <v>2276</v>
      </c>
      <c r="T1635" s="4" t="s">
        <v>2276</v>
      </c>
      <c r="U1635" s="4" t="s">
        <v>2276</v>
      </c>
      <c r="V1635" s="4" t="s">
        <v>2276</v>
      </c>
      <c r="W1635" s="4" t="s">
        <v>2276</v>
      </c>
      <c r="X1635" s="4" t="s">
        <v>2276</v>
      </c>
      <c r="Y1635" s="4" t="s">
        <v>2276</v>
      </c>
      <c r="Z1635" s="4" t="s">
        <v>2276</v>
      </c>
      <c r="AA1635" s="4" t="s">
        <v>2276</v>
      </c>
      <c r="AB1635" s="4" t="s">
        <v>2276</v>
      </c>
      <c r="AC1635" s="3"/>
      <c r="AD1635" s="3"/>
    </row>
    <row r="1636" spans="1:30" ht="45.5" customHeight="1">
      <c r="A1636" s="11" t="s">
        <v>4850</v>
      </c>
      <c r="B1636" s="11" t="s">
        <v>4900</v>
      </c>
      <c r="C1636" s="3" t="s">
        <v>24</v>
      </c>
      <c r="D1636" s="3" t="s">
        <v>2276</v>
      </c>
      <c r="E1636" s="3" t="s">
        <v>45</v>
      </c>
      <c r="F1636" s="4" t="s">
        <v>2276</v>
      </c>
      <c r="G1636" s="4" t="s">
        <v>2662</v>
      </c>
      <c r="H1636" s="3" t="s">
        <v>523</v>
      </c>
      <c r="I1636" s="3"/>
      <c r="J1636" s="4" t="s">
        <v>2276</v>
      </c>
      <c r="K1636" s="4" t="s">
        <v>2276</v>
      </c>
      <c r="L1636" s="4" t="s">
        <v>2276</v>
      </c>
      <c r="M1636" s="4" t="s">
        <v>2276</v>
      </c>
      <c r="N1636" s="4" t="s">
        <v>2276</v>
      </c>
      <c r="O1636" s="4" t="s">
        <v>2276</v>
      </c>
      <c r="P1636" s="4" t="s">
        <v>2276</v>
      </c>
      <c r="Q1636" s="4" t="s">
        <v>2276</v>
      </c>
      <c r="R1636" s="4" t="s">
        <v>2276</v>
      </c>
      <c r="S1636" s="4" t="s">
        <v>2276</v>
      </c>
      <c r="T1636" s="4" t="s">
        <v>2276</v>
      </c>
      <c r="U1636" s="4" t="s">
        <v>2276</v>
      </c>
      <c r="V1636" s="4" t="s">
        <v>2276</v>
      </c>
      <c r="W1636" s="4" t="s">
        <v>2276</v>
      </c>
      <c r="X1636" s="4" t="s">
        <v>2276</v>
      </c>
      <c r="Y1636" s="4" t="s">
        <v>2276</v>
      </c>
      <c r="Z1636" s="4" t="s">
        <v>2276</v>
      </c>
      <c r="AA1636" s="4" t="s">
        <v>2276</v>
      </c>
      <c r="AB1636" s="4" t="s">
        <v>2276</v>
      </c>
      <c r="AC1636" s="3"/>
      <c r="AD1636" s="3"/>
    </row>
    <row r="1637" spans="1:30" ht="45.5" customHeight="1">
      <c r="A1637" s="11" t="s">
        <v>4851</v>
      </c>
      <c r="B1637" s="11" t="s">
        <v>4901</v>
      </c>
      <c r="C1637" s="3" t="s">
        <v>24</v>
      </c>
      <c r="D1637" s="3" t="s">
        <v>2276</v>
      </c>
      <c r="E1637" s="3" t="s">
        <v>45</v>
      </c>
      <c r="F1637" s="4" t="s">
        <v>2276</v>
      </c>
      <c r="G1637" s="4" t="s">
        <v>2662</v>
      </c>
      <c r="H1637" s="3" t="s">
        <v>523</v>
      </c>
      <c r="I1637" s="3"/>
      <c r="J1637" s="4" t="s">
        <v>2276</v>
      </c>
      <c r="K1637" s="4" t="s">
        <v>2276</v>
      </c>
      <c r="L1637" s="4" t="s">
        <v>2276</v>
      </c>
      <c r="M1637" s="4" t="s">
        <v>2276</v>
      </c>
      <c r="N1637" s="4" t="s">
        <v>2276</v>
      </c>
      <c r="O1637" s="4" t="s">
        <v>2276</v>
      </c>
      <c r="P1637" s="4" t="s">
        <v>2276</v>
      </c>
      <c r="Q1637" s="4" t="s">
        <v>2276</v>
      </c>
      <c r="R1637" s="4" t="s">
        <v>2276</v>
      </c>
      <c r="S1637" s="4" t="s">
        <v>2276</v>
      </c>
      <c r="T1637" s="4" t="s">
        <v>2276</v>
      </c>
      <c r="U1637" s="4" t="s">
        <v>2276</v>
      </c>
      <c r="V1637" s="4" t="s">
        <v>2276</v>
      </c>
      <c r="W1637" s="4" t="s">
        <v>2276</v>
      </c>
      <c r="X1637" s="4" t="s">
        <v>2276</v>
      </c>
      <c r="Y1637" s="4" t="s">
        <v>2276</v>
      </c>
      <c r="Z1637" s="4" t="s">
        <v>2276</v>
      </c>
      <c r="AA1637" s="4" t="s">
        <v>2276</v>
      </c>
      <c r="AB1637" s="4" t="s">
        <v>2276</v>
      </c>
      <c r="AC1637" s="3"/>
      <c r="AD1637" s="3"/>
    </row>
    <row r="1638" spans="1:30" ht="45.5" customHeight="1">
      <c r="A1638" s="11" t="s">
        <v>4852</v>
      </c>
      <c r="B1638" s="11" t="s">
        <v>4902</v>
      </c>
      <c r="C1638" s="3" t="s">
        <v>24</v>
      </c>
      <c r="D1638" s="3" t="s">
        <v>2276</v>
      </c>
      <c r="E1638" s="3" t="s">
        <v>45</v>
      </c>
      <c r="F1638" s="4" t="s">
        <v>2276</v>
      </c>
      <c r="G1638" s="4" t="s">
        <v>2662</v>
      </c>
      <c r="H1638" s="3" t="s">
        <v>523</v>
      </c>
      <c r="I1638" s="3"/>
      <c r="J1638" s="4" t="s">
        <v>2276</v>
      </c>
      <c r="K1638" s="4" t="s">
        <v>2276</v>
      </c>
      <c r="L1638" s="4" t="s">
        <v>2276</v>
      </c>
      <c r="M1638" s="4" t="s">
        <v>2276</v>
      </c>
      <c r="N1638" s="4" t="s">
        <v>2276</v>
      </c>
      <c r="O1638" s="4" t="s">
        <v>2276</v>
      </c>
      <c r="P1638" s="4" t="s">
        <v>2276</v>
      </c>
      <c r="Q1638" s="4" t="s">
        <v>2276</v>
      </c>
      <c r="R1638" s="4" t="s">
        <v>2276</v>
      </c>
      <c r="S1638" s="4" t="s">
        <v>2276</v>
      </c>
      <c r="T1638" s="4" t="s">
        <v>2276</v>
      </c>
      <c r="U1638" s="4" t="s">
        <v>2276</v>
      </c>
      <c r="V1638" s="4" t="s">
        <v>2276</v>
      </c>
      <c r="W1638" s="4" t="s">
        <v>2276</v>
      </c>
      <c r="X1638" s="4" t="s">
        <v>2276</v>
      </c>
      <c r="Y1638" s="4" t="s">
        <v>2276</v>
      </c>
      <c r="Z1638" s="4" t="s">
        <v>2276</v>
      </c>
      <c r="AA1638" s="4" t="s">
        <v>2276</v>
      </c>
      <c r="AB1638" s="4" t="s">
        <v>2276</v>
      </c>
      <c r="AC1638" s="3"/>
      <c r="AD1638" s="3"/>
    </row>
    <row r="1639" spans="1:30" ht="45.5" customHeight="1">
      <c r="A1639" s="11" t="s">
        <v>4853</v>
      </c>
      <c r="B1639" s="11" t="s">
        <v>4903</v>
      </c>
      <c r="C1639" s="3" t="s">
        <v>24</v>
      </c>
      <c r="D1639" s="3" t="s">
        <v>2276</v>
      </c>
      <c r="E1639" s="3" t="s">
        <v>45</v>
      </c>
      <c r="F1639" s="4" t="s">
        <v>2276</v>
      </c>
      <c r="G1639" s="4" t="s">
        <v>2662</v>
      </c>
      <c r="H1639" s="3" t="s">
        <v>523</v>
      </c>
      <c r="I1639" s="3"/>
      <c r="J1639" s="4" t="s">
        <v>2276</v>
      </c>
      <c r="K1639" s="4" t="s">
        <v>2276</v>
      </c>
      <c r="L1639" s="4" t="s">
        <v>2276</v>
      </c>
      <c r="M1639" s="4" t="s">
        <v>2276</v>
      </c>
      <c r="N1639" s="4" t="s">
        <v>2276</v>
      </c>
      <c r="O1639" s="4" t="s">
        <v>2276</v>
      </c>
      <c r="P1639" s="4" t="s">
        <v>2276</v>
      </c>
      <c r="Q1639" s="4" t="s">
        <v>2276</v>
      </c>
      <c r="R1639" s="4" t="s">
        <v>2276</v>
      </c>
      <c r="S1639" s="4" t="s">
        <v>2276</v>
      </c>
      <c r="T1639" s="4" t="s">
        <v>2276</v>
      </c>
      <c r="U1639" s="4" t="s">
        <v>2276</v>
      </c>
      <c r="V1639" s="4" t="s">
        <v>2276</v>
      </c>
      <c r="W1639" s="4" t="s">
        <v>2276</v>
      </c>
      <c r="X1639" s="4" t="s">
        <v>2276</v>
      </c>
      <c r="Y1639" s="4" t="s">
        <v>2276</v>
      </c>
      <c r="Z1639" s="4" t="s">
        <v>2276</v>
      </c>
      <c r="AA1639" s="4" t="s">
        <v>2276</v>
      </c>
      <c r="AB1639" s="4" t="s">
        <v>2276</v>
      </c>
      <c r="AC1639" s="3"/>
      <c r="AD1639" s="3"/>
    </row>
    <row r="1640" spans="1:30" ht="45.5" customHeight="1">
      <c r="A1640" s="11" t="s">
        <v>4854</v>
      </c>
      <c r="B1640" s="11" t="s">
        <v>4904</v>
      </c>
      <c r="C1640" s="3" t="s">
        <v>24</v>
      </c>
      <c r="D1640" s="3" t="s">
        <v>2276</v>
      </c>
      <c r="E1640" s="3" t="s">
        <v>45</v>
      </c>
      <c r="F1640" s="4" t="s">
        <v>2276</v>
      </c>
      <c r="G1640" s="4" t="s">
        <v>2662</v>
      </c>
      <c r="H1640" s="3" t="s">
        <v>523</v>
      </c>
      <c r="I1640" s="3"/>
      <c r="J1640" s="4" t="s">
        <v>2276</v>
      </c>
      <c r="K1640" s="4" t="s">
        <v>2276</v>
      </c>
      <c r="L1640" s="4" t="s">
        <v>2276</v>
      </c>
      <c r="M1640" s="4" t="s">
        <v>2276</v>
      </c>
      <c r="N1640" s="4" t="s">
        <v>2276</v>
      </c>
      <c r="O1640" s="4" t="s">
        <v>2276</v>
      </c>
      <c r="P1640" s="4" t="s">
        <v>2276</v>
      </c>
      <c r="Q1640" s="4" t="s">
        <v>2276</v>
      </c>
      <c r="R1640" s="4" t="s">
        <v>2276</v>
      </c>
      <c r="S1640" s="4" t="s">
        <v>2276</v>
      </c>
      <c r="T1640" s="4" t="s">
        <v>2276</v>
      </c>
      <c r="U1640" s="4" t="s">
        <v>2276</v>
      </c>
      <c r="V1640" s="4" t="s">
        <v>2276</v>
      </c>
      <c r="W1640" s="4" t="s">
        <v>2276</v>
      </c>
      <c r="X1640" s="4" t="s">
        <v>2276</v>
      </c>
      <c r="Y1640" s="4" t="s">
        <v>2276</v>
      </c>
      <c r="Z1640" s="4" t="s">
        <v>2276</v>
      </c>
      <c r="AA1640" s="4" t="s">
        <v>2276</v>
      </c>
      <c r="AB1640" s="4" t="s">
        <v>2276</v>
      </c>
      <c r="AC1640" s="3"/>
      <c r="AD1640" s="3"/>
    </row>
    <row r="1641" spans="1:30" ht="45.5" customHeight="1">
      <c r="A1641" s="11" t="s">
        <v>4855</v>
      </c>
      <c r="B1641" s="11" t="s">
        <v>4905</v>
      </c>
      <c r="C1641" s="3" t="s">
        <v>24</v>
      </c>
      <c r="D1641" s="3" t="s">
        <v>2276</v>
      </c>
      <c r="E1641" s="3" t="s">
        <v>45</v>
      </c>
      <c r="F1641" s="4" t="s">
        <v>2276</v>
      </c>
      <c r="G1641" s="4" t="s">
        <v>2662</v>
      </c>
      <c r="H1641" s="3" t="s">
        <v>523</v>
      </c>
      <c r="I1641" s="3"/>
      <c r="J1641" s="4" t="s">
        <v>2276</v>
      </c>
      <c r="K1641" s="4" t="s">
        <v>2276</v>
      </c>
      <c r="L1641" s="4" t="s">
        <v>2276</v>
      </c>
      <c r="M1641" s="4" t="s">
        <v>2276</v>
      </c>
      <c r="N1641" s="4" t="s">
        <v>2276</v>
      </c>
      <c r="O1641" s="4" t="s">
        <v>2276</v>
      </c>
      <c r="P1641" s="4" t="s">
        <v>2276</v>
      </c>
      <c r="Q1641" s="4" t="s">
        <v>2276</v>
      </c>
      <c r="R1641" s="4" t="s">
        <v>2276</v>
      </c>
      <c r="S1641" s="4" t="s">
        <v>2276</v>
      </c>
      <c r="T1641" s="4" t="s">
        <v>2276</v>
      </c>
      <c r="U1641" s="4" t="s">
        <v>2276</v>
      </c>
      <c r="V1641" s="4" t="s">
        <v>2276</v>
      </c>
      <c r="W1641" s="4" t="s">
        <v>2276</v>
      </c>
      <c r="X1641" s="4" t="s">
        <v>2276</v>
      </c>
      <c r="Y1641" s="4" t="s">
        <v>2276</v>
      </c>
      <c r="Z1641" s="4" t="s">
        <v>2276</v>
      </c>
      <c r="AA1641" s="4" t="s">
        <v>2276</v>
      </c>
      <c r="AB1641" s="4" t="s">
        <v>2276</v>
      </c>
      <c r="AC1641" s="3"/>
      <c r="AD1641" s="3"/>
    </row>
    <row r="1642" spans="1:30" ht="45.5" customHeight="1">
      <c r="A1642" s="11" t="s">
        <v>4856</v>
      </c>
      <c r="B1642" s="11" t="s">
        <v>4906</v>
      </c>
      <c r="C1642" s="3" t="s">
        <v>24</v>
      </c>
      <c r="D1642" s="3" t="s">
        <v>2276</v>
      </c>
      <c r="E1642" s="3" t="s">
        <v>45</v>
      </c>
      <c r="F1642" s="4" t="s">
        <v>2276</v>
      </c>
      <c r="G1642" s="4" t="s">
        <v>2662</v>
      </c>
      <c r="H1642" s="3" t="s">
        <v>523</v>
      </c>
      <c r="I1642" s="3"/>
      <c r="J1642" s="4" t="s">
        <v>2276</v>
      </c>
      <c r="K1642" s="4" t="s">
        <v>2276</v>
      </c>
      <c r="L1642" s="4" t="s">
        <v>2276</v>
      </c>
      <c r="M1642" s="4" t="s">
        <v>2276</v>
      </c>
      <c r="N1642" s="4" t="s">
        <v>2276</v>
      </c>
      <c r="O1642" s="4" t="s">
        <v>2276</v>
      </c>
      <c r="P1642" s="4" t="s">
        <v>2276</v>
      </c>
      <c r="Q1642" s="4" t="s">
        <v>2276</v>
      </c>
      <c r="R1642" s="4" t="s">
        <v>2276</v>
      </c>
      <c r="S1642" s="4" t="s">
        <v>2276</v>
      </c>
      <c r="T1642" s="4" t="s">
        <v>2276</v>
      </c>
      <c r="U1642" s="4" t="s">
        <v>2276</v>
      </c>
      <c r="V1642" s="4" t="s">
        <v>2276</v>
      </c>
      <c r="W1642" s="4" t="s">
        <v>2276</v>
      </c>
      <c r="X1642" s="4" t="s">
        <v>2276</v>
      </c>
      <c r="Y1642" s="4" t="s">
        <v>2276</v>
      </c>
      <c r="Z1642" s="4" t="s">
        <v>2276</v>
      </c>
      <c r="AA1642" s="4" t="s">
        <v>2276</v>
      </c>
      <c r="AB1642" s="4" t="s">
        <v>2276</v>
      </c>
      <c r="AC1642" s="3"/>
      <c r="AD1642" s="3"/>
    </row>
    <row r="1643" spans="1:30" ht="45.5" customHeight="1">
      <c r="A1643" s="11" t="s">
        <v>4857</v>
      </c>
      <c r="B1643" s="11" t="s">
        <v>4907</v>
      </c>
      <c r="C1643" s="3" t="s">
        <v>24</v>
      </c>
      <c r="D1643" s="3" t="s">
        <v>2276</v>
      </c>
      <c r="E1643" s="3" t="s">
        <v>45</v>
      </c>
      <c r="F1643" s="4" t="s">
        <v>2276</v>
      </c>
      <c r="G1643" s="4" t="s">
        <v>2662</v>
      </c>
      <c r="H1643" s="3" t="s">
        <v>523</v>
      </c>
      <c r="I1643" s="3"/>
      <c r="J1643" s="4" t="s">
        <v>2276</v>
      </c>
      <c r="K1643" s="4" t="s">
        <v>2276</v>
      </c>
      <c r="L1643" s="4" t="s">
        <v>2276</v>
      </c>
      <c r="M1643" s="4" t="s">
        <v>2276</v>
      </c>
      <c r="N1643" s="4" t="s">
        <v>2276</v>
      </c>
      <c r="O1643" s="4" t="s">
        <v>2276</v>
      </c>
      <c r="P1643" s="4" t="s">
        <v>2276</v>
      </c>
      <c r="Q1643" s="4" t="s">
        <v>2276</v>
      </c>
      <c r="R1643" s="4" t="s">
        <v>2276</v>
      </c>
      <c r="S1643" s="4" t="s">
        <v>2276</v>
      </c>
      <c r="T1643" s="4" t="s">
        <v>2276</v>
      </c>
      <c r="U1643" s="4" t="s">
        <v>2276</v>
      </c>
      <c r="V1643" s="4" t="s">
        <v>2276</v>
      </c>
      <c r="W1643" s="4" t="s">
        <v>2276</v>
      </c>
      <c r="X1643" s="4" t="s">
        <v>2276</v>
      </c>
      <c r="Y1643" s="4" t="s">
        <v>2276</v>
      </c>
      <c r="Z1643" s="4" t="s">
        <v>2276</v>
      </c>
      <c r="AA1643" s="4" t="s">
        <v>2276</v>
      </c>
      <c r="AB1643" s="4" t="s">
        <v>2276</v>
      </c>
      <c r="AC1643" s="3"/>
      <c r="AD1643" s="3"/>
    </row>
    <row r="1644" spans="1:30" ht="45.5" customHeight="1">
      <c r="A1644" s="11" t="s">
        <v>4858</v>
      </c>
      <c r="B1644" s="11" t="s">
        <v>4908</v>
      </c>
      <c r="C1644" s="3" t="s">
        <v>24</v>
      </c>
      <c r="D1644" s="3" t="s">
        <v>2276</v>
      </c>
      <c r="E1644" s="3" t="s">
        <v>45</v>
      </c>
      <c r="F1644" s="4" t="s">
        <v>2276</v>
      </c>
      <c r="G1644" s="4" t="s">
        <v>2662</v>
      </c>
      <c r="H1644" s="3" t="s">
        <v>523</v>
      </c>
      <c r="I1644" s="3"/>
      <c r="J1644" s="4" t="s">
        <v>2276</v>
      </c>
      <c r="K1644" s="4" t="s">
        <v>2276</v>
      </c>
      <c r="L1644" s="4" t="s">
        <v>2276</v>
      </c>
      <c r="M1644" s="4" t="s">
        <v>2276</v>
      </c>
      <c r="N1644" s="4" t="s">
        <v>2276</v>
      </c>
      <c r="O1644" s="4" t="s">
        <v>2276</v>
      </c>
      <c r="P1644" s="4" t="s">
        <v>2276</v>
      </c>
      <c r="Q1644" s="4" t="s">
        <v>2276</v>
      </c>
      <c r="R1644" s="4" t="s">
        <v>2276</v>
      </c>
      <c r="S1644" s="4" t="s">
        <v>2276</v>
      </c>
      <c r="T1644" s="4" t="s">
        <v>2276</v>
      </c>
      <c r="U1644" s="4" t="s">
        <v>2276</v>
      </c>
      <c r="V1644" s="4" t="s">
        <v>2276</v>
      </c>
      <c r="W1644" s="4" t="s">
        <v>2276</v>
      </c>
      <c r="X1644" s="4" t="s">
        <v>2276</v>
      </c>
      <c r="Y1644" s="4" t="s">
        <v>2276</v>
      </c>
      <c r="Z1644" s="4" t="s">
        <v>2276</v>
      </c>
      <c r="AA1644" s="4" t="s">
        <v>2276</v>
      </c>
      <c r="AB1644" s="4" t="s">
        <v>2276</v>
      </c>
      <c r="AC1644" s="3"/>
      <c r="AD1644" s="3"/>
    </row>
    <row r="1645" spans="1:30" ht="45.5" customHeight="1">
      <c r="A1645" s="11" t="s">
        <v>4859</v>
      </c>
      <c r="B1645" s="11" t="s">
        <v>4909</v>
      </c>
      <c r="C1645" s="3" t="s">
        <v>24</v>
      </c>
      <c r="D1645" s="3" t="s">
        <v>2276</v>
      </c>
      <c r="E1645" s="3" t="s">
        <v>45</v>
      </c>
      <c r="F1645" s="4" t="s">
        <v>2276</v>
      </c>
      <c r="G1645" s="4" t="s">
        <v>2662</v>
      </c>
      <c r="H1645" s="3" t="s">
        <v>523</v>
      </c>
      <c r="I1645" s="3"/>
      <c r="J1645" s="4" t="s">
        <v>2276</v>
      </c>
      <c r="K1645" s="4" t="s">
        <v>2276</v>
      </c>
      <c r="L1645" s="4" t="s">
        <v>2276</v>
      </c>
      <c r="M1645" s="4" t="s">
        <v>2276</v>
      </c>
      <c r="N1645" s="4" t="s">
        <v>2276</v>
      </c>
      <c r="O1645" s="4" t="s">
        <v>2276</v>
      </c>
      <c r="P1645" s="4" t="s">
        <v>2276</v>
      </c>
      <c r="Q1645" s="4" t="s">
        <v>2276</v>
      </c>
      <c r="R1645" s="4" t="s">
        <v>2276</v>
      </c>
      <c r="S1645" s="4" t="s">
        <v>2276</v>
      </c>
      <c r="T1645" s="4" t="s">
        <v>2276</v>
      </c>
      <c r="U1645" s="4" t="s">
        <v>2276</v>
      </c>
      <c r="V1645" s="4" t="s">
        <v>2276</v>
      </c>
      <c r="W1645" s="4" t="s">
        <v>2276</v>
      </c>
      <c r="X1645" s="4" t="s">
        <v>2276</v>
      </c>
      <c r="Y1645" s="4" t="s">
        <v>2276</v>
      </c>
      <c r="Z1645" s="4" t="s">
        <v>2276</v>
      </c>
      <c r="AA1645" s="4" t="s">
        <v>2276</v>
      </c>
      <c r="AB1645" s="4" t="s">
        <v>2276</v>
      </c>
      <c r="AC1645" s="3"/>
      <c r="AD1645" s="3"/>
    </row>
    <row r="1646" spans="1:30" ht="45.5" customHeight="1">
      <c r="A1646" s="11" t="s">
        <v>4860</v>
      </c>
      <c r="B1646" s="11" t="s">
        <v>4910</v>
      </c>
      <c r="C1646" s="3" t="s">
        <v>24</v>
      </c>
      <c r="D1646" s="3" t="s">
        <v>2276</v>
      </c>
      <c r="E1646" s="3" t="s">
        <v>45</v>
      </c>
      <c r="F1646" s="4" t="s">
        <v>2276</v>
      </c>
      <c r="G1646" s="4" t="s">
        <v>2662</v>
      </c>
      <c r="H1646" s="3" t="s">
        <v>523</v>
      </c>
      <c r="I1646" s="3"/>
      <c r="J1646" s="4" t="s">
        <v>2276</v>
      </c>
      <c r="K1646" s="4" t="s">
        <v>2276</v>
      </c>
      <c r="L1646" s="4" t="s">
        <v>2276</v>
      </c>
      <c r="M1646" s="4" t="s">
        <v>2276</v>
      </c>
      <c r="N1646" s="4" t="s">
        <v>2276</v>
      </c>
      <c r="O1646" s="4" t="s">
        <v>2276</v>
      </c>
      <c r="P1646" s="4" t="s">
        <v>2276</v>
      </c>
      <c r="Q1646" s="4" t="s">
        <v>2276</v>
      </c>
      <c r="R1646" s="4" t="s">
        <v>2276</v>
      </c>
      <c r="S1646" s="4" t="s">
        <v>2276</v>
      </c>
      <c r="T1646" s="4" t="s">
        <v>2276</v>
      </c>
      <c r="U1646" s="4" t="s">
        <v>2276</v>
      </c>
      <c r="V1646" s="4" t="s">
        <v>2276</v>
      </c>
      <c r="W1646" s="4" t="s">
        <v>2276</v>
      </c>
      <c r="X1646" s="4" t="s">
        <v>2276</v>
      </c>
      <c r="Y1646" s="4" t="s">
        <v>2276</v>
      </c>
      <c r="Z1646" s="4" t="s">
        <v>2276</v>
      </c>
      <c r="AA1646" s="4" t="s">
        <v>2276</v>
      </c>
      <c r="AB1646" s="4" t="s">
        <v>2276</v>
      </c>
      <c r="AC1646" s="3"/>
      <c r="AD1646" s="3"/>
    </row>
    <row r="1647" spans="1:30" ht="45.5" customHeight="1">
      <c r="A1647" s="11" t="s">
        <v>4861</v>
      </c>
      <c r="B1647" s="11" t="s">
        <v>4911</v>
      </c>
      <c r="C1647" s="3" t="s">
        <v>24</v>
      </c>
      <c r="D1647" s="3" t="s">
        <v>2276</v>
      </c>
      <c r="E1647" s="3" t="s">
        <v>45</v>
      </c>
      <c r="F1647" s="4" t="s">
        <v>2276</v>
      </c>
      <c r="G1647" s="4" t="s">
        <v>2662</v>
      </c>
      <c r="H1647" s="3" t="s">
        <v>523</v>
      </c>
      <c r="I1647" s="3"/>
      <c r="J1647" s="4" t="s">
        <v>2276</v>
      </c>
      <c r="K1647" s="4" t="s">
        <v>2276</v>
      </c>
      <c r="L1647" s="4" t="s">
        <v>2276</v>
      </c>
      <c r="M1647" s="4" t="s">
        <v>2276</v>
      </c>
      <c r="N1647" s="4" t="s">
        <v>2276</v>
      </c>
      <c r="O1647" s="4" t="s">
        <v>2276</v>
      </c>
      <c r="P1647" s="4" t="s">
        <v>2276</v>
      </c>
      <c r="Q1647" s="4" t="s">
        <v>2276</v>
      </c>
      <c r="R1647" s="4" t="s">
        <v>2276</v>
      </c>
      <c r="S1647" s="4" t="s">
        <v>2276</v>
      </c>
      <c r="T1647" s="4" t="s">
        <v>2276</v>
      </c>
      <c r="U1647" s="4" t="s">
        <v>2276</v>
      </c>
      <c r="V1647" s="4" t="s">
        <v>2276</v>
      </c>
      <c r="W1647" s="4" t="s">
        <v>2276</v>
      </c>
      <c r="X1647" s="4" t="s">
        <v>2276</v>
      </c>
      <c r="Y1647" s="4" t="s">
        <v>2276</v>
      </c>
      <c r="Z1647" s="4" t="s">
        <v>2276</v>
      </c>
      <c r="AA1647" s="4" t="s">
        <v>2276</v>
      </c>
      <c r="AB1647" s="4" t="s">
        <v>2276</v>
      </c>
      <c r="AC1647" s="3"/>
      <c r="AD1647" s="3"/>
    </row>
    <row r="1648" spans="1:30" ht="45.5" customHeight="1">
      <c r="A1648" s="11" t="s">
        <v>4862</v>
      </c>
      <c r="B1648" s="11" t="s">
        <v>4912</v>
      </c>
      <c r="C1648" s="3" t="s">
        <v>24</v>
      </c>
      <c r="D1648" s="3" t="s">
        <v>2276</v>
      </c>
      <c r="E1648" s="3" t="s">
        <v>45</v>
      </c>
      <c r="F1648" s="4" t="s">
        <v>2276</v>
      </c>
      <c r="G1648" s="4" t="s">
        <v>2662</v>
      </c>
      <c r="H1648" s="3" t="s">
        <v>523</v>
      </c>
      <c r="I1648" s="3"/>
      <c r="J1648" s="4" t="s">
        <v>2276</v>
      </c>
      <c r="K1648" s="4" t="s">
        <v>2276</v>
      </c>
      <c r="L1648" s="4" t="s">
        <v>2276</v>
      </c>
      <c r="M1648" s="4" t="s">
        <v>2276</v>
      </c>
      <c r="N1648" s="4" t="s">
        <v>2276</v>
      </c>
      <c r="O1648" s="4" t="s">
        <v>2276</v>
      </c>
      <c r="P1648" s="4" t="s">
        <v>2276</v>
      </c>
      <c r="Q1648" s="4" t="s">
        <v>2276</v>
      </c>
      <c r="R1648" s="4" t="s">
        <v>2276</v>
      </c>
      <c r="S1648" s="4" t="s">
        <v>2276</v>
      </c>
      <c r="T1648" s="4" t="s">
        <v>2276</v>
      </c>
      <c r="U1648" s="4" t="s">
        <v>2276</v>
      </c>
      <c r="V1648" s="4" t="s">
        <v>2276</v>
      </c>
      <c r="W1648" s="4" t="s">
        <v>2276</v>
      </c>
      <c r="X1648" s="4" t="s">
        <v>2276</v>
      </c>
      <c r="Y1648" s="4" t="s">
        <v>2276</v>
      </c>
      <c r="Z1648" s="4" t="s">
        <v>2276</v>
      </c>
      <c r="AA1648" s="4" t="s">
        <v>2276</v>
      </c>
      <c r="AB1648" s="4" t="s">
        <v>2276</v>
      </c>
      <c r="AC1648" s="3"/>
      <c r="AD1648" s="3"/>
    </row>
    <row r="1649" spans="1:30" ht="45.5" customHeight="1">
      <c r="A1649" s="11" t="s">
        <v>4863</v>
      </c>
      <c r="B1649" s="11" t="s">
        <v>4913</v>
      </c>
      <c r="C1649" s="3" t="s">
        <v>24</v>
      </c>
      <c r="D1649" s="3" t="s">
        <v>2276</v>
      </c>
      <c r="E1649" s="3" t="s">
        <v>45</v>
      </c>
      <c r="F1649" s="4" t="s">
        <v>2276</v>
      </c>
      <c r="G1649" s="4" t="s">
        <v>2662</v>
      </c>
      <c r="H1649" s="3" t="s">
        <v>524</v>
      </c>
      <c r="I1649" s="3"/>
      <c r="J1649" s="14">
        <v>0</v>
      </c>
      <c r="K1649" s="21">
        <v>0</v>
      </c>
      <c r="L1649" s="21">
        <v>0</v>
      </c>
      <c r="M1649" s="21">
        <v>0</v>
      </c>
      <c r="N1649" s="21">
        <v>0</v>
      </c>
      <c r="O1649" s="21">
        <v>0</v>
      </c>
      <c r="P1649" s="21">
        <v>0</v>
      </c>
      <c r="Q1649" s="21">
        <v>0</v>
      </c>
      <c r="R1649" s="21">
        <v>0</v>
      </c>
      <c r="S1649" s="21">
        <v>0</v>
      </c>
      <c r="T1649" s="21">
        <v>0</v>
      </c>
      <c r="U1649" s="21">
        <v>0</v>
      </c>
      <c r="V1649" s="21">
        <v>0</v>
      </c>
      <c r="W1649" s="21">
        <v>0</v>
      </c>
      <c r="X1649" s="21">
        <v>0</v>
      </c>
      <c r="Y1649" s="4" t="s">
        <v>2276</v>
      </c>
      <c r="Z1649" s="4" t="s">
        <v>2276</v>
      </c>
      <c r="AA1649" s="4" t="s">
        <v>2276</v>
      </c>
      <c r="AB1649" s="4" t="s">
        <v>2276</v>
      </c>
      <c r="AC1649" s="3"/>
      <c r="AD1649" s="3"/>
    </row>
    <row r="1650" spans="1:30" ht="45.5" customHeight="1">
      <c r="A1650" s="11" t="s">
        <v>4864</v>
      </c>
      <c r="B1650" s="11" t="s">
        <v>4914</v>
      </c>
      <c r="C1650" s="3" t="s">
        <v>24</v>
      </c>
      <c r="D1650" s="3" t="s">
        <v>2276</v>
      </c>
      <c r="E1650" s="3" t="s">
        <v>45</v>
      </c>
      <c r="F1650" s="4" t="s">
        <v>2276</v>
      </c>
      <c r="G1650" s="4" t="s">
        <v>2662</v>
      </c>
      <c r="H1650" s="3" t="s">
        <v>523</v>
      </c>
      <c r="I1650" s="3"/>
      <c r="J1650" s="4" t="s">
        <v>2276</v>
      </c>
      <c r="K1650" s="4" t="s">
        <v>2276</v>
      </c>
      <c r="L1650" s="4" t="s">
        <v>2276</v>
      </c>
      <c r="M1650" s="4" t="s">
        <v>2276</v>
      </c>
      <c r="N1650" s="4" t="s">
        <v>2276</v>
      </c>
      <c r="O1650" s="4" t="s">
        <v>2276</v>
      </c>
      <c r="P1650" s="4" t="s">
        <v>2276</v>
      </c>
      <c r="Q1650" s="4" t="s">
        <v>2276</v>
      </c>
      <c r="R1650" s="4" t="s">
        <v>2276</v>
      </c>
      <c r="S1650" s="4" t="s">
        <v>2276</v>
      </c>
      <c r="T1650" s="4" t="s">
        <v>2276</v>
      </c>
      <c r="U1650" s="4" t="s">
        <v>2276</v>
      </c>
      <c r="V1650" s="4" t="s">
        <v>2276</v>
      </c>
      <c r="W1650" s="4" t="s">
        <v>2276</v>
      </c>
      <c r="X1650" s="4" t="s">
        <v>2276</v>
      </c>
      <c r="Y1650" s="4" t="s">
        <v>2276</v>
      </c>
      <c r="Z1650" s="4" t="s">
        <v>2276</v>
      </c>
      <c r="AA1650" s="4" t="s">
        <v>2276</v>
      </c>
      <c r="AB1650" s="4" t="s">
        <v>2276</v>
      </c>
      <c r="AC1650" s="3"/>
      <c r="AD1650" s="3"/>
    </row>
    <row r="1651" spans="1:30" ht="45.5" customHeight="1">
      <c r="A1651" s="11" t="s">
        <v>4865</v>
      </c>
      <c r="B1651" s="11" t="s">
        <v>4915</v>
      </c>
      <c r="C1651" s="3" t="s">
        <v>24</v>
      </c>
      <c r="D1651" s="3" t="s">
        <v>2276</v>
      </c>
      <c r="E1651" s="3" t="s">
        <v>45</v>
      </c>
      <c r="F1651" s="4" t="s">
        <v>2276</v>
      </c>
      <c r="G1651" s="4" t="s">
        <v>2662</v>
      </c>
      <c r="H1651" s="3" t="s">
        <v>523</v>
      </c>
      <c r="I1651" s="3"/>
      <c r="J1651" s="4" t="s">
        <v>2276</v>
      </c>
      <c r="K1651" s="4" t="s">
        <v>2276</v>
      </c>
      <c r="L1651" s="4" t="s">
        <v>2276</v>
      </c>
      <c r="M1651" s="4" t="s">
        <v>2276</v>
      </c>
      <c r="N1651" s="4" t="s">
        <v>2276</v>
      </c>
      <c r="O1651" s="4" t="s">
        <v>2276</v>
      </c>
      <c r="P1651" s="4" t="s">
        <v>2276</v>
      </c>
      <c r="Q1651" s="4" t="s">
        <v>2276</v>
      </c>
      <c r="R1651" s="4" t="s">
        <v>2276</v>
      </c>
      <c r="S1651" s="4" t="s">
        <v>2276</v>
      </c>
      <c r="T1651" s="4" t="s">
        <v>2276</v>
      </c>
      <c r="U1651" s="4" t="s">
        <v>2276</v>
      </c>
      <c r="V1651" s="4" t="s">
        <v>2276</v>
      </c>
      <c r="W1651" s="4" t="s">
        <v>2276</v>
      </c>
      <c r="X1651" s="4" t="s">
        <v>2276</v>
      </c>
      <c r="Y1651" s="4" t="s">
        <v>2276</v>
      </c>
      <c r="Z1651" s="4" t="s">
        <v>2276</v>
      </c>
      <c r="AA1651" s="4" t="s">
        <v>2276</v>
      </c>
      <c r="AB1651" s="4" t="s">
        <v>2276</v>
      </c>
      <c r="AC1651" s="3"/>
      <c r="AD1651" s="3"/>
    </row>
    <row r="1652" spans="1:30" ht="45.5" customHeight="1">
      <c r="A1652" s="11" t="s">
        <v>4866</v>
      </c>
      <c r="B1652" s="11" t="s">
        <v>4916</v>
      </c>
      <c r="C1652" s="3" t="s">
        <v>24</v>
      </c>
      <c r="D1652" s="3" t="s">
        <v>2276</v>
      </c>
      <c r="E1652" s="3" t="s">
        <v>45</v>
      </c>
      <c r="F1652" s="4" t="s">
        <v>2276</v>
      </c>
      <c r="G1652" s="4" t="s">
        <v>2662</v>
      </c>
      <c r="H1652" s="3" t="s">
        <v>523</v>
      </c>
      <c r="I1652" s="3"/>
      <c r="J1652" s="4" t="s">
        <v>2276</v>
      </c>
      <c r="K1652" s="4" t="s">
        <v>2276</v>
      </c>
      <c r="L1652" s="4" t="s">
        <v>2276</v>
      </c>
      <c r="M1652" s="4" t="s">
        <v>2276</v>
      </c>
      <c r="N1652" s="4" t="s">
        <v>2276</v>
      </c>
      <c r="O1652" s="4" t="s">
        <v>2276</v>
      </c>
      <c r="P1652" s="4" t="s">
        <v>2276</v>
      </c>
      <c r="Q1652" s="4" t="s">
        <v>2276</v>
      </c>
      <c r="R1652" s="4" t="s">
        <v>2276</v>
      </c>
      <c r="S1652" s="4" t="s">
        <v>2276</v>
      </c>
      <c r="T1652" s="4" t="s">
        <v>2276</v>
      </c>
      <c r="U1652" s="4" t="s">
        <v>2276</v>
      </c>
      <c r="V1652" s="4" t="s">
        <v>2276</v>
      </c>
      <c r="W1652" s="4" t="s">
        <v>2276</v>
      </c>
      <c r="X1652" s="4" t="s">
        <v>2276</v>
      </c>
      <c r="Y1652" s="4" t="s">
        <v>2276</v>
      </c>
      <c r="Z1652" s="4" t="s">
        <v>2276</v>
      </c>
      <c r="AA1652" s="4" t="s">
        <v>2276</v>
      </c>
      <c r="AB1652" s="4" t="s">
        <v>2276</v>
      </c>
      <c r="AC1652" s="3"/>
      <c r="AD1652" s="3"/>
    </row>
    <row r="1653" spans="1:30" ht="45.5" customHeight="1">
      <c r="A1653" s="11" t="s">
        <v>4867</v>
      </c>
      <c r="B1653" s="11" t="s">
        <v>4917</v>
      </c>
      <c r="C1653" s="3" t="s">
        <v>24</v>
      </c>
      <c r="D1653" s="3" t="s">
        <v>2276</v>
      </c>
      <c r="E1653" s="3" t="s">
        <v>45</v>
      </c>
      <c r="F1653" s="4" t="s">
        <v>2276</v>
      </c>
      <c r="G1653" s="4" t="s">
        <v>2662</v>
      </c>
      <c r="H1653" s="3" t="s">
        <v>523</v>
      </c>
      <c r="I1653" s="3"/>
      <c r="J1653" s="4" t="s">
        <v>2276</v>
      </c>
      <c r="K1653" s="4" t="s">
        <v>2276</v>
      </c>
      <c r="L1653" s="4" t="s">
        <v>2276</v>
      </c>
      <c r="M1653" s="4" t="s">
        <v>2276</v>
      </c>
      <c r="N1653" s="4" t="s">
        <v>2276</v>
      </c>
      <c r="O1653" s="4" t="s">
        <v>2276</v>
      </c>
      <c r="P1653" s="4" t="s">
        <v>2276</v>
      </c>
      <c r="Q1653" s="4" t="s">
        <v>2276</v>
      </c>
      <c r="R1653" s="4" t="s">
        <v>2276</v>
      </c>
      <c r="S1653" s="4" t="s">
        <v>2276</v>
      </c>
      <c r="T1653" s="4" t="s">
        <v>2276</v>
      </c>
      <c r="U1653" s="4" t="s">
        <v>2276</v>
      </c>
      <c r="V1653" s="4" t="s">
        <v>2276</v>
      </c>
      <c r="W1653" s="4" t="s">
        <v>2276</v>
      </c>
      <c r="X1653" s="4" t="s">
        <v>2276</v>
      </c>
      <c r="Y1653" s="4" t="s">
        <v>2276</v>
      </c>
      <c r="Z1653" s="4" t="s">
        <v>2276</v>
      </c>
      <c r="AA1653" s="4" t="s">
        <v>2276</v>
      </c>
      <c r="AB1653" s="4" t="s">
        <v>2276</v>
      </c>
      <c r="AC1653" s="3"/>
      <c r="AD1653" s="3"/>
    </row>
    <row r="1654" spans="1:30" ht="45.5" customHeight="1">
      <c r="A1654" s="11" t="s">
        <v>4868</v>
      </c>
      <c r="B1654" s="11" t="s">
        <v>4918</v>
      </c>
      <c r="C1654" s="3" t="s">
        <v>24</v>
      </c>
      <c r="D1654" s="3" t="s">
        <v>2276</v>
      </c>
      <c r="E1654" s="3" t="s">
        <v>45</v>
      </c>
      <c r="F1654" s="4" t="s">
        <v>2276</v>
      </c>
      <c r="G1654" s="4" t="s">
        <v>2662</v>
      </c>
      <c r="H1654" s="3" t="s">
        <v>523</v>
      </c>
      <c r="I1654" s="3"/>
      <c r="J1654" s="4" t="s">
        <v>2276</v>
      </c>
      <c r="K1654" s="4" t="s">
        <v>2276</v>
      </c>
      <c r="L1654" s="4" t="s">
        <v>2276</v>
      </c>
      <c r="M1654" s="4" t="s">
        <v>2276</v>
      </c>
      <c r="N1654" s="4" t="s">
        <v>2276</v>
      </c>
      <c r="O1654" s="4" t="s">
        <v>2276</v>
      </c>
      <c r="P1654" s="4" t="s">
        <v>2276</v>
      </c>
      <c r="Q1654" s="4" t="s">
        <v>2276</v>
      </c>
      <c r="R1654" s="4" t="s">
        <v>2276</v>
      </c>
      <c r="S1654" s="4" t="s">
        <v>2276</v>
      </c>
      <c r="T1654" s="4" t="s">
        <v>2276</v>
      </c>
      <c r="U1654" s="4" t="s">
        <v>2276</v>
      </c>
      <c r="V1654" s="4" t="s">
        <v>2276</v>
      </c>
      <c r="W1654" s="4" t="s">
        <v>2276</v>
      </c>
      <c r="X1654" s="4" t="s">
        <v>2276</v>
      </c>
      <c r="Y1654" s="4" t="s">
        <v>2276</v>
      </c>
      <c r="Z1654" s="4" t="s">
        <v>2276</v>
      </c>
      <c r="AA1654" s="4" t="s">
        <v>2276</v>
      </c>
      <c r="AB1654" s="4" t="s">
        <v>2276</v>
      </c>
      <c r="AC1654" s="3"/>
      <c r="AD1654" s="3"/>
    </row>
    <row r="1655" spans="1:30" ht="45.5" customHeight="1">
      <c r="A1655" s="11" t="s">
        <v>4869</v>
      </c>
      <c r="B1655" s="11" t="s">
        <v>4919</v>
      </c>
      <c r="C1655" s="3" t="s">
        <v>24</v>
      </c>
      <c r="D1655" s="3" t="s">
        <v>2276</v>
      </c>
      <c r="E1655" s="3" t="s">
        <v>45</v>
      </c>
      <c r="F1655" s="4" t="s">
        <v>2276</v>
      </c>
      <c r="G1655" s="4" t="s">
        <v>2662</v>
      </c>
      <c r="H1655" s="3" t="s">
        <v>523</v>
      </c>
      <c r="I1655" s="3"/>
      <c r="J1655" s="4" t="s">
        <v>2276</v>
      </c>
      <c r="K1655" s="4" t="s">
        <v>2276</v>
      </c>
      <c r="L1655" s="4" t="s">
        <v>2276</v>
      </c>
      <c r="M1655" s="4" t="s">
        <v>2276</v>
      </c>
      <c r="N1655" s="4" t="s">
        <v>2276</v>
      </c>
      <c r="O1655" s="4" t="s">
        <v>2276</v>
      </c>
      <c r="P1655" s="4" t="s">
        <v>2276</v>
      </c>
      <c r="Q1655" s="4" t="s">
        <v>2276</v>
      </c>
      <c r="R1655" s="4" t="s">
        <v>2276</v>
      </c>
      <c r="S1655" s="4" t="s">
        <v>2276</v>
      </c>
      <c r="T1655" s="4" t="s">
        <v>2276</v>
      </c>
      <c r="U1655" s="4" t="s">
        <v>2276</v>
      </c>
      <c r="V1655" s="4" t="s">
        <v>2276</v>
      </c>
      <c r="W1655" s="4" t="s">
        <v>2276</v>
      </c>
      <c r="X1655" s="4" t="s">
        <v>2276</v>
      </c>
      <c r="Y1655" s="4" t="s">
        <v>2276</v>
      </c>
      <c r="Z1655" s="4" t="s">
        <v>2276</v>
      </c>
      <c r="AA1655" s="4" t="s">
        <v>2276</v>
      </c>
      <c r="AB1655" s="4" t="s">
        <v>2276</v>
      </c>
      <c r="AC1655" s="3"/>
      <c r="AD1655" s="3"/>
    </row>
    <row r="1656" spans="1:30" ht="45.5" customHeight="1">
      <c r="A1656" s="11" t="s">
        <v>4870</v>
      </c>
      <c r="B1656" s="11" t="s">
        <v>4920</v>
      </c>
      <c r="C1656" s="3" t="s">
        <v>24</v>
      </c>
      <c r="D1656" s="3" t="s">
        <v>2276</v>
      </c>
      <c r="E1656" s="3" t="s">
        <v>45</v>
      </c>
      <c r="F1656" s="4" t="s">
        <v>2276</v>
      </c>
      <c r="G1656" s="4" t="s">
        <v>2662</v>
      </c>
      <c r="H1656" s="3" t="s">
        <v>523</v>
      </c>
      <c r="I1656" s="3"/>
      <c r="J1656" s="4" t="s">
        <v>2276</v>
      </c>
      <c r="K1656" s="4" t="s">
        <v>2276</v>
      </c>
      <c r="L1656" s="4" t="s">
        <v>2276</v>
      </c>
      <c r="M1656" s="4" t="s">
        <v>2276</v>
      </c>
      <c r="N1656" s="4" t="s">
        <v>2276</v>
      </c>
      <c r="O1656" s="4" t="s">
        <v>2276</v>
      </c>
      <c r="P1656" s="4" t="s">
        <v>2276</v>
      </c>
      <c r="Q1656" s="4" t="s">
        <v>2276</v>
      </c>
      <c r="R1656" s="4" t="s">
        <v>2276</v>
      </c>
      <c r="S1656" s="4" t="s">
        <v>2276</v>
      </c>
      <c r="T1656" s="4" t="s">
        <v>2276</v>
      </c>
      <c r="U1656" s="4" t="s">
        <v>2276</v>
      </c>
      <c r="V1656" s="4" t="s">
        <v>2276</v>
      </c>
      <c r="W1656" s="4" t="s">
        <v>2276</v>
      </c>
      <c r="X1656" s="4" t="s">
        <v>2276</v>
      </c>
      <c r="Y1656" s="4" t="s">
        <v>2276</v>
      </c>
      <c r="Z1656" s="4" t="s">
        <v>2276</v>
      </c>
      <c r="AA1656" s="4" t="s">
        <v>2276</v>
      </c>
      <c r="AB1656" s="4" t="s">
        <v>2276</v>
      </c>
      <c r="AC1656" s="3"/>
      <c r="AD1656" s="3"/>
    </row>
    <row r="1657" spans="1:30" ht="45.5" customHeight="1">
      <c r="A1657" s="11" t="s">
        <v>4871</v>
      </c>
      <c r="B1657" s="11" t="s">
        <v>4921</v>
      </c>
      <c r="C1657" s="3" t="s">
        <v>24</v>
      </c>
      <c r="D1657" s="3" t="s">
        <v>2276</v>
      </c>
      <c r="E1657" s="3" t="s">
        <v>45</v>
      </c>
      <c r="F1657" s="4" t="s">
        <v>2276</v>
      </c>
      <c r="G1657" s="4" t="s">
        <v>2662</v>
      </c>
      <c r="H1657" s="3" t="s">
        <v>523</v>
      </c>
      <c r="I1657" s="3"/>
      <c r="J1657" s="4" t="s">
        <v>2276</v>
      </c>
      <c r="K1657" s="4" t="s">
        <v>2276</v>
      </c>
      <c r="L1657" s="4" t="s">
        <v>2276</v>
      </c>
      <c r="M1657" s="4" t="s">
        <v>2276</v>
      </c>
      <c r="N1657" s="4" t="s">
        <v>2276</v>
      </c>
      <c r="O1657" s="4" t="s">
        <v>2276</v>
      </c>
      <c r="P1657" s="4" t="s">
        <v>2276</v>
      </c>
      <c r="Q1657" s="4" t="s">
        <v>2276</v>
      </c>
      <c r="R1657" s="4" t="s">
        <v>2276</v>
      </c>
      <c r="S1657" s="4" t="s">
        <v>2276</v>
      </c>
      <c r="T1657" s="4" t="s">
        <v>2276</v>
      </c>
      <c r="U1657" s="4" t="s">
        <v>2276</v>
      </c>
      <c r="V1657" s="4" t="s">
        <v>2276</v>
      </c>
      <c r="W1657" s="4" t="s">
        <v>2276</v>
      </c>
      <c r="X1657" s="4" t="s">
        <v>2276</v>
      </c>
      <c r="Y1657" s="4" t="s">
        <v>2276</v>
      </c>
      <c r="Z1657" s="4" t="s">
        <v>2276</v>
      </c>
      <c r="AA1657" s="4" t="s">
        <v>2276</v>
      </c>
      <c r="AB1657" s="4" t="s">
        <v>2276</v>
      </c>
      <c r="AC1657" s="3"/>
      <c r="AD1657" s="3"/>
    </row>
    <row r="1658" spans="1:30" ht="45.5" customHeight="1">
      <c r="A1658" s="11" t="s">
        <v>4872</v>
      </c>
      <c r="B1658" s="11" t="s">
        <v>4922</v>
      </c>
      <c r="C1658" s="3" t="s">
        <v>24</v>
      </c>
      <c r="D1658" s="3" t="s">
        <v>2276</v>
      </c>
      <c r="E1658" s="3" t="s">
        <v>45</v>
      </c>
      <c r="F1658" s="4" t="s">
        <v>2276</v>
      </c>
      <c r="G1658" s="4" t="s">
        <v>2662</v>
      </c>
      <c r="H1658" s="3" t="s">
        <v>523</v>
      </c>
      <c r="I1658" s="3"/>
      <c r="J1658" s="4" t="s">
        <v>2276</v>
      </c>
      <c r="K1658" s="4" t="s">
        <v>2276</v>
      </c>
      <c r="L1658" s="4" t="s">
        <v>2276</v>
      </c>
      <c r="M1658" s="4" t="s">
        <v>2276</v>
      </c>
      <c r="N1658" s="4" t="s">
        <v>2276</v>
      </c>
      <c r="O1658" s="4" t="s">
        <v>2276</v>
      </c>
      <c r="P1658" s="4" t="s">
        <v>2276</v>
      </c>
      <c r="Q1658" s="4" t="s">
        <v>2276</v>
      </c>
      <c r="R1658" s="4" t="s">
        <v>2276</v>
      </c>
      <c r="S1658" s="4" t="s">
        <v>2276</v>
      </c>
      <c r="T1658" s="4" t="s">
        <v>2276</v>
      </c>
      <c r="U1658" s="4" t="s">
        <v>2276</v>
      </c>
      <c r="V1658" s="4" t="s">
        <v>2276</v>
      </c>
      <c r="W1658" s="4" t="s">
        <v>2276</v>
      </c>
      <c r="X1658" s="4" t="s">
        <v>2276</v>
      </c>
      <c r="Y1658" s="4" t="s">
        <v>2276</v>
      </c>
      <c r="Z1658" s="4" t="s">
        <v>2276</v>
      </c>
      <c r="AA1658" s="4" t="s">
        <v>2276</v>
      </c>
      <c r="AB1658" s="4" t="s">
        <v>2276</v>
      </c>
      <c r="AC1658" s="3"/>
      <c r="AD1658" s="3"/>
    </row>
    <row r="1659" spans="1:30" ht="45.5" customHeight="1">
      <c r="A1659" s="11" t="s">
        <v>4873</v>
      </c>
      <c r="B1659" s="11" t="s">
        <v>4923</v>
      </c>
      <c r="C1659" s="3" t="s">
        <v>24</v>
      </c>
      <c r="D1659" s="3" t="s">
        <v>2276</v>
      </c>
      <c r="E1659" s="3" t="s">
        <v>45</v>
      </c>
      <c r="F1659" s="4" t="s">
        <v>2276</v>
      </c>
      <c r="G1659" s="4" t="s">
        <v>2662</v>
      </c>
      <c r="H1659" s="3" t="s">
        <v>523</v>
      </c>
      <c r="I1659" s="3"/>
      <c r="J1659" s="4" t="s">
        <v>2276</v>
      </c>
      <c r="K1659" s="4" t="s">
        <v>2276</v>
      </c>
      <c r="L1659" s="4" t="s">
        <v>2276</v>
      </c>
      <c r="M1659" s="4" t="s">
        <v>2276</v>
      </c>
      <c r="N1659" s="4" t="s">
        <v>2276</v>
      </c>
      <c r="O1659" s="4" t="s">
        <v>2276</v>
      </c>
      <c r="P1659" s="4" t="s">
        <v>2276</v>
      </c>
      <c r="Q1659" s="4" t="s">
        <v>2276</v>
      </c>
      <c r="R1659" s="4" t="s">
        <v>2276</v>
      </c>
      <c r="S1659" s="4" t="s">
        <v>2276</v>
      </c>
      <c r="T1659" s="4" t="s">
        <v>2276</v>
      </c>
      <c r="U1659" s="4" t="s">
        <v>2276</v>
      </c>
      <c r="V1659" s="4" t="s">
        <v>2276</v>
      </c>
      <c r="W1659" s="4" t="s">
        <v>2276</v>
      </c>
      <c r="X1659" s="4" t="s">
        <v>2276</v>
      </c>
      <c r="Y1659" s="4" t="s">
        <v>2276</v>
      </c>
      <c r="Z1659" s="4" t="s">
        <v>2276</v>
      </c>
      <c r="AA1659" s="4" t="s">
        <v>2276</v>
      </c>
      <c r="AB1659" s="4" t="s">
        <v>2276</v>
      </c>
      <c r="AC1659" s="3"/>
      <c r="AD1659" s="3"/>
    </row>
    <row r="1660" spans="1:30" ht="35.5" customHeight="1">
      <c r="A1660" s="11" t="s">
        <v>4939</v>
      </c>
      <c r="B1660" s="11" t="s">
        <v>4944</v>
      </c>
      <c r="C1660" s="3" t="s">
        <v>1105</v>
      </c>
      <c r="D1660" s="3" t="s">
        <v>1105</v>
      </c>
      <c r="E1660" s="3" t="s">
        <v>1105</v>
      </c>
      <c r="F1660" s="4" t="s">
        <v>1105</v>
      </c>
      <c r="G1660" s="3" t="s">
        <v>1105</v>
      </c>
      <c r="H1660" s="3" t="s">
        <v>523</v>
      </c>
      <c r="I1660" s="3"/>
      <c r="J1660" s="21">
        <f>(13377)/5/'Record info'!K810</f>
        <v>0.11403270608383284</v>
      </c>
      <c r="K1660" s="4" t="s">
        <v>2276</v>
      </c>
      <c r="L1660" s="21">
        <v>0.01</v>
      </c>
      <c r="M1660" s="4" t="s">
        <v>2276</v>
      </c>
      <c r="N1660" s="21">
        <v>1815</v>
      </c>
      <c r="O1660" s="4" t="s">
        <v>2276</v>
      </c>
      <c r="P1660" s="21">
        <f>T1660/13377</f>
        <v>1.3276519398968378</v>
      </c>
      <c r="Q1660" s="4" t="s">
        <v>2276</v>
      </c>
      <c r="R1660" s="4" t="s">
        <v>2276</v>
      </c>
      <c r="S1660" s="4" t="s">
        <v>2276</v>
      </c>
      <c r="T1660" s="21">
        <f>88800/5</f>
        <v>17760</v>
      </c>
      <c r="U1660" s="4" t="s">
        <v>2276</v>
      </c>
      <c r="V1660" s="4" t="s">
        <v>2276</v>
      </c>
      <c r="W1660" s="4" t="s">
        <v>2276</v>
      </c>
      <c r="X1660" s="21">
        <f>T1660/'Record info'!K810</f>
        <v>0.75697871721943311</v>
      </c>
      <c r="Y1660" s="4" t="s">
        <v>2276</v>
      </c>
      <c r="Z1660" s="3" t="s">
        <v>34</v>
      </c>
      <c r="AA1660" s="3" t="s">
        <v>68</v>
      </c>
      <c r="AB1660" s="3" t="s">
        <v>2655</v>
      </c>
      <c r="AC1660" s="3"/>
      <c r="AD1660" s="3" t="s">
        <v>4948</v>
      </c>
    </row>
    <row r="1661" spans="1:30" ht="52" customHeight="1">
      <c r="A1661" s="11" t="s">
        <v>4939</v>
      </c>
      <c r="B1661" s="11" t="s">
        <v>4945</v>
      </c>
      <c r="C1661" s="3" t="s">
        <v>1105</v>
      </c>
      <c r="D1661" s="3" t="s">
        <v>2276</v>
      </c>
      <c r="E1661" s="4" t="s">
        <v>396</v>
      </c>
      <c r="F1661" s="4" t="s">
        <v>28</v>
      </c>
      <c r="G1661" s="3" t="s">
        <v>28</v>
      </c>
      <c r="H1661" s="3" t="s">
        <v>523</v>
      </c>
      <c r="I1661" s="3"/>
      <c r="J1661" s="4" t="s">
        <v>2276</v>
      </c>
      <c r="K1661" s="4" t="s">
        <v>2276</v>
      </c>
      <c r="L1661" s="4" t="s">
        <v>2276</v>
      </c>
      <c r="M1661" s="4" t="s">
        <v>2276</v>
      </c>
      <c r="N1661" s="4" t="s">
        <v>2276</v>
      </c>
      <c r="O1661" s="4" t="s">
        <v>2276</v>
      </c>
      <c r="P1661" s="4" t="s">
        <v>2276</v>
      </c>
      <c r="Q1661" s="4" t="s">
        <v>2276</v>
      </c>
      <c r="R1661" s="4" t="s">
        <v>2276</v>
      </c>
      <c r="S1661" s="4" t="s">
        <v>2276</v>
      </c>
      <c r="T1661" s="4" t="s">
        <v>2276</v>
      </c>
      <c r="U1661" s="4" t="s">
        <v>2276</v>
      </c>
      <c r="V1661" s="4" t="s">
        <v>2276</v>
      </c>
      <c r="W1661" s="4" t="s">
        <v>2276</v>
      </c>
      <c r="X1661" s="4" t="s">
        <v>2276</v>
      </c>
      <c r="Y1661" s="4" t="s">
        <v>2276</v>
      </c>
      <c r="Z1661" s="3" t="s">
        <v>34</v>
      </c>
      <c r="AA1661" s="3" t="s">
        <v>68</v>
      </c>
      <c r="AB1661" s="3" t="s">
        <v>2655</v>
      </c>
      <c r="AC1661" s="4" t="s">
        <v>4946</v>
      </c>
      <c r="AD1661" s="4" t="s">
        <v>4955</v>
      </c>
    </row>
    <row r="1662" spans="1:30" ht="52" customHeight="1">
      <c r="A1662" s="11" t="s">
        <v>4939</v>
      </c>
      <c r="B1662" s="11" t="s">
        <v>4947</v>
      </c>
      <c r="C1662" s="3" t="s">
        <v>24</v>
      </c>
      <c r="D1662" s="3" t="s">
        <v>2659</v>
      </c>
      <c r="E1662" s="4" t="s">
        <v>396</v>
      </c>
      <c r="F1662" s="4" t="s">
        <v>28</v>
      </c>
      <c r="G1662" s="3" t="s">
        <v>2276</v>
      </c>
      <c r="H1662" s="3" t="s">
        <v>523</v>
      </c>
      <c r="I1662" s="3"/>
      <c r="J1662" s="4" t="s">
        <v>2276</v>
      </c>
      <c r="K1662" s="4" t="s">
        <v>2276</v>
      </c>
      <c r="L1662" s="4" t="s">
        <v>2276</v>
      </c>
      <c r="M1662" s="4" t="s">
        <v>2276</v>
      </c>
      <c r="N1662" s="4" t="s">
        <v>2276</v>
      </c>
      <c r="O1662" s="4" t="s">
        <v>2276</v>
      </c>
      <c r="P1662" s="4" t="s">
        <v>2276</v>
      </c>
      <c r="Q1662" s="4" t="s">
        <v>2276</v>
      </c>
      <c r="R1662" s="4" t="s">
        <v>2276</v>
      </c>
      <c r="S1662" s="4" t="s">
        <v>2276</v>
      </c>
      <c r="T1662" s="4" t="s">
        <v>2276</v>
      </c>
      <c r="U1662" s="4" t="s">
        <v>2276</v>
      </c>
      <c r="V1662" s="4" t="s">
        <v>2276</v>
      </c>
      <c r="W1662" s="4" t="s">
        <v>2276</v>
      </c>
      <c r="X1662" s="4" t="s">
        <v>2276</v>
      </c>
      <c r="Y1662" s="4" t="s">
        <v>2276</v>
      </c>
      <c r="Z1662" s="3" t="s">
        <v>34</v>
      </c>
      <c r="AA1662" s="3" t="s">
        <v>68</v>
      </c>
      <c r="AB1662" s="3" t="s">
        <v>2655</v>
      </c>
      <c r="AC1662" s="4" t="s">
        <v>4946</v>
      </c>
      <c r="AD1662" s="4" t="s">
        <v>4955</v>
      </c>
    </row>
    <row r="1663" spans="1:30" ht="62" customHeight="1">
      <c r="A1663" s="11" t="s">
        <v>4939</v>
      </c>
      <c r="B1663" s="11" t="s">
        <v>4949</v>
      </c>
      <c r="C1663" s="3" t="s">
        <v>1105</v>
      </c>
      <c r="D1663" s="3" t="s">
        <v>1105</v>
      </c>
      <c r="E1663" s="4" t="s">
        <v>2650</v>
      </c>
      <c r="F1663" s="4" t="s">
        <v>2276</v>
      </c>
      <c r="G1663" s="3" t="s">
        <v>28</v>
      </c>
      <c r="H1663" s="3" t="s">
        <v>523</v>
      </c>
      <c r="I1663" s="3"/>
      <c r="J1663" s="4" t="s">
        <v>2276</v>
      </c>
      <c r="K1663" s="4" t="s">
        <v>2276</v>
      </c>
      <c r="L1663" s="4" t="s">
        <v>2276</v>
      </c>
      <c r="M1663" s="4" t="s">
        <v>2276</v>
      </c>
      <c r="N1663" s="4" t="s">
        <v>2276</v>
      </c>
      <c r="O1663" s="4" t="s">
        <v>2276</v>
      </c>
      <c r="P1663" s="4" t="s">
        <v>2276</v>
      </c>
      <c r="Q1663" s="4" t="s">
        <v>2276</v>
      </c>
      <c r="R1663" s="4" t="s">
        <v>2276</v>
      </c>
      <c r="S1663" s="4" t="s">
        <v>2276</v>
      </c>
      <c r="T1663" s="4" t="s">
        <v>2276</v>
      </c>
      <c r="U1663" s="4" t="s">
        <v>2276</v>
      </c>
      <c r="V1663" s="4" t="s">
        <v>2276</v>
      </c>
      <c r="W1663" s="4" t="s">
        <v>2276</v>
      </c>
      <c r="X1663" s="4" t="s">
        <v>2276</v>
      </c>
      <c r="Y1663" s="4" t="s">
        <v>2276</v>
      </c>
      <c r="Z1663" s="3" t="s">
        <v>34</v>
      </c>
      <c r="AA1663" s="3" t="s">
        <v>68</v>
      </c>
      <c r="AB1663" s="3" t="s">
        <v>2655</v>
      </c>
      <c r="AC1663" s="4"/>
      <c r="AD1663" s="4" t="s">
        <v>4956</v>
      </c>
    </row>
    <row r="1664" spans="1:30" ht="52" customHeight="1">
      <c r="A1664" s="11" t="s">
        <v>4939</v>
      </c>
      <c r="B1664" s="11" t="s">
        <v>4950</v>
      </c>
      <c r="C1664" s="3" t="s">
        <v>1105</v>
      </c>
      <c r="D1664" s="3" t="s">
        <v>1105</v>
      </c>
      <c r="E1664" s="4" t="s">
        <v>45</v>
      </c>
      <c r="F1664" s="4" t="s">
        <v>2276</v>
      </c>
      <c r="G1664" s="3" t="s">
        <v>29</v>
      </c>
      <c r="H1664" s="3" t="s">
        <v>523</v>
      </c>
      <c r="I1664" s="3"/>
      <c r="J1664" s="4" t="s">
        <v>2276</v>
      </c>
      <c r="K1664" s="4" t="s">
        <v>2276</v>
      </c>
      <c r="L1664" s="4" t="s">
        <v>2276</v>
      </c>
      <c r="M1664" s="4" t="s">
        <v>2276</v>
      </c>
      <c r="N1664" s="4" t="s">
        <v>2276</v>
      </c>
      <c r="O1664" s="4" t="s">
        <v>2276</v>
      </c>
      <c r="P1664" s="4" t="s">
        <v>2276</v>
      </c>
      <c r="Q1664" s="4" t="s">
        <v>2276</v>
      </c>
      <c r="R1664" s="4" t="s">
        <v>2276</v>
      </c>
      <c r="S1664" s="4" t="s">
        <v>2276</v>
      </c>
      <c r="T1664" s="4" t="s">
        <v>2276</v>
      </c>
      <c r="U1664" s="4" t="s">
        <v>2276</v>
      </c>
      <c r="V1664" s="4" t="s">
        <v>2276</v>
      </c>
      <c r="W1664" s="4" t="s">
        <v>2276</v>
      </c>
      <c r="X1664" s="4" t="s">
        <v>2276</v>
      </c>
      <c r="Y1664" s="4" t="s">
        <v>2276</v>
      </c>
      <c r="Z1664" s="3" t="s">
        <v>34</v>
      </c>
      <c r="AA1664" s="3" t="s">
        <v>68</v>
      </c>
      <c r="AB1664" s="3" t="s">
        <v>2655</v>
      </c>
      <c r="AC1664" s="4"/>
      <c r="AD1664" s="4" t="s">
        <v>4955</v>
      </c>
    </row>
    <row r="1665" spans="1:30" ht="37" customHeight="1">
      <c r="A1665" s="11" t="s">
        <v>4939</v>
      </c>
      <c r="B1665" s="11" t="s">
        <v>4953</v>
      </c>
      <c r="C1665" s="3" t="s">
        <v>1105</v>
      </c>
      <c r="D1665" s="3" t="s">
        <v>1105</v>
      </c>
      <c r="E1665" s="3" t="s">
        <v>2276</v>
      </c>
      <c r="F1665" s="4" t="s">
        <v>2276</v>
      </c>
      <c r="G1665" s="3" t="s">
        <v>74</v>
      </c>
      <c r="H1665" s="3" t="s">
        <v>523</v>
      </c>
      <c r="I1665" s="3"/>
      <c r="J1665" s="21">
        <f>862/5/3880</f>
        <v>4.4432989690721653E-2</v>
      </c>
      <c r="K1665" s="4" t="s">
        <v>2276</v>
      </c>
      <c r="L1665" s="4" t="s">
        <v>2276</v>
      </c>
      <c r="M1665" s="4" t="s">
        <v>2276</v>
      </c>
      <c r="N1665" s="4" t="s">
        <v>2276</v>
      </c>
      <c r="O1665" s="4" t="s">
        <v>2276</v>
      </c>
      <c r="P1665" s="21">
        <v>7.03</v>
      </c>
      <c r="Q1665" s="4" t="s">
        <v>2276</v>
      </c>
      <c r="R1665" s="4" t="s">
        <v>2276</v>
      </c>
      <c r="S1665" s="4" t="s">
        <v>2276</v>
      </c>
      <c r="T1665" s="21">
        <f>862*7.03/5</f>
        <v>1211.9720000000002</v>
      </c>
      <c r="U1665" s="4" t="s">
        <v>2276</v>
      </c>
      <c r="V1665" s="21">
        <f>T1665/387960.4</f>
        <v>3.1239580122094939E-3</v>
      </c>
      <c r="W1665" s="4" t="s">
        <v>2276</v>
      </c>
      <c r="X1665" s="4" t="s">
        <v>2276</v>
      </c>
      <c r="Y1665" s="4" t="s">
        <v>2276</v>
      </c>
      <c r="Z1665" s="3" t="s">
        <v>34</v>
      </c>
      <c r="AA1665" s="3" t="s">
        <v>68</v>
      </c>
      <c r="AB1665" s="3" t="s">
        <v>2655</v>
      </c>
      <c r="AC1665" s="3"/>
      <c r="AD1665" s="4" t="s">
        <v>4952</v>
      </c>
    </row>
    <row r="1666" spans="1:30" ht="41" customHeight="1">
      <c r="A1666" s="11" t="s">
        <v>4939</v>
      </c>
      <c r="B1666" s="11" t="s">
        <v>4954</v>
      </c>
      <c r="C1666" s="3" t="s">
        <v>1105</v>
      </c>
      <c r="D1666" s="3" t="s">
        <v>1105</v>
      </c>
      <c r="E1666" s="3" t="s">
        <v>2276</v>
      </c>
      <c r="F1666" s="4" t="s">
        <v>2276</v>
      </c>
      <c r="G1666" s="3" t="s">
        <v>74</v>
      </c>
      <c r="H1666" s="3" t="s">
        <v>523</v>
      </c>
      <c r="I1666" s="3"/>
      <c r="J1666" s="21">
        <f>1947/5/6825</f>
        <v>5.7054945054945051E-2</v>
      </c>
      <c r="K1666" s="4" t="s">
        <v>2276</v>
      </c>
      <c r="L1666" s="4" t="s">
        <v>2276</v>
      </c>
      <c r="M1666" s="4" t="s">
        <v>2276</v>
      </c>
      <c r="N1666" s="4" t="s">
        <v>2276</v>
      </c>
      <c r="O1666" s="4" t="s">
        <v>2276</v>
      </c>
      <c r="P1666" s="21">
        <v>9.1999999999999993</v>
      </c>
      <c r="Q1666" s="4" t="s">
        <v>2276</v>
      </c>
      <c r="R1666" s="4" t="s">
        <v>2276</v>
      </c>
      <c r="S1666" s="4" t="s">
        <v>2276</v>
      </c>
      <c r="T1666" s="21">
        <f>1947*9.2/5</f>
        <v>3582.4799999999996</v>
      </c>
      <c r="U1666" s="4" t="s">
        <v>2276</v>
      </c>
      <c r="V1666" s="21">
        <f>T1666/682507.76</f>
        <v>5.248995264171062E-3</v>
      </c>
      <c r="W1666" s="4" t="s">
        <v>2276</v>
      </c>
      <c r="X1666" s="4" t="s">
        <v>2276</v>
      </c>
      <c r="Y1666" s="4" t="s">
        <v>2276</v>
      </c>
      <c r="Z1666" s="3" t="s">
        <v>34</v>
      </c>
      <c r="AA1666" s="3" t="s">
        <v>68</v>
      </c>
      <c r="AB1666" s="3" t="s">
        <v>2655</v>
      </c>
      <c r="AC1666" s="3"/>
      <c r="AD1666" s="4" t="s">
        <v>4952</v>
      </c>
    </row>
    <row r="1667" spans="1:30" ht="32.5" customHeight="1">
      <c r="A1667" s="11" t="s">
        <v>4960</v>
      </c>
      <c r="B1667" s="11" t="s">
        <v>4963</v>
      </c>
      <c r="C1667" s="3" t="s">
        <v>24</v>
      </c>
      <c r="D1667" s="3" t="s">
        <v>3476</v>
      </c>
      <c r="E1667" s="3" t="s">
        <v>863</v>
      </c>
      <c r="F1667" s="4" t="s">
        <v>74</v>
      </c>
      <c r="G1667" s="3" t="s">
        <v>2276</v>
      </c>
      <c r="H1667" s="3" t="s">
        <v>523</v>
      </c>
      <c r="I1667" s="3"/>
      <c r="J1667" s="4" t="s">
        <v>2276</v>
      </c>
      <c r="K1667" s="4" t="s">
        <v>2276</v>
      </c>
      <c r="L1667" s="4" t="s">
        <v>2276</v>
      </c>
      <c r="M1667" s="4" t="s">
        <v>2276</v>
      </c>
      <c r="N1667" s="4" t="s">
        <v>2276</v>
      </c>
      <c r="O1667" s="4" t="s">
        <v>2276</v>
      </c>
      <c r="P1667" s="4" t="s">
        <v>2276</v>
      </c>
      <c r="Q1667" s="4" t="s">
        <v>2276</v>
      </c>
      <c r="R1667" s="4" t="s">
        <v>2276</v>
      </c>
      <c r="S1667" s="4" t="s">
        <v>2276</v>
      </c>
      <c r="T1667" s="4" t="s">
        <v>2276</v>
      </c>
      <c r="U1667" s="4" t="s">
        <v>2276</v>
      </c>
      <c r="V1667" s="4" t="s">
        <v>2276</v>
      </c>
      <c r="W1667" s="4" t="s">
        <v>2276</v>
      </c>
      <c r="X1667" s="4" t="s">
        <v>2276</v>
      </c>
      <c r="Y1667" s="4" t="s">
        <v>2276</v>
      </c>
      <c r="Z1667" s="4" t="s">
        <v>2276</v>
      </c>
      <c r="AA1667" s="4" t="s">
        <v>2276</v>
      </c>
      <c r="AB1667" s="4" t="s">
        <v>2276</v>
      </c>
      <c r="AC1667" s="3"/>
      <c r="AD1667" s="3"/>
    </row>
    <row r="1668" spans="1:30" ht="84.5" customHeight="1">
      <c r="A1668" s="11" t="s">
        <v>4964</v>
      </c>
      <c r="B1668" s="11" t="s">
        <v>4966</v>
      </c>
      <c r="C1668" s="3" t="s">
        <v>24</v>
      </c>
      <c r="D1668" s="3" t="s">
        <v>25</v>
      </c>
      <c r="E1668" s="3" t="s">
        <v>5005</v>
      </c>
      <c r="F1668" s="4" t="s">
        <v>2662</v>
      </c>
      <c r="G1668" s="3" t="s">
        <v>2276</v>
      </c>
      <c r="H1668" s="3" t="s">
        <v>524</v>
      </c>
      <c r="I1668" s="3"/>
      <c r="J1668" s="21">
        <v>0</v>
      </c>
      <c r="K1668" s="21">
        <v>0</v>
      </c>
      <c r="L1668" s="21">
        <v>0</v>
      </c>
      <c r="M1668" s="21">
        <v>0</v>
      </c>
      <c r="N1668" s="21">
        <v>0</v>
      </c>
      <c r="O1668" s="21">
        <v>0</v>
      </c>
      <c r="P1668" s="21">
        <v>0</v>
      </c>
      <c r="Q1668" s="21">
        <v>0</v>
      </c>
      <c r="R1668" s="21">
        <v>0</v>
      </c>
      <c r="S1668" s="21">
        <v>0</v>
      </c>
      <c r="T1668" s="21">
        <v>0</v>
      </c>
      <c r="U1668" s="21">
        <v>0</v>
      </c>
      <c r="V1668" s="21">
        <v>0</v>
      </c>
      <c r="W1668" s="21">
        <v>0</v>
      </c>
      <c r="X1668" s="21">
        <v>0</v>
      </c>
      <c r="Y1668" s="4" t="s">
        <v>2276</v>
      </c>
      <c r="Z1668" s="4" t="s">
        <v>2276</v>
      </c>
      <c r="AA1668" s="4" t="s">
        <v>2276</v>
      </c>
      <c r="AB1668" s="4" t="s">
        <v>2276</v>
      </c>
      <c r="AC1668" s="4" t="s">
        <v>4967</v>
      </c>
      <c r="AD1668" s="3"/>
    </row>
    <row r="1669" spans="1:30" ht="47.5" customHeight="1">
      <c r="A1669" s="11" t="s">
        <v>4977</v>
      </c>
      <c r="B1669" s="11" t="s">
        <v>4983</v>
      </c>
      <c r="C1669" s="3" t="s">
        <v>24</v>
      </c>
      <c r="D1669" s="3" t="s">
        <v>25</v>
      </c>
      <c r="E1669" s="3" t="s">
        <v>5005</v>
      </c>
      <c r="F1669" s="4" t="s">
        <v>2662</v>
      </c>
      <c r="G1669" s="3" t="s">
        <v>2276</v>
      </c>
      <c r="H1669" s="3" t="s">
        <v>523</v>
      </c>
      <c r="I1669" s="3">
        <v>1976</v>
      </c>
      <c r="J1669" s="4" t="s">
        <v>2276</v>
      </c>
      <c r="K1669" s="4" t="s">
        <v>2276</v>
      </c>
      <c r="L1669" s="4" t="s">
        <v>2276</v>
      </c>
      <c r="M1669" s="4" t="s">
        <v>2276</v>
      </c>
      <c r="N1669" s="4" t="s">
        <v>2276</v>
      </c>
      <c r="O1669" s="4" t="s">
        <v>2276</v>
      </c>
      <c r="P1669" s="4" t="s">
        <v>2276</v>
      </c>
      <c r="Q1669" s="4" t="s">
        <v>2276</v>
      </c>
      <c r="R1669" s="4" t="s">
        <v>2276</v>
      </c>
      <c r="S1669" s="4" t="s">
        <v>2276</v>
      </c>
      <c r="T1669" s="4" t="s">
        <v>2276</v>
      </c>
      <c r="U1669" s="4" t="s">
        <v>2276</v>
      </c>
      <c r="V1669" s="4" t="s">
        <v>2276</v>
      </c>
      <c r="W1669" s="4" t="s">
        <v>2276</v>
      </c>
      <c r="X1669" s="4" t="s">
        <v>2276</v>
      </c>
      <c r="Y1669" s="4" t="s">
        <v>2276</v>
      </c>
      <c r="Z1669" s="4" t="s">
        <v>2276</v>
      </c>
      <c r="AA1669" s="4" t="s">
        <v>2276</v>
      </c>
      <c r="AB1669" s="4" t="s">
        <v>2276</v>
      </c>
      <c r="AC1669" s="3"/>
      <c r="AD1669" s="3"/>
    </row>
    <row r="1670" spans="1:30" ht="47.5" customHeight="1">
      <c r="A1670" s="11" t="s">
        <v>4977</v>
      </c>
      <c r="B1670" s="11" t="s">
        <v>4984</v>
      </c>
      <c r="C1670" s="3" t="s">
        <v>24</v>
      </c>
      <c r="D1670" s="3" t="s">
        <v>26</v>
      </c>
      <c r="E1670" s="3" t="s">
        <v>5005</v>
      </c>
      <c r="F1670" s="4" t="s">
        <v>2662</v>
      </c>
      <c r="G1670" s="3" t="s">
        <v>2276</v>
      </c>
      <c r="H1670" s="3" t="s">
        <v>523</v>
      </c>
      <c r="I1670" s="3">
        <v>1976</v>
      </c>
      <c r="J1670" s="4" t="s">
        <v>2276</v>
      </c>
      <c r="K1670" s="4" t="s">
        <v>2276</v>
      </c>
      <c r="L1670" s="4" t="s">
        <v>2276</v>
      </c>
      <c r="M1670" s="4" t="s">
        <v>2276</v>
      </c>
      <c r="N1670" s="4" t="s">
        <v>2276</v>
      </c>
      <c r="O1670" s="4" t="s">
        <v>2276</v>
      </c>
      <c r="P1670" s="4" t="s">
        <v>2276</v>
      </c>
      <c r="Q1670" s="4" t="s">
        <v>2276</v>
      </c>
      <c r="R1670" s="4" t="s">
        <v>2276</v>
      </c>
      <c r="S1670" s="4" t="s">
        <v>2276</v>
      </c>
      <c r="T1670" s="4" t="s">
        <v>2276</v>
      </c>
      <c r="U1670" s="4" t="s">
        <v>2276</v>
      </c>
      <c r="V1670" s="4" t="s">
        <v>2276</v>
      </c>
      <c r="W1670" s="4" t="s">
        <v>2276</v>
      </c>
      <c r="X1670" s="4" t="s">
        <v>2276</v>
      </c>
      <c r="Y1670" s="4" t="s">
        <v>2276</v>
      </c>
      <c r="Z1670" s="3" t="s">
        <v>38</v>
      </c>
      <c r="AA1670" s="3" t="s">
        <v>68</v>
      </c>
      <c r="AB1670" s="4" t="s">
        <v>2276</v>
      </c>
      <c r="AC1670" s="3"/>
      <c r="AD1670" s="3"/>
    </row>
    <row r="1671" spans="1:30" ht="47.5" customHeight="1">
      <c r="A1671" s="11" t="s">
        <v>4977</v>
      </c>
      <c r="B1671" s="11" t="s">
        <v>4985</v>
      </c>
      <c r="C1671" s="3" t="s">
        <v>24</v>
      </c>
      <c r="D1671" s="3" t="s">
        <v>1245</v>
      </c>
      <c r="E1671" s="3" t="s">
        <v>116</v>
      </c>
      <c r="F1671" s="4" t="s">
        <v>2662</v>
      </c>
      <c r="G1671" s="3" t="s">
        <v>2276</v>
      </c>
      <c r="H1671" s="3" t="s">
        <v>523</v>
      </c>
      <c r="I1671" s="3">
        <v>1976</v>
      </c>
      <c r="J1671" s="4" t="s">
        <v>2276</v>
      </c>
      <c r="K1671" s="4" t="s">
        <v>2276</v>
      </c>
      <c r="L1671" s="4" t="s">
        <v>2276</v>
      </c>
      <c r="M1671" s="4" t="s">
        <v>2276</v>
      </c>
      <c r="N1671" s="4" t="s">
        <v>2276</v>
      </c>
      <c r="O1671" s="4" t="s">
        <v>2276</v>
      </c>
      <c r="P1671" s="4" t="s">
        <v>2276</v>
      </c>
      <c r="Q1671" s="4" t="s">
        <v>2276</v>
      </c>
      <c r="R1671" s="4" t="s">
        <v>2276</v>
      </c>
      <c r="S1671" s="4" t="s">
        <v>2276</v>
      </c>
      <c r="T1671" s="4" t="s">
        <v>2276</v>
      </c>
      <c r="U1671" s="4" t="s">
        <v>2276</v>
      </c>
      <c r="V1671" s="4" t="s">
        <v>2276</v>
      </c>
      <c r="W1671" s="4" t="s">
        <v>2276</v>
      </c>
      <c r="X1671" s="4" t="s">
        <v>2276</v>
      </c>
      <c r="Y1671" s="4" t="s">
        <v>2276</v>
      </c>
      <c r="Z1671" s="4" t="s">
        <v>2276</v>
      </c>
      <c r="AA1671" s="4" t="s">
        <v>2276</v>
      </c>
      <c r="AB1671" s="4" t="s">
        <v>2276</v>
      </c>
      <c r="AC1671" s="3"/>
      <c r="AD1671" s="3"/>
    </row>
    <row r="1672" spans="1:30" ht="47.5" customHeight="1">
      <c r="A1672" s="11" t="s">
        <v>4977</v>
      </c>
      <c r="B1672" s="11" t="s">
        <v>4986</v>
      </c>
      <c r="C1672" s="3" t="s">
        <v>24</v>
      </c>
      <c r="D1672" s="3" t="s">
        <v>25</v>
      </c>
      <c r="E1672" s="3" t="s">
        <v>5005</v>
      </c>
      <c r="F1672" s="4" t="s">
        <v>2662</v>
      </c>
      <c r="G1672" s="3" t="s">
        <v>2276</v>
      </c>
      <c r="H1672" s="3" t="s">
        <v>524</v>
      </c>
      <c r="I1672" s="3">
        <v>1980</v>
      </c>
      <c r="J1672" s="21">
        <v>0</v>
      </c>
      <c r="K1672" s="21">
        <v>0</v>
      </c>
      <c r="L1672" s="21">
        <v>0</v>
      </c>
      <c r="M1672" s="21">
        <v>0</v>
      </c>
      <c r="N1672" s="21">
        <v>0</v>
      </c>
      <c r="O1672" s="21">
        <v>0</v>
      </c>
      <c r="P1672" s="21">
        <v>0</v>
      </c>
      <c r="Q1672" s="21">
        <v>0</v>
      </c>
      <c r="R1672" s="21">
        <v>0</v>
      </c>
      <c r="S1672" s="21">
        <v>0</v>
      </c>
      <c r="T1672" s="21">
        <v>0</v>
      </c>
      <c r="U1672" s="21">
        <v>0</v>
      </c>
      <c r="V1672" s="21">
        <v>0</v>
      </c>
      <c r="W1672" s="21">
        <v>0</v>
      </c>
      <c r="X1672" s="21">
        <v>0</v>
      </c>
      <c r="Y1672" s="4" t="s">
        <v>2276</v>
      </c>
      <c r="Z1672" s="4" t="s">
        <v>2276</v>
      </c>
      <c r="AA1672" s="4" t="s">
        <v>2276</v>
      </c>
      <c r="AB1672" s="4" t="s">
        <v>2276</v>
      </c>
      <c r="AC1672" s="3"/>
      <c r="AD1672" s="3"/>
    </row>
    <row r="1673" spans="1:30" ht="47.5" customHeight="1">
      <c r="A1673" s="11" t="s">
        <v>4977</v>
      </c>
      <c r="B1673" s="11" t="s">
        <v>4987</v>
      </c>
      <c r="C1673" s="3" t="s">
        <v>24</v>
      </c>
      <c r="D1673" s="3" t="s">
        <v>26</v>
      </c>
      <c r="E1673" s="3" t="s">
        <v>5005</v>
      </c>
      <c r="F1673" s="4" t="s">
        <v>2662</v>
      </c>
      <c r="G1673" s="3" t="s">
        <v>2276</v>
      </c>
      <c r="H1673" s="3" t="s">
        <v>524</v>
      </c>
      <c r="I1673" s="3">
        <v>1980</v>
      </c>
      <c r="J1673" s="21">
        <v>0</v>
      </c>
      <c r="K1673" s="21">
        <v>0</v>
      </c>
      <c r="L1673" s="21">
        <v>0</v>
      </c>
      <c r="M1673" s="21">
        <v>0</v>
      </c>
      <c r="N1673" s="21">
        <v>0</v>
      </c>
      <c r="O1673" s="21">
        <v>0</v>
      </c>
      <c r="P1673" s="21">
        <v>0</v>
      </c>
      <c r="Q1673" s="21">
        <v>0</v>
      </c>
      <c r="R1673" s="21">
        <v>0</v>
      </c>
      <c r="S1673" s="21">
        <v>0</v>
      </c>
      <c r="T1673" s="21">
        <v>0</v>
      </c>
      <c r="U1673" s="21">
        <v>0</v>
      </c>
      <c r="V1673" s="21">
        <v>0</v>
      </c>
      <c r="W1673" s="21">
        <v>0</v>
      </c>
      <c r="X1673" s="21">
        <v>0</v>
      </c>
      <c r="Y1673" s="4" t="s">
        <v>2276</v>
      </c>
      <c r="Z1673" s="4" t="s">
        <v>2276</v>
      </c>
      <c r="AA1673" s="4" t="s">
        <v>2276</v>
      </c>
      <c r="AB1673" s="4" t="s">
        <v>2276</v>
      </c>
      <c r="AC1673" s="3"/>
      <c r="AD1673" s="3"/>
    </row>
    <row r="1674" spans="1:30" ht="47.5" customHeight="1">
      <c r="A1674" s="11" t="s">
        <v>4977</v>
      </c>
      <c r="B1674" s="11" t="s">
        <v>4988</v>
      </c>
      <c r="C1674" s="3" t="s">
        <v>24</v>
      </c>
      <c r="D1674" s="3" t="s">
        <v>1245</v>
      </c>
      <c r="E1674" s="3" t="s">
        <v>116</v>
      </c>
      <c r="F1674" s="4" t="s">
        <v>2662</v>
      </c>
      <c r="G1674" s="3" t="s">
        <v>2276</v>
      </c>
      <c r="H1674" s="3" t="s">
        <v>524</v>
      </c>
      <c r="I1674" s="3">
        <v>1980</v>
      </c>
      <c r="J1674" s="21">
        <v>0</v>
      </c>
      <c r="K1674" s="21">
        <v>0</v>
      </c>
      <c r="L1674" s="21">
        <v>0</v>
      </c>
      <c r="M1674" s="21">
        <v>0</v>
      </c>
      <c r="N1674" s="21">
        <v>0</v>
      </c>
      <c r="O1674" s="21">
        <v>0</v>
      </c>
      <c r="P1674" s="21">
        <v>0</v>
      </c>
      <c r="Q1674" s="21">
        <v>0</v>
      </c>
      <c r="R1674" s="21">
        <v>0</v>
      </c>
      <c r="S1674" s="21">
        <v>0</v>
      </c>
      <c r="T1674" s="21">
        <v>0</v>
      </c>
      <c r="U1674" s="21">
        <v>0</v>
      </c>
      <c r="V1674" s="21">
        <v>0</v>
      </c>
      <c r="W1674" s="21">
        <v>0</v>
      </c>
      <c r="X1674" s="21">
        <v>0</v>
      </c>
      <c r="Y1674" s="4" t="s">
        <v>2276</v>
      </c>
      <c r="Z1674" s="4" t="s">
        <v>2276</v>
      </c>
      <c r="AA1674" s="4" t="s">
        <v>2276</v>
      </c>
      <c r="AB1674" s="4" t="s">
        <v>2276</v>
      </c>
      <c r="AC1674" s="3"/>
      <c r="AD1674" s="3"/>
    </row>
    <row r="1675" spans="1:30" ht="38" customHeight="1">
      <c r="A1675" s="11" t="s">
        <v>4977</v>
      </c>
      <c r="B1675" s="11" t="s">
        <v>4989</v>
      </c>
      <c r="C1675" s="3" t="s">
        <v>24</v>
      </c>
      <c r="D1675" s="3" t="s">
        <v>2276</v>
      </c>
      <c r="E1675" s="3" t="s">
        <v>5005</v>
      </c>
      <c r="F1675" s="4" t="s">
        <v>2662</v>
      </c>
      <c r="G1675" s="3" t="s">
        <v>2276</v>
      </c>
      <c r="H1675" s="3" t="s">
        <v>523</v>
      </c>
      <c r="I1675" s="3">
        <v>2004</v>
      </c>
      <c r="J1675" s="4" t="s">
        <v>2276</v>
      </c>
      <c r="K1675" s="4" t="s">
        <v>2276</v>
      </c>
      <c r="L1675" s="4" t="s">
        <v>2276</v>
      </c>
      <c r="M1675" s="4" t="s">
        <v>2276</v>
      </c>
      <c r="N1675" s="4" t="s">
        <v>2276</v>
      </c>
      <c r="O1675" s="4" t="s">
        <v>2276</v>
      </c>
      <c r="P1675" s="4" t="s">
        <v>2276</v>
      </c>
      <c r="Q1675" s="4" t="s">
        <v>2276</v>
      </c>
      <c r="R1675" s="4" t="s">
        <v>2276</v>
      </c>
      <c r="S1675" s="4" t="s">
        <v>2276</v>
      </c>
      <c r="T1675" s="4" t="s">
        <v>2276</v>
      </c>
      <c r="U1675" s="4" t="s">
        <v>2276</v>
      </c>
      <c r="V1675" s="4" t="s">
        <v>2276</v>
      </c>
      <c r="W1675" s="4" t="s">
        <v>2276</v>
      </c>
      <c r="X1675" s="4" t="s">
        <v>2276</v>
      </c>
      <c r="Y1675" s="4" t="s">
        <v>2276</v>
      </c>
      <c r="Z1675" s="3" t="s">
        <v>38</v>
      </c>
      <c r="AA1675" s="3" t="s">
        <v>68</v>
      </c>
      <c r="AB1675" s="4" t="s">
        <v>2276</v>
      </c>
      <c r="AC1675" s="4" t="s">
        <v>4991</v>
      </c>
      <c r="AD1675" s="3"/>
    </row>
    <row r="1676" spans="1:30" ht="37" customHeight="1">
      <c r="A1676" s="11" t="s">
        <v>4977</v>
      </c>
      <c r="B1676" s="11" t="s">
        <v>4990</v>
      </c>
      <c r="C1676" s="3" t="s">
        <v>24</v>
      </c>
      <c r="D1676" s="3" t="s">
        <v>2276</v>
      </c>
      <c r="E1676" s="3" t="s">
        <v>116</v>
      </c>
      <c r="F1676" s="4" t="s">
        <v>2662</v>
      </c>
      <c r="G1676" s="3" t="s">
        <v>2276</v>
      </c>
      <c r="H1676" s="3" t="s">
        <v>523</v>
      </c>
      <c r="I1676" s="3">
        <v>2004</v>
      </c>
      <c r="J1676" s="4" t="s">
        <v>2276</v>
      </c>
      <c r="K1676" s="4" t="s">
        <v>2276</v>
      </c>
      <c r="L1676" s="4" t="s">
        <v>2276</v>
      </c>
      <c r="M1676" s="4" t="s">
        <v>2276</v>
      </c>
      <c r="N1676" s="4" t="s">
        <v>2276</v>
      </c>
      <c r="O1676" s="4" t="s">
        <v>2276</v>
      </c>
      <c r="P1676" s="4" t="s">
        <v>2276</v>
      </c>
      <c r="Q1676" s="4" t="s">
        <v>2276</v>
      </c>
      <c r="R1676" s="4" t="s">
        <v>2276</v>
      </c>
      <c r="S1676" s="4" t="s">
        <v>2276</v>
      </c>
      <c r="T1676" s="4" t="s">
        <v>2276</v>
      </c>
      <c r="U1676" s="4" t="s">
        <v>2276</v>
      </c>
      <c r="V1676" s="4" t="s">
        <v>2276</v>
      </c>
      <c r="W1676" s="4" t="s">
        <v>2276</v>
      </c>
      <c r="X1676" s="4" t="s">
        <v>2276</v>
      </c>
      <c r="Y1676" s="4" t="s">
        <v>2276</v>
      </c>
      <c r="Z1676" s="3" t="s">
        <v>38</v>
      </c>
      <c r="AA1676" s="3" t="s">
        <v>68</v>
      </c>
      <c r="AB1676" s="4" t="s">
        <v>2276</v>
      </c>
      <c r="AC1676" s="4" t="s">
        <v>4991</v>
      </c>
      <c r="AD1676" s="3"/>
    </row>
    <row r="1677" spans="1:30" ht="46" customHeight="1">
      <c r="A1677" s="11" t="s">
        <v>4994</v>
      </c>
      <c r="B1677" s="11" t="s">
        <v>4998</v>
      </c>
      <c r="C1677" s="3" t="s">
        <v>24</v>
      </c>
      <c r="D1677" s="3" t="s">
        <v>25</v>
      </c>
      <c r="E1677" s="3" t="s">
        <v>5005</v>
      </c>
      <c r="F1677" s="4" t="s">
        <v>2662</v>
      </c>
      <c r="G1677" s="3" t="s">
        <v>2276</v>
      </c>
      <c r="H1677" s="3" t="s">
        <v>523</v>
      </c>
      <c r="I1677" s="3"/>
      <c r="J1677" s="4" t="s">
        <v>2276</v>
      </c>
      <c r="K1677" s="4" t="s">
        <v>2276</v>
      </c>
      <c r="L1677" s="4" t="s">
        <v>2276</v>
      </c>
      <c r="M1677" s="4" t="s">
        <v>2276</v>
      </c>
      <c r="N1677" s="4" t="s">
        <v>2276</v>
      </c>
      <c r="O1677" s="4" t="s">
        <v>2276</v>
      </c>
      <c r="P1677" s="4" t="s">
        <v>2276</v>
      </c>
      <c r="Q1677" s="4" t="s">
        <v>2276</v>
      </c>
      <c r="R1677" s="4" t="s">
        <v>2276</v>
      </c>
      <c r="S1677" s="4" t="s">
        <v>2276</v>
      </c>
      <c r="T1677" s="4" t="s">
        <v>2276</v>
      </c>
      <c r="U1677" s="4" t="s">
        <v>2276</v>
      </c>
      <c r="V1677" s="4" t="s">
        <v>2276</v>
      </c>
      <c r="W1677" s="4" t="s">
        <v>2276</v>
      </c>
      <c r="X1677" s="4" t="s">
        <v>2276</v>
      </c>
      <c r="Y1677" s="4" t="s">
        <v>2276</v>
      </c>
      <c r="Z1677" s="4" t="s">
        <v>2276</v>
      </c>
      <c r="AA1677" s="4" t="s">
        <v>2276</v>
      </c>
      <c r="AB1677" s="4" t="s">
        <v>2276</v>
      </c>
      <c r="AC1677" s="3"/>
      <c r="AD1677" s="3"/>
    </row>
    <row r="1678" spans="1:30" ht="46" customHeight="1">
      <c r="A1678" s="11" t="s">
        <v>4994</v>
      </c>
      <c r="B1678" s="11" t="s">
        <v>4999</v>
      </c>
      <c r="C1678" s="3" t="s">
        <v>24</v>
      </c>
      <c r="D1678" s="3" t="s">
        <v>1245</v>
      </c>
      <c r="E1678" s="3" t="s">
        <v>116</v>
      </c>
      <c r="F1678" s="4" t="s">
        <v>2662</v>
      </c>
      <c r="G1678" s="3" t="s">
        <v>2276</v>
      </c>
      <c r="H1678" s="3" t="s">
        <v>523</v>
      </c>
      <c r="I1678" s="3"/>
      <c r="J1678" s="4" t="s">
        <v>2276</v>
      </c>
      <c r="K1678" s="4" t="s">
        <v>2276</v>
      </c>
      <c r="L1678" s="4" t="s">
        <v>2276</v>
      </c>
      <c r="M1678" s="4" t="s">
        <v>2276</v>
      </c>
      <c r="N1678" s="4" t="s">
        <v>2276</v>
      </c>
      <c r="O1678" s="4" t="s">
        <v>2276</v>
      </c>
      <c r="P1678" s="4" t="s">
        <v>2276</v>
      </c>
      <c r="Q1678" s="4" t="s">
        <v>2276</v>
      </c>
      <c r="R1678" s="4" t="s">
        <v>2276</v>
      </c>
      <c r="S1678" s="4" t="s">
        <v>2276</v>
      </c>
      <c r="T1678" s="4" t="s">
        <v>2276</v>
      </c>
      <c r="U1678" s="4" t="s">
        <v>2276</v>
      </c>
      <c r="V1678" s="4" t="s">
        <v>2276</v>
      </c>
      <c r="W1678" s="4" t="s">
        <v>2276</v>
      </c>
      <c r="X1678" s="4" t="s">
        <v>2276</v>
      </c>
      <c r="Y1678" s="4" t="s">
        <v>2276</v>
      </c>
      <c r="Z1678" s="4" t="s">
        <v>2276</v>
      </c>
      <c r="AA1678" s="4" t="s">
        <v>2276</v>
      </c>
      <c r="AB1678" s="4" t="s">
        <v>2276</v>
      </c>
      <c r="AC1678" s="3"/>
      <c r="AD1678" s="3"/>
    </row>
    <row r="1679" spans="1:30" ht="46" customHeight="1">
      <c r="A1679" s="11" t="s">
        <v>4994</v>
      </c>
      <c r="B1679" s="11" t="s">
        <v>5000</v>
      </c>
      <c r="C1679" s="3" t="s">
        <v>24</v>
      </c>
      <c r="D1679" s="3" t="s">
        <v>1131</v>
      </c>
      <c r="E1679" s="3" t="s">
        <v>5005</v>
      </c>
      <c r="F1679" s="4" t="s">
        <v>2662</v>
      </c>
      <c r="G1679" s="3" t="s">
        <v>2276</v>
      </c>
      <c r="H1679" s="3" t="s">
        <v>523</v>
      </c>
      <c r="I1679" s="3"/>
      <c r="J1679" s="4" t="s">
        <v>2276</v>
      </c>
      <c r="K1679" s="4" t="s">
        <v>2276</v>
      </c>
      <c r="L1679" s="4" t="s">
        <v>2276</v>
      </c>
      <c r="M1679" s="4" t="s">
        <v>2276</v>
      </c>
      <c r="N1679" s="4" t="s">
        <v>2276</v>
      </c>
      <c r="O1679" s="4" t="s">
        <v>2276</v>
      </c>
      <c r="P1679" s="4" t="s">
        <v>2276</v>
      </c>
      <c r="Q1679" s="4" t="s">
        <v>2276</v>
      </c>
      <c r="R1679" s="4" t="s">
        <v>2276</v>
      </c>
      <c r="S1679" s="4" t="s">
        <v>2276</v>
      </c>
      <c r="T1679" s="4" t="s">
        <v>2276</v>
      </c>
      <c r="U1679" s="4" t="s">
        <v>2276</v>
      </c>
      <c r="V1679" s="4" t="s">
        <v>2276</v>
      </c>
      <c r="W1679" s="4" t="s">
        <v>2276</v>
      </c>
      <c r="X1679" s="4" t="s">
        <v>2276</v>
      </c>
      <c r="Y1679" s="4" t="s">
        <v>2276</v>
      </c>
      <c r="Z1679" s="4" t="s">
        <v>2276</v>
      </c>
      <c r="AA1679" s="4" t="s">
        <v>2276</v>
      </c>
      <c r="AB1679" s="4" t="s">
        <v>2276</v>
      </c>
      <c r="AC1679" s="3" t="s">
        <v>5002</v>
      </c>
      <c r="AD1679" s="3"/>
    </row>
    <row r="1680" spans="1:30" ht="46" customHeight="1">
      <c r="A1680" s="11" t="s">
        <v>4994</v>
      </c>
      <c r="B1680" s="11" t="s">
        <v>5001</v>
      </c>
      <c r="C1680" s="3" t="s">
        <v>24</v>
      </c>
      <c r="D1680" s="3" t="s">
        <v>1131</v>
      </c>
      <c r="E1680" s="3" t="s">
        <v>116</v>
      </c>
      <c r="F1680" s="4" t="s">
        <v>2662</v>
      </c>
      <c r="G1680" s="3" t="s">
        <v>2276</v>
      </c>
      <c r="H1680" s="3" t="s">
        <v>523</v>
      </c>
      <c r="I1680" s="3"/>
      <c r="J1680" s="4" t="s">
        <v>2276</v>
      </c>
      <c r="K1680" s="4" t="s">
        <v>2276</v>
      </c>
      <c r="L1680" s="4" t="s">
        <v>2276</v>
      </c>
      <c r="M1680" s="4" t="s">
        <v>2276</v>
      </c>
      <c r="N1680" s="4" t="s">
        <v>2276</v>
      </c>
      <c r="O1680" s="4" t="s">
        <v>2276</v>
      </c>
      <c r="P1680" s="4" t="s">
        <v>2276</v>
      </c>
      <c r="Q1680" s="4" t="s">
        <v>2276</v>
      </c>
      <c r="R1680" s="4" t="s">
        <v>2276</v>
      </c>
      <c r="S1680" s="4" t="s">
        <v>2276</v>
      </c>
      <c r="T1680" s="4" t="s">
        <v>2276</v>
      </c>
      <c r="U1680" s="4" t="s">
        <v>2276</v>
      </c>
      <c r="V1680" s="4" t="s">
        <v>2276</v>
      </c>
      <c r="W1680" s="4" t="s">
        <v>2276</v>
      </c>
      <c r="X1680" s="4" t="s">
        <v>2276</v>
      </c>
      <c r="Y1680" s="4" t="s">
        <v>2276</v>
      </c>
      <c r="Z1680" s="4" t="s">
        <v>2276</v>
      </c>
      <c r="AA1680" s="4" t="s">
        <v>2276</v>
      </c>
      <c r="AB1680" s="4" t="s">
        <v>2276</v>
      </c>
      <c r="AC1680" s="3" t="s">
        <v>5002</v>
      </c>
      <c r="AD1680" s="3"/>
    </row>
    <row r="1681" spans="1:30" ht="51" customHeight="1">
      <c r="A1681" s="11" t="s">
        <v>5088</v>
      </c>
      <c r="B1681" s="11" t="s">
        <v>5094</v>
      </c>
      <c r="C1681" s="3" t="s">
        <v>24</v>
      </c>
      <c r="D1681" s="3" t="s">
        <v>25</v>
      </c>
      <c r="E1681" s="3" t="s">
        <v>5005</v>
      </c>
      <c r="F1681" s="4" t="s">
        <v>74</v>
      </c>
      <c r="G1681" s="3" t="s">
        <v>2276</v>
      </c>
      <c r="H1681" s="3" t="s">
        <v>524</v>
      </c>
      <c r="I1681" s="3"/>
      <c r="J1681" s="3">
        <v>0</v>
      </c>
      <c r="K1681" s="3">
        <v>0</v>
      </c>
      <c r="L1681" s="3">
        <v>0</v>
      </c>
      <c r="M1681" s="3">
        <v>0</v>
      </c>
      <c r="N1681" s="3">
        <v>0</v>
      </c>
      <c r="O1681" s="3">
        <v>0</v>
      </c>
      <c r="P1681" s="3">
        <v>0</v>
      </c>
      <c r="Q1681" s="3">
        <v>0</v>
      </c>
      <c r="R1681" s="3">
        <v>0</v>
      </c>
      <c r="S1681" s="3">
        <v>0</v>
      </c>
      <c r="T1681" s="3">
        <v>0</v>
      </c>
      <c r="U1681" s="3">
        <v>0</v>
      </c>
      <c r="V1681" s="3">
        <v>0</v>
      </c>
      <c r="W1681" s="3">
        <v>0</v>
      </c>
      <c r="X1681" s="3">
        <v>0</v>
      </c>
      <c r="Y1681" s="4" t="s">
        <v>2276</v>
      </c>
      <c r="Z1681" s="4" t="s">
        <v>2276</v>
      </c>
      <c r="AA1681" s="4" t="s">
        <v>2276</v>
      </c>
      <c r="AB1681" s="4" t="s">
        <v>2276</v>
      </c>
      <c r="AC1681" s="4" t="s">
        <v>5098</v>
      </c>
      <c r="AD1681" s="3"/>
    </row>
    <row r="1682" spans="1:30" ht="53.5" customHeight="1">
      <c r="A1682" s="11" t="s">
        <v>5088</v>
      </c>
      <c r="B1682" s="11" t="s">
        <v>5095</v>
      </c>
      <c r="C1682" s="3" t="s">
        <v>24</v>
      </c>
      <c r="D1682" s="3" t="s">
        <v>61</v>
      </c>
      <c r="E1682" s="3" t="s">
        <v>5005</v>
      </c>
      <c r="F1682" s="4" t="s">
        <v>74</v>
      </c>
      <c r="G1682" s="3" t="s">
        <v>2276</v>
      </c>
      <c r="H1682" s="3" t="s">
        <v>524</v>
      </c>
      <c r="I1682" s="3"/>
      <c r="J1682" s="3">
        <v>0</v>
      </c>
      <c r="K1682" s="3">
        <v>0</v>
      </c>
      <c r="L1682" s="3">
        <v>0</v>
      </c>
      <c r="M1682" s="3">
        <v>0</v>
      </c>
      <c r="N1682" s="3">
        <v>0</v>
      </c>
      <c r="O1682" s="3">
        <v>0</v>
      </c>
      <c r="P1682" s="3">
        <v>0</v>
      </c>
      <c r="Q1682" s="3">
        <v>0</v>
      </c>
      <c r="R1682" s="3">
        <v>0</v>
      </c>
      <c r="S1682" s="3">
        <v>0</v>
      </c>
      <c r="T1682" s="3">
        <v>0</v>
      </c>
      <c r="U1682" s="3">
        <v>0</v>
      </c>
      <c r="V1682" s="3">
        <v>0</v>
      </c>
      <c r="W1682" s="3">
        <v>0</v>
      </c>
      <c r="X1682" s="3">
        <v>0</v>
      </c>
      <c r="Y1682" s="4" t="s">
        <v>2276</v>
      </c>
      <c r="Z1682" s="4" t="s">
        <v>2276</v>
      </c>
      <c r="AA1682" s="4" t="s">
        <v>2276</v>
      </c>
      <c r="AB1682" s="4" t="s">
        <v>2276</v>
      </c>
      <c r="AC1682" s="4" t="s">
        <v>5098</v>
      </c>
      <c r="AD1682" s="3"/>
    </row>
    <row r="1683" spans="1:30" ht="42" customHeight="1">
      <c r="A1683" s="11" t="s">
        <v>5088</v>
      </c>
      <c r="B1683" s="11" t="s">
        <v>5096</v>
      </c>
      <c r="C1683" s="3" t="s">
        <v>24</v>
      </c>
      <c r="D1683" s="3" t="s">
        <v>144</v>
      </c>
      <c r="E1683" s="3" t="s">
        <v>137</v>
      </c>
      <c r="F1683" s="4" t="s">
        <v>74</v>
      </c>
      <c r="G1683" s="3" t="s">
        <v>2276</v>
      </c>
      <c r="H1683" s="3" t="s">
        <v>523</v>
      </c>
      <c r="I1683" s="3"/>
      <c r="J1683" s="4" t="s">
        <v>2276</v>
      </c>
      <c r="K1683" s="4" t="s">
        <v>2276</v>
      </c>
      <c r="L1683" s="4" t="s">
        <v>2276</v>
      </c>
      <c r="M1683" s="4" t="s">
        <v>2276</v>
      </c>
      <c r="N1683" s="4" t="s">
        <v>2276</v>
      </c>
      <c r="O1683" s="4" t="s">
        <v>2276</v>
      </c>
      <c r="P1683" s="4" t="s">
        <v>2276</v>
      </c>
      <c r="Q1683" s="4" t="s">
        <v>2276</v>
      </c>
      <c r="R1683" s="4" t="s">
        <v>2276</v>
      </c>
      <c r="S1683" s="4" t="s">
        <v>2276</v>
      </c>
      <c r="T1683" s="4" t="s">
        <v>2276</v>
      </c>
      <c r="U1683" s="4" t="s">
        <v>2276</v>
      </c>
      <c r="V1683" s="4" t="s">
        <v>2276</v>
      </c>
      <c r="W1683" s="4" t="s">
        <v>2276</v>
      </c>
      <c r="X1683" s="4" t="s">
        <v>2276</v>
      </c>
      <c r="Y1683" s="4" t="s">
        <v>2276</v>
      </c>
      <c r="Z1683" s="4" t="s">
        <v>2276</v>
      </c>
      <c r="AA1683" s="4" t="s">
        <v>2276</v>
      </c>
      <c r="AB1683" s="4" t="s">
        <v>2276</v>
      </c>
      <c r="AC1683" s="4" t="s">
        <v>5097</v>
      </c>
      <c r="AD1683" s="3"/>
    </row>
    <row r="1684" spans="1:30" ht="39" customHeight="1">
      <c r="A1684" s="3" t="s">
        <v>5100</v>
      </c>
      <c r="B1684" s="11" t="s">
        <v>5106</v>
      </c>
      <c r="C1684" s="3" t="s">
        <v>24</v>
      </c>
      <c r="D1684" s="3" t="s">
        <v>2804</v>
      </c>
      <c r="E1684" s="3" t="s">
        <v>5005</v>
      </c>
      <c r="F1684" s="4" t="s">
        <v>2662</v>
      </c>
      <c r="G1684" s="3" t="s">
        <v>2276</v>
      </c>
      <c r="H1684" s="3" t="s">
        <v>523</v>
      </c>
      <c r="I1684" s="3"/>
      <c r="J1684" s="4" t="s">
        <v>2276</v>
      </c>
      <c r="K1684" s="4" t="s">
        <v>2276</v>
      </c>
      <c r="L1684" s="4" t="s">
        <v>2276</v>
      </c>
      <c r="M1684" s="4" t="s">
        <v>2276</v>
      </c>
      <c r="N1684" s="4" t="s">
        <v>2276</v>
      </c>
      <c r="O1684" s="4" t="s">
        <v>2276</v>
      </c>
      <c r="P1684" s="4" t="s">
        <v>2276</v>
      </c>
      <c r="Q1684" s="4" t="s">
        <v>2276</v>
      </c>
      <c r="R1684" s="4" t="s">
        <v>2276</v>
      </c>
      <c r="S1684" s="4" t="s">
        <v>2276</v>
      </c>
      <c r="T1684" s="4" t="s">
        <v>2276</v>
      </c>
      <c r="U1684" s="4" t="s">
        <v>2276</v>
      </c>
      <c r="V1684" s="4" t="s">
        <v>2276</v>
      </c>
      <c r="W1684" s="4" t="s">
        <v>2276</v>
      </c>
      <c r="X1684" s="4" t="s">
        <v>2276</v>
      </c>
      <c r="Y1684" s="4" t="s">
        <v>2276</v>
      </c>
      <c r="Z1684" s="4" t="s">
        <v>2276</v>
      </c>
      <c r="AA1684" s="4" t="s">
        <v>2276</v>
      </c>
      <c r="AB1684" s="4" t="s">
        <v>2276</v>
      </c>
      <c r="AC1684" s="3"/>
      <c r="AD1684" s="3"/>
    </row>
    <row r="1685" spans="1:30" ht="97" customHeight="1">
      <c r="A1685" s="3" t="s">
        <v>5109</v>
      </c>
      <c r="B1685" s="11" t="s">
        <v>5111</v>
      </c>
      <c r="C1685" s="3" t="s">
        <v>24</v>
      </c>
      <c r="D1685" s="3" t="s">
        <v>26</v>
      </c>
      <c r="E1685" s="3" t="s">
        <v>5005</v>
      </c>
      <c r="F1685" s="4" t="s">
        <v>2662</v>
      </c>
      <c r="G1685" s="3" t="s">
        <v>2276</v>
      </c>
      <c r="H1685" s="3" t="s">
        <v>523</v>
      </c>
      <c r="I1685" s="3"/>
      <c r="J1685" s="4" t="s">
        <v>2276</v>
      </c>
      <c r="K1685" s="4" t="s">
        <v>2276</v>
      </c>
      <c r="L1685" s="4" t="s">
        <v>2276</v>
      </c>
      <c r="M1685" s="4" t="s">
        <v>2276</v>
      </c>
      <c r="N1685" s="4" t="s">
        <v>2276</v>
      </c>
      <c r="O1685" s="4" t="s">
        <v>2276</v>
      </c>
      <c r="P1685" s="4" t="s">
        <v>2276</v>
      </c>
      <c r="Q1685" s="4" t="s">
        <v>2276</v>
      </c>
      <c r="R1685" s="4" t="s">
        <v>2276</v>
      </c>
      <c r="S1685" s="4" t="s">
        <v>2276</v>
      </c>
      <c r="T1685" s="4" t="s">
        <v>2276</v>
      </c>
      <c r="U1685" s="4" t="s">
        <v>2276</v>
      </c>
      <c r="V1685" s="4" t="s">
        <v>2276</v>
      </c>
      <c r="W1685" s="4" t="s">
        <v>2276</v>
      </c>
      <c r="X1685" s="4" t="s">
        <v>2276</v>
      </c>
      <c r="Y1685" s="4" t="s">
        <v>2276</v>
      </c>
      <c r="Z1685" s="4" t="s">
        <v>2276</v>
      </c>
      <c r="AA1685" s="4" t="s">
        <v>2276</v>
      </c>
      <c r="AB1685" s="4" t="s">
        <v>2276</v>
      </c>
      <c r="AC1685" s="4" t="s">
        <v>5113</v>
      </c>
      <c r="AD1685" s="3"/>
    </row>
    <row r="1686" spans="1:30" ht="51" customHeight="1">
      <c r="A1686" s="3" t="s">
        <v>5109</v>
      </c>
      <c r="B1686" s="11" t="s">
        <v>5112</v>
      </c>
      <c r="C1686" s="3" t="s">
        <v>24</v>
      </c>
      <c r="D1686" s="3" t="s">
        <v>26</v>
      </c>
      <c r="E1686" s="3" t="s">
        <v>45</v>
      </c>
      <c r="F1686" s="4" t="s">
        <v>2662</v>
      </c>
      <c r="G1686" s="3" t="s">
        <v>2276</v>
      </c>
      <c r="H1686" s="3" t="s">
        <v>523</v>
      </c>
      <c r="I1686" s="3"/>
      <c r="J1686" s="4" t="s">
        <v>2276</v>
      </c>
      <c r="K1686" s="4" t="s">
        <v>2276</v>
      </c>
      <c r="L1686" s="4" t="s">
        <v>2276</v>
      </c>
      <c r="M1686" s="4" t="s">
        <v>2276</v>
      </c>
      <c r="N1686" s="4" t="s">
        <v>2276</v>
      </c>
      <c r="O1686" s="4" t="s">
        <v>2276</v>
      </c>
      <c r="P1686" s="4" t="s">
        <v>2276</v>
      </c>
      <c r="Q1686" s="4" t="s">
        <v>2276</v>
      </c>
      <c r="R1686" s="4" t="s">
        <v>2276</v>
      </c>
      <c r="S1686" s="4" t="s">
        <v>2276</v>
      </c>
      <c r="T1686" s="4" t="s">
        <v>2276</v>
      </c>
      <c r="U1686" s="4" t="s">
        <v>2276</v>
      </c>
      <c r="V1686" s="4" t="s">
        <v>2276</v>
      </c>
      <c r="W1686" s="4" t="s">
        <v>2276</v>
      </c>
      <c r="X1686" s="4" t="s">
        <v>2276</v>
      </c>
      <c r="Y1686" s="4" t="s">
        <v>2276</v>
      </c>
      <c r="Z1686" s="4" t="s">
        <v>2276</v>
      </c>
      <c r="AA1686" s="4" t="s">
        <v>2276</v>
      </c>
      <c r="AB1686" s="4" t="s">
        <v>2276</v>
      </c>
      <c r="AC1686" s="4" t="s">
        <v>5114</v>
      </c>
      <c r="AD1686" s="3"/>
    </row>
    <row r="1687" spans="1:30" ht="32" customHeight="1">
      <c r="A1687" s="5" t="s">
        <v>5117</v>
      </c>
      <c r="B1687" s="11" t="s">
        <v>5121</v>
      </c>
      <c r="C1687" s="3" t="s">
        <v>24</v>
      </c>
      <c r="D1687" s="3" t="s">
        <v>2804</v>
      </c>
      <c r="E1687" s="3" t="s">
        <v>5005</v>
      </c>
      <c r="F1687" s="4" t="s">
        <v>2662</v>
      </c>
      <c r="G1687" s="3" t="s">
        <v>2276</v>
      </c>
      <c r="H1687" s="3" t="s">
        <v>523</v>
      </c>
      <c r="I1687" s="3"/>
      <c r="J1687" s="4" t="s">
        <v>2276</v>
      </c>
      <c r="K1687" s="4" t="s">
        <v>2276</v>
      </c>
      <c r="L1687" s="4" t="s">
        <v>2276</v>
      </c>
      <c r="M1687" s="4" t="s">
        <v>2276</v>
      </c>
      <c r="N1687" s="4" t="s">
        <v>2276</v>
      </c>
      <c r="O1687" s="4" t="s">
        <v>2276</v>
      </c>
      <c r="P1687" s="4" t="s">
        <v>2276</v>
      </c>
      <c r="Q1687" s="4" t="s">
        <v>2276</v>
      </c>
      <c r="R1687" s="4" t="s">
        <v>2276</v>
      </c>
      <c r="S1687" s="4" t="s">
        <v>2276</v>
      </c>
      <c r="T1687" s="4" t="s">
        <v>2276</v>
      </c>
      <c r="U1687" s="4" t="s">
        <v>2276</v>
      </c>
      <c r="V1687" s="4" t="s">
        <v>2276</v>
      </c>
      <c r="W1687" s="4" t="s">
        <v>2276</v>
      </c>
      <c r="X1687" s="4" t="s">
        <v>2276</v>
      </c>
      <c r="Y1687" s="4" t="s">
        <v>2276</v>
      </c>
      <c r="Z1687" s="4" t="s">
        <v>2276</v>
      </c>
      <c r="AA1687" s="4" t="s">
        <v>2276</v>
      </c>
      <c r="AB1687" s="4" t="s">
        <v>2276</v>
      </c>
      <c r="AC1687" s="3"/>
      <c r="AD1687" s="3"/>
    </row>
    <row r="1688" spans="1:30" ht="33.5" customHeight="1">
      <c r="A1688" s="11" t="s">
        <v>5123</v>
      </c>
      <c r="B1688" s="3" t="s">
        <v>5140</v>
      </c>
      <c r="C1688" s="3" t="s">
        <v>24</v>
      </c>
      <c r="D1688" s="3" t="s">
        <v>1242</v>
      </c>
      <c r="E1688" s="3" t="s">
        <v>137</v>
      </c>
      <c r="F1688" s="4" t="s">
        <v>2662</v>
      </c>
      <c r="G1688" s="4" t="s">
        <v>2662</v>
      </c>
      <c r="H1688" s="3" t="s">
        <v>524</v>
      </c>
      <c r="I1688" s="3"/>
      <c r="J1688" s="3">
        <v>0</v>
      </c>
      <c r="K1688" s="3">
        <v>0</v>
      </c>
      <c r="L1688" s="3">
        <v>0</v>
      </c>
      <c r="M1688" s="3">
        <v>0</v>
      </c>
      <c r="N1688" s="3">
        <v>0</v>
      </c>
      <c r="O1688" s="3">
        <v>0</v>
      </c>
      <c r="P1688" s="3">
        <v>0</v>
      </c>
      <c r="Q1688" s="3">
        <v>0</v>
      </c>
      <c r="R1688" s="3">
        <v>0</v>
      </c>
      <c r="S1688" s="3">
        <v>0</v>
      </c>
      <c r="T1688" s="3">
        <v>0</v>
      </c>
      <c r="U1688" s="3">
        <v>0</v>
      </c>
      <c r="V1688" s="3">
        <v>0</v>
      </c>
      <c r="W1688" s="3">
        <v>0</v>
      </c>
      <c r="X1688" s="3">
        <v>0</v>
      </c>
      <c r="Y1688" s="4" t="s">
        <v>2276</v>
      </c>
      <c r="Z1688" s="4" t="s">
        <v>2276</v>
      </c>
      <c r="AA1688" s="4" t="s">
        <v>2276</v>
      </c>
      <c r="AB1688" s="4" t="s">
        <v>2276</v>
      </c>
      <c r="AC1688" s="3"/>
      <c r="AD1688" s="3"/>
    </row>
    <row r="1689" spans="1:30" ht="33.5" customHeight="1">
      <c r="A1689" s="11" t="s">
        <v>5124</v>
      </c>
      <c r="B1689" s="3" t="s">
        <v>5141</v>
      </c>
      <c r="C1689" s="3" t="s">
        <v>24</v>
      </c>
      <c r="D1689" s="3" t="s">
        <v>1242</v>
      </c>
      <c r="E1689" s="3" t="s">
        <v>137</v>
      </c>
      <c r="F1689" s="4" t="s">
        <v>2662</v>
      </c>
      <c r="G1689" s="4" t="s">
        <v>2662</v>
      </c>
      <c r="H1689" s="3" t="s">
        <v>524</v>
      </c>
      <c r="I1689" s="3"/>
      <c r="J1689" s="3">
        <v>0</v>
      </c>
      <c r="K1689" s="3">
        <v>0</v>
      </c>
      <c r="L1689" s="3">
        <v>0</v>
      </c>
      <c r="M1689" s="3">
        <v>0</v>
      </c>
      <c r="N1689" s="3">
        <v>0</v>
      </c>
      <c r="O1689" s="3">
        <v>0</v>
      </c>
      <c r="P1689" s="3">
        <v>0</v>
      </c>
      <c r="Q1689" s="3">
        <v>0</v>
      </c>
      <c r="R1689" s="3">
        <v>0</v>
      </c>
      <c r="S1689" s="3">
        <v>0</v>
      </c>
      <c r="T1689" s="3">
        <v>0</v>
      </c>
      <c r="U1689" s="3">
        <v>0</v>
      </c>
      <c r="V1689" s="3">
        <v>0</v>
      </c>
      <c r="W1689" s="3">
        <v>0</v>
      </c>
      <c r="X1689" s="3">
        <v>0</v>
      </c>
      <c r="Y1689" s="4" t="s">
        <v>2276</v>
      </c>
      <c r="Z1689" s="4" t="s">
        <v>2276</v>
      </c>
      <c r="AA1689" s="4" t="s">
        <v>2276</v>
      </c>
      <c r="AB1689" s="4" t="s">
        <v>2276</v>
      </c>
      <c r="AC1689" s="3"/>
      <c r="AD1689" s="3"/>
    </row>
    <row r="1690" spans="1:30" ht="33.5" customHeight="1">
      <c r="A1690" s="11" t="s">
        <v>5125</v>
      </c>
      <c r="B1690" s="3" t="s">
        <v>5142</v>
      </c>
      <c r="C1690" s="3" t="s">
        <v>24</v>
      </c>
      <c r="D1690" s="3" t="s">
        <v>1242</v>
      </c>
      <c r="E1690" s="3" t="s">
        <v>137</v>
      </c>
      <c r="F1690" s="4" t="s">
        <v>2662</v>
      </c>
      <c r="G1690" s="4" t="s">
        <v>2662</v>
      </c>
      <c r="H1690" s="3" t="s">
        <v>524</v>
      </c>
      <c r="I1690" s="3"/>
      <c r="J1690" s="3">
        <v>0</v>
      </c>
      <c r="K1690" s="3">
        <v>0</v>
      </c>
      <c r="L1690" s="3">
        <v>0</v>
      </c>
      <c r="M1690" s="3">
        <v>0</v>
      </c>
      <c r="N1690" s="3">
        <v>0</v>
      </c>
      <c r="O1690" s="3">
        <v>0</v>
      </c>
      <c r="P1690" s="3">
        <v>0</v>
      </c>
      <c r="Q1690" s="3">
        <v>0</v>
      </c>
      <c r="R1690" s="3">
        <v>0</v>
      </c>
      <c r="S1690" s="3">
        <v>0</v>
      </c>
      <c r="T1690" s="3">
        <v>0</v>
      </c>
      <c r="U1690" s="3">
        <v>0</v>
      </c>
      <c r="V1690" s="3">
        <v>0</v>
      </c>
      <c r="W1690" s="3">
        <v>0</v>
      </c>
      <c r="X1690" s="3">
        <v>0</v>
      </c>
      <c r="Y1690" s="4" t="s">
        <v>2276</v>
      </c>
      <c r="Z1690" s="4" t="s">
        <v>2276</v>
      </c>
      <c r="AA1690" s="4" t="s">
        <v>2276</v>
      </c>
      <c r="AB1690" s="4" t="s">
        <v>2276</v>
      </c>
      <c r="AC1690" s="3"/>
      <c r="AD1690" s="3"/>
    </row>
    <row r="1691" spans="1:30" ht="33.5" customHeight="1">
      <c r="A1691" s="11" t="s">
        <v>5126</v>
      </c>
      <c r="B1691" s="3" t="s">
        <v>5143</v>
      </c>
      <c r="C1691" s="3" t="s">
        <v>24</v>
      </c>
      <c r="D1691" s="3" t="s">
        <v>1242</v>
      </c>
      <c r="E1691" s="3" t="s">
        <v>137</v>
      </c>
      <c r="F1691" s="4" t="s">
        <v>2662</v>
      </c>
      <c r="G1691" s="4" t="s">
        <v>2662</v>
      </c>
      <c r="H1691" s="3" t="s">
        <v>524</v>
      </c>
      <c r="I1691" s="3"/>
      <c r="J1691" s="3">
        <v>0</v>
      </c>
      <c r="K1691" s="3">
        <v>0</v>
      </c>
      <c r="L1691" s="3">
        <v>0</v>
      </c>
      <c r="M1691" s="3">
        <v>0</v>
      </c>
      <c r="N1691" s="3">
        <v>0</v>
      </c>
      <c r="O1691" s="3">
        <v>0</v>
      </c>
      <c r="P1691" s="3">
        <v>0</v>
      </c>
      <c r="Q1691" s="3">
        <v>0</v>
      </c>
      <c r="R1691" s="3">
        <v>0</v>
      </c>
      <c r="S1691" s="3">
        <v>0</v>
      </c>
      <c r="T1691" s="3">
        <v>0</v>
      </c>
      <c r="U1691" s="3">
        <v>0</v>
      </c>
      <c r="V1691" s="3">
        <v>0</v>
      </c>
      <c r="W1691" s="3">
        <v>0</v>
      </c>
      <c r="X1691" s="3">
        <v>0</v>
      </c>
      <c r="Y1691" s="4" t="s">
        <v>2276</v>
      </c>
      <c r="Z1691" s="4" t="s">
        <v>2276</v>
      </c>
      <c r="AA1691" s="4" t="s">
        <v>2276</v>
      </c>
      <c r="AB1691" s="4" t="s">
        <v>2276</v>
      </c>
      <c r="AC1691" s="3"/>
      <c r="AD1691" s="3"/>
    </row>
    <row r="1692" spans="1:30" ht="33.5" customHeight="1">
      <c r="A1692" s="11" t="s">
        <v>5127</v>
      </c>
      <c r="B1692" s="3" t="s">
        <v>5144</v>
      </c>
      <c r="C1692" s="3" t="s">
        <v>24</v>
      </c>
      <c r="D1692" s="3" t="s">
        <v>1242</v>
      </c>
      <c r="E1692" s="3" t="s">
        <v>137</v>
      </c>
      <c r="F1692" s="4" t="s">
        <v>2662</v>
      </c>
      <c r="G1692" s="4" t="s">
        <v>2662</v>
      </c>
      <c r="H1692" s="3" t="s">
        <v>524</v>
      </c>
      <c r="I1692" s="3"/>
      <c r="J1692" s="3">
        <v>0</v>
      </c>
      <c r="K1692" s="3">
        <v>0</v>
      </c>
      <c r="L1692" s="3">
        <v>0</v>
      </c>
      <c r="M1692" s="3">
        <v>0</v>
      </c>
      <c r="N1692" s="3">
        <v>0</v>
      </c>
      <c r="O1692" s="3">
        <v>0</v>
      </c>
      <c r="P1692" s="3">
        <v>0</v>
      </c>
      <c r="Q1692" s="3">
        <v>0</v>
      </c>
      <c r="R1692" s="3">
        <v>0</v>
      </c>
      <c r="S1692" s="3">
        <v>0</v>
      </c>
      <c r="T1692" s="3">
        <v>0</v>
      </c>
      <c r="U1692" s="3">
        <v>0</v>
      </c>
      <c r="V1692" s="3">
        <v>0</v>
      </c>
      <c r="W1692" s="3">
        <v>0</v>
      </c>
      <c r="X1692" s="3">
        <v>0</v>
      </c>
      <c r="Y1692" s="4" t="s">
        <v>2276</v>
      </c>
      <c r="Z1692" s="4" t="s">
        <v>2276</v>
      </c>
      <c r="AA1692" s="4" t="s">
        <v>2276</v>
      </c>
      <c r="AB1692" s="4" t="s">
        <v>2276</v>
      </c>
      <c r="AC1692" s="3"/>
      <c r="AD1692" s="3"/>
    </row>
    <row r="1693" spans="1:30" ht="91" customHeight="1">
      <c r="A1693" s="11" t="s">
        <v>5128</v>
      </c>
      <c r="B1693" s="3" t="s">
        <v>5145</v>
      </c>
      <c r="C1693" s="3" t="s">
        <v>24</v>
      </c>
      <c r="D1693" s="3" t="s">
        <v>1242</v>
      </c>
      <c r="E1693" s="3" t="s">
        <v>137</v>
      </c>
      <c r="F1693" s="4" t="s">
        <v>2662</v>
      </c>
      <c r="G1693" s="4" t="s">
        <v>2662</v>
      </c>
      <c r="H1693" s="3" t="s">
        <v>523</v>
      </c>
      <c r="I1693" s="3"/>
      <c r="J1693" s="4" t="s">
        <v>2276</v>
      </c>
      <c r="K1693" s="4" t="s">
        <v>2276</v>
      </c>
      <c r="L1693" s="4" t="s">
        <v>2276</v>
      </c>
      <c r="M1693" s="4" t="s">
        <v>2276</v>
      </c>
      <c r="N1693" s="4" t="s">
        <v>2276</v>
      </c>
      <c r="O1693" s="4" t="s">
        <v>2276</v>
      </c>
      <c r="P1693" s="4" t="s">
        <v>2276</v>
      </c>
      <c r="Q1693" s="4" t="s">
        <v>2276</v>
      </c>
      <c r="R1693" s="4" t="s">
        <v>2276</v>
      </c>
      <c r="S1693" s="4" t="s">
        <v>2276</v>
      </c>
      <c r="T1693" s="4" t="s">
        <v>2276</v>
      </c>
      <c r="U1693" s="4" t="s">
        <v>2276</v>
      </c>
      <c r="V1693" s="4" t="s">
        <v>2276</v>
      </c>
      <c r="W1693" s="4" t="s">
        <v>2276</v>
      </c>
      <c r="X1693" s="21">
        <v>29</v>
      </c>
      <c r="Y1693" s="21"/>
      <c r="Z1693" s="3" t="s">
        <v>86</v>
      </c>
      <c r="AA1693" s="3" t="s">
        <v>34</v>
      </c>
      <c r="AB1693" s="3" t="s">
        <v>2655</v>
      </c>
      <c r="AC1693" s="3" t="s">
        <v>5165</v>
      </c>
      <c r="AD1693" s="4" t="s">
        <v>5184</v>
      </c>
    </row>
    <row r="1694" spans="1:30" ht="91" customHeight="1">
      <c r="A1694" s="11" t="s">
        <v>5129</v>
      </c>
      <c r="B1694" s="3" t="s">
        <v>5146</v>
      </c>
      <c r="C1694" s="3" t="s">
        <v>24</v>
      </c>
      <c r="D1694" s="3" t="s">
        <v>1242</v>
      </c>
      <c r="E1694" s="3" t="s">
        <v>137</v>
      </c>
      <c r="F1694" s="4" t="s">
        <v>2662</v>
      </c>
      <c r="G1694" s="4" t="s">
        <v>2662</v>
      </c>
      <c r="H1694" s="3" t="s">
        <v>523</v>
      </c>
      <c r="I1694" s="3"/>
      <c r="J1694" s="4" t="s">
        <v>2276</v>
      </c>
      <c r="K1694" s="4" t="s">
        <v>2276</v>
      </c>
      <c r="L1694" s="4" t="s">
        <v>2276</v>
      </c>
      <c r="M1694" s="4" t="s">
        <v>2276</v>
      </c>
      <c r="N1694" s="4" t="s">
        <v>2276</v>
      </c>
      <c r="O1694" s="4" t="s">
        <v>2276</v>
      </c>
      <c r="P1694" s="4" t="s">
        <v>2276</v>
      </c>
      <c r="Q1694" s="4" t="s">
        <v>2276</v>
      </c>
      <c r="R1694" s="4" t="s">
        <v>2276</v>
      </c>
      <c r="S1694" s="4" t="s">
        <v>2276</v>
      </c>
      <c r="T1694" s="4" t="s">
        <v>2276</v>
      </c>
      <c r="U1694" s="4" t="s">
        <v>2276</v>
      </c>
      <c r="V1694" s="4" t="s">
        <v>2276</v>
      </c>
      <c r="W1694" s="4" t="s">
        <v>2276</v>
      </c>
      <c r="X1694" s="21">
        <v>30</v>
      </c>
      <c r="Y1694" s="21"/>
      <c r="Z1694" s="3" t="s">
        <v>86</v>
      </c>
      <c r="AA1694" s="3" t="s">
        <v>34</v>
      </c>
      <c r="AB1694" s="3" t="s">
        <v>2655</v>
      </c>
      <c r="AC1694" s="3" t="s">
        <v>5165</v>
      </c>
      <c r="AD1694" s="4" t="s">
        <v>5184</v>
      </c>
    </row>
    <row r="1695" spans="1:30" ht="91" customHeight="1">
      <c r="A1695" s="11" t="s">
        <v>5130</v>
      </c>
      <c r="B1695" s="3" t="s">
        <v>5147</v>
      </c>
      <c r="C1695" s="3" t="s">
        <v>24</v>
      </c>
      <c r="D1695" s="3" t="s">
        <v>1242</v>
      </c>
      <c r="E1695" s="3" t="s">
        <v>137</v>
      </c>
      <c r="F1695" s="4" t="s">
        <v>2662</v>
      </c>
      <c r="G1695" s="4" t="s">
        <v>2662</v>
      </c>
      <c r="H1695" s="3" t="s">
        <v>523</v>
      </c>
      <c r="I1695" s="3"/>
      <c r="J1695" s="4" t="s">
        <v>2276</v>
      </c>
      <c r="K1695" s="4" t="s">
        <v>2276</v>
      </c>
      <c r="L1695" s="4" t="s">
        <v>2276</v>
      </c>
      <c r="M1695" s="4" t="s">
        <v>2276</v>
      </c>
      <c r="N1695" s="4" t="s">
        <v>2276</v>
      </c>
      <c r="O1695" s="4" t="s">
        <v>2276</v>
      </c>
      <c r="P1695" s="4" t="s">
        <v>2276</v>
      </c>
      <c r="Q1695" s="4" t="s">
        <v>2276</v>
      </c>
      <c r="R1695" s="4" t="s">
        <v>2276</v>
      </c>
      <c r="S1695" s="4" t="s">
        <v>2276</v>
      </c>
      <c r="T1695" s="4" t="s">
        <v>2276</v>
      </c>
      <c r="U1695" s="4" t="s">
        <v>2276</v>
      </c>
      <c r="V1695" s="4" t="s">
        <v>2276</v>
      </c>
      <c r="W1695" s="4" t="s">
        <v>2276</v>
      </c>
      <c r="X1695" s="21">
        <v>13</v>
      </c>
      <c r="Y1695" s="21"/>
      <c r="Z1695" s="3" t="s">
        <v>86</v>
      </c>
      <c r="AA1695" s="3" t="s">
        <v>34</v>
      </c>
      <c r="AB1695" s="3" t="s">
        <v>2655</v>
      </c>
      <c r="AC1695" s="3" t="s">
        <v>5165</v>
      </c>
      <c r="AD1695" s="4" t="s">
        <v>5184</v>
      </c>
    </row>
    <row r="1696" spans="1:30" ht="91" customHeight="1">
      <c r="A1696" s="11" t="s">
        <v>5131</v>
      </c>
      <c r="B1696" s="3" t="s">
        <v>5148</v>
      </c>
      <c r="C1696" s="3" t="s">
        <v>24</v>
      </c>
      <c r="D1696" s="3" t="s">
        <v>1242</v>
      </c>
      <c r="E1696" s="3" t="s">
        <v>137</v>
      </c>
      <c r="F1696" s="4" t="s">
        <v>2662</v>
      </c>
      <c r="G1696" s="4" t="s">
        <v>2662</v>
      </c>
      <c r="H1696" s="3" t="s">
        <v>523</v>
      </c>
      <c r="I1696" s="3"/>
      <c r="J1696" s="4" t="s">
        <v>2276</v>
      </c>
      <c r="K1696" s="4" t="s">
        <v>2276</v>
      </c>
      <c r="L1696" s="4" t="s">
        <v>2276</v>
      </c>
      <c r="M1696" s="4" t="s">
        <v>2276</v>
      </c>
      <c r="N1696" s="4" t="s">
        <v>2276</v>
      </c>
      <c r="O1696" s="4" t="s">
        <v>2276</v>
      </c>
      <c r="P1696" s="4" t="s">
        <v>2276</v>
      </c>
      <c r="Q1696" s="4" t="s">
        <v>2276</v>
      </c>
      <c r="R1696" s="4" t="s">
        <v>2276</v>
      </c>
      <c r="S1696" s="4" t="s">
        <v>2276</v>
      </c>
      <c r="T1696" s="4" t="s">
        <v>2276</v>
      </c>
      <c r="U1696" s="4" t="s">
        <v>2276</v>
      </c>
      <c r="V1696" s="4" t="s">
        <v>2276</v>
      </c>
      <c r="W1696" s="4" t="s">
        <v>2276</v>
      </c>
      <c r="X1696" s="21">
        <v>12</v>
      </c>
      <c r="Y1696" s="21"/>
      <c r="Z1696" s="3" t="s">
        <v>86</v>
      </c>
      <c r="AA1696" s="3" t="s">
        <v>34</v>
      </c>
      <c r="AB1696" s="3" t="s">
        <v>2655</v>
      </c>
      <c r="AC1696" s="3" t="s">
        <v>5165</v>
      </c>
      <c r="AD1696" s="4" t="s">
        <v>5184</v>
      </c>
    </row>
    <row r="1697" spans="1:30" ht="91" customHeight="1">
      <c r="A1697" s="11" t="s">
        <v>5132</v>
      </c>
      <c r="B1697" s="3" t="s">
        <v>5149</v>
      </c>
      <c r="C1697" s="3" t="s">
        <v>24</v>
      </c>
      <c r="D1697" s="3" t="s">
        <v>1242</v>
      </c>
      <c r="E1697" s="3" t="s">
        <v>137</v>
      </c>
      <c r="F1697" s="4" t="s">
        <v>2662</v>
      </c>
      <c r="G1697" s="4" t="s">
        <v>2662</v>
      </c>
      <c r="H1697" s="3" t="s">
        <v>523</v>
      </c>
      <c r="I1697" s="3"/>
      <c r="J1697" s="4" t="s">
        <v>2276</v>
      </c>
      <c r="K1697" s="4" t="s">
        <v>2276</v>
      </c>
      <c r="L1697" s="4" t="s">
        <v>2276</v>
      </c>
      <c r="M1697" s="4" t="s">
        <v>2276</v>
      </c>
      <c r="N1697" s="4" t="s">
        <v>2276</v>
      </c>
      <c r="O1697" s="4" t="s">
        <v>2276</v>
      </c>
      <c r="P1697" s="4" t="s">
        <v>2276</v>
      </c>
      <c r="Q1697" s="4" t="s">
        <v>2276</v>
      </c>
      <c r="R1697" s="4" t="s">
        <v>2276</v>
      </c>
      <c r="S1697" s="4" t="s">
        <v>2276</v>
      </c>
      <c r="T1697" s="4" t="s">
        <v>2276</v>
      </c>
      <c r="U1697" s="4" t="s">
        <v>2276</v>
      </c>
      <c r="V1697" s="4" t="s">
        <v>2276</v>
      </c>
      <c r="W1697" s="4" t="s">
        <v>2276</v>
      </c>
      <c r="X1697" s="21">
        <v>8</v>
      </c>
      <c r="Y1697" s="21"/>
      <c r="Z1697" s="3" t="s">
        <v>86</v>
      </c>
      <c r="AA1697" s="3" t="s">
        <v>34</v>
      </c>
      <c r="AB1697" s="3" t="s">
        <v>2655</v>
      </c>
      <c r="AC1697" s="3" t="s">
        <v>5165</v>
      </c>
      <c r="AD1697" s="4" t="s">
        <v>5184</v>
      </c>
    </row>
    <row r="1698" spans="1:30" ht="39" customHeight="1">
      <c r="A1698" s="11" t="s">
        <v>5123</v>
      </c>
      <c r="B1698" s="3" t="s">
        <v>5166</v>
      </c>
      <c r="C1698" s="3" t="s">
        <v>1105</v>
      </c>
      <c r="D1698" s="3" t="s">
        <v>1105</v>
      </c>
      <c r="E1698" s="3" t="s">
        <v>1105</v>
      </c>
      <c r="F1698" s="3" t="s">
        <v>2276</v>
      </c>
      <c r="G1698" s="4" t="s">
        <v>2662</v>
      </c>
      <c r="H1698" s="3" t="s">
        <v>523</v>
      </c>
      <c r="I1698" s="3"/>
      <c r="J1698" s="4" t="s">
        <v>2276</v>
      </c>
      <c r="K1698" s="4" t="s">
        <v>2276</v>
      </c>
      <c r="L1698" s="4" t="s">
        <v>2276</v>
      </c>
      <c r="M1698" s="4" t="s">
        <v>2276</v>
      </c>
      <c r="N1698" s="4" t="s">
        <v>2276</v>
      </c>
      <c r="O1698" s="4" t="s">
        <v>2276</v>
      </c>
      <c r="P1698" s="4" t="s">
        <v>2276</v>
      </c>
      <c r="Q1698" s="4" t="s">
        <v>2276</v>
      </c>
      <c r="R1698" s="4" t="s">
        <v>2276</v>
      </c>
      <c r="S1698" s="4" t="s">
        <v>2276</v>
      </c>
      <c r="T1698" s="4" t="s">
        <v>2276</v>
      </c>
      <c r="U1698" s="4" t="s">
        <v>2276</v>
      </c>
      <c r="V1698" s="4" t="s">
        <v>2276</v>
      </c>
      <c r="W1698" s="4" t="s">
        <v>2276</v>
      </c>
      <c r="X1698" s="21">
        <v>7</v>
      </c>
      <c r="Y1698" s="21"/>
      <c r="Z1698" s="3" t="s">
        <v>86</v>
      </c>
      <c r="AA1698" s="3" t="s">
        <v>34</v>
      </c>
      <c r="AB1698" s="3" t="s">
        <v>2276</v>
      </c>
      <c r="AC1698" s="3"/>
      <c r="AD1698" s="3"/>
    </row>
    <row r="1699" spans="1:30" ht="39" customHeight="1">
      <c r="A1699" s="11" t="s">
        <v>5124</v>
      </c>
      <c r="B1699" s="3" t="s">
        <v>5167</v>
      </c>
      <c r="C1699" s="3" t="s">
        <v>1105</v>
      </c>
      <c r="D1699" s="3" t="s">
        <v>1105</v>
      </c>
      <c r="E1699" s="3" t="s">
        <v>1105</v>
      </c>
      <c r="F1699" s="3" t="s">
        <v>2276</v>
      </c>
      <c r="G1699" s="4" t="s">
        <v>2662</v>
      </c>
      <c r="H1699" s="3" t="s">
        <v>523</v>
      </c>
      <c r="I1699" s="3"/>
      <c r="J1699" s="4" t="s">
        <v>2276</v>
      </c>
      <c r="K1699" s="4" t="s">
        <v>2276</v>
      </c>
      <c r="L1699" s="4" t="s">
        <v>2276</v>
      </c>
      <c r="M1699" s="4" t="s">
        <v>2276</v>
      </c>
      <c r="N1699" s="4" t="s">
        <v>2276</v>
      </c>
      <c r="O1699" s="4" t="s">
        <v>2276</v>
      </c>
      <c r="P1699" s="4" t="s">
        <v>2276</v>
      </c>
      <c r="Q1699" s="4" t="s">
        <v>2276</v>
      </c>
      <c r="R1699" s="4" t="s">
        <v>2276</v>
      </c>
      <c r="S1699" s="4" t="s">
        <v>2276</v>
      </c>
      <c r="T1699" s="4" t="s">
        <v>2276</v>
      </c>
      <c r="U1699" s="4" t="s">
        <v>2276</v>
      </c>
      <c r="V1699" s="4" t="s">
        <v>2276</v>
      </c>
      <c r="W1699" s="4" t="s">
        <v>2276</v>
      </c>
      <c r="X1699" s="21">
        <v>9</v>
      </c>
      <c r="Y1699" s="21"/>
      <c r="Z1699" s="3" t="s">
        <v>86</v>
      </c>
      <c r="AA1699" s="3" t="s">
        <v>34</v>
      </c>
      <c r="AB1699" s="3" t="s">
        <v>2276</v>
      </c>
      <c r="AC1699" s="3"/>
      <c r="AD1699" s="3"/>
    </row>
    <row r="1700" spans="1:30" ht="39" customHeight="1">
      <c r="A1700" s="11" t="s">
        <v>5125</v>
      </c>
      <c r="B1700" s="3" t="s">
        <v>5168</v>
      </c>
      <c r="C1700" s="3" t="s">
        <v>1105</v>
      </c>
      <c r="D1700" s="3" t="s">
        <v>1105</v>
      </c>
      <c r="E1700" s="3" t="s">
        <v>1105</v>
      </c>
      <c r="F1700" s="3" t="s">
        <v>2276</v>
      </c>
      <c r="G1700" s="4" t="s">
        <v>2662</v>
      </c>
      <c r="H1700" s="3" t="s">
        <v>523</v>
      </c>
      <c r="I1700" s="3"/>
      <c r="J1700" s="4" t="s">
        <v>2276</v>
      </c>
      <c r="K1700" s="4" t="s">
        <v>2276</v>
      </c>
      <c r="L1700" s="4" t="s">
        <v>2276</v>
      </c>
      <c r="M1700" s="4" t="s">
        <v>2276</v>
      </c>
      <c r="N1700" s="4" t="s">
        <v>2276</v>
      </c>
      <c r="O1700" s="4" t="s">
        <v>2276</v>
      </c>
      <c r="P1700" s="4" t="s">
        <v>2276</v>
      </c>
      <c r="Q1700" s="4" t="s">
        <v>2276</v>
      </c>
      <c r="R1700" s="4" t="s">
        <v>2276</v>
      </c>
      <c r="S1700" s="4" t="s">
        <v>2276</v>
      </c>
      <c r="T1700" s="4" t="s">
        <v>2276</v>
      </c>
      <c r="U1700" s="4" t="s">
        <v>2276</v>
      </c>
      <c r="V1700" s="4" t="s">
        <v>2276</v>
      </c>
      <c r="W1700" s="4" t="s">
        <v>2276</v>
      </c>
      <c r="X1700" s="21">
        <v>1</v>
      </c>
      <c r="Y1700" s="21"/>
      <c r="Z1700" s="3" t="s">
        <v>86</v>
      </c>
      <c r="AA1700" s="3" t="s">
        <v>34</v>
      </c>
      <c r="AB1700" s="3" t="s">
        <v>2276</v>
      </c>
      <c r="AC1700" s="3"/>
      <c r="AD1700" s="3"/>
    </row>
    <row r="1701" spans="1:30" ht="39" customHeight="1">
      <c r="A1701" s="11" t="s">
        <v>5126</v>
      </c>
      <c r="B1701" s="3" t="s">
        <v>5169</v>
      </c>
      <c r="C1701" s="3" t="s">
        <v>1105</v>
      </c>
      <c r="D1701" s="3" t="s">
        <v>1105</v>
      </c>
      <c r="E1701" s="3" t="s">
        <v>1105</v>
      </c>
      <c r="F1701" s="3" t="s">
        <v>2276</v>
      </c>
      <c r="G1701" s="4" t="s">
        <v>2662</v>
      </c>
      <c r="H1701" s="3" t="s">
        <v>523</v>
      </c>
      <c r="I1701" s="3"/>
      <c r="J1701" s="4" t="s">
        <v>2276</v>
      </c>
      <c r="K1701" s="4" t="s">
        <v>2276</v>
      </c>
      <c r="L1701" s="4" t="s">
        <v>2276</v>
      </c>
      <c r="M1701" s="4" t="s">
        <v>2276</v>
      </c>
      <c r="N1701" s="4" t="s">
        <v>2276</v>
      </c>
      <c r="O1701" s="4" t="s">
        <v>2276</v>
      </c>
      <c r="P1701" s="4" t="s">
        <v>2276</v>
      </c>
      <c r="Q1701" s="4" t="s">
        <v>2276</v>
      </c>
      <c r="R1701" s="4" t="s">
        <v>2276</v>
      </c>
      <c r="S1701" s="4" t="s">
        <v>2276</v>
      </c>
      <c r="T1701" s="4" t="s">
        <v>2276</v>
      </c>
      <c r="U1701" s="4" t="s">
        <v>2276</v>
      </c>
      <c r="V1701" s="4" t="s">
        <v>2276</v>
      </c>
      <c r="W1701" s="4" t="s">
        <v>2276</v>
      </c>
      <c r="X1701" s="21">
        <v>2</v>
      </c>
      <c r="Y1701" s="21"/>
      <c r="Z1701" s="3" t="s">
        <v>86</v>
      </c>
      <c r="AA1701" s="3" t="s">
        <v>34</v>
      </c>
      <c r="AB1701" s="3" t="s">
        <v>2276</v>
      </c>
      <c r="AC1701" s="3"/>
      <c r="AD1701" s="3"/>
    </row>
    <row r="1702" spans="1:30" ht="39" customHeight="1">
      <c r="A1702" s="11" t="s">
        <v>5127</v>
      </c>
      <c r="B1702" s="3" t="s">
        <v>5170</v>
      </c>
      <c r="C1702" s="3" t="s">
        <v>1105</v>
      </c>
      <c r="D1702" s="3" t="s">
        <v>1105</v>
      </c>
      <c r="E1702" s="3" t="s">
        <v>1105</v>
      </c>
      <c r="F1702" s="3" t="s">
        <v>2276</v>
      </c>
      <c r="G1702" s="4" t="s">
        <v>2662</v>
      </c>
      <c r="H1702" s="3" t="s">
        <v>523</v>
      </c>
      <c r="I1702" s="3"/>
      <c r="J1702" s="4" t="s">
        <v>2276</v>
      </c>
      <c r="K1702" s="4" t="s">
        <v>2276</v>
      </c>
      <c r="L1702" s="4" t="s">
        <v>2276</v>
      </c>
      <c r="M1702" s="4" t="s">
        <v>2276</v>
      </c>
      <c r="N1702" s="4" t="s">
        <v>2276</v>
      </c>
      <c r="O1702" s="4" t="s">
        <v>2276</v>
      </c>
      <c r="P1702" s="4" t="s">
        <v>2276</v>
      </c>
      <c r="Q1702" s="4" t="s">
        <v>2276</v>
      </c>
      <c r="R1702" s="4" t="s">
        <v>2276</v>
      </c>
      <c r="S1702" s="4" t="s">
        <v>2276</v>
      </c>
      <c r="T1702" s="4" t="s">
        <v>2276</v>
      </c>
      <c r="U1702" s="4" t="s">
        <v>2276</v>
      </c>
      <c r="V1702" s="4" t="s">
        <v>2276</v>
      </c>
      <c r="W1702" s="4" t="s">
        <v>2276</v>
      </c>
      <c r="X1702" s="21">
        <v>8</v>
      </c>
      <c r="Y1702" s="21"/>
      <c r="Z1702" s="3" t="s">
        <v>86</v>
      </c>
      <c r="AA1702" s="3" t="s">
        <v>34</v>
      </c>
      <c r="AB1702" s="3" t="s">
        <v>2276</v>
      </c>
      <c r="AC1702" s="3"/>
      <c r="AD1702" s="3"/>
    </row>
    <row r="1703" spans="1:30" ht="39" customHeight="1">
      <c r="A1703" s="11" t="s">
        <v>5128</v>
      </c>
      <c r="B1703" s="3" t="s">
        <v>5150</v>
      </c>
      <c r="C1703" s="3" t="s">
        <v>1105</v>
      </c>
      <c r="D1703" s="3" t="s">
        <v>1105</v>
      </c>
      <c r="E1703" s="3" t="s">
        <v>1105</v>
      </c>
      <c r="F1703" s="3" t="s">
        <v>2276</v>
      </c>
      <c r="G1703" s="4" t="s">
        <v>2662</v>
      </c>
      <c r="H1703" s="3" t="s">
        <v>523</v>
      </c>
      <c r="I1703" s="3"/>
      <c r="J1703" s="4" t="s">
        <v>2276</v>
      </c>
      <c r="K1703" s="4" t="s">
        <v>2276</v>
      </c>
      <c r="L1703" s="4" t="s">
        <v>2276</v>
      </c>
      <c r="M1703" s="4" t="s">
        <v>2276</v>
      </c>
      <c r="N1703" s="4" t="s">
        <v>2276</v>
      </c>
      <c r="O1703" s="4" t="s">
        <v>2276</v>
      </c>
      <c r="P1703" s="4" t="s">
        <v>2276</v>
      </c>
      <c r="Q1703" s="4" t="s">
        <v>2276</v>
      </c>
      <c r="R1703" s="4" t="s">
        <v>2276</v>
      </c>
      <c r="S1703" s="4" t="s">
        <v>2276</v>
      </c>
      <c r="T1703" s="4" t="s">
        <v>2276</v>
      </c>
      <c r="U1703" s="4" t="s">
        <v>2276</v>
      </c>
      <c r="V1703" s="4" t="s">
        <v>2276</v>
      </c>
      <c r="W1703" s="4" t="s">
        <v>2276</v>
      </c>
      <c r="X1703" s="21">
        <v>2</v>
      </c>
      <c r="Y1703" s="4" t="s">
        <v>2276</v>
      </c>
      <c r="Z1703" s="3" t="s">
        <v>404</v>
      </c>
      <c r="AA1703" s="3" t="s">
        <v>68</v>
      </c>
      <c r="AB1703" s="3" t="s">
        <v>2276</v>
      </c>
      <c r="AC1703" s="3"/>
      <c r="AD1703" s="3"/>
    </row>
    <row r="1704" spans="1:30" ht="39" customHeight="1">
      <c r="A1704" s="11" t="s">
        <v>5129</v>
      </c>
      <c r="B1704" s="3" t="s">
        <v>5151</v>
      </c>
      <c r="C1704" s="3" t="s">
        <v>1105</v>
      </c>
      <c r="D1704" s="3" t="s">
        <v>1105</v>
      </c>
      <c r="E1704" s="3" t="s">
        <v>1105</v>
      </c>
      <c r="F1704" s="3" t="s">
        <v>2276</v>
      </c>
      <c r="G1704" s="4" t="s">
        <v>2662</v>
      </c>
      <c r="H1704" s="3" t="s">
        <v>523</v>
      </c>
      <c r="I1704" s="3"/>
      <c r="J1704" s="4" t="s">
        <v>2276</v>
      </c>
      <c r="K1704" s="4" t="s">
        <v>2276</v>
      </c>
      <c r="L1704" s="4" t="s">
        <v>2276</v>
      </c>
      <c r="M1704" s="4" t="s">
        <v>2276</v>
      </c>
      <c r="N1704" s="4" t="s">
        <v>2276</v>
      </c>
      <c r="O1704" s="4" t="s">
        <v>2276</v>
      </c>
      <c r="P1704" s="4" t="s">
        <v>2276</v>
      </c>
      <c r="Q1704" s="4" t="s">
        <v>2276</v>
      </c>
      <c r="R1704" s="4" t="s">
        <v>2276</v>
      </c>
      <c r="S1704" s="4" t="s">
        <v>2276</v>
      </c>
      <c r="T1704" s="4" t="s">
        <v>2276</v>
      </c>
      <c r="U1704" s="4" t="s">
        <v>2276</v>
      </c>
      <c r="V1704" s="4" t="s">
        <v>2276</v>
      </c>
      <c r="W1704" s="4" t="s">
        <v>2276</v>
      </c>
      <c r="X1704" s="21">
        <v>7</v>
      </c>
      <c r="Y1704" s="4" t="s">
        <v>2276</v>
      </c>
      <c r="Z1704" s="3" t="s">
        <v>404</v>
      </c>
      <c r="AA1704" s="3" t="s">
        <v>68</v>
      </c>
      <c r="AB1704" s="3" t="s">
        <v>2276</v>
      </c>
      <c r="AC1704" s="3"/>
      <c r="AD1704" s="3"/>
    </row>
    <row r="1705" spans="1:30" ht="39" customHeight="1">
      <c r="A1705" s="11" t="s">
        <v>5130</v>
      </c>
      <c r="B1705" s="3" t="s">
        <v>5152</v>
      </c>
      <c r="C1705" s="3" t="s">
        <v>1105</v>
      </c>
      <c r="D1705" s="3" t="s">
        <v>1105</v>
      </c>
      <c r="E1705" s="3" t="s">
        <v>1105</v>
      </c>
      <c r="F1705" s="3" t="s">
        <v>2276</v>
      </c>
      <c r="G1705" s="4" t="s">
        <v>2662</v>
      </c>
      <c r="H1705" s="3" t="s">
        <v>523</v>
      </c>
      <c r="I1705" s="3"/>
      <c r="J1705" s="4" t="s">
        <v>2276</v>
      </c>
      <c r="K1705" s="4" t="s">
        <v>2276</v>
      </c>
      <c r="L1705" s="4" t="s">
        <v>2276</v>
      </c>
      <c r="M1705" s="4" t="s">
        <v>2276</v>
      </c>
      <c r="N1705" s="4" t="s">
        <v>2276</v>
      </c>
      <c r="O1705" s="4" t="s">
        <v>2276</v>
      </c>
      <c r="P1705" s="4" t="s">
        <v>2276</v>
      </c>
      <c r="Q1705" s="4" t="s">
        <v>2276</v>
      </c>
      <c r="R1705" s="4" t="s">
        <v>2276</v>
      </c>
      <c r="S1705" s="4" t="s">
        <v>2276</v>
      </c>
      <c r="T1705" s="4" t="s">
        <v>2276</v>
      </c>
      <c r="U1705" s="4" t="s">
        <v>2276</v>
      </c>
      <c r="V1705" s="4" t="s">
        <v>2276</v>
      </c>
      <c r="W1705" s="4" t="s">
        <v>2276</v>
      </c>
      <c r="X1705" s="21">
        <v>9</v>
      </c>
      <c r="Y1705" s="4" t="s">
        <v>2276</v>
      </c>
      <c r="Z1705" s="3" t="s">
        <v>404</v>
      </c>
      <c r="AA1705" s="3" t="s">
        <v>68</v>
      </c>
      <c r="AB1705" s="3" t="s">
        <v>2276</v>
      </c>
      <c r="AC1705" s="3"/>
      <c r="AD1705" s="3"/>
    </row>
    <row r="1706" spans="1:30" ht="39" customHeight="1">
      <c r="A1706" s="11" t="s">
        <v>5131</v>
      </c>
      <c r="B1706" s="3" t="s">
        <v>5153</v>
      </c>
      <c r="C1706" s="3" t="s">
        <v>1105</v>
      </c>
      <c r="D1706" s="3" t="s">
        <v>1105</v>
      </c>
      <c r="E1706" s="3" t="s">
        <v>1105</v>
      </c>
      <c r="F1706" s="3" t="s">
        <v>2276</v>
      </c>
      <c r="G1706" s="4" t="s">
        <v>2662</v>
      </c>
      <c r="H1706" s="3" t="s">
        <v>523</v>
      </c>
      <c r="I1706" s="3"/>
      <c r="J1706" s="4" t="s">
        <v>2276</v>
      </c>
      <c r="K1706" s="4" t="s">
        <v>2276</v>
      </c>
      <c r="L1706" s="4" t="s">
        <v>2276</v>
      </c>
      <c r="M1706" s="4" t="s">
        <v>2276</v>
      </c>
      <c r="N1706" s="4" t="s">
        <v>2276</v>
      </c>
      <c r="O1706" s="4" t="s">
        <v>2276</v>
      </c>
      <c r="P1706" s="4" t="s">
        <v>2276</v>
      </c>
      <c r="Q1706" s="4" t="s">
        <v>2276</v>
      </c>
      <c r="R1706" s="4" t="s">
        <v>2276</v>
      </c>
      <c r="S1706" s="4" t="s">
        <v>2276</v>
      </c>
      <c r="T1706" s="4" t="s">
        <v>2276</v>
      </c>
      <c r="U1706" s="4" t="s">
        <v>2276</v>
      </c>
      <c r="V1706" s="4" t="s">
        <v>2276</v>
      </c>
      <c r="W1706" s="4" t="s">
        <v>2276</v>
      </c>
      <c r="X1706" s="21">
        <v>1</v>
      </c>
      <c r="Y1706" s="4" t="s">
        <v>2276</v>
      </c>
      <c r="Z1706" s="3" t="s">
        <v>404</v>
      </c>
      <c r="AA1706" s="3" t="s">
        <v>68</v>
      </c>
      <c r="AB1706" s="3" t="s">
        <v>2276</v>
      </c>
      <c r="AC1706" s="3"/>
      <c r="AD1706" s="3"/>
    </row>
    <row r="1707" spans="1:30" ht="39" customHeight="1">
      <c r="A1707" s="11" t="s">
        <v>5132</v>
      </c>
      <c r="B1707" s="3" t="s">
        <v>5154</v>
      </c>
      <c r="C1707" s="3" t="s">
        <v>1105</v>
      </c>
      <c r="D1707" s="3" t="s">
        <v>1105</v>
      </c>
      <c r="E1707" s="3" t="s">
        <v>1105</v>
      </c>
      <c r="F1707" s="3" t="s">
        <v>2276</v>
      </c>
      <c r="G1707" s="4" t="s">
        <v>2662</v>
      </c>
      <c r="H1707" s="3" t="s">
        <v>523</v>
      </c>
      <c r="I1707" s="3"/>
      <c r="J1707" s="4" t="s">
        <v>2276</v>
      </c>
      <c r="K1707" s="4" t="s">
        <v>2276</v>
      </c>
      <c r="L1707" s="4" t="s">
        <v>2276</v>
      </c>
      <c r="M1707" s="4" t="s">
        <v>2276</v>
      </c>
      <c r="N1707" s="4" t="s">
        <v>2276</v>
      </c>
      <c r="O1707" s="4" t="s">
        <v>2276</v>
      </c>
      <c r="P1707" s="4" t="s">
        <v>2276</v>
      </c>
      <c r="Q1707" s="4" t="s">
        <v>2276</v>
      </c>
      <c r="R1707" s="4" t="s">
        <v>2276</v>
      </c>
      <c r="S1707" s="4" t="s">
        <v>2276</v>
      </c>
      <c r="T1707" s="4" t="s">
        <v>2276</v>
      </c>
      <c r="U1707" s="4" t="s">
        <v>2276</v>
      </c>
      <c r="V1707" s="4" t="s">
        <v>2276</v>
      </c>
      <c r="W1707" s="4" t="s">
        <v>2276</v>
      </c>
      <c r="X1707" s="21">
        <v>1</v>
      </c>
      <c r="Y1707" s="4" t="s">
        <v>2276</v>
      </c>
      <c r="Z1707" s="3" t="s">
        <v>404</v>
      </c>
      <c r="AA1707" s="3" t="s">
        <v>68</v>
      </c>
      <c r="AB1707" s="3" t="s">
        <v>2276</v>
      </c>
      <c r="AC1707" s="3"/>
      <c r="AD1707" s="3"/>
    </row>
    <row r="1708" spans="1:30" ht="42" customHeight="1">
      <c r="A1708" s="11" t="s">
        <v>5123</v>
      </c>
      <c r="B1708" s="3" t="s">
        <v>5171</v>
      </c>
      <c r="C1708" s="3" t="s">
        <v>1105</v>
      </c>
      <c r="D1708" s="3" t="s">
        <v>1105</v>
      </c>
      <c r="E1708" s="3" t="s">
        <v>1105</v>
      </c>
      <c r="F1708" s="3" t="s">
        <v>2276</v>
      </c>
      <c r="G1708" s="4" t="s">
        <v>2662</v>
      </c>
      <c r="H1708" s="3" t="s">
        <v>523</v>
      </c>
      <c r="I1708" s="3"/>
      <c r="J1708" s="4" t="s">
        <v>2276</v>
      </c>
      <c r="K1708" s="4" t="s">
        <v>2276</v>
      </c>
      <c r="L1708" s="4" t="s">
        <v>2276</v>
      </c>
      <c r="M1708" s="4" t="s">
        <v>2276</v>
      </c>
      <c r="N1708" s="4" t="s">
        <v>2276</v>
      </c>
      <c r="O1708" s="4" t="s">
        <v>2276</v>
      </c>
      <c r="P1708" s="4" t="s">
        <v>2276</v>
      </c>
      <c r="Q1708" s="4" t="s">
        <v>2276</v>
      </c>
      <c r="R1708" s="4" t="s">
        <v>2276</v>
      </c>
      <c r="S1708" s="4" t="s">
        <v>2276</v>
      </c>
      <c r="T1708" s="4" t="s">
        <v>2276</v>
      </c>
      <c r="U1708" s="4" t="s">
        <v>2276</v>
      </c>
      <c r="V1708" s="4" t="s">
        <v>2276</v>
      </c>
      <c r="W1708" s="4" t="s">
        <v>2276</v>
      </c>
      <c r="X1708" s="21">
        <v>47</v>
      </c>
      <c r="Y1708" s="4" t="s">
        <v>2276</v>
      </c>
      <c r="Z1708" s="3" t="s">
        <v>404</v>
      </c>
      <c r="AA1708" s="3" t="s">
        <v>68</v>
      </c>
      <c r="AB1708" s="3" t="s">
        <v>2276</v>
      </c>
      <c r="AC1708" s="3"/>
      <c r="AD1708" s="3"/>
    </row>
    <row r="1709" spans="1:30" ht="42" customHeight="1">
      <c r="A1709" s="11" t="s">
        <v>5124</v>
      </c>
      <c r="B1709" s="3" t="s">
        <v>5172</v>
      </c>
      <c r="C1709" s="3" t="s">
        <v>1105</v>
      </c>
      <c r="D1709" s="3" t="s">
        <v>1105</v>
      </c>
      <c r="E1709" s="3" t="s">
        <v>1105</v>
      </c>
      <c r="F1709" s="3" t="s">
        <v>2276</v>
      </c>
      <c r="G1709" s="4" t="s">
        <v>2662</v>
      </c>
      <c r="H1709" s="3" t="s">
        <v>523</v>
      </c>
      <c r="I1709" s="3"/>
      <c r="J1709" s="4" t="s">
        <v>2276</v>
      </c>
      <c r="K1709" s="4" t="s">
        <v>2276</v>
      </c>
      <c r="L1709" s="4" t="s">
        <v>2276</v>
      </c>
      <c r="M1709" s="4" t="s">
        <v>2276</v>
      </c>
      <c r="N1709" s="4" t="s">
        <v>2276</v>
      </c>
      <c r="O1709" s="4" t="s">
        <v>2276</v>
      </c>
      <c r="P1709" s="4" t="s">
        <v>2276</v>
      </c>
      <c r="Q1709" s="4" t="s">
        <v>2276</v>
      </c>
      <c r="R1709" s="4" t="s">
        <v>2276</v>
      </c>
      <c r="S1709" s="4" t="s">
        <v>2276</v>
      </c>
      <c r="T1709" s="4" t="s">
        <v>2276</v>
      </c>
      <c r="U1709" s="4" t="s">
        <v>2276</v>
      </c>
      <c r="V1709" s="4" t="s">
        <v>2276</v>
      </c>
      <c r="W1709" s="4" t="s">
        <v>2276</v>
      </c>
      <c r="X1709" s="21">
        <v>35</v>
      </c>
      <c r="Y1709" s="4" t="s">
        <v>2276</v>
      </c>
      <c r="Z1709" s="3" t="s">
        <v>404</v>
      </c>
      <c r="AA1709" s="3" t="s">
        <v>68</v>
      </c>
      <c r="AB1709" s="3" t="s">
        <v>2276</v>
      </c>
      <c r="AC1709" s="3"/>
      <c r="AD1709" s="3"/>
    </row>
    <row r="1710" spans="1:30" ht="42" customHeight="1">
      <c r="A1710" s="11" t="s">
        <v>5125</v>
      </c>
      <c r="B1710" s="3" t="s">
        <v>5173</v>
      </c>
      <c r="C1710" s="3" t="s">
        <v>1105</v>
      </c>
      <c r="D1710" s="3" t="s">
        <v>1105</v>
      </c>
      <c r="E1710" s="3" t="s">
        <v>1105</v>
      </c>
      <c r="F1710" s="3" t="s">
        <v>2276</v>
      </c>
      <c r="G1710" s="4" t="s">
        <v>2662</v>
      </c>
      <c r="H1710" s="3" t="s">
        <v>523</v>
      </c>
      <c r="I1710" s="3"/>
      <c r="J1710" s="4" t="s">
        <v>2276</v>
      </c>
      <c r="K1710" s="4" t="s">
        <v>2276</v>
      </c>
      <c r="L1710" s="4" t="s">
        <v>2276</v>
      </c>
      <c r="M1710" s="4" t="s">
        <v>2276</v>
      </c>
      <c r="N1710" s="4" t="s">
        <v>2276</v>
      </c>
      <c r="O1710" s="4" t="s">
        <v>2276</v>
      </c>
      <c r="P1710" s="4" t="s">
        <v>2276</v>
      </c>
      <c r="Q1710" s="4" t="s">
        <v>2276</v>
      </c>
      <c r="R1710" s="4" t="s">
        <v>2276</v>
      </c>
      <c r="S1710" s="4" t="s">
        <v>2276</v>
      </c>
      <c r="T1710" s="4" t="s">
        <v>2276</v>
      </c>
      <c r="U1710" s="4" t="s">
        <v>2276</v>
      </c>
      <c r="V1710" s="4" t="s">
        <v>2276</v>
      </c>
      <c r="W1710" s="4" t="s">
        <v>2276</v>
      </c>
      <c r="X1710" s="21">
        <v>42</v>
      </c>
      <c r="Y1710" s="4" t="s">
        <v>2276</v>
      </c>
      <c r="Z1710" s="3" t="s">
        <v>404</v>
      </c>
      <c r="AA1710" s="3" t="s">
        <v>68</v>
      </c>
      <c r="AB1710" s="3" t="s">
        <v>2276</v>
      </c>
      <c r="AC1710" s="3"/>
      <c r="AD1710" s="3"/>
    </row>
    <row r="1711" spans="1:30" ht="42" customHeight="1">
      <c r="A1711" s="11" t="s">
        <v>5126</v>
      </c>
      <c r="B1711" s="3" t="s">
        <v>5174</v>
      </c>
      <c r="C1711" s="3" t="s">
        <v>1105</v>
      </c>
      <c r="D1711" s="3" t="s">
        <v>1105</v>
      </c>
      <c r="E1711" s="3" t="s">
        <v>1105</v>
      </c>
      <c r="F1711" s="3" t="s">
        <v>2276</v>
      </c>
      <c r="G1711" s="4" t="s">
        <v>2662</v>
      </c>
      <c r="H1711" s="3" t="s">
        <v>523</v>
      </c>
      <c r="I1711" s="3"/>
      <c r="J1711" s="4" t="s">
        <v>2276</v>
      </c>
      <c r="K1711" s="4" t="s">
        <v>2276</v>
      </c>
      <c r="L1711" s="4" t="s">
        <v>2276</v>
      </c>
      <c r="M1711" s="4" t="s">
        <v>2276</v>
      </c>
      <c r="N1711" s="4" t="s">
        <v>2276</v>
      </c>
      <c r="O1711" s="4" t="s">
        <v>2276</v>
      </c>
      <c r="P1711" s="4" t="s">
        <v>2276</v>
      </c>
      <c r="Q1711" s="4" t="s">
        <v>2276</v>
      </c>
      <c r="R1711" s="4" t="s">
        <v>2276</v>
      </c>
      <c r="S1711" s="4" t="s">
        <v>2276</v>
      </c>
      <c r="T1711" s="4" t="s">
        <v>2276</v>
      </c>
      <c r="U1711" s="4" t="s">
        <v>2276</v>
      </c>
      <c r="V1711" s="4" t="s">
        <v>2276</v>
      </c>
      <c r="W1711" s="4" t="s">
        <v>2276</v>
      </c>
      <c r="X1711" s="21">
        <v>37</v>
      </c>
      <c r="Y1711" s="4" t="s">
        <v>2276</v>
      </c>
      <c r="Z1711" s="3" t="s">
        <v>404</v>
      </c>
      <c r="AA1711" s="3" t="s">
        <v>68</v>
      </c>
      <c r="AB1711" s="3" t="s">
        <v>2276</v>
      </c>
      <c r="AC1711" s="3"/>
      <c r="AD1711" s="3"/>
    </row>
    <row r="1712" spans="1:30" ht="42" customHeight="1">
      <c r="A1712" s="11" t="s">
        <v>5127</v>
      </c>
      <c r="B1712" s="3" t="s">
        <v>5175</v>
      </c>
      <c r="C1712" s="3" t="s">
        <v>1105</v>
      </c>
      <c r="D1712" s="3" t="s">
        <v>1105</v>
      </c>
      <c r="E1712" s="3" t="s">
        <v>1105</v>
      </c>
      <c r="F1712" s="3" t="s">
        <v>2276</v>
      </c>
      <c r="G1712" s="4" t="s">
        <v>2662</v>
      </c>
      <c r="H1712" s="3" t="s">
        <v>523</v>
      </c>
      <c r="I1712" s="3"/>
      <c r="J1712" s="4" t="s">
        <v>2276</v>
      </c>
      <c r="K1712" s="4" t="s">
        <v>2276</v>
      </c>
      <c r="L1712" s="4" t="s">
        <v>2276</v>
      </c>
      <c r="M1712" s="4" t="s">
        <v>2276</v>
      </c>
      <c r="N1712" s="4" t="s">
        <v>2276</v>
      </c>
      <c r="O1712" s="4" t="s">
        <v>2276</v>
      </c>
      <c r="P1712" s="4" t="s">
        <v>2276</v>
      </c>
      <c r="Q1712" s="4" t="s">
        <v>2276</v>
      </c>
      <c r="R1712" s="4" t="s">
        <v>2276</v>
      </c>
      <c r="S1712" s="4" t="s">
        <v>2276</v>
      </c>
      <c r="T1712" s="4" t="s">
        <v>2276</v>
      </c>
      <c r="U1712" s="4" t="s">
        <v>2276</v>
      </c>
      <c r="V1712" s="4" t="s">
        <v>2276</v>
      </c>
      <c r="W1712" s="4" t="s">
        <v>2276</v>
      </c>
      <c r="X1712" s="21">
        <v>25</v>
      </c>
      <c r="Y1712" s="4" t="s">
        <v>2276</v>
      </c>
      <c r="Z1712" s="3" t="s">
        <v>404</v>
      </c>
      <c r="AA1712" s="3" t="s">
        <v>68</v>
      </c>
      <c r="AB1712" s="3" t="s">
        <v>2276</v>
      </c>
      <c r="AC1712" s="3"/>
      <c r="AD1712" s="3"/>
    </row>
    <row r="1713" spans="1:30" ht="42" customHeight="1">
      <c r="A1713" s="11" t="s">
        <v>5128</v>
      </c>
      <c r="B1713" s="3" t="s">
        <v>5158</v>
      </c>
      <c r="C1713" s="3" t="s">
        <v>2458</v>
      </c>
      <c r="D1713" s="3" t="s">
        <v>1242</v>
      </c>
      <c r="E1713" s="3" t="s">
        <v>137</v>
      </c>
      <c r="F1713" s="4" t="s">
        <v>2662</v>
      </c>
      <c r="G1713" s="4" t="s">
        <v>2662</v>
      </c>
      <c r="H1713" s="3" t="s">
        <v>523</v>
      </c>
      <c r="I1713" s="3">
        <v>2017</v>
      </c>
      <c r="J1713" s="4" t="s">
        <v>2276</v>
      </c>
      <c r="K1713" s="4" t="s">
        <v>2276</v>
      </c>
      <c r="L1713" s="4" t="s">
        <v>2276</v>
      </c>
      <c r="M1713" s="4" t="s">
        <v>2276</v>
      </c>
      <c r="N1713" s="4" t="s">
        <v>2276</v>
      </c>
      <c r="O1713" s="4" t="s">
        <v>2276</v>
      </c>
      <c r="P1713" s="4" t="s">
        <v>2276</v>
      </c>
      <c r="Q1713" s="4" t="s">
        <v>2276</v>
      </c>
      <c r="R1713" s="4" t="s">
        <v>2276</v>
      </c>
      <c r="S1713" s="4" t="s">
        <v>2276</v>
      </c>
      <c r="T1713" s="4" t="s">
        <v>2276</v>
      </c>
      <c r="U1713" s="4" t="s">
        <v>2276</v>
      </c>
      <c r="V1713" s="4" t="s">
        <v>2276</v>
      </c>
      <c r="W1713" s="4" t="s">
        <v>2276</v>
      </c>
      <c r="X1713" s="4" t="s">
        <v>2276</v>
      </c>
      <c r="Y1713" s="4" t="s">
        <v>2276</v>
      </c>
      <c r="Z1713" s="3" t="s">
        <v>405</v>
      </c>
      <c r="AA1713" s="3" t="s">
        <v>35</v>
      </c>
      <c r="AB1713" s="3" t="s">
        <v>2276</v>
      </c>
      <c r="AC1713" s="3" t="s">
        <v>5185</v>
      </c>
      <c r="AD1713" s="3"/>
    </row>
    <row r="1714" spans="1:30" ht="42" customHeight="1">
      <c r="A1714" s="11" t="s">
        <v>5129</v>
      </c>
      <c r="B1714" s="3" t="s">
        <v>5159</v>
      </c>
      <c r="C1714" s="3" t="s">
        <v>2458</v>
      </c>
      <c r="D1714" s="3" t="s">
        <v>1242</v>
      </c>
      <c r="E1714" s="3" t="s">
        <v>137</v>
      </c>
      <c r="F1714" s="4" t="s">
        <v>2662</v>
      </c>
      <c r="G1714" s="4" t="s">
        <v>2662</v>
      </c>
      <c r="H1714" s="3" t="s">
        <v>523</v>
      </c>
      <c r="I1714" s="3">
        <v>2017</v>
      </c>
      <c r="J1714" s="4" t="s">
        <v>2276</v>
      </c>
      <c r="K1714" s="4" t="s">
        <v>2276</v>
      </c>
      <c r="L1714" s="4" t="s">
        <v>2276</v>
      </c>
      <c r="M1714" s="4" t="s">
        <v>2276</v>
      </c>
      <c r="N1714" s="4" t="s">
        <v>2276</v>
      </c>
      <c r="O1714" s="4" t="s">
        <v>2276</v>
      </c>
      <c r="P1714" s="4" t="s">
        <v>2276</v>
      </c>
      <c r="Q1714" s="4" t="s">
        <v>2276</v>
      </c>
      <c r="R1714" s="4" t="s">
        <v>2276</v>
      </c>
      <c r="S1714" s="4" t="s">
        <v>2276</v>
      </c>
      <c r="T1714" s="4" t="s">
        <v>2276</v>
      </c>
      <c r="U1714" s="4" t="s">
        <v>2276</v>
      </c>
      <c r="V1714" s="4" t="s">
        <v>2276</v>
      </c>
      <c r="W1714" s="4" t="s">
        <v>2276</v>
      </c>
      <c r="X1714" s="4" t="s">
        <v>2276</v>
      </c>
      <c r="Y1714" s="4" t="s">
        <v>2276</v>
      </c>
      <c r="Z1714" s="3" t="s">
        <v>405</v>
      </c>
      <c r="AA1714" s="3" t="s">
        <v>35</v>
      </c>
      <c r="AB1714" s="3" t="s">
        <v>2276</v>
      </c>
      <c r="AC1714" s="3" t="s">
        <v>5185</v>
      </c>
      <c r="AD1714" s="3"/>
    </row>
    <row r="1715" spans="1:30" ht="42" customHeight="1">
      <c r="A1715" s="11" t="s">
        <v>5128</v>
      </c>
      <c r="B1715" s="3" t="s">
        <v>5176</v>
      </c>
      <c r="C1715" s="3" t="s">
        <v>31</v>
      </c>
      <c r="D1715" s="3" t="s">
        <v>30</v>
      </c>
      <c r="E1715" s="3" t="s">
        <v>2652</v>
      </c>
      <c r="F1715" s="3" t="s">
        <v>2276</v>
      </c>
      <c r="G1715" s="4" t="s">
        <v>2662</v>
      </c>
      <c r="H1715" s="3" t="s">
        <v>523</v>
      </c>
      <c r="I1715" s="3">
        <v>2017</v>
      </c>
      <c r="J1715" s="4" t="s">
        <v>2276</v>
      </c>
      <c r="K1715" s="4" t="s">
        <v>2276</v>
      </c>
      <c r="L1715" s="4" t="s">
        <v>2276</v>
      </c>
      <c r="M1715" s="4" t="s">
        <v>2276</v>
      </c>
      <c r="N1715" s="4" t="s">
        <v>2276</v>
      </c>
      <c r="O1715" s="4" t="s">
        <v>2276</v>
      </c>
      <c r="P1715" s="4" t="s">
        <v>2276</v>
      </c>
      <c r="Q1715" s="4" t="s">
        <v>2276</v>
      </c>
      <c r="R1715" s="4" t="s">
        <v>2276</v>
      </c>
      <c r="S1715" s="4" t="s">
        <v>2276</v>
      </c>
      <c r="T1715" s="4" t="s">
        <v>2276</v>
      </c>
      <c r="U1715" s="4" t="s">
        <v>2276</v>
      </c>
      <c r="V1715" s="4" t="s">
        <v>2276</v>
      </c>
      <c r="W1715" s="4" t="s">
        <v>2276</v>
      </c>
      <c r="X1715" s="4" t="s">
        <v>2276</v>
      </c>
      <c r="Y1715" s="4" t="s">
        <v>2276</v>
      </c>
      <c r="Z1715" s="3" t="s">
        <v>405</v>
      </c>
      <c r="AA1715" s="3" t="s">
        <v>35</v>
      </c>
      <c r="AB1715" s="3" t="s">
        <v>2276</v>
      </c>
      <c r="AC1715" s="3" t="s">
        <v>5185</v>
      </c>
      <c r="AD1715" s="3"/>
    </row>
    <row r="1716" spans="1:30" ht="42" customHeight="1">
      <c r="A1716" s="11" t="s">
        <v>5129</v>
      </c>
      <c r="B1716" s="3" t="s">
        <v>5177</v>
      </c>
      <c r="C1716" s="3" t="s">
        <v>31</v>
      </c>
      <c r="D1716" s="3" t="s">
        <v>30</v>
      </c>
      <c r="E1716" s="3" t="s">
        <v>2652</v>
      </c>
      <c r="F1716" s="3" t="s">
        <v>2276</v>
      </c>
      <c r="G1716" s="4" t="s">
        <v>2662</v>
      </c>
      <c r="H1716" s="3" t="s">
        <v>523</v>
      </c>
      <c r="I1716" s="3">
        <v>2017</v>
      </c>
      <c r="J1716" s="4" t="s">
        <v>2276</v>
      </c>
      <c r="K1716" s="4" t="s">
        <v>2276</v>
      </c>
      <c r="L1716" s="4" t="s">
        <v>2276</v>
      </c>
      <c r="M1716" s="4" t="s">
        <v>2276</v>
      </c>
      <c r="N1716" s="4" t="s">
        <v>2276</v>
      </c>
      <c r="O1716" s="4" t="s">
        <v>2276</v>
      </c>
      <c r="P1716" s="4" t="s">
        <v>2276</v>
      </c>
      <c r="Q1716" s="4" t="s">
        <v>2276</v>
      </c>
      <c r="R1716" s="4" t="s">
        <v>2276</v>
      </c>
      <c r="S1716" s="4" t="s">
        <v>2276</v>
      </c>
      <c r="T1716" s="4" t="s">
        <v>2276</v>
      </c>
      <c r="U1716" s="4" t="s">
        <v>2276</v>
      </c>
      <c r="V1716" s="4" t="s">
        <v>2276</v>
      </c>
      <c r="W1716" s="4" t="s">
        <v>2276</v>
      </c>
      <c r="X1716" s="4" t="s">
        <v>2276</v>
      </c>
      <c r="Y1716" s="4" t="s">
        <v>2276</v>
      </c>
      <c r="Z1716" s="3" t="s">
        <v>405</v>
      </c>
      <c r="AA1716" s="3" t="s">
        <v>35</v>
      </c>
      <c r="AB1716" s="3" t="s">
        <v>2276</v>
      </c>
      <c r="AC1716" s="3" t="s">
        <v>5185</v>
      </c>
      <c r="AD1716" s="3"/>
    </row>
    <row r="1717" spans="1:30" ht="42" customHeight="1">
      <c r="A1717" s="11" t="s">
        <v>5128</v>
      </c>
      <c r="B1717" s="3" t="s">
        <v>5178</v>
      </c>
      <c r="C1717" s="3" t="s">
        <v>31</v>
      </c>
      <c r="D1717" s="3" t="s">
        <v>30</v>
      </c>
      <c r="E1717" s="3" t="s">
        <v>2653</v>
      </c>
      <c r="F1717" s="3" t="s">
        <v>2276</v>
      </c>
      <c r="G1717" s="4" t="s">
        <v>2662</v>
      </c>
      <c r="H1717" s="3" t="s">
        <v>523</v>
      </c>
      <c r="I1717" s="3">
        <v>2017</v>
      </c>
      <c r="J1717" s="4" t="s">
        <v>2276</v>
      </c>
      <c r="K1717" s="4" t="s">
        <v>2276</v>
      </c>
      <c r="L1717" s="4" t="s">
        <v>2276</v>
      </c>
      <c r="M1717" s="4" t="s">
        <v>2276</v>
      </c>
      <c r="N1717" s="4" t="s">
        <v>2276</v>
      </c>
      <c r="O1717" s="4" t="s">
        <v>2276</v>
      </c>
      <c r="P1717" s="4" t="s">
        <v>2276</v>
      </c>
      <c r="Q1717" s="4" t="s">
        <v>2276</v>
      </c>
      <c r="R1717" s="4" t="s">
        <v>2276</v>
      </c>
      <c r="S1717" s="4" t="s">
        <v>2276</v>
      </c>
      <c r="T1717" s="4" t="s">
        <v>2276</v>
      </c>
      <c r="U1717" s="4" t="s">
        <v>2276</v>
      </c>
      <c r="V1717" s="4" t="s">
        <v>2276</v>
      </c>
      <c r="W1717" s="4" t="s">
        <v>2276</v>
      </c>
      <c r="X1717" s="4" t="s">
        <v>2276</v>
      </c>
      <c r="Y1717" s="4" t="s">
        <v>2276</v>
      </c>
      <c r="Z1717" s="3" t="s">
        <v>405</v>
      </c>
      <c r="AA1717" s="3" t="s">
        <v>35</v>
      </c>
      <c r="AB1717" s="3" t="s">
        <v>2276</v>
      </c>
      <c r="AC1717" s="3" t="s">
        <v>5185</v>
      </c>
      <c r="AD1717" s="3"/>
    </row>
    <row r="1718" spans="1:30" ht="42" customHeight="1">
      <c r="A1718" s="11" t="s">
        <v>5129</v>
      </c>
      <c r="B1718" s="3" t="s">
        <v>5179</v>
      </c>
      <c r="C1718" s="3" t="s">
        <v>31</v>
      </c>
      <c r="D1718" s="3" t="s">
        <v>30</v>
      </c>
      <c r="E1718" s="3" t="s">
        <v>2653</v>
      </c>
      <c r="F1718" s="3" t="s">
        <v>2276</v>
      </c>
      <c r="G1718" s="4" t="s">
        <v>2662</v>
      </c>
      <c r="H1718" s="3" t="s">
        <v>523</v>
      </c>
      <c r="I1718" s="3">
        <v>2017</v>
      </c>
      <c r="J1718" s="4" t="s">
        <v>2276</v>
      </c>
      <c r="K1718" s="4" t="s">
        <v>2276</v>
      </c>
      <c r="L1718" s="4" t="s">
        <v>2276</v>
      </c>
      <c r="M1718" s="4" t="s">
        <v>2276</v>
      </c>
      <c r="N1718" s="4" t="s">
        <v>2276</v>
      </c>
      <c r="O1718" s="4" t="s">
        <v>2276</v>
      </c>
      <c r="P1718" s="4" t="s">
        <v>2276</v>
      </c>
      <c r="Q1718" s="4" t="s">
        <v>2276</v>
      </c>
      <c r="R1718" s="4" t="s">
        <v>2276</v>
      </c>
      <c r="S1718" s="4" t="s">
        <v>2276</v>
      </c>
      <c r="T1718" s="4" t="s">
        <v>2276</v>
      </c>
      <c r="U1718" s="4" t="s">
        <v>2276</v>
      </c>
      <c r="V1718" s="4" t="s">
        <v>2276</v>
      </c>
      <c r="W1718" s="4" t="s">
        <v>2276</v>
      </c>
      <c r="X1718" s="4" t="s">
        <v>2276</v>
      </c>
      <c r="Y1718" s="4" t="s">
        <v>2276</v>
      </c>
      <c r="Z1718" s="3" t="s">
        <v>405</v>
      </c>
      <c r="AA1718" s="3" t="s">
        <v>35</v>
      </c>
      <c r="AB1718" s="3" t="s">
        <v>2276</v>
      </c>
      <c r="AC1718" s="3" t="s">
        <v>5185</v>
      </c>
      <c r="AD1718" s="3"/>
    </row>
    <row r="1719" spans="1:30" ht="42" customHeight="1">
      <c r="A1719" s="11" t="s">
        <v>5128</v>
      </c>
      <c r="B1719" s="3" t="s">
        <v>5180</v>
      </c>
      <c r="C1719" s="3" t="s">
        <v>24</v>
      </c>
      <c r="D1719" s="3" t="s">
        <v>1245</v>
      </c>
      <c r="E1719" s="3" t="s">
        <v>116</v>
      </c>
      <c r="F1719" s="3" t="s">
        <v>2276</v>
      </c>
      <c r="G1719" s="4" t="s">
        <v>2662</v>
      </c>
      <c r="H1719" s="3" t="s">
        <v>523</v>
      </c>
      <c r="I1719" s="3">
        <v>2017</v>
      </c>
      <c r="J1719" s="4" t="s">
        <v>2276</v>
      </c>
      <c r="K1719" s="4" t="s">
        <v>2276</v>
      </c>
      <c r="L1719" s="4" t="s">
        <v>2276</v>
      </c>
      <c r="M1719" s="4" t="s">
        <v>2276</v>
      </c>
      <c r="N1719" s="4" t="s">
        <v>2276</v>
      </c>
      <c r="O1719" s="4" t="s">
        <v>2276</v>
      </c>
      <c r="P1719" s="4" t="s">
        <v>2276</v>
      </c>
      <c r="Q1719" s="4" t="s">
        <v>2276</v>
      </c>
      <c r="R1719" s="4" t="s">
        <v>2276</v>
      </c>
      <c r="S1719" s="4" t="s">
        <v>2276</v>
      </c>
      <c r="T1719" s="4" t="s">
        <v>2276</v>
      </c>
      <c r="U1719" s="4" t="s">
        <v>2276</v>
      </c>
      <c r="V1719" s="4" t="s">
        <v>2276</v>
      </c>
      <c r="W1719" s="4" t="s">
        <v>2276</v>
      </c>
      <c r="X1719" s="4" t="s">
        <v>2276</v>
      </c>
      <c r="Y1719" s="4" t="s">
        <v>2276</v>
      </c>
      <c r="Z1719" s="3" t="s">
        <v>405</v>
      </c>
      <c r="AA1719" s="3" t="s">
        <v>35</v>
      </c>
      <c r="AB1719" s="3" t="s">
        <v>2276</v>
      </c>
      <c r="AC1719" s="3" t="s">
        <v>5185</v>
      </c>
      <c r="AD1719" s="3"/>
    </row>
    <row r="1720" spans="1:30" ht="38.5" customHeight="1">
      <c r="A1720" s="11" t="s">
        <v>5129</v>
      </c>
      <c r="B1720" s="3" t="s">
        <v>5181</v>
      </c>
      <c r="C1720" s="3" t="s">
        <v>24</v>
      </c>
      <c r="D1720" s="3" t="s">
        <v>1245</v>
      </c>
      <c r="E1720" s="3" t="s">
        <v>116</v>
      </c>
      <c r="F1720" s="3" t="s">
        <v>2276</v>
      </c>
      <c r="G1720" s="4" t="s">
        <v>2662</v>
      </c>
      <c r="H1720" s="3" t="s">
        <v>523</v>
      </c>
      <c r="I1720" s="3">
        <v>2017</v>
      </c>
      <c r="J1720" s="4" t="s">
        <v>2276</v>
      </c>
      <c r="K1720" s="4" t="s">
        <v>2276</v>
      </c>
      <c r="L1720" s="4" t="s">
        <v>2276</v>
      </c>
      <c r="M1720" s="4" t="s">
        <v>2276</v>
      </c>
      <c r="N1720" s="4" t="s">
        <v>2276</v>
      </c>
      <c r="O1720" s="4" t="s">
        <v>2276</v>
      </c>
      <c r="P1720" s="4" t="s">
        <v>2276</v>
      </c>
      <c r="Q1720" s="4" t="s">
        <v>2276</v>
      </c>
      <c r="R1720" s="4" t="s">
        <v>2276</v>
      </c>
      <c r="S1720" s="4" t="s">
        <v>2276</v>
      </c>
      <c r="T1720" s="4" t="s">
        <v>2276</v>
      </c>
      <c r="U1720" s="4" t="s">
        <v>2276</v>
      </c>
      <c r="V1720" s="4" t="s">
        <v>2276</v>
      </c>
      <c r="W1720" s="4" t="s">
        <v>2276</v>
      </c>
      <c r="X1720" s="4" t="s">
        <v>2276</v>
      </c>
      <c r="Y1720" s="4" t="s">
        <v>2276</v>
      </c>
      <c r="Z1720" s="3" t="s">
        <v>405</v>
      </c>
      <c r="AA1720" s="3" t="s">
        <v>35</v>
      </c>
      <c r="AB1720" s="3" t="s">
        <v>2276</v>
      </c>
      <c r="AC1720" s="3" t="s">
        <v>5185</v>
      </c>
      <c r="AD1720" s="3"/>
    </row>
    <row r="1721" spans="1:30" ht="33.5" customHeight="1">
      <c r="A1721" s="11" t="s">
        <v>5128</v>
      </c>
      <c r="B1721" s="3" t="s">
        <v>5182</v>
      </c>
      <c r="C1721" s="3" t="s">
        <v>2656</v>
      </c>
      <c r="D1721" s="3" t="s">
        <v>2276</v>
      </c>
      <c r="E1721" s="3" t="s">
        <v>2276</v>
      </c>
      <c r="F1721" s="3" t="s">
        <v>2276</v>
      </c>
      <c r="G1721" s="4" t="s">
        <v>2662</v>
      </c>
      <c r="H1721" s="3" t="s">
        <v>523</v>
      </c>
      <c r="I1721" s="3">
        <v>2017</v>
      </c>
      <c r="J1721" s="4" t="s">
        <v>2276</v>
      </c>
      <c r="K1721" s="4" t="s">
        <v>2276</v>
      </c>
      <c r="L1721" s="4" t="s">
        <v>2276</v>
      </c>
      <c r="M1721" s="4" t="s">
        <v>2276</v>
      </c>
      <c r="N1721" s="4" t="s">
        <v>2276</v>
      </c>
      <c r="O1721" s="4" t="s">
        <v>2276</v>
      </c>
      <c r="P1721" s="4" t="s">
        <v>2276</v>
      </c>
      <c r="Q1721" s="4" t="s">
        <v>2276</v>
      </c>
      <c r="R1721" s="4" t="s">
        <v>2276</v>
      </c>
      <c r="S1721" s="4" t="s">
        <v>2276</v>
      </c>
      <c r="T1721" s="4" t="s">
        <v>2276</v>
      </c>
      <c r="U1721" s="4" t="s">
        <v>2276</v>
      </c>
      <c r="V1721" s="4" t="s">
        <v>2276</v>
      </c>
      <c r="W1721" s="4" t="s">
        <v>2276</v>
      </c>
      <c r="X1721" s="4" t="s">
        <v>2276</v>
      </c>
      <c r="Y1721" s="4" t="s">
        <v>2276</v>
      </c>
      <c r="Z1721" s="3" t="s">
        <v>405</v>
      </c>
      <c r="AA1721" s="3" t="s">
        <v>35</v>
      </c>
      <c r="AB1721" s="3" t="s">
        <v>2276</v>
      </c>
      <c r="AC1721" s="3" t="s">
        <v>5185</v>
      </c>
      <c r="AD1721" s="3"/>
    </row>
    <row r="1722" spans="1:30" ht="33.5" customHeight="1">
      <c r="A1722" s="11" t="s">
        <v>5129</v>
      </c>
      <c r="B1722" s="3" t="s">
        <v>5183</v>
      </c>
      <c r="C1722" s="3" t="s">
        <v>2656</v>
      </c>
      <c r="D1722" s="3" t="s">
        <v>2276</v>
      </c>
      <c r="E1722" s="3" t="s">
        <v>2276</v>
      </c>
      <c r="F1722" s="3" t="s">
        <v>2276</v>
      </c>
      <c r="G1722" s="4" t="s">
        <v>2662</v>
      </c>
      <c r="H1722" s="3" t="s">
        <v>523</v>
      </c>
      <c r="I1722" s="3">
        <v>2017</v>
      </c>
      <c r="J1722" s="4" t="s">
        <v>2276</v>
      </c>
      <c r="K1722" s="4" t="s">
        <v>2276</v>
      </c>
      <c r="L1722" s="4" t="s">
        <v>2276</v>
      </c>
      <c r="M1722" s="4" t="s">
        <v>2276</v>
      </c>
      <c r="N1722" s="4" t="s">
        <v>2276</v>
      </c>
      <c r="O1722" s="4" t="s">
        <v>2276</v>
      </c>
      <c r="P1722" s="4" t="s">
        <v>2276</v>
      </c>
      <c r="Q1722" s="4" t="s">
        <v>2276</v>
      </c>
      <c r="R1722" s="4" t="s">
        <v>2276</v>
      </c>
      <c r="S1722" s="4" t="s">
        <v>2276</v>
      </c>
      <c r="T1722" s="4" t="s">
        <v>2276</v>
      </c>
      <c r="U1722" s="4" t="s">
        <v>2276</v>
      </c>
      <c r="V1722" s="4" t="s">
        <v>2276</v>
      </c>
      <c r="W1722" s="4" t="s">
        <v>2276</v>
      </c>
      <c r="X1722" s="4" t="s">
        <v>2276</v>
      </c>
      <c r="Y1722" s="4" t="s">
        <v>2276</v>
      </c>
      <c r="Z1722" s="3" t="s">
        <v>405</v>
      </c>
      <c r="AA1722" s="3" t="s">
        <v>35</v>
      </c>
      <c r="AB1722" s="3" t="s">
        <v>2276</v>
      </c>
      <c r="AC1722" s="3" t="s">
        <v>5185</v>
      </c>
      <c r="AD1722" s="3"/>
    </row>
    <row r="1723" spans="1:30" ht="38" customHeight="1">
      <c r="A1723" s="19" t="s">
        <v>5190</v>
      </c>
      <c r="B1723" s="19" t="s">
        <v>5193</v>
      </c>
      <c r="C1723" s="4" t="s">
        <v>24</v>
      </c>
      <c r="D1723" s="4" t="s">
        <v>2231</v>
      </c>
      <c r="E1723" s="4" t="s">
        <v>396</v>
      </c>
      <c r="F1723" s="4" t="s">
        <v>74</v>
      </c>
      <c r="G1723" s="3" t="s">
        <v>2276</v>
      </c>
      <c r="H1723" s="3" t="s">
        <v>523</v>
      </c>
      <c r="I1723" s="4"/>
      <c r="J1723" s="3" t="s">
        <v>2276</v>
      </c>
      <c r="K1723" s="3" t="s">
        <v>2276</v>
      </c>
      <c r="L1723" s="3" t="s">
        <v>2276</v>
      </c>
      <c r="M1723" s="3" t="s">
        <v>2276</v>
      </c>
      <c r="N1723" s="3" t="s">
        <v>2276</v>
      </c>
      <c r="O1723" s="3" t="s">
        <v>2276</v>
      </c>
      <c r="P1723" s="3" t="s">
        <v>2276</v>
      </c>
      <c r="Q1723" s="3" t="s">
        <v>2276</v>
      </c>
      <c r="R1723" s="3" t="s">
        <v>2276</v>
      </c>
      <c r="S1723" s="3" t="s">
        <v>2276</v>
      </c>
      <c r="T1723" s="3" t="s">
        <v>2276</v>
      </c>
      <c r="U1723" s="3" t="s">
        <v>2276</v>
      </c>
      <c r="V1723" s="3" t="s">
        <v>2276</v>
      </c>
      <c r="W1723" s="3" t="s">
        <v>2276</v>
      </c>
      <c r="X1723" s="3" t="s">
        <v>2276</v>
      </c>
      <c r="Y1723" s="3" t="s">
        <v>2276</v>
      </c>
      <c r="Z1723" s="3" t="s">
        <v>2276</v>
      </c>
      <c r="AA1723" s="3" t="s">
        <v>2276</v>
      </c>
      <c r="AB1723" s="3" t="s">
        <v>2276</v>
      </c>
      <c r="AC1723" s="4"/>
      <c r="AD1723" s="4"/>
    </row>
    <row r="1724" spans="1:30" ht="38" customHeight="1">
      <c r="A1724" s="19" t="s">
        <v>5190</v>
      </c>
      <c r="B1724" s="19" t="s">
        <v>5195</v>
      </c>
      <c r="C1724" s="4" t="s">
        <v>24</v>
      </c>
      <c r="D1724" s="4" t="s">
        <v>4162</v>
      </c>
      <c r="E1724" s="4" t="s">
        <v>863</v>
      </c>
      <c r="F1724" s="4" t="s">
        <v>74</v>
      </c>
      <c r="G1724" s="3" t="s">
        <v>2276</v>
      </c>
      <c r="H1724" s="3" t="s">
        <v>523</v>
      </c>
      <c r="I1724" s="4"/>
      <c r="J1724" s="3" t="s">
        <v>2276</v>
      </c>
      <c r="K1724" s="3" t="s">
        <v>2276</v>
      </c>
      <c r="L1724" s="3" t="s">
        <v>2276</v>
      </c>
      <c r="M1724" s="3" t="s">
        <v>2276</v>
      </c>
      <c r="N1724" s="3" t="s">
        <v>2276</v>
      </c>
      <c r="O1724" s="3" t="s">
        <v>2276</v>
      </c>
      <c r="P1724" s="3" t="s">
        <v>2276</v>
      </c>
      <c r="Q1724" s="3" t="s">
        <v>2276</v>
      </c>
      <c r="R1724" s="3" t="s">
        <v>2276</v>
      </c>
      <c r="S1724" s="3" t="s">
        <v>2276</v>
      </c>
      <c r="T1724" s="3" t="s">
        <v>2276</v>
      </c>
      <c r="U1724" s="3" t="s">
        <v>2276</v>
      </c>
      <c r="V1724" s="3" t="s">
        <v>2276</v>
      </c>
      <c r="W1724" s="3" t="s">
        <v>2276</v>
      </c>
      <c r="X1724" s="3" t="s">
        <v>2276</v>
      </c>
      <c r="Y1724" s="3" t="s">
        <v>2276</v>
      </c>
      <c r="Z1724" s="3" t="s">
        <v>2276</v>
      </c>
      <c r="AA1724" s="3" t="s">
        <v>2276</v>
      </c>
      <c r="AB1724" s="3" t="s">
        <v>2276</v>
      </c>
      <c r="AC1724" s="4"/>
      <c r="AD1724" s="4"/>
    </row>
    <row r="1725" spans="1:30" ht="33.5" customHeight="1">
      <c r="A1725" s="19" t="s">
        <v>5190</v>
      </c>
      <c r="B1725" s="19" t="s">
        <v>5196</v>
      </c>
      <c r="C1725" s="4" t="s">
        <v>24</v>
      </c>
      <c r="D1725" s="4" t="s">
        <v>3476</v>
      </c>
      <c r="E1725" s="4" t="s">
        <v>863</v>
      </c>
      <c r="F1725" s="4" t="s">
        <v>74</v>
      </c>
      <c r="G1725" s="3" t="s">
        <v>2276</v>
      </c>
      <c r="H1725" s="3" t="s">
        <v>523</v>
      </c>
      <c r="I1725" s="4"/>
      <c r="J1725" s="3" t="s">
        <v>2276</v>
      </c>
      <c r="K1725" s="3" t="s">
        <v>2276</v>
      </c>
      <c r="L1725" s="3" t="s">
        <v>2276</v>
      </c>
      <c r="M1725" s="3" t="s">
        <v>2276</v>
      </c>
      <c r="N1725" s="3" t="s">
        <v>2276</v>
      </c>
      <c r="O1725" s="3" t="s">
        <v>2276</v>
      </c>
      <c r="P1725" s="3" t="s">
        <v>2276</v>
      </c>
      <c r="Q1725" s="3" t="s">
        <v>2276</v>
      </c>
      <c r="R1725" s="3" t="s">
        <v>2276</v>
      </c>
      <c r="S1725" s="3" t="s">
        <v>2276</v>
      </c>
      <c r="T1725" s="3" t="s">
        <v>2276</v>
      </c>
      <c r="U1725" s="3" t="s">
        <v>2276</v>
      </c>
      <c r="V1725" s="3" t="s">
        <v>2276</v>
      </c>
      <c r="W1725" s="3" t="s">
        <v>2276</v>
      </c>
      <c r="X1725" s="3" t="s">
        <v>2276</v>
      </c>
      <c r="Y1725" s="3" t="s">
        <v>2276</v>
      </c>
      <c r="Z1725" s="3" t="s">
        <v>2276</v>
      </c>
      <c r="AA1725" s="3" t="s">
        <v>2276</v>
      </c>
      <c r="AB1725" s="3" t="s">
        <v>2276</v>
      </c>
      <c r="AC1725" s="4"/>
      <c r="AD1725" s="4"/>
    </row>
    <row r="1726" spans="1:30" ht="36.5" customHeight="1">
      <c r="A1726" s="19" t="s">
        <v>5190</v>
      </c>
      <c r="B1726" s="19" t="s">
        <v>5197</v>
      </c>
      <c r="C1726" s="4" t="s">
        <v>24</v>
      </c>
      <c r="D1726" s="3" t="s">
        <v>27</v>
      </c>
      <c r="E1726" s="3" t="s">
        <v>130</v>
      </c>
      <c r="F1726" s="4" t="s">
        <v>160</v>
      </c>
      <c r="G1726" s="3" t="s">
        <v>2276</v>
      </c>
      <c r="H1726" s="3" t="s">
        <v>523</v>
      </c>
      <c r="I1726" s="3"/>
      <c r="J1726" s="3" t="s">
        <v>2276</v>
      </c>
      <c r="K1726" s="3" t="s">
        <v>2276</v>
      </c>
      <c r="L1726" s="3" t="s">
        <v>2276</v>
      </c>
      <c r="M1726" s="3" t="s">
        <v>2276</v>
      </c>
      <c r="N1726" s="3" t="s">
        <v>2276</v>
      </c>
      <c r="O1726" s="3" t="s">
        <v>2276</v>
      </c>
      <c r="P1726" s="3" t="s">
        <v>2276</v>
      </c>
      <c r="Q1726" s="3" t="s">
        <v>2276</v>
      </c>
      <c r="R1726" s="3" t="s">
        <v>2276</v>
      </c>
      <c r="S1726" s="3" t="s">
        <v>2276</v>
      </c>
      <c r="T1726" s="3" t="s">
        <v>2276</v>
      </c>
      <c r="U1726" s="3" t="s">
        <v>2276</v>
      </c>
      <c r="V1726" s="3" t="s">
        <v>2276</v>
      </c>
      <c r="W1726" s="3" t="s">
        <v>2276</v>
      </c>
      <c r="X1726" s="3" t="s">
        <v>2276</v>
      </c>
      <c r="Y1726" s="3" t="s">
        <v>2276</v>
      </c>
      <c r="Z1726" s="3" t="s">
        <v>2276</v>
      </c>
      <c r="AA1726" s="3" t="s">
        <v>2276</v>
      </c>
      <c r="AB1726" s="3" t="s">
        <v>2276</v>
      </c>
      <c r="AC1726" s="4" t="s">
        <v>5202</v>
      </c>
      <c r="AD1726" s="3"/>
    </row>
    <row r="1727" spans="1:30" ht="36.5" customHeight="1">
      <c r="A1727" s="19" t="s">
        <v>5190</v>
      </c>
      <c r="B1727" s="19" t="s">
        <v>5198</v>
      </c>
      <c r="C1727" s="4" t="s">
        <v>24</v>
      </c>
      <c r="D1727" s="3" t="s">
        <v>1245</v>
      </c>
      <c r="E1727" s="4" t="s">
        <v>863</v>
      </c>
      <c r="F1727" s="4" t="s">
        <v>74</v>
      </c>
      <c r="G1727" s="3" t="s">
        <v>2276</v>
      </c>
      <c r="H1727" s="3" t="s">
        <v>523</v>
      </c>
      <c r="I1727" s="3"/>
      <c r="J1727" s="3" t="s">
        <v>2276</v>
      </c>
      <c r="K1727" s="3" t="s">
        <v>2276</v>
      </c>
      <c r="L1727" s="3" t="s">
        <v>2276</v>
      </c>
      <c r="M1727" s="3" t="s">
        <v>2276</v>
      </c>
      <c r="N1727" s="3" t="s">
        <v>2276</v>
      </c>
      <c r="O1727" s="3" t="s">
        <v>2276</v>
      </c>
      <c r="P1727" s="3" t="s">
        <v>2276</v>
      </c>
      <c r="Q1727" s="3" t="s">
        <v>2276</v>
      </c>
      <c r="R1727" s="3" t="s">
        <v>2276</v>
      </c>
      <c r="S1727" s="3" t="s">
        <v>2276</v>
      </c>
      <c r="T1727" s="3" t="s">
        <v>2276</v>
      </c>
      <c r="U1727" s="3" t="s">
        <v>2276</v>
      </c>
      <c r="V1727" s="3" t="s">
        <v>2276</v>
      </c>
      <c r="W1727" s="3" t="s">
        <v>2276</v>
      </c>
      <c r="X1727" s="3" t="s">
        <v>2276</v>
      </c>
      <c r="Y1727" s="3" t="s">
        <v>2276</v>
      </c>
      <c r="Z1727" s="3" t="s">
        <v>2276</v>
      </c>
      <c r="AA1727" s="3" t="s">
        <v>2276</v>
      </c>
      <c r="AB1727" s="3" t="s">
        <v>2276</v>
      </c>
      <c r="AC1727" s="4" t="s">
        <v>5202</v>
      </c>
      <c r="AD1727" s="3"/>
    </row>
    <row r="1728" spans="1:30" ht="36.5" customHeight="1">
      <c r="A1728" s="19" t="s">
        <v>5190</v>
      </c>
      <c r="B1728" s="19" t="s">
        <v>5199</v>
      </c>
      <c r="C1728" s="4" t="s">
        <v>24</v>
      </c>
      <c r="D1728" s="3" t="s">
        <v>2305</v>
      </c>
      <c r="E1728" s="4" t="s">
        <v>863</v>
      </c>
      <c r="F1728" s="4" t="s">
        <v>74</v>
      </c>
      <c r="G1728" s="3" t="s">
        <v>2276</v>
      </c>
      <c r="H1728" s="3" t="s">
        <v>523</v>
      </c>
      <c r="I1728" s="3"/>
      <c r="J1728" s="3" t="s">
        <v>2276</v>
      </c>
      <c r="K1728" s="3" t="s">
        <v>2276</v>
      </c>
      <c r="L1728" s="3" t="s">
        <v>2276</v>
      </c>
      <c r="M1728" s="3" t="s">
        <v>2276</v>
      </c>
      <c r="N1728" s="3" t="s">
        <v>2276</v>
      </c>
      <c r="O1728" s="3" t="s">
        <v>2276</v>
      </c>
      <c r="P1728" s="3" t="s">
        <v>2276</v>
      </c>
      <c r="Q1728" s="3" t="s">
        <v>2276</v>
      </c>
      <c r="R1728" s="3" t="s">
        <v>2276</v>
      </c>
      <c r="S1728" s="3" t="s">
        <v>2276</v>
      </c>
      <c r="T1728" s="3" t="s">
        <v>2276</v>
      </c>
      <c r="U1728" s="3" t="s">
        <v>2276</v>
      </c>
      <c r="V1728" s="3" t="s">
        <v>2276</v>
      </c>
      <c r="W1728" s="3" t="s">
        <v>2276</v>
      </c>
      <c r="X1728" s="3" t="s">
        <v>2276</v>
      </c>
      <c r="Y1728" s="3" t="s">
        <v>2276</v>
      </c>
      <c r="Z1728" s="3" t="s">
        <v>2276</v>
      </c>
      <c r="AA1728" s="3" t="s">
        <v>2276</v>
      </c>
      <c r="AB1728" s="3" t="s">
        <v>2276</v>
      </c>
      <c r="AC1728" s="4" t="s">
        <v>5202</v>
      </c>
      <c r="AD1728" s="3"/>
    </row>
    <row r="1729" spans="1:30" ht="40" customHeight="1">
      <c r="A1729" s="19" t="s">
        <v>5190</v>
      </c>
      <c r="B1729" s="19" t="s">
        <v>5200</v>
      </c>
      <c r="C1729" s="4" t="s">
        <v>24</v>
      </c>
      <c r="D1729" s="3" t="s">
        <v>3480</v>
      </c>
      <c r="E1729" s="4" t="s">
        <v>863</v>
      </c>
      <c r="F1729" s="4" t="s">
        <v>74</v>
      </c>
      <c r="G1729" s="3" t="s">
        <v>2276</v>
      </c>
      <c r="H1729" s="3" t="s">
        <v>523</v>
      </c>
      <c r="I1729" s="3"/>
      <c r="J1729" s="3" t="s">
        <v>2276</v>
      </c>
      <c r="K1729" s="3" t="s">
        <v>2276</v>
      </c>
      <c r="L1729" s="3" t="s">
        <v>2276</v>
      </c>
      <c r="M1729" s="3" t="s">
        <v>2276</v>
      </c>
      <c r="N1729" s="3" t="s">
        <v>2276</v>
      </c>
      <c r="O1729" s="3" t="s">
        <v>2276</v>
      </c>
      <c r="P1729" s="3" t="s">
        <v>2276</v>
      </c>
      <c r="Q1729" s="3" t="s">
        <v>2276</v>
      </c>
      <c r="R1729" s="3" t="s">
        <v>2276</v>
      </c>
      <c r="S1729" s="3" t="s">
        <v>2276</v>
      </c>
      <c r="T1729" s="3" t="s">
        <v>2276</v>
      </c>
      <c r="U1729" s="3" t="s">
        <v>2276</v>
      </c>
      <c r="V1729" s="3" t="s">
        <v>2276</v>
      </c>
      <c r="W1729" s="3" t="s">
        <v>2276</v>
      </c>
      <c r="X1729" s="3" t="s">
        <v>2276</v>
      </c>
      <c r="Y1729" s="3" t="s">
        <v>2276</v>
      </c>
      <c r="Z1729" s="3" t="s">
        <v>2276</v>
      </c>
      <c r="AA1729" s="3" t="s">
        <v>2276</v>
      </c>
      <c r="AB1729" s="3" t="s">
        <v>2276</v>
      </c>
      <c r="AC1729" s="4" t="s">
        <v>5202</v>
      </c>
      <c r="AD1729" s="3"/>
    </row>
    <row r="1730" spans="1:30" ht="34.5" customHeight="1">
      <c r="A1730" s="19" t="s">
        <v>5190</v>
      </c>
      <c r="B1730" s="19" t="s">
        <v>5201</v>
      </c>
      <c r="C1730" s="4" t="s">
        <v>24</v>
      </c>
      <c r="D1730" s="3" t="s">
        <v>2341</v>
      </c>
      <c r="E1730" s="4" t="s">
        <v>863</v>
      </c>
      <c r="F1730" s="4" t="s">
        <v>74</v>
      </c>
      <c r="G1730" s="3" t="s">
        <v>2276</v>
      </c>
      <c r="H1730" s="3" t="s">
        <v>523</v>
      </c>
      <c r="I1730" s="3"/>
      <c r="J1730" s="3" t="s">
        <v>2276</v>
      </c>
      <c r="K1730" s="3" t="s">
        <v>2276</v>
      </c>
      <c r="L1730" s="3" t="s">
        <v>2276</v>
      </c>
      <c r="M1730" s="3" t="s">
        <v>2276</v>
      </c>
      <c r="N1730" s="3" t="s">
        <v>2276</v>
      </c>
      <c r="O1730" s="3" t="s">
        <v>2276</v>
      </c>
      <c r="P1730" s="3" t="s">
        <v>2276</v>
      </c>
      <c r="Q1730" s="3" t="s">
        <v>2276</v>
      </c>
      <c r="R1730" s="3" t="s">
        <v>2276</v>
      </c>
      <c r="S1730" s="3" t="s">
        <v>2276</v>
      </c>
      <c r="T1730" s="3" t="s">
        <v>2276</v>
      </c>
      <c r="U1730" s="3" t="s">
        <v>2276</v>
      </c>
      <c r="V1730" s="3" t="s">
        <v>2276</v>
      </c>
      <c r="W1730" s="3" t="s">
        <v>2276</v>
      </c>
      <c r="X1730" s="3" t="s">
        <v>2276</v>
      </c>
      <c r="Y1730" s="3" t="s">
        <v>2276</v>
      </c>
      <c r="Z1730" s="3" t="s">
        <v>2276</v>
      </c>
      <c r="AA1730" s="3" t="s">
        <v>2276</v>
      </c>
      <c r="AB1730" s="3" t="s">
        <v>2276</v>
      </c>
      <c r="AC1730" s="4" t="s">
        <v>5203</v>
      </c>
      <c r="AD1730" s="3"/>
    </row>
    <row r="1731" spans="1:30" ht="94.5" customHeight="1">
      <c r="A1731" s="19" t="s">
        <v>5190</v>
      </c>
      <c r="B1731" s="19" t="s">
        <v>5204</v>
      </c>
      <c r="C1731" s="3" t="s">
        <v>2658</v>
      </c>
      <c r="D1731" s="3" t="s">
        <v>1105</v>
      </c>
      <c r="E1731" s="3" t="s">
        <v>1105</v>
      </c>
      <c r="F1731" s="3" t="s">
        <v>2276</v>
      </c>
      <c r="G1731" s="3" t="s">
        <v>2276</v>
      </c>
      <c r="H1731" s="3" t="s">
        <v>523</v>
      </c>
      <c r="I1731" s="3"/>
      <c r="J1731" s="3" t="s">
        <v>2276</v>
      </c>
      <c r="K1731" s="3" t="s">
        <v>2276</v>
      </c>
      <c r="L1731" s="3" t="s">
        <v>2276</v>
      </c>
      <c r="M1731" s="3" t="s">
        <v>2276</v>
      </c>
      <c r="N1731" s="3" t="s">
        <v>2276</v>
      </c>
      <c r="O1731" s="3" t="s">
        <v>2276</v>
      </c>
      <c r="P1731" s="3" t="s">
        <v>2276</v>
      </c>
      <c r="Q1731" s="3" t="s">
        <v>2276</v>
      </c>
      <c r="R1731" s="3" t="s">
        <v>2276</v>
      </c>
      <c r="S1731" s="3" t="s">
        <v>2276</v>
      </c>
      <c r="T1731" s="3" t="s">
        <v>2276</v>
      </c>
      <c r="U1731" s="3" t="s">
        <v>2276</v>
      </c>
      <c r="V1731" s="3" t="s">
        <v>2276</v>
      </c>
      <c r="W1731" s="3" t="s">
        <v>2276</v>
      </c>
      <c r="X1731" s="3" t="s">
        <v>2276</v>
      </c>
      <c r="Y1731" s="3" t="s">
        <v>2276</v>
      </c>
      <c r="Z1731" s="3" t="s">
        <v>2276</v>
      </c>
      <c r="AA1731" s="3" t="s">
        <v>2276</v>
      </c>
      <c r="AB1731" s="3" t="s">
        <v>2276</v>
      </c>
      <c r="AC1731" s="3"/>
      <c r="AD1731" s="4" t="s">
        <v>5205</v>
      </c>
    </row>
    <row r="1732" spans="1:30" ht="53.5" customHeight="1">
      <c r="A1732" s="19" t="s">
        <v>5209</v>
      </c>
      <c r="B1732" s="19" t="s">
        <v>5216</v>
      </c>
      <c r="C1732" s="4" t="s">
        <v>24</v>
      </c>
      <c r="D1732" s="3" t="s">
        <v>144</v>
      </c>
      <c r="E1732" s="3" t="s">
        <v>137</v>
      </c>
      <c r="F1732" s="4" t="s">
        <v>55</v>
      </c>
      <c r="G1732" s="3" t="s">
        <v>55</v>
      </c>
      <c r="H1732" s="3" t="s">
        <v>523</v>
      </c>
      <c r="I1732" s="3"/>
      <c r="J1732" s="3" t="s">
        <v>2276</v>
      </c>
      <c r="K1732" s="3" t="s">
        <v>2276</v>
      </c>
      <c r="L1732" s="3" t="s">
        <v>2276</v>
      </c>
      <c r="M1732" s="3" t="s">
        <v>2276</v>
      </c>
      <c r="N1732" s="3" t="s">
        <v>2276</v>
      </c>
      <c r="O1732" s="3" t="s">
        <v>2276</v>
      </c>
      <c r="P1732" s="3" t="s">
        <v>2276</v>
      </c>
      <c r="Q1732" s="3" t="s">
        <v>2276</v>
      </c>
      <c r="R1732" s="3" t="s">
        <v>2276</v>
      </c>
      <c r="S1732" s="3" t="s">
        <v>2276</v>
      </c>
      <c r="T1732" s="3" t="s">
        <v>2276</v>
      </c>
      <c r="U1732" s="3" t="s">
        <v>2276</v>
      </c>
      <c r="V1732" s="3" t="s">
        <v>2276</v>
      </c>
      <c r="W1732" s="3" t="s">
        <v>2276</v>
      </c>
      <c r="X1732" s="3" t="s">
        <v>2276</v>
      </c>
      <c r="Y1732" s="3" t="s">
        <v>2276</v>
      </c>
      <c r="Z1732" s="3" t="s">
        <v>38</v>
      </c>
      <c r="AA1732" s="3" t="s">
        <v>86</v>
      </c>
      <c r="AB1732" s="3" t="s">
        <v>2276</v>
      </c>
      <c r="AC1732" s="4" t="s">
        <v>5218</v>
      </c>
      <c r="AD1732" s="3"/>
    </row>
    <row r="1733" spans="1:30" ht="62.5" customHeight="1">
      <c r="A1733" s="19" t="s">
        <v>5209</v>
      </c>
      <c r="B1733" s="19" t="s">
        <v>5217</v>
      </c>
      <c r="C1733" s="4" t="s">
        <v>24</v>
      </c>
      <c r="D1733" s="3" t="s">
        <v>406</v>
      </c>
      <c r="E1733" s="3" t="s">
        <v>137</v>
      </c>
      <c r="F1733" s="4" t="s">
        <v>55</v>
      </c>
      <c r="G1733" s="3" t="s">
        <v>55</v>
      </c>
      <c r="H1733" s="3" t="s">
        <v>523</v>
      </c>
      <c r="I1733" s="3"/>
      <c r="J1733" s="3" t="s">
        <v>2276</v>
      </c>
      <c r="K1733" s="3" t="s">
        <v>2276</v>
      </c>
      <c r="L1733" s="3" t="s">
        <v>2276</v>
      </c>
      <c r="M1733" s="3" t="s">
        <v>2276</v>
      </c>
      <c r="N1733" s="3" t="s">
        <v>2276</v>
      </c>
      <c r="O1733" s="3" t="s">
        <v>2276</v>
      </c>
      <c r="P1733" s="3" t="s">
        <v>2276</v>
      </c>
      <c r="Q1733" s="3" t="s">
        <v>2276</v>
      </c>
      <c r="R1733" s="3" t="s">
        <v>2276</v>
      </c>
      <c r="S1733" s="3" t="s">
        <v>2276</v>
      </c>
      <c r="T1733" s="3" t="s">
        <v>2276</v>
      </c>
      <c r="U1733" s="3" t="s">
        <v>2276</v>
      </c>
      <c r="V1733" s="3" t="s">
        <v>2276</v>
      </c>
      <c r="W1733" s="3" t="s">
        <v>2276</v>
      </c>
      <c r="X1733" s="3" t="s">
        <v>2276</v>
      </c>
      <c r="Y1733" s="3" t="s">
        <v>2276</v>
      </c>
      <c r="Z1733" s="3" t="s">
        <v>38</v>
      </c>
      <c r="AA1733" s="3" t="s">
        <v>86</v>
      </c>
      <c r="AB1733" s="3" t="s">
        <v>2276</v>
      </c>
      <c r="AC1733" s="4" t="s">
        <v>5218</v>
      </c>
      <c r="AD1733" s="3"/>
    </row>
    <row r="1734" spans="1:30" ht="50" customHeight="1">
      <c r="A1734" s="19" t="s">
        <v>5223</v>
      </c>
      <c r="B1734" s="19" t="s">
        <v>5227</v>
      </c>
      <c r="C1734" s="4" t="s">
        <v>24</v>
      </c>
      <c r="D1734" s="3" t="s">
        <v>25</v>
      </c>
      <c r="E1734" s="3" t="s">
        <v>5005</v>
      </c>
      <c r="F1734" s="4" t="s">
        <v>55</v>
      </c>
      <c r="G1734" s="3" t="s">
        <v>2276</v>
      </c>
      <c r="H1734" s="3" t="s">
        <v>523</v>
      </c>
      <c r="I1734" s="3"/>
      <c r="J1734" s="3" t="s">
        <v>2276</v>
      </c>
      <c r="K1734" s="3" t="s">
        <v>2276</v>
      </c>
      <c r="L1734" s="3" t="s">
        <v>2276</v>
      </c>
      <c r="M1734" s="3" t="s">
        <v>2276</v>
      </c>
      <c r="N1734" s="3" t="s">
        <v>2276</v>
      </c>
      <c r="O1734" s="3" t="s">
        <v>2276</v>
      </c>
      <c r="P1734" s="3" t="s">
        <v>2276</v>
      </c>
      <c r="Q1734" s="3" t="s">
        <v>2276</v>
      </c>
      <c r="R1734" s="3" t="s">
        <v>2276</v>
      </c>
      <c r="S1734" s="3" t="s">
        <v>2276</v>
      </c>
      <c r="T1734" s="3" t="s">
        <v>2276</v>
      </c>
      <c r="U1734" s="3" t="s">
        <v>2276</v>
      </c>
      <c r="V1734" s="3" t="s">
        <v>2276</v>
      </c>
      <c r="W1734" s="3" t="s">
        <v>2276</v>
      </c>
      <c r="X1734" s="3" t="s">
        <v>2276</v>
      </c>
      <c r="Y1734" s="3" t="s">
        <v>2276</v>
      </c>
      <c r="Z1734" s="3" t="s">
        <v>2276</v>
      </c>
      <c r="AA1734" s="3" t="s">
        <v>2276</v>
      </c>
      <c r="AB1734" s="3" t="s">
        <v>2276</v>
      </c>
      <c r="AC1734" s="3"/>
      <c r="AD1734" s="3"/>
    </row>
    <row r="1735" spans="1:30" ht="50" customHeight="1">
      <c r="A1735" s="19" t="s">
        <v>5223</v>
      </c>
      <c r="B1735" s="19" t="s">
        <v>5228</v>
      </c>
      <c r="C1735" s="4" t="s">
        <v>24</v>
      </c>
      <c r="D1735" s="3" t="s">
        <v>2231</v>
      </c>
      <c r="E1735" s="4" t="s">
        <v>397</v>
      </c>
      <c r="F1735" s="4" t="s">
        <v>2662</v>
      </c>
      <c r="G1735" s="3" t="s">
        <v>2276</v>
      </c>
      <c r="H1735" s="3" t="s">
        <v>523</v>
      </c>
      <c r="I1735" s="3"/>
      <c r="J1735" s="3" t="s">
        <v>2276</v>
      </c>
      <c r="K1735" s="3" t="s">
        <v>2276</v>
      </c>
      <c r="L1735" s="3" t="s">
        <v>2276</v>
      </c>
      <c r="M1735" s="3" t="s">
        <v>2276</v>
      </c>
      <c r="N1735" s="3" t="s">
        <v>2276</v>
      </c>
      <c r="O1735" s="3" t="s">
        <v>2276</v>
      </c>
      <c r="P1735" s="3" t="s">
        <v>2276</v>
      </c>
      <c r="Q1735" s="3" t="s">
        <v>2276</v>
      </c>
      <c r="R1735" s="3" t="s">
        <v>2276</v>
      </c>
      <c r="S1735" s="3" t="s">
        <v>2276</v>
      </c>
      <c r="T1735" s="3" t="s">
        <v>2276</v>
      </c>
      <c r="U1735" s="3" t="s">
        <v>2276</v>
      </c>
      <c r="V1735" s="3" t="s">
        <v>2276</v>
      </c>
      <c r="W1735" s="3" t="s">
        <v>2276</v>
      </c>
      <c r="X1735" s="3" t="s">
        <v>2276</v>
      </c>
      <c r="Y1735" s="3" t="s">
        <v>2276</v>
      </c>
      <c r="Z1735" s="3" t="s">
        <v>2276</v>
      </c>
      <c r="AA1735" s="3" t="s">
        <v>2276</v>
      </c>
      <c r="AB1735" s="3" t="s">
        <v>2276</v>
      </c>
      <c r="AC1735" s="3"/>
      <c r="AD1735" s="3"/>
    </row>
    <row r="1736" spans="1:30" ht="50" customHeight="1">
      <c r="A1736" s="19" t="s">
        <v>5223</v>
      </c>
      <c r="B1736" s="19" t="s">
        <v>5229</v>
      </c>
      <c r="C1736" s="4" t="s">
        <v>24</v>
      </c>
      <c r="D1736" s="3" t="s">
        <v>1245</v>
      </c>
      <c r="E1736" s="3" t="s">
        <v>116</v>
      </c>
      <c r="F1736" s="4" t="s">
        <v>55</v>
      </c>
      <c r="G1736" s="3" t="s">
        <v>2276</v>
      </c>
      <c r="H1736" s="3" t="s">
        <v>523</v>
      </c>
      <c r="I1736" s="3"/>
      <c r="J1736" s="3" t="s">
        <v>2276</v>
      </c>
      <c r="K1736" s="3" t="s">
        <v>2276</v>
      </c>
      <c r="L1736" s="3" t="s">
        <v>2276</v>
      </c>
      <c r="M1736" s="3" t="s">
        <v>2276</v>
      </c>
      <c r="N1736" s="3" t="s">
        <v>2276</v>
      </c>
      <c r="O1736" s="3" t="s">
        <v>2276</v>
      </c>
      <c r="P1736" s="3" t="s">
        <v>2276</v>
      </c>
      <c r="Q1736" s="3" t="s">
        <v>2276</v>
      </c>
      <c r="R1736" s="3" t="s">
        <v>2276</v>
      </c>
      <c r="S1736" s="3" t="s">
        <v>2276</v>
      </c>
      <c r="T1736" s="3" t="s">
        <v>2276</v>
      </c>
      <c r="U1736" s="3" t="s">
        <v>2276</v>
      </c>
      <c r="V1736" s="3" t="s">
        <v>2276</v>
      </c>
      <c r="W1736" s="3" t="s">
        <v>2276</v>
      </c>
      <c r="X1736" s="3" t="s">
        <v>2276</v>
      </c>
      <c r="Y1736" s="3" t="s">
        <v>2276</v>
      </c>
      <c r="Z1736" s="3" t="s">
        <v>2276</v>
      </c>
      <c r="AA1736" s="3" t="s">
        <v>2276</v>
      </c>
      <c r="AB1736" s="3" t="s">
        <v>2276</v>
      </c>
      <c r="AC1736" s="3"/>
      <c r="AD1736" s="3"/>
    </row>
    <row r="1737" spans="1:30" ht="50" customHeight="1">
      <c r="A1737" s="19" t="s">
        <v>5223</v>
      </c>
      <c r="B1737" s="19" t="s">
        <v>5230</v>
      </c>
      <c r="C1737" s="4" t="s">
        <v>24</v>
      </c>
      <c r="D1737" s="3" t="s">
        <v>3480</v>
      </c>
      <c r="E1737" s="3" t="s">
        <v>116</v>
      </c>
      <c r="F1737" s="4" t="s">
        <v>74</v>
      </c>
      <c r="G1737" s="3" t="s">
        <v>2276</v>
      </c>
      <c r="H1737" s="3" t="s">
        <v>523</v>
      </c>
      <c r="I1737" s="3"/>
      <c r="J1737" s="3" t="s">
        <v>2276</v>
      </c>
      <c r="K1737" s="3" t="s">
        <v>2276</v>
      </c>
      <c r="L1737" s="3" t="s">
        <v>2276</v>
      </c>
      <c r="M1737" s="3" t="s">
        <v>2276</v>
      </c>
      <c r="N1737" s="3" t="s">
        <v>2276</v>
      </c>
      <c r="O1737" s="3" t="s">
        <v>2276</v>
      </c>
      <c r="P1737" s="3" t="s">
        <v>2276</v>
      </c>
      <c r="Q1737" s="3" t="s">
        <v>2276</v>
      </c>
      <c r="R1737" s="3" t="s">
        <v>2276</v>
      </c>
      <c r="S1737" s="3" t="s">
        <v>2276</v>
      </c>
      <c r="T1737" s="3" t="s">
        <v>2276</v>
      </c>
      <c r="U1737" s="3" t="s">
        <v>2276</v>
      </c>
      <c r="V1737" s="3" t="s">
        <v>2276</v>
      </c>
      <c r="W1737" s="3" t="s">
        <v>2276</v>
      </c>
      <c r="X1737" s="3" t="s">
        <v>2276</v>
      </c>
      <c r="Y1737" s="3" t="s">
        <v>2276</v>
      </c>
      <c r="Z1737" s="3" t="s">
        <v>2276</v>
      </c>
      <c r="AA1737" s="3" t="s">
        <v>2276</v>
      </c>
      <c r="AB1737" s="3" t="s">
        <v>2276</v>
      </c>
      <c r="AC1737" s="3"/>
      <c r="AD1737" s="3"/>
    </row>
    <row r="1738" spans="1:30" ht="50" customHeight="1">
      <c r="A1738" s="19" t="s">
        <v>5223</v>
      </c>
      <c r="B1738" s="19" t="s">
        <v>5231</v>
      </c>
      <c r="C1738" s="4" t="s">
        <v>24</v>
      </c>
      <c r="D1738" s="3" t="s">
        <v>4162</v>
      </c>
      <c r="E1738" s="3" t="s">
        <v>863</v>
      </c>
      <c r="F1738" s="4" t="s">
        <v>74</v>
      </c>
      <c r="G1738" s="3" t="s">
        <v>2276</v>
      </c>
      <c r="H1738" s="3" t="s">
        <v>523</v>
      </c>
      <c r="I1738" s="3"/>
      <c r="J1738" s="3" t="s">
        <v>2276</v>
      </c>
      <c r="K1738" s="3" t="s">
        <v>2276</v>
      </c>
      <c r="L1738" s="3" t="s">
        <v>2276</v>
      </c>
      <c r="M1738" s="3" t="s">
        <v>2276</v>
      </c>
      <c r="N1738" s="3" t="s">
        <v>2276</v>
      </c>
      <c r="O1738" s="3" t="s">
        <v>2276</v>
      </c>
      <c r="P1738" s="3" t="s">
        <v>2276</v>
      </c>
      <c r="Q1738" s="3" t="s">
        <v>2276</v>
      </c>
      <c r="R1738" s="3" t="s">
        <v>2276</v>
      </c>
      <c r="S1738" s="3" t="s">
        <v>2276</v>
      </c>
      <c r="T1738" s="3" t="s">
        <v>2276</v>
      </c>
      <c r="U1738" s="3" t="s">
        <v>2276</v>
      </c>
      <c r="V1738" s="3" t="s">
        <v>2276</v>
      </c>
      <c r="W1738" s="3" t="s">
        <v>2276</v>
      </c>
      <c r="X1738" s="3" t="s">
        <v>2276</v>
      </c>
      <c r="Y1738" s="3" t="s">
        <v>2276</v>
      </c>
      <c r="Z1738" s="3" t="s">
        <v>2276</v>
      </c>
      <c r="AA1738" s="3" t="s">
        <v>2276</v>
      </c>
      <c r="AB1738" s="3" t="s">
        <v>2276</v>
      </c>
      <c r="AC1738" s="3"/>
      <c r="AD1738" s="3"/>
    </row>
    <row r="1739" spans="1:30" ht="45.5" customHeight="1">
      <c r="A1739" s="3" t="s">
        <v>5234</v>
      </c>
      <c r="B1739" s="3" t="s">
        <v>5251</v>
      </c>
      <c r="C1739" s="4" t="s">
        <v>24</v>
      </c>
      <c r="D1739" s="3" t="s">
        <v>25</v>
      </c>
      <c r="E1739" s="3" t="s">
        <v>5005</v>
      </c>
      <c r="F1739" s="4" t="s">
        <v>74</v>
      </c>
      <c r="G1739" s="4" t="s">
        <v>74</v>
      </c>
      <c r="H1739" s="3" t="s">
        <v>523</v>
      </c>
      <c r="I1739" s="3"/>
      <c r="J1739" s="3" t="s">
        <v>2276</v>
      </c>
      <c r="K1739" s="3" t="s">
        <v>2276</v>
      </c>
      <c r="L1739" s="3" t="s">
        <v>2276</v>
      </c>
      <c r="M1739" s="3" t="s">
        <v>2276</v>
      </c>
      <c r="N1739" s="3" t="s">
        <v>2276</v>
      </c>
      <c r="O1739" s="3" t="s">
        <v>2276</v>
      </c>
      <c r="P1739" s="3" t="s">
        <v>2276</v>
      </c>
      <c r="Q1739" s="3" t="s">
        <v>2276</v>
      </c>
      <c r="R1739" s="3" t="s">
        <v>2276</v>
      </c>
      <c r="S1739" s="3" t="s">
        <v>2276</v>
      </c>
      <c r="T1739" s="3" t="s">
        <v>2276</v>
      </c>
      <c r="U1739" s="3" t="s">
        <v>2276</v>
      </c>
      <c r="V1739" s="3" t="s">
        <v>2276</v>
      </c>
      <c r="W1739" s="3" t="s">
        <v>2276</v>
      </c>
      <c r="X1739" s="3" t="s">
        <v>2276</v>
      </c>
      <c r="Y1739" s="3" t="s">
        <v>2276</v>
      </c>
      <c r="Z1739" s="3" t="s">
        <v>2276</v>
      </c>
      <c r="AA1739" s="3" t="s">
        <v>2276</v>
      </c>
      <c r="AB1739" s="3" t="s">
        <v>2276</v>
      </c>
      <c r="AC1739" s="3"/>
      <c r="AD1739" s="4" t="s">
        <v>5336</v>
      </c>
    </row>
    <row r="1740" spans="1:30" ht="45.5" customHeight="1">
      <c r="A1740" s="3" t="s">
        <v>5234</v>
      </c>
      <c r="B1740" s="3" t="s">
        <v>5252</v>
      </c>
      <c r="C1740" s="4" t="s">
        <v>24</v>
      </c>
      <c r="D1740" s="3" t="s">
        <v>3480</v>
      </c>
      <c r="E1740" s="3" t="s">
        <v>116</v>
      </c>
      <c r="F1740" s="4" t="s">
        <v>74</v>
      </c>
      <c r="G1740" s="4" t="s">
        <v>74</v>
      </c>
      <c r="H1740" s="3" t="s">
        <v>523</v>
      </c>
      <c r="I1740" s="3"/>
      <c r="J1740" s="3" t="s">
        <v>2276</v>
      </c>
      <c r="K1740" s="3" t="s">
        <v>2276</v>
      </c>
      <c r="L1740" s="3" t="s">
        <v>2276</v>
      </c>
      <c r="M1740" s="3" t="s">
        <v>2276</v>
      </c>
      <c r="N1740" s="3" t="s">
        <v>2276</v>
      </c>
      <c r="O1740" s="3" t="s">
        <v>2276</v>
      </c>
      <c r="P1740" s="3" t="s">
        <v>2276</v>
      </c>
      <c r="Q1740" s="3" t="s">
        <v>2276</v>
      </c>
      <c r="R1740" s="3" t="s">
        <v>2276</v>
      </c>
      <c r="S1740" s="3" t="s">
        <v>2276</v>
      </c>
      <c r="T1740" s="3" t="s">
        <v>2276</v>
      </c>
      <c r="U1740" s="3" t="s">
        <v>2276</v>
      </c>
      <c r="V1740" s="3" t="s">
        <v>2276</v>
      </c>
      <c r="W1740" s="3" t="s">
        <v>2276</v>
      </c>
      <c r="X1740" s="3" t="s">
        <v>2276</v>
      </c>
      <c r="Y1740" s="3" t="s">
        <v>2276</v>
      </c>
      <c r="Z1740" s="3" t="s">
        <v>2276</v>
      </c>
      <c r="AA1740" s="3" t="s">
        <v>2276</v>
      </c>
      <c r="AB1740" s="3" t="s">
        <v>2276</v>
      </c>
      <c r="AC1740" s="3"/>
      <c r="AD1740" s="3"/>
    </row>
    <row r="1741" spans="1:30" ht="45.5" customHeight="1">
      <c r="A1741" s="3" t="s">
        <v>5234</v>
      </c>
      <c r="B1741" s="3" t="s">
        <v>5253</v>
      </c>
      <c r="C1741" s="4" t="s">
        <v>24</v>
      </c>
      <c r="D1741" s="3" t="s">
        <v>1245</v>
      </c>
      <c r="E1741" s="3" t="s">
        <v>116</v>
      </c>
      <c r="F1741" s="4" t="s">
        <v>74</v>
      </c>
      <c r="G1741" s="4" t="s">
        <v>74</v>
      </c>
      <c r="H1741" s="3" t="s">
        <v>523</v>
      </c>
      <c r="I1741" s="3"/>
      <c r="J1741" s="3" t="s">
        <v>2276</v>
      </c>
      <c r="K1741" s="3" t="s">
        <v>2276</v>
      </c>
      <c r="L1741" s="3" t="s">
        <v>2276</v>
      </c>
      <c r="M1741" s="3" t="s">
        <v>2276</v>
      </c>
      <c r="N1741" s="3" t="s">
        <v>2276</v>
      </c>
      <c r="O1741" s="3" t="s">
        <v>2276</v>
      </c>
      <c r="P1741" s="3" t="s">
        <v>2276</v>
      </c>
      <c r="Q1741" s="3" t="s">
        <v>2276</v>
      </c>
      <c r="R1741" s="3" t="s">
        <v>2276</v>
      </c>
      <c r="S1741" s="3" t="s">
        <v>2276</v>
      </c>
      <c r="T1741" s="3" t="s">
        <v>2276</v>
      </c>
      <c r="U1741" s="3" t="s">
        <v>2276</v>
      </c>
      <c r="V1741" s="3" t="s">
        <v>2276</v>
      </c>
      <c r="W1741" s="3" t="s">
        <v>2276</v>
      </c>
      <c r="X1741" s="3" t="s">
        <v>2276</v>
      </c>
      <c r="Y1741" s="3" t="s">
        <v>2276</v>
      </c>
      <c r="Z1741" s="3" t="s">
        <v>2276</v>
      </c>
      <c r="AA1741" s="3" t="s">
        <v>2276</v>
      </c>
      <c r="AB1741" s="3" t="s">
        <v>2276</v>
      </c>
      <c r="AC1741" s="3"/>
      <c r="AD1741" s="3"/>
    </row>
    <row r="1742" spans="1:30" ht="45.5" customHeight="1">
      <c r="A1742" s="3" t="s">
        <v>5234</v>
      </c>
      <c r="B1742" s="3" t="s">
        <v>5254</v>
      </c>
      <c r="C1742" s="4" t="s">
        <v>24</v>
      </c>
      <c r="D1742" s="3" t="s">
        <v>4162</v>
      </c>
      <c r="E1742" s="3" t="s">
        <v>863</v>
      </c>
      <c r="F1742" s="4" t="s">
        <v>74</v>
      </c>
      <c r="G1742" s="4" t="s">
        <v>74</v>
      </c>
      <c r="H1742" s="3" t="s">
        <v>523</v>
      </c>
      <c r="I1742" s="3"/>
      <c r="J1742" s="3" t="s">
        <v>2276</v>
      </c>
      <c r="K1742" s="3" t="s">
        <v>2276</v>
      </c>
      <c r="L1742" s="3" t="s">
        <v>2276</v>
      </c>
      <c r="M1742" s="3" t="s">
        <v>2276</v>
      </c>
      <c r="N1742" s="3" t="s">
        <v>2276</v>
      </c>
      <c r="O1742" s="3" t="s">
        <v>2276</v>
      </c>
      <c r="P1742" s="3" t="s">
        <v>2276</v>
      </c>
      <c r="Q1742" s="3" t="s">
        <v>2276</v>
      </c>
      <c r="R1742" s="3" t="s">
        <v>2276</v>
      </c>
      <c r="S1742" s="3" t="s">
        <v>2276</v>
      </c>
      <c r="T1742" s="3" t="s">
        <v>2276</v>
      </c>
      <c r="U1742" s="3" t="s">
        <v>2276</v>
      </c>
      <c r="V1742" s="3" t="s">
        <v>2276</v>
      </c>
      <c r="W1742" s="3" t="s">
        <v>2276</v>
      </c>
      <c r="X1742" s="3" t="s">
        <v>2276</v>
      </c>
      <c r="Y1742" s="3" t="s">
        <v>2276</v>
      </c>
      <c r="Z1742" s="3" t="s">
        <v>2276</v>
      </c>
      <c r="AA1742" s="3" t="s">
        <v>2276</v>
      </c>
      <c r="AB1742" s="3" t="s">
        <v>2276</v>
      </c>
      <c r="AC1742" s="3"/>
      <c r="AD1742" s="3"/>
    </row>
    <row r="1743" spans="1:30" ht="45.5" customHeight="1">
      <c r="A1743" s="3" t="s">
        <v>5234</v>
      </c>
      <c r="B1743" s="3" t="s">
        <v>5255</v>
      </c>
      <c r="C1743" s="4" t="s">
        <v>24</v>
      </c>
      <c r="D1743" s="3" t="s">
        <v>2346</v>
      </c>
      <c r="E1743" s="3" t="s">
        <v>2276</v>
      </c>
      <c r="F1743" s="4" t="s">
        <v>2276</v>
      </c>
      <c r="G1743" s="4" t="s">
        <v>74</v>
      </c>
      <c r="H1743" s="3" t="s">
        <v>523</v>
      </c>
      <c r="I1743" s="3"/>
      <c r="J1743" s="3" t="s">
        <v>2276</v>
      </c>
      <c r="K1743" s="3" t="s">
        <v>2276</v>
      </c>
      <c r="L1743" s="3" t="s">
        <v>2276</v>
      </c>
      <c r="M1743" s="3" t="s">
        <v>2276</v>
      </c>
      <c r="N1743" s="3" t="s">
        <v>2276</v>
      </c>
      <c r="O1743" s="3" t="s">
        <v>2276</v>
      </c>
      <c r="P1743" s="3" t="s">
        <v>2276</v>
      </c>
      <c r="Q1743" s="3" t="s">
        <v>2276</v>
      </c>
      <c r="R1743" s="3" t="s">
        <v>2276</v>
      </c>
      <c r="S1743" s="3" t="s">
        <v>2276</v>
      </c>
      <c r="T1743" s="3" t="s">
        <v>2276</v>
      </c>
      <c r="U1743" s="3" t="s">
        <v>2276</v>
      </c>
      <c r="V1743" s="3" t="s">
        <v>2276</v>
      </c>
      <c r="W1743" s="3" t="s">
        <v>2276</v>
      </c>
      <c r="X1743" s="3" t="s">
        <v>2276</v>
      </c>
      <c r="Y1743" s="3" t="s">
        <v>2276</v>
      </c>
      <c r="Z1743" s="3" t="s">
        <v>2276</v>
      </c>
      <c r="AA1743" s="3" t="s">
        <v>2276</v>
      </c>
      <c r="AB1743" s="3" t="s">
        <v>2276</v>
      </c>
      <c r="AC1743" s="3"/>
      <c r="AD1743" s="3"/>
    </row>
    <row r="1744" spans="1:30" ht="45.5" customHeight="1">
      <c r="A1744" s="3" t="s">
        <v>5234</v>
      </c>
      <c r="B1744" s="3" t="s">
        <v>5256</v>
      </c>
      <c r="C1744" s="4" t="s">
        <v>24</v>
      </c>
      <c r="D1744" s="3" t="s">
        <v>27</v>
      </c>
      <c r="E1744" s="3" t="s">
        <v>130</v>
      </c>
      <c r="F1744" s="4" t="s">
        <v>74</v>
      </c>
      <c r="G1744" s="3" t="s">
        <v>2276</v>
      </c>
      <c r="H1744" s="3" t="s">
        <v>523</v>
      </c>
      <c r="I1744" s="3"/>
      <c r="J1744" s="3" t="s">
        <v>2276</v>
      </c>
      <c r="K1744" s="3" t="s">
        <v>2276</v>
      </c>
      <c r="L1744" s="3" t="s">
        <v>2276</v>
      </c>
      <c r="M1744" s="3" t="s">
        <v>2276</v>
      </c>
      <c r="N1744" s="3" t="s">
        <v>2276</v>
      </c>
      <c r="O1744" s="3" t="s">
        <v>2276</v>
      </c>
      <c r="P1744" s="3" t="s">
        <v>2276</v>
      </c>
      <c r="Q1744" s="3" t="s">
        <v>2276</v>
      </c>
      <c r="R1744" s="3" t="s">
        <v>2276</v>
      </c>
      <c r="S1744" s="3" t="s">
        <v>2276</v>
      </c>
      <c r="T1744" s="3" t="s">
        <v>2276</v>
      </c>
      <c r="U1744" s="3" t="s">
        <v>2276</v>
      </c>
      <c r="V1744" s="3" t="s">
        <v>2276</v>
      </c>
      <c r="W1744" s="3" t="s">
        <v>2276</v>
      </c>
      <c r="X1744" s="3" t="s">
        <v>2276</v>
      </c>
      <c r="Y1744" s="3" t="s">
        <v>2276</v>
      </c>
      <c r="Z1744" s="3" t="s">
        <v>2276</v>
      </c>
      <c r="AA1744" s="3" t="s">
        <v>2276</v>
      </c>
      <c r="AB1744" s="3" t="s">
        <v>2276</v>
      </c>
      <c r="AC1744" s="3"/>
      <c r="AD1744" s="3"/>
    </row>
    <row r="1745" spans="1:30" ht="45.5" customHeight="1">
      <c r="A1745" s="3" t="s">
        <v>5234</v>
      </c>
      <c r="B1745" s="3" t="s">
        <v>5257</v>
      </c>
      <c r="C1745" s="3" t="s">
        <v>2458</v>
      </c>
      <c r="D1745" s="3" t="s">
        <v>3476</v>
      </c>
      <c r="E1745" s="3" t="s">
        <v>2276</v>
      </c>
      <c r="F1745" s="4" t="s">
        <v>2276</v>
      </c>
      <c r="G1745" s="4" t="s">
        <v>74</v>
      </c>
      <c r="H1745" s="3" t="s">
        <v>523</v>
      </c>
      <c r="I1745" s="3"/>
      <c r="J1745" s="3" t="s">
        <v>2276</v>
      </c>
      <c r="K1745" s="3" t="s">
        <v>2276</v>
      </c>
      <c r="L1745" s="3" t="s">
        <v>2276</v>
      </c>
      <c r="M1745" s="3" t="s">
        <v>2276</v>
      </c>
      <c r="N1745" s="3" t="s">
        <v>2276</v>
      </c>
      <c r="O1745" s="3" t="s">
        <v>2276</v>
      </c>
      <c r="P1745" s="3" t="s">
        <v>2276</v>
      </c>
      <c r="Q1745" s="3" t="s">
        <v>2276</v>
      </c>
      <c r="R1745" s="3" t="s">
        <v>2276</v>
      </c>
      <c r="S1745" s="3" t="s">
        <v>2276</v>
      </c>
      <c r="T1745" s="3" t="s">
        <v>2276</v>
      </c>
      <c r="U1745" s="3" t="s">
        <v>2276</v>
      </c>
      <c r="V1745" s="3" t="s">
        <v>2276</v>
      </c>
      <c r="W1745" s="3" t="s">
        <v>2276</v>
      </c>
      <c r="X1745" s="3" t="s">
        <v>2276</v>
      </c>
      <c r="Y1745" s="3" t="s">
        <v>2276</v>
      </c>
      <c r="Z1745" s="3" t="s">
        <v>2276</v>
      </c>
      <c r="AA1745" s="3" t="s">
        <v>2276</v>
      </c>
      <c r="AB1745" s="3" t="s">
        <v>2276</v>
      </c>
      <c r="AC1745" s="3"/>
      <c r="AD1745" s="3"/>
    </row>
    <row r="1746" spans="1:30" ht="45.5" customHeight="1">
      <c r="A1746" s="3" t="s">
        <v>5234</v>
      </c>
      <c r="B1746" s="3" t="s">
        <v>5258</v>
      </c>
      <c r="C1746" s="3" t="s">
        <v>31</v>
      </c>
      <c r="D1746" s="3" t="s">
        <v>2276</v>
      </c>
      <c r="E1746" s="3" t="s">
        <v>1105</v>
      </c>
      <c r="F1746" s="4" t="s">
        <v>2276</v>
      </c>
      <c r="G1746" s="4" t="s">
        <v>74</v>
      </c>
      <c r="H1746" s="3" t="s">
        <v>523</v>
      </c>
      <c r="I1746" s="3"/>
      <c r="J1746" s="3" t="s">
        <v>2276</v>
      </c>
      <c r="K1746" s="3" t="s">
        <v>2276</v>
      </c>
      <c r="L1746" s="3" t="s">
        <v>2276</v>
      </c>
      <c r="M1746" s="3" t="s">
        <v>2276</v>
      </c>
      <c r="N1746" s="3" t="s">
        <v>2276</v>
      </c>
      <c r="O1746" s="3" t="s">
        <v>2276</v>
      </c>
      <c r="P1746" s="3" t="s">
        <v>2276</v>
      </c>
      <c r="Q1746" s="3" t="s">
        <v>2276</v>
      </c>
      <c r="R1746" s="3" t="s">
        <v>2276</v>
      </c>
      <c r="S1746" s="3" t="s">
        <v>2276</v>
      </c>
      <c r="T1746" s="3" t="s">
        <v>2276</v>
      </c>
      <c r="U1746" s="3" t="s">
        <v>2276</v>
      </c>
      <c r="V1746" s="3" t="s">
        <v>2276</v>
      </c>
      <c r="W1746" s="3" t="s">
        <v>2276</v>
      </c>
      <c r="X1746" s="3" t="s">
        <v>2276</v>
      </c>
      <c r="Y1746" s="3" t="s">
        <v>2276</v>
      </c>
      <c r="Z1746" s="3" t="s">
        <v>2276</v>
      </c>
      <c r="AA1746" s="3" t="s">
        <v>2276</v>
      </c>
      <c r="AB1746" s="3" t="s">
        <v>2276</v>
      </c>
      <c r="AC1746" s="3"/>
      <c r="AD1746" s="3"/>
    </row>
    <row r="1747" spans="1:30" ht="45.5" customHeight="1">
      <c r="A1747" s="3" t="s">
        <v>5234</v>
      </c>
      <c r="B1747" s="3" t="s">
        <v>5259</v>
      </c>
      <c r="C1747" s="3" t="s">
        <v>2458</v>
      </c>
      <c r="D1747" s="3" t="s">
        <v>406</v>
      </c>
      <c r="E1747" s="3" t="s">
        <v>1105</v>
      </c>
      <c r="F1747" s="4" t="s">
        <v>2276</v>
      </c>
      <c r="G1747" s="4" t="s">
        <v>74</v>
      </c>
      <c r="H1747" s="3" t="s">
        <v>523</v>
      </c>
      <c r="I1747" s="3"/>
      <c r="J1747" s="3" t="s">
        <v>2276</v>
      </c>
      <c r="K1747" s="3" t="s">
        <v>2276</v>
      </c>
      <c r="L1747" s="3" t="s">
        <v>2276</v>
      </c>
      <c r="M1747" s="3" t="s">
        <v>2276</v>
      </c>
      <c r="N1747" s="3" t="s">
        <v>2276</v>
      </c>
      <c r="O1747" s="3" t="s">
        <v>2276</v>
      </c>
      <c r="P1747" s="3" t="s">
        <v>2276</v>
      </c>
      <c r="Q1747" s="3" t="s">
        <v>2276</v>
      </c>
      <c r="R1747" s="3" t="s">
        <v>2276</v>
      </c>
      <c r="S1747" s="3" t="s">
        <v>2276</v>
      </c>
      <c r="T1747" s="3" t="s">
        <v>2276</v>
      </c>
      <c r="U1747" s="3" t="s">
        <v>2276</v>
      </c>
      <c r="V1747" s="3" t="s">
        <v>2276</v>
      </c>
      <c r="W1747" s="3" t="s">
        <v>2276</v>
      </c>
      <c r="X1747" s="3" t="s">
        <v>2276</v>
      </c>
      <c r="Y1747" s="3" t="s">
        <v>2276</v>
      </c>
      <c r="Z1747" s="3" t="s">
        <v>2276</v>
      </c>
      <c r="AA1747" s="3" t="s">
        <v>2276</v>
      </c>
      <c r="AB1747" s="3" t="s">
        <v>2276</v>
      </c>
      <c r="AC1747" s="3"/>
      <c r="AD1747" s="3"/>
    </row>
    <row r="1748" spans="1:30" ht="45.5" customHeight="1">
      <c r="A1748" s="3" t="s">
        <v>5234</v>
      </c>
      <c r="B1748" s="3" t="s">
        <v>5260</v>
      </c>
      <c r="C1748" s="3" t="s">
        <v>2458</v>
      </c>
      <c r="D1748" s="3" t="s">
        <v>2994</v>
      </c>
      <c r="E1748" s="3" t="s">
        <v>1105</v>
      </c>
      <c r="F1748" s="4" t="s">
        <v>2276</v>
      </c>
      <c r="G1748" s="4" t="s">
        <v>74</v>
      </c>
      <c r="H1748" s="3" t="s">
        <v>523</v>
      </c>
      <c r="I1748" s="3"/>
      <c r="J1748" s="3" t="s">
        <v>2276</v>
      </c>
      <c r="K1748" s="3" t="s">
        <v>2276</v>
      </c>
      <c r="L1748" s="3" t="s">
        <v>2276</v>
      </c>
      <c r="M1748" s="3" t="s">
        <v>2276</v>
      </c>
      <c r="N1748" s="3" t="s">
        <v>2276</v>
      </c>
      <c r="O1748" s="3" t="s">
        <v>2276</v>
      </c>
      <c r="P1748" s="3" t="s">
        <v>2276</v>
      </c>
      <c r="Q1748" s="3" t="s">
        <v>2276</v>
      </c>
      <c r="R1748" s="3" t="s">
        <v>2276</v>
      </c>
      <c r="S1748" s="3" t="s">
        <v>2276</v>
      </c>
      <c r="T1748" s="3" t="s">
        <v>2276</v>
      </c>
      <c r="U1748" s="3" t="s">
        <v>2276</v>
      </c>
      <c r="V1748" s="3" t="s">
        <v>2276</v>
      </c>
      <c r="W1748" s="3" t="s">
        <v>2276</v>
      </c>
      <c r="X1748" s="3" t="s">
        <v>2276</v>
      </c>
      <c r="Y1748" s="3" t="s">
        <v>2276</v>
      </c>
      <c r="Z1748" s="3" t="s">
        <v>2276</v>
      </c>
      <c r="AA1748" s="3" t="s">
        <v>2276</v>
      </c>
      <c r="AB1748" s="3" t="s">
        <v>2276</v>
      </c>
      <c r="AC1748" s="3"/>
      <c r="AD1748" s="3"/>
    </row>
    <row r="1749" spans="1:30" ht="45.5" customHeight="1">
      <c r="A1749" s="3" t="s">
        <v>5236</v>
      </c>
      <c r="B1749" s="3" t="s">
        <v>5263</v>
      </c>
      <c r="C1749" s="4" t="s">
        <v>24</v>
      </c>
      <c r="D1749" s="3" t="s">
        <v>25</v>
      </c>
      <c r="E1749" s="3" t="s">
        <v>5005</v>
      </c>
      <c r="F1749" s="4" t="s">
        <v>74</v>
      </c>
      <c r="G1749" s="4" t="s">
        <v>74</v>
      </c>
      <c r="H1749" s="3" t="s">
        <v>523</v>
      </c>
      <c r="I1749" s="3"/>
      <c r="J1749" s="3" t="s">
        <v>2276</v>
      </c>
      <c r="K1749" s="3" t="s">
        <v>2276</v>
      </c>
      <c r="L1749" s="3" t="s">
        <v>2276</v>
      </c>
      <c r="M1749" s="3" t="s">
        <v>2276</v>
      </c>
      <c r="N1749" s="3" t="s">
        <v>2276</v>
      </c>
      <c r="O1749" s="3" t="s">
        <v>2276</v>
      </c>
      <c r="P1749" s="3" t="s">
        <v>2276</v>
      </c>
      <c r="Q1749" s="3" t="s">
        <v>2276</v>
      </c>
      <c r="R1749" s="3" t="s">
        <v>2276</v>
      </c>
      <c r="S1749" s="3" t="s">
        <v>2276</v>
      </c>
      <c r="T1749" s="3" t="s">
        <v>2276</v>
      </c>
      <c r="U1749" s="3" t="s">
        <v>2276</v>
      </c>
      <c r="V1749" s="3" t="s">
        <v>2276</v>
      </c>
      <c r="W1749" s="3" t="s">
        <v>2276</v>
      </c>
      <c r="X1749" s="3" t="s">
        <v>2276</v>
      </c>
      <c r="Y1749" s="3" t="s">
        <v>2276</v>
      </c>
      <c r="Z1749" s="3" t="s">
        <v>2276</v>
      </c>
      <c r="AA1749" s="3" t="s">
        <v>2276</v>
      </c>
      <c r="AB1749" s="3" t="s">
        <v>2276</v>
      </c>
      <c r="AC1749" s="3"/>
      <c r="AD1749" s="4" t="s">
        <v>5336</v>
      </c>
    </row>
    <row r="1750" spans="1:30" ht="45.5" customHeight="1">
      <c r="A1750" s="3" t="s">
        <v>5236</v>
      </c>
      <c r="B1750" s="3" t="s">
        <v>5264</v>
      </c>
      <c r="C1750" s="4" t="s">
        <v>24</v>
      </c>
      <c r="D1750" s="3" t="s">
        <v>3480</v>
      </c>
      <c r="E1750" s="3" t="s">
        <v>116</v>
      </c>
      <c r="F1750" s="4" t="s">
        <v>74</v>
      </c>
      <c r="G1750" s="4" t="s">
        <v>74</v>
      </c>
      <c r="H1750" s="3" t="s">
        <v>523</v>
      </c>
      <c r="I1750" s="3"/>
      <c r="J1750" s="3" t="s">
        <v>2276</v>
      </c>
      <c r="K1750" s="3" t="s">
        <v>2276</v>
      </c>
      <c r="L1750" s="3" t="s">
        <v>2276</v>
      </c>
      <c r="M1750" s="3" t="s">
        <v>2276</v>
      </c>
      <c r="N1750" s="3" t="s">
        <v>2276</v>
      </c>
      <c r="O1750" s="3" t="s">
        <v>2276</v>
      </c>
      <c r="P1750" s="3" t="s">
        <v>2276</v>
      </c>
      <c r="Q1750" s="3" t="s">
        <v>2276</v>
      </c>
      <c r="R1750" s="3" t="s">
        <v>2276</v>
      </c>
      <c r="S1750" s="3" t="s">
        <v>2276</v>
      </c>
      <c r="T1750" s="3" t="s">
        <v>2276</v>
      </c>
      <c r="U1750" s="3" t="s">
        <v>2276</v>
      </c>
      <c r="V1750" s="3" t="s">
        <v>2276</v>
      </c>
      <c r="W1750" s="3" t="s">
        <v>2276</v>
      </c>
      <c r="X1750" s="3" t="s">
        <v>2276</v>
      </c>
      <c r="Y1750" s="3" t="s">
        <v>2276</v>
      </c>
      <c r="Z1750" s="3" t="s">
        <v>2276</v>
      </c>
      <c r="AA1750" s="3" t="s">
        <v>2276</v>
      </c>
      <c r="AB1750" s="3" t="s">
        <v>2276</v>
      </c>
      <c r="AC1750" s="3"/>
      <c r="AD1750" s="3"/>
    </row>
    <row r="1751" spans="1:30" ht="45.5" customHeight="1">
      <c r="A1751" s="3" t="s">
        <v>5236</v>
      </c>
      <c r="B1751" s="3" t="s">
        <v>5265</v>
      </c>
      <c r="C1751" s="4" t="s">
        <v>24</v>
      </c>
      <c r="D1751" s="3" t="s">
        <v>1245</v>
      </c>
      <c r="E1751" s="3" t="s">
        <v>116</v>
      </c>
      <c r="F1751" s="4" t="s">
        <v>74</v>
      </c>
      <c r="G1751" s="4" t="s">
        <v>74</v>
      </c>
      <c r="H1751" s="3" t="s">
        <v>523</v>
      </c>
      <c r="I1751" s="3"/>
      <c r="J1751" s="3" t="s">
        <v>2276</v>
      </c>
      <c r="K1751" s="3" t="s">
        <v>2276</v>
      </c>
      <c r="L1751" s="3" t="s">
        <v>2276</v>
      </c>
      <c r="M1751" s="3" t="s">
        <v>2276</v>
      </c>
      <c r="N1751" s="3" t="s">
        <v>2276</v>
      </c>
      <c r="O1751" s="3" t="s">
        <v>2276</v>
      </c>
      <c r="P1751" s="3" t="s">
        <v>2276</v>
      </c>
      <c r="Q1751" s="3" t="s">
        <v>2276</v>
      </c>
      <c r="R1751" s="3" t="s">
        <v>2276</v>
      </c>
      <c r="S1751" s="3" t="s">
        <v>2276</v>
      </c>
      <c r="T1751" s="3" t="s">
        <v>2276</v>
      </c>
      <c r="U1751" s="3" t="s">
        <v>2276</v>
      </c>
      <c r="V1751" s="3" t="s">
        <v>2276</v>
      </c>
      <c r="W1751" s="3" t="s">
        <v>2276</v>
      </c>
      <c r="X1751" s="3" t="s">
        <v>2276</v>
      </c>
      <c r="Y1751" s="3" t="s">
        <v>2276</v>
      </c>
      <c r="Z1751" s="3" t="s">
        <v>2276</v>
      </c>
      <c r="AA1751" s="3" t="s">
        <v>2276</v>
      </c>
      <c r="AB1751" s="3" t="s">
        <v>2276</v>
      </c>
      <c r="AC1751" s="3"/>
      <c r="AD1751" s="3"/>
    </row>
    <row r="1752" spans="1:30" ht="45.5" customHeight="1">
      <c r="A1752" s="3" t="s">
        <v>5236</v>
      </c>
      <c r="B1752" s="3" t="s">
        <v>5266</v>
      </c>
      <c r="C1752" s="4" t="s">
        <v>24</v>
      </c>
      <c r="D1752" s="3" t="s">
        <v>4162</v>
      </c>
      <c r="E1752" s="3" t="s">
        <v>863</v>
      </c>
      <c r="F1752" s="4" t="s">
        <v>74</v>
      </c>
      <c r="G1752" s="4" t="s">
        <v>74</v>
      </c>
      <c r="H1752" s="3" t="s">
        <v>523</v>
      </c>
      <c r="I1752" s="3"/>
      <c r="J1752" s="3" t="s">
        <v>2276</v>
      </c>
      <c r="K1752" s="3" t="s">
        <v>2276</v>
      </c>
      <c r="L1752" s="3" t="s">
        <v>2276</v>
      </c>
      <c r="M1752" s="3" t="s">
        <v>2276</v>
      </c>
      <c r="N1752" s="3" t="s">
        <v>2276</v>
      </c>
      <c r="O1752" s="3" t="s">
        <v>2276</v>
      </c>
      <c r="P1752" s="3" t="s">
        <v>2276</v>
      </c>
      <c r="Q1752" s="3" t="s">
        <v>2276</v>
      </c>
      <c r="R1752" s="3" t="s">
        <v>2276</v>
      </c>
      <c r="S1752" s="3" t="s">
        <v>2276</v>
      </c>
      <c r="T1752" s="3" t="s">
        <v>2276</v>
      </c>
      <c r="U1752" s="3" t="s">
        <v>2276</v>
      </c>
      <c r="V1752" s="3" t="s">
        <v>2276</v>
      </c>
      <c r="W1752" s="3" t="s">
        <v>2276</v>
      </c>
      <c r="X1752" s="3" t="s">
        <v>2276</v>
      </c>
      <c r="Y1752" s="3" t="s">
        <v>2276</v>
      </c>
      <c r="Z1752" s="3" t="s">
        <v>2276</v>
      </c>
      <c r="AA1752" s="3" t="s">
        <v>2276</v>
      </c>
      <c r="AB1752" s="3" t="s">
        <v>2276</v>
      </c>
      <c r="AC1752" s="3"/>
      <c r="AD1752" s="3"/>
    </row>
    <row r="1753" spans="1:30" ht="45.5" customHeight="1">
      <c r="A1753" s="3" t="s">
        <v>5236</v>
      </c>
      <c r="B1753" s="3" t="s">
        <v>5267</v>
      </c>
      <c r="C1753" s="4" t="s">
        <v>24</v>
      </c>
      <c r="D1753" s="3" t="s">
        <v>2346</v>
      </c>
      <c r="E1753" s="3" t="s">
        <v>2276</v>
      </c>
      <c r="F1753" s="4" t="s">
        <v>2276</v>
      </c>
      <c r="G1753" s="4" t="s">
        <v>74</v>
      </c>
      <c r="H1753" s="3" t="s">
        <v>523</v>
      </c>
      <c r="I1753" s="3"/>
      <c r="J1753" s="3" t="s">
        <v>2276</v>
      </c>
      <c r="K1753" s="3" t="s">
        <v>2276</v>
      </c>
      <c r="L1753" s="3" t="s">
        <v>2276</v>
      </c>
      <c r="M1753" s="3" t="s">
        <v>2276</v>
      </c>
      <c r="N1753" s="3" t="s">
        <v>2276</v>
      </c>
      <c r="O1753" s="3" t="s">
        <v>2276</v>
      </c>
      <c r="P1753" s="3" t="s">
        <v>2276</v>
      </c>
      <c r="Q1753" s="3" t="s">
        <v>2276</v>
      </c>
      <c r="R1753" s="3" t="s">
        <v>2276</v>
      </c>
      <c r="S1753" s="3" t="s">
        <v>2276</v>
      </c>
      <c r="T1753" s="3" t="s">
        <v>2276</v>
      </c>
      <c r="U1753" s="3" t="s">
        <v>2276</v>
      </c>
      <c r="V1753" s="3" t="s">
        <v>2276</v>
      </c>
      <c r="W1753" s="3" t="s">
        <v>2276</v>
      </c>
      <c r="X1753" s="3" t="s">
        <v>2276</v>
      </c>
      <c r="Y1753" s="3" t="s">
        <v>2276</v>
      </c>
      <c r="Z1753" s="3" t="s">
        <v>2276</v>
      </c>
      <c r="AA1753" s="3" t="s">
        <v>2276</v>
      </c>
      <c r="AB1753" s="3" t="s">
        <v>2276</v>
      </c>
      <c r="AC1753" s="3"/>
      <c r="AD1753" s="3"/>
    </row>
    <row r="1754" spans="1:30" ht="45.5" customHeight="1">
      <c r="A1754" s="3" t="s">
        <v>5236</v>
      </c>
      <c r="B1754" s="3" t="s">
        <v>5268</v>
      </c>
      <c r="C1754" s="4" t="s">
        <v>24</v>
      </c>
      <c r="D1754" s="3" t="s">
        <v>27</v>
      </c>
      <c r="E1754" s="3" t="s">
        <v>130</v>
      </c>
      <c r="F1754" s="4" t="s">
        <v>74</v>
      </c>
      <c r="G1754" s="3" t="s">
        <v>2276</v>
      </c>
      <c r="H1754" s="3" t="s">
        <v>523</v>
      </c>
      <c r="I1754" s="3"/>
      <c r="J1754" s="3" t="s">
        <v>2276</v>
      </c>
      <c r="K1754" s="3" t="s">
        <v>2276</v>
      </c>
      <c r="L1754" s="3" t="s">
        <v>2276</v>
      </c>
      <c r="M1754" s="3" t="s">
        <v>2276</v>
      </c>
      <c r="N1754" s="3" t="s">
        <v>2276</v>
      </c>
      <c r="O1754" s="3" t="s">
        <v>2276</v>
      </c>
      <c r="P1754" s="3" t="s">
        <v>2276</v>
      </c>
      <c r="Q1754" s="3" t="s">
        <v>2276</v>
      </c>
      <c r="R1754" s="3" t="s">
        <v>2276</v>
      </c>
      <c r="S1754" s="3" t="s">
        <v>2276</v>
      </c>
      <c r="T1754" s="3" t="s">
        <v>2276</v>
      </c>
      <c r="U1754" s="3" t="s">
        <v>2276</v>
      </c>
      <c r="V1754" s="3" t="s">
        <v>2276</v>
      </c>
      <c r="W1754" s="3" t="s">
        <v>2276</v>
      </c>
      <c r="X1754" s="3" t="s">
        <v>2276</v>
      </c>
      <c r="Y1754" s="3" t="s">
        <v>2276</v>
      </c>
      <c r="Z1754" s="3" t="s">
        <v>2276</v>
      </c>
      <c r="AA1754" s="3" t="s">
        <v>2276</v>
      </c>
      <c r="AB1754" s="3" t="s">
        <v>2276</v>
      </c>
      <c r="AC1754" s="3"/>
      <c r="AD1754" s="3"/>
    </row>
    <row r="1755" spans="1:30" ht="45.5" customHeight="1">
      <c r="A1755" s="3" t="s">
        <v>5236</v>
      </c>
      <c r="B1755" s="3" t="s">
        <v>5269</v>
      </c>
      <c r="C1755" s="3" t="s">
        <v>2458</v>
      </c>
      <c r="D1755" s="3" t="s">
        <v>3476</v>
      </c>
      <c r="E1755" s="3" t="s">
        <v>2276</v>
      </c>
      <c r="F1755" s="4" t="s">
        <v>2276</v>
      </c>
      <c r="G1755" s="4" t="s">
        <v>74</v>
      </c>
      <c r="H1755" s="3" t="s">
        <v>523</v>
      </c>
      <c r="I1755" s="3"/>
      <c r="J1755" s="3" t="s">
        <v>2276</v>
      </c>
      <c r="K1755" s="3" t="s">
        <v>2276</v>
      </c>
      <c r="L1755" s="3" t="s">
        <v>2276</v>
      </c>
      <c r="M1755" s="3" t="s">
        <v>2276</v>
      </c>
      <c r="N1755" s="3" t="s">
        <v>2276</v>
      </c>
      <c r="O1755" s="3" t="s">
        <v>2276</v>
      </c>
      <c r="P1755" s="3" t="s">
        <v>2276</v>
      </c>
      <c r="Q1755" s="3" t="s">
        <v>2276</v>
      </c>
      <c r="R1755" s="3" t="s">
        <v>2276</v>
      </c>
      <c r="S1755" s="3" t="s">
        <v>2276</v>
      </c>
      <c r="T1755" s="3" t="s">
        <v>2276</v>
      </c>
      <c r="U1755" s="3" t="s">
        <v>2276</v>
      </c>
      <c r="V1755" s="3" t="s">
        <v>2276</v>
      </c>
      <c r="W1755" s="3" t="s">
        <v>2276</v>
      </c>
      <c r="X1755" s="3" t="s">
        <v>2276</v>
      </c>
      <c r="Y1755" s="3" t="s">
        <v>2276</v>
      </c>
      <c r="Z1755" s="3" t="s">
        <v>2276</v>
      </c>
      <c r="AA1755" s="3" t="s">
        <v>2276</v>
      </c>
      <c r="AB1755" s="3" t="s">
        <v>2276</v>
      </c>
      <c r="AC1755" s="3"/>
      <c r="AD1755" s="3"/>
    </row>
    <row r="1756" spans="1:30" ht="45.5" customHeight="1">
      <c r="A1756" s="3" t="s">
        <v>5236</v>
      </c>
      <c r="B1756" s="3" t="s">
        <v>5270</v>
      </c>
      <c r="C1756" s="3" t="s">
        <v>31</v>
      </c>
      <c r="D1756" s="3" t="s">
        <v>2276</v>
      </c>
      <c r="E1756" s="3" t="s">
        <v>1105</v>
      </c>
      <c r="F1756" s="4" t="s">
        <v>2276</v>
      </c>
      <c r="G1756" s="4" t="s">
        <v>74</v>
      </c>
      <c r="H1756" s="3" t="s">
        <v>523</v>
      </c>
      <c r="I1756" s="3"/>
      <c r="J1756" s="3" t="s">
        <v>2276</v>
      </c>
      <c r="K1756" s="3" t="s">
        <v>2276</v>
      </c>
      <c r="L1756" s="3" t="s">
        <v>2276</v>
      </c>
      <c r="M1756" s="3" t="s">
        <v>2276</v>
      </c>
      <c r="N1756" s="3" t="s">
        <v>2276</v>
      </c>
      <c r="O1756" s="3" t="s">
        <v>2276</v>
      </c>
      <c r="P1756" s="3" t="s">
        <v>2276</v>
      </c>
      <c r="Q1756" s="3" t="s">
        <v>2276</v>
      </c>
      <c r="R1756" s="3" t="s">
        <v>2276</v>
      </c>
      <c r="S1756" s="3" t="s">
        <v>2276</v>
      </c>
      <c r="T1756" s="3" t="s">
        <v>2276</v>
      </c>
      <c r="U1756" s="3" t="s">
        <v>2276</v>
      </c>
      <c r="V1756" s="3" t="s">
        <v>2276</v>
      </c>
      <c r="W1756" s="3" t="s">
        <v>2276</v>
      </c>
      <c r="X1756" s="3" t="s">
        <v>2276</v>
      </c>
      <c r="Y1756" s="3" t="s">
        <v>2276</v>
      </c>
      <c r="Z1756" s="3" t="s">
        <v>2276</v>
      </c>
      <c r="AA1756" s="3" t="s">
        <v>2276</v>
      </c>
      <c r="AB1756" s="3" t="s">
        <v>2276</v>
      </c>
      <c r="AC1756" s="3"/>
      <c r="AD1756" s="3"/>
    </row>
    <row r="1757" spans="1:30" ht="45.5" customHeight="1">
      <c r="A1757" s="3" t="s">
        <v>5236</v>
      </c>
      <c r="B1757" s="3" t="s">
        <v>5271</v>
      </c>
      <c r="C1757" s="3" t="s">
        <v>2458</v>
      </c>
      <c r="D1757" s="3" t="s">
        <v>406</v>
      </c>
      <c r="E1757" s="3" t="s">
        <v>1105</v>
      </c>
      <c r="F1757" s="4" t="s">
        <v>2276</v>
      </c>
      <c r="G1757" s="4" t="s">
        <v>74</v>
      </c>
      <c r="H1757" s="3" t="s">
        <v>523</v>
      </c>
      <c r="I1757" s="3"/>
      <c r="J1757" s="3" t="s">
        <v>2276</v>
      </c>
      <c r="K1757" s="3" t="s">
        <v>2276</v>
      </c>
      <c r="L1757" s="3" t="s">
        <v>2276</v>
      </c>
      <c r="M1757" s="3" t="s">
        <v>2276</v>
      </c>
      <c r="N1757" s="3" t="s">
        <v>2276</v>
      </c>
      <c r="O1757" s="3" t="s">
        <v>2276</v>
      </c>
      <c r="P1757" s="3" t="s">
        <v>2276</v>
      </c>
      <c r="Q1757" s="3" t="s">
        <v>2276</v>
      </c>
      <c r="R1757" s="3" t="s">
        <v>2276</v>
      </c>
      <c r="S1757" s="3" t="s">
        <v>2276</v>
      </c>
      <c r="T1757" s="3" t="s">
        <v>2276</v>
      </c>
      <c r="U1757" s="3" t="s">
        <v>2276</v>
      </c>
      <c r="V1757" s="3" t="s">
        <v>2276</v>
      </c>
      <c r="W1757" s="3" t="s">
        <v>2276</v>
      </c>
      <c r="X1757" s="3" t="s">
        <v>2276</v>
      </c>
      <c r="Y1757" s="3" t="s">
        <v>2276</v>
      </c>
      <c r="Z1757" s="3" t="s">
        <v>2276</v>
      </c>
      <c r="AA1757" s="3" t="s">
        <v>2276</v>
      </c>
      <c r="AB1757" s="3" t="s">
        <v>2276</v>
      </c>
      <c r="AC1757" s="3"/>
      <c r="AD1757" s="3"/>
    </row>
    <row r="1758" spans="1:30" ht="45.5" customHeight="1">
      <c r="A1758" s="3" t="s">
        <v>5236</v>
      </c>
      <c r="B1758" s="3" t="s">
        <v>5272</v>
      </c>
      <c r="C1758" s="3" t="s">
        <v>2458</v>
      </c>
      <c r="D1758" s="3" t="s">
        <v>2994</v>
      </c>
      <c r="E1758" s="3" t="s">
        <v>1105</v>
      </c>
      <c r="F1758" s="4" t="s">
        <v>2276</v>
      </c>
      <c r="G1758" s="4" t="s">
        <v>74</v>
      </c>
      <c r="H1758" s="3" t="s">
        <v>523</v>
      </c>
      <c r="I1758" s="3"/>
      <c r="J1758" s="3" t="s">
        <v>2276</v>
      </c>
      <c r="K1758" s="3" t="s">
        <v>2276</v>
      </c>
      <c r="L1758" s="3" t="s">
        <v>2276</v>
      </c>
      <c r="M1758" s="3" t="s">
        <v>2276</v>
      </c>
      <c r="N1758" s="3" t="s">
        <v>2276</v>
      </c>
      <c r="O1758" s="3" t="s">
        <v>2276</v>
      </c>
      <c r="P1758" s="3" t="s">
        <v>2276</v>
      </c>
      <c r="Q1758" s="3" t="s">
        <v>2276</v>
      </c>
      <c r="R1758" s="3" t="s">
        <v>2276</v>
      </c>
      <c r="S1758" s="3" t="s">
        <v>2276</v>
      </c>
      <c r="T1758" s="3" t="s">
        <v>2276</v>
      </c>
      <c r="U1758" s="3" t="s">
        <v>2276</v>
      </c>
      <c r="V1758" s="3" t="s">
        <v>2276</v>
      </c>
      <c r="W1758" s="3" t="s">
        <v>2276</v>
      </c>
      <c r="X1758" s="3" t="s">
        <v>2276</v>
      </c>
      <c r="Y1758" s="3" t="s">
        <v>2276</v>
      </c>
      <c r="Z1758" s="3" t="s">
        <v>2276</v>
      </c>
      <c r="AA1758" s="3" t="s">
        <v>2276</v>
      </c>
      <c r="AB1758" s="3" t="s">
        <v>2276</v>
      </c>
      <c r="AC1758" s="3"/>
      <c r="AD1758" s="3"/>
    </row>
    <row r="1759" spans="1:30" ht="45.5" customHeight="1">
      <c r="A1759" s="3" t="s">
        <v>5237</v>
      </c>
      <c r="B1759" s="3" t="s">
        <v>5273</v>
      </c>
      <c r="C1759" s="4" t="s">
        <v>24</v>
      </c>
      <c r="D1759" s="3" t="s">
        <v>25</v>
      </c>
      <c r="E1759" s="3" t="s">
        <v>5005</v>
      </c>
      <c r="F1759" s="4" t="s">
        <v>74</v>
      </c>
      <c r="G1759" s="4" t="s">
        <v>74</v>
      </c>
      <c r="H1759" s="3" t="s">
        <v>523</v>
      </c>
      <c r="I1759" s="3"/>
      <c r="J1759" s="3" t="s">
        <v>2276</v>
      </c>
      <c r="K1759" s="3" t="s">
        <v>2276</v>
      </c>
      <c r="L1759" s="3" t="s">
        <v>2276</v>
      </c>
      <c r="M1759" s="3" t="s">
        <v>2276</v>
      </c>
      <c r="N1759" s="3" t="s">
        <v>2276</v>
      </c>
      <c r="O1759" s="3" t="s">
        <v>2276</v>
      </c>
      <c r="P1759" s="3" t="s">
        <v>2276</v>
      </c>
      <c r="Q1759" s="3" t="s">
        <v>2276</v>
      </c>
      <c r="R1759" s="3" t="s">
        <v>2276</v>
      </c>
      <c r="S1759" s="3" t="s">
        <v>2276</v>
      </c>
      <c r="T1759" s="3" t="s">
        <v>2276</v>
      </c>
      <c r="U1759" s="3" t="s">
        <v>2276</v>
      </c>
      <c r="V1759" s="3" t="s">
        <v>2276</v>
      </c>
      <c r="W1759" s="3" t="s">
        <v>2276</v>
      </c>
      <c r="X1759" s="3" t="s">
        <v>2276</v>
      </c>
      <c r="Y1759" s="3" t="s">
        <v>2276</v>
      </c>
      <c r="Z1759" s="3" t="s">
        <v>2276</v>
      </c>
      <c r="AA1759" s="3" t="s">
        <v>2276</v>
      </c>
      <c r="AB1759" s="3" t="s">
        <v>2276</v>
      </c>
      <c r="AC1759" s="3"/>
      <c r="AD1759" s="4" t="s">
        <v>5336</v>
      </c>
    </row>
    <row r="1760" spans="1:30" ht="45.5" customHeight="1">
      <c r="A1760" s="3" t="s">
        <v>5237</v>
      </c>
      <c r="B1760" s="3" t="s">
        <v>5274</v>
      </c>
      <c r="C1760" s="4" t="s">
        <v>24</v>
      </c>
      <c r="D1760" s="3" t="s">
        <v>3480</v>
      </c>
      <c r="E1760" s="3" t="s">
        <v>116</v>
      </c>
      <c r="F1760" s="4" t="s">
        <v>74</v>
      </c>
      <c r="G1760" s="4" t="s">
        <v>74</v>
      </c>
      <c r="H1760" s="3" t="s">
        <v>523</v>
      </c>
      <c r="I1760" s="3"/>
      <c r="J1760" s="3" t="s">
        <v>2276</v>
      </c>
      <c r="K1760" s="3" t="s">
        <v>2276</v>
      </c>
      <c r="L1760" s="3" t="s">
        <v>2276</v>
      </c>
      <c r="M1760" s="3" t="s">
        <v>2276</v>
      </c>
      <c r="N1760" s="3" t="s">
        <v>2276</v>
      </c>
      <c r="O1760" s="3" t="s">
        <v>2276</v>
      </c>
      <c r="P1760" s="3" t="s">
        <v>2276</v>
      </c>
      <c r="Q1760" s="3" t="s">
        <v>2276</v>
      </c>
      <c r="R1760" s="3" t="s">
        <v>2276</v>
      </c>
      <c r="S1760" s="3" t="s">
        <v>2276</v>
      </c>
      <c r="T1760" s="3" t="s">
        <v>2276</v>
      </c>
      <c r="U1760" s="3" t="s">
        <v>2276</v>
      </c>
      <c r="V1760" s="3" t="s">
        <v>2276</v>
      </c>
      <c r="W1760" s="3" t="s">
        <v>2276</v>
      </c>
      <c r="X1760" s="3" t="s">
        <v>2276</v>
      </c>
      <c r="Y1760" s="3" t="s">
        <v>2276</v>
      </c>
      <c r="Z1760" s="3" t="s">
        <v>2276</v>
      </c>
      <c r="AA1760" s="3" t="s">
        <v>2276</v>
      </c>
      <c r="AB1760" s="3" t="s">
        <v>2276</v>
      </c>
      <c r="AC1760" s="3"/>
      <c r="AD1760" s="3"/>
    </row>
    <row r="1761" spans="1:30" ht="45.5" customHeight="1">
      <c r="A1761" s="3" t="s">
        <v>5237</v>
      </c>
      <c r="B1761" s="3" t="s">
        <v>5275</v>
      </c>
      <c r="C1761" s="4" t="s">
        <v>24</v>
      </c>
      <c r="D1761" s="3" t="s">
        <v>1245</v>
      </c>
      <c r="E1761" s="3" t="s">
        <v>116</v>
      </c>
      <c r="F1761" s="4" t="s">
        <v>74</v>
      </c>
      <c r="G1761" s="4" t="s">
        <v>74</v>
      </c>
      <c r="H1761" s="3" t="s">
        <v>523</v>
      </c>
      <c r="I1761" s="3"/>
      <c r="J1761" s="3" t="s">
        <v>2276</v>
      </c>
      <c r="K1761" s="3" t="s">
        <v>2276</v>
      </c>
      <c r="L1761" s="3" t="s">
        <v>2276</v>
      </c>
      <c r="M1761" s="3" t="s">
        <v>2276</v>
      </c>
      <c r="N1761" s="3" t="s">
        <v>2276</v>
      </c>
      <c r="O1761" s="3" t="s">
        <v>2276</v>
      </c>
      <c r="P1761" s="3" t="s">
        <v>2276</v>
      </c>
      <c r="Q1761" s="3" t="s">
        <v>2276</v>
      </c>
      <c r="R1761" s="3" t="s">
        <v>2276</v>
      </c>
      <c r="S1761" s="3" t="s">
        <v>2276</v>
      </c>
      <c r="T1761" s="3" t="s">
        <v>2276</v>
      </c>
      <c r="U1761" s="3" t="s">
        <v>2276</v>
      </c>
      <c r="V1761" s="3" t="s">
        <v>2276</v>
      </c>
      <c r="W1761" s="3" t="s">
        <v>2276</v>
      </c>
      <c r="X1761" s="3" t="s">
        <v>2276</v>
      </c>
      <c r="Y1761" s="3" t="s">
        <v>2276</v>
      </c>
      <c r="Z1761" s="3" t="s">
        <v>2276</v>
      </c>
      <c r="AA1761" s="3" t="s">
        <v>2276</v>
      </c>
      <c r="AB1761" s="3" t="s">
        <v>2276</v>
      </c>
      <c r="AC1761" s="3"/>
      <c r="AD1761" s="3"/>
    </row>
    <row r="1762" spans="1:30" ht="45.5" customHeight="1">
      <c r="A1762" s="3" t="s">
        <v>5237</v>
      </c>
      <c r="B1762" s="3" t="s">
        <v>5276</v>
      </c>
      <c r="C1762" s="4" t="s">
        <v>24</v>
      </c>
      <c r="D1762" s="3" t="s">
        <v>4162</v>
      </c>
      <c r="E1762" s="3" t="s">
        <v>863</v>
      </c>
      <c r="F1762" s="4" t="s">
        <v>74</v>
      </c>
      <c r="G1762" s="4" t="s">
        <v>74</v>
      </c>
      <c r="H1762" s="3" t="s">
        <v>523</v>
      </c>
      <c r="I1762" s="3"/>
      <c r="J1762" s="3" t="s">
        <v>2276</v>
      </c>
      <c r="K1762" s="3" t="s">
        <v>2276</v>
      </c>
      <c r="L1762" s="3" t="s">
        <v>2276</v>
      </c>
      <c r="M1762" s="3" t="s">
        <v>2276</v>
      </c>
      <c r="N1762" s="3" t="s">
        <v>2276</v>
      </c>
      <c r="O1762" s="3" t="s">
        <v>2276</v>
      </c>
      <c r="P1762" s="3" t="s">
        <v>2276</v>
      </c>
      <c r="Q1762" s="3" t="s">
        <v>2276</v>
      </c>
      <c r="R1762" s="3" t="s">
        <v>2276</v>
      </c>
      <c r="S1762" s="3" t="s">
        <v>2276</v>
      </c>
      <c r="T1762" s="3" t="s">
        <v>2276</v>
      </c>
      <c r="U1762" s="3" t="s">
        <v>2276</v>
      </c>
      <c r="V1762" s="3" t="s">
        <v>2276</v>
      </c>
      <c r="W1762" s="3" t="s">
        <v>2276</v>
      </c>
      <c r="X1762" s="3" t="s">
        <v>2276</v>
      </c>
      <c r="Y1762" s="3" t="s">
        <v>2276</v>
      </c>
      <c r="Z1762" s="3" t="s">
        <v>2276</v>
      </c>
      <c r="AA1762" s="3" t="s">
        <v>2276</v>
      </c>
      <c r="AB1762" s="3" t="s">
        <v>2276</v>
      </c>
      <c r="AC1762" s="3"/>
      <c r="AD1762" s="3"/>
    </row>
    <row r="1763" spans="1:30" ht="45.5" customHeight="1">
      <c r="A1763" s="3" t="s">
        <v>5237</v>
      </c>
      <c r="B1763" s="3" t="s">
        <v>5277</v>
      </c>
      <c r="C1763" s="4" t="s">
        <v>24</v>
      </c>
      <c r="D1763" s="3" t="s">
        <v>2346</v>
      </c>
      <c r="E1763" s="3" t="s">
        <v>2276</v>
      </c>
      <c r="F1763" s="4" t="s">
        <v>2276</v>
      </c>
      <c r="G1763" s="4" t="s">
        <v>74</v>
      </c>
      <c r="H1763" s="3" t="s">
        <v>523</v>
      </c>
      <c r="I1763" s="3"/>
      <c r="J1763" s="3" t="s">
        <v>2276</v>
      </c>
      <c r="K1763" s="3" t="s">
        <v>2276</v>
      </c>
      <c r="L1763" s="3" t="s">
        <v>2276</v>
      </c>
      <c r="M1763" s="3" t="s">
        <v>2276</v>
      </c>
      <c r="N1763" s="3" t="s">
        <v>2276</v>
      </c>
      <c r="O1763" s="3" t="s">
        <v>2276</v>
      </c>
      <c r="P1763" s="3" t="s">
        <v>2276</v>
      </c>
      <c r="Q1763" s="3" t="s">
        <v>2276</v>
      </c>
      <c r="R1763" s="3" t="s">
        <v>2276</v>
      </c>
      <c r="S1763" s="3" t="s">
        <v>2276</v>
      </c>
      <c r="T1763" s="3" t="s">
        <v>2276</v>
      </c>
      <c r="U1763" s="3" t="s">
        <v>2276</v>
      </c>
      <c r="V1763" s="3" t="s">
        <v>2276</v>
      </c>
      <c r="W1763" s="3" t="s">
        <v>2276</v>
      </c>
      <c r="X1763" s="3" t="s">
        <v>2276</v>
      </c>
      <c r="Y1763" s="3" t="s">
        <v>2276</v>
      </c>
      <c r="Z1763" s="3" t="s">
        <v>2276</v>
      </c>
      <c r="AA1763" s="3" t="s">
        <v>2276</v>
      </c>
      <c r="AB1763" s="3" t="s">
        <v>2276</v>
      </c>
      <c r="AC1763" s="3"/>
      <c r="AD1763" s="3"/>
    </row>
    <row r="1764" spans="1:30" ht="45.5" customHeight="1">
      <c r="A1764" s="3" t="s">
        <v>5237</v>
      </c>
      <c r="B1764" s="3" t="s">
        <v>5278</v>
      </c>
      <c r="C1764" s="4" t="s">
        <v>24</v>
      </c>
      <c r="D1764" s="3" t="s">
        <v>27</v>
      </c>
      <c r="E1764" s="3" t="s">
        <v>130</v>
      </c>
      <c r="F1764" s="4" t="s">
        <v>74</v>
      </c>
      <c r="G1764" s="3" t="s">
        <v>2276</v>
      </c>
      <c r="H1764" s="3" t="s">
        <v>523</v>
      </c>
      <c r="I1764" s="3"/>
      <c r="J1764" s="3" t="s">
        <v>2276</v>
      </c>
      <c r="K1764" s="3" t="s">
        <v>2276</v>
      </c>
      <c r="L1764" s="3" t="s">
        <v>2276</v>
      </c>
      <c r="M1764" s="3" t="s">
        <v>2276</v>
      </c>
      <c r="N1764" s="3" t="s">
        <v>2276</v>
      </c>
      <c r="O1764" s="3" t="s">
        <v>2276</v>
      </c>
      <c r="P1764" s="3" t="s">
        <v>2276</v>
      </c>
      <c r="Q1764" s="3" t="s">
        <v>2276</v>
      </c>
      <c r="R1764" s="3" t="s">
        <v>2276</v>
      </c>
      <c r="S1764" s="3" t="s">
        <v>2276</v>
      </c>
      <c r="T1764" s="3" t="s">
        <v>2276</v>
      </c>
      <c r="U1764" s="3" t="s">
        <v>2276</v>
      </c>
      <c r="V1764" s="3" t="s">
        <v>2276</v>
      </c>
      <c r="W1764" s="3" t="s">
        <v>2276</v>
      </c>
      <c r="X1764" s="3" t="s">
        <v>2276</v>
      </c>
      <c r="Y1764" s="3" t="s">
        <v>2276</v>
      </c>
      <c r="Z1764" s="3" t="s">
        <v>2276</v>
      </c>
      <c r="AA1764" s="3" t="s">
        <v>2276</v>
      </c>
      <c r="AB1764" s="3" t="s">
        <v>2276</v>
      </c>
      <c r="AC1764" s="3"/>
      <c r="AD1764" s="3"/>
    </row>
    <row r="1765" spans="1:30" ht="45.5" customHeight="1">
      <c r="A1765" s="3" t="s">
        <v>5237</v>
      </c>
      <c r="B1765" s="3" t="s">
        <v>5279</v>
      </c>
      <c r="C1765" s="3" t="s">
        <v>2458</v>
      </c>
      <c r="D1765" s="3" t="s">
        <v>3476</v>
      </c>
      <c r="E1765" s="3" t="s">
        <v>2276</v>
      </c>
      <c r="F1765" s="4" t="s">
        <v>2276</v>
      </c>
      <c r="G1765" s="4" t="s">
        <v>74</v>
      </c>
      <c r="H1765" s="3" t="s">
        <v>523</v>
      </c>
      <c r="I1765" s="3"/>
      <c r="J1765" s="3" t="s">
        <v>2276</v>
      </c>
      <c r="K1765" s="3" t="s">
        <v>2276</v>
      </c>
      <c r="L1765" s="3" t="s">
        <v>2276</v>
      </c>
      <c r="M1765" s="3" t="s">
        <v>2276</v>
      </c>
      <c r="N1765" s="3" t="s">
        <v>2276</v>
      </c>
      <c r="O1765" s="3" t="s">
        <v>2276</v>
      </c>
      <c r="P1765" s="3" t="s">
        <v>2276</v>
      </c>
      <c r="Q1765" s="3" t="s">
        <v>2276</v>
      </c>
      <c r="R1765" s="3" t="s">
        <v>2276</v>
      </c>
      <c r="S1765" s="3" t="s">
        <v>2276</v>
      </c>
      <c r="T1765" s="3" t="s">
        <v>2276</v>
      </c>
      <c r="U1765" s="3" t="s">
        <v>2276</v>
      </c>
      <c r="V1765" s="3" t="s">
        <v>2276</v>
      </c>
      <c r="W1765" s="3" t="s">
        <v>2276</v>
      </c>
      <c r="X1765" s="3" t="s">
        <v>2276</v>
      </c>
      <c r="Y1765" s="3" t="s">
        <v>2276</v>
      </c>
      <c r="Z1765" s="3" t="s">
        <v>2276</v>
      </c>
      <c r="AA1765" s="3" t="s">
        <v>2276</v>
      </c>
      <c r="AB1765" s="3" t="s">
        <v>2276</v>
      </c>
      <c r="AC1765" s="3"/>
      <c r="AD1765" s="3"/>
    </row>
    <row r="1766" spans="1:30" ht="45.5" customHeight="1">
      <c r="A1766" s="3" t="s">
        <v>5237</v>
      </c>
      <c r="B1766" s="3" t="s">
        <v>5280</v>
      </c>
      <c r="C1766" s="3" t="s">
        <v>31</v>
      </c>
      <c r="D1766" s="3" t="s">
        <v>2276</v>
      </c>
      <c r="E1766" s="3" t="s">
        <v>1105</v>
      </c>
      <c r="F1766" s="4" t="s">
        <v>2276</v>
      </c>
      <c r="G1766" s="4" t="s">
        <v>74</v>
      </c>
      <c r="H1766" s="3" t="s">
        <v>523</v>
      </c>
      <c r="I1766" s="3"/>
      <c r="J1766" s="3" t="s">
        <v>2276</v>
      </c>
      <c r="K1766" s="3" t="s">
        <v>2276</v>
      </c>
      <c r="L1766" s="3" t="s">
        <v>2276</v>
      </c>
      <c r="M1766" s="3" t="s">
        <v>2276</v>
      </c>
      <c r="N1766" s="3" t="s">
        <v>2276</v>
      </c>
      <c r="O1766" s="3" t="s">
        <v>2276</v>
      </c>
      <c r="P1766" s="3" t="s">
        <v>2276</v>
      </c>
      <c r="Q1766" s="3" t="s">
        <v>2276</v>
      </c>
      <c r="R1766" s="3" t="s">
        <v>2276</v>
      </c>
      <c r="S1766" s="3" t="s">
        <v>2276</v>
      </c>
      <c r="T1766" s="3" t="s">
        <v>2276</v>
      </c>
      <c r="U1766" s="3" t="s">
        <v>2276</v>
      </c>
      <c r="V1766" s="3" t="s">
        <v>2276</v>
      </c>
      <c r="W1766" s="3" t="s">
        <v>2276</v>
      </c>
      <c r="X1766" s="3" t="s">
        <v>2276</v>
      </c>
      <c r="Y1766" s="3" t="s">
        <v>2276</v>
      </c>
      <c r="Z1766" s="3" t="s">
        <v>2276</v>
      </c>
      <c r="AA1766" s="3" t="s">
        <v>2276</v>
      </c>
      <c r="AB1766" s="3" t="s">
        <v>2276</v>
      </c>
      <c r="AC1766" s="3"/>
      <c r="AD1766" s="3"/>
    </row>
    <row r="1767" spans="1:30" ht="45.5" customHeight="1">
      <c r="A1767" s="3" t="s">
        <v>5237</v>
      </c>
      <c r="B1767" s="3" t="s">
        <v>5281</v>
      </c>
      <c r="C1767" s="3" t="s">
        <v>2458</v>
      </c>
      <c r="D1767" s="3" t="s">
        <v>406</v>
      </c>
      <c r="E1767" s="3" t="s">
        <v>1105</v>
      </c>
      <c r="F1767" s="4" t="s">
        <v>2276</v>
      </c>
      <c r="G1767" s="4" t="s">
        <v>74</v>
      </c>
      <c r="H1767" s="3" t="s">
        <v>523</v>
      </c>
      <c r="I1767" s="3"/>
      <c r="J1767" s="3" t="s">
        <v>2276</v>
      </c>
      <c r="K1767" s="3" t="s">
        <v>2276</v>
      </c>
      <c r="L1767" s="3" t="s">
        <v>2276</v>
      </c>
      <c r="M1767" s="3" t="s">
        <v>2276</v>
      </c>
      <c r="N1767" s="3" t="s">
        <v>2276</v>
      </c>
      <c r="O1767" s="3" t="s">
        <v>2276</v>
      </c>
      <c r="P1767" s="3" t="s">
        <v>2276</v>
      </c>
      <c r="Q1767" s="3" t="s">
        <v>2276</v>
      </c>
      <c r="R1767" s="3" t="s">
        <v>2276</v>
      </c>
      <c r="S1767" s="3" t="s">
        <v>2276</v>
      </c>
      <c r="T1767" s="3" t="s">
        <v>2276</v>
      </c>
      <c r="U1767" s="3" t="s">
        <v>2276</v>
      </c>
      <c r="V1767" s="3" t="s">
        <v>2276</v>
      </c>
      <c r="W1767" s="3" t="s">
        <v>2276</v>
      </c>
      <c r="X1767" s="3" t="s">
        <v>2276</v>
      </c>
      <c r="Y1767" s="3" t="s">
        <v>2276</v>
      </c>
      <c r="Z1767" s="3" t="s">
        <v>2276</v>
      </c>
      <c r="AA1767" s="3" t="s">
        <v>2276</v>
      </c>
      <c r="AB1767" s="3" t="s">
        <v>2276</v>
      </c>
      <c r="AC1767" s="3"/>
      <c r="AD1767" s="3"/>
    </row>
    <row r="1768" spans="1:30" ht="45.5" customHeight="1">
      <c r="A1768" s="3" t="s">
        <v>5237</v>
      </c>
      <c r="B1768" s="3" t="s">
        <v>5282</v>
      </c>
      <c r="C1768" s="3" t="s">
        <v>2458</v>
      </c>
      <c r="D1768" s="3" t="s">
        <v>2994</v>
      </c>
      <c r="E1768" s="3" t="s">
        <v>1105</v>
      </c>
      <c r="F1768" s="4" t="s">
        <v>2276</v>
      </c>
      <c r="G1768" s="4" t="s">
        <v>74</v>
      </c>
      <c r="H1768" s="3" t="s">
        <v>523</v>
      </c>
      <c r="I1768" s="3"/>
      <c r="J1768" s="3" t="s">
        <v>2276</v>
      </c>
      <c r="K1768" s="3" t="s">
        <v>2276</v>
      </c>
      <c r="L1768" s="3" t="s">
        <v>2276</v>
      </c>
      <c r="M1768" s="3" t="s">
        <v>2276</v>
      </c>
      <c r="N1768" s="3" t="s">
        <v>2276</v>
      </c>
      <c r="O1768" s="3" t="s">
        <v>2276</v>
      </c>
      <c r="P1768" s="3" t="s">
        <v>2276</v>
      </c>
      <c r="Q1768" s="3" t="s">
        <v>2276</v>
      </c>
      <c r="R1768" s="3" t="s">
        <v>2276</v>
      </c>
      <c r="S1768" s="3" t="s">
        <v>2276</v>
      </c>
      <c r="T1768" s="3" t="s">
        <v>2276</v>
      </c>
      <c r="U1768" s="3" t="s">
        <v>2276</v>
      </c>
      <c r="V1768" s="3" t="s">
        <v>2276</v>
      </c>
      <c r="W1768" s="3" t="s">
        <v>2276</v>
      </c>
      <c r="X1768" s="3" t="s">
        <v>2276</v>
      </c>
      <c r="Y1768" s="3" t="s">
        <v>2276</v>
      </c>
      <c r="Z1768" s="3" t="s">
        <v>2276</v>
      </c>
      <c r="AA1768" s="3" t="s">
        <v>2276</v>
      </c>
      <c r="AB1768" s="3" t="s">
        <v>2276</v>
      </c>
      <c r="AC1768" s="3"/>
      <c r="AD1768" s="3"/>
    </row>
    <row r="1769" spans="1:30" ht="45.5" customHeight="1">
      <c r="A1769" s="3" t="s">
        <v>5238</v>
      </c>
      <c r="B1769" s="3" t="s">
        <v>5283</v>
      </c>
      <c r="C1769" s="4" t="s">
        <v>24</v>
      </c>
      <c r="D1769" s="3" t="s">
        <v>25</v>
      </c>
      <c r="E1769" s="3" t="s">
        <v>5005</v>
      </c>
      <c r="F1769" s="4" t="s">
        <v>74</v>
      </c>
      <c r="G1769" s="4" t="s">
        <v>74</v>
      </c>
      <c r="H1769" s="3" t="s">
        <v>523</v>
      </c>
      <c r="I1769" s="3"/>
      <c r="J1769" s="3" t="s">
        <v>2276</v>
      </c>
      <c r="K1769" s="3" t="s">
        <v>2276</v>
      </c>
      <c r="L1769" s="3" t="s">
        <v>2276</v>
      </c>
      <c r="M1769" s="3" t="s">
        <v>2276</v>
      </c>
      <c r="N1769" s="3" t="s">
        <v>2276</v>
      </c>
      <c r="O1769" s="3" t="s">
        <v>2276</v>
      </c>
      <c r="P1769" s="3" t="s">
        <v>2276</v>
      </c>
      <c r="Q1769" s="3" t="s">
        <v>2276</v>
      </c>
      <c r="R1769" s="3" t="s">
        <v>2276</v>
      </c>
      <c r="S1769" s="3" t="s">
        <v>2276</v>
      </c>
      <c r="T1769" s="3" t="s">
        <v>2276</v>
      </c>
      <c r="U1769" s="3" t="s">
        <v>2276</v>
      </c>
      <c r="V1769" s="3" t="s">
        <v>2276</v>
      </c>
      <c r="W1769" s="3" t="s">
        <v>2276</v>
      </c>
      <c r="X1769" s="3" t="s">
        <v>2276</v>
      </c>
      <c r="Y1769" s="3" t="s">
        <v>2276</v>
      </c>
      <c r="Z1769" s="3" t="s">
        <v>2276</v>
      </c>
      <c r="AA1769" s="3" t="s">
        <v>2276</v>
      </c>
      <c r="AB1769" s="3" t="s">
        <v>2276</v>
      </c>
      <c r="AC1769" s="3"/>
      <c r="AD1769" s="4" t="s">
        <v>5336</v>
      </c>
    </row>
    <row r="1770" spans="1:30" ht="45.5" customHeight="1">
      <c r="A1770" s="3" t="s">
        <v>5238</v>
      </c>
      <c r="B1770" s="3" t="s">
        <v>5284</v>
      </c>
      <c r="C1770" s="4" t="s">
        <v>24</v>
      </c>
      <c r="D1770" s="3" t="s">
        <v>3480</v>
      </c>
      <c r="E1770" s="3" t="s">
        <v>116</v>
      </c>
      <c r="F1770" s="4" t="s">
        <v>74</v>
      </c>
      <c r="G1770" s="4" t="s">
        <v>74</v>
      </c>
      <c r="H1770" s="3" t="s">
        <v>523</v>
      </c>
      <c r="I1770" s="3"/>
      <c r="J1770" s="3" t="s">
        <v>2276</v>
      </c>
      <c r="K1770" s="3" t="s">
        <v>2276</v>
      </c>
      <c r="L1770" s="3" t="s">
        <v>2276</v>
      </c>
      <c r="M1770" s="3" t="s">
        <v>2276</v>
      </c>
      <c r="N1770" s="3" t="s">
        <v>2276</v>
      </c>
      <c r="O1770" s="3" t="s">
        <v>2276</v>
      </c>
      <c r="P1770" s="3" t="s">
        <v>2276</v>
      </c>
      <c r="Q1770" s="3" t="s">
        <v>2276</v>
      </c>
      <c r="R1770" s="3" t="s">
        <v>2276</v>
      </c>
      <c r="S1770" s="3" t="s">
        <v>2276</v>
      </c>
      <c r="T1770" s="3" t="s">
        <v>2276</v>
      </c>
      <c r="U1770" s="3" t="s">
        <v>2276</v>
      </c>
      <c r="V1770" s="3" t="s">
        <v>2276</v>
      </c>
      <c r="W1770" s="3" t="s">
        <v>2276</v>
      </c>
      <c r="X1770" s="3" t="s">
        <v>2276</v>
      </c>
      <c r="Y1770" s="3" t="s">
        <v>2276</v>
      </c>
      <c r="Z1770" s="3" t="s">
        <v>2276</v>
      </c>
      <c r="AA1770" s="3" t="s">
        <v>2276</v>
      </c>
      <c r="AB1770" s="3" t="s">
        <v>2276</v>
      </c>
      <c r="AC1770" s="3"/>
      <c r="AD1770" s="3"/>
    </row>
    <row r="1771" spans="1:30" ht="45.5" customHeight="1">
      <c r="A1771" s="3" t="s">
        <v>5238</v>
      </c>
      <c r="B1771" s="3" t="s">
        <v>5285</v>
      </c>
      <c r="C1771" s="4" t="s">
        <v>24</v>
      </c>
      <c r="D1771" s="3" t="s">
        <v>1245</v>
      </c>
      <c r="E1771" s="3" t="s">
        <v>116</v>
      </c>
      <c r="F1771" s="4" t="s">
        <v>74</v>
      </c>
      <c r="G1771" s="4" t="s">
        <v>74</v>
      </c>
      <c r="H1771" s="3" t="s">
        <v>523</v>
      </c>
      <c r="I1771" s="3"/>
      <c r="J1771" s="3" t="s">
        <v>2276</v>
      </c>
      <c r="K1771" s="3" t="s">
        <v>2276</v>
      </c>
      <c r="L1771" s="3" t="s">
        <v>2276</v>
      </c>
      <c r="M1771" s="3" t="s">
        <v>2276</v>
      </c>
      <c r="N1771" s="3" t="s">
        <v>2276</v>
      </c>
      <c r="O1771" s="3" t="s">
        <v>2276</v>
      </c>
      <c r="P1771" s="3" t="s">
        <v>2276</v>
      </c>
      <c r="Q1771" s="3" t="s">
        <v>2276</v>
      </c>
      <c r="R1771" s="3" t="s">
        <v>2276</v>
      </c>
      <c r="S1771" s="3" t="s">
        <v>2276</v>
      </c>
      <c r="T1771" s="3" t="s">
        <v>2276</v>
      </c>
      <c r="U1771" s="3" t="s">
        <v>2276</v>
      </c>
      <c r="V1771" s="3" t="s">
        <v>2276</v>
      </c>
      <c r="W1771" s="3" t="s">
        <v>2276</v>
      </c>
      <c r="X1771" s="3" t="s">
        <v>2276</v>
      </c>
      <c r="Y1771" s="3" t="s">
        <v>2276</v>
      </c>
      <c r="Z1771" s="3" t="s">
        <v>2276</v>
      </c>
      <c r="AA1771" s="3" t="s">
        <v>2276</v>
      </c>
      <c r="AB1771" s="3" t="s">
        <v>2276</v>
      </c>
      <c r="AC1771" s="3"/>
      <c r="AD1771" s="3"/>
    </row>
    <row r="1772" spans="1:30" ht="45.5" customHeight="1">
      <c r="A1772" s="3" t="s">
        <v>5238</v>
      </c>
      <c r="B1772" s="3" t="s">
        <v>5286</v>
      </c>
      <c r="C1772" s="4" t="s">
        <v>24</v>
      </c>
      <c r="D1772" s="3" t="s">
        <v>4162</v>
      </c>
      <c r="E1772" s="3" t="s">
        <v>863</v>
      </c>
      <c r="F1772" s="4" t="s">
        <v>74</v>
      </c>
      <c r="G1772" s="4" t="s">
        <v>74</v>
      </c>
      <c r="H1772" s="3" t="s">
        <v>523</v>
      </c>
      <c r="I1772" s="3"/>
      <c r="J1772" s="3" t="s">
        <v>2276</v>
      </c>
      <c r="K1772" s="3" t="s">
        <v>2276</v>
      </c>
      <c r="L1772" s="3" t="s">
        <v>2276</v>
      </c>
      <c r="M1772" s="3" t="s">
        <v>2276</v>
      </c>
      <c r="N1772" s="3" t="s">
        <v>2276</v>
      </c>
      <c r="O1772" s="3" t="s">
        <v>2276</v>
      </c>
      <c r="P1772" s="3" t="s">
        <v>2276</v>
      </c>
      <c r="Q1772" s="3" t="s">
        <v>2276</v>
      </c>
      <c r="R1772" s="3" t="s">
        <v>2276</v>
      </c>
      <c r="S1772" s="3" t="s">
        <v>2276</v>
      </c>
      <c r="T1772" s="3" t="s">
        <v>2276</v>
      </c>
      <c r="U1772" s="3" t="s">
        <v>2276</v>
      </c>
      <c r="V1772" s="3" t="s">
        <v>2276</v>
      </c>
      <c r="W1772" s="3" t="s">
        <v>2276</v>
      </c>
      <c r="X1772" s="3" t="s">
        <v>2276</v>
      </c>
      <c r="Y1772" s="3" t="s">
        <v>2276</v>
      </c>
      <c r="Z1772" s="3" t="s">
        <v>2276</v>
      </c>
      <c r="AA1772" s="3" t="s">
        <v>2276</v>
      </c>
      <c r="AB1772" s="3" t="s">
        <v>2276</v>
      </c>
      <c r="AC1772" s="3"/>
      <c r="AD1772" s="3"/>
    </row>
    <row r="1773" spans="1:30" ht="45.5" customHeight="1">
      <c r="A1773" s="3" t="s">
        <v>5238</v>
      </c>
      <c r="B1773" s="3" t="s">
        <v>5287</v>
      </c>
      <c r="C1773" s="4" t="s">
        <v>24</v>
      </c>
      <c r="D1773" s="3" t="s">
        <v>2346</v>
      </c>
      <c r="E1773" s="3" t="s">
        <v>2276</v>
      </c>
      <c r="F1773" s="4" t="s">
        <v>2276</v>
      </c>
      <c r="G1773" s="4" t="s">
        <v>74</v>
      </c>
      <c r="H1773" s="3" t="s">
        <v>523</v>
      </c>
      <c r="I1773" s="3"/>
      <c r="J1773" s="3" t="s">
        <v>2276</v>
      </c>
      <c r="K1773" s="3" t="s">
        <v>2276</v>
      </c>
      <c r="L1773" s="3" t="s">
        <v>2276</v>
      </c>
      <c r="M1773" s="3" t="s">
        <v>2276</v>
      </c>
      <c r="N1773" s="3" t="s">
        <v>2276</v>
      </c>
      <c r="O1773" s="3" t="s">
        <v>2276</v>
      </c>
      <c r="P1773" s="3" t="s">
        <v>2276</v>
      </c>
      <c r="Q1773" s="3" t="s">
        <v>2276</v>
      </c>
      <c r="R1773" s="3" t="s">
        <v>2276</v>
      </c>
      <c r="S1773" s="3" t="s">
        <v>2276</v>
      </c>
      <c r="T1773" s="3" t="s">
        <v>2276</v>
      </c>
      <c r="U1773" s="3" t="s">
        <v>2276</v>
      </c>
      <c r="V1773" s="3" t="s">
        <v>2276</v>
      </c>
      <c r="W1773" s="3" t="s">
        <v>2276</v>
      </c>
      <c r="X1773" s="3" t="s">
        <v>2276</v>
      </c>
      <c r="Y1773" s="3" t="s">
        <v>2276</v>
      </c>
      <c r="Z1773" s="3" t="s">
        <v>2276</v>
      </c>
      <c r="AA1773" s="3" t="s">
        <v>2276</v>
      </c>
      <c r="AB1773" s="3" t="s">
        <v>2276</v>
      </c>
      <c r="AC1773" s="3"/>
      <c r="AD1773" s="3"/>
    </row>
    <row r="1774" spans="1:30" ht="45.5" customHeight="1">
      <c r="A1774" s="3" t="s">
        <v>5238</v>
      </c>
      <c r="B1774" s="3" t="s">
        <v>5288</v>
      </c>
      <c r="C1774" s="4" t="s">
        <v>24</v>
      </c>
      <c r="D1774" s="3" t="s">
        <v>27</v>
      </c>
      <c r="E1774" s="3" t="s">
        <v>130</v>
      </c>
      <c r="F1774" s="4" t="s">
        <v>74</v>
      </c>
      <c r="G1774" s="3" t="s">
        <v>2276</v>
      </c>
      <c r="H1774" s="3" t="s">
        <v>523</v>
      </c>
      <c r="I1774" s="3"/>
      <c r="J1774" s="3" t="s">
        <v>2276</v>
      </c>
      <c r="K1774" s="3" t="s">
        <v>2276</v>
      </c>
      <c r="L1774" s="3" t="s">
        <v>2276</v>
      </c>
      <c r="M1774" s="3" t="s">
        <v>2276</v>
      </c>
      <c r="N1774" s="3" t="s">
        <v>2276</v>
      </c>
      <c r="O1774" s="3" t="s">
        <v>2276</v>
      </c>
      <c r="P1774" s="3" t="s">
        <v>2276</v>
      </c>
      <c r="Q1774" s="3" t="s">
        <v>2276</v>
      </c>
      <c r="R1774" s="3" t="s">
        <v>2276</v>
      </c>
      <c r="S1774" s="3" t="s">
        <v>2276</v>
      </c>
      <c r="T1774" s="3" t="s">
        <v>2276</v>
      </c>
      <c r="U1774" s="3" t="s">
        <v>2276</v>
      </c>
      <c r="V1774" s="3" t="s">
        <v>2276</v>
      </c>
      <c r="W1774" s="3" t="s">
        <v>2276</v>
      </c>
      <c r="X1774" s="3" t="s">
        <v>2276</v>
      </c>
      <c r="Y1774" s="3" t="s">
        <v>2276</v>
      </c>
      <c r="Z1774" s="3" t="s">
        <v>2276</v>
      </c>
      <c r="AA1774" s="3" t="s">
        <v>2276</v>
      </c>
      <c r="AB1774" s="3" t="s">
        <v>2276</v>
      </c>
      <c r="AC1774" s="3"/>
      <c r="AD1774" s="3"/>
    </row>
    <row r="1775" spans="1:30" ht="45.5" customHeight="1">
      <c r="A1775" s="3" t="s">
        <v>5238</v>
      </c>
      <c r="B1775" s="3" t="s">
        <v>5289</v>
      </c>
      <c r="C1775" s="3" t="s">
        <v>2458</v>
      </c>
      <c r="D1775" s="3" t="s">
        <v>3476</v>
      </c>
      <c r="E1775" s="3" t="s">
        <v>2276</v>
      </c>
      <c r="F1775" s="4" t="s">
        <v>2276</v>
      </c>
      <c r="G1775" s="4" t="s">
        <v>74</v>
      </c>
      <c r="H1775" s="3" t="s">
        <v>523</v>
      </c>
      <c r="I1775" s="3"/>
      <c r="J1775" s="3" t="s">
        <v>2276</v>
      </c>
      <c r="K1775" s="3" t="s">
        <v>2276</v>
      </c>
      <c r="L1775" s="3" t="s">
        <v>2276</v>
      </c>
      <c r="M1775" s="3" t="s">
        <v>2276</v>
      </c>
      <c r="N1775" s="3" t="s">
        <v>2276</v>
      </c>
      <c r="O1775" s="3" t="s">
        <v>2276</v>
      </c>
      <c r="P1775" s="3" t="s">
        <v>2276</v>
      </c>
      <c r="Q1775" s="3" t="s">
        <v>2276</v>
      </c>
      <c r="R1775" s="3" t="s">
        <v>2276</v>
      </c>
      <c r="S1775" s="3" t="s">
        <v>2276</v>
      </c>
      <c r="T1775" s="3" t="s">
        <v>2276</v>
      </c>
      <c r="U1775" s="3" t="s">
        <v>2276</v>
      </c>
      <c r="V1775" s="3" t="s">
        <v>2276</v>
      </c>
      <c r="W1775" s="3" t="s">
        <v>2276</v>
      </c>
      <c r="X1775" s="3" t="s">
        <v>2276</v>
      </c>
      <c r="Y1775" s="3" t="s">
        <v>2276</v>
      </c>
      <c r="Z1775" s="3" t="s">
        <v>2276</v>
      </c>
      <c r="AA1775" s="3" t="s">
        <v>2276</v>
      </c>
      <c r="AB1775" s="3" t="s">
        <v>2276</v>
      </c>
      <c r="AC1775" s="3"/>
      <c r="AD1775" s="3"/>
    </row>
    <row r="1776" spans="1:30" ht="45.5" customHeight="1">
      <c r="A1776" s="3" t="s">
        <v>5238</v>
      </c>
      <c r="B1776" s="3" t="s">
        <v>5290</v>
      </c>
      <c r="C1776" s="3" t="s">
        <v>31</v>
      </c>
      <c r="D1776" s="3" t="s">
        <v>2276</v>
      </c>
      <c r="E1776" s="3" t="s">
        <v>1105</v>
      </c>
      <c r="F1776" s="4" t="s">
        <v>2276</v>
      </c>
      <c r="G1776" s="4" t="s">
        <v>74</v>
      </c>
      <c r="H1776" s="3" t="s">
        <v>523</v>
      </c>
      <c r="I1776" s="3"/>
      <c r="J1776" s="3" t="s">
        <v>2276</v>
      </c>
      <c r="K1776" s="3" t="s">
        <v>2276</v>
      </c>
      <c r="L1776" s="3" t="s">
        <v>2276</v>
      </c>
      <c r="M1776" s="3" t="s">
        <v>2276</v>
      </c>
      <c r="N1776" s="3" t="s">
        <v>2276</v>
      </c>
      <c r="O1776" s="3" t="s">
        <v>2276</v>
      </c>
      <c r="P1776" s="3" t="s">
        <v>2276</v>
      </c>
      <c r="Q1776" s="3" t="s">
        <v>2276</v>
      </c>
      <c r="R1776" s="3" t="s">
        <v>2276</v>
      </c>
      <c r="S1776" s="3" t="s">
        <v>2276</v>
      </c>
      <c r="T1776" s="3" t="s">
        <v>2276</v>
      </c>
      <c r="U1776" s="3" t="s">
        <v>2276</v>
      </c>
      <c r="V1776" s="3" t="s">
        <v>2276</v>
      </c>
      <c r="W1776" s="3" t="s">
        <v>2276</v>
      </c>
      <c r="X1776" s="3" t="s">
        <v>2276</v>
      </c>
      <c r="Y1776" s="3" t="s">
        <v>2276</v>
      </c>
      <c r="Z1776" s="3" t="s">
        <v>2276</v>
      </c>
      <c r="AA1776" s="3" t="s">
        <v>2276</v>
      </c>
      <c r="AB1776" s="3" t="s">
        <v>2276</v>
      </c>
      <c r="AC1776" s="3"/>
      <c r="AD1776" s="3"/>
    </row>
    <row r="1777" spans="1:30" ht="45.5" customHeight="1">
      <c r="A1777" s="3" t="s">
        <v>5238</v>
      </c>
      <c r="B1777" s="3" t="s">
        <v>5291</v>
      </c>
      <c r="C1777" s="3" t="s">
        <v>2458</v>
      </c>
      <c r="D1777" s="3" t="s">
        <v>406</v>
      </c>
      <c r="E1777" s="3" t="s">
        <v>1105</v>
      </c>
      <c r="F1777" s="4" t="s">
        <v>2276</v>
      </c>
      <c r="G1777" s="4" t="s">
        <v>74</v>
      </c>
      <c r="H1777" s="3" t="s">
        <v>523</v>
      </c>
      <c r="I1777" s="3"/>
      <c r="J1777" s="3" t="s">
        <v>2276</v>
      </c>
      <c r="K1777" s="3" t="s">
        <v>2276</v>
      </c>
      <c r="L1777" s="3" t="s">
        <v>2276</v>
      </c>
      <c r="M1777" s="3" t="s">
        <v>2276</v>
      </c>
      <c r="N1777" s="3" t="s">
        <v>2276</v>
      </c>
      <c r="O1777" s="3" t="s">
        <v>2276</v>
      </c>
      <c r="P1777" s="3" t="s">
        <v>2276</v>
      </c>
      <c r="Q1777" s="3" t="s">
        <v>2276</v>
      </c>
      <c r="R1777" s="3" t="s">
        <v>2276</v>
      </c>
      <c r="S1777" s="3" t="s">
        <v>2276</v>
      </c>
      <c r="T1777" s="3" t="s">
        <v>2276</v>
      </c>
      <c r="U1777" s="3" t="s">
        <v>2276</v>
      </c>
      <c r="V1777" s="3" t="s">
        <v>2276</v>
      </c>
      <c r="W1777" s="3" t="s">
        <v>2276</v>
      </c>
      <c r="X1777" s="3" t="s">
        <v>2276</v>
      </c>
      <c r="Y1777" s="3" t="s">
        <v>2276</v>
      </c>
      <c r="Z1777" s="3" t="s">
        <v>2276</v>
      </c>
      <c r="AA1777" s="3" t="s">
        <v>2276</v>
      </c>
      <c r="AB1777" s="3" t="s">
        <v>2276</v>
      </c>
      <c r="AC1777" s="3"/>
      <c r="AD1777" s="3"/>
    </row>
    <row r="1778" spans="1:30" ht="45.5" customHeight="1">
      <c r="A1778" s="3" t="s">
        <v>5238</v>
      </c>
      <c r="B1778" s="3" t="s">
        <v>5292</v>
      </c>
      <c r="C1778" s="3" t="s">
        <v>2458</v>
      </c>
      <c r="D1778" s="3" t="s">
        <v>2994</v>
      </c>
      <c r="E1778" s="3" t="s">
        <v>1105</v>
      </c>
      <c r="F1778" s="4" t="s">
        <v>2276</v>
      </c>
      <c r="G1778" s="4" t="s">
        <v>74</v>
      </c>
      <c r="H1778" s="3" t="s">
        <v>523</v>
      </c>
      <c r="I1778" s="3"/>
      <c r="J1778" s="3" t="s">
        <v>2276</v>
      </c>
      <c r="K1778" s="3" t="s">
        <v>2276</v>
      </c>
      <c r="L1778" s="3" t="s">
        <v>2276</v>
      </c>
      <c r="M1778" s="3" t="s">
        <v>2276</v>
      </c>
      <c r="N1778" s="3" t="s">
        <v>2276</v>
      </c>
      <c r="O1778" s="3" t="s">
        <v>2276</v>
      </c>
      <c r="P1778" s="3" t="s">
        <v>2276</v>
      </c>
      <c r="Q1778" s="3" t="s">
        <v>2276</v>
      </c>
      <c r="R1778" s="3" t="s">
        <v>2276</v>
      </c>
      <c r="S1778" s="3" t="s">
        <v>2276</v>
      </c>
      <c r="T1778" s="3" t="s">
        <v>2276</v>
      </c>
      <c r="U1778" s="3" t="s">
        <v>2276</v>
      </c>
      <c r="V1778" s="3" t="s">
        <v>2276</v>
      </c>
      <c r="W1778" s="3" t="s">
        <v>2276</v>
      </c>
      <c r="X1778" s="3" t="s">
        <v>2276</v>
      </c>
      <c r="Y1778" s="3" t="s">
        <v>2276</v>
      </c>
      <c r="Z1778" s="3" t="s">
        <v>2276</v>
      </c>
      <c r="AA1778" s="3" t="s">
        <v>2276</v>
      </c>
      <c r="AB1778" s="3" t="s">
        <v>2276</v>
      </c>
      <c r="AC1778" s="3"/>
      <c r="AD1778" s="3"/>
    </row>
    <row r="1779" spans="1:30" ht="45.5" customHeight="1">
      <c r="A1779" s="3" t="s">
        <v>5239</v>
      </c>
      <c r="B1779" s="3" t="s">
        <v>5293</v>
      </c>
      <c r="C1779" s="4" t="s">
        <v>24</v>
      </c>
      <c r="D1779" s="3" t="s">
        <v>25</v>
      </c>
      <c r="E1779" s="3" t="s">
        <v>5005</v>
      </c>
      <c r="F1779" s="4" t="s">
        <v>74</v>
      </c>
      <c r="G1779" s="4" t="s">
        <v>74</v>
      </c>
      <c r="H1779" s="3" t="s">
        <v>523</v>
      </c>
      <c r="I1779" s="3"/>
      <c r="J1779" s="3" t="s">
        <v>2276</v>
      </c>
      <c r="K1779" s="3" t="s">
        <v>2276</v>
      </c>
      <c r="L1779" s="3" t="s">
        <v>2276</v>
      </c>
      <c r="M1779" s="3" t="s">
        <v>2276</v>
      </c>
      <c r="N1779" s="3" t="s">
        <v>2276</v>
      </c>
      <c r="O1779" s="3" t="s">
        <v>2276</v>
      </c>
      <c r="P1779" s="3" t="s">
        <v>2276</v>
      </c>
      <c r="Q1779" s="3" t="s">
        <v>2276</v>
      </c>
      <c r="R1779" s="3" t="s">
        <v>2276</v>
      </c>
      <c r="S1779" s="3" t="s">
        <v>2276</v>
      </c>
      <c r="T1779" s="3" t="s">
        <v>2276</v>
      </c>
      <c r="U1779" s="3" t="s">
        <v>2276</v>
      </c>
      <c r="V1779" s="3" t="s">
        <v>2276</v>
      </c>
      <c r="W1779" s="3" t="s">
        <v>2276</v>
      </c>
      <c r="X1779" s="3" t="s">
        <v>2276</v>
      </c>
      <c r="Y1779" s="3" t="s">
        <v>2276</v>
      </c>
      <c r="Z1779" s="3" t="s">
        <v>2276</v>
      </c>
      <c r="AA1779" s="3" t="s">
        <v>2276</v>
      </c>
      <c r="AB1779" s="3" t="s">
        <v>2276</v>
      </c>
      <c r="AC1779" s="3"/>
      <c r="AD1779" s="4" t="s">
        <v>5336</v>
      </c>
    </row>
    <row r="1780" spans="1:30" ht="45.5" customHeight="1">
      <c r="A1780" s="3" t="s">
        <v>5239</v>
      </c>
      <c r="B1780" s="3" t="s">
        <v>5294</v>
      </c>
      <c r="C1780" s="4" t="s">
        <v>24</v>
      </c>
      <c r="D1780" s="3" t="s">
        <v>3480</v>
      </c>
      <c r="E1780" s="3" t="s">
        <v>116</v>
      </c>
      <c r="F1780" s="4" t="s">
        <v>74</v>
      </c>
      <c r="G1780" s="4" t="s">
        <v>74</v>
      </c>
      <c r="H1780" s="3" t="s">
        <v>523</v>
      </c>
      <c r="I1780" s="3"/>
      <c r="J1780" s="3" t="s">
        <v>2276</v>
      </c>
      <c r="K1780" s="3" t="s">
        <v>2276</v>
      </c>
      <c r="L1780" s="3" t="s">
        <v>2276</v>
      </c>
      <c r="M1780" s="3" t="s">
        <v>2276</v>
      </c>
      <c r="N1780" s="3" t="s">
        <v>2276</v>
      </c>
      <c r="O1780" s="3" t="s">
        <v>2276</v>
      </c>
      <c r="P1780" s="3" t="s">
        <v>2276</v>
      </c>
      <c r="Q1780" s="3" t="s">
        <v>2276</v>
      </c>
      <c r="R1780" s="3" t="s">
        <v>2276</v>
      </c>
      <c r="S1780" s="3" t="s">
        <v>2276</v>
      </c>
      <c r="T1780" s="3" t="s">
        <v>2276</v>
      </c>
      <c r="U1780" s="3" t="s">
        <v>2276</v>
      </c>
      <c r="V1780" s="3" t="s">
        <v>2276</v>
      </c>
      <c r="W1780" s="3" t="s">
        <v>2276</v>
      </c>
      <c r="X1780" s="3" t="s">
        <v>2276</v>
      </c>
      <c r="Y1780" s="3" t="s">
        <v>2276</v>
      </c>
      <c r="Z1780" s="3" t="s">
        <v>2276</v>
      </c>
      <c r="AA1780" s="3" t="s">
        <v>2276</v>
      </c>
      <c r="AB1780" s="3" t="s">
        <v>2276</v>
      </c>
      <c r="AC1780" s="3"/>
      <c r="AD1780" s="3"/>
    </row>
    <row r="1781" spans="1:30" ht="45.5" customHeight="1">
      <c r="A1781" s="3" t="s">
        <v>5239</v>
      </c>
      <c r="B1781" s="3" t="s">
        <v>5295</v>
      </c>
      <c r="C1781" s="4" t="s">
        <v>24</v>
      </c>
      <c r="D1781" s="3" t="s">
        <v>1245</v>
      </c>
      <c r="E1781" s="3" t="s">
        <v>116</v>
      </c>
      <c r="F1781" s="4" t="s">
        <v>74</v>
      </c>
      <c r="G1781" s="4" t="s">
        <v>74</v>
      </c>
      <c r="H1781" s="3" t="s">
        <v>523</v>
      </c>
      <c r="I1781" s="3"/>
      <c r="J1781" s="3" t="s">
        <v>2276</v>
      </c>
      <c r="K1781" s="3" t="s">
        <v>2276</v>
      </c>
      <c r="L1781" s="3" t="s">
        <v>2276</v>
      </c>
      <c r="M1781" s="3" t="s">
        <v>2276</v>
      </c>
      <c r="N1781" s="3" t="s">
        <v>2276</v>
      </c>
      <c r="O1781" s="3" t="s">
        <v>2276</v>
      </c>
      <c r="P1781" s="3" t="s">
        <v>2276</v>
      </c>
      <c r="Q1781" s="3" t="s">
        <v>2276</v>
      </c>
      <c r="R1781" s="3" t="s">
        <v>2276</v>
      </c>
      <c r="S1781" s="3" t="s">
        <v>2276</v>
      </c>
      <c r="T1781" s="3" t="s">
        <v>2276</v>
      </c>
      <c r="U1781" s="3" t="s">
        <v>2276</v>
      </c>
      <c r="V1781" s="3" t="s">
        <v>2276</v>
      </c>
      <c r="W1781" s="3" t="s">
        <v>2276</v>
      </c>
      <c r="X1781" s="3" t="s">
        <v>2276</v>
      </c>
      <c r="Y1781" s="3" t="s">
        <v>2276</v>
      </c>
      <c r="Z1781" s="3" t="s">
        <v>2276</v>
      </c>
      <c r="AA1781" s="3" t="s">
        <v>2276</v>
      </c>
      <c r="AB1781" s="3" t="s">
        <v>2276</v>
      </c>
      <c r="AC1781" s="3"/>
      <c r="AD1781" s="3"/>
    </row>
    <row r="1782" spans="1:30" ht="45.5" customHeight="1">
      <c r="A1782" s="3" t="s">
        <v>5239</v>
      </c>
      <c r="B1782" s="3" t="s">
        <v>5296</v>
      </c>
      <c r="C1782" s="4" t="s">
        <v>24</v>
      </c>
      <c r="D1782" s="3" t="s">
        <v>4162</v>
      </c>
      <c r="E1782" s="3" t="s">
        <v>863</v>
      </c>
      <c r="F1782" s="4" t="s">
        <v>74</v>
      </c>
      <c r="G1782" s="4" t="s">
        <v>74</v>
      </c>
      <c r="H1782" s="3" t="s">
        <v>523</v>
      </c>
      <c r="I1782" s="3"/>
      <c r="J1782" s="3" t="s">
        <v>2276</v>
      </c>
      <c r="K1782" s="3" t="s">
        <v>2276</v>
      </c>
      <c r="L1782" s="3" t="s">
        <v>2276</v>
      </c>
      <c r="M1782" s="3" t="s">
        <v>2276</v>
      </c>
      <c r="N1782" s="3" t="s">
        <v>2276</v>
      </c>
      <c r="O1782" s="3" t="s">
        <v>2276</v>
      </c>
      <c r="P1782" s="3" t="s">
        <v>2276</v>
      </c>
      <c r="Q1782" s="3" t="s">
        <v>2276</v>
      </c>
      <c r="R1782" s="3" t="s">
        <v>2276</v>
      </c>
      <c r="S1782" s="3" t="s">
        <v>2276</v>
      </c>
      <c r="T1782" s="3" t="s">
        <v>2276</v>
      </c>
      <c r="U1782" s="3" t="s">
        <v>2276</v>
      </c>
      <c r="V1782" s="3" t="s">
        <v>2276</v>
      </c>
      <c r="W1782" s="3" t="s">
        <v>2276</v>
      </c>
      <c r="X1782" s="3" t="s">
        <v>2276</v>
      </c>
      <c r="Y1782" s="3" t="s">
        <v>2276</v>
      </c>
      <c r="Z1782" s="3" t="s">
        <v>2276</v>
      </c>
      <c r="AA1782" s="3" t="s">
        <v>2276</v>
      </c>
      <c r="AB1782" s="3" t="s">
        <v>2276</v>
      </c>
      <c r="AC1782" s="3"/>
      <c r="AD1782" s="3"/>
    </row>
    <row r="1783" spans="1:30" ht="45.5" customHeight="1">
      <c r="A1783" s="3" t="s">
        <v>5239</v>
      </c>
      <c r="B1783" s="3" t="s">
        <v>5297</v>
      </c>
      <c r="C1783" s="4" t="s">
        <v>24</v>
      </c>
      <c r="D1783" s="3" t="s">
        <v>2346</v>
      </c>
      <c r="E1783" s="3" t="s">
        <v>2276</v>
      </c>
      <c r="F1783" s="4" t="s">
        <v>2276</v>
      </c>
      <c r="G1783" s="4" t="s">
        <v>74</v>
      </c>
      <c r="H1783" s="3" t="s">
        <v>523</v>
      </c>
      <c r="I1783" s="3"/>
      <c r="J1783" s="3" t="s">
        <v>2276</v>
      </c>
      <c r="K1783" s="3" t="s">
        <v>2276</v>
      </c>
      <c r="L1783" s="3" t="s">
        <v>2276</v>
      </c>
      <c r="M1783" s="3" t="s">
        <v>2276</v>
      </c>
      <c r="N1783" s="3" t="s">
        <v>2276</v>
      </c>
      <c r="O1783" s="3" t="s">
        <v>2276</v>
      </c>
      <c r="P1783" s="3" t="s">
        <v>2276</v>
      </c>
      <c r="Q1783" s="3" t="s">
        <v>2276</v>
      </c>
      <c r="R1783" s="3" t="s">
        <v>2276</v>
      </c>
      <c r="S1783" s="3" t="s">
        <v>2276</v>
      </c>
      <c r="T1783" s="3" t="s">
        <v>2276</v>
      </c>
      <c r="U1783" s="3" t="s">
        <v>2276</v>
      </c>
      <c r="V1783" s="3" t="s">
        <v>2276</v>
      </c>
      <c r="W1783" s="3" t="s">
        <v>2276</v>
      </c>
      <c r="X1783" s="3" t="s">
        <v>2276</v>
      </c>
      <c r="Y1783" s="3" t="s">
        <v>2276</v>
      </c>
      <c r="Z1783" s="3" t="s">
        <v>2276</v>
      </c>
      <c r="AA1783" s="3" t="s">
        <v>2276</v>
      </c>
      <c r="AB1783" s="3" t="s">
        <v>2276</v>
      </c>
      <c r="AC1783" s="3"/>
      <c r="AD1783" s="3"/>
    </row>
    <row r="1784" spans="1:30" ht="45.5" customHeight="1">
      <c r="A1784" s="3" t="s">
        <v>5239</v>
      </c>
      <c r="B1784" s="3" t="s">
        <v>5298</v>
      </c>
      <c r="C1784" s="4" t="s">
        <v>24</v>
      </c>
      <c r="D1784" s="3" t="s">
        <v>27</v>
      </c>
      <c r="E1784" s="3" t="s">
        <v>130</v>
      </c>
      <c r="F1784" s="4" t="s">
        <v>74</v>
      </c>
      <c r="G1784" s="3" t="s">
        <v>2276</v>
      </c>
      <c r="H1784" s="3" t="s">
        <v>523</v>
      </c>
      <c r="I1784" s="3"/>
      <c r="J1784" s="3" t="s">
        <v>2276</v>
      </c>
      <c r="K1784" s="3" t="s">
        <v>2276</v>
      </c>
      <c r="L1784" s="3" t="s">
        <v>2276</v>
      </c>
      <c r="M1784" s="3" t="s">
        <v>2276</v>
      </c>
      <c r="N1784" s="3" t="s">
        <v>2276</v>
      </c>
      <c r="O1784" s="3" t="s">
        <v>2276</v>
      </c>
      <c r="P1784" s="3" t="s">
        <v>2276</v>
      </c>
      <c r="Q1784" s="3" t="s">
        <v>2276</v>
      </c>
      <c r="R1784" s="3" t="s">
        <v>2276</v>
      </c>
      <c r="S1784" s="3" t="s">
        <v>2276</v>
      </c>
      <c r="T1784" s="3" t="s">
        <v>2276</v>
      </c>
      <c r="U1784" s="3" t="s">
        <v>2276</v>
      </c>
      <c r="V1784" s="3" t="s">
        <v>2276</v>
      </c>
      <c r="W1784" s="3" t="s">
        <v>2276</v>
      </c>
      <c r="X1784" s="3" t="s">
        <v>2276</v>
      </c>
      <c r="Y1784" s="3" t="s">
        <v>2276</v>
      </c>
      <c r="Z1784" s="3" t="s">
        <v>2276</v>
      </c>
      <c r="AA1784" s="3" t="s">
        <v>2276</v>
      </c>
      <c r="AB1784" s="3" t="s">
        <v>2276</v>
      </c>
      <c r="AC1784" s="3"/>
      <c r="AD1784" s="3"/>
    </row>
    <row r="1785" spans="1:30" ht="45.5" customHeight="1">
      <c r="A1785" s="3" t="s">
        <v>5239</v>
      </c>
      <c r="B1785" s="3" t="s">
        <v>5299</v>
      </c>
      <c r="C1785" s="3" t="s">
        <v>2458</v>
      </c>
      <c r="D1785" s="3" t="s">
        <v>3476</v>
      </c>
      <c r="E1785" s="3" t="s">
        <v>2276</v>
      </c>
      <c r="F1785" s="4" t="s">
        <v>2276</v>
      </c>
      <c r="G1785" s="4" t="s">
        <v>74</v>
      </c>
      <c r="H1785" s="3" t="s">
        <v>523</v>
      </c>
      <c r="I1785" s="3"/>
      <c r="J1785" s="3" t="s">
        <v>2276</v>
      </c>
      <c r="K1785" s="3" t="s">
        <v>2276</v>
      </c>
      <c r="L1785" s="3" t="s">
        <v>2276</v>
      </c>
      <c r="M1785" s="3" t="s">
        <v>2276</v>
      </c>
      <c r="N1785" s="3" t="s">
        <v>2276</v>
      </c>
      <c r="O1785" s="3" t="s">
        <v>2276</v>
      </c>
      <c r="P1785" s="3" t="s">
        <v>2276</v>
      </c>
      <c r="Q1785" s="3" t="s">
        <v>2276</v>
      </c>
      <c r="R1785" s="3" t="s">
        <v>2276</v>
      </c>
      <c r="S1785" s="3" t="s">
        <v>2276</v>
      </c>
      <c r="T1785" s="3" t="s">
        <v>2276</v>
      </c>
      <c r="U1785" s="3" t="s">
        <v>2276</v>
      </c>
      <c r="V1785" s="3" t="s">
        <v>2276</v>
      </c>
      <c r="W1785" s="3" t="s">
        <v>2276</v>
      </c>
      <c r="X1785" s="3" t="s">
        <v>2276</v>
      </c>
      <c r="Y1785" s="3" t="s">
        <v>2276</v>
      </c>
      <c r="Z1785" s="3" t="s">
        <v>2276</v>
      </c>
      <c r="AA1785" s="3" t="s">
        <v>2276</v>
      </c>
      <c r="AB1785" s="3" t="s">
        <v>2276</v>
      </c>
      <c r="AC1785" s="3"/>
      <c r="AD1785" s="3"/>
    </row>
    <row r="1786" spans="1:30" ht="45.5" customHeight="1">
      <c r="A1786" s="3" t="s">
        <v>5239</v>
      </c>
      <c r="B1786" s="3" t="s">
        <v>5300</v>
      </c>
      <c r="C1786" s="3" t="s">
        <v>31</v>
      </c>
      <c r="D1786" s="3" t="s">
        <v>2276</v>
      </c>
      <c r="E1786" s="3" t="s">
        <v>1105</v>
      </c>
      <c r="F1786" s="4" t="s">
        <v>2276</v>
      </c>
      <c r="G1786" s="4" t="s">
        <v>74</v>
      </c>
      <c r="H1786" s="3" t="s">
        <v>523</v>
      </c>
      <c r="I1786" s="3"/>
      <c r="J1786" s="3" t="s">
        <v>2276</v>
      </c>
      <c r="K1786" s="3" t="s">
        <v>2276</v>
      </c>
      <c r="L1786" s="3" t="s">
        <v>2276</v>
      </c>
      <c r="M1786" s="3" t="s">
        <v>2276</v>
      </c>
      <c r="N1786" s="3" t="s">
        <v>2276</v>
      </c>
      <c r="O1786" s="3" t="s">
        <v>2276</v>
      </c>
      <c r="P1786" s="3" t="s">
        <v>2276</v>
      </c>
      <c r="Q1786" s="3" t="s">
        <v>2276</v>
      </c>
      <c r="R1786" s="3" t="s">
        <v>2276</v>
      </c>
      <c r="S1786" s="3" t="s">
        <v>2276</v>
      </c>
      <c r="T1786" s="3" t="s">
        <v>2276</v>
      </c>
      <c r="U1786" s="3" t="s">
        <v>2276</v>
      </c>
      <c r="V1786" s="3" t="s">
        <v>2276</v>
      </c>
      <c r="W1786" s="3" t="s">
        <v>2276</v>
      </c>
      <c r="X1786" s="3" t="s">
        <v>2276</v>
      </c>
      <c r="Y1786" s="3" t="s">
        <v>2276</v>
      </c>
      <c r="Z1786" s="3" t="s">
        <v>2276</v>
      </c>
      <c r="AA1786" s="3" t="s">
        <v>2276</v>
      </c>
      <c r="AB1786" s="3" t="s">
        <v>2276</v>
      </c>
      <c r="AC1786" s="3"/>
      <c r="AD1786" s="3"/>
    </row>
    <row r="1787" spans="1:30" ht="45.5" customHeight="1">
      <c r="A1787" s="3" t="s">
        <v>5239</v>
      </c>
      <c r="B1787" s="3" t="s">
        <v>5301</v>
      </c>
      <c r="C1787" s="3" t="s">
        <v>2458</v>
      </c>
      <c r="D1787" s="3" t="s">
        <v>406</v>
      </c>
      <c r="E1787" s="3" t="s">
        <v>1105</v>
      </c>
      <c r="F1787" s="4" t="s">
        <v>2276</v>
      </c>
      <c r="G1787" s="4" t="s">
        <v>74</v>
      </c>
      <c r="H1787" s="3" t="s">
        <v>523</v>
      </c>
      <c r="I1787" s="3"/>
      <c r="J1787" s="3" t="s">
        <v>2276</v>
      </c>
      <c r="K1787" s="3" t="s">
        <v>2276</v>
      </c>
      <c r="L1787" s="3" t="s">
        <v>2276</v>
      </c>
      <c r="M1787" s="3" t="s">
        <v>2276</v>
      </c>
      <c r="N1787" s="3" t="s">
        <v>2276</v>
      </c>
      <c r="O1787" s="3" t="s">
        <v>2276</v>
      </c>
      <c r="P1787" s="3" t="s">
        <v>2276</v>
      </c>
      <c r="Q1787" s="3" t="s">
        <v>2276</v>
      </c>
      <c r="R1787" s="3" t="s">
        <v>2276</v>
      </c>
      <c r="S1787" s="3" t="s">
        <v>2276</v>
      </c>
      <c r="T1787" s="3" t="s">
        <v>2276</v>
      </c>
      <c r="U1787" s="3" t="s">
        <v>2276</v>
      </c>
      <c r="V1787" s="3" t="s">
        <v>2276</v>
      </c>
      <c r="W1787" s="3" t="s">
        <v>2276</v>
      </c>
      <c r="X1787" s="3" t="s">
        <v>2276</v>
      </c>
      <c r="Y1787" s="3" t="s">
        <v>2276</v>
      </c>
      <c r="Z1787" s="3" t="s">
        <v>2276</v>
      </c>
      <c r="AA1787" s="3" t="s">
        <v>2276</v>
      </c>
      <c r="AB1787" s="3" t="s">
        <v>2276</v>
      </c>
      <c r="AC1787" s="3"/>
      <c r="AD1787" s="3"/>
    </row>
    <row r="1788" spans="1:30" ht="45.5" customHeight="1">
      <c r="A1788" s="3" t="s">
        <v>5239</v>
      </c>
      <c r="B1788" s="3" t="s">
        <v>5302</v>
      </c>
      <c r="C1788" s="3" t="s">
        <v>2458</v>
      </c>
      <c r="D1788" s="3" t="s">
        <v>2994</v>
      </c>
      <c r="E1788" s="3" t="s">
        <v>1105</v>
      </c>
      <c r="F1788" s="4" t="s">
        <v>2276</v>
      </c>
      <c r="G1788" s="4" t="s">
        <v>74</v>
      </c>
      <c r="H1788" s="3" t="s">
        <v>523</v>
      </c>
      <c r="I1788" s="3"/>
      <c r="J1788" s="3" t="s">
        <v>2276</v>
      </c>
      <c r="K1788" s="3" t="s">
        <v>2276</v>
      </c>
      <c r="L1788" s="3" t="s">
        <v>2276</v>
      </c>
      <c r="M1788" s="3" t="s">
        <v>2276</v>
      </c>
      <c r="N1788" s="3" t="s">
        <v>2276</v>
      </c>
      <c r="O1788" s="3" t="s">
        <v>2276</v>
      </c>
      <c r="P1788" s="3" t="s">
        <v>2276</v>
      </c>
      <c r="Q1788" s="3" t="s">
        <v>2276</v>
      </c>
      <c r="R1788" s="3" t="s">
        <v>2276</v>
      </c>
      <c r="S1788" s="3" t="s">
        <v>2276</v>
      </c>
      <c r="T1788" s="3" t="s">
        <v>2276</v>
      </c>
      <c r="U1788" s="3" t="s">
        <v>2276</v>
      </c>
      <c r="V1788" s="3" t="s">
        <v>2276</v>
      </c>
      <c r="W1788" s="3" t="s">
        <v>2276</v>
      </c>
      <c r="X1788" s="3" t="s">
        <v>2276</v>
      </c>
      <c r="Y1788" s="3" t="s">
        <v>2276</v>
      </c>
      <c r="Z1788" s="3" t="s">
        <v>2276</v>
      </c>
      <c r="AA1788" s="3" t="s">
        <v>2276</v>
      </c>
      <c r="AB1788" s="3" t="s">
        <v>2276</v>
      </c>
      <c r="AC1788" s="3"/>
      <c r="AD1788" s="3"/>
    </row>
    <row r="1789" spans="1:30" ht="45.5" customHeight="1">
      <c r="A1789" s="3" t="s">
        <v>5240</v>
      </c>
      <c r="B1789" s="3" t="s">
        <v>5303</v>
      </c>
      <c r="C1789" s="4" t="s">
        <v>24</v>
      </c>
      <c r="D1789" s="3" t="s">
        <v>25</v>
      </c>
      <c r="E1789" s="3" t="s">
        <v>5005</v>
      </c>
      <c r="F1789" s="4" t="s">
        <v>74</v>
      </c>
      <c r="G1789" s="4" t="s">
        <v>74</v>
      </c>
      <c r="H1789" s="3" t="s">
        <v>523</v>
      </c>
      <c r="I1789" s="3"/>
      <c r="J1789" s="3" t="s">
        <v>2276</v>
      </c>
      <c r="K1789" s="3" t="s">
        <v>2276</v>
      </c>
      <c r="L1789" s="3" t="s">
        <v>2276</v>
      </c>
      <c r="M1789" s="3" t="s">
        <v>2276</v>
      </c>
      <c r="N1789" s="3" t="s">
        <v>2276</v>
      </c>
      <c r="O1789" s="3" t="s">
        <v>2276</v>
      </c>
      <c r="P1789" s="3" t="s">
        <v>2276</v>
      </c>
      <c r="Q1789" s="3" t="s">
        <v>2276</v>
      </c>
      <c r="R1789" s="3" t="s">
        <v>2276</v>
      </c>
      <c r="S1789" s="3" t="s">
        <v>2276</v>
      </c>
      <c r="T1789" s="3" t="s">
        <v>2276</v>
      </c>
      <c r="U1789" s="3" t="s">
        <v>2276</v>
      </c>
      <c r="V1789" s="3" t="s">
        <v>2276</v>
      </c>
      <c r="W1789" s="3" t="s">
        <v>2276</v>
      </c>
      <c r="X1789" s="3" t="s">
        <v>2276</v>
      </c>
      <c r="Y1789" s="3" t="s">
        <v>2276</v>
      </c>
      <c r="Z1789" s="3" t="s">
        <v>2276</v>
      </c>
      <c r="AA1789" s="3" t="s">
        <v>2276</v>
      </c>
      <c r="AB1789" s="3" t="s">
        <v>2276</v>
      </c>
      <c r="AC1789" s="3"/>
      <c r="AD1789" s="4" t="s">
        <v>5336</v>
      </c>
    </row>
    <row r="1790" spans="1:30" ht="45.5" customHeight="1">
      <c r="A1790" s="3" t="s">
        <v>5240</v>
      </c>
      <c r="B1790" s="3" t="s">
        <v>5304</v>
      </c>
      <c r="C1790" s="4" t="s">
        <v>24</v>
      </c>
      <c r="D1790" s="3" t="s">
        <v>3480</v>
      </c>
      <c r="E1790" s="3" t="s">
        <v>116</v>
      </c>
      <c r="F1790" s="4" t="s">
        <v>74</v>
      </c>
      <c r="G1790" s="4" t="s">
        <v>74</v>
      </c>
      <c r="H1790" s="3" t="s">
        <v>523</v>
      </c>
      <c r="I1790" s="3"/>
      <c r="J1790" s="3" t="s">
        <v>2276</v>
      </c>
      <c r="K1790" s="3" t="s">
        <v>2276</v>
      </c>
      <c r="L1790" s="3" t="s">
        <v>2276</v>
      </c>
      <c r="M1790" s="3" t="s">
        <v>2276</v>
      </c>
      <c r="N1790" s="3" t="s">
        <v>2276</v>
      </c>
      <c r="O1790" s="3" t="s">
        <v>2276</v>
      </c>
      <c r="P1790" s="3" t="s">
        <v>2276</v>
      </c>
      <c r="Q1790" s="3" t="s">
        <v>2276</v>
      </c>
      <c r="R1790" s="3" t="s">
        <v>2276</v>
      </c>
      <c r="S1790" s="3" t="s">
        <v>2276</v>
      </c>
      <c r="T1790" s="3" t="s">
        <v>2276</v>
      </c>
      <c r="U1790" s="3" t="s">
        <v>2276</v>
      </c>
      <c r="V1790" s="3" t="s">
        <v>2276</v>
      </c>
      <c r="W1790" s="3" t="s">
        <v>2276</v>
      </c>
      <c r="X1790" s="3" t="s">
        <v>2276</v>
      </c>
      <c r="Y1790" s="3" t="s">
        <v>2276</v>
      </c>
      <c r="Z1790" s="3" t="s">
        <v>2276</v>
      </c>
      <c r="AA1790" s="3" t="s">
        <v>2276</v>
      </c>
      <c r="AB1790" s="3" t="s">
        <v>2276</v>
      </c>
      <c r="AC1790" s="3"/>
      <c r="AD1790" s="3"/>
    </row>
    <row r="1791" spans="1:30" ht="45.5" customHeight="1">
      <c r="A1791" s="3" t="s">
        <v>5240</v>
      </c>
      <c r="B1791" s="3" t="s">
        <v>5305</v>
      </c>
      <c r="C1791" s="4" t="s">
        <v>24</v>
      </c>
      <c r="D1791" s="3" t="s">
        <v>1245</v>
      </c>
      <c r="E1791" s="3" t="s">
        <v>116</v>
      </c>
      <c r="F1791" s="4" t="s">
        <v>74</v>
      </c>
      <c r="G1791" s="4" t="s">
        <v>74</v>
      </c>
      <c r="H1791" s="3" t="s">
        <v>523</v>
      </c>
      <c r="I1791" s="3"/>
      <c r="J1791" s="3" t="s">
        <v>2276</v>
      </c>
      <c r="K1791" s="3" t="s">
        <v>2276</v>
      </c>
      <c r="L1791" s="3" t="s">
        <v>2276</v>
      </c>
      <c r="M1791" s="3" t="s">
        <v>2276</v>
      </c>
      <c r="N1791" s="3" t="s">
        <v>2276</v>
      </c>
      <c r="O1791" s="3" t="s">
        <v>2276</v>
      </c>
      <c r="P1791" s="3" t="s">
        <v>2276</v>
      </c>
      <c r="Q1791" s="3" t="s">
        <v>2276</v>
      </c>
      <c r="R1791" s="3" t="s">
        <v>2276</v>
      </c>
      <c r="S1791" s="3" t="s">
        <v>2276</v>
      </c>
      <c r="T1791" s="3" t="s">
        <v>2276</v>
      </c>
      <c r="U1791" s="3" t="s">
        <v>2276</v>
      </c>
      <c r="V1791" s="3" t="s">
        <v>2276</v>
      </c>
      <c r="W1791" s="3" t="s">
        <v>2276</v>
      </c>
      <c r="X1791" s="3" t="s">
        <v>2276</v>
      </c>
      <c r="Y1791" s="3" t="s">
        <v>2276</v>
      </c>
      <c r="Z1791" s="3" t="s">
        <v>2276</v>
      </c>
      <c r="AA1791" s="3" t="s">
        <v>2276</v>
      </c>
      <c r="AB1791" s="3" t="s">
        <v>2276</v>
      </c>
      <c r="AC1791" s="3"/>
      <c r="AD1791" s="3"/>
    </row>
    <row r="1792" spans="1:30" ht="45.5" customHeight="1">
      <c r="A1792" s="3" t="s">
        <v>5240</v>
      </c>
      <c r="B1792" s="3" t="s">
        <v>5306</v>
      </c>
      <c r="C1792" s="4" t="s">
        <v>24</v>
      </c>
      <c r="D1792" s="3" t="s">
        <v>4162</v>
      </c>
      <c r="E1792" s="3" t="s">
        <v>863</v>
      </c>
      <c r="F1792" s="4" t="s">
        <v>74</v>
      </c>
      <c r="G1792" s="4" t="s">
        <v>74</v>
      </c>
      <c r="H1792" s="3" t="s">
        <v>523</v>
      </c>
      <c r="I1792" s="3"/>
      <c r="J1792" s="3" t="s">
        <v>2276</v>
      </c>
      <c r="K1792" s="3" t="s">
        <v>2276</v>
      </c>
      <c r="L1792" s="3" t="s">
        <v>2276</v>
      </c>
      <c r="M1792" s="3" t="s">
        <v>2276</v>
      </c>
      <c r="N1792" s="3" t="s">
        <v>2276</v>
      </c>
      <c r="O1792" s="3" t="s">
        <v>2276</v>
      </c>
      <c r="P1792" s="3" t="s">
        <v>2276</v>
      </c>
      <c r="Q1792" s="3" t="s">
        <v>2276</v>
      </c>
      <c r="R1792" s="3" t="s">
        <v>2276</v>
      </c>
      <c r="S1792" s="3" t="s">
        <v>2276</v>
      </c>
      <c r="T1792" s="3" t="s">
        <v>2276</v>
      </c>
      <c r="U1792" s="3" t="s">
        <v>2276</v>
      </c>
      <c r="V1792" s="3" t="s">
        <v>2276</v>
      </c>
      <c r="W1792" s="3" t="s">
        <v>2276</v>
      </c>
      <c r="X1792" s="3" t="s">
        <v>2276</v>
      </c>
      <c r="Y1792" s="3" t="s">
        <v>2276</v>
      </c>
      <c r="Z1792" s="3" t="s">
        <v>2276</v>
      </c>
      <c r="AA1792" s="3" t="s">
        <v>2276</v>
      </c>
      <c r="AB1792" s="3" t="s">
        <v>2276</v>
      </c>
      <c r="AC1792" s="3"/>
      <c r="AD1792" s="3"/>
    </row>
    <row r="1793" spans="1:30" ht="45.5" customHeight="1">
      <c r="A1793" s="3" t="s">
        <v>5240</v>
      </c>
      <c r="B1793" s="3" t="s">
        <v>5307</v>
      </c>
      <c r="C1793" s="4" t="s">
        <v>24</v>
      </c>
      <c r="D1793" s="3" t="s">
        <v>2346</v>
      </c>
      <c r="E1793" s="3" t="s">
        <v>2276</v>
      </c>
      <c r="F1793" s="4" t="s">
        <v>2276</v>
      </c>
      <c r="G1793" s="4" t="s">
        <v>74</v>
      </c>
      <c r="H1793" s="3" t="s">
        <v>523</v>
      </c>
      <c r="I1793" s="3"/>
      <c r="J1793" s="3" t="s">
        <v>2276</v>
      </c>
      <c r="K1793" s="3" t="s">
        <v>2276</v>
      </c>
      <c r="L1793" s="3" t="s">
        <v>2276</v>
      </c>
      <c r="M1793" s="3" t="s">
        <v>2276</v>
      </c>
      <c r="N1793" s="3" t="s">
        <v>2276</v>
      </c>
      <c r="O1793" s="3" t="s">
        <v>2276</v>
      </c>
      <c r="P1793" s="3" t="s">
        <v>2276</v>
      </c>
      <c r="Q1793" s="3" t="s">
        <v>2276</v>
      </c>
      <c r="R1793" s="3" t="s">
        <v>2276</v>
      </c>
      <c r="S1793" s="3" t="s">
        <v>2276</v>
      </c>
      <c r="T1793" s="3" t="s">
        <v>2276</v>
      </c>
      <c r="U1793" s="3" t="s">
        <v>2276</v>
      </c>
      <c r="V1793" s="3" t="s">
        <v>2276</v>
      </c>
      <c r="W1793" s="3" t="s">
        <v>2276</v>
      </c>
      <c r="X1793" s="3" t="s">
        <v>2276</v>
      </c>
      <c r="Y1793" s="3" t="s">
        <v>2276</v>
      </c>
      <c r="Z1793" s="3" t="s">
        <v>2276</v>
      </c>
      <c r="AA1793" s="3" t="s">
        <v>2276</v>
      </c>
      <c r="AB1793" s="3" t="s">
        <v>2276</v>
      </c>
      <c r="AC1793" s="3"/>
      <c r="AD1793" s="3"/>
    </row>
    <row r="1794" spans="1:30" ht="45.5" customHeight="1">
      <c r="A1794" s="3" t="s">
        <v>5240</v>
      </c>
      <c r="B1794" s="3" t="s">
        <v>5308</v>
      </c>
      <c r="C1794" s="4" t="s">
        <v>24</v>
      </c>
      <c r="D1794" s="3" t="s">
        <v>27</v>
      </c>
      <c r="E1794" s="3" t="s">
        <v>130</v>
      </c>
      <c r="F1794" s="4" t="s">
        <v>74</v>
      </c>
      <c r="G1794" s="3" t="s">
        <v>2276</v>
      </c>
      <c r="H1794" s="3" t="s">
        <v>523</v>
      </c>
      <c r="I1794" s="3"/>
      <c r="J1794" s="3" t="s">
        <v>2276</v>
      </c>
      <c r="K1794" s="3" t="s">
        <v>2276</v>
      </c>
      <c r="L1794" s="3" t="s">
        <v>2276</v>
      </c>
      <c r="M1794" s="3" t="s">
        <v>2276</v>
      </c>
      <c r="N1794" s="3" t="s">
        <v>2276</v>
      </c>
      <c r="O1794" s="3" t="s">
        <v>2276</v>
      </c>
      <c r="P1794" s="3" t="s">
        <v>2276</v>
      </c>
      <c r="Q1794" s="3" t="s">
        <v>2276</v>
      </c>
      <c r="R1794" s="3" t="s">
        <v>2276</v>
      </c>
      <c r="S1794" s="3" t="s">
        <v>2276</v>
      </c>
      <c r="T1794" s="3" t="s">
        <v>2276</v>
      </c>
      <c r="U1794" s="3" t="s">
        <v>2276</v>
      </c>
      <c r="V1794" s="3" t="s">
        <v>2276</v>
      </c>
      <c r="W1794" s="3" t="s">
        <v>2276</v>
      </c>
      <c r="X1794" s="3" t="s">
        <v>2276</v>
      </c>
      <c r="Y1794" s="3" t="s">
        <v>2276</v>
      </c>
      <c r="Z1794" s="3" t="s">
        <v>2276</v>
      </c>
      <c r="AA1794" s="3" t="s">
        <v>2276</v>
      </c>
      <c r="AB1794" s="3" t="s">
        <v>2276</v>
      </c>
      <c r="AC1794" s="3"/>
      <c r="AD1794" s="3"/>
    </row>
    <row r="1795" spans="1:30" ht="45.5" customHeight="1">
      <c r="A1795" s="3" t="s">
        <v>5240</v>
      </c>
      <c r="B1795" s="3" t="s">
        <v>5309</v>
      </c>
      <c r="C1795" s="3" t="s">
        <v>2458</v>
      </c>
      <c r="D1795" s="3" t="s">
        <v>3476</v>
      </c>
      <c r="E1795" s="3" t="s">
        <v>2276</v>
      </c>
      <c r="F1795" s="4" t="s">
        <v>2276</v>
      </c>
      <c r="G1795" s="4" t="s">
        <v>74</v>
      </c>
      <c r="H1795" s="3" t="s">
        <v>523</v>
      </c>
      <c r="I1795" s="3"/>
      <c r="J1795" s="3" t="s">
        <v>2276</v>
      </c>
      <c r="K1795" s="3" t="s">
        <v>2276</v>
      </c>
      <c r="L1795" s="3" t="s">
        <v>2276</v>
      </c>
      <c r="M1795" s="3" t="s">
        <v>2276</v>
      </c>
      <c r="N1795" s="3" t="s">
        <v>2276</v>
      </c>
      <c r="O1795" s="3" t="s">
        <v>2276</v>
      </c>
      <c r="P1795" s="3" t="s">
        <v>2276</v>
      </c>
      <c r="Q1795" s="3" t="s">
        <v>2276</v>
      </c>
      <c r="R1795" s="3" t="s">
        <v>2276</v>
      </c>
      <c r="S1795" s="3" t="s">
        <v>2276</v>
      </c>
      <c r="T1795" s="3" t="s">
        <v>2276</v>
      </c>
      <c r="U1795" s="3" t="s">
        <v>2276</v>
      </c>
      <c r="V1795" s="3" t="s">
        <v>2276</v>
      </c>
      <c r="W1795" s="3" t="s">
        <v>2276</v>
      </c>
      <c r="X1795" s="3" t="s">
        <v>2276</v>
      </c>
      <c r="Y1795" s="3" t="s">
        <v>2276</v>
      </c>
      <c r="Z1795" s="3" t="s">
        <v>2276</v>
      </c>
      <c r="AA1795" s="3" t="s">
        <v>2276</v>
      </c>
      <c r="AB1795" s="3" t="s">
        <v>2276</v>
      </c>
      <c r="AC1795" s="3"/>
      <c r="AD1795" s="3"/>
    </row>
    <row r="1796" spans="1:30" ht="45.5" customHeight="1">
      <c r="A1796" s="3" t="s">
        <v>5240</v>
      </c>
      <c r="B1796" s="3" t="s">
        <v>5310</v>
      </c>
      <c r="C1796" s="3" t="s">
        <v>31</v>
      </c>
      <c r="D1796" s="3" t="s">
        <v>2276</v>
      </c>
      <c r="E1796" s="3" t="s">
        <v>1105</v>
      </c>
      <c r="F1796" s="4" t="s">
        <v>2276</v>
      </c>
      <c r="G1796" s="4" t="s">
        <v>74</v>
      </c>
      <c r="H1796" s="3" t="s">
        <v>523</v>
      </c>
      <c r="I1796" s="3"/>
      <c r="J1796" s="3" t="s">
        <v>2276</v>
      </c>
      <c r="K1796" s="3" t="s">
        <v>2276</v>
      </c>
      <c r="L1796" s="3" t="s">
        <v>2276</v>
      </c>
      <c r="M1796" s="3" t="s">
        <v>2276</v>
      </c>
      <c r="N1796" s="3" t="s">
        <v>2276</v>
      </c>
      <c r="O1796" s="3" t="s">
        <v>2276</v>
      </c>
      <c r="P1796" s="3" t="s">
        <v>2276</v>
      </c>
      <c r="Q1796" s="3" t="s">
        <v>2276</v>
      </c>
      <c r="R1796" s="3" t="s">
        <v>2276</v>
      </c>
      <c r="S1796" s="3" t="s">
        <v>2276</v>
      </c>
      <c r="T1796" s="3" t="s">
        <v>2276</v>
      </c>
      <c r="U1796" s="3" t="s">
        <v>2276</v>
      </c>
      <c r="V1796" s="3" t="s">
        <v>2276</v>
      </c>
      <c r="W1796" s="3" t="s">
        <v>2276</v>
      </c>
      <c r="X1796" s="3" t="s">
        <v>2276</v>
      </c>
      <c r="Y1796" s="3" t="s">
        <v>2276</v>
      </c>
      <c r="Z1796" s="3" t="s">
        <v>2276</v>
      </c>
      <c r="AA1796" s="3" t="s">
        <v>2276</v>
      </c>
      <c r="AB1796" s="3" t="s">
        <v>2276</v>
      </c>
      <c r="AC1796" s="3"/>
      <c r="AD1796" s="3"/>
    </row>
    <row r="1797" spans="1:30" ht="45.5" customHeight="1">
      <c r="A1797" s="3" t="s">
        <v>5240</v>
      </c>
      <c r="B1797" s="3" t="s">
        <v>5311</v>
      </c>
      <c r="C1797" s="3" t="s">
        <v>2458</v>
      </c>
      <c r="D1797" s="3" t="s">
        <v>406</v>
      </c>
      <c r="E1797" s="3" t="s">
        <v>1105</v>
      </c>
      <c r="F1797" s="4" t="s">
        <v>2276</v>
      </c>
      <c r="G1797" s="4" t="s">
        <v>74</v>
      </c>
      <c r="H1797" s="3" t="s">
        <v>523</v>
      </c>
      <c r="I1797" s="3"/>
      <c r="J1797" s="3" t="s">
        <v>2276</v>
      </c>
      <c r="K1797" s="3" t="s">
        <v>2276</v>
      </c>
      <c r="L1797" s="3" t="s">
        <v>2276</v>
      </c>
      <c r="M1797" s="3" t="s">
        <v>2276</v>
      </c>
      <c r="N1797" s="3" t="s">
        <v>2276</v>
      </c>
      <c r="O1797" s="3" t="s">
        <v>2276</v>
      </c>
      <c r="P1797" s="3" t="s">
        <v>2276</v>
      </c>
      <c r="Q1797" s="3" t="s">
        <v>2276</v>
      </c>
      <c r="R1797" s="3" t="s">
        <v>2276</v>
      </c>
      <c r="S1797" s="3" t="s">
        <v>2276</v>
      </c>
      <c r="T1797" s="3" t="s">
        <v>2276</v>
      </c>
      <c r="U1797" s="3" t="s">
        <v>2276</v>
      </c>
      <c r="V1797" s="3" t="s">
        <v>2276</v>
      </c>
      <c r="W1797" s="3" t="s">
        <v>2276</v>
      </c>
      <c r="X1797" s="3" t="s">
        <v>2276</v>
      </c>
      <c r="Y1797" s="3" t="s">
        <v>2276</v>
      </c>
      <c r="Z1797" s="3" t="s">
        <v>2276</v>
      </c>
      <c r="AA1797" s="3" t="s">
        <v>2276</v>
      </c>
      <c r="AB1797" s="3" t="s">
        <v>2276</v>
      </c>
      <c r="AC1797" s="3"/>
      <c r="AD1797" s="3"/>
    </row>
    <row r="1798" spans="1:30" ht="45.5" customHeight="1">
      <c r="A1798" s="3" t="s">
        <v>5240</v>
      </c>
      <c r="B1798" s="3" t="s">
        <v>5312</v>
      </c>
      <c r="C1798" s="3" t="s">
        <v>2458</v>
      </c>
      <c r="D1798" s="3" t="s">
        <v>2994</v>
      </c>
      <c r="E1798" s="3" t="s">
        <v>1105</v>
      </c>
      <c r="F1798" s="4" t="s">
        <v>2276</v>
      </c>
      <c r="G1798" s="4" t="s">
        <v>74</v>
      </c>
      <c r="H1798" s="3" t="s">
        <v>523</v>
      </c>
      <c r="I1798" s="3"/>
      <c r="J1798" s="3" t="s">
        <v>2276</v>
      </c>
      <c r="K1798" s="3" t="s">
        <v>2276</v>
      </c>
      <c r="L1798" s="3" t="s">
        <v>2276</v>
      </c>
      <c r="M1798" s="3" t="s">
        <v>2276</v>
      </c>
      <c r="N1798" s="3" t="s">
        <v>2276</v>
      </c>
      <c r="O1798" s="3" t="s">
        <v>2276</v>
      </c>
      <c r="P1798" s="3" t="s">
        <v>2276</v>
      </c>
      <c r="Q1798" s="3" t="s">
        <v>2276</v>
      </c>
      <c r="R1798" s="3" t="s">
        <v>2276</v>
      </c>
      <c r="S1798" s="3" t="s">
        <v>2276</v>
      </c>
      <c r="T1798" s="3" t="s">
        <v>2276</v>
      </c>
      <c r="U1798" s="3" t="s">
        <v>2276</v>
      </c>
      <c r="V1798" s="3" t="s">
        <v>2276</v>
      </c>
      <c r="W1798" s="3" t="s">
        <v>2276</v>
      </c>
      <c r="X1798" s="3" t="s">
        <v>2276</v>
      </c>
      <c r="Y1798" s="3" t="s">
        <v>2276</v>
      </c>
      <c r="Z1798" s="3" t="s">
        <v>2276</v>
      </c>
      <c r="AA1798" s="3" t="s">
        <v>2276</v>
      </c>
      <c r="AB1798" s="3" t="s">
        <v>2276</v>
      </c>
      <c r="AC1798" s="3"/>
      <c r="AD1798" s="3"/>
    </row>
    <row r="1799" spans="1:30" ht="45.5" customHeight="1">
      <c r="A1799" s="3" t="s">
        <v>5241</v>
      </c>
      <c r="B1799" s="3" t="s">
        <v>5313</v>
      </c>
      <c r="C1799" s="4" t="s">
        <v>24</v>
      </c>
      <c r="D1799" s="3" t="s">
        <v>25</v>
      </c>
      <c r="E1799" s="3" t="s">
        <v>5005</v>
      </c>
      <c r="F1799" s="4" t="s">
        <v>74</v>
      </c>
      <c r="G1799" s="4" t="s">
        <v>74</v>
      </c>
      <c r="H1799" s="3" t="s">
        <v>523</v>
      </c>
      <c r="I1799" s="3"/>
      <c r="J1799" s="3" t="s">
        <v>2276</v>
      </c>
      <c r="K1799" s="3" t="s">
        <v>2276</v>
      </c>
      <c r="L1799" s="3" t="s">
        <v>2276</v>
      </c>
      <c r="M1799" s="3" t="s">
        <v>2276</v>
      </c>
      <c r="N1799" s="3" t="s">
        <v>2276</v>
      </c>
      <c r="O1799" s="3" t="s">
        <v>2276</v>
      </c>
      <c r="P1799" s="3" t="s">
        <v>2276</v>
      </c>
      <c r="Q1799" s="3" t="s">
        <v>2276</v>
      </c>
      <c r="R1799" s="3" t="s">
        <v>2276</v>
      </c>
      <c r="S1799" s="3" t="s">
        <v>2276</v>
      </c>
      <c r="T1799" s="3" t="s">
        <v>2276</v>
      </c>
      <c r="U1799" s="3" t="s">
        <v>2276</v>
      </c>
      <c r="V1799" s="3" t="s">
        <v>2276</v>
      </c>
      <c r="W1799" s="3" t="s">
        <v>2276</v>
      </c>
      <c r="X1799" s="3" t="s">
        <v>2276</v>
      </c>
      <c r="Y1799" s="3" t="s">
        <v>2276</v>
      </c>
      <c r="Z1799" s="3" t="s">
        <v>2276</v>
      </c>
      <c r="AA1799" s="3" t="s">
        <v>2276</v>
      </c>
      <c r="AB1799" s="3" t="s">
        <v>2276</v>
      </c>
      <c r="AC1799" s="3"/>
      <c r="AD1799" s="4" t="s">
        <v>5336</v>
      </c>
    </row>
    <row r="1800" spans="1:30" ht="45.5" customHeight="1">
      <c r="A1800" s="3" t="s">
        <v>5241</v>
      </c>
      <c r="B1800" s="3" t="s">
        <v>5314</v>
      </c>
      <c r="C1800" s="4" t="s">
        <v>24</v>
      </c>
      <c r="D1800" s="3" t="s">
        <v>3480</v>
      </c>
      <c r="E1800" s="3" t="s">
        <v>116</v>
      </c>
      <c r="F1800" s="4" t="s">
        <v>74</v>
      </c>
      <c r="G1800" s="4" t="s">
        <v>74</v>
      </c>
      <c r="H1800" s="3" t="s">
        <v>523</v>
      </c>
      <c r="I1800" s="3"/>
      <c r="J1800" s="3" t="s">
        <v>2276</v>
      </c>
      <c r="K1800" s="3" t="s">
        <v>2276</v>
      </c>
      <c r="L1800" s="3" t="s">
        <v>2276</v>
      </c>
      <c r="M1800" s="3" t="s">
        <v>2276</v>
      </c>
      <c r="N1800" s="3" t="s">
        <v>2276</v>
      </c>
      <c r="O1800" s="3" t="s">
        <v>2276</v>
      </c>
      <c r="P1800" s="3" t="s">
        <v>2276</v>
      </c>
      <c r="Q1800" s="3" t="s">
        <v>2276</v>
      </c>
      <c r="R1800" s="3" t="s">
        <v>2276</v>
      </c>
      <c r="S1800" s="3" t="s">
        <v>2276</v>
      </c>
      <c r="T1800" s="3" t="s">
        <v>2276</v>
      </c>
      <c r="U1800" s="3" t="s">
        <v>2276</v>
      </c>
      <c r="V1800" s="3" t="s">
        <v>2276</v>
      </c>
      <c r="W1800" s="3" t="s">
        <v>2276</v>
      </c>
      <c r="X1800" s="3" t="s">
        <v>2276</v>
      </c>
      <c r="Y1800" s="3" t="s">
        <v>2276</v>
      </c>
      <c r="Z1800" s="3" t="s">
        <v>2276</v>
      </c>
      <c r="AA1800" s="3" t="s">
        <v>2276</v>
      </c>
      <c r="AB1800" s="3" t="s">
        <v>2276</v>
      </c>
      <c r="AC1800" s="3"/>
      <c r="AD1800" s="3"/>
    </row>
    <row r="1801" spans="1:30" ht="45.5" customHeight="1">
      <c r="A1801" s="3" t="s">
        <v>5241</v>
      </c>
      <c r="B1801" s="3" t="s">
        <v>5315</v>
      </c>
      <c r="C1801" s="4" t="s">
        <v>24</v>
      </c>
      <c r="D1801" s="3" t="s">
        <v>1245</v>
      </c>
      <c r="E1801" s="3" t="s">
        <v>116</v>
      </c>
      <c r="F1801" s="4" t="s">
        <v>74</v>
      </c>
      <c r="G1801" s="4" t="s">
        <v>74</v>
      </c>
      <c r="H1801" s="3" t="s">
        <v>523</v>
      </c>
      <c r="I1801" s="3"/>
      <c r="J1801" s="3" t="s">
        <v>2276</v>
      </c>
      <c r="K1801" s="3" t="s">
        <v>2276</v>
      </c>
      <c r="L1801" s="3" t="s">
        <v>2276</v>
      </c>
      <c r="M1801" s="3" t="s">
        <v>2276</v>
      </c>
      <c r="N1801" s="3" t="s">
        <v>2276</v>
      </c>
      <c r="O1801" s="3" t="s">
        <v>2276</v>
      </c>
      <c r="P1801" s="3" t="s">
        <v>2276</v>
      </c>
      <c r="Q1801" s="3" t="s">
        <v>2276</v>
      </c>
      <c r="R1801" s="3" t="s">
        <v>2276</v>
      </c>
      <c r="S1801" s="3" t="s">
        <v>2276</v>
      </c>
      <c r="T1801" s="3" t="s">
        <v>2276</v>
      </c>
      <c r="U1801" s="3" t="s">
        <v>2276</v>
      </c>
      <c r="V1801" s="3" t="s">
        <v>2276</v>
      </c>
      <c r="W1801" s="3" t="s">
        <v>2276</v>
      </c>
      <c r="X1801" s="3" t="s">
        <v>2276</v>
      </c>
      <c r="Y1801" s="3" t="s">
        <v>2276</v>
      </c>
      <c r="Z1801" s="3" t="s">
        <v>2276</v>
      </c>
      <c r="AA1801" s="3" t="s">
        <v>2276</v>
      </c>
      <c r="AB1801" s="3" t="s">
        <v>2276</v>
      </c>
      <c r="AC1801" s="3"/>
      <c r="AD1801" s="3"/>
    </row>
    <row r="1802" spans="1:30" ht="45.5" customHeight="1">
      <c r="A1802" s="3" t="s">
        <v>5241</v>
      </c>
      <c r="B1802" s="3" t="s">
        <v>5316</v>
      </c>
      <c r="C1802" s="4" t="s">
        <v>24</v>
      </c>
      <c r="D1802" s="3" t="s">
        <v>4162</v>
      </c>
      <c r="E1802" s="3" t="s">
        <v>863</v>
      </c>
      <c r="F1802" s="4" t="s">
        <v>74</v>
      </c>
      <c r="G1802" s="4" t="s">
        <v>74</v>
      </c>
      <c r="H1802" s="3" t="s">
        <v>523</v>
      </c>
      <c r="I1802" s="3"/>
      <c r="J1802" s="3" t="s">
        <v>2276</v>
      </c>
      <c r="K1802" s="3" t="s">
        <v>2276</v>
      </c>
      <c r="L1802" s="3" t="s">
        <v>2276</v>
      </c>
      <c r="M1802" s="3" t="s">
        <v>2276</v>
      </c>
      <c r="N1802" s="3" t="s">
        <v>2276</v>
      </c>
      <c r="O1802" s="3" t="s">
        <v>2276</v>
      </c>
      <c r="P1802" s="3" t="s">
        <v>2276</v>
      </c>
      <c r="Q1802" s="3" t="s">
        <v>2276</v>
      </c>
      <c r="R1802" s="3" t="s">
        <v>2276</v>
      </c>
      <c r="S1802" s="3" t="s">
        <v>2276</v>
      </c>
      <c r="T1802" s="3" t="s">
        <v>2276</v>
      </c>
      <c r="U1802" s="3" t="s">
        <v>2276</v>
      </c>
      <c r="V1802" s="3" t="s">
        <v>2276</v>
      </c>
      <c r="W1802" s="3" t="s">
        <v>2276</v>
      </c>
      <c r="X1802" s="3" t="s">
        <v>2276</v>
      </c>
      <c r="Y1802" s="3" t="s">
        <v>2276</v>
      </c>
      <c r="Z1802" s="3" t="s">
        <v>2276</v>
      </c>
      <c r="AA1802" s="3" t="s">
        <v>2276</v>
      </c>
      <c r="AB1802" s="3" t="s">
        <v>2276</v>
      </c>
      <c r="AC1802" s="3"/>
      <c r="AD1802" s="3"/>
    </row>
    <row r="1803" spans="1:30" ht="45.5" customHeight="1">
      <c r="A1803" s="3" t="s">
        <v>5241</v>
      </c>
      <c r="B1803" s="3" t="s">
        <v>5317</v>
      </c>
      <c r="C1803" s="4" t="s">
        <v>24</v>
      </c>
      <c r="D1803" s="3" t="s">
        <v>2346</v>
      </c>
      <c r="E1803" s="3" t="s">
        <v>2276</v>
      </c>
      <c r="F1803" s="4" t="s">
        <v>2276</v>
      </c>
      <c r="G1803" s="4" t="s">
        <v>74</v>
      </c>
      <c r="H1803" s="3" t="s">
        <v>523</v>
      </c>
      <c r="I1803" s="3"/>
      <c r="J1803" s="3" t="s">
        <v>2276</v>
      </c>
      <c r="K1803" s="3" t="s">
        <v>2276</v>
      </c>
      <c r="L1803" s="3" t="s">
        <v>2276</v>
      </c>
      <c r="M1803" s="3" t="s">
        <v>2276</v>
      </c>
      <c r="N1803" s="3" t="s">
        <v>2276</v>
      </c>
      <c r="O1803" s="3" t="s">
        <v>2276</v>
      </c>
      <c r="P1803" s="3" t="s">
        <v>2276</v>
      </c>
      <c r="Q1803" s="3" t="s">
        <v>2276</v>
      </c>
      <c r="R1803" s="3" t="s">
        <v>2276</v>
      </c>
      <c r="S1803" s="3" t="s">
        <v>2276</v>
      </c>
      <c r="T1803" s="3" t="s">
        <v>2276</v>
      </c>
      <c r="U1803" s="3" t="s">
        <v>2276</v>
      </c>
      <c r="V1803" s="3" t="s">
        <v>2276</v>
      </c>
      <c r="W1803" s="3" t="s">
        <v>2276</v>
      </c>
      <c r="X1803" s="3" t="s">
        <v>2276</v>
      </c>
      <c r="Y1803" s="3" t="s">
        <v>2276</v>
      </c>
      <c r="Z1803" s="3" t="s">
        <v>2276</v>
      </c>
      <c r="AA1803" s="3" t="s">
        <v>2276</v>
      </c>
      <c r="AB1803" s="3" t="s">
        <v>2276</v>
      </c>
      <c r="AC1803" s="3"/>
      <c r="AD1803" s="3"/>
    </row>
    <row r="1804" spans="1:30" ht="45.5" customHeight="1">
      <c r="A1804" s="3" t="s">
        <v>5241</v>
      </c>
      <c r="B1804" s="3" t="s">
        <v>5318</v>
      </c>
      <c r="C1804" s="4" t="s">
        <v>24</v>
      </c>
      <c r="D1804" s="3" t="s">
        <v>27</v>
      </c>
      <c r="E1804" s="3" t="s">
        <v>130</v>
      </c>
      <c r="F1804" s="4" t="s">
        <v>74</v>
      </c>
      <c r="G1804" s="3" t="s">
        <v>2276</v>
      </c>
      <c r="H1804" s="3" t="s">
        <v>523</v>
      </c>
      <c r="I1804" s="3"/>
      <c r="J1804" s="3" t="s">
        <v>2276</v>
      </c>
      <c r="K1804" s="3" t="s">
        <v>2276</v>
      </c>
      <c r="L1804" s="3" t="s">
        <v>2276</v>
      </c>
      <c r="M1804" s="3" t="s">
        <v>2276</v>
      </c>
      <c r="N1804" s="3" t="s">
        <v>2276</v>
      </c>
      <c r="O1804" s="3" t="s">
        <v>2276</v>
      </c>
      <c r="P1804" s="3" t="s">
        <v>2276</v>
      </c>
      <c r="Q1804" s="3" t="s">
        <v>2276</v>
      </c>
      <c r="R1804" s="3" t="s">
        <v>2276</v>
      </c>
      <c r="S1804" s="3" t="s">
        <v>2276</v>
      </c>
      <c r="T1804" s="3" t="s">
        <v>2276</v>
      </c>
      <c r="U1804" s="3" t="s">
        <v>2276</v>
      </c>
      <c r="V1804" s="3" t="s">
        <v>2276</v>
      </c>
      <c r="W1804" s="3" t="s">
        <v>2276</v>
      </c>
      <c r="X1804" s="3" t="s">
        <v>2276</v>
      </c>
      <c r="Y1804" s="3" t="s">
        <v>2276</v>
      </c>
      <c r="Z1804" s="3" t="s">
        <v>2276</v>
      </c>
      <c r="AA1804" s="3" t="s">
        <v>2276</v>
      </c>
      <c r="AB1804" s="3" t="s">
        <v>2276</v>
      </c>
      <c r="AC1804" s="3"/>
      <c r="AD1804" s="3"/>
    </row>
    <row r="1805" spans="1:30" ht="45.5" customHeight="1">
      <c r="A1805" s="3" t="s">
        <v>5241</v>
      </c>
      <c r="B1805" s="3" t="s">
        <v>5319</v>
      </c>
      <c r="C1805" s="3" t="s">
        <v>2458</v>
      </c>
      <c r="D1805" s="3" t="s">
        <v>3476</v>
      </c>
      <c r="E1805" s="3" t="s">
        <v>2276</v>
      </c>
      <c r="F1805" s="4" t="s">
        <v>2276</v>
      </c>
      <c r="G1805" s="4" t="s">
        <v>74</v>
      </c>
      <c r="H1805" s="3" t="s">
        <v>523</v>
      </c>
      <c r="I1805" s="3"/>
      <c r="J1805" s="3" t="s">
        <v>2276</v>
      </c>
      <c r="K1805" s="3" t="s">
        <v>2276</v>
      </c>
      <c r="L1805" s="3" t="s">
        <v>2276</v>
      </c>
      <c r="M1805" s="3" t="s">
        <v>2276</v>
      </c>
      <c r="N1805" s="3" t="s">
        <v>2276</v>
      </c>
      <c r="O1805" s="3" t="s">
        <v>2276</v>
      </c>
      <c r="P1805" s="3" t="s">
        <v>2276</v>
      </c>
      <c r="Q1805" s="3" t="s">
        <v>2276</v>
      </c>
      <c r="R1805" s="3" t="s">
        <v>2276</v>
      </c>
      <c r="S1805" s="3" t="s">
        <v>2276</v>
      </c>
      <c r="T1805" s="3" t="s">
        <v>2276</v>
      </c>
      <c r="U1805" s="3" t="s">
        <v>2276</v>
      </c>
      <c r="V1805" s="3" t="s">
        <v>2276</v>
      </c>
      <c r="W1805" s="3" t="s">
        <v>2276</v>
      </c>
      <c r="X1805" s="3" t="s">
        <v>2276</v>
      </c>
      <c r="Y1805" s="3" t="s">
        <v>2276</v>
      </c>
      <c r="Z1805" s="3" t="s">
        <v>2276</v>
      </c>
      <c r="AA1805" s="3" t="s">
        <v>2276</v>
      </c>
      <c r="AB1805" s="3" t="s">
        <v>2276</v>
      </c>
      <c r="AC1805" s="3"/>
      <c r="AD1805" s="3"/>
    </row>
    <row r="1806" spans="1:30" ht="45.5" customHeight="1">
      <c r="A1806" s="3" t="s">
        <v>5241</v>
      </c>
      <c r="B1806" s="3" t="s">
        <v>5320</v>
      </c>
      <c r="C1806" s="3" t="s">
        <v>31</v>
      </c>
      <c r="D1806" s="3" t="s">
        <v>2276</v>
      </c>
      <c r="E1806" s="3" t="s">
        <v>1105</v>
      </c>
      <c r="F1806" s="4" t="s">
        <v>2276</v>
      </c>
      <c r="G1806" s="4" t="s">
        <v>74</v>
      </c>
      <c r="H1806" s="3" t="s">
        <v>523</v>
      </c>
      <c r="I1806" s="3"/>
      <c r="J1806" s="3" t="s">
        <v>2276</v>
      </c>
      <c r="K1806" s="3" t="s">
        <v>2276</v>
      </c>
      <c r="L1806" s="3" t="s">
        <v>2276</v>
      </c>
      <c r="M1806" s="3" t="s">
        <v>2276</v>
      </c>
      <c r="N1806" s="3" t="s">
        <v>2276</v>
      </c>
      <c r="O1806" s="3" t="s">
        <v>2276</v>
      </c>
      <c r="P1806" s="3" t="s">
        <v>2276</v>
      </c>
      <c r="Q1806" s="3" t="s">
        <v>2276</v>
      </c>
      <c r="R1806" s="3" t="s">
        <v>2276</v>
      </c>
      <c r="S1806" s="3" t="s">
        <v>2276</v>
      </c>
      <c r="T1806" s="3" t="s">
        <v>2276</v>
      </c>
      <c r="U1806" s="3" t="s">
        <v>2276</v>
      </c>
      <c r="V1806" s="3" t="s">
        <v>2276</v>
      </c>
      <c r="W1806" s="3" t="s">
        <v>2276</v>
      </c>
      <c r="X1806" s="3" t="s">
        <v>2276</v>
      </c>
      <c r="Y1806" s="3" t="s">
        <v>2276</v>
      </c>
      <c r="Z1806" s="3" t="s">
        <v>2276</v>
      </c>
      <c r="AA1806" s="3" t="s">
        <v>2276</v>
      </c>
      <c r="AB1806" s="3" t="s">
        <v>2276</v>
      </c>
      <c r="AC1806" s="3"/>
      <c r="AD1806" s="3"/>
    </row>
    <row r="1807" spans="1:30" ht="45.5" customHeight="1">
      <c r="A1807" s="3" t="s">
        <v>5241</v>
      </c>
      <c r="B1807" s="3" t="s">
        <v>5321</v>
      </c>
      <c r="C1807" s="3" t="s">
        <v>2458</v>
      </c>
      <c r="D1807" s="3" t="s">
        <v>406</v>
      </c>
      <c r="E1807" s="3" t="s">
        <v>1105</v>
      </c>
      <c r="F1807" s="4" t="s">
        <v>2276</v>
      </c>
      <c r="G1807" s="4" t="s">
        <v>74</v>
      </c>
      <c r="H1807" s="3" t="s">
        <v>523</v>
      </c>
      <c r="I1807" s="3"/>
      <c r="J1807" s="3" t="s">
        <v>2276</v>
      </c>
      <c r="K1807" s="3" t="s">
        <v>2276</v>
      </c>
      <c r="L1807" s="3" t="s">
        <v>2276</v>
      </c>
      <c r="M1807" s="3" t="s">
        <v>2276</v>
      </c>
      <c r="N1807" s="3" t="s">
        <v>2276</v>
      </c>
      <c r="O1807" s="3" t="s">
        <v>2276</v>
      </c>
      <c r="P1807" s="3" t="s">
        <v>2276</v>
      </c>
      <c r="Q1807" s="3" t="s">
        <v>2276</v>
      </c>
      <c r="R1807" s="3" t="s">
        <v>2276</v>
      </c>
      <c r="S1807" s="3" t="s">
        <v>2276</v>
      </c>
      <c r="T1807" s="3" t="s">
        <v>2276</v>
      </c>
      <c r="U1807" s="3" t="s">
        <v>2276</v>
      </c>
      <c r="V1807" s="3" t="s">
        <v>2276</v>
      </c>
      <c r="W1807" s="3" t="s">
        <v>2276</v>
      </c>
      <c r="X1807" s="3" t="s">
        <v>2276</v>
      </c>
      <c r="Y1807" s="3" t="s">
        <v>2276</v>
      </c>
      <c r="Z1807" s="3" t="s">
        <v>2276</v>
      </c>
      <c r="AA1807" s="3" t="s">
        <v>2276</v>
      </c>
      <c r="AB1807" s="3" t="s">
        <v>2276</v>
      </c>
      <c r="AC1807" s="3"/>
      <c r="AD1807" s="3"/>
    </row>
    <row r="1808" spans="1:30" ht="45.5" customHeight="1">
      <c r="A1808" s="3" t="s">
        <v>5241</v>
      </c>
      <c r="B1808" s="3" t="s">
        <v>5322</v>
      </c>
      <c r="C1808" s="3" t="s">
        <v>2458</v>
      </c>
      <c r="D1808" s="3" t="s">
        <v>2994</v>
      </c>
      <c r="E1808" s="3" t="s">
        <v>1105</v>
      </c>
      <c r="F1808" s="4" t="s">
        <v>2276</v>
      </c>
      <c r="G1808" s="4" t="s">
        <v>74</v>
      </c>
      <c r="H1808" s="3" t="s">
        <v>523</v>
      </c>
      <c r="I1808" s="3"/>
      <c r="J1808" s="3" t="s">
        <v>2276</v>
      </c>
      <c r="K1808" s="3" t="s">
        <v>2276</v>
      </c>
      <c r="L1808" s="3" t="s">
        <v>2276</v>
      </c>
      <c r="M1808" s="3" t="s">
        <v>2276</v>
      </c>
      <c r="N1808" s="3" t="s">
        <v>2276</v>
      </c>
      <c r="O1808" s="3" t="s">
        <v>2276</v>
      </c>
      <c r="P1808" s="3" t="s">
        <v>2276</v>
      </c>
      <c r="Q1808" s="3" t="s">
        <v>2276</v>
      </c>
      <c r="R1808" s="3" t="s">
        <v>2276</v>
      </c>
      <c r="S1808" s="3" t="s">
        <v>2276</v>
      </c>
      <c r="T1808" s="3" t="s">
        <v>2276</v>
      </c>
      <c r="U1808" s="3" t="s">
        <v>2276</v>
      </c>
      <c r="V1808" s="3" t="s">
        <v>2276</v>
      </c>
      <c r="W1808" s="3" t="s">
        <v>2276</v>
      </c>
      <c r="X1808" s="3" t="s">
        <v>2276</v>
      </c>
      <c r="Y1808" s="3" t="s">
        <v>2276</v>
      </c>
      <c r="Z1808" s="3" t="s">
        <v>2276</v>
      </c>
      <c r="AA1808" s="3" t="s">
        <v>2276</v>
      </c>
      <c r="AB1808" s="3" t="s">
        <v>2276</v>
      </c>
      <c r="AC1808" s="3"/>
      <c r="AD1808" s="3"/>
    </row>
    <row r="1809" spans="1:30" ht="45.5" customHeight="1">
      <c r="A1809" s="11" t="s">
        <v>5234</v>
      </c>
      <c r="B1809" s="11" t="s">
        <v>5261</v>
      </c>
      <c r="C1809" s="3" t="s">
        <v>1105</v>
      </c>
      <c r="D1809" s="3" t="s">
        <v>2276</v>
      </c>
      <c r="E1809" s="3" t="s">
        <v>1105</v>
      </c>
      <c r="F1809" s="4" t="s">
        <v>2276</v>
      </c>
      <c r="G1809" s="4" t="s">
        <v>74</v>
      </c>
      <c r="H1809" s="3" t="s">
        <v>523</v>
      </c>
      <c r="I1809" s="3">
        <v>2003</v>
      </c>
      <c r="J1809" s="3" t="s">
        <v>2276</v>
      </c>
      <c r="K1809" s="3" t="s">
        <v>2276</v>
      </c>
      <c r="L1809" s="3" t="s">
        <v>2276</v>
      </c>
      <c r="M1809" s="3" t="s">
        <v>2276</v>
      </c>
      <c r="N1809" s="3" t="s">
        <v>2276</v>
      </c>
      <c r="O1809" s="3" t="s">
        <v>2276</v>
      </c>
      <c r="P1809" s="3" t="s">
        <v>2276</v>
      </c>
      <c r="Q1809" s="3" t="s">
        <v>2276</v>
      </c>
      <c r="R1809" s="3" t="s">
        <v>2276</v>
      </c>
      <c r="S1809" s="3" t="s">
        <v>2276</v>
      </c>
      <c r="T1809" s="21">
        <v>279</v>
      </c>
      <c r="U1809" s="3" t="s">
        <v>2276</v>
      </c>
      <c r="V1809" s="21">
        <v>17</v>
      </c>
      <c r="W1809" s="3" t="s">
        <v>2276</v>
      </c>
      <c r="X1809" s="3" t="s">
        <v>2276</v>
      </c>
      <c r="Y1809" s="3" t="s">
        <v>2276</v>
      </c>
      <c r="Z1809" s="3" t="s">
        <v>399</v>
      </c>
      <c r="AA1809" s="3" t="s">
        <v>86</v>
      </c>
      <c r="AB1809" s="3" t="s">
        <v>76</v>
      </c>
      <c r="AC1809" s="3"/>
      <c r="AD1809" s="3" t="s">
        <v>5335</v>
      </c>
    </row>
    <row r="1810" spans="1:30" ht="45.5" customHeight="1">
      <c r="A1810" s="11" t="s">
        <v>5234</v>
      </c>
      <c r="B1810" s="11" t="s">
        <v>5262</v>
      </c>
      <c r="C1810" s="3" t="s">
        <v>1105</v>
      </c>
      <c r="D1810" s="3" t="s">
        <v>2276</v>
      </c>
      <c r="E1810" s="3" t="s">
        <v>1105</v>
      </c>
      <c r="F1810" s="4" t="s">
        <v>2276</v>
      </c>
      <c r="G1810" s="4" t="s">
        <v>74</v>
      </c>
      <c r="H1810" s="3" t="s">
        <v>523</v>
      </c>
      <c r="I1810" s="3">
        <v>2004</v>
      </c>
      <c r="J1810" s="3" t="s">
        <v>2276</v>
      </c>
      <c r="K1810" s="3" t="s">
        <v>2276</v>
      </c>
      <c r="L1810" s="3" t="s">
        <v>2276</v>
      </c>
      <c r="M1810" s="3" t="s">
        <v>2276</v>
      </c>
      <c r="N1810" s="3" t="s">
        <v>2276</v>
      </c>
      <c r="O1810" s="3" t="s">
        <v>2276</v>
      </c>
      <c r="P1810" s="3" t="s">
        <v>2276</v>
      </c>
      <c r="Q1810" s="3" t="s">
        <v>2276</v>
      </c>
      <c r="R1810" s="3" t="s">
        <v>2276</v>
      </c>
      <c r="S1810" s="3" t="s">
        <v>2276</v>
      </c>
      <c r="T1810" s="21">
        <v>199</v>
      </c>
      <c r="U1810" s="3" t="s">
        <v>2276</v>
      </c>
      <c r="V1810" s="21">
        <v>12</v>
      </c>
      <c r="W1810" s="3" t="s">
        <v>2276</v>
      </c>
      <c r="X1810" s="3" t="s">
        <v>2276</v>
      </c>
      <c r="Y1810" s="3" t="s">
        <v>2276</v>
      </c>
      <c r="Z1810" s="3" t="s">
        <v>399</v>
      </c>
      <c r="AA1810" s="3" t="s">
        <v>86</v>
      </c>
      <c r="AB1810" s="3" t="s">
        <v>76</v>
      </c>
      <c r="AC1810" s="3"/>
      <c r="AD1810" s="3" t="s">
        <v>5335</v>
      </c>
    </row>
    <row r="1811" spans="1:30" ht="45.5" customHeight="1">
      <c r="A1811" s="11" t="s">
        <v>5236</v>
      </c>
      <c r="B1811" s="11" t="s">
        <v>5323</v>
      </c>
      <c r="C1811" s="3" t="s">
        <v>1105</v>
      </c>
      <c r="D1811" s="3" t="s">
        <v>2276</v>
      </c>
      <c r="E1811" s="3" t="s">
        <v>1105</v>
      </c>
      <c r="F1811" s="4" t="s">
        <v>2276</v>
      </c>
      <c r="G1811" s="4" t="s">
        <v>74</v>
      </c>
      <c r="H1811" s="3" t="s">
        <v>523</v>
      </c>
      <c r="I1811" s="3">
        <v>2003</v>
      </c>
      <c r="J1811" s="3" t="s">
        <v>2276</v>
      </c>
      <c r="K1811" s="3" t="s">
        <v>2276</v>
      </c>
      <c r="L1811" s="3" t="s">
        <v>2276</v>
      </c>
      <c r="M1811" s="3" t="s">
        <v>2276</v>
      </c>
      <c r="N1811" s="3" t="s">
        <v>2276</v>
      </c>
      <c r="O1811" s="3" t="s">
        <v>2276</v>
      </c>
      <c r="P1811" s="3" t="s">
        <v>2276</v>
      </c>
      <c r="Q1811" s="3" t="s">
        <v>2276</v>
      </c>
      <c r="R1811" s="3" t="s">
        <v>2276</v>
      </c>
      <c r="S1811" s="3" t="s">
        <v>2276</v>
      </c>
      <c r="T1811" s="3" t="s">
        <v>2276</v>
      </c>
      <c r="U1811" s="3" t="s">
        <v>2276</v>
      </c>
      <c r="V1811" s="3" t="s">
        <v>2276</v>
      </c>
      <c r="W1811" s="3" t="s">
        <v>2276</v>
      </c>
      <c r="X1811" s="3" t="s">
        <v>2276</v>
      </c>
      <c r="Y1811" s="3" t="s">
        <v>2276</v>
      </c>
      <c r="Z1811" s="3" t="s">
        <v>399</v>
      </c>
      <c r="AA1811" s="3" t="s">
        <v>86</v>
      </c>
      <c r="AB1811" s="3" t="s">
        <v>76</v>
      </c>
      <c r="AC1811" s="3"/>
      <c r="AD1811" s="3" t="s">
        <v>5335</v>
      </c>
    </row>
    <row r="1812" spans="1:30" ht="45.5" customHeight="1">
      <c r="A1812" s="11" t="s">
        <v>5236</v>
      </c>
      <c r="B1812" s="11" t="s">
        <v>5324</v>
      </c>
      <c r="C1812" s="3" t="s">
        <v>1105</v>
      </c>
      <c r="D1812" s="3" t="s">
        <v>2276</v>
      </c>
      <c r="E1812" s="3" t="s">
        <v>1105</v>
      </c>
      <c r="F1812" s="4" t="s">
        <v>2276</v>
      </c>
      <c r="G1812" s="4" t="s">
        <v>74</v>
      </c>
      <c r="H1812" s="3" t="s">
        <v>523</v>
      </c>
      <c r="I1812" s="3">
        <v>2004</v>
      </c>
      <c r="J1812" s="3" t="s">
        <v>2276</v>
      </c>
      <c r="K1812" s="3" t="s">
        <v>2276</v>
      </c>
      <c r="L1812" s="3" t="s">
        <v>2276</v>
      </c>
      <c r="M1812" s="3" t="s">
        <v>2276</v>
      </c>
      <c r="N1812" s="3" t="s">
        <v>2276</v>
      </c>
      <c r="O1812" s="3" t="s">
        <v>2276</v>
      </c>
      <c r="P1812" s="3" t="s">
        <v>2276</v>
      </c>
      <c r="Q1812" s="3" t="s">
        <v>2276</v>
      </c>
      <c r="R1812" s="3" t="s">
        <v>2276</v>
      </c>
      <c r="S1812" s="3" t="s">
        <v>2276</v>
      </c>
      <c r="T1812" s="3" t="s">
        <v>2276</v>
      </c>
      <c r="U1812" s="3" t="s">
        <v>2276</v>
      </c>
      <c r="V1812" s="3" t="s">
        <v>2276</v>
      </c>
      <c r="W1812" s="3" t="s">
        <v>2276</v>
      </c>
      <c r="X1812" s="3" t="s">
        <v>2276</v>
      </c>
      <c r="Y1812" s="3" t="s">
        <v>2276</v>
      </c>
      <c r="Z1812" s="3" t="s">
        <v>399</v>
      </c>
      <c r="AA1812" s="3" t="s">
        <v>86</v>
      </c>
      <c r="AB1812" s="3" t="s">
        <v>76</v>
      </c>
      <c r="AC1812" s="3"/>
      <c r="AD1812" s="3" t="s">
        <v>5335</v>
      </c>
    </row>
    <row r="1813" spans="1:30" ht="45.5" customHeight="1">
      <c r="A1813" s="11" t="s">
        <v>5237</v>
      </c>
      <c r="B1813" s="11" t="s">
        <v>5325</v>
      </c>
      <c r="C1813" s="3" t="s">
        <v>1105</v>
      </c>
      <c r="D1813" s="3" t="s">
        <v>2276</v>
      </c>
      <c r="E1813" s="3" t="s">
        <v>1105</v>
      </c>
      <c r="F1813" s="4" t="s">
        <v>2276</v>
      </c>
      <c r="G1813" s="4" t="s">
        <v>74</v>
      </c>
      <c r="H1813" s="3" t="s">
        <v>523</v>
      </c>
      <c r="I1813" s="3">
        <v>2003</v>
      </c>
      <c r="J1813" s="3" t="s">
        <v>2276</v>
      </c>
      <c r="K1813" s="3" t="s">
        <v>2276</v>
      </c>
      <c r="L1813" s="3" t="s">
        <v>2276</v>
      </c>
      <c r="M1813" s="3" t="s">
        <v>2276</v>
      </c>
      <c r="N1813" s="3" t="s">
        <v>2276</v>
      </c>
      <c r="O1813" s="3" t="s">
        <v>2276</v>
      </c>
      <c r="P1813" s="3" t="s">
        <v>2276</v>
      </c>
      <c r="Q1813" s="3" t="s">
        <v>2276</v>
      </c>
      <c r="R1813" s="3" t="s">
        <v>2276</v>
      </c>
      <c r="S1813" s="3" t="s">
        <v>2276</v>
      </c>
      <c r="T1813" s="21">
        <v>30</v>
      </c>
      <c r="U1813" s="3" t="s">
        <v>2276</v>
      </c>
      <c r="V1813" s="21">
        <v>2</v>
      </c>
      <c r="W1813" s="3" t="s">
        <v>2276</v>
      </c>
      <c r="X1813" s="3" t="s">
        <v>2276</v>
      </c>
      <c r="Y1813" s="3" t="s">
        <v>2276</v>
      </c>
      <c r="Z1813" s="3" t="s">
        <v>399</v>
      </c>
      <c r="AA1813" s="3" t="s">
        <v>86</v>
      </c>
      <c r="AB1813" s="3" t="s">
        <v>76</v>
      </c>
      <c r="AC1813" s="3"/>
      <c r="AD1813" s="3" t="s">
        <v>5335</v>
      </c>
    </row>
    <row r="1814" spans="1:30" ht="45.5" customHeight="1">
      <c r="A1814" s="11" t="s">
        <v>5237</v>
      </c>
      <c r="B1814" s="11" t="s">
        <v>5326</v>
      </c>
      <c r="C1814" s="3" t="s">
        <v>1105</v>
      </c>
      <c r="D1814" s="3" t="s">
        <v>2276</v>
      </c>
      <c r="E1814" s="3" t="s">
        <v>1105</v>
      </c>
      <c r="F1814" s="4" t="s">
        <v>2276</v>
      </c>
      <c r="G1814" s="4" t="s">
        <v>74</v>
      </c>
      <c r="H1814" s="3" t="s">
        <v>523</v>
      </c>
      <c r="I1814" s="3">
        <v>2004</v>
      </c>
      <c r="J1814" s="3" t="s">
        <v>2276</v>
      </c>
      <c r="K1814" s="3" t="s">
        <v>2276</v>
      </c>
      <c r="L1814" s="3" t="s">
        <v>2276</v>
      </c>
      <c r="M1814" s="3" t="s">
        <v>2276</v>
      </c>
      <c r="N1814" s="3" t="s">
        <v>2276</v>
      </c>
      <c r="O1814" s="3" t="s">
        <v>2276</v>
      </c>
      <c r="P1814" s="3" t="s">
        <v>2276</v>
      </c>
      <c r="Q1814" s="3" t="s">
        <v>2276</v>
      </c>
      <c r="R1814" s="3" t="s">
        <v>2276</v>
      </c>
      <c r="S1814" s="3" t="s">
        <v>2276</v>
      </c>
      <c r="T1814" s="21">
        <v>30</v>
      </c>
      <c r="U1814" s="3" t="s">
        <v>2276</v>
      </c>
      <c r="V1814" s="21">
        <v>2</v>
      </c>
      <c r="W1814" s="3" t="s">
        <v>2276</v>
      </c>
      <c r="X1814" s="3" t="s">
        <v>2276</v>
      </c>
      <c r="Y1814" s="3" t="s">
        <v>2276</v>
      </c>
      <c r="Z1814" s="3" t="s">
        <v>399</v>
      </c>
      <c r="AA1814" s="3" t="s">
        <v>86</v>
      </c>
      <c r="AB1814" s="3" t="s">
        <v>76</v>
      </c>
      <c r="AC1814" s="3"/>
      <c r="AD1814" s="3" t="s">
        <v>5335</v>
      </c>
    </row>
    <row r="1815" spans="1:30" ht="45.5" customHeight="1">
      <c r="A1815" s="11" t="s">
        <v>5238</v>
      </c>
      <c r="B1815" s="11" t="s">
        <v>5327</v>
      </c>
      <c r="C1815" s="3" t="s">
        <v>1105</v>
      </c>
      <c r="D1815" s="3" t="s">
        <v>2276</v>
      </c>
      <c r="E1815" s="3" t="s">
        <v>1105</v>
      </c>
      <c r="F1815" s="4" t="s">
        <v>2276</v>
      </c>
      <c r="G1815" s="4" t="s">
        <v>74</v>
      </c>
      <c r="H1815" s="3" t="s">
        <v>523</v>
      </c>
      <c r="I1815" s="3">
        <v>2003</v>
      </c>
      <c r="J1815" s="3" t="s">
        <v>2276</v>
      </c>
      <c r="K1815" s="3" t="s">
        <v>2276</v>
      </c>
      <c r="L1815" s="3" t="s">
        <v>2276</v>
      </c>
      <c r="M1815" s="3" t="s">
        <v>2276</v>
      </c>
      <c r="N1815" s="3" t="s">
        <v>2276</v>
      </c>
      <c r="O1815" s="3" t="s">
        <v>2276</v>
      </c>
      <c r="P1815" s="3" t="s">
        <v>2276</v>
      </c>
      <c r="Q1815" s="3" t="s">
        <v>2276</v>
      </c>
      <c r="R1815" s="3" t="s">
        <v>2276</v>
      </c>
      <c r="S1815" s="3" t="s">
        <v>2276</v>
      </c>
      <c r="T1815" s="21">
        <v>195</v>
      </c>
      <c r="U1815" s="3" t="s">
        <v>2276</v>
      </c>
      <c r="V1815" s="21">
        <v>7</v>
      </c>
      <c r="W1815" s="3" t="s">
        <v>2276</v>
      </c>
      <c r="X1815" s="3" t="s">
        <v>2276</v>
      </c>
      <c r="Y1815" s="3" t="s">
        <v>2276</v>
      </c>
      <c r="Z1815" s="3" t="s">
        <v>399</v>
      </c>
      <c r="AA1815" s="3" t="s">
        <v>86</v>
      </c>
      <c r="AB1815" s="3" t="s">
        <v>76</v>
      </c>
      <c r="AC1815" s="3"/>
      <c r="AD1815" s="3" t="s">
        <v>5335</v>
      </c>
    </row>
    <row r="1816" spans="1:30" ht="45.5" customHeight="1">
      <c r="A1816" s="11" t="s">
        <v>5238</v>
      </c>
      <c r="B1816" s="11" t="s">
        <v>5328</v>
      </c>
      <c r="C1816" s="3" t="s">
        <v>1105</v>
      </c>
      <c r="D1816" s="3" t="s">
        <v>2276</v>
      </c>
      <c r="E1816" s="3" t="s">
        <v>1105</v>
      </c>
      <c r="F1816" s="4" t="s">
        <v>2276</v>
      </c>
      <c r="G1816" s="4" t="s">
        <v>74</v>
      </c>
      <c r="H1816" s="3" t="s">
        <v>523</v>
      </c>
      <c r="I1816" s="3">
        <v>2004</v>
      </c>
      <c r="J1816" s="3" t="s">
        <v>2276</v>
      </c>
      <c r="K1816" s="3" t="s">
        <v>2276</v>
      </c>
      <c r="L1816" s="3" t="s">
        <v>2276</v>
      </c>
      <c r="M1816" s="3" t="s">
        <v>2276</v>
      </c>
      <c r="N1816" s="3" t="s">
        <v>2276</v>
      </c>
      <c r="O1816" s="3" t="s">
        <v>2276</v>
      </c>
      <c r="P1816" s="3" t="s">
        <v>2276</v>
      </c>
      <c r="Q1816" s="3" t="s">
        <v>2276</v>
      </c>
      <c r="R1816" s="3" t="s">
        <v>2276</v>
      </c>
      <c r="S1816" s="3" t="s">
        <v>2276</v>
      </c>
      <c r="T1816" s="21">
        <v>800</v>
      </c>
      <c r="U1816" s="3" t="s">
        <v>2276</v>
      </c>
      <c r="V1816" s="21">
        <v>30</v>
      </c>
      <c r="W1816" s="3" t="s">
        <v>2276</v>
      </c>
      <c r="X1816" s="3" t="s">
        <v>2276</v>
      </c>
      <c r="Y1816" s="3" t="s">
        <v>2276</v>
      </c>
      <c r="Z1816" s="3" t="s">
        <v>399</v>
      </c>
      <c r="AA1816" s="3" t="s">
        <v>86</v>
      </c>
      <c r="AB1816" s="3" t="s">
        <v>76</v>
      </c>
      <c r="AC1816" s="3"/>
      <c r="AD1816" s="3" t="s">
        <v>5335</v>
      </c>
    </row>
    <row r="1817" spans="1:30" ht="45.5" customHeight="1">
      <c r="A1817" s="11" t="s">
        <v>5239</v>
      </c>
      <c r="B1817" s="11" t="s">
        <v>5329</v>
      </c>
      <c r="C1817" s="3" t="s">
        <v>1105</v>
      </c>
      <c r="D1817" s="3" t="s">
        <v>2276</v>
      </c>
      <c r="E1817" s="3" t="s">
        <v>1105</v>
      </c>
      <c r="F1817" s="4" t="s">
        <v>2276</v>
      </c>
      <c r="G1817" s="4" t="s">
        <v>74</v>
      </c>
      <c r="H1817" s="3" t="s">
        <v>523</v>
      </c>
      <c r="I1817" s="3">
        <v>2003</v>
      </c>
      <c r="J1817" s="3" t="s">
        <v>2276</v>
      </c>
      <c r="K1817" s="3" t="s">
        <v>2276</v>
      </c>
      <c r="L1817" s="3" t="s">
        <v>2276</v>
      </c>
      <c r="M1817" s="3" t="s">
        <v>2276</v>
      </c>
      <c r="N1817" s="3" t="s">
        <v>2276</v>
      </c>
      <c r="O1817" s="3" t="s">
        <v>2276</v>
      </c>
      <c r="P1817" s="3" t="s">
        <v>2276</v>
      </c>
      <c r="Q1817" s="3" t="s">
        <v>2276</v>
      </c>
      <c r="R1817" s="3" t="s">
        <v>2276</v>
      </c>
      <c r="S1817" s="3" t="s">
        <v>2276</v>
      </c>
      <c r="T1817" s="21">
        <v>75</v>
      </c>
      <c r="U1817" s="3" t="s">
        <v>2276</v>
      </c>
      <c r="V1817" s="21">
        <v>8</v>
      </c>
      <c r="W1817" s="3" t="s">
        <v>2276</v>
      </c>
      <c r="X1817" s="3" t="s">
        <v>2276</v>
      </c>
      <c r="Y1817" s="3" t="s">
        <v>2276</v>
      </c>
      <c r="Z1817" s="3" t="s">
        <v>399</v>
      </c>
      <c r="AA1817" s="3" t="s">
        <v>86</v>
      </c>
      <c r="AB1817" s="3" t="s">
        <v>76</v>
      </c>
      <c r="AC1817" s="3"/>
      <c r="AD1817" s="3" t="s">
        <v>5335</v>
      </c>
    </row>
    <row r="1818" spans="1:30" ht="45.5" customHeight="1">
      <c r="A1818" s="11" t="s">
        <v>5239</v>
      </c>
      <c r="B1818" s="11" t="s">
        <v>5330</v>
      </c>
      <c r="C1818" s="3" t="s">
        <v>1105</v>
      </c>
      <c r="D1818" s="3" t="s">
        <v>2276</v>
      </c>
      <c r="E1818" s="3" t="s">
        <v>1105</v>
      </c>
      <c r="F1818" s="4" t="s">
        <v>2276</v>
      </c>
      <c r="G1818" s="4" t="s">
        <v>74</v>
      </c>
      <c r="H1818" s="3" t="s">
        <v>523</v>
      </c>
      <c r="I1818" s="3">
        <v>2004</v>
      </c>
      <c r="J1818" s="3" t="s">
        <v>2276</v>
      </c>
      <c r="K1818" s="3" t="s">
        <v>2276</v>
      </c>
      <c r="L1818" s="3" t="s">
        <v>2276</v>
      </c>
      <c r="M1818" s="3" t="s">
        <v>2276</v>
      </c>
      <c r="N1818" s="3" t="s">
        <v>2276</v>
      </c>
      <c r="O1818" s="3" t="s">
        <v>2276</v>
      </c>
      <c r="P1818" s="3" t="s">
        <v>2276</v>
      </c>
      <c r="Q1818" s="3" t="s">
        <v>2276</v>
      </c>
      <c r="R1818" s="3" t="s">
        <v>2276</v>
      </c>
      <c r="S1818" s="3" t="s">
        <v>2276</v>
      </c>
      <c r="T1818" s="21">
        <v>135</v>
      </c>
      <c r="U1818" s="3" t="s">
        <v>2276</v>
      </c>
      <c r="V1818" s="21">
        <v>15</v>
      </c>
      <c r="W1818" s="3" t="s">
        <v>2276</v>
      </c>
      <c r="X1818" s="3" t="s">
        <v>2276</v>
      </c>
      <c r="Y1818" s="3" t="s">
        <v>2276</v>
      </c>
      <c r="Z1818" s="3" t="s">
        <v>399</v>
      </c>
      <c r="AA1818" s="3" t="s">
        <v>86</v>
      </c>
      <c r="AB1818" s="3" t="s">
        <v>76</v>
      </c>
      <c r="AC1818" s="3"/>
      <c r="AD1818" s="3" t="s">
        <v>5335</v>
      </c>
    </row>
    <row r="1819" spans="1:30" ht="45.5" customHeight="1">
      <c r="A1819" s="11" t="s">
        <v>5240</v>
      </c>
      <c r="B1819" s="11" t="s">
        <v>5331</v>
      </c>
      <c r="C1819" s="3" t="s">
        <v>1105</v>
      </c>
      <c r="D1819" s="3" t="s">
        <v>2276</v>
      </c>
      <c r="E1819" s="3" t="s">
        <v>1105</v>
      </c>
      <c r="F1819" s="4" t="s">
        <v>2276</v>
      </c>
      <c r="G1819" s="4" t="s">
        <v>74</v>
      </c>
      <c r="H1819" s="3" t="s">
        <v>523</v>
      </c>
      <c r="I1819" s="3">
        <v>2003</v>
      </c>
      <c r="J1819" s="3" t="s">
        <v>2276</v>
      </c>
      <c r="K1819" s="3" t="s">
        <v>2276</v>
      </c>
      <c r="L1819" s="3" t="s">
        <v>2276</v>
      </c>
      <c r="M1819" s="3" t="s">
        <v>2276</v>
      </c>
      <c r="N1819" s="3" t="s">
        <v>2276</v>
      </c>
      <c r="O1819" s="3" t="s">
        <v>2276</v>
      </c>
      <c r="P1819" s="3" t="s">
        <v>2276</v>
      </c>
      <c r="Q1819" s="3" t="s">
        <v>2276</v>
      </c>
      <c r="R1819" s="3" t="s">
        <v>2276</v>
      </c>
      <c r="S1819" s="3" t="s">
        <v>2276</v>
      </c>
      <c r="T1819" s="21">
        <v>924</v>
      </c>
      <c r="U1819" s="3" t="s">
        <v>2276</v>
      </c>
      <c r="V1819" s="21">
        <v>19</v>
      </c>
      <c r="W1819" s="3" t="s">
        <v>2276</v>
      </c>
      <c r="X1819" s="3" t="s">
        <v>2276</v>
      </c>
      <c r="Y1819" s="3" t="s">
        <v>2276</v>
      </c>
      <c r="Z1819" s="3" t="s">
        <v>399</v>
      </c>
      <c r="AA1819" s="3" t="s">
        <v>86</v>
      </c>
      <c r="AB1819" s="3" t="s">
        <v>76</v>
      </c>
      <c r="AC1819" s="3"/>
      <c r="AD1819" s="3" t="s">
        <v>5335</v>
      </c>
    </row>
    <row r="1820" spans="1:30" ht="45.5" customHeight="1">
      <c r="A1820" s="11" t="s">
        <v>5240</v>
      </c>
      <c r="B1820" s="11" t="s">
        <v>5332</v>
      </c>
      <c r="C1820" s="3" t="s">
        <v>1105</v>
      </c>
      <c r="D1820" s="3" t="s">
        <v>2276</v>
      </c>
      <c r="E1820" s="3" t="s">
        <v>1105</v>
      </c>
      <c r="F1820" s="4" t="s">
        <v>2276</v>
      </c>
      <c r="G1820" s="4" t="s">
        <v>74</v>
      </c>
      <c r="H1820" s="3" t="s">
        <v>523</v>
      </c>
      <c r="I1820" s="3">
        <v>2004</v>
      </c>
      <c r="J1820" s="3" t="s">
        <v>2276</v>
      </c>
      <c r="K1820" s="3" t="s">
        <v>2276</v>
      </c>
      <c r="L1820" s="3" t="s">
        <v>2276</v>
      </c>
      <c r="M1820" s="3" t="s">
        <v>2276</v>
      </c>
      <c r="N1820" s="3" t="s">
        <v>2276</v>
      </c>
      <c r="O1820" s="3" t="s">
        <v>2276</v>
      </c>
      <c r="P1820" s="3" t="s">
        <v>2276</v>
      </c>
      <c r="Q1820" s="3" t="s">
        <v>2276</v>
      </c>
      <c r="R1820" s="3" t="s">
        <v>2276</v>
      </c>
      <c r="S1820" s="3" t="s">
        <v>2276</v>
      </c>
      <c r="T1820" s="21">
        <v>1644</v>
      </c>
      <c r="U1820" s="3" t="s">
        <v>2276</v>
      </c>
      <c r="V1820" s="21">
        <v>34</v>
      </c>
      <c r="W1820" s="3" t="s">
        <v>2276</v>
      </c>
      <c r="X1820" s="3" t="s">
        <v>2276</v>
      </c>
      <c r="Y1820" s="3" t="s">
        <v>2276</v>
      </c>
      <c r="Z1820" s="3" t="s">
        <v>399</v>
      </c>
      <c r="AA1820" s="3" t="s">
        <v>86</v>
      </c>
      <c r="AB1820" s="3" t="s">
        <v>76</v>
      </c>
      <c r="AC1820" s="3"/>
      <c r="AD1820" s="3" t="s">
        <v>5335</v>
      </c>
    </row>
    <row r="1821" spans="1:30" ht="45.5" customHeight="1">
      <c r="A1821" s="11" t="s">
        <v>5241</v>
      </c>
      <c r="B1821" s="11" t="s">
        <v>5333</v>
      </c>
      <c r="C1821" s="3" t="s">
        <v>1105</v>
      </c>
      <c r="D1821" s="3" t="s">
        <v>2276</v>
      </c>
      <c r="E1821" s="3" t="s">
        <v>1105</v>
      </c>
      <c r="F1821" s="4" t="s">
        <v>2276</v>
      </c>
      <c r="G1821" s="4" t="s">
        <v>74</v>
      </c>
      <c r="H1821" s="3" t="s">
        <v>523</v>
      </c>
      <c r="I1821" s="3">
        <v>2003</v>
      </c>
      <c r="J1821" s="3" t="s">
        <v>2276</v>
      </c>
      <c r="K1821" s="3" t="s">
        <v>2276</v>
      </c>
      <c r="L1821" s="3" t="s">
        <v>2276</v>
      </c>
      <c r="M1821" s="3" t="s">
        <v>2276</v>
      </c>
      <c r="N1821" s="3" t="s">
        <v>2276</v>
      </c>
      <c r="O1821" s="3" t="s">
        <v>2276</v>
      </c>
      <c r="P1821" s="3" t="s">
        <v>2276</v>
      </c>
      <c r="Q1821" s="3" t="s">
        <v>2276</v>
      </c>
      <c r="R1821" s="3" t="s">
        <v>2276</v>
      </c>
      <c r="S1821" s="3" t="s">
        <v>2276</v>
      </c>
      <c r="T1821" s="21">
        <v>130</v>
      </c>
      <c r="U1821" s="3" t="s">
        <v>2276</v>
      </c>
      <c r="V1821" s="21">
        <v>16</v>
      </c>
      <c r="W1821" s="3" t="s">
        <v>2276</v>
      </c>
      <c r="X1821" s="3" t="s">
        <v>2276</v>
      </c>
      <c r="Y1821" s="3" t="s">
        <v>2276</v>
      </c>
      <c r="Z1821" s="3" t="s">
        <v>399</v>
      </c>
      <c r="AA1821" s="3" t="s">
        <v>86</v>
      </c>
      <c r="AB1821" s="3" t="s">
        <v>76</v>
      </c>
      <c r="AC1821" s="3"/>
      <c r="AD1821" s="3" t="s">
        <v>5335</v>
      </c>
    </row>
    <row r="1822" spans="1:30" ht="45.5" customHeight="1">
      <c r="A1822" s="11" t="s">
        <v>5241</v>
      </c>
      <c r="B1822" s="11" t="s">
        <v>5334</v>
      </c>
      <c r="C1822" s="3" t="s">
        <v>1105</v>
      </c>
      <c r="D1822" s="3" t="s">
        <v>2276</v>
      </c>
      <c r="E1822" s="3" t="s">
        <v>1105</v>
      </c>
      <c r="F1822" s="4" t="s">
        <v>2276</v>
      </c>
      <c r="G1822" s="4" t="s">
        <v>74</v>
      </c>
      <c r="H1822" s="3" t="s">
        <v>523</v>
      </c>
      <c r="I1822" s="3">
        <v>2004</v>
      </c>
      <c r="J1822" s="3" t="s">
        <v>2276</v>
      </c>
      <c r="K1822" s="3" t="s">
        <v>2276</v>
      </c>
      <c r="L1822" s="3" t="s">
        <v>2276</v>
      </c>
      <c r="M1822" s="3" t="s">
        <v>2276</v>
      </c>
      <c r="N1822" s="3" t="s">
        <v>2276</v>
      </c>
      <c r="O1822" s="3" t="s">
        <v>2276</v>
      </c>
      <c r="P1822" s="3" t="s">
        <v>2276</v>
      </c>
      <c r="Q1822" s="3" t="s">
        <v>2276</v>
      </c>
      <c r="R1822" s="3" t="s">
        <v>2276</v>
      </c>
      <c r="S1822" s="3" t="s">
        <v>2276</v>
      </c>
      <c r="T1822" s="21">
        <v>46</v>
      </c>
      <c r="U1822" s="3" t="s">
        <v>2276</v>
      </c>
      <c r="V1822" s="21">
        <v>6</v>
      </c>
      <c r="W1822" s="3" t="s">
        <v>2276</v>
      </c>
      <c r="X1822" s="3" t="s">
        <v>2276</v>
      </c>
      <c r="Y1822" s="3" t="s">
        <v>2276</v>
      </c>
      <c r="Z1822" s="3" t="s">
        <v>399</v>
      </c>
      <c r="AA1822" s="3" t="s">
        <v>86</v>
      </c>
      <c r="AB1822" s="3" t="s">
        <v>76</v>
      </c>
      <c r="AC1822" s="3"/>
      <c r="AD1822" s="3" t="s">
        <v>5335</v>
      </c>
    </row>
    <row r="1823" spans="1:30" ht="44.5" customHeight="1">
      <c r="A1823" s="11" t="s">
        <v>5337</v>
      </c>
      <c r="B1823" s="11" t="s">
        <v>5346</v>
      </c>
      <c r="C1823" s="3" t="s">
        <v>24</v>
      </c>
      <c r="D1823" s="3" t="s">
        <v>27</v>
      </c>
      <c r="E1823" s="3" t="s">
        <v>130</v>
      </c>
      <c r="F1823" s="4" t="s">
        <v>74</v>
      </c>
      <c r="G1823" s="4" t="s">
        <v>2276</v>
      </c>
      <c r="H1823" s="3" t="s">
        <v>523</v>
      </c>
      <c r="I1823" s="3"/>
      <c r="J1823" s="4" t="s">
        <v>2276</v>
      </c>
      <c r="K1823" s="4" t="s">
        <v>2276</v>
      </c>
      <c r="L1823" s="4" t="s">
        <v>2276</v>
      </c>
      <c r="M1823" s="4" t="s">
        <v>2276</v>
      </c>
      <c r="N1823" s="4" t="s">
        <v>2276</v>
      </c>
      <c r="O1823" s="4" t="s">
        <v>2276</v>
      </c>
      <c r="P1823" s="4" t="s">
        <v>2276</v>
      </c>
      <c r="Q1823" s="4" t="s">
        <v>2276</v>
      </c>
      <c r="R1823" s="4" t="s">
        <v>2276</v>
      </c>
      <c r="S1823" s="4" t="s">
        <v>2276</v>
      </c>
      <c r="T1823" s="4" t="s">
        <v>2276</v>
      </c>
      <c r="U1823" s="4" t="s">
        <v>2276</v>
      </c>
      <c r="V1823" s="4" t="s">
        <v>2276</v>
      </c>
      <c r="W1823" s="4" t="s">
        <v>2276</v>
      </c>
      <c r="X1823" s="4" t="s">
        <v>2276</v>
      </c>
      <c r="Y1823" s="4" t="s">
        <v>2276</v>
      </c>
      <c r="Z1823" s="4" t="s">
        <v>2276</v>
      </c>
      <c r="AA1823" s="4" t="s">
        <v>2276</v>
      </c>
      <c r="AB1823" s="4" t="s">
        <v>2276</v>
      </c>
      <c r="AC1823" s="3"/>
      <c r="AD1823" s="3"/>
    </row>
    <row r="1824" spans="1:30" ht="44.5" customHeight="1">
      <c r="A1824" s="11" t="s">
        <v>5337</v>
      </c>
      <c r="B1824" s="11" t="s">
        <v>5347</v>
      </c>
      <c r="C1824" s="3" t="s">
        <v>24</v>
      </c>
      <c r="D1824" s="3" t="s">
        <v>2231</v>
      </c>
      <c r="E1824" s="3" t="s">
        <v>130</v>
      </c>
      <c r="F1824" s="4" t="s">
        <v>74</v>
      </c>
      <c r="G1824" s="4" t="s">
        <v>2276</v>
      </c>
      <c r="H1824" s="3" t="s">
        <v>523</v>
      </c>
      <c r="I1824" s="3"/>
      <c r="J1824" s="4" t="s">
        <v>2276</v>
      </c>
      <c r="K1824" s="4" t="s">
        <v>2276</v>
      </c>
      <c r="L1824" s="4" t="s">
        <v>2276</v>
      </c>
      <c r="M1824" s="4" t="s">
        <v>2276</v>
      </c>
      <c r="N1824" s="4" t="s">
        <v>2276</v>
      </c>
      <c r="O1824" s="4" t="s">
        <v>2276</v>
      </c>
      <c r="P1824" s="4" t="s">
        <v>2276</v>
      </c>
      <c r="Q1824" s="4" t="s">
        <v>2276</v>
      </c>
      <c r="R1824" s="4" t="s">
        <v>2276</v>
      </c>
      <c r="S1824" s="4" t="s">
        <v>2276</v>
      </c>
      <c r="T1824" s="4" t="s">
        <v>2276</v>
      </c>
      <c r="U1824" s="4" t="s">
        <v>2276</v>
      </c>
      <c r="V1824" s="4" t="s">
        <v>2276</v>
      </c>
      <c r="W1824" s="4" t="s">
        <v>2276</v>
      </c>
      <c r="X1824" s="4" t="s">
        <v>2276</v>
      </c>
      <c r="Y1824" s="4" t="s">
        <v>2276</v>
      </c>
      <c r="Z1824" s="4" t="s">
        <v>2276</v>
      </c>
      <c r="AA1824" s="4" t="s">
        <v>2276</v>
      </c>
      <c r="AB1824" s="4" t="s">
        <v>2276</v>
      </c>
      <c r="AC1824" s="3"/>
      <c r="AD1824" s="3"/>
    </row>
    <row r="1825" spans="1:30" ht="44.5" customHeight="1">
      <c r="A1825" s="11" t="s">
        <v>5337</v>
      </c>
      <c r="B1825" s="11" t="s">
        <v>5348</v>
      </c>
      <c r="C1825" s="3" t="s">
        <v>24</v>
      </c>
      <c r="D1825" s="3" t="s">
        <v>2231</v>
      </c>
      <c r="E1825" s="4" t="s">
        <v>396</v>
      </c>
      <c r="F1825" s="4" t="s">
        <v>74</v>
      </c>
      <c r="G1825" s="4" t="s">
        <v>2276</v>
      </c>
      <c r="H1825" s="3" t="s">
        <v>523</v>
      </c>
      <c r="I1825" s="3"/>
      <c r="J1825" s="4" t="s">
        <v>2276</v>
      </c>
      <c r="K1825" s="4" t="s">
        <v>2276</v>
      </c>
      <c r="L1825" s="4" t="s">
        <v>2276</v>
      </c>
      <c r="M1825" s="4" t="s">
        <v>2276</v>
      </c>
      <c r="N1825" s="4" t="s">
        <v>2276</v>
      </c>
      <c r="O1825" s="4" t="s">
        <v>2276</v>
      </c>
      <c r="P1825" s="4" t="s">
        <v>2276</v>
      </c>
      <c r="Q1825" s="4" t="s">
        <v>2276</v>
      </c>
      <c r="R1825" s="4" t="s">
        <v>2276</v>
      </c>
      <c r="S1825" s="4" t="s">
        <v>2276</v>
      </c>
      <c r="T1825" s="4" t="s">
        <v>2276</v>
      </c>
      <c r="U1825" s="4" t="s">
        <v>2276</v>
      </c>
      <c r="V1825" s="4" t="s">
        <v>2276</v>
      </c>
      <c r="W1825" s="4" t="s">
        <v>2276</v>
      </c>
      <c r="X1825" s="4" t="s">
        <v>2276</v>
      </c>
      <c r="Y1825" s="4" t="s">
        <v>2276</v>
      </c>
      <c r="Z1825" s="4" t="s">
        <v>2276</v>
      </c>
      <c r="AA1825" s="4" t="s">
        <v>2276</v>
      </c>
      <c r="AB1825" s="4" t="s">
        <v>2276</v>
      </c>
      <c r="AC1825" s="3"/>
      <c r="AD1825" s="3"/>
    </row>
    <row r="1826" spans="1:30" ht="44.5" customHeight="1">
      <c r="A1826" s="11" t="s">
        <v>5338</v>
      </c>
      <c r="B1826" s="11" t="s">
        <v>5349</v>
      </c>
      <c r="C1826" s="3" t="s">
        <v>24</v>
      </c>
      <c r="D1826" s="3" t="s">
        <v>27</v>
      </c>
      <c r="E1826" s="3" t="s">
        <v>130</v>
      </c>
      <c r="F1826" s="4" t="s">
        <v>74</v>
      </c>
      <c r="G1826" s="4" t="s">
        <v>2276</v>
      </c>
      <c r="H1826" s="3" t="s">
        <v>524</v>
      </c>
      <c r="I1826" s="3"/>
      <c r="J1826" s="3">
        <v>0</v>
      </c>
      <c r="K1826" s="3">
        <v>0</v>
      </c>
      <c r="L1826" s="3">
        <v>0</v>
      </c>
      <c r="M1826" s="3">
        <v>0</v>
      </c>
      <c r="N1826" s="3">
        <v>0</v>
      </c>
      <c r="O1826" s="3">
        <v>0</v>
      </c>
      <c r="P1826" s="3">
        <v>0</v>
      </c>
      <c r="Q1826" s="3">
        <v>0</v>
      </c>
      <c r="R1826" s="3">
        <v>0</v>
      </c>
      <c r="S1826" s="3">
        <v>0</v>
      </c>
      <c r="T1826" s="3">
        <v>0</v>
      </c>
      <c r="U1826" s="3">
        <v>0</v>
      </c>
      <c r="V1826" s="3">
        <v>0</v>
      </c>
      <c r="W1826" s="3">
        <v>0</v>
      </c>
      <c r="X1826" s="3">
        <v>0</v>
      </c>
      <c r="Y1826" s="4" t="s">
        <v>2276</v>
      </c>
      <c r="Z1826" s="4" t="s">
        <v>2276</v>
      </c>
      <c r="AA1826" s="4" t="s">
        <v>2276</v>
      </c>
      <c r="AB1826" s="4" t="s">
        <v>2276</v>
      </c>
      <c r="AC1826" s="4" t="s">
        <v>5352</v>
      </c>
      <c r="AD1826" s="3"/>
    </row>
    <row r="1827" spans="1:30" ht="44.5" customHeight="1">
      <c r="A1827" s="11" t="s">
        <v>5338</v>
      </c>
      <c r="B1827" s="11" t="s">
        <v>5350</v>
      </c>
      <c r="C1827" s="3" t="s">
        <v>24</v>
      </c>
      <c r="D1827" s="3" t="s">
        <v>2231</v>
      </c>
      <c r="E1827" s="3" t="s">
        <v>130</v>
      </c>
      <c r="F1827" s="4" t="s">
        <v>74</v>
      </c>
      <c r="G1827" s="4" t="s">
        <v>2276</v>
      </c>
      <c r="H1827" s="3" t="s">
        <v>524</v>
      </c>
      <c r="I1827" s="3"/>
      <c r="J1827" s="3">
        <v>0</v>
      </c>
      <c r="K1827" s="3">
        <v>0</v>
      </c>
      <c r="L1827" s="3">
        <v>0</v>
      </c>
      <c r="M1827" s="3">
        <v>0</v>
      </c>
      <c r="N1827" s="3">
        <v>0</v>
      </c>
      <c r="O1827" s="3">
        <v>0</v>
      </c>
      <c r="P1827" s="3">
        <v>0</v>
      </c>
      <c r="Q1827" s="3">
        <v>0</v>
      </c>
      <c r="R1827" s="3">
        <v>0</v>
      </c>
      <c r="S1827" s="3">
        <v>0</v>
      </c>
      <c r="T1827" s="3">
        <v>0</v>
      </c>
      <c r="U1827" s="3">
        <v>0</v>
      </c>
      <c r="V1827" s="3">
        <v>0</v>
      </c>
      <c r="W1827" s="3">
        <v>0</v>
      </c>
      <c r="X1827" s="3">
        <v>0</v>
      </c>
      <c r="Y1827" s="4" t="s">
        <v>2276</v>
      </c>
      <c r="Z1827" s="4" t="s">
        <v>2276</v>
      </c>
      <c r="AA1827" s="4" t="s">
        <v>2276</v>
      </c>
      <c r="AB1827" s="4" t="s">
        <v>2276</v>
      </c>
      <c r="AC1827" s="4" t="s">
        <v>5352</v>
      </c>
      <c r="AD1827" s="3"/>
    </row>
    <row r="1828" spans="1:30" ht="44.5" customHeight="1">
      <c r="A1828" s="11" t="s">
        <v>5338</v>
      </c>
      <c r="B1828" s="11" t="s">
        <v>5351</v>
      </c>
      <c r="C1828" s="3" t="s">
        <v>24</v>
      </c>
      <c r="D1828" s="3" t="s">
        <v>2231</v>
      </c>
      <c r="E1828" s="4" t="s">
        <v>396</v>
      </c>
      <c r="F1828" s="4" t="s">
        <v>74</v>
      </c>
      <c r="G1828" s="4" t="s">
        <v>2276</v>
      </c>
      <c r="H1828" s="3" t="s">
        <v>524</v>
      </c>
      <c r="I1828" s="3"/>
      <c r="J1828" s="3">
        <v>0</v>
      </c>
      <c r="K1828" s="3">
        <v>0</v>
      </c>
      <c r="L1828" s="3">
        <v>0</v>
      </c>
      <c r="M1828" s="3">
        <v>0</v>
      </c>
      <c r="N1828" s="3">
        <v>0</v>
      </c>
      <c r="O1828" s="3">
        <v>0</v>
      </c>
      <c r="P1828" s="3">
        <v>0</v>
      </c>
      <c r="Q1828" s="3">
        <v>0</v>
      </c>
      <c r="R1828" s="3">
        <v>0</v>
      </c>
      <c r="S1828" s="3">
        <v>0</v>
      </c>
      <c r="T1828" s="3">
        <v>0</v>
      </c>
      <c r="U1828" s="3">
        <v>0</v>
      </c>
      <c r="V1828" s="3">
        <v>0</v>
      </c>
      <c r="W1828" s="3">
        <v>0</v>
      </c>
      <c r="X1828" s="3">
        <v>0</v>
      </c>
      <c r="Y1828" s="4" t="s">
        <v>2276</v>
      </c>
      <c r="Z1828" s="4" t="s">
        <v>2276</v>
      </c>
      <c r="AA1828" s="4" t="s">
        <v>2276</v>
      </c>
      <c r="AB1828" s="4" t="s">
        <v>2276</v>
      </c>
      <c r="AC1828" s="4" t="s">
        <v>5352</v>
      </c>
      <c r="AD1828" s="3"/>
    </row>
    <row r="1829" spans="1:30" ht="29" customHeight="1">
      <c r="A1829" s="11" t="s">
        <v>5339</v>
      </c>
      <c r="B1829" s="11" t="s">
        <v>5353</v>
      </c>
      <c r="C1829" s="3" t="s">
        <v>24</v>
      </c>
      <c r="D1829" s="3" t="s">
        <v>27</v>
      </c>
      <c r="E1829" s="3" t="s">
        <v>130</v>
      </c>
      <c r="F1829" s="4" t="s">
        <v>74</v>
      </c>
      <c r="G1829" s="4" t="s">
        <v>2276</v>
      </c>
      <c r="H1829" s="3" t="s">
        <v>523</v>
      </c>
      <c r="I1829" s="3"/>
      <c r="J1829" s="4" t="s">
        <v>2276</v>
      </c>
      <c r="K1829" s="4" t="s">
        <v>2276</v>
      </c>
      <c r="L1829" s="4" t="s">
        <v>2276</v>
      </c>
      <c r="M1829" s="4" t="s">
        <v>2276</v>
      </c>
      <c r="N1829" s="4" t="s">
        <v>2276</v>
      </c>
      <c r="O1829" s="4" t="s">
        <v>2276</v>
      </c>
      <c r="P1829" s="4" t="s">
        <v>2276</v>
      </c>
      <c r="Q1829" s="4" t="s">
        <v>2276</v>
      </c>
      <c r="R1829" s="4" t="s">
        <v>2276</v>
      </c>
      <c r="S1829" s="4" t="s">
        <v>2276</v>
      </c>
      <c r="T1829" s="4" t="s">
        <v>2276</v>
      </c>
      <c r="U1829" s="4" t="s">
        <v>2276</v>
      </c>
      <c r="V1829" s="4" t="s">
        <v>2276</v>
      </c>
      <c r="W1829" s="4" t="s">
        <v>2276</v>
      </c>
      <c r="X1829" s="4" t="s">
        <v>2276</v>
      </c>
      <c r="Y1829" s="4" t="s">
        <v>2276</v>
      </c>
      <c r="Z1829" s="4" t="s">
        <v>2276</v>
      </c>
      <c r="AA1829" s="4" t="s">
        <v>2276</v>
      </c>
      <c r="AB1829" s="4" t="s">
        <v>2276</v>
      </c>
      <c r="AC1829" s="3"/>
      <c r="AD1829" s="3"/>
    </row>
    <row r="1830" spans="1:30" ht="28" customHeight="1">
      <c r="A1830" s="11" t="s">
        <v>5339</v>
      </c>
      <c r="B1830" s="11" t="s">
        <v>5354</v>
      </c>
      <c r="C1830" s="3" t="s">
        <v>24</v>
      </c>
      <c r="D1830" s="3" t="s">
        <v>2231</v>
      </c>
      <c r="E1830" s="3" t="s">
        <v>130</v>
      </c>
      <c r="F1830" s="4" t="s">
        <v>74</v>
      </c>
      <c r="G1830" s="4" t="s">
        <v>2276</v>
      </c>
      <c r="H1830" s="3" t="s">
        <v>523</v>
      </c>
      <c r="I1830" s="3"/>
      <c r="J1830" s="4" t="s">
        <v>2276</v>
      </c>
      <c r="K1830" s="4" t="s">
        <v>2276</v>
      </c>
      <c r="L1830" s="4" t="s">
        <v>2276</v>
      </c>
      <c r="M1830" s="4" t="s">
        <v>2276</v>
      </c>
      <c r="N1830" s="4" t="s">
        <v>2276</v>
      </c>
      <c r="O1830" s="4" t="s">
        <v>2276</v>
      </c>
      <c r="P1830" s="4" t="s">
        <v>2276</v>
      </c>
      <c r="Q1830" s="4" t="s">
        <v>2276</v>
      </c>
      <c r="R1830" s="4" t="s">
        <v>2276</v>
      </c>
      <c r="S1830" s="4" t="s">
        <v>2276</v>
      </c>
      <c r="T1830" s="4" t="s">
        <v>2276</v>
      </c>
      <c r="U1830" s="4" t="s">
        <v>2276</v>
      </c>
      <c r="V1830" s="4" t="s">
        <v>2276</v>
      </c>
      <c r="W1830" s="4" t="s">
        <v>2276</v>
      </c>
      <c r="X1830" s="4" t="s">
        <v>2276</v>
      </c>
      <c r="Y1830" s="4" t="s">
        <v>2276</v>
      </c>
      <c r="Z1830" s="4" t="s">
        <v>2276</v>
      </c>
      <c r="AA1830" s="4" t="s">
        <v>2276</v>
      </c>
      <c r="AB1830" s="4" t="s">
        <v>2276</v>
      </c>
      <c r="AC1830" s="3"/>
      <c r="AD1830" s="3"/>
    </row>
    <row r="1831" spans="1:30" ht="29">
      <c r="A1831" s="11" t="s">
        <v>5339</v>
      </c>
      <c r="B1831" s="11" t="s">
        <v>5355</v>
      </c>
      <c r="C1831" s="3" t="s">
        <v>24</v>
      </c>
      <c r="D1831" s="3" t="s">
        <v>2231</v>
      </c>
      <c r="E1831" s="4" t="s">
        <v>396</v>
      </c>
      <c r="F1831" s="4" t="s">
        <v>74</v>
      </c>
      <c r="G1831" s="4" t="s">
        <v>2276</v>
      </c>
      <c r="H1831" s="3" t="s">
        <v>523</v>
      </c>
      <c r="I1831" s="3"/>
      <c r="J1831" s="4" t="s">
        <v>2276</v>
      </c>
      <c r="K1831" s="4" t="s">
        <v>2276</v>
      </c>
      <c r="L1831" s="4" t="s">
        <v>2276</v>
      </c>
      <c r="M1831" s="4" t="s">
        <v>2276</v>
      </c>
      <c r="N1831" s="4" t="s">
        <v>2276</v>
      </c>
      <c r="O1831" s="4" t="s">
        <v>2276</v>
      </c>
      <c r="P1831" s="4" t="s">
        <v>2276</v>
      </c>
      <c r="Q1831" s="4" t="s">
        <v>2276</v>
      </c>
      <c r="R1831" s="4" t="s">
        <v>2276</v>
      </c>
      <c r="S1831" s="4" t="s">
        <v>2276</v>
      </c>
      <c r="T1831" s="4" t="s">
        <v>2276</v>
      </c>
      <c r="U1831" s="4" t="s">
        <v>2276</v>
      </c>
      <c r="V1831" s="4" t="s">
        <v>2276</v>
      </c>
      <c r="W1831" s="4" t="s">
        <v>2276</v>
      </c>
      <c r="X1831" s="4" t="s">
        <v>2276</v>
      </c>
      <c r="Y1831" s="4" t="s">
        <v>2276</v>
      </c>
      <c r="Z1831" s="4" t="s">
        <v>2276</v>
      </c>
      <c r="AA1831" s="4" t="s">
        <v>2276</v>
      </c>
      <c r="AB1831" s="4" t="s">
        <v>2276</v>
      </c>
      <c r="AC1831" s="3"/>
      <c r="AD1831" s="3"/>
    </row>
    <row r="1832" spans="1:30" ht="30" customHeight="1">
      <c r="A1832" s="11" t="s">
        <v>5361</v>
      </c>
      <c r="B1832" s="11" t="s">
        <v>5365</v>
      </c>
      <c r="C1832" s="3" t="s">
        <v>24</v>
      </c>
      <c r="D1832" s="52" t="s">
        <v>1245</v>
      </c>
      <c r="E1832" s="3" t="s">
        <v>116</v>
      </c>
      <c r="F1832" s="4" t="s">
        <v>2662</v>
      </c>
      <c r="G1832" s="4" t="s">
        <v>2276</v>
      </c>
      <c r="H1832" s="3" t="s">
        <v>523</v>
      </c>
      <c r="I1832" s="3"/>
      <c r="J1832" s="4" t="s">
        <v>2276</v>
      </c>
      <c r="K1832" s="4" t="s">
        <v>2276</v>
      </c>
      <c r="L1832" s="4" t="s">
        <v>2276</v>
      </c>
      <c r="M1832" s="4" t="s">
        <v>2276</v>
      </c>
      <c r="N1832" s="4" t="s">
        <v>2276</v>
      </c>
      <c r="O1832" s="4" t="s">
        <v>2276</v>
      </c>
      <c r="P1832" s="4" t="s">
        <v>2276</v>
      </c>
      <c r="Q1832" s="4" t="s">
        <v>2276</v>
      </c>
      <c r="R1832" s="4" t="s">
        <v>2276</v>
      </c>
      <c r="S1832" s="4" t="s">
        <v>2276</v>
      </c>
      <c r="T1832" s="4" t="s">
        <v>2276</v>
      </c>
      <c r="U1832" s="4" t="s">
        <v>2276</v>
      </c>
      <c r="V1832" s="4" t="s">
        <v>2276</v>
      </c>
      <c r="W1832" s="4" t="s">
        <v>2276</v>
      </c>
      <c r="X1832" s="4" t="s">
        <v>2276</v>
      </c>
      <c r="Y1832" s="4" t="s">
        <v>2276</v>
      </c>
      <c r="Z1832" s="4" t="s">
        <v>2276</v>
      </c>
      <c r="AA1832" s="4" t="s">
        <v>2276</v>
      </c>
      <c r="AB1832" s="4" t="s">
        <v>2276</v>
      </c>
      <c r="AC1832" s="3"/>
      <c r="AD1832" s="3"/>
    </row>
    <row r="1833" spans="1:30" ht="34.5" customHeight="1">
      <c r="A1833" s="11" t="s">
        <v>5361</v>
      </c>
      <c r="B1833" s="11" t="s">
        <v>5366</v>
      </c>
      <c r="C1833" s="3" t="s">
        <v>24</v>
      </c>
      <c r="D1833" s="52" t="s">
        <v>27</v>
      </c>
      <c r="E1833" s="3" t="s">
        <v>130</v>
      </c>
      <c r="F1833" s="4" t="s">
        <v>160</v>
      </c>
      <c r="G1833" s="4" t="s">
        <v>2276</v>
      </c>
      <c r="H1833" s="3" t="s">
        <v>523</v>
      </c>
      <c r="I1833" s="3"/>
      <c r="J1833" s="4" t="s">
        <v>2276</v>
      </c>
      <c r="K1833" s="4" t="s">
        <v>2276</v>
      </c>
      <c r="L1833" s="4" t="s">
        <v>2276</v>
      </c>
      <c r="M1833" s="4" t="s">
        <v>2276</v>
      </c>
      <c r="N1833" s="4" t="s">
        <v>2276</v>
      </c>
      <c r="O1833" s="4" t="s">
        <v>2276</v>
      </c>
      <c r="P1833" s="4" t="s">
        <v>2276</v>
      </c>
      <c r="Q1833" s="4" t="s">
        <v>2276</v>
      </c>
      <c r="R1833" s="4" t="s">
        <v>2276</v>
      </c>
      <c r="S1833" s="4" t="s">
        <v>2276</v>
      </c>
      <c r="T1833" s="4" t="s">
        <v>2276</v>
      </c>
      <c r="U1833" s="4" t="s">
        <v>2276</v>
      </c>
      <c r="V1833" s="4" t="s">
        <v>2276</v>
      </c>
      <c r="W1833" s="4" t="s">
        <v>2276</v>
      </c>
      <c r="X1833" s="4" t="s">
        <v>2276</v>
      </c>
      <c r="Y1833" s="4" t="s">
        <v>2276</v>
      </c>
      <c r="Z1833" s="4" t="s">
        <v>2276</v>
      </c>
      <c r="AA1833" s="4" t="s">
        <v>2276</v>
      </c>
      <c r="AB1833" s="4" t="s">
        <v>2276</v>
      </c>
      <c r="AC1833" s="3"/>
      <c r="AD1833" s="3"/>
    </row>
    <row r="1834" spans="1:30" ht="28" customHeight="1">
      <c r="A1834" s="11" t="s">
        <v>5370</v>
      </c>
      <c r="B1834" s="11" t="s">
        <v>5374</v>
      </c>
      <c r="C1834" s="3" t="s">
        <v>24</v>
      </c>
      <c r="D1834" s="3" t="s">
        <v>1242</v>
      </c>
      <c r="E1834" s="3" t="s">
        <v>116</v>
      </c>
      <c r="F1834" s="4" t="s">
        <v>74</v>
      </c>
      <c r="G1834" s="4" t="s">
        <v>2276</v>
      </c>
      <c r="H1834" s="3" t="s">
        <v>523</v>
      </c>
      <c r="I1834" s="3"/>
      <c r="J1834" s="4" t="s">
        <v>2276</v>
      </c>
      <c r="K1834" s="4" t="s">
        <v>2276</v>
      </c>
      <c r="L1834" s="4" t="s">
        <v>2276</v>
      </c>
      <c r="M1834" s="4" t="s">
        <v>2276</v>
      </c>
      <c r="N1834" s="4" t="s">
        <v>2276</v>
      </c>
      <c r="O1834" s="4" t="s">
        <v>2276</v>
      </c>
      <c r="P1834" s="4" t="s">
        <v>2276</v>
      </c>
      <c r="Q1834" s="4" t="s">
        <v>2276</v>
      </c>
      <c r="R1834" s="4" t="s">
        <v>2276</v>
      </c>
      <c r="S1834" s="4" t="s">
        <v>2276</v>
      </c>
      <c r="T1834" s="4" t="s">
        <v>2276</v>
      </c>
      <c r="U1834" s="4" t="s">
        <v>2276</v>
      </c>
      <c r="V1834" s="4" t="s">
        <v>2276</v>
      </c>
      <c r="W1834" s="4" t="s">
        <v>2276</v>
      </c>
      <c r="X1834" s="4" t="s">
        <v>2276</v>
      </c>
      <c r="Y1834" s="4" t="s">
        <v>2276</v>
      </c>
      <c r="Z1834" s="3" t="s">
        <v>189</v>
      </c>
      <c r="AA1834" s="3" t="s">
        <v>405</v>
      </c>
      <c r="AB1834" s="3" t="s">
        <v>2655</v>
      </c>
      <c r="AC1834" s="3"/>
      <c r="AD1834" s="3"/>
    </row>
    <row r="1835" spans="1:30" ht="30" customHeight="1">
      <c r="A1835" s="11" t="s">
        <v>5370</v>
      </c>
      <c r="B1835" s="11" t="s">
        <v>5375</v>
      </c>
      <c r="C1835" s="3" t="s">
        <v>24</v>
      </c>
      <c r="D1835" s="3" t="s">
        <v>25</v>
      </c>
      <c r="E1835" s="3" t="s">
        <v>45</v>
      </c>
      <c r="F1835" s="4" t="s">
        <v>55</v>
      </c>
      <c r="G1835" s="4" t="s">
        <v>2276</v>
      </c>
      <c r="H1835" s="3" t="s">
        <v>523</v>
      </c>
      <c r="I1835" s="3"/>
      <c r="J1835" s="4" t="s">
        <v>2276</v>
      </c>
      <c r="K1835" s="4" t="s">
        <v>2276</v>
      </c>
      <c r="L1835" s="4" t="s">
        <v>2276</v>
      </c>
      <c r="M1835" s="4" t="s">
        <v>2276</v>
      </c>
      <c r="N1835" s="4" t="s">
        <v>2276</v>
      </c>
      <c r="O1835" s="4" t="s">
        <v>2276</v>
      </c>
      <c r="P1835" s="4" t="s">
        <v>2276</v>
      </c>
      <c r="Q1835" s="4" t="s">
        <v>2276</v>
      </c>
      <c r="R1835" s="4" t="s">
        <v>2276</v>
      </c>
      <c r="S1835" s="4" t="s">
        <v>2276</v>
      </c>
      <c r="T1835" s="4" t="s">
        <v>2276</v>
      </c>
      <c r="U1835" s="4" t="s">
        <v>2276</v>
      </c>
      <c r="V1835" s="4" t="s">
        <v>2276</v>
      </c>
      <c r="W1835" s="4" t="s">
        <v>2276</v>
      </c>
      <c r="X1835" s="4" t="s">
        <v>2276</v>
      </c>
      <c r="Y1835" s="4" t="s">
        <v>2276</v>
      </c>
      <c r="Z1835" s="3" t="s">
        <v>189</v>
      </c>
      <c r="AA1835" s="3" t="s">
        <v>38</v>
      </c>
      <c r="AB1835" s="3" t="s">
        <v>2276</v>
      </c>
      <c r="AC1835" s="4" t="s">
        <v>5377</v>
      </c>
      <c r="AD1835" s="3"/>
    </row>
    <row r="1836" spans="1:30" ht="28" customHeight="1">
      <c r="A1836" s="11" t="s">
        <v>5370</v>
      </c>
      <c r="B1836" s="11" t="s">
        <v>5376</v>
      </c>
      <c r="C1836" s="3" t="s">
        <v>24</v>
      </c>
      <c r="D1836" s="3" t="s">
        <v>3480</v>
      </c>
      <c r="E1836" s="3" t="s">
        <v>116</v>
      </c>
      <c r="F1836" s="4" t="s">
        <v>74</v>
      </c>
      <c r="G1836" s="4" t="s">
        <v>2276</v>
      </c>
      <c r="H1836" s="3" t="s">
        <v>523</v>
      </c>
      <c r="I1836" s="3"/>
      <c r="J1836" s="4" t="s">
        <v>2276</v>
      </c>
      <c r="K1836" s="4" t="s">
        <v>2276</v>
      </c>
      <c r="L1836" s="4" t="s">
        <v>2276</v>
      </c>
      <c r="M1836" s="4" t="s">
        <v>2276</v>
      </c>
      <c r="N1836" s="4" t="s">
        <v>2276</v>
      </c>
      <c r="O1836" s="4" t="s">
        <v>2276</v>
      </c>
      <c r="P1836" s="4" t="s">
        <v>2276</v>
      </c>
      <c r="Q1836" s="4" t="s">
        <v>2276</v>
      </c>
      <c r="R1836" s="4" t="s">
        <v>2276</v>
      </c>
      <c r="S1836" s="4" t="s">
        <v>2276</v>
      </c>
      <c r="T1836" s="4" t="s">
        <v>2276</v>
      </c>
      <c r="U1836" s="4" t="s">
        <v>2276</v>
      </c>
      <c r="V1836" s="4" t="s">
        <v>2276</v>
      </c>
      <c r="W1836" s="4" t="s">
        <v>2276</v>
      </c>
      <c r="X1836" s="4" t="s">
        <v>2276</v>
      </c>
      <c r="Y1836" s="4" t="s">
        <v>2276</v>
      </c>
      <c r="Z1836" s="3" t="s">
        <v>189</v>
      </c>
      <c r="AA1836" s="3" t="s">
        <v>405</v>
      </c>
      <c r="AB1836" s="3" t="s">
        <v>2655</v>
      </c>
      <c r="AC1836" s="3"/>
      <c r="AD1836" s="3"/>
    </row>
    <row r="1837" spans="1:30" ht="51.5" customHeight="1">
      <c r="A1837" s="11" t="s">
        <v>5385</v>
      </c>
      <c r="B1837" s="11" t="s">
        <v>5388</v>
      </c>
      <c r="C1837" s="3" t="s">
        <v>24</v>
      </c>
      <c r="D1837" s="3" t="s">
        <v>1242</v>
      </c>
      <c r="E1837" s="3" t="s">
        <v>137</v>
      </c>
      <c r="F1837" s="4" t="s">
        <v>2662</v>
      </c>
      <c r="G1837" s="4" t="s">
        <v>2276</v>
      </c>
      <c r="H1837" s="3" t="s">
        <v>523</v>
      </c>
      <c r="I1837" s="3"/>
      <c r="J1837" s="4" t="s">
        <v>2276</v>
      </c>
      <c r="K1837" s="4" t="s">
        <v>2276</v>
      </c>
      <c r="L1837" s="4" t="s">
        <v>2276</v>
      </c>
      <c r="M1837" s="4" t="s">
        <v>2276</v>
      </c>
      <c r="N1837" s="4" t="s">
        <v>2276</v>
      </c>
      <c r="O1837" s="21">
        <v>351</v>
      </c>
      <c r="P1837" s="21">
        <v>685</v>
      </c>
      <c r="Q1837" s="4" t="s">
        <v>2276</v>
      </c>
      <c r="R1837" s="4" t="s">
        <v>2276</v>
      </c>
      <c r="S1837" s="4" t="s">
        <v>2276</v>
      </c>
      <c r="T1837" s="4" t="s">
        <v>2276</v>
      </c>
      <c r="U1837" s="4" t="s">
        <v>2276</v>
      </c>
      <c r="V1837" s="4" t="s">
        <v>2276</v>
      </c>
      <c r="W1837" s="4" t="s">
        <v>2276</v>
      </c>
      <c r="X1837" s="4" t="s">
        <v>2276</v>
      </c>
      <c r="Y1837" s="4" t="s">
        <v>2276</v>
      </c>
      <c r="Z1837" s="3" t="s">
        <v>405</v>
      </c>
      <c r="AA1837" s="3" t="s">
        <v>68</v>
      </c>
      <c r="AB1837" s="4" t="s">
        <v>2276</v>
      </c>
      <c r="AC1837" s="4" t="s">
        <v>5396</v>
      </c>
      <c r="AD1837" s="4" t="s">
        <v>5392</v>
      </c>
    </row>
    <row r="1838" spans="1:30" ht="50.5" customHeight="1">
      <c r="A1838" s="11" t="s">
        <v>5385</v>
      </c>
      <c r="B1838" s="11" t="s">
        <v>5389</v>
      </c>
      <c r="C1838" s="3" t="s">
        <v>24</v>
      </c>
      <c r="D1838" s="3" t="s">
        <v>1242</v>
      </c>
      <c r="E1838" s="3" t="s">
        <v>116</v>
      </c>
      <c r="F1838" s="4" t="s">
        <v>2662</v>
      </c>
      <c r="G1838" s="4" t="s">
        <v>2276</v>
      </c>
      <c r="H1838" s="3" t="s">
        <v>523</v>
      </c>
      <c r="I1838" s="3"/>
      <c r="J1838" s="4" t="s">
        <v>2276</v>
      </c>
      <c r="K1838" s="4" t="s">
        <v>2276</v>
      </c>
      <c r="L1838" s="4" t="s">
        <v>2276</v>
      </c>
      <c r="M1838" s="4" t="s">
        <v>2276</v>
      </c>
      <c r="N1838" s="4" t="s">
        <v>2276</v>
      </c>
      <c r="O1838" s="21">
        <v>4</v>
      </c>
      <c r="P1838" s="21">
        <v>4</v>
      </c>
      <c r="Q1838" s="4" t="s">
        <v>2276</v>
      </c>
      <c r="R1838" s="4" t="s">
        <v>2276</v>
      </c>
      <c r="S1838" s="4" t="s">
        <v>2276</v>
      </c>
      <c r="T1838" s="4" t="s">
        <v>2276</v>
      </c>
      <c r="U1838" s="4" t="s">
        <v>2276</v>
      </c>
      <c r="V1838" s="4" t="s">
        <v>2276</v>
      </c>
      <c r="W1838" s="4" t="s">
        <v>2276</v>
      </c>
      <c r="X1838" s="4" t="s">
        <v>2276</v>
      </c>
      <c r="Y1838" s="4" t="s">
        <v>2276</v>
      </c>
      <c r="Z1838" s="3" t="s">
        <v>405</v>
      </c>
      <c r="AA1838" s="3" t="s">
        <v>68</v>
      </c>
      <c r="AB1838" s="3" t="s">
        <v>2655</v>
      </c>
      <c r="AC1838" s="4" t="s">
        <v>5397</v>
      </c>
      <c r="AD1838" s="4" t="s">
        <v>5391</v>
      </c>
    </row>
    <row r="1839" spans="1:30" ht="59" customHeight="1">
      <c r="A1839" s="11" t="s">
        <v>5385</v>
      </c>
      <c r="B1839" s="11" t="s">
        <v>5390</v>
      </c>
      <c r="C1839" s="3" t="s">
        <v>2458</v>
      </c>
      <c r="D1839" s="3" t="s">
        <v>1242</v>
      </c>
      <c r="E1839" s="3" t="s">
        <v>137</v>
      </c>
      <c r="F1839" s="4" t="s">
        <v>2662</v>
      </c>
      <c r="G1839" s="4" t="s">
        <v>2276</v>
      </c>
      <c r="H1839" s="3" t="s">
        <v>523</v>
      </c>
      <c r="I1839" s="3"/>
      <c r="J1839" s="4" t="s">
        <v>2276</v>
      </c>
      <c r="K1839" s="4" t="s">
        <v>2276</v>
      </c>
      <c r="L1839" s="4" t="s">
        <v>2276</v>
      </c>
      <c r="M1839" s="4" t="s">
        <v>2276</v>
      </c>
      <c r="N1839" s="4" t="s">
        <v>2276</v>
      </c>
      <c r="O1839" s="4" t="s">
        <v>2276</v>
      </c>
      <c r="P1839" s="21">
        <f>P1837-O1837</f>
        <v>334</v>
      </c>
      <c r="Q1839" s="4" t="s">
        <v>2276</v>
      </c>
      <c r="R1839" s="4" t="s">
        <v>2276</v>
      </c>
      <c r="S1839" s="4" t="s">
        <v>2276</v>
      </c>
      <c r="T1839" s="4" t="s">
        <v>2276</v>
      </c>
      <c r="U1839" s="4" t="s">
        <v>2276</v>
      </c>
      <c r="V1839" s="4" t="s">
        <v>2276</v>
      </c>
      <c r="W1839" s="4" t="s">
        <v>2276</v>
      </c>
      <c r="X1839" s="4" t="s">
        <v>2276</v>
      </c>
      <c r="Y1839" s="4" t="s">
        <v>2276</v>
      </c>
      <c r="Z1839" s="3" t="s">
        <v>405</v>
      </c>
      <c r="AA1839" s="3" t="s">
        <v>68</v>
      </c>
      <c r="AB1839" s="4" t="s">
        <v>2276</v>
      </c>
      <c r="AC1839" s="4"/>
      <c r="AD1839" s="3"/>
    </row>
    <row r="1840" spans="1:30" ht="37" customHeight="1">
      <c r="A1840" s="11" t="s">
        <v>5403</v>
      </c>
      <c r="B1840" s="11" t="s">
        <v>5407</v>
      </c>
      <c r="C1840" s="3" t="s">
        <v>24</v>
      </c>
      <c r="D1840" s="3" t="s">
        <v>1242</v>
      </c>
      <c r="E1840" s="3" t="s">
        <v>116</v>
      </c>
      <c r="F1840" s="4" t="s">
        <v>2662</v>
      </c>
      <c r="G1840" s="4" t="s">
        <v>2276</v>
      </c>
      <c r="H1840" s="3" t="s">
        <v>523</v>
      </c>
      <c r="I1840" s="3"/>
      <c r="J1840" s="4" t="s">
        <v>2276</v>
      </c>
      <c r="K1840" s="4" t="s">
        <v>2276</v>
      </c>
      <c r="L1840" s="4" t="s">
        <v>2276</v>
      </c>
      <c r="M1840" s="4" t="s">
        <v>2276</v>
      </c>
      <c r="N1840" s="4" t="s">
        <v>2276</v>
      </c>
      <c r="O1840" s="4" t="s">
        <v>2276</v>
      </c>
      <c r="P1840" s="4" t="s">
        <v>2276</v>
      </c>
      <c r="Q1840" s="4" t="s">
        <v>2276</v>
      </c>
      <c r="R1840" s="4" t="s">
        <v>2276</v>
      </c>
      <c r="S1840" s="4" t="s">
        <v>2276</v>
      </c>
      <c r="T1840" s="4" t="s">
        <v>2276</v>
      </c>
      <c r="U1840" s="4" t="s">
        <v>2276</v>
      </c>
      <c r="V1840" s="4" t="s">
        <v>2276</v>
      </c>
      <c r="W1840" s="4" t="s">
        <v>2276</v>
      </c>
      <c r="X1840" s="4" t="s">
        <v>2276</v>
      </c>
      <c r="Y1840" s="4" t="s">
        <v>2276</v>
      </c>
      <c r="Z1840" s="3" t="s">
        <v>38</v>
      </c>
      <c r="AA1840" s="3" t="s">
        <v>68</v>
      </c>
      <c r="AB1840" s="4" t="s">
        <v>2276</v>
      </c>
      <c r="AC1840" s="3"/>
      <c r="AD1840" s="3"/>
    </row>
    <row r="1841" spans="1:30" ht="29">
      <c r="A1841" s="11" t="s">
        <v>5403</v>
      </c>
      <c r="B1841" s="11" t="s">
        <v>5408</v>
      </c>
      <c r="C1841" s="3" t="s">
        <v>24</v>
      </c>
      <c r="D1841" s="3" t="s">
        <v>1245</v>
      </c>
      <c r="E1841" s="3" t="s">
        <v>116</v>
      </c>
      <c r="F1841" s="4" t="s">
        <v>2662</v>
      </c>
      <c r="G1841" s="4" t="s">
        <v>2276</v>
      </c>
      <c r="H1841" s="3" t="s">
        <v>523</v>
      </c>
      <c r="I1841" s="3"/>
      <c r="J1841" s="4" t="s">
        <v>2276</v>
      </c>
      <c r="K1841" s="4" t="s">
        <v>2276</v>
      </c>
      <c r="L1841" s="4" t="s">
        <v>2276</v>
      </c>
      <c r="M1841" s="4" t="s">
        <v>2276</v>
      </c>
      <c r="N1841" s="4" t="s">
        <v>2276</v>
      </c>
      <c r="O1841" s="4" t="s">
        <v>2276</v>
      </c>
      <c r="P1841" s="4" t="s">
        <v>2276</v>
      </c>
      <c r="Q1841" s="4" t="s">
        <v>2276</v>
      </c>
      <c r="R1841" s="4" t="s">
        <v>2276</v>
      </c>
      <c r="S1841" s="4" t="s">
        <v>2276</v>
      </c>
      <c r="T1841" s="4" t="s">
        <v>2276</v>
      </c>
      <c r="U1841" s="4" t="s">
        <v>2276</v>
      </c>
      <c r="V1841" s="4" t="s">
        <v>2276</v>
      </c>
      <c r="W1841" s="4" t="s">
        <v>2276</v>
      </c>
      <c r="X1841" s="4" t="s">
        <v>2276</v>
      </c>
      <c r="Y1841" s="4" t="s">
        <v>2276</v>
      </c>
      <c r="Z1841" s="3" t="s">
        <v>38</v>
      </c>
      <c r="AA1841" s="3" t="s">
        <v>68</v>
      </c>
      <c r="AB1841" s="4" t="s">
        <v>2276</v>
      </c>
      <c r="AC1841" s="3"/>
      <c r="AD1841" s="3"/>
    </row>
    <row r="1842" spans="1:30" ht="29">
      <c r="A1842" s="11" t="s">
        <v>5403</v>
      </c>
      <c r="B1842" s="11" t="s">
        <v>5409</v>
      </c>
      <c r="C1842" s="3" t="s">
        <v>24</v>
      </c>
      <c r="D1842" s="3" t="s">
        <v>2276</v>
      </c>
      <c r="E1842" s="3" t="s">
        <v>116</v>
      </c>
      <c r="F1842" s="4" t="s">
        <v>2662</v>
      </c>
      <c r="G1842" s="4" t="s">
        <v>2276</v>
      </c>
      <c r="H1842" s="3" t="s">
        <v>523</v>
      </c>
      <c r="I1842" s="3"/>
      <c r="J1842" s="4" t="s">
        <v>2276</v>
      </c>
      <c r="K1842" s="4" t="s">
        <v>2276</v>
      </c>
      <c r="L1842" s="4" t="s">
        <v>2276</v>
      </c>
      <c r="M1842" s="4" t="s">
        <v>2276</v>
      </c>
      <c r="N1842" s="4" t="s">
        <v>2276</v>
      </c>
      <c r="O1842" s="4" t="s">
        <v>2276</v>
      </c>
      <c r="P1842" s="4" t="s">
        <v>2276</v>
      </c>
      <c r="Q1842" s="4" t="s">
        <v>2276</v>
      </c>
      <c r="R1842" s="4" t="s">
        <v>2276</v>
      </c>
      <c r="S1842" s="4" t="s">
        <v>2276</v>
      </c>
      <c r="T1842" s="4" t="s">
        <v>2276</v>
      </c>
      <c r="U1842" s="4" t="s">
        <v>2276</v>
      </c>
      <c r="V1842" s="4" t="s">
        <v>2276</v>
      </c>
      <c r="W1842" s="4" t="s">
        <v>2276</v>
      </c>
      <c r="X1842" s="4" t="s">
        <v>2276</v>
      </c>
      <c r="Y1842" s="4" t="s">
        <v>2276</v>
      </c>
      <c r="Z1842" s="3" t="s">
        <v>38</v>
      </c>
      <c r="AA1842" s="3" t="s">
        <v>68</v>
      </c>
      <c r="AB1842" s="4" t="s">
        <v>2276</v>
      </c>
      <c r="AC1842" s="3"/>
      <c r="AD1842" s="3"/>
    </row>
    <row r="1843" spans="1:30" ht="37" customHeight="1">
      <c r="A1843" s="11" t="s">
        <v>5403</v>
      </c>
      <c r="B1843" s="11" t="s">
        <v>5410</v>
      </c>
      <c r="C1843" s="3" t="s">
        <v>24</v>
      </c>
      <c r="D1843" s="3" t="s">
        <v>25</v>
      </c>
      <c r="E1843" s="3" t="s">
        <v>2647</v>
      </c>
      <c r="F1843" s="4" t="s">
        <v>29</v>
      </c>
      <c r="G1843" s="4" t="s">
        <v>2276</v>
      </c>
      <c r="H1843" s="3" t="s">
        <v>523</v>
      </c>
      <c r="I1843" s="3"/>
      <c r="J1843" s="4" t="s">
        <v>2276</v>
      </c>
      <c r="K1843" s="4" t="s">
        <v>2276</v>
      </c>
      <c r="L1843" s="4" t="s">
        <v>2276</v>
      </c>
      <c r="M1843" s="4" t="s">
        <v>2276</v>
      </c>
      <c r="N1843" s="4" t="s">
        <v>2276</v>
      </c>
      <c r="O1843" s="4" t="s">
        <v>2276</v>
      </c>
      <c r="P1843" s="4" t="s">
        <v>2276</v>
      </c>
      <c r="Q1843" s="4" t="s">
        <v>2276</v>
      </c>
      <c r="R1843" s="4" t="s">
        <v>2276</v>
      </c>
      <c r="S1843" s="4" t="s">
        <v>2276</v>
      </c>
      <c r="T1843" s="4" t="s">
        <v>2276</v>
      </c>
      <c r="U1843" s="4" t="s">
        <v>2276</v>
      </c>
      <c r="V1843" s="4" t="s">
        <v>2276</v>
      </c>
      <c r="W1843" s="4" t="s">
        <v>2276</v>
      </c>
      <c r="X1843" s="4" t="s">
        <v>2276</v>
      </c>
      <c r="Y1843" s="4" t="s">
        <v>2276</v>
      </c>
      <c r="Z1843" s="3" t="s">
        <v>38</v>
      </c>
      <c r="AA1843" s="3" t="s">
        <v>68</v>
      </c>
      <c r="AB1843" s="4" t="s">
        <v>2276</v>
      </c>
      <c r="AC1843" s="3"/>
      <c r="AD1843" s="3"/>
    </row>
    <row r="1844" spans="1:30" ht="37" customHeight="1">
      <c r="A1844" s="11" t="s">
        <v>5403</v>
      </c>
      <c r="B1844" s="11" t="s">
        <v>5411</v>
      </c>
      <c r="C1844" s="3" t="s">
        <v>24</v>
      </c>
      <c r="D1844" s="3" t="s">
        <v>1242</v>
      </c>
      <c r="E1844" s="3" t="s">
        <v>2647</v>
      </c>
      <c r="F1844" s="4" t="s">
        <v>29</v>
      </c>
      <c r="G1844" s="4" t="s">
        <v>2276</v>
      </c>
      <c r="H1844" s="3" t="s">
        <v>523</v>
      </c>
      <c r="I1844" s="3"/>
      <c r="J1844" s="4" t="s">
        <v>2276</v>
      </c>
      <c r="K1844" s="4" t="s">
        <v>2276</v>
      </c>
      <c r="L1844" s="4" t="s">
        <v>2276</v>
      </c>
      <c r="M1844" s="4" t="s">
        <v>2276</v>
      </c>
      <c r="N1844" s="4" t="s">
        <v>2276</v>
      </c>
      <c r="O1844" s="4" t="s">
        <v>2276</v>
      </c>
      <c r="P1844" s="4" t="s">
        <v>2276</v>
      </c>
      <c r="Q1844" s="4" t="s">
        <v>2276</v>
      </c>
      <c r="R1844" s="4" t="s">
        <v>2276</v>
      </c>
      <c r="S1844" s="4" t="s">
        <v>2276</v>
      </c>
      <c r="T1844" s="4" t="s">
        <v>2276</v>
      </c>
      <c r="U1844" s="4" t="s">
        <v>2276</v>
      </c>
      <c r="V1844" s="4" t="s">
        <v>2276</v>
      </c>
      <c r="W1844" s="4" t="s">
        <v>2276</v>
      </c>
      <c r="X1844" s="4" t="s">
        <v>2276</v>
      </c>
      <c r="Y1844" s="4" t="s">
        <v>2276</v>
      </c>
      <c r="Z1844" s="3" t="s">
        <v>38</v>
      </c>
      <c r="AA1844" s="3" t="s">
        <v>68</v>
      </c>
      <c r="AB1844" s="4" t="s">
        <v>2276</v>
      </c>
      <c r="AC1844" s="3"/>
      <c r="AD1844" s="3"/>
    </row>
    <row r="1845" spans="1:30" ht="28" customHeight="1">
      <c r="A1845" s="11" t="s">
        <v>5414</v>
      </c>
      <c r="B1845" s="11" t="s">
        <v>5416</v>
      </c>
      <c r="C1845" s="3" t="s">
        <v>24</v>
      </c>
      <c r="D1845" s="3" t="s">
        <v>1242</v>
      </c>
      <c r="E1845" s="3" t="s">
        <v>137</v>
      </c>
      <c r="F1845" s="4" t="s">
        <v>74</v>
      </c>
      <c r="G1845" s="4" t="s">
        <v>2276</v>
      </c>
      <c r="H1845" s="3" t="s">
        <v>523</v>
      </c>
      <c r="I1845" s="3"/>
      <c r="J1845" s="4" t="s">
        <v>2276</v>
      </c>
      <c r="K1845" s="4" t="s">
        <v>2276</v>
      </c>
      <c r="L1845" s="4" t="s">
        <v>2276</v>
      </c>
      <c r="M1845" s="4" t="s">
        <v>2276</v>
      </c>
      <c r="N1845" s="4" t="s">
        <v>2276</v>
      </c>
      <c r="O1845" s="4" t="s">
        <v>2276</v>
      </c>
      <c r="P1845" s="4" t="s">
        <v>2276</v>
      </c>
      <c r="Q1845" s="4" t="s">
        <v>2276</v>
      </c>
      <c r="R1845" s="4" t="s">
        <v>2276</v>
      </c>
      <c r="S1845" s="4" t="s">
        <v>2276</v>
      </c>
      <c r="T1845" s="4" t="s">
        <v>2276</v>
      </c>
      <c r="U1845" s="4" t="s">
        <v>2276</v>
      </c>
      <c r="V1845" s="4" t="s">
        <v>2276</v>
      </c>
      <c r="W1845" s="4" t="s">
        <v>2276</v>
      </c>
      <c r="X1845" s="4" t="s">
        <v>2276</v>
      </c>
      <c r="Y1845" s="4" t="s">
        <v>2276</v>
      </c>
      <c r="Z1845" s="4" t="s">
        <v>2276</v>
      </c>
      <c r="AA1845" s="4" t="s">
        <v>2276</v>
      </c>
      <c r="AB1845" s="4" t="s">
        <v>2276</v>
      </c>
      <c r="AC1845" s="3"/>
      <c r="AD1845" s="3"/>
    </row>
    <row r="1846" spans="1:30" ht="32" customHeight="1">
      <c r="A1846" s="11" t="s">
        <v>5414</v>
      </c>
      <c r="B1846" s="11" t="s">
        <v>5417</v>
      </c>
      <c r="C1846" s="3" t="s">
        <v>24</v>
      </c>
      <c r="D1846" s="3" t="s">
        <v>3480</v>
      </c>
      <c r="E1846" s="3" t="s">
        <v>116</v>
      </c>
      <c r="F1846" s="4" t="s">
        <v>55</v>
      </c>
      <c r="G1846" s="4" t="s">
        <v>2276</v>
      </c>
      <c r="H1846" s="3" t="s">
        <v>523</v>
      </c>
      <c r="I1846" s="3"/>
      <c r="J1846" s="4" t="s">
        <v>2276</v>
      </c>
      <c r="K1846" s="4" t="s">
        <v>2276</v>
      </c>
      <c r="L1846" s="4" t="s">
        <v>2276</v>
      </c>
      <c r="M1846" s="4" t="s">
        <v>2276</v>
      </c>
      <c r="N1846" s="4" t="s">
        <v>2276</v>
      </c>
      <c r="O1846" s="4" t="s">
        <v>2276</v>
      </c>
      <c r="P1846" s="4" t="s">
        <v>2276</v>
      </c>
      <c r="Q1846" s="4" t="s">
        <v>2276</v>
      </c>
      <c r="R1846" s="4" t="s">
        <v>2276</v>
      </c>
      <c r="S1846" s="4" t="s">
        <v>2276</v>
      </c>
      <c r="T1846" s="4" t="s">
        <v>2276</v>
      </c>
      <c r="U1846" s="4" t="s">
        <v>2276</v>
      </c>
      <c r="V1846" s="4" t="s">
        <v>2276</v>
      </c>
      <c r="W1846" s="4" t="s">
        <v>2276</v>
      </c>
      <c r="X1846" s="4" t="s">
        <v>2276</v>
      </c>
      <c r="Y1846" s="4" t="s">
        <v>2276</v>
      </c>
      <c r="Z1846" s="4" t="s">
        <v>2276</v>
      </c>
      <c r="AA1846" s="4" t="s">
        <v>2276</v>
      </c>
      <c r="AB1846" s="4" t="s">
        <v>2276</v>
      </c>
      <c r="AC1846" s="4" t="s">
        <v>5418</v>
      </c>
      <c r="AD1846" s="3"/>
    </row>
    <row r="1847" spans="1:30" ht="37" customHeight="1">
      <c r="A1847" s="11" t="s">
        <v>5421</v>
      </c>
      <c r="B1847" s="11" t="s">
        <v>5423</v>
      </c>
      <c r="C1847" s="3" t="s">
        <v>24</v>
      </c>
      <c r="D1847" s="3" t="s">
        <v>1242</v>
      </c>
      <c r="E1847" s="3" t="s">
        <v>137</v>
      </c>
      <c r="F1847" s="4" t="s">
        <v>2662</v>
      </c>
      <c r="G1847" s="4" t="s">
        <v>2276</v>
      </c>
      <c r="H1847" s="3" t="s">
        <v>523</v>
      </c>
      <c r="I1847" s="3"/>
      <c r="J1847" s="4" t="s">
        <v>2276</v>
      </c>
      <c r="K1847" s="4" t="s">
        <v>2276</v>
      </c>
      <c r="L1847" s="4" t="s">
        <v>2276</v>
      </c>
      <c r="M1847" s="4" t="s">
        <v>2276</v>
      </c>
      <c r="N1847" s="4" t="s">
        <v>2276</v>
      </c>
      <c r="O1847" s="4" t="s">
        <v>2276</v>
      </c>
      <c r="P1847" s="4" t="s">
        <v>2276</v>
      </c>
      <c r="Q1847" s="4" t="s">
        <v>2276</v>
      </c>
      <c r="R1847" s="4" t="s">
        <v>2276</v>
      </c>
      <c r="S1847" s="4" t="s">
        <v>2276</v>
      </c>
      <c r="T1847" s="4" t="s">
        <v>2276</v>
      </c>
      <c r="U1847" s="4" t="s">
        <v>2276</v>
      </c>
      <c r="V1847" s="4" t="s">
        <v>2276</v>
      </c>
      <c r="W1847" s="4" t="s">
        <v>2276</v>
      </c>
      <c r="X1847" s="4" t="s">
        <v>2276</v>
      </c>
      <c r="Y1847" s="4" t="s">
        <v>2276</v>
      </c>
      <c r="Z1847" s="3" t="s">
        <v>38</v>
      </c>
      <c r="AA1847" s="3" t="s">
        <v>404</v>
      </c>
      <c r="AB1847" s="3" t="s">
        <v>2655</v>
      </c>
      <c r="AC1847" s="3"/>
      <c r="AD1847" s="3"/>
    </row>
    <row r="1848" spans="1:30" ht="35.5" customHeight="1">
      <c r="A1848" s="11" t="s">
        <v>5421</v>
      </c>
      <c r="B1848" s="11" t="s">
        <v>5424</v>
      </c>
      <c r="C1848" s="3" t="s">
        <v>24</v>
      </c>
      <c r="D1848" s="3" t="s">
        <v>1242</v>
      </c>
      <c r="E1848" s="3" t="s">
        <v>116</v>
      </c>
      <c r="F1848" s="4" t="s">
        <v>2662</v>
      </c>
      <c r="G1848" s="4" t="s">
        <v>2276</v>
      </c>
      <c r="H1848" s="3" t="s">
        <v>523</v>
      </c>
      <c r="I1848" s="3"/>
      <c r="J1848" s="4" t="s">
        <v>2276</v>
      </c>
      <c r="K1848" s="4" t="s">
        <v>2276</v>
      </c>
      <c r="L1848" s="4" t="s">
        <v>2276</v>
      </c>
      <c r="M1848" s="4" t="s">
        <v>2276</v>
      </c>
      <c r="N1848" s="4" t="s">
        <v>2276</v>
      </c>
      <c r="O1848" s="4" t="s">
        <v>2276</v>
      </c>
      <c r="P1848" s="4" t="s">
        <v>2276</v>
      </c>
      <c r="Q1848" s="4" t="s">
        <v>2276</v>
      </c>
      <c r="R1848" s="4" t="s">
        <v>2276</v>
      </c>
      <c r="S1848" s="4" t="s">
        <v>2276</v>
      </c>
      <c r="T1848" s="4" t="s">
        <v>2276</v>
      </c>
      <c r="U1848" s="4" t="s">
        <v>2276</v>
      </c>
      <c r="V1848" s="4" t="s">
        <v>2276</v>
      </c>
      <c r="W1848" s="4" t="s">
        <v>2276</v>
      </c>
      <c r="X1848" s="4" t="s">
        <v>2276</v>
      </c>
      <c r="Y1848" s="4" t="s">
        <v>2276</v>
      </c>
      <c r="Z1848" s="3" t="s">
        <v>38</v>
      </c>
      <c r="AA1848" s="3" t="s">
        <v>404</v>
      </c>
      <c r="AB1848" s="3" t="s">
        <v>2655</v>
      </c>
      <c r="AC1848" s="3"/>
      <c r="AD1848" s="3"/>
    </row>
    <row r="1849" spans="1:30" ht="45.5" customHeight="1">
      <c r="A1849" s="11" t="s">
        <v>5427</v>
      </c>
      <c r="B1849" s="11" t="s">
        <v>5430</v>
      </c>
      <c r="C1849" s="3" t="s">
        <v>24</v>
      </c>
      <c r="D1849" s="3" t="s">
        <v>1242</v>
      </c>
      <c r="E1849" s="3" t="s">
        <v>137</v>
      </c>
      <c r="F1849" s="4" t="s">
        <v>74</v>
      </c>
      <c r="G1849" s="4" t="s">
        <v>2276</v>
      </c>
      <c r="H1849" s="3" t="s">
        <v>524</v>
      </c>
      <c r="I1849" s="3">
        <v>2016</v>
      </c>
      <c r="J1849" s="21">
        <v>0</v>
      </c>
      <c r="K1849" s="21">
        <v>0</v>
      </c>
      <c r="L1849" s="21">
        <v>0</v>
      </c>
      <c r="M1849" s="21">
        <v>0</v>
      </c>
      <c r="N1849" s="21">
        <v>0</v>
      </c>
      <c r="O1849" s="21">
        <v>0</v>
      </c>
      <c r="P1849" s="21">
        <v>0</v>
      </c>
      <c r="Q1849" s="21">
        <v>0</v>
      </c>
      <c r="R1849" s="21">
        <v>0</v>
      </c>
      <c r="S1849" s="21">
        <v>0</v>
      </c>
      <c r="T1849" s="21"/>
      <c r="U1849" s="21">
        <v>0</v>
      </c>
      <c r="V1849" s="21">
        <v>0</v>
      </c>
      <c r="W1849" s="21">
        <v>0</v>
      </c>
      <c r="X1849" s="21">
        <v>0</v>
      </c>
      <c r="Y1849" s="21">
        <v>0</v>
      </c>
      <c r="Z1849" s="4" t="s">
        <v>2276</v>
      </c>
      <c r="AA1849" s="4" t="s">
        <v>2276</v>
      </c>
      <c r="AB1849" s="4" t="s">
        <v>2276</v>
      </c>
      <c r="AC1849" s="4" t="s">
        <v>5435</v>
      </c>
      <c r="AD1849" s="3"/>
    </row>
    <row r="1850" spans="1:30" ht="45.5" customHeight="1">
      <c r="A1850" s="11" t="s">
        <v>5427</v>
      </c>
      <c r="B1850" s="11" t="s">
        <v>5431</v>
      </c>
      <c r="C1850" s="3" t="s">
        <v>24</v>
      </c>
      <c r="D1850" s="3" t="s">
        <v>1242</v>
      </c>
      <c r="E1850" s="3" t="s">
        <v>116</v>
      </c>
      <c r="F1850" s="4" t="s">
        <v>74</v>
      </c>
      <c r="G1850" s="4" t="s">
        <v>2276</v>
      </c>
      <c r="H1850" s="3" t="s">
        <v>524</v>
      </c>
      <c r="I1850" s="3">
        <v>2016</v>
      </c>
      <c r="J1850" s="21">
        <v>0</v>
      </c>
      <c r="K1850" s="21">
        <v>0</v>
      </c>
      <c r="L1850" s="21">
        <v>0</v>
      </c>
      <c r="M1850" s="21">
        <v>0</v>
      </c>
      <c r="N1850" s="21">
        <v>0</v>
      </c>
      <c r="O1850" s="21">
        <v>0</v>
      </c>
      <c r="P1850" s="21">
        <v>0</v>
      </c>
      <c r="Q1850" s="21">
        <v>0</v>
      </c>
      <c r="R1850" s="21">
        <v>0</v>
      </c>
      <c r="S1850" s="21">
        <v>0</v>
      </c>
      <c r="T1850" s="21"/>
      <c r="U1850" s="21">
        <v>0</v>
      </c>
      <c r="V1850" s="21">
        <v>0</v>
      </c>
      <c r="W1850" s="21">
        <v>0</v>
      </c>
      <c r="X1850" s="21">
        <v>0</v>
      </c>
      <c r="Y1850" s="21">
        <v>0</v>
      </c>
      <c r="Z1850" s="4" t="s">
        <v>2276</v>
      </c>
      <c r="AA1850" s="4" t="s">
        <v>2276</v>
      </c>
      <c r="AB1850" s="4" t="s">
        <v>2276</v>
      </c>
      <c r="AC1850" s="4" t="s">
        <v>5435</v>
      </c>
      <c r="AD1850" s="3"/>
    </row>
    <row r="1851" spans="1:30" ht="45.5" customHeight="1">
      <c r="A1851" s="11" t="s">
        <v>5427</v>
      </c>
      <c r="B1851" s="11" t="s">
        <v>5432</v>
      </c>
      <c r="C1851" s="3" t="s">
        <v>2656</v>
      </c>
      <c r="D1851" s="3" t="s">
        <v>2276</v>
      </c>
      <c r="E1851" s="3" t="s">
        <v>2276</v>
      </c>
      <c r="F1851" s="4" t="s">
        <v>2276</v>
      </c>
      <c r="G1851" s="3" t="s">
        <v>74</v>
      </c>
      <c r="H1851" s="3" t="s">
        <v>523</v>
      </c>
      <c r="I1851" s="3">
        <v>2016</v>
      </c>
      <c r="J1851" s="4" t="s">
        <v>2276</v>
      </c>
      <c r="K1851" s="4" t="s">
        <v>2276</v>
      </c>
      <c r="L1851" s="4" t="s">
        <v>2276</v>
      </c>
      <c r="M1851" s="4" t="s">
        <v>2276</v>
      </c>
      <c r="N1851" s="4" t="s">
        <v>2276</v>
      </c>
      <c r="O1851" s="4" t="s">
        <v>2276</v>
      </c>
      <c r="P1851" s="4" t="s">
        <v>2276</v>
      </c>
      <c r="Q1851" s="4" t="s">
        <v>2276</v>
      </c>
      <c r="R1851" s="4" t="s">
        <v>2276</v>
      </c>
      <c r="S1851" s="4" t="s">
        <v>2276</v>
      </c>
      <c r="T1851" s="21">
        <v>1140</v>
      </c>
      <c r="U1851" s="4" t="s">
        <v>2276</v>
      </c>
      <c r="V1851" s="4" t="s">
        <v>2276</v>
      </c>
      <c r="W1851" s="4" t="s">
        <v>2276</v>
      </c>
      <c r="X1851" s="4" t="s">
        <v>2276</v>
      </c>
      <c r="Y1851" s="4" t="s">
        <v>2276</v>
      </c>
      <c r="Z1851" s="3" t="s">
        <v>405</v>
      </c>
      <c r="AA1851" s="4" t="s">
        <v>2276</v>
      </c>
      <c r="AB1851" s="4" t="s">
        <v>2276</v>
      </c>
      <c r="AC1851" s="4" t="s">
        <v>5436</v>
      </c>
      <c r="AD1851" s="3"/>
    </row>
    <row r="1852" spans="1:30" ht="45.5" customHeight="1">
      <c r="A1852" s="45" t="s">
        <v>5427</v>
      </c>
      <c r="B1852" s="45" t="s">
        <v>5433</v>
      </c>
      <c r="C1852" s="3" t="s">
        <v>24</v>
      </c>
      <c r="D1852" s="3" t="s">
        <v>1242</v>
      </c>
      <c r="E1852" s="3" t="s">
        <v>137</v>
      </c>
      <c r="F1852" s="4" t="s">
        <v>74</v>
      </c>
      <c r="G1852" s="4" t="s">
        <v>2276</v>
      </c>
      <c r="H1852" s="3" t="s">
        <v>523</v>
      </c>
      <c r="I1852" s="11">
        <v>2017</v>
      </c>
      <c r="J1852" s="4" t="s">
        <v>2276</v>
      </c>
      <c r="K1852" s="4" t="s">
        <v>2276</v>
      </c>
      <c r="L1852" s="4" t="s">
        <v>2276</v>
      </c>
      <c r="M1852" s="4" t="s">
        <v>2276</v>
      </c>
      <c r="N1852" s="4" t="s">
        <v>2276</v>
      </c>
      <c r="O1852" s="4" t="s">
        <v>2276</v>
      </c>
      <c r="P1852" s="4" t="s">
        <v>2276</v>
      </c>
      <c r="Q1852" s="4" t="s">
        <v>2276</v>
      </c>
      <c r="R1852" s="4" t="s">
        <v>2276</v>
      </c>
      <c r="S1852" s="4" t="s">
        <v>2276</v>
      </c>
      <c r="T1852" s="4" t="s">
        <v>2276</v>
      </c>
      <c r="U1852" s="4" t="s">
        <v>2276</v>
      </c>
      <c r="V1852" s="4" t="s">
        <v>2276</v>
      </c>
      <c r="W1852" s="4" t="s">
        <v>2276</v>
      </c>
      <c r="X1852" s="4" t="s">
        <v>2276</v>
      </c>
      <c r="Y1852" s="4" t="s">
        <v>2276</v>
      </c>
      <c r="Z1852" s="4" t="s">
        <v>2276</v>
      </c>
      <c r="AA1852" s="4" t="s">
        <v>2276</v>
      </c>
      <c r="AB1852" s="4" t="s">
        <v>2276</v>
      </c>
      <c r="AC1852" s="4" t="s">
        <v>5435</v>
      </c>
      <c r="AD1852" s="3"/>
    </row>
    <row r="1853" spans="1:30" ht="45.5" customHeight="1">
      <c r="A1853" s="11" t="s">
        <v>5427</v>
      </c>
      <c r="B1853" s="11" t="s">
        <v>5434</v>
      </c>
      <c r="C1853" s="3" t="s">
        <v>24</v>
      </c>
      <c r="D1853" s="3" t="s">
        <v>1242</v>
      </c>
      <c r="E1853" s="3" t="s">
        <v>116</v>
      </c>
      <c r="F1853" s="4" t="s">
        <v>74</v>
      </c>
      <c r="G1853" s="4" t="s">
        <v>2276</v>
      </c>
      <c r="H1853" s="3" t="s">
        <v>523</v>
      </c>
      <c r="I1853" s="11">
        <v>2017</v>
      </c>
      <c r="J1853" s="4" t="s">
        <v>2276</v>
      </c>
      <c r="K1853" s="4" t="s">
        <v>2276</v>
      </c>
      <c r="L1853" s="4" t="s">
        <v>2276</v>
      </c>
      <c r="M1853" s="4" t="s">
        <v>2276</v>
      </c>
      <c r="N1853" s="4" t="s">
        <v>2276</v>
      </c>
      <c r="O1853" s="4" t="s">
        <v>2276</v>
      </c>
      <c r="P1853" s="4" t="s">
        <v>2276</v>
      </c>
      <c r="Q1853" s="4" t="s">
        <v>2276</v>
      </c>
      <c r="R1853" s="4" t="s">
        <v>2276</v>
      </c>
      <c r="S1853" s="4" t="s">
        <v>2276</v>
      </c>
      <c r="T1853" s="4" t="s">
        <v>2276</v>
      </c>
      <c r="U1853" s="4" t="s">
        <v>2276</v>
      </c>
      <c r="V1853" s="4" t="s">
        <v>2276</v>
      </c>
      <c r="W1853" s="4" t="s">
        <v>2276</v>
      </c>
      <c r="X1853" s="4" t="s">
        <v>2276</v>
      </c>
      <c r="Y1853" s="4" t="s">
        <v>2276</v>
      </c>
      <c r="Z1853" s="4" t="s">
        <v>2276</v>
      </c>
      <c r="AA1853" s="4" t="s">
        <v>2276</v>
      </c>
      <c r="AB1853" s="4" t="s">
        <v>2276</v>
      </c>
      <c r="AC1853" s="4" t="s">
        <v>5435</v>
      </c>
      <c r="AD1853" s="3"/>
    </row>
    <row r="1854" spans="1:30" ht="47" customHeight="1">
      <c r="A1854" s="11" t="s">
        <v>5440</v>
      </c>
      <c r="B1854" s="11" t="s">
        <v>5456</v>
      </c>
      <c r="C1854" s="3" t="s">
        <v>24</v>
      </c>
      <c r="D1854" s="3" t="s">
        <v>27</v>
      </c>
      <c r="E1854" s="3" t="s">
        <v>130</v>
      </c>
      <c r="F1854" s="4" t="s">
        <v>160</v>
      </c>
      <c r="G1854" s="4" t="s">
        <v>2276</v>
      </c>
      <c r="H1854" s="3" t="s">
        <v>523</v>
      </c>
      <c r="I1854" s="3"/>
      <c r="J1854" s="4" t="s">
        <v>2276</v>
      </c>
      <c r="K1854" s="4" t="s">
        <v>2276</v>
      </c>
      <c r="L1854" s="4" t="s">
        <v>2276</v>
      </c>
      <c r="M1854" s="4" t="s">
        <v>2276</v>
      </c>
      <c r="N1854" s="4" t="s">
        <v>2276</v>
      </c>
      <c r="O1854" s="4" t="s">
        <v>2276</v>
      </c>
      <c r="P1854" s="4" t="s">
        <v>2276</v>
      </c>
      <c r="Q1854" s="4" t="s">
        <v>2276</v>
      </c>
      <c r="R1854" s="4" t="s">
        <v>2276</v>
      </c>
      <c r="S1854" s="4" t="s">
        <v>2276</v>
      </c>
      <c r="T1854" s="4" t="s">
        <v>2276</v>
      </c>
      <c r="U1854" s="4" t="s">
        <v>2276</v>
      </c>
      <c r="V1854" s="4" t="s">
        <v>2276</v>
      </c>
      <c r="W1854" s="4" t="s">
        <v>2276</v>
      </c>
      <c r="X1854" s="4" t="s">
        <v>2276</v>
      </c>
      <c r="Y1854" s="4" t="s">
        <v>2276</v>
      </c>
      <c r="Z1854" s="3" t="s">
        <v>86</v>
      </c>
      <c r="AA1854" s="3" t="s">
        <v>86</v>
      </c>
      <c r="AB1854" s="4" t="s">
        <v>2276</v>
      </c>
      <c r="AC1854" s="3"/>
      <c r="AD1854" s="19"/>
    </row>
    <row r="1855" spans="1:30" ht="40" customHeight="1">
      <c r="A1855" s="11" t="s">
        <v>5440</v>
      </c>
      <c r="B1855" s="11" t="s">
        <v>5457</v>
      </c>
      <c r="C1855" s="3" t="s">
        <v>24</v>
      </c>
      <c r="D1855" s="3" t="s">
        <v>27</v>
      </c>
      <c r="E1855" s="3" t="s">
        <v>130</v>
      </c>
      <c r="F1855" s="4" t="s">
        <v>28</v>
      </c>
      <c r="G1855" s="4" t="s">
        <v>2276</v>
      </c>
      <c r="H1855" s="3" t="s">
        <v>523</v>
      </c>
      <c r="I1855" s="3"/>
      <c r="J1855" s="4" t="s">
        <v>2276</v>
      </c>
      <c r="K1855" s="4" t="s">
        <v>2276</v>
      </c>
      <c r="L1855" s="4" t="s">
        <v>2276</v>
      </c>
      <c r="M1855" s="4" t="s">
        <v>2276</v>
      </c>
      <c r="N1855" s="4" t="s">
        <v>2276</v>
      </c>
      <c r="O1855" s="4" t="s">
        <v>2276</v>
      </c>
      <c r="P1855" s="4" t="s">
        <v>2276</v>
      </c>
      <c r="Q1855" s="4" t="s">
        <v>2276</v>
      </c>
      <c r="R1855" s="4" t="s">
        <v>2276</v>
      </c>
      <c r="S1855" s="4" t="s">
        <v>2276</v>
      </c>
      <c r="T1855" s="4" t="s">
        <v>2276</v>
      </c>
      <c r="U1855" s="4" t="s">
        <v>2276</v>
      </c>
      <c r="V1855" s="4" t="s">
        <v>2276</v>
      </c>
      <c r="W1855" s="4" t="s">
        <v>2276</v>
      </c>
      <c r="X1855" s="4" t="s">
        <v>2276</v>
      </c>
      <c r="Y1855" s="21">
        <v>1</v>
      </c>
      <c r="Z1855" s="3" t="s">
        <v>86</v>
      </c>
      <c r="AA1855" s="3" t="s">
        <v>86</v>
      </c>
      <c r="AB1855" s="4" t="s">
        <v>2276</v>
      </c>
      <c r="AC1855" s="3"/>
      <c r="AD1855" s="3"/>
    </row>
    <row r="1856" spans="1:30" ht="40" customHeight="1">
      <c r="A1856" s="11" t="s">
        <v>5440</v>
      </c>
      <c r="B1856" s="11" t="s">
        <v>5458</v>
      </c>
      <c r="C1856" s="3" t="s">
        <v>24</v>
      </c>
      <c r="D1856" s="3" t="s">
        <v>2659</v>
      </c>
      <c r="E1856" s="3" t="s">
        <v>130</v>
      </c>
      <c r="F1856" s="4" t="s">
        <v>28</v>
      </c>
      <c r="G1856" s="4" t="s">
        <v>2276</v>
      </c>
      <c r="H1856" s="3" t="s">
        <v>523</v>
      </c>
      <c r="I1856" s="3"/>
      <c r="J1856" s="4" t="s">
        <v>2276</v>
      </c>
      <c r="K1856" s="4" t="s">
        <v>2276</v>
      </c>
      <c r="L1856" s="4" t="s">
        <v>2276</v>
      </c>
      <c r="M1856" s="4" t="s">
        <v>2276</v>
      </c>
      <c r="N1856" s="4" t="s">
        <v>2276</v>
      </c>
      <c r="O1856" s="4" t="s">
        <v>2276</v>
      </c>
      <c r="P1856" s="4" t="s">
        <v>2276</v>
      </c>
      <c r="Q1856" s="4" t="s">
        <v>2276</v>
      </c>
      <c r="R1856" s="4" t="s">
        <v>2276</v>
      </c>
      <c r="S1856" s="4" t="s">
        <v>2276</v>
      </c>
      <c r="T1856" s="4" t="s">
        <v>2276</v>
      </c>
      <c r="U1856" s="4" t="s">
        <v>2276</v>
      </c>
      <c r="V1856" s="4" t="s">
        <v>2276</v>
      </c>
      <c r="W1856" s="4" t="s">
        <v>2276</v>
      </c>
      <c r="X1856" s="4" t="s">
        <v>2276</v>
      </c>
      <c r="Y1856" s="21">
        <v>1</v>
      </c>
      <c r="Z1856" s="3" t="s">
        <v>35</v>
      </c>
      <c r="AA1856" s="3" t="s">
        <v>127</v>
      </c>
      <c r="AB1856" s="3" t="s">
        <v>2655</v>
      </c>
      <c r="AC1856" s="3" t="s">
        <v>5460</v>
      </c>
      <c r="AD1856" s="3"/>
    </row>
    <row r="1857" spans="1:30" ht="38.5" customHeight="1">
      <c r="A1857" s="11" t="s">
        <v>5440</v>
      </c>
      <c r="B1857" s="11" t="s">
        <v>5461</v>
      </c>
      <c r="C1857" s="3" t="s">
        <v>24</v>
      </c>
      <c r="D1857" s="3" t="s">
        <v>27</v>
      </c>
      <c r="E1857" s="4" t="s">
        <v>397</v>
      </c>
      <c r="F1857" s="4" t="s">
        <v>28</v>
      </c>
      <c r="G1857" s="4" t="s">
        <v>2276</v>
      </c>
      <c r="H1857" s="3" t="s">
        <v>523</v>
      </c>
      <c r="I1857" s="3"/>
      <c r="J1857" s="4" t="s">
        <v>2276</v>
      </c>
      <c r="K1857" s="4" t="s">
        <v>2276</v>
      </c>
      <c r="L1857" s="4" t="s">
        <v>2276</v>
      </c>
      <c r="M1857" s="4" t="s">
        <v>2276</v>
      </c>
      <c r="N1857" s="4" t="s">
        <v>2276</v>
      </c>
      <c r="O1857" s="4" t="s">
        <v>2276</v>
      </c>
      <c r="P1857" s="4" t="s">
        <v>2276</v>
      </c>
      <c r="Q1857" s="4" t="s">
        <v>2276</v>
      </c>
      <c r="R1857" s="4" t="s">
        <v>2276</v>
      </c>
      <c r="S1857" s="4" t="s">
        <v>2276</v>
      </c>
      <c r="T1857" s="4" t="s">
        <v>2276</v>
      </c>
      <c r="U1857" s="4" t="s">
        <v>2276</v>
      </c>
      <c r="V1857" s="4" t="s">
        <v>2276</v>
      </c>
      <c r="W1857" s="4" t="s">
        <v>2276</v>
      </c>
      <c r="X1857" s="4" t="s">
        <v>2276</v>
      </c>
      <c r="Y1857" s="21">
        <v>0.5</v>
      </c>
      <c r="Z1857" s="3" t="s">
        <v>189</v>
      </c>
      <c r="AA1857" s="3" t="s">
        <v>86</v>
      </c>
      <c r="AB1857" s="3" t="s">
        <v>64</v>
      </c>
      <c r="AC1857" s="19" t="s">
        <v>5459</v>
      </c>
      <c r="AD1857" s="3"/>
    </row>
    <row r="1858" spans="1:30" ht="35.5" customHeight="1">
      <c r="A1858" s="11" t="s">
        <v>5440</v>
      </c>
      <c r="B1858" s="11" t="s">
        <v>5462</v>
      </c>
      <c r="C1858" s="3" t="s">
        <v>24</v>
      </c>
      <c r="D1858" s="3" t="s">
        <v>25</v>
      </c>
      <c r="E1858" s="3" t="s">
        <v>5005</v>
      </c>
      <c r="F1858" s="4" t="s">
        <v>2662</v>
      </c>
      <c r="G1858" s="4" t="s">
        <v>2276</v>
      </c>
      <c r="H1858" s="3" t="s">
        <v>523</v>
      </c>
      <c r="I1858" s="3"/>
      <c r="J1858" s="4" t="s">
        <v>2276</v>
      </c>
      <c r="K1858" s="4" t="s">
        <v>2276</v>
      </c>
      <c r="L1858" s="4" t="s">
        <v>2276</v>
      </c>
      <c r="M1858" s="4" t="s">
        <v>2276</v>
      </c>
      <c r="N1858" s="4" t="s">
        <v>2276</v>
      </c>
      <c r="O1858" s="4" t="s">
        <v>2276</v>
      </c>
      <c r="P1858" s="4" t="s">
        <v>2276</v>
      </c>
      <c r="Q1858" s="4" t="s">
        <v>2276</v>
      </c>
      <c r="R1858" s="4" t="s">
        <v>2276</v>
      </c>
      <c r="S1858" s="4" t="s">
        <v>2276</v>
      </c>
      <c r="T1858" s="4" t="s">
        <v>2276</v>
      </c>
      <c r="U1858" s="4" t="s">
        <v>2276</v>
      </c>
      <c r="V1858" s="4" t="s">
        <v>2276</v>
      </c>
      <c r="W1858" s="4" t="s">
        <v>2276</v>
      </c>
      <c r="X1858" s="4" t="s">
        <v>2276</v>
      </c>
      <c r="Y1858" s="4" t="s">
        <v>2276</v>
      </c>
      <c r="Z1858" s="3" t="s">
        <v>38</v>
      </c>
      <c r="AA1858" s="3" t="s">
        <v>86</v>
      </c>
      <c r="AB1858" s="4" t="s">
        <v>2276</v>
      </c>
      <c r="AC1858" s="3" t="s">
        <v>5460</v>
      </c>
      <c r="AD1858" s="3"/>
    </row>
    <row r="1859" spans="1:30" ht="37" customHeight="1">
      <c r="A1859" s="11" t="s">
        <v>5440</v>
      </c>
      <c r="B1859" s="11" t="s">
        <v>5464</v>
      </c>
      <c r="C1859" s="3" t="s">
        <v>24</v>
      </c>
      <c r="D1859" s="3" t="s">
        <v>2341</v>
      </c>
      <c r="E1859" s="3" t="s">
        <v>116</v>
      </c>
      <c r="F1859" s="4" t="s">
        <v>2662</v>
      </c>
      <c r="G1859" s="4" t="s">
        <v>2276</v>
      </c>
      <c r="H1859" s="3" t="s">
        <v>523</v>
      </c>
      <c r="I1859" s="3"/>
      <c r="J1859" s="4" t="s">
        <v>2276</v>
      </c>
      <c r="K1859" s="4" t="s">
        <v>2276</v>
      </c>
      <c r="L1859" s="4" t="s">
        <v>2276</v>
      </c>
      <c r="M1859" s="4" t="s">
        <v>2276</v>
      </c>
      <c r="N1859" s="4" t="s">
        <v>2276</v>
      </c>
      <c r="O1859" s="4" t="s">
        <v>2276</v>
      </c>
      <c r="P1859" s="4" t="s">
        <v>2276</v>
      </c>
      <c r="Q1859" s="4" t="s">
        <v>2276</v>
      </c>
      <c r="R1859" s="4" t="s">
        <v>2276</v>
      </c>
      <c r="S1859" s="4" t="s">
        <v>2276</v>
      </c>
      <c r="T1859" s="4" t="s">
        <v>2276</v>
      </c>
      <c r="U1859" s="4" t="s">
        <v>2276</v>
      </c>
      <c r="V1859" s="4" t="s">
        <v>2276</v>
      </c>
      <c r="W1859" s="4" t="s">
        <v>2276</v>
      </c>
      <c r="X1859" s="4" t="s">
        <v>2276</v>
      </c>
      <c r="Y1859" s="4" t="s">
        <v>2276</v>
      </c>
      <c r="Z1859" s="3" t="s">
        <v>2276</v>
      </c>
      <c r="AA1859" s="3" t="s">
        <v>2276</v>
      </c>
      <c r="AB1859" s="3" t="s">
        <v>2276</v>
      </c>
      <c r="AC1859" s="3"/>
      <c r="AD1859" s="3"/>
    </row>
    <row r="1860" spans="1:30" ht="37" customHeight="1">
      <c r="A1860" s="11" t="s">
        <v>5440</v>
      </c>
      <c r="B1860" s="11" t="s">
        <v>5465</v>
      </c>
      <c r="C1860" s="3" t="s">
        <v>24</v>
      </c>
      <c r="D1860" s="3" t="s">
        <v>1245</v>
      </c>
      <c r="E1860" s="3" t="s">
        <v>116</v>
      </c>
      <c r="F1860" s="4" t="s">
        <v>2662</v>
      </c>
      <c r="G1860" s="4" t="s">
        <v>2276</v>
      </c>
      <c r="H1860" s="3" t="s">
        <v>523</v>
      </c>
      <c r="I1860" s="3"/>
      <c r="J1860" s="4" t="s">
        <v>2276</v>
      </c>
      <c r="K1860" s="4" t="s">
        <v>2276</v>
      </c>
      <c r="L1860" s="4" t="s">
        <v>2276</v>
      </c>
      <c r="M1860" s="4" t="s">
        <v>2276</v>
      </c>
      <c r="N1860" s="4" t="s">
        <v>2276</v>
      </c>
      <c r="O1860" s="4" t="s">
        <v>2276</v>
      </c>
      <c r="P1860" s="4" t="s">
        <v>2276</v>
      </c>
      <c r="Q1860" s="4" t="s">
        <v>2276</v>
      </c>
      <c r="R1860" s="4" t="s">
        <v>2276</v>
      </c>
      <c r="S1860" s="4" t="s">
        <v>2276</v>
      </c>
      <c r="T1860" s="4" t="s">
        <v>2276</v>
      </c>
      <c r="U1860" s="4" t="s">
        <v>2276</v>
      </c>
      <c r="V1860" s="4" t="s">
        <v>2276</v>
      </c>
      <c r="W1860" s="4" t="s">
        <v>2276</v>
      </c>
      <c r="X1860" s="4" t="s">
        <v>2276</v>
      </c>
      <c r="Y1860" s="4" t="s">
        <v>2276</v>
      </c>
      <c r="Z1860" s="3" t="s">
        <v>2276</v>
      </c>
      <c r="AA1860" s="3" t="s">
        <v>2276</v>
      </c>
      <c r="AB1860" s="4" t="s">
        <v>2276</v>
      </c>
      <c r="AC1860" s="3"/>
      <c r="AD1860" s="3"/>
    </row>
    <row r="1861" spans="1:30" ht="32.5" customHeight="1">
      <c r="A1861" s="11" t="s">
        <v>5440</v>
      </c>
      <c r="B1861" s="11" t="s">
        <v>5466</v>
      </c>
      <c r="C1861" s="3" t="s">
        <v>24</v>
      </c>
      <c r="D1861" s="3" t="s">
        <v>3480</v>
      </c>
      <c r="E1861" s="3" t="s">
        <v>116</v>
      </c>
      <c r="F1861" s="4" t="s">
        <v>2662</v>
      </c>
      <c r="G1861" s="4" t="s">
        <v>2276</v>
      </c>
      <c r="H1861" s="3" t="s">
        <v>523</v>
      </c>
      <c r="I1861" s="3"/>
      <c r="J1861" s="4" t="s">
        <v>2276</v>
      </c>
      <c r="K1861" s="4" t="s">
        <v>2276</v>
      </c>
      <c r="L1861" s="4" t="s">
        <v>2276</v>
      </c>
      <c r="M1861" s="4" t="s">
        <v>2276</v>
      </c>
      <c r="N1861" s="4" t="s">
        <v>2276</v>
      </c>
      <c r="O1861" s="4" t="s">
        <v>2276</v>
      </c>
      <c r="P1861" s="4" t="s">
        <v>2276</v>
      </c>
      <c r="Q1861" s="4" t="s">
        <v>2276</v>
      </c>
      <c r="R1861" s="4" t="s">
        <v>2276</v>
      </c>
      <c r="S1861" s="4" t="s">
        <v>2276</v>
      </c>
      <c r="T1861" s="4" t="s">
        <v>2276</v>
      </c>
      <c r="U1861" s="4" t="s">
        <v>2276</v>
      </c>
      <c r="V1861" s="4" t="s">
        <v>2276</v>
      </c>
      <c r="W1861" s="4" t="s">
        <v>2276</v>
      </c>
      <c r="X1861" s="4" t="s">
        <v>2276</v>
      </c>
      <c r="Y1861" s="4" t="s">
        <v>2276</v>
      </c>
      <c r="Z1861" s="3" t="s">
        <v>2276</v>
      </c>
      <c r="AA1861" s="3" t="s">
        <v>2276</v>
      </c>
      <c r="AB1861" s="3" t="s">
        <v>2276</v>
      </c>
      <c r="AC1861" s="3"/>
      <c r="AD1861" s="3"/>
    </row>
    <row r="1862" spans="1:30" ht="32.5" customHeight="1">
      <c r="A1862" s="11" t="s">
        <v>5440</v>
      </c>
      <c r="B1862" s="11" t="s">
        <v>5467</v>
      </c>
      <c r="C1862" s="3" t="s">
        <v>24</v>
      </c>
      <c r="D1862" s="3" t="s">
        <v>26</v>
      </c>
      <c r="E1862" s="3" t="s">
        <v>5005</v>
      </c>
      <c r="F1862" s="4" t="s">
        <v>2662</v>
      </c>
      <c r="G1862" s="4" t="s">
        <v>2276</v>
      </c>
      <c r="H1862" s="3" t="s">
        <v>523</v>
      </c>
      <c r="I1862" s="3"/>
      <c r="J1862" s="4" t="s">
        <v>2276</v>
      </c>
      <c r="K1862" s="4" t="s">
        <v>2276</v>
      </c>
      <c r="L1862" s="4" t="s">
        <v>2276</v>
      </c>
      <c r="M1862" s="4" t="s">
        <v>2276</v>
      </c>
      <c r="N1862" s="4" t="s">
        <v>2276</v>
      </c>
      <c r="O1862" s="4" t="s">
        <v>2276</v>
      </c>
      <c r="P1862" s="4" t="s">
        <v>2276</v>
      </c>
      <c r="Q1862" s="4" t="s">
        <v>2276</v>
      </c>
      <c r="R1862" s="4" t="s">
        <v>2276</v>
      </c>
      <c r="S1862" s="4" t="s">
        <v>2276</v>
      </c>
      <c r="T1862" s="4" t="s">
        <v>2276</v>
      </c>
      <c r="U1862" s="4" t="s">
        <v>2276</v>
      </c>
      <c r="V1862" s="4" t="s">
        <v>2276</v>
      </c>
      <c r="W1862" s="4" t="s">
        <v>2276</v>
      </c>
      <c r="X1862" s="4" t="s">
        <v>2276</v>
      </c>
      <c r="Y1862" s="4" t="s">
        <v>2276</v>
      </c>
      <c r="Z1862" s="4" t="s">
        <v>2276</v>
      </c>
      <c r="AA1862" s="4" t="s">
        <v>2276</v>
      </c>
      <c r="AB1862" s="4" t="s">
        <v>2276</v>
      </c>
      <c r="AC1862" s="3"/>
      <c r="AD1862" s="3"/>
    </row>
    <row r="1863" spans="1:30" ht="30" customHeight="1">
      <c r="A1863" s="11" t="s">
        <v>5440</v>
      </c>
      <c r="B1863" s="11" t="s">
        <v>5468</v>
      </c>
      <c r="C1863" s="3" t="s">
        <v>2458</v>
      </c>
      <c r="D1863" s="3" t="s">
        <v>27</v>
      </c>
      <c r="E1863" s="3" t="s">
        <v>130</v>
      </c>
      <c r="F1863" s="4" t="s">
        <v>160</v>
      </c>
      <c r="G1863" s="4" t="s">
        <v>2276</v>
      </c>
      <c r="H1863" s="3" t="s">
        <v>523</v>
      </c>
      <c r="I1863" s="3"/>
      <c r="J1863" s="4" t="s">
        <v>2276</v>
      </c>
      <c r="K1863" s="4" t="s">
        <v>2276</v>
      </c>
      <c r="L1863" s="4" t="s">
        <v>2276</v>
      </c>
      <c r="M1863" s="4" t="s">
        <v>2276</v>
      </c>
      <c r="N1863" s="4" t="s">
        <v>2276</v>
      </c>
      <c r="O1863" s="4" t="s">
        <v>2276</v>
      </c>
      <c r="P1863" s="4" t="s">
        <v>2276</v>
      </c>
      <c r="Q1863" s="4" t="s">
        <v>2276</v>
      </c>
      <c r="R1863" s="4" t="s">
        <v>2276</v>
      </c>
      <c r="S1863" s="4" t="s">
        <v>2276</v>
      </c>
      <c r="T1863" s="4" t="s">
        <v>2276</v>
      </c>
      <c r="U1863" s="4" t="s">
        <v>2276</v>
      </c>
      <c r="V1863" s="4" t="s">
        <v>2276</v>
      </c>
      <c r="W1863" s="4" t="s">
        <v>2276</v>
      </c>
      <c r="X1863" s="4" t="s">
        <v>2276</v>
      </c>
      <c r="Y1863" s="4" t="s">
        <v>2276</v>
      </c>
      <c r="Z1863" s="3" t="s">
        <v>86</v>
      </c>
      <c r="AA1863" s="3" t="s">
        <v>86</v>
      </c>
      <c r="AB1863" s="4" t="s">
        <v>2276</v>
      </c>
      <c r="AC1863" s="3"/>
      <c r="AD1863" s="3"/>
    </row>
    <row r="1864" spans="1:30" ht="30" customHeight="1">
      <c r="A1864" s="11" t="s">
        <v>5440</v>
      </c>
      <c r="B1864" s="11" t="s">
        <v>5469</v>
      </c>
      <c r="C1864" s="3" t="s">
        <v>2458</v>
      </c>
      <c r="D1864" s="3" t="s">
        <v>27</v>
      </c>
      <c r="E1864" s="3" t="s">
        <v>130</v>
      </c>
      <c r="F1864" s="4" t="s">
        <v>28</v>
      </c>
      <c r="G1864" s="4" t="s">
        <v>2276</v>
      </c>
      <c r="H1864" s="3" t="s">
        <v>523</v>
      </c>
      <c r="I1864" s="3"/>
      <c r="J1864" s="4" t="s">
        <v>2276</v>
      </c>
      <c r="K1864" s="4" t="s">
        <v>2276</v>
      </c>
      <c r="L1864" s="4" t="s">
        <v>2276</v>
      </c>
      <c r="M1864" s="4" t="s">
        <v>2276</v>
      </c>
      <c r="N1864" s="4" t="s">
        <v>2276</v>
      </c>
      <c r="O1864" s="4" t="s">
        <v>2276</v>
      </c>
      <c r="P1864" s="4" t="s">
        <v>2276</v>
      </c>
      <c r="Q1864" s="4" t="s">
        <v>2276</v>
      </c>
      <c r="R1864" s="4" t="s">
        <v>2276</v>
      </c>
      <c r="S1864" s="4" t="s">
        <v>2276</v>
      </c>
      <c r="T1864" s="4" t="s">
        <v>2276</v>
      </c>
      <c r="U1864" s="4" t="s">
        <v>2276</v>
      </c>
      <c r="V1864" s="4" t="s">
        <v>2276</v>
      </c>
      <c r="W1864" s="4" t="s">
        <v>2276</v>
      </c>
      <c r="X1864" s="4" t="s">
        <v>2276</v>
      </c>
      <c r="Y1864" s="4" t="s">
        <v>2276</v>
      </c>
      <c r="Z1864" s="3" t="s">
        <v>86</v>
      </c>
      <c r="AA1864" s="3" t="s">
        <v>86</v>
      </c>
      <c r="AB1864" s="4" t="s">
        <v>2276</v>
      </c>
      <c r="AC1864" s="3"/>
      <c r="AD1864" s="3"/>
    </row>
    <row r="1865" spans="1:30" ht="30" customHeight="1">
      <c r="A1865" s="11" t="s">
        <v>5440</v>
      </c>
      <c r="B1865" s="11" t="s">
        <v>5470</v>
      </c>
      <c r="C1865" s="3" t="s">
        <v>2458</v>
      </c>
      <c r="D1865" s="3" t="s">
        <v>2659</v>
      </c>
      <c r="E1865" s="3" t="s">
        <v>130</v>
      </c>
      <c r="F1865" s="4" t="s">
        <v>28</v>
      </c>
      <c r="G1865" s="4" t="s">
        <v>2276</v>
      </c>
      <c r="H1865" s="3" t="s">
        <v>523</v>
      </c>
      <c r="I1865" s="3"/>
      <c r="J1865" s="4" t="s">
        <v>2276</v>
      </c>
      <c r="K1865" s="4" t="s">
        <v>2276</v>
      </c>
      <c r="L1865" s="4" t="s">
        <v>2276</v>
      </c>
      <c r="M1865" s="4" t="s">
        <v>2276</v>
      </c>
      <c r="N1865" s="4" t="s">
        <v>2276</v>
      </c>
      <c r="O1865" s="4" t="s">
        <v>2276</v>
      </c>
      <c r="P1865" s="4" t="s">
        <v>2276</v>
      </c>
      <c r="Q1865" s="4" t="s">
        <v>2276</v>
      </c>
      <c r="R1865" s="4" t="s">
        <v>2276</v>
      </c>
      <c r="S1865" s="4" t="s">
        <v>2276</v>
      </c>
      <c r="T1865" s="4" t="s">
        <v>2276</v>
      </c>
      <c r="U1865" s="4" t="s">
        <v>2276</v>
      </c>
      <c r="V1865" s="4" t="s">
        <v>2276</v>
      </c>
      <c r="W1865" s="4" t="s">
        <v>2276</v>
      </c>
      <c r="X1865" s="4" t="s">
        <v>2276</v>
      </c>
      <c r="Y1865" s="4" t="s">
        <v>2276</v>
      </c>
      <c r="Z1865" s="3" t="s">
        <v>35</v>
      </c>
      <c r="AA1865" s="3" t="s">
        <v>127</v>
      </c>
      <c r="AB1865" s="3" t="s">
        <v>2655</v>
      </c>
      <c r="AC1865" s="3" t="s">
        <v>5460</v>
      </c>
      <c r="AD1865" s="3"/>
    </row>
    <row r="1866" spans="1:30" ht="41" customHeight="1">
      <c r="A1866" s="11" t="s">
        <v>5440</v>
      </c>
      <c r="B1866" s="11" t="s">
        <v>5471</v>
      </c>
      <c r="C1866" s="3" t="s">
        <v>2458</v>
      </c>
      <c r="D1866" s="3" t="s">
        <v>2659</v>
      </c>
      <c r="E1866" s="3" t="s">
        <v>130</v>
      </c>
      <c r="F1866" s="4" t="s">
        <v>2662</v>
      </c>
      <c r="G1866" s="4" t="s">
        <v>2276</v>
      </c>
      <c r="H1866" s="3" t="s">
        <v>523</v>
      </c>
      <c r="I1866" s="3"/>
      <c r="J1866" s="4" t="s">
        <v>2276</v>
      </c>
      <c r="K1866" s="4" t="s">
        <v>2276</v>
      </c>
      <c r="L1866" s="4" t="s">
        <v>2276</v>
      </c>
      <c r="M1866" s="4" t="s">
        <v>2276</v>
      </c>
      <c r="N1866" s="4" t="s">
        <v>2276</v>
      </c>
      <c r="O1866" s="4" t="s">
        <v>2276</v>
      </c>
      <c r="P1866" s="4" t="s">
        <v>2276</v>
      </c>
      <c r="Q1866" s="4" t="s">
        <v>2276</v>
      </c>
      <c r="R1866" s="4" t="s">
        <v>2276</v>
      </c>
      <c r="S1866" s="4" t="s">
        <v>2276</v>
      </c>
      <c r="T1866" s="4" t="s">
        <v>2276</v>
      </c>
      <c r="U1866" s="4" t="s">
        <v>2276</v>
      </c>
      <c r="V1866" s="4" t="s">
        <v>2276</v>
      </c>
      <c r="W1866" s="4" t="s">
        <v>2276</v>
      </c>
      <c r="X1866" s="4" t="s">
        <v>2276</v>
      </c>
      <c r="Y1866" s="4" t="s">
        <v>2276</v>
      </c>
      <c r="Z1866" s="4" t="s">
        <v>2276</v>
      </c>
      <c r="AA1866" s="4" t="s">
        <v>2276</v>
      </c>
      <c r="AB1866" s="4" t="s">
        <v>2276</v>
      </c>
      <c r="AC1866" s="3"/>
      <c r="AD1866" s="3"/>
    </row>
    <row r="1867" spans="1:30" ht="36.5" customHeight="1">
      <c r="A1867" s="11" t="s">
        <v>5440</v>
      </c>
      <c r="B1867" s="11" t="s">
        <v>5472</v>
      </c>
      <c r="C1867" s="3" t="s">
        <v>24</v>
      </c>
      <c r="D1867" s="3" t="s">
        <v>2231</v>
      </c>
      <c r="E1867" s="4" t="s">
        <v>396</v>
      </c>
      <c r="F1867" s="4" t="s">
        <v>28</v>
      </c>
      <c r="G1867" s="4" t="s">
        <v>2276</v>
      </c>
      <c r="H1867" s="3" t="s">
        <v>523</v>
      </c>
      <c r="I1867" s="3"/>
      <c r="J1867" s="4" t="s">
        <v>2276</v>
      </c>
      <c r="K1867" s="4" t="s">
        <v>2276</v>
      </c>
      <c r="L1867" s="4" t="s">
        <v>2276</v>
      </c>
      <c r="M1867" s="4" t="s">
        <v>2276</v>
      </c>
      <c r="N1867" s="4" t="s">
        <v>2276</v>
      </c>
      <c r="O1867" s="4" t="s">
        <v>2276</v>
      </c>
      <c r="P1867" s="4" t="s">
        <v>2276</v>
      </c>
      <c r="Q1867" s="4" t="s">
        <v>2276</v>
      </c>
      <c r="R1867" s="4" t="s">
        <v>2276</v>
      </c>
      <c r="S1867" s="4" t="s">
        <v>2276</v>
      </c>
      <c r="T1867" s="4" t="s">
        <v>2276</v>
      </c>
      <c r="U1867" s="4" t="s">
        <v>2276</v>
      </c>
      <c r="V1867" s="4" t="s">
        <v>2276</v>
      </c>
      <c r="W1867" s="4" t="s">
        <v>2276</v>
      </c>
      <c r="X1867" s="4" t="s">
        <v>2276</v>
      </c>
      <c r="Y1867" s="4" t="s">
        <v>2276</v>
      </c>
      <c r="Z1867" s="4" t="s">
        <v>2276</v>
      </c>
      <c r="AA1867" s="4" t="s">
        <v>2276</v>
      </c>
      <c r="AB1867" s="4" t="s">
        <v>2276</v>
      </c>
      <c r="AC1867" s="3" t="s">
        <v>5475</v>
      </c>
      <c r="AD1867" s="3"/>
    </row>
    <row r="1868" spans="1:30" ht="29" customHeight="1">
      <c r="A1868" s="11" t="s">
        <v>5440</v>
      </c>
      <c r="B1868" s="11" t="s">
        <v>5473</v>
      </c>
      <c r="C1868" s="3" t="s">
        <v>24</v>
      </c>
      <c r="D1868" s="3" t="s">
        <v>1131</v>
      </c>
      <c r="E1868" s="4" t="s">
        <v>396</v>
      </c>
      <c r="F1868" s="4" t="s">
        <v>28</v>
      </c>
      <c r="G1868" s="4" t="s">
        <v>2276</v>
      </c>
      <c r="H1868" s="3" t="s">
        <v>523</v>
      </c>
      <c r="I1868" s="3"/>
      <c r="J1868" s="4" t="s">
        <v>2276</v>
      </c>
      <c r="K1868" s="4" t="s">
        <v>2276</v>
      </c>
      <c r="L1868" s="4" t="s">
        <v>2276</v>
      </c>
      <c r="M1868" s="4" t="s">
        <v>2276</v>
      </c>
      <c r="N1868" s="4" t="s">
        <v>2276</v>
      </c>
      <c r="O1868" s="4" t="s">
        <v>2276</v>
      </c>
      <c r="P1868" s="4" t="s">
        <v>2276</v>
      </c>
      <c r="Q1868" s="4" t="s">
        <v>2276</v>
      </c>
      <c r="R1868" s="4" t="s">
        <v>2276</v>
      </c>
      <c r="S1868" s="4" t="s">
        <v>2276</v>
      </c>
      <c r="T1868" s="4" t="s">
        <v>2276</v>
      </c>
      <c r="U1868" s="4" t="s">
        <v>2276</v>
      </c>
      <c r="V1868" s="4" t="s">
        <v>2276</v>
      </c>
      <c r="W1868" s="4" t="s">
        <v>2276</v>
      </c>
      <c r="X1868" s="4" t="s">
        <v>2276</v>
      </c>
      <c r="Y1868" s="4" t="s">
        <v>2276</v>
      </c>
      <c r="Z1868" s="3" t="s">
        <v>189</v>
      </c>
      <c r="AA1868" s="3" t="s">
        <v>38</v>
      </c>
      <c r="AB1868" s="4" t="s">
        <v>2276</v>
      </c>
      <c r="AC1868" s="3" t="s">
        <v>5474</v>
      </c>
      <c r="AD1868" s="3"/>
    </row>
    <row r="1869" spans="1:30" ht="30" customHeight="1">
      <c r="A1869" s="11" t="s">
        <v>5440</v>
      </c>
      <c r="B1869" s="11" t="s">
        <v>5480</v>
      </c>
      <c r="C1869" s="3" t="s">
        <v>24</v>
      </c>
      <c r="D1869" s="3" t="s">
        <v>2346</v>
      </c>
      <c r="E1869" s="3" t="s">
        <v>130</v>
      </c>
      <c r="F1869" s="4" t="s">
        <v>28</v>
      </c>
      <c r="G1869" s="4" t="s">
        <v>2276</v>
      </c>
      <c r="H1869" s="3" t="s">
        <v>523</v>
      </c>
      <c r="I1869" s="3"/>
      <c r="J1869" s="4" t="s">
        <v>2276</v>
      </c>
      <c r="K1869" s="4" t="s">
        <v>2276</v>
      </c>
      <c r="L1869" s="4" t="s">
        <v>2276</v>
      </c>
      <c r="M1869" s="4" t="s">
        <v>2276</v>
      </c>
      <c r="N1869" s="4" t="s">
        <v>2276</v>
      </c>
      <c r="O1869" s="4" t="s">
        <v>2276</v>
      </c>
      <c r="P1869" s="4" t="s">
        <v>2276</v>
      </c>
      <c r="Q1869" s="4" t="s">
        <v>2276</v>
      </c>
      <c r="R1869" s="4" t="s">
        <v>2276</v>
      </c>
      <c r="S1869" s="4" t="s">
        <v>2276</v>
      </c>
      <c r="T1869" s="4" t="s">
        <v>2276</v>
      </c>
      <c r="U1869" s="4" t="s">
        <v>2276</v>
      </c>
      <c r="V1869" s="4" t="s">
        <v>2276</v>
      </c>
      <c r="W1869" s="4" t="s">
        <v>2276</v>
      </c>
      <c r="X1869" s="4" t="s">
        <v>2276</v>
      </c>
      <c r="Y1869" s="4" t="s">
        <v>2276</v>
      </c>
      <c r="Z1869" s="4" t="s">
        <v>2276</v>
      </c>
      <c r="AA1869" s="4" t="s">
        <v>2276</v>
      </c>
      <c r="AB1869" s="4" t="s">
        <v>2276</v>
      </c>
      <c r="AC1869" s="3"/>
      <c r="AD1869" s="3"/>
    </row>
    <row r="1870" spans="1:30" ht="35.5" customHeight="1">
      <c r="A1870" s="11" t="s">
        <v>5440</v>
      </c>
      <c r="B1870" s="11" t="s">
        <v>5481</v>
      </c>
      <c r="C1870" s="3" t="s">
        <v>24</v>
      </c>
      <c r="D1870" s="3" t="s">
        <v>1245</v>
      </c>
      <c r="E1870" s="3" t="s">
        <v>2652</v>
      </c>
      <c r="F1870" s="4" t="s">
        <v>2662</v>
      </c>
      <c r="G1870" s="4" t="s">
        <v>2276</v>
      </c>
      <c r="H1870" s="3" t="s">
        <v>523</v>
      </c>
      <c r="I1870" s="3"/>
      <c r="J1870" s="4" t="s">
        <v>2276</v>
      </c>
      <c r="K1870" s="4" t="s">
        <v>2276</v>
      </c>
      <c r="L1870" s="4" t="s">
        <v>2276</v>
      </c>
      <c r="M1870" s="4" t="s">
        <v>2276</v>
      </c>
      <c r="N1870" s="4" t="s">
        <v>2276</v>
      </c>
      <c r="O1870" s="4" t="s">
        <v>2276</v>
      </c>
      <c r="P1870" s="4" t="s">
        <v>2276</v>
      </c>
      <c r="Q1870" s="4" t="s">
        <v>2276</v>
      </c>
      <c r="R1870" s="4" t="s">
        <v>2276</v>
      </c>
      <c r="S1870" s="4" t="s">
        <v>2276</v>
      </c>
      <c r="T1870" s="4" t="s">
        <v>2276</v>
      </c>
      <c r="U1870" s="4" t="s">
        <v>2276</v>
      </c>
      <c r="V1870" s="4" t="s">
        <v>2276</v>
      </c>
      <c r="W1870" s="4" t="s">
        <v>2276</v>
      </c>
      <c r="X1870" s="4" t="s">
        <v>2276</v>
      </c>
      <c r="Y1870" s="4" t="s">
        <v>2276</v>
      </c>
      <c r="Z1870" s="4" t="s">
        <v>2276</v>
      </c>
      <c r="AA1870" s="4" t="s">
        <v>2276</v>
      </c>
      <c r="AB1870" s="4" t="s">
        <v>2276</v>
      </c>
      <c r="AC1870" s="3"/>
      <c r="AD1870" s="3"/>
    </row>
    <row r="1871" spans="1:30" ht="35.5" customHeight="1">
      <c r="A1871" s="11" t="s">
        <v>5440</v>
      </c>
      <c r="B1871" s="11" t="s">
        <v>5482</v>
      </c>
      <c r="C1871" s="3" t="s">
        <v>24</v>
      </c>
      <c r="D1871" s="3" t="s">
        <v>2341</v>
      </c>
      <c r="E1871" s="3" t="s">
        <v>2652</v>
      </c>
      <c r="F1871" s="4" t="s">
        <v>2662</v>
      </c>
      <c r="G1871" s="4" t="s">
        <v>2276</v>
      </c>
      <c r="H1871" s="3" t="s">
        <v>523</v>
      </c>
      <c r="I1871" s="3"/>
      <c r="J1871" s="4" t="s">
        <v>2276</v>
      </c>
      <c r="K1871" s="4" t="s">
        <v>2276</v>
      </c>
      <c r="L1871" s="4" t="s">
        <v>2276</v>
      </c>
      <c r="M1871" s="4" t="s">
        <v>2276</v>
      </c>
      <c r="N1871" s="4" t="s">
        <v>2276</v>
      </c>
      <c r="O1871" s="4" t="s">
        <v>2276</v>
      </c>
      <c r="P1871" s="4" t="s">
        <v>2276</v>
      </c>
      <c r="Q1871" s="4" t="s">
        <v>2276</v>
      </c>
      <c r="R1871" s="4" t="s">
        <v>2276</v>
      </c>
      <c r="S1871" s="4" t="s">
        <v>2276</v>
      </c>
      <c r="T1871" s="4" t="s">
        <v>2276</v>
      </c>
      <c r="U1871" s="4" t="s">
        <v>2276</v>
      </c>
      <c r="V1871" s="4" t="s">
        <v>2276</v>
      </c>
      <c r="W1871" s="4" t="s">
        <v>2276</v>
      </c>
      <c r="X1871" s="4" t="s">
        <v>2276</v>
      </c>
      <c r="Y1871" s="4" t="s">
        <v>2276</v>
      </c>
      <c r="Z1871" s="4" t="s">
        <v>2276</v>
      </c>
      <c r="AA1871" s="4" t="s">
        <v>2276</v>
      </c>
      <c r="AB1871" s="4" t="s">
        <v>2276</v>
      </c>
      <c r="AC1871" s="3"/>
      <c r="AD1871" s="3"/>
    </row>
    <row r="1872" spans="1:30" ht="46" customHeight="1">
      <c r="A1872" s="11" t="s">
        <v>5440</v>
      </c>
      <c r="B1872" s="11" t="s">
        <v>5503</v>
      </c>
      <c r="C1872" s="3" t="s">
        <v>24</v>
      </c>
      <c r="D1872" s="3" t="s">
        <v>4162</v>
      </c>
      <c r="E1872" s="3" t="s">
        <v>2649</v>
      </c>
      <c r="F1872" s="4" t="s">
        <v>74</v>
      </c>
      <c r="G1872" s="4" t="s">
        <v>2276</v>
      </c>
      <c r="H1872" s="3" t="s">
        <v>523</v>
      </c>
      <c r="I1872" s="3"/>
      <c r="J1872" s="4" t="s">
        <v>2276</v>
      </c>
      <c r="K1872" s="4" t="s">
        <v>2276</v>
      </c>
      <c r="L1872" s="4" t="s">
        <v>2276</v>
      </c>
      <c r="M1872" s="4" t="s">
        <v>2276</v>
      </c>
      <c r="N1872" s="4" t="s">
        <v>2276</v>
      </c>
      <c r="O1872" s="4" t="s">
        <v>2276</v>
      </c>
      <c r="P1872" s="4" t="s">
        <v>2276</v>
      </c>
      <c r="Q1872" s="4" t="s">
        <v>2276</v>
      </c>
      <c r="R1872" s="4" t="s">
        <v>2276</v>
      </c>
      <c r="S1872" s="4" t="s">
        <v>2276</v>
      </c>
      <c r="T1872" s="4" t="s">
        <v>2276</v>
      </c>
      <c r="U1872" s="4" t="s">
        <v>2276</v>
      </c>
      <c r="V1872" s="4" t="s">
        <v>2276</v>
      </c>
      <c r="W1872" s="4" t="s">
        <v>2276</v>
      </c>
      <c r="X1872" s="4" t="s">
        <v>2276</v>
      </c>
      <c r="Y1872" s="4" t="s">
        <v>2276</v>
      </c>
      <c r="Z1872" s="4" t="s">
        <v>2276</v>
      </c>
      <c r="AA1872" s="4" t="s">
        <v>2276</v>
      </c>
      <c r="AB1872" s="4" t="s">
        <v>2276</v>
      </c>
      <c r="AC1872" s="3"/>
      <c r="AD1872" s="3"/>
    </row>
    <row r="1873" spans="1:30" ht="34.5" customHeight="1">
      <c r="A1873" s="11" t="s">
        <v>5443</v>
      </c>
      <c r="B1873" s="11" t="s">
        <v>5483</v>
      </c>
      <c r="C1873" s="3" t="s">
        <v>24</v>
      </c>
      <c r="D1873" s="3" t="s">
        <v>27</v>
      </c>
      <c r="E1873" s="3" t="s">
        <v>130</v>
      </c>
      <c r="F1873" s="4" t="s">
        <v>160</v>
      </c>
      <c r="G1873" s="4" t="s">
        <v>2276</v>
      </c>
      <c r="H1873" s="3" t="s">
        <v>523</v>
      </c>
      <c r="I1873" s="3"/>
      <c r="J1873" s="4" t="s">
        <v>2276</v>
      </c>
      <c r="K1873" s="4" t="s">
        <v>2276</v>
      </c>
      <c r="L1873" s="4" t="s">
        <v>2276</v>
      </c>
      <c r="M1873" s="4" t="s">
        <v>2276</v>
      </c>
      <c r="N1873" s="4" t="s">
        <v>2276</v>
      </c>
      <c r="O1873" s="4" t="s">
        <v>2276</v>
      </c>
      <c r="P1873" s="4" t="s">
        <v>2276</v>
      </c>
      <c r="Q1873" s="4" t="s">
        <v>2276</v>
      </c>
      <c r="R1873" s="4" t="s">
        <v>2276</v>
      </c>
      <c r="S1873" s="4" t="s">
        <v>2276</v>
      </c>
      <c r="T1873" s="4" t="s">
        <v>2276</v>
      </c>
      <c r="U1873" s="4" t="s">
        <v>2276</v>
      </c>
      <c r="V1873" s="4" t="s">
        <v>2276</v>
      </c>
      <c r="W1873" s="4" t="s">
        <v>2276</v>
      </c>
      <c r="X1873" s="4" t="s">
        <v>2276</v>
      </c>
      <c r="Y1873" s="4" t="s">
        <v>2276</v>
      </c>
      <c r="Z1873" s="3" t="s">
        <v>86</v>
      </c>
      <c r="AA1873" s="3" t="s">
        <v>86</v>
      </c>
      <c r="AB1873" s="4" t="s">
        <v>2276</v>
      </c>
      <c r="AC1873" s="3"/>
      <c r="AD1873" s="3"/>
    </row>
    <row r="1874" spans="1:30" ht="29">
      <c r="A1874" s="11" t="s">
        <v>5443</v>
      </c>
      <c r="B1874" s="11" t="s">
        <v>5484</v>
      </c>
      <c r="C1874" s="3" t="s">
        <v>24</v>
      </c>
      <c r="D1874" s="3" t="s">
        <v>25</v>
      </c>
      <c r="E1874" s="3" t="s">
        <v>5005</v>
      </c>
      <c r="F1874" s="4" t="s">
        <v>2662</v>
      </c>
      <c r="G1874" s="4" t="s">
        <v>2276</v>
      </c>
      <c r="H1874" s="3" t="s">
        <v>523</v>
      </c>
      <c r="I1874" s="3"/>
      <c r="J1874" s="4" t="s">
        <v>2276</v>
      </c>
      <c r="K1874" s="4" t="s">
        <v>2276</v>
      </c>
      <c r="L1874" s="4" t="s">
        <v>2276</v>
      </c>
      <c r="M1874" s="4" t="s">
        <v>2276</v>
      </c>
      <c r="N1874" s="4" t="s">
        <v>2276</v>
      </c>
      <c r="O1874" s="4" t="s">
        <v>2276</v>
      </c>
      <c r="P1874" s="4" t="s">
        <v>2276</v>
      </c>
      <c r="Q1874" s="4" t="s">
        <v>2276</v>
      </c>
      <c r="R1874" s="4" t="s">
        <v>2276</v>
      </c>
      <c r="S1874" s="4" t="s">
        <v>2276</v>
      </c>
      <c r="T1874" s="4" t="s">
        <v>2276</v>
      </c>
      <c r="U1874" s="4" t="s">
        <v>2276</v>
      </c>
      <c r="V1874" s="4" t="s">
        <v>2276</v>
      </c>
      <c r="W1874" s="4" t="s">
        <v>2276</v>
      </c>
      <c r="X1874" s="4" t="s">
        <v>2276</v>
      </c>
      <c r="Y1874" s="4" t="s">
        <v>2276</v>
      </c>
      <c r="Z1874" s="3" t="s">
        <v>86</v>
      </c>
      <c r="AA1874" s="3" t="s">
        <v>86</v>
      </c>
      <c r="AB1874" s="4" t="s">
        <v>2276</v>
      </c>
      <c r="AC1874" s="3"/>
      <c r="AD1874" s="3"/>
    </row>
    <row r="1875" spans="1:30" ht="29">
      <c r="A1875" s="11" t="s">
        <v>5443</v>
      </c>
      <c r="B1875" s="11" t="s">
        <v>5485</v>
      </c>
      <c r="C1875" s="3" t="s">
        <v>24</v>
      </c>
      <c r="D1875" s="3" t="s">
        <v>2341</v>
      </c>
      <c r="E1875" s="3" t="s">
        <v>116</v>
      </c>
      <c r="F1875" s="4" t="s">
        <v>2662</v>
      </c>
      <c r="G1875" s="4" t="s">
        <v>2276</v>
      </c>
      <c r="H1875" s="3" t="s">
        <v>523</v>
      </c>
      <c r="I1875" s="3"/>
      <c r="J1875" s="4" t="s">
        <v>2276</v>
      </c>
      <c r="K1875" s="4" t="s">
        <v>2276</v>
      </c>
      <c r="L1875" s="4" t="s">
        <v>2276</v>
      </c>
      <c r="M1875" s="4" t="s">
        <v>2276</v>
      </c>
      <c r="N1875" s="4" t="s">
        <v>2276</v>
      </c>
      <c r="O1875" s="4" t="s">
        <v>2276</v>
      </c>
      <c r="P1875" s="4" t="s">
        <v>2276</v>
      </c>
      <c r="Q1875" s="4" t="s">
        <v>2276</v>
      </c>
      <c r="R1875" s="4" t="s">
        <v>2276</v>
      </c>
      <c r="S1875" s="4" t="s">
        <v>2276</v>
      </c>
      <c r="T1875" s="4" t="s">
        <v>2276</v>
      </c>
      <c r="U1875" s="4" t="s">
        <v>2276</v>
      </c>
      <c r="V1875" s="4" t="s">
        <v>2276</v>
      </c>
      <c r="W1875" s="4" t="s">
        <v>2276</v>
      </c>
      <c r="X1875" s="4" t="s">
        <v>2276</v>
      </c>
      <c r="Y1875" s="4" t="s">
        <v>2276</v>
      </c>
      <c r="Z1875" s="3" t="s">
        <v>2276</v>
      </c>
      <c r="AA1875" s="3" t="s">
        <v>2276</v>
      </c>
      <c r="AB1875" s="4" t="s">
        <v>2276</v>
      </c>
      <c r="AC1875" s="3"/>
      <c r="AD1875" s="3"/>
    </row>
    <row r="1876" spans="1:30" ht="29">
      <c r="A1876" s="11" t="s">
        <v>5443</v>
      </c>
      <c r="B1876" s="11" t="s">
        <v>5486</v>
      </c>
      <c r="C1876" s="3" t="s">
        <v>24</v>
      </c>
      <c r="D1876" s="3" t="s">
        <v>1245</v>
      </c>
      <c r="E1876" s="3" t="s">
        <v>116</v>
      </c>
      <c r="F1876" s="4" t="s">
        <v>2662</v>
      </c>
      <c r="G1876" s="4" t="s">
        <v>2276</v>
      </c>
      <c r="H1876" s="3" t="s">
        <v>523</v>
      </c>
      <c r="I1876" s="3"/>
      <c r="J1876" s="4" t="s">
        <v>2276</v>
      </c>
      <c r="K1876" s="4" t="s">
        <v>2276</v>
      </c>
      <c r="L1876" s="4" t="s">
        <v>2276</v>
      </c>
      <c r="M1876" s="4" t="s">
        <v>2276</v>
      </c>
      <c r="N1876" s="4" t="s">
        <v>2276</v>
      </c>
      <c r="O1876" s="4" t="s">
        <v>2276</v>
      </c>
      <c r="P1876" s="4" t="s">
        <v>2276</v>
      </c>
      <c r="Q1876" s="4" t="s">
        <v>2276</v>
      </c>
      <c r="R1876" s="4" t="s">
        <v>2276</v>
      </c>
      <c r="S1876" s="4" t="s">
        <v>2276</v>
      </c>
      <c r="T1876" s="4" t="s">
        <v>2276</v>
      </c>
      <c r="U1876" s="4" t="s">
        <v>2276</v>
      </c>
      <c r="V1876" s="4" t="s">
        <v>2276</v>
      </c>
      <c r="W1876" s="4" t="s">
        <v>2276</v>
      </c>
      <c r="X1876" s="4" t="s">
        <v>2276</v>
      </c>
      <c r="Y1876" s="4" t="s">
        <v>2276</v>
      </c>
      <c r="Z1876" s="3" t="s">
        <v>189</v>
      </c>
      <c r="AA1876" s="3" t="s">
        <v>86</v>
      </c>
      <c r="AB1876" s="4" t="s">
        <v>2276</v>
      </c>
      <c r="AC1876" s="3"/>
      <c r="AD1876" s="3"/>
    </row>
    <row r="1877" spans="1:30" ht="29">
      <c r="A1877" s="11" t="s">
        <v>5443</v>
      </c>
      <c r="B1877" s="11" t="s">
        <v>5487</v>
      </c>
      <c r="C1877" s="3" t="s">
        <v>24</v>
      </c>
      <c r="D1877" s="3" t="s">
        <v>3480</v>
      </c>
      <c r="E1877" s="3" t="s">
        <v>116</v>
      </c>
      <c r="F1877" s="4" t="s">
        <v>2662</v>
      </c>
      <c r="G1877" s="4" t="s">
        <v>2276</v>
      </c>
      <c r="H1877" s="3" t="s">
        <v>523</v>
      </c>
      <c r="I1877" s="3"/>
      <c r="J1877" s="4" t="s">
        <v>2276</v>
      </c>
      <c r="K1877" s="4" t="s">
        <v>2276</v>
      </c>
      <c r="L1877" s="4" t="s">
        <v>2276</v>
      </c>
      <c r="M1877" s="4" t="s">
        <v>2276</v>
      </c>
      <c r="N1877" s="4" t="s">
        <v>2276</v>
      </c>
      <c r="O1877" s="4" t="s">
        <v>2276</v>
      </c>
      <c r="P1877" s="4" t="s">
        <v>2276</v>
      </c>
      <c r="Q1877" s="4" t="s">
        <v>2276</v>
      </c>
      <c r="R1877" s="4" t="s">
        <v>2276</v>
      </c>
      <c r="S1877" s="4" t="s">
        <v>2276</v>
      </c>
      <c r="T1877" s="4" t="s">
        <v>2276</v>
      </c>
      <c r="U1877" s="4" t="s">
        <v>2276</v>
      </c>
      <c r="V1877" s="4" t="s">
        <v>2276</v>
      </c>
      <c r="W1877" s="4" t="s">
        <v>2276</v>
      </c>
      <c r="X1877" s="4" t="s">
        <v>2276</v>
      </c>
      <c r="Y1877" s="4" t="s">
        <v>2276</v>
      </c>
      <c r="Z1877" s="3" t="s">
        <v>188</v>
      </c>
      <c r="AA1877" s="3" t="s">
        <v>189</v>
      </c>
      <c r="AB1877" s="4" t="s">
        <v>2276</v>
      </c>
      <c r="AC1877" s="3"/>
      <c r="AD1877" s="3"/>
    </row>
    <row r="1878" spans="1:30" ht="29">
      <c r="A1878" s="11" t="s">
        <v>5443</v>
      </c>
      <c r="B1878" s="11" t="s">
        <v>5488</v>
      </c>
      <c r="C1878" s="3" t="s">
        <v>24</v>
      </c>
      <c r="D1878" s="3" t="s">
        <v>26</v>
      </c>
      <c r="E1878" s="3" t="s">
        <v>5005</v>
      </c>
      <c r="F1878" s="4" t="s">
        <v>2662</v>
      </c>
      <c r="G1878" s="4" t="s">
        <v>2276</v>
      </c>
      <c r="H1878" s="3" t="s">
        <v>523</v>
      </c>
      <c r="I1878" s="3"/>
      <c r="J1878" s="4" t="s">
        <v>2276</v>
      </c>
      <c r="K1878" s="4" t="s">
        <v>2276</v>
      </c>
      <c r="L1878" s="4" t="s">
        <v>2276</v>
      </c>
      <c r="M1878" s="4" t="s">
        <v>2276</v>
      </c>
      <c r="N1878" s="4" t="s">
        <v>2276</v>
      </c>
      <c r="O1878" s="4" t="s">
        <v>2276</v>
      </c>
      <c r="P1878" s="4" t="s">
        <v>2276</v>
      </c>
      <c r="Q1878" s="4" t="s">
        <v>2276</v>
      </c>
      <c r="R1878" s="4" t="s">
        <v>2276</v>
      </c>
      <c r="S1878" s="4" t="s">
        <v>2276</v>
      </c>
      <c r="T1878" s="4" t="s">
        <v>2276</v>
      </c>
      <c r="U1878" s="4" t="s">
        <v>2276</v>
      </c>
      <c r="V1878" s="4" t="s">
        <v>2276</v>
      </c>
      <c r="W1878" s="4" t="s">
        <v>2276</v>
      </c>
      <c r="X1878" s="4" t="s">
        <v>2276</v>
      </c>
      <c r="Y1878" s="4" t="s">
        <v>2276</v>
      </c>
      <c r="Z1878" s="4" t="s">
        <v>2276</v>
      </c>
      <c r="AA1878" s="4" t="s">
        <v>2276</v>
      </c>
      <c r="AB1878" s="4" t="s">
        <v>2276</v>
      </c>
      <c r="AC1878" s="3"/>
      <c r="AD1878" s="3"/>
    </row>
    <row r="1879" spans="1:30" ht="34" customHeight="1">
      <c r="A1879" s="11" t="s">
        <v>5443</v>
      </c>
      <c r="B1879" s="11" t="s">
        <v>5489</v>
      </c>
      <c r="C1879" s="3" t="s">
        <v>2458</v>
      </c>
      <c r="D1879" s="3" t="s">
        <v>27</v>
      </c>
      <c r="E1879" s="3" t="s">
        <v>130</v>
      </c>
      <c r="F1879" s="4" t="s">
        <v>160</v>
      </c>
      <c r="G1879" s="4" t="s">
        <v>2276</v>
      </c>
      <c r="H1879" s="3" t="s">
        <v>523</v>
      </c>
      <c r="I1879" s="3"/>
      <c r="J1879" s="4" t="s">
        <v>2276</v>
      </c>
      <c r="K1879" s="4" t="s">
        <v>2276</v>
      </c>
      <c r="L1879" s="4" t="s">
        <v>2276</v>
      </c>
      <c r="M1879" s="4" t="s">
        <v>2276</v>
      </c>
      <c r="N1879" s="4" t="s">
        <v>2276</v>
      </c>
      <c r="O1879" s="4" t="s">
        <v>2276</v>
      </c>
      <c r="P1879" s="4" t="s">
        <v>2276</v>
      </c>
      <c r="Q1879" s="4" t="s">
        <v>2276</v>
      </c>
      <c r="R1879" s="4" t="s">
        <v>2276</v>
      </c>
      <c r="S1879" s="4" t="s">
        <v>2276</v>
      </c>
      <c r="T1879" s="4" t="s">
        <v>2276</v>
      </c>
      <c r="U1879" s="4" t="s">
        <v>2276</v>
      </c>
      <c r="V1879" s="4" t="s">
        <v>2276</v>
      </c>
      <c r="W1879" s="4" t="s">
        <v>2276</v>
      </c>
      <c r="X1879" s="4" t="s">
        <v>2276</v>
      </c>
      <c r="Y1879" s="4" t="s">
        <v>2276</v>
      </c>
      <c r="Z1879" s="3" t="s">
        <v>86</v>
      </c>
      <c r="AA1879" s="3" t="s">
        <v>86</v>
      </c>
      <c r="AB1879" s="4" t="s">
        <v>2276</v>
      </c>
      <c r="AC1879" s="3"/>
      <c r="AD1879" s="3"/>
    </row>
    <row r="1880" spans="1:30" ht="29">
      <c r="A1880" s="11" t="s">
        <v>5443</v>
      </c>
      <c r="B1880" s="11" t="s">
        <v>5490</v>
      </c>
      <c r="C1880" s="3" t="s">
        <v>24</v>
      </c>
      <c r="D1880" s="3" t="s">
        <v>2231</v>
      </c>
      <c r="E1880" s="4" t="s">
        <v>396</v>
      </c>
      <c r="F1880" s="4" t="s">
        <v>28</v>
      </c>
      <c r="G1880" s="4" t="s">
        <v>2276</v>
      </c>
      <c r="H1880" s="3" t="s">
        <v>523</v>
      </c>
      <c r="I1880" s="3"/>
      <c r="J1880" s="4" t="s">
        <v>2276</v>
      </c>
      <c r="K1880" s="4" t="s">
        <v>2276</v>
      </c>
      <c r="L1880" s="4" t="s">
        <v>2276</v>
      </c>
      <c r="M1880" s="4" t="s">
        <v>2276</v>
      </c>
      <c r="N1880" s="4" t="s">
        <v>2276</v>
      </c>
      <c r="O1880" s="4" t="s">
        <v>2276</v>
      </c>
      <c r="P1880" s="4" t="s">
        <v>2276</v>
      </c>
      <c r="Q1880" s="4" t="s">
        <v>2276</v>
      </c>
      <c r="R1880" s="4" t="s">
        <v>2276</v>
      </c>
      <c r="S1880" s="4" t="s">
        <v>2276</v>
      </c>
      <c r="T1880" s="4" t="s">
        <v>2276</v>
      </c>
      <c r="U1880" s="4" t="s">
        <v>2276</v>
      </c>
      <c r="V1880" s="4" t="s">
        <v>2276</v>
      </c>
      <c r="W1880" s="4" t="s">
        <v>2276</v>
      </c>
      <c r="X1880" s="4" t="s">
        <v>2276</v>
      </c>
      <c r="Y1880" s="4" t="s">
        <v>2276</v>
      </c>
      <c r="Z1880" s="4" t="s">
        <v>2276</v>
      </c>
      <c r="AA1880" s="4" t="s">
        <v>2276</v>
      </c>
      <c r="AB1880" s="4" t="s">
        <v>2276</v>
      </c>
      <c r="AC1880" s="3"/>
      <c r="AD1880" s="3"/>
    </row>
    <row r="1881" spans="1:30" ht="29">
      <c r="A1881" s="11" t="s">
        <v>5443</v>
      </c>
      <c r="B1881" s="11" t="s">
        <v>5491</v>
      </c>
      <c r="C1881" s="3" t="s">
        <v>24</v>
      </c>
      <c r="D1881" s="3" t="s">
        <v>1131</v>
      </c>
      <c r="E1881" s="4" t="s">
        <v>396</v>
      </c>
      <c r="F1881" s="4" t="s">
        <v>28</v>
      </c>
      <c r="G1881" s="4" t="s">
        <v>2276</v>
      </c>
      <c r="H1881" s="3" t="s">
        <v>523</v>
      </c>
      <c r="I1881" s="3"/>
      <c r="J1881" s="4" t="s">
        <v>2276</v>
      </c>
      <c r="K1881" s="4" t="s">
        <v>2276</v>
      </c>
      <c r="L1881" s="4" t="s">
        <v>2276</v>
      </c>
      <c r="M1881" s="4" t="s">
        <v>2276</v>
      </c>
      <c r="N1881" s="4" t="s">
        <v>2276</v>
      </c>
      <c r="O1881" s="4" t="s">
        <v>2276</v>
      </c>
      <c r="P1881" s="4" t="s">
        <v>2276</v>
      </c>
      <c r="Q1881" s="4" t="s">
        <v>2276</v>
      </c>
      <c r="R1881" s="4" t="s">
        <v>2276</v>
      </c>
      <c r="S1881" s="4" t="s">
        <v>2276</v>
      </c>
      <c r="T1881" s="4" t="s">
        <v>2276</v>
      </c>
      <c r="U1881" s="4" t="s">
        <v>2276</v>
      </c>
      <c r="V1881" s="4" t="s">
        <v>2276</v>
      </c>
      <c r="W1881" s="4" t="s">
        <v>2276</v>
      </c>
      <c r="X1881" s="4" t="s">
        <v>2276</v>
      </c>
      <c r="Y1881" s="4" t="s">
        <v>2276</v>
      </c>
      <c r="Z1881" s="3" t="s">
        <v>189</v>
      </c>
      <c r="AA1881" s="3" t="s">
        <v>38</v>
      </c>
      <c r="AB1881" s="4" t="s">
        <v>2276</v>
      </c>
      <c r="AC1881" s="3"/>
      <c r="AD1881" s="3"/>
    </row>
    <row r="1882" spans="1:30" ht="33.5" customHeight="1">
      <c r="A1882" s="11" t="s">
        <v>5443</v>
      </c>
      <c r="B1882" s="11" t="s">
        <v>5492</v>
      </c>
      <c r="C1882" s="3" t="s">
        <v>24</v>
      </c>
      <c r="D1882" s="3" t="s">
        <v>2346</v>
      </c>
      <c r="E1882" s="3" t="s">
        <v>130</v>
      </c>
      <c r="F1882" s="4" t="s">
        <v>28</v>
      </c>
      <c r="G1882" s="4" t="s">
        <v>2276</v>
      </c>
      <c r="H1882" s="3" t="s">
        <v>523</v>
      </c>
      <c r="I1882" s="3"/>
      <c r="J1882" s="4" t="s">
        <v>2276</v>
      </c>
      <c r="K1882" s="4" t="s">
        <v>2276</v>
      </c>
      <c r="L1882" s="4" t="s">
        <v>2276</v>
      </c>
      <c r="M1882" s="4" t="s">
        <v>2276</v>
      </c>
      <c r="N1882" s="4" t="s">
        <v>2276</v>
      </c>
      <c r="O1882" s="4" t="s">
        <v>2276</v>
      </c>
      <c r="P1882" s="4" t="s">
        <v>2276</v>
      </c>
      <c r="Q1882" s="4" t="s">
        <v>2276</v>
      </c>
      <c r="R1882" s="4" t="s">
        <v>2276</v>
      </c>
      <c r="S1882" s="4" t="s">
        <v>2276</v>
      </c>
      <c r="T1882" s="4" t="s">
        <v>2276</v>
      </c>
      <c r="U1882" s="4" t="s">
        <v>2276</v>
      </c>
      <c r="V1882" s="4" t="s">
        <v>2276</v>
      </c>
      <c r="W1882" s="4" t="s">
        <v>2276</v>
      </c>
      <c r="X1882" s="4" t="s">
        <v>2276</v>
      </c>
      <c r="Y1882" s="4" t="s">
        <v>2276</v>
      </c>
      <c r="Z1882" s="4" t="s">
        <v>2276</v>
      </c>
      <c r="AA1882" s="4" t="s">
        <v>2276</v>
      </c>
      <c r="AB1882" s="4" t="s">
        <v>2276</v>
      </c>
      <c r="AC1882" s="3"/>
      <c r="AD1882" s="3"/>
    </row>
    <row r="1883" spans="1:30" ht="29">
      <c r="A1883" s="11" t="s">
        <v>5443</v>
      </c>
      <c r="B1883" s="11" t="s">
        <v>5493</v>
      </c>
      <c r="C1883" s="3" t="s">
        <v>24</v>
      </c>
      <c r="D1883" s="3" t="s">
        <v>1245</v>
      </c>
      <c r="E1883" s="3" t="s">
        <v>2652</v>
      </c>
      <c r="F1883" s="4" t="s">
        <v>2662</v>
      </c>
      <c r="G1883" s="4" t="s">
        <v>2276</v>
      </c>
      <c r="H1883" s="3" t="s">
        <v>523</v>
      </c>
      <c r="I1883" s="3"/>
      <c r="J1883" s="4" t="s">
        <v>2276</v>
      </c>
      <c r="K1883" s="4" t="s">
        <v>2276</v>
      </c>
      <c r="L1883" s="4" t="s">
        <v>2276</v>
      </c>
      <c r="M1883" s="4" t="s">
        <v>2276</v>
      </c>
      <c r="N1883" s="4" t="s">
        <v>2276</v>
      </c>
      <c r="O1883" s="4" t="s">
        <v>2276</v>
      </c>
      <c r="P1883" s="4" t="s">
        <v>2276</v>
      </c>
      <c r="Q1883" s="4" t="s">
        <v>2276</v>
      </c>
      <c r="R1883" s="4" t="s">
        <v>2276</v>
      </c>
      <c r="S1883" s="4" t="s">
        <v>2276</v>
      </c>
      <c r="T1883" s="4" t="s">
        <v>2276</v>
      </c>
      <c r="U1883" s="4" t="s">
        <v>2276</v>
      </c>
      <c r="V1883" s="4" t="s">
        <v>2276</v>
      </c>
      <c r="W1883" s="4" t="s">
        <v>2276</v>
      </c>
      <c r="X1883" s="4" t="s">
        <v>2276</v>
      </c>
      <c r="Y1883" s="4" t="s">
        <v>2276</v>
      </c>
      <c r="Z1883" s="4" t="s">
        <v>2276</v>
      </c>
      <c r="AA1883" s="4" t="s">
        <v>2276</v>
      </c>
      <c r="AB1883" s="4" t="s">
        <v>2276</v>
      </c>
      <c r="AC1883" s="3"/>
      <c r="AD1883" s="3"/>
    </row>
    <row r="1884" spans="1:30" ht="29">
      <c r="A1884" s="11" t="s">
        <v>5443</v>
      </c>
      <c r="B1884" s="11" t="s">
        <v>5494</v>
      </c>
      <c r="C1884" s="3" t="s">
        <v>24</v>
      </c>
      <c r="D1884" s="3" t="s">
        <v>2341</v>
      </c>
      <c r="E1884" s="3" t="s">
        <v>2652</v>
      </c>
      <c r="F1884" s="4" t="s">
        <v>2662</v>
      </c>
      <c r="G1884" s="4" t="s">
        <v>2276</v>
      </c>
      <c r="H1884" s="3" t="s">
        <v>523</v>
      </c>
      <c r="I1884" s="3"/>
      <c r="J1884" s="4" t="s">
        <v>2276</v>
      </c>
      <c r="K1884" s="4" t="s">
        <v>2276</v>
      </c>
      <c r="L1884" s="4" t="s">
        <v>2276</v>
      </c>
      <c r="M1884" s="4" t="s">
        <v>2276</v>
      </c>
      <c r="N1884" s="4" t="s">
        <v>2276</v>
      </c>
      <c r="O1884" s="4" t="s">
        <v>2276</v>
      </c>
      <c r="P1884" s="4" t="s">
        <v>2276</v>
      </c>
      <c r="Q1884" s="4" t="s">
        <v>2276</v>
      </c>
      <c r="R1884" s="4" t="s">
        <v>2276</v>
      </c>
      <c r="S1884" s="4" t="s">
        <v>2276</v>
      </c>
      <c r="T1884" s="4" t="s">
        <v>2276</v>
      </c>
      <c r="U1884" s="4" t="s">
        <v>2276</v>
      </c>
      <c r="V1884" s="4" t="s">
        <v>2276</v>
      </c>
      <c r="W1884" s="4" t="s">
        <v>2276</v>
      </c>
      <c r="X1884" s="4" t="s">
        <v>2276</v>
      </c>
      <c r="Y1884" s="4" t="s">
        <v>2276</v>
      </c>
      <c r="Z1884" s="4" t="s">
        <v>2276</v>
      </c>
      <c r="AA1884" s="4" t="s">
        <v>2276</v>
      </c>
      <c r="AB1884" s="4" t="s">
        <v>2276</v>
      </c>
      <c r="AC1884" s="3"/>
      <c r="AD1884" s="3"/>
    </row>
    <row r="1885" spans="1:30" ht="33.5" customHeight="1">
      <c r="A1885" s="11" t="s">
        <v>5443</v>
      </c>
      <c r="B1885" s="11" t="s">
        <v>5504</v>
      </c>
      <c r="C1885" s="3" t="s">
        <v>24</v>
      </c>
      <c r="D1885" s="3" t="s">
        <v>4162</v>
      </c>
      <c r="E1885" s="3" t="s">
        <v>2649</v>
      </c>
      <c r="F1885" s="4" t="s">
        <v>74</v>
      </c>
      <c r="G1885" s="4" t="s">
        <v>2276</v>
      </c>
      <c r="H1885" s="3" t="s">
        <v>523</v>
      </c>
      <c r="I1885" s="3"/>
      <c r="J1885" s="4" t="s">
        <v>2276</v>
      </c>
      <c r="K1885" s="4" t="s">
        <v>2276</v>
      </c>
      <c r="L1885" s="4" t="s">
        <v>2276</v>
      </c>
      <c r="M1885" s="4" t="s">
        <v>2276</v>
      </c>
      <c r="N1885" s="4" t="s">
        <v>2276</v>
      </c>
      <c r="O1885" s="4" t="s">
        <v>2276</v>
      </c>
      <c r="P1885" s="4" t="s">
        <v>2276</v>
      </c>
      <c r="Q1885" s="4" t="s">
        <v>2276</v>
      </c>
      <c r="R1885" s="4" t="s">
        <v>2276</v>
      </c>
      <c r="S1885" s="4" t="s">
        <v>2276</v>
      </c>
      <c r="T1885" s="4" t="s">
        <v>2276</v>
      </c>
      <c r="U1885" s="4" t="s">
        <v>2276</v>
      </c>
      <c r="V1885" s="4" t="s">
        <v>2276</v>
      </c>
      <c r="W1885" s="4" t="s">
        <v>2276</v>
      </c>
      <c r="X1885" s="4" t="s">
        <v>2276</v>
      </c>
      <c r="Y1885" s="4" t="s">
        <v>2276</v>
      </c>
      <c r="Z1885" s="4" t="s">
        <v>2276</v>
      </c>
      <c r="AA1885" s="4" t="s">
        <v>2276</v>
      </c>
      <c r="AB1885" s="4" t="s">
        <v>2276</v>
      </c>
      <c r="AC1885" s="3"/>
      <c r="AD1885" s="3"/>
    </row>
    <row r="1886" spans="1:30" ht="38.5" customHeight="1">
      <c r="A1886" s="11" t="s">
        <v>5444</v>
      </c>
      <c r="B1886" s="11" t="s">
        <v>5495</v>
      </c>
      <c r="C1886" s="3" t="s">
        <v>24</v>
      </c>
      <c r="D1886" s="3" t="s">
        <v>27</v>
      </c>
      <c r="E1886" s="3" t="s">
        <v>130</v>
      </c>
      <c r="F1886" s="4" t="s">
        <v>160</v>
      </c>
      <c r="G1886" s="4" t="s">
        <v>2276</v>
      </c>
      <c r="H1886" s="3" t="s">
        <v>523</v>
      </c>
      <c r="I1886" s="3"/>
      <c r="J1886" s="4" t="s">
        <v>2276</v>
      </c>
      <c r="K1886" s="4" t="s">
        <v>2276</v>
      </c>
      <c r="L1886" s="4" t="s">
        <v>2276</v>
      </c>
      <c r="M1886" s="4" t="s">
        <v>2276</v>
      </c>
      <c r="N1886" s="4" t="s">
        <v>2276</v>
      </c>
      <c r="O1886" s="4" t="s">
        <v>2276</v>
      </c>
      <c r="P1886" s="4" t="s">
        <v>2276</v>
      </c>
      <c r="Q1886" s="4" t="s">
        <v>2276</v>
      </c>
      <c r="R1886" s="4" t="s">
        <v>2276</v>
      </c>
      <c r="S1886" s="4" t="s">
        <v>2276</v>
      </c>
      <c r="T1886" s="4" t="s">
        <v>2276</v>
      </c>
      <c r="U1886" s="4" t="s">
        <v>2276</v>
      </c>
      <c r="V1886" s="4" t="s">
        <v>2276</v>
      </c>
      <c r="W1886" s="4" t="s">
        <v>2276</v>
      </c>
      <c r="X1886" s="4" t="s">
        <v>2276</v>
      </c>
      <c r="Y1886" s="4" t="s">
        <v>2276</v>
      </c>
      <c r="Z1886" s="3" t="s">
        <v>86</v>
      </c>
      <c r="AA1886" s="3" t="s">
        <v>86</v>
      </c>
      <c r="AB1886" s="4" t="s">
        <v>2276</v>
      </c>
      <c r="AC1886" s="3"/>
      <c r="AD1886" s="3"/>
    </row>
    <row r="1887" spans="1:30" ht="38.5" customHeight="1">
      <c r="A1887" s="11" t="s">
        <v>5444</v>
      </c>
      <c r="B1887" s="11" t="s">
        <v>5496</v>
      </c>
      <c r="C1887" s="3" t="s">
        <v>24</v>
      </c>
      <c r="D1887" s="3" t="s">
        <v>25</v>
      </c>
      <c r="E1887" s="3" t="s">
        <v>5005</v>
      </c>
      <c r="F1887" s="4" t="s">
        <v>55</v>
      </c>
      <c r="G1887" s="4" t="s">
        <v>2276</v>
      </c>
      <c r="H1887" s="3" t="s">
        <v>523</v>
      </c>
      <c r="I1887" s="3"/>
      <c r="J1887" s="4" t="s">
        <v>2276</v>
      </c>
      <c r="K1887" s="4" t="s">
        <v>2276</v>
      </c>
      <c r="L1887" s="4" t="s">
        <v>2276</v>
      </c>
      <c r="M1887" s="4" t="s">
        <v>2276</v>
      </c>
      <c r="N1887" s="4" t="s">
        <v>2276</v>
      </c>
      <c r="O1887" s="4" t="s">
        <v>2276</v>
      </c>
      <c r="P1887" s="4" t="s">
        <v>2276</v>
      </c>
      <c r="Q1887" s="4" t="s">
        <v>2276</v>
      </c>
      <c r="R1887" s="4" t="s">
        <v>2276</v>
      </c>
      <c r="S1887" s="4" t="s">
        <v>2276</v>
      </c>
      <c r="T1887" s="4" t="s">
        <v>2276</v>
      </c>
      <c r="U1887" s="4" t="s">
        <v>2276</v>
      </c>
      <c r="V1887" s="4" t="s">
        <v>2276</v>
      </c>
      <c r="W1887" s="4" t="s">
        <v>2276</v>
      </c>
      <c r="X1887" s="4" t="s">
        <v>2276</v>
      </c>
      <c r="Y1887" s="4" t="s">
        <v>2276</v>
      </c>
      <c r="Z1887" s="3" t="s">
        <v>2276</v>
      </c>
      <c r="AA1887" s="3" t="s">
        <v>2276</v>
      </c>
      <c r="AB1887" s="4" t="s">
        <v>2276</v>
      </c>
      <c r="AC1887" s="3"/>
      <c r="AD1887" s="3"/>
    </row>
    <row r="1888" spans="1:30" ht="38.5" customHeight="1">
      <c r="A1888" s="11" t="s">
        <v>5444</v>
      </c>
      <c r="B1888" s="11" t="s">
        <v>5497</v>
      </c>
      <c r="C1888" s="3" t="s">
        <v>24</v>
      </c>
      <c r="D1888" s="3" t="s">
        <v>3480</v>
      </c>
      <c r="E1888" s="3" t="s">
        <v>116</v>
      </c>
      <c r="F1888" s="4" t="s">
        <v>55</v>
      </c>
      <c r="G1888" s="4" t="s">
        <v>2276</v>
      </c>
      <c r="H1888" s="3" t="s">
        <v>523</v>
      </c>
      <c r="I1888" s="3"/>
      <c r="J1888" s="4" t="s">
        <v>2276</v>
      </c>
      <c r="K1888" s="4" t="s">
        <v>2276</v>
      </c>
      <c r="L1888" s="4" t="s">
        <v>2276</v>
      </c>
      <c r="M1888" s="4" t="s">
        <v>2276</v>
      </c>
      <c r="N1888" s="4" t="s">
        <v>2276</v>
      </c>
      <c r="O1888" s="4" t="s">
        <v>2276</v>
      </c>
      <c r="P1888" s="4" t="s">
        <v>2276</v>
      </c>
      <c r="Q1888" s="4" t="s">
        <v>2276</v>
      </c>
      <c r="R1888" s="4" t="s">
        <v>2276</v>
      </c>
      <c r="S1888" s="4" t="s">
        <v>2276</v>
      </c>
      <c r="T1888" s="4" t="s">
        <v>2276</v>
      </c>
      <c r="U1888" s="4" t="s">
        <v>2276</v>
      </c>
      <c r="V1888" s="4" t="s">
        <v>2276</v>
      </c>
      <c r="W1888" s="4" t="s">
        <v>2276</v>
      </c>
      <c r="X1888" s="4" t="s">
        <v>2276</v>
      </c>
      <c r="Y1888" s="4" t="s">
        <v>2276</v>
      </c>
      <c r="Z1888" s="3" t="s">
        <v>2276</v>
      </c>
      <c r="AA1888" s="3" t="s">
        <v>2276</v>
      </c>
      <c r="AB1888" s="4" t="s">
        <v>2276</v>
      </c>
      <c r="AC1888" s="3"/>
      <c r="AD1888" s="3"/>
    </row>
    <row r="1889" spans="1:30" ht="38.5" customHeight="1">
      <c r="A1889" s="11" t="s">
        <v>5444</v>
      </c>
      <c r="B1889" s="11" t="s">
        <v>5498</v>
      </c>
      <c r="C1889" s="3" t="s">
        <v>24</v>
      </c>
      <c r="D1889" s="3" t="s">
        <v>1245</v>
      </c>
      <c r="E1889" s="3" t="s">
        <v>116</v>
      </c>
      <c r="F1889" s="4" t="s">
        <v>55</v>
      </c>
      <c r="G1889" s="4" t="s">
        <v>2276</v>
      </c>
      <c r="H1889" s="3" t="s">
        <v>523</v>
      </c>
      <c r="I1889" s="3"/>
      <c r="J1889" s="4" t="s">
        <v>2276</v>
      </c>
      <c r="K1889" s="4" t="s">
        <v>2276</v>
      </c>
      <c r="L1889" s="4" t="s">
        <v>2276</v>
      </c>
      <c r="M1889" s="4" t="s">
        <v>2276</v>
      </c>
      <c r="N1889" s="4" t="s">
        <v>2276</v>
      </c>
      <c r="O1889" s="4" t="s">
        <v>2276</v>
      </c>
      <c r="P1889" s="4" t="s">
        <v>2276</v>
      </c>
      <c r="Q1889" s="4" t="s">
        <v>2276</v>
      </c>
      <c r="R1889" s="4" t="s">
        <v>2276</v>
      </c>
      <c r="S1889" s="4" t="s">
        <v>2276</v>
      </c>
      <c r="T1889" s="4" t="s">
        <v>2276</v>
      </c>
      <c r="U1889" s="4" t="s">
        <v>2276</v>
      </c>
      <c r="V1889" s="4" t="s">
        <v>2276</v>
      </c>
      <c r="W1889" s="4" t="s">
        <v>2276</v>
      </c>
      <c r="X1889" s="4" t="s">
        <v>2276</v>
      </c>
      <c r="Y1889" s="4" t="s">
        <v>2276</v>
      </c>
      <c r="Z1889" s="4" t="s">
        <v>2276</v>
      </c>
      <c r="AA1889" s="4" t="s">
        <v>2276</v>
      </c>
      <c r="AB1889" s="4" t="s">
        <v>2276</v>
      </c>
      <c r="AC1889" s="3"/>
      <c r="AD1889" s="3"/>
    </row>
    <row r="1890" spans="1:30" ht="38.5" customHeight="1">
      <c r="A1890" s="11" t="s">
        <v>5444</v>
      </c>
      <c r="B1890" s="11" t="s">
        <v>5499</v>
      </c>
      <c r="C1890" s="3" t="s">
        <v>24</v>
      </c>
      <c r="D1890" s="3" t="s">
        <v>2231</v>
      </c>
      <c r="E1890" s="4" t="s">
        <v>396</v>
      </c>
      <c r="F1890" s="4" t="s">
        <v>28</v>
      </c>
      <c r="G1890" s="4" t="s">
        <v>2276</v>
      </c>
      <c r="H1890" s="3" t="s">
        <v>523</v>
      </c>
      <c r="I1890" s="3"/>
      <c r="J1890" s="4" t="s">
        <v>2276</v>
      </c>
      <c r="K1890" s="4" t="s">
        <v>2276</v>
      </c>
      <c r="L1890" s="4" t="s">
        <v>2276</v>
      </c>
      <c r="M1890" s="4" t="s">
        <v>2276</v>
      </c>
      <c r="N1890" s="4" t="s">
        <v>2276</v>
      </c>
      <c r="O1890" s="4" t="s">
        <v>2276</v>
      </c>
      <c r="P1890" s="4" t="s">
        <v>2276</v>
      </c>
      <c r="Q1890" s="4" t="s">
        <v>2276</v>
      </c>
      <c r="R1890" s="4" t="s">
        <v>2276</v>
      </c>
      <c r="S1890" s="4" t="s">
        <v>2276</v>
      </c>
      <c r="T1890" s="4" t="s">
        <v>2276</v>
      </c>
      <c r="U1890" s="4" t="s">
        <v>2276</v>
      </c>
      <c r="V1890" s="4" t="s">
        <v>2276</v>
      </c>
      <c r="W1890" s="4" t="s">
        <v>2276</v>
      </c>
      <c r="X1890" s="4" t="s">
        <v>2276</v>
      </c>
      <c r="Y1890" s="4" t="s">
        <v>2276</v>
      </c>
      <c r="Z1890" s="3" t="s">
        <v>2276</v>
      </c>
      <c r="AA1890" s="3" t="s">
        <v>2276</v>
      </c>
      <c r="AB1890" s="4" t="s">
        <v>2276</v>
      </c>
      <c r="AC1890" s="3"/>
      <c r="AD1890" s="3"/>
    </row>
    <row r="1891" spans="1:30" ht="38.5" customHeight="1">
      <c r="A1891" s="11" t="s">
        <v>5444</v>
      </c>
      <c r="B1891" s="11" t="s">
        <v>5500</v>
      </c>
      <c r="C1891" s="3" t="s">
        <v>24</v>
      </c>
      <c r="D1891" s="3" t="s">
        <v>1131</v>
      </c>
      <c r="E1891" s="4" t="s">
        <v>396</v>
      </c>
      <c r="F1891" s="4" t="s">
        <v>28</v>
      </c>
      <c r="G1891" s="4" t="s">
        <v>2276</v>
      </c>
      <c r="H1891" s="3" t="s">
        <v>523</v>
      </c>
      <c r="I1891" s="3"/>
      <c r="J1891" s="4" t="s">
        <v>2276</v>
      </c>
      <c r="K1891" s="4" t="s">
        <v>2276</v>
      </c>
      <c r="L1891" s="4" t="s">
        <v>2276</v>
      </c>
      <c r="M1891" s="4" t="s">
        <v>2276</v>
      </c>
      <c r="N1891" s="4" t="s">
        <v>2276</v>
      </c>
      <c r="O1891" s="4" t="s">
        <v>2276</v>
      </c>
      <c r="P1891" s="4" t="s">
        <v>2276</v>
      </c>
      <c r="Q1891" s="4" t="s">
        <v>2276</v>
      </c>
      <c r="R1891" s="4" t="s">
        <v>2276</v>
      </c>
      <c r="S1891" s="4" t="s">
        <v>2276</v>
      </c>
      <c r="T1891" s="4" t="s">
        <v>2276</v>
      </c>
      <c r="U1891" s="4" t="s">
        <v>2276</v>
      </c>
      <c r="V1891" s="4" t="s">
        <v>2276</v>
      </c>
      <c r="W1891" s="4" t="s">
        <v>2276</v>
      </c>
      <c r="X1891" s="4" t="s">
        <v>2276</v>
      </c>
      <c r="Y1891" s="4" t="s">
        <v>2276</v>
      </c>
      <c r="Z1891" s="3" t="s">
        <v>86</v>
      </c>
      <c r="AA1891" s="3" t="s">
        <v>86</v>
      </c>
      <c r="AB1891" s="4" t="s">
        <v>2276</v>
      </c>
      <c r="AC1891" s="3"/>
      <c r="AD1891" s="3"/>
    </row>
    <row r="1892" spans="1:30" ht="38.5" customHeight="1">
      <c r="A1892" s="11" t="s">
        <v>5444</v>
      </c>
      <c r="B1892" s="11" t="s">
        <v>5501</v>
      </c>
      <c r="C1892" s="3" t="s">
        <v>24</v>
      </c>
      <c r="D1892" s="3" t="s">
        <v>1245</v>
      </c>
      <c r="E1892" s="3" t="s">
        <v>2652</v>
      </c>
      <c r="F1892" s="4" t="s">
        <v>2662</v>
      </c>
      <c r="G1892" s="4" t="s">
        <v>2276</v>
      </c>
      <c r="H1892" s="3" t="s">
        <v>523</v>
      </c>
      <c r="I1892" s="3"/>
      <c r="J1892" s="4" t="s">
        <v>2276</v>
      </c>
      <c r="K1892" s="4" t="s">
        <v>2276</v>
      </c>
      <c r="L1892" s="4" t="s">
        <v>2276</v>
      </c>
      <c r="M1892" s="4" t="s">
        <v>2276</v>
      </c>
      <c r="N1892" s="4" t="s">
        <v>2276</v>
      </c>
      <c r="O1892" s="4" t="s">
        <v>2276</v>
      </c>
      <c r="P1892" s="4" t="s">
        <v>2276</v>
      </c>
      <c r="Q1892" s="4" t="s">
        <v>2276</v>
      </c>
      <c r="R1892" s="4" t="s">
        <v>2276</v>
      </c>
      <c r="S1892" s="4" t="s">
        <v>2276</v>
      </c>
      <c r="T1892" s="4" t="s">
        <v>2276</v>
      </c>
      <c r="U1892" s="4" t="s">
        <v>2276</v>
      </c>
      <c r="V1892" s="4" t="s">
        <v>2276</v>
      </c>
      <c r="W1892" s="4" t="s">
        <v>2276</v>
      </c>
      <c r="X1892" s="4" t="s">
        <v>2276</v>
      </c>
      <c r="Y1892" s="4" t="s">
        <v>2276</v>
      </c>
      <c r="Z1892" s="4" t="s">
        <v>2276</v>
      </c>
      <c r="AA1892" s="4" t="s">
        <v>2276</v>
      </c>
      <c r="AB1892" s="4" t="s">
        <v>2276</v>
      </c>
      <c r="AC1892" s="3"/>
      <c r="AD1892" s="3"/>
    </row>
    <row r="1893" spans="1:30" ht="38.5" customHeight="1">
      <c r="A1893" s="11" t="s">
        <v>5444</v>
      </c>
      <c r="B1893" s="11" t="s">
        <v>5502</v>
      </c>
      <c r="C1893" s="3" t="s">
        <v>24</v>
      </c>
      <c r="D1893" s="3" t="s">
        <v>2341</v>
      </c>
      <c r="E1893" s="3" t="s">
        <v>2652</v>
      </c>
      <c r="F1893" s="4" t="s">
        <v>2662</v>
      </c>
      <c r="G1893" s="4" t="s">
        <v>2276</v>
      </c>
      <c r="H1893" s="3" t="s">
        <v>523</v>
      </c>
      <c r="I1893" s="3"/>
      <c r="J1893" s="4" t="s">
        <v>2276</v>
      </c>
      <c r="K1893" s="4" t="s">
        <v>2276</v>
      </c>
      <c r="L1893" s="4" t="s">
        <v>2276</v>
      </c>
      <c r="M1893" s="4" t="s">
        <v>2276</v>
      </c>
      <c r="N1893" s="4" t="s">
        <v>2276</v>
      </c>
      <c r="O1893" s="4" t="s">
        <v>2276</v>
      </c>
      <c r="P1893" s="4" t="s">
        <v>2276</v>
      </c>
      <c r="Q1893" s="4" t="s">
        <v>2276</v>
      </c>
      <c r="R1893" s="4" t="s">
        <v>2276</v>
      </c>
      <c r="S1893" s="4" t="s">
        <v>2276</v>
      </c>
      <c r="T1893" s="4" t="s">
        <v>2276</v>
      </c>
      <c r="U1893" s="4" t="s">
        <v>2276</v>
      </c>
      <c r="V1893" s="4" t="s">
        <v>2276</v>
      </c>
      <c r="W1893" s="4" t="s">
        <v>2276</v>
      </c>
      <c r="X1893" s="4" t="s">
        <v>2276</v>
      </c>
      <c r="Y1893" s="4" t="s">
        <v>2276</v>
      </c>
      <c r="Z1893" s="4" t="s">
        <v>2276</v>
      </c>
      <c r="AA1893" s="4" t="s">
        <v>2276</v>
      </c>
      <c r="AB1893" s="4" t="s">
        <v>2276</v>
      </c>
      <c r="AC1893" s="3"/>
      <c r="AD1893" s="3"/>
    </row>
    <row r="1894" spans="1:30" ht="38.5" customHeight="1">
      <c r="A1894" s="11" t="s">
        <v>5444</v>
      </c>
      <c r="B1894" s="11" t="s">
        <v>5505</v>
      </c>
      <c r="C1894" s="3" t="s">
        <v>24</v>
      </c>
      <c r="D1894" s="3" t="s">
        <v>4162</v>
      </c>
      <c r="E1894" s="3" t="s">
        <v>2649</v>
      </c>
      <c r="F1894" s="4" t="s">
        <v>74</v>
      </c>
      <c r="G1894" s="4" t="s">
        <v>2276</v>
      </c>
      <c r="H1894" s="3" t="s">
        <v>523</v>
      </c>
      <c r="I1894" s="3"/>
      <c r="J1894" s="4" t="s">
        <v>2276</v>
      </c>
      <c r="K1894" s="4" t="s">
        <v>2276</v>
      </c>
      <c r="L1894" s="4" t="s">
        <v>2276</v>
      </c>
      <c r="M1894" s="4" t="s">
        <v>2276</v>
      </c>
      <c r="N1894" s="4" t="s">
        <v>2276</v>
      </c>
      <c r="O1894" s="4" t="s">
        <v>2276</v>
      </c>
      <c r="P1894" s="4" t="s">
        <v>2276</v>
      </c>
      <c r="Q1894" s="4" t="s">
        <v>2276</v>
      </c>
      <c r="R1894" s="4" t="s">
        <v>2276</v>
      </c>
      <c r="S1894" s="4" t="s">
        <v>2276</v>
      </c>
      <c r="T1894" s="4" t="s">
        <v>2276</v>
      </c>
      <c r="U1894" s="4" t="s">
        <v>2276</v>
      </c>
      <c r="V1894" s="4" t="s">
        <v>2276</v>
      </c>
      <c r="W1894" s="4" t="s">
        <v>2276</v>
      </c>
      <c r="X1894" s="4" t="s">
        <v>2276</v>
      </c>
      <c r="Y1894" s="4" t="s">
        <v>2276</v>
      </c>
      <c r="Z1894" s="4" t="s">
        <v>2276</v>
      </c>
      <c r="AA1894" s="4" t="s">
        <v>2276</v>
      </c>
      <c r="AB1894" s="4" t="s">
        <v>2276</v>
      </c>
      <c r="AC1894" s="3"/>
      <c r="AD1894" s="3"/>
    </row>
    <row r="1895" spans="1:30" ht="38" customHeight="1">
      <c r="A1895" s="11" t="s">
        <v>5446</v>
      </c>
      <c r="B1895" s="11" t="s">
        <v>5507</v>
      </c>
      <c r="C1895" s="3" t="s">
        <v>24</v>
      </c>
      <c r="D1895" s="3" t="s">
        <v>27</v>
      </c>
      <c r="E1895" s="3" t="s">
        <v>130</v>
      </c>
      <c r="F1895" s="4" t="s">
        <v>160</v>
      </c>
      <c r="G1895" s="4" t="s">
        <v>2276</v>
      </c>
      <c r="H1895" s="3" t="s">
        <v>523</v>
      </c>
      <c r="I1895" s="3"/>
      <c r="J1895" s="4" t="s">
        <v>2276</v>
      </c>
      <c r="K1895" s="4" t="s">
        <v>2276</v>
      </c>
      <c r="L1895" s="4" t="s">
        <v>2276</v>
      </c>
      <c r="M1895" s="4" t="s">
        <v>2276</v>
      </c>
      <c r="N1895" s="4" t="s">
        <v>2276</v>
      </c>
      <c r="O1895" s="4" t="s">
        <v>2276</v>
      </c>
      <c r="P1895" s="4" t="s">
        <v>2276</v>
      </c>
      <c r="Q1895" s="4" t="s">
        <v>2276</v>
      </c>
      <c r="R1895" s="4" t="s">
        <v>2276</v>
      </c>
      <c r="S1895" s="4" t="s">
        <v>2276</v>
      </c>
      <c r="T1895" s="4" t="s">
        <v>2276</v>
      </c>
      <c r="U1895" s="4" t="s">
        <v>2276</v>
      </c>
      <c r="V1895" s="4" t="s">
        <v>2276</v>
      </c>
      <c r="W1895" s="4" t="s">
        <v>2276</v>
      </c>
      <c r="X1895" s="4" t="s">
        <v>2276</v>
      </c>
      <c r="Y1895" s="21">
        <v>6</v>
      </c>
      <c r="Z1895" s="3" t="s">
        <v>86</v>
      </c>
      <c r="AA1895" s="3" t="s">
        <v>86</v>
      </c>
      <c r="AB1895" s="4" t="s">
        <v>2276</v>
      </c>
      <c r="AC1895" s="3"/>
      <c r="AD1895" s="3"/>
    </row>
    <row r="1896" spans="1:30" ht="29">
      <c r="A1896" s="11" t="s">
        <v>5446</v>
      </c>
      <c r="B1896" s="11" t="s">
        <v>5508</v>
      </c>
      <c r="C1896" s="3" t="s">
        <v>24</v>
      </c>
      <c r="D1896" s="3" t="s">
        <v>25</v>
      </c>
      <c r="E1896" s="3" t="s">
        <v>5005</v>
      </c>
      <c r="F1896" s="4" t="s">
        <v>2662</v>
      </c>
      <c r="G1896" s="4" t="s">
        <v>2276</v>
      </c>
      <c r="H1896" s="3" t="s">
        <v>523</v>
      </c>
      <c r="I1896" s="3"/>
      <c r="J1896" s="4" t="s">
        <v>2276</v>
      </c>
      <c r="K1896" s="4" t="s">
        <v>2276</v>
      </c>
      <c r="L1896" s="4" t="s">
        <v>2276</v>
      </c>
      <c r="M1896" s="4" t="s">
        <v>2276</v>
      </c>
      <c r="N1896" s="4" t="s">
        <v>2276</v>
      </c>
      <c r="O1896" s="4" t="s">
        <v>2276</v>
      </c>
      <c r="P1896" s="4" t="s">
        <v>2276</v>
      </c>
      <c r="Q1896" s="4" t="s">
        <v>2276</v>
      </c>
      <c r="R1896" s="4" t="s">
        <v>2276</v>
      </c>
      <c r="S1896" s="4" t="s">
        <v>2276</v>
      </c>
      <c r="T1896" s="4" t="s">
        <v>2276</v>
      </c>
      <c r="U1896" s="4" t="s">
        <v>2276</v>
      </c>
      <c r="V1896" s="4" t="s">
        <v>2276</v>
      </c>
      <c r="W1896" s="4" t="s">
        <v>2276</v>
      </c>
      <c r="X1896" s="4" t="s">
        <v>2276</v>
      </c>
      <c r="Y1896" s="4" t="s">
        <v>2276</v>
      </c>
      <c r="Z1896" s="4" t="s">
        <v>2276</v>
      </c>
      <c r="AA1896" s="4" t="s">
        <v>2276</v>
      </c>
      <c r="AB1896" s="4" t="s">
        <v>2276</v>
      </c>
      <c r="AC1896" s="5"/>
      <c r="AD1896" s="5"/>
    </row>
    <row r="1897" spans="1:30" ht="29">
      <c r="A1897" s="11" t="s">
        <v>5446</v>
      </c>
      <c r="B1897" s="11" t="s">
        <v>5509</v>
      </c>
      <c r="C1897" s="3" t="s">
        <v>24</v>
      </c>
      <c r="D1897" s="3" t="s">
        <v>3480</v>
      </c>
      <c r="E1897" s="3" t="s">
        <v>116</v>
      </c>
      <c r="F1897" s="4" t="s">
        <v>2662</v>
      </c>
      <c r="G1897" s="4" t="s">
        <v>2276</v>
      </c>
      <c r="H1897" s="3" t="s">
        <v>523</v>
      </c>
      <c r="I1897" s="3"/>
      <c r="J1897" s="4" t="s">
        <v>2276</v>
      </c>
      <c r="K1897" s="4" t="s">
        <v>2276</v>
      </c>
      <c r="L1897" s="4" t="s">
        <v>2276</v>
      </c>
      <c r="M1897" s="4" t="s">
        <v>2276</v>
      </c>
      <c r="N1897" s="4" t="s">
        <v>2276</v>
      </c>
      <c r="O1897" s="4" t="s">
        <v>2276</v>
      </c>
      <c r="P1897" s="4" t="s">
        <v>2276</v>
      </c>
      <c r="Q1897" s="4" t="s">
        <v>2276</v>
      </c>
      <c r="R1897" s="4" t="s">
        <v>2276</v>
      </c>
      <c r="S1897" s="4" t="s">
        <v>2276</v>
      </c>
      <c r="T1897" s="4" t="s">
        <v>2276</v>
      </c>
      <c r="U1897" s="4" t="s">
        <v>2276</v>
      </c>
      <c r="V1897" s="4" t="s">
        <v>2276</v>
      </c>
      <c r="W1897" s="4" t="s">
        <v>2276</v>
      </c>
      <c r="X1897" s="4" t="s">
        <v>2276</v>
      </c>
      <c r="Y1897" s="4" t="s">
        <v>2276</v>
      </c>
      <c r="Z1897" s="3" t="s">
        <v>188</v>
      </c>
      <c r="AA1897" s="3" t="s">
        <v>189</v>
      </c>
      <c r="AB1897" s="4" t="s">
        <v>2276</v>
      </c>
      <c r="AC1897" s="3"/>
      <c r="AD1897" s="3"/>
    </row>
    <row r="1898" spans="1:30" ht="29">
      <c r="A1898" s="11" t="s">
        <v>5446</v>
      </c>
      <c r="B1898" s="11" t="s">
        <v>5510</v>
      </c>
      <c r="C1898" s="3" t="s">
        <v>24</v>
      </c>
      <c r="D1898" s="3" t="s">
        <v>1245</v>
      </c>
      <c r="E1898" s="3" t="s">
        <v>116</v>
      </c>
      <c r="F1898" s="4" t="s">
        <v>2662</v>
      </c>
      <c r="G1898" s="4" t="s">
        <v>2276</v>
      </c>
      <c r="H1898" s="3" t="s">
        <v>523</v>
      </c>
      <c r="I1898" s="3"/>
      <c r="J1898" s="4" t="s">
        <v>2276</v>
      </c>
      <c r="K1898" s="4" t="s">
        <v>2276</v>
      </c>
      <c r="L1898" s="4" t="s">
        <v>2276</v>
      </c>
      <c r="M1898" s="4" t="s">
        <v>2276</v>
      </c>
      <c r="N1898" s="4" t="s">
        <v>2276</v>
      </c>
      <c r="O1898" s="4" t="s">
        <v>2276</v>
      </c>
      <c r="P1898" s="4" t="s">
        <v>2276</v>
      </c>
      <c r="Q1898" s="4" t="s">
        <v>2276</v>
      </c>
      <c r="R1898" s="4" t="s">
        <v>2276</v>
      </c>
      <c r="S1898" s="4" t="s">
        <v>2276</v>
      </c>
      <c r="T1898" s="4" t="s">
        <v>2276</v>
      </c>
      <c r="U1898" s="4" t="s">
        <v>2276</v>
      </c>
      <c r="V1898" s="4" t="s">
        <v>2276</v>
      </c>
      <c r="W1898" s="4" t="s">
        <v>2276</v>
      </c>
      <c r="X1898" s="4" t="s">
        <v>2276</v>
      </c>
      <c r="Y1898" s="4" t="s">
        <v>2276</v>
      </c>
      <c r="Z1898" s="3" t="s">
        <v>189</v>
      </c>
      <c r="AA1898" s="3" t="s">
        <v>86</v>
      </c>
      <c r="AB1898" s="4" t="s">
        <v>2276</v>
      </c>
      <c r="AC1898" s="3"/>
      <c r="AD1898" s="3"/>
    </row>
    <row r="1899" spans="1:30" ht="30" customHeight="1">
      <c r="A1899" s="11" t="s">
        <v>5446</v>
      </c>
      <c r="B1899" s="11" t="s">
        <v>5511</v>
      </c>
      <c r="C1899" s="3" t="s">
        <v>2458</v>
      </c>
      <c r="D1899" s="3" t="s">
        <v>27</v>
      </c>
      <c r="E1899" s="3" t="s">
        <v>130</v>
      </c>
      <c r="F1899" s="4" t="s">
        <v>160</v>
      </c>
      <c r="G1899" s="4" t="s">
        <v>2276</v>
      </c>
      <c r="H1899" s="3" t="s">
        <v>523</v>
      </c>
      <c r="I1899" s="3"/>
      <c r="J1899" s="4" t="s">
        <v>2276</v>
      </c>
      <c r="K1899" s="4" t="s">
        <v>2276</v>
      </c>
      <c r="L1899" s="4" t="s">
        <v>2276</v>
      </c>
      <c r="M1899" s="4" t="s">
        <v>2276</v>
      </c>
      <c r="N1899" s="4" t="s">
        <v>2276</v>
      </c>
      <c r="O1899" s="4" t="s">
        <v>2276</v>
      </c>
      <c r="P1899" s="4" t="s">
        <v>2276</v>
      </c>
      <c r="Q1899" s="4" t="s">
        <v>2276</v>
      </c>
      <c r="R1899" s="4" t="s">
        <v>2276</v>
      </c>
      <c r="S1899" s="4" t="s">
        <v>2276</v>
      </c>
      <c r="T1899" s="4" t="s">
        <v>2276</v>
      </c>
      <c r="U1899" s="4" t="s">
        <v>2276</v>
      </c>
      <c r="V1899" s="4" t="s">
        <v>2276</v>
      </c>
      <c r="W1899" s="4" t="s">
        <v>2276</v>
      </c>
      <c r="X1899" s="4" t="s">
        <v>2276</v>
      </c>
      <c r="Y1899" s="4" t="s">
        <v>2276</v>
      </c>
      <c r="Z1899" s="3" t="s">
        <v>86</v>
      </c>
      <c r="AA1899" s="3" t="s">
        <v>86</v>
      </c>
      <c r="AB1899" s="4" t="s">
        <v>2276</v>
      </c>
      <c r="AC1899" s="3"/>
      <c r="AD1899" s="3"/>
    </row>
    <row r="1900" spans="1:30" ht="30" customHeight="1">
      <c r="A1900" s="11" t="s">
        <v>5446</v>
      </c>
      <c r="B1900" s="11" t="s">
        <v>5512</v>
      </c>
      <c r="C1900" s="3" t="s">
        <v>24</v>
      </c>
      <c r="D1900" s="3" t="s">
        <v>2231</v>
      </c>
      <c r="E1900" s="4" t="s">
        <v>396</v>
      </c>
      <c r="F1900" s="4" t="s">
        <v>28</v>
      </c>
      <c r="G1900" s="4" t="s">
        <v>2276</v>
      </c>
      <c r="H1900" s="3" t="s">
        <v>523</v>
      </c>
      <c r="I1900" s="3"/>
      <c r="J1900" s="4" t="s">
        <v>2276</v>
      </c>
      <c r="K1900" s="4" t="s">
        <v>2276</v>
      </c>
      <c r="L1900" s="4" t="s">
        <v>2276</v>
      </c>
      <c r="M1900" s="4" t="s">
        <v>2276</v>
      </c>
      <c r="N1900" s="4" t="s">
        <v>2276</v>
      </c>
      <c r="O1900" s="4" t="s">
        <v>2276</v>
      </c>
      <c r="P1900" s="4" t="s">
        <v>2276</v>
      </c>
      <c r="Q1900" s="4" t="s">
        <v>2276</v>
      </c>
      <c r="R1900" s="4" t="s">
        <v>2276</v>
      </c>
      <c r="S1900" s="4" t="s">
        <v>2276</v>
      </c>
      <c r="T1900" s="4" t="s">
        <v>2276</v>
      </c>
      <c r="U1900" s="4" t="s">
        <v>2276</v>
      </c>
      <c r="V1900" s="4" t="s">
        <v>2276</v>
      </c>
      <c r="W1900" s="4" t="s">
        <v>2276</v>
      </c>
      <c r="X1900" s="4" t="s">
        <v>2276</v>
      </c>
      <c r="Y1900" s="4" t="s">
        <v>2276</v>
      </c>
      <c r="Z1900" s="4" t="s">
        <v>2276</v>
      </c>
      <c r="AA1900" s="4" t="s">
        <v>2276</v>
      </c>
      <c r="AB1900" s="4" t="s">
        <v>2276</v>
      </c>
      <c r="AC1900" s="3"/>
      <c r="AD1900" s="3"/>
    </row>
    <row r="1901" spans="1:30" ht="29">
      <c r="A1901" s="11" t="s">
        <v>5446</v>
      </c>
      <c r="B1901" s="11" t="s">
        <v>5513</v>
      </c>
      <c r="C1901" s="3" t="s">
        <v>24</v>
      </c>
      <c r="D1901" s="3" t="s">
        <v>1131</v>
      </c>
      <c r="E1901" s="4" t="s">
        <v>396</v>
      </c>
      <c r="F1901" s="4" t="s">
        <v>28</v>
      </c>
      <c r="G1901" s="4" t="s">
        <v>2276</v>
      </c>
      <c r="H1901" s="3" t="s">
        <v>523</v>
      </c>
      <c r="I1901" s="3"/>
      <c r="J1901" s="4" t="s">
        <v>2276</v>
      </c>
      <c r="K1901" s="4" t="s">
        <v>2276</v>
      </c>
      <c r="L1901" s="4" t="s">
        <v>2276</v>
      </c>
      <c r="M1901" s="4" t="s">
        <v>2276</v>
      </c>
      <c r="N1901" s="4" t="s">
        <v>2276</v>
      </c>
      <c r="O1901" s="4" t="s">
        <v>2276</v>
      </c>
      <c r="P1901" s="4" t="s">
        <v>2276</v>
      </c>
      <c r="Q1901" s="4" t="s">
        <v>2276</v>
      </c>
      <c r="R1901" s="4" t="s">
        <v>2276</v>
      </c>
      <c r="S1901" s="4" t="s">
        <v>2276</v>
      </c>
      <c r="T1901" s="4" t="s">
        <v>2276</v>
      </c>
      <c r="U1901" s="4" t="s">
        <v>2276</v>
      </c>
      <c r="V1901" s="4" t="s">
        <v>2276</v>
      </c>
      <c r="W1901" s="4" t="s">
        <v>2276</v>
      </c>
      <c r="X1901" s="4" t="s">
        <v>2276</v>
      </c>
      <c r="Y1901" s="4" t="s">
        <v>2276</v>
      </c>
      <c r="Z1901" s="4" t="s">
        <v>2276</v>
      </c>
      <c r="AA1901" s="4" t="s">
        <v>2276</v>
      </c>
      <c r="AB1901" s="4" t="s">
        <v>2276</v>
      </c>
      <c r="AC1901" s="3"/>
      <c r="AD1901" s="3"/>
    </row>
    <row r="1902" spans="1:30" ht="29">
      <c r="A1902" s="11" t="s">
        <v>5446</v>
      </c>
      <c r="B1902" s="11" t="s">
        <v>5514</v>
      </c>
      <c r="C1902" s="3" t="s">
        <v>24</v>
      </c>
      <c r="D1902" s="3" t="s">
        <v>1245</v>
      </c>
      <c r="E1902" s="3" t="s">
        <v>2652</v>
      </c>
      <c r="F1902" s="4" t="s">
        <v>2662</v>
      </c>
      <c r="G1902" s="4" t="s">
        <v>2276</v>
      </c>
      <c r="H1902" s="3" t="s">
        <v>523</v>
      </c>
      <c r="I1902" s="3"/>
      <c r="J1902" s="4" t="s">
        <v>2276</v>
      </c>
      <c r="K1902" s="4" t="s">
        <v>2276</v>
      </c>
      <c r="L1902" s="4" t="s">
        <v>2276</v>
      </c>
      <c r="M1902" s="4" t="s">
        <v>2276</v>
      </c>
      <c r="N1902" s="4" t="s">
        <v>2276</v>
      </c>
      <c r="O1902" s="4" t="s">
        <v>2276</v>
      </c>
      <c r="P1902" s="4" t="s">
        <v>2276</v>
      </c>
      <c r="Q1902" s="4" t="s">
        <v>2276</v>
      </c>
      <c r="R1902" s="4" t="s">
        <v>2276</v>
      </c>
      <c r="S1902" s="4" t="s">
        <v>2276</v>
      </c>
      <c r="T1902" s="4" t="s">
        <v>2276</v>
      </c>
      <c r="U1902" s="4" t="s">
        <v>2276</v>
      </c>
      <c r="V1902" s="4" t="s">
        <v>2276</v>
      </c>
      <c r="W1902" s="4" t="s">
        <v>2276</v>
      </c>
      <c r="X1902" s="4" t="s">
        <v>2276</v>
      </c>
      <c r="Y1902" s="4" t="s">
        <v>2276</v>
      </c>
      <c r="Z1902" s="4" t="s">
        <v>2276</v>
      </c>
      <c r="AA1902" s="4" t="s">
        <v>2276</v>
      </c>
      <c r="AB1902" s="4" t="s">
        <v>2276</v>
      </c>
      <c r="AC1902" s="3"/>
      <c r="AD1902" s="3"/>
    </row>
    <row r="1903" spans="1:30" ht="29">
      <c r="A1903" s="11" t="s">
        <v>5446</v>
      </c>
      <c r="B1903" s="11" t="s">
        <v>5515</v>
      </c>
      <c r="C1903" s="3" t="s">
        <v>24</v>
      </c>
      <c r="D1903" s="3" t="s">
        <v>2341</v>
      </c>
      <c r="E1903" s="3" t="s">
        <v>2652</v>
      </c>
      <c r="F1903" s="4" t="s">
        <v>2662</v>
      </c>
      <c r="G1903" s="4" t="s">
        <v>2276</v>
      </c>
      <c r="H1903" s="3" t="s">
        <v>523</v>
      </c>
      <c r="I1903" s="3"/>
      <c r="J1903" s="4" t="s">
        <v>2276</v>
      </c>
      <c r="K1903" s="4" t="s">
        <v>2276</v>
      </c>
      <c r="L1903" s="4" t="s">
        <v>2276</v>
      </c>
      <c r="M1903" s="4" t="s">
        <v>2276</v>
      </c>
      <c r="N1903" s="4" t="s">
        <v>2276</v>
      </c>
      <c r="O1903" s="4" t="s">
        <v>2276</v>
      </c>
      <c r="P1903" s="4" t="s">
        <v>2276</v>
      </c>
      <c r="Q1903" s="4" t="s">
        <v>2276</v>
      </c>
      <c r="R1903" s="4" t="s">
        <v>2276</v>
      </c>
      <c r="S1903" s="4" t="s">
        <v>2276</v>
      </c>
      <c r="T1903" s="4" t="s">
        <v>2276</v>
      </c>
      <c r="U1903" s="4" t="s">
        <v>2276</v>
      </c>
      <c r="V1903" s="4" t="s">
        <v>2276</v>
      </c>
      <c r="W1903" s="4" t="s">
        <v>2276</v>
      </c>
      <c r="X1903" s="4" t="s">
        <v>2276</v>
      </c>
      <c r="Y1903" s="4" t="s">
        <v>2276</v>
      </c>
      <c r="Z1903" s="4" t="s">
        <v>2276</v>
      </c>
      <c r="AA1903" s="4" t="s">
        <v>2276</v>
      </c>
      <c r="AB1903" s="4" t="s">
        <v>2276</v>
      </c>
      <c r="AC1903" s="3"/>
      <c r="AD1903" s="3"/>
    </row>
    <row r="1904" spans="1:30" ht="42" customHeight="1">
      <c r="A1904" s="11" t="s">
        <v>5446</v>
      </c>
      <c r="B1904" s="11" t="s">
        <v>5516</v>
      </c>
      <c r="C1904" s="3" t="s">
        <v>24</v>
      </c>
      <c r="D1904" s="3" t="s">
        <v>4162</v>
      </c>
      <c r="E1904" s="3" t="s">
        <v>2649</v>
      </c>
      <c r="F1904" s="4" t="s">
        <v>74</v>
      </c>
      <c r="G1904" s="4" t="s">
        <v>2276</v>
      </c>
      <c r="H1904" s="3" t="s">
        <v>523</v>
      </c>
      <c r="I1904" s="3"/>
      <c r="J1904" s="4" t="s">
        <v>2276</v>
      </c>
      <c r="K1904" s="4" t="s">
        <v>2276</v>
      </c>
      <c r="L1904" s="4" t="s">
        <v>2276</v>
      </c>
      <c r="M1904" s="4" t="s">
        <v>2276</v>
      </c>
      <c r="N1904" s="4" t="s">
        <v>2276</v>
      </c>
      <c r="O1904" s="4" t="s">
        <v>2276</v>
      </c>
      <c r="P1904" s="4" t="s">
        <v>2276</v>
      </c>
      <c r="Q1904" s="4" t="s">
        <v>2276</v>
      </c>
      <c r="R1904" s="4" t="s">
        <v>2276</v>
      </c>
      <c r="S1904" s="4" t="s">
        <v>2276</v>
      </c>
      <c r="T1904" s="4" t="s">
        <v>2276</v>
      </c>
      <c r="U1904" s="4" t="s">
        <v>2276</v>
      </c>
      <c r="V1904" s="4" t="s">
        <v>2276</v>
      </c>
      <c r="W1904" s="4" t="s">
        <v>2276</v>
      </c>
      <c r="X1904" s="4" t="s">
        <v>2276</v>
      </c>
      <c r="Y1904" s="4" t="s">
        <v>2276</v>
      </c>
      <c r="Z1904" s="4" t="s">
        <v>2276</v>
      </c>
      <c r="AA1904" s="4" t="s">
        <v>2276</v>
      </c>
      <c r="AB1904" s="4" t="s">
        <v>2276</v>
      </c>
      <c r="AC1904" s="3"/>
      <c r="AD1904" s="3"/>
    </row>
    <row r="1905" spans="1:30" ht="50" customHeight="1">
      <c r="A1905" s="11" t="s">
        <v>5445</v>
      </c>
      <c r="B1905" s="11" t="s">
        <v>5517</v>
      </c>
      <c r="C1905" s="3" t="s">
        <v>24</v>
      </c>
      <c r="D1905" s="3" t="s">
        <v>27</v>
      </c>
      <c r="E1905" s="3" t="s">
        <v>130</v>
      </c>
      <c r="F1905" s="4" t="s">
        <v>160</v>
      </c>
      <c r="G1905" s="4" t="s">
        <v>2276</v>
      </c>
      <c r="H1905" s="3" t="s">
        <v>523</v>
      </c>
      <c r="I1905" s="3"/>
      <c r="J1905" s="4" t="s">
        <v>2276</v>
      </c>
      <c r="K1905" s="4" t="s">
        <v>2276</v>
      </c>
      <c r="L1905" s="4" t="s">
        <v>2276</v>
      </c>
      <c r="M1905" s="4" t="s">
        <v>2276</v>
      </c>
      <c r="N1905" s="4" t="s">
        <v>2276</v>
      </c>
      <c r="O1905" s="4" t="s">
        <v>2276</v>
      </c>
      <c r="P1905" s="4" t="s">
        <v>2276</v>
      </c>
      <c r="Q1905" s="4" t="s">
        <v>2276</v>
      </c>
      <c r="R1905" s="4" t="s">
        <v>2276</v>
      </c>
      <c r="S1905" s="4" t="s">
        <v>2276</v>
      </c>
      <c r="T1905" s="4" t="s">
        <v>2276</v>
      </c>
      <c r="U1905" s="4" t="s">
        <v>2276</v>
      </c>
      <c r="V1905" s="4" t="s">
        <v>2276</v>
      </c>
      <c r="W1905" s="4" t="s">
        <v>2276</v>
      </c>
      <c r="X1905" s="4" t="s">
        <v>2276</v>
      </c>
      <c r="Y1905" s="14">
        <v>6</v>
      </c>
      <c r="Z1905" s="3" t="s">
        <v>86</v>
      </c>
      <c r="AA1905" s="3" t="s">
        <v>86</v>
      </c>
      <c r="AB1905" s="4" t="s">
        <v>2276</v>
      </c>
      <c r="AC1905" s="3"/>
      <c r="AD1905" s="3"/>
    </row>
    <row r="1906" spans="1:30" ht="50" customHeight="1">
      <c r="A1906" s="11" t="s">
        <v>5445</v>
      </c>
      <c r="B1906" s="11" t="s">
        <v>5518</v>
      </c>
      <c r="C1906" s="3" t="s">
        <v>24</v>
      </c>
      <c r="D1906" s="3" t="s">
        <v>25</v>
      </c>
      <c r="E1906" s="3" t="s">
        <v>5005</v>
      </c>
      <c r="F1906" s="4" t="s">
        <v>55</v>
      </c>
      <c r="G1906" s="4" t="s">
        <v>2276</v>
      </c>
      <c r="H1906" s="3" t="s">
        <v>523</v>
      </c>
      <c r="I1906" s="3"/>
      <c r="J1906" s="4" t="s">
        <v>2276</v>
      </c>
      <c r="K1906" s="4" t="s">
        <v>2276</v>
      </c>
      <c r="L1906" s="4" t="s">
        <v>2276</v>
      </c>
      <c r="M1906" s="4" t="s">
        <v>2276</v>
      </c>
      <c r="N1906" s="4" t="s">
        <v>2276</v>
      </c>
      <c r="O1906" s="4" t="s">
        <v>2276</v>
      </c>
      <c r="P1906" s="4" t="s">
        <v>2276</v>
      </c>
      <c r="Q1906" s="4" t="s">
        <v>2276</v>
      </c>
      <c r="R1906" s="4" t="s">
        <v>2276</v>
      </c>
      <c r="S1906" s="4" t="s">
        <v>2276</v>
      </c>
      <c r="T1906" s="4" t="s">
        <v>2276</v>
      </c>
      <c r="U1906" s="4" t="s">
        <v>2276</v>
      </c>
      <c r="V1906" s="4" t="s">
        <v>2276</v>
      </c>
      <c r="W1906" s="4" t="s">
        <v>2276</v>
      </c>
      <c r="X1906" s="4" t="s">
        <v>2276</v>
      </c>
      <c r="Y1906" s="4" t="s">
        <v>2276</v>
      </c>
      <c r="Z1906" s="4" t="s">
        <v>2276</v>
      </c>
      <c r="AA1906" s="4" t="s">
        <v>2276</v>
      </c>
      <c r="AB1906" s="4" t="s">
        <v>2276</v>
      </c>
      <c r="AC1906" s="3"/>
      <c r="AD1906" s="3"/>
    </row>
    <row r="1907" spans="1:30" ht="50" customHeight="1">
      <c r="A1907" s="11" t="s">
        <v>5445</v>
      </c>
      <c r="B1907" s="11" t="s">
        <v>5519</v>
      </c>
      <c r="C1907" s="3" t="s">
        <v>24</v>
      </c>
      <c r="D1907" s="3" t="s">
        <v>3480</v>
      </c>
      <c r="E1907" s="3" t="s">
        <v>116</v>
      </c>
      <c r="F1907" s="4" t="s">
        <v>55</v>
      </c>
      <c r="G1907" s="4" t="s">
        <v>2276</v>
      </c>
      <c r="H1907" s="3" t="s">
        <v>523</v>
      </c>
      <c r="I1907" s="3"/>
      <c r="J1907" s="4" t="s">
        <v>2276</v>
      </c>
      <c r="K1907" s="4" t="s">
        <v>2276</v>
      </c>
      <c r="L1907" s="4" t="s">
        <v>2276</v>
      </c>
      <c r="M1907" s="4" t="s">
        <v>2276</v>
      </c>
      <c r="N1907" s="4" t="s">
        <v>2276</v>
      </c>
      <c r="O1907" s="4" t="s">
        <v>2276</v>
      </c>
      <c r="P1907" s="4" t="s">
        <v>2276</v>
      </c>
      <c r="Q1907" s="4" t="s">
        <v>2276</v>
      </c>
      <c r="R1907" s="4" t="s">
        <v>2276</v>
      </c>
      <c r="S1907" s="4" t="s">
        <v>2276</v>
      </c>
      <c r="T1907" s="4" t="s">
        <v>2276</v>
      </c>
      <c r="U1907" s="4" t="s">
        <v>2276</v>
      </c>
      <c r="V1907" s="4" t="s">
        <v>2276</v>
      </c>
      <c r="W1907" s="4" t="s">
        <v>2276</v>
      </c>
      <c r="X1907" s="4" t="s">
        <v>2276</v>
      </c>
      <c r="Y1907" s="4" t="s">
        <v>2276</v>
      </c>
      <c r="Z1907" s="4" t="s">
        <v>2276</v>
      </c>
      <c r="AA1907" s="4" t="s">
        <v>2276</v>
      </c>
      <c r="AB1907" s="4" t="s">
        <v>2276</v>
      </c>
      <c r="AC1907" s="3"/>
      <c r="AD1907" s="3"/>
    </row>
    <row r="1908" spans="1:30" ht="50" customHeight="1">
      <c r="A1908" s="11" t="s">
        <v>5445</v>
      </c>
      <c r="B1908" s="11" t="s">
        <v>5520</v>
      </c>
      <c r="C1908" s="3" t="s">
        <v>24</v>
      </c>
      <c r="D1908" s="3" t="s">
        <v>1245</v>
      </c>
      <c r="E1908" s="3" t="s">
        <v>116</v>
      </c>
      <c r="F1908" s="4" t="s">
        <v>55</v>
      </c>
      <c r="G1908" s="4" t="s">
        <v>2276</v>
      </c>
      <c r="H1908" s="3" t="s">
        <v>523</v>
      </c>
      <c r="I1908" s="3"/>
      <c r="J1908" s="4" t="s">
        <v>2276</v>
      </c>
      <c r="K1908" s="4" t="s">
        <v>2276</v>
      </c>
      <c r="L1908" s="4" t="s">
        <v>2276</v>
      </c>
      <c r="M1908" s="4" t="s">
        <v>2276</v>
      </c>
      <c r="N1908" s="4" t="s">
        <v>2276</v>
      </c>
      <c r="O1908" s="4" t="s">
        <v>2276</v>
      </c>
      <c r="P1908" s="4" t="s">
        <v>2276</v>
      </c>
      <c r="Q1908" s="4" t="s">
        <v>2276</v>
      </c>
      <c r="R1908" s="4" t="s">
        <v>2276</v>
      </c>
      <c r="S1908" s="4" t="s">
        <v>2276</v>
      </c>
      <c r="T1908" s="4" t="s">
        <v>2276</v>
      </c>
      <c r="U1908" s="4" t="s">
        <v>2276</v>
      </c>
      <c r="V1908" s="4" t="s">
        <v>2276</v>
      </c>
      <c r="W1908" s="4" t="s">
        <v>2276</v>
      </c>
      <c r="X1908" s="4" t="s">
        <v>2276</v>
      </c>
      <c r="Y1908" s="4" t="s">
        <v>2276</v>
      </c>
      <c r="Z1908" s="4" t="s">
        <v>2276</v>
      </c>
      <c r="AA1908" s="4" t="s">
        <v>2276</v>
      </c>
      <c r="AB1908" s="4" t="s">
        <v>2276</v>
      </c>
      <c r="AC1908" s="3"/>
      <c r="AD1908" s="3"/>
    </row>
    <row r="1909" spans="1:30" ht="50" customHeight="1">
      <c r="A1909" s="11" t="s">
        <v>5445</v>
      </c>
      <c r="B1909" s="11" t="s">
        <v>5521</v>
      </c>
      <c r="C1909" s="3" t="s">
        <v>24</v>
      </c>
      <c r="D1909" s="3" t="s">
        <v>2231</v>
      </c>
      <c r="E1909" s="4" t="s">
        <v>396</v>
      </c>
      <c r="F1909" s="4" t="s">
        <v>28</v>
      </c>
      <c r="G1909" s="4" t="s">
        <v>2276</v>
      </c>
      <c r="H1909" s="3" t="s">
        <v>523</v>
      </c>
      <c r="I1909" s="3"/>
      <c r="J1909" s="4" t="s">
        <v>2276</v>
      </c>
      <c r="K1909" s="4" t="s">
        <v>2276</v>
      </c>
      <c r="L1909" s="4" t="s">
        <v>2276</v>
      </c>
      <c r="M1909" s="4" t="s">
        <v>2276</v>
      </c>
      <c r="N1909" s="4" t="s">
        <v>2276</v>
      </c>
      <c r="O1909" s="4" t="s">
        <v>2276</v>
      </c>
      <c r="P1909" s="4" t="s">
        <v>2276</v>
      </c>
      <c r="Q1909" s="4" t="s">
        <v>2276</v>
      </c>
      <c r="R1909" s="4" t="s">
        <v>2276</v>
      </c>
      <c r="S1909" s="4" t="s">
        <v>2276</v>
      </c>
      <c r="T1909" s="4" t="s">
        <v>2276</v>
      </c>
      <c r="U1909" s="4" t="s">
        <v>2276</v>
      </c>
      <c r="V1909" s="4" t="s">
        <v>2276</v>
      </c>
      <c r="W1909" s="4" t="s">
        <v>2276</v>
      </c>
      <c r="X1909" s="4" t="s">
        <v>2276</v>
      </c>
      <c r="Y1909" s="4" t="s">
        <v>2276</v>
      </c>
      <c r="Z1909" s="4" t="s">
        <v>2276</v>
      </c>
      <c r="AA1909" s="4" t="s">
        <v>2276</v>
      </c>
      <c r="AB1909" s="4" t="s">
        <v>2276</v>
      </c>
      <c r="AC1909" s="3"/>
      <c r="AD1909" s="3"/>
    </row>
    <row r="1910" spans="1:30" ht="50" customHeight="1">
      <c r="A1910" s="11" t="s">
        <v>5445</v>
      </c>
      <c r="B1910" s="11" t="s">
        <v>5522</v>
      </c>
      <c r="C1910" s="3" t="s">
        <v>24</v>
      </c>
      <c r="D1910" s="3" t="s">
        <v>1131</v>
      </c>
      <c r="E1910" s="4" t="s">
        <v>396</v>
      </c>
      <c r="F1910" s="4" t="s">
        <v>28</v>
      </c>
      <c r="G1910" s="4" t="s">
        <v>2276</v>
      </c>
      <c r="H1910" s="3" t="s">
        <v>523</v>
      </c>
      <c r="I1910" s="3"/>
      <c r="J1910" s="4" t="s">
        <v>2276</v>
      </c>
      <c r="K1910" s="4" t="s">
        <v>2276</v>
      </c>
      <c r="L1910" s="4" t="s">
        <v>2276</v>
      </c>
      <c r="M1910" s="4" t="s">
        <v>2276</v>
      </c>
      <c r="N1910" s="4" t="s">
        <v>2276</v>
      </c>
      <c r="O1910" s="4" t="s">
        <v>2276</v>
      </c>
      <c r="P1910" s="4" t="s">
        <v>2276</v>
      </c>
      <c r="Q1910" s="4" t="s">
        <v>2276</v>
      </c>
      <c r="R1910" s="4" t="s">
        <v>2276</v>
      </c>
      <c r="S1910" s="4" t="s">
        <v>2276</v>
      </c>
      <c r="T1910" s="4" t="s">
        <v>2276</v>
      </c>
      <c r="U1910" s="4" t="s">
        <v>2276</v>
      </c>
      <c r="V1910" s="4" t="s">
        <v>2276</v>
      </c>
      <c r="W1910" s="4" t="s">
        <v>2276</v>
      </c>
      <c r="X1910" s="4" t="s">
        <v>2276</v>
      </c>
      <c r="Y1910" s="4" t="s">
        <v>2276</v>
      </c>
      <c r="Z1910" s="4" t="s">
        <v>2276</v>
      </c>
      <c r="AA1910" s="4" t="s">
        <v>2276</v>
      </c>
      <c r="AB1910" s="4" t="s">
        <v>2276</v>
      </c>
      <c r="AC1910" s="3"/>
      <c r="AD1910" s="3"/>
    </row>
    <row r="1911" spans="1:30" ht="50" customHeight="1">
      <c r="A1911" s="11" t="s">
        <v>5445</v>
      </c>
      <c r="B1911" s="11" t="s">
        <v>5523</v>
      </c>
      <c r="C1911" s="3" t="s">
        <v>24</v>
      </c>
      <c r="D1911" s="3" t="s">
        <v>1245</v>
      </c>
      <c r="E1911" s="3" t="s">
        <v>2652</v>
      </c>
      <c r="F1911" s="4" t="s">
        <v>2662</v>
      </c>
      <c r="G1911" s="4" t="s">
        <v>2276</v>
      </c>
      <c r="H1911" s="3" t="s">
        <v>523</v>
      </c>
      <c r="I1911" s="3"/>
      <c r="J1911" s="4" t="s">
        <v>2276</v>
      </c>
      <c r="K1911" s="4" t="s">
        <v>2276</v>
      </c>
      <c r="L1911" s="4" t="s">
        <v>2276</v>
      </c>
      <c r="M1911" s="4" t="s">
        <v>2276</v>
      </c>
      <c r="N1911" s="4" t="s">
        <v>2276</v>
      </c>
      <c r="O1911" s="4" t="s">
        <v>2276</v>
      </c>
      <c r="P1911" s="4" t="s">
        <v>2276</v>
      </c>
      <c r="Q1911" s="4" t="s">
        <v>2276</v>
      </c>
      <c r="R1911" s="4" t="s">
        <v>2276</v>
      </c>
      <c r="S1911" s="4" t="s">
        <v>2276</v>
      </c>
      <c r="T1911" s="4" t="s">
        <v>2276</v>
      </c>
      <c r="U1911" s="4" t="s">
        <v>2276</v>
      </c>
      <c r="V1911" s="4" t="s">
        <v>2276</v>
      </c>
      <c r="W1911" s="4" t="s">
        <v>2276</v>
      </c>
      <c r="X1911" s="4" t="s">
        <v>2276</v>
      </c>
      <c r="Y1911" s="4" t="s">
        <v>2276</v>
      </c>
      <c r="Z1911" s="4" t="s">
        <v>2276</v>
      </c>
      <c r="AA1911" s="4" t="s">
        <v>2276</v>
      </c>
      <c r="AB1911" s="4" t="s">
        <v>2276</v>
      </c>
      <c r="AC1911" s="3"/>
      <c r="AD1911" s="3"/>
    </row>
    <row r="1912" spans="1:30" ht="50" customHeight="1">
      <c r="A1912" s="11" t="s">
        <v>5445</v>
      </c>
      <c r="B1912" s="11" t="s">
        <v>5524</v>
      </c>
      <c r="C1912" s="3" t="s">
        <v>24</v>
      </c>
      <c r="D1912" s="3" t="s">
        <v>2341</v>
      </c>
      <c r="E1912" s="3" t="s">
        <v>2652</v>
      </c>
      <c r="F1912" s="4" t="s">
        <v>2662</v>
      </c>
      <c r="G1912" s="4" t="s">
        <v>2276</v>
      </c>
      <c r="H1912" s="3" t="s">
        <v>523</v>
      </c>
      <c r="I1912" s="3"/>
      <c r="J1912" s="4" t="s">
        <v>2276</v>
      </c>
      <c r="K1912" s="4" t="s">
        <v>2276</v>
      </c>
      <c r="L1912" s="4" t="s">
        <v>2276</v>
      </c>
      <c r="M1912" s="4" t="s">
        <v>2276</v>
      </c>
      <c r="N1912" s="4" t="s">
        <v>2276</v>
      </c>
      <c r="O1912" s="4" t="s">
        <v>2276</v>
      </c>
      <c r="P1912" s="4" t="s">
        <v>2276</v>
      </c>
      <c r="Q1912" s="4" t="s">
        <v>2276</v>
      </c>
      <c r="R1912" s="4" t="s">
        <v>2276</v>
      </c>
      <c r="S1912" s="4" t="s">
        <v>2276</v>
      </c>
      <c r="T1912" s="4" t="s">
        <v>2276</v>
      </c>
      <c r="U1912" s="4" t="s">
        <v>2276</v>
      </c>
      <c r="V1912" s="4" t="s">
        <v>2276</v>
      </c>
      <c r="W1912" s="4" t="s">
        <v>2276</v>
      </c>
      <c r="X1912" s="4" t="s">
        <v>2276</v>
      </c>
      <c r="Y1912" s="4" t="s">
        <v>2276</v>
      </c>
      <c r="Z1912" s="4" t="s">
        <v>2276</v>
      </c>
      <c r="AA1912" s="4" t="s">
        <v>2276</v>
      </c>
      <c r="AB1912" s="4" t="s">
        <v>2276</v>
      </c>
      <c r="AC1912" s="3"/>
      <c r="AD1912" s="3"/>
    </row>
    <row r="1913" spans="1:30" ht="50" customHeight="1">
      <c r="A1913" s="11" t="s">
        <v>5445</v>
      </c>
      <c r="B1913" s="11" t="s">
        <v>5525</v>
      </c>
      <c r="C1913" s="3" t="s">
        <v>24</v>
      </c>
      <c r="D1913" s="3" t="s">
        <v>4162</v>
      </c>
      <c r="E1913" s="3" t="s">
        <v>2649</v>
      </c>
      <c r="F1913" s="4" t="s">
        <v>74</v>
      </c>
      <c r="G1913" s="4" t="s">
        <v>2276</v>
      </c>
      <c r="H1913" s="3" t="s">
        <v>523</v>
      </c>
      <c r="I1913" s="3"/>
      <c r="J1913" s="4" t="s">
        <v>2276</v>
      </c>
      <c r="K1913" s="4" t="s">
        <v>2276</v>
      </c>
      <c r="L1913" s="4" t="s">
        <v>2276</v>
      </c>
      <c r="M1913" s="4" t="s">
        <v>2276</v>
      </c>
      <c r="N1913" s="4" t="s">
        <v>2276</v>
      </c>
      <c r="O1913" s="4" t="s">
        <v>2276</v>
      </c>
      <c r="P1913" s="4" t="s">
        <v>2276</v>
      </c>
      <c r="Q1913" s="4" t="s">
        <v>2276</v>
      </c>
      <c r="R1913" s="4" t="s">
        <v>2276</v>
      </c>
      <c r="S1913" s="4" t="s">
        <v>2276</v>
      </c>
      <c r="T1913" s="4" t="s">
        <v>2276</v>
      </c>
      <c r="U1913" s="4" t="s">
        <v>2276</v>
      </c>
      <c r="V1913" s="4" t="s">
        <v>2276</v>
      </c>
      <c r="W1913" s="4" t="s">
        <v>2276</v>
      </c>
      <c r="X1913" s="4" t="s">
        <v>2276</v>
      </c>
      <c r="Y1913" s="4" t="s">
        <v>2276</v>
      </c>
      <c r="Z1913" s="4" t="s">
        <v>2276</v>
      </c>
      <c r="AA1913" s="4" t="s">
        <v>2276</v>
      </c>
      <c r="AB1913" s="4" t="s">
        <v>2276</v>
      </c>
      <c r="AC1913" s="3"/>
      <c r="AD1913" s="3"/>
    </row>
    <row r="1914" spans="1:30" ht="36.5" customHeight="1">
      <c r="A1914" s="11" t="s">
        <v>5527</v>
      </c>
      <c r="B1914" s="11" t="s">
        <v>5551</v>
      </c>
      <c r="C1914" s="3" t="s">
        <v>24</v>
      </c>
      <c r="D1914" s="3" t="s">
        <v>27</v>
      </c>
      <c r="E1914" s="3" t="s">
        <v>130</v>
      </c>
      <c r="F1914" s="4" t="s">
        <v>160</v>
      </c>
      <c r="G1914" s="4" t="s">
        <v>2276</v>
      </c>
      <c r="H1914" s="3" t="s">
        <v>523</v>
      </c>
      <c r="I1914" s="3"/>
      <c r="J1914" s="4" t="s">
        <v>2276</v>
      </c>
      <c r="K1914" s="4" t="s">
        <v>2276</v>
      </c>
      <c r="L1914" s="4" t="s">
        <v>2276</v>
      </c>
      <c r="M1914" s="4" t="s">
        <v>2276</v>
      </c>
      <c r="N1914" s="4" t="s">
        <v>2276</v>
      </c>
      <c r="O1914" s="4" t="s">
        <v>2276</v>
      </c>
      <c r="P1914" s="4" t="s">
        <v>2276</v>
      </c>
      <c r="Q1914" s="4" t="s">
        <v>2276</v>
      </c>
      <c r="R1914" s="4" t="s">
        <v>2276</v>
      </c>
      <c r="S1914" s="4" t="s">
        <v>2276</v>
      </c>
      <c r="T1914" s="4" t="s">
        <v>2276</v>
      </c>
      <c r="U1914" s="4" t="s">
        <v>2276</v>
      </c>
      <c r="V1914" s="4" t="s">
        <v>2276</v>
      </c>
      <c r="W1914" s="4" t="s">
        <v>2276</v>
      </c>
      <c r="X1914" s="4" t="s">
        <v>2276</v>
      </c>
      <c r="Y1914" s="4" t="s">
        <v>2276</v>
      </c>
      <c r="Z1914" s="4" t="s">
        <v>2276</v>
      </c>
      <c r="AA1914" s="4" t="s">
        <v>2276</v>
      </c>
      <c r="AB1914" s="4" t="s">
        <v>2276</v>
      </c>
      <c r="AC1914" s="3"/>
      <c r="AD1914" s="3"/>
    </row>
    <row r="1915" spans="1:30" ht="36.5" customHeight="1">
      <c r="A1915" s="11" t="s">
        <v>5539</v>
      </c>
      <c r="B1915" s="11" t="s">
        <v>5552</v>
      </c>
      <c r="C1915" s="3" t="s">
        <v>24</v>
      </c>
      <c r="D1915" s="3" t="s">
        <v>27</v>
      </c>
      <c r="E1915" s="3" t="s">
        <v>130</v>
      </c>
      <c r="F1915" s="4" t="s">
        <v>160</v>
      </c>
      <c r="G1915" s="4" t="s">
        <v>2276</v>
      </c>
      <c r="H1915" s="3" t="s">
        <v>523</v>
      </c>
      <c r="I1915" s="3"/>
      <c r="J1915" s="4" t="s">
        <v>2276</v>
      </c>
      <c r="K1915" s="4" t="s">
        <v>2276</v>
      </c>
      <c r="L1915" s="4" t="s">
        <v>2276</v>
      </c>
      <c r="M1915" s="4" t="s">
        <v>2276</v>
      </c>
      <c r="N1915" s="4" t="s">
        <v>2276</v>
      </c>
      <c r="O1915" s="4" t="s">
        <v>2276</v>
      </c>
      <c r="P1915" s="4" t="s">
        <v>2276</v>
      </c>
      <c r="Q1915" s="4" t="s">
        <v>2276</v>
      </c>
      <c r="R1915" s="4" t="s">
        <v>2276</v>
      </c>
      <c r="S1915" s="4" t="s">
        <v>2276</v>
      </c>
      <c r="T1915" s="4" t="s">
        <v>2276</v>
      </c>
      <c r="U1915" s="4" t="s">
        <v>2276</v>
      </c>
      <c r="V1915" s="4" t="s">
        <v>2276</v>
      </c>
      <c r="W1915" s="4" t="s">
        <v>2276</v>
      </c>
      <c r="X1915" s="4" t="s">
        <v>2276</v>
      </c>
      <c r="Y1915" s="4" t="s">
        <v>2276</v>
      </c>
      <c r="Z1915" s="4" t="s">
        <v>2276</v>
      </c>
      <c r="AA1915" s="4" t="s">
        <v>2276</v>
      </c>
      <c r="AB1915" s="4" t="s">
        <v>2276</v>
      </c>
      <c r="AC1915" s="3"/>
      <c r="AD1915" s="3"/>
    </row>
    <row r="1916" spans="1:30" ht="36.5" customHeight="1">
      <c r="A1916" s="11" t="s">
        <v>5540</v>
      </c>
      <c r="B1916" s="11" t="s">
        <v>5553</v>
      </c>
      <c r="C1916" s="3" t="s">
        <v>24</v>
      </c>
      <c r="D1916" s="3" t="s">
        <v>27</v>
      </c>
      <c r="E1916" s="3" t="s">
        <v>130</v>
      </c>
      <c r="F1916" s="4" t="s">
        <v>160</v>
      </c>
      <c r="G1916" s="4" t="s">
        <v>2276</v>
      </c>
      <c r="H1916" s="3" t="s">
        <v>523</v>
      </c>
      <c r="I1916" s="3"/>
      <c r="J1916" s="4" t="s">
        <v>2276</v>
      </c>
      <c r="K1916" s="4" t="s">
        <v>2276</v>
      </c>
      <c r="L1916" s="4" t="s">
        <v>2276</v>
      </c>
      <c r="M1916" s="4" t="s">
        <v>2276</v>
      </c>
      <c r="N1916" s="4" t="s">
        <v>2276</v>
      </c>
      <c r="O1916" s="4" t="s">
        <v>2276</v>
      </c>
      <c r="P1916" s="4" t="s">
        <v>2276</v>
      </c>
      <c r="Q1916" s="4" t="s">
        <v>2276</v>
      </c>
      <c r="R1916" s="4" t="s">
        <v>2276</v>
      </c>
      <c r="S1916" s="4" t="s">
        <v>2276</v>
      </c>
      <c r="T1916" s="4" t="s">
        <v>2276</v>
      </c>
      <c r="U1916" s="4" t="s">
        <v>2276</v>
      </c>
      <c r="V1916" s="4" t="s">
        <v>2276</v>
      </c>
      <c r="W1916" s="4" t="s">
        <v>2276</v>
      </c>
      <c r="X1916" s="4" t="s">
        <v>2276</v>
      </c>
      <c r="Y1916" s="4" t="s">
        <v>2276</v>
      </c>
      <c r="Z1916" s="4" t="s">
        <v>2276</v>
      </c>
      <c r="AA1916" s="4" t="s">
        <v>2276</v>
      </c>
      <c r="AB1916" s="4" t="s">
        <v>2276</v>
      </c>
      <c r="AC1916" s="3"/>
      <c r="AD1916" s="3"/>
    </row>
    <row r="1917" spans="1:30" ht="36.5" customHeight="1">
      <c r="A1917" s="11" t="s">
        <v>5541</v>
      </c>
      <c r="B1917" s="11" t="s">
        <v>5554</v>
      </c>
      <c r="C1917" s="3" t="s">
        <v>24</v>
      </c>
      <c r="D1917" s="3" t="s">
        <v>27</v>
      </c>
      <c r="E1917" s="3" t="s">
        <v>130</v>
      </c>
      <c r="F1917" s="4" t="s">
        <v>160</v>
      </c>
      <c r="G1917" s="4" t="s">
        <v>2276</v>
      </c>
      <c r="H1917" s="3" t="s">
        <v>523</v>
      </c>
      <c r="I1917" s="3"/>
      <c r="J1917" s="4" t="s">
        <v>2276</v>
      </c>
      <c r="K1917" s="4" t="s">
        <v>2276</v>
      </c>
      <c r="L1917" s="4" t="s">
        <v>2276</v>
      </c>
      <c r="M1917" s="4" t="s">
        <v>2276</v>
      </c>
      <c r="N1917" s="4" t="s">
        <v>2276</v>
      </c>
      <c r="O1917" s="4" t="s">
        <v>2276</v>
      </c>
      <c r="P1917" s="4" t="s">
        <v>2276</v>
      </c>
      <c r="Q1917" s="4" t="s">
        <v>2276</v>
      </c>
      <c r="R1917" s="4" t="s">
        <v>2276</v>
      </c>
      <c r="S1917" s="4" t="s">
        <v>2276</v>
      </c>
      <c r="T1917" s="4" t="s">
        <v>2276</v>
      </c>
      <c r="U1917" s="4" t="s">
        <v>2276</v>
      </c>
      <c r="V1917" s="4" t="s">
        <v>2276</v>
      </c>
      <c r="W1917" s="4" t="s">
        <v>2276</v>
      </c>
      <c r="X1917" s="4" t="s">
        <v>2276</v>
      </c>
      <c r="Y1917" s="4" t="s">
        <v>2276</v>
      </c>
      <c r="Z1917" s="4" t="s">
        <v>2276</v>
      </c>
      <c r="AA1917" s="4" t="s">
        <v>2276</v>
      </c>
      <c r="AB1917" s="4" t="s">
        <v>2276</v>
      </c>
      <c r="AC1917" s="3"/>
      <c r="AD1917" s="3"/>
    </row>
    <row r="1918" spans="1:30" ht="36.5" customHeight="1">
      <c r="A1918" s="11" t="s">
        <v>5542</v>
      </c>
      <c r="B1918" s="11" t="s">
        <v>5555</v>
      </c>
      <c r="C1918" s="3" t="s">
        <v>24</v>
      </c>
      <c r="D1918" s="3" t="s">
        <v>27</v>
      </c>
      <c r="E1918" s="3" t="s">
        <v>130</v>
      </c>
      <c r="F1918" s="4" t="s">
        <v>160</v>
      </c>
      <c r="G1918" s="4" t="s">
        <v>2276</v>
      </c>
      <c r="H1918" s="3" t="s">
        <v>523</v>
      </c>
      <c r="I1918" s="3"/>
      <c r="J1918" s="4" t="s">
        <v>2276</v>
      </c>
      <c r="K1918" s="4" t="s">
        <v>2276</v>
      </c>
      <c r="L1918" s="4" t="s">
        <v>2276</v>
      </c>
      <c r="M1918" s="4" t="s">
        <v>2276</v>
      </c>
      <c r="N1918" s="4" t="s">
        <v>2276</v>
      </c>
      <c r="O1918" s="4" t="s">
        <v>2276</v>
      </c>
      <c r="P1918" s="4" t="s">
        <v>2276</v>
      </c>
      <c r="Q1918" s="4" t="s">
        <v>2276</v>
      </c>
      <c r="R1918" s="4" t="s">
        <v>2276</v>
      </c>
      <c r="S1918" s="4" t="s">
        <v>2276</v>
      </c>
      <c r="T1918" s="4" t="s">
        <v>2276</v>
      </c>
      <c r="U1918" s="4" t="s">
        <v>2276</v>
      </c>
      <c r="V1918" s="4" t="s">
        <v>2276</v>
      </c>
      <c r="W1918" s="4" t="s">
        <v>2276</v>
      </c>
      <c r="X1918" s="4" t="s">
        <v>2276</v>
      </c>
      <c r="Y1918" s="4" t="s">
        <v>2276</v>
      </c>
      <c r="Z1918" s="4" t="s">
        <v>2276</v>
      </c>
      <c r="AA1918" s="4" t="s">
        <v>2276</v>
      </c>
      <c r="AB1918" s="4" t="s">
        <v>2276</v>
      </c>
      <c r="AC1918" s="3"/>
      <c r="AD1918" s="3"/>
    </row>
    <row r="1919" spans="1:30" ht="36.5" customHeight="1">
      <c r="A1919" s="11" t="s">
        <v>5543</v>
      </c>
      <c r="B1919" s="11" t="s">
        <v>5556</v>
      </c>
      <c r="C1919" s="3" t="s">
        <v>24</v>
      </c>
      <c r="D1919" s="3" t="s">
        <v>27</v>
      </c>
      <c r="E1919" s="3" t="s">
        <v>130</v>
      </c>
      <c r="F1919" s="4" t="s">
        <v>160</v>
      </c>
      <c r="G1919" s="4" t="s">
        <v>2276</v>
      </c>
      <c r="H1919" s="3" t="s">
        <v>523</v>
      </c>
      <c r="I1919" s="3"/>
      <c r="J1919" s="4" t="s">
        <v>2276</v>
      </c>
      <c r="K1919" s="4" t="s">
        <v>2276</v>
      </c>
      <c r="L1919" s="4" t="s">
        <v>2276</v>
      </c>
      <c r="M1919" s="4" t="s">
        <v>2276</v>
      </c>
      <c r="N1919" s="4" t="s">
        <v>2276</v>
      </c>
      <c r="O1919" s="4" t="s">
        <v>2276</v>
      </c>
      <c r="P1919" s="4" t="s">
        <v>2276</v>
      </c>
      <c r="Q1919" s="4" t="s">
        <v>2276</v>
      </c>
      <c r="R1919" s="4" t="s">
        <v>2276</v>
      </c>
      <c r="S1919" s="4" t="s">
        <v>2276</v>
      </c>
      <c r="T1919" s="4" t="s">
        <v>2276</v>
      </c>
      <c r="U1919" s="4" t="s">
        <v>2276</v>
      </c>
      <c r="V1919" s="4" t="s">
        <v>2276</v>
      </c>
      <c r="W1919" s="4" t="s">
        <v>2276</v>
      </c>
      <c r="X1919" s="4" t="s">
        <v>2276</v>
      </c>
      <c r="Y1919" s="4" t="s">
        <v>2276</v>
      </c>
      <c r="Z1919" s="4" t="s">
        <v>2276</v>
      </c>
      <c r="AA1919" s="4" t="s">
        <v>2276</v>
      </c>
      <c r="AB1919" s="4" t="s">
        <v>2276</v>
      </c>
      <c r="AC1919" s="3"/>
      <c r="AD1919" s="3"/>
    </row>
    <row r="1920" spans="1:30" ht="36.5" customHeight="1">
      <c r="A1920" s="11" t="s">
        <v>5547</v>
      </c>
      <c r="B1920" s="11" t="s">
        <v>5557</v>
      </c>
      <c r="C1920" s="3" t="s">
        <v>24</v>
      </c>
      <c r="D1920" s="3" t="s">
        <v>27</v>
      </c>
      <c r="E1920" s="3" t="s">
        <v>130</v>
      </c>
      <c r="F1920" s="4" t="s">
        <v>160</v>
      </c>
      <c r="G1920" s="4" t="s">
        <v>2276</v>
      </c>
      <c r="H1920" s="3" t="s">
        <v>523</v>
      </c>
      <c r="I1920" s="3"/>
      <c r="J1920" s="4" t="s">
        <v>2276</v>
      </c>
      <c r="K1920" s="4" t="s">
        <v>2276</v>
      </c>
      <c r="L1920" s="4" t="s">
        <v>2276</v>
      </c>
      <c r="M1920" s="4" t="s">
        <v>2276</v>
      </c>
      <c r="N1920" s="4" t="s">
        <v>2276</v>
      </c>
      <c r="O1920" s="4" t="s">
        <v>2276</v>
      </c>
      <c r="P1920" s="4" t="s">
        <v>2276</v>
      </c>
      <c r="Q1920" s="4" t="s">
        <v>2276</v>
      </c>
      <c r="R1920" s="4" t="s">
        <v>2276</v>
      </c>
      <c r="S1920" s="4" t="s">
        <v>2276</v>
      </c>
      <c r="T1920" s="4" t="s">
        <v>2276</v>
      </c>
      <c r="U1920" s="4" t="s">
        <v>2276</v>
      </c>
      <c r="V1920" s="4" t="s">
        <v>2276</v>
      </c>
      <c r="W1920" s="4" t="s">
        <v>2276</v>
      </c>
      <c r="X1920" s="4" t="s">
        <v>2276</v>
      </c>
      <c r="Y1920" s="4" t="s">
        <v>2276</v>
      </c>
      <c r="Z1920" s="4" t="s">
        <v>2276</v>
      </c>
      <c r="AA1920" s="4" t="s">
        <v>2276</v>
      </c>
      <c r="AB1920" s="4" t="s">
        <v>2276</v>
      </c>
      <c r="AC1920" s="3"/>
      <c r="AD1920" s="3"/>
    </row>
    <row r="1921" spans="1:30" ht="36.5" customHeight="1">
      <c r="A1921" s="11" t="s">
        <v>5548</v>
      </c>
      <c r="B1921" s="11" t="s">
        <v>5558</v>
      </c>
      <c r="C1921" s="3" t="s">
        <v>24</v>
      </c>
      <c r="D1921" s="3" t="s">
        <v>27</v>
      </c>
      <c r="E1921" s="3" t="s">
        <v>130</v>
      </c>
      <c r="F1921" s="4" t="s">
        <v>160</v>
      </c>
      <c r="G1921" s="4" t="s">
        <v>2276</v>
      </c>
      <c r="H1921" s="3" t="s">
        <v>523</v>
      </c>
      <c r="I1921" s="3"/>
      <c r="J1921" s="4" t="s">
        <v>2276</v>
      </c>
      <c r="K1921" s="4" t="s">
        <v>2276</v>
      </c>
      <c r="L1921" s="4" t="s">
        <v>2276</v>
      </c>
      <c r="M1921" s="4" t="s">
        <v>2276</v>
      </c>
      <c r="N1921" s="4" t="s">
        <v>2276</v>
      </c>
      <c r="O1921" s="4" t="s">
        <v>2276</v>
      </c>
      <c r="P1921" s="4" t="s">
        <v>2276</v>
      </c>
      <c r="Q1921" s="4" t="s">
        <v>2276</v>
      </c>
      <c r="R1921" s="4" t="s">
        <v>2276</v>
      </c>
      <c r="S1921" s="4" t="s">
        <v>2276</v>
      </c>
      <c r="T1921" s="4" t="s">
        <v>2276</v>
      </c>
      <c r="U1921" s="4" t="s">
        <v>2276</v>
      </c>
      <c r="V1921" s="4" t="s">
        <v>2276</v>
      </c>
      <c r="W1921" s="4" t="s">
        <v>2276</v>
      </c>
      <c r="X1921" s="4" t="s">
        <v>2276</v>
      </c>
      <c r="Y1921" s="4" t="s">
        <v>2276</v>
      </c>
      <c r="Z1921" s="4" t="s">
        <v>2276</v>
      </c>
      <c r="AA1921" s="4" t="s">
        <v>2276</v>
      </c>
      <c r="AB1921" s="4" t="s">
        <v>2276</v>
      </c>
      <c r="AC1921" s="3"/>
      <c r="AD1921" s="3"/>
    </row>
    <row r="1922" spans="1:30" ht="29" customHeight="1">
      <c r="A1922" s="11" t="s">
        <v>5527</v>
      </c>
      <c r="B1922" s="11" t="s">
        <v>5559</v>
      </c>
      <c r="C1922" s="3" t="s">
        <v>24</v>
      </c>
      <c r="D1922" s="3" t="s">
        <v>27</v>
      </c>
      <c r="E1922" s="4" t="s">
        <v>397</v>
      </c>
      <c r="F1922" s="4" t="s">
        <v>2276</v>
      </c>
      <c r="G1922" s="4" t="s">
        <v>2276</v>
      </c>
      <c r="H1922" s="3" t="s">
        <v>524</v>
      </c>
      <c r="I1922" s="3"/>
      <c r="J1922" s="21">
        <v>0</v>
      </c>
      <c r="K1922" s="21">
        <v>0</v>
      </c>
      <c r="L1922" s="21">
        <v>0</v>
      </c>
      <c r="M1922" s="21">
        <v>0</v>
      </c>
      <c r="N1922" s="21">
        <v>0</v>
      </c>
      <c r="O1922" s="21">
        <v>0</v>
      </c>
      <c r="P1922" s="21">
        <v>0</v>
      </c>
      <c r="Q1922" s="21">
        <v>0</v>
      </c>
      <c r="R1922" s="21">
        <v>0</v>
      </c>
      <c r="S1922" s="21">
        <v>0</v>
      </c>
      <c r="T1922" s="21">
        <v>0</v>
      </c>
      <c r="U1922" s="21">
        <v>0</v>
      </c>
      <c r="V1922" s="21">
        <v>0</v>
      </c>
      <c r="W1922" s="21">
        <v>0</v>
      </c>
      <c r="X1922" s="21">
        <v>0</v>
      </c>
      <c r="Y1922" s="4" t="s">
        <v>2276</v>
      </c>
      <c r="Z1922" s="4" t="s">
        <v>2276</v>
      </c>
      <c r="AA1922" s="4" t="s">
        <v>2276</v>
      </c>
      <c r="AB1922" s="4" t="s">
        <v>2276</v>
      </c>
      <c r="AC1922" s="4" t="s">
        <v>5575</v>
      </c>
      <c r="AD1922" s="3"/>
    </row>
    <row r="1923" spans="1:30" ht="29" customHeight="1">
      <c r="A1923" s="11" t="s">
        <v>5539</v>
      </c>
      <c r="B1923" s="11" t="s">
        <v>5560</v>
      </c>
      <c r="C1923" s="3" t="s">
        <v>24</v>
      </c>
      <c r="D1923" s="3" t="s">
        <v>27</v>
      </c>
      <c r="E1923" s="4" t="s">
        <v>397</v>
      </c>
      <c r="F1923" s="4" t="s">
        <v>2276</v>
      </c>
      <c r="G1923" s="4" t="s">
        <v>2276</v>
      </c>
      <c r="H1923" s="3" t="s">
        <v>524</v>
      </c>
      <c r="I1923" s="3"/>
      <c r="J1923" s="21">
        <v>0</v>
      </c>
      <c r="K1923" s="21">
        <v>0</v>
      </c>
      <c r="L1923" s="21">
        <v>0</v>
      </c>
      <c r="M1923" s="21">
        <v>0</v>
      </c>
      <c r="N1923" s="21">
        <v>0</v>
      </c>
      <c r="O1923" s="21">
        <v>0</v>
      </c>
      <c r="P1923" s="21">
        <v>0</v>
      </c>
      <c r="Q1923" s="21">
        <v>0</v>
      </c>
      <c r="R1923" s="21">
        <v>0</v>
      </c>
      <c r="S1923" s="21">
        <v>0</v>
      </c>
      <c r="T1923" s="21">
        <v>0</v>
      </c>
      <c r="U1923" s="21">
        <v>0</v>
      </c>
      <c r="V1923" s="21">
        <v>0</v>
      </c>
      <c r="W1923" s="21">
        <v>0</v>
      </c>
      <c r="X1923" s="21">
        <v>0</v>
      </c>
      <c r="Y1923" s="4" t="s">
        <v>2276</v>
      </c>
      <c r="Z1923" s="4" t="s">
        <v>2276</v>
      </c>
      <c r="AA1923" s="4" t="s">
        <v>2276</v>
      </c>
      <c r="AB1923" s="4" t="s">
        <v>2276</v>
      </c>
      <c r="AC1923" s="4" t="s">
        <v>5575</v>
      </c>
      <c r="AD1923" s="3"/>
    </row>
    <row r="1924" spans="1:30" ht="29" customHeight="1">
      <c r="A1924" s="11" t="s">
        <v>5540</v>
      </c>
      <c r="B1924" s="11" t="s">
        <v>5561</v>
      </c>
      <c r="C1924" s="3" t="s">
        <v>24</v>
      </c>
      <c r="D1924" s="3" t="s">
        <v>27</v>
      </c>
      <c r="E1924" s="4" t="s">
        <v>397</v>
      </c>
      <c r="F1924" s="4" t="s">
        <v>2276</v>
      </c>
      <c r="G1924" s="4" t="s">
        <v>2276</v>
      </c>
      <c r="H1924" s="3" t="s">
        <v>524</v>
      </c>
      <c r="I1924" s="3"/>
      <c r="J1924" s="21">
        <v>0</v>
      </c>
      <c r="K1924" s="21">
        <v>0</v>
      </c>
      <c r="L1924" s="21">
        <v>0</v>
      </c>
      <c r="M1924" s="21">
        <v>0</v>
      </c>
      <c r="N1924" s="21">
        <v>0</v>
      </c>
      <c r="O1924" s="21">
        <v>0</v>
      </c>
      <c r="P1924" s="21">
        <v>0</v>
      </c>
      <c r="Q1924" s="21">
        <v>0</v>
      </c>
      <c r="R1924" s="21">
        <v>0</v>
      </c>
      <c r="S1924" s="21">
        <v>0</v>
      </c>
      <c r="T1924" s="21">
        <v>0</v>
      </c>
      <c r="U1924" s="21">
        <v>0</v>
      </c>
      <c r="V1924" s="21">
        <v>0</v>
      </c>
      <c r="W1924" s="21">
        <v>0</v>
      </c>
      <c r="X1924" s="21">
        <v>0</v>
      </c>
      <c r="Y1924" s="4" t="s">
        <v>2276</v>
      </c>
      <c r="Z1924" s="4" t="s">
        <v>2276</v>
      </c>
      <c r="AA1924" s="4" t="s">
        <v>2276</v>
      </c>
      <c r="AB1924" s="4" t="s">
        <v>2276</v>
      </c>
      <c r="AC1924" s="4" t="s">
        <v>5575</v>
      </c>
      <c r="AD1924" s="3"/>
    </row>
    <row r="1925" spans="1:30" ht="29" customHeight="1">
      <c r="A1925" s="11" t="s">
        <v>5541</v>
      </c>
      <c r="B1925" s="11" t="s">
        <v>5562</v>
      </c>
      <c r="C1925" s="3" t="s">
        <v>24</v>
      </c>
      <c r="D1925" s="3" t="s">
        <v>27</v>
      </c>
      <c r="E1925" s="4" t="s">
        <v>397</v>
      </c>
      <c r="F1925" s="4" t="s">
        <v>2276</v>
      </c>
      <c r="G1925" s="4" t="s">
        <v>2276</v>
      </c>
      <c r="H1925" s="3" t="s">
        <v>524</v>
      </c>
      <c r="I1925" s="3"/>
      <c r="J1925" s="21">
        <v>0</v>
      </c>
      <c r="K1925" s="21">
        <v>0</v>
      </c>
      <c r="L1925" s="21">
        <v>0</v>
      </c>
      <c r="M1925" s="21">
        <v>0</v>
      </c>
      <c r="N1925" s="21">
        <v>0</v>
      </c>
      <c r="O1925" s="21">
        <v>0</v>
      </c>
      <c r="P1925" s="21">
        <v>0</v>
      </c>
      <c r="Q1925" s="21">
        <v>0</v>
      </c>
      <c r="R1925" s="21">
        <v>0</v>
      </c>
      <c r="S1925" s="21">
        <v>0</v>
      </c>
      <c r="T1925" s="21">
        <v>0</v>
      </c>
      <c r="U1925" s="21">
        <v>0</v>
      </c>
      <c r="V1925" s="21">
        <v>0</v>
      </c>
      <c r="W1925" s="21">
        <v>0</v>
      </c>
      <c r="X1925" s="21">
        <v>0</v>
      </c>
      <c r="Y1925" s="4" t="s">
        <v>2276</v>
      </c>
      <c r="Z1925" s="4" t="s">
        <v>2276</v>
      </c>
      <c r="AA1925" s="4" t="s">
        <v>2276</v>
      </c>
      <c r="AB1925" s="4" t="s">
        <v>2276</v>
      </c>
      <c r="AC1925" s="4" t="s">
        <v>5575</v>
      </c>
      <c r="AD1925" s="3"/>
    </row>
    <row r="1926" spans="1:30" ht="29" customHeight="1">
      <c r="A1926" s="11" t="s">
        <v>5542</v>
      </c>
      <c r="B1926" s="11" t="s">
        <v>5563</v>
      </c>
      <c r="C1926" s="3" t="s">
        <v>24</v>
      </c>
      <c r="D1926" s="3" t="s">
        <v>27</v>
      </c>
      <c r="E1926" s="4" t="s">
        <v>397</v>
      </c>
      <c r="F1926" s="4" t="s">
        <v>2276</v>
      </c>
      <c r="G1926" s="4" t="s">
        <v>2276</v>
      </c>
      <c r="H1926" s="3" t="s">
        <v>524</v>
      </c>
      <c r="I1926" s="3"/>
      <c r="J1926" s="21">
        <v>0</v>
      </c>
      <c r="K1926" s="21">
        <v>0</v>
      </c>
      <c r="L1926" s="21">
        <v>0</v>
      </c>
      <c r="M1926" s="21">
        <v>0</v>
      </c>
      <c r="N1926" s="21">
        <v>0</v>
      </c>
      <c r="O1926" s="21">
        <v>0</v>
      </c>
      <c r="P1926" s="21">
        <v>0</v>
      </c>
      <c r="Q1926" s="21">
        <v>0</v>
      </c>
      <c r="R1926" s="21">
        <v>0</v>
      </c>
      <c r="S1926" s="21">
        <v>0</v>
      </c>
      <c r="T1926" s="21">
        <v>0</v>
      </c>
      <c r="U1926" s="21">
        <v>0</v>
      </c>
      <c r="V1926" s="21">
        <v>0</v>
      </c>
      <c r="W1926" s="21">
        <v>0</v>
      </c>
      <c r="X1926" s="21">
        <v>0</v>
      </c>
      <c r="Y1926" s="4" t="s">
        <v>2276</v>
      </c>
      <c r="Z1926" s="4" t="s">
        <v>2276</v>
      </c>
      <c r="AA1926" s="4" t="s">
        <v>2276</v>
      </c>
      <c r="AB1926" s="4" t="s">
        <v>2276</v>
      </c>
      <c r="AC1926" s="4" t="s">
        <v>5575</v>
      </c>
      <c r="AD1926" s="3"/>
    </row>
    <row r="1927" spans="1:30" ht="29" customHeight="1">
      <c r="A1927" s="11" t="s">
        <v>5543</v>
      </c>
      <c r="B1927" s="11" t="s">
        <v>5564</v>
      </c>
      <c r="C1927" s="3" t="s">
        <v>24</v>
      </c>
      <c r="D1927" s="3" t="s">
        <v>27</v>
      </c>
      <c r="E1927" s="4" t="s">
        <v>397</v>
      </c>
      <c r="F1927" s="4" t="s">
        <v>2276</v>
      </c>
      <c r="G1927" s="4" t="s">
        <v>2276</v>
      </c>
      <c r="H1927" s="3" t="s">
        <v>524</v>
      </c>
      <c r="I1927" s="3"/>
      <c r="J1927" s="21">
        <v>0</v>
      </c>
      <c r="K1927" s="21">
        <v>0</v>
      </c>
      <c r="L1927" s="21">
        <v>0</v>
      </c>
      <c r="M1927" s="21">
        <v>0</v>
      </c>
      <c r="N1927" s="21">
        <v>0</v>
      </c>
      <c r="O1927" s="21">
        <v>0</v>
      </c>
      <c r="P1927" s="21">
        <v>0</v>
      </c>
      <c r="Q1927" s="21">
        <v>0</v>
      </c>
      <c r="R1927" s="21">
        <v>0</v>
      </c>
      <c r="S1927" s="21">
        <v>0</v>
      </c>
      <c r="T1927" s="21">
        <v>0</v>
      </c>
      <c r="U1927" s="21">
        <v>0</v>
      </c>
      <c r="V1927" s="21">
        <v>0</v>
      </c>
      <c r="W1927" s="21">
        <v>0</v>
      </c>
      <c r="X1927" s="21">
        <v>0</v>
      </c>
      <c r="Y1927" s="4" t="s">
        <v>2276</v>
      </c>
      <c r="Z1927" s="4" t="s">
        <v>2276</v>
      </c>
      <c r="AA1927" s="4" t="s">
        <v>2276</v>
      </c>
      <c r="AB1927" s="4" t="s">
        <v>2276</v>
      </c>
      <c r="AC1927" s="4" t="s">
        <v>5575</v>
      </c>
      <c r="AD1927" s="3"/>
    </row>
    <row r="1928" spans="1:30" ht="29" customHeight="1">
      <c r="A1928" s="11" t="s">
        <v>5547</v>
      </c>
      <c r="B1928" s="11" t="s">
        <v>5565</v>
      </c>
      <c r="C1928" s="3" t="s">
        <v>24</v>
      </c>
      <c r="D1928" s="3" t="s">
        <v>27</v>
      </c>
      <c r="E1928" s="4" t="s">
        <v>397</v>
      </c>
      <c r="F1928" s="4" t="s">
        <v>2276</v>
      </c>
      <c r="G1928" s="4" t="s">
        <v>2276</v>
      </c>
      <c r="H1928" s="3" t="s">
        <v>524</v>
      </c>
      <c r="I1928" s="3"/>
      <c r="J1928" s="21">
        <v>0</v>
      </c>
      <c r="K1928" s="21">
        <v>0</v>
      </c>
      <c r="L1928" s="21">
        <v>0</v>
      </c>
      <c r="M1928" s="21">
        <v>0</v>
      </c>
      <c r="N1928" s="21">
        <v>0</v>
      </c>
      <c r="O1928" s="21">
        <v>0</v>
      </c>
      <c r="P1928" s="21">
        <v>0</v>
      </c>
      <c r="Q1928" s="21">
        <v>0</v>
      </c>
      <c r="R1928" s="21">
        <v>0</v>
      </c>
      <c r="S1928" s="21">
        <v>0</v>
      </c>
      <c r="T1928" s="21">
        <v>0</v>
      </c>
      <c r="U1928" s="21">
        <v>0</v>
      </c>
      <c r="V1928" s="21">
        <v>0</v>
      </c>
      <c r="W1928" s="21">
        <v>0</v>
      </c>
      <c r="X1928" s="21">
        <v>0</v>
      </c>
      <c r="Y1928" s="4" t="s">
        <v>2276</v>
      </c>
      <c r="Z1928" s="4" t="s">
        <v>2276</v>
      </c>
      <c r="AA1928" s="4" t="s">
        <v>2276</v>
      </c>
      <c r="AB1928" s="4" t="s">
        <v>2276</v>
      </c>
      <c r="AC1928" s="4" t="s">
        <v>5575</v>
      </c>
      <c r="AD1928" s="3"/>
    </row>
    <row r="1929" spans="1:30" ht="29" customHeight="1">
      <c r="A1929" s="11" t="s">
        <v>5548</v>
      </c>
      <c r="B1929" s="11" t="s">
        <v>5566</v>
      </c>
      <c r="C1929" s="3" t="s">
        <v>24</v>
      </c>
      <c r="D1929" s="3" t="s">
        <v>27</v>
      </c>
      <c r="E1929" s="4" t="s">
        <v>397</v>
      </c>
      <c r="F1929" s="4" t="s">
        <v>2276</v>
      </c>
      <c r="G1929" s="4" t="s">
        <v>2276</v>
      </c>
      <c r="H1929" s="3" t="s">
        <v>524</v>
      </c>
      <c r="I1929" s="3"/>
      <c r="J1929" s="21">
        <v>0</v>
      </c>
      <c r="K1929" s="21">
        <v>0</v>
      </c>
      <c r="L1929" s="21">
        <v>0</v>
      </c>
      <c r="M1929" s="21">
        <v>0</v>
      </c>
      <c r="N1929" s="21">
        <v>0</v>
      </c>
      <c r="O1929" s="21">
        <v>0</v>
      </c>
      <c r="P1929" s="21">
        <v>0</v>
      </c>
      <c r="Q1929" s="21">
        <v>0</v>
      </c>
      <c r="R1929" s="21">
        <v>0</v>
      </c>
      <c r="S1929" s="21">
        <v>0</v>
      </c>
      <c r="T1929" s="21">
        <v>0</v>
      </c>
      <c r="U1929" s="21">
        <v>0</v>
      </c>
      <c r="V1929" s="21">
        <v>0</v>
      </c>
      <c r="W1929" s="21">
        <v>0</v>
      </c>
      <c r="X1929" s="21">
        <v>0</v>
      </c>
      <c r="Y1929" s="4" t="s">
        <v>2276</v>
      </c>
      <c r="Z1929" s="4" t="s">
        <v>2276</v>
      </c>
      <c r="AA1929" s="4" t="s">
        <v>2276</v>
      </c>
      <c r="AB1929" s="4" t="s">
        <v>2276</v>
      </c>
      <c r="AC1929" s="4" t="s">
        <v>5575</v>
      </c>
      <c r="AD1929" s="3"/>
    </row>
    <row r="1930" spans="1:30" ht="29" customHeight="1">
      <c r="A1930" s="11" t="s">
        <v>5527</v>
      </c>
      <c r="B1930" s="11" t="s">
        <v>5567</v>
      </c>
      <c r="C1930" s="3" t="s">
        <v>24</v>
      </c>
      <c r="D1930" s="3" t="s">
        <v>27</v>
      </c>
      <c r="E1930" s="4" t="s">
        <v>396</v>
      </c>
      <c r="F1930" s="4" t="s">
        <v>2276</v>
      </c>
      <c r="G1930" s="4" t="s">
        <v>2276</v>
      </c>
      <c r="H1930" s="3" t="s">
        <v>524</v>
      </c>
      <c r="I1930" s="3"/>
      <c r="J1930" s="21">
        <v>0</v>
      </c>
      <c r="K1930" s="21">
        <v>0</v>
      </c>
      <c r="L1930" s="21">
        <v>0</v>
      </c>
      <c r="M1930" s="21">
        <v>0</v>
      </c>
      <c r="N1930" s="21">
        <v>0</v>
      </c>
      <c r="O1930" s="21">
        <v>0</v>
      </c>
      <c r="P1930" s="21">
        <v>0</v>
      </c>
      <c r="Q1930" s="21">
        <v>0</v>
      </c>
      <c r="R1930" s="21">
        <v>0</v>
      </c>
      <c r="S1930" s="21">
        <v>0</v>
      </c>
      <c r="T1930" s="21">
        <v>0</v>
      </c>
      <c r="U1930" s="21">
        <v>0</v>
      </c>
      <c r="V1930" s="21">
        <v>0</v>
      </c>
      <c r="W1930" s="21">
        <v>0</v>
      </c>
      <c r="X1930" s="21">
        <v>0</v>
      </c>
      <c r="Y1930" s="4" t="s">
        <v>2276</v>
      </c>
      <c r="Z1930" s="4" t="s">
        <v>2276</v>
      </c>
      <c r="AA1930" s="4" t="s">
        <v>2276</v>
      </c>
      <c r="AB1930" s="4" t="s">
        <v>2276</v>
      </c>
      <c r="AC1930" s="4" t="s">
        <v>5575</v>
      </c>
      <c r="AD1930" s="3"/>
    </row>
    <row r="1931" spans="1:30" ht="29" customHeight="1">
      <c r="A1931" s="11" t="s">
        <v>5539</v>
      </c>
      <c r="B1931" s="11" t="s">
        <v>5568</v>
      </c>
      <c r="C1931" s="3" t="s">
        <v>24</v>
      </c>
      <c r="D1931" s="3" t="s">
        <v>27</v>
      </c>
      <c r="E1931" s="4" t="s">
        <v>396</v>
      </c>
      <c r="F1931" s="4" t="s">
        <v>2276</v>
      </c>
      <c r="G1931" s="4" t="s">
        <v>2276</v>
      </c>
      <c r="H1931" s="3" t="s">
        <v>524</v>
      </c>
      <c r="I1931" s="3"/>
      <c r="J1931" s="21">
        <v>0</v>
      </c>
      <c r="K1931" s="21">
        <v>0</v>
      </c>
      <c r="L1931" s="21">
        <v>0</v>
      </c>
      <c r="M1931" s="21">
        <v>0</v>
      </c>
      <c r="N1931" s="21">
        <v>0</v>
      </c>
      <c r="O1931" s="21">
        <v>0</v>
      </c>
      <c r="P1931" s="21">
        <v>0</v>
      </c>
      <c r="Q1931" s="21">
        <v>0</v>
      </c>
      <c r="R1931" s="21">
        <v>0</v>
      </c>
      <c r="S1931" s="21">
        <v>0</v>
      </c>
      <c r="T1931" s="21">
        <v>0</v>
      </c>
      <c r="U1931" s="21">
        <v>0</v>
      </c>
      <c r="V1931" s="21">
        <v>0</v>
      </c>
      <c r="W1931" s="21">
        <v>0</v>
      </c>
      <c r="X1931" s="21">
        <v>0</v>
      </c>
      <c r="Y1931" s="4" t="s">
        <v>2276</v>
      </c>
      <c r="Z1931" s="4" t="s">
        <v>2276</v>
      </c>
      <c r="AA1931" s="4" t="s">
        <v>2276</v>
      </c>
      <c r="AB1931" s="4" t="s">
        <v>2276</v>
      </c>
      <c r="AC1931" s="4" t="s">
        <v>5575</v>
      </c>
      <c r="AD1931" s="3"/>
    </row>
    <row r="1932" spans="1:30" ht="29" customHeight="1">
      <c r="A1932" s="11" t="s">
        <v>5540</v>
      </c>
      <c r="B1932" s="11" t="s">
        <v>5569</v>
      </c>
      <c r="C1932" s="3" t="s">
        <v>24</v>
      </c>
      <c r="D1932" s="3" t="s">
        <v>27</v>
      </c>
      <c r="E1932" s="4" t="s">
        <v>396</v>
      </c>
      <c r="F1932" s="4" t="s">
        <v>2276</v>
      </c>
      <c r="G1932" s="4" t="s">
        <v>2276</v>
      </c>
      <c r="H1932" s="3" t="s">
        <v>524</v>
      </c>
      <c r="I1932" s="3"/>
      <c r="J1932" s="21">
        <v>0</v>
      </c>
      <c r="K1932" s="21">
        <v>0</v>
      </c>
      <c r="L1932" s="21">
        <v>0</v>
      </c>
      <c r="M1932" s="21">
        <v>0</v>
      </c>
      <c r="N1932" s="21">
        <v>0</v>
      </c>
      <c r="O1932" s="21">
        <v>0</v>
      </c>
      <c r="P1932" s="21">
        <v>0</v>
      </c>
      <c r="Q1932" s="21">
        <v>0</v>
      </c>
      <c r="R1932" s="21">
        <v>0</v>
      </c>
      <c r="S1932" s="21">
        <v>0</v>
      </c>
      <c r="T1932" s="21">
        <v>0</v>
      </c>
      <c r="U1932" s="21">
        <v>0</v>
      </c>
      <c r="V1932" s="21">
        <v>0</v>
      </c>
      <c r="W1932" s="21">
        <v>0</v>
      </c>
      <c r="X1932" s="21">
        <v>0</v>
      </c>
      <c r="Y1932" s="4" t="s">
        <v>2276</v>
      </c>
      <c r="Z1932" s="4" t="s">
        <v>2276</v>
      </c>
      <c r="AA1932" s="4" t="s">
        <v>2276</v>
      </c>
      <c r="AB1932" s="4" t="s">
        <v>2276</v>
      </c>
      <c r="AC1932" s="4" t="s">
        <v>5575</v>
      </c>
      <c r="AD1932" s="3"/>
    </row>
    <row r="1933" spans="1:30" ht="29" customHeight="1">
      <c r="A1933" s="11" t="s">
        <v>5541</v>
      </c>
      <c r="B1933" s="11" t="s">
        <v>5570</v>
      </c>
      <c r="C1933" s="3" t="s">
        <v>24</v>
      </c>
      <c r="D1933" s="3" t="s">
        <v>27</v>
      </c>
      <c r="E1933" s="4" t="s">
        <v>396</v>
      </c>
      <c r="F1933" s="4" t="s">
        <v>2276</v>
      </c>
      <c r="G1933" s="4" t="s">
        <v>2276</v>
      </c>
      <c r="H1933" s="3" t="s">
        <v>524</v>
      </c>
      <c r="I1933" s="3"/>
      <c r="J1933" s="21">
        <v>0</v>
      </c>
      <c r="K1933" s="21">
        <v>0</v>
      </c>
      <c r="L1933" s="21">
        <v>0</v>
      </c>
      <c r="M1933" s="21">
        <v>0</v>
      </c>
      <c r="N1933" s="21">
        <v>0</v>
      </c>
      <c r="O1933" s="21">
        <v>0</v>
      </c>
      <c r="P1933" s="21">
        <v>0</v>
      </c>
      <c r="Q1933" s="21">
        <v>0</v>
      </c>
      <c r="R1933" s="21">
        <v>0</v>
      </c>
      <c r="S1933" s="21">
        <v>0</v>
      </c>
      <c r="T1933" s="21">
        <v>0</v>
      </c>
      <c r="U1933" s="21">
        <v>0</v>
      </c>
      <c r="V1933" s="21">
        <v>0</v>
      </c>
      <c r="W1933" s="21">
        <v>0</v>
      </c>
      <c r="X1933" s="21">
        <v>0</v>
      </c>
      <c r="Y1933" s="4" t="s">
        <v>2276</v>
      </c>
      <c r="Z1933" s="4" t="s">
        <v>2276</v>
      </c>
      <c r="AA1933" s="4" t="s">
        <v>2276</v>
      </c>
      <c r="AB1933" s="4" t="s">
        <v>2276</v>
      </c>
      <c r="AC1933" s="4" t="s">
        <v>5575</v>
      </c>
      <c r="AD1933" s="3"/>
    </row>
    <row r="1934" spans="1:30" ht="29" customHeight="1">
      <c r="A1934" s="11" t="s">
        <v>5542</v>
      </c>
      <c r="B1934" s="11" t="s">
        <v>5571</v>
      </c>
      <c r="C1934" s="3" t="s">
        <v>24</v>
      </c>
      <c r="D1934" s="3" t="s">
        <v>27</v>
      </c>
      <c r="E1934" s="4" t="s">
        <v>396</v>
      </c>
      <c r="F1934" s="4" t="s">
        <v>2276</v>
      </c>
      <c r="G1934" s="4" t="s">
        <v>2276</v>
      </c>
      <c r="H1934" s="3" t="s">
        <v>524</v>
      </c>
      <c r="I1934" s="3"/>
      <c r="J1934" s="21">
        <v>0</v>
      </c>
      <c r="K1934" s="21">
        <v>0</v>
      </c>
      <c r="L1934" s="21">
        <v>0</v>
      </c>
      <c r="M1934" s="21">
        <v>0</v>
      </c>
      <c r="N1934" s="21">
        <v>0</v>
      </c>
      <c r="O1934" s="21">
        <v>0</v>
      </c>
      <c r="P1934" s="21">
        <v>0</v>
      </c>
      <c r="Q1934" s="21">
        <v>0</v>
      </c>
      <c r="R1934" s="21">
        <v>0</v>
      </c>
      <c r="S1934" s="21">
        <v>0</v>
      </c>
      <c r="T1934" s="21">
        <v>0</v>
      </c>
      <c r="U1934" s="21">
        <v>0</v>
      </c>
      <c r="V1934" s="21">
        <v>0</v>
      </c>
      <c r="W1934" s="21">
        <v>0</v>
      </c>
      <c r="X1934" s="21">
        <v>0</v>
      </c>
      <c r="Y1934" s="4" t="s">
        <v>2276</v>
      </c>
      <c r="Z1934" s="4" t="s">
        <v>2276</v>
      </c>
      <c r="AA1934" s="4" t="s">
        <v>2276</v>
      </c>
      <c r="AB1934" s="4" t="s">
        <v>2276</v>
      </c>
      <c r="AC1934" s="4" t="s">
        <v>5575</v>
      </c>
      <c r="AD1934" s="3"/>
    </row>
    <row r="1935" spans="1:30" ht="29" customHeight="1">
      <c r="A1935" s="11" t="s">
        <v>5543</v>
      </c>
      <c r="B1935" s="11" t="s">
        <v>5572</v>
      </c>
      <c r="C1935" s="3" t="s">
        <v>24</v>
      </c>
      <c r="D1935" s="3" t="s">
        <v>27</v>
      </c>
      <c r="E1935" s="4" t="s">
        <v>396</v>
      </c>
      <c r="F1935" s="4" t="s">
        <v>2276</v>
      </c>
      <c r="G1935" s="4" t="s">
        <v>2276</v>
      </c>
      <c r="H1935" s="3" t="s">
        <v>524</v>
      </c>
      <c r="I1935" s="3"/>
      <c r="J1935" s="21">
        <v>0</v>
      </c>
      <c r="K1935" s="21">
        <v>0</v>
      </c>
      <c r="L1935" s="21">
        <v>0</v>
      </c>
      <c r="M1935" s="21">
        <v>0</v>
      </c>
      <c r="N1935" s="21">
        <v>0</v>
      </c>
      <c r="O1935" s="21">
        <v>0</v>
      </c>
      <c r="P1935" s="21">
        <v>0</v>
      </c>
      <c r="Q1935" s="21">
        <v>0</v>
      </c>
      <c r="R1935" s="21">
        <v>0</v>
      </c>
      <c r="S1935" s="21">
        <v>0</v>
      </c>
      <c r="T1935" s="21">
        <v>0</v>
      </c>
      <c r="U1935" s="21">
        <v>0</v>
      </c>
      <c r="V1935" s="21">
        <v>0</v>
      </c>
      <c r="W1935" s="21">
        <v>0</v>
      </c>
      <c r="X1935" s="21">
        <v>0</v>
      </c>
      <c r="Y1935" s="4" t="s">
        <v>2276</v>
      </c>
      <c r="Z1935" s="4" t="s">
        <v>2276</v>
      </c>
      <c r="AA1935" s="4" t="s">
        <v>2276</v>
      </c>
      <c r="AB1935" s="4" t="s">
        <v>2276</v>
      </c>
      <c r="AC1935" s="4" t="s">
        <v>5575</v>
      </c>
      <c r="AD1935" s="3"/>
    </row>
    <row r="1936" spans="1:30" ht="29" customHeight="1">
      <c r="A1936" s="11" t="s">
        <v>5547</v>
      </c>
      <c r="B1936" s="11" t="s">
        <v>5573</v>
      </c>
      <c r="C1936" s="3" t="s">
        <v>24</v>
      </c>
      <c r="D1936" s="3" t="s">
        <v>27</v>
      </c>
      <c r="E1936" s="4" t="s">
        <v>396</v>
      </c>
      <c r="F1936" s="4" t="s">
        <v>2276</v>
      </c>
      <c r="G1936" s="4" t="s">
        <v>2276</v>
      </c>
      <c r="H1936" s="3" t="s">
        <v>524</v>
      </c>
      <c r="I1936" s="3"/>
      <c r="J1936" s="21">
        <v>0</v>
      </c>
      <c r="K1936" s="21">
        <v>0</v>
      </c>
      <c r="L1936" s="21">
        <v>0</v>
      </c>
      <c r="M1936" s="21">
        <v>0</v>
      </c>
      <c r="N1936" s="21">
        <v>0</v>
      </c>
      <c r="O1936" s="21">
        <v>0</v>
      </c>
      <c r="P1936" s="21">
        <v>0</v>
      </c>
      <c r="Q1936" s="21">
        <v>0</v>
      </c>
      <c r="R1936" s="21">
        <v>0</v>
      </c>
      <c r="S1936" s="21">
        <v>0</v>
      </c>
      <c r="T1936" s="21">
        <v>0</v>
      </c>
      <c r="U1936" s="21">
        <v>0</v>
      </c>
      <c r="V1936" s="21">
        <v>0</v>
      </c>
      <c r="W1936" s="21">
        <v>0</v>
      </c>
      <c r="X1936" s="21">
        <v>0</v>
      </c>
      <c r="Y1936" s="4" t="s">
        <v>2276</v>
      </c>
      <c r="Z1936" s="4" t="s">
        <v>2276</v>
      </c>
      <c r="AA1936" s="4" t="s">
        <v>2276</v>
      </c>
      <c r="AB1936" s="4" t="s">
        <v>2276</v>
      </c>
      <c r="AC1936" s="4" t="s">
        <v>5575</v>
      </c>
      <c r="AD1936" s="3"/>
    </row>
    <row r="1937" spans="1:30" ht="29" customHeight="1">
      <c r="A1937" s="11" t="s">
        <v>5548</v>
      </c>
      <c r="B1937" s="11" t="s">
        <v>5574</v>
      </c>
      <c r="C1937" s="3" t="s">
        <v>24</v>
      </c>
      <c r="D1937" s="3" t="s">
        <v>27</v>
      </c>
      <c r="E1937" s="4" t="s">
        <v>396</v>
      </c>
      <c r="F1937" s="4" t="s">
        <v>2276</v>
      </c>
      <c r="G1937" s="4" t="s">
        <v>2276</v>
      </c>
      <c r="H1937" s="3" t="s">
        <v>524</v>
      </c>
      <c r="I1937" s="3"/>
      <c r="J1937" s="21">
        <v>0</v>
      </c>
      <c r="K1937" s="21">
        <v>0</v>
      </c>
      <c r="L1937" s="21">
        <v>0</v>
      </c>
      <c r="M1937" s="21">
        <v>0</v>
      </c>
      <c r="N1937" s="21">
        <v>0</v>
      </c>
      <c r="O1937" s="21">
        <v>0</v>
      </c>
      <c r="P1937" s="21">
        <v>0</v>
      </c>
      <c r="Q1937" s="21">
        <v>0</v>
      </c>
      <c r="R1937" s="21">
        <v>0</v>
      </c>
      <c r="S1937" s="21">
        <v>0</v>
      </c>
      <c r="T1937" s="21">
        <v>0</v>
      </c>
      <c r="U1937" s="21">
        <v>0</v>
      </c>
      <c r="V1937" s="21">
        <v>0</v>
      </c>
      <c r="W1937" s="21">
        <v>0</v>
      </c>
      <c r="X1937" s="21">
        <v>0</v>
      </c>
      <c r="Y1937" s="4" t="s">
        <v>2276</v>
      </c>
      <c r="Z1937" s="4" t="s">
        <v>2276</v>
      </c>
      <c r="AA1937" s="4" t="s">
        <v>2276</v>
      </c>
      <c r="AB1937" s="4" t="s">
        <v>2276</v>
      </c>
      <c r="AC1937" s="4" t="s">
        <v>5575</v>
      </c>
      <c r="AD1937" s="3"/>
    </row>
    <row r="1938" spans="1:30" ht="28" customHeight="1">
      <c r="A1938" s="11" t="s">
        <v>5578</v>
      </c>
      <c r="B1938" s="11" t="s">
        <v>5582</v>
      </c>
      <c r="C1938" s="3" t="s">
        <v>24</v>
      </c>
      <c r="D1938" s="3" t="s">
        <v>1242</v>
      </c>
      <c r="E1938" s="4" t="s">
        <v>397</v>
      </c>
      <c r="F1938" s="4" t="s">
        <v>2276</v>
      </c>
      <c r="G1938" s="4" t="s">
        <v>2276</v>
      </c>
      <c r="H1938" s="3" t="s">
        <v>523</v>
      </c>
      <c r="I1938" s="3"/>
      <c r="J1938" s="4" t="s">
        <v>2276</v>
      </c>
      <c r="K1938" s="4" t="s">
        <v>2276</v>
      </c>
      <c r="L1938" s="4" t="s">
        <v>2276</v>
      </c>
      <c r="M1938" s="4" t="s">
        <v>2276</v>
      </c>
      <c r="N1938" s="4" t="s">
        <v>2276</v>
      </c>
      <c r="O1938" s="4" t="s">
        <v>2276</v>
      </c>
      <c r="P1938" s="4" t="s">
        <v>2276</v>
      </c>
      <c r="Q1938" s="4" t="s">
        <v>2276</v>
      </c>
      <c r="R1938" s="4" t="s">
        <v>2276</v>
      </c>
      <c r="S1938" s="4" t="s">
        <v>2276</v>
      </c>
      <c r="T1938" s="4" t="s">
        <v>2276</v>
      </c>
      <c r="U1938" s="4" t="s">
        <v>2276</v>
      </c>
      <c r="V1938" s="4" t="s">
        <v>2276</v>
      </c>
      <c r="W1938" s="4" t="s">
        <v>2276</v>
      </c>
      <c r="X1938" s="4" t="s">
        <v>2276</v>
      </c>
      <c r="Y1938" s="4" t="s">
        <v>2276</v>
      </c>
      <c r="Z1938" s="4" t="s">
        <v>2276</v>
      </c>
      <c r="AA1938" s="4" t="s">
        <v>2276</v>
      </c>
      <c r="AB1938" s="4" t="s">
        <v>2276</v>
      </c>
      <c r="AC1938" s="3"/>
      <c r="AD1938" s="3"/>
    </row>
    <row r="1939" spans="1:30" ht="35.5" customHeight="1">
      <c r="A1939" s="11" t="s">
        <v>5578</v>
      </c>
      <c r="B1939" s="11" t="s">
        <v>5583</v>
      </c>
      <c r="C1939" s="3" t="s">
        <v>24</v>
      </c>
      <c r="D1939" s="3" t="s">
        <v>1242</v>
      </c>
      <c r="E1939" s="4" t="s">
        <v>2651</v>
      </c>
      <c r="F1939" s="4" t="s">
        <v>2276</v>
      </c>
      <c r="G1939" s="4" t="s">
        <v>2276</v>
      </c>
      <c r="H1939" s="3" t="s">
        <v>523</v>
      </c>
      <c r="I1939" s="3"/>
      <c r="J1939" s="4" t="s">
        <v>2276</v>
      </c>
      <c r="K1939" s="4" t="s">
        <v>2276</v>
      </c>
      <c r="L1939" s="4" t="s">
        <v>2276</v>
      </c>
      <c r="M1939" s="4" t="s">
        <v>2276</v>
      </c>
      <c r="N1939" s="4" t="s">
        <v>2276</v>
      </c>
      <c r="O1939" s="4" t="s">
        <v>2276</v>
      </c>
      <c r="P1939" s="4" t="s">
        <v>2276</v>
      </c>
      <c r="Q1939" s="4" t="s">
        <v>2276</v>
      </c>
      <c r="R1939" s="4" t="s">
        <v>2276</v>
      </c>
      <c r="S1939" s="4" t="s">
        <v>2276</v>
      </c>
      <c r="T1939" s="4" t="s">
        <v>2276</v>
      </c>
      <c r="U1939" s="4" t="s">
        <v>2276</v>
      </c>
      <c r="V1939" s="4" t="s">
        <v>2276</v>
      </c>
      <c r="W1939" s="4" t="s">
        <v>2276</v>
      </c>
      <c r="X1939" s="4" t="s">
        <v>2276</v>
      </c>
      <c r="Y1939" s="4" t="s">
        <v>2276</v>
      </c>
      <c r="Z1939" s="4" t="s">
        <v>2276</v>
      </c>
      <c r="AA1939" s="4" t="s">
        <v>2276</v>
      </c>
      <c r="AB1939" s="4" t="s">
        <v>2276</v>
      </c>
      <c r="AC1939" s="3"/>
      <c r="AD1939" s="3"/>
    </row>
    <row r="1940" spans="1:30" ht="28" customHeight="1">
      <c r="A1940" s="11" t="s">
        <v>5590</v>
      </c>
      <c r="B1940" s="11" t="s">
        <v>5593</v>
      </c>
      <c r="C1940" s="3" t="s">
        <v>24</v>
      </c>
      <c r="D1940" s="3" t="s">
        <v>27</v>
      </c>
      <c r="E1940" s="3" t="s">
        <v>130</v>
      </c>
      <c r="F1940" s="4" t="s">
        <v>74</v>
      </c>
      <c r="G1940" s="4" t="s">
        <v>2276</v>
      </c>
      <c r="H1940" s="3" t="s">
        <v>523</v>
      </c>
      <c r="I1940" s="3"/>
      <c r="J1940" s="4" t="s">
        <v>2276</v>
      </c>
      <c r="K1940" s="4" t="s">
        <v>2276</v>
      </c>
      <c r="L1940" s="4" t="s">
        <v>2276</v>
      </c>
      <c r="M1940" s="4" t="s">
        <v>2276</v>
      </c>
      <c r="N1940" s="4" t="s">
        <v>2276</v>
      </c>
      <c r="O1940" s="4" t="s">
        <v>2276</v>
      </c>
      <c r="P1940" s="4" t="s">
        <v>2276</v>
      </c>
      <c r="Q1940" s="4" t="s">
        <v>2276</v>
      </c>
      <c r="R1940" s="4" t="s">
        <v>2276</v>
      </c>
      <c r="S1940" s="4" t="s">
        <v>2276</v>
      </c>
      <c r="T1940" s="4" t="s">
        <v>2276</v>
      </c>
      <c r="U1940" s="4" t="s">
        <v>2276</v>
      </c>
      <c r="V1940" s="4" t="s">
        <v>2276</v>
      </c>
      <c r="W1940" s="4" t="s">
        <v>2276</v>
      </c>
      <c r="X1940" s="4" t="s">
        <v>2276</v>
      </c>
      <c r="Y1940" s="4" t="s">
        <v>2276</v>
      </c>
      <c r="Z1940" s="4" t="s">
        <v>2276</v>
      </c>
      <c r="AA1940" s="4" t="s">
        <v>2276</v>
      </c>
      <c r="AB1940" s="4" t="s">
        <v>2276</v>
      </c>
      <c r="AC1940" s="3"/>
      <c r="AD1940" s="3"/>
    </row>
    <row r="1941" spans="1:30" ht="31" customHeight="1">
      <c r="A1941" s="11" t="s">
        <v>5590</v>
      </c>
      <c r="B1941" s="11" t="s">
        <v>5594</v>
      </c>
      <c r="C1941" s="3" t="s">
        <v>24</v>
      </c>
      <c r="D1941" s="3" t="s">
        <v>2231</v>
      </c>
      <c r="E1941" s="3" t="s">
        <v>84</v>
      </c>
      <c r="F1941" s="4" t="s">
        <v>74</v>
      </c>
      <c r="G1941" s="4" t="s">
        <v>2276</v>
      </c>
      <c r="H1941" s="3" t="s">
        <v>523</v>
      </c>
      <c r="I1941" s="3"/>
      <c r="J1941" s="4" t="s">
        <v>2276</v>
      </c>
      <c r="K1941" s="4" t="s">
        <v>2276</v>
      </c>
      <c r="L1941" s="4" t="s">
        <v>2276</v>
      </c>
      <c r="M1941" s="4" t="s">
        <v>2276</v>
      </c>
      <c r="N1941" s="4" t="s">
        <v>2276</v>
      </c>
      <c r="O1941" s="4" t="s">
        <v>2276</v>
      </c>
      <c r="P1941" s="4" t="s">
        <v>2276</v>
      </c>
      <c r="Q1941" s="4" t="s">
        <v>2276</v>
      </c>
      <c r="R1941" s="4" t="s">
        <v>2276</v>
      </c>
      <c r="S1941" s="4" t="s">
        <v>2276</v>
      </c>
      <c r="T1941" s="4" t="s">
        <v>2276</v>
      </c>
      <c r="U1941" s="4" t="s">
        <v>2276</v>
      </c>
      <c r="V1941" s="4" t="s">
        <v>2276</v>
      </c>
      <c r="W1941" s="4" t="s">
        <v>2276</v>
      </c>
      <c r="X1941" s="4" t="s">
        <v>2276</v>
      </c>
      <c r="Y1941" s="4" t="s">
        <v>2276</v>
      </c>
      <c r="Z1941" s="4" t="s">
        <v>2276</v>
      </c>
      <c r="AA1941" s="4" t="s">
        <v>2276</v>
      </c>
      <c r="AB1941" s="4" t="s">
        <v>2276</v>
      </c>
      <c r="AC1941" s="3"/>
      <c r="AD1941" s="3"/>
    </row>
    <row r="1942" spans="1:30" ht="30" customHeight="1">
      <c r="A1942" s="11" t="s">
        <v>5599</v>
      </c>
      <c r="B1942" s="11" t="s">
        <v>5603</v>
      </c>
      <c r="C1942" s="3" t="s">
        <v>24</v>
      </c>
      <c r="D1942" s="3" t="s">
        <v>27</v>
      </c>
      <c r="E1942" s="3" t="s">
        <v>130</v>
      </c>
      <c r="F1942" s="4" t="s">
        <v>160</v>
      </c>
      <c r="G1942" s="4" t="s">
        <v>2276</v>
      </c>
      <c r="H1942" s="3" t="s">
        <v>523</v>
      </c>
      <c r="I1942" s="3"/>
      <c r="J1942" s="4" t="s">
        <v>2276</v>
      </c>
      <c r="K1942" s="4" t="s">
        <v>2276</v>
      </c>
      <c r="L1942" s="4" t="s">
        <v>2276</v>
      </c>
      <c r="M1942" s="4" t="s">
        <v>2276</v>
      </c>
      <c r="N1942" s="4" t="s">
        <v>2276</v>
      </c>
      <c r="O1942" s="4" t="s">
        <v>2276</v>
      </c>
      <c r="P1942" s="4" t="s">
        <v>2276</v>
      </c>
      <c r="Q1942" s="4" t="s">
        <v>2276</v>
      </c>
      <c r="R1942" s="4" t="s">
        <v>2276</v>
      </c>
      <c r="S1942" s="4" t="s">
        <v>2276</v>
      </c>
      <c r="T1942" s="4" t="s">
        <v>2276</v>
      </c>
      <c r="U1942" s="4" t="s">
        <v>2276</v>
      </c>
      <c r="V1942" s="4" t="s">
        <v>2276</v>
      </c>
      <c r="W1942" s="4" t="s">
        <v>2276</v>
      </c>
      <c r="X1942" s="4" t="s">
        <v>2276</v>
      </c>
      <c r="Y1942" s="4" t="s">
        <v>2276</v>
      </c>
      <c r="Z1942" s="4" t="s">
        <v>2276</v>
      </c>
      <c r="AA1942" s="4" t="s">
        <v>2276</v>
      </c>
      <c r="AB1942" s="4" t="s">
        <v>2276</v>
      </c>
      <c r="AC1942" s="3"/>
      <c r="AD1942" s="3"/>
    </row>
    <row r="1943" spans="1:30" ht="30" customHeight="1">
      <c r="A1943" s="11" t="s">
        <v>5600</v>
      </c>
      <c r="B1943" s="11" t="s">
        <v>5604</v>
      </c>
      <c r="C1943" s="3" t="s">
        <v>24</v>
      </c>
      <c r="D1943" s="3" t="s">
        <v>27</v>
      </c>
      <c r="E1943" s="3" t="s">
        <v>130</v>
      </c>
      <c r="F1943" s="4" t="s">
        <v>160</v>
      </c>
      <c r="G1943" s="4" t="s">
        <v>2276</v>
      </c>
      <c r="H1943" s="3" t="s">
        <v>523</v>
      </c>
      <c r="I1943" s="3"/>
      <c r="J1943" s="4" t="s">
        <v>2276</v>
      </c>
      <c r="K1943" s="4" t="s">
        <v>2276</v>
      </c>
      <c r="L1943" s="4" t="s">
        <v>2276</v>
      </c>
      <c r="M1943" s="4" t="s">
        <v>2276</v>
      </c>
      <c r="N1943" s="4" t="s">
        <v>2276</v>
      </c>
      <c r="O1943" s="4" t="s">
        <v>2276</v>
      </c>
      <c r="P1943" s="4" t="s">
        <v>2276</v>
      </c>
      <c r="Q1943" s="4" t="s">
        <v>2276</v>
      </c>
      <c r="R1943" s="4" t="s">
        <v>2276</v>
      </c>
      <c r="S1943" s="4" t="s">
        <v>2276</v>
      </c>
      <c r="T1943" s="4" t="s">
        <v>2276</v>
      </c>
      <c r="U1943" s="4" t="s">
        <v>2276</v>
      </c>
      <c r="V1943" s="4" t="s">
        <v>2276</v>
      </c>
      <c r="W1943" s="4" t="s">
        <v>2276</v>
      </c>
      <c r="X1943" s="4" t="s">
        <v>2276</v>
      </c>
      <c r="Y1943" s="4" t="s">
        <v>2276</v>
      </c>
      <c r="Z1943" s="4" t="s">
        <v>2276</v>
      </c>
      <c r="AA1943" s="4" t="s">
        <v>2276</v>
      </c>
      <c r="AB1943" s="4" t="s">
        <v>2276</v>
      </c>
      <c r="AC1943" s="3"/>
      <c r="AD1943" s="3"/>
    </row>
    <row r="1944" spans="1:30" ht="30" customHeight="1">
      <c r="A1944" s="11" t="s">
        <v>5599</v>
      </c>
      <c r="B1944" s="11" t="s">
        <v>5605</v>
      </c>
      <c r="C1944" s="3" t="s">
        <v>24</v>
      </c>
      <c r="D1944" s="3" t="s">
        <v>27</v>
      </c>
      <c r="E1944" s="3" t="s">
        <v>130</v>
      </c>
      <c r="F1944" s="4" t="s">
        <v>74</v>
      </c>
      <c r="G1944" s="4" t="s">
        <v>2276</v>
      </c>
      <c r="H1944" s="3" t="s">
        <v>523</v>
      </c>
      <c r="I1944" s="3"/>
      <c r="J1944" s="4" t="s">
        <v>2276</v>
      </c>
      <c r="K1944" s="4" t="s">
        <v>2276</v>
      </c>
      <c r="L1944" s="4" t="s">
        <v>2276</v>
      </c>
      <c r="M1944" s="4" t="s">
        <v>2276</v>
      </c>
      <c r="N1944" s="4" t="s">
        <v>2276</v>
      </c>
      <c r="O1944" s="4" t="s">
        <v>2276</v>
      </c>
      <c r="P1944" s="4" t="s">
        <v>2276</v>
      </c>
      <c r="Q1944" s="4" t="s">
        <v>2276</v>
      </c>
      <c r="R1944" s="4" t="s">
        <v>2276</v>
      </c>
      <c r="S1944" s="4" t="s">
        <v>2276</v>
      </c>
      <c r="T1944" s="4" t="s">
        <v>2276</v>
      </c>
      <c r="U1944" s="4" t="s">
        <v>2276</v>
      </c>
      <c r="V1944" s="4" t="s">
        <v>2276</v>
      </c>
      <c r="W1944" s="4" t="s">
        <v>2276</v>
      </c>
      <c r="X1944" s="4" t="s">
        <v>2276</v>
      </c>
      <c r="Y1944" s="4" t="s">
        <v>2276</v>
      </c>
      <c r="Z1944" s="4" t="s">
        <v>2276</v>
      </c>
      <c r="AA1944" s="4" t="s">
        <v>2276</v>
      </c>
      <c r="AB1944" s="4" t="s">
        <v>2276</v>
      </c>
      <c r="AC1944" s="3"/>
      <c r="AD1944" s="3"/>
    </row>
    <row r="1945" spans="1:30" ht="30" customHeight="1">
      <c r="A1945" s="11" t="s">
        <v>5600</v>
      </c>
      <c r="B1945" s="11" t="s">
        <v>5606</v>
      </c>
      <c r="C1945" s="3" t="s">
        <v>24</v>
      </c>
      <c r="D1945" s="3" t="s">
        <v>27</v>
      </c>
      <c r="E1945" s="3" t="s">
        <v>130</v>
      </c>
      <c r="F1945" s="4" t="s">
        <v>74</v>
      </c>
      <c r="G1945" s="4" t="s">
        <v>2276</v>
      </c>
      <c r="H1945" s="3" t="s">
        <v>523</v>
      </c>
      <c r="I1945" s="3"/>
      <c r="J1945" s="4" t="s">
        <v>2276</v>
      </c>
      <c r="K1945" s="4" t="s">
        <v>2276</v>
      </c>
      <c r="L1945" s="4" t="s">
        <v>2276</v>
      </c>
      <c r="M1945" s="4" t="s">
        <v>2276</v>
      </c>
      <c r="N1945" s="4" t="s">
        <v>2276</v>
      </c>
      <c r="O1945" s="4" t="s">
        <v>2276</v>
      </c>
      <c r="P1945" s="4" t="s">
        <v>2276</v>
      </c>
      <c r="Q1945" s="4" t="s">
        <v>2276</v>
      </c>
      <c r="R1945" s="4" t="s">
        <v>2276</v>
      </c>
      <c r="S1945" s="4" t="s">
        <v>2276</v>
      </c>
      <c r="T1945" s="4" t="s">
        <v>2276</v>
      </c>
      <c r="U1945" s="4" t="s">
        <v>2276</v>
      </c>
      <c r="V1945" s="4" t="s">
        <v>2276</v>
      </c>
      <c r="W1945" s="4" t="s">
        <v>2276</v>
      </c>
      <c r="X1945" s="4" t="s">
        <v>2276</v>
      </c>
      <c r="Y1945" s="4" t="s">
        <v>2276</v>
      </c>
      <c r="Z1945" s="4" t="s">
        <v>2276</v>
      </c>
      <c r="AA1945" s="4" t="s">
        <v>2276</v>
      </c>
      <c r="AB1945" s="4" t="s">
        <v>2276</v>
      </c>
      <c r="AC1945" s="3"/>
      <c r="AD1945" s="3"/>
    </row>
    <row r="1946" spans="1:30" ht="25.5" customHeight="1">
      <c r="A1946" s="11" t="s">
        <v>5599</v>
      </c>
      <c r="B1946" s="11" t="s">
        <v>5607</v>
      </c>
      <c r="C1946" s="3" t="s">
        <v>24</v>
      </c>
      <c r="D1946" s="3" t="s">
        <v>25</v>
      </c>
      <c r="E1946" s="3" t="s">
        <v>45</v>
      </c>
      <c r="F1946" s="4" t="s">
        <v>29</v>
      </c>
      <c r="G1946" s="4" t="s">
        <v>29</v>
      </c>
      <c r="H1946" s="3" t="s">
        <v>523</v>
      </c>
      <c r="I1946" s="3"/>
      <c r="J1946" s="4" t="s">
        <v>2276</v>
      </c>
      <c r="K1946" s="4" t="s">
        <v>2276</v>
      </c>
      <c r="L1946" s="4" t="s">
        <v>2276</v>
      </c>
      <c r="M1946" s="4" t="s">
        <v>2276</v>
      </c>
      <c r="N1946" s="4" t="s">
        <v>2276</v>
      </c>
      <c r="O1946" s="4" t="s">
        <v>2276</v>
      </c>
      <c r="P1946" s="4" t="s">
        <v>2276</v>
      </c>
      <c r="Q1946" s="4" t="s">
        <v>2276</v>
      </c>
      <c r="R1946" s="4" t="s">
        <v>2276</v>
      </c>
      <c r="S1946" s="4" t="s">
        <v>2276</v>
      </c>
      <c r="T1946" s="4" t="s">
        <v>2276</v>
      </c>
      <c r="U1946" s="4" t="s">
        <v>2276</v>
      </c>
      <c r="V1946" s="4" t="s">
        <v>2276</v>
      </c>
      <c r="W1946" s="4" t="s">
        <v>2276</v>
      </c>
      <c r="X1946" s="4" t="s">
        <v>2276</v>
      </c>
      <c r="Y1946" s="4" t="s">
        <v>2276</v>
      </c>
      <c r="Z1946" s="4" t="s">
        <v>2276</v>
      </c>
      <c r="AA1946" s="4" t="s">
        <v>2276</v>
      </c>
      <c r="AB1946" s="4" t="s">
        <v>2276</v>
      </c>
      <c r="AC1946" s="3"/>
      <c r="AD1946" s="3"/>
    </row>
    <row r="1947" spans="1:30" ht="25.5" customHeight="1">
      <c r="A1947" s="11" t="s">
        <v>5600</v>
      </c>
      <c r="B1947" s="11" t="s">
        <v>5608</v>
      </c>
      <c r="C1947" s="3" t="s">
        <v>24</v>
      </c>
      <c r="D1947" s="3" t="s">
        <v>25</v>
      </c>
      <c r="E1947" s="3" t="s">
        <v>45</v>
      </c>
      <c r="F1947" s="4" t="s">
        <v>29</v>
      </c>
      <c r="G1947" s="4" t="s">
        <v>29</v>
      </c>
      <c r="H1947" s="3" t="s">
        <v>523</v>
      </c>
      <c r="I1947" s="3"/>
      <c r="J1947" s="4" t="s">
        <v>2276</v>
      </c>
      <c r="K1947" s="4" t="s">
        <v>2276</v>
      </c>
      <c r="L1947" s="4" t="s">
        <v>2276</v>
      </c>
      <c r="M1947" s="4" t="s">
        <v>2276</v>
      </c>
      <c r="N1947" s="4" t="s">
        <v>2276</v>
      </c>
      <c r="O1947" s="4" t="s">
        <v>2276</v>
      </c>
      <c r="P1947" s="4" t="s">
        <v>2276</v>
      </c>
      <c r="Q1947" s="4" t="s">
        <v>2276</v>
      </c>
      <c r="R1947" s="4" t="s">
        <v>2276</v>
      </c>
      <c r="S1947" s="4" t="s">
        <v>2276</v>
      </c>
      <c r="T1947" s="4" t="s">
        <v>2276</v>
      </c>
      <c r="U1947" s="4" t="s">
        <v>2276</v>
      </c>
      <c r="V1947" s="4" t="s">
        <v>2276</v>
      </c>
      <c r="W1947" s="4" t="s">
        <v>2276</v>
      </c>
      <c r="X1947" s="4" t="s">
        <v>2276</v>
      </c>
      <c r="Y1947" s="4" t="s">
        <v>2276</v>
      </c>
      <c r="Z1947" s="4" t="s">
        <v>2276</v>
      </c>
      <c r="AA1947" s="4" t="s">
        <v>2276</v>
      </c>
      <c r="AB1947" s="4" t="s">
        <v>2276</v>
      </c>
      <c r="AC1947" s="3"/>
      <c r="AD1947" s="3"/>
    </row>
    <row r="1948" spans="1:30" ht="25.5" customHeight="1">
      <c r="A1948" s="11" t="s">
        <v>5599</v>
      </c>
      <c r="B1948" s="11" t="s">
        <v>5609</v>
      </c>
      <c r="C1948" s="3" t="s">
        <v>2458</v>
      </c>
      <c r="D1948" s="3" t="s">
        <v>143</v>
      </c>
      <c r="E1948" s="3" t="s">
        <v>45</v>
      </c>
      <c r="F1948" s="4" t="s">
        <v>29</v>
      </c>
      <c r="G1948" s="4" t="s">
        <v>2276</v>
      </c>
      <c r="H1948" s="3" t="s">
        <v>523</v>
      </c>
      <c r="I1948" s="3"/>
      <c r="J1948" s="4" t="s">
        <v>2276</v>
      </c>
      <c r="K1948" s="4" t="s">
        <v>2276</v>
      </c>
      <c r="L1948" s="4" t="s">
        <v>2276</v>
      </c>
      <c r="M1948" s="4" t="s">
        <v>2276</v>
      </c>
      <c r="N1948" s="4" t="s">
        <v>2276</v>
      </c>
      <c r="O1948" s="4" t="s">
        <v>2276</v>
      </c>
      <c r="P1948" s="4" t="s">
        <v>2276</v>
      </c>
      <c r="Q1948" s="4" t="s">
        <v>2276</v>
      </c>
      <c r="R1948" s="4" t="s">
        <v>2276</v>
      </c>
      <c r="S1948" s="4" t="s">
        <v>2276</v>
      </c>
      <c r="T1948" s="4" t="s">
        <v>2276</v>
      </c>
      <c r="U1948" s="4" t="s">
        <v>2276</v>
      </c>
      <c r="V1948" s="4" t="s">
        <v>2276</v>
      </c>
      <c r="W1948" s="4" t="s">
        <v>2276</v>
      </c>
      <c r="X1948" s="4" t="s">
        <v>2276</v>
      </c>
      <c r="Y1948" s="4" t="s">
        <v>2276</v>
      </c>
      <c r="Z1948" s="4" t="s">
        <v>2276</v>
      </c>
      <c r="AA1948" s="4" t="s">
        <v>2276</v>
      </c>
      <c r="AB1948" s="4" t="s">
        <v>2276</v>
      </c>
      <c r="AC1948" s="3"/>
      <c r="AD1948" s="3"/>
    </row>
    <row r="1949" spans="1:30" ht="32.5" customHeight="1">
      <c r="A1949" s="11" t="s">
        <v>5600</v>
      </c>
      <c r="B1949" s="11" t="s">
        <v>5610</v>
      </c>
      <c r="C1949" s="3" t="s">
        <v>2458</v>
      </c>
      <c r="D1949" s="3" t="s">
        <v>143</v>
      </c>
      <c r="E1949" s="3" t="s">
        <v>45</v>
      </c>
      <c r="F1949" s="4" t="s">
        <v>29</v>
      </c>
      <c r="G1949" s="4" t="s">
        <v>2276</v>
      </c>
      <c r="H1949" s="3" t="s">
        <v>523</v>
      </c>
      <c r="I1949" s="3"/>
      <c r="J1949" s="4" t="s">
        <v>2276</v>
      </c>
      <c r="K1949" s="4" t="s">
        <v>2276</v>
      </c>
      <c r="L1949" s="4" t="s">
        <v>2276</v>
      </c>
      <c r="M1949" s="4" t="s">
        <v>2276</v>
      </c>
      <c r="N1949" s="4" t="s">
        <v>2276</v>
      </c>
      <c r="O1949" s="4" t="s">
        <v>2276</v>
      </c>
      <c r="P1949" s="4" t="s">
        <v>2276</v>
      </c>
      <c r="Q1949" s="4" t="s">
        <v>2276</v>
      </c>
      <c r="R1949" s="4" t="s">
        <v>2276</v>
      </c>
      <c r="S1949" s="4" t="s">
        <v>2276</v>
      </c>
      <c r="T1949" s="4" t="s">
        <v>2276</v>
      </c>
      <c r="U1949" s="4" t="s">
        <v>2276</v>
      </c>
      <c r="V1949" s="4" t="s">
        <v>2276</v>
      </c>
      <c r="W1949" s="4" t="s">
        <v>2276</v>
      </c>
      <c r="X1949" s="4" t="s">
        <v>2276</v>
      </c>
      <c r="Y1949" s="4" t="s">
        <v>2276</v>
      </c>
      <c r="Z1949" s="4" t="s">
        <v>2276</v>
      </c>
      <c r="AA1949" s="4" t="s">
        <v>2276</v>
      </c>
      <c r="AB1949" s="4" t="s">
        <v>2276</v>
      </c>
      <c r="AC1949" s="3"/>
      <c r="AD1949" s="3"/>
    </row>
    <row r="1950" spans="1:30" ht="93.5" customHeight="1">
      <c r="A1950" s="11" t="s">
        <v>5599</v>
      </c>
      <c r="B1950" s="11" t="s">
        <v>5611</v>
      </c>
      <c r="C1950" s="3" t="s">
        <v>2458</v>
      </c>
      <c r="D1950" s="3" t="s">
        <v>2276</v>
      </c>
      <c r="E1950" s="3" t="s">
        <v>45</v>
      </c>
      <c r="F1950" s="4" t="s">
        <v>29</v>
      </c>
      <c r="G1950" s="4" t="s">
        <v>2276</v>
      </c>
      <c r="H1950" s="3" t="s">
        <v>523</v>
      </c>
      <c r="I1950" s="3"/>
      <c r="J1950" s="4" t="s">
        <v>2276</v>
      </c>
      <c r="K1950" s="4" t="s">
        <v>2276</v>
      </c>
      <c r="L1950" s="4" t="s">
        <v>2276</v>
      </c>
      <c r="M1950" s="4" t="s">
        <v>2276</v>
      </c>
      <c r="N1950" s="4" t="s">
        <v>2276</v>
      </c>
      <c r="O1950" s="4" t="s">
        <v>2276</v>
      </c>
      <c r="P1950" s="4" t="s">
        <v>2276</v>
      </c>
      <c r="Q1950" s="4" t="s">
        <v>2276</v>
      </c>
      <c r="R1950" s="4" t="s">
        <v>2276</v>
      </c>
      <c r="S1950" s="4" t="s">
        <v>2276</v>
      </c>
      <c r="T1950" s="4" t="s">
        <v>2276</v>
      </c>
      <c r="U1950" s="4" t="s">
        <v>2276</v>
      </c>
      <c r="V1950" s="4" t="s">
        <v>2276</v>
      </c>
      <c r="W1950" s="4" t="s">
        <v>2276</v>
      </c>
      <c r="X1950" s="4" t="s">
        <v>2276</v>
      </c>
      <c r="Y1950" s="4" t="s">
        <v>2276</v>
      </c>
      <c r="Z1950" s="4" t="s">
        <v>2276</v>
      </c>
      <c r="AA1950" s="4" t="s">
        <v>2276</v>
      </c>
      <c r="AB1950" s="4" t="s">
        <v>2276</v>
      </c>
      <c r="AC1950" s="4" t="s">
        <v>5614</v>
      </c>
      <c r="AD1950" s="4" t="s">
        <v>5613</v>
      </c>
    </row>
    <row r="1951" spans="1:30" ht="93.5" customHeight="1">
      <c r="A1951" s="11" t="s">
        <v>5600</v>
      </c>
      <c r="B1951" s="11" t="s">
        <v>5612</v>
      </c>
      <c r="C1951" s="3" t="s">
        <v>2458</v>
      </c>
      <c r="D1951" s="3" t="s">
        <v>2276</v>
      </c>
      <c r="E1951" s="3" t="s">
        <v>45</v>
      </c>
      <c r="F1951" s="4" t="s">
        <v>29</v>
      </c>
      <c r="G1951" s="4" t="s">
        <v>2276</v>
      </c>
      <c r="H1951" s="3" t="s">
        <v>523</v>
      </c>
      <c r="I1951" s="3"/>
      <c r="J1951" s="4" t="s">
        <v>2276</v>
      </c>
      <c r="K1951" s="4" t="s">
        <v>2276</v>
      </c>
      <c r="L1951" s="4" t="s">
        <v>2276</v>
      </c>
      <c r="M1951" s="4" t="s">
        <v>2276</v>
      </c>
      <c r="N1951" s="4" t="s">
        <v>2276</v>
      </c>
      <c r="O1951" s="4" t="s">
        <v>2276</v>
      </c>
      <c r="P1951" s="4" t="s">
        <v>2276</v>
      </c>
      <c r="Q1951" s="4" t="s">
        <v>2276</v>
      </c>
      <c r="R1951" s="4" t="s">
        <v>2276</v>
      </c>
      <c r="S1951" s="4" t="s">
        <v>2276</v>
      </c>
      <c r="T1951" s="4" t="s">
        <v>2276</v>
      </c>
      <c r="U1951" s="4" t="s">
        <v>2276</v>
      </c>
      <c r="V1951" s="4" t="s">
        <v>2276</v>
      </c>
      <c r="W1951" s="4" t="s">
        <v>2276</v>
      </c>
      <c r="X1951" s="4" t="s">
        <v>2276</v>
      </c>
      <c r="Y1951" s="4" t="s">
        <v>2276</v>
      </c>
      <c r="Z1951" s="4" t="s">
        <v>2276</v>
      </c>
      <c r="AA1951" s="4" t="s">
        <v>2276</v>
      </c>
      <c r="AB1951" s="4" t="s">
        <v>2276</v>
      </c>
      <c r="AC1951" s="4" t="s">
        <v>5614</v>
      </c>
      <c r="AD1951" s="4" t="s">
        <v>5613</v>
      </c>
    </row>
    <row r="1952" spans="1:30" ht="31" customHeight="1">
      <c r="A1952" s="11" t="s">
        <v>5600</v>
      </c>
      <c r="B1952" s="11" t="s">
        <v>5618</v>
      </c>
      <c r="C1952" s="3" t="s">
        <v>31</v>
      </c>
      <c r="D1952" s="3" t="s">
        <v>30</v>
      </c>
      <c r="E1952" s="3" t="s">
        <v>2276</v>
      </c>
      <c r="F1952" s="3" t="s">
        <v>2276</v>
      </c>
      <c r="G1952" s="3" t="s">
        <v>2276</v>
      </c>
      <c r="H1952" s="3" t="s">
        <v>523</v>
      </c>
      <c r="I1952" s="3"/>
      <c r="J1952" s="4" t="s">
        <v>2276</v>
      </c>
      <c r="K1952" s="4" t="s">
        <v>2276</v>
      </c>
      <c r="L1952" s="4" t="s">
        <v>2276</v>
      </c>
      <c r="M1952" s="4" t="s">
        <v>2276</v>
      </c>
      <c r="N1952" s="4" t="s">
        <v>2276</v>
      </c>
      <c r="O1952" s="4" t="s">
        <v>2276</v>
      </c>
      <c r="P1952" s="4" t="s">
        <v>2276</v>
      </c>
      <c r="Q1952" s="4" t="s">
        <v>2276</v>
      </c>
      <c r="R1952" s="4" t="s">
        <v>2276</v>
      </c>
      <c r="S1952" s="4" t="s">
        <v>2276</v>
      </c>
      <c r="T1952" s="4" t="s">
        <v>2276</v>
      </c>
      <c r="U1952" s="4" t="s">
        <v>2276</v>
      </c>
      <c r="V1952" s="4" t="s">
        <v>2276</v>
      </c>
      <c r="W1952" s="4" t="s">
        <v>2276</v>
      </c>
      <c r="X1952" s="4" t="s">
        <v>2276</v>
      </c>
      <c r="Y1952" s="4" t="s">
        <v>2276</v>
      </c>
      <c r="Z1952" s="4" t="s">
        <v>2276</v>
      </c>
      <c r="AA1952" s="4" t="s">
        <v>2276</v>
      </c>
      <c r="AB1952" s="4" t="s">
        <v>2276</v>
      </c>
      <c r="AC1952" s="3"/>
      <c r="AD1952" s="3"/>
    </row>
    <row r="1953" spans="1:30" ht="31" customHeight="1">
      <c r="A1953" s="11" t="s">
        <v>5600</v>
      </c>
      <c r="B1953" s="11" t="s">
        <v>5619</v>
      </c>
      <c r="C1953" s="3" t="s">
        <v>24</v>
      </c>
      <c r="D1953" s="3" t="s">
        <v>2346</v>
      </c>
      <c r="E1953" s="3" t="s">
        <v>2276</v>
      </c>
      <c r="F1953" s="3" t="s">
        <v>2276</v>
      </c>
      <c r="G1953" s="3" t="s">
        <v>2276</v>
      </c>
      <c r="H1953" s="3" t="s">
        <v>523</v>
      </c>
      <c r="I1953" s="3"/>
      <c r="J1953" s="4" t="s">
        <v>2276</v>
      </c>
      <c r="K1953" s="4" t="s">
        <v>2276</v>
      </c>
      <c r="L1953" s="4" t="s">
        <v>2276</v>
      </c>
      <c r="M1953" s="4" t="s">
        <v>2276</v>
      </c>
      <c r="N1953" s="4" t="s">
        <v>2276</v>
      </c>
      <c r="O1953" s="4" t="s">
        <v>2276</v>
      </c>
      <c r="P1953" s="4" t="s">
        <v>2276</v>
      </c>
      <c r="Q1953" s="4" t="s">
        <v>2276</v>
      </c>
      <c r="R1953" s="4" t="s">
        <v>2276</v>
      </c>
      <c r="S1953" s="4" t="s">
        <v>2276</v>
      </c>
      <c r="T1953" s="4" t="s">
        <v>2276</v>
      </c>
      <c r="U1953" s="4" t="s">
        <v>2276</v>
      </c>
      <c r="V1953" s="4" t="s">
        <v>2276</v>
      </c>
      <c r="W1953" s="4" t="s">
        <v>2276</v>
      </c>
      <c r="X1953" s="4" t="s">
        <v>2276</v>
      </c>
      <c r="Y1953" s="4" t="s">
        <v>2276</v>
      </c>
      <c r="Z1953" s="4" t="s">
        <v>2276</v>
      </c>
      <c r="AA1953" s="4" t="s">
        <v>2276</v>
      </c>
      <c r="AB1953" s="4" t="s">
        <v>2276</v>
      </c>
      <c r="AC1953" s="3"/>
      <c r="AD1953" s="3"/>
    </row>
    <row r="1954" spans="1:30" ht="31" customHeight="1">
      <c r="A1954" s="11" t="s">
        <v>5600</v>
      </c>
      <c r="B1954" s="11" t="s">
        <v>5620</v>
      </c>
      <c r="C1954" s="3" t="s">
        <v>24</v>
      </c>
      <c r="D1954" s="3" t="s">
        <v>2994</v>
      </c>
      <c r="E1954" s="3" t="s">
        <v>2276</v>
      </c>
      <c r="F1954" s="3" t="s">
        <v>2276</v>
      </c>
      <c r="G1954" s="3" t="s">
        <v>2276</v>
      </c>
      <c r="H1954" s="3" t="s">
        <v>523</v>
      </c>
      <c r="I1954" s="3"/>
      <c r="J1954" s="4" t="s">
        <v>2276</v>
      </c>
      <c r="K1954" s="4" t="s">
        <v>2276</v>
      </c>
      <c r="L1954" s="4" t="s">
        <v>2276</v>
      </c>
      <c r="M1954" s="4" t="s">
        <v>2276</v>
      </c>
      <c r="N1954" s="4" t="s">
        <v>2276</v>
      </c>
      <c r="O1954" s="4" t="s">
        <v>2276</v>
      </c>
      <c r="P1954" s="4" t="s">
        <v>2276</v>
      </c>
      <c r="Q1954" s="4" t="s">
        <v>2276</v>
      </c>
      <c r="R1954" s="4" t="s">
        <v>2276</v>
      </c>
      <c r="S1954" s="4" t="s">
        <v>2276</v>
      </c>
      <c r="T1954" s="4" t="s">
        <v>2276</v>
      </c>
      <c r="U1954" s="4" t="s">
        <v>2276</v>
      </c>
      <c r="V1954" s="4" t="s">
        <v>2276</v>
      </c>
      <c r="W1954" s="4" t="s">
        <v>2276</v>
      </c>
      <c r="X1954" s="4" t="s">
        <v>2276</v>
      </c>
      <c r="Y1954" s="4" t="s">
        <v>2276</v>
      </c>
      <c r="Z1954" s="4" t="s">
        <v>2276</v>
      </c>
      <c r="AA1954" s="4" t="s">
        <v>2276</v>
      </c>
      <c r="AB1954" s="4" t="s">
        <v>2276</v>
      </c>
      <c r="AC1954" s="3"/>
      <c r="AD1954" s="3"/>
    </row>
    <row r="1955" spans="1:30" ht="39" customHeight="1">
      <c r="A1955" s="11" t="s">
        <v>5625</v>
      </c>
      <c r="B1955" s="11" t="s">
        <v>5632</v>
      </c>
      <c r="C1955" s="3" t="s">
        <v>24</v>
      </c>
      <c r="D1955" s="3" t="s">
        <v>27</v>
      </c>
      <c r="E1955" s="3" t="s">
        <v>130</v>
      </c>
      <c r="F1955" s="4" t="s">
        <v>160</v>
      </c>
      <c r="G1955" s="3" t="s">
        <v>2276</v>
      </c>
      <c r="H1955" s="3" t="s">
        <v>523</v>
      </c>
      <c r="I1955" s="3"/>
      <c r="J1955" s="4" t="s">
        <v>2276</v>
      </c>
      <c r="K1955" s="4" t="s">
        <v>2276</v>
      </c>
      <c r="L1955" s="4" t="s">
        <v>2276</v>
      </c>
      <c r="M1955" s="4" t="s">
        <v>2276</v>
      </c>
      <c r="N1955" s="4" t="s">
        <v>2276</v>
      </c>
      <c r="O1955" s="4" t="s">
        <v>2276</v>
      </c>
      <c r="P1955" s="4" t="s">
        <v>2276</v>
      </c>
      <c r="Q1955" s="4" t="s">
        <v>2276</v>
      </c>
      <c r="R1955" s="4" t="s">
        <v>2276</v>
      </c>
      <c r="S1955" s="4" t="s">
        <v>2276</v>
      </c>
      <c r="T1955" s="4" t="s">
        <v>2276</v>
      </c>
      <c r="U1955" s="4" t="s">
        <v>2276</v>
      </c>
      <c r="V1955" s="4" t="s">
        <v>2276</v>
      </c>
      <c r="W1955" s="4" t="s">
        <v>2276</v>
      </c>
      <c r="X1955" s="4" t="s">
        <v>2276</v>
      </c>
      <c r="Y1955" s="4" t="s">
        <v>2276</v>
      </c>
      <c r="Z1955" s="4" t="s">
        <v>2276</v>
      </c>
      <c r="AA1955" s="4" t="s">
        <v>2276</v>
      </c>
      <c r="AB1955" s="4" t="s">
        <v>2276</v>
      </c>
      <c r="AC1955" s="3" t="s">
        <v>5644</v>
      </c>
      <c r="AD1955" s="3"/>
    </row>
    <row r="1956" spans="1:30" ht="39" customHeight="1">
      <c r="A1956" s="11" t="s">
        <v>5629</v>
      </c>
      <c r="B1956" s="11" t="s">
        <v>5633</v>
      </c>
      <c r="C1956" s="3" t="s">
        <v>24</v>
      </c>
      <c r="D1956" s="3" t="s">
        <v>27</v>
      </c>
      <c r="E1956" s="3" t="s">
        <v>130</v>
      </c>
      <c r="F1956" s="4" t="s">
        <v>160</v>
      </c>
      <c r="G1956" s="3" t="s">
        <v>2276</v>
      </c>
      <c r="H1956" s="3" t="s">
        <v>523</v>
      </c>
      <c r="I1956" s="3"/>
      <c r="J1956" s="4" t="s">
        <v>2276</v>
      </c>
      <c r="K1956" s="4" t="s">
        <v>2276</v>
      </c>
      <c r="L1956" s="4" t="s">
        <v>2276</v>
      </c>
      <c r="M1956" s="4" t="s">
        <v>2276</v>
      </c>
      <c r="N1956" s="4" t="s">
        <v>2276</v>
      </c>
      <c r="O1956" s="4" t="s">
        <v>2276</v>
      </c>
      <c r="P1956" s="4" t="s">
        <v>2276</v>
      </c>
      <c r="Q1956" s="4" t="s">
        <v>2276</v>
      </c>
      <c r="R1956" s="4" t="s">
        <v>2276</v>
      </c>
      <c r="S1956" s="4" t="s">
        <v>2276</v>
      </c>
      <c r="T1956" s="4" t="s">
        <v>2276</v>
      </c>
      <c r="U1956" s="4" t="s">
        <v>2276</v>
      </c>
      <c r="V1956" s="4" t="s">
        <v>2276</v>
      </c>
      <c r="W1956" s="4" t="s">
        <v>2276</v>
      </c>
      <c r="X1956" s="4" t="s">
        <v>2276</v>
      </c>
      <c r="Y1956" s="4" t="s">
        <v>2276</v>
      </c>
      <c r="Z1956" s="4" t="s">
        <v>2276</v>
      </c>
      <c r="AA1956" s="4" t="s">
        <v>2276</v>
      </c>
      <c r="AB1956" s="4" t="s">
        <v>2276</v>
      </c>
      <c r="AC1956" s="3" t="s">
        <v>5644</v>
      </c>
      <c r="AD1956" s="3"/>
    </row>
    <row r="1957" spans="1:30" ht="39" customHeight="1">
      <c r="A1957" s="11" t="s">
        <v>5630</v>
      </c>
      <c r="B1957" s="11" t="s">
        <v>5634</v>
      </c>
      <c r="C1957" s="3" t="s">
        <v>24</v>
      </c>
      <c r="D1957" s="3" t="s">
        <v>27</v>
      </c>
      <c r="E1957" s="3" t="s">
        <v>130</v>
      </c>
      <c r="F1957" s="4" t="s">
        <v>160</v>
      </c>
      <c r="G1957" s="3" t="s">
        <v>2276</v>
      </c>
      <c r="H1957" s="3" t="s">
        <v>523</v>
      </c>
      <c r="I1957" s="3"/>
      <c r="J1957" s="4" t="s">
        <v>2276</v>
      </c>
      <c r="K1957" s="4" t="s">
        <v>2276</v>
      </c>
      <c r="L1957" s="4" t="s">
        <v>2276</v>
      </c>
      <c r="M1957" s="4" t="s">
        <v>2276</v>
      </c>
      <c r="N1957" s="4" t="s">
        <v>2276</v>
      </c>
      <c r="O1957" s="4" t="s">
        <v>2276</v>
      </c>
      <c r="P1957" s="4" t="s">
        <v>2276</v>
      </c>
      <c r="Q1957" s="4" t="s">
        <v>2276</v>
      </c>
      <c r="R1957" s="4" t="s">
        <v>2276</v>
      </c>
      <c r="S1957" s="4" t="s">
        <v>2276</v>
      </c>
      <c r="T1957" s="4" t="s">
        <v>2276</v>
      </c>
      <c r="U1957" s="4" t="s">
        <v>2276</v>
      </c>
      <c r="V1957" s="4" t="s">
        <v>2276</v>
      </c>
      <c r="W1957" s="4" t="s">
        <v>2276</v>
      </c>
      <c r="X1957" s="4" t="s">
        <v>2276</v>
      </c>
      <c r="Y1957" s="4" t="s">
        <v>2276</v>
      </c>
      <c r="Z1957" s="4" t="s">
        <v>2276</v>
      </c>
      <c r="AA1957" s="4" t="s">
        <v>2276</v>
      </c>
      <c r="AB1957" s="4" t="s">
        <v>2276</v>
      </c>
      <c r="AC1957" s="3" t="s">
        <v>5644</v>
      </c>
      <c r="AD1957" s="3"/>
    </row>
    <row r="1958" spans="1:30" ht="39" customHeight="1">
      <c r="A1958" s="11" t="s">
        <v>5631</v>
      </c>
      <c r="B1958" s="11" t="s">
        <v>5635</v>
      </c>
      <c r="C1958" s="3" t="s">
        <v>24</v>
      </c>
      <c r="D1958" s="3" t="s">
        <v>27</v>
      </c>
      <c r="E1958" s="3" t="s">
        <v>130</v>
      </c>
      <c r="F1958" s="4" t="s">
        <v>160</v>
      </c>
      <c r="G1958" s="3" t="s">
        <v>2276</v>
      </c>
      <c r="H1958" s="3" t="s">
        <v>523</v>
      </c>
      <c r="I1958" s="3"/>
      <c r="J1958" s="4" t="s">
        <v>2276</v>
      </c>
      <c r="K1958" s="4" t="s">
        <v>2276</v>
      </c>
      <c r="L1958" s="4" t="s">
        <v>2276</v>
      </c>
      <c r="M1958" s="4" t="s">
        <v>2276</v>
      </c>
      <c r="N1958" s="4" t="s">
        <v>2276</v>
      </c>
      <c r="O1958" s="4" t="s">
        <v>2276</v>
      </c>
      <c r="P1958" s="4" t="s">
        <v>2276</v>
      </c>
      <c r="Q1958" s="4" t="s">
        <v>2276</v>
      </c>
      <c r="R1958" s="4" t="s">
        <v>2276</v>
      </c>
      <c r="S1958" s="4" t="s">
        <v>2276</v>
      </c>
      <c r="T1958" s="4" t="s">
        <v>2276</v>
      </c>
      <c r="U1958" s="4" t="s">
        <v>2276</v>
      </c>
      <c r="V1958" s="4" t="s">
        <v>2276</v>
      </c>
      <c r="W1958" s="4" t="s">
        <v>2276</v>
      </c>
      <c r="X1958" s="4" t="s">
        <v>2276</v>
      </c>
      <c r="Y1958" s="4" t="s">
        <v>2276</v>
      </c>
      <c r="Z1958" s="4" t="s">
        <v>2276</v>
      </c>
      <c r="AA1958" s="4" t="s">
        <v>2276</v>
      </c>
      <c r="AB1958" s="4" t="s">
        <v>2276</v>
      </c>
      <c r="AC1958" s="3" t="s">
        <v>5644</v>
      </c>
      <c r="AD1958" s="3"/>
    </row>
    <row r="1959" spans="1:30" ht="39" customHeight="1">
      <c r="A1959" s="11" t="s">
        <v>5625</v>
      </c>
      <c r="B1959" s="11" t="s">
        <v>5636</v>
      </c>
      <c r="C1959" s="3" t="s">
        <v>24</v>
      </c>
      <c r="D1959" s="3" t="s">
        <v>25</v>
      </c>
      <c r="E1959" s="3" t="s">
        <v>45</v>
      </c>
      <c r="F1959" s="4" t="s">
        <v>29</v>
      </c>
      <c r="G1959" s="3" t="s">
        <v>2276</v>
      </c>
      <c r="H1959" s="3" t="s">
        <v>523</v>
      </c>
      <c r="I1959" s="3"/>
      <c r="J1959" s="4" t="s">
        <v>2276</v>
      </c>
      <c r="K1959" s="4" t="s">
        <v>2276</v>
      </c>
      <c r="L1959" s="4" t="s">
        <v>2276</v>
      </c>
      <c r="M1959" s="4" t="s">
        <v>2276</v>
      </c>
      <c r="N1959" s="4" t="s">
        <v>2276</v>
      </c>
      <c r="O1959" s="4" t="s">
        <v>2276</v>
      </c>
      <c r="P1959" s="4" t="s">
        <v>2276</v>
      </c>
      <c r="Q1959" s="4" t="s">
        <v>2276</v>
      </c>
      <c r="R1959" s="4" t="s">
        <v>2276</v>
      </c>
      <c r="S1959" s="4" t="s">
        <v>2276</v>
      </c>
      <c r="T1959" s="4" t="s">
        <v>2276</v>
      </c>
      <c r="U1959" s="4" t="s">
        <v>2276</v>
      </c>
      <c r="V1959" s="4" t="s">
        <v>2276</v>
      </c>
      <c r="W1959" s="4" t="s">
        <v>2276</v>
      </c>
      <c r="X1959" s="4" t="s">
        <v>2276</v>
      </c>
      <c r="Y1959" s="4" t="s">
        <v>2276</v>
      </c>
      <c r="Z1959" s="4" t="s">
        <v>2276</v>
      </c>
      <c r="AA1959" s="4" t="s">
        <v>2276</v>
      </c>
      <c r="AB1959" s="4" t="s">
        <v>2276</v>
      </c>
      <c r="AC1959" s="3" t="s">
        <v>5645</v>
      </c>
      <c r="AD1959" s="3"/>
    </row>
    <row r="1960" spans="1:30" ht="39" customHeight="1">
      <c r="A1960" s="11" t="s">
        <v>5629</v>
      </c>
      <c r="B1960" s="11" t="s">
        <v>5637</v>
      </c>
      <c r="C1960" s="3" t="s">
        <v>24</v>
      </c>
      <c r="D1960" s="3" t="s">
        <v>25</v>
      </c>
      <c r="E1960" s="3" t="s">
        <v>45</v>
      </c>
      <c r="F1960" s="4" t="s">
        <v>29</v>
      </c>
      <c r="G1960" s="3" t="s">
        <v>2276</v>
      </c>
      <c r="H1960" s="3" t="s">
        <v>523</v>
      </c>
      <c r="I1960" s="3"/>
      <c r="J1960" s="4" t="s">
        <v>2276</v>
      </c>
      <c r="K1960" s="4" t="s">
        <v>2276</v>
      </c>
      <c r="L1960" s="4" t="s">
        <v>2276</v>
      </c>
      <c r="M1960" s="4" t="s">
        <v>2276</v>
      </c>
      <c r="N1960" s="4" t="s">
        <v>2276</v>
      </c>
      <c r="O1960" s="4" t="s">
        <v>2276</v>
      </c>
      <c r="P1960" s="4" t="s">
        <v>2276</v>
      </c>
      <c r="Q1960" s="4" t="s">
        <v>2276</v>
      </c>
      <c r="R1960" s="4" t="s">
        <v>2276</v>
      </c>
      <c r="S1960" s="4" t="s">
        <v>2276</v>
      </c>
      <c r="T1960" s="4" t="s">
        <v>2276</v>
      </c>
      <c r="U1960" s="4" t="s">
        <v>2276</v>
      </c>
      <c r="V1960" s="4" t="s">
        <v>2276</v>
      </c>
      <c r="W1960" s="4" t="s">
        <v>2276</v>
      </c>
      <c r="X1960" s="4" t="s">
        <v>2276</v>
      </c>
      <c r="Y1960" s="4" t="s">
        <v>2276</v>
      </c>
      <c r="Z1960" s="4" t="s">
        <v>2276</v>
      </c>
      <c r="AA1960" s="4" t="s">
        <v>2276</v>
      </c>
      <c r="AB1960" s="4" t="s">
        <v>2276</v>
      </c>
      <c r="AC1960" s="3" t="s">
        <v>5645</v>
      </c>
      <c r="AD1960" s="3"/>
    </row>
    <row r="1961" spans="1:30" ht="39" customHeight="1">
      <c r="A1961" s="11" t="s">
        <v>5630</v>
      </c>
      <c r="B1961" s="11" t="s">
        <v>5638</v>
      </c>
      <c r="C1961" s="3" t="s">
        <v>24</v>
      </c>
      <c r="D1961" s="3" t="s">
        <v>25</v>
      </c>
      <c r="E1961" s="3" t="s">
        <v>45</v>
      </c>
      <c r="F1961" s="4" t="s">
        <v>29</v>
      </c>
      <c r="G1961" s="3" t="s">
        <v>2276</v>
      </c>
      <c r="H1961" s="3" t="s">
        <v>523</v>
      </c>
      <c r="I1961" s="3"/>
      <c r="J1961" s="4" t="s">
        <v>2276</v>
      </c>
      <c r="K1961" s="4" t="s">
        <v>2276</v>
      </c>
      <c r="L1961" s="4" t="s">
        <v>2276</v>
      </c>
      <c r="M1961" s="4" t="s">
        <v>2276</v>
      </c>
      <c r="N1961" s="4" t="s">
        <v>2276</v>
      </c>
      <c r="O1961" s="4" t="s">
        <v>2276</v>
      </c>
      <c r="P1961" s="4" t="s">
        <v>2276</v>
      </c>
      <c r="Q1961" s="4" t="s">
        <v>2276</v>
      </c>
      <c r="R1961" s="4" t="s">
        <v>2276</v>
      </c>
      <c r="S1961" s="4" t="s">
        <v>2276</v>
      </c>
      <c r="T1961" s="4" t="s">
        <v>2276</v>
      </c>
      <c r="U1961" s="4" t="s">
        <v>2276</v>
      </c>
      <c r="V1961" s="4" t="s">
        <v>2276</v>
      </c>
      <c r="W1961" s="4" t="s">
        <v>2276</v>
      </c>
      <c r="X1961" s="4" t="s">
        <v>2276</v>
      </c>
      <c r="Y1961" s="4" t="s">
        <v>2276</v>
      </c>
      <c r="Z1961" s="4" t="s">
        <v>2276</v>
      </c>
      <c r="AA1961" s="4" t="s">
        <v>2276</v>
      </c>
      <c r="AB1961" s="4" t="s">
        <v>2276</v>
      </c>
      <c r="AC1961" s="3" t="s">
        <v>5645</v>
      </c>
      <c r="AD1961" s="3"/>
    </row>
    <row r="1962" spans="1:30" ht="39" customHeight="1">
      <c r="A1962" s="11" t="s">
        <v>5631</v>
      </c>
      <c r="B1962" s="11" t="s">
        <v>5639</v>
      </c>
      <c r="C1962" s="3" t="s">
        <v>24</v>
      </c>
      <c r="D1962" s="3" t="s">
        <v>25</v>
      </c>
      <c r="E1962" s="3" t="s">
        <v>45</v>
      </c>
      <c r="F1962" s="4" t="s">
        <v>29</v>
      </c>
      <c r="G1962" s="3" t="s">
        <v>2276</v>
      </c>
      <c r="H1962" s="3" t="s">
        <v>523</v>
      </c>
      <c r="I1962" s="3"/>
      <c r="J1962" s="4" t="s">
        <v>2276</v>
      </c>
      <c r="K1962" s="4" t="s">
        <v>2276</v>
      </c>
      <c r="L1962" s="4" t="s">
        <v>2276</v>
      </c>
      <c r="M1962" s="4" t="s">
        <v>2276</v>
      </c>
      <c r="N1962" s="4" t="s">
        <v>2276</v>
      </c>
      <c r="O1962" s="4" t="s">
        <v>2276</v>
      </c>
      <c r="P1962" s="4" t="s">
        <v>2276</v>
      </c>
      <c r="Q1962" s="4" t="s">
        <v>2276</v>
      </c>
      <c r="R1962" s="4" t="s">
        <v>2276</v>
      </c>
      <c r="S1962" s="4" t="s">
        <v>2276</v>
      </c>
      <c r="T1962" s="4" t="s">
        <v>2276</v>
      </c>
      <c r="U1962" s="4" t="s">
        <v>2276</v>
      </c>
      <c r="V1962" s="4" t="s">
        <v>2276</v>
      </c>
      <c r="W1962" s="4" t="s">
        <v>2276</v>
      </c>
      <c r="X1962" s="4" t="s">
        <v>2276</v>
      </c>
      <c r="Y1962" s="4" t="s">
        <v>2276</v>
      </c>
      <c r="Z1962" s="4" t="s">
        <v>2276</v>
      </c>
      <c r="AA1962" s="4" t="s">
        <v>2276</v>
      </c>
      <c r="AB1962" s="4" t="s">
        <v>2276</v>
      </c>
      <c r="AC1962" s="3" t="s">
        <v>5645</v>
      </c>
      <c r="AD1962" s="3"/>
    </row>
    <row r="1963" spans="1:30" ht="84.5" customHeight="1">
      <c r="A1963" s="11" t="s">
        <v>5625</v>
      </c>
      <c r="B1963" s="11" t="s">
        <v>5640</v>
      </c>
      <c r="C1963" s="3" t="s">
        <v>2458</v>
      </c>
      <c r="D1963" s="3" t="s">
        <v>2276</v>
      </c>
      <c r="E1963" s="3" t="s">
        <v>2276</v>
      </c>
      <c r="F1963" s="3" t="s">
        <v>2276</v>
      </c>
      <c r="G1963" s="3" t="s">
        <v>2276</v>
      </c>
      <c r="H1963" s="3" t="s">
        <v>523</v>
      </c>
      <c r="I1963" s="3"/>
      <c r="J1963" s="4" t="s">
        <v>2276</v>
      </c>
      <c r="K1963" s="4" t="s">
        <v>2276</v>
      </c>
      <c r="L1963" s="4" t="s">
        <v>2276</v>
      </c>
      <c r="M1963" s="4" t="s">
        <v>2276</v>
      </c>
      <c r="N1963" s="4" t="s">
        <v>2276</v>
      </c>
      <c r="O1963" s="4" t="s">
        <v>2276</v>
      </c>
      <c r="P1963" s="4" t="s">
        <v>2276</v>
      </c>
      <c r="Q1963" s="4" t="s">
        <v>2276</v>
      </c>
      <c r="R1963" s="4" t="s">
        <v>2276</v>
      </c>
      <c r="S1963" s="4" t="s">
        <v>2276</v>
      </c>
      <c r="T1963" s="4" t="s">
        <v>2276</v>
      </c>
      <c r="U1963" s="4" t="s">
        <v>2276</v>
      </c>
      <c r="V1963" s="4" t="s">
        <v>2276</v>
      </c>
      <c r="W1963" s="4" t="s">
        <v>2276</v>
      </c>
      <c r="X1963" s="4" t="s">
        <v>2276</v>
      </c>
      <c r="Y1963" s="4" t="s">
        <v>2276</v>
      </c>
      <c r="Z1963" s="4" t="s">
        <v>2276</v>
      </c>
      <c r="AA1963" s="4" t="s">
        <v>2276</v>
      </c>
      <c r="AB1963" s="4" t="s">
        <v>2276</v>
      </c>
      <c r="AC1963" s="4" t="s">
        <v>5646</v>
      </c>
      <c r="AD1963" s="4" t="s">
        <v>5647</v>
      </c>
    </row>
    <row r="1964" spans="1:30" ht="84.5" customHeight="1">
      <c r="A1964" s="11" t="s">
        <v>5629</v>
      </c>
      <c r="B1964" s="11" t="s">
        <v>5641</v>
      </c>
      <c r="C1964" s="3" t="s">
        <v>2458</v>
      </c>
      <c r="D1964" s="3" t="s">
        <v>2276</v>
      </c>
      <c r="E1964" s="3" t="s">
        <v>2276</v>
      </c>
      <c r="F1964" s="3" t="s">
        <v>2276</v>
      </c>
      <c r="G1964" s="3" t="s">
        <v>2276</v>
      </c>
      <c r="H1964" s="3" t="s">
        <v>523</v>
      </c>
      <c r="I1964" s="3"/>
      <c r="J1964" s="4" t="s">
        <v>2276</v>
      </c>
      <c r="K1964" s="4" t="s">
        <v>2276</v>
      </c>
      <c r="L1964" s="4" t="s">
        <v>2276</v>
      </c>
      <c r="M1964" s="4" t="s">
        <v>2276</v>
      </c>
      <c r="N1964" s="4" t="s">
        <v>2276</v>
      </c>
      <c r="O1964" s="4" t="s">
        <v>2276</v>
      </c>
      <c r="P1964" s="4" t="s">
        <v>2276</v>
      </c>
      <c r="Q1964" s="4" t="s">
        <v>2276</v>
      </c>
      <c r="R1964" s="4" t="s">
        <v>2276</v>
      </c>
      <c r="S1964" s="4" t="s">
        <v>2276</v>
      </c>
      <c r="T1964" s="4" t="s">
        <v>2276</v>
      </c>
      <c r="U1964" s="4" t="s">
        <v>2276</v>
      </c>
      <c r="V1964" s="4" t="s">
        <v>2276</v>
      </c>
      <c r="W1964" s="4" t="s">
        <v>2276</v>
      </c>
      <c r="X1964" s="4" t="s">
        <v>2276</v>
      </c>
      <c r="Y1964" s="4" t="s">
        <v>2276</v>
      </c>
      <c r="Z1964" s="4" t="s">
        <v>2276</v>
      </c>
      <c r="AA1964" s="4" t="s">
        <v>2276</v>
      </c>
      <c r="AB1964" s="4" t="s">
        <v>2276</v>
      </c>
      <c r="AC1964" s="4" t="s">
        <v>5646</v>
      </c>
      <c r="AD1964" s="4" t="s">
        <v>5647</v>
      </c>
    </row>
    <row r="1965" spans="1:30" ht="84.5" customHeight="1">
      <c r="A1965" s="11" t="s">
        <v>5630</v>
      </c>
      <c r="B1965" s="11" t="s">
        <v>5642</v>
      </c>
      <c r="C1965" s="3" t="s">
        <v>2458</v>
      </c>
      <c r="D1965" s="3" t="s">
        <v>2276</v>
      </c>
      <c r="E1965" s="3" t="s">
        <v>2276</v>
      </c>
      <c r="F1965" s="3" t="s">
        <v>2276</v>
      </c>
      <c r="G1965" s="3" t="s">
        <v>2276</v>
      </c>
      <c r="H1965" s="3" t="s">
        <v>523</v>
      </c>
      <c r="I1965" s="3"/>
      <c r="J1965" s="4" t="s">
        <v>2276</v>
      </c>
      <c r="K1965" s="4" t="s">
        <v>2276</v>
      </c>
      <c r="L1965" s="4" t="s">
        <v>2276</v>
      </c>
      <c r="M1965" s="4" t="s">
        <v>2276</v>
      </c>
      <c r="N1965" s="4" t="s">
        <v>2276</v>
      </c>
      <c r="O1965" s="4" t="s">
        <v>2276</v>
      </c>
      <c r="P1965" s="4" t="s">
        <v>2276</v>
      </c>
      <c r="Q1965" s="4" t="s">
        <v>2276</v>
      </c>
      <c r="R1965" s="4" t="s">
        <v>2276</v>
      </c>
      <c r="S1965" s="4" t="s">
        <v>2276</v>
      </c>
      <c r="T1965" s="4" t="s">
        <v>2276</v>
      </c>
      <c r="U1965" s="4" t="s">
        <v>2276</v>
      </c>
      <c r="V1965" s="4" t="s">
        <v>2276</v>
      </c>
      <c r="W1965" s="4" t="s">
        <v>2276</v>
      </c>
      <c r="X1965" s="4" t="s">
        <v>2276</v>
      </c>
      <c r="Y1965" s="4" t="s">
        <v>2276</v>
      </c>
      <c r="Z1965" s="4" t="s">
        <v>2276</v>
      </c>
      <c r="AA1965" s="4" t="s">
        <v>2276</v>
      </c>
      <c r="AB1965" s="4" t="s">
        <v>2276</v>
      </c>
      <c r="AC1965" s="4" t="s">
        <v>5646</v>
      </c>
      <c r="AD1965" s="4" t="s">
        <v>5647</v>
      </c>
    </row>
    <row r="1966" spans="1:30" ht="84.5" customHeight="1">
      <c r="A1966" s="11" t="s">
        <v>5631</v>
      </c>
      <c r="B1966" s="11" t="s">
        <v>5643</v>
      </c>
      <c r="C1966" s="3" t="s">
        <v>2458</v>
      </c>
      <c r="D1966" s="3" t="s">
        <v>2276</v>
      </c>
      <c r="E1966" s="3" t="s">
        <v>2276</v>
      </c>
      <c r="F1966" s="3" t="s">
        <v>2276</v>
      </c>
      <c r="G1966" s="3" t="s">
        <v>2276</v>
      </c>
      <c r="H1966" s="3" t="s">
        <v>523</v>
      </c>
      <c r="I1966" s="3"/>
      <c r="J1966" s="4" t="s">
        <v>2276</v>
      </c>
      <c r="K1966" s="4" t="s">
        <v>2276</v>
      </c>
      <c r="L1966" s="4" t="s">
        <v>2276</v>
      </c>
      <c r="M1966" s="4" t="s">
        <v>2276</v>
      </c>
      <c r="N1966" s="4" t="s">
        <v>2276</v>
      </c>
      <c r="O1966" s="4" t="s">
        <v>2276</v>
      </c>
      <c r="P1966" s="4" t="s">
        <v>2276</v>
      </c>
      <c r="Q1966" s="4" t="s">
        <v>2276</v>
      </c>
      <c r="R1966" s="4" t="s">
        <v>2276</v>
      </c>
      <c r="S1966" s="4" t="s">
        <v>2276</v>
      </c>
      <c r="T1966" s="4" t="s">
        <v>2276</v>
      </c>
      <c r="U1966" s="4" t="s">
        <v>2276</v>
      </c>
      <c r="V1966" s="4" t="s">
        <v>2276</v>
      </c>
      <c r="W1966" s="4" t="s">
        <v>2276</v>
      </c>
      <c r="X1966" s="4" t="s">
        <v>2276</v>
      </c>
      <c r="Y1966" s="4" t="s">
        <v>2276</v>
      </c>
      <c r="Z1966" s="4" t="s">
        <v>2276</v>
      </c>
      <c r="AA1966" s="4" t="s">
        <v>2276</v>
      </c>
      <c r="AB1966" s="4" t="s">
        <v>2276</v>
      </c>
      <c r="AC1966" s="4" t="s">
        <v>5646</v>
      </c>
      <c r="AD1966" s="4" t="s">
        <v>5647</v>
      </c>
    </row>
    <row r="1967" spans="1:30" ht="54.5" customHeight="1">
      <c r="A1967" s="19" t="s">
        <v>5649</v>
      </c>
      <c r="B1967" s="19" t="s">
        <v>5652</v>
      </c>
      <c r="C1967" s="4" t="s">
        <v>24</v>
      </c>
      <c r="D1967" s="4" t="s">
        <v>2231</v>
      </c>
      <c r="E1967" s="4" t="s">
        <v>130</v>
      </c>
      <c r="F1967" s="4" t="s">
        <v>74</v>
      </c>
      <c r="G1967" s="3" t="s">
        <v>2276</v>
      </c>
      <c r="H1967" s="3" t="s">
        <v>523</v>
      </c>
      <c r="I1967" s="3"/>
      <c r="J1967" s="4" t="s">
        <v>2276</v>
      </c>
      <c r="K1967" s="4" t="s">
        <v>2276</v>
      </c>
      <c r="L1967" s="4" t="s">
        <v>2276</v>
      </c>
      <c r="M1967" s="4" t="s">
        <v>2276</v>
      </c>
      <c r="N1967" s="4" t="s">
        <v>2276</v>
      </c>
      <c r="O1967" s="4" t="s">
        <v>2276</v>
      </c>
      <c r="P1967" s="4" t="s">
        <v>2276</v>
      </c>
      <c r="Q1967" s="4" t="s">
        <v>2276</v>
      </c>
      <c r="R1967" s="4" t="s">
        <v>2276</v>
      </c>
      <c r="S1967" s="4" t="s">
        <v>2276</v>
      </c>
      <c r="T1967" s="4" t="s">
        <v>2276</v>
      </c>
      <c r="U1967" s="4" t="s">
        <v>2276</v>
      </c>
      <c r="V1967" s="4" t="s">
        <v>2276</v>
      </c>
      <c r="W1967" s="4" t="s">
        <v>2276</v>
      </c>
      <c r="X1967" s="4" t="s">
        <v>2276</v>
      </c>
      <c r="Y1967" s="4" t="s">
        <v>2276</v>
      </c>
      <c r="Z1967" s="4" t="s">
        <v>2276</v>
      </c>
      <c r="AA1967" s="4" t="s">
        <v>2276</v>
      </c>
      <c r="AB1967" s="4" t="s">
        <v>2276</v>
      </c>
      <c r="AC1967" s="3"/>
      <c r="AD1967" s="4"/>
    </row>
    <row r="1968" spans="1:30" ht="54.5" customHeight="1">
      <c r="A1968" s="19" t="s">
        <v>5649</v>
      </c>
      <c r="B1968" s="19" t="s">
        <v>5653</v>
      </c>
      <c r="C1968" s="4" t="s">
        <v>24</v>
      </c>
      <c r="D1968" s="4" t="s">
        <v>2231</v>
      </c>
      <c r="E1968" s="4" t="s">
        <v>396</v>
      </c>
      <c r="F1968" s="4" t="s">
        <v>74</v>
      </c>
      <c r="G1968" s="3" t="s">
        <v>2276</v>
      </c>
      <c r="H1968" s="3" t="s">
        <v>523</v>
      </c>
      <c r="I1968" s="3"/>
      <c r="J1968" s="4" t="s">
        <v>2276</v>
      </c>
      <c r="K1968" s="4" t="s">
        <v>2276</v>
      </c>
      <c r="L1968" s="4" t="s">
        <v>2276</v>
      </c>
      <c r="M1968" s="4" t="s">
        <v>2276</v>
      </c>
      <c r="N1968" s="4" t="s">
        <v>2276</v>
      </c>
      <c r="O1968" s="4" t="s">
        <v>2276</v>
      </c>
      <c r="P1968" s="4" t="s">
        <v>2276</v>
      </c>
      <c r="Q1968" s="4" t="s">
        <v>2276</v>
      </c>
      <c r="R1968" s="4" t="s">
        <v>2276</v>
      </c>
      <c r="S1968" s="4" t="s">
        <v>2276</v>
      </c>
      <c r="T1968" s="4" t="s">
        <v>2276</v>
      </c>
      <c r="U1968" s="4" t="s">
        <v>2276</v>
      </c>
      <c r="V1968" s="4" t="s">
        <v>2276</v>
      </c>
      <c r="W1968" s="4" t="s">
        <v>2276</v>
      </c>
      <c r="X1968" s="4" t="s">
        <v>2276</v>
      </c>
      <c r="Y1968" s="4" t="s">
        <v>2276</v>
      </c>
      <c r="Z1968" s="4" t="s">
        <v>2276</v>
      </c>
      <c r="AA1968" s="4" t="s">
        <v>2276</v>
      </c>
      <c r="AB1968" s="4" t="s">
        <v>2276</v>
      </c>
      <c r="AC1968" s="3"/>
      <c r="AD1968" s="3"/>
    </row>
    <row r="1969" spans="1:30" ht="54.5" customHeight="1">
      <c r="A1969" s="19" t="s">
        <v>5649</v>
      </c>
      <c r="B1969" s="19" t="s">
        <v>5654</v>
      </c>
      <c r="C1969" s="4" t="s">
        <v>24</v>
      </c>
      <c r="D1969" s="4" t="s">
        <v>2231</v>
      </c>
      <c r="E1969" s="4" t="s">
        <v>2647</v>
      </c>
      <c r="F1969" s="4" t="s">
        <v>74</v>
      </c>
      <c r="G1969" s="3" t="s">
        <v>2276</v>
      </c>
      <c r="H1969" s="3" t="s">
        <v>523</v>
      </c>
      <c r="I1969" s="3"/>
      <c r="J1969" s="4" t="s">
        <v>2276</v>
      </c>
      <c r="K1969" s="4" t="s">
        <v>2276</v>
      </c>
      <c r="L1969" s="4" t="s">
        <v>2276</v>
      </c>
      <c r="M1969" s="4" t="s">
        <v>2276</v>
      </c>
      <c r="N1969" s="4" t="s">
        <v>2276</v>
      </c>
      <c r="O1969" s="4" t="s">
        <v>2276</v>
      </c>
      <c r="P1969" s="4" t="s">
        <v>2276</v>
      </c>
      <c r="Q1969" s="4" t="s">
        <v>2276</v>
      </c>
      <c r="R1969" s="4" t="s">
        <v>2276</v>
      </c>
      <c r="S1969" s="4" t="s">
        <v>2276</v>
      </c>
      <c r="T1969" s="4" t="s">
        <v>2276</v>
      </c>
      <c r="U1969" s="4" t="s">
        <v>2276</v>
      </c>
      <c r="V1969" s="4" t="s">
        <v>2276</v>
      </c>
      <c r="W1969" s="4" t="s">
        <v>2276</v>
      </c>
      <c r="X1969" s="4" t="s">
        <v>2276</v>
      </c>
      <c r="Y1969" s="4" t="s">
        <v>2276</v>
      </c>
      <c r="Z1969" s="4" t="s">
        <v>2276</v>
      </c>
      <c r="AA1969" s="4" t="s">
        <v>2276</v>
      </c>
      <c r="AB1969" s="4" t="s">
        <v>2276</v>
      </c>
      <c r="AC1969" s="3"/>
      <c r="AD1969" s="3"/>
    </row>
    <row r="1970" spans="1:30" ht="54.5" customHeight="1">
      <c r="A1970" s="19" t="s">
        <v>5649</v>
      </c>
      <c r="B1970" s="19" t="s">
        <v>5655</v>
      </c>
      <c r="C1970" s="4" t="s">
        <v>24</v>
      </c>
      <c r="D1970" s="4" t="s">
        <v>2346</v>
      </c>
      <c r="E1970" s="4" t="s">
        <v>396</v>
      </c>
      <c r="F1970" s="4" t="s">
        <v>74</v>
      </c>
      <c r="G1970" s="3" t="s">
        <v>2276</v>
      </c>
      <c r="H1970" s="3" t="s">
        <v>523</v>
      </c>
      <c r="I1970" s="3"/>
      <c r="J1970" s="4" t="s">
        <v>2276</v>
      </c>
      <c r="K1970" s="4" t="s">
        <v>2276</v>
      </c>
      <c r="L1970" s="4" t="s">
        <v>2276</v>
      </c>
      <c r="M1970" s="4" t="s">
        <v>2276</v>
      </c>
      <c r="N1970" s="4" t="s">
        <v>2276</v>
      </c>
      <c r="O1970" s="4" t="s">
        <v>2276</v>
      </c>
      <c r="P1970" s="4" t="s">
        <v>2276</v>
      </c>
      <c r="Q1970" s="4" t="s">
        <v>2276</v>
      </c>
      <c r="R1970" s="4" t="s">
        <v>2276</v>
      </c>
      <c r="S1970" s="4" t="s">
        <v>2276</v>
      </c>
      <c r="T1970" s="4" t="s">
        <v>2276</v>
      </c>
      <c r="U1970" s="4" t="s">
        <v>2276</v>
      </c>
      <c r="V1970" s="4" t="s">
        <v>2276</v>
      </c>
      <c r="W1970" s="4" t="s">
        <v>2276</v>
      </c>
      <c r="X1970" s="4" t="s">
        <v>2276</v>
      </c>
      <c r="Y1970" s="4" t="s">
        <v>2276</v>
      </c>
      <c r="Z1970" s="4" t="s">
        <v>2276</v>
      </c>
      <c r="AA1970" s="4" t="s">
        <v>2276</v>
      </c>
      <c r="AB1970" s="4" t="s">
        <v>2276</v>
      </c>
      <c r="AC1970" s="3"/>
      <c r="AD1970" s="3"/>
    </row>
    <row r="1971" spans="1:30" ht="54.5" customHeight="1">
      <c r="A1971" s="19" t="s">
        <v>5649</v>
      </c>
      <c r="B1971" s="19" t="s">
        <v>5656</v>
      </c>
      <c r="C1971" s="4" t="s">
        <v>24</v>
      </c>
      <c r="D1971" s="4" t="s">
        <v>2346</v>
      </c>
      <c r="E1971" s="4" t="s">
        <v>2647</v>
      </c>
      <c r="F1971" s="4" t="s">
        <v>74</v>
      </c>
      <c r="G1971" s="3" t="s">
        <v>2276</v>
      </c>
      <c r="H1971" s="3" t="s">
        <v>523</v>
      </c>
      <c r="I1971" s="3"/>
      <c r="J1971" s="4" t="s">
        <v>2276</v>
      </c>
      <c r="K1971" s="4" t="s">
        <v>2276</v>
      </c>
      <c r="L1971" s="4" t="s">
        <v>2276</v>
      </c>
      <c r="M1971" s="4" t="s">
        <v>2276</v>
      </c>
      <c r="N1971" s="4" t="s">
        <v>2276</v>
      </c>
      <c r="O1971" s="4" t="s">
        <v>2276</v>
      </c>
      <c r="P1971" s="4" t="s">
        <v>2276</v>
      </c>
      <c r="Q1971" s="4" t="s">
        <v>2276</v>
      </c>
      <c r="R1971" s="4" t="s">
        <v>2276</v>
      </c>
      <c r="S1971" s="4" t="s">
        <v>2276</v>
      </c>
      <c r="T1971" s="4" t="s">
        <v>2276</v>
      </c>
      <c r="U1971" s="4" t="s">
        <v>2276</v>
      </c>
      <c r="V1971" s="4" t="s">
        <v>2276</v>
      </c>
      <c r="W1971" s="4" t="s">
        <v>2276</v>
      </c>
      <c r="X1971" s="4" t="s">
        <v>2276</v>
      </c>
      <c r="Y1971" s="4" t="s">
        <v>2276</v>
      </c>
      <c r="Z1971" s="4" t="s">
        <v>2276</v>
      </c>
      <c r="AA1971" s="4" t="s">
        <v>2276</v>
      </c>
      <c r="AB1971" s="4" t="s">
        <v>2276</v>
      </c>
      <c r="AC1971" s="3"/>
      <c r="AD1971" s="3"/>
    </row>
    <row r="1972" spans="1:30" ht="33.5" customHeight="1">
      <c r="A1972" s="19" t="s">
        <v>5661</v>
      </c>
      <c r="B1972" s="19" t="s">
        <v>5664</v>
      </c>
      <c r="C1972" s="3" t="s">
        <v>24</v>
      </c>
      <c r="D1972" s="3" t="s">
        <v>406</v>
      </c>
      <c r="E1972" s="3" t="s">
        <v>137</v>
      </c>
      <c r="F1972" s="4" t="s">
        <v>2662</v>
      </c>
      <c r="G1972" s="4" t="s">
        <v>2276</v>
      </c>
      <c r="H1972" s="3" t="s">
        <v>524</v>
      </c>
      <c r="I1972" s="3">
        <v>2016</v>
      </c>
      <c r="J1972" s="21">
        <v>0</v>
      </c>
      <c r="K1972" s="21">
        <v>0</v>
      </c>
      <c r="L1972" s="21">
        <v>0</v>
      </c>
      <c r="M1972" s="21">
        <v>0</v>
      </c>
      <c r="N1972" s="21">
        <v>0</v>
      </c>
      <c r="O1972" s="21">
        <v>0</v>
      </c>
      <c r="P1972" s="21">
        <v>0</v>
      </c>
      <c r="Q1972" s="21">
        <v>0</v>
      </c>
      <c r="R1972" s="21">
        <v>0</v>
      </c>
      <c r="S1972" s="21">
        <v>0</v>
      </c>
      <c r="T1972" s="21">
        <v>0</v>
      </c>
      <c r="U1972" s="21">
        <v>0</v>
      </c>
      <c r="V1972" s="21">
        <v>0</v>
      </c>
      <c r="W1972" s="21">
        <v>0</v>
      </c>
      <c r="X1972" s="21">
        <v>0</v>
      </c>
      <c r="Y1972" s="4" t="s">
        <v>2276</v>
      </c>
      <c r="Z1972" s="4" t="s">
        <v>2276</v>
      </c>
      <c r="AA1972" s="4" t="s">
        <v>2276</v>
      </c>
      <c r="AB1972" s="4" t="s">
        <v>2276</v>
      </c>
      <c r="AC1972" s="4" t="s">
        <v>5672</v>
      </c>
      <c r="AD1972" s="3"/>
    </row>
    <row r="1973" spans="1:30" ht="33.5" customHeight="1">
      <c r="A1973" s="19" t="s">
        <v>5661</v>
      </c>
      <c r="B1973" s="19" t="s">
        <v>5665</v>
      </c>
      <c r="C1973" s="3" t="s">
        <v>24</v>
      </c>
      <c r="D1973" s="3" t="s">
        <v>1242</v>
      </c>
      <c r="E1973" s="3" t="s">
        <v>137</v>
      </c>
      <c r="F1973" s="4" t="s">
        <v>2662</v>
      </c>
      <c r="G1973" s="4" t="s">
        <v>2276</v>
      </c>
      <c r="H1973" s="3" t="s">
        <v>524</v>
      </c>
      <c r="I1973" s="3">
        <v>2016</v>
      </c>
      <c r="J1973" s="21">
        <v>0</v>
      </c>
      <c r="K1973" s="21">
        <v>0</v>
      </c>
      <c r="L1973" s="21">
        <v>0</v>
      </c>
      <c r="M1973" s="21">
        <v>0</v>
      </c>
      <c r="N1973" s="21">
        <v>0</v>
      </c>
      <c r="O1973" s="21">
        <v>0</v>
      </c>
      <c r="P1973" s="21">
        <v>0</v>
      </c>
      <c r="Q1973" s="21">
        <v>0</v>
      </c>
      <c r="R1973" s="21">
        <v>0</v>
      </c>
      <c r="S1973" s="21">
        <v>0</v>
      </c>
      <c r="T1973" s="21">
        <v>0</v>
      </c>
      <c r="U1973" s="21">
        <v>0</v>
      </c>
      <c r="V1973" s="21">
        <v>0</v>
      </c>
      <c r="W1973" s="21">
        <v>0</v>
      </c>
      <c r="X1973" s="21">
        <v>0</v>
      </c>
      <c r="Y1973" s="4" t="s">
        <v>2276</v>
      </c>
      <c r="Z1973" s="4" t="s">
        <v>2276</v>
      </c>
      <c r="AA1973" s="4" t="s">
        <v>2276</v>
      </c>
      <c r="AB1973" s="4" t="s">
        <v>2276</v>
      </c>
      <c r="AC1973" s="4" t="s">
        <v>5672</v>
      </c>
      <c r="AD1973" s="3"/>
    </row>
    <row r="1974" spans="1:30" ht="33.5" customHeight="1">
      <c r="A1974" s="19" t="s">
        <v>5661</v>
      </c>
      <c r="B1974" s="19" t="s">
        <v>5666</v>
      </c>
      <c r="C1974" s="3" t="s">
        <v>24</v>
      </c>
      <c r="D1974" s="3" t="s">
        <v>406</v>
      </c>
      <c r="E1974" s="3" t="s">
        <v>137</v>
      </c>
      <c r="F1974" s="4" t="s">
        <v>2662</v>
      </c>
      <c r="G1974" s="4" t="s">
        <v>2276</v>
      </c>
      <c r="H1974" s="3" t="s">
        <v>524</v>
      </c>
      <c r="I1974" s="3">
        <v>2016</v>
      </c>
      <c r="J1974" s="21">
        <v>0</v>
      </c>
      <c r="K1974" s="21">
        <v>0</v>
      </c>
      <c r="L1974" s="21">
        <v>0</v>
      </c>
      <c r="M1974" s="21">
        <v>0</v>
      </c>
      <c r="N1974" s="21">
        <v>0</v>
      </c>
      <c r="O1974" s="21">
        <v>0</v>
      </c>
      <c r="P1974" s="21">
        <v>0</v>
      </c>
      <c r="Q1974" s="21">
        <v>0</v>
      </c>
      <c r="R1974" s="21">
        <v>0</v>
      </c>
      <c r="S1974" s="21">
        <v>0</v>
      </c>
      <c r="T1974" s="21">
        <v>0</v>
      </c>
      <c r="U1974" s="21">
        <v>0</v>
      </c>
      <c r="V1974" s="21">
        <v>0</v>
      </c>
      <c r="W1974" s="21">
        <v>0</v>
      </c>
      <c r="X1974" s="21">
        <v>0</v>
      </c>
      <c r="Y1974" s="4" t="s">
        <v>2276</v>
      </c>
      <c r="Z1974" s="4" t="s">
        <v>2276</v>
      </c>
      <c r="AA1974" s="4" t="s">
        <v>2276</v>
      </c>
      <c r="AB1974" s="4" t="s">
        <v>2276</v>
      </c>
      <c r="AC1974" s="4" t="s">
        <v>5672</v>
      </c>
      <c r="AD1974" s="3"/>
    </row>
    <row r="1975" spans="1:30" ht="33.5" customHeight="1">
      <c r="A1975" s="19" t="s">
        <v>5661</v>
      </c>
      <c r="B1975" s="19" t="s">
        <v>5667</v>
      </c>
      <c r="C1975" s="3" t="s">
        <v>24</v>
      </c>
      <c r="D1975" s="3" t="s">
        <v>1242</v>
      </c>
      <c r="E1975" s="3" t="s">
        <v>137</v>
      </c>
      <c r="F1975" s="4" t="s">
        <v>2662</v>
      </c>
      <c r="G1975" s="4" t="s">
        <v>2276</v>
      </c>
      <c r="H1975" s="3" t="s">
        <v>524</v>
      </c>
      <c r="I1975" s="3">
        <v>2016</v>
      </c>
      <c r="J1975" s="21">
        <v>0</v>
      </c>
      <c r="K1975" s="21">
        <v>0</v>
      </c>
      <c r="L1975" s="21">
        <v>0</v>
      </c>
      <c r="M1975" s="21">
        <v>0</v>
      </c>
      <c r="N1975" s="21">
        <v>0</v>
      </c>
      <c r="O1975" s="21">
        <v>0</v>
      </c>
      <c r="P1975" s="21">
        <v>0</v>
      </c>
      <c r="Q1975" s="21">
        <v>0</v>
      </c>
      <c r="R1975" s="21">
        <v>0</v>
      </c>
      <c r="S1975" s="21">
        <v>0</v>
      </c>
      <c r="T1975" s="21">
        <v>0</v>
      </c>
      <c r="U1975" s="21">
        <v>0</v>
      </c>
      <c r="V1975" s="21">
        <v>0</v>
      </c>
      <c r="W1975" s="21">
        <v>0</v>
      </c>
      <c r="X1975" s="21">
        <v>0</v>
      </c>
      <c r="Y1975" s="4" t="s">
        <v>2276</v>
      </c>
      <c r="Z1975" s="4" t="s">
        <v>2276</v>
      </c>
      <c r="AA1975" s="4" t="s">
        <v>2276</v>
      </c>
      <c r="AB1975" s="4" t="s">
        <v>2276</v>
      </c>
      <c r="AC1975" s="4" t="s">
        <v>5672</v>
      </c>
      <c r="AD1975" s="3"/>
    </row>
    <row r="1976" spans="1:30" ht="30" customHeight="1">
      <c r="A1976" s="19" t="s">
        <v>5661</v>
      </c>
      <c r="B1976" s="19" t="s">
        <v>5668</v>
      </c>
      <c r="C1976" s="3" t="s">
        <v>24</v>
      </c>
      <c r="D1976" s="3" t="s">
        <v>406</v>
      </c>
      <c r="E1976" s="3" t="s">
        <v>116</v>
      </c>
      <c r="F1976" s="4" t="s">
        <v>2662</v>
      </c>
      <c r="G1976" s="3" t="s">
        <v>2276</v>
      </c>
      <c r="H1976" s="3" t="s">
        <v>523</v>
      </c>
      <c r="I1976" s="3">
        <v>2017</v>
      </c>
      <c r="J1976" s="4" t="s">
        <v>2276</v>
      </c>
      <c r="K1976" s="4" t="s">
        <v>2276</v>
      </c>
      <c r="L1976" s="4" t="s">
        <v>2276</v>
      </c>
      <c r="M1976" s="4" t="s">
        <v>2276</v>
      </c>
      <c r="N1976" s="4" t="s">
        <v>2276</v>
      </c>
      <c r="O1976" s="4" t="s">
        <v>2276</v>
      </c>
      <c r="P1976" s="4" t="s">
        <v>2276</v>
      </c>
      <c r="Q1976" s="4" t="s">
        <v>2276</v>
      </c>
      <c r="R1976" s="4" t="s">
        <v>2276</v>
      </c>
      <c r="S1976" s="4" t="s">
        <v>2276</v>
      </c>
      <c r="T1976" s="4" t="s">
        <v>2276</v>
      </c>
      <c r="U1976" s="4" t="s">
        <v>2276</v>
      </c>
      <c r="V1976" s="4" t="s">
        <v>2276</v>
      </c>
      <c r="W1976" s="4" t="s">
        <v>2276</v>
      </c>
      <c r="X1976" s="4" t="s">
        <v>2276</v>
      </c>
      <c r="Y1976" s="4" t="s">
        <v>2276</v>
      </c>
      <c r="Z1976" s="4" t="s">
        <v>2276</v>
      </c>
      <c r="AA1976" s="4" t="s">
        <v>2276</v>
      </c>
      <c r="AB1976" s="4" t="s">
        <v>2276</v>
      </c>
      <c r="AC1976" s="4" t="s">
        <v>5673</v>
      </c>
      <c r="AD1976" s="3"/>
    </row>
    <row r="1977" spans="1:30" ht="30" customHeight="1">
      <c r="A1977" s="19" t="s">
        <v>5661</v>
      </c>
      <c r="B1977" s="19" t="s">
        <v>5669</v>
      </c>
      <c r="C1977" s="3" t="s">
        <v>24</v>
      </c>
      <c r="D1977" s="3" t="s">
        <v>1242</v>
      </c>
      <c r="E1977" s="3" t="s">
        <v>116</v>
      </c>
      <c r="F1977" s="4" t="s">
        <v>2662</v>
      </c>
      <c r="G1977" s="3" t="s">
        <v>2276</v>
      </c>
      <c r="H1977" s="3" t="s">
        <v>523</v>
      </c>
      <c r="I1977" s="3">
        <v>2017</v>
      </c>
      <c r="J1977" s="4" t="s">
        <v>2276</v>
      </c>
      <c r="K1977" s="4" t="s">
        <v>2276</v>
      </c>
      <c r="L1977" s="4" t="s">
        <v>2276</v>
      </c>
      <c r="M1977" s="4" t="s">
        <v>2276</v>
      </c>
      <c r="N1977" s="4" t="s">
        <v>2276</v>
      </c>
      <c r="O1977" s="4" t="s">
        <v>2276</v>
      </c>
      <c r="P1977" s="4" t="s">
        <v>2276</v>
      </c>
      <c r="Q1977" s="4" t="s">
        <v>2276</v>
      </c>
      <c r="R1977" s="4" t="s">
        <v>2276</v>
      </c>
      <c r="S1977" s="4" t="s">
        <v>2276</v>
      </c>
      <c r="T1977" s="4" t="s">
        <v>2276</v>
      </c>
      <c r="U1977" s="4" t="s">
        <v>2276</v>
      </c>
      <c r="V1977" s="4" t="s">
        <v>2276</v>
      </c>
      <c r="W1977" s="4" t="s">
        <v>2276</v>
      </c>
      <c r="X1977" s="4" t="s">
        <v>2276</v>
      </c>
      <c r="Y1977" s="4" t="s">
        <v>2276</v>
      </c>
      <c r="Z1977" s="4" t="s">
        <v>2276</v>
      </c>
      <c r="AA1977" s="4" t="s">
        <v>2276</v>
      </c>
      <c r="AB1977" s="4" t="s">
        <v>2276</v>
      </c>
      <c r="AC1977" s="4" t="s">
        <v>5673</v>
      </c>
      <c r="AD1977" s="3"/>
    </row>
    <row r="1978" spans="1:30" ht="30" customHeight="1">
      <c r="A1978" s="19" t="s">
        <v>5661</v>
      </c>
      <c r="B1978" s="19" t="s">
        <v>5670</v>
      </c>
      <c r="C1978" s="3" t="s">
        <v>24</v>
      </c>
      <c r="D1978" s="3" t="s">
        <v>406</v>
      </c>
      <c r="E1978" s="3" t="s">
        <v>116</v>
      </c>
      <c r="F1978" s="4" t="s">
        <v>2662</v>
      </c>
      <c r="G1978" s="3" t="s">
        <v>2276</v>
      </c>
      <c r="H1978" s="3" t="s">
        <v>523</v>
      </c>
      <c r="I1978" s="3">
        <v>2017</v>
      </c>
      <c r="J1978" s="4" t="s">
        <v>2276</v>
      </c>
      <c r="K1978" s="4" t="s">
        <v>2276</v>
      </c>
      <c r="L1978" s="4" t="s">
        <v>2276</v>
      </c>
      <c r="M1978" s="4" t="s">
        <v>2276</v>
      </c>
      <c r="N1978" s="4" t="s">
        <v>2276</v>
      </c>
      <c r="O1978" s="4" t="s">
        <v>2276</v>
      </c>
      <c r="P1978" s="4" t="s">
        <v>2276</v>
      </c>
      <c r="Q1978" s="4" t="s">
        <v>2276</v>
      </c>
      <c r="R1978" s="4" t="s">
        <v>2276</v>
      </c>
      <c r="S1978" s="4" t="s">
        <v>2276</v>
      </c>
      <c r="T1978" s="4" t="s">
        <v>2276</v>
      </c>
      <c r="U1978" s="4" t="s">
        <v>2276</v>
      </c>
      <c r="V1978" s="4" t="s">
        <v>2276</v>
      </c>
      <c r="W1978" s="4" t="s">
        <v>2276</v>
      </c>
      <c r="X1978" s="4" t="s">
        <v>2276</v>
      </c>
      <c r="Y1978" s="4" t="s">
        <v>2276</v>
      </c>
      <c r="Z1978" s="4" t="s">
        <v>2276</v>
      </c>
      <c r="AA1978" s="4" t="s">
        <v>2276</v>
      </c>
      <c r="AB1978" s="4" t="s">
        <v>2276</v>
      </c>
      <c r="AC1978" s="4" t="s">
        <v>5673</v>
      </c>
      <c r="AD1978" s="3"/>
    </row>
    <row r="1979" spans="1:30" ht="30" customHeight="1">
      <c r="A1979" s="19" t="s">
        <v>5661</v>
      </c>
      <c r="B1979" s="19" t="s">
        <v>5671</v>
      </c>
      <c r="C1979" s="3" t="s">
        <v>24</v>
      </c>
      <c r="D1979" s="3" t="s">
        <v>1242</v>
      </c>
      <c r="E1979" s="3" t="s">
        <v>116</v>
      </c>
      <c r="F1979" s="4" t="s">
        <v>2662</v>
      </c>
      <c r="G1979" s="3" t="s">
        <v>2276</v>
      </c>
      <c r="H1979" s="3" t="s">
        <v>523</v>
      </c>
      <c r="I1979" s="3">
        <v>2017</v>
      </c>
      <c r="J1979" s="4" t="s">
        <v>2276</v>
      </c>
      <c r="K1979" s="4" t="s">
        <v>2276</v>
      </c>
      <c r="L1979" s="4" t="s">
        <v>2276</v>
      </c>
      <c r="M1979" s="4" t="s">
        <v>2276</v>
      </c>
      <c r="N1979" s="4" t="s">
        <v>2276</v>
      </c>
      <c r="O1979" s="4" t="s">
        <v>2276</v>
      </c>
      <c r="P1979" s="4" t="s">
        <v>2276</v>
      </c>
      <c r="Q1979" s="4" t="s">
        <v>2276</v>
      </c>
      <c r="R1979" s="4" t="s">
        <v>2276</v>
      </c>
      <c r="S1979" s="4" t="s">
        <v>2276</v>
      </c>
      <c r="T1979" s="4" t="s">
        <v>2276</v>
      </c>
      <c r="U1979" s="4" t="s">
        <v>2276</v>
      </c>
      <c r="V1979" s="4" t="s">
        <v>2276</v>
      </c>
      <c r="W1979" s="4" t="s">
        <v>2276</v>
      </c>
      <c r="X1979" s="4" t="s">
        <v>2276</v>
      </c>
      <c r="Y1979" s="4" t="s">
        <v>2276</v>
      </c>
      <c r="Z1979" s="4" t="s">
        <v>2276</v>
      </c>
      <c r="AA1979" s="4" t="s">
        <v>2276</v>
      </c>
      <c r="AB1979" s="4" t="s">
        <v>2276</v>
      </c>
      <c r="AC1979" s="4" t="s">
        <v>5673</v>
      </c>
      <c r="AD1979" s="3"/>
    </row>
    <row r="1980" spans="1:30" ht="30" customHeight="1">
      <c r="A1980" s="19" t="s">
        <v>5676</v>
      </c>
      <c r="B1980" s="19" t="s">
        <v>5679</v>
      </c>
      <c r="C1980" s="3" t="s">
        <v>24</v>
      </c>
      <c r="D1980" s="3" t="s">
        <v>1242</v>
      </c>
      <c r="E1980" s="3" t="s">
        <v>137</v>
      </c>
      <c r="F1980" s="4" t="s">
        <v>74</v>
      </c>
      <c r="G1980" s="3" t="s">
        <v>2276</v>
      </c>
      <c r="H1980" s="3" t="s">
        <v>523</v>
      </c>
      <c r="I1980" s="3"/>
      <c r="J1980" s="4" t="s">
        <v>2276</v>
      </c>
      <c r="K1980" s="4" t="s">
        <v>2276</v>
      </c>
      <c r="L1980" s="4" t="s">
        <v>2276</v>
      </c>
      <c r="M1980" s="4" t="s">
        <v>2276</v>
      </c>
      <c r="N1980" s="4" t="s">
        <v>2276</v>
      </c>
      <c r="O1980" s="4" t="s">
        <v>2276</v>
      </c>
      <c r="P1980" s="4" t="s">
        <v>2276</v>
      </c>
      <c r="Q1980" s="4" t="s">
        <v>2276</v>
      </c>
      <c r="R1980" s="4" t="s">
        <v>2276</v>
      </c>
      <c r="S1980" s="4" t="s">
        <v>2276</v>
      </c>
      <c r="T1980" s="4" t="s">
        <v>2276</v>
      </c>
      <c r="U1980" s="4" t="s">
        <v>2276</v>
      </c>
      <c r="V1980" s="4" t="s">
        <v>2276</v>
      </c>
      <c r="W1980" s="4" t="s">
        <v>2276</v>
      </c>
      <c r="X1980" s="4" t="s">
        <v>2276</v>
      </c>
      <c r="Y1980" s="4" t="s">
        <v>2276</v>
      </c>
      <c r="Z1980" s="4" t="s">
        <v>2276</v>
      </c>
      <c r="AA1980" s="4" t="s">
        <v>2276</v>
      </c>
      <c r="AB1980" s="4" t="s">
        <v>2276</v>
      </c>
      <c r="AC1980" s="3"/>
      <c r="AD1980" s="3"/>
    </row>
    <row r="1981" spans="1:30" ht="32.5" customHeight="1">
      <c r="A1981" s="19" t="s">
        <v>5676</v>
      </c>
      <c r="B1981" s="19" t="s">
        <v>5680</v>
      </c>
      <c r="C1981" s="3" t="s">
        <v>24</v>
      </c>
      <c r="D1981" s="3" t="s">
        <v>1242</v>
      </c>
      <c r="E1981" s="3" t="s">
        <v>2649</v>
      </c>
      <c r="F1981" s="4" t="s">
        <v>74</v>
      </c>
      <c r="G1981" s="3" t="s">
        <v>2276</v>
      </c>
      <c r="H1981" s="3" t="s">
        <v>523</v>
      </c>
      <c r="I1981" s="3"/>
      <c r="J1981" s="4" t="s">
        <v>2276</v>
      </c>
      <c r="K1981" s="4" t="s">
        <v>2276</v>
      </c>
      <c r="L1981" s="4" t="s">
        <v>2276</v>
      </c>
      <c r="M1981" s="4" t="s">
        <v>2276</v>
      </c>
      <c r="N1981" s="4" t="s">
        <v>2276</v>
      </c>
      <c r="O1981" s="4" t="s">
        <v>2276</v>
      </c>
      <c r="P1981" s="4" t="s">
        <v>2276</v>
      </c>
      <c r="Q1981" s="4" t="s">
        <v>2276</v>
      </c>
      <c r="R1981" s="4" t="s">
        <v>2276</v>
      </c>
      <c r="S1981" s="4" t="s">
        <v>2276</v>
      </c>
      <c r="T1981" s="4" t="s">
        <v>2276</v>
      </c>
      <c r="U1981" s="4" t="s">
        <v>2276</v>
      </c>
      <c r="V1981" s="4" t="s">
        <v>2276</v>
      </c>
      <c r="W1981" s="4" t="s">
        <v>2276</v>
      </c>
      <c r="X1981" s="4" t="s">
        <v>2276</v>
      </c>
      <c r="Y1981" s="4" t="s">
        <v>2276</v>
      </c>
      <c r="Z1981" s="4" t="s">
        <v>2276</v>
      </c>
      <c r="AA1981" s="4" t="s">
        <v>2276</v>
      </c>
      <c r="AB1981" s="4" t="s">
        <v>2276</v>
      </c>
      <c r="AC1981" s="3"/>
      <c r="AD1981" s="3"/>
    </row>
    <row r="1982" spans="1:30" ht="35.5" customHeight="1">
      <c r="A1982" s="19" t="s">
        <v>5676</v>
      </c>
      <c r="B1982" s="19" t="s">
        <v>5681</v>
      </c>
      <c r="C1982" s="3" t="s">
        <v>24</v>
      </c>
      <c r="D1982" s="3" t="s">
        <v>3480</v>
      </c>
      <c r="E1982" s="3" t="s">
        <v>116</v>
      </c>
      <c r="F1982" s="4" t="s">
        <v>74</v>
      </c>
      <c r="G1982" s="3" t="s">
        <v>2276</v>
      </c>
      <c r="H1982" s="3" t="s">
        <v>523</v>
      </c>
      <c r="I1982" s="3"/>
      <c r="J1982" s="4" t="s">
        <v>2276</v>
      </c>
      <c r="K1982" s="4" t="s">
        <v>2276</v>
      </c>
      <c r="L1982" s="4" t="s">
        <v>2276</v>
      </c>
      <c r="M1982" s="4" t="s">
        <v>2276</v>
      </c>
      <c r="N1982" s="4" t="s">
        <v>2276</v>
      </c>
      <c r="O1982" s="4" t="s">
        <v>2276</v>
      </c>
      <c r="P1982" s="4" t="s">
        <v>2276</v>
      </c>
      <c r="Q1982" s="4" t="s">
        <v>2276</v>
      </c>
      <c r="R1982" s="4" t="s">
        <v>2276</v>
      </c>
      <c r="S1982" s="4" t="s">
        <v>2276</v>
      </c>
      <c r="T1982" s="4" t="s">
        <v>2276</v>
      </c>
      <c r="U1982" s="4" t="s">
        <v>2276</v>
      </c>
      <c r="V1982" s="4" t="s">
        <v>2276</v>
      </c>
      <c r="W1982" s="4" t="s">
        <v>2276</v>
      </c>
      <c r="X1982" s="4" t="s">
        <v>2276</v>
      </c>
      <c r="Y1982" s="4" t="s">
        <v>2276</v>
      </c>
      <c r="Z1982" s="4" t="s">
        <v>2276</v>
      </c>
      <c r="AA1982" s="4" t="s">
        <v>2276</v>
      </c>
      <c r="AB1982" s="4" t="s">
        <v>2276</v>
      </c>
      <c r="AC1982" s="3"/>
      <c r="AD1982" s="3"/>
    </row>
    <row r="1983" spans="1:30" ht="37" customHeight="1">
      <c r="A1983" s="19" t="s">
        <v>5684</v>
      </c>
      <c r="B1983" s="19" t="s">
        <v>5686</v>
      </c>
      <c r="C1983" s="3" t="s">
        <v>24</v>
      </c>
      <c r="D1983" s="3" t="s">
        <v>1242</v>
      </c>
      <c r="E1983" s="3" t="s">
        <v>137</v>
      </c>
      <c r="F1983" s="4" t="s">
        <v>74</v>
      </c>
      <c r="G1983" s="3" t="s">
        <v>2276</v>
      </c>
      <c r="H1983" s="3" t="s">
        <v>523</v>
      </c>
      <c r="I1983" s="3"/>
      <c r="J1983" s="4" t="s">
        <v>2276</v>
      </c>
      <c r="K1983" s="4" t="s">
        <v>2276</v>
      </c>
      <c r="L1983" s="4" t="s">
        <v>2276</v>
      </c>
      <c r="M1983" s="4" t="s">
        <v>2276</v>
      </c>
      <c r="N1983" s="4" t="s">
        <v>2276</v>
      </c>
      <c r="O1983" s="4" t="s">
        <v>2276</v>
      </c>
      <c r="P1983" s="4" t="s">
        <v>2276</v>
      </c>
      <c r="Q1983" s="4" t="s">
        <v>2276</v>
      </c>
      <c r="R1983" s="4" t="s">
        <v>2276</v>
      </c>
      <c r="S1983" s="4" t="s">
        <v>2276</v>
      </c>
      <c r="T1983" s="4" t="s">
        <v>2276</v>
      </c>
      <c r="U1983" s="4" t="s">
        <v>2276</v>
      </c>
      <c r="V1983" s="4" t="s">
        <v>2276</v>
      </c>
      <c r="W1983" s="4" t="s">
        <v>2276</v>
      </c>
      <c r="X1983" s="4" t="s">
        <v>2276</v>
      </c>
      <c r="Y1983" s="4" t="s">
        <v>2276</v>
      </c>
      <c r="Z1983" s="4" t="s">
        <v>2276</v>
      </c>
      <c r="AA1983" s="4" t="s">
        <v>2276</v>
      </c>
      <c r="AB1983" s="4" t="s">
        <v>2276</v>
      </c>
      <c r="AC1983" s="3"/>
      <c r="AD1983" s="3"/>
    </row>
    <row r="1984" spans="1:30" ht="35.5" customHeight="1">
      <c r="A1984" s="19" t="s">
        <v>5684</v>
      </c>
      <c r="B1984" s="19" t="s">
        <v>5687</v>
      </c>
      <c r="C1984" s="3" t="s">
        <v>24</v>
      </c>
      <c r="D1984" s="3" t="s">
        <v>406</v>
      </c>
      <c r="E1984" s="3" t="s">
        <v>116</v>
      </c>
      <c r="F1984" s="4" t="s">
        <v>74</v>
      </c>
      <c r="G1984" s="3" t="s">
        <v>2276</v>
      </c>
      <c r="H1984" s="3" t="s">
        <v>523</v>
      </c>
      <c r="I1984" s="3"/>
      <c r="J1984" s="4" t="s">
        <v>2276</v>
      </c>
      <c r="K1984" s="4" t="s">
        <v>2276</v>
      </c>
      <c r="L1984" s="4" t="s">
        <v>2276</v>
      </c>
      <c r="M1984" s="4" t="s">
        <v>2276</v>
      </c>
      <c r="N1984" s="4" t="s">
        <v>2276</v>
      </c>
      <c r="O1984" s="4" t="s">
        <v>2276</v>
      </c>
      <c r="P1984" s="4" t="s">
        <v>2276</v>
      </c>
      <c r="Q1984" s="4" t="s">
        <v>2276</v>
      </c>
      <c r="R1984" s="4" t="s">
        <v>2276</v>
      </c>
      <c r="S1984" s="4" t="s">
        <v>2276</v>
      </c>
      <c r="T1984" s="4" t="s">
        <v>2276</v>
      </c>
      <c r="U1984" s="4" t="s">
        <v>2276</v>
      </c>
      <c r="V1984" s="4" t="s">
        <v>2276</v>
      </c>
      <c r="W1984" s="4" t="s">
        <v>2276</v>
      </c>
      <c r="X1984" s="4" t="s">
        <v>2276</v>
      </c>
      <c r="Y1984" s="4" t="s">
        <v>2276</v>
      </c>
      <c r="Z1984" s="4" t="s">
        <v>2276</v>
      </c>
      <c r="AA1984" s="4" t="s">
        <v>2276</v>
      </c>
      <c r="AB1984" s="4" t="s">
        <v>2276</v>
      </c>
      <c r="AC1984" s="3"/>
      <c r="AD1984" s="3"/>
    </row>
    <row r="1985" spans="1:30" ht="34" customHeight="1">
      <c r="A1985" s="19" t="s">
        <v>5684</v>
      </c>
      <c r="B1985" s="19" t="s">
        <v>5688</v>
      </c>
      <c r="C1985" s="3" t="s">
        <v>24</v>
      </c>
      <c r="D1985" s="3" t="s">
        <v>3480</v>
      </c>
      <c r="E1985" s="3" t="s">
        <v>116</v>
      </c>
      <c r="F1985" s="4" t="s">
        <v>74</v>
      </c>
      <c r="G1985" s="3" t="s">
        <v>2276</v>
      </c>
      <c r="H1985" s="3" t="s">
        <v>523</v>
      </c>
      <c r="I1985" s="3"/>
      <c r="J1985" s="4" t="s">
        <v>2276</v>
      </c>
      <c r="K1985" s="4" t="s">
        <v>2276</v>
      </c>
      <c r="L1985" s="4" t="s">
        <v>2276</v>
      </c>
      <c r="M1985" s="4" t="s">
        <v>2276</v>
      </c>
      <c r="N1985" s="4" t="s">
        <v>2276</v>
      </c>
      <c r="O1985" s="4" t="s">
        <v>2276</v>
      </c>
      <c r="P1985" s="4" t="s">
        <v>2276</v>
      </c>
      <c r="Q1985" s="4" t="s">
        <v>2276</v>
      </c>
      <c r="R1985" s="4" t="s">
        <v>2276</v>
      </c>
      <c r="S1985" s="4" t="s">
        <v>2276</v>
      </c>
      <c r="T1985" s="4" t="s">
        <v>2276</v>
      </c>
      <c r="U1985" s="4" t="s">
        <v>2276</v>
      </c>
      <c r="V1985" s="4" t="s">
        <v>2276</v>
      </c>
      <c r="W1985" s="4" t="s">
        <v>2276</v>
      </c>
      <c r="X1985" s="4" t="s">
        <v>2276</v>
      </c>
      <c r="Y1985" s="4" t="s">
        <v>2276</v>
      </c>
      <c r="Z1985" s="4" t="s">
        <v>2276</v>
      </c>
      <c r="AA1985" s="4" t="s">
        <v>2276</v>
      </c>
      <c r="AB1985" s="4" t="s">
        <v>2276</v>
      </c>
      <c r="AC1985" s="3"/>
      <c r="AD1985" s="3"/>
    </row>
    <row r="1986" spans="1:30" ht="30" customHeight="1">
      <c r="A1986" s="3" t="s">
        <v>5693</v>
      </c>
      <c r="B1986" s="19" t="s">
        <v>5698</v>
      </c>
      <c r="C1986" s="3" t="s">
        <v>24</v>
      </c>
      <c r="D1986" s="3" t="s">
        <v>27</v>
      </c>
      <c r="E1986" s="3" t="s">
        <v>130</v>
      </c>
      <c r="F1986" s="4" t="s">
        <v>74</v>
      </c>
      <c r="G1986" s="3" t="s">
        <v>2276</v>
      </c>
      <c r="H1986" s="3" t="s">
        <v>523</v>
      </c>
      <c r="I1986" s="3"/>
      <c r="J1986" s="4" t="s">
        <v>2276</v>
      </c>
      <c r="K1986" s="4" t="s">
        <v>2276</v>
      </c>
      <c r="L1986" s="4" t="s">
        <v>2276</v>
      </c>
      <c r="M1986" s="4" t="s">
        <v>2276</v>
      </c>
      <c r="N1986" s="4" t="s">
        <v>2276</v>
      </c>
      <c r="O1986" s="4" t="s">
        <v>2276</v>
      </c>
      <c r="P1986" s="4" t="s">
        <v>2276</v>
      </c>
      <c r="Q1986" s="4" t="s">
        <v>2276</v>
      </c>
      <c r="R1986" s="4" t="s">
        <v>2276</v>
      </c>
      <c r="S1986" s="4" t="s">
        <v>2276</v>
      </c>
      <c r="T1986" s="4" t="s">
        <v>2276</v>
      </c>
      <c r="U1986" s="4" t="s">
        <v>2276</v>
      </c>
      <c r="V1986" s="4" t="s">
        <v>2276</v>
      </c>
      <c r="W1986" s="4" t="s">
        <v>2276</v>
      </c>
      <c r="X1986" s="4" t="s">
        <v>2276</v>
      </c>
      <c r="Y1986" s="4" t="s">
        <v>2276</v>
      </c>
      <c r="Z1986" s="3" t="s">
        <v>35</v>
      </c>
      <c r="AA1986" s="3" t="s">
        <v>127</v>
      </c>
      <c r="AB1986" s="4" t="s">
        <v>2276</v>
      </c>
      <c r="AC1986" s="4" t="s">
        <v>5703</v>
      </c>
      <c r="AD1986" s="3"/>
    </row>
    <row r="1987" spans="1:30" ht="27" customHeight="1">
      <c r="A1987" s="3" t="s">
        <v>5693</v>
      </c>
      <c r="B1987" s="19" t="s">
        <v>5699</v>
      </c>
      <c r="C1987" s="3" t="s">
        <v>24</v>
      </c>
      <c r="D1987" s="3" t="s">
        <v>25</v>
      </c>
      <c r="E1987" s="3" t="s">
        <v>45</v>
      </c>
      <c r="F1987" s="4" t="s">
        <v>55</v>
      </c>
      <c r="G1987" s="3" t="s">
        <v>2276</v>
      </c>
      <c r="H1987" s="3" t="s">
        <v>523</v>
      </c>
      <c r="I1987" s="3"/>
      <c r="J1987" s="4" t="s">
        <v>2276</v>
      </c>
      <c r="K1987" s="4" t="s">
        <v>2276</v>
      </c>
      <c r="L1987" s="4" t="s">
        <v>2276</v>
      </c>
      <c r="M1987" s="4" t="s">
        <v>2276</v>
      </c>
      <c r="N1987" s="4" t="s">
        <v>2276</v>
      </c>
      <c r="O1987" s="4" t="s">
        <v>2276</v>
      </c>
      <c r="P1987" s="4" t="s">
        <v>2276</v>
      </c>
      <c r="Q1987" s="4" t="s">
        <v>2276</v>
      </c>
      <c r="R1987" s="4" t="s">
        <v>2276</v>
      </c>
      <c r="S1987" s="4" t="s">
        <v>2276</v>
      </c>
      <c r="T1987" s="4" t="s">
        <v>2276</v>
      </c>
      <c r="U1987" s="4" t="s">
        <v>2276</v>
      </c>
      <c r="V1987" s="4" t="s">
        <v>2276</v>
      </c>
      <c r="W1987" s="4" t="s">
        <v>2276</v>
      </c>
      <c r="X1987" s="4" t="s">
        <v>2276</v>
      </c>
      <c r="Y1987" s="4" t="s">
        <v>2276</v>
      </c>
      <c r="Z1987" s="3" t="s">
        <v>34</v>
      </c>
      <c r="AA1987" s="3" t="s">
        <v>404</v>
      </c>
      <c r="AB1987" s="3" t="s">
        <v>2655</v>
      </c>
      <c r="AC1987" s="11" t="s">
        <v>5702</v>
      </c>
      <c r="AD1987" s="3"/>
    </row>
    <row r="1988" spans="1:30" ht="27" customHeight="1">
      <c r="A1988" s="3" t="s">
        <v>5693</v>
      </c>
      <c r="B1988" s="19" t="s">
        <v>5700</v>
      </c>
      <c r="C1988" s="3" t="s">
        <v>24</v>
      </c>
      <c r="D1988" s="3" t="s">
        <v>25</v>
      </c>
      <c r="E1988" s="3" t="s">
        <v>45</v>
      </c>
      <c r="F1988" s="4" t="s">
        <v>29</v>
      </c>
      <c r="G1988" s="3" t="s">
        <v>2276</v>
      </c>
      <c r="H1988" s="3" t="s">
        <v>523</v>
      </c>
      <c r="I1988" s="3"/>
      <c r="J1988" s="4" t="s">
        <v>2276</v>
      </c>
      <c r="K1988" s="4" t="s">
        <v>2276</v>
      </c>
      <c r="L1988" s="4" t="s">
        <v>2276</v>
      </c>
      <c r="M1988" s="4" t="s">
        <v>2276</v>
      </c>
      <c r="N1988" s="4" t="s">
        <v>2276</v>
      </c>
      <c r="O1988" s="4" t="s">
        <v>2276</v>
      </c>
      <c r="P1988" s="4" t="s">
        <v>2276</v>
      </c>
      <c r="Q1988" s="4" t="s">
        <v>2276</v>
      </c>
      <c r="R1988" s="4" t="s">
        <v>2276</v>
      </c>
      <c r="S1988" s="4" t="s">
        <v>2276</v>
      </c>
      <c r="T1988" s="4" t="s">
        <v>2276</v>
      </c>
      <c r="U1988" s="4" t="s">
        <v>2276</v>
      </c>
      <c r="V1988" s="4" t="s">
        <v>2276</v>
      </c>
      <c r="W1988" s="4" t="s">
        <v>2276</v>
      </c>
      <c r="X1988" s="4" t="s">
        <v>2276</v>
      </c>
      <c r="Y1988" s="4" t="s">
        <v>2276</v>
      </c>
      <c r="Z1988" s="3" t="s">
        <v>34</v>
      </c>
      <c r="AA1988" s="3" t="s">
        <v>404</v>
      </c>
      <c r="AB1988" s="3" t="s">
        <v>2655</v>
      </c>
      <c r="AC1988" s="11" t="s">
        <v>5702</v>
      </c>
      <c r="AD1988" s="3"/>
    </row>
    <row r="1989" spans="1:30" ht="31.5" customHeight="1">
      <c r="A1989" s="3" t="s">
        <v>5693</v>
      </c>
      <c r="B1989" s="19" t="s">
        <v>5700</v>
      </c>
      <c r="C1989" s="3" t="s">
        <v>24</v>
      </c>
      <c r="D1989" s="3" t="s">
        <v>143</v>
      </c>
      <c r="E1989" s="3" t="s">
        <v>45</v>
      </c>
      <c r="F1989" s="4" t="s">
        <v>74</v>
      </c>
      <c r="G1989" s="3" t="s">
        <v>2276</v>
      </c>
      <c r="H1989" s="3" t="s">
        <v>523</v>
      </c>
      <c r="I1989" s="3"/>
      <c r="J1989" s="4" t="s">
        <v>2276</v>
      </c>
      <c r="K1989" s="4" t="s">
        <v>2276</v>
      </c>
      <c r="L1989" s="4" t="s">
        <v>2276</v>
      </c>
      <c r="M1989" s="4" t="s">
        <v>2276</v>
      </c>
      <c r="N1989" s="4" t="s">
        <v>2276</v>
      </c>
      <c r="O1989" s="4" t="s">
        <v>2276</v>
      </c>
      <c r="P1989" s="4" t="s">
        <v>2276</v>
      </c>
      <c r="Q1989" s="4" t="s">
        <v>2276</v>
      </c>
      <c r="R1989" s="4" t="s">
        <v>2276</v>
      </c>
      <c r="S1989" s="4" t="s">
        <v>2276</v>
      </c>
      <c r="T1989" s="4" t="s">
        <v>2276</v>
      </c>
      <c r="U1989" s="4" t="s">
        <v>2276</v>
      </c>
      <c r="V1989" s="4" t="s">
        <v>2276</v>
      </c>
      <c r="W1989" s="4" t="s">
        <v>2276</v>
      </c>
      <c r="X1989" s="4" t="s">
        <v>2276</v>
      </c>
      <c r="Y1989" s="4" t="s">
        <v>2276</v>
      </c>
      <c r="Z1989" s="4" t="s">
        <v>2276</v>
      </c>
      <c r="AA1989" s="4" t="s">
        <v>2276</v>
      </c>
      <c r="AB1989" s="4" t="s">
        <v>2276</v>
      </c>
      <c r="AC1989" s="3"/>
      <c r="AD1989" s="3"/>
    </row>
    <row r="1990" spans="1:30" ht="30" customHeight="1">
      <c r="A1990" s="3" t="s">
        <v>5693</v>
      </c>
      <c r="B1990" s="19" t="s">
        <v>5701</v>
      </c>
      <c r="C1990" s="3" t="s">
        <v>24</v>
      </c>
      <c r="D1990" s="3" t="s">
        <v>143</v>
      </c>
      <c r="E1990" s="3" t="s">
        <v>2647</v>
      </c>
      <c r="F1990" s="4" t="s">
        <v>74</v>
      </c>
      <c r="G1990" s="3" t="s">
        <v>2276</v>
      </c>
      <c r="H1990" s="3" t="s">
        <v>524</v>
      </c>
      <c r="I1990" s="3"/>
      <c r="J1990" s="21">
        <v>0</v>
      </c>
      <c r="K1990" s="21">
        <v>0</v>
      </c>
      <c r="L1990" s="21">
        <v>0</v>
      </c>
      <c r="M1990" s="21">
        <v>0</v>
      </c>
      <c r="N1990" s="21">
        <v>0</v>
      </c>
      <c r="O1990" s="21">
        <v>0</v>
      </c>
      <c r="P1990" s="21">
        <v>0</v>
      </c>
      <c r="Q1990" s="21">
        <v>0</v>
      </c>
      <c r="R1990" s="21">
        <v>0</v>
      </c>
      <c r="S1990" s="21">
        <v>0</v>
      </c>
      <c r="T1990" s="21">
        <v>0</v>
      </c>
      <c r="U1990" s="21">
        <v>0</v>
      </c>
      <c r="V1990" s="21">
        <v>0</v>
      </c>
      <c r="W1990" s="21">
        <v>0</v>
      </c>
      <c r="X1990" s="21">
        <v>0</v>
      </c>
      <c r="Y1990" s="4" t="s">
        <v>2276</v>
      </c>
      <c r="Z1990" s="4" t="s">
        <v>2276</v>
      </c>
      <c r="AA1990" s="4" t="s">
        <v>2276</v>
      </c>
      <c r="AB1990" s="4" t="s">
        <v>2276</v>
      </c>
      <c r="AC1990" s="3"/>
      <c r="AD1990" s="3"/>
    </row>
    <row r="1991" spans="1:30" ht="36" customHeight="1">
      <c r="A1991" s="3" t="s">
        <v>5693</v>
      </c>
      <c r="B1991" s="19" t="s">
        <v>5706</v>
      </c>
      <c r="C1991" s="3" t="s">
        <v>2458</v>
      </c>
      <c r="D1991" s="3" t="s">
        <v>27</v>
      </c>
      <c r="E1991" s="3" t="s">
        <v>130</v>
      </c>
      <c r="F1991" s="4" t="s">
        <v>74</v>
      </c>
      <c r="G1991" s="3" t="s">
        <v>2276</v>
      </c>
      <c r="H1991" s="3" t="s">
        <v>523</v>
      </c>
      <c r="I1991" s="3"/>
      <c r="J1991" s="4" t="s">
        <v>2276</v>
      </c>
      <c r="K1991" s="4" t="s">
        <v>2276</v>
      </c>
      <c r="L1991" s="4" t="s">
        <v>2276</v>
      </c>
      <c r="M1991" s="4" t="s">
        <v>2276</v>
      </c>
      <c r="N1991" s="4" t="s">
        <v>2276</v>
      </c>
      <c r="O1991" s="4" t="s">
        <v>2276</v>
      </c>
      <c r="P1991" s="4" t="s">
        <v>2276</v>
      </c>
      <c r="Q1991" s="4" t="s">
        <v>2276</v>
      </c>
      <c r="R1991" s="4" t="s">
        <v>2276</v>
      </c>
      <c r="S1991" s="4" t="s">
        <v>2276</v>
      </c>
      <c r="T1991" s="4" t="s">
        <v>2276</v>
      </c>
      <c r="U1991" s="4" t="s">
        <v>2276</v>
      </c>
      <c r="V1991" s="4" t="s">
        <v>2276</v>
      </c>
      <c r="W1991" s="4" t="s">
        <v>2276</v>
      </c>
      <c r="X1991" s="4" t="s">
        <v>2276</v>
      </c>
      <c r="Y1991" s="4" t="s">
        <v>2276</v>
      </c>
      <c r="Z1991" s="4" t="s">
        <v>2276</v>
      </c>
      <c r="AA1991" s="4" t="s">
        <v>2276</v>
      </c>
      <c r="AB1991" s="4" t="s">
        <v>2276</v>
      </c>
      <c r="AC1991" s="3"/>
      <c r="AD1991" s="3"/>
    </row>
    <row r="1992" spans="1:30" ht="23.5" customHeight="1">
      <c r="A1992" s="3" t="s">
        <v>5693</v>
      </c>
      <c r="B1992" s="19" t="s">
        <v>5707</v>
      </c>
      <c r="C1992" s="3" t="s">
        <v>2458</v>
      </c>
      <c r="D1992" s="3" t="s">
        <v>25</v>
      </c>
      <c r="E1992" s="3" t="s">
        <v>45</v>
      </c>
      <c r="F1992" s="4" t="s">
        <v>55</v>
      </c>
      <c r="G1992" s="3" t="s">
        <v>2276</v>
      </c>
      <c r="H1992" s="3" t="s">
        <v>523</v>
      </c>
      <c r="I1992" s="3"/>
      <c r="J1992" s="4" t="s">
        <v>2276</v>
      </c>
      <c r="K1992" s="4" t="s">
        <v>2276</v>
      </c>
      <c r="L1992" s="4" t="s">
        <v>2276</v>
      </c>
      <c r="M1992" s="4" t="s">
        <v>2276</v>
      </c>
      <c r="N1992" s="4" t="s">
        <v>2276</v>
      </c>
      <c r="O1992" s="4" t="s">
        <v>2276</v>
      </c>
      <c r="P1992" s="4" t="s">
        <v>2276</v>
      </c>
      <c r="Q1992" s="4" t="s">
        <v>2276</v>
      </c>
      <c r="R1992" s="4" t="s">
        <v>2276</v>
      </c>
      <c r="S1992" s="4" t="s">
        <v>2276</v>
      </c>
      <c r="T1992" s="4" t="s">
        <v>2276</v>
      </c>
      <c r="U1992" s="4" t="s">
        <v>2276</v>
      </c>
      <c r="V1992" s="4" t="s">
        <v>2276</v>
      </c>
      <c r="W1992" s="4" t="s">
        <v>2276</v>
      </c>
      <c r="X1992" s="4" t="s">
        <v>2276</v>
      </c>
      <c r="Y1992" s="4" t="s">
        <v>2276</v>
      </c>
      <c r="Z1992" s="4" t="s">
        <v>2276</v>
      </c>
      <c r="AA1992" s="4" t="s">
        <v>2276</v>
      </c>
      <c r="AB1992" s="4" t="s">
        <v>2276</v>
      </c>
      <c r="AC1992" s="3"/>
      <c r="AD1992" s="3"/>
    </row>
    <row r="1993" spans="1:30" ht="33.5" customHeight="1">
      <c r="A1993" s="3" t="s">
        <v>5693</v>
      </c>
      <c r="B1993" s="19" t="s">
        <v>5708</v>
      </c>
      <c r="C1993" s="3" t="s">
        <v>2458</v>
      </c>
      <c r="D1993" s="3" t="s">
        <v>25</v>
      </c>
      <c r="E1993" s="3" t="s">
        <v>45</v>
      </c>
      <c r="F1993" s="4" t="s">
        <v>29</v>
      </c>
      <c r="G1993" s="3" t="s">
        <v>2276</v>
      </c>
      <c r="H1993" s="3" t="s">
        <v>523</v>
      </c>
      <c r="I1993" s="3"/>
      <c r="J1993" s="4" t="s">
        <v>2276</v>
      </c>
      <c r="K1993" s="4" t="s">
        <v>2276</v>
      </c>
      <c r="L1993" s="4" t="s">
        <v>2276</v>
      </c>
      <c r="M1993" s="4" t="s">
        <v>2276</v>
      </c>
      <c r="N1993" s="4" t="s">
        <v>2276</v>
      </c>
      <c r="O1993" s="4" t="s">
        <v>2276</v>
      </c>
      <c r="P1993" s="4" t="s">
        <v>2276</v>
      </c>
      <c r="Q1993" s="4" t="s">
        <v>2276</v>
      </c>
      <c r="R1993" s="4" t="s">
        <v>2276</v>
      </c>
      <c r="S1993" s="4" t="s">
        <v>2276</v>
      </c>
      <c r="T1993" s="4" t="s">
        <v>2276</v>
      </c>
      <c r="U1993" s="4" t="s">
        <v>2276</v>
      </c>
      <c r="V1993" s="4" t="s">
        <v>2276</v>
      </c>
      <c r="W1993" s="4" t="s">
        <v>2276</v>
      </c>
      <c r="X1993" s="4" t="s">
        <v>2276</v>
      </c>
      <c r="Y1993" s="4" t="s">
        <v>2276</v>
      </c>
      <c r="Z1993" s="4" t="s">
        <v>2276</v>
      </c>
      <c r="AA1993" s="4" t="s">
        <v>2276</v>
      </c>
      <c r="AB1993" s="4" t="s">
        <v>2276</v>
      </c>
      <c r="AC1993" s="3"/>
      <c r="AD1993" s="3"/>
    </row>
    <row r="1994" spans="1:30" ht="33.5" customHeight="1">
      <c r="A1994" s="3" t="s">
        <v>5693</v>
      </c>
      <c r="B1994" s="19" t="s">
        <v>5709</v>
      </c>
      <c r="C1994" s="3" t="s">
        <v>24</v>
      </c>
      <c r="D1994" s="3" t="s">
        <v>1245</v>
      </c>
      <c r="E1994" s="3" t="s">
        <v>116</v>
      </c>
      <c r="F1994" s="4" t="s">
        <v>2276</v>
      </c>
      <c r="G1994" s="3" t="s">
        <v>2276</v>
      </c>
      <c r="H1994" s="3" t="s">
        <v>523</v>
      </c>
      <c r="I1994" s="3"/>
      <c r="J1994" s="4" t="s">
        <v>2276</v>
      </c>
      <c r="K1994" s="4" t="s">
        <v>2276</v>
      </c>
      <c r="L1994" s="4" t="s">
        <v>2276</v>
      </c>
      <c r="M1994" s="4" t="s">
        <v>2276</v>
      </c>
      <c r="N1994" s="4" t="s">
        <v>2276</v>
      </c>
      <c r="O1994" s="4" t="s">
        <v>2276</v>
      </c>
      <c r="P1994" s="4" t="s">
        <v>2276</v>
      </c>
      <c r="Q1994" s="4" t="s">
        <v>2276</v>
      </c>
      <c r="R1994" s="4" t="s">
        <v>2276</v>
      </c>
      <c r="S1994" s="4" t="s">
        <v>2276</v>
      </c>
      <c r="T1994" s="4" t="s">
        <v>2276</v>
      </c>
      <c r="U1994" s="4" t="s">
        <v>2276</v>
      </c>
      <c r="V1994" s="4" t="s">
        <v>2276</v>
      </c>
      <c r="W1994" s="4" t="s">
        <v>2276</v>
      </c>
      <c r="X1994" s="4" t="s">
        <v>2276</v>
      </c>
      <c r="Y1994" s="4" t="s">
        <v>2276</v>
      </c>
      <c r="Z1994" s="4" t="s">
        <v>2276</v>
      </c>
      <c r="AA1994" s="4" t="s">
        <v>2276</v>
      </c>
      <c r="AB1994" s="4" t="s">
        <v>2276</v>
      </c>
      <c r="AC1994" s="3"/>
      <c r="AD1994" s="3"/>
    </row>
    <row r="1995" spans="1:30" ht="24.5" customHeight="1">
      <c r="A1995" s="11" t="s">
        <v>5715</v>
      </c>
      <c r="B1995" s="11" t="s">
        <v>5717</v>
      </c>
      <c r="C1995" s="3" t="s">
        <v>24</v>
      </c>
      <c r="D1995" s="3" t="s">
        <v>27</v>
      </c>
      <c r="E1995" s="3" t="s">
        <v>130</v>
      </c>
      <c r="F1995" s="4" t="s">
        <v>74</v>
      </c>
      <c r="G1995" s="3" t="s">
        <v>2276</v>
      </c>
      <c r="H1995" s="3" t="s">
        <v>524</v>
      </c>
      <c r="I1995" s="3"/>
      <c r="J1995" s="21">
        <v>0</v>
      </c>
      <c r="K1995" s="21">
        <v>0</v>
      </c>
      <c r="L1995" s="21">
        <v>0</v>
      </c>
      <c r="M1995" s="21">
        <v>0</v>
      </c>
      <c r="N1995" s="21">
        <v>0</v>
      </c>
      <c r="O1995" s="21">
        <v>0</v>
      </c>
      <c r="P1995" s="21">
        <v>0</v>
      </c>
      <c r="Q1995" s="21">
        <v>0</v>
      </c>
      <c r="R1995" s="21">
        <v>0</v>
      </c>
      <c r="S1995" s="21">
        <v>0</v>
      </c>
      <c r="T1995" s="21">
        <v>0</v>
      </c>
      <c r="U1995" s="21">
        <v>0</v>
      </c>
      <c r="V1995" s="21">
        <v>0</v>
      </c>
      <c r="W1995" s="21">
        <v>0</v>
      </c>
      <c r="X1995" s="21">
        <v>0</v>
      </c>
      <c r="Y1995" s="4" t="s">
        <v>2276</v>
      </c>
      <c r="Z1995" s="4" t="s">
        <v>2276</v>
      </c>
      <c r="AA1995" s="4" t="s">
        <v>2276</v>
      </c>
      <c r="AB1995" s="4" t="s">
        <v>2276</v>
      </c>
      <c r="AC1995" s="3"/>
      <c r="AD1995" s="3"/>
    </row>
    <row r="1996" spans="1:30" ht="24.5" customHeight="1">
      <c r="A1996" s="11" t="s">
        <v>5715</v>
      </c>
      <c r="B1996" s="11" t="s">
        <v>5718</v>
      </c>
      <c r="C1996" s="3" t="s">
        <v>24</v>
      </c>
      <c r="D1996" s="3" t="s">
        <v>25</v>
      </c>
      <c r="E1996" s="3" t="s">
        <v>45</v>
      </c>
      <c r="F1996" s="4" t="s">
        <v>74</v>
      </c>
      <c r="G1996" s="3" t="s">
        <v>2276</v>
      </c>
      <c r="H1996" s="3" t="s">
        <v>524</v>
      </c>
      <c r="I1996" s="3"/>
      <c r="J1996" s="21">
        <v>0</v>
      </c>
      <c r="K1996" s="21">
        <v>0</v>
      </c>
      <c r="L1996" s="21">
        <v>0</v>
      </c>
      <c r="M1996" s="21">
        <v>0</v>
      </c>
      <c r="N1996" s="21">
        <v>0</v>
      </c>
      <c r="O1996" s="21">
        <v>0</v>
      </c>
      <c r="P1996" s="21">
        <v>0</v>
      </c>
      <c r="Q1996" s="21">
        <v>0</v>
      </c>
      <c r="R1996" s="21">
        <v>0</v>
      </c>
      <c r="S1996" s="21">
        <v>0</v>
      </c>
      <c r="T1996" s="21">
        <v>0</v>
      </c>
      <c r="U1996" s="21">
        <v>0</v>
      </c>
      <c r="V1996" s="21">
        <v>0</v>
      </c>
      <c r="W1996" s="21">
        <v>0</v>
      </c>
      <c r="X1996" s="21">
        <v>0</v>
      </c>
      <c r="Y1996" s="4" t="s">
        <v>2276</v>
      </c>
      <c r="Z1996" s="4" t="s">
        <v>2276</v>
      </c>
      <c r="AA1996" s="4" t="s">
        <v>2276</v>
      </c>
      <c r="AB1996" s="4" t="s">
        <v>2276</v>
      </c>
      <c r="AC1996" s="3"/>
      <c r="AD1996" s="3"/>
    </row>
    <row r="1997" spans="1:30" ht="24.5" customHeight="1">
      <c r="A1997" s="11" t="s">
        <v>5715</v>
      </c>
      <c r="B1997" s="11" t="s">
        <v>5719</v>
      </c>
      <c r="C1997" s="3" t="s">
        <v>24</v>
      </c>
      <c r="D1997" s="3" t="s">
        <v>3480</v>
      </c>
      <c r="E1997" s="3" t="s">
        <v>116</v>
      </c>
      <c r="F1997" s="4" t="s">
        <v>74</v>
      </c>
      <c r="G1997" s="3" t="s">
        <v>2276</v>
      </c>
      <c r="H1997" s="3" t="s">
        <v>524</v>
      </c>
      <c r="I1997" s="3"/>
      <c r="J1997" s="21">
        <v>0</v>
      </c>
      <c r="K1997" s="21">
        <v>0</v>
      </c>
      <c r="L1997" s="21">
        <v>0</v>
      </c>
      <c r="M1997" s="21">
        <v>0</v>
      </c>
      <c r="N1997" s="21">
        <v>0</v>
      </c>
      <c r="O1997" s="21">
        <v>0</v>
      </c>
      <c r="P1997" s="21">
        <v>0</v>
      </c>
      <c r="Q1997" s="21">
        <v>0</v>
      </c>
      <c r="R1997" s="21">
        <v>0</v>
      </c>
      <c r="S1997" s="21">
        <v>0</v>
      </c>
      <c r="T1997" s="21">
        <v>0</v>
      </c>
      <c r="U1997" s="21">
        <v>0</v>
      </c>
      <c r="V1997" s="21">
        <v>0</v>
      </c>
      <c r="W1997" s="21">
        <v>0</v>
      </c>
      <c r="X1997" s="21">
        <v>0</v>
      </c>
      <c r="Y1997" s="4" t="s">
        <v>2276</v>
      </c>
      <c r="Z1997" s="4" t="s">
        <v>2276</v>
      </c>
      <c r="AA1997" s="4" t="s">
        <v>2276</v>
      </c>
      <c r="AB1997" s="4" t="s">
        <v>2276</v>
      </c>
      <c r="AC1997" s="3"/>
      <c r="AD1997" s="3"/>
    </row>
    <row r="1998" spans="1:30" ht="32" customHeight="1">
      <c r="A1998" s="35" t="s">
        <v>5715</v>
      </c>
      <c r="B1998" s="35" t="s">
        <v>5721</v>
      </c>
      <c r="C1998" s="38" t="s">
        <v>24</v>
      </c>
      <c r="D1998" t="s">
        <v>1105</v>
      </c>
      <c r="E1998" t="s">
        <v>137</v>
      </c>
      <c r="F1998" s="168" t="s">
        <v>74</v>
      </c>
      <c r="G1998" s="38" t="s">
        <v>2276</v>
      </c>
      <c r="H1998" s="38" t="s">
        <v>524</v>
      </c>
      <c r="I1998" s="38"/>
      <c r="J1998" s="73">
        <v>0</v>
      </c>
      <c r="K1998" s="73">
        <v>0</v>
      </c>
      <c r="L1998" s="73">
        <v>0</v>
      </c>
      <c r="M1998" s="73">
        <v>0</v>
      </c>
      <c r="N1998" s="73">
        <v>0</v>
      </c>
      <c r="O1998" s="73">
        <v>0</v>
      </c>
      <c r="P1998" s="73">
        <v>0</v>
      </c>
      <c r="Q1998" s="73">
        <v>0</v>
      </c>
      <c r="R1998" s="73">
        <v>0</v>
      </c>
      <c r="S1998" s="73">
        <v>0</v>
      </c>
      <c r="T1998" s="73">
        <v>0</v>
      </c>
      <c r="U1998" s="73">
        <v>0</v>
      </c>
      <c r="V1998" s="73">
        <v>0</v>
      </c>
      <c r="W1998" s="73">
        <v>0</v>
      </c>
      <c r="X1998" s="73">
        <v>0</v>
      </c>
      <c r="Y1998" s="168" t="s">
        <v>2276</v>
      </c>
      <c r="Z1998" s="168" t="s">
        <v>2276</v>
      </c>
      <c r="AA1998" s="168" t="s">
        <v>2276</v>
      </c>
      <c r="AB1998" s="168" t="s">
        <v>2276</v>
      </c>
      <c r="AC1998" s="38"/>
      <c r="AD1998" s="38"/>
    </row>
    <row r="1999" spans="1:30" ht="68" customHeight="1">
      <c r="A1999" s="11" t="s">
        <v>5723</v>
      </c>
      <c r="B1999" s="11" t="s">
        <v>5732</v>
      </c>
      <c r="C1999" s="3" t="s">
        <v>24</v>
      </c>
      <c r="D1999" s="3" t="s">
        <v>26</v>
      </c>
      <c r="E1999" s="4" t="s">
        <v>396</v>
      </c>
      <c r="F1999" s="4" t="s">
        <v>28</v>
      </c>
      <c r="G1999" s="3" t="s">
        <v>2276</v>
      </c>
      <c r="H1999" s="3" t="s">
        <v>523</v>
      </c>
      <c r="I1999" s="3"/>
      <c r="J1999" s="4" t="s">
        <v>2276</v>
      </c>
      <c r="K1999" s="4" t="s">
        <v>2276</v>
      </c>
      <c r="L1999" s="4" t="s">
        <v>2276</v>
      </c>
      <c r="M1999" s="4" t="s">
        <v>2276</v>
      </c>
      <c r="N1999" s="4" t="s">
        <v>2276</v>
      </c>
      <c r="O1999" s="4" t="s">
        <v>2276</v>
      </c>
      <c r="P1999" s="4" t="s">
        <v>2276</v>
      </c>
      <c r="Q1999" s="4" t="s">
        <v>2276</v>
      </c>
      <c r="R1999" s="4" t="s">
        <v>2276</v>
      </c>
      <c r="S1999" s="4" t="s">
        <v>2276</v>
      </c>
      <c r="T1999" s="4" t="s">
        <v>2276</v>
      </c>
      <c r="U1999" s="4" t="s">
        <v>2276</v>
      </c>
      <c r="V1999" s="4" t="s">
        <v>2276</v>
      </c>
      <c r="W1999" s="4" t="s">
        <v>2276</v>
      </c>
      <c r="X1999" s="4" t="s">
        <v>2276</v>
      </c>
      <c r="Y1999" s="4" t="s">
        <v>2276</v>
      </c>
      <c r="Z1999" s="4" t="s">
        <v>2276</v>
      </c>
      <c r="AA1999" s="4" t="s">
        <v>2276</v>
      </c>
      <c r="AB1999" s="4" t="s">
        <v>2276</v>
      </c>
      <c r="AC1999" s="4" t="s">
        <v>5733</v>
      </c>
      <c r="AD1999" s="3"/>
    </row>
    <row r="2000" spans="1:30" ht="58">
      <c r="A2000" s="19" t="s">
        <v>5726</v>
      </c>
      <c r="B2000" s="11" t="s">
        <v>5735</v>
      </c>
      <c r="C2000" s="3" t="s">
        <v>24</v>
      </c>
      <c r="D2000" s="3" t="s">
        <v>26</v>
      </c>
      <c r="E2000" s="4" t="s">
        <v>396</v>
      </c>
      <c r="F2000" s="4" t="s">
        <v>28</v>
      </c>
      <c r="G2000" s="3" t="s">
        <v>2276</v>
      </c>
      <c r="H2000" s="3" t="s">
        <v>523</v>
      </c>
      <c r="I2000" s="3"/>
      <c r="J2000" s="4" t="s">
        <v>2276</v>
      </c>
      <c r="K2000" s="4" t="s">
        <v>2276</v>
      </c>
      <c r="L2000" s="4" t="s">
        <v>2276</v>
      </c>
      <c r="M2000" s="4" t="s">
        <v>2276</v>
      </c>
      <c r="N2000" s="4" t="s">
        <v>2276</v>
      </c>
      <c r="O2000" s="4" t="s">
        <v>2276</v>
      </c>
      <c r="P2000" s="4" t="s">
        <v>2276</v>
      </c>
      <c r="Q2000" s="4" t="s">
        <v>2276</v>
      </c>
      <c r="R2000" s="4" t="s">
        <v>2276</v>
      </c>
      <c r="S2000" s="4" t="s">
        <v>2276</v>
      </c>
      <c r="T2000" s="4" t="s">
        <v>2276</v>
      </c>
      <c r="U2000" s="4" t="s">
        <v>2276</v>
      </c>
      <c r="V2000" s="4" t="s">
        <v>2276</v>
      </c>
      <c r="W2000" s="4" t="s">
        <v>2276</v>
      </c>
      <c r="X2000" s="4" t="s">
        <v>2276</v>
      </c>
      <c r="Y2000" s="4" t="s">
        <v>2276</v>
      </c>
      <c r="Z2000" s="4" t="s">
        <v>2276</v>
      </c>
      <c r="AA2000" s="4" t="s">
        <v>2276</v>
      </c>
      <c r="AB2000" s="4" t="s">
        <v>2276</v>
      </c>
      <c r="AC2000" s="4" t="s">
        <v>5733</v>
      </c>
      <c r="AD2000" s="3"/>
    </row>
    <row r="2001" spans="1:30" ht="58">
      <c r="A2001" s="19" t="s">
        <v>5727</v>
      </c>
      <c r="B2001" s="11" t="s">
        <v>5736</v>
      </c>
      <c r="C2001" s="3" t="s">
        <v>24</v>
      </c>
      <c r="D2001" s="3" t="s">
        <v>26</v>
      </c>
      <c r="E2001" s="4" t="s">
        <v>396</v>
      </c>
      <c r="F2001" s="4" t="s">
        <v>28</v>
      </c>
      <c r="G2001" s="3" t="s">
        <v>2276</v>
      </c>
      <c r="H2001" s="3" t="s">
        <v>523</v>
      </c>
      <c r="I2001" s="3"/>
      <c r="J2001" s="4" t="s">
        <v>2276</v>
      </c>
      <c r="K2001" s="4" t="s">
        <v>2276</v>
      </c>
      <c r="L2001" s="4" t="s">
        <v>2276</v>
      </c>
      <c r="M2001" s="4" t="s">
        <v>2276</v>
      </c>
      <c r="N2001" s="4" t="s">
        <v>2276</v>
      </c>
      <c r="O2001" s="4" t="s">
        <v>2276</v>
      </c>
      <c r="P2001" s="4" t="s">
        <v>2276</v>
      </c>
      <c r="Q2001" s="4" t="s">
        <v>2276</v>
      </c>
      <c r="R2001" s="4" t="s">
        <v>2276</v>
      </c>
      <c r="S2001" s="4" t="s">
        <v>2276</v>
      </c>
      <c r="T2001" s="4" t="s">
        <v>2276</v>
      </c>
      <c r="U2001" s="4" t="s">
        <v>2276</v>
      </c>
      <c r="V2001" s="4" t="s">
        <v>2276</v>
      </c>
      <c r="W2001" s="4" t="s">
        <v>2276</v>
      </c>
      <c r="X2001" s="4" t="s">
        <v>2276</v>
      </c>
      <c r="Y2001" s="4" t="s">
        <v>2276</v>
      </c>
      <c r="Z2001" s="4" t="s">
        <v>2276</v>
      </c>
      <c r="AA2001" s="4" t="s">
        <v>2276</v>
      </c>
      <c r="AB2001" s="4" t="s">
        <v>2276</v>
      </c>
      <c r="AC2001" s="4" t="s">
        <v>5733</v>
      </c>
      <c r="AD2001" s="3"/>
    </row>
    <row r="2002" spans="1:30" ht="58">
      <c r="A2002" s="19" t="s">
        <v>5728</v>
      </c>
      <c r="B2002" s="11" t="s">
        <v>5737</v>
      </c>
      <c r="C2002" s="3" t="s">
        <v>24</v>
      </c>
      <c r="D2002" s="3" t="s">
        <v>26</v>
      </c>
      <c r="E2002" s="4" t="s">
        <v>396</v>
      </c>
      <c r="F2002" s="4" t="s">
        <v>28</v>
      </c>
      <c r="G2002" s="3" t="s">
        <v>2276</v>
      </c>
      <c r="H2002" s="3" t="s">
        <v>523</v>
      </c>
      <c r="I2002" s="3"/>
      <c r="J2002" s="4" t="s">
        <v>2276</v>
      </c>
      <c r="K2002" s="4" t="s">
        <v>2276</v>
      </c>
      <c r="L2002" s="4" t="s">
        <v>2276</v>
      </c>
      <c r="M2002" s="4" t="s">
        <v>2276</v>
      </c>
      <c r="N2002" s="4" t="s">
        <v>2276</v>
      </c>
      <c r="O2002" s="4" t="s">
        <v>2276</v>
      </c>
      <c r="P2002" s="4" t="s">
        <v>2276</v>
      </c>
      <c r="Q2002" s="4" t="s">
        <v>2276</v>
      </c>
      <c r="R2002" s="4" t="s">
        <v>2276</v>
      </c>
      <c r="S2002" s="4" t="s">
        <v>2276</v>
      </c>
      <c r="T2002" s="4" t="s">
        <v>2276</v>
      </c>
      <c r="U2002" s="4" t="s">
        <v>2276</v>
      </c>
      <c r="V2002" s="4" t="s">
        <v>2276</v>
      </c>
      <c r="W2002" s="4" t="s">
        <v>2276</v>
      </c>
      <c r="X2002" s="4" t="s">
        <v>2276</v>
      </c>
      <c r="Y2002" s="4" t="s">
        <v>2276</v>
      </c>
      <c r="Z2002" s="4" t="s">
        <v>2276</v>
      </c>
      <c r="AA2002" s="4" t="s">
        <v>2276</v>
      </c>
      <c r="AB2002" s="4" t="s">
        <v>2276</v>
      </c>
      <c r="AC2002" s="4" t="s">
        <v>5733</v>
      </c>
      <c r="AD2002" s="3"/>
    </row>
    <row r="2003" spans="1:30" ht="33.5" customHeight="1">
      <c r="A2003" s="19" t="s">
        <v>5739</v>
      </c>
      <c r="B2003" s="19" t="s">
        <v>5746</v>
      </c>
      <c r="C2003" s="3" t="s">
        <v>1105</v>
      </c>
      <c r="D2003" s="3" t="s">
        <v>1105</v>
      </c>
      <c r="E2003" s="3" t="s">
        <v>1105</v>
      </c>
      <c r="F2003" s="3" t="s">
        <v>1105</v>
      </c>
      <c r="G2003" s="3" t="s">
        <v>74</v>
      </c>
      <c r="H2003" s="3" t="s">
        <v>523</v>
      </c>
      <c r="I2003" s="3"/>
      <c r="J2003" s="4" t="s">
        <v>2276</v>
      </c>
      <c r="K2003" s="4" t="s">
        <v>2276</v>
      </c>
      <c r="L2003" s="4" t="s">
        <v>2276</v>
      </c>
      <c r="M2003" s="4" t="s">
        <v>2276</v>
      </c>
      <c r="N2003" s="4" t="s">
        <v>2276</v>
      </c>
      <c r="O2003" s="4" t="s">
        <v>2276</v>
      </c>
      <c r="P2003" s="4" t="s">
        <v>2276</v>
      </c>
      <c r="Q2003" s="4" t="s">
        <v>2276</v>
      </c>
      <c r="R2003" s="4" t="s">
        <v>2276</v>
      </c>
      <c r="S2003" s="4" t="s">
        <v>2276</v>
      </c>
      <c r="T2003" s="4" t="s">
        <v>2276</v>
      </c>
      <c r="U2003" s="4" t="s">
        <v>2276</v>
      </c>
      <c r="V2003" s="21">
        <v>3.19</v>
      </c>
      <c r="W2003" s="4" t="s">
        <v>2276</v>
      </c>
      <c r="X2003" s="4" t="s">
        <v>2276</v>
      </c>
      <c r="Y2003" s="4" t="s">
        <v>2276</v>
      </c>
      <c r="Z2003" s="4" t="s">
        <v>2276</v>
      </c>
      <c r="AA2003" s="4" t="s">
        <v>2276</v>
      </c>
      <c r="AB2003" s="4" t="s">
        <v>2276</v>
      </c>
      <c r="AC2003" s="3"/>
      <c r="AD2003" s="3"/>
    </row>
    <row r="2004" spans="1:30" ht="33.5" customHeight="1">
      <c r="A2004" s="19" t="s">
        <v>5743</v>
      </c>
      <c r="B2004" s="19" t="s">
        <v>5747</v>
      </c>
      <c r="C2004" s="3" t="s">
        <v>1105</v>
      </c>
      <c r="D2004" s="3" t="s">
        <v>1105</v>
      </c>
      <c r="E2004" s="3" t="s">
        <v>1105</v>
      </c>
      <c r="F2004" s="3" t="s">
        <v>1105</v>
      </c>
      <c r="G2004" s="3" t="s">
        <v>74</v>
      </c>
      <c r="H2004" s="3" t="s">
        <v>523</v>
      </c>
      <c r="I2004" s="3"/>
      <c r="J2004" s="4" t="s">
        <v>2276</v>
      </c>
      <c r="K2004" s="4" t="s">
        <v>2276</v>
      </c>
      <c r="L2004" s="4" t="s">
        <v>2276</v>
      </c>
      <c r="M2004" s="4" t="s">
        <v>2276</v>
      </c>
      <c r="N2004" s="4" t="s">
        <v>2276</v>
      </c>
      <c r="O2004" s="4" t="s">
        <v>2276</v>
      </c>
      <c r="P2004" s="4" t="s">
        <v>2276</v>
      </c>
      <c r="Q2004" s="4" t="s">
        <v>2276</v>
      </c>
      <c r="R2004" s="4" t="s">
        <v>2276</v>
      </c>
      <c r="S2004" s="4" t="s">
        <v>2276</v>
      </c>
      <c r="T2004" s="4" t="s">
        <v>2276</v>
      </c>
      <c r="U2004" s="4" t="s">
        <v>2276</v>
      </c>
      <c r="V2004" s="21">
        <v>10.69</v>
      </c>
      <c r="W2004" s="4" t="s">
        <v>2276</v>
      </c>
      <c r="X2004" s="4" t="s">
        <v>2276</v>
      </c>
      <c r="Y2004" s="4" t="s">
        <v>2276</v>
      </c>
      <c r="Z2004" s="4" t="s">
        <v>2276</v>
      </c>
      <c r="AA2004" s="4" t="s">
        <v>2276</v>
      </c>
      <c r="AB2004" s="4" t="s">
        <v>2276</v>
      </c>
      <c r="AC2004" s="3"/>
      <c r="AD2004" s="3"/>
    </row>
    <row r="2005" spans="1:30" ht="33.5" customHeight="1">
      <c r="A2005" s="19" t="s">
        <v>5744</v>
      </c>
      <c r="B2005" s="19" t="s">
        <v>5748</v>
      </c>
      <c r="C2005" s="3" t="s">
        <v>1105</v>
      </c>
      <c r="D2005" s="3" t="s">
        <v>1105</v>
      </c>
      <c r="E2005" s="3" t="s">
        <v>1105</v>
      </c>
      <c r="F2005" s="3" t="s">
        <v>1105</v>
      </c>
      <c r="G2005" s="3" t="s">
        <v>74</v>
      </c>
      <c r="H2005" s="3" t="s">
        <v>523</v>
      </c>
      <c r="I2005" s="3"/>
      <c r="J2005" s="4" t="s">
        <v>2276</v>
      </c>
      <c r="K2005" s="4" t="s">
        <v>2276</v>
      </c>
      <c r="L2005" s="4" t="s">
        <v>2276</v>
      </c>
      <c r="M2005" s="4" t="s">
        <v>2276</v>
      </c>
      <c r="N2005" s="4" t="s">
        <v>2276</v>
      </c>
      <c r="O2005" s="4" t="s">
        <v>2276</v>
      </c>
      <c r="P2005" s="4" t="s">
        <v>2276</v>
      </c>
      <c r="Q2005" s="4" t="s">
        <v>2276</v>
      </c>
      <c r="R2005" s="4" t="s">
        <v>2276</v>
      </c>
      <c r="S2005" s="4" t="s">
        <v>2276</v>
      </c>
      <c r="T2005" s="4" t="s">
        <v>2276</v>
      </c>
      <c r="U2005" s="4" t="s">
        <v>2276</v>
      </c>
      <c r="V2005" s="21">
        <v>1.08</v>
      </c>
      <c r="W2005" s="4" t="s">
        <v>2276</v>
      </c>
      <c r="X2005" s="4" t="s">
        <v>2276</v>
      </c>
      <c r="Y2005" s="4" t="s">
        <v>2276</v>
      </c>
      <c r="Z2005" s="4" t="s">
        <v>2276</v>
      </c>
      <c r="AA2005" s="4" t="s">
        <v>2276</v>
      </c>
      <c r="AB2005" s="4" t="s">
        <v>2276</v>
      </c>
      <c r="AC2005" s="3"/>
      <c r="AD2005" s="3"/>
    </row>
    <row r="2006" spans="1:30" ht="36.5" customHeight="1">
      <c r="A2006" s="19" t="s">
        <v>5739</v>
      </c>
      <c r="B2006" s="19" t="s">
        <v>5750</v>
      </c>
      <c r="C2006" s="3" t="s">
        <v>24</v>
      </c>
      <c r="D2006" s="3" t="s">
        <v>1242</v>
      </c>
      <c r="E2006" s="4" t="s">
        <v>397</v>
      </c>
      <c r="F2006" s="4" t="s">
        <v>74</v>
      </c>
      <c r="G2006" s="3" t="s">
        <v>2276</v>
      </c>
      <c r="H2006" s="3" t="s">
        <v>523</v>
      </c>
      <c r="I2006" s="3"/>
      <c r="J2006" s="4" t="s">
        <v>2276</v>
      </c>
      <c r="K2006" s="4" t="s">
        <v>2276</v>
      </c>
      <c r="L2006" s="4" t="s">
        <v>2276</v>
      </c>
      <c r="M2006" s="4" t="s">
        <v>2276</v>
      </c>
      <c r="N2006" s="4" t="s">
        <v>2276</v>
      </c>
      <c r="O2006" s="4" t="s">
        <v>2276</v>
      </c>
      <c r="P2006" s="4" t="s">
        <v>2276</v>
      </c>
      <c r="Q2006" s="4" t="s">
        <v>2276</v>
      </c>
      <c r="R2006" s="4" t="s">
        <v>2276</v>
      </c>
      <c r="S2006" s="4" t="s">
        <v>2276</v>
      </c>
      <c r="T2006" s="4" t="s">
        <v>2276</v>
      </c>
      <c r="U2006" s="4" t="s">
        <v>2276</v>
      </c>
      <c r="V2006" s="4" t="s">
        <v>2276</v>
      </c>
      <c r="W2006" s="4" t="s">
        <v>2276</v>
      </c>
      <c r="X2006" s="4" t="s">
        <v>2276</v>
      </c>
      <c r="Y2006" s="4" t="s">
        <v>2276</v>
      </c>
      <c r="Z2006" s="4" t="s">
        <v>2276</v>
      </c>
      <c r="AA2006" s="4" t="s">
        <v>2276</v>
      </c>
      <c r="AB2006" s="4" t="s">
        <v>2276</v>
      </c>
      <c r="AC2006" s="3"/>
      <c r="AD2006" s="3"/>
    </row>
    <row r="2007" spans="1:30" ht="36.5" customHeight="1">
      <c r="A2007" s="19" t="s">
        <v>5743</v>
      </c>
      <c r="B2007" s="19" t="s">
        <v>5751</v>
      </c>
      <c r="C2007" s="3" t="s">
        <v>24</v>
      </c>
      <c r="D2007" s="3" t="s">
        <v>1242</v>
      </c>
      <c r="E2007" s="4" t="s">
        <v>397</v>
      </c>
      <c r="F2007" s="4" t="s">
        <v>74</v>
      </c>
      <c r="G2007" s="3" t="s">
        <v>2276</v>
      </c>
      <c r="H2007" s="3" t="s">
        <v>523</v>
      </c>
      <c r="I2007" s="3"/>
      <c r="J2007" s="4" t="s">
        <v>2276</v>
      </c>
      <c r="K2007" s="4" t="s">
        <v>2276</v>
      </c>
      <c r="L2007" s="4" t="s">
        <v>2276</v>
      </c>
      <c r="M2007" s="4" t="s">
        <v>2276</v>
      </c>
      <c r="N2007" s="4" t="s">
        <v>2276</v>
      </c>
      <c r="O2007" s="4" t="s">
        <v>2276</v>
      </c>
      <c r="P2007" s="4" t="s">
        <v>2276</v>
      </c>
      <c r="Q2007" s="4" t="s">
        <v>2276</v>
      </c>
      <c r="R2007" s="4" t="s">
        <v>2276</v>
      </c>
      <c r="S2007" s="4" t="s">
        <v>2276</v>
      </c>
      <c r="T2007" s="4" t="s">
        <v>2276</v>
      </c>
      <c r="U2007" s="4" t="s">
        <v>2276</v>
      </c>
      <c r="V2007" s="4" t="s">
        <v>2276</v>
      </c>
      <c r="W2007" s="4" t="s">
        <v>2276</v>
      </c>
      <c r="X2007" s="4" t="s">
        <v>2276</v>
      </c>
      <c r="Y2007" s="4" t="s">
        <v>2276</v>
      </c>
      <c r="Z2007" s="4" t="s">
        <v>2276</v>
      </c>
      <c r="AA2007" s="4" t="s">
        <v>2276</v>
      </c>
      <c r="AB2007" s="4" t="s">
        <v>2276</v>
      </c>
      <c r="AC2007" s="3"/>
      <c r="AD2007" s="3"/>
    </row>
    <row r="2008" spans="1:30" ht="36.5" customHeight="1">
      <c r="A2008" s="19" t="s">
        <v>5744</v>
      </c>
      <c r="B2008" s="19" t="s">
        <v>5752</v>
      </c>
      <c r="C2008" s="3" t="s">
        <v>24</v>
      </c>
      <c r="D2008" s="3" t="s">
        <v>1242</v>
      </c>
      <c r="E2008" s="4" t="s">
        <v>397</v>
      </c>
      <c r="F2008" s="4" t="s">
        <v>74</v>
      </c>
      <c r="G2008" s="3" t="s">
        <v>2276</v>
      </c>
      <c r="H2008" s="3" t="s">
        <v>523</v>
      </c>
      <c r="I2008" s="3"/>
      <c r="J2008" s="4" t="s">
        <v>2276</v>
      </c>
      <c r="K2008" s="4" t="s">
        <v>2276</v>
      </c>
      <c r="L2008" s="4" t="s">
        <v>2276</v>
      </c>
      <c r="M2008" s="4" t="s">
        <v>2276</v>
      </c>
      <c r="N2008" s="4" t="s">
        <v>2276</v>
      </c>
      <c r="O2008" s="4" t="s">
        <v>2276</v>
      </c>
      <c r="P2008" s="4" t="s">
        <v>2276</v>
      </c>
      <c r="Q2008" s="4" t="s">
        <v>2276</v>
      </c>
      <c r="R2008" s="4" t="s">
        <v>2276</v>
      </c>
      <c r="S2008" s="4" t="s">
        <v>2276</v>
      </c>
      <c r="T2008" s="4" t="s">
        <v>2276</v>
      </c>
      <c r="U2008" s="4" t="s">
        <v>2276</v>
      </c>
      <c r="V2008" s="4" t="s">
        <v>2276</v>
      </c>
      <c r="W2008" s="4" t="s">
        <v>2276</v>
      </c>
      <c r="X2008" s="4" t="s">
        <v>2276</v>
      </c>
      <c r="Y2008" s="4" t="s">
        <v>2276</v>
      </c>
      <c r="Z2008" s="4" t="s">
        <v>2276</v>
      </c>
      <c r="AA2008" s="4" t="s">
        <v>2276</v>
      </c>
      <c r="AB2008" s="4" t="s">
        <v>2276</v>
      </c>
      <c r="AC2008" s="3"/>
      <c r="AD2008" s="3"/>
    </row>
    <row r="2009" spans="1:30" ht="65.5" customHeight="1">
      <c r="A2009" s="19" t="s">
        <v>5739</v>
      </c>
      <c r="B2009" s="19" t="s">
        <v>5755</v>
      </c>
      <c r="C2009" s="3" t="s">
        <v>24</v>
      </c>
      <c r="D2009" s="3" t="s">
        <v>2659</v>
      </c>
      <c r="E2009" s="4" t="s">
        <v>397</v>
      </c>
      <c r="F2009" s="4" t="s">
        <v>28</v>
      </c>
      <c r="G2009" s="3" t="s">
        <v>2276</v>
      </c>
      <c r="H2009" s="3" t="s">
        <v>523</v>
      </c>
      <c r="I2009" s="3"/>
      <c r="J2009" s="4" t="s">
        <v>2276</v>
      </c>
      <c r="K2009" s="4" t="s">
        <v>2276</v>
      </c>
      <c r="L2009" s="4" t="s">
        <v>2276</v>
      </c>
      <c r="M2009" s="4" t="s">
        <v>2276</v>
      </c>
      <c r="N2009" s="4" t="s">
        <v>2276</v>
      </c>
      <c r="O2009" s="4" t="s">
        <v>2276</v>
      </c>
      <c r="P2009" s="4" t="s">
        <v>2276</v>
      </c>
      <c r="Q2009" s="4" t="s">
        <v>2276</v>
      </c>
      <c r="R2009" s="4" t="s">
        <v>2276</v>
      </c>
      <c r="S2009" s="4" t="s">
        <v>2276</v>
      </c>
      <c r="T2009" s="4" t="s">
        <v>2276</v>
      </c>
      <c r="U2009" s="4" t="s">
        <v>2276</v>
      </c>
      <c r="V2009" s="4" t="s">
        <v>2276</v>
      </c>
      <c r="W2009" s="4" t="s">
        <v>2276</v>
      </c>
      <c r="X2009" s="4" t="s">
        <v>2276</v>
      </c>
      <c r="Y2009" s="4" t="s">
        <v>2276</v>
      </c>
      <c r="Z2009" s="4" t="s">
        <v>2276</v>
      </c>
      <c r="AA2009" s="4" t="s">
        <v>2276</v>
      </c>
      <c r="AB2009" s="4" t="s">
        <v>2276</v>
      </c>
      <c r="AC2009" s="3"/>
      <c r="AD2009" s="4" t="s">
        <v>5763</v>
      </c>
    </row>
    <row r="2010" spans="1:30" ht="65.5" customHeight="1">
      <c r="A2010" s="19" t="s">
        <v>5743</v>
      </c>
      <c r="B2010" s="19" t="s">
        <v>5756</v>
      </c>
      <c r="C2010" s="3" t="s">
        <v>24</v>
      </c>
      <c r="D2010" s="3" t="s">
        <v>2659</v>
      </c>
      <c r="E2010" s="4" t="s">
        <v>397</v>
      </c>
      <c r="F2010" s="4" t="s">
        <v>28</v>
      </c>
      <c r="G2010" s="3" t="s">
        <v>2276</v>
      </c>
      <c r="H2010" s="3" t="s">
        <v>523</v>
      </c>
      <c r="I2010" s="3"/>
      <c r="J2010" s="4" t="s">
        <v>2276</v>
      </c>
      <c r="K2010" s="4" t="s">
        <v>2276</v>
      </c>
      <c r="L2010" s="4" t="s">
        <v>2276</v>
      </c>
      <c r="M2010" s="4" t="s">
        <v>2276</v>
      </c>
      <c r="N2010" s="4" t="s">
        <v>2276</v>
      </c>
      <c r="O2010" s="4" t="s">
        <v>2276</v>
      </c>
      <c r="P2010" s="4" t="s">
        <v>2276</v>
      </c>
      <c r="Q2010" s="4" t="s">
        <v>2276</v>
      </c>
      <c r="R2010" s="4" t="s">
        <v>2276</v>
      </c>
      <c r="S2010" s="4" t="s">
        <v>2276</v>
      </c>
      <c r="T2010" s="4" t="s">
        <v>2276</v>
      </c>
      <c r="U2010" s="4" t="s">
        <v>2276</v>
      </c>
      <c r="V2010" s="4" t="s">
        <v>2276</v>
      </c>
      <c r="W2010" s="4" t="s">
        <v>2276</v>
      </c>
      <c r="X2010" s="4" t="s">
        <v>2276</v>
      </c>
      <c r="Y2010" s="4" t="s">
        <v>2276</v>
      </c>
      <c r="Z2010" s="4" t="s">
        <v>2276</v>
      </c>
      <c r="AA2010" s="4" t="s">
        <v>2276</v>
      </c>
      <c r="AB2010" s="4" t="s">
        <v>2276</v>
      </c>
      <c r="AC2010" s="3"/>
      <c r="AD2010" s="4" t="s">
        <v>5763</v>
      </c>
    </row>
    <row r="2011" spans="1:30" ht="65.5" customHeight="1">
      <c r="A2011" s="19" t="s">
        <v>5744</v>
      </c>
      <c r="B2011" s="19" t="s">
        <v>5757</v>
      </c>
      <c r="C2011" s="3" t="s">
        <v>24</v>
      </c>
      <c r="D2011" s="3" t="s">
        <v>2659</v>
      </c>
      <c r="E2011" s="4" t="s">
        <v>397</v>
      </c>
      <c r="F2011" s="4" t="s">
        <v>28</v>
      </c>
      <c r="G2011" s="3" t="s">
        <v>2276</v>
      </c>
      <c r="H2011" s="3" t="s">
        <v>523</v>
      </c>
      <c r="I2011" s="3"/>
      <c r="J2011" s="4" t="s">
        <v>2276</v>
      </c>
      <c r="K2011" s="4" t="s">
        <v>2276</v>
      </c>
      <c r="L2011" s="4" t="s">
        <v>2276</v>
      </c>
      <c r="M2011" s="4" t="s">
        <v>2276</v>
      </c>
      <c r="N2011" s="4" t="s">
        <v>2276</v>
      </c>
      <c r="O2011" s="4" t="s">
        <v>2276</v>
      </c>
      <c r="P2011" s="4" t="s">
        <v>2276</v>
      </c>
      <c r="Q2011" s="4" t="s">
        <v>2276</v>
      </c>
      <c r="R2011" s="4" t="s">
        <v>2276</v>
      </c>
      <c r="S2011" s="4" t="s">
        <v>2276</v>
      </c>
      <c r="T2011" s="4" t="s">
        <v>2276</v>
      </c>
      <c r="U2011" s="4" t="s">
        <v>2276</v>
      </c>
      <c r="V2011" s="4" t="s">
        <v>2276</v>
      </c>
      <c r="W2011" s="4" t="s">
        <v>2276</v>
      </c>
      <c r="X2011" s="4" t="s">
        <v>2276</v>
      </c>
      <c r="Y2011" s="4" t="s">
        <v>2276</v>
      </c>
      <c r="Z2011" s="4" t="s">
        <v>2276</v>
      </c>
      <c r="AA2011" s="4" t="s">
        <v>2276</v>
      </c>
      <c r="AB2011" s="4" t="s">
        <v>2276</v>
      </c>
      <c r="AC2011" s="3"/>
      <c r="AD2011" s="4" t="s">
        <v>5763</v>
      </c>
    </row>
    <row r="2012" spans="1:30" ht="31.5" customHeight="1">
      <c r="A2012" s="19" t="s">
        <v>5739</v>
      </c>
      <c r="B2012" s="19" t="s">
        <v>5760</v>
      </c>
      <c r="C2012" s="3" t="s">
        <v>24</v>
      </c>
      <c r="D2012" s="3" t="s">
        <v>2994</v>
      </c>
      <c r="E2012" s="3" t="s">
        <v>2276</v>
      </c>
      <c r="F2012" s="4" t="s">
        <v>2276</v>
      </c>
      <c r="G2012" s="3" t="s">
        <v>2276</v>
      </c>
      <c r="H2012" s="3" t="s">
        <v>523</v>
      </c>
      <c r="I2012" s="3"/>
      <c r="J2012" s="4" t="s">
        <v>2276</v>
      </c>
      <c r="K2012" s="4" t="s">
        <v>2276</v>
      </c>
      <c r="L2012" s="4" t="s">
        <v>2276</v>
      </c>
      <c r="M2012" s="4" t="s">
        <v>2276</v>
      </c>
      <c r="N2012" s="4" t="s">
        <v>2276</v>
      </c>
      <c r="O2012" s="4" t="s">
        <v>2276</v>
      </c>
      <c r="P2012" s="4" t="s">
        <v>2276</v>
      </c>
      <c r="Q2012" s="4" t="s">
        <v>2276</v>
      </c>
      <c r="R2012" s="4" t="s">
        <v>2276</v>
      </c>
      <c r="S2012" s="4" t="s">
        <v>2276</v>
      </c>
      <c r="T2012" s="4" t="s">
        <v>2276</v>
      </c>
      <c r="U2012" s="4" t="s">
        <v>2276</v>
      </c>
      <c r="V2012" s="4" t="s">
        <v>2276</v>
      </c>
      <c r="W2012" s="4" t="s">
        <v>2276</v>
      </c>
      <c r="X2012" s="4" t="s">
        <v>2276</v>
      </c>
      <c r="Y2012" s="4" t="s">
        <v>2276</v>
      </c>
      <c r="Z2012" s="4" t="s">
        <v>2276</v>
      </c>
      <c r="AA2012" s="4" t="s">
        <v>2276</v>
      </c>
      <c r="AB2012" s="4" t="s">
        <v>2276</v>
      </c>
      <c r="AC2012" s="3" t="s">
        <v>5770</v>
      </c>
      <c r="AD2012" s="3"/>
    </row>
    <row r="2013" spans="1:30" ht="31.5" customHeight="1">
      <c r="A2013" s="19" t="s">
        <v>5743</v>
      </c>
      <c r="B2013" s="19" t="s">
        <v>5761</v>
      </c>
      <c r="C2013" s="3" t="s">
        <v>24</v>
      </c>
      <c r="D2013" s="3" t="s">
        <v>2994</v>
      </c>
      <c r="E2013" s="3" t="s">
        <v>2276</v>
      </c>
      <c r="F2013" s="4" t="s">
        <v>2276</v>
      </c>
      <c r="G2013" s="3" t="s">
        <v>2276</v>
      </c>
      <c r="H2013" s="3" t="s">
        <v>523</v>
      </c>
      <c r="I2013" s="3"/>
      <c r="J2013" s="4" t="s">
        <v>2276</v>
      </c>
      <c r="K2013" s="4" t="s">
        <v>2276</v>
      </c>
      <c r="L2013" s="4" t="s">
        <v>2276</v>
      </c>
      <c r="M2013" s="4" t="s">
        <v>2276</v>
      </c>
      <c r="N2013" s="4" t="s">
        <v>2276</v>
      </c>
      <c r="O2013" s="4" t="s">
        <v>2276</v>
      </c>
      <c r="P2013" s="4" t="s">
        <v>2276</v>
      </c>
      <c r="Q2013" s="4" t="s">
        <v>2276</v>
      </c>
      <c r="R2013" s="4" t="s">
        <v>2276</v>
      </c>
      <c r="S2013" s="4" t="s">
        <v>2276</v>
      </c>
      <c r="T2013" s="4" t="s">
        <v>2276</v>
      </c>
      <c r="U2013" s="4" t="s">
        <v>2276</v>
      </c>
      <c r="V2013" s="4" t="s">
        <v>2276</v>
      </c>
      <c r="W2013" s="4" t="s">
        <v>2276</v>
      </c>
      <c r="X2013" s="4" t="s">
        <v>2276</v>
      </c>
      <c r="Y2013" s="4" t="s">
        <v>2276</v>
      </c>
      <c r="Z2013" s="4" t="s">
        <v>2276</v>
      </c>
      <c r="AA2013" s="4" t="s">
        <v>2276</v>
      </c>
      <c r="AB2013" s="4" t="s">
        <v>2276</v>
      </c>
      <c r="AC2013" s="3" t="s">
        <v>5770</v>
      </c>
      <c r="AD2013" s="3"/>
    </row>
    <row r="2014" spans="1:30" ht="31.5" customHeight="1">
      <c r="A2014" s="19" t="s">
        <v>5744</v>
      </c>
      <c r="B2014" s="19" t="s">
        <v>5762</v>
      </c>
      <c r="C2014" s="3" t="s">
        <v>24</v>
      </c>
      <c r="D2014" s="3" t="s">
        <v>2994</v>
      </c>
      <c r="E2014" s="3" t="s">
        <v>2276</v>
      </c>
      <c r="F2014" s="4" t="s">
        <v>2276</v>
      </c>
      <c r="G2014" s="3" t="s">
        <v>2276</v>
      </c>
      <c r="H2014" s="3" t="s">
        <v>523</v>
      </c>
      <c r="I2014" s="3"/>
      <c r="J2014" s="4" t="s">
        <v>2276</v>
      </c>
      <c r="K2014" s="4" t="s">
        <v>2276</v>
      </c>
      <c r="L2014" s="4" t="s">
        <v>2276</v>
      </c>
      <c r="M2014" s="4" t="s">
        <v>2276</v>
      </c>
      <c r="N2014" s="4" t="s">
        <v>2276</v>
      </c>
      <c r="O2014" s="4" t="s">
        <v>2276</v>
      </c>
      <c r="P2014" s="4" t="s">
        <v>2276</v>
      </c>
      <c r="Q2014" s="4" t="s">
        <v>2276</v>
      </c>
      <c r="R2014" s="4" t="s">
        <v>2276</v>
      </c>
      <c r="S2014" s="4" t="s">
        <v>2276</v>
      </c>
      <c r="T2014" s="4" t="s">
        <v>2276</v>
      </c>
      <c r="U2014" s="4" t="s">
        <v>2276</v>
      </c>
      <c r="V2014" s="4" t="s">
        <v>2276</v>
      </c>
      <c r="W2014" s="4" t="s">
        <v>2276</v>
      </c>
      <c r="X2014" s="4" t="s">
        <v>2276</v>
      </c>
      <c r="Y2014" s="4" t="s">
        <v>2276</v>
      </c>
      <c r="Z2014" s="4" t="s">
        <v>2276</v>
      </c>
      <c r="AA2014" s="4" t="s">
        <v>2276</v>
      </c>
      <c r="AB2014" s="4" t="s">
        <v>2276</v>
      </c>
      <c r="AC2014" s="3" t="s">
        <v>5770</v>
      </c>
      <c r="AD2014" s="3"/>
    </row>
    <row r="2015" spans="1:30" ht="29">
      <c r="A2015" s="19" t="s">
        <v>5739</v>
      </c>
      <c r="B2015" s="19" t="s">
        <v>5764</v>
      </c>
      <c r="C2015" s="3" t="s">
        <v>24</v>
      </c>
      <c r="D2015" s="3" t="s">
        <v>2804</v>
      </c>
      <c r="E2015" s="3" t="s">
        <v>45</v>
      </c>
      <c r="F2015" s="4" t="s">
        <v>2662</v>
      </c>
      <c r="G2015" s="3" t="s">
        <v>2276</v>
      </c>
      <c r="H2015" s="3" t="s">
        <v>523</v>
      </c>
      <c r="I2015" s="3"/>
      <c r="J2015" s="4" t="s">
        <v>2276</v>
      </c>
      <c r="K2015" s="4" t="s">
        <v>2276</v>
      </c>
      <c r="L2015" s="4" t="s">
        <v>2276</v>
      </c>
      <c r="M2015" s="4" t="s">
        <v>2276</v>
      </c>
      <c r="N2015" s="4" t="s">
        <v>2276</v>
      </c>
      <c r="O2015" s="4" t="s">
        <v>2276</v>
      </c>
      <c r="P2015" s="4" t="s">
        <v>2276</v>
      </c>
      <c r="Q2015" s="4" t="s">
        <v>2276</v>
      </c>
      <c r="R2015" s="4" t="s">
        <v>2276</v>
      </c>
      <c r="S2015" s="4" t="s">
        <v>2276</v>
      </c>
      <c r="T2015" s="4" t="s">
        <v>2276</v>
      </c>
      <c r="U2015" s="4" t="s">
        <v>2276</v>
      </c>
      <c r="V2015" s="4" t="s">
        <v>2276</v>
      </c>
      <c r="W2015" s="4" t="s">
        <v>2276</v>
      </c>
      <c r="X2015" s="4" t="s">
        <v>2276</v>
      </c>
      <c r="Y2015" s="4" t="s">
        <v>2276</v>
      </c>
      <c r="Z2015" s="4" t="s">
        <v>2276</v>
      </c>
      <c r="AA2015" s="4" t="s">
        <v>2276</v>
      </c>
      <c r="AB2015" s="4" t="s">
        <v>2276</v>
      </c>
      <c r="AC2015" s="3"/>
      <c r="AD2015" s="3"/>
    </row>
    <row r="2016" spans="1:30" ht="29">
      <c r="A2016" s="19" t="s">
        <v>5743</v>
      </c>
      <c r="B2016" s="19" t="s">
        <v>5765</v>
      </c>
      <c r="C2016" s="3" t="s">
        <v>24</v>
      </c>
      <c r="D2016" s="3" t="s">
        <v>2804</v>
      </c>
      <c r="E2016" s="3" t="s">
        <v>45</v>
      </c>
      <c r="F2016" s="4" t="s">
        <v>2662</v>
      </c>
      <c r="G2016" s="3" t="s">
        <v>2276</v>
      </c>
      <c r="H2016" s="3" t="s">
        <v>523</v>
      </c>
      <c r="I2016" s="3"/>
      <c r="J2016" s="4" t="s">
        <v>2276</v>
      </c>
      <c r="K2016" s="4" t="s">
        <v>2276</v>
      </c>
      <c r="L2016" s="4" t="s">
        <v>2276</v>
      </c>
      <c r="M2016" s="4" t="s">
        <v>2276</v>
      </c>
      <c r="N2016" s="4" t="s">
        <v>2276</v>
      </c>
      <c r="O2016" s="4" t="s">
        <v>2276</v>
      </c>
      <c r="P2016" s="4" t="s">
        <v>2276</v>
      </c>
      <c r="Q2016" s="4" t="s">
        <v>2276</v>
      </c>
      <c r="R2016" s="4" t="s">
        <v>2276</v>
      </c>
      <c r="S2016" s="4" t="s">
        <v>2276</v>
      </c>
      <c r="T2016" s="4" t="s">
        <v>2276</v>
      </c>
      <c r="U2016" s="4" t="s">
        <v>2276</v>
      </c>
      <c r="V2016" s="4" t="s">
        <v>2276</v>
      </c>
      <c r="W2016" s="4" t="s">
        <v>2276</v>
      </c>
      <c r="X2016" s="4" t="s">
        <v>2276</v>
      </c>
      <c r="Y2016" s="4" t="s">
        <v>2276</v>
      </c>
      <c r="Z2016" s="4" t="s">
        <v>2276</v>
      </c>
      <c r="AA2016" s="4" t="s">
        <v>2276</v>
      </c>
      <c r="AB2016" s="4" t="s">
        <v>2276</v>
      </c>
      <c r="AC2016" s="3"/>
      <c r="AD2016" s="3"/>
    </row>
    <row r="2017" spans="1:30" ht="29">
      <c r="A2017" s="19" t="s">
        <v>5744</v>
      </c>
      <c r="B2017" s="19" t="s">
        <v>5766</v>
      </c>
      <c r="C2017" s="3" t="s">
        <v>24</v>
      </c>
      <c r="D2017" s="3" t="s">
        <v>2804</v>
      </c>
      <c r="E2017" s="3" t="s">
        <v>45</v>
      </c>
      <c r="F2017" s="4" t="s">
        <v>2662</v>
      </c>
      <c r="G2017" s="3" t="s">
        <v>2276</v>
      </c>
      <c r="H2017" s="3" t="s">
        <v>523</v>
      </c>
      <c r="I2017" s="3"/>
      <c r="J2017" s="4" t="s">
        <v>2276</v>
      </c>
      <c r="K2017" s="4" t="s">
        <v>2276</v>
      </c>
      <c r="L2017" s="4" t="s">
        <v>2276</v>
      </c>
      <c r="M2017" s="4" t="s">
        <v>2276</v>
      </c>
      <c r="N2017" s="4" t="s">
        <v>2276</v>
      </c>
      <c r="O2017" s="4" t="s">
        <v>2276</v>
      </c>
      <c r="P2017" s="4" t="s">
        <v>2276</v>
      </c>
      <c r="Q2017" s="4" t="s">
        <v>2276</v>
      </c>
      <c r="R2017" s="4" t="s">
        <v>2276</v>
      </c>
      <c r="S2017" s="4" t="s">
        <v>2276</v>
      </c>
      <c r="T2017" s="4" t="s">
        <v>2276</v>
      </c>
      <c r="U2017" s="4" t="s">
        <v>2276</v>
      </c>
      <c r="V2017" s="4" t="s">
        <v>2276</v>
      </c>
      <c r="W2017" s="4" t="s">
        <v>2276</v>
      </c>
      <c r="X2017" s="4" t="s">
        <v>2276</v>
      </c>
      <c r="Y2017" s="4" t="s">
        <v>2276</v>
      </c>
      <c r="Z2017" s="4" t="s">
        <v>2276</v>
      </c>
      <c r="AA2017" s="4" t="s">
        <v>2276</v>
      </c>
      <c r="AB2017" s="4" t="s">
        <v>2276</v>
      </c>
      <c r="AC2017" s="3"/>
      <c r="AD2017" s="3"/>
    </row>
    <row r="2018" spans="1:30" ht="29" customHeight="1">
      <c r="A2018" s="19" t="s">
        <v>5739</v>
      </c>
      <c r="B2018" s="19" t="s">
        <v>5767</v>
      </c>
      <c r="C2018" s="3" t="s">
        <v>24</v>
      </c>
      <c r="D2018" t="s">
        <v>3480</v>
      </c>
      <c r="E2018" s="3" t="s">
        <v>2276</v>
      </c>
      <c r="F2018" s="4" t="s">
        <v>74</v>
      </c>
      <c r="G2018" s="3" t="s">
        <v>2276</v>
      </c>
      <c r="H2018" s="3" t="s">
        <v>523</v>
      </c>
      <c r="I2018" s="3"/>
      <c r="J2018" s="4" t="s">
        <v>2276</v>
      </c>
      <c r="K2018" s="4" t="s">
        <v>2276</v>
      </c>
      <c r="L2018" s="4" t="s">
        <v>2276</v>
      </c>
      <c r="M2018" s="4" t="s">
        <v>2276</v>
      </c>
      <c r="N2018" s="4" t="s">
        <v>2276</v>
      </c>
      <c r="O2018" s="4" t="s">
        <v>2276</v>
      </c>
      <c r="P2018" s="4" t="s">
        <v>2276</v>
      </c>
      <c r="Q2018" s="4" t="s">
        <v>2276</v>
      </c>
      <c r="R2018" s="4" t="s">
        <v>2276</v>
      </c>
      <c r="S2018" s="4" t="s">
        <v>2276</v>
      </c>
      <c r="T2018" s="4" t="s">
        <v>2276</v>
      </c>
      <c r="U2018" s="4" t="s">
        <v>2276</v>
      </c>
      <c r="V2018" s="4" t="s">
        <v>2276</v>
      </c>
      <c r="W2018" s="4" t="s">
        <v>2276</v>
      </c>
      <c r="X2018" s="4" t="s">
        <v>2276</v>
      </c>
      <c r="Y2018" s="4" t="s">
        <v>2276</v>
      </c>
      <c r="Z2018" s="4" t="s">
        <v>2276</v>
      </c>
      <c r="AA2018" s="4" t="s">
        <v>2276</v>
      </c>
      <c r="AB2018" s="4" t="s">
        <v>2276</v>
      </c>
      <c r="AC2018" s="3"/>
      <c r="AD2018" s="3"/>
    </row>
    <row r="2019" spans="1:30" ht="29" customHeight="1">
      <c r="A2019" s="19" t="s">
        <v>5743</v>
      </c>
      <c r="B2019" s="19" t="s">
        <v>5768</v>
      </c>
      <c r="C2019" s="3" t="s">
        <v>24</v>
      </c>
      <c r="D2019" t="s">
        <v>3480</v>
      </c>
      <c r="E2019" s="3" t="s">
        <v>2276</v>
      </c>
      <c r="F2019" s="4" t="s">
        <v>74</v>
      </c>
      <c r="G2019" s="3" t="s">
        <v>2276</v>
      </c>
      <c r="H2019" s="3" t="s">
        <v>523</v>
      </c>
      <c r="I2019" s="3"/>
      <c r="J2019" s="4" t="s">
        <v>2276</v>
      </c>
      <c r="K2019" s="4" t="s">
        <v>2276</v>
      </c>
      <c r="L2019" s="4" t="s">
        <v>2276</v>
      </c>
      <c r="M2019" s="4" t="s">
        <v>2276</v>
      </c>
      <c r="N2019" s="4" t="s">
        <v>2276</v>
      </c>
      <c r="O2019" s="4" t="s">
        <v>2276</v>
      </c>
      <c r="P2019" s="4" t="s">
        <v>2276</v>
      </c>
      <c r="Q2019" s="4" t="s">
        <v>2276</v>
      </c>
      <c r="R2019" s="4" t="s">
        <v>2276</v>
      </c>
      <c r="S2019" s="4" t="s">
        <v>2276</v>
      </c>
      <c r="T2019" s="4" t="s">
        <v>2276</v>
      </c>
      <c r="U2019" s="4" t="s">
        <v>2276</v>
      </c>
      <c r="V2019" s="4" t="s">
        <v>2276</v>
      </c>
      <c r="W2019" s="4" t="s">
        <v>2276</v>
      </c>
      <c r="X2019" s="4" t="s">
        <v>2276</v>
      </c>
      <c r="Y2019" s="4" t="s">
        <v>2276</v>
      </c>
      <c r="Z2019" s="4" t="s">
        <v>2276</v>
      </c>
      <c r="AA2019" s="4" t="s">
        <v>2276</v>
      </c>
      <c r="AB2019" s="4" t="s">
        <v>2276</v>
      </c>
      <c r="AC2019" s="3"/>
      <c r="AD2019" s="3"/>
    </row>
    <row r="2020" spans="1:30" ht="29" customHeight="1">
      <c r="A2020" s="55" t="s">
        <v>5744</v>
      </c>
      <c r="B2020" s="19" t="s">
        <v>5769</v>
      </c>
      <c r="C2020" s="38" t="s">
        <v>24</v>
      </c>
      <c r="D2020" t="s">
        <v>3480</v>
      </c>
      <c r="E2020" s="38" t="s">
        <v>2276</v>
      </c>
      <c r="F2020" s="4" t="s">
        <v>74</v>
      </c>
      <c r="G2020" s="3" t="s">
        <v>2276</v>
      </c>
      <c r="H2020" s="3" t="s">
        <v>523</v>
      </c>
      <c r="I2020" s="3"/>
      <c r="J2020" s="4" t="s">
        <v>2276</v>
      </c>
      <c r="K2020" s="4" t="s">
        <v>2276</v>
      </c>
      <c r="L2020" s="4" t="s">
        <v>2276</v>
      </c>
      <c r="M2020" s="4" t="s">
        <v>2276</v>
      </c>
      <c r="N2020" s="4" t="s">
        <v>2276</v>
      </c>
      <c r="O2020" s="4" t="s">
        <v>2276</v>
      </c>
      <c r="P2020" s="4" t="s">
        <v>2276</v>
      </c>
      <c r="Q2020" s="4" t="s">
        <v>2276</v>
      </c>
      <c r="R2020" s="4" t="s">
        <v>2276</v>
      </c>
      <c r="S2020" s="4" t="s">
        <v>2276</v>
      </c>
      <c r="T2020" s="4" t="s">
        <v>2276</v>
      </c>
      <c r="U2020" s="4" t="s">
        <v>2276</v>
      </c>
      <c r="V2020" s="4" t="s">
        <v>2276</v>
      </c>
      <c r="W2020" s="4" t="s">
        <v>2276</v>
      </c>
      <c r="X2020" s="4" t="s">
        <v>2276</v>
      </c>
      <c r="Y2020" s="4" t="s">
        <v>2276</v>
      </c>
      <c r="Z2020" s="4" t="s">
        <v>2276</v>
      </c>
      <c r="AA2020" s="4" t="s">
        <v>2276</v>
      </c>
      <c r="AB2020" s="4" t="s">
        <v>2276</v>
      </c>
      <c r="AC2020" s="3"/>
      <c r="AD2020" s="3"/>
    </row>
    <row r="2021" spans="1:30" ht="25.5" customHeight="1">
      <c r="A2021" s="19" t="s">
        <v>5739</v>
      </c>
      <c r="B2021" s="19" t="s">
        <v>5771</v>
      </c>
      <c r="C2021" s="3" t="s">
        <v>24</v>
      </c>
      <c r="D2021" s="3" t="s">
        <v>143</v>
      </c>
      <c r="E2021" s="3" t="s">
        <v>45</v>
      </c>
      <c r="F2021" s="4" t="s">
        <v>74</v>
      </c>
      <c r="G2021" s="3" t="s">
        <v>2276</v>
      </c>
      <c r="H2021" s="3" t="s">
        <v>523</v>
      </c>
      <c r="I2021" s="3"/>
      <c r="J2021" s="4" t="s">
        <v>2276</v>
      </c>
      <c r="K2021" s="4" t="s">
        <v>2276</v>
      </c>
      <c r="L2021" s="4" t="s">
        <v>2276</v>
      </c>
      <c r="M2021" s="4" t="s">
        <v>2276</v>
      </c>
      <c r="N2021" s="4" t="s">
        <v>2276</v>
      </c>
      <c r="O2021" s="4" t="s">
        <v>2276</v>
      </c>
      <c r="P2021" s="4" t="s">
        <v>2276</v>
      </c>
      <c r="Q2021" s="4" t="s">
        <v>2276</v>
      </c>
      <c r="R2021" s="4" t="s">
        <v>2276</v>
      </c>
      <c r="S2021" s="4" t="s">
        <v>2276</v>
      </c>
      <c r="T2021" s="4" t="s">
        <v>2276</v>
      </c>
      <c r="U2021" s="4" t="s">
        <v>2276</v>
      </c>
      <c r="V2021" s="4" t="s">
        <v>2276</v>
      </c>
      <c r="W2021" s="4" t="s">
        <v>2276</v>
      </c>
      <c r="X2021" s="4" t="s">
        <v>2276</v>
      </c>
      <c r="Y2021" s="4" t="s">
        <v>2276</v>
      </c>
      <c r="Z2021" s="4" t="s">
        <v>2276</v>
      </c>
      <c r="AA2021" s="4" t="s">
        <v>2276</v>
      </c>
      <c r="AB2021" s="4" t="s">
        <v>2276</v>
      </c>
      <c r="AC2021" s="3"/>
      <c r="AD2021" s="3"/>
    </row>
    <row r="2022" spans="1:30" ht="25.5" customHeight="1">
      <c r="A2022" s="19" t="s">
        <v>5743</v>
      </c>
      <c r="B2022" s="19" t="s">
        <v>5772</v>
      </c>
      <c r="C2022" s="3" t="s">
        <v>24</v>
      </c>
      <c r="D2022" s="3" t="s">
        <v>143</v>
      </c>
      <c r="E2022" s="3" t="s">
        <v>45</v>
      </c>
      <c r="F2022" s="4" t="s">
        <v>74</v>
      </c>
      <c r="G2022" s="3" t="s">
        <v>2276</v>
      </c>
      <c r="H2022" s="3" t="s">
        <v>523</v>
      </c>
      <c r="I2022" s="3"/>
      <c r="J2022" s="4" t="s">
        <v>2276</v>
      </c>
      <c r="K2022" s="4" t="s">
        <v>2276</v>
      </c>
      <c r="L2022" s="4" t="s">
        <v>2276</v>
      </c>
      <c r="M2022" s="4" t="s">
        <v>2276</v>
      </c>
      <c r="N2022" s="4" t="s">
        <v>2276</v>
      </c>
      <c r="O2022" s="4" t="s">
        <v>2276</v>
      </c>
      <c r="P2022" s="4" t="s">
        <v>2276</v>
      </c>
      <c r="Q2022" s="4" t="s">
        <v>2276</v>
      </c>
      <c r="R2022" s="4" t="s">
        <v>2276</v>
      </c>
      <c r="S2022" s="4" t="s">
        <v>2276</v>
      </c>
      <c r="T2022" s="4" t="s">
        <v>2276</v>
      </c>
      <c r="U2022" s="4" t="s">
        <v>2276</v>
      </c>
      <c r="V2022" s="4" t="s">
        <v>2276</v>
      </c>
      <c r="W2022" s="4" t="s">
        <v>2276</v>
      </c>
      <c r="X2022" s="4" t="s">
        <v>2276</v>
      </c>
      <c r="Y2022" s="4" t="s">
        <v>2276</v>
      </c>
      <c r="Z2022" s="4" t="s">
        <v>2276</v>
      </c>
      <c r="AA2022" s="4" t="s">
        <v>2276</v>
      </c>
      <c r="AB2022" s="4" t="s">
        <v>2276</v>
      </c>
      <c r="AC2022" s="3"/>
      <c r="AD2022" s="3"/>
    </row>
    <row r="2023" spans="1:30" ht="25.5" customHeight="1">
      <c r="A2023" s="19" t="s">
        <v>5744</v>
      </c>
      <c r="B2023" s="19" t="s">
        <v>5773</v>
      </c>
      <c r="C2023" s="3" t="s">
        <v>24</v>
      </c>
      <c r="D2023" s="3" t="s">
        <v>143</v>
      </c>
      <c r="E2023" s="3" t="s">
        <v>45</v>
      </c>
      <c r="F2023" s="4" t="s">
        <v>74</v>
      </c>
      <c r="G2023" s="3" t="s">
        <v>2276</v>
      </c>
      <c r="H2023" s="3" t="s">
        <v>523</v>
      </c>
      <c r="I2023" s="3"/>
      <c r="J2023" s="4" t="s">
        <v>2276</v>
      </c>
      <c r="K2023" s="4" t="s">
        <v>2276</v>
      </c>
      <c r="L2023" s="4" t="s">
        <v>2276</v>
      </c>
      <c r="M2023" s="4" t="s">
        <v>2276</v>
      </c>
      <c r="N2023" s="4" t="s">
        <v>2276</v>
      </c>
      <c r="O2023" s="4" t="s">
        <v>2276</v>
      </c>
      <c r="P2023" s="4" t="s">
        <v>2276</v>
      </c>
      <c r="Q2023" s="4" t="s">
        <v>2276</v>
      </c>
      <c r="R2023" s="4" t="s">
        <v>2276</v>
      </c>
      <c r="S2023" s="4" t="s">
        <v>2276</v>
      </c>
      <c r="T2023" s="4" t="s">
        <v>2276</v>
      </c>
      <c r="U2023" s="4" t="s">
        <v>2276</v>
      </c>
      <c r="V2023" s="4" t="s">
        <v>2276</v>
      </c>
      <c r="W2023" s="4" t="s">
        <v>2276</v>
      </c>
      <c r="X2023" s="4" t="s">
        <v>2276</v>
      </c>
      <c r="Y2023" s="4" t="s">
        <v>2276</v>
      </c>
      <c r="Z2023" s="4" t="s">
        <v>2276</v>
      </c>
      <c r="AA2023" s="4" t="s">
        <v>2276</v>
      </c>
      <c r="AB2023" s="4" t="s">
        <v>2276</v>
      </c>
      <c r="AC2023" s="3"/>
      <c r="AD2023" s="3"/>
    </row>
    <row r="2024" spans="1:30" ht="29">
      <c r="A2024" s="19" t="s">
        <v>5739</v>
      </c>
      <c r="B2024" s="19" t="s">
        <v>5774</v>
      </c>
      <c r="C2024" s="3" t="s">
        <v>24</v>
      </c>
      <c r="D2024" s="3" t="s">
        <v>143</v>
      </c>
      <c r="E2024" s="4" t="s">
        <v>397</v>
      </c>
      <c r="F2024" s="4" t="s">
        <v>74</v>
      </c>
      <c r="G2024" s="3" t="s">
        <v>2276</v>
      </c>
      <c r="H2024" s="3" t="s">
        <v>523</v>
      </c>
      <c r="I2024" s="3"/>
      <c r="J2024" s="4" t="s">
        <v>2276</v>
      </c>
      <c r="K2024" s="4" t="s">
        <v>2276</v>
      </c>
      <c r="L2024" s="4" t="s">
        <v>2276</v>
      </c>
      <c r="M2024" s="4" t="s">
        <v>2276</v>
      </c>
      <c r="N2024" s="4" t="s">
        <v>2276</v>
      </c>
      <c r="O2024" s="4" t="s">
        <v>2276</v>
      </c>
      <c r="P2024" s="4" t="s">
        <v>2276</v>
      </c>
      <c r="Q2024" s="4" t="s">
        <v>2276</v>
      </c>
      <c r="R2024" s="4" t="s">
        <v>2276</v>
      </c>
      <c r="S2024" s="4" t="s">
        <v>2276</v>
      </c>
      <c r="T2024" s="4" t="s">
        <v>2276</v>
      </c>
      <c r="U2024" s="4" t="s">
        <v>2276</v>
      </c>
      <c r="V2024" s="4" t="s">
        <v>2276</v>
      </c>
      <c r="W2024" s="4" t="s">
        <v>2276</v>
      </c>
      <c r="X2024" s="4" t="s">
        <v>2276</v>
      </c>
      <c r="Y2024" s="4" t="s">
        <v>2276</v>
      </c>
      <c r="Z2024" s="4" t="s">
        <v>2276</v>
      </c>
      <c r="AA2024" s="4" t="s">
        <v>2276</v>
      </c>
      <c r="AB2024" s="4" t="s">
        <v>2276</v>
      </c>
      <c r="AC2024" s="3"/>
      <c r="AD2024" s="3"/>
    </row>
    <row r="2025" spans="1:30" ht="29">
      <c r="A2025" s="19" t="s">
        <v>5743</v>
      </c>
      <c r="B2025" s="19" t="s">
        <v>5775</v>
      </c>
      <c r="C2025" s="3" t="s">
        <v>24</v>
      </c>
      <c r="D2025" s="3" t="s">
        <v>143</v>
      </c>
      <c r="E2025" s="4" t="s">
        <v>397</v>
      </c>
      <c r="F2025" s="4" t="s">
        <v>74</v>
      </c>
      <c r="G2025" s="3" t="s">
        <v>2276</v>
      </c>
      <c r="H2025" s="3" t="s">
        <v>523</v>
      </c>
      <c r="I2025" s="3"/>
      <c r="J2025" s="4" t="s">
        <v>2276</v>
      </c>
      <c r="K2025" s="4" t="s">
        <v>2276</v>
      </c>
      <c r="L2025" s="4" t="s">
        <v>2276</v>
      </c>
      <c r="M2025" s="4" t="s">
        <v>2276</v>
      </c>
      <c r="N2025" s="4" t="s">
        <v>2276</v>
      </c>
      <c r="O2025" s="4" t="s">
        <v>2276</v>
      </c>
      <c r="P2025" s="4" t="s">
        <v>2276</v>
      </c>
      <c r="Q2025" s="4" t="s">
        <v>2276</v>
      </c>
      <c r="R2025" s="4" t="s">
        <v>2276</v>
      </c>
      <c r="S2025" s="4" t="s">
        <v>2276</v>
      </c>
      <c r="T2025" s="4" t="s">
        <v>2276</v>
      </c>
      <c r="U2025" s="4" t="s">
        <v>2276</v>
      </c>
      <c r="V2025" s="4" t="s">
        <v>2276</v>
      </c>
      <c r="W2025" s="4" t="s">
        <v>2276</v>
      </c>
      <c r="X2025" s="4" t="s">
        <v>2276</v>
      </c>
      <c r="Y2025" s="4" t="s">
        <v>2276</v>
      </c>
      <c r="Z2025" s="4" t="s">
        <v>2276</v>
      </c>
      <c r="AA2025" s="4" t="s">
        <v>2276</v>
      </c>
      <c r="AB2025" s="4" t="s">
        <v>2276</v>
      </c>
      <c r="AC2025" s="3"/>
      <c r="AD2025" s="3"/>
    </row>
    <row r="2026" spans="1:30" ht="29">
      <c r="A2026" s="19" t="s">
        <v>5744</v>
      </c>
      <c r="B2026" s="19" t="s">
        <v>5776</v>
      </c>
      <c r="C2026" s="3" t="s">
        <v>24</v>
      </c>
      <c r="D2026" s="3" t="s">
        <v>143</v>
      </c>
      <c r="E2026" s="4" t="s">
        <v>397</v>
      </c>
      <c r="F2026" s="4" t="s">
        <v>74</v>
      </c>
      <c r="G2026" s="3" t="s">
        <v>2276</v>
      </c>
      <c r="H2026" s="3" t="s">
        <v>523</v>
      </c>
      <c r="I2026" s="3"/>
      <c r="J2026" s="4" t="s">
        <v>2276</v>
      </c>
      <c r="K2026" s="4" t="s">
        <v>2276</v>
      </c>
      <c r="L2026" s="4" t="s">
        <v>2276</v>
      </c>
      <c r="M2026" s="4" t="s">
        <v>2276</v>
      </c>
      <c r="N2026" s="4" t="s">
        <v>2276</v>
      </c>
      <c r="O2026" s="4" t="s">
        <v>2276</v>
      </c>
      <c r="P2026" s="4" t="s">
        <v>2276</v>
      </c>
      <c r="Q2026" s="4" t="s">
        <v>2276</v>
      </c>
      <c r="R2026" s="4" t="s">
        <v>2276</v>
      </c>
      <c r="S2026" s="4" t="s">
        <v>2276</v>
      </c>
      <c r="T2026" s="4" t="s">
        <v>2276</v>
      </c>
      <c r="U2026" s="4" t="s">
        <v>2276</v>
      </c>
      <c r="V2026" s="4" t="s">
        <v>2276</v>
      </c>
      <c r="W2026" s="4" t="s">
        <v>2276</v>
      </c>
      <c r="X2026" s="4" t="s">
        <v>2276</v>
      </c>
      <c r="Y2026" s="4" t="s">
        <v>2276</v>
      </c>
      <c r="Z2026" s="4" t="s">
        <v>2276</v>
      </c>
      <c r="AA2026" s="4" t="s">
        <v>2276</v>
      </c>
      <c r="AB2026" s="4" t="s">
        <v>2276</v>
      </c>
      <c r="AC2026" s="3"/>
      <c r="AD2026" s="3"/>
    </row>
    <row r="2027" spans="1:30" ht="29" customHeight="1">
      <c r="A2027" s="19" t="s">
        <v>5779</v>
      </c>
      <c r="B2027" s="19" t="s">
        <v>5789</v>
      </c>
      <c r="C2027" s="3" t="s">
        <v>24</v>
      </c>
      <c r="D2027" s="3" t="s">
        <v>1242</v>
      </c>
      <c r="E2027" s="3" t="s">
        <v>1105</v>
      </c>
      <c r="F2027" s="4" t="s">
        <v>74</v>
      </c>
      <c r="G2027" s="3" t="s">
        <v>2276</v>
      </c>
      <c r="H2027" s="3" t="s">
        <v>524</v>
      </c>
      <c r="I2027" s="3">
        <v>1950</v>
      </c>
      <c r="J2027" s="21">
        <v>0</v>
      </c>
      <c r="K2027" s="21">
        <v>0</v>
      </c>
      <c r="L2027" s="21">
        <v>0</v>
      </c>
      <c r="M2027" s="21">
        <v>0</v>
      </c>
      <c r="N2027" s="21">
        <v>0</v>
      </c>
      <c r="O2027" s="21">
        <v>0</v>
      </c>
      <c r="P2027" s="21">
        <v>0</v>
      </c>
      <c r="Q2027" s="21">
        <v>0</v>
      </c>
      <c r="R2027" s="21">
        <v>0</v>
      </c>
      <c r="S2027" s="21">
        <v>0</v>
      </c>
      <c r="T2027" s="21">
        <v>0</v>
      </c>
      <c r="U2027" s="21">
        <v>0</v>
      </c>
      <c r="V2027" s="21">
        <v>0</v>
      </c>
      <c r="W2027" s="21">
        <v>0</v>
      </c>
      <c r="X2027" s="4" t="s">
        <v>2276</v>
      </c>
      <c r="Y2027" s="4" t="s">
        <v>2276</v>
      </c>
      <c r="Z2027" s="4" t="s">
        <v>2276</v>
      </c>
      <c r="AA2027" s="4" t="s">
        <v>2276</v>
      </c>
      <c r="AB2027" s="4" t="s">
        <v>2276</v>
      </c>
      <c r="AC2027" s="3"/>
      <c r="AD2027" s="3"/>
    </row>
    <row r="2028" spans="1:30" ht="29" customHeight="1">
      <c r="A2028" s="19" t="s">
        <v>5779</v>
      </c>
      <c r="B2028" s="19" t="s">
        <v>5790</v>
      </c>
      <c r="C2028" s="3" t="s">
        <v>24</v>
      </c>
      <c r="D2028" s="3" t="s">
        <v>1242</v>
      </c>
      <c r="E2028" s="3" t="s">
        <v>1105</v>
      </c>
      <c r="F2028" s="4" t="s">
        <v>74</v>
      </c>
      <c r="G2028" s="3" t="s">
        <v>2276</v>
      </c>
      <c r="H2028" s="3" t="s">
        <v>524</v>
      </c>
      <c r="I2028" s="3">
        <v>2004</v>
      </c>
      <c r="J2028" s="21">
        <v>0</v>
      </c>
      <c r="K2028" s="21">
        <v>0</v>
      </c>
      <c r="L2028" s="21">
        <v>0</v>
      </c>
      <c r="M2028" s="21">
        <v>0</v>
      </c>
      <c r="N2028" s="21">
        <v>0</v>
      </c>
      <c r="O2028" s="21">
        <v>0</v>
      </c>
      <c r="P2028" s="21">
        <v>0</v>
      </c>
      <c r="Q2028" s="21">
        <v>0</v>
      </c>
      <c r="R2028" s="21">
        <v>0</v>
      </c>
      <c r="S2028" s="21">
        <v>0</v>
      </c>
      <c r="T2028" s="21">
        <v>0</v>
      </c>
      <c r="U2028" s="21">
        <v>0</v>
      </c>
      <c r="V2028" s="21">
        <v>0</v>
      </c>
      <c r="W2028" s="21">
        <v>0</v>
      </c>
      <c r="X2028" s="4" t="s">
        <v>2276</v>
      </c>
      <c r="Y2028" s="4" t="s">
        <v>2276</v>
      </c>
      <c r="Z2028" s="4" t="s">
        <v>2276</v>
      </c>
      <c r="AA2028" s="4" t="s">
        <v>2276</v>
      </c>
      <c r="AB2028" s="4" t="s">
        <v>2276</v>
      </c>
      <c r="AC2028" s="3"/>
      <c r="AD2028" s="3"/>
    </row>
    <row r="2029" spans="1:30" ht="42.5" customHeight="1">
      <c r="A2029" s="19" t="s">
        <v>5780</v>
      </c>
      <c r="B2029" s="19" t="s">
        <v>5783</v>
      </c>
      <c r="C2029" s="3" t="s">
        <v>24</v>
      </c>
      <c r="D2029" s="3" t="s">
        <v>1245</v>
      </c>
      <c r="E2029" s="3" t="s">
        <v>116</v>
      </c>
      <c r="F2029" s="4" t="s">
        <v>74</v>
      </c>
      <c r="G2029" s="3" t="s">
        <v>2276</v>
      </c>
      <c r="H2029" s="3" t="s">
        <v>523</v>
      </c>
      <c r="I2029" s="3">
        <v>1950</v>
      </c>
      <c r="J2029" s="4" t="s">
        <v>2276</v>
      </c>
      <c r="K2029" s="4" t="s">
        <v>2276</v>
      </c>
      <c r="L2029" s="4" t="s">
        <v>2276</v>
      </c>
      <c r="M2029" s="4" t="s">
        <v>2276</v>
      </c>
      <c r="N2029" s="4" t="s">
        <v>2276</v>
      </c>
      <c r="O2029" s="4" t="s">
        <v>2276</v>
      </c>
      <c r="P2029" s="4" t="s">
        <v>2276</v>
      </c>
      <c r="Q2029" s="4" t="s">
        <v>2276</v>
      </c>
      <c r="R2029" s="4" t="s">
        <v>2276</v>
      </c>
      <c r="S2029" s="4" t="s">
        <v>2276</v>
      </c>
      <c r="T2029" s="4" t="s">
        <v>2276</v>
      </c>
      <c r="U2029" s="4" t="s">
        <v>2276</v>
      </c>
      <c r="V2029" s="4" t="s">
        <v>2276</v>
      </c>
      <c r="W2029" s="4" t="s">
        <v>2276</v>
      </c>
      <c r="X2029" s="4" t="s">
        <v>2276</v>
      </c>
      <c r="Y2029" s="4" t="s">
        <v>2276</v>
      </c>
      <c r="Z2029" s="4" t="s">
        <v>2276</v>
      </c>
      <c r="AA2029" s="4" t="s">
        <v>2276</v>
      </c>
      <c r="AB2029" s="4" t="s">
        <v>2276</v>
      </c>
      <c r="AC2029" s="3"/>
      <c r="AD2029" s="3"/>
    </row>
    <row r="2030" spans="1:30" ht="55.5" customHeight="1">
      <c r="A2030" s="19" t="s">
        <v>5780</v>
      </c>
      <c r="B2030" s="19" t="s">
        <v>5784</v>
      </c>
      <c r="C2030" s="3" t="s">
        <v>24</v>
      </c>
      <c r="D2030" s="3" t="s">
        <v>1245</v>
      </c>
      <c r="E2030" s="3" t="s">
        <v>116</v>
      </c>
      <c r="F2030" s="4" t="s">
        <v>74</v>
      </c>
      <c r="G2030" s="3" t="s">
        <v>2276</v>
      </c>
      <c r="H2030" s="3" t="s">
        <v>524</v>
      </c>
      <c r="I2030" s="3">
        <v>1960</v>
      </c>
      <c r="J2030" s="21">
        <v>0</v>
      </c>
      <c r="K2030" s="21">
        <v>0</v>
      </c>
      <c r="L2030" s="21">
        <v>0</v>
      </c>
      <c r="M2030" s="21">
        <v>0</v>
      </c>
      <c r="N2030" s="21">
        <v>0</v>
      </c>
      <c r="O2030" s="21">
        <v>0</v>
      </c>
      <c r="P2030" s="21">
        <v>0</v>
      </c>
      <c r="Q2030" s="21">
        <v>0</v>
      </c>
      <c r="R2030" s="21">
        <v>0</v>
      </c>
      <c r="S2030" s="21">
        <v>0</v>
      </c>
      <c r="T2030" s="21">
        <v>0</v>
      </c>
      <c r="U2030" s="21">
        <v>0</v>
      </c>
      <c r="V2030" s="21">
        <v>0</v>
      </c>
      <c r="W2030" s="21">
        <v>0</v>
      </c>
      <c r="X2030" s="4" t="s">
        <v>2276</v>
      </c>
      <c r="Y2030" s="4" t="s">
        <v>2276</v>
      </c>
      <c r="Z2030" s="4" t="s">
        <v>2276</v>
      </c>
      <c r="AA2030" s="4" t="s">
        <v>2276</v>
      </c>
      <c r="AB2030" s="4" t="s">
        <v>2276</v>
      </c>
      <c r="AC2030" s="4" t="s">
        <v>5795</v>
      </c>
      <c r="AD2030" s="3"/>
    </row>
    <row r="2031" spans="1:30" ht="55.5" customHeight="1">
      <c r="A2031" s="19" t="s">
        <v>5780</v>
      </c>
      <c r="B2031" s="19" t="s">
        <v>5785</v>
      </c>
      <c r="C2031" s="3" t="s">
        <v>24</v>
      </c>
      <c r="D2031" s="3" t="s">
        <v>1245</v>
      </c>
      <c r="E2031" s="3" t="s">
        <v>116</v>
      </c>
      <c r="F2031" s="4" t="s">
        <v>74</v>
      </c>
      <c r="G2031" s="3" t="s">
        <v>2276</v>
      </c>
      <c r="H2031" s="3" t="s">
        <v>524</v>
      </c>
      <c r="I2031" s="3">
        <v>2004</v>
      </c>
      <c r="J2031" s="21">
        <v>0</v>
      </c>
      <c r="K2031" s="21">
        <v>0</v>
      </c>
      <c r="L2031" s="21">
        <v>0</v>
      </c>
      <c r="M2031" s="21">
        <v>0</v>
      </c>
      <c r="N2031" s="21">
        <v>0</v>
      </c>
      <c r="O2031" s="21">
        <v>0</v>
      </c>
      <c r="P2031" s="21">
        <v>0</v>
      </c>
      <c r="Q2031" s="21">
        <v>0</v>
      </c>
      <c r="R2031" s="21">
        <v>0</v>
      </c>
      <c r="S2031" s="21">
        <v>0</v>
      </c>
      <c r="T2031" s="21">
        <v>0</v>
      </c>
      <c r="U2031" s="21">
        <v>0</v>
      </c>
      <c r="V2031" s="21">
        <v>0</v>
      </c>
      <c r="W2031" s="21">
        <v>0</v>
      </c>
      <c r="X2031" s="4" t="s">
        <v>2276</v>
      </c>
      <c r="Y2031" s="4" t="s">
        <v>2276</v>
      </c>
      <c r="Z2031" s="4" t="s">
        <v>2276</v>
      </c>
      <c r="AA2031" s="4" t="s">
        <v>2276</v>
      </c>
      <c r="AB2031" s="4" t="s">
        <v>2276</v>
      </c>
      <c r="AC2031" s="4" t="s">
        <v>5795</v>
      </c>
      <c r="AD2031" s="3"/>
    </row>
    <row r="2032" spans="1:30" ht="55.5" customHeight="1">
      <c r="A2032" s="19" t="s">
        <v>5780</v>
      </c>
      <c r="B2032" s="19" t="s">
        <v>5786</v>
      </c>
      <c r="C2032" s="3" t="s">
        <v>24</v>
      </c>
      <c r="D2032" s="3" t="s">
        <v>1242</v>
      </c>
      <c r="E2032" s="3" t="s">
        <v>116</v>
      </c>
      <c r="F2032" s="4" t="s">
        <v>74</v>
      </c>
      <c r="G2032" s="3" t="s">
        <v>2276</v>
      </c>
      <c r="H2032" s="3" t="s">
        <v>523</v>
      </c>
      <c r="I2032" s="3">
        <v>1950</v>
      </c>
      <c r="J2032" s="4" t="s">
        <v>2276</v>
      </c>
      <c r="K2032" s="4" t="s">
        <v>2276</v>
      </c>
      <c r="L2032" s="4" t="s">
        <v>2276</v>
      </c>
      <c r="M2032" s="4" t="s">
        <v>2276</v>
      </c>
      <c r="N2032" s="4" t="s">
        <v>2276</v>
      </c>
      <c r="O2032" s="4" t="s">
        <v>2276</v>
      </c>
      <c r="P2032" s="4" t="s">
        <v>2276</v>
      </c>
      <c r="Q2032" s="4" t="s">
        <v>2276</v>
      </c>
      <c r="R2032" s="4" t="s">
        <v>2276</v>
      </c>
      <c r="S2032" s="4" t="s">
        <v>2276</v>
      </c>
      <c r="T2032" s="4" t="s">
        <v>2276</v>
      </c>
      <c r="U2032" s="4" t="s">
        <v>2276</v>
      </c>
      <c r="V2032" s="4" t="s">
        <v>2276</v>
      </c>
      <c r="W2032" s="4" t="s">
        <v>2276</v>
      </c>
      <c r="X2032" s="4" t="s">
        <v>2276</v>
      </c>
      <c r="Y2032" s="4" t="s">
        <v>2276</v>
      </c>
      <c r="Z2032" s="4" t="s">
        <v>2276</v>
      </c>
      <c r="AA2032" s="4" t="s">
        <v>2276</v>
      </c>
      <c r="AB2032" s="4" t="s">
        <v>2276</v>
      </c>
      <c r="AC2032" s="4"/>
      <c r="AD2032" s="3"/>
    </row>
    <row r="2033" spans="1:30" ht="55.5" customHeight="1">
      <c r="A2033" s="19" t="s">
        <v>5780</v>
      </c>
      <c r="B2033" s="19" t="s">
        <v>5787</v>
      </c>
      <c r="C2033" s="3" t="s">
        <v>24</v>
      </c>
      <c r="D2033" s="3" t="s">
        <v>1242</v>
      </c>
      <c r="E2033" s="3" t="s">
        <v>116</v>
      </c>
      <c r="F2033" s="4" t="s">
        <v>74</v>
      </c>
      <c r="G2033" s="3" t="s">
        <v>2276</v>
      </c>
      <c r="H2033" s="3" t="s">
        <v>524</v>
      </c>
      <c r="I2033" s="3">
        <v>1960</v>
      </c>
      <c r="J2033" s="21">
        <v>0</v>
      </c>
      <c r="K2033" s="21">
        <v>0</v>
      </c>
      <c r="L2033" s="21">
        <v>0</v>
      </c>
      <c r="M2033" s="21">
        <v>0</v>
      </c>
      <c r="N2033" s="21">
        <v>0</v>
      </c>
      <c r="O2033" s="21">
        <v>0</v>
      </c>
      <c r="P2033" s="21">
        <v>0</v>
      </c>
      <c r="Q2033" s="21">
        <v>0</v>
      </c>
      <c r="R2033" s="21">
        <v>0</v>
      </c>
      <c r="S2033" s="21">
        <v>0</v>
      </c>
      <c r="T2033" s="21">
        <v>0</v>
      </c>
      <c r="U2033" s="21">
        <v>0</v>
      </c>
      <c r="V2033" s="21">
        <v>0</v>
      </c>
      <c r="W2033" s="21">
        <v>0</v>
      </c>
      <c r="X2033" s="4" t="s">
        <v>2276</v>
      </c>
      <c r="Y2033" s="4" t="s">
        <v>2276</v>
      </c>
      <c r="Z2033" s="4" t="s">
        <v>2276</v>
      </c>
      <c r="AA2033" s="4" t="s">
        <v>2276</v>
      </c>
      <c r="AB2033" s="4" t="s">
        <v>2276</v>
      </c>
      <c r="AC2033" s="4" t="s">
        <v>5795</v>
      </c>
      <c r="AD2033" s="3"/>
    </row>
    <row r="2034" spans="1:30" ht="55.5" customHeight="1">
      <c r="A2034" s="19" t="s">
        <v>5780</v>
      </c>
      <c r="B2034" s="19" t="s">
        <v>5788</v>
      </c>
      <c r="C2034" s="3" t="s">
        <v>24</v>
      </c>
      <c r="D2034" s="3" t="s">
        <v>1242</v>
      </c>
      <c r="E2034" s="3" t="s">
        <v>116</v>
      </c>
      <c r="F2034" s="4" t="s">
        <v>74</v>
      </c>
      <c r="G2034" s="3" t="s">
        <v>2276</v>
      </c>
      <c r="H2034" s="3" t="s">
        <v>524</v>
      </c>
      <c r="I2034" s="3">
        <v>2004</v>
      </c>
      <c r="J2034" s="21">
        <v>0</v>
      </c>
      <c r="K2034" s="21">
        <v>0</v>
      </c>
      <c r="L2034" s="21">
        <v>0</v>
      </c>
      <c r="M2034" s="21">
        <v>0</v>
      </c>
      <c r="N2034" s="21">
        <v>0</v>
      </c>
      <c r="O2034" s="21">
        <v>0</v>
      </c>
      <c r="P2034" s="21">
        <v>0</v>
      </c>
      <c r="Q2034" s="21">
        <v>0</v>
      </c>
      <c r="R2034" s="21">
        <v>0</v>
      </c>
      <c r="S2034" s="21">
        <v>0</v>
      </c>
      <c r="T2034" s="21">
        <v>0</v>
      </c>
      <c r="U2034" s="21">
        <v>0</v>
      </c>
      <c r="V2034" s="21">
        <v>0</v>
      </c>
      <c r="W2034" s="21">
        <v>0</v>
      </c>
      <c r="X2034" s="4" t="s">
        <v>2276</v>
      </c>
      <c r="Y2034" s="4" t="s">
        <v>2276</v>
      </c>
      <c r="Z2034" s="4" t="s">
        <v>2276</v>
      </c>
      <c r="AA2034" s="4" t="s">
        <v>2276</v>
      </c>
      <c r="AB2034" s="4" t="s">
        <v>2276</v>
      </c>
      <c r="AC2034" s="4" t="s">
        <v>5795</v>
      </c>
      <c r="AD2034" s="3"/>
    </row>
    <row r="2035" spans="1:30" ht="34.5" customHeight="1">
      <c r="A2035" s="19" t="s">
        <v>5797</v>
      </c>
      <c r="B2035" s="19" t="s">
        <v>5802</v>
      </c>
      <c r="C2035" s="11" t="s">
        <v>24</v>
      </c>
      <c r="D2035" s="3" t="s">
        <v>2659</v>
      </c>
      <c r="E2035" s="4" t="s">
        <v>396</v>
      </c>
      <c r="F2035" s="4" t="s">
        <v>28</v>
      </c>
      <c r="G2035" s="3" t="s">
        <v>2276</v>
      </c>
      <c r="H2035" s="3" t="s">
        <v>523</v>
      </c>
      <c r="I2035" s="3"/>
      <c r="J2035" s="4" t="s">
        <v>2276</v>
      </c>
      <c r="K2035" s="4" t="s">
        <v>2276</v>
      </c>
      <c r="L2035" s="4" t="s">
        <v>2276</v>
      </c>
      <c r="M2035" s="4" t="s">
        <v>2276</v>
      </c>
      <c r="N2035" s="4" t="s">
        <v>2276</v>
      </c>
      <c r="O2035" s="4" t="s">
        <v>2276</v>
      </c>
      <c r="P2035" s="4" t="s">
        <v>2276</v>
      </c>
      <c r="Q2035" s="4" t="s">
        <v>2276</v>
      </c>
      <c r="R2035" s="4" t="s">
        <v>2276</v>
      </c>
      <c r="S2035" s="4" t="s">
        <v>2276</v>
      </c>
      <c r="T2035" s="4" t="s">
        <v>2276</v>
      </c>
      <c r="U2035" s="4" t="s">
        <v>2276</v>
      </c>
      <c r="V2035" s="4" t="s">
        <v>2276</v>
      </c>
      <c r="W2035" s="4" t="s">
        <v>2276</v>
      </c>
      <c r="X2035" s="4" t="s">
        <v>2276</v>
      </c>
      <c r="Y2035" s="4" t="s">
        <v>2276</v>
      </c>
      <c r="Z2035" s="4" t="s">
        <v>2276</v>
      </c>
      <c r="AA2035" s="4" t="s">
        <v>2276</v>
      </c>
      <c r="AB2035" s="4" t="s">
        <v>2276</v>
      </c>
      <c r="AC2035" s="3"/>
      <c r="AD2035" s="3"/>
    </row>
    <row r="2036" spans="1:30" ht="29">
      <c r="A2036" s="19" t="s">
        <v>5797</v>
      </c>
      <c r="B2036" s="19" t="s">
        <v>5803</v>
      </c>
      <c r="C2036" s="11" t="s">
        <v>24</v>
      </c>
      <c r="D2036" s="3" t="s">
        <v>2994</v>
      </c>
      <c r="E2036" s="4" t="s">
        <v>396</v>
      </c>
      <c r="F2036" s="4" t="s">
        <v>2276</v>
      </c>
      <c r="G2036" s="3" t="s">
        <v>2276</v>
      </c>
      <c r="H2036" s="3" t="s">
        <v>523</v>
      </c>
      <c r="I2036" s="3"/>
      <c r="J2036" s="4" t="s">
        <v>2276</v>
      </c>
      <c r="K2036" s="4" t="s">
        <v>2276</v>
      </c>
      <c r="L2036" s="4" t="s">
        <v>2276</v>
      </c>
      <c r="M2036" s="4" t="s">
        <v>2276</v>
      </c>
      <c r="N2036" s="4" t="s">
        <v>2276</v>
      </c>
      <c r="O2036" s="4" t="s">
        <v>2276</v>
      </c>
      <c r="P2036" s="4" t="s">
        <v>2276</v>
      </c>
      <c r="Q2036" s="4" t="s">
        <v>2276</v>
      </c>
      <c r="R2036" s="4" t="s">
        <v>2276</v>
      </c>
      <c r="S2036" s="4" t="s">
        <v>2276</v>
      </c>
      <c r="T2036" s="4" t="s">
        <v>2276</v>
      </c>
      <c r="U2036" s="4" t="s">
        <v>2276</v>
      </c>
      <c r="V2036" s="4" t="s">
        <v>2276</v>
      </c>
      <c r="W2036" s="4" t="s">
        <v>2276</v>
      </c>
      <c r="X2036" s="4" t="s">
        <v>2276</v>
      </c>
      <c r="Y2036" s="4" t="s">
        <v>2276</v>
      </c>
      <c r="Z2036" s="4" t="s">
        <v>2276</v>
      </c>
      <c r="AA2036" s="4" t="s">
        <v>2276</v>
      </c>
      <c r="AB2036" s="4" t="s">
        <v>2276</v>
      </c>
      <c r="AC2036" s="3"/>
      <c r="AD2036" s="3"/>
    </row>
    <row r="2037" spans="1:30" ht="36.5" customHeight="1">
      <c r="A2037" s="19" t="s">
        <v>5797</v>
      </c>
      <c r="B2037" s="19" t="s">
        <v>5804</v>
      </c>
      <c r="C2037" s="3" t="s">
        <v>24</v>
      </c>
      <c r="D2037" s="3" t="s">
        <v>1131</v>
      </c>
      <c r="E2037" s="4" t="s">
        <v>396</v>
      </c>
      <c r="F2037" s="4" t="s">
        <v>28</v>
      </c>
      <c r="G2037" s="3" t="s">
        <v>2276</v>
      </c>
      <c r="H2037" s="3" t="s">
        <v>523</v>
      </c>
      <c r="I2037" s="3"/>
      <c r="J2037" s="4" t="s">
        <v>2276</v>
      </c>
      <c r="K2037" s="4" t="s">
        <v>2276</v>
      </c>
      <c r="L2037" s="4" t="s">
        <v>2276</v>
      </c>
      <c r="M2037" s="4" t="s">
        <v>2276</v>
      </c>
      <c r="N2037" s="4" t="s">
        <v>2276</v>
      </c>
      <c r="O2037" s="4" t="s">
        <v>2276</v>
      </c>
      <c r="P2037" s="4" t="s">
        <v>2276</v>
      </c>
      <c r="Q2037" s="4" t="s">
        <v>2276</v>
      </c>
      <c r="R2037" s="4" t="s">
        <v>2276</v>
      </c>
      <c r="S2037" s="4" t="s">
        <v>2276</v>
      </c>
      <c r="T2037" s="4" t="s">
        <v>2276</v>
      </c>
      <c r="U2037" s="4" t="s">
        <v>2276</v>
      </c>
      <c r="V2037" s="4" t="s">
        <v>2276</v>
      </c>
      <c r="W2037" s="4" t="s">
        <v>2276</v>
      </c>
      <c r="X2037" s="4" t="s">
        <v>2276</v>
      </c>
      <c r="Y2037" s="4" t="s">
        <v>2276</v>
      </c>
      <c r="Z2037" s="4" t="s">
        <v>2276</v>
      </c>
      <c r="AA2037" s="4" t="s">
        <v>2276</v>
      </c>
      <c r="AB2037" s="4" t="s">
        <v>2276</v>
      </c>
      <c r="AC2037" s="3"/>
      <c r="AD2037" s="3"/>
    </row>
    <row r="2038" spans="1:30" ht="36.5" customHeight="1">
      <c r="A2038" s="19" t="s">
        <v>5797</v>
      </c>
      <c r="B2038" s="19" t="s">
        <v>5805</v>
      </c>
      <c r="C2038" s="3" t="s">
        <v>24</v>
      </c>
      <c r="D2038" s="3" t="s">
        <v>1242</v>
      </c>
      <c r="E2038" s="4" t="s">
        <v>396</v>
      </c>
      <c r="F2038" s="4" t="s">
        <v>2662</v>
      </c>
      <c r="G2038" s="3" t="s">
        <v>2276</v>
      </c>
      <c r="H2038" s="3" t="s">
        <v>523</v>
      </c>
      <c r="I2038" s="3"/>
      <c r="J2038" s="4" t="s">
        <v>2276</v>
      </c>
      <c r="K2038" s="4" t="s">
        <v>2276</v>
      </c>
      <c r="L2038" s="4" t="s">
        <v>2276</v>
      </c>
      <c r="M2038" s="4" t="s">
        <v>2276</v>
      </c>
      <c r="N2038" s="4" t="s">
        <v>2276</v>
      </c>
      <c r="O2038" s="4" t="s">
        <v>2276</v>
      </c>
      <c r="P2038" s="4" t="s">
        <v>2276</v>
      </c>
      <c r="Q2038" s="4" t="s">
        <v>2276</v>
      </c>
      <c r="R2038" s="4" t="s">
        <v>2276</v>
      </c>
      <c r="S2038" s="4" t="s">
        <v>2276</v>
      </c>
      <c r="T2038" s="4" t="s">
        <v>2276</v>
      </c>
      <c r="U2038" s="4" t="s">
        <v>2276</v>
      </c>
      <c r="V2038" s="4" t="s">
        <v>2276</v>
      </c>
      <c r="W2038" s="4" t="s">
        <v>2276</v>
      </c>
      <c r="X2038" s="4" t="s">
        <v>2276</v>
      </c>
      <c r="Y2038" s="4" t="s">
        <v>2276</v>
      </c>
      <c r="Z2038" s="4" t="s">
        <v>2276</v>
      </c>
      <c r="AA2038" s="4" t="s">
        <v>2276</v>
      </c>
      <c r="AB2038" s="4" t="s">
        <v>2276</v>
      </c>
      <c r="AC2038" s="3"/>
      <c r="AD2038" s="3"/>
    </row>
    <row r="2039" spans="1:30" ht="32" customHeight="1">
      <c r="A2039" s="19" t="s">
        <v>5797</v>
      </c>
      <c r="B2039" s="19" t="s">
        <v>5806</v>
      </c>
      <c r="C2039" s="3" t="s">
        <v>24</v>
      </c>
      <c r="D2039" s="3" t="s">
        <v>2346</v>
      </c>
      <c r="E2039" s="4" t="s">
        <v>2276</v>
      </c>
      <c r="F2039" s="4" t="s">
        <v>2276</v>
      </c>
      <c r="G2039" s="3" t="s">
        <v>2276</v>
      </c>
      <c r="H2039" s="3" t="s">
        <v>523</v>
      </c>
      <c r="I2039" s="3"/>
      <c r="J2039" s="4" t="s">
        <v>2276</v>
      </c>
      <c r="K2039" s="4" t="s">
        <v>2276</v>
      </c>
      <c r="L2039" s="4" t="s">
        <v>2276</v>
      </c>
      <c r="M2039" s="4" t="s">
        <v>2276</v>
      </c>
      <c r="N2039" s="4" t="s">
        <v>2276</v>
      </c>
      <c r="O2039" s="4" t="s">
        <v>2276</v>
      </c>
      <c r="P2039" s="4" t="s">
        <v>2276</v>
      </c>
      <c r="Q2039" s="4" t="s">
        <v>2276</v>
      </c>
      <c r="R2039" s="4" t="s">
        <v>2276</v>
      </c>
      <c r="S2039" s="4" t="s">
        <v>2276</v>
      </c>
      <c r="T2039" s="4" t="s">
        <v>2276</v>
      </c>
      <c r="U2039" s="4" t="s">
        <v>2276</v>
      </c>
      <c r="V2039" s="4" t="s">
        <v>2276</v>
      </c>
      <c r="W2039" s="4" t="s">
        <v>2276</v>
      </c>
      <c r="X2039" s="4" t="s">
        <v>2276</v>
      </c>
      <c r="Y2039" s="4" t="s">
        <v>2276</v>
      </c>
      <c r="Z2039" s="4" t="s">
        <v>2276</v>
      </c>
      <c r="AA2039" s="4" t="s">
        <v>2276</v>
      </c>
      <c r="AB2039" s="4" t="s">
        <v>2276</v>
      </c>
      <c r="AC2039" s="3"/>
      <c r="AD2039" s="3"/>
    </row>
    <row r="2040" spans="1:30" ht="30" customHeight="1">
      <c r="A2040" s="19" t="s">
        <v>5797</v>
      </c>
      <c r="B2040" s="19" t="s">
        <v>5807</v>
      </c>
      <c r="C2040" s="11" t="s">
        <v>2458</v>
      </c>
      <c r="D2040" s="3" t="s">
        <v>2994</v>
      </c>
      <c r="E2040" s="4" t="s">
        <v>2652</v>
      </c>
      <c r="F2040" s="4" t="s">
        <v>2276</v>
      </c>
      <c r="G2040" s="3" t="s">
        <v>2276</v>
      </c>
      <c r="H2040" s="3" t="s">
        <v>523</v>
      </c>
      <c r="I2040" s="3"/>
      <c r="J2040" s="4" t="s">
        <v>2276</v>
      </c>
      <c r="K2040" s="4" t="s">
        <v>2276</v>
      </c>
      <c r="L2040" s="4" t="s">
        <v>2276</v>
      </c>
      <c r="M2040" s="4" t="s">
        <v>2276</v>
      </c>
      <c r="N2040" s="4" t="s">
        <v>2276</v>
      </c>
      <c r="O2040" s="4" t="s">
        <v>2276</v>
      </c>
      <c r="P2040" s="4" t="s">
        <v>2276</v>
      </c>
      <c r="Q2040" s="4" t="s">
        <v>2276</v>
      </c>
      <c r="R2040" s="4" t="s">
        <v>2276</v>
      </c>
      <c r="S2040" s="4" t="s">
        <v>2276</v>
      </c>
      <c r="T2040" s="4" t="s">
        <v>2276</v>
      </c>
      <c r="U2040" s="4" t="s">
        <v>2276</v>
      </c>
      <c r="V2040" s="4" t="s">
        <v>2276</v>
      </c>
      <c r="W2040" s="4" t="s">
        <v>2276</v>
      </c>
      <c r="X2040" s="4" t="s">
        <v>2276</v>
      </c>
      <c r="Y2040" s="4" t="s">
        <v>2276</v>
      </c>
      <c r="Z2040" s="4" t="s">
        <v>2276</v>
      </c>
      <c r="AA2040" s="4" t="s">
        <v>2276</v>
      </c>
      <c r="AB2040" s="4" t="s">
        <v>2276</v>
      </c>
      <c r="AC2040" s="3"/>
      <c r="AD2040" s="3"/>
    </row>
    <row r="2041" spans="1:30" ht="64.5" customHeight="1">
      <c r="A2041" s="19" t="s">
        <v>5797</v>
      </c>
      <c r="B2041" s="19" t="s">
        <v>5808</v>
      </c>
      <c r="C2041" s="11" t="s">
        <v>1105</v>
      </c>
      <c r="D2041" s="3" t="s">
        <v>1105</v>
      </c>
      <c r="E2041" s="4" t="s">
        <v>1105</v>
      </c>
      <c r="F2041" s="4" t="s">
        <v>2276</v>
      </c>
      <c r="G2041" s="3" t="s">
        <v>2276</v>
      </c>
      <c r="H2041" s="3" t="s">
        <v>523</v>
      </c>
      <c r="I2041" s="3"/>
      <c r="J2041" s="4" t="s">
        <v>2276</v>
      </c>
      <c r="K2041" s="4" t="s">
        <v>2276</v>
      </c>
      <c r="L2041" s="4" t="s">
        <v>2276</v>
      </c>
      <c r="M2041" s="4" t="s">
        <v>2276</v>
      </c>
      <c r="N2041" s="4">
        <v>5600</v>
      </c>
      <c r="O2041" s="4" t="s">
        <v>2276</v>
      </c>
      <c r="P2041" s="4" t="s">
        <v>2276</v>
      </c>
      <c r="Q2041" s="4" t="s">
        <v>2276</v>
      </c>
      <c r="R2041" s="4" t="s">
        <v>2276</v>
      </c>
      <c r="S2041" s="4" t="s">
        <v>2276</v>
      </c>
      <c r="T2041" s="4">
        <v>6578</v>
      </c>
      <c r="U2041" s="4" t="s">
        <v>2276</v>
      </c>
      <c r="V2041" s="4" t="s">
        <v>2276</v>
      </c>
      <c r="W2041" s="4" t="s">
        <v>2276</v>
      </c>
      <c r="X2041" s="4" t="s">
        <v>2276</v>
      </c>
      <c r="Y2041" s="4" t="s">
        <v>2276</v>
      </c>
      <c r="Z2041" s="4" t="s">
        <v>2276</v>
      </c>
      <c r="AA2041" s="4" t="s">
        <v>2276</v>
      </c>
      <c r="AB2041" s="4" t="s">
        <v>2276</v>
      </c>
      <c r="AC2041" s="3"/>
      <c r="AD2041" s="4" t="s">
        <v>5809</v>
      </c>
    </row>
    <row r="2042" spans="1:30" ht="30" customHeight="1">
      <c r="A2042" s="19" t="s">
        <v>5816</v>
      </c>
      <c r="B2042" s="19" t="s">
        <v>5820</v>
      </c>
      <c r="C2042" s="3" t="s">
        <v>24</v>
      </c>
      <c r="D2042" s="3" t="s">
        <v>27</v>
      </c>
      <c r="E2042" s="3" t="s">
        <v>130</v>
      </c>
      <c r="F2042" s="4" t="s">
        <v>160</v>
      </c>
      <c r="G2042" s="3" t="s">
        <v>2276</v>
      </c>
      <c r="H2042" s="3" t="s">
        <v>523</v>
      </c>
      <c r="I2042" s="3"/>
      <c r="J2042" s="4" t="s">
        <v>2276</v>
      </c>
      <c r="K2042" s="4" t="s">
        <v>2276</v>
      </c>
      <c r="L2042" s="4" t="s">
        <v>2276</v>
      </c>
      <c r="M2042" s="4" t="s">
        <v>2276</v>
      </c>
      <c r="N2042" s="4" t="s">
        <v>2276</v>
      </c>
      <c r="O2042" s="4" t="s">
        <v>2276</v>
      </c>
      <c r="P2042" s="4" t="s">
        <v>2276</v>
      </c>
      <c r="Q2042" s="4" t="s">
        <v>2276</v>
      </c>
      <c r="R2042" s="4" t="s">
        <v>2276</v>
      </c>
      <c r="S2042" s="4" t="s">
        <v>2276</v>
      </c>
      <c r="T2042" s="4" t="s">
        <v>2276</v>
      </c>
      <c r="U2042" s="4" t="s">
        <v>2276</v>
      </c>
      <c r="V2042" s="4" t="s">
        <v>2276</v>
      </c>
      <c r="W2042" s="4" t="s">
        <v>2276</v>
      </c>
      <c r="X2042" s="4" t="s">
        <v>2276</v>
      </c>
      <c r="Y2042" s="4" t="s">
        <v>2276</v>
      </c>
      <c r="Z2042" s="4" t="s">
        <v>2276</v>
      </c>
      <c r="AA2042" s="4" t="s">
        <v>2276</v>
      </c>
      <c r="AB2042" s="4" t="s">
        <v>2276</v>
      </c>
      <c r="AC2042" s="3"/>
      <c r="AD2042" s="3"/>
    </row>
    <row r="2043" spans="1:30" ht="31" customHeight="1">
      <c r="A2043" s="19" t="s">
        <v>5816</v>
      </c>
      <c r="B2043" s="19" t="s">
        <v>5821</v>
      </c>
      <c r="C2043" s="3" t="s">
        <v>24</v>
      </c>
      <c r="D2043" s="3" t="s">
        <v>27</v>
      </c>
      <c r="E2043" s="4" t="s">
        <v>396</v>
      </c>
      <c r="F2043" s="4" t="s">
        <v>160</v>
      </c>
      <c r="G2043" s="3" t="s">
        <v>2276</v>
      </c>
      <c r="H2043" s="3" t="s">
        <v>524</v>
      </c>
      <c r="I2043" s="3"/>
      <c r="J2043" s="21">
        <v>0</v>
      </c>
      <c r="K2043" s="21">
        <v>0</v>
      </c>
      <c r="L2043" s="21">
        <v>0</v>
      </c>
      <c r="M2043" s="21">
        <v>0</v>
      </c>
      <c r="N2043" s="21">
        <v>0</v>
      </c>
      <c r="O2043" s="21">
        <v>0</v>
      </c>
      <c r="P2043" s="21">
        <v>0</v>
      </c>
      <c r="Q2043" s="21">
        <v>0</v>
      </c>
      <c r="R2043" s="21">
        <v>0</v>
      </c>
      <c r="S2043" s="21">
        <v>0</v>
      </c>
      <c r="T2043" s="21">
        <v>0</v>
      </c>
      <c r="U2043" s="21">
        <v>0</v>
      </c>
      <c r="V2043" s="21">
        <v>0</v>
      </c>
      <c r="W2043" s="21">
        <v>0</v>
      </c>
      <c r="X2043" s="21">
        <v>0</v>
      </c>
      <c r="Y2043" s="4" t="s">
        <v>2276</v>
      </c>
      <c r="Z2043" s="4" t="s">
        <v>2276</v>
      </c>
      <c r="AA2043" s="4" t="s">
        <v>2276</v>
      </c>
      <c r="AB2043" s="4" t="s">
        <v>2276</v>
      </c>
      <c r="AC2043" s="3"/>
      <c r="AD2043" s="3"/>
    </row>
    <row r="2044" spans="1:30" ht="33.5" customHeight="1">
      <c r="A2044" s="19" t="s">
        <v>5816</v>
      </c>
      <c r="B2044" s="19" t="s">
        <v>5822</v>
      </c>
      <c r="C2044" s="3" t="s">
        <v>24</v>
      </c>
      <c r="D2044" s="3" t="s">
        <v>2231</v>
      </c>
      <c r="E2044" s="4" t="s">
        <v>396</v>
      </c>
      <c r="F2044" s="4" t="s">
        <v>160</v>
      </c>
      <c r="G2044" s="3" t="s">
        <v>2276</v>
      </c>
      <c r="H2044" s="3" t="s">
        <v>523</v>
      </c>
      <c r="I2044" s="3"/>
      <c r="J2044" s="4" t="s">
        <v>2276</v>
      </c>
      <c r="K2044" s="4" t="s">
        <v>2276</v>
      </c>
      <c r="L2044" s="4" t="s">
        <v>2276</v>
      </c>
      <c r="M2044" s="4" t="s">
        <v>2276</v>
      </c>
      <c r="N2044" s="4" t="s">
        <v>2276</v>
      </c>
      <c r="O2044" s="4" t="s">
        <v>2276</v>
      </c>
      <c r="P2044" s="4" t="s">
        <v>2276</v>
      </c>
      <c r="Q2044" s="4" t="s">
        <v>2276</v>
      </c>
      <c r="R2044" s="4" t="s">
        <v>2276</v>
      </c>
      <c r="S2044" s="4" t="s">
        <v>2276</v>
      </c>
      <c r="T2044" s="4" t="s">
        <v>2276</v>
      </c>
      <c r="U2044" s="4" t="s">
        <v>2276</v>
      </c>
      <c r="V2044" s="4" t="s">
        <v>2276</v>
      </c>
      <c r="W2044" s="4" t="s">
        <v>2276</v>
      </c>
      <c r="X2044" s="4" t="s">
        <v>2276</v>
      </c>
      <c r="Y2044" s="4" t="s">
        <v>2276</v>
      </c>
      <c r="Z2044" s="4" t="s">
        <v>2276</v>
      </c>
      <c r="AA2044" s="4" t="s">
        <v>2276</v>
      </c>
      <c r="AB2044" s="4" t="s">
        <v>2276</v>
      </c>
      <c r="AC2044" s="3"/>
      <c r="AD2044" s="3"/>
    </row>
    <row r="2045" spans="1:30" ht="36.5" customHeight="1">
      <c r="A2045" s="19" t="s">
        <v>5817</v>
      </c>
      <c r="B2045" s="19" t="s">
        <v>5823</v>
      </c>
      <c r="C2045" s="3" t="s">
        <v>24</v>
      </c>
      <c r="D2045" s="3" t="s">
        <v>27</v>
      </c>
      <c r="E2045" s="3" t="s">
        <v>130</v>
      </c>
      <c r="F2045" s="4" t="s">
        <v>160</v>
      </c>
      <c r="G2045" s="3" t="s">
        <v>2276</v>
      </c>
      <c r="H2045" s="3" t="s">
        <v>523</v>
      </c>
      <c r="I2045" s="3"/>
      <c r="J2045" s="4" t="s">
        <v>2276</v>
      </c>
      <c r="K2045" s="4" t="s">
        <v>2276</v>
      </c>
      <c r="L2045" s="4" t="s">
        <v>2276</v>
      </c>
      <c r="M2045" s="4" t="s">
        <v>2276</v>
      </c>
      <c r="N2045" s="4" t="s">
        <v>2276</v>
      </c>
      <c r="O2045" s="4" t="s">
        <v>2276</v>
      </c>
      <c r="P2045" s="4" t="s">
        <v>2276</v>
      </c>
      <c r="Q2045" s="4" t="s">
        <v>2276</v>
      </c>
      <c r="R2045" s="4" t="s">
        <v>2276</v>
      </c>
      <c r="S2045" s="4" t="s">
        <v>2276</v>
      </c>
      <c r="T2045" s="4" t="s">
        <v>2276</v>
      </c>
      <c r="U2045" s="4" t="s">
        <v>2276</v>
      </c>
      <c r="V2045" s="4" t="s">
        <v>2276</v>
      </c>
      <c r="W2045" s="4" t="s">
        <v>2276</v>
      </c>
      <c r="X2045" s="4" t="s">
        <v>2276</v>
      </c>
      <c r="Y2045" s="4" t="s">
        <v>2276</v>
      </c>
      <c r="Z2045" s="4" t="s">
        <v>2276</v>
      </c>
      <c r="AA2045" s="4" t="s">
        <v>2276</v>
      </c>
      <c r="AB2045" s="4" t="s">
        <v>2276</v>
      </c>
      <c r="AC2045" s="3"/>
      <c r="AD2045" s="3"/>
    </row>
    <row r="2046" spans="1:30" ht="36.5" customHeight="1">
      <c r="A2046" s="19" t="s">
        <v>5817</v>
      </c>
      <c r="B2046" s="19" t="s">
        <v>5824</v>
      </c>
      <c r="C2046" s="3" t="s">
        <v>24</v>
      </c>
      <c r="D2046" s="3" t="s">
        <v>27</v>
      </c>
      <c r="E2046" s="4" t="s">
        <v>396</v>
      </c>
      <c r="F2046" s="4" t="s">
        <v>160</v>
      </c>
      <c r="G2046" s="3" t="s">
        <v>2276</v>
      </c>
      <c r="H2046" s="3" t="s">
        <v>524</v>
      </c>
      <c r="I2046" s="3"/>
      <c r="J2046" s="21">
        <v>0</v>
      </c>
      <c r="K2046" s="21">
        <v>0</v>
      </c>
      <c r="L2046" s="21">
        <v>0</v>
      </c>
      <c r="M2046" s="21">
        <v>0</v>
      </c>
      <c r="N2046" s="21">
        <v>0</v>
      </c>
      <c r="O2046" s="21">
        <v>0</v>
      </c>
      <c r="P2046" s="21">
        <v>0</v>
      </c>
      <c r="Q2046" s="21">
        <v>0</v>
      </c>
      <c r="R2046" s="21">
        <v>0</v>
      </c>
      <c r="S2046" s="21">
        <v>0</v>
      </c>
      <c r="T2046" s="21">
        <v>0</v>
      </c>
      <c r="U2046" s="21">
        <v>0</v>
      </c>
      <c r="V2046" s="21">
        <v>0</v>
      </c>
      <c r="W2046" s="21">
        <v>0</v>
      </c>
      <c r="X2046" s="21">
        <v>0</v>
      </c>
      <c r="Y2046" s="4" t="s">
        <v>2276</v>
      </c>
      <c r="Z2046" s="4" t="s">
        <v>2276</v>
      </c>
      <c r="AA2046" s="4" t="s">
        <v>2276</v>
      </c>
      <c r="AB2046" s="4" t="s">
        <v>2276</v>
      </c>
      <c r="AC2046" s="3"/>
      <c r="AD2046" s="3"/>
    </row>
    <row r="2047" spans="1:30" ht="36.5" customHeight="1">
      <c r="A2047" s="19" t="s">
        <v>5817</v>
      </c>
      <c r="B2047" s="19" t="s">
        <v>5825</v>
      </c>
      <c r="C2047" s="3" t="s">
        <v>24</v>
      </c>
      <c r="D2047" s="3" t="s">
        <v>2231</v>
      </c>
      <c r="E2047" s="4" t="s">
        <v>396</v>
      </c>
      <c r="F2047" s="4" t="s">
        <v>160</v>
      </c>
      <c r="G2047" s="3" t="s">
        <v>2276</v>
      </c>
      <c r="H2047" s="3" t="s">
        <v>523</v>
      </c>
      <c r="I2047" s="3"/>
      <c r="J2047" s="4" t="s">
        <v>2276</v>
      </c>
      <c r="K2047" s="4" t="s">
        <v>2276</v>
      </c>
      <c r="L2047" s="4" t="s">
        <v>2276</v>
      </c>
      <c r="M2047" s="4" t="s">
        <v>2276</v>
      </c>
      <c r="N2047" s="4" t="s">
        <v>2276</v>
      </c>
      <c r="O2047" s="4" t="s">
        <v>2276</v>
      </c>
      <c r="P2047" s="4" t="s">
        <v>2276</v>
      </c>
      <c r="Q2047" s="4" t="s">
        <v>2276</v>
      </c>
      <c r="R2047" s="4" t="s">
        <v>2276</v>
      </c>
      <c r="S2047" s="4" t="s">
        <v>2276</v>
      </c>
      <c r="T2047" s="4" t="s">
        <v>2276</v>
      </c>
      <c r="U2047" s="4" t="s">
        <v>2276</v>
      </c>
      <c r="V2047" s="4" t="s">
        <v>2276</v>
      </c>
      <c r="W2047" s="4" t="s">
        <v>2276</v>
      </c>
      <c r="X2047" s="4" t="s">
        <v>2276</v>
      </c>
      <c r="Y2047" s="4" t="s">
        <v>2276</v>
      </c>
      <c r="Z2047" s="4" t="s">
        <v>2276</v>
      </c>
      <c r="AA2047" s="4" t="s">
        <v>2276</v>
      </c>
      <c r="AB2047" s="4" t="s">
        <v>2276</v>
      </c>
      <c r="AC2047" s="3"/>
      <c r="AD2047" s="3"/>
    </row>
    <row r="2048" spans="1:30" ht="63.5" customHeight="1">
      <c r="A2048" s="19" t="s">
        <v>5828</v>
      </c>
      <c r="B2048" s="19" t="s">
        <v>5832</v>
      </c>
      <c r="C2048" s="3" t="s">
        <v>24</v>
      </c>
      <c r="D2048" s="3" t="s">
        <v>27</v>
      </c>
      <c r="E2048" s="3" t="s">
        <v>130</v>
      </c>
      <c r="F2048" s="4" t="s">
        <v>28</v>
      </c>
      <c r="G2048" s="3" t="s">
        <v>28</v>
      </c>
      <c r="H2048" s="3" t="s">
        <v>523</v>
      </c>
      <c r="I2048" s="3"/>
      <c r="J2048" s="4" t="s">
        <v>2276</v>
      </c>
      <c r="K2048" s="4" t="s">
        <v>2276</v>
      </c>
      <c r="L2048" s="4" t="s">
        <v>2276</v>
      </c>
      <c r="M2048" s="4" t="s">
        <v>2276</v>
      </c>
      <c r="N2048" s="4" t="s">
        <v>2276</v>
      </c>
      <c r="O2048" s="4" t="s">
        <v>2276</v>
      </c>
      <c r="P2048" s="4" t="s">
        <v>2276</v>
      </c>
      <c r="Q2048" s="4" t="s">
        <v>2276</v>
      </c>
      <c r="R2048" s="4" t="s">
        <v>2276</v>
      </c>
      <c r="S2048" s="4" t="s">
        <v>2276</v>
      </c>
      <c r="T2048" s="4" t="s">
        <v>2276</v>
      </c>
      <c r="U2048" s="4" t="s">
        <v>2276</v>
      </c>
      <c r="V2048" s="4" t="s">
        <v>2276</v>
      </c>
      <c r="W2048" s="4" t="s">
        <v>2276</v>
      </c>
      <c r="X2048" s="4" t="s">
        <v>2276</v>
      </c>
      <c r="Y2048" s="4" t="s">
        <v>2276</v>
      </c>
      <c r="Z2048" s="4" t="s">
        <v>2276</v>
      </c>
      <c r="AA2048" s="4" t="s">
        <v>2276</v>
      </c>
      <c r="AB2048" s="4" t="s">
        <v>2276</v>
      </c>
      <c r="AC2048" s="4" t="s">
        <v>5834</v>
      </c>
      <c r="AD2048" s="3"/>
    </row>
    <row r="2049" spans="1:30" ht="56.5" customHeight="1">
      <c r="A2049" s="19" t="s">
        <v>5828</v>
      </c>
      <c r="B2049" s="19" t="s">
        <v>5833</v>
      </c>
      <c r="C2049" s="3" t="s">
        <v>24</v>
      </c>
      <c r="D2049" s="3" t="s">
        <v>27</v>
      </c>
      <c r="E2049" s="3" t="s">
        <v>130</v>
      </c>
      <c r="F2049" s="4" t="s">
        <v>160</v>
      </c>
      <c r="G2049" s="3" t="s">
        <v>28</v>
      </c>
      <c r="H2049" s="3" t="s">
        <v>524</v>
      </c>
      <c r="I2049" s="3"/>
      <c r="J2049" s="21">
        <v>0</v>
      </c>
      <c r="K2049" s="21">
        <v>0</v>
      </c>
      <c r="L2049" s="21">
        <v>0</v>
      </c>
      <c r="M2049" s="21">
        <v>0</v>
      </c>
      <c r="N2049" s="21">
        <v>0</v>
      </c>
      <c r="O2049" s="21">
        <v>0</v>
      </c>
      <c r="P2049" s="21">
        <v>0</v>
      </c>
      <c r="Q2049" s="21">
        <v>0</v>
      </c>
      <c r="R2049" s="21">
        <v>0</v>
      </c>
      <c r="S2049" s="21">
        <v>0</v>
      </c>
      <c r="T2049" s="21">
        <v>0</v>
      </c>
      <c r="U2049" s="21">
        <v>0</v>
      </c>
      <c r="V2049" s="21">
        <v>0</v>
      </c>
      <c r="W2049" s="21">
        <v>0</v>
      </c>
      <c r="X2049" s="21">
        <v>0</v>
      </c>
      <c r="Y2049" s="4" t="s">
        <v>2276</v>
      </c>
      <c r="Z2049" s="4" t="s">
        <v>2276</v>
      </c>
      <c r="AA2049" s="4" t="s">
        <v>2276</v>
      </c>
      <c r="AB2049" s="4" t="s">
        <v>2276</v>
      </c>
      <c r="AC2049" s="4" t="s">
        <v>5835</v>
      </c>
      <c r="AD2049" s="3"/>
    </row>
    <row r="2050" spans="1:30" ht="41" customHeight="1">
      <c r="A2050" s="19" t="s">
        <v>5837</v>
      </c>
      <c r="B2050" s="19" t="s">
        <v>5842</v>
      </c>
      <c r="C2050" s="3" t="s">
        <v>24</v>
      </c>
      <c r="D2050" s="3" t="s">
        <v>25</v>
      </c>
      <c r="E2050" s="3" t="s">
        <v>45</v>
      </c>
      <c r="F2050" s="4" t="s">
        <v>2662</v>
      </c>
      <c r="G2050" s="3" t="s">
        <v>2276</v>
      </c>
      <c r="H2050" s="3" t="s">
        <v>523</v>
      </c>
      <c r="I2050" s="178"/>
      <c r="J2050" s="4" t="s">
        <v>2276</v>
      </c>
      <c r="K2050" s="4" t="s">
        <v>2276</v>
      </c>
      <c r="L2050" s="4" t="s">
        <v>2276</v>
      </c>
      <c r="M2050" s="4" t="s">
        <v>2276</v>
      </c>
      <c r="N2050" s="4" t="s">
        <v>2276</v>
      </c>
      <c r="O2050" s="4" t="s">
        <v>2276</v>
      </c>
      <c r="P2050" s="4" t="s">
        <v>2276</v>
      </c>
      <c r="Q2050" s="4" t="s">
        <v>2276</v>
      </c>
      <c r="R2050" s="4" t="s">
        <v>2276</v>
      </c>
      <c r="S2050" s="4" t="s">
        <v>2276</v>
      </c>
      <c r="T2050" s="4" t="s">
        <v>2276</v>
      </c>
      <c r="U2050" s="4" t="s">
        <v>2276</v>
      </c>
      <c r="V2050" s="4" t="s">
        <v>2276</v>
      </c>
      <c r="W2050" s="4" t="s">
        <v>2276</v>
      </c>
      <c r="X2050" s="4" t="s">
        <v>2276</v>
      </c>
      <c r="Y2050" s="4" t="s">
        <v>2276</v>
      </c>
      <c r="Z2050" s="3" t="s">
        <v>399</v>
      </c>
      <c r="AA2050" s="3" t="s">
        <v>189</v>
      </c>
      <c r="AB2050" s="4" t="s">
        <v>2276</v>
      </c>
      <c r="AC2050" s="3"/>
      <c r="AD2050" s="3"/>
    </row>
    <row r="2051" spans="1:30" ht="29" customHeight="1">
      <c r="A2051" s="3" t="s">
        <v>5844</v>
      </c>
      <c r="B2051" s="3" t="s">
        <v>5850</v>
      </c>
      <c r="C2051" s="3" t="s">
        <v>24</v>
      </c>
      <c r="D2051" s="3" t="s">
        <v>1245</v>
      </c>
      <c r="E2051" s="3" t="s">
        <v>116</v>
      </c>
      <c r="F2051" s="4" t="s">
        <v>2662</v>
      </c>
      <c r="G2051" s="4" t="s">
        <v>2662</v>
      </c>
      <c r="H2051" s="3" t="s">
        <v>523</v>
      </c>
      <c r="I2051" s="178"/>
      <c r="J2051" s="4" t="s">
        <v>2276</v>
      </c>
      <c r="K2051" s="4" t="s">
        <v>2276</v>
      </c>
      <c r="L2051" s="4" t="s">
        <v>2276</v>
      </c>
      <c r="M2051" s="4" t="s">
        <v>2276</v>
      </c>
      <c r="N2051" s="4" t="s">
        <v>2276</v>
      </c>
      <c r="O2051" s="4" t="s">
        <v>2276</v>
      </c>
      <c r="P2051" s="4" t="s">
        <v>2276</v>
      </c>
      <c r="Q2051" s="4" t="s">
        <v>2276</v>
      </c>
      <c r="R2051" s="4" t="s">
        <v>2276</v>
      </c>
      <c r="S2051" s="4" t="s">
        <v>2276</v>
      </c>
      <c r="T2051" s="4" t="s">
        <v>2276</v>
      </c>
      <c r="U2051" s="4" t="s">
        <v>2276</v>
      </c>
      <c r="V2051" s="4" t="s">
        <v>2276</v>
      </c>
      <c r="W2051" s="4" t="s">
        <v>2276</v>
      </c>
      <c r="X2051" s="4" t="s">
        <v>2276</v>
      </c>
      <c r="Y2051" s="4" t="s">
        <v>2276</v>
      </c>
      <c r="Z2051" s="3" t="s">
        <v>399</v>
      </c>
      <c r="AA2051" s="3" t="s">
        <v>189</v>
      </c>
      <c r="AB2051" s="4" t="s">
        <v>2276</v>
      </c>
      <c r="AC2051" s="3"/>
      <c r="AD2051" s="3"/>
    </row>
    <row r="2052" spans="1:30" ht="33.5" customHeight="1">
      <c r="A2052" s="3" t="s">
        <v>5844</v>
      </c>
      <c r="B2052" s="3" t="s">
        <v>5851</v>
      </c>
      <c r="C2052" s="3" t="s">
        <v>24</v>
      </c>
      <c r="D2052" s="3" t="s">
        <v>25</v>
      </c>
      <c r="E2052" s="3" t="s">
        <v>5005</v>
      </c>
      <c r="F2052" s="4" t="s">
        <v>2662</v>
      </c>
      <c r="G2052" s="4" t="s">
        <v>2662</v>
      </c>
      <c r="H2052" s="3" t="s">
        <v>523</v>
      </c>
      <c r="I2052" s="178"/>
      <c r="J2052" s="4" t="s">
        <v>2276</v>
      </c>
      <c r="K2052" s="4" t="s">
        <v>2276</v>
      </c>
      <c r="L2052" s="4" t="s">
        <v>2276</v>
      </c>
      <c r="M2052" s="4" t="s">
        <v>2276</v>
      </c>
      <c r="N2052" s="4" t="s">
        <v>2276</v>
      </c>
      <c r="O2052" s="4" t="s">
        <v>2276</v>
      </c>
      <c r="P2052" s="4" t="s">
        <v>2276</v>
      </c>
      <c r="Q2052" s="4" t="s">
        <v>2276</v>
      </c>
      <c r="R2052" s="4" t="s">
        <v>2276</v>
      </c>
      <c r="S2052" s="4" t="s">
        <v>2276</v>
      </c>
      <c r="T2052" s="4" t="s">
        <v>2276</v>
      </c>
      <c r="U2052" s="4" t="s">
        <v>2276</v>
      </c>
      <c r="V2052" s="4" t="s">
        <v>2276</v>
      </c>
      <c r="W2052" s="4" t="s">
        <v>2276</v>
      </c>
      <c r="X2052" s="4" t="s">
        <v>2276</v>
      </c>
      <c r="Y2052" s="4" t="s">
        <v>2276</v>
      </c>
      <c r="Z2052" s="3" t="s">
        <v>399</v>
      </c>
      <c r="AA2052" s="3" t="s">
        <v>189</v>
      </c>
      <c r="AB2052" s="4" t="s">
        <v>2276</v>
      </c>
      <c r="AC2052" s="3"/>
      <c r="AD2052" s="3"/>
    </row>
    <row r="2053" spans="1:30" ht="44.5" customHeight="1">
      <c r="A2053" s="3" t="s">
        <v>5844</v>
      </c>
      <c r="B2053" s="3" t="s">
        <v>5852</v>
      </c>
      <c r="C2053" s="3" t="s">
        <v>1105</v>
      </c>
      <c r="D2053" s="3" t="s">
        <v>1105</v>
      </c>
      <c r="E2053" s="3" t="s">
        <v>1105</v>
      </c>
      <c r="F2053" s="4" t="s">
        <v>2276</v>
      </c>
      <c r="G2053" s="4" t="s">
        <v>2662</v>
      </c>
      <c r="H2053" s="3" t="s">
        <v>523</v>
      </c>
      <c r="I2053" s="3"/>
      <c r="J2053" s="4" t="s">
        <v>2276</v>
      </c>
      <c r="K2053" s="4" t="s">
        <v>2276</v>
      </c>
      <c r="L2053" s="4" t="s">
        <v>2276</v>
      </c>
      <c r="M2053" s="4" t="s">
        <v>2276</v>
      </c>
      <c r="N2053" s="21">
        <f>100*100</f>
        <v>10000</v>
      </c>
      <c r="O2053" s="4" t="s">
        <v>2276</v>
      </c>
      <c r="P2053" s="4" t="s">
        <v>2276</v>
      </c>
      <c r="Q2053" s="4" t="s">
        <v>2276</v>
      </c>
      <c r="R2053" s="4" t="s">
        <v>2276</v>
      </c>
      <c r="S2053" s="4" t="s">
        <v>2276</v>
      </c>
      <c r="T2053" s="4" t="s">
        <v>2276</v>
      </c>
      <c r="U2053" s="4" t="s">
        <v>2276</v>
      </c>
      <c r="V2053" s="4" t="s">
        <v>2276</v>
      </c>
      <c r="W2053" s="4" t="s">
        <v>2276</v>
      </c>
      <c r="X2053" s="4" t="s">
        <v>2276</v>
      </c>
      <c r="Y2053" s="4" t="s">
        <v>2276</v>
      </c>
      <c r="Z2053" s="3" t="s">
        <v>399</v>
      </c>
      <c r="AA2053" s="3" t="s">
        <v>189</v>
      </c>
      <c r="AB2053" s="4" t="s">
        <v>2276</v>
      </c>
      <c r="AC2053" s="3"/>
      <c r="AD2053" s="3" t="s">
        <v>5853</v>
      </c>
    </row>
    <row r="2054" spans="1:30" ht="35.5" customHeight="1">
      <c r="A2054" s="11" t="s">
        <v>5849</v>
      </c>
      <c r="B2054" s="11" t="s">
        <v>5856</v>
      </c>
      <c r="C2054" s="3" t="s">
        <v>24</v>
      </c>
      <c r="D2054" s="3" t="s">
        <v>25</v>
      </c>
      <c r="E2054" s="3" t="s">
        <v>5005</v>
      </c>
      <c r="F2054" s="4" t="s">
        <v>2662</v>
      </c>
      <c r="G2054" s="4" t="s">
        <v>2276</v>
      </c>
      <c r="H2054" s="3" t="s">
        <v>523</v>
      </c>
      <c r="I2054" s="3"/>
      <c r="J2054" s="187" t="s">
        <v>2276</v>
      </c>
      <c r="K2054" s="187" t="s">
        <v>2276</v>
      </c>
      <c r="L2054" s="187" t="s">
        <v>2276</v>
      </c>
      <c r="M2054" s="187" t="s">
        <v>2276</v>
      </c>
      <c r="N2054" s="187" t="s">
        <v>2276</v>
      </c>
      <c r="O2054" s="187" t="s">
        <v>2276</v>
      </c>
      <c r="P2054" s="187" t="s">
        <v>2276</v>
      </c>
      <c r="Q2054" s="187" t="s">
        <v>2276</v>
      </c>
      <c r="R2054" s="187" t="s">
        <v>2276</v>
      </c>
      <c r="S2054" s="187" t="s">
        <v>2276</v>
      </c>
      <c r="T2054" s="187" t="s">
        <v>2276</v>
      </c>
      <c r="U2054" s="187" t="s">
        <v>2276</v>
      </c>
      <c r="V2054" s="187" t="s">
        <v>2276</v>
      </c>
      <c r="W2054" s="187" t="s">
        <v>2276</v>
      </c>
      <c r="X2054" s="187" t="s">
        <v>2276</v>
      </c>
      <c r="Y2054" s="187" t="s">
        <v>2276</v>
      </c>
      <c r="Z2054" s="3" t="s">
        <v>399</v>
      </c>
      <c r="AA2054" s="3" t="s">
        <v>189</v>
      </c>
      <c r="AB2054" s="4" t="s">
        <v>2276</v>
      </c>
      <c r="AC2054" s="3"/>
      <c r="AD2054" s="3"/>
    </row>
    <row r="2055" spans="1:30" ht="29" customHeight="1">
      <c r="A2055" s="11" t="s">
        <v>5849</v>
      </c>
      <c r="B2055" s="11" t="s">
        <v>5857</v>
      </c>
      <c r="C2055" s="3" t="s">
        <v>2458</v>
      </c>
      <c r="D2055" s="3" t="s">
        <v>25</v>
      </c>
      <c r="E2055" s="3" t="s">
        <v>5005</v>
      </c>
      <c r="F2055" s="4" t="s">
        <v>2662</v>
      </c>
      <c r="G2055" s="4" t="s">
        <v>2276</v>
      </c>
      <c r="H2055" s="3" t="s">
        <v>523</v>
      </c>
      <c r="I2055" s="3"/>
      <c r="J2055" s="187" t="s">
        <v>2276</v>
      </c>
      <c r="K2055" s="187" t="s">
        <v>2276</v>
      </c>
      <c r="L2055" s="187" t="s">
        <v>2276</v>
      </c>
      <c r="M2055" s="187" t="s">
        <v>2276</v>
      </c>
      <c r="N2055" s="187" t="s">
        <v>2276</v>
      </c>
      <c r="O2055" s="187" t="s">
        <v>2276</v>
      </c>
      <c r="P2055" s="187" t="s">
        <v>2276</v>
      </c>
      <c r="Q2055" s="187" t="s">
        <v>2276</v>
      </c>
      <c r="R2055" s="187" t="s">
        <v>2276</v>
      </c>
      <c r="S2055" s="187" t="s">
        <v>2276</v>
      </c>
      <c r="T2055" s="187" t="s">
        <v>2276</v>
      </c>
      <c r="U2055" s="187" t="s">
        <v>2276</v>
      </c>
      <c r="V2055" s="187" t="s">
        <v>2276</v>
      </c>
      <c r="W2055" s="187" t="s">
        <v>2276</v>
      </c>
      <c r="X2055" s="187" t="s">
        <v>2276</v>
      </c>
      <c r="Y2055" s="187" t="s">
        <v>2276</v>
      </c>
      <c r="Z2055" s="3" t="s">
        <v>399</v>
      </c>
      <c r="AA2055" s="3" t="s">
        <v>189</v>
      </c>
      <c r="AB2055" s="4" t="s">
        <v>2276</v>
      </c>
      <c r="AC2055" s="3"/>
      <c r="AD2055" s="3"/>
    </row>
    <row r="2056" spans="1:30" ht="43" customHeight="1">
      <c r="A2056" s="11" t="s">
        <v>5849</v>
      </c>
      <c r="B2056" s="11" t="s">
        <v>5858</v>
      </c>
      <c r="C2056" s="3" t="s">
        <v>2656</v>
      </c>
      <c r="D2056" s="3" t="s">
        <v>2276</v>
      </c>
      <c r="E2056" s="3" t="s">
        <v>2276</v>
      </c>
      <c r="F2056" s="3" t="s">
        <v>2276</v>
      </c>
      <c r="G2056" s="4" t="s">
        <v>2662</v>
      </c>
      <c r="H2056" s="3" t="s">
        <v>524</v>
      </c>
      <c r="I2056" s="3"/>
      <c r="J2056" s="21">
        <v>0</v>
      </c>
      <c r="K2056" s="21">
        <v>0</v>
      </c>
      <c r="L2056" s="21">
        <v>0</v>
      </c>
      <c r="M2056" s="21">
        <v>0</v>
      </c>
      <c r="N2056" s="21">
        <v>0</v>
      </c>
      <c r="O2056" s="21">
        <v>0</v>
      </c>
      <c r="P2056" s="21">
        <v>0</v>
      </c>
      <c r="Q2056" s="21">
        <v>0</v>
      </c>
      <c r="R2056" s="21">
        <v>0</v>
      </c>
      <c r="S2056" s="21">
        <v>0</v>
      </c>
      <c r="T2056" s="21">
        <v>0</v>
      </c>
      <c r="U2056" s="21">
        <v>0</v>
      </c>
      <c r="V2056" s="21">
        <v>0</v>
      </c>
      <c r="W2056" s="21">
        <v>0</v>
      </c>
      <c r="X2056" s="21">
        <v>0</v>
      </c>
      <c r="Y2056" s="187" t="s">
        <v>2276</v>
      </c>
      <c r="Z2056" s="3" t="s">
        <v>399</v>
      </c>
      <c r="AA2056" s="3" t="s">
        <v>189</v>
      </c>
      <c r="AB2056" s="4" t="s">
        <v>2276</v>
      </c>
      <c r="AC2056" s="3"/>
      <c r="AD2056" s="3"/>
    </row>
    <row r="2057" spans="1:30" ht="66.5" customHeight="1">
      <c r="A2057" s="19" t="s">
        <v>5849</v>
      </c>
      <c r="B2057" s="19" t="s">
        <v>5863</v>
      </c>
      <c r="C2057" s="4" t="s">
        <v>1105</v>
      </c>
      <c r="D2057" s="4" t="s">
        <v>1105</v>
      </c>
      <c r="E2057" s="4" t="s">
        <v>1105</v>
      </c>
      <c r="F2057" s="4" t="s">
        <v>2276</v>
      </c>
      <c r="G2057" s="4" t="s">
        <v>2662</v>
      </c>
      <c r="H2057" s="4" t="s">
        <v>523</v>
      </c>
      <c r="I2057" s="3">
        <v>1997</v>
      </c>
      <c r="J2057" s="187" t="s">
        <v>2276</v>
      </c>
      <c r="K2057" s="187" t="s">
        <v>2276</v>
      </c>
      <c r="L2057" s="187" t="s">
        <v>2276</v>
      </c>
      <c r="M2057" s="187" t="s">
        <v>2276</v>
      </c>
      <c r="N2057" s="187" t="s">
        <v>2276</v>
      </c>
      <c r="O2057" s="187" t="s">
        <v>2276</v>
      </c>
      <c r="P2057" s="187" t="s">
        <v>2276</v>
      </c>
      <c r="Q2057" s="187" t="s">
        <v>2276</v>
      </c>
      <c r="R2057" s="187" t="s">
        <v>2276</v>
      </c>
      <c r="S2057" s="187" t="s">
        <v>2276</v>
      </c>
      <c r="T2057" s="21">
        <f>34.6*100</f>
        <v>3460</v>
      </c>
      <c r="U2057" s="187" t="s">
        <v>2276</v>
      </c>
      <c r="V2057" s="187" t="s">
        <v>2276</v>
      </c>
      <c r="W2057" s="187" t="s">
        <v>2276</v>
      </c>
      <c r="X2057" s="21">
        <f>T2057/'Record info'!K897</f>
        <v>77.40492170022371</v>
      </c>
      <c r="Y2057" s="187" t="s">
        <v>2276</v>
      </c>
      <c r="Z2057" s="3" t="s">
        <v>399</v>
      </c>
      <c r="AA2057" s="3" t="s">
        <v>189</v>
      </c>
      <c r="AB2057" s="4" t="s">
        <v>2276</v>
      </c>
      <c r="AD2057" s="4" t="s">
        <v>5865</v>
      </c>
    </row>
    <row r="2058" spans="1:30" ht="66.5" customHeight="1">
      <c r="A2058" s="19" t="s">
        <v>5849</v>
      </c>
      <c r="B2058" s="19" t="s">
        <v>5864</v>
      </c>
      <c r="C2058" s="4" t="s">
        <v>1105</v>
      </c>
      <c r="D2058" s="4" t="s">
        <v>1105</v>
      </c>
      <c r="E2058" s="4" t="s">
        <v>1105</v>
      </c>
      <c r="F2058" s="4" t="s">
        <v>2276</v>
      </c>
      <c r="G2058" s="4" t="s">
        <v>2662</v>
      </c>
      <c r="H2058" s="4" t="s">
        <v>523</v>
      </c>
      <c r="I2058" s="3"/>
      <c r="J2058" s="187" t="s">
        <v>2276</v>
      </c>
      <c r="K2058" s="187" t="s">
        <v>2276</v>
      </c>
      <c r="L2058" s="187" t="s">
        <v>2276</v>
      </c>
      <c r="M2058" s="187" t="s">
        <v>2276</v>
      </c>
      <c r="N2058" s="187" t="s">
        <v>2276</v>
      </c>
      <c r="O2058" s="187" t="s">
        <v>2276</v>
      </c>
      <c r="P2058" s="187" t="s">
        <v>2276</v>
      </c>
      <c r="Q2058" s="187" t="s">
        <v>2276</v>
      </c>
      <c r="R2058" s="187" t="s">
        <v>2276</v>
      </c>
      <c r="S2058" s="187" t="s">
        <v>2276</v>
      </c>
      <c r="T2058" s="187" t="s">
        <v>2276</v>
      </c>
      <c r="U2058" s="187" t="s">
        <v>2276</v>
      </c>
      <c r="V2058" s="187" t="s">
        <v>2276</v>
      </c>
      <c r="W2058" s="187" t="s">
        <v>2276</v>
      </c>
      <c r="X2058" s="187" t="s">
        <v>2276</v>
      </c>
      <c r="Y2058" s="187" t="s">
        <v>2276</v>
      </c>
      <c r="Z2058" s="3" t="s">
        <v>399</v>
      </c>
      <c r="AA2058" s="3" t="s">
        <v>189</v>
      </c>
      <c r="AB2058" s="4" t="s">
        <v>2276</v>
      </c>
      <c r="AC2058" s="4"/>
      <c r="AD2058" s="4" t="s">
        <v>5866</v>
      </c>
    </row>
    <row r="2059" spans="1:30" ht="38" customHeight="1">
      <c r="A2059" s="11" t="s">
        <v>5854</v>
      </c>
      <c r="B2059" s="11" t="s">
        <v>5871</v>
      </c>
      <c r="C2059" s="3" t="s">
        <v>24</v>
      </c>
      <c r="D2059" s="3" t="s">
        <v>25</v>
      </c>
      <c r="E2059" s="3" t="s">
        <v>5005</v>
      </c>
      <c r="F2059" s="4" t="s">
        <v>2662</v>
      </c>
      <c r="G2059" s="4" t="s">
        <v>2276</v>
      </c>
      <c r="H2059" s="4" t="s">
        <v>523</v>
      </c>
      <c r="I2059" s="3"/>
      <c r="J2059" s="4" t="s">
        <v>2276</v>
      </c>
      <c r="K2059" s="4" t="s">
        <v>2276</v>
      </c>
      <c r="L2059" s="4" t="s">
        <v>2276</v>
      </c>
      <c r="M2059" s="4" t="s">
        <v>2276</v>
      </c>
      <c r="N2059" s="4" t="s">
        <v>2276</v>
      </c>
      <c r="O2059" s="4" t="s">
        <v>2276</v>
      </c>
      <c r="P2059" s="4" t="s">
        <v>2276</v>
      </c>
      <c r="Q2059" s="4" t="s">
        <v>2276</v>
      </c>
      <c r="R2059" s="4" t="s">
        <v>2276</v>
      </c>
      <c r="S2059" s="4" t="s">
        <v>2276</v>
      </c>
      <c r="T2059" s="4" t="s">
        <v>2276</v>
      </c>
      <c r="U2059" s="4" t="s">
        <v>2276</v>
      </c>
      <c r="V2059" s="4" t="s">
        <v>2276</v>
      </c>
      <c r="W2059" s="4" t="s">
        <v>2276</v>
      </c>
      <c r="X2059" s="4" t="s">
        <v>2276</v>
      </c>
      <c r="Y2059" s="4" t="s">
        <v>2276</v>
      </c>
      <c r="Z2059" s="4" t="s">
        <v>2276</v>
      </c>
      <c r="AA2059" s="4" t="s">
        <v>2276</v>
      </c>
      <c r="AB2059" s="4" t="s">
        <v>2276</v>
      </c>
      <c r="AC2059" s="3"/>
      <c r="AD2059" s="3"/>
    </row>
    <row r="2060" spans="1:30" ht="38" customHeight="1">
      <c r="A2060" s="11" t="s">
        <v>5854</v>
      </c>
      <c r="B2060" s="11" t="s">
        <v>5872</v>
      </c>
      <c r="C2060" s="3" t="s">
        <v>24</v>
      </c>
      <c r="D2060" s="3" t="s">
        <v>27</v>
      </c>
      <c r="E2060" s="3" t="s">
        <v>130</v>
      </c>
      <c r="F2060" s="4" t="s">
        <v>160</v>
      </c>
      <c r="G2060" s="4" t="s">
        <v>2276</v>
      </c>
      <c r="H2060" s="4" t="s">
        <v>523</v>
      </c>
      <c r="I2060" s="3"/>
      <c r="J2060" s="4" t="s">
        <v>2276</v>
      </c>
      <c r="K2060" s="4" t="s">
        <v>2276</v>
      </c>
      <c r="L2060" s="4" t="s">
        <v>2276</v>
      </c>
      <c r="M2060" s="4" t="s">
        <v>2276</v>
      </c>
      <c r="N2060" s="4" t="s">
        <v>2276</v>
      </c>
      <c r="O2060" s="4" t="s">
        <v>2276</v>
      </c>
      <c r="P2060" s="4" t="s">
        <v>2276</v>
      </c>
      <c r="Q2060" s="4" t="s">
        <v>2276</v>
      </c>
      <c r="R2060" s="4" t="s">
        <v>2276</v>
      </c>
      <c r="S2060" s="4" t="s">
        <v>2276</v>
      </c>
      <c r="T2060" s="4" t="s">
        <v>2276</v>
      </c>
      <c r="U2060" s="4" t="s">
        <v>2276</v>
      </c>
      <c r="V2060" s="4" t="s">
        <v>2276</v>
      </c>
      <c r="W2060" s="4" t="s">
        <v>2276</v>
      </c>
      <c r="X2060" s="4" t="s">
        <v>2276</v>
      </c>
      <c r="Y2060" s="4" t="s">
        <v>2276</v>
      </c>
      <c r="Z2060" s="4" t="s">
        <v>2276</v>
      </c>
      <c r="AA2060" s="4" t="s">
        <v>2276</v>
      </c>
      <c r="AB2060" s="4" t="s">
        <v>2276</v>
      </c>
      <c r="AC2060" s="3"/>
      <c r="AD2060" s="3"/>
    </row>
    <row r="2061" spans="1:30" ht="38" customHeight="1">
      <c r="A2061" s="11" t="s">
        <v>5859</v>
      </c>
      <c r="B2061" s="11" t="s">
        <v>5873</v>
      </c>
      <c r="C2061" s="3" t="s">
        <v>24</v>
      </c>
      <c r="D2061" s="3" t="s">
        <v>25</v>
      </c>
      <c r="E2061" s="3" t="s">
        <v>5005</v>
      </c>
      <c r="F2061" s="4" t="s">
        <v>2662</v>
      </c>
      <c r="G2061" s="4" t="s">
        <v>2276</v>
      </c>
      <c r="H2061" s="4" t="s">
        <v>523</v>
      </c>
      <c r="I2061" s="3"/>
      <c r="J2061" s="4" t="s">
        <v>2276</v>
      </c>
      <c r="K2061" s="4" t="s">
        <v>2276</v>
      </c>
      <c r="L2061" s="4" t="s">
        <v>2276</v>
      </c>
      <c r="M2061" s="4" t="s">
        <v>2276</v>
      </c>
      <c r="N2061" s="4" t="s">
        <v>2276</v>
      </c>
      <c r="O2061" s="4" t="s">
        <v>2276</v>
      </c>
      <c r="P2061" s="4" t="s">
        <v>2276</v>
      </c>
      <c r="Q2061" s="4" t="s">
        <v>2276</v>
      </c>
      <c r="R2061" s="4" t="s">
        <v>2276</v>
      </c>
      <c r="S2061" s="4" t="s">
        <v>2276</v>
      </c>
      <c r="T2061" s="4" t="s">
        <v>2276</v>
      </c>
      <c r="U2061" s="4" t="s">
        <v>2276</v>
      </c>
      <c r="V2061" s="4" t="s">
        <v>2276</v>
      </c>
      <c r="W2061" s="4" t="s">
        <v>2276</v>
      </c>
      <c r="X2061" s="4" t="s">
        <v>2276</v>
      </c>
      <c r="Y2061" s="4" t="s">
        <v>2276</v>
      </c>
      <c r="Z2061" s="4" t="s">
        <v>2276</v>
      </c>
      <c r="AA2061" s="4" t="s">
        <v>2276</v>
      </c>
      <c r="AB2061" s="4" t="s">
        <v>2276</v>
      </c>
      <c r="AC2061" s="3"/>
      <c r="AD2061" s="3"/>
    </row>
    <row r="2062" spans="1:30" ht="38" customHeight="1">
      <c r="A2062" s="11" t="s">
        <v>5860</v>
      </c>
      <c r="B2062" s="11" t="s">
        <v>5874</v>
      </c>
      <c r="C2062" s="3" t="s">
        <v>24</v>
      </c>
      <c r="D2062" s="3" t="s">
        <v>1245</v>
      </c>
      <c r="E2062" s="3" t="s">
        <v>116</v>
      </c>
      <c r="F2062" s="4" t="s">
        <v>2662</v>
      </c>
      <c r="G2062" s="4" t="s">
        <v>2276</v>
      </c>
      <c r="H2062" s="4" t="s">
        <v>523</v>
      </c>
      <c r="I2062" s="3"/>
      <c r="J2062" s="4" t="s">
        <v>2276</v>
      </c>
      <c r="K2062" s="4" t="s">
        <v>2276</v>
      </c>
      <c r="L2062" s="4" t="s">
        <v>2276</v>
      </c>
      <c r="M2062" s="4" t="s">
        <v>2276</v>
      </c>
      <c r="N2062" s="4" t="s">
        <v>2276</v>
      </c>
      <c r="O2062" s="4" t="s">
        <v>2276</v>
      </c>
      <c r="P2062" s="4" t="s">
        <v>2276</v>
      </c>
      <c r="Q2062" s="4" t="s">
        <v>2276</v>
      </c>
      <c r="R2062" s="4" t="s">
        <v>2276</v>
      </c>
      <c r="S2062" s="4" t="s">
        <v>2276</v>
      </c>
      <c r="T2062" s="4" t="s">
        <v>2276</v>
      </c>
      <c r="U2062" s="4" t="s">
        <v>2276</v>
      </c>
      <c r="V2062" s="4" t="s">
        <v>2276</v>
      </c>
      <c r="W2062" s="4" t="s">
        <v>2276</v>
      </c>
      <c r="X2062" s="4" t="s">
        <v>2276</v>
      </c>
      <c r="Y2062" s="4" t="s">
        <v>2276</v>
      </c>
      <c r="Z2062" s="4" t="s">
        <v>2276</v>
      </c>
      <c r="AA2062" s="4" t="s">
        <v>2276</v>
      </c>
      <c r="AB2062" s="4" t="s">
        <v>2276</v>
      </c>
      <c r="AC2062" s="3"/>
      <c r="AD2062" s="3"/>
    </row>
    <row r="2063" spans="1:30" ht="35.5" customHeight="1">
      <c r="A2063" s="11" t="s">
        <v>5862</v>
      </c>
      <c r="B2063" s="11" t="s">
        <v>5884</v>
      </c>
      <c r="C2063" s="3" t="s">
        <v>24</v>
      </c>
      <c r="D2063" s="3" t="s">
        <v>2231</v>
      </c>
      <c r="E2063" s="3" t="s">
        <v>45</v>
      </c>
      <c r="F2063" s="4" t="s">
        <v>2662</v>
      </c>
      <c r="G2063" s="4" t="s">
        <v>2276</v>
      </c>
      <c r="H2063" s="4" t="s">
        <v>523</v>
      </c>
      <c r="I2063" s="3"/>
      <c r="J2063" s="4" t="s">
        <v>2276</v>
      </c>
      <c r="K2063" s="4" t="s">
        <v>2276</v>
      </c>
      <c r="L2063" s="4" t="s">
        <v>2276</v>
      </c>
      <c r="M2063" s="4" t="s">
        <v>2276</v>
      </c>
      <c r="N2063" s="4" t="s">
        <v>2276</v>
      </c>
      <c r="O2063" s="4" t="s">
        <v>2276</v>
      </c>
      <c r="P2063" s="4" t="s">
        <v>2276</v>
      </c>
      <c r="Q2063" s="4" t="s">
        <v>2276</v>
      </c>
      <c r="R2063" s="4" t="s">
        <v>2276</v>
      </c>
      <c r="S2063" s="4" t="s">
        <v>2276</v>
      </c>
      <c r="T2063" s="4" t="s">
        <v>2276</v>
      </c>
      <c r="U2063" s="4" t="s">
        <v>2276</v>
      </c>
      <c r="V2063" s="4" t="s">
        <v>2276</v>
      </c>
      <c r="W2063" s="4" t="s">
        <v>2276</v>
      </c>
      <c r="X2063" s="4" t="s">
        <v>2276</v>
      </c>
      <c r="Y2063" s="4" t="s">
        <v>2276</v>
      </c>
      <c r="Z2063" s="4" t="s">
        <v>2276</v>
      </c>
      <c r="AA2063" s="4" t="s">
        <v>2276</v>
      </c>
      <c r="AB2063" s="4" t="s">
        <v>2276</v>
      </c>
      <c r="AC2063" s="3"/>
      <c r="AD2063" s="3"/>
    </row>
    <row r="2064" spans="1:30" ht="35.5" customHeight="1">
      <c r="A2064" s="11" t="s">
        <v>5862</v>
      </c>
      <c r="B2064" s="11" t="s">
        <v>5885</v>
      </c>
      <c r="C2064" s="3" t="s">
        <v>24</v>
      </c>
      <c r="D2064" s="3" t="s">
        <v>2994</v>
      </c>
      <c r="E2064" s="3" t="s">
        <v>2653</v>
      </c>
      <c r="F2064" s="4" t="s">
        <v>2276</v>
      </c>
      <c r="G2064" s="4" t="s">
        <v>2276</v>
      </c>
      <c r="H2064" s="4" t="s">
        <v>523</v>
      </c>
      <c r="I2064" s="3"/>
      <c r="J2064" s="4" t="s">
        <v>2276</v>
      </c>
      <c r="K2064" s="4" t="s">
        <v>2276</v>
      </c>
      <c r="L2064" s="4" t="s">
        <v>2276</v>
      </c>
      <c r="M2064" s="4" t="s">
        <v>2276</v>
      </c>
      <c r="N2064" s="4" t="s">
        <v>2276</v>
      </c>
      <c r="O2064" s="4" t="s">
        <v>2276</v>
      </c>
      <c r="P2064" s="4" t="s">
        <v>2276</v>
      </c>
      <c r="Q2064" s="4" t="s">
        <v>2276</v>
      </c>
      <c r="R2064" s="4" t="s">
        <v>2276</v>
      </c>
      <c r="S2064" s="4" t="s">
        <v>2276</v>
      </c>
      <c r="T2064" s="4" t="s">
        <v>2276</v>
      </c>
      <c r="U2064" s="4" t="s">
        <v>2276</v>
      </c>
      <c r="V2064" s="4" t="s">
        <v>2276</v>
      </c>
      <c r="W2064" s="4" t="s">
        <v>2276</v>
      </c>
      <c r="X2064" s="4" t="s">
        <v>2276</v>
      </c>
      <c r="Y2064" s="4" t="s">
        <v>2276</v>
      </c>
      <c r="Z2064" s="4" t="s">
        <v>2276</v>
      </c>
      <c r="AA2064" s="4" t="s">
        <v>2276</v>
      </c>
      <c r="AB2064" s="4" t="s">
        <v>2276</v>
      </c>
      <c r="AC2064" s="3"/>
      <c r="AD2064" s="3"/>
    </row>
    <row r="2065" spans="1:30" ht="35.5" customHeight="1">
      <c r="A2065" s="11" t="s">
        <v>5862</v>
      </c>
      <c r="B2065" s="11" t="s">
        <v>5886</v>
      </c>
      <c r="C2065" s="3" t="s">
        <v>2458</v>
      </c>
      <c r="D2065" s="3" t="s">
        <v>2994</v>
      </c>
      <c r="E2065" s="3" t="s">
        <v>2653</v>
      </c>
      <c r="F2065" s="4" t="s">
        <v>2276</v>
      </c>
      <c r="G2065" s="4" t="s">
        <v>2276</v>
      </c>
      <c r="H2065" s="4" t="s">
        <v>523</v>
      </c>
      <c r="I2065" s="3"/>
      <c r="J2065" s="4" t="s">
        <v>2276</v>
      </c>
      <c r="K2065" s="4" t="s">
        <v>2276</v>
      </c>
      <c r="L2065" s="4" t="s">
        <v>2276</v>
      </c>
      <c r="M2065" s="4" t="s">
        <v>2276</v>
      </c>
      <c r="N2065" s="4" t="s">
        <v>2276</v>
      </c>
      <c r="O2065" s="4" t="s">
        <v>2276</v>
      </c>
      <c r="P2065" s="4" t="s">
        <v>2276</v>
      </c>
      <c r="Q2065" s="4" t="s">
        <v>2276</v>
      </c>
      <c r="R2065" s="4" t="s">
        <v>2276</v>
      </c>
      <c r="S2065" s="4" t="s">
        <v>2276</v>
      </c>
      <c r="T2065" s="4" t="s">
        <v>2276</v>
      </c>
      <c r="U2065" s="4" t="s">
        <v>2276</v>
      </c>
      <c r="V2065" s="4" t="s">
        <v>2276</v>
      </c>
      <c r="W2065" s="4" t="s">
        <v>2276</v>
      </c>
      <c r="X2065" s="4" t="s">
        <v>2276</v>
      </c>
      <c r="Y2065" s="4" t="s">
        <v>2276</v>
      </c>
      <c r="Z2065" s="4" t="s">
        <v>2276</v>
      </c>
      <c r="AA2065" s="4" t="s">
        <v>2276</v>
      </c>
      <c r="AB2065" s="4" t="s">
        <v>2276</v>
      </c>
      <c r="AC2065" s="3"/>
      <c r="AD2065" s="3"/>
    </row>
    <row r="2066" spans="1:30" ht="35.5" customHeight="1">
      <c r="A2066" s="11" t="s">
        <v>5862</v>
      </c>
      <c r="B2066" s="11" t="s">
        <v>5887</v>
      </c>
      <c r="C2066" s="3" t="s">
        <v>24</v>
      </c>
      <c r="D2066" s="3" t="s">
        <v>2994</v>
      </c>
      <c r="E2066" s="3" t="s">
        <v>45</v>
      </c>
      <c r="F2066" s="4" t="s">
        <v>2276</v>
      </c>
      <c r="G2066" s="4" t="s">
        <v>2276</v>
      </c>
      <c r="H2066" s="4" t="s">
        <v>523</v>
      </c>
      <c r="I2066" s="3"/>
      <c r="J2066" s="4" t="s">
        <v>2276</v>
      </c>
      <c r="K2066" s="4" t="s">
        <v>2276</v>
      </c>
      <c r="L2066" s="4" t="s">
        <v>2276</v>
      </c>
      <c r="M2066" s="4" t="s">
        <v>2276</v>
      </c>
      <c r="N2066" s="4" t="s">
        <v>2276</v>
      </c>
      <c r="O2066" s="4" t="s">
        <v>2276</v>
      </c>
      <c r="P2066" s="4" t="s">
        <v>2276</v>
      </c>
      <c r="Q2066" s="4" t="s">
        <v>2276</v>
      </c>
      <c r="R2066" s="4" t="s">
        <v>2276</v>
      </c>
      <c r="S2066" s="4" t="s">
        <v>2276</v>
      </c>
      <c r="T2066" s="4" t="s">
        <v>2276</v>
      </c>
      <c r="U2066" s="4" t="s">
        <v>2276</v>
      </c>
      <c r="V2066" s="4" t="s">
        <v>2276</v>
      </c>
      <c r="W2066" s="4" t="s">
        <v>2276</v>
      </c>
      <c r="X2066" s="4" t="s">
        <v>2276</v>
      </c>
      <c r="Y2066" s="4" t="s">
        <v>2276</v>
      </c>
      <c r="Z2066" s="4" t="s">
        <v>2276</v>
      </c>
      <c r="AA2066" s="4" t="s">
        <v>2276</v>
      </c>
      <c r="AB2066" s="4" t="s">
        <v>2276</v>
      </c>
      <c r="AC2066" s="3"/>
      <c r="AD2066" s="3"/>
    </row>
    <row r="2067" spans="1:30" ht="35.5" customHeight="1">
      <c r="A2067" s="11" t="s">
        <v>5862</v>
      </c>
      <c r="B2067" s="11" t="s">
        <v>5888</v>
      </c>
      <c r="C2067" s="3" t="s">
        <v>2458</v>
      </c>
      <c r="D2067" s="3" t="s">
        <v>2994</v>
      </c>
      <c r="E2067" s="3" t="s">
        <v>45</v>
      </c>
      <c r="F2067" s="4" t="s">
        <v>2276</v>
      </c>
      <c r="G2067" s="4" t="s">
        <v>2276</v>
      </c>
      <c r="H2067" s="4" t="s">
        <v>523</v>
      </c>
      <c r="I2067" s="3"/>
      <c r="J2067" s="4" t="s">
        <v>2276</v>
      </c>
      <c r="K2067" s="4" t="s">
        <v>2276</v>
      </c>
      <c r="L2067" s="4" t="s">
        <v>2276</v>
      </c>
      <c r="M2067" s="4" t="s">
        <v>2276</v>
      </c>
      <c r="N2067" s="4" t="s">
        <v>2276</v>
      </c>
      <c r="O2067" s="4" t="s">
        <v>2276</v>
      </c>
      <c r="P2067" s="4" t="s">
        <v>2276</v>
      </c>
      <c r="Q2067" s="4" t="s">
        <v>2276</v>
      </c>
      <c r="R2067" s="4" t="s">
        <v>2276</v>
      </c>
      <c r="S2067" s="4" t="s">
        <v>2276</v>
      </c>
      <c r="T2067" s="4" t="s">
        <v>2276</v>
      </c>
      <c r="U2067" s="4" t="s">
        <v>2276</v>
      </c>
      <c r="V2067" s="4" t="s">
        <v>2276</v>
      </c>
      <c r="W2067" s="4" t="s">
        <v>2276</v>
      </c>
      <c r="X2067" s="4" t="s">
        <v>2276</v>
      </c>
      <c r="Y2067" s="4" t="s">
        <v>2276</v>
      </c>
      <c r="Z2067" s="4" t="s">
        <v>2276</v>
      </c>
      <c r="AA2067" s="4" t="s">
        <v>2276</v>
      </c>
      <c r="AB2067" s="4" t="s">
        <v>2276</v>
      </c>
      <c r="AC2067" s="3"/>
      <c r="AD2067" s="3"/>
    </row>
    <row r="2068" spans="1:30" ht="35.5" customHeight="1">
      <c r="A2068" s="11" t="s">
        <v>5862</v>
      </c>
      <c r="B2068" s="11" t="s">
        <v>5889</v>
      </c>
      <c r="C2068" s="3" t="s">
        <v>24</v>
      </c>
      <c r="D2068" s="3" t="s">
        <v>406</v>
      </c>
      <c r="E2068" s="3" t="s">
        <v>45</v>
      </c>
      <c r="F2068" s="4" t="s">
        <v>2276</v>
      </c>
      <c r="G2068" s="4" t="s">
        <v>2276</v>
      </c>
      <c r="H2068" s="4" t="s">
        <v>523</v>
      </c>
      <c r="I2068" s="3"/>
      <c r="J2068" s="4" t="s">
        <v>2276</v>
      </c>
      <c r="K2068" s="4" t="s">
        <v>2276</v>
      </c>
      <c r="L2068" s="4" t="s">
        <v>2276</v>
      </c>
      <c r="M2068" s="4" t="s">
        <v>2276</v>
      </c>
      <c r="N2068" s="4" t="s">
        <v>2276</v>
      </c>
      <c r="O2068" s="4" t="s">
        <v>2276</v>
      </c>
      <c r="P2068" s="4" t="s">
        <v>2276</v>
      </c>
      <c r="Q2068" s="4" t="s">
        <v>2276</v>
      </c>
      <c r="R2068" s="4" t="s">
        <v>2276</v>
      </c>
      <c r="S2068" s="4" t="s">
        <v>2276</v>
      </c>
      <c r="T2068" s="4" t="s">
        <v>2276</v>
      </c>
      <c r="U2068" s="4" t="s">
        <v>2276</v>
      </c>
      <c r="V2068" s="4" t="s">
        <v>2276</v>
      </c>
      <c r="W2068" s="4" t="s">
        <v>2276</v>
      </c>
      <c r="X2068" s="4" t="s">
        <v>2276</v>
      </c>
      <c r="Y2068" s="4" t="s">
        <v>2276</v>
      </c>
      <c r="Z2068" s="4" t="s">
        <v>2276</v>
      </c>
      <c r="AA2068" s="4" t="s">
        <v>2276</v>
      </c>
      <c r="AB2068" s="4" t="s">
        <v>2276</v>
      </c>
      <c r="AC2068" s="3"/>
      <c r="AD2068" s="3"/>
    </row>
    <row r="2069" spans="1:30" ht="35.5" customHeight="1">
      <c r="A2069" s="11" t="s">
        <v>5862</v>
      </c>
      <c r="B2069" s="11" t="s">
        <v>5890</v>
      </c>
      <c r="C2069" s="3" t="s">
        <v>2458</v>
      </c>
      <c r="D2069" s="3" t="s">
        <v>2994</v>
      </c>
      <c r="E2069" s="3" t="s">
        <v>2652</v>
      </c>
      <c r="F2069" s="4" t="s">
        <v>2276</v>
      </c>
      <c r="G2069" s="4" t="s">
        <v>2276</v>
      </c>
      <c r="H2069" s="4" t="s">
        <v>523</v>
      </c>
      <c r="I2069" s="3"/>
      <c r="J2069" s="4" t="s">
        <v>2276</v>
      </c>
      <c r="K2069" s="4" t="s">
        <v>2276</v>
      </c>
      <c r="L2069" s="4" t="s">
        <v>2276</v>
      </c>
      <c r="M2069" s="4" t="s">
        <v>2276</v>
      </c>
      <c r="N2069" s="4" t="s">
        <v>2276</v>
      </c>
      <c r="O2069" s="4" t="s">
        <v>2276</v>
      </c>
      <c r="P2069" s="4" t="s">
        <v>2276</v>
      </c>
      <c r="Q2069" s="4" t="s">
        <v>2276</v>
      </c>
      <c r="R2069" s="4" t="s">
        <v>2276</v>
      </c>
      <c r="S2069" s="4" t="s">
        <v>2276</v>
      </c>
      <c r="T2069" s="4" t="s">
        <v>2276</v>
      </c>
      <c r="U2069" s="4" t="s">
        <v>2276</v>
      </c>
      <c r="V2069" s="4" t="s">
        <v>2276</v>
      </c>
      <c r="W2069" s="4" t="s">
        <v>2276</v>
      </c>
      <c r="X2069" s="4" t="s">
        <v>2276</v>
      </c>
      <c r="Y2069" s="4" t="s">
        <v>2276</v>
      </c>
      <c r="Z2069" s="4" t="s">
        <v>2276</v>
      </c>
      <c r="AA2069" s="4" t="s">
        <v>2276</v>
      </c>
      <c r="AB2069" s="4" t="s">
        <v>2276</v>
      </c>
      <c r="AC2069" s="3"/>
      <c r="AD2069" s="3"/>
    </row>
    <row r="2070" spans="1:30" ht="39" customHeight="1">
      <c r="A2070" s="11" t="s">
        <v>5879</v>
      </c>
      <c r="B2070" s="3" t="s">
        <v>5881</v>
      </c>
      <c r="C2070" s="3" t="s">
        <v>2458</v>
      </c>
      <c r="D2070" s="3" t="s">
        <v>2276</v>
      </c>
      <c r="E2070" s="3" t="s">
        <v>1105</v>
      </c>
      <c r="F2070" s="4" t="s">
        <v>2276</v>
      </c>
      <c r="G2070" s="4" t="s">
        <v>2276</v>
      </c>
      <c r="H2070" s="4" t="s">
        <v>523</v>
      </c>
      <c r="I2070" s="3"/>
      <c r="J2070" s="4" t="s">
        <v>2276</v>
      </c>
      <c r="K2070" s="4" t="s">
        <v>2276</v>
      </c>
      <c r="L2070" s="4" t="s">
        <v>2276</v>
      </c>
      <c r="M2070" s="4" t="s">
        <v>2276</v>
      </c>
      <c r="N2070" s="4" t="s">
        <v>2276</v>
      </c>
      <c r="O2070" s="4" t="s">
        <v>2276</v>
      </c>
      <c r="P2070" s="4" t="s">
        <v>2276</v>
      </c>
      <c r="Q2070" s="4" t="s">
        <v>2276</v>
      </c>
      <c r="R2070" s="4" t="s">
        <v>2276</v>
      </c>
      <c r="S2070" s="4" t="s">
        <v>2276</v>
      </c>
      <c r="T2070" s="4" t="s">
        <v>2276</v>
      </c>
      <c r="U2070" s="4" t="s">
        <v>2276</v>
      </c>
      <c r="V2070" s="4" t="s">
        <v>2276</v>
      </c>
      <c r="W2070" s="4" t="s">
        <v>2276</v>
      </c>
      <c r="X2070" s="4" t="s">
        <v>2276</v>
      </c>
      <c r="Y2070" s="4" t="s">
        <v>2276</v>
      </c>
      <c r="Z2070" s="4" t="s">
        <v>2276</v>
      </c>
      <c r="AA2070" s="4" t="s">
        <v>2276</v>
      </c>
      <c r="AB2070" s="4" t="s">
        <v>2276</v>
      </c>
      <c r="AC2070" s="3" t="s">
        <v>5883</v>
      </c>
      <c r="AD2070" s="3"/>
    </row>
    <row r="2071" spans="1:30" ht="32.5" customHeight="1">
      <c r="A2071" s="11" t="s">
        <v>5879</v>
      </c>
      <c r="B2071" s="3" t="s">
        <v>5882</v>
      </c>
      <c r="C2071" s="3" t="s">
        <v>24</v>
      </c>
      <c r="D2071" s="3" t="s">
        <v>2346</v>
      </c>
      <c r="E2071" s="3" t="s">
        <v>2276</v>
      </c>
      <c r="F2071" s="4" t="s">
        <v>2276</v>
      </c>
      <c r="G2071" s="4" t="s">
        <v>2276</v>
      </c>
      <c r="H2071" s="4" t="s">
        <v>523</v>
      </c>
      <c r="I2071" s="3"/>
      <c r="J2071" s="4" t="s">
        <v>2276</v>
      </c>
      <c r="K2071" s="4" t="s">
        <v>2276</v>
      </c>
      <c r="L2071" s="4" t="s">
        <v>2276</v>
      </c>
      <c r="M2071" s="4" t="s">
        <v>2276</v>
      </c>
      <c r="N2071" s="4" t="s">
        <v>2276</v>
      </c>
      <c r="O2071" s="4" t="s">
        <v>2276</v>
      </c>
      <c r="P2071" s="4" t="s">
        <v>2276</v>
      </c>
      <c r="Q2071" s="4" t="s">
        <v>2276</v>
      </c>
      <c r="R2071" s="4" t="s">
        <v>2276</v>
      </c>
      <c r="S2071" s="4" t="s">
        <v>2276</v>
      </c>
      <c r="T2071" s="4" t="s">
        <v>2276</v>
      </c>
      <c r="U2071" s="4" t="s">
        <v>2276</v>
      </c>
      <c r="V2071" s="4" t="s">
        <v>2276</v>
      </c>
      <c r="W2071" s="4" t="s">
        <v>2276</v>
      </c>
      <c r="X2071" s="4" t="s">
        <v>2276</v>
      </c>
      <c r="Y2071" s="4" t="s">
        <v>2276</v>
      </c>
      <c r="Z2071" s="4" t="s">
        <v>2276</v>
      </c>
      <c r="AA2071" s="4" t="s">
        <v>2276</v>
      </c>
      <c r="AB2071" s="4" t="s">
        <v>2276</v>
      </c>
      <c r="AC2071" s="3" t="s">
        <v>5883</v>
      </c>
      <c r="AD2071" s="3"/>
    </row>
    <row r="2072" spans="1:30" ht="30" customHeight="1">
      <c r="A2072" s="11" t="s">
        <v>5875</v>
      </c>
      <c r="B2072" s="11" t="s">
        <v>5900</v>
      </c>
      <c r="C2072" s="3" t="s">
        <v>24</v>
      </c>
      <c r="D2072" s="3" t="s">
        <v>144</v>
      </c>
      <c r="E2072" s="3" t="s">
        <v>2647</v>
      </c>
      <c r="F2072" s="4" t="s">
        <v>55</v>
      </c>
      <c r="G2072" s="4" t="s">
        <v>2276</v>
      </c>
      <c r="H2072" s="4" t="s">
        <v>524</v>
      </c>
      <c r="I2072" s="3"/>
      <c r="J2072" s="21">
        <v>0</v>
      </c>
      <c r="K2072" s="21">
        <v>0</v>
      </c>
      <c r="L2072" s="21">
        <v>0</v>
      </c>
      <c r="M2072" s="21">
        <v>0</v>
      </c>
      <c r="N2072" s="21">
        <v>0</v>
      </c>
      <c r="O2072" s="21">
        <v>0</v>
      </c>
      <c r="P2072" s="21">
        <v>0</v>
      </c>
      <c r="Q2072" s="21">
        <v>0</v>
      </c>
      <c r="R2072" s="21">
        <v>0</v>
      </c>
      <c r="S2072" s="21">
        <v>0</v>
      </c>
      <c r="T2072" s="21">
        <v>0</v>
      </c>
      <c r="U2072" s="21">
        <v>0</v>
      </c>
      <c r="V2072" s="21">
        <v>0</v>
      </c>
      <c r="W2072" s="21">
        <v>0</v>
      </c>
      <c r="X2072" s="21">
        <v>0</v>
      </c>
      <c r="Y2072" s="4" t="s">
        <v>2276</v>
      </c>
      <c r="Z2072" s="4" t="s">
        <v>2276</v>
      </c>
      <c r="AA2072" s="4" t="s">
        <v>2276</v>
      </c>
      <c r="AB2072" s="4" t="s">
        <v>2276</v>
      </c>
      <c r="AC2072" s="3"/>
      <c r="AD2072" s="3"/>
    </row>
    <row r="2073" spans="1:30" ht="30" customHeight="1">
      <c r="A2073" s="11" t="s">
        <v>5875</v>
      </c>
      <c r="B2073" s="11" t="s">
        <v>5901</v>
      </c>
      <c r="C2073" s="3" t="s">
        <v>24</v>
      </c>
      <c r="D2073" s="3" t="s">
        <v>144</v>
      </c>
      <c r="E2073" s="3" t="s">
        <v>2652</v>
      </c>
      <c r="F2073" s="4" t="s">
        <v>55</v>
      </c>
      <c r="G2073" s="4" t="s">
        <v>2276</v>
      </c>
      <c r="H2073" s="4" t="s">
        <v>524</v>
      </c>
      <c r="I2073" s="3"/>
      <c r="J2073" s="21">
        <v>0</v>
      </c>
      <c r="K2073" s="21">
        <v>0</v>
      </c>
      <c r="L2073" s="21">
        <v>0</v>
      </c>
      <c r="M2073" s="21">
        <v>0</v>
      </c>
      <c r="N2073" s="21">
        <v>0</v>
      </c>
      <c r="O2073" s="21">
        <v>0</v>
      </c>
      <c r="P2073" s="21">
        <v>0</v>
      </c>
      <c r="Q2073" s="21">
        <v>0</v>
      </c>
      <c r="R2073" s="21">
        <v>0</v>
      </c>
      <c r="S2073" s="21">
        <v>0</v>
      </c>
      <c r="T2073" s="21">
        <v>0</v>
      </c>
      <c r="U2073" s="21">
        <v>0</v>
      </c>
      <c r="V2073" s="21">
        <v>0</v>
      </c>
      <c r="W2073" s="21">
        <v>0</v>
      </c>
      <c r="X2073" s="21">
        <v>0</v>
      </c>
      <c r="Y2073" s="4" t="s">
        <v>2276</v>
      </c>
      <c r="Z2073" s="4" t="s">
        <v>2276</v>
      </c>
      <c r="AA2073" s="4" t="s">
        <v>2276</v>
      </c>
      <c r="AB2073" s="4" t="s">
        <v>2276</v>
      </c>
      <c r="AC2073" s="3"/>
      <c r="AD2073" s="3"/>
    </row>
    <row r="2074" spans="1:30" ht="30" customHeight="1">
      <c r="A2074" s="11" t="s">
        <v>5875</v>
      </c>
      <c r="B2074" s="11" t="s">
        <v>5902</v>
      </c>
      <c r="C2074" s="3" t="s">
        <v>24</v>
      </c>
      <c r="D2074" s="3" t="s">
        <v>25</v>
      </c>
      <c r="E2074" s="3" t="s">
        <v>2647</v>
      </c>
      <c r="F2074" s="4" t="s">
        <v>55</v>
      </c>
      <c r="G2074" s="4" t="s">
        <v>2276</v>
      </c>
      <c r="H2074" s="4" t="s">
        <v>524</v>
      </c>
      <c r="I2074" s="3"/>
      <c r="J2074" s="21">
        <v>0</v>
      </c>
      <c r="K2074" s="21">
        <v>0</v>
      </c>
      <c r="L2074" s="21">
        <v>0</v>
      </c>
      <c r="M2074" s="21">
        <v>0</v>
      </c>
      <c r="N2074" s="21">
        <v>0</v>
      </c>
      <c r="O2074" s="21">
        <v>0</v>
      </c>
      <c r="P2074" s="21">
        <v>0</v>
      </c>
      <c r="Q2074" s="21">
        <v>0</v>
      </c>
      <c r="R2074" s="21">
        <v>0</v>
      </c>
      <c r="S2074" s="21">
        <v>0</v>
      </c>
      <c r="T2074" s="21">
        <v>0</v>
      </c>
      <c r="U2074" s="21">
        <v>0</v>
      </c>
      <c r="V2074" s="21">
        <v>0</v>
      </c>
      <c r="W2074" s="21">
        <v>0</v>
      </c>
      <c r="X2074" s="21">
        <v>0</v>
      </c>
      <c r="Y2074" s="4" t="s">
        <v>2276</v>
      </c>
      <c r="Z2074" s="4" t="s">
        <v>2276</v>
      </c>
      <c r="AA2074" s="4" t="s">
        <v>2276</v>
      </c>
      <c r="AB2074" s="4" t="s">
        <v>2276</v>
      </c>
      <c r="AC2074" s="3"/>
      <c r="AD2074" s="3"/>
    </row>
    <row r="2075" spans="1:30" ht="35.5" customHeight="1">
      <c r="A2075" s="11" t="s">
        <v>5875</v>
      </c>
      <c r="B2075" s="11" t="s">
        <v>5903</v>
      </c>
      <c r="C2075" s="3" t="s">
        <v>24</v>
      </c>
      <c r="D2075" s="3" t="s">
        <v>144</v>
      </c>
      <c r="E2075" s="3" t="s">
        <v>137</v>
      </c>
      <c r="F2075" s="4" t="s">
        <v>55</v>
      </c>
      <c r="G2075" s="4" t="s">
        <v>2276</v>
      </c>
      <c r="H2075" s="3" t="s">
        <v>523</v>
      </c>
      <c r="I2075" s="3"/>
      <c r="J2075" s="6" t="s">
        <v>2276</v>
      </c>
      <c r="K2075" s="6" t="s">
        <v>2276</v>
      </c>
      <c r="L2075" s="6" t="s">
        <v>2276</v>
      </c>
      <c r="M2075" s="6" t="s">
        <v>2276</v>
      </c>
      <c r="N2075" s="6" t="s">
        <v>2276</v>
      </c>
      <c r="O2075" s="6" t="s">
        <v>2276</v>
      </c>
      <c r="P2075" s="6" t="s">
        <v>2276</v>
      </c>
      <c r="Q2075" s="6" t="s">
        <v>2276</v>
      </c>
      <c r="R2075" s="6" t="s">
        <v>2276</v>
      </c>
      <c r="S2075" s="6" t="s">
        <v>2276</v>
      </c>
      <c r="T2075" s="6" t="s">
        <v>2276</v>
      </c>
      <c r="U2075" s="6" t="s">
        <v>2276</v>
      </c>
      <c r="V2075" s="6" t="s">
        <v>2276</v>
      </c>
      <c r="W2075" s="6" t="s">
        <v>2276</v>
      </c>
      <c r="X2075" s="6" t="s">
        <v>2276</v>
      </c>
      <c r="Y2075" s="4" t="s">
        <v>2276</v>
      </c>
      <c r="Z2075" s="4" t="s">
        <v>2276</v>
      </c>
      <c r="AA2075" s="4" t="s">
        <v>2276</v>
      </c>
      <c r="AB2075" s="4" t="s">
        <v>2276</v>
      </c>
      <c r="AC2075" s="3"/>
      <c r="AD2075" s="3"/>
    </row>
    <row r="2076" spans="1:30" ht="36.5" customHeight="1">
      <c r="A2076" s="11" t="s">
        <v>5899</v>
      </c>
      <c r="B2076" s="11" t="s">
        <v>5908</v>
      </c>
      <c r="C2076" s="3" t="s">
        <v>24</v>
      </c>
      <c r="D2076" s="3" t="s">
        <v>2804</v>
      </c>
      <c r="E2076" s="3" t="s">
        <v>2652</v>
      </c>
      <c r="F2076" s="4" t="s">
        <v>55</v>
      </c>
      <c r="G2076" s="4" t="s">
        <v>2276</v>
      </c>
      <c r="H2076" s="3" t="s">
        <v>523</v>
      </c>
      <c r="I2076" s="3"/>
      <c r="J2076" s="4" t="s">
        <v>2276</v>
      </c>
      <c r="K2076" s="4" t="s">
        <v>2276</v>
      </c>
      <c r="L2076" s="4" t="s">
        <v>2276</v>
      </c>
      <c r="M2076" s="4" t="s">
        <v>2276</v>
      </c>
      <c r="N2076" s="4" t="s">
        <v>2276</v>
      </c>
      <c r="O2076" s="4" t="s">
        <v>2276</v>
      </c>
      <c r="P2076" s="4" t="s">
        <v>2276</v>
      </c>
      <c r="Q2076" s="4" t="s">
        <v>2276</v>
      </c>
      <c r="R2076" s="4" t="s">
        <v>2276</v>
      </c>
      <c r="S2076" s="4" t="s">
        <v>2276</v>
      </c>
      <c r="T2076" s="4" t="s">
        <v>2276</v>
      </c>
      <c r="U2076" s="4" t="s">
        <v>2276</v>
      </c>
      <c r="V2076" s="4" t="s">
        <v>2276</v>
      </c>
      <c r="W2076" s="4" t="s">
        <v>2276</v>
      </c>
      <c r="X2076" s="4" t="s">
        <v>2276</v>
      </c>
      <c r="Y2076" s="4" t="s">
        <v>2276</v>
      </c>
      <c r="Z2076" s="4" t="s">
        <v>2276</v>
      </c>
      <c r="AA2076" s="4" t="s">
        <v>2276</v>
      </c>
      <c r="AB2076" s="4" t="s">
        <v>2276</v>
      </c>
      <c r="AC2076" s="4" t="s">
        <v>5911</v>
      </c>
      <c r="AD2076" s="3"/>
    </row>
    <row r="2077" spans="1:30" ht="36.5" customHeight="1">
      <c r="A2077" s="11" t="s">
        <v>5899</v>
      </c>
      <c r="B2077" s="11" t="s">
        <v>5910</v>
      </c>
      <c r="C2077" s="3" t="s">
        <v>24</v>
      </c>
      <c r="D2077" s="3" t="s">
        <v>2804</v>
      </c>
      <c r="E2077" s="3" t="s">
        <v>2647</v>
      </c>
      <c r="F2077" s="4" t="s">
        <v>55</v>
      </c>
      <c r="G2077" s="4" t="s">
        <v>2276</v>
      </c>
      <c r="H2077" s="3" t="s">
        <v>523</v>
      </c>
      <c r="I2077" s="204"/>
      <c r="J2077" s="4" t="s">
        <v>2276</v>
      </c>
      <c r="K2077" s="4" t="s">
        <v>2276</v>
      </c>
      <c r="L2077" s="4" t="s">
        <v>2276</v>
      </c>
      <c r="M2077" s="4" t="s">
        <v>2276</v>
      </c>
      <c r="N2077" s="4" t="s">
        <v>2276</v>
      </c>
      <c r="O2077" s="4" t="s">
        <v>2276</v>
      </c>
      <c r="P2077" s="4" t="s">
        <v>2276</v>
      </c>
      <c r="Q2077" s="4" t="s">
        <v>2276</v>
      </c>
      <c r="R2077" s="4" t="s">
        <v>2276</v>
      </c>
      <c r="S2077" s="4" t="s">
        <v>2276</v>
      </c>
      <c r="T2077" s="4" t="s">
        <v>2276</v>
      </c>
      <c r="U2077" s="4" t="s">
        <v>2276</v>
      </c>
      <c r="V2077" s="4" t="s">
        <v>2276</v>
      </c>
      <c r="W2077" s="4" t="s">
        <v>2276</v>
      </c>
      <c r="X2077" s="4" t="s">
        <v>2276</v>
      </c>
      <c r="Y2077" s="4" t="s">
        <v>2276</v>
      </c>
      <c r="Z2077" s="4" t="s">
        <v>2276</v>
      </c>
      <c r="AA2077" s="4" t="s">
        <v>2276</v>
      </c>
      <c r="AB2077" s="4" t="s">
        <v>2276</v>
      </c>
      <c r="AC2077" s="4" t="s">
        <v>5911</v>
      </c>
      <c r="AD2077" s="3"/>
    </row>
    <row r="2078" spans="1:30" ht="33.5" customHeight="1">
      <c r="A2078" s="11" t="s">
        <v>5909</v>
      </c>
      <c r="B2078" s="11" t="s">
        <v>5912</v>
      </c>
      <c r="C2078" s="3" t="s">
        <v>31</v>
      </c>
      <c r="D2078" s="3" t="s">
        <v>30</v>
      </c>
      <c r="E2078" s="3" t="s">
        <v>2276</v>
      </c>
      <c r="F2078" s="3" t="s">
        <v>2276</v>
      </c>
      <c r="G2078" s="3" t="s">
        <v>2276</v>
      </c>
      <c r="H2078" s="3" t="s">
        <v>523</v>
      </c>
      <c r="I2078" s="204"/>
      <c r="J2078" s="4" t="s">
        <v>2276</v>
      </c>
      <c r="K2078" s="4" t="s">
        <v>2276</v>
      </c>
      <c r="L2078" s="4" t="s">
        <v>2276</v>
      </c>
      <c r="M2078" s="4" t="s">
        <v>2276</v>
      </c>
      <c r="N2078" s="4" t="s">
        <v>2276</v>
      </c>
      <c r="O2078" s="4" t="s">
        <v>2276</v>
      </c>
      <c r="P2078" s="4" t="s">
        <v>2276</v>
      </c>
      <c r="Q2078" s="4" t="s">
        <v>2276</v>
      </c>
      <c r="R2078" s="4" t="s">
        <v>2276</v>
      </c>
      <c r="S2078" s="4" t="s">
        <v>2276</v>
      </c>
      <c r="T2078" s="4" t="s">
        <v>2276</v>
      </c>
      <c r="U2078" s="4" t="s">
        <v>2276</v>
      </c>
      <c r="V2078" s="4" t="s">
        <v>2276</v>
      </c>
      <c r="W2078" s="4" t="s">
        <v>2276</v>
      </c>
      <c r="X2078" s="4" t="s">
        <v>2276</v>
      </c>
      <c r="Y2078" s="4" t="s">
        <v>2276</v>
      </c>
      <c r="Z2078" s="4" t="s">
        <v>2276</v>
      </c>
      <c r="AA2078" s="4" t="s">
        <v>2276</v>
      </c>
      <c r="AB2078" s="4" t="s">
        <v>2276</v>
      </c>
      <c r="AC2078" s="3"/>
      <c r="AD2078" s="3"/>
    </row>
    <row r="2079" spans="1:30" ht="31.5" customHeight="1">
      <c r="A2079" s="11" t="s">
        <v>5909</v>
      </c>
      <c r="B2079" s="11" t="s">
        <v>5913</v>
      </c>
      <c r="C2079" s="3" t="s">
        <v>24</v>
      </c>
      <c r="D2079" s="3" t="s">
        <v>2346</v>
      </c>
      <c r="E2079" s="3" t="s">
        <v>5005</v>
      </c>
      <c r="F2079" s="3" t="s">
        <v>2276</v>
      </c>
      <c r="G2079" s="3" t="s">
        <v>2276</v>
      </c>
      <c r="H2079" s="3" t="s">
        <v>523</v>
      </c>
      <c r="I2079" s="204"/>
      <c r="J2079" s="4" t="s">
        <v>2276</v>
      </c>
      <c r="K2079" s="4" t="s">
        <v>2276</v>
      </c>
      <c r="L2079" s="4" t="s">
        <v>2276</v>
      </c>
      <c r="M2079" s="4" t="s">
        <v>2276</v>
      </c>
      <c r="N2079" s="4" t="s">
        <v>2276</v>
      </c>
      <c r="O2079" s="4" t="s">
        <v>2276</v>
      </c>
      <c r="P2079" s="4" t="s">
        <v>2276</v>
      </c>
      <c r="Q2079" s="4" t="s">
        <v>2276</v>
      </c>
      <c r="R2079" s="4" t="s">
        <v>2276</v>
      </c>
      <c r="S2079" s="4" t="s">
        <v>2276</v>
      </c>
      <c r="T2079" s="4" t="s">
        <v>2276</v>
      </c>
      <c r="U2079" s="4" t="s">
        <v>2276</v>
      </c>
      <c r="V2079" s="4" t="s">
        <v>2276</v>
      </c>
      <c r="W2079" s="4" t="s">
        <v>2276</v>
      </c>
      <c r="X2079" s="4" t="s">
        <v>2276</v>
      </c>
      <c r="Y2079" s="4" t="s">
        <v>2276</v>
      </c>
      <c r="Z2079" s="4" t="s">
        <v>2276</v>
      </c>
      <c r="AA2079" s="4" t="s">
        <v>2276</v>
      </c>
      <c r="AB2079" s="4" t="s">
        <v>2276</v>
      </c>
      <c r="AC2079" s="3"/>
      <c r="AD2079" s="3"/>
    </row>
    <row r="2080" spans="1:30" ht="36.5" customHeight="1">
      <c r="A2080" s="11" t="s">
        <v>5909</v>
      </c>
      <c r="B2080" s="11" t="s">
        <v>5914</v>
      </c>
      <c r="C2080" s="3" t="s">
        <v>24</v>
      </c>
      <c r="D2080" s="3" t="s">
        <v>2346</v>
      </c>
      <c r="E2080" s="3" t="s">
        <v>116</v>
      </c>
      <c r="F2080" s="3" t="s">
        <v>2276</v>
      </c>
      <c r="G2080" s="3" t="s">
        <v>2276</v>
      </c>
      <c r="H2080" s="3" t="s">
        <v>523</v>
      </c>
      <c r="I2080" s="204"/>
      <c r="J2080" s="4" t="s">
        <v>2276</v>
      </c>
      <c r="K2080" s="4" t="s">
        <v>2276</v>
      </c>
      <c r="L2080" s="4" t="s">
        <v>2276</v>
      </c>
      <c r="M2080" s="4" t="s">
        <v>2276</v>
      </c>
      <c r="N2080" s="4" t="s">
        <v>2276</v>
      </c>
      <c r="O2080" s="4" t="s">
        <v>2276</v>
      </c>
      <c r="P2080" s="4" t="s">
        <v>2276</v>
      </c>
      <c r="Q2080" s="4" t="s">
        <v>2276</v>
      </c>
      <c r="R2080" s="4" t="s">
        <v>2276</v>
      </c>
      <c r="S2080" s="4" t="s">
        <v>2276</v>
      </c>
      <c r="T2080" s="4" t="s">
        <v>2276</v>
      </c>
      <c r="U2080" s="4" t="s">
        <v>2276</v>
      </c>
      <c r="V2080" s="4" t="s">
        <v>2276</v>
      </c>
      <c r="W2080" s="4" t="s">
        <v>2276</v>
      </c>
      <c r="X2080" s="4" t="s">
        <v>2276</v>
      </c>
      <c r="Y2080" s="4" t="s">
        <v>2276</v>
      </c>
      <c r="Z2080" s="4" t="s">
        <v>2276</v>
      </c>
      <c r="AA2080" s="4" t="s">
        <v>2276</v>
      </c>
      <c r="AB2080" s="4" t="s">
        <v>2276</v>
      </c>
      <c r="AC2080" s="3"/>
      <c r="AD2080" s="3"/>
    </row>
    <row r="2081" spans="1:30" ht="28" customHeight="1">
      <c r="A2081" s="11" t="s">
        <v>5909</v>
      </c>
      <c r="B2081" s="11" t="s">
        <v>5915</v>
      </c>
      <c r="C2081" s="3" t="s">
        <v>24</v>
      </c>
      <c r="D2081" s="3" t="s">
        <v>3480</v>
      </c>
      <c r="E2081" s="3" t="s">
        <v>116</v>
      </c>
      <c r="F2081" s="3" t="s">
        <v>2276</v>
      </c>
      <c r="G2081" s="3" t="s">
        <v>2276</v>
      </c>
      <c r="H2081" s="3" t="s">
        <v>523</v>
      </c>
      <c r="I2081" s="204"/>
      <c r="J2081" s="4" t="s">
        <v>2276</v>
      </c>
      <c r="K2081" s="4" t="s">
        <v>2276</v>
      </c>
      <c r="L2081" s="4" t="s">
        <v>2276</v>
      </c>
      <c r="M2081" s="4" t="s">
        <v>2276</v>
      </c>
      <c r="N2081" s="4" t="s">
        <v>2276</v>
      </c>
      <c r="O2081" s="4" t="s">
        <v>2276</v>
      </c>
      <c r="P2081" s="4" t="s">
        <v>2276</v>
      </c>
      <c r="Q2081" s="4" t="s">
        <v>2276</v>
      </c>
      <c r="R2081" s="4" t="s">
        <v>2276</v>
      </c>
      <c r="S2081" s="4" t="s">
        <v>2276</v>
      </c>
      <c r="T2081" s="4" t="s">
        <v>2276</v>
      </c>
      <c r="U2081" s="4" t="s">
        <v>2276</v>
      </c>
      <c r="V2081" s="4" t="s">
        <v>2276</v>
      </c>
      <c r="W2081" s="4" t="s">
        <v>2276</v>
      </c>
      <c r="X2081" s="4" t="s">
        <v>2276</v>
      </c>
      <c r="Y2081" s="4" t="s">
        <v>2276</v>
      </c>
      <c r="Z2081" s="4" t="s">
        <v>2276</v>
      </c>
      <c r="AA2081" s="4" t="s">
        <v>2276</v>
      </c>
      <c r="AB2081" s="4" t="s">
        <v>2276</v>
      </c>
      <c r="AC2081" s="3"/>
      <c r="AD2081" s="3"/>
    </row>
    <row r="2082" spans="1:30" ht="29" customHeight="1">
      <c r="A2082" s="11" t="s">
        <v>5909</v>
      </c>
      <c r="B2082" s="11" t="s">
        <v>5916</v>
      </c>
      <c r="C2082" s="3" t="s">
        <v>24</v>
      </c>
      <c r="D2082" s="3" t="s">
        <v>1245</v>
      </c>
      <c r="E2082" s="3" t="s">
        <v>116</v>
      </c>
      <c r="F2082" s="3" t="s">
        <v>2276</v>
      </c>
      <c r="G2082" s="3" t="s">
        <v>2276</v>
      </c>
      <c r="H2082" s="3" t="s">
        <v>523</v>
      </c>
      <c r="I2082" s="204"/>
      <c r="J2082" s="4" t="s">
        <v>2276</v>
      </c>
      <c r="K2082" s="4" t="s">
        <v>2276</v>
      </c>
      <c r="L2082" s="4" t="s">
        <v>2276</v>
      </c>
      <c r="M2082" s="4" t="s">
        <v>2276</v>
      </c>
      <c r="N2082" s="4" t="s">
        <v>2276</v>
      </c>
      <c r="O2082" s="4" t="s">
        <v>2276</v>
      </c>
      <c r="P2082" s="4" t="s">
        <v>2276</v>
      </c>
      <c r="Q2082" s="4" t="s">
        <v>2276</v>
      </c>
      <c r="R2082" s="4" t="s">
        <v>2276</v>
      </c>
      <c r="S2082" s="4" t="s">
        <v>2276</v>
      </c>
      <c r="T2082" s="4" t="s">
        <v>2276</v>
      </c>
      <c r="U2082" s="4" t="s">
        <v>2276</v>
      </c>
      <c r="V2082" s="4" t="s">
        <v>2276</v>
      </c>
      <c r="W2082" s="4" t="s">
        <v>2276</v>
      </c>
      <c r="X2082" s="4" t="s">
        <v>2276</v>
      </c>
      <c r="Y2082" s="4" t="s">
        <v>2276</v>
      </c>
      <c r="Z2082" s="4" t="s">
        <v>2276</v>
      </c>
      <c r="AA2082" s="4" t="s">
        <v>2276</v>
      </c>
      <c r="AB2082" s="4" t="s">
        <v>2276</v>
      </c>
      <c r="AC2082" s="3"/>
      <c r="AD2082" s="3"/>
    </row>
    <row r="2083" spans="1:30" ht="32.5" customHeight="1">
      <c r="A2083" s="11" t="s">
        <v>5909</v>
      </c>
      <c r="B2083" s="11" t="s">
        <v>5917</v>
      </c>
      <c r="C2083" s="3" t="s">
        <v>24</v>
      </c>
      <c r="D2083" s="3" t="s">
        <v>25</v>
      </c>
      <c r="E2083" s="3" t="s">
        <v>5005</v>
      </c>
      <c r="F2083" s="3" t="s">
        <v>2276</v>
      </c>
      <c r="G2083" s="3" t="s">
        <v>2276</v>
      </c>
      <c r="H2083" s="3" t="s">
        <v>523</v>
      </c>
      <c r="I2083" s="204"/>
      <c r="J2083" s="4" t="s">
        <v>2276</v>
      </c>
      <c r="K2083" s="4" t="s">
        <v>2276</v>
      </c>
      <c r="L2083" s="4" t="s">
        <v>2276</v>
      </c>
      <c r="M2083" s="4" t="s">
        <v>2276</v>
      </c>
      <c r="N2083" s="4" t="s">
        <v>2276</v>
      </c>
      <c r="O2083" s="4" t="s">
        <v>2276</v>
      </c>
      <c r="P2083" s="4" t="s">
        <v>2276</v>
      </c>
      <c r="Q2083" s="4" t="s">
        <v>2276</v>
      </c>
      <c r="R2083" s="4" t="s">
        <v>2276</v>
      </c>
      <c r="S2083" s="4" t="s">
        <v>2276</v>
      </c>
      <c r="T2083" s="4" t="s">
        <v>2276</v>
      </c>
      <c r="U2083" s="4" t="s">
        <v>2276</v>
      </c>
      <c r="V2083" s="4" t="s">
        <v>2276</v>
      </c>
      <c r="W2083" s="4" t="s">
        <v>2276</v>
      </c>
      <c r="X2083" s="4" t="s">
        <v>2276</v>
      </c>
      <c r="Y2083" s="4" t="s">
        <v>2276</v>
      </c>
      <c r="Z2083" s="4" t="s">
        <v>2276</v>
      </c>
      <c r="AA2083" s="4" t="s">
        <v>2276</v>
      </c>
      <c r="AB2083" s="4" t="s">
        <v>2276</v>
      </c>
      <c r="AC2083" s="3"/>
      <c r="AD2083" s="3"/>
    </row>
    <row r="2084" spans="1:30" ht="32.5" customHeight="1">
      <c r="A2084" s="11" t="s">
        <v>5909</v>
      </c>
      <c r="B2084" s="11" t="s">
        <v>5918</v>
      </c>
      <c r="C2084" s="3" t="s">
        <v>24</v>
      </c>
      <c r="D2084" s="3" t="s">
        <v>2341</v>
      </c>
      <c r="E2084" s="3" t="s">
        <v>5005</v>
      </c>
      <c r="F2084" s="3" t="s">
        <v>2276</v>
      </c>
      <c r="G2084" s="3" t="s">
        <v>2276</v>
      </c>
      <c r="H2084" s="3" t="s">
        <v>523</v>
      </c>
      <c r="I2084" s="204"/>
      <c r="J2084" s="4" t="s">
        <v>2276</v>
      </c>
      <c r="K2084" s="4" t="s">
        <v>2276</v>
      </c>
      <c r="L2084" s="4" t="s">
        <v>2276</v>
      </c>
      <c r="M2084" s="4" t="s">
        <v>2276</v>
      </c>
      <c r="N2084" s="4" t="s">
        <v>2276</v>
      </c>
      <c r="O2084" s="4" t="s">
        <v>2276</v>
      </c>
      <c r="P2084" s="4" t="s">
        <v>2276</v>
      </c>
      <c r="Q2084" s="4" t="s">
        <v>2276</v>
      </c>
      <c r="R2084" s="4" t="s">
        <v>2276</v>
      </c>
      <c r="S2084" s="4" t="s">
        <v>2276</v>
      </c>
      <c r="T2084" s="4" t="s">
        <v>2276</v>
      </c>
      <c r="U2084" s="4" t="s">
        <v>2276</v>
      </c>
      <c r="V2084" s="4" t="s">
        <v>2276</v>
      </c>
      <c r="W2084" s="4" t="s">
        <v>2276</v>
      </c>
      <c r="X2084" s="4" t="s">
        <v>2276</v>
      </c>
      <c r="Y2084" s="4" t="s">
        <v>2276</v>
      </c>
      <c r="Z2084" s="4" t="s">
        <v>2276</v>
      </c>
      <c r="AA2084" s="4" t="s">
        <v>2276</v>
      </c>
      <c r="AB2084" s="4" t="s">
        <v>2276</v>
      </c>
      <c r="AC2084" s="3"/>
      <c r="AD2084" s="3"/>
    </row>
    <row r="2085" spans="1:30" ht="40" customHeight="1">
      <c r="A2085" s="11" t="s">
        <v>5909</v>
      </c>
      <c r="B2085" s="11" t="s">
        <v>5919</v>
      </c>
      <c r="C2085" s="3" t="s">
        <v>2458</v>
      </c>
      <c r="D2085" s="3" t="s">
        <v>3476</v>
      </c>
      <c r="E2085" s="3" t="s">
        <v>863</v>
      </c>
      <c r="F2085" s="3" t="s">
        <v>2276</v>
      </c>
      <c r="G2085" s="3" t="s">
        <v>2276</v>
      </c>
      <c r="H2085" s="3" t="s">
        <v>523</v>
      </c>
      <c r="I2085" s="204"/>
      <c r="J2085" s="4" t="s">
        <v>2276</v>
      </c>
      <c r="K2085" s="4" t="s">
        <v>2276</v>
      </c>
      <c r="L2085" s="4" t="s">
        <v>2276</v>
      </c>
      <c r="M2085" s="4" t="s">
        <v>2276</v>
      </c>
      <c r="N2085" s="4" t="s">
        <v>2276</v>
      </c>
      <c r="O2085" s="4" t="s">
        <v>2276</v>
      </c>
      <c r="P2085" s="4" t="s">
        <v>2276</v>
      </c>
      <c r="Q2085" s="4" t="s">
        <v>2276</v>
      </c>
      <c r="R2085" s="4" t="s">
        <v>2276</v>
      </c>
      <c r="S2085" s="4" t="s">
        <v>2276</v>
      </c>
      <c r="T2085" s="4" t="s">
        <v>2276</v>
      </c>
      <c r="U2085" s="4" t="s">
        <v>2276</v>
      </c>
      <c r="V2085" s="4" t="s">
        <v>2276</v>
      </c>
      <c r="W2085" s="4" t="s">
        <v>2276</v>
      </c>
      <c r="X2085" s="4" t="s">
        <v>2276</v>
      </c>
      <c r="Y2085" s="4" t="s">
        <v>2276</v>
      </c>
      <c r="Z2085" s="4" t="s">
        <v>2276</v>
      </c>
      <c r="AA2085" s="4" t="s">
        <v>2276</v>
      </c>
      <c r="AB2085" s="4" t="s">
        <v>2276</v>
      </c>
      <c r="AC2085" s="3"/>
      <c r="AD2085" s="3"/>
    </row>
    <row r="2086" spans="1:30" ht="39" customHeight="1">
      <c r="A2086" s="11" t="s">
        <v>5909</v>
      </c>
      <c r="B2086" s="11" t="s">
        <v>5920</v>
      </c>
      <c r="C2086" s="3" t="s">
        <v>24</v>
      </c>
      <c r="D2086" s="3" t="s">
        <v>27</v>
      </c>
      <c r="E2086" s="3" t="s">
        <v>130</v>
      </c>
      <c r="F2086" s="3" t="s">
        <v>2276</v>
      </c>
      <c r="G2086" s="3" t="s">
        <v>2276</v>
      </c>
      <c r="H2086" s="3" t="s">
        <v>523</v>
      </c>
      <c r="I2086" s="204"/>
      <c r="J2086" s="4" t="s">
        <v>2276</v>
      </c>
      <c r="K2086" s="4" t="s">
        <v>2276</v>
      </c>
      <c r="L2086" s="4" t="s">
        <v>2276</v>
      </c>
      <c r="M2086" s="4" t="s">
        <v>2276</v>
      </c>
      <c r="N2086" s="4" t="s">
        <v>2276</v>
      </c>
      <c r="O2086" s="4" t="s">
        <v>2276</v>
      </c>
      <c r="P2086" s="4" t="s">
        <v>2276</v>
      </c>
      <c r="Q2086" s="4" t="s">
        <v>2276</v>
      </c>
      <c r="R2086" s="4" t="s">
        <v>2276</v>
      </c>
      <c r="S2086" s="4" t="s">
        <v>2276</v>
      </c>
      <c r="T2086" s="4" t="s">
        <v>2276</v>
      </c>
      <c r="U2086" s="4" t="s">
        <v>2276</v>
      </c>
      <c r="V2086" s="4" t="s">
        <v>2276</v>
      </c>
      <c r="W2086" s="4" t="s">
        <v>2276</v>
      </c>
      <c r="X2086" s="4" t="s">
        <v>2276</v>
      </c>
      <c r="Y2086" s="4" t="s">
        <v>2276</v>
      </c>
      <c r="Z2086" s="3" t="s">
        <v>399</v>
      </c>
      <c r="AA2086" s="3" t="s">
        <v>189</v>
      </c>
      <c r="AB2086" s="4" t="s">
        <v>2276</v>
      </c>
      <c r="AC2086" s="3"/>
      <c r="AD2086" s="3"/>
    </row>
    <row r="2087" spans="1:30" ht="47.5" customHeight="1">
      <c r="A2087" s="11" t="s">
        <v>5909</v>
      </c>
      <c r="B2087" s="11" t="s">
        <v>5921</v>
      </c>
      <c r="C2087" s="3" t="s">
        <v>2458</v>
      </c>
      <c r="D2087" s="3" t="s">
        <v>2276</v>
      </c>
      <c r="E2087" s="3" t="s">
        <v>2276</v>
      </c>
      <c r="F2087" s="3" t="s">
        <v>2276</v>
      </c>
      <c r="G2087" s="3" t="s">
        <v>2276</v>
      </c>
      <c r="H2087" s="3" t="s">
        <v>523</v>
      </c>
      <c r="I2087" s="204"/>
      <c r="J2087" s="4" t="s">
        <v>2276</v>
      </c>
      <c r="K2087" s="4" t="s">
        <v>2276</v>
      </c>
      <c r="L2087" s="4" t="s">
        <v>2276</v>
      </c>
      <c r="M2087" s="4" t="s">
        <v>2276</v>
      </c>
      <c r="N2087" s="4" t="s">
        <v>2276</v>
      </c>
      <c r="O2087" s="4" t="s">
        <v>2276</v>
      </c>
      <c r="P2087" s="21">
        <v>237.74</v>
      </c>
      <c r="Q2087" s="4" t="s">
        <v>2276</v>
      </c>
      <c r="R2087" s="4" t="s">
        <v>2276</v>
      </c>
      <c r="S2087" s="4" t="s">
        <v>2276</v>
      </c>
      <c r="T2087" s="4" t="s">
        <v>2276</v>
      </c>
      <c r="U2087" s="4" t="s">
        <v>2276</v>
      </c>
      <c r="V2087" s="4" t="s">
        <v>2276</v>
      </c>
      <c r="W2087" s="4" t="s">
        <v>2276</v>
      </c>
      <c r="X2087" s="4" t="s">
        <v>2276</v>
      </c>
      <c r="Y2087" s="4" t="s">
        <v>2276</v>
      </c>
      <c r="Z2087" s="3" t="s">
        <v>399</v>
      </c>
      <c r="AA2087" s="3" t="s">
        <v>189</v>
      </c>
      <c r="AB2087" s="4" t="s">
        <v>2276</v>
      </c>
      <c r="AC2087" s="3"/>
      <c r="AD2087" s="3"/>
    </row>
    <row r="2088" spans="1:30" ht="47.5" customHeight="1">
      <c r="A2088" s="35" t="s">
        <v>5909</v>
      </c>
      <c r="B2088" s="35" t="s">
        <v>5922</v>
      </c>
      <c r="C2088" s="38" t="s">
        <v>2458</v>
      </c>
      <c r="D2088" s="38" t="s">
        <v>2276</v>
      </c>
      <c r="E2088" s="38" t="s">
        <v>2276</v>
      </c>
      <c r="F2088" s="38" t="s">
        <v>2276</v>
      </c>
      <c r="G2088" s="38" t="s">
        <v>2276</v>
      </c>
      <c r="H2088" s="38" t="s">
        <v>523</v>
      </c>
      <c r="I2088" s="204"/>
      <c r="J2088" s="168" t="s">
        <v>2276</v>
      </c>
      <c r="K2088" s="168" t="s">
        <v>2276</v>
      </c>
      <c r="L2088" s="168" t="s">
        <v>2276</v>
      </c>
      <c r="M2088" s="168" t="s">
        <v>2276</v>
      </c>
      <c r="N2088" s="168" t="s">
        <v>2276</v>
      </c>
      <c r="O2088" s="168" t="s">
        <v>2276</v>
      </c>
      <c r="P2088" s="21">
        <v>237.74</v>
      </c>
      <c r="Q2088" s="168" t="s">
        <v>2276</v>
      </c>
      <c r="R2088" s="168" t="s">
        <v>2276</v>
      </c>
      <c r="S2088" s="168" t="s">
        <v>2276</v>
      </c>
      <c r="T2088" s="168" t="s">
        <v>2276</v>
      </c>
      <c r="U2088" s="168" t="s">
        <v>2276</v>
      </c>
      <c r="V2088" s="168" t="s">
        <v>2276</v>
      </c>
      <c r="W2088" s="168" t="s">
        <v>2276</v>
      </c>
      <c r="X2088" s="168" t="s">
        <v>2276</v>
      </c>
      <c r="Y2088" s="168" t="s">
        <v>2276</v>
      </c>
      <c r="Z2088" s="38" t="s">
        <v>405</v>
      </c>
      <c r="AA2088" s="38" t="s">
        <v>68</v>
      </c>
      <c r="AB2088" s="168" t="s">
        <v>2276</v>
      </c>
      <c r="AC2088" s="3"/>
      <c r="AD2088" s="3"/>
    </row>
    <row r="2089" spans="1:30" ht="35.5" customHeight="1">
      <c r="A2089" s="11" t="s">
        <v>5909</v>
      </c>
      <c r="B2089" s="11" t="s">
        <v>5923</v>
      </c>
      <c r="C2089" s="3" t="s">
        <v>24</v>
      </c>
      <c r="D2089" s="3" t="s">
        <v>1242</v>
      </c>
      <c r="E2089" s="3" t="s">
        <v>137</v>
      </c>
      <c r="F2089" s="3" t="s">
        <v>2276</v>
      </c>
      <c r="G2089" s="3" t="s">
        <v>2276</v>
      </c>
      <c r="H2089" s="3" t="s">
        <v>524</v>
      </c>
      <c r="I2089" s="3"/>
      <c r="J2089" s="21">
        <v>0</v>
      </c>
      <c r="K2089" s="21">
        <v>0</v>
      </c>
      <c r="L2089" s="21">
        <v>0</v>
      </c>
      <c r="M2089" s="21">
        <v>0</v>
      </c>
      <c r="N2089" s="21">
        <v>0</v>
      </c>
      <c r="O2089" s="21">
        <v>0</v>
      </c>
      <c r="P2089" s="21">
        <v>0</v>
      </c>
      <c r="Q2089" s="21">
        <v>0</v>
      </c>
      <c r="R2089" s="21">
        <v>0</v>
      </c>
      <c r="S2089" s="21">
        <v>0</v>
      </c>
      <c r="T2089" s="21">
        <v>0</v>
      </c>
      <c r="U2089" s="21">
        <v>0</v>
      </c>
      <c r="V2089" s="21">
        <v>0</v>
      </c>
      <c r="W2089" s="21">
        <v>0</v>
      </c>
      <c r="X2089" s="21">
        <v>0</v>
      </c>
      <c r="Y2089" s="4" t="s">
        <v>2276</v>
      </c>
      <c r="Z2089" s="4" t="s">
        <v>2276</v>
      </c>
      <c r="AA2089" s="4" t="s">
        <v>2276</v>
      </c>
      <c r="AB2089" s="4" t="s">
        <v>2276</v>
      </c>
      <c r="AC2089" s="3"/>
      <c r="AD2089" s="3"/>
    </row>
    <row r="2090" spans="1:30" ht="43" customHeight="1">
      <c r="A2090" s="11" t="s">
        <v>5909</v>
      </c>
      <c r="B2090" s="11" t="s">
        <v>5925</v>
      </c>
      <c r="C2090" s="3" t="s">
        <v>24</v>
      </c>
      <c r="D2090" s="3" t="s">
        <v>144</v>
      </c>
      <c r="E2090" s="3" t="s">
        <v>137</v>
      </c>
      <c r="F2090" s="3" t="s">
        <v>2276</v>
      </c>
      <c r="G2090" s="3" t="s">
        <v>2276</v>
      </c>
      <c r="H2090" s="3" t="s">
        <v>524</v>
      </c>
      <c r="I2090" s="3"/>
      <c r="J2090" s="21">
        <v>0</v>
      </c>
      <c r="K2090" s="21">
        <v>0</v>
      </c>
      <c r="L2090" s="21">
        <v>0</v>
      </c>
      <c r="M2090" s="21">
        <v>0</v>
      </c>
      <c r="N2090" s="21">
        <v>0</v>
      </c>
      <c r="O2090" s="21">
        <v>0</v>
      </c>
      <c r="P2090" s="21">
        <v>0</v>
      </c>
      <c r="Q2090" s="21">
        <v>0</v>
      </c>
      <c r="R2090" s="21">
        <v>0</v>
      </c>
      <c r="S2090" s="21">
        <v>0</v>
      </c>
      <c r="T2090" s="21">
        <v>0</v>
      </c>
      <c r="U2090" s="21">
        <v>0</v>
      </c>
      <c r="V2090" s="21">
        <v>0</v>
      </c>
      <c r="W2090" s="21">
        <v>0</v>
      </c>
      <c r="X2090" s="21">
        <v>0</v>
      </c>
      <c r="Y2090" s="4" t="s">
        <v>2276</v>
      </c>
      <c r="Z2090" s="4" t="s">
        <v>2276</v>
      </c>
      <c r="AA2090" s="4" t="s">
        <v>2276</v>
      </c>
      <c r="AB2090" s="4" t="s">
        <v>2276</v>
      </c>
      <c r="AC2090" s="3"/>
      <c r="AD2090" s="3"/>
    </row>
    <row r="2091" spans="1:30" ht="36.5" customHeight="1">
      <c r="A2091" s="11" t="s">
        <v>5932</v>
      </c>
      <c r="B2091" s="11" t="s">
        <v>5934</v>
      </c>
      <c r="C2091" s="3" t="s">
        <v>24</v>
      </c>
      <c r="D2091" s="3" t="s">
        <v>1245</v>
      </c>
      <c r="E2091" s="3" t="s">
        <v>116</v>
      </c>
      <c r="F2091" s="4" t="s">
        <v>2662</v>
      </c>
      <c r="G2091" s="3" t="s">
        <v>2276</v>
      </c>
      <c r="H2091" s="3" t="s">
        <v>523</v>
      </c>
      <c r="I2091" s="3"/>
      <c r="J2091" s="4" t="s">
        <v>2276</v>
      </c>
      <c r="K2091" s="4" t="s">
        <v>2276</v>
      </c>
      <c r="L2091" s="4" t="s">
        <v>2276</v>
      </c>
      <c r="M2091" s="4" t="s">
        <v>2276</v>
      </c>
      <c r="N2091" s="4" t="s">
        <v>2276</v>
      </c>
      <c r="O2091" s="4" t="s">
        <v>2276</v>
      </c>
      <c r="P2091" s="4" t="s">
        <v>2276</v>
      </c>
      <c r="Q2091" s="4" t="s">
        <v>2276</v>
      </c>
      <c r="R2091" s="4" t="s">
        <v>2276</v>
      </c>
      <c r="S2091" s="4" t="s">
        <v>2276</v>
      </c>
      <c r="T2091" s="4" t="s">
        <v>2276</v>
      </c>
      <c r="U2091" s="4" t="s">
        <v>2276</v>
      </c>
      <c r="V2091" s="4" t="s">
        <v>2276</v>
      </c>
      <c r="W2091" s="4" t="s">
        <v>2276</v>
      </c>
      <c r="X2091" s="4" t="s">
        <v>2276</v>
      </c>
      <c r="Y2091" s="4" t="s">
        <v>2276</v>
      </c>
      <c r="Z2091" s="4" t="s">
        <v>2276</v>
      </c>
      <c r="AA2091" s="4" t="s">
        <v>2276</v>
      </c>
      <c r="AB2091" s="4" t="s">
        <v>2276</v>
      </c>
      <c r="AC2091" s="3"/>
      <c r="AD2091" s="3"/>
    </row>
    <row r="2092" spans="1:30" ht="36" customHeight="1">
      <c r="A2092" s="11" t="s">
        <v>5932</v>
      </c>
      <c r="B2092" s="11" t="s">
        <v>5935</v>
      </c>
      <c r="C2092" s="3" t="s">
        <v>24</v>
      </c>
      <c r="D2092" s="3" t="s">
        <v>2341</v>
      </c>
      <c r="E2092" s="3" t="s">
        <v>116</v>
      </c>
      <c r="F2092" s="4" t="s">
        <v>2662</v>
      </c>
      <c r="G2092" s="3" t="s">
        <v>2276</v>
      </c>
      <c r="H2092" s="3" t="s">
        <v>523</v>
      </c>
      <c r="I2092" s="3"/>
      <c r="J2092" s="4" t="s">
        <v>2276</v>
      </c>
      <c r="K2092" s="4" t="s">
        <v>2276</v>
      </c>
      <c r="L2092" s="4" t="s">
        <v>2276</v>
      </c>
      <c r="M2092" s="4" t="s">
        <v>2276</v>
      </c>
      <c r="N2092" s="4" t="s">
        <v>2276</v>
      </c>
      <c r="O2092" s="4" t="s">
        <v>2276</v>
      </c>
      <c r="P2092" s="4" t="s">
        <v>2276</v>
      </c>
      <c r="Q2092" s="4" t="s">
        <v>2276</v>
      </c>
      <c r="R2092" s="4" t="s">
        <v>2276</v>
      </c>
      <c r="S2092" s="4" t="s">
        <v>2276</v>
      </c>
      <c r="T2092" s="4" t="s">
        <v>2276</v>
      </c>
      <c r="U2092" s="4" t="s">
        <v>2276</v>
      </c>
      <c r="V2092" s="4" t="s">
        <v>2276</v>
      </c>
      <c r="W2092" s="4" t="s">
        <v>2276</v>
      </c>
      <c r="X2092" s="4" t="s">
        <v>2276</v>
      </c>
      <c r="Y2092" s="4" t="s">
        <v>2276</v>
      </c>
      <c r="Z2092" s="4" t="s">
        <v>2276</v>
      </c>
      <c r="AA2092" s="4" t="s">
        <v>2276</v>
      </c>
      <c r="AB2092" s="4" t="s">
        <v>2276</v>
      </c>
      <c r="AC2092" s="3"/>
      <c r="AD2092" s="3"/>
    </row>
    <row r="2093" spans="1:30" ht="32" customHeight="1">
      <c r="A2093" s="11" t="s">
        <v>5932</v>
      </c>
      <c r="B2093" s="11" t="s">
        <v>5936</v>
      </c>
      <c r="C2093" s="3" t="s">
        <v>24</v>
      </c>
      <c r="D2093" s="3" t="s">
        <v>1242</v>
      </c>
      <c r="E2093" s="3" t="s">
        <v>116</v>
      </c>
      <c r="F2093" s="4" t="s">
        <v>2662</v>
      </c>
      <c r="G2093" s="3" t="s">
        <v>2276</v>
      </c>
      <c r="H2093" s="3" t="s">
        <v>523</v>
      </c>
      <c r="I2093" s="3"/>
      <c r="J2093" s="4" t="s">
        <v>2276</v>
      </c>
      <c r="K2093" s="4" t="s">
        <v>2276</v>
      </c>
      <c r="L2093" s="4" t="s">
        <v>2276</v>
      </c>
      <c r="M2093" s="4" t="s">
        <v>2276</v>
      </c>
      <c r="N2093" s="4" t="s">
        <v>2276</v>
      </c>
      <c r="O2093" s="4" t="s">
        <v>2276</v>
      </c>
      <c r="P2093" s="4" t="s">
        <v>2276</v>
      </c>
      <c r="Q2093" s="4" t="s">
        <v>2276</v>
      </c>
      <c r="R2093" s="4" t="s">
        <v>2276</v>
      </c>
      <c r="S2093" s="4" t="s">
        <v>2276</v>
      </c>
      <c r="T2093" s="4" t="s">
        <v>2276</v>
      </c>
      <c r="U2093" s="4" t="s">
        <v>2276</v>
      </c>
      <c r="V2093" s="4" t="s">
        <v>2276</v>
      </c>
      <c r="W2093" s="4" t="s">
        <v>2276</v>
      </c>
      <c r="X2093" s="4" t="s">
        <v>2276</v>
      </c>
      <c r="Y2093" s="4" t="s">
        <v>2276</v>
      </c>
      <c r="Z2093" s="4" t="s">
        <v>2276</v>
      </c>
      <c r="AA2093" s="4" t="s">
        <v>2276</v>
      </c>
      <c r="AB2093" s="4" t="s">
        <v>2276</v>
      </c>
      <c r="AC2093" s="3"/>
      <c r="AD2093" s="3"/>
    </row>
    <row r="2094" spans="1:30" ht="30.5" customHeight="1">
      <c r="A2094" s="11" t="s">
        <v>5932</v>
      </c>
      <c r="B2094" s="11" t="s">
        <v>5937</v>
      </c>
      <c r="C2094" s="3" t="s">
        <v>24</v>
      </c>
      <c r="D2094" s="3" t="s">
        <v>406</v>
      </c>
      <c r="E2094" s="3" t="s">
        <v>116</v>
      </c>
      <c r="F2094" s="4" t="s">
        <v>2662</v>
      </c>
      <c r="G2094" s="3" t="s">
        <v>2276</v>
      </c>
      <c r="H2094" s="3" t="s">
        <v>523</v>
      </c>
      <c r="I2094" s="3"/>
      <c r="J2094" s="4" t="s">
        <v>2276</v>
      </c>
      <c r="K2094" s="4" t="s">
        <v>2276</v>
      </c>
      <c r="L2094" s="4" t="s">
        <v>2276</v>
      </c>
      <c r="M2094" s="4" t="s">
        <v>2276</v>
      </c>
      <c r="N2094" s="4" t="s">
        <v>2276</v>
      </c>
      <c r="O2094" s="4" t="s">
        <v>2276</v>
      </c>
      <c r="P2094" s="4" t="s">
        <v>2276</v>
      </c>
      <c r="Q2094" s="4" t="s">
        <v>2276</v>
      </c>
      <c r="R2094" s="4" t="s">
        <v>2276</v>
      </c>
      <c r="S2094" s="4" t="s">
        <v>2276</v>
      </c>
      <c r="T2094" s="4" t="s">
        <v>2276</v>
      </c>
      <c r="U2094" s="4" t="s">
        <v>2276</v>
      </c>
      <c r="V2094" s="4" t="s">
        <v>2276</v>
      </c>
      <c r="W2094" s="4" t="s">
        <v>2276</v>
      </c>
      <c r="X2094" s="4" t="s">
        <v>2276</v>
      </c>
      <c r="Y2094" s="4" t="s">
        <v>2276</v>
      </c>
      <c r="Z2094" s="4" t="s">
        <v>2276</v>
      </c>
      <c r="AA2094" s="4" t="s">
        <v>2276</v>
      </c>
      <c r="AB2094" s="4" t="s">
        <v>2276</v>
      </c>
      <c r="AC2094" s="3"/>
      <c r="AD2094" s="3"/>
    </row>
    <row r="2095" spans="1:30" ht="31" customHeight="1">
      <c r="A2095" s="11" t="s">
        <v>5932</v>
      </c>
      <c r="B2095" s="11" t="s">
        <v>5938</v>
      </c>
      <c r="C2095" s="3" t="s">
        <v>24</v>
      </c>
      <c r="D2095" s="3" t="s">
        <v>144</v>
      </c>
      <c r="E2095" s="3" t="s">
        <v>116</v>
      </c>
      <c r="F2095" s="4" t="s">
        <v>2662</v>
      </c>
      <c r="G2095" s="3" t="s">
        <v>2276</v>
      </c>
      <c r="H2095" s="3" t="s">
        <v>523</v>
      </c>
      <c r="I2095" s="3"/>
      <c r="J2095" s="4" t="s">
        <v>2276</v>
      </c>
      <c r="K2095" s="4" t="s">
        <v>2276</v>
      </c>
      <c r="L2095" s="4" t="s">
        <v>2276</v>
      </c>
      <c r="M2095" s="4" t="s">
        <v>2276</v>
      </c>
      <c r="N2095" s="4" t="s">
        <v>2276</v>
      </c>
      <c r="O2095" s="4" t="s">
        <v>2276</v>
      </c>
      <c r="P2095" s="4" t="s">
        <v>2276</v>
      </c>
      <c r="Q2095" s="4" t="s">
        <v>2276</v>
      </c>
      <c r="R2095" s="4" t="s">
        <v>2276</v>
      </c>
      <c r="S2095" s="4" t="s">
        <v>2276</v>
      </c>
      <c r="T2095" s="4" t="s">
        <v>2276</v>
      </c>
      <c r="U2095" s="4" t="s">
        <v>2276</v>
      </c>
      <c r="V2095" s="4" t="s">
        <v>2276</v>
      </c>
      <c r="W2095" s="4" t="s">
        <v>2276</v>
      </c>
      <c r="X2095" s="4" t="s">
        <v>2276</v>
      </c>
      <c r="Y2095" s="4" t="s">
        <v>2276</v>
      </c>
      <c r="Z2095" s="4" t="s">
        <v>2276</v>
      </c>
      <c r="AA2095" s="4" t="s">
        <v>2276</v>
      </c>
      <c r="AB2095" s="4" t="s">
        <v>2276</v>
      </c>
      <c r="AC2095" s="3"/>
      <c r="AD2095" s="3"/>
    </row>
    <row r="2096" spans="1:30" ht="29">
      <c r="A2096" s="11" t="s">
        <v>5932</v>
      </c>
      <c r="B2096" s="11" t="s">
        <v>5946</v>
      </c>
      <c r="C2096" s="3" t="s">
        <v>24</v>
      </c>
      <c r="D2096" s="3" t="s">
        <v>2346</v>
      </c>
      <c r="E2096" s="3" t="s">
        <v>116</v>
      </c>
      <c r="F2096" s="4" t="s">
        <v>2662</v>
      </c>
      <c r="G2096" s="3" t="s">
        <v>2276</v>
      </c>
      <c r="H2096" s="3" t="s">
        <v>523</v>
      </c>
      <c r="I2096" s="3"/>
      <c r="J2096" s="4" t="s">
        <v>2276</v>
      </c>
      <c r="K2096" s="4" t="s">
        <v>2276</v>
      </c>
      <c r="L2096" s="4" t="s">
        <v>2276</v>
      </c>
      <c r="M2096" s="4" t="s">
        <v>2276</v>
      </c>
      <c r="N2096" s="4" t="s">
        <v>2276</v>
      </c>
      <c r="O2096" s="4" t="s">
        <v>2276</v>
      </c>
      <c r="P2096" s="4" t="s">
        <v>2276</v>
      </c>
      <c r="Q2096" s="4" t="s">
        <v>2276</v>
      </c>
      <c r="R2096" s="4" t="s">
        <v>2276</v>
      </c>
      <c r="S2096" s="4" t="s">
        <v>2276</v>
      </c>
      <c r="T2096" s="4" t="s">
        <v>2276</v>
      </c>
      <c r="U2096" s="4" t="s">
        <v>2276</v>
      </c>
      <c r="V2096" s="4" t="s">
        <v>2276</v>
      </c>
      <c r="W2096" s="4" t="s">
        <v>2276</v>
      </c>
      <c r="X2096" s="4" t="s">
        <v>2276</v>
      </c>
      <c r="Y2096" s="4" t="s">
        <v>2276</v>
      </c>
      <c r="Z2096" s="4" t="s">
        <v>2276</v>
      </c>
      <c r="AA2096" s="4" t="s">
        <v>2276</v>
      </c>
      <c r="AB2096" s="4" t="s">
        <v>2276</v>
      </c>
      <c r="AC2096" s="3"/>
      <c r="AD2096" s="3"/>
    </row>
    <row r="2097" spans="1:30" ht="29">
      <c r="A2097" s="11" t="s">
        <v>5932</v>
      </c>
      <c r="B2097" s="11" t="s">
        <v>5947</v>
      </c>
      <c r="C2097" s="3" t="s">
        <v>24</v>
      </c>
      <c r="D2097" s="3" t="s">
        <v>27</v>
      </c>
      <c r="E2097" s="3" t="s">
        <v>130</v>
      </c>
      <c r="F2097" s="4" t="s">
        <v>2662</v>
      </c>
      <c r="G2097" s="3" t="s">
        <v>2276</v>
      </c>
      <c r="H2097" s="3" t="s">
        <v>523</v>
      </c>
      <c r="I2097" s="3"/>
      <c r="J2097" s="4" t="s">
        <v>2276</v>
      </c>
      <c r="K2097" s="4" t="s">
        <v>2276</v>
      </c>
      <c r="L2097" s="4" t="s">
        <v>2276</v>
      </c>
      <c r="M2097" s="4" t="s">
        <v>2276</v>
      </c>
      <c r="N2097" s="4" t="s">
        <v>2276</v>
      </c>
      <c r="O2097" s="4" t="s">
        <v>2276</v>
      </c>
      <c r="P2097" s="4" t="s">
        <v>2276</v>
      </c>
      <c r="Q2097" s="4" t="s">
        <v>2276</v>
      </c>
      <c r="R2097" s="4" t="s">
        <v>2276</v>
      </c>
      <c r="S2097" s="4" t="s">
        <v>2276</v>
      </c>
      <c r="T2097" s="4" t="s">
        <v>2276</v>
      </c>
      <c r="U2097" s="4" t="s">
        <v>2276</v>
      </c>
      <c r="V2097" s="4" t="s">
        <v>2276</v>
      </c>
      <c r="W2097" s="4" t="s">
        <v>2276</v>
      </c>
      <c r="X2097" s="4" t="s">
        <v>2276</v>
      </c>
      <c r="Y2097" s="4" t="s">
        <v>2276</v>
      </c>
      <c r="Z2097" s="4" t="s">
        <v>2276</v>
      </c>
      <c r="AA2097" s="4" t="s">
        <v>2276</v>
      </c>
      <c r="AB2097" s="4" t="s">
        <v>2276</v>
      </c>
      <c r="AC2097" s="3"/>
      <c r="AD2097" s="3"/>
    </row>
    <row r="2098" spans="1:30" ht="30" customHeight="1">
      <c r="A2098" s="11" t="s">
        <v>5949</v>
      </c>
      <c r="B2098" s="11" t="s">
        <v>5954</v>
      </c>
      <c r="C2098" s="3" t="s">
        <v>24</v>
      </c>
      <c r="D2098" s="3" t="s">
        <v>2346</v>
      </c>
      <c r="E2098" s="3" t="s">
        <v>130</v>
      </c>
      <c r="F2098" s="4" t="s">
        <v>28</v>
      </c>
      <c r="G2098" s="3" t="s">
        <v>2276</v>
      </c>
      <c r="H2098" s="3" t="s">
        <v>523</v>
      </c>
      <c r="I2098" s="3">
        <v>2011</v>
      </c>
      <c r="J2098" s="4" t="s">
        <v>2276</v>
      </c>
      <c r="K2098" s="4" t="s">
        <v>2276</v>
      </c>
      <c r="L2098" s="4" t="s">
        <v>2276</v>
      </c>
      <c r="M2098" s="4" t="s">
        <v>2276</v>
      </c>
      <c r="N2098" s="4" t="s">
        <v>2276</v>
      </c>
      <c r="O2098" s="4" t="s">
        <v>2276</v>
      </c>
      <c r="P2098" s="4" t="s">
        <v>2276</v>
      </c>
      <c r="Q2098" s="4" t="s">
        <v>2276</v>
      </c>
      <c r="R2098" s="4" t="s">
        <v>2276</v>
      </c>
      <c r="S2098" s="4" t="s">
        <v>2276</v>
      </c>
      <c r="T2098" s="4" t="s">
        <v>2276</v>
      </c>
      <c r="U2098" s="4" t="s">
        <v>2276</v>
      </c>
      <c r="V2098" s="4" t="s">
        <v>2276</v>
      </c>
      <c r="W2098" s="4" t="s">
        <v>2276</v>
      </c>
      <c r="X2098" s="4" t="s">
        <v>2276</v>
      </c>
      <c r="Y2098" s="4" t="s">
        <v>2276</v>
      </c>
      <c r="Z2098" s="4" t="s">
        <v>2276</v>
      </c>
      <c r="AA2098" s="4" t="s">
        <v>2276</v>
      </c>
      <c r="AB2098" s="4" t="s">
        <v>2276</v>
      </c>
      <c r="AC2098" s="3"/>
      <c r="AD2098" s="3"/>
    </row>
    <row r="2099" spans="1:30" ht="31" customHeight="1">
      <c r="A2099" s="11" t="s">
        <v>5956</v>
      </c>
      <c r="B2099" s="11" t="s">
        <v>5957</v>
      </c>
      <c r="C2099" s="3" t="s">
        <v>24</v>
      </c>
      <c r="D2099" s="3" t="s">
        <v>144</v>
      </c>
      <c r="E2099" s="3" t="s">
        <v>137</v>
      </c>
      <c r="F2099" s="4" t="s">
        <v>74</v>
      </c>
      <c r="G2099" s="3" t="s">
        <v>2276</v>
      </c>
      <c r="H2099" s="3" t="s">
        <v>523</v>
      </c>
      <c r="I2099" s="3"/>
      <c r="J2099" s="4" t="s">
        <v>2276</v>
      </c>
      <c r="K2099" s="4" t="s">
        <v>2276</v>
      </c>
      <c r="L2099" s="4" t="s">
        <v>2276</v>
      </c>
      <c r="M2099" s="4" t="s">
        <v>2276</v>
      </c>
      <c r="N2099" s="4" t="s">
        <v>2276</v>
      </c>
      <c r="O2099" s="4" t="s">
        <v>2276</v>
      </c>
      <c r="P2099" s="4" t="s">
        <v>2276</v>
      </c>
      <c r="Q2099" s="4" t="s">
        <v>2276</v>
      </c>
      <c r="R2099" s="4" t="s">
        <v>2276</v>
      </c>
      <c r="S2099" s="4" t="s">
        <v>2276</v>
      </c>
      <c r="T2099" s="4" t="s">
        <v>2276</v>
      </c>
      <c r="U2099" s="4" t="s">
        <v>2276</v>
      </c>
      <c r="V2099" s="4" t="s">
        <v>2276</v>
      </c>
      <c r="W2099" s="4" t="s">
        <v>2276</v>
      </c>
      <c r="X2099" s="4" t="s">
        <v>2276</v>
      </c>
      <c r="Y2099" s="4" t="s">
        <v>2276</v>
      </c>
      <c r="Z2099" s="4" t="s">
        <v>2276</v>
      </c>
      <c r="AA2099" s="4" t="s">
        <v>2276</v>
      </c>
      <c r="AB2099" s="4" t="s">
        <v>2276</v>
      </c>
      <c r="AC2099" s="4" t="s">
        <v>5962</v>
      </c>
      <c r="AD2099" s="3"/>
    </row>
    <row r="2100" spans="1:30" ht="31" customHeight="1">
      <c r="A2100" s="11" t="s">
        <v>5956</v>
      </c>
      <c r="B2100" s="11" t="s">
        <v>5960</v>
      </c>
      <c r="C2100" s="3" t="s">
        <v>24</v>
      </c>
      <c r="D2100" s="3" t="s">
        <v>144</v>
      </c>
      <c r="E2100" s="3" t="s">
        <v>116</v>
      </c>
      <c r="F2100" s="4" t="s">
        <v>74</v>
      </c>
      <c r="G2100" s="3" t="s">
        <v>2276</v>
      </c>
      <c r="H2100" s="3" t="s">
        <v>523</v>
      </c>
      <c r="I2100" s="3"/>
      <c r="J2100" s="4" t="s">
        <v>2276</v>
      </c>
      <c r="K2100" s="4" t="s">
        <v>2276</v>
      </c>
      <c r="L2100" s="4" t="s">
        <v>2276</v>
      </c>
      <c r="M2100" s="4" t="s">
        <v>2276</v>
      </c>
      <c r="N2100" s="4" t="s">
        <v>2276</v>
      </c>
      <c r="O2100" s="4" t="s">
        <v>2276</v>
      </c>
      <c r="P2100" s="4" t="s">
        <v>2276</v>
      </c>
      <c r="Q2100" s="4" t="s">
        <v>2276</v>
      </c>
      <c r="R2100" s="4" t="s">
        <v>2276</v>
      </c>
      <c r="S2100" s="4" t="s">
        <v>2276</v>
      </c>
      <c r="T2100" s="4" t="s">
        <v>2276</v>
      </c>
      <c r="U2100" s="4" t="s">
        <v>2276</v>
      </c>
      <c r="V2100" s="4" t="s">
        <v>2276</v>
      </c>
      <c r="W2100" s="4" t="s">
        <v>2276</v>
      </c>
      <c r="X2100" s="4" t="s">
        <v>2276</v>
      </c>
      <c r="Y2100" s="4" t="s">
        <v>2276</v>
      </c>
      <c r="Z2100" s="4" t="s">
        <v>2276</v>
      </c>
      <c r="AA2100" s="4" t="s">
        <v>2276</v>
      </c>
      <c r="AB2100" s="4" t="s">
        <v>2276</v>
      </c>
      <c r="AC2100" s="4" t="s">
        <v>5962</v>
      </c>
      <c r="AD2100" s="3"/>
    </row>
    <row r="2101" spans="1:30" ht="31" customHeight="1">
      <c r="A2101" s="11" t="s">
        <v>5956</v>
      </c>
      <c r="B2101" s="11" t="s">
        <v>5961</v>
      </c>
      <c r="C2101" s="3" t="s">
        <v>24</v>
      </c>
      <c r="D2101" s="3" t="s">
        <v>3480</v>
      </c>
      <c r="E2101" s="3" t="s">
        <v>116</v>
      </c>
      <c r="F2101" s="4" t="s">
        <v>74</v>
      </c>
      <c r="G2101" s="3" t="s">
        <v>2276</v>
      </c>
      <c r="H2101" s="3" t="s">
        <v>523</v>
      </c>
      <c r="I2101" s="3"/>
      <c r="J2101" s="4" t="s">
        <v>2276</v>
      </c>
      <c r="K2101" s="4" t="s">
        <v>2276</v>
      </c>
      <c r="L2101" s="4" t="s">
        <v>2276</v>
      </c>
      <c r="M2101" s="4" t="s">
        <v>2276</v>
      </c>
      <c r="N2101" s="4" t="s">
        <v>2276</v>
      </c>
      <c r="O2101" s="4" t="s">
        <v>2276</v>
      </c>
      <c r="P2101" s="4" t="s">
        <v>2276</v>
      </c>
      <c r="Q2101" s="4" t="s">
        <v>2276</v>
      </c>
      <c r="R2101" s="4" t="s">
        <v>2276</v>
      </c>
      <c r="S2101" s="4" t="s">
        <v>2276</v>
      </c>
      <c r="T2101" s="4" t="s">
        <v>2276</v>
      </c>
      <c r="U2101" s="4" t="s">
        <v>2276</v>
      </c>
      <c r="V2101" s="4" t="s">
        <v>2276</v>
      </c>
      <c r="W2101" s="4" t="s">
        <v>2276</v>
      </c>
      <c r="X2101" s="4" t="s">
        <v>2276</v>
      </c>
      <c r="Y2101" s="4" t="s">
        <v>2276</v>
      </c>
      <c r="Z2101" s="4" t="s">
        <v>2276</v>
      </c>
      <c r="AA2101" s="4" t="s">
        <v>2276</v>
      </c>
      <c r="AB2101" s="4" t="s">
        <v>2276</v>
      </c>
      <c r="AC2101" s="4" t="s">
        <v>5962</v>
      </c>
      <c r="AD2101" s="3"/>
    </row>
    <row r="2102" spans="1:30" ht="35.5" customHeight="1">
      <c r="A2102" s="11" t="s">
        <v>5969</v>
      </c>
      <c r="B2102" s="11" t="s">
        <v>5971</v>
      </c>
      <c r="C2102" s="3" t="s">
        <v>24</v>
      </c>
      <c r="D2102" s="3" t="s">
        <v>143</v>
      </c>
      <c r="E2102" s="3" t="s">
        <v>84</v>
      </c>
      <c r="F2102" s="4" t="s">
        <v>74</v>
      </c>
      <c r="G2102" s="3" t="s">
        <v>2276</v>
      </c>
      <c r="H2102" s="3" t="s">
        <v>523</v>
      </c>
      <c r="I2102" s="3"/>
      <c r="J2102" s="4" t="s">
        <v>2276</v>
      </c>
      <c r="K2102" s="4" t="s">
        <v>2276</v>
      </c>
      <c r="L2102" s="4" t="s">
        <v>2276</v>
      </c>
      <c r="M2102" s="4" t="s">
        <v>2276</v>
      </c>
      <c r="N2102" s="4" t="s">
        <v>2276</v>
      </c>
      <c r="O2102" s="4" t="s">
        <v>2276</v>
      </c>
      <c r="P2102" s="4" t="s">
        <v>2276</v>
      </c>
      <c r="Q2102" s="4" t="s">
        <v>2276</v>
      </c>
      <c r="R2102" s="4" t="s">
        <v>2276</v>
      </c>
      <c r="S2102" s="4" t="s">
        <v>2276</v>
      </c>
      <c r="T2102" s="4" t="s">
        <v>2276</v>
      </c>
      <c r="U2102" s="4" t="s">
        <v>2276</v>
      </c>
      <c r="V2102" s="4" t="s">
        <v>2276</v>
      </c>
      <c r="W2102" s="4" t="s">
        <v>2276</v>
      </c>
      <c r="X2102" s="4" t="s">
        <v>2276</v>
      </c>
      <c r="Y2102" s="4" t="s">
        <v>2276</v>
      </c>
      <c r="Z2102" s="4" t="s">
        <v>2276</v>
      </c>
      <c r="AA2102" s="4" t="s">
        <v>2276</v>
      </c>
      <c r="AB2102" s="4" t="s">
        <v>2276</v>
      </c>
      <c r="AC2102" s="3"/>
      <c r="AD2102" s="3"/>
    </row>
    <row r="2103" spans="1:30" ht="34.5" customHeight="1">
      <c r="A2103" s="11" t="s">
        <v>5969</v>
      </c>
      <c r="B2103" s="11" t="s">
        <v>5972</v>
      </c>
      <c r="C2103" s="3" t="s">
        <v>24</v>
      </c>
      <c r="D2103" s="3" t="s">
        <v>143</v>
      </c>
      <c r="E2103" s="4" t="s">
        <v>396</v>
      </c>
      <c r="F2103" s="4" t="s">
        <v>74</v>
      </c>
      <c r="G2103" s="3" t="s">
        <v>2276</v>
      </c>
      <c r="H2103" s="3" t="s">
        <v>523</v>
      </c>
      <c r="I2103" s="3"/>
      <c r="J2103" s="4" t="s">
        <v>2276</v>
      </c>
      <c r="K2103" s="4" t="s">
        <v>2276</v>
      </c>
      <c r="L2103" s="4" t="s">
        <v>2276</v>
      </c>
      <c r="M2103" s="4" t="s">
        <v>2276</v>
      </c>
      <c r="N2103" s="4" t="s">
        <v>2276</v>
      </c>
      <c r="O2103" s="4" t="s">
        <v>2276</v>
      </c>
      <c r="P2103" s="4" t="s">
        <v>2276</v>
      </c>
      <c r="Q2103" s="4" t="s">
        <v>2276</v>
      </c>
      <c r="R2103" s="4" t="s">
        <v>2276</v>
      </c>
      <c r="S2103" s="4" t="s">
        <v>2276</v>
      </c>
      <c r="T2103" s="4" t="s">
        <v>2276</v>
      </c>
      <c r="U2103" s="4" t="s">
        <v>2276</v>
      </c>
      <c r="V2103" s="4" t="s">
        <v>2276</v>
      </c>
      <c r="W2103" s="4" t="s">
        <v>2276</v>
      </c>
      <c r="X2103" s="4" t="s">
        <v>2276</v>
      </c>
      <c r="Y2103" s="4" t="s">
        <v>2276</v>
      </c>
      <c r="Z2103" s="4" t="s">
        <v>2276</v>
      </c>
      <c r="AA2103" s="4" t="s">
        <v>2276</v>
      </c>
      <c r="AB2103" s="4" t="s">
        <v>2276</v>
      </c>
      <c r="AC2103" s="3"/>
      <c r="AD2103" s="3"/>
    </row>
    <row r="2104" spans="1:30" ht="44" customHeight="1">
      <c r="A2104" s="11" t="s">
        <v>5969</v>
      </c>
      <c r="B2104" s="11" t="s">
        <v>5973</v>
      </c>
      <c r="C2104" s="3" t="s">
        <v>24</v>
      </c>
      <c r="D2104" s="3" t="s">
        <v>143</v>
      </c>
      <c r="E2104" s="3" t="s">
        <v>130</v>
      </c>
      <c r="F2104" s="4" t="s">
        <v>74</v>
      </c>
      <c r="G2104" s="3" t="s">
        <v>2276</v>
      </c>
      <c r="H2104" s="3" t="s">
        <v>523</v>
      </c>
      <c r="I2104" s="3"/>
      <c r="J2104" s="4" t="s">
        <v>2276</v>
      </c>
      <c r="K2104" s="4" t="s">
        <v>2276</v>
      </c>
      <c r="L2104" s="4" t="s">
        <v>2276</v>
      </c>
      <c r="M2104" s="4" t="s">
        <v>2276</v>
      </c>
      <c r="N2104" s="4" t="s">
        <v>2276</v>
      </c>
      <c r="O2104" s="4" t="s">
        <v>2276</v>
      </c>
      <c r="P2104" s="4" t="s">
        <v>2276</v>
      </c>
      <c r="Q2104" s="4" t="s">
        <v>2276</v>
      </c>
      <c r="R2104" s="4" t="s">
        <v>2276</v>
      </c>
      <c r="S2104" s="4" t="s">
        <v>2276</v>
      </c>
      <c r="T2104" s="4" t="s">
        <v>2276</v>
      </c>
      <c r="U2104" s="4" t="s">
        <v>2276</v>
      </c>
      <c r="V2104" s="4" t="s">
        <v>2276</v>
      </c>
      <c r="W2104" s="4" t="s">
        <v>2276</v>
      </c>
      <c r="X2104" s="4" t="s">
        <v>2276</v>
      </c>
      <c r="Y2104" s="4" t="s">
        <v>2276</v>
      </c>
      <c r="Z2104" s="4" t="s">
        <v>2276</v>
      </c>
      <c r="AA2104" s="4" t="s">
        <v>2276</v>
      </c>
      <c r="AB2104" s="4" t="s">
        <v>2276</v>
      </c>
      <c r="AC2104" s="3"/>
      <c r="AD2104" s="3"/>
    </row>
    <row r="2105" spans="1:30" ht="36.5" customHeight="1">
      <c r="A2105" s="11" t="s">
        <v>5969</v>
      </c>
      <c r="B2105" s="11" t="s">
        <v>5974</v>
      </c>
      <c r="C2105" s="3" t="s">
        <v>24</v>
      </c>
      <c r="D2105" s="3" t="s">
        <v>2346</v>
      </c>
      <c r="E2105" s="3" t="s">
        <v>130</v>
      </c>
      <c r="F2105" s="4" t="s">
        <v>28</v>
      </c>
      <c r="G2105" s="3" t="s">
        <v>2276</v>
      </c>
      <c r="H2105" s="3" t="s">
        <v>523</v>
      </c>
      <c r="I2105" s="3"/>
      <c r="J2105" s="4" t="s">
        <v>2276</v>
      </c>
      <c r="K2105" s="4" t="s">
        <v>2276</v>
      </c>
      <c r="L2105" s="4" t="s">
        <v>2276</v>
      </c>
      <c r="M2105" s="4" t="s">
        <v>2276</v>
      </c>
      <c r="N2105" s="4" t="s">
        <v>2276</v>
      </c>
      <c r="O2105" s="4" t="s">
        <v>2276</v>
      </c>
      <c r="P2105" s="4" t="s">
        <v>2276</v>
      </c>
      <c r="Q2105" s="4" t="s">
        <v>2276</v>
      </c>
      <c r="R2105" s="4" t="s">
        <v>2276</v>
      </c>
      <c r="S2105" s="4" t="s">
        <v>2276</v>
      </c>
      <c r="T2105" s="4" t="s">
        <v>2276</v>
      </c>
      <c r="U2105" s="4" t="s">
        <v>2276</v>
      </c>
      <c r="V2105" s="4" t="s">
        <v>2276</v>
      </c>
      <c r="W2105" s="4" t="s">
        <v>2276</v>
      </c>
      <c r="X2105" s="4" t="s">
        <v>2276</v>
      </c>
      <c r="Y2105" s="4" t="s">
        <v>2276</v>
      </c>
      <c r="Z2105" s="4" t="s">
        <v>2276</v>
      </c>
      <c r="AA2105" s="4" t="s">
        <v>2276</v>
      </c>
      <c r="AB2105" s="4" t="s">
        <v>2276</v>
      </c>
      <c r="AC2105" s="3"/>
      <c r="AD2105" s="3"/>
    </row>
    <row r="2106" spans="1:30" ht="36.5" customHeight="1">
      <c r="A2106" s="11" t="s">
        <v>5969</v>
      </c>
      <c r="B2106" s="11" t="s">
        <v>5975</v>
      </c>
      <c r="C2106" s="3" t="s">
        <v>24</v>
      </c>
      <c r="D2106" s="3" t="s">
        <v>2346</v>
      </c>
      <c r="E2106" s="4" t="s">
        <v>396</v>
      </c>
      <c r="F2106" s="4" t="s">
        <v>28</v>
      </c>
      <c r="G2106" s="3" t="s">
        <v>2276</v>
      </c>
      <c r="H2106" s="3" t="s">
        <v>523</v>
      </c>
      <c r="I2106" s="3"/>
      <c r="J2106" s="4" t="s">
        <v>2276</v>
      </c>
      <c r="K2106" s="4" t="s">
        <v>2276</v>
      </c>
      <c r="L2106" s="4" t="s">
        <v>2276</v>
      </c>
      <c r="M2106" s="4" t="s">
        <v>2276</v>
      </c>
      <c r="N2106" s="4" t="s">
        <v>2276</v>
      </c>
      <c r="O2106" s="4" t="s">
        <v>2276</v>
      </c>
      <c r="P2106" s="4" t="s">
        <v>2276</v>
      </c>
      <c r="Q2106" s="4" t="s">
        <v>2276</v>
      </c>
      <c r="R2106" s="4" t="s">
        <v>2276</v>
      </c>
      <c r="S2106" s="4" t="s">
        <v>2276</v>
      </c>
      <c r="T2106" s="4" t="s">
        <v>2276</v>
      </c>
      <c r="U2106" s="4" t="s">
        <v>2276</v>
      </c>
      <c r="V2106" s="4" t="s">
        <v>2276</v>
      </c>
      <c r="W2106" s="4" t="s">
        <v>2276</v>
      </c>
      <c r="X2106" s="4" t="s">
        <v>2276</v>
      </c>
      <c r="Y2106" s="4" t="s">
        <v>2276</v>
      </c>
      <c r="Z2106" s="4" t="s">
        <v>2276</v>
      </c>
      <c r="AA2106" s="4" t="s">
        <v>2276</v>
      </c>
      <c r="AB2106" s="4" t="s">
        <v>2276</v>
      </c>
      <c r="AC2106" s="3"/>
      <c r="AD2106" s="3"/>
    </row>
    <row r="2107" spans="1:30" ht="67" customHeight="1">
      <c r="A2107" s="11" t="s">
        <v>5982</v>
      </c>
      <c r="B2107" s="11" t="s">
        <v>5987</v>
      </c>
      <c r="C2107" s="3" t="s">
        <v>24</v>
      </c>
      <c r="D2107" s="3" t="s">
        <v>27</v>
      </c>
      <c r="E2107" s="3" t="s">
        <v>130</v>
      </c>
      <c r="F2107" s="4" t="s">
        <v>160</v>
      </c>
      <c r="G2107" s="3" t="s">
        <v>2276</v>
      </c>
      <c r="H2107" s="3" t="s">
        <v>523</v>
      </c>
      <c r="I2107" s="3"/>
      <c r="J2107" s="4" t="s">
        <v>2276</v>
      </c>
      <c r="K2107" s="4" t="s">
        <v>2276</v>
      </c>
      <c r="L2107" s="4" t="s">
        <v>2276</v>
      </c>
      <c r="M2107" s="4" t="s">
        <v>2276</v>
      </c>
      <c r="N2107" s="4" t="s">
        <v>2276</v>
      </c>
      <c r="O2107" s="4" t="s">
        <v>2276</v>
      </c>
      <c r="P2107" s="4" t="s">
        <v>2276</v>
      </c>
      <c r="Q2107" s="4" t="s">
        <v>2276</v>
      </c>
      <c r="R2107" s="4" t="s">
        <v>2276</v>
      </c>
      <c r="S2107" s="4" t="s">
        <v>2276</v>
      </c>
      <c r="T2107" s="4" t="s">
        <v>2276</v>
      </c>
      <c r="U2107" s="4" t="s">
        <v>2276</v>
      </c>
      <c r="V2107" s="4" t="s">
        <v>2276</v>
      </c>
      <c r="W2107" s="4" t="s">
        <v>2276</v>
      </c>
      <c r="X2107" s="4" t="s">
        <v>2276</v>
      </c>
      <c r="Y2107" s="4" t="s">
        <v>2276</v>
      </c>
      <c r="Z2107" s="3" t="s">
        <v>405</v>
      </c>
      <c r="AA2107" s="3" t="s">
        <v>405</v>
      </c>
      <c r="AB2107" s="3" t="s">
        <v>2655</v>
      </c>
      <c r="AC2107" s="4" t="s">
        <v>5990</v>
      </c>
      <c r="AD2107" s="3"/>
    </row>
    <row r="2108" spans="1:30" ht="67" customHeight="1">
      <c r="A2108" s="11" t="s">
        <v>5982</v>
      </c>
      <c r="B2108" s="11" t="s">
        <v>5988</v>
      </c>
      <c r="C2108" s="3" t="s">
        <v>24</v>
      </c>
      <c r="D2108" s="3" t="s">
        <v>27</v>
      </c>
      <c r="E2108" s="3" t="s">
        <v>2652</v>
      </c>
      <c r="F2108" s="4" t="s">
        <v>160</v>
      </c>
      <c r="G2108" s="3" t="s">
        <v>2276</v>
      </c>
      <c r="H2108" s="3" t="s">
        <v>523</v>
      </c>
      <c r="I2108" s="3"/>
      <c r="J2108" s="4" t="s">
        <v>2276</v>
      </c>
      <c r="K2108" s="4" t="s">
        <v>2276</v>
      </c>
      <c r="L2108" s="4" t="s">
        <v>2276</v>
      </c>
      <c r="M2108" s="4" t="s">
        <v>2276</v>
      </c>
      <c r="N2108" s="4" t="s">
        <v>2276</v>
      </c>
      <c r="O2108" s="4" t="s">
        <v>2276</v>
      </c>
      <c r="P2108" s="4" t="s">
        <v>2276</v>
      </c>
      <c r="Q2108" s="4" t="s">
        <v>2276</v>
      </c>
      <c r="R2108" s="4" t="s">
        <v>2276</v>
      </c>
      <c r="S2108" s="4" t="s">
        <v>2276</v>
      </c>
      <c r="T2108" s="4" t="s">
        <v>2276</v>
      </c>
      <c r="U2108" s="4" t="s">
        <v>2276</v>
      </c>
      <c r="V2108" s="4" t="s">
        <v>2276</v>
      </c>
      <c r="W2108" s="4" t="s">
        <v>2276</v>
      </c>
      <c r="X2108" s="4" t="s">
        <v>2276</v>
      </c>
      <c r="Y2108" s="4" t="s">
        <v>2276</v>
      </c>
      <c r="Z2108" s="3" t="s">
        <v>405</v>
      </c>
      <c r="AA2108" s="3" t="s">
        <v>405</v>
      </c>
      <c r="AB2108" s="3" t="s">
        <v>2655</v>
      </c>
      <c r="AC2108" s="4" t="s">
        <v>5991</v>
      </c>
      <c r="AD2108" s="3"/>
    </row>
    <row r="2109" spans="1:30" ht="52" customHeight="1">
      <c r="A2109" s="11" t="s">
        <v>5994</v>
      </c>
      <c r="B2109" s="11" t="s">
        <v>6001</v>
      </c>
      <c r="C2109" s="3" t="s">
        <v>24</v>
      </c>
      <c r="D2109" s="3" t="s">
        <v>1105</v>
      </c>
      <c r="E2109" s="3" t="s">
        <v>116</v>
      </c>
      <c r="F2109" s="4" t="s">
        <v>2662</v>
      </c>
      <c r="G2109" s="4" t="s">
        <v>2662</v>
      </c>
      <c r="H2109" s="3" t="s">
        <v>523</v>
      </c>
      <c r="I2109" s="3"/>
      <c r="J2109" s="4" t="s">
        <v>2276</v>
      </c>
      <c r="K2109" s="4" t="s">
        <v>2276</v>
      </c>
      <c r="L2109" s="21">
        <v>0.1</v>
      </c>
      <c r="M2109" s="4" t="s">
        <v>2276</v>
      </c>
      <c r="N2109" s="4" t="s">
        <v>2276</v>
      </c>
      <c r="O2109" s="4" t="s">
        <v>2276</v>
      </c>
      <c r="P2109" s="21">
        <v>326</v>
      </c>
      <c r="Q2109" s="4" t="s">
        <v>2276</v>
      </c>
      <c r="R2109" s="21">
        <v>4.0999999999999996</v>
      </c>
      <c r="S2109" s="4" t="s">
        <v>2276</v>
      </c>
      <c r="T2109" s="4" t="s">
        <v>2276</v>
      </c>
      <c r="U2109" s="4" t="s">
        <v>2276</v>
      </c>
      <c r="V2109" s="4" t="s">
        <v>2276</v>
      </c>
      <c r="W2109" s="4" t="s">
        <v>2276</v>
      </c>
      <c r="X2109" s="21">
        <v>4.2</v>
      </c>
      <c r="Y2109" s="4" t="s">
        <v>2276</v>
      </c>
      <c r="Z2109" s="3" t="s">
        <v>35</v>
      </c>
      <c r="AA2109" s="3" t="s">
        <v>86</v>
      </c>
      <c r="AB2109" s="3" t="s">
        <v>2276</v>
      </c>
      <c r="AC2109" s="3"/>
      <c r="AD2109" s="3"/>
    </row>
    <row r="2110" spans="1:30" ht="43.5" customHeight="1">
      <c r="A2110" s="11" t="s">
        <v>5994</v>
      </c>
      <c r="B2110" s="11" t="s">
        <v>6002</v>
      </c>
      <c r="C2110" s="3" t="s">
        <v>24</v>
      </c>
      <c r="D2110" s="3" t="s">
        <v>1105</v>
      </c>
      <c r="E2110" s="3" t="s">
        <v>116</v>
      </c>
      <c r="F2110" s="4" t="s">
        <v>2662</v>
      </c>
      <c r="G2110" s="4" t="s">
        <v>2662</v>
      </c>
      <c r="H2110" s="3" t="s">
        <v>523</v>
      </c>
      <c r="I2110" s="3"/>
      <c r="J2110" s="4" t="s">
        <v>2276</v>
      </c>
      <c r="K2110" s="4" t="s">
        <v>2276</v>
      </c>
      <c r="L2110" s="21">
        <v>0.1</v>
      </c>
      <c r="M2110" s="4" t="s">
        <v>2276</v>
      </c>
      <c r="N2110" s="4" t="s">
        <v>2276</v>
      </c>
      <c r="O2110" s="4" t="s">
        <v>2276</v>
      </c>
      <c r="P2110" s="21">
        <v>109</v>
      </c>
      <c r="Q2110" s="4" t="s">
        <v>2276</v>
      </c>
      <c r="R2110" s="21">
        <v>3.3</v>
      </c>
      <c r="S2110" s="4" t="s">
        <v>2276</v>
      </c>
      <c r="T2110" s="4" t="s">
        <v>2276</v>
      </c>
      <c r="U2110" s="4" t="s">
        <v>2276</v>
      </c>
      <c r="V2110" s="4" t="s">
        <v>2276</v>
      </c>
      <c r="W2110" s="4" t="s">
        <v>2276</v>
      </c>
      <c r="X2110" s="21">
        <v>4.2</v>
      </c>
      <c r="Y2110" s="4" t="s">
        <v>2276</v>
      </c>
      <c r="Z2110" s="3" t="s">
        <v>34</v>
      </c>
      <c r="AA2110" s="3" t="s">
        <v>68</v>
      </c>
      <c r="AB2110" s="3" t="s">
        <v>2276</v>
      </c>
      <c r="AC2110" s="3"/>
      <c r="AD2110" s="3"/>
    </row>
    <row r="2111" spans="1:30" ht="41" customHeight="1">
      <c r="A2111" s="11" t="s">
        <v>5994</v>
      </c>
      <c r="B2111" s="11" t="s">
        <v>6003</v>
      </c>
      <c r="C2111" s="3" t="s">
        <v>2458</v>
      </c>
      <c r="D2111" s="3" t="s">
        <v>1105</v>
      </c>
      <c r="E2111" s="3" t="s">
        <v>116</v>
      </c>
      <c r="F2111" s="4" t="s">
        <v>2662</v>
      </c>
      <c r="G2111" s="4" t="s">
        <v>2662</v>
      </c>
      <c r="H2111" s="3" t="s">
        <v>523</v>
      </c>
      <c r="I2111" s="3"/>
      <c r="J2111" s="4" t="s">
        <v>2276</v>
      </c>
      <c r="K2111" s="4" t="s">
        <v>2276</v>
      </c>
      <c r="L2111" s="4" t="s">
        <v>2276</v>
      </c>
      <c r="M2111" s="4" t="s">
        <v>2276</v>
      </c>
      <c r="N2111" s="4" t="s">
        <v>2276</v>
      </c>
      <c r="O2111" s="4" t="s">
        <v>2276</v>
      </c>
      <c r="P2111" s="4" t="s">
        <v>2276</v>
      </c>
      <c r="Q2111" s="4" t="s">
        <v>2276</v>
      </c>
      <c r="R2111" s="4" t="s">
        <v>2276</v>
      </c>
      <c r="S2111" s="4" t="s">
        <v>2276</v>
      </c>
      <c r="T2111" s="4" t="s">
        <v>2276</v>
      </c>
      <c r="U2111" s="4" t="s">
        <v>2276</v>
      </c>
      <c r="V2111" s="4" t="s">
        <v>2276</v>
      </c>
      <c r="W2111" s="4" t="s">
        <v>2276</v>
      </c>
      <c r="X2111" s="4" t="s">
        <v>2276</v>
      </c>
      <c r="Y2111" s="4" t="s">
        <v>2276</v>
      </c>
      <c r="Z2111" s="3" t="s">
        <v>2276</v>
      </c>
      <c r="AA2111" s="3" t="s">
        <v>2276</v>
      </c>
      <c r="AB2111" s="3" t="s">
        <v>2276</v>
      </c>
      <c r="AC2111" s="3"/>
      <c r="AD2111" s="3"/>
    </row>
    <row r="2112" spans="1:30" ht="41.5" customHeight="1">
      <c r="A2112" s="11" t="s">
        <v>5998</v>
      </c>
      <c r="B2112" s="11" t="s">
        <v>6005</v>
      </c>
      <c r="C2112" s="3" t="s">
        <v>2656</v>
      </c>
      <c r="D2112" s="3" t="s">
        <v>2276</v>
      </c>
      <c r="E2112" s="3" t="s">
        <v>2276</v>
      </c>
      <c r="F2112" s="3" t="s">
        <v>2276</v>
      </c>
      <c r="G2112" s="4" t="s">
        <v>2662</v>
      </c>
      <c r="H2112" s="3" t="s">
        <v>523</v>
      </c>
      <c r="I2112" s="3"/>
      <c r="J2112" s="4" t="s">
        <v>2276</v>
      </c>
      <c r="K2112" s="4" t="s">
        <v>2276</v>
      </c>
      <c r="L2112" s="4" t="s">
        <v>2276</v>
      </c>
      <c r="M2112" s="4" t="s">
        <v>2276</v>
      </c>
      <c r="N2112" s="4" t="s">
        <v>2276</v>
      </c>
      <c r="O2112" s="4" t="s">
        <v>2276</v>
      </c>
      <c r="P2112" s="21">
        <v>1910</v>
      </c>
      <c r="Q2112" s="3" t="s">
        <v>2276</v>
      </c>
      <c r="R2112" s="21">
        <v>46.9</v>
      </c>
      <c r="S2112" s="3" t="s">
        <v>2276</v>
      </c>
      <c r="T2112" s="3" t="s">
        <v>2276</v>
      </c>
      <c r="U2112" s="3" t="s">
        <v>2276</v>
      </c>
      <c r="V2112" s="3" t="s">
        <v>2276</v>
      </c>
      <c r="W2112" s="3" t="s">
        <v>2276</v>
      </c>
      <c r="X2112" s="21">
        <v>5.2</v>
      </c>
      <c r="Y2112" s="3" t="s">
        <v>2276</v>
      </c>
      <c r="Z2112" s="3" t="s">
        <v>35</v>
      </c>
      <c r="AA2112" s="3" t="s">
        <v>86</v>
      </c>
      <c r="AB2112" s="3" t="s">
        <v>2276</v>
      </c>
      <c r="AC2112" s="3"/>
      <c r="AD2112" s="3"/>
    </row>
    <row r="2113" spans="1:30" ht="47" customHeight="1">
      <c r="A2113" s="35" t="s">
        <v>5998</v>
      </c>
      <c r="B2113" s="35" t="s">
        <v>6006</v>
      </c>
      <c r="C2113" s="38" t="s">
        <v>2656</v>
      </c>
      <c r="D2113" s="38" t="s">
        <v>2276</v>
      </c>
      <c r="E2113" s="38" t="s">
        <v>2276</v>
      </c>
      <c r="F2113" s="38" t="s">
        <v>2276</v>
      </c>
      <c r="G2113" s="168" t="s">
        <v>2662</v>
      </c>
      <c r="H2113" s="38" t="s">
        <v>523</v>
      </c>
      <c r="I2113" s="38"/>
      <c r="J2113" s="168" t="s">
        <v>2276</v>
      </c>
      <c r="K2113" s="168" t="s">
        <v>2276</v>
      </c>
      <c r="L2113" s="168" t="s">
        <v>2276</v>
      </c>
      <c r="M2113" s="168" t="s">
        <v>2276</v>
      </c>
      <c r="N2113" s="168" t="s">
        <v>2276</v>
      </c>
      <c r="O2113" s="168" t="s">
        <v>2276</v>
      </c>
      <c r="P2113" s="73">
        <v>6255</v>
      </c>
      <c r="Q2113" s="38" t="s">
        <v>2276</v>
      </c>
      <c r="R2113" s="73">
        <v>16.899999999999999</v>
      </c>
      <c r="S2113" s="38" t="s">
        <v>2276</v>
      </c>
      <c r="T2113" s="38" t="s">
        <v>2276</v>
      </c>
      <c r="U2113" s="38" t="s">
        <v>2276</v>
      </c>
      <c r="V2113" s="38" t="s">
        <v>2276</v>
      </c>
      <c r="W2113" s="38" t="s">
        <v>2276</v>
      </c>
      <c r="X2113" s="73">
        <v>5.2</v>
      </c>
      <c r="Y2113" s="38" t="s">
        <v>2276</v>
      </c>
      <c r="Z2113" s="38" t="s">
        <v>34</v>
      </c>
      <c r="AA2113" s="38" t="s">
        <v>68</v>
      </c>
      <c r="AB2113" s="38" t="s">
        <v>2276</v>
      </c>
      <c r="AC2113" s="3"/>
      <c r="AD2113" s="3"/>
    </row>
    <row r="2114" spans="1:30" ht="41" customHeight="1">
      <c r="A2114" s="11" t="s">
        <v>5994</v>
      </c>
      <c r="B2114" s="11" t="s">
        <v>6004</v>
      </c>
      <c r="C2114" s="3" t="s">
        <v>24</v>
      </c>
      <c r="D2114" s="3" t="s">
        <v>3480</v>
      </c>
      <c r="E2114" s="3" t="s">
        <v>116</v>
      </c>
      <c r="F2114" s="4" t="s">
        <v>2662</v>
      </c>
      <c r="G2114" s="4" t="s">
        <v>2662</v>
      </c>
      <c r="H2114" s="3" t="s">
        <v>523</v>
      </c>
      <c r="I2114" s="3"/>
      <c r="J2114" s="3" t="s">
        <v>2276</v>
      </c>
      <c r="K2114" s="3" t="s">
        <v>2276</v>
      </c>
      <c r="L2114" s="3" t="s">
        <v>2276</v>
      </c>
      <c r="M2114" s="3" t="s">
        <v>2276</v>
      </c>
      <c r="N2114" s="3" t="s">
        <v>2276</v>
      </c>
      <c r="O2114" s="3" t="s">
        <v>2276</v>
      </c>
      <c r="P2114" s="3" t="s">
        <v>2276</v>
      </c>
      <c r="Q2114" s="3" t="s">
        <v>2276</v>
      </c>
      <c r="R2114" s="3" t="s">
        <v>2276</v>
      </c>
      <c r="S2114" s="3" t="s">
        <v>2276</v>
      </c>
      <c r="T2114" s="3" t="s">
        <v>2276</v>
      </c>
      <c r="U2114" s="3" t="s">
        <v>2276</v>
      </c>
      <c r="V2114" s="3" t="s">
        <v>2276</v>
      </c>
      <c r="W2114" s="3" t="s">
        <v>2276</v>
      </c>
      <c r="X2114" s="3" t="s">
        <v>2276</v>
      </c>
      <c r="Y2114" s="3" t="s">
        <v>2276</v>
      </c>
      <c r="Z2114" s="3" t="s">
        <v>38</v>
      </c>
      <c r="AA2114" s="3" t="s">
        <v>425</v>
      </c>
      <c r="AB2114" s="3" t="s">
        <v>2276</v>
      </c>
      <c r="AC2114" s="3"/>
      <c r="AD2114" s="3"/>
    </row>
    <row r="2115" spans="1:30" ht="47.5" customHeight="1">
      <c r="A2115" s="11" t="s">
        <v>5994</v>
      </c>
      <c r="B2115" s="11" t="s">
        <v>6008</v>
      </c>
      <c r="C2115" s="3" t="s">
        <v>24</v>
      </c>
      <c r="D2115" s="3" t="s">
        <v>1245</v>
      </c>
      <c r="E2115" s="3" t="s">
        <v>116</v>
      </c>
      <c r="F2115" s="4" t="s">
        <v>2662</v>
      </c>
      <c r="G2115" s="4" t="s">
        <v>2662</v>
      </c>
      <c r="H2115" s="3" t="s">
        <v>523</v>
      </c>
      <c r="I2115" s="3"/>
      <c r="J2115" s="3" t="s">
        <v>2276</v>
      </c>
      <c r="K2115" s="3" t="s">
        <v>2276</v>
      </c>
      <c r="L2115" s="3" t="s">
        <v>2276</v>
      </c>
      <c r="M2115" s="3" t="s">
        <v>2276</v>
      </c>
      <c r="N2115" s="3" t="s">
        <v>2276</v>
      </c>
      <c r="O2115" s="3" t="s">
        <v>2276</v>
      </c>
      <c r="P2115" s="3" t="s">
        <v>2276</v>
      </c>
      <c r="Q2115" s="3" t="s">
        <v>2276</v>
      </c>
      <c r="R2115" s="3" t="s">
        <v>2276</v>
      </c>
      <c r="S2115" s="3" t="s">
        <v>2276</v>
      </c>
      <c r="T2115" s="3" t="s">
        <v>2276</v>
      </c>
      <c r="U2115" s="3" t="s">
        <v>2276</v>
      </c>
      <c r="V2115" s="3" t="s">
        <v>2276</v>
      </c>
      <c r="W2115" s="3" t="s">
        <v>2276</v>
      </c>
      <c r="X2115" s="3" t="s">
        <v>2276</v>
      </c>
      <c r="Y2115" s="3" t="s">
        <v>2276</v>
      </c>
      <c r="Z2115" s="3" t="s">
        <v>38</v>
      </c>
      <c r="AA2115" s="3" t="s">
        <v>425</v>
      </c>
      <c r="AB2115" s="3" t="s">
        <v>2276</v>
      </c>
      <c r="AC2115" s="3"/>
      <c r="AD2115" s="3"/>
    </row>
    <row r="2116" spans="1:30" ht="32.5" customHeight="1">
      <c r="A2116" s="11" t="s">
        <v>6000</v>
      </c>
      <c r="B2116" s="11" t="s">
        <v>6012</v>
      </c>
      <c r="C2116" s="3" t="s">
        <v>24</v>
      </c>
      <c r="D2116" s="3" t="s">
        <v>27</v>
      </c>
      <c r="E2116" s="3" t="s">
        <v>130</v>
      </c>
      <c r="F2116" s="4" t="s">
        <v>160</v>
      </c>
      <c r="G2116" s="3" t="s">
        <v>2276</v>
      </c>
      <c r="H2116" s="3" t="s">
        <v>523</v>
      </c>
      <c r="I2116" s="3"/>
      <c r="J2116" s="3" t="s">
        <v>2276</v>
      </c>
      <c r="K2116" s="3" t="s">
        <v>2276</v>
      </c>
      <c r="L2116" s="3" t="s">
        <v>2276</v>
      </c>
      <c r="M2116" s="3" t="s">
        <v>2276</v>
      </c>
      <c r="N2116" s="3" t="s">
        <v>2276</v>
      </c>
      <c r="O2116" s="3" t="s">
        <v>2276</v>
      </c>
      <c r="P2116" s="3" t="s">
        <v>2276</v>
      </c>
      <c r="Q2116" s="3" t="s">
        <v>2276</v>
      </c>
      <c r="R2116" s="3" t="s">
        <v>2276</v>
      </c>
      <c r="S2116" s="3" t="s">
        <v>2276</v>
      </c>
      <c r="T2116" s="3" t="s">
        <v>2276</v>
      </c>
      <c r="U2116" s="3" t="s">
        <v>2276</v>
      </c>
      <c r="V2116" s="3" t="s">
        <v>2276</v>
      </c>
      <c r="W2116" s="3" t="s">
        <v>2276</v>
      </c>
      <c r="X2116" s="3" t="s">
        <v>2276</v>
      </c>
      <c r="Y2116" s="3" t="s">
        <v>2276</v>
      </c>
      <c r="Z2116" s="3" t="s">
        <v>2276</v>
      </c>
      <c r="AA2116" s="3" t="s">
        <v>2276</v>
      </c>
      <c r="AB2116" s="3" t="s">
        <v>2276</v>
      </c>
      <c r="AC2116" s="3"/>
      <c r="AD2116" s="3"/>
    </row>
    <row r="2117" spans="1:30" ht="32.5" customHeight="1">
      <c r="A2117" s="11" t="s">
        <v>6000</v>
      </c>
      <c r="B2117" s="11" t="s">
        <v>6013</v>
      </c>
      <c r="C2117" s="3" t="s">
        <v>24</v>
      </c>
      <c r="D2117" s="3" t="s">
        <v>25</v>
      </c>
      <c r="E2117" s="3" t="s">
        <v>45</v>
      </c>
      <c r="F2117" s="4" t="s">
        <v>2662</v>
      </c>
      <c r="G2117" s="3" t="s">
        <v>2276</v>
      </c>
      <c r="H2117" s="3" t="s">
        <v>523</v>
      </c>
      <c r="I2117" s="3"/>
      <c r="J2117" s="3" t="s">
        <v>2276</v>
      </c>
      <c r="K2117" s="3" t="s">
        <v>2276</v>
      </c>
      <c r="L2117" s="3" t="s">
        <v>2276</v>
      </c>
      <c r="M2117" s="3" t="s">
        <v>2276</v>
      </c>
      <c r="N2117" s="3" t="s">
        <v>2276</v>
      </c>
      <c r="O2117" s="3" t="s">
        <v>2276</v>
      </c>
      <c r="P2117" s="3" t="s">
        <v>2276</v>
      </c>
      <c r="Q2117" s="3" t="s">
        <v>2276</v>
      </c>
      <c r="R2117" s="3" t="s">
        <v>2276</v>
      </c>
      <c r="S2117" s="3" t="s">
        <v>2276</v>
      </c>
      <c r="T2117" s="3" t="s">
        <v>2276</v>
      </c>
      <c r="U2117" s="3" t="s">
        <v>2276</v>
      </c>
      <c r="V2117" s="3" t="s">
        <v>2276</v>
      </c>
      <c r="W2117" s="3" t="s">
        <v>2276</v>
      </c>
      <c r="X2117" s="3" t="s">
        <v>2276</v>
      </c>
      <c r="Y2117" s="3" t="s">
        <v>2276</v>
      </c>
      <c r="Z2117" s="3" t="s">
        <v>2276</v>
      </c>
      <c r="AA2117" s="3" t="s">
        <v>2276</v>
      </c>
      <c r="AB2117" s="3" t="s">
        <v>2276</v>
      </c>
      <c r="AC2117" s="3"/>
      <c r="AD2117" s="3"/>
    </row>
    <row r="2118" spans="1:30" ht="33.5" customHeight="1">
      <c r="A2118" s="11" t="s">
        <v>6000</v>
      </c>
      <c r="B2118" s="11" t="s">
        <v>6014</v>
      </c>
      <c r="C2118" s="3" t="s">
        <v>24</v>
      </c>
      <c r="D2118" s="3" t="s">
        <v>25</v>
      </c>
      <c r="E2118" s="3" t="s">
        <v>45</v>
      </c>
      <c r="F2118" s="4" t="s">
        <v>29</v>
      </c>
      <c r="G2118" s="3" t="s">
        <v>2276</v>
      </c>
      <c r="H2118" s="3" t="s">
        <v>523</v>
      </c>
      <c r="I2118" s="3"/>
      <c r="J2118" s="3" t="s">
        <v>2276</v>
      </c>
      <c r="K2118" s="3" t="s">
        <v>2276</v>
      </c>
      <c r="L2118" s="3" t="s">
        <v>2276</v>
      </c>
      <c r="M2118" s="3" t="s">
        <v>2276</v>
      </c>
      <c r="N2118" s="3" t="s">
        <v>2276</v>
      </c>
      <c r="O2118" s="3" t="s">
        <v>2276</v>
      </c>
      <c r="P2118" s="3" t="s">
        <v>2276</v>
      </c>
      <c r="Q2118" s="3" t="s">
        <v>2276</v>
      </c>
      <c r="R2118" s="3" t="s">
        <v>2276</v>
      </c>
      <c r="S2118" s="3" t="s">
        <v>2276</v>
      </c>
      <c r="T2118" s="3" t="s">
        <v>2276</v>
      </c>
      <c r="U2118" s="3" t="s">
        <v>2276</v>
      </c>
      <c r="V2118" s="3" t="s">
        <v>2276</v>
      </c>
      <c r="W2118" s="3" t="s">
        <v>2276</v>
      </c>
      <c r="X2118" s="3" t="s">
        <v>2276</v>
      </c>
      <c r="Y2118" s="3" t="s">
        <v>2276</v>
      </c>
      <c r="Z2118" s="3" t="s">
        <v>2276</v>
      </c>
      <c r="AA2118" s="3" t="s">
        <v>2276</v>
      </c>
      <c r="AB2118" s="3" t="s">
        <v>2276</v>
      </c>
      <c r="AC2118" s="3"/>
      <c r="AD2118" s="3"/>
    </row>
    <row r="2119" spans="1:30" ht="41.5" customHeight="1">
      <c r="A2119" s="11" t="s">
        <v>6018</v>
      </c>
      <c r="B2119" s="11" t="s">
        <v>6021</v>
      </c>
      <c r="C2119" s="3" t="s">
        <v>24</v>
      </c>
      <c r="D2119" s="3" t="s">
        <v>3480</v>
      </c>
      <c r="E2119" s="3" t="s">
        <v>116</v>
      </c>
      <c r="F2119" s="4" t="s">
        <v>74</v>
      </c>
      <c r="G2119" s="3" t="s">
        <v>2276</v>
      </c>
      <c r="H2119" s="3" t="s">
        <v>523</v>
      </c>
      <c r="I2119" s="3">
        <v>1995</v>
      </c>
      <c r="J2119" s="3" t="s">
        <v>2276</v>
      </c>
      <c r="K2119" s="3" t="s">
        <v>2276</v>
      </c>
      <c r="L2119" s="3" t="s">
        <v>2276</v>
      </c>
      <c r="M2119" s="3" t="s">
        <v>2276</v>
      </c>
      <c r="N2119" s="3" t="s">
        <v>2276</v>
      </c>
      <c r="O2119" s="3" t="s">
        <v>2276</v>
      </c>
      <c r="P2119" s="3" t="s">
        <v>2276</v>
      </c>
      <c r="Q2119" s="3" t="s">
        <v>2276</v>
      </c>
      <c r="R2119" s="3" t="s">
        <v>2276</v>
      </c>
      <c r="S2119" s="3" t="s">
        <v>2276</v>
      </c>
      <c r="T2119" s="3" t="s">
        <v>2276</v>
      </c>
      <c r="U2119" s="3" t="s">
        <v>2276</v>
      </c>
      <c r="V2119" s="3" t="s">
        <v>2276</v>
      </c>
      <c r="W2119" s="3" t="s">
        <v>2276</v>
      </c>
      <c r="X2119" s="3" t="s">
        <v>2276</v>
      </c>
      <c r="Y2119" s="3" t="s">
        <v>2276</v>
      </c>
      <c r="Z2119" s="3" t="s">
        <v>2276</v>
      </c>
      <c r="AA2119" s="3" t="s">
        <v>2276</v>
      </c>
      <c r="AB2119" s="3" t="s">
        <v>2276</v>
      </c>
      <c r="AC2119" s="4" t="s">
        <v>6029</v>
      </c>
      <c r="AD2119" s="3"/>
    </row>
    <row r="2120" spans="1:30" ht="41.5" customHeight="1">
      <c r="A2120" s="11" t="s">
        <v>6018</v>
      </c>
      <c r="B2120" s="11" t="s">
        <v>6022</v>
      </c>
      <c r="C2120" s="3" t="s">
        <v>24</v>
      </c>
      <c r="D2120" s="3" t="s">
        <v>144</v>
      </c>
      <c r="E2120" s="3" t="s">
        <v>116</v>
      </c>
      <c r="F2120" s="4" t="s">
        <v>74</v>
      </c>
      <c r="G2120" s="3" t="s">
        <v>2276</v>
      </c>
      <c r="H2120" s="3" t="s">
        <v>523</v>
      </c>
      <c r="I2120" s="3">
        <v>1995</v>
      </c>
      <c r="J2120" s="3" t="s">
        <v>2276</v>
      </c>
      <c r="K2120" s="3" t="s">
        <v>2276</v>
      </c>
      <c r="L2120" s="3" t="s">
        <v>2276</v>
      </c>
      <c r="M2120" s="3" t="s">
        <v>2276</v>
      </c>
      <c r="N2120" s="3" t="s">
        <v>2276</v>
      </c>
      <c r="O2120" s="3" t="s">
        <v>2276</v>
      </c>
      <c r="P2120" s="3" t="s">
        <v>2276</v>
      </c>
      <c r="Q2120" s="3" t="s">
        <v>2276</v>
      </c>
      <c r="R2120" s="3" t="s">
        <v>2276</v>
      </c>
      <c r="S2120" s="3" t="s">
        <v>2276</v>
      </c>
      <c r="T2120" s="3" t="s">
        <v>2276</v>
      </c>
      <c r="U2120" s="3" t="s">
        <v>2276</v>
      </c>
      <c r="V2120" s="3" t="s">
        <v>2276</v>
      </c>
      <c r="W2120" s="3" t="s">
        <v>2276</v>
      </c>
      <c r="X2120" s="3" t="s">
        <v>2276</v>
      </c>
      <c r="Y2120" s="3" t="s">
        <v>2276</v>
      </c>
      <c r="Z2120" s="3" t="s">
        <v>2276</v>
      </c>
      <c r="AA2120" s="3" t="s">
        <v>2276</v>
      </c>
      <c r="AB2120" s="3" t="s">
        <v>2276</v>
      </c>
      <c r="AC2120" s="4" t="s">
        <v>6029</v>
      </c>
      <c r="AD2120" s="3"/>
    </row>
    <row r="2121" spans="1:30" ht="41.5" customHeight="1">
      <c r="A2121" s="11" t="s">
        <v>6018</v>
      </c>
      <c r="B2121" s="11" t="s">
        <v>6023</v>
      </c>
      <c r="C2121" s="3" t="s">
        <v>24</v>
      </c>
      <c r="D2121" s="3" t="s">
        <v>406</v>
      </c>
      <c r="E2121" s="3" t="s">
        <v>116</v>
      </c>
      <c r="F2121" s="4" t="s">
        <v>74</v>
      </c>
      <c r="G2121" s="3" t="s">
        <v>2276</v>
      </c>
      <c r="H2121" s="3" t="s">
        <v>523</v>
      </c>
      <c r="I2121" s="3">
        <v>1995</v>
      </c>
      <c r="J2121" s="3" t="s">
        <v>2276</v>
      </c>
      <c r="K2121" s="3" t="s">
        <v>2276</v>
      </c>
      <c r="L2121" s="3" t="s">
        <v>2276</v>
      </c>
      <c r="M2121" s="3" t="s">
        <v>2276</v>
      </c>
      <c r="N2121" s="3" t="s">
        <v>2276</v>
      </c>
      <c r="O2121" s="3" t="s">
        <v>2276</v>
      </c>
      <c r="P2121" s="3" t="s">
        <v>2276</v>
      </c>
      <c r="Q2121" s="3" t="s">
        <v>2276</v>
      </c>
      <c r="R2121" s="3" t="s">
        <v>2276</v>
      </c>
      <c r="S2121" s="3" t="s">
        <v>2276</v>
      </c>
      <c r="T2121" s="3" t="s">
        <v>2276</v>
      </c>
      <c r="U2121" s="3" t="s">
        <v>2276</v>
      </c>
      <c r="V2121" s="3" t="s">
        <v>2276</v>
      </c>
      <c r="W2121" s="3" t="s">
        <v>2276</v>
      </c>
      <c r="X2121" s="3" t="s">
        <v>2276</v>
      </c>
      <c r="Y2121" s="3" t="s">
        <v>2276</v>
      </c>
      <c r="Z2121" s="3" t="s">
        <v>2276</v>
      </c>
      <c r="AA2121" s="3" t="s">
        <v>2276</v>
      </c>
      <c r="AB2121" s="3" t="s">
        <v>2276</v>
      </c>
      <c r="AC2121" s="4" t="s">
        <v>6029</v>
      </c>
      <c r="AD2121" s="3"/>
    </row>
    <row r="2122" spans="1:30" ht="41.5" customHeight="1">
      <c r="A2122" s="11" t="s">
        <v>6018</v>
      </c>
      <c r="B2122" s="11" t="s">
        <v>6024</v>
      </c>
      <c r="C2122" s="3" t="s">
        <v>24</v>
      </c>
      <c r="D2122" s="3" t="s">
        <v>144</v>
      </c>
      <c r="E2122" s="3" t="s">
        <v>137</v>
      </c>
      <c r="F2122" s="4" t="s">
        <v>74</v>
      </c>
      <c r="G2122" s="3" t="s">
        <v>2276</v>
      </c>
      <c r="H2122" s="3" t="s">
        <v>523</v>
      </c>
      <c r="I2122" s="3">
        <v>1995</v>
      </c>
      <c r="J2122" s="3" t="s">
        <v>2276</v>
      </c>
      <c r="K2122" s="3" t="s">
        <v>2276</v>
      </c>
      <c r="L2122" s="3" t="s">
        <v>2276</v>
      </c>
      <c r="M2122" s="3" t="s">
        <v>2276</v>
      </c>
      <c r="N2122" s="3" t="s">
        <v>2276</v>
      </c>
      <c r="O2122" s="3" t="s">
        <v>2276</v>
      </c>
      <c r="P2122" s="3" t="s">
        <v>2276</v>
      </c>
      <c r="Q2122" s="3" t="s">
        <v>2276</v>
      </c>
      <c r="R2122" s="3" t="s">
        <v>2276</v>
      </c>
      <c r="S2122" s="3" t="s">
        <v>2276</v>
      </c>
      <c r="T2122" s="3" t="s">
        <v>2276</v>
      </c>
      <c r="U2122" s="3" t="s">
        <v>2276</v>
      </c>
      <c r="V2122" s="3" t="s">
        <v>2276</v>
      </c>
      <c r="W2122" s="3" t="s">
        <v>2276</v>
      </c>
      <c r="X2122" s="3" t="s">
        <v>2276</v>
      </c>
      <c r="Y2122" s="3" t="s">
        <v>2276</v>
      </c>
      <c r="Z2122" s="3" t="s">
        <v>2276</v>
      </c>
      <c r="AA2122" s="3" t="s">
        <v>2276</v>
      </c>
      <c r="AB2122" s="3" t="s">
        <v>2276</v>
      </c>
      <c r="AC2122" s="4" t="s">
        <v>6029</v>
      </c>
      <c r="AD2122" s="3"/>
    </row>
    <row r="2123" spans="1:30" ht="41.5" customHeight="1">
      <c r="A2123" s="11" t="s">
        <v>6018</v>
      </c>
      <c r="B2123" s="11" t="s">
        <v>6025</v>
      </c>
      <c r="C2123" s="3" t="s">
        <v>24</v>
      </c>
      <c r="D2123" s="3" t="s">
        <v>3480</v>
      </c>
      <c r="E2123" s="3" t="s">
        <v>116</v>
      </c>
      <c r="F2123" s="4" t="s">
        <v>74</v>
      </c>
      <c r="G2123" s="3" t="s">
        <v>2276</v>
      </c>
      <c r="H2123" s="3" t="s">
        <v>524</v>
      </c>
      <c r="I2123" s="3">
        <v>2000</v>
      </c>
      <c r="J2123" s="21">
        <v>0</v>
      </c>
      <c r="K2123" s="21">
        <v>0</v>
      </c>
      <c r="L2123" s="21">
        <v>0</v>
      </c>
      <c r="M2123" s="21">
        <v>0</v>
      </c>
      <c r="N2123" s="21">
        <v>0</v>
      </c>
      <c r="O2123" s="21">
        <v>0</v>
      </c>
      <c r="P2123" s="21">
        <v>0</v>
      </c>
      <c r="Q2123" s="21">
        <v>0</v>
      </c>
      <c r="R2123" s="21">
        <v>0</v>
      </c>
      <c r="S2123" s="21">
        <v>0</v>
      </c>
      <c r="T2123" s="21">
        <v>0</v>
      </c>
      <c r="U2123" s="21">
        <v>0</v>
      </c>
      <c r="V2123" s="21">
        <v>0</v>
      </c>
      <c r="W2123" s="21">
        <v>0</v>
      </c>
      <c r="X2123" s="21">
        <v>0</v>
      </c>
      <c r="Y2123" s="3" t="s">
        <v>2276</v>
      </c>
      <c r="Z2123" s="3" t="s">
        <v>2276</v>
      </c>
      <c r="AA2123" s="3" t="s">
        <v>2276</v>
      </c>
      <c r="AB2123" s="3" t="s">
        <v>2276</v>
      </c>
      <c r="AC2123" s="4" t="s">
        <v>6030</v>
      </c>
      <c r="AD2123" s="3"/>
    </row>
    <row r="2124" spans="1:30" ht="41.5" customHeight="1">
      <c r="A2124" s="11" t="s">
        <v>6018</v>
      </c>
      <c r="B2124" s="11" t="s">
        <v>6026</v>
      </c>
      <c r="C2124" s="3" t="s">
        <v>24</v>
      </c>
      <c r="D2124" s="3" t="s">
        <v>144</v>
      </c>
      <c r="E2124" s="3" t="s">
        <v>116</v>
      </c>
      <c r="F2124" s="4" t="s">
        <v>74</v>
      </c>
      <c r="G2124" s="3" t="s">
        <v>2276</v>
      </c>
      <c r="H2124" s="3" t="s">
        <v>524</v>
      </c>
      <c r="I2124" s="3">
        <v>2000</v>
      </c>
      <c r="J2124" s="21">
        <v>0</v>
      </c>
      <c r="K2124" s="21">
        <v>0</v>
      </c>
      <c r="L2124" s="21">
        <v>0</v>
      </c>
      <c r="M2124" s="21">
        <v>0</v>
      </c>
      <c r="N2124" s="21">
        <v>0</v>
      </c>
      <c r="O2124" s="21">
        <v>0</v>
      </c>
      <c r="P2124" s="21">
        <v>0</v>
      </c>
      <c r="Q2124" s="21">
        <v>0</v>
      </c>
      <c r="R2124" s="21">
        <v>0</v>
      </c>
      <c r="S2124" s="21">
        <v>0</v>
      </c>
      <c r="T2124" s="21">
        <v>0</v>
      </c>
      <c r="U2124" s="21">
        <v>0</v>
      </c>
      <c r="V2124" s="21">
        <v>0</v>
      </c>
      <c r="W2124" s="21">
        <v>0</v>
      </c>
      <c r="X2124" s="21">
        <v>0</v>
      </c>
      <c r="Y2124" s="3" t="s">
        <v>2276</v>
      </c>
      <c r="Z2124" s="3" t="s">
        <v>2276</v>
      </c>
      <c r="AA2124" s="3" t="s">
        <v>2276</v>
      </c>
      <c r="AB2124" s="3" t="s">
        <v>2276</v>
      </c>
      <c r="AC2124" s="4" t="s">
        <v>6030</v>
      </c>
      <c r="AD2124" s="3"/>
    </row>
    <row r="2125" spans="1:30" ht="41.5" customHeight="1">
      <c r="A2125" s="11" t="s">
        <v>6018</v>
      </c>
      <c r="B2125" s="11" t="s">
        <v>6027</v>
      </c>
      <c r="C2125" s="3" t="s">
        <v>24</v>
      </c>
      <c r="D2125" s="3" t="s">
        <v>406</v>
      </c>
      <c r="E2125" s="3" t="s">
        <v>116</v>
      </c>
      <c r="F2125" s="4" t="s">
        <v>74</v>
      </c>
      <c r="G2125" s="3" t="s">
        <v>2276</v>
      </c>
      <c r="H2125" s="3" t="s">
        <v>524</v>
      </c>
      <c r="I2125" s="3">
        <v>2000</v>
      </c>
      <c r="J2125" s="21">
        <v>0</v>
      </c>
      <c r="K2125" s="21">
        <v>0</v>
      </c>
      <c r="L2125" s="21">
        <v>0</v>
      </c>
      <c r="M2125" s="21">
        <v>0</v>
      </c>
      <c r="N2125" s="21">
        <v>0</v>
      </c>
      <c r="O2125" s="21">
        <v>0</v>
      </c>
      <c r="P2125" s="21">
        <v>0</v>
      </c>
      <c r="Q2125" s="21">
        <v>0</v>
      </c>
      <c r="R2125" s="21">
        <v>0</v>
      </c>
      <c r="S2125" s="21">
        <v>0</v>
      </c>
      <c r="T2125" s="21">
        <v>0</v>
      </c>
      <c r="U2125" s="21">
        <v>0</v>
      </c>
      <c r="V2125" s="21">
        <v>0</v>
      </c>
      <c r="W2125" s="21">
        <v>0</v>
      </c>
      <c r="X2125" s="21">
        <v>0</v>
      </c>
      <c r="Y2125" s="3" t="s">
        <v>2276</v>
      </c>
      <c r="Z2125" s="3" t="s">
        <v>2276</v>
      </c>
      <c r="AA2125" s="3" t="s">
        <v>2276</v>
      </c>
      <c r="AB2125" s="3" t="s">
        <v>2276</v>
      </c>
      <c r="AC2125" s="4" t="s">
        <v>6030</v>
      </c>
      <c r="AD2125" s="3"/>
    </row>
    <row r="2126" spans="1:30" ht="41.5" customHeight="1">
      <c r="A2126" s="11" t="s">
        <v>6018</v>
      </c>
      <c r="B2126" s="11" t="s">
        <v>6028</v>
      </c>
      <c r="C2126" s="3" t="s">
        <v>24</v>
      </c>
      <c r="D2126" s="3" t="s">
        <v>144</v>
      </c>
      <c r="E2126" s="3" t="s">
        <v>137</v>
      </c>
      <c r="F2126" s="4" t="s">
        <v>74</v>
      </c>
      <c r="G2126" s="3" t="s">
        <v>2276</v>
      </c>
      <c r="H2126" s="3" t="s">
        <v>524</v>
      </c>
      <c r="I2126" s="3">
        <v>2000</v>
      </c>
      <c r="J2126" s="21">
        <v>0</v>
      </c>
      <c r="K2126" s="21">
        <v>0</v>
      </c>
      <c r="L2126" s="21">
        <v>0</v>
      </c>
      <c r="M2126" s="21">
        <v>0</v>
      </c>
      <c r="N2126" s="21">
        <v>0</v>
      </c>
      <c r="O2126" s="21">
        <v>0</v>
      </c>
      <c r="P2126" s="21">
        <v>0</v>
      </c>
      <c r="Q2126" s="21">
        <v>0</v>
      </c>
      <c r="R2126" s="21">
        <v>0</v>
      </c>
      <c r="S2126" s="21">
        <v>0</v>
      </c>
      <c r="T2126" s="21">
        <v>0</v>
      </c>
      <c r="U2126" s="21">
        <v>0</v>
      </c>
      <c r="V2126" s="21">
        <v>0</v>
      </c>
      <c r="W2126" s="21">
        <v>0</v>
      </c>
      <c r="X2126" s="21">
        <v>0</v>
      </c>
      <c r="Y2126" s="3" t="s">
        <v>2276</v>
      </c>
      <c r="Z2126" s="3" t="s">
        <v>2276</v>
      </c>
      <c r="AA2126" s="3" t="s">
        <v>2276</v>
      </c>
      <c r="AB2126" s="3" t="s">
        <v>2276</v>
      </c>
      <c r="AC2126" s="4" t="s">
        <v>6030</v>
      </c>
      <c r="AD2126" s="3"/>
    </row>
    <row r="2127" spans="1:30" ht="38" customHeight="1">
      <c r="A2127" s="11" t="s">
        <v>6032</v>
      </c>
      <c r="B2127" s="11" t="s">
        <v>6035</v>
      </c>
      <c r="C2127" s="3" t="s">
        <v>24</v>
      </c>
      <c r="D2127" s="3" t="s">
        <v>144</v>
      </c>
      <c r="E2127" s="3" t="s">
        <v>137</v>
      </c>
      <c r="F2127" s="4" t="s">
        <v>55</v>
      </c>
      <c r="G2127" s="3" t="s">
        <v>2276</v>
      </c>
      <c r="H2127" s="3" t="s">
        <v>523</v>
      </c>
      <c r="I2127" s="3"/>
      <c r="J2127" s="3" t="s">
        <v>2276</v>
      </c>
      <c r="K2127" s="3" t="s">
        <v>2276</v>
      </c>
      <c r="L2127" s="3" t="s">
        <v>2276</v>
      </c>
      <c r="M2127" s="3" t="s">
        <v>2276</v>
      </c>
      <c r="N2127" s="3" t="s">
        <v>2276</v>
      </c>
      <c r="O2127" s="3" t="s">
        <v>2276</v>
      </c>
      <c r="P2127" s="3" t="s">
        <v>2276</v>
      </c>
      <c r="Q2127" s="3" t="s">
        <v>2276</v>
      </c>
      <c r="R2127" s="3" t="s">
        <v>2276</v>
      </c>
      <c r="S2127" s="3" t="s">
        <v>2276</v>
      </c>
      <c r="T2127" s="3" t="s">
        <v>2276</v>
      </c>
      <c r="U2127" s="3" t="s">
        <v>2276</v>
      </c>
      <c r="V2127" s="3" t="s">
        <v>2276</v>
      </c>
      <c r="W2127" s="3" t="s">
        <v>2276</v>
      </c>
      <c r="X2127" s="3" t="s">
        <v>2276</v>
      </c>
      <c r="Y2127" s="3" t="s">
        <v>2276</v>
      </c>
      <c r="Z2127" s="3" t="s">
        <v>189</v>
      </c>
      <c r="AA2127" s="3" t="s">
        <v>38</v>
      </c>
      <c r="AB2127" s="3" t="s">
        <v>2276</v>
      </c>
      <c r="AC2127" s="3" t="s">
        <v>6045</v>
      </c>
      <c r="AD2127" s="3"/>
    </row>
    <row r="2128" spans="1:30" ht="38" customHeight="1">
      <c r="A2128" s="11" t="s">
        <v>6032</v>
      </c>
      <c r="B2128" s="11" t="s">
        <v>6036</v>
      </c>
      <c r="C2128" s="3" t="s">
        <v>24</v>
      </c>
      <c r="D2128" s="3" t="s">
        <v>25</v>
      </c>
      <c r="E2128" s="3" t="s">
        <v>45</v>
      </c>
      <c r="F2128" s="4" t="s">
        <v>55</v>
      </c>
      <c r="G2128" s="3" t="s">
        <v>2276</v>
      </c>
      <c r="H2128" s="3" t="s">
        <v>523</v>
      </c>
      <c r="I2128" s="3"/>
      <c r="J2128" s="3" t="s">
        <v>2276</v>
      </c>
      <c r="K2128" s="3" t="s">
        <v>2276</v>
      </c>
      <c r="L2128" s="3" t="s">
        <v>2276</v>
      </c>
      <c r="M2128" s="3" t="s">
        <v>2276</v>
      </c>
      <c r="N2128" s="3" t="s">
        <v>2276</v>
      </c>
      <c r="O2128" s="3" t="s">
        <v>2276</v>
      </c>
      <c r="P2128" s="3" t="s">
        <v>2276</v>
      </c>
      <c r="Q2128" s="3" t="s">
        <v>2276</v>
      </c>
      <c r="R2128" s="3" t="s">
        <v>2276</v>
      </c>
      <c r="S2128" s="3" t="s">
        <v>2276</v>
      </c>
      <c r="T2128" s="3" t="s">
        <v>2276</v>
      </c>
      <c r="U2128" s="3" t="s">
        <v>2276</v>
      </c>
      <c r="V2128" s="3" t="s">
        <v>2276</v>
      </c>
      <c r="W2128" s="3" t="s">
        <v>2276</v>
      </c>
      <c r="X2128" s="3" t="s">
        <v>2276</v>
      </c>
      <c r="Y2128" s="3" t="s">
        <v>2276</v>
      </c>
      <c r="Z2128" s="3" t="s">
        <v>189</v>
      </c>
      <c r="AA2128" s="3" t="s">
        <v>38</v>
      </c>
      <c r="AB2128" s="3" t="s">
        <v>2276</v>
      </c>
      <c r="AC2128" s="3" t="s">
        <v>6045</v>
      </c>
      <c r="AD2128" s="3"/>
    </row>
    <row r="2129" spans="1:30" ht="38" customHeight="1">
      <c r="A2129" s="11" t="s">
        <v>6032</v>
      </c>
      <c r="B2129" s="11" t="s">
        <v>6037</v>
      </c>
      <c r="C2129" s="3" t="s">
        <v>24</v>
      </c>
      <c r="D2129" s="3" t="s">
        <v>1105</v>
      </c>
      <c r="E2129" s="3" t="s">
        <v>5801</v>
      </c>
      <c r="F2129" s="4" t="s">
        <v>55</v>
      </c>
      <c r="G2129" s="3" t="s">
        <v>2276</v>
      </c>
      <c r="H2129" s="3" t="s">
        <v>524</v>
      </c>
      <c r="I2129" s="3"/>
      <c r="J2129" s="21">
        <v>0</v>
      </c>
      <c r="K2129" s="21">
        <v>0</v>
      </c>
      <c r="L2129" s="21">
        <v>0</v>
      </c>
      <c r="M2129" s="21">
        <v>0</v>
      </c>
      <c r="N2129" s="21">
        <v>0</v>
      </c>
      <c r="O2129" s="21">
        <v>0</v>
      </c>
      <c r="P2129" s="21">
        <v>0</v>
      </c>
      <c r="Q2129" s="21">
        <v>0</v>
      </c>
      <c r="R2129" s="21">
        <v>0</v>
      </c>
      <c r="S2129" s="21">
        <v>0</v>
      </c>
      <c r="T2129" s="21">
        <v>0</v>
      </c>
      <c r="U2129" s="21">
        <v>0</v>
      </c>
      <c r="V2129" s="21">
        <v>0</v>
      </c>
      <c r="W2129" s="21">
        <v>0</v>
      </c>
      <c r="X2129" s="21">
        <v>0</v>
      </c>
      <c r="Y2129" s="3" t="s">
        <v>2276</v>
      </c>
      <c r="Z2129" s="3" t="s">
        <v>2276</v>
      </c>
      <c r="AA2129" s="3" t="s">
        <v>2276</v>
      </c>
      <c r="AB2129" s="3" t="s">
        <v>2276</v>
      </c>
      <c r="AC2129" s="4"/>
      <c r="AD2129" s="3"/>
    </row>
    <row r="2130" spans="1:30" ht="41.5" customHeight="1">
      <c r="A2130" s="11" t="s">
        <v>6039</v>
      </c>
      <c r="B2130" s="11" t="s">
        <v>6042</v>
      </c>
      <c r="C2130" s="3" t="s">
        <v>24</v>
      </c>
      <c r="D2130" s="3" t="s">
        <v>25</v>
      </c>
      <c r="E2130" s="3" t="s">
        <v>5005</v>
      </c>
      <c r="F2130" s="4" t="s">
        <v>55</v>
      </c>
      <c r="G2130" s="3" t="s">
        <v>2276</v>
      </c>
      <c r="H2130" s="3" t="s">
        <v>523</v>
      </c>
      <c r="I2130" s="3"/>
      <c r="J2130" s="3" t="s">
        <v>2276</v>
      </c>
      <c r="K2130" s="3" t="s">
        <v>2276</v>
      </c>
      <c r="L2130" s="3" t="s">
        <v>2276</v>
      </c>
      <c r="M2130" s="3" t="s">
        <v>2276</v>
      </c>
      <c r="N2130" s="3" t="s">
        <v>2276</v>
      </c>
      <c r="O2130" s="21">
        <v>4.4999999999999998E-2</v>
      </c>
      <c r="P2130" s="3" t="s">
        <v>2276</v>
      </c>
      <c r="Q2130" s="3" t="s">
        <v>2276</v>
      </c>
      <c r="R2130" s="3" t="s">
        <v>2276</v>
      </c>
      <c r="S2130" s="3" t="s">
        <v>2276</v>
      </c>
      <c r="T2130" s="3" t="s">
        <v>2276</v>
      </c>
      <c r="U2130" s="3" t="s">
        <v>2276</v>
      </c>
      <c r="V2130" s="21">
        <v>50</v>
      </c>
      <c r="W2130" s="3" t="s">
        <v>2276</v>
      </c>
      <c r="X2130" s="3" t="s">
        <v>2276</v>
      </c>
      <c r="Y2130" s="21">
        <v>2</v>
      </c>
      <c r="Z2130" s="3" t="s">
        <v>2276</v>
      </c>
      <c r="AA2130" s="3" t="s">
        <v>2276</v>
      </c>
      <c r="AB2130" s="3" t="s">
        <v>2276</v>
      </c>
      <c r="AC2130" s="4" t="s">
        <v>6047</v>
      </c>
      <c r="AD2130" s="3"/>
    </row>
    <row r="2131" spans="1:30" ht="46" customHeight="1">
      <c r="A2131" s="11" t="s">
        <v>6039</v>
      </c>
      <c r="B2131" s="11" t="s">
        <v>6043</v>
      </c>
      <c r="C2131" s="3" t="s">
        <v>24</v>
      </c>
      <c r="D2131" s="3" t="s">
        <v>25</v>
      </c>
      <c r="E2131" s="4" t="s">
        <v>3855</v>
      </c>
      <c r="F2131" s="4" t="s">
        <v>55</v>
      </c>
      <c r="G2131" s="3" t="s">
        <v>2276</v>
      </c>
      <c r="H2131" s="3" t="s">
        <v>523</v>
      </c>
      <c r="I2131" s="3"/>
      <c r="J2131" s="3" t="s">
        <v>2276</v>
      </c>
      <c r="K2131" s="3" t="s">
        <v>2276</v>
      </c>
      <c r="L2131" s="3" t="s">
        <v>2276</v>
      </c>
      <c r="M2131" s="3" t="s">
        <v>2276</v>
      </c>
      <c r="N2131" s="3" t="s">
        <v>2276</v>
      </c>
      <c r="O2131" s="21">
        <v>0.152</v>
      </c>
      <c r="P2131" s="3" t="s">
        <v>2276</v>
      </c>
      <c r="Q2131" s="3" t="s">
        <v>2276</v>
      </c>
      <c r="R2131" s="3" t="s">
        <v>2276</v>
      </c>
      <c r="S2131" s="3" t="s">
        <v>2276</v>
      </c>
      <c r="T2131" s="3" t="s">
        <v>2276</v>
      </c>
      <c r="U2131" s="3" t="s">
        <v>2276</v>
      </c>
      <c r="V2131" s="21">
        <v>50</v>
      </c>
      <c r="W2131" s="3" t="s">
        <v>2276</v>
      </c>
      <c r="X2131" s="3" t="s">
        <v>2276</v>
      </c>
      <c r="Y2131" s="21">
        <v>1</v>
      </c>
      <c r="Z2131" s="3" t="s">
        <v>2276</v>
      </c>
      <c r="AA2131" s="3" t="s">
        <v>2276</v>
      </c>
      <c r="AB2131" s="3" t="s">
        <v>2276</v>
      </c>
      <c r="AC2131" s="4" t="s">
        <v>6046</v>
      </c>
      <c r="AD2131" s="3"/>
    </row>
    <row r="2132" spans="1:30" ht="41.5" customHeight="1">
      <c r="A2132" s="11" t="s">
        <v>6039</v>
      </c>
      <c r="B2132" s="11" t="s">
        <v>6044</v>
      </c>
      <c r="C2132" s="3" t="s">
        <v>24</v>
      </c>
      <c r="D2132" s="3" t="s">
        <v>25</v>
      </c>
      <c r="E2132" s="3" t="s">
        <v>5801</v>
      </c>
      <c r="F2132" s="4" t="s">
        <v>55</v>
      </c>
      <c r="G2132" s="3" t="s">
        <v>2276</v>
      </c>
      <c r="H2132" s="3" t="s">
        <v>524</v>
      </c>
      <c r="I2132" s="3"/>
      <c r="J2132" s="21">
        <v>0</v>
      </c>
      <c r="K2132" s="21">
        <v>0</v>
      </c>
      <c r="L2132" s="21">
        <v>0</v>
      </c>
      <c r="M2132" s="21">
        <v>0</v>
      </c>
      <c r="N2132" s="21">
        <v>0</v>
      </c>
      <c r="O2132" s="21">
        <v>0</v>
      </c>
      <c r="P2132" s="21">
        <v>0</v>
      </c>
      <c r="Q2132" s="21">
        <v>0</v>
      </c>
      <c r="R2132" s="21">
        <v>0</v>
      </c>
      <c r="S2132" s="21">
        <v>0</v>
      </c>
      <c r="T2132" s="21">
        <v>0</v>
      </c>
      <c r="U2132" s="21">
        <v>0</v>
      </c>
      <c r="V2132" s="21">
        <v>0</v>
      </c>
      <c r="W2132" s="21">
        <v>0</v>
      </c>
      <c r="X2132" s="21">
        <v>0</v>
      </c>
      <c r="Y2132" s="3" t="s">
        <v>2276</v>
      </c>
      <c r="Z2132" s="3" t="s">
        <v>2276</v>
      </c>
      <c r="AA2132" s="3" t="s">
        <v>2276</v>
      </c>
      <c r="AB2132" s="3" t="s">
        <v>2276</v>
      </c>
      <c r="AC2132" s="3"/>
      <c r="AD2132" s="3"/>
    </row>
    <row r="2133" spans="1:30" ht="33.5" customHeight="1">
      <c r="A2133" s="11" t="s">
        <v>6048</v>
      </c>
      <c r="B2133" s="11" t="s">
        <v>6052</v>
      </c>
      <c r="C2133" s="3" t="s">
        <v>24</v>
      </c>
      <c r="D2133" s="3" t="s">
        <v>27</v>
      </c>
      <c r="E2133" s="3" t="s">
        <v>130</v>
      </c>
      <c r="F2133" s="4" t="s">
        <v>160</v>
      </c>
      <c r="G2133" s="3" t="s">
        <v>2276</v>
      </c>
      <c r="H2133" s="3" t="s">
        <v>523</v>
      </c>
      <c r="I2133" s="3"/>
      <c r="J2133" s="3" t="s">
        <v>2276</v>
      </c>
      <c r="K2133" s="3" t="s">
        <v>2276</v>
      </c>
      <c r="L2133" s="3" t="s">
        <v>2276</v>
      </c>
      <c r="M2133" s="3" t="s">
        <v>2276</v>
      </c>
      <c r="N2133" s="3" t="s">
        <v>2276</v>
      </c>
      <c r="O2133" s="3" t="s">
        <v>2276</v>
      </c>
      <c r="P2133" s="3" t="s">
        <v>2276</v>
      </c>
      <c r="Q2133" s="3" t="s">
        <v>2276</v>
      </c>
      <c r="R2133" s="3" t="s">
        <v>2276</v>
      </c>
      <c r="S2133" s="3" t="s">
        <v>2276</v>
      </c>
      <c r="T2133" s="3" t="s">
        <v>2276</v>
      </c>
      <c r="U2133" s="3" t="s">
        <v>2276</v>
      </c>
      <c r="V2133" s="3" t="s">
        <v>2276</v>
      </c>
      <c r="W2133" s="3" t="s">
        <v>2276</v>
      </c>
      <c r="X2133" s="3" t="s">
        <v>2276</v>
      </c>
      <c r="Y2133" s="3" t="s">
        <v>2276</v>
      </c>
      <c r="Z2133" s="3" t="s">
        <v>38</v>
      </c>
      <c r="AA2133" s="3" t="s">
        <v>86</v>
      </c>
      <c r="AB2133" s="3" t="s">
        <v>2276</v>
      </c>
      <c r="AC2133" s="3"/>
      <c r="AD2133" s="3"/>
    </row>
    <row r="2134" spans="1:30" ht="33.5" customHeight="1">
      <c r="A2134" s="11" t="s">
        <v>6048</v>
      </c>
      <c r="B2134" s="11" t="s">
        <v>6053</v>
      </c>
      <c r="C2134" s="3" t="s">
        <v>24</v>
      </c>
      <c r="D2134" s="3" t="s">
        <v>25</v>
      </c>
      <c r="E2134" s="3" t="s">
        <v>45</v>
      </c>
      <c r="F2134" s="4" t="s">
        <v>29</v>
      </c>
      <c r="G2134" s="3" t="s">
        <v>2276</v>
      </c>
      <c r="H2134" s="3" t="s">
        <v>523</v>
      </c>
      <c r="I2134" s="3"/>
      <c r="J2134" s="3" t="s">
        <v>2276</v>
      </c>
      <c r="K2134" s="3" t="s">
        <v>2276</v>
      </c>
      <c r="L2134" s="3" t="s">
        <v>2276</v>
      </c>
      <c r="M2134" s="3" t="s">
        <v>2276</v>
      </c>
      <c r="N2134" s="3" t="s">
        <v>2276</v>
      </c>
      <c r="O2134" s="3" t="s">
        <v>2276</v>
      </c>
      <c r="P2134" s="3" t="s">
        <v>2276</v>
      </c>
      <c r="Q2134" s="3" t="s">
        <v>2276</v>
      </c>
      <c r="R2134" s="3" t="s">
        <v>2276</v>
      </c>
      <c r="S2134" s="3" t="s">
        <v>2276</v>
      </c>
      <c r="T2134" s="3" t="s">
        <v>2276</v>
      </c>
      <c r="U2134" s="3" t="s">
        <v>2276</v>
      </c>
      <c r="V2134" s="3" t="s">
        <v>2276</v>
      </c>
      <c r="W2134" s="3" t="s">
        <v>2276</v>
      </c>
      <c r="X2134" s="3" t="s">
        <v>2276</v>
      </c>
      <c r="Y2134" s="3" t="s">
        <v>2276</v>
      </c>
      <c r="Z2134" s="3" t="s">
        <v>2276</v>
      </c>
      <c r="AA2134" s="3" t="s">
        <v>2276</v>
      </c>
      <c r="AB2134" s="3" t="s">
        <v>2276</v>
      </c>
      <c r="AC2134" s="3"/>
      <c r="AD2134" s="3"/>
    </row>
    <row r="2135" spans="1:30" ht="57" customHeight="1">
      <c r="A2135" s="11" t="s">
        <v>6048</v>
      </c>
      <c r="B2135" s="11" t="s">
        <v>6056</v>
      </c>
      <c r="C2135" s="3" t="s">
        <v>2458</v>
      </c>
      <c r="D2135" s="3" t="s">
        <v>27</v>
      </c>
      <c r="E2135" s="3" t="s">
        <v>130</v>
      </c>
      <c r="F2135" s="4" t="s">
        <v>160</v>
      </c>
      <c r="G2135" s="3" t="s">
        <v>2276</v>
      </c>
      <c r="H2135" s="3" t="s">
        <v>523</v>
      </c>
      <c r="I2135" s="3"/>
      <c r="J2135" s="3" t="s">
        <v>2276</v>
      </c>
      <c r="K2135" s="3" t="s">
        <v>2276</v>
      </c>
      <c r="L2135" s="3" t="s">
        <v>2276</v>
      </c>
      <c r="M2135" s="3" t="s">
        <v>2276</v>
      </c>
      <c r="N2135" s="3" t="s">
        <v>2276</v>
      </c>
      <c r="O2135" s="3" t="s">
        <v>2276</v>
      </c>
      <c r="P2135" s="3" t="s">
        <v>2276</v>
      </c>
      <c r="Q2135" s="3" t="s">
        <v>2276</v>
      </c>
      <c r="R2135" s="3" t="s">
        <v>2276</v>
      </c>
      <c r="S2135" s="3" t="s">
        <v>2276</v>
      </c>
      <c r="T2135" s="3" t="s">
        <v>2276</v>
      </c>
      <c r="U2135" s="3" t="s">
        <v>2276</v>
      </c>
      <c r="V2135" s="3" t="s">
        <v>2276</v>
      </c>
      <c r="W2135" s="3" t="s">
        <v>2276</v>
      </c>
      <c r="X2135" s="3" t="s">
        <v>2276</v>
      </c>
      <c r="Y2135" s="3" t="s">
        <v>2276</v>
      </c>
      <c r="Z2135" s="3" t="s">
        <v>38</v>
      </c>
      <c r="AA2135" s="3" t="s">
        <v>86</v>
      </c>
      <c r="AB2135" s="3" t="s">
        <v>2276</v>
      </c>
      <c r="AC2135" s="4" t="s">
        <v>6057</v>
      </c>
      <c r="AD2135" s="3"/>
    </row>
    <row r="2136" spans="1:30" ht="33.5" customHeight="1">
      <c r="A2136" s="11" t="s">
        <v>6062</v>
      </c>
      <c r="B2136" s="11" t="s">
        <v>6066</v>
      </c>
      <c r="C2136" s="3" t="s">
        <v>24</v>
      </c>
      <c r="D2136" s="3" t="s">
        <v>27</v>
      </c>
      <c r="E2136" s="3" t="s">
        <v>130</v>
      </c>
      <c r="F2136" s="4" t="s">
        <v>74</v>
      </c>
      <c r="G2136" s="3" t="s">
        <v>2276</v>
      </c>
      <c r="H2136" s="3" t="s">
        <v>523</v>
      </c>
      <c r="I2136" s="3"/>
      <c r="J2136" s="3" t="s">
        <v>2276</v>
      </c>
      <c r="K2136" s="3" t="s">
        <v>2276</v>
      </c>
      <c r="L2136" s="3" t="s">
        <v>2276</v>
      </c>
      <c r="M2136" s="3" t="s">
        <v>2276</v>
      </c>
      <c r="N2136" s="3" t="s">
        <v>2276</v>
      </c>
      <c r="O2136" s="3" t="s">
        <v>2276</v>
      </c>
      <c r="P2136" s="3" t="s">
        <v>2276</v>
      </c>
      <c r="Q2136" s="3" t="s">
        <v>2276</v>
      </c>
      <c r="R2136" s="3" t="s">
        <v>2276</v>
      </c>
      <c r="S2136" s="3" t="s">
        <v>2276</v>
      </c>
      <c r="T2136" s="3" t="s">
        <v>2276</v>
      </c>
      <c r="U2136" s="3" t="s">
        <v>2276</v>
      </c>
      <c r="V2136" s="3" t="s">
        <v>2276</v>
      </c>
      <c r="W2136" s="3" t="s">
        <v>2276</v>
      </c>
      <c r="X2136" s="3" t="s">
        <v>2276</v>
      </c>
      <c r="Y2136" s="3" t="s">
        <v>2276</v>
      </c>
      <c r="Z2136" s="3" t="s">
        <v>2276</v>
      </c>
      <c r="AA2136" s="3" t="s">
        <v>2276</v>
      </c>
      <c r="AB2136" s="3" t="s">
        <v>2276</v>
      </c>
      <c r="AC2136" s="3"/>
      <c r="AD2136" s="3"/>
    </row>
    <row r="2137" spans="1:30" ht="33.5" customHeight="1">
      <c r="A2137" s="11" t="s">
        <v>6062</v>
      </c>
      <c r="B2137" s="11" t="s">
        <v>6068</v>
      </c>
      <c r="C2137" s="3" t="s">
        <v>24</v>
      </c>
      <c r="D2137" s="3" t="s">
        <v>143</v>
      </c>
      <c r="E2137" s="3" t="s">
        <v>45</v>
      </c>
      <c r="F2137" s="4" t="s">
        <v>74</v>
      </c>
      <c r="G2137" s="3" t="s">
        <v>2276</v>
      </c>
      <c r="H2137" s="3" t="s">
        <v>523</v>
      </c>
      <c r="I2137" s="3"/>
      <c r="J2137" s="3" t="s">
        <v>2276</v>
      </c>
      <c r="K2137" s="3" t="s">
        <v>2276</v>
      </c>
      <c r="L2137" s="3" t="s">
        <v>2276</v>
      </c>
      <c r="M2137" s="3" t="s">
        <v>2276</v>
      </c>
      <c r="N2137" s="3" t="s">
        <v>2276</v>
      </c>
      <c r="O2137" s="3" t="s">
        <v>2276</v>
      </c>
      <c r="P2137" s="3" t="s">
        <v>2276</v>
      </c>
      <c r="Q2137" s="3" t="s">
        <v>2276</v>
      </c>
      <c r="R2137" s="3" t="s">
        <v>2276</v>
      </c>
      <c r="S2137" s="3" t="s">
        <v>2276</v>
      </c>
      <c r="T2137" s="3" t="s">
        <v>2276</v>
      </c>
      <c r="U2137" s="3" t="s">
        <v>2276</v>
      </c>
      <c r="V2137" s="3" t="s">
        <v>2276</v>
      </c>
      <c r="W2137" s="3" t="s">
        <v>2276</v>
      </c>
      <c r="X2137" s="3" t="s">
        <v>2276</v>
      </c>
      <c r="Y2137" s="3" t="s">
        <v>2276</v>
      </c>
      <c r="Z2137" s="3" t="s">
        <v>2276</v>
      </c>
      <c r="AA2137" s="3" t="s">
        <v>2276</v>
      </c>
      <c r="AB2137" s="3" t="s">
        <v>2276</v>
      </c>
      <c r="AC2137" s="3"/>
      <c r="AD2137" s="3"/>
    </row>
    <row r="2138" spans="1:30" ht="33.5" customHeight="1">
      <c r="A2138" s="11" t="s">
        <v>6063</v>
      </c>
      <c r="B2138" s="11" t="s">
        <v>6067</v>
      </c>
      <c r="C2138" s="3" t="s">
        <v>24</v>
      </c>
      <c r="D2138" s="3" t="s">
        <v>143</v>
      </c>
      <c r="E2138" s="3" t="s">
        <v>45</v>
      </c>
      <c r="F2138" s="4" t="s">
        <v>74</v>
      </c>
      <c r="G2138" s="3" t="s">
        <v>2276</v>
      </c>
      <c r="H2138" s="3" t="s">
        <v>523</v>
      </c>
      <c r="I2138" s="3"/>
      <c r="J2138" s="3" t="s">
        <v>2276</v>
      </c>
      <c r="K2138" s="3" t="s">
        <v>2276</v>
      </c>
      <c r="L2138" s="3" t="s">
        <v>2276</v>
      </c>
      <c r="M2138" s="3" t="s">
        <v>2276</v>
      </c>
      <c r="N2138" s="3" t="s">
        <v>2276</v>
      </c>
      <c r="O2138" s="3" t="s">
        <v>2276</v>
      </c>
      <c r="P2138" s="3" t="s">
        <v>2276</v>
      </c>
      <c r="Q2138" s="3" t="s">
        <v>2276</v>
      </c>
      <c r="R2138" s="3" t="s">
        <v>2276</v>
      </c>
      <c r="S2138" s="3" t="s">
        <v>2276</v>
      </c>
      <c r="T2138" s="3" t="s">
        <v>2276</v>
      </c>
      <c r="U2138" s="3" t="s">
        <v>2276</v>
      </c>
      <c r="V2138" s="3" t="s">
        <v>2276</v>
      </c>
      <c r="W2138" s="3" t="s">
        <v>2276</v>
      </c>
      <c r="X2138" s="3" t="s">
        <v>2276</v>
      </c>
      <c r="Y2138" s="3" t="s">
        <v>2276</v>
      </c>
      <c r="Z2138" s="3" t="s">
        <v>2276</v>
      </c>
      <c r="AA2138" s="3" t="s">
        <v>2276</v>
      </c>
      <c r="AB2138" s="3" t="s">
        <v>2276</v>
      </c>
      <c r="AC2138" s="3"/>
      <c r="AD2138" s="3"/>
    </row>
    <row r="2139" spans="1:30" ht="33.5" customHeight="1">
      <c r="A2139" s="11" t="s">
        <v>6062</v>
      </c>
      <c r="B2139" s="11" t="s">
        <v>6070</v>
      </c>
      <c r="C2139" s="3" t="s">
        <v>24</v>
      </c>
      <c r="D2139" s="3" t="s">
        <v>25</v>
      </c>
      <c r="E2139" s="3" t="s">
        <v>45</v>
      </c>
      <c r="F2139" s="4" t="s">
        <v>29</v>
      </c>
      <c r="G2139" s="3" t="s">
        <v>2276</v>
      </c>
      <c r="H2139" s="3" t="s">
        <v>523</v>
      </c>
      <c r="I2139" s="3"/>
      <c r="J2139" s="3" t="s">
        <v>2276</v>
      </c>
      <c r="K2139" s="3" t="s">
        <v>2276</v>
      </c>
      <c r="L2139" s="3" t="s">
        <v>2276</v>
      </c>
      <c r="M2139" s="3" t="s">
        <v>2276</v>
      </c>
      <c r="N2139" s="3" t="s">
        <v>2276</v>
      </c>
      <c r="O2139" s="3" t="s">
        <v>2276</v>
      </c>
      <c r="P2139" s="3" t="s">
        <v>2276</v>
      </c>
      <c r="Q2139" s="3" t="s">
        <v>2276</v>
      </c>
      <c r="R2139" s="3" t="s">
        <v>2276</v>
      </c>
      <c r="S2139" s="3" t="s">
        <v>2276</v>
      </c>
      <c r="T2139" s="3" t="s">
        <v>2276</v>
      </c>
      <c r="U2139" s="3" t="s">
        <v>2276</v>
      </c>
      <c r="V2139" s="3" t="s">
        <v>2276</v>
      </c>
      <c r="W2139" s="3" t="s">
        <v>2276</v>
      </c>
      <c r="X2139" s="3" t="s">
        <v>2276</v>
      </c>
      <c r="Y2139" s="3" t="s">
        <v>2276</v>
      </c>
      <c r="Z2139" s="3" t="s">
        <v>2276</v>
      </c>
      <c r="AA2139" s="3" t="s">
        <v>2276</v>
      </c>
      <c r="AB2139" s="3" t="s">
        <v>2276</v>
      </c>
      <c r="AC2139" s="3"/>
      <c r="AD2139" s="3"/>
    </row>
    <row r="2140" spans="1:30" ht="33.5" customHeight="1">
      <c r="A2140" s="11" t="s">
        <v>6063</v>
      </c>
      <c r="B2140" s="11" t="s">
        <v>6069</v>
      </c>
      <c r="C2140" s="3" t="s">
        <v>24</v>
      </c>
      <c r="D2140" s="3" t="s">
        <v>25</v>
      </c>
      <c r="E2140" s="3" t="s">
        <v>45</v>
      </c>
      <c r="F2140" s="4" t="s">
        <v>29</v>
      </c>
      <c r="G2140" s="3" t="s">
        <v>2276</v>
      </c>
      <c r="H2140" s="3" t="s">
        <v>523</v>
      </c>
      <c r="I2140" s="3"/>
      <c r="J2140" s="3" t="s">
        <v>2276</v>
      </c>
      <c r="K2140" s="3" t="s">
        <v>2276</v>
      </c>
      <c r="L2140" s="3" t="s">
        <v>2276</v>
      </c>
      <c r="M2140" s="3" t="s">
        <v>2276</v>
      </c>
      <c r="N2140" s="3" t="s">
        <v>2276</v>
      </c>
      <c r="O2140" s="3" t="s">
        <v>2276</v>
      </c>
      <c r="P2140" s="3" t="s">
        <v>2276</v>
      </c>
      <c r="Q2140" s="3" t="s">
        <v>2276</v>
      </c>
      <c r="R2140" s="3" t="s">
        <v>2276</v>
      </c>
      <c r="S2140" s="3" t="s">
        <v>2276</v>
      </c>
      <c r="T2140" s="3" t="s">
        <v>2276</v>
      </c>
      <c r="U2140" s="3" t="s">
        <v>2276</v>
      </c>
      <c r="V2140" s="3" t="s">
        <v>2276</v>
      </c>
      <c r="W2140" s="3" t="s">
        <v>2276</v>
      </c>
      <c r="X2140" s="3" t="s">
        <v>2276</v>
      </c>
      <c r="Y2140" s="3" t="s">
        <v>2276</v>
      </c>
      <c r="Z2140" s="3" t="s">
        <v>2276</v>
      </c>
      <c r="AA2140" s="3" t="s">
        <v>2276</v>
      </c>
      <c r="AB2140" s="3" t="s">
        <v>2276</v>
      </c>
      <c r="AC2140" s="4" t="s">
        <v>6073</v>
      </c>
      <c r="AD2140" s="3"/>
    </row>
    <row r="2141" spans="1:30" ht="33.5" customHeight="1">
      <c r="A2141" s="11" t="s">
        <v>6063</v>
      </c>
      <c r="B2141" s="11" t="s">
        <v>6071</v>
      </c>
      <c r="C2141" s="3" t="s">
        <v>24</v>
      </c>
      <c r="D2141" s="3" t="s">
        <v>25</v>
      </c>
      <c r="E2141" s="3" t="s">
        <v>2647</v>
      </c>
      <c r="F2141" s="4" t="s">
        <v>29</v>
      </c>
      <c r="G2141" s="3" t="s">
        <v>2276</v>
      </c>
      <c r="H2141" s="3" t="s">
        <v>524</v>
      </c>
      <c r="I2141" s="3"/>
      <c r="J2141" s="3">
        <v>0</v>
      </c>
      <c r="K2141" s="3">
        <v>0</v>
      </c>
      <c r="L2141" s="3">
        <v>0</v>
      </c>
      <c r="M2141" s="3">
        <v>0</v>
      </c>
      <c r="N2141" s="3">
        <v>0</v>
      </c>
      <c r="O2141" s="3">
        <v>0</v>
      </c>
      <c r="P2141" s="3">
        <v>0</v>
      </c>
      <c r="Q2141" s="3">
        <v>0</v>
      </c>
      <c r="R2141" s="3">
        <v>0</v>
      </c>
      <c r="S2141" s="3">
        <v>0</v>
      </c>
      <c r="T2141" s="3">
        <v>0</v>
      </c>
      <c r="U2141" s="3">
        <v>0</v>
      </c>
      <c r="V2141" s="3">
        <v>0</v>
      </c>
      <c r="W2141" s="3">
        <v>0</v>
      </c>
      <c r="X2141" s="3">
        <v>0</v>
      </c>
      <c r="Y2141" s="3" t="s">
        <v>2276</v>
      </c>
      <c r="Z2141" s="3" t="s">
        <v>2276</v>
      </c>
      <c r="AA2141" s="3" t="s">
        <v>2276</v>
      </c>
      <c r="AB2141" s="3" t="s">
        <v>2276</v>
      </c>
      <c r="AC2141" s="4" t="s">
        <v>6072</v>
      </c>
      <c r="AD2141" s="3"/>
    </row>
    <row r="2142" spans="1:30" ht="30" customHeight="1">
      <c r="A2142" s="3" t="s">
        <v>6075</v>
      </c>
      <c r="B2142" s="11" t="s">
        <v>6078</v>
      </c>
      <c r="C2142" s="3" t="s">
        <v>24</v>
      </c>
      <c r="D2142" s="3" t="s">
        <v>2804</v>
      </c>
      <c r="E2142" s="3" t="s">
        <v>45</v>
      </c>
      <c r="F2142" s="4" t="s">
        <v>2662</v>
      </c>
      <c r="G2142" s="3" t="s">
        <v>2276</v>
      </c>
      <c r="H2142" s="3" t="s">
        <v>523</v>
      </c>
      <c r="I2142" s="3"/>
      <c r="J2142" s="3" t="s">
        <v>2276</v>
      </c>
      <c r="K2142" s="3" t="s">
        <v>2276</v>
      </c>
      <c r="L2142" s="3" t="s">
        <v>2276</v>
      </c>
      <c r="M2142" s="3" t="s">
        <v>2276</v>
      </c>
      <c r="N2142" s="3" t="s">
        <v>2276</v>
      </c>
      <c r="O2142" s="3" t="s">
        <v>2276</v>
      </c>
      <c r="P2142" s="3" t="s">
        <v>2276</v>
      </c>
      <c r="Q2142" s="3" t="s">
        <v>2276</v>
      </c>
      <c r="R2142" s="3" t="s">
        <v>2276</v>
      </c>
      <c r="S2142" s="3" t="s">
        <v>2276</v>
      </c>
      <c r="T2142" s="3" t="s">
        <v>2276</v>
      </c>
      <c r="U2142" s="3" t="s">
        <v>2276</v>
      </c>
      <c r="V2142" s="3" t="s">
        <v>2276</v>
      </c>
      <c r="W2142" s="3" t="s">
        <v>2276</v>
      </c>
      <c r="X2142" s="3" t="s">
        <v>2276</v>
      </c>
      <c r="Y2142" s="3" t="s">
        <v>2276</v>
      </c>
      <c r="Z2142" s="3" t="s">
        <v>2276</v>
      </c>
      <c r="AA2142" s="3" t="s">
        <v>2276</v>
      </c>
      <c r="AB2142" s="3" t="s">
        <v>2276</v>
      </c>
      <c r="AC2142" s="3"/>
      <c r="AD2142" s="3"/>
    </row>
    <row r="2143" spans="1:30" ht="29" customHeight="1">
      <c r="A2143" s="3" t="s">
        <v>6075</v>
      </c>
      <c r="B2143" s="11" t="s">
        <v>6079</v>
      </c>
      <c r="C2143" s="3" t="s">
        <v>24</v>
      </c>
      <c r="D2143" s="3" t="s">
        <v>2804</v>
      </c>
      <c r="E2143" s="3" t="s">
        <v>5005</v>
      </c>
      <c r="F2143" s="4" t="s">
        <v>2662</v>
      </c>
      <c r="G2143" s="3" t="s">
        <v>2276</v>
      </c>
      <c r="H2143" s="3" t="s">
        <v>523</v>
      </c>
      <c r="I2143" s="3"/>
      <c r="J2143" s="3" t="s">
        <v>2276</v>
      </c>
      <c r="K2143" s="3" t="s">
        <v>2276</v>
      </c>
      <c r="L2143" s="3" t="s">
        <v>2276</v>
      </c>
      <c r="M2143" s="3" t="s">
        <v>2276</v>
      </c>
      <c r="N2143" s="3" t="s">
        <v>2276</v>
      </c>
      <c r="O2143" s="3" t="s">
        <v>2276</v>
      </c>
      <c r="P2143" s="3" t="s">
        <v>2276</v>
      </c>
      <c r="Q2143" s="3" t="s">
        <v>2276</v>
      </c>
      <c r="R2143" s="3" t="s">
        <v>2276</v>
      </c>
      <c r="S2143" s="3" t="s">
        <v>2276</v>
      </c>
      <c r="T2143" s="3" t="s">
        <v>2276</v>
      </c>
      <c r="U2143" s="3" t="s">
        <v>2276</v>
      </c>
      <c r="V2143" s="3" t="s">
        <v>2276</v>
      </c>
      <c r="W2143" s="3" t="s">
        <v>2276</v>
      </c>
      <c r="X2143" s="3" t="s">
        <v>2276</v>
      </c>
      <c r="Y2143" s="3" t="s">
        <v>2276</v>
      </c>
      <c r="Z2143" s="3" t="s">
        <v>2276</v>
      </c>
      <c r="AA2143" s="3" t="s">
        <v>2276</v>
      </c>
      <c r="AB2143" s="3" t="s">
        <v>2276</v>
      </c>
      <c r="AC2143" s="3"/>
      <c r="AD2143" s="3"/>
    </row>
    <row r="2144" spans="1:30" ht="33" customHeight="1">
      <c r="A2144" s="3" t="s">
        <v>6075</v>
      </c>
      <c r="B2144" s="11" t="s">
        <v>6080</v>
      </c>
      <c r="C2144" s="3" t="s">
        <v>24</v>
      </c>
      <c r="D2144" s="3" t="s">
        <v>2804</v>
      </c>
      <c r="E2144" s="3" t="s">
        <v>130</v>
      </c>
      <c r="F2144" s="4" t="s">
        <v>2662</v>
      </c>
      <c r="G2144" s="3" t="s">
        <v>2276</v>
      </c>
      <c r="H2144" s="3" t="s">
        <v>523</v>
      </c>
      <c r="I2144" s="3"/>
      <c r="J2144" s="3" t="s">
        <v>2276</v>
      </c>
      <c r="K2144" s="3" t="s">
        <v>2276</v>
      </c>
      <c r="L2144" s="3" t="s">
        <v>2276</v>
      </c>
      <c r="M2144" s="3" t="s">
        <v>2276</v>
      </c>
      <c r="N2144" s="3" t="s">
        <v>2276</v>
      </c>
      <c r="O2144" s="3" t="s">
        <v>2276</v>
      </c>
      <c r="P2144" s="3" t="s">
        <v>2276</v>
      </c>
      <c r="Q2144" s="3" t="s">
        <v>2276</v>
      </c>
      <c r="R2144" s="3" t="s">
        <v>2276</v>
      </c>
      <c r="S2144" s="3" t="s">
        <v>2276</v>
      </c>
      <c r="T2144" s="3" t="s">
        <v>2276</v>
      </c>
      <c r="U2144" s="3" t="s">
        <v>2276</v>
      </c>
      <c r="V2144" s="3" t="s">
        <v>2276</v>
      </c>
      <c r="W2144" s="3" t="s">
        <v>2276</v>
      </c>
      <c r="X2144" s="3" t="s">
        <v>2276</v>
      </c>
      <c r="Y2144" s="3" t="s">
        <v>2276</v>
      </c>
      <c r="Z2144" s="3" t="s">
        <v>2276</v>
      </c>
      <c r="AA2144" s="3" t="s">
        <v>2276</v>
      </c>
      <c r="AB2144" s="3" t="s">
        <v>2276</v>
      </c>
      <c r="AC2144" s="3"/>
      <c r="AD2144" s="3"/>
    </row>
    <row r="2145" spans="1:30" s="203" customFormat="1" ht="52.5" customHeight="1">
      <c r="A2145" s="204" t="s">
        <v>6083</v>
      </c>
      <c r="B2145" s="204" t="s">
        <v>6979</v>
      </c>
      <c r="C2145" s="204" t="s">
        <v>24</v>
      </c>
      <c r="D2145" s="204" t="s">
        <v>2804</v>
      </c>
      <c r="E2145" s="204" t="s">
        <v>5005</v>
      </c>
      <c r="F2145" s="4" t="s">
        <v>2662</v>
      </c>
      <c r="G2145" s="204" t="s">
        <v>2276</v>
      </c>
      <c r="H2145" s="204" t="s">
        <v>523</v>
      </c>
      <c r="I2145" s="204"/>
      <c r="J2145" s="204" t="s">
        <v>2276</v>
      </c>
      <c r="K2145" s="204" t="s">
        <v>2276</v>
      </c>
      <c r="L2145" s="204" t="s">
        <v>2276</v>
      </c>
      <c r="M2145" s="204" t="s">
        <v>2276</v>
      </c>
      <c r="N2145" s="204" t="s">
        <v>2276</v>
      </c>
      <c r="O2145" s="204" t="s">
        <v>2276</v>
      </c>
      <c r="P2145" s="204" t="s">
        <v>2276</v>
      </c>
      <c r="Q2145" s="204" t="s">
        <v>2276</v>
      </c>
      <c r="R2145" s="204" t="s">
        <v>2276</v>
      </c>
      <c r="S2145" s="204" t="s">
        <v>2276</v>
      </c>
      <c r="T2145" s="204" t="s">
        <v>2276</v>
      </c>
      <c r="U2145" s="204" t="s">
        <v>2276</v>
      </c>
      <c r="V2145" s="204" t="s">
        <v>2276</v>
      </c>
      <c r="W2145" s="204" t="s">
        <v>2276</v>
      </c>
      <c r="X2145" s="204" t="s">
        <v>2276</v>
      </c>
      <c r="Y2145" s="204" t="s">
        <v>2276</v>
      </c>
      <c r="Z2145" s="204" t="s">
        <v>68</v>
      </c>
      <c r="AA2145" s="204" t="s">
        <v>188</v>
      </c>
      <c r="AB2145" s="204" t="s">
        <v>2655</v>
      </c>
      <c r="AC2145" s="4" t="s">
        <v>6983</v>
      </c>
      <c r="AD2145" s="4" t="s">
        <v>6986</v>
      </c>
    </row>
    <row r="2146" spans="1:30" s="203" customFormat="1" ht="52" customHeight="1">
      <c r="A2146" s="204" t="s">
        <v>6083</v>
      </c>
      <c r="B2146" s="204" t="s">
        <v>6980</v>
      </c>
      <c r="C2146" s="204" t="s">
        <v>24</v>
      </c>
      <c r="D2146" s="204" t="s">
        <v>27</v>
      </c>
      <c r="E2146" s="204" t="s">
        <v>130</v>
      </c>
      <c r="F2146" s="4" t="s">
        <v>160</v>
      </c>
      <c r="G2146" s="204" t="s">
        <v>2276</v>
      </c>
      <c r="H2146" s="204" t="s">
        <v>523</v>
      </c>
      <c r="I2146" s="204"/>
      <c r="J2146" s="204" t="s">
        <v>2276</v>
      </c>
      <c r="K2146" s="204" t="s">
        <v>2276</v>
      </c>
      <c r="L2146" s="204" t="s">
        <v>2276</v>
      </c>
      <c r="M2146" s="204" t="s">
        <v>2276</v>
      </c>
      <c r="N2146" s="204" t="s">
        <v>2276</v>
      </c>
      <c r="O2146" s="204" t="s">
        <v>2276</v>
      </c>
      <c r="P2146" s="204" t="s">
        <v>2276</v>
      </c>
      <c r="Q2146" s="204" t="s">
        <v>2276</v>
      </c>
      <c r="R2146" s="204" t="s">
        <v>2276</v>
      </c>
      <c r="S2146" s="204" t="s">
        <v>2276</v>
      </c>
      <c r="T2146" s="204" t="s">
        <v>2276</v>
      </c>
      <c r="U2146" s="204" t="s">
        <v>2276</v>
      </c>
      <c r="V2146" s="204" t="s">
        <v>2276</v>
      </c>
      <c r="W2146" s="204" t="s">
        <v>2276</v>
      </c>
      <c r="X2146" s="204" t="s">
        <v>2276</v>
      </c>
      <c r="Y2146" s="204" t="s">
        <v>2276</v>
      </c>
      <c r="Z2146" s="204" t="s">
        <v>2276</v>
      </c>
      <c r="AA2146" s="204" t="s">
        <v>2276</v>
      </c>
      <c r="AB2146" s="204" t="s">
        <v>2276</v>
      </c>
      <c r="AC2146" s="4"/>
      <c r="AD2146" s="4" t="s">
        <v>6987</v>
      </c>
    </row>
    <row r="2147" spans="1:30" s="203" customFormat="1" ht="56.5" customHeight="1">
      <c r="A2147" s="204" t="s">
        <v>6084</v>
      </c>
      <c r="B2147" s="204" t="s">
        <v>6981</v>
      </c>
      <c r="C2147" s="204" t="s">
        <v>24</v>
      </c>
      <c r="D2147" s="204" t="s">
        <v>2804</v>
      </c>
      <c r="E2147" s="204" t="s">
        <v>5005</v>
      </c>
      <c r="F2147" s="4" t="s">
        <v>2662</v>
      </c>
      <c r="G2147" s="204" t="s">
        <v>2276</v>
      </c>
      <c r="H2147" s="204" t="s">
        <v>523</v>
      </c>
      <c r="I2147" s="204"/>
      <c r="J2147" s="204" t="s">
        <v>2276</v>
      </c>
      <c r="K2147" s="204" t="s">
        <v>2276</v>
      </c>
      <c r="L2147" s="204" t="s">
        <v>2276</v>
      </c>
      <c r="M2147" s="204" t="s">
        <v>2276</v>
      </c>
      <c r="N2147" s="204" t="s">
        <v>2276</v>
      </c>
      <c r="O2147" s="204" t="s">
        <v>2276</v>
      </c>
      <c r="P2147" s="204" t="s">
        <v>2276</v>
      </c>
      <c r="Q2147" s="204" t="s">
        <v>2276</v>
      </c>
      <c r="R2147" s="204" t="s">
        <v>2276</v>
      </c>
      <c r="S2147" s="204" t="s">
        <v>2276</v>
      </c>
      <c r="T2147" s="204" t="s">
        <v>2276</v>
      </c>
      <c r="U2147" s="204" t="s">
        <v>2276</v>
      </c>
      <c r="V2147" s="204" t="s">
        <v>2276</v>
      </c>
      <c r="W2147" s="204" t="s">
        <v>2276</v>
      </c>
      <c r="X2147" s="204" t="s">
        <v>2276</v>
      </c>
      <c r="Y2147" s="204" t="s">
        <v>2276</v>
      </c>
      <c r="Z2147" s="204" t="s">
        <v>68</v>
      </c>
      <c r="AA2147" s="204" t="s">
        <v>188</v>
      </c>
      <c r="AB2147" s="204" t="s">
        <v>2655</v>
      </c>
      <c r="AC2147" s="4" t="s">
        <v>6983</v>
      </c>
      <c r="AD2147" s="4" t="s">
        <v>6986</v>
      </c>
    </row>
    <row r="2148" spans="1:30" s="203" customFormat="1" ht="54.5" customHeight="1">
      <c r="A2148" s="204" t="s">
        <v>6084</v>
      </c>
      <c r="B2148" s="204" t="s">
        <v>6982</v>
      </c>
      <c r="C2148" s="204" t="s">
        <v>24</v>
      </c>
      <c r="D2148" s="204" t="s">
        <v>27</v>
      </c>
      <c r="E2148" s="204" t="s">
        <v>130</v>
      </c>
      <c r="F2148" s="4" t="s">
        <v>160</v>
      </c>
      <c r="G2148" s="204" t="s">
        <v>2276</v>
      </c>
      <c r="H2148" s="204" t="s">
        <v>523</v>
      </c>
      <c r="I2148" s="204"/>
      <c r="J2148" s="204" t="s">
        <v>2276</v>
      </c>
      <c r="K2148" s="204" t="s">
        <v>2276</v>
      </c>
      <c r="L2148" s="204" t="s">
        <v>2276</v>
      </c>
      <c r="M2148" s="204" t="s">
        <v>2276</v>
      </c>
      <c r="N2148" s="204" t="s">
        <v>2276</v>
      </c>
      <c r="O2148" s="204" t="s">
        <v>2276</v>
      </c>
      <c r="P2148" s="204" t="s">
        <v>2276</v>
      </c>
      <c r="Q2148" s="204" t="s">
        <v>2276</v>
      </c>
      <c r="R2148" s="204" t="s">
        <v>2276</v>
      </c>
      <c r="S2148" s="204" t="s">
        <v>2276</v>
      </c>
      <c r="T2148" s="204" t="s">
        <v>2276</v>
      </c>
      <c r="U2148" s="204" t="s">
        <v>2276</v>
      </c>
      <c r="V2148" s="204" t="s">
        <v>2276</v>
      </c>
      <c r="W2148" s="204" t="s">
        <v>2276</v>
      </c>
      <c r="X2148" s="204" t="s">
        <v>2276</v>
      </c>
      <c r="Y2148" s="204" t="s">
        <v>2276</v>
      </c>
      <c r="Z2148" s="204" t="s">
        <v>2276</v>
      </c>
      <c r="AA2148" s="204" t="s">
        <v>2276</v>
      </c>
      <c r="AB2148" s="204" t="s">
        <v>2276</v>
      </c>
      <c r="AC2148" s="204"/>
      <c r="AD2148" s="204"/>
    </row>
    <row r="2149" spans="1:30" s="60" customFormat="1" ht="36.5" customHeight="1">
      <c r="A2149" s="4" t="s">
        <v>6148</v>
      </c>
      <c r="B2149" s="4" t="s">
        <v>6190</v>
      </c>
      <c r="C2149" s="4" t="s">
        <v>2656</v>
      </c>
      <c r="D2149" s="4" t="s">
        <v>2276</v>
      </c>
      <c r="E2149" s="4" t="s">
        <v>2276</v>
      </c>
      <c r="F2149" s="4" t="s">
        <v>2276</v>
      </c>
      <c r="G2149" s="4" t="s">
        <v>74</v>
      </c>
      <c r="H2149" s="4" t="s">
        <v>523</v>
      </c>
      <c r="I2149" s="4"/>
      <c r="J2149" s="204" t="s">
        <v>2276</v>
      </c>
      <c r="K2149" s="204" t="s">
        <v>2276</v>
      </c>
      <c r="L2149" s="204" t="s">
        <v>2276</v>
      </c>
      <c r="M2149" s="204" t="s">
        <v>2276</v>
      </c>
      <c r="N2149" s="204" t="s">
        <v>2276</v>
      </c>
      <c r="O2149" s="204" t="s">
        <v>2276</v>
      </c>
      <c r="P2149" s="204" t="s">
        <v>2276</v>
      </c>
      <c r="Q2149" s="204" t="s">
        <v>2276</v>
      </c>
      <c r="R2149" s="204" t="s">
        <v>2276</v>
      </c>
      <c r="S2149" s="204" t="s">
        <v>2276</v>
      </c>
      <c r="T2149" s="204" t="s">
        <v>2276</v>
      </c>
      <c r="U2149" s="204" t="s">
        <v>2276</v>
      </c>
      <c r="V2149" s="204" t="s">
        <v>2276</v>
      </c>
      <c r="W2149" s="204" t="s">
        <v>2276</v>
      </c>
      <c r="X2149" s="204" t="s">
        <v>2276</v>
      </c>
      <c r="Y2149" s="204" t="s">
        <v>2276</v>
      </c>
      <c r="Z2149" s="4" t="s">
        <v>404</v>
      </c>
      <c r="AA2149" s="4" t="s">
        <v>405</v>
      </c>
      <c r="AB2149" s="4" t="s">
        <v>2276</v>
      </c>
      <c r="AC2149" s="4"/>
      <c r="AD2149" s="4"/>
    </row>
    <row r="2150" spans="1:30" s="60" customFormat="1" ht="36.5" customHeight="1">
      <c r="A2150" s="4" t="s">
        <v>6148</v>
      </c>
      <c r="B2150" s="4" t="s">
        <v>6191</v>
      </c>
      <c r="C2150" s="4" t="s">
        <v>2458</v>
      </c>
      <c r="D2150" s="4" t="s">
        <v>2994</v>
      </c>
      <c r="E2150" s="4" t="s">
        <v>2652</v>
      </c>
      <c r="F2150" s="4" t="s">
        <v>2276</v>
      </c>
      <c r="G2150" s="4" t="s">
        <v>74</v>
      </c>
      <c r="H2150" s="4" t="s">
        <v>523</v>
      </c>
      <c r="I2150" s="4"/>
      <c r="J2150" s="204" t="s">
        <v>2276</v>
      </c>
      <c r="K2150" s="204" t="s">
        <v>2276</v>
      </c>
      <c r="L2150" s="204" t="s">
        <v>2276</v>
      </c>
      <c r="M2150" s="204" t="s">
        <v>2276</v>
      </c>
      <c r="N2150" s="204" t="s">
        <v>2276</v>
      </c>
      <c r="O2150" s="204" t="s">
        <v>2276</v>
      </c>
      <c r="P2150" s="204" t="s">
        <v>2276</v>
      </c>
      <c r="Q2150" s="204" t="s">
        <v>2276</v>
      </c>
      <c r="R2150" s="204" t="s">
        <v>2276</v>
      </c>
      <c r="S2150" s="204" t="s">
        <v>2276</v>
      </c>
      <c r="T2150" s="204" t="s">
        <v>2276</v>
      </c>
      <c r="U2150" s="204" t="s">
        <v>2276</v>
      </c>
      <c r="V2150" s="204" t="s">
        <v>2276</v>
      </c>
      <c r="W2150" s="204" t="s">
        <v>2276</v>
      </c>
      <c r="X2150" s="204" t="s">
        <v>2276</v>
      </c>
      <c r="Y2150" s="204" t="s">
        <v>2276</v>
      </c>
      <c r="Z2150" s="4" t="s">
        <v>404</v>
      </c>
      <c r="AA2150" s="4" t="s">
        <v>405</v>
      </c>
      <c r="AB2150" s="4" t="s">
        <v>2276</v>
      </c>
      <c r="AC2150" s="4"/>
      <c r="AD2150" s="4"/>
    </row>
    <row r="2151" spans="1:30" s="205" customFormat="1" ht="36.5" customHeight="1">
      <c r="A2151" s="4" t="s">
        <v>6148</v>
      </c>
      <c r="B2151" s="4" t="s">
        <v>6192</v>
      </c>
      <c r="C2151" s="4" t="s">
        <v>24</v>
      </c>
      <c r="D2151" s="4" t="s">
        <v>1242</v>
      </c>
      <c r="E2151" s="4" t="s">
        <v>2649</v>
      </c>
      <c r="F2151" s="4" t="s">
        <v>74</v>
      </c>
      <c r="G2151" s="4" t="s">
        <v>74</v>
      </c>
      <c r="H2151" s="4" t="s">
        <v>523</v>
      </c>
      <c r="I2151" s="4"/>
      <c r="J2151" s="204" t="s">
        <v>2276</v>
      </c>
      <c r="K2151" s="204" t="s">
        <v>2276</v>
      </c>
      <c r="L2151" s="204" t="s">
        <v>2276</v>
      </c>
      <c r="M2151" s="204" t="s">
        <v>2276</v>
      </c>
      <c r="N2151" s="204" t="s">
        <v>2276</v>
      </c>
      <c r="O2151" s="204" t="s">
        <v>2276</v>
      </c>
      <c r="P2151" s="204" t="s">
        <v>2276</v>
      </c>
      <c r="Q2151" s="204" t="s">
        <v>2276</v>
      </c>
      <c r="R2151" s="204" t="s">
        <v>2276</v>
      </c>
      <c r="S2151" s="204" t="s">
        <v>2276</v>
      </c>
      <c r="T2151" s="204" t="s">
        <v>2276</v>
      </c>
      <c r="U2151" s="204" t="s">
        <v>2276</v>
      </c>
      <c r="V2151" s="204" t="s">
        <v>2276</v>
      </c>
      <c r="W2151" s="204" t="s">
        <v>2276</v>
      </c>
      <c r="X2151" s="204" t="s">
        <v>2276</v>
      </c>
      <c r="Y2151" s="204" t="s">
        <v>2276</v>
      </c>
      <c r="Z2151" s="204" t="s">
        <v>2276</v>
      </c>
      <c r="AA2151" s="204" t="s">
        <v>2276</v>
      </c>
      <c r="AB2151" s="4" t="s">
        <v>2276</v>
      </c>
      <c r="AC2151" s="4"/>
      <c r="AD2151" s="4"/>
    </row>
    <row r="2152" spans="1:30" s="60" customFormat="1" ht="36.5" customHeight="1">
      <c r="A2152" s="4" t="s">
        <v>6148</v>
      </c>
      <c r="B2152" s="4" t="s">
        <v>6193</v>
      </c>
      <c r="C2152" s="19" t="s">
        <v>24</v>
      </c>
      <c r="D2152" s="19" t="s">
        <v>1242</v>
      </c>
      <c r="E2152" s="19" t="s">
        <v>137</v>
      </c>
      <c r="F2152" s="19" t="s">
        <v>74</v>
      </c>
      <c r="G2152" s="19" t="s">
        <v>74</v>
      </c>
      <c r="H2152" s="19" t="s">
        <v>523</v>
      </c>
      <c r="I2152" s="19"/>
      <c r="J2152" s="19" t="s">
        <v>2276</v>
      </c>
      <c r="K2152" s="19" t="s">
        <v>2276</v>
      </c>
      <c r="L2152" s="19" t="s">
        <v>2276</v>
      </c>
      <c r="M2152" s="19" t="s">
        <v>2276</v>
      </c>
      <c r="N2152" s="19" t="s">
        <v>2276</v>
      </c>
      <c r="O2152" s="19" t="s">
        <v>2276</v>
      </c>
      <c r="P2152" s="19" t="s">
        <v>2276</v>
      </c>
      <c r="Q2152" s="19" t="s">
        <v>2276</v>
      </c>
      <c r="R2152" s="19" t="s">
        <v>2276</v>
      </c>
      <c r="S2152" s="19" t="s">
        <v>2276</v>
      </c>
      <c r="T2152" s="19" t="s">
        <v>2276</v>
      </c>
      <c r="U2152" s="19" t="s">
        <v>2276</v>
      </c>
      <c r="V2152" s="19" t="s">
        <v>2276</v>
      </c>
      <c r="W2152" s="19" t="s">
        <v>2276</v>
      </c>
      <c r="X2152" s="19" t="s">
        <v>2276</v>
      </c>
      <c r="Y2152" s="19" t="s">
        <v>2276</v>
      </c>
      <c r="Z2152" s="204" t="s">
        <v>2276</v>
      </c>
      <c r="AA2152" s="204" t="s">
        <v>2276</v>
      </c>
      <c r="AB2152" s="19" t="s">
        <v>2276</v>
      </c>
      <c r="AC2152" s="19"/>
      <c r="AD2152" s="19"/>
    </row>
    <row r="2153" spans="1:30" s="60" customFormat="1" ht="36.5" customHeight="1">
      <c r="A2153" s="4" t="s">
        <v>6149</v>
      </c>
      <c r="B2153" s="4" t="s">
        <v>6194</v>
      </c>
      <c r="C2153" s="204" t="s">
        <v>31</v>
      </c>
      <c r="D2153" s="4" t="s">
        <v>30</v>
      </c>
      <c r="E2153" s="4" t="s">
        <v>2653</v>
      </c>
      <c r="F2153" s="4" t="s">
        <v>2276</v>
      </c>
      <c r="G2153" s="4" t="s">
        <v>74</v>
      </c>
      <c r="H2153" s="4" t="s">
        <v>523</v>
      </c>
      <c r="I2153" s="4"/>
      <c r="J2153" s="4" t="s">
        <v>2276</v>
      </c>
      <c r="K2153" s="4" t="s">
        <v>2276</v>
      </c>
      <c r="L2153" s="4" t="s">
        <v>2276</v>
      </c>
      <c r="M2153" s="4" t="s">
        <v>2276</v>
      </c>
      <c r="N2153" s="4" t="s">
        <v>2276</v>
      </c>
      <c r="O2153" s="4" t="s">
        <v>2276</v>
      </c>
      <c r="P2153" s="4" t="s">
        <v>2276</v>
      </c>
      <c r="Q2153" s="4" t="s">
        <v>2276</v>
      </c>
      <c r="R2153" s="4" t="s">
        <v>2276</v>
      </c>
      <c r="S2153" s="4" t="s">
        <v>2276</v>
      </c>
      <c r="T2153" s="4" t="s">
        <v>2276</v>
      </c>
      <c r="U2153" s="4" t="s">
        <v>2276</v>
      </c>
      <c r="V2153" s="4" t="s">
        <v>2276</v>
      </c>
      <c r="W2153" s="4" t="s">
        <v>2276</v>
      </c>
      <c r="X2153" s="4" t="s">
        <v>2276</v>
      </c>
      <c r="Y2153" s="4" t="s">
        <v>2276</v>
      </c>
      <c r="Z2153" s="4" t="s">
        <v>68</v>
      </c>
      <c r="AA2153" s="204" t="s">
        <v>35</v>
      </c>
      <c r="AB2153" s="4" t="s">
        <v>2276</v>
      </c>
      <c r="AC2153" s="4" t="s">
        <v>6189</v>
      </c>
      <c r="AD2153" s="4"/>
    </row>
    <row r="2154" spans="1:30" s="60" customFormat="1" ht="36.5" customHeight="1">
      <c r="A2154" s="4" t="s">
        <v>6149</v>
      </c>
      <c r="B2154" s="4" t="s">
        <v>6195</v>
      </c>
      <c r="C2154" s="204" t="s">
        <v>31</v>
      </c>
      <c r="D2154" s="4" t="s">
        <v>2276</v>
      </c>
      <c r="E2154" s="4" t="s">
        <v>2652</v>
      </c>
      <c r="F2154" s="4" t="s">
        <v>2276</v>
      </c>
      <c r="G2154" s="4" t="s">
        <v>74</v>
      </c>
      <c r="H2154" s="4" t="s">
        <v>523</v>
      </c>
      <c r="I2154" s="4"/>
      <c r="J2154" s="4" t="s">
        <v>2276</v>
      </c>
      <c r="K2154" s="4" t="s">
        <v>2276</v>
      </c>
      <c r="L2154" s="4" t="s">
        <v>2276</v>
      </c>
      <c r="M2154" s="4" t="s">
        <v>2276</v>
      </c>
      <c r="N2154" s="4" t="s">
        <v>2276</v>
      </c>
      <c r="O2154" s="4" t="s">
        <v>2276</v>
      </c>
      <c r="P2154" s="4" t="s">
        <v>2276</v>
      </c>
      <c r="Q2154" s="4" t="s">
        <v>2276</v>
      </c>
      <c r="R2154" s="4" t="s">
        <v>2276</v>
      </c>
      <c r="S2154" s="4" t="s">
        <v>2276</v>
      </c>
      <c r="T2154" s="4" t="s">
        <v>2276</v>
      </c>
      <c r="U2154" s="4" t="s">
        <v>2276</v>
      </c>
      <c r="V2154" s="4" t="s">
        <v>2276</v>
      </c>
      <c r="W2154" s="4" t="s">
        <v>2276</v>
      </c>
      <c r="X2154" s="4" t="s">
        <v>2276</v>
      </c>
      <c r="Y2154" s="4" t="s">
        <v>2276</v>
      </c>
      <c r="Z2154" s="4" t="s">
        <v>68</v>
      </c>
      <c r="AA2154" s="204" t="s">
        <v>68</v>
      </c>
      <c r="AB2154" s="4" t="s">
        <v>2276</v>
      </c>
      <c r="AC2154" s="4" t="s">
        <v>6189</v>
      </c>
      <c r="AD2154" s="4"/>
    </row>
    <row r="2155" spans="1:30" s="60" customFormat="1" ht="36.5" customHeight="1">
      <c r="A2155" s="4" t="s">
        <v>6149</v>
      </c>
      <c r="B2155" s="4" t="s">
        <v>6196</v>
      </c>
      <c r="C2155" s="4" t="s">
        <v>24</v>
      </c>
      <c r="D2155" s="4" t="s">
        <v>1242</v>
      </c>
      <c r="E2155" s="4" t="s">
        <v>137</v>
      </c>
      <c r="F2155" s="4" t="s">
        <v>74</v>
      </c>
      <c r="G2155" s="4" t="s">
        <v>74</v>
      </c>
      <c r="H2155" s="4" t="s">
        <v>523</v>
      </c>
      <c r="I2155" s="4"/>
      <c r="J2155" s="4" t="s">
        <v>2276</v>
      </c>
      <c r="K2155" s="4" t="s">
        <v>2276</v>
      </c>
      <c r="L2155" s="4" t="s">
        <v>2276</v>
      </c>
      <c r="M2155" s="4" t="s">
        <v>2276</v>
      </c>
      <c r="N2155" s="4" t="s">
        <v>2276</v>
      </c>
      <c r="O2155" s="4" t="s">
        <v>2276</v>
      </c>
      <c r="P2155" s="4" t="s">
        <v>2276</v>
      </c>
      <c r="Q2155" s="4" t="s">
        <v>2276</v>
      </c>
      <c r="R2155" s="4" t="s">
        <v>2276</v>
      </c>
      <c r="S2155" s="4" t="s">
        <v>2276</v>
      </c>
      <c r="T2155" s="4" t="s">
        <v>2276</v>
      </c>
      <c r="U2155" s="4" t="s">
        <v>2276</v>
      </c>
      <c r="V2155" s="4" t="s">
        <v>2276</v>
      </c>
      <c r="W2155" s="4" t="s">
        <v>2276</v>
      </c>
      <c r="X2155" s="4" t="s">
        <v>2276</v>
      </c>
      <c r="Y2155" s="4" t="s">
        <v>2276</v>
      </c>
      <c r="Z2155" s="4" t="s">
        <v>2276</v>
      </c>
      <c r="AA2155" s="4" t="s">
        <v>2276</v>
      </c>
      <c r="AB2155" s="4" t="s">
        <v>2276</v>
      </c>
      <c r="AC2155" s="4"/>
      <c r="AD2155" s="4"/>
    </row>
    <row r="2156" spans="1:30" s="60" customFormat="1" ht="36.5" customHeight="1">
      <c r="A2156" s="4" t="s">
        <v>6149</v>
      </c>
      <c r="B2156" s="4" t="s">
        <v>6197</v>
      </c>
      <c r="C2156" s="4" t="s">
        <v>24</v>
      </c>
      <c r="D2156" s="4" t="s">
        <v>1242</v>
      </c>
      <c r="E2156" s="4" t="s">
        <v>2649</v>
      </c>
      <c r="F2156" s="4" t="s">
        <v>74</v>
      </c>
      <c r="G2156" s="4" t="s">
        <v>74</v>
      </c>
      <c r="H2156" s="4" t="s">
        <v>523</v>
      </c>
      <c r="I2156" s="4"/>
      <c r="J2156" s="4" t="s">
        <v>2276</v>
      </c>
      <c r="K2156" s="4" t="s">
        <v>2276</v>
      </c>
      <c r="L2156" s="4" t="s">
        <v>2276</v>
      </c>
      <c r="M2156" s="4" t="s">
        <v>2276</v>
      </c>
      <c r="N2156" s="4" t="s">
        <v>2276</v>
      </c>
      <c r="O2156" s="4" t="s">
        <v>2276</v>
      </c>
      <c r="P2156" s="4" t="s">
        <v>2276</v>
      </c>
      <c r="Q2156" s="4" t="s">
        <v>2276</v>
      </c>
      <c r="R2156" s="4" t="s">
        <v>2276</v>
      </c>
      <c r="S2156" s="4" t="s">
        <v>2276</v>
      </c>
      <c r="T2156" s="4" t="s">
        <v>2276</v>
      </c>
      <c r="U2156" s="4" t="s">
        <v>2276</v>
      </c>
      <c r="V2156" s="4" t="s">
        <v>2276</v>
      </c>
      <c r="W2156" s="4" t="s">
        <v>2276</v>
      </c>
      <c r="X2156" s="4" t="s">
        <v>2276</v>
      </c>
      <c r="Y2156" s="4" t="s">
        <v>2276</v>
      </c>
      <c r="Z2156" s="4" t="s">
        <v>2276</v>
      </c>
      <c r="AA2156" s="4" t="s">
        <v>2276</v>
      </c>
      <c r="AB2156" s="4" t="s">
        <v>2276</v>
      </c>
      <c r="AC2156" s="4"/>
      <c r="AD2156" s="4"/>
    </row>
    <row r="2157" spans="1:30" s="205" customFormat="1" ht="36.5" customHeight="1">
      <c r="A2157" s="4" t="s">
        <v>6639</v>
      </c>
      <c r="B2157" s="4" t="s">
        <v>6646</v>
      </c>
      <c r="C2157" s="4" t="s">
        <v>24</v>
      </c>
      <c r="D2157" s="4" t="s">
        <v>1242</v>
      </c>
      <c r="E2157" s="4" t="s">
        <v>137</v>
      </c>
      <c r="F2157" s="4" t="s">
        <v>74</v>
      </c>
      <c r="G2157" s="4" t="s">
        <v>74</v>
      </c>
      <c r="H2157" s="4" t="s">
        <v>523</v>
      </c>
      <c r="I2157" s="4"/>
      <c r="J2157" s="4" t="s">
        <v>2276</v>
      </c>
      <c r="K2157" s="4" t="s">
        <v>2276</v>
      </c>
      <c r="L2157" s="4" t="s">
        <v>2276</v>
      </c>
      <c r="M2157" s="4" t="s">
        <v>2276</v>
      </c>
      <c r="N2157" s="4" t="s">
        <v>2276</v>
      </c>
      <c r="O2157" s="4" t="s">
        <v>2276</v>
      </c>
      <c r="P2157" s="4" t="s">
        <v>2276</v>
      </c>
      <c r="Q2157" s="4" t="s">
        <v>2276</v>
      </c>
      <c r="R2157" s="4" t="s">
        <v>2276</v>
      </c>
      <c r="S2157" s="4" t="s">
        <v>2276</v>
      </c>
      <c r="T2157" s="4" t="s">
        <v>2276</v>
      </c>
      <c r="U2157" s="4" t="s">
        <v>2276</v>
      </c>
      <c r="V2157" s="4" t="s">
        <v>2276</v>
      </c>
      <c r="W2157" s="4" t="s">
        <v>2276</v>
      </c>
      <c r="X2157" s="73">
        <f>100*(125000/1000000)/58</f>
        <v>0.21551724137931033</v>
      </c>
      <c r="Y2157" s="4" t="s">
        <v>2276</v>
      </c>
      <c r="Z2157" s="4" t="s">
        <v>2276</v>
      </c>
      <c r="AA2157" s="4" t="s">
        <v>2276</v>
      </c>
      <c r="AB2157" s="4" t="s">
        <v>2276</v>
      </c>
      <c r="AC2157" s="4"/>
      <c r="AD2157" s="4"/>
    </row>
    <row r="2158" spans="1:30" s="205" customFormat="1" ht="36.5" customHeight="1">
      <c r="A2158" s="4" t="s">
        <v>6639</v>
      </c>
      <c r="B2158" s="4" t="s">
        <v>6647</v>
      </c>
      <c r="C2158" s="4" t="s">
        <v>24</v>
      </c>
      <c r="D2158" s="4" t="s">
        <v>1242</v>
      </c>
      <c r="E2158" s="4" t="s">
        <v>2649</v>
      </c>
      <c r="F2158" s="4" t="s">
        <v>74</v>
      </c>
      <c r="G2158" s="4" t="s">
        <v>74</v>
      </c>
      <c r="H2158" s="4" t="s">
        <v>523</v>
      </c>
      <c r="I2158" s="4"/>
      <c r="J2158" s="4" t="s">
        <v>2276</v>
      </c>
      <c r="K2158" s="4" t="s">
        <v>2276</v>
      </c>
      <c r="L2158" s="4" t="s">
        <v>2276</v>
      </c>
      <c r="M2158" s="4" t="s">
        <v>2276</v>
      </c>
      <c r="N2158" s="4" t="s">
        <v>2276</v>
      </c>
      <c r="O2158" s="4" t="s">
        <v>2276</v>
      </c>
      <c r="P2158" s="4" t="s">
        <v>2276</v>
      </c>
      <c r="Q2158" s="4" t="s">
        <v>2276</v>
      </c>
      <c r="R2158" s="4" t="s">
        <v>2276</v>
      </c>
      <c r="S2158" s="4" t="s">
        <v>2276</v>
      </c>
      <c r="T2158" s="4" t="s">
        <v>2276</v>
      </c>
      <c r="U2158" s="4" t="s">
        <v>2276</v>
      </c>
      <c r="V2158" s="4" t="s">
        <v>2276</v>
      </c>
      <c r="W2158" s="4" t="s">
        <v>2276</v>
      </c>
      <c r="X2158" s="73">
        <f>100*(20000/1000000)/50</f>
        <v>0.04</v>
      </c>
      <c r="Y2158" s="4" t="s">
        <v>2276</v>
      </c>
      <c r="Z2158" s="4" t="s">
        <v>2276</v>
      </c>
      <c r="AA2158" s="4" t="s">
        <v>2276</v>
      </c>
      <c r="AB2158" s="4" t="s">
        <v>2276</v>
      </c>
      <c r="AC2158" s="4"/>
      <c r="AD2158" s="4"/>
    </row>
    <row r="2159" spans="1:30" s="205" customFormat="1" ht="36.5" customHeight="1">
      <c r="A2159" s="4" t="s">
        <v>6640</v>
      </c>
      <c r="B2159" s="4" t="s">
        <v>6648</v>
      </c>
      <c r="C2159" s="4" t="s">
        <v>24</v>
      </c>
      <c r="D2159" s="4" t="s">
        <v>1242</v>
      </c>
      <c r="E2159" s="4" t="s">
        <v>137</v>
      </c>
      <c r="F2159" s="4" t="s">
        <v>74</v>
      </c>
      <c r="G2159" s="4" t="s">
        <v>74</v>
      </c>
      <c r="H2159" s="4" t="s">
        <v>523</v>
      </c>
      <c r="I2159" s="4"/>
      <c r="J2159" s="4" t="s">
        <v>2276</v>
      </c>
      <c r="K2159" s="4" t="s">
        <v>2276</v>
      </c>
      <c r="L2159" s="4" t="s">
        <v>2276</v>
      </c>
      <c r="M2159" s="4" t="s">
        <v>2276</v>
      </c>
      <c r="N2159" s="4" t="s">
        <v>2276</v>
      </c>
      <c r="O2159" s="4" t="s">
        <v>2276</v>
      </c>
      <c r="P2159" s="4" t="s">
        <v>2276</v>
      </c>
      <c r="Q2159" s="4" t="s">
        <v>2276</v>
      </c>
      <c r="R2159" s="4" t="s">
        <v>2276</v>
      </c>
      <c r="S2159" s="4" t="s">
        <v>2276</v>
      </c>
      <c r="T2159" s="4" t="s">
        <v>2276</v>
      </c>
      <c r="U2159" s="4" t="s">
        <v>2276</v>
      </c>
      <c r="V2159" s="4" t="s">
        <v>2276</v>
      </c>
      <c r="W2159" s="4" t="s">
        <v>2276</v>
      </c>
      <c r="X2159" s="21">
        <f>100*(90000/1000000)/58</f>
        <v>0.15517241379310345</v>
      </c>
      <c r="Y2159" s="4" t="s">
        <v>2276</v>
      </c>
      <c r="Z2159" s="4" t="s">
        <v>2276</v>
      </c>
      <c r="AA2159" s="4" t="s">
        <v>2276</v>
      </c>
      <c r="AB2159" s="4" t="s">
        <v>2276</v>
      </c>
      <c r="AC2159" s="4"/>
      <c r="AD2159" s="4"/>
    </row>
    <row r="2160" spans="1:30" s="205" customFormat="1" ht="36.5" customHeight="1">
      <c r="A2160" s="4" t="s">
        <v>6640</v>
      </c>
      <c r="B2160" s="4" t="s">
        <v>6649</v>
      </c>
      <c r="C2160" s="4" t="s">
        <v>24</v>
      </c>
      <c r="D2160" s="4" t="s">
        <v>1242</v>
      </c>
      <c r="E2160" s="4" t="s">
        <v>2649</v>
      </c>
      <c r="F2160" s="4" t="s">
        <v>74</v>
      </c>
      <c r="G2160" s="4" t="s">
        <v>74</v>
      </c>
      <c r="H2160" s="4" t="s">
        <v>523</v>
      </c>
      <c r="I2160" s="4"/>
      <c r="J2160" s="4" t="s">
        <v>2276</v>
      </c>
      <c r="K2160" s="4" t="s">
        <v>2276</v>
      </c>
      <c r="L2160" s="4" t="s">
        <v>2276</v>
      </c>
      <c r="M2160" s="4" t="s">
        <v>2276</v>
      </c>
      <c r="N2160" s="4" t="s">
        <v>2276</v>
      </c>
      <c r="O2160" s="4" t="s">
        <v>2276</v>
      </c>
      <c r="P2160" s="4" t="s">
        <v>2276</v>
      </c>
      <c r="Q2160" s="4" t="s">
        <v>2276</v>
      </c>
      <c r="R2160" s="4" t="s">
        <v>2276</v>
      </c>
      <c r="S2160" s="4" t="s">
        <v>2276</v>
      </c>
      <c r="T2160" s="4" t="s">
        <v>2276</v>
      </c>
      <c r="U2160" s="4" t="s">
        <v>2276</v>
      </c>
      <c r="V2160" s="4" t="s">
        <v>2276</v>
      </c>
      <c r="W2160" s="4" t="s">
        <v>2276</v>
      </c>
      <c r="X2160" s="73">
        <f>100*(15000/1000000)/50</f>
        <v>0.03</v>
      </c>
      <c r="Y2160" s="4" t="s">
        <v>2276</v>
      </c>
      <c r="Z2160" s="4" t="s">
        <v>2276</v>
      </c>
      <c r="AA2160" s="4" t="s">
        <v>2276</v>
      </c>
      <c r="AB2160" s="4" t="s">
        <v>2276</v>
      </c>
      <c r="AC2160" s="4"/>
      <c r="AD2160" s="4"/>
    </row>
    <row r="2161" spans="1:30" s="205" customFormat="1" ht="36.5" customHeight="1">
      <c r="A2161" s="4" t="s">
        <v>6641</v>
      </c>
      <c r="B2161" s="4" t="s">
        <v>6650</v>
      </c>
      <c r="C2161" s="4" t="s">
        <v>24</v>
      </c>
      <c r="D2161" s="4" t="s">
        <v>1242</v>
      </c>
      <c r="E2161" s="4" t="s">
        <v>137</v>
      </c>
      <c r="F2161" s="4" t="s">
        <v>74</v>
      </c>
      <c r="G2161" s="4" t="s">
        <v>74</v>
      </c>
      <c r="H2161" s="4" t="s">
        <v>523</v>
      </c>
      <c r="I2161" s="4"/>
      <c r="J2161" s="4" t="s">
        <v>2276</v>
      </c>
      <c r="K2161" s="4" t="s">
        <v>2276</v>
      </c>
      <c r="L2161" s="4" t="s">
        <v>2276</v>
      </c>
      <c r="M2161" s="4" t="s">
        <v>2276</v>
      </c>
      <c r="N2161" s="4" t="s">
        <v>2276</v>
      </c>
      <c r="O2161" s="4" t="s">
        <v>2276</v>
      </c>
      <c r="P2161" s="4" t="s">
        <v>2276</v>
      </c>
      <c r="Q2161" s="4" t="s">
        <v>2276</v>
      </c>
      <c r="R2161" s="4" t="s">
        <v>2276</v>
      </c>
      <c r="S2161" s="4" t="s">
        <v>2276</v>
      </c>
      <c r="T2161" s="4" t="s">
        <v>2276</v>
      </c>
      <c r="U2161" s="4" t="s">
        <v>2276</v>
      </c>
      <c r="V2161" s="4" t="s">
        <v>2276</v>
      </c>
      <c r="W2161" s="4" t="s">
        <v>2276</v>
      </c>
      <c r="X2161" s="21">
        <f>100*(100000/1000000)/58</f>
        <v>0.17241379310344829</v>
      </c>
      <c r="Y2161" s="4" t="s">
        <v>2276</v>
      </c>
      <c r="Z2161" s="4" t="s">
        <v>2276</v>
      </c>
      <c r="AA2161" s="4" t="s">
        <v>2276</v>
      </c>
      <c r="AB2161" s="4" t="s">
        <v>2276</v>
      </c>
      <c r="AC2161" s="4"/>
      <c r="AD2161" s="4"/>
    </row>
    <row r="2162" spans="1:30" s="205" customFormat="1" ht="36.5" customHeight="1">
      <c r="A2162" s="4" t="s">
        <v>6641</v>
      </c>
      <c r="B2162" s="4" t="s">
        <v>6651</v>
      </c>
      <c r="C2162" s="4" t="s">
        <v>24</v>
      </c>
      <c r="D2162" s="4" t="s">
        <v>1242</v>
      </c>
      <c r="E2162" s="4" t="s">
        <v>2649</v>
      </c>
      <c r="F2162" s="4" t="s">
        <v>74</v>
      </c>
      <c r="G2162" s="4" t="s">
        <v>74</v>
      </c>
      <c r="H2162" s="4" t="s">
        <v>523</v>
      </c>
      <c r="I2162" s="4"/>
      <c r="J2162" s="4" t="s">
        <v>2276</v>
      </c>
      <c r="K2162" s="4" t="s">
        <v>2276</v>
      </c>
      <c r="L2162" s="4" t="s">
        <v>2276</v>
      </c>
      <c r="M2162" s="4" t="s">
        <v>2276</v>
      </c>
      <c r="N2162" s="4" t="s">
        <v>2276</v>
      </c>
      <c r="O2162" s="4" t="s">
        <v>2276</v>
      </c>
      <c r="P2162" s="4" t="s">
        <v>2276</v>
      </c>
      <c r="Q2162" s="4" t="s">
        <v>2276</v>
      </c>
      <c r="R2162" s="4" t="s">
        <v>2276</v>
      </c>
      <c r="S2162" s="4" t="s">
        <v>2276</v>
      </c>
      <c r="T2162" s="4" t="s">
        <v>2276</v>
      </c>
      <c r="U2162" s="4" t="s">
        <v>2276</v>
      </c>
      <c r="V2162" s="4" t="s">
        <v>2276</v>
      </c>
      <c r="W2162" s="4" t="s">
        <v>2276</v>
      </c>
      <c r="X2162" s="73">
        <f>100*(30000/1000000)/50</f>
        <v>0.06</v>
      </c>
      <c r="Y2162" s="4" t="s">
        <v>2276</v>
      </c>
      <c r="Z2162" s="4" t="s">
        <v>2276</v>
      </c>
      <c r="AA2162" s="4" t="s">
        <v>2276</v>
      </c>
      <c r="AB2162" s="4" t="s">
        <v>2276</v>
      </c>
      <c r="AC2162" s="4"/>
      <c r="AD2162" s="4"/>
    </row>
    <row r="2163" spans="1:30" s="60" customFormat="1" ht="36.5" customHeight="1">
      <c r="A2163" s="4" t="s">
        <v>6150</v>
      </c>
      <c r="B2163" s="4" t="s">
        <v>6198</v>
      </c>
      <c r="C2163" s="204" t="s">
        <v>2658</v>
      </c>
      <c r="D2163" s="204" t="s">
        <v>2276</v>
      </c>
      <c r="E2163" s="204" t="s">
        <v>2276</v>
      </c>
      <c r="F2163" s="4" t="s">
        <v>2276</v>
      </c>
      <c r="G2163" s="4" t="s">
        <v>2662</v>
      </c>
      <c r="H2163" s="4" t="s">
        <v>523</v>
      </c>
      <c r="I2163" s="4"/>
      <c r="J2163" s="21">
        <f>2812/'Record info'!$K$932</f>
        <v>0.13049329435240614</v>
      </c>
      <c r="K2163" s="4" t="s">
        <v>2276</v>
      </c>
      <c r="L2163" s="4" t="s">
        <v>2276</v>
      </c>
      <c r="M2163" s="4" t="s">
        <v>2276</v>
      </c>
      <c r="N2163" s="4" t="s">
        <v>2276</v>
      </c>
      <c r="O2163" s="4" t="s">
        <v>2276</v>
      </c>
      <c r="P2163" s="21">
        <f>T2163/2812</f>
        <v>67.86486486486487</v>
      </c>
      <c r="Q2163" s="4" t="s">
        <v>2276</v>
      </c>
      <c r="R2163" s="4" t="s">
        <v>2276</v>
      </c>
      <c r="S2163" s="4" t="s">
        <v>2276</v>
      </c>
      <c r="T2163" s="75">
        <f>190836</f>
        <v>190836</v>
      </c>
      <c r="U2163" s="4" t="s">
        <v>2276</v>
      </c>
      <c r="V2163" s="4" t="s">
        <v>2276</v>
      </c>
      <c r="W2163" s="4" t="s">
        <v>2276</v>
      </c>
      <c r="X2163" s="75">
        <f>190836/'Record info'!$K$932</f>
        <v>8.855909786997076</v>
      </c>
      <c r="Y2163" s="4" t="s">
        <v>2276</v>
      </c>
      <c r="Z2163" s="4" t="s">
        <v>404</v>
      </c>
      <c r="AA2163" s="4" t="s">
        <v>405</v>
      </c>
      <c r="AB2163" s="4" t="s">
        <v>2276</v>
      </c>
      <c r="AC2163" s="4"/>
      <c r="AD2163" s="4" t="s">
        <v>6664</v>
      </c>
    </row>
    <row r="2164" spans="1:30" s="60" customFormat="1" ht="36.5" customHeight="1">
      <c r="A2164" s="4" t="s">
        <v>6150</v>
      </c>
      <c r="B2164" s="4" t="s">
        <v>6657</v>
      </c>
      <c r="C2164" s="204" t="s">
        <v>2658</v>
      </c>
      <c r="D2164" s="204" t="s">
        <v>2276</v>
      </c>
      <c r="E2164" s="204" t="s">
        <v>2276</v>
      </c>
      <c r="F2164" s="4" t="s">
        <v>2276</v>
      </c>
      <c r="G2164" s="4" t="s">
        <v>2662</v>
      </c>
      <c r="H2164" s="4" t="s">
        <v>523</v>
      </c>
      <c r="I2164" s="4"/>
      <c r="J2164" s="21">
        <f>(15151/7)/'Record info'!$K$932</f>
        <v>0.10044218160604072</v>
      </c>
      <c r="K2164" s="4" t="s">
        <v>2276</v>
      </c>
      <c r="L2164" s="4" t="s">
        <v>2276</v>
      </c>
      <c r="M2164" s="4" t="s">
        <v>2276</v>
      </c>
      <c r="N2164" s="4" t="s">
        <v>2276</v>
      </c>
      <c r="O2164" s="4" t="s">
        <v>2276</v>
      </c>
      <c r="P2164" s="21">
        <f>T2164/(15151/7)</f>
        <v>19.111741799221171</v>
      </c>
      <c r="Q2164" s="4" t="s">
        <v>2276</v>
      </c>
      <c r="R2164" s="4" t="s">
        <v>2276</v>
      </c>
      <c r="S2164" s="4" t="s">
        <v>2276</v>
      </c>
      <c r="T2164" s="75">
        <f>41366</f>
        <v>41366</v>
      </c>
      <c r="U2164" s="4" t="s">
        <v>2276</v>
      </c>
      <c r="V2164" s="4" t="s">
        <v>2276</v>
      </c>
      <c r="W2164" s="4" t="s">
        <v>2276</v>
      </c>
      <c r="X2164" s="75">
        <f>41366/'Record info'!$K$932</f>
        <v>1.9196250406051325</v>
      </c>
      <c r="Y2164" s="4" t="s">
        <v>2276</v>
      </c>
      <c r="Z2164" s="4" t="s">
        <v>404</v>
      </c>
      <c r="AA2164" s="4" t="s">
        <v>405</v>
      </c>
      <c r="AB2164" s="4" t="s">
        <v>2276</v>
      </c>
      <c r="AC2164" s="4"/>
      <c r="AD2164" s="4" t="s">
        <v>6664</v>
      </c>
    </row>
    <row r="2165" spans="1:30" s="205" customFormat="1" ht="36.5" customHeight="1">
      <c r="A2165" s="4" t="s">
        <v>6150</v>
      </c>
      <c r="B2165" s="4" t="s">
        <v>6658</v>
      </c>
      <c r="C2165" s="204" t="s">
        <v>2658</v>
      </c>
      <c r="D2165" s="204" t="s">
        <v>2276</v>
      </c>
      <c r="E2165" s="204" t="s">
        <v>2276</v>
      </c>
      <c r="F2165" s="4" t="s">
        <v>2276</v>
      </c>
      <c r="G2165" s="4" t="s">
        <v>2662</v>
      </c>
      <c r="H2165" s="4" t="s">
        <v>523</v>
      </c>
      <c r="I2165" s="4"/>
      <c r="J2165" s="21">
        <f>15151/7/'Record info'!$K$932</f>
        <v>0.10044218160604072</v>
      </c>
      <c r="K2165" s="4" t="s">
        <v>2276</v>
      </c>
      <c r="L2165" s="4" t="s">
        <v>2276</v>
      </c>
      <c r="M2165" s="4" t="s">
        <v>2276</v>
      </c>
      <c r="N2165" s="4" t="s">
        <v>2276</v>
      </c>
      <c r="O2165" s="4" t="s">
        <v>2276</v>
      </c>
      <c r="P2165" s="21">
        <f t="shared" ref="P2165:P2170" si="0">T2165/(15151/7)</f>
        <v>6.4118540030361029</v>
      </c>
      <c r="Q2165" s="4" t="s">
        <v>2276</v>
      </c>
      <c r="R2165" s="4" t="s">
        <v>2276</v>
      </c>
      <c r="S2165" s="4" t="s">
        <v>2276</v>
      </c>
      <c r="T2165" s="75">
        <f>13878</f>
        <v>13878</v>
      </c>
      <c r="U2165" s="4" t="s">
        <v>2276</v>
      </c>
      <c r="V2165" s="4" t="s">
        <v>2276</v>
      </c>
      <c r="W2165" s="4" t="s">
        <v>2276</v>
      </c>
      <c r="X2165" s="75">
        <f>13878/'Record info'!$K$932</f>
        <v>0.64402060420437146</v>
      </c>
      <c r="Y2165" s="4" t="s">
        <v>2276</v>
      </c>
      <c r="Z2165" s="4" t="s">
        <v>404</v>
      </c>
      <c r="AA2165" s="4" t="s">
        <v>405</v>
      </c>
      <c r="AB2165" s="4" t="s">
        <v>2276</v>
      </c>
      <c r="AC2165" s="4"/>
      <c r="AD2165" s="4" t="s">
        <v>6664</v>
      </c>
    </row>
    <row r="2166" spans="1:30" s="205" customFormat="1" ht="36.5" customHeight="1">
      <c r="A2166" s="4" t="s">
        <v>6150</v>
      </c>
      <c r="B2166" s="4" t="s">
        <v>6659</v>
      </c>
      <c r="C2166" s="204" t="s">
        <v>2658</v>
      </c>
      <c r="D2166" s="204" t="s">
        <v>2276</v>
      </c>
      <c r="E2166" s="204" t="s">
        <v>2276</v>
      </c>
      <c r="F2166" s="4" t="s">
        <v>2276</v>
      </c>
      <c r="G2166" s="4" t="s">
        <v>2662</v>
      </c>
      <c r="H2166" s="4" t="s">
        <v>523</v>
      </c>
      <c r="I2166" s="4"/>
      <c r="J2166" s="21">
        <f>15151/7/'Record info'!$K$932</f>
        <v>0.10044218160604072</v>
      </c>
      <c r="K2166" s="4" t="s">
        <v>2276</v>
      </c>
      <c r="L2166" s="4" t="s">
        <v>2276</v>
      </c>
      <c r="M2166" s="4" t="s">
        <v>2276</v>
      </c>
      <c r="N2166" s="4" t="s">
        <v>2276</v>
      </c>
      <c r="O2166" s="4" t="s">
        <v>2276</v>
      </c>
      <c r="P2166" s="21">
        <f t="shared" si="0"/>
        <v>6.4118540030361029</v>
      </c>
      <c r="Q2166" s="4" t="s">
        <v>2276</v>
      </c>
      <c r="R2166" s="4" t="s">
        <v>2276</v>
      </c>
      <c r="S2166" s="4" t="s">
        <v>2276</v>
      </c>
      <c r="T2166" s="75">
        <f>13878</f>
        <v>13878</v>
      </c>
      <c r="U2166" s="4" t="s">
        <v>2276</v>
      </c>
      <c r="V2166" s="4" t="s">
        <v>2276</v>
      </c>
      <c r="W2166" s="4" t="s">
        <v>2276</v>
      </c>
      <c r="X2166" s="75">
        <f>13878/'Record info'!$K$932</f>
        <v>0.64402060420437146</v>
      </c>
      <c r="Y2166" s="4" t="s">
        <v>2276</v>
      </c>
      <c r="Z2166" s="4" t="s">
        <v>404</v>
      </c>
      <c r="AA2166" s="4" t="s">
        <v>405</v>
      </c>
      <c r="AB2166" s="4" t="s">
        <v>2276</v>
      </c>
      <c r="AC2166" s="4"/>
      <c r="AD2166" s="4" t="s">
        <v>6664</v>
      </c>
    </row>
    <row r="2167" spans="1:30" s="205" customFormat="1" ht="36.5" customHeight="1">
      <c r="A2167" s="4" t="s">
        <v>6150</v>
      </c>
      <c r="B2167" s="4" t="s">
        <v>6660</v>
      </c>
      <c r="C2167" s="204" t="s">
        <v>2658</v>
      </c>
      <c r="D2167" s="204" t="s">
        <v>2276</v>
      </c>
      <c r="E2167" s="204" t="s">
        <v>2276</v>
      </c>
      <c r="F2167" s="4" t="s">
        <v>2276</v>
      </c>
      <c r="G2167" s="4" t="s">
        <v>2662</v>
      </c>
      <c r="H2167" s="4" t="s">
        <v>523</v>
      </c>
      <c r="I2167" s="4"/>
      <c r="J2167" s="21">
        <f>15151/7/'Record info'!$K$932</f>
        <v>0.10044218160604072</v>
      </c>
      <c r="K2167" s="4" t="s">
        <v>2276</v>
      </c>
      <c r="L2167" s="4" t="s">
        <v>2276</v>
      </c>
      <c r="M2167" s="4" t="s">
        <v>2276</v>
      </c>
      <c r="N2167" s="4" t="s">
        <v>2276</v>
      </c>
      <c r="O2167" s="4" t="s">
        <v>2276</v>
      </c>
      <c r="P2167" s="21">
        <f t="shared" si="0"/>
        <v>6.4118540030361029</v>
      </c>
      <c r="Q2167" s="4" t="s">
        <v>2276</v>
      </c>
      <c r="R2167" s="4" t="s">
        <v>2276</v>
      </c>
      <c r="S2167" s="4" t="s">
        <v>2276</v>
      </c>
      <c r="T2167" s="75">
        <f>13878</f>
        <v>13878</v>
      </c>
      <c r="U2167" s="4" t="s">
        <v>2276</v>
      </c>
      <c r="V2167" s="4" t="s">
        <v>2276</v>
      </c>
      <c r="W2167" s="4" t="s">
        <v>2276</v>
      </c>
      <c r="X2167" s="75">
        <f>13878/'Record info'!$K$932</f>
        <v>0.64402060420437146</v>
      </c>
      <c r="Y2167" s="4" t="s">
        <v>2276</v>
      </c>
      <c r="Z2167" s="4" t="s">
        <v>404</v>
      </c>
      <c r="AA2167" s="4" t="s">
        <v>405</v>
      </c>
      <c r="AB2167" s="4" t="s">
        <v>2276</v>
      </c>
      <c r="AC2167" s="4"/>
      <c r="AD2167" s="4" t="s">
        <v>6664</v>
      </c>
    </row>
    <row r="2168" spans="1:30" s="205" customFormat="1" ht="36.5" customHeight="1">
      <c r="A2168" s="4" t="s">
        <v>6150</v>
      </c>
      <c r="B2168" s="4" t="s">
        <v>6661</v>
      </c>
      <c r="C2168" s="204" t="s">
        <v>2658</v>
      </c>
      <c r="D2168" s="204" t="s">
        <v>2276</v>
      </c>
      <c r="E2168" s="204" t="s">
        <v>2276</v>
      </c>
      <c r="F2168" s="4" t="s">
        <v>2276</v>
      </c>
      <c r="G2168" s="4" t="s">
        <v>2662</v>
      </c>
      <c r="H2168" s="4" t="s">
        <v>523</v>
      </c>
      <c r="I2168" s="4"/>
      <c r="J2168" s="21">
        <f>15151/7/'Record info'!$K$932</f>
        <v>0.10044218160604072</v>
      </c>
      <c r="K2168" s="4" t="s">
        <v>2276</v>
      </c>
      <c r="L2168" s="4" t="s">
        <v>2276</v>
      </c>
      <c r="M2168" s="4" t="s">
        <v>2276</v>
      </c>
      <c r="N2168" s="4" t="s">
        <v>2276</v>
      </c>
      <c r="O2168" s="4" t="s">
        <v>2276</v>
      </c>
      <c r="P2168" s="21">
        <f t="shared" si="0"/>
        <v>6.4118540030361029</v>
      </c>
      <c r="Q2168" s="4" t="s">
        <v>2276</v>
      </c>
      <c r="R2168" s="4" t="s">
        <v>2276</v>
      </c>
      <c r="S2168" s="4" t="s">
        <v>2276</v>
      </c>
      <c r="T2168" s="75">
        <f>13878</f>
        <v>13878</v>
      </c>
      <c r="U2168" s="4" t="s">
        <v>2276</v>
      </c>
      <c r="V2168" s="4" t="s">
        <v>2276</v>
      </c>
      <c r="W2168" s="4" t="s">
        <v>2276</v>
      </c>
      <c r="X2168" s="75">
        <f>13878/'Record info'!$K$932</f>
        <v>0.64402060420437146</v>
      </c>
      <c r="Y2168" s="4" t="s">
        <v>2276</v>
      </c>
      <c r="Z2168" s="4" t="s">
        <v>404</v>
      </c>
      <c r="AA2168" s="4" t="s">
        <v>405</v>
      </c>
      <c r="AB2168" s="4" t="s">
        <v>2276</v>
      </c>
      <c r="AC2168" s="4"/>
      <c r="AD2168" s="4" t="s">
        <v>6664</v>
      </c>
    </row>
    <row r="2169" spans="1:30" s="205" customFormat="1" ht="36.5" customHeight="1">
      <c r="A2169" s="4" t="s">
        <v>6150</v>
      </c>
      <c r="B2169" s="4" t="s">
        <v>6662</v>
      </c>
      <c r="C2169" s="204" t="s">
        <v>2658</v>
      </c>
      <c r="D2169" s="204" t="s">
        <v>2276</v>
      </c>
      <c r="E2169" s="204" t="s">
        <v>2276</v>
      </c>
      <c r="F2169" s="4" t="s">
        <v>2276</v>
      </c>
      <c r="G2169" s="4" t="s">
        <v>2662</v>
      </c>
      <c r="H2169" s="4" t="s">
        <v>523</v>
      </c>
      <c r="I2169" s="4"/>
      <c r="J2169" s="21">
        <f>15151/7/'Record info'!$K$932</f>
        <v>0.10044218160604072</v>
      </c>
      <c r="K2169" s="4" t="s">
        <v>2276</v>
      </c>
      <c r="L2169" s="4" t="s">
        <v>2276</v>
      </c>
      <c r="M2169" s="4" t="s">
        <v>2276</v>
      </c>
      <c r="N2169" s="4" t="s">
        <v>2276</v>
      </c>
      <c r="O2169" s="4" t="s">
        <v>2276</v>
      </c>
      <c r="P2169" s="21">
        <f t="shared" si="0"/>
        <v>6.4118540030361029</v>
      </c>
      <c r="Q2169" s="4" t="s">
        <v>2276</v>
      </c>
      <c r="R2169" s="4" t="s">
        <v>2276</v>
      </c>
      <c r="S2169" s="4" t="s">
        <v>2276</v>
      </c>
      <c r="T2169" s="75">
        <f>13878</f>
        <v>13878</v>
      </c>
      <c r="U2169" s="4" t="s">
        <v>2276</v>
      </c>
      <c r="V2169" s="4" t="s">
        <v>2276</v>
      </c>
      <c r="W2169" s="4" t="s">
        <v>2276</v>
      </c>
      <c r="X2169" s="75">
        <f>13878/'Record info'!$K$932</f>
        <v>0.64402060420437146</v>
      </c>
      <c r="Y2169" s="4" t="s">
        <v>2276</v>
      </c>
      <c r="Z2169" s="4" t="s">
        <v>404</v>
      </c>
      <c r="AA2169" s="4" t="s">
        <v>405</v>
      </c>
      <c r="AB2169" s="4" t="s">
        <v>2276</v>
      </c>
      <c r="AC2169" s="4"/>
      <c r="AD2169" s="4" t="s">
        <v>6664</v>
      </c>
    </row>
    <row r="2170" spans="1:30" s="205" customFormat="1" ht="36.5" customHeight="1">
      <c r="A2170" s="4" t="s">
        <v>6150</v>
      </c>
      <c r="B2170" s="4" t="s">
        <v>6663</v>
      </c>
      <c r="C2170" s="204" t="s">
        <v>2658</v>
      </c>
      <c r="D2170" s="204" t="s">
        <v>2276</v>
      </c>
      <c r="E2170" s="204" t="s">
        <v>2276</v>
      </c>
      <c r="F2170" s="4" t="s">
        <v>2276</v>
      </c>
      <c r="G2170" s="4" t="s">
        <v>2662</v>
      </c>
      <c r="H2170" s="4" t="s">
        <v>523</v>
      </c>
      <c r="I2170" s="4"/>
      <c r="J2170" s="21">
        <f>15151/7/'Record info'!$K$932</f>
        <v>0.10044218160604072</v>
      </c>
      <c r="K2170" s="4" t="s">
        <v>2276</v>
      </c>
      <c r="L2170" s="4" t="s">
        <v>2276</v>
      </c>
      <c r="M2170" s="4" t="s">
        <v>2276</v>
      </c>
      <c r="N2170" s="4" t="s">
        <v>2276</v>
      </c>
      <c r="O2170" s="4" t="s">
        <v>2276</v>
      </c>
      <c r="P2170" s="21">
        <f t="shared" si="0"/>
        <v>6.4118540030361029</v>
      </c>
      <c r="Q2170" s="4" t="s">
        <v>2276</v>
      </c>
      <c r="R2170" s="4" t="s">
        <v>2276</v>
      </c>
      <c r="S2170" s="4" t="s">
        <v>2276</v>
      </c>
      <c r="T2170" s="75">
        <f>13878</f>
        <v>13878</v>
      </c>
      <c r="U2170" s="4" t="s">
        <v>2276</v>
      </c>
      <c r="V2170" s="4" t="s">
        <v>2276</v>
      </c>
      <c r="W2170" s="4" t="s">
        <v>2276</v>
      </c>
      <c r="X2170" s="75">
        <f>13878/'Record info'!$K$932</f>
        <v>0.64402060420437146</v>
      </c>
      <c r="Y2170" s="4" t="s">
        <v>2276</v>
      </c>
      <c r="Z2170" s="4" t="s">
        <v>404</v>
      </c>
      <c r="AA2170" s="4" t="s">
        <v>405</v>
      </c>
      <c r="AB2170" s="4" t="s">
        <v>2276</v>
      </c>
      <c r="AC2170" s="4"/>
      <c r="AD2170" s="4" t="s">
        <v>6664</v>
      </c>
    </row>
    <row r="2171" spans="1:30" s="60" customFormat="1" ht="36.5" customHeight="1">
      <c r="A2171" s="4" t="s">
        <v>6151</v>
      </c>
      <c r="B2171" s="4" t="s">
        <v>6199</v>
      </c>
      <c r="C2171" s="204" t="s">
        <v>1105</v>
      </c>
      <c r="D2171" s="204" t="s">
        <v>1105</v>
      </c>
      <c r="E2171" s="204" t="s">
        <v>1105</v>
      </c>
      <c r="F2171" s="4" t="s">
        <v>2276</v>
      </c>
      <c r="G2171" s="4" t="s">
        <v>2276</v>
      </c>
      <c r="H2171" s="4" t="s">
        <v>523</v>
      </c>
      <c r="I2171" s="4">
        <v>2003</v>
      </c>
      <c r="J2171" s="21">
        <f>20854/'Record info'!$K$933</f>
        <v>0.22615277838025419</v>
      </c>
      <c r="K2171" s="4" t="s">
        <v>2276</v>
      </c>
      <c r="L2171" s="4" t="s">
        <v>2276</v>
      </c>
      <c r="M2171" s="4" t="s">
        <v>2276</v>
      </c>
      <c r="N2171" s="4" t="s">
        <v>2276</v>
      </c>
      <c r="O2171" s="4" t="s">
        <v>2276</v>
      </c>
      <c r="P2171" s="21">
        <f>T2171/20854</f>
        <v>20.228972858923946</v>
      </c>
      <c r="Q2171" s="4" t="s">
        <v>2276</v>
      </c>
      <c r="R2171" s="4" t="s">
        <v>2276</v>
      </c>
      <c r="S2171" s="4" t="s">
        <v>2276</v>
      </c>
      <c r="T2171" s="75">
        <v>421855</v>
      </c>
      <c r="U2171" s="4" t="s">
        <v>2276</v>
      </c>
      <c r="V2171" s="4" t="s">
        <v>2276</v>
      </c>
      <c r="W2171" s="4" t="s">
        <v>2276</v>
      </c>
      <c r="X2171" s="75">
        <f>T2171/'Record info'!$K$933</f>
        <v>4.5748384158244049</v>
      </c>
      <c r="Y2171" s="4" t="s">
        <v>2276</v>
      </c>
      <c r="Z2171" s="4" t="s">
        <v>404</v>
      </c>
      <c r="AA2171" s="4" t="s">
        <v>405</v>
      </c>
      <c r="AB2171" s="204" t="s">
        <v>64</v>
      </c>
      <c r="AC2171" s="4"/>
      <c r="AD2171" s="4" t="s">
        <v>6669</v>
      </c>
    </row>
    <row r="2172" spans="1:30" s="205" customFormat="1" ht="36.5" customHeight="1">
      <c r="A2172" s="4" t="s">
        <v>6151</v>
      </c>
      <c r="B2172" s="4" t="s">
        <v>6200</v>
      </c>
      <c r="C2172" s="204" t="s">
        <v>1105</v>
      </c>
      <c r="D2172" s="204" t="s">
        <v>1105</v>
      </c>
      <c r="E2172" s="204" t="s">
        <v>1105</v>
      </c>
      <c r="F2172" s="4" t="s">
        <v>2276</v>
      </c>
      <c r="G2172" s="4" t="s">
        <v>74</v>
      </c>
      <c r="H2172" s="4" t="s">
        <v>523</v>
      </c>
      <c r="I2172" s="4">
        <v>2003</v>
      </c>
      <c r="J2172" s="4" t="s">
        <v>2276</v>
      </c>
      <c r="K2172" s="4" t="s">
        <v>2276</v>
      </c>
      <c r="L2172" s="4" t="s">
        <v>2276</v>
      </c>
      <c r="M2172" s="4" t="s">
        <v>2276</v>
      </c>
      <c r="N2172" s="4" t="s">
        <v>2276</v>
      </c>
      <c r="O2172" s="4" t="s">
        <v>2276</v>
      </c>
      <c r="P2172" s="4" t="s">
        <v>2276</v>
      </c>
      <c r="Q2172" s="4" t="s">
        <v>2276</v>
      </c>
      <c r="R2172" s="4" t="s">
        <v>2276</v>
      </c>
      <c r="S2172" s="4" t="s">
        <v>2276</v>
      </c>
      <c r="T2172" s="75">
        <v>283836</v>
      </c>
      <c r="U2172" s="4" t="s">
        <v>2276</v>
      </c>
      <c r="V2172" s="75">
        <f>8.6</f>
        <v>8.6</v>
      </c>
      <c r="W2172" s="4" t="s">
        <v>2276</v>
      </c>
      <c r="X2172" s="75">
        <f>T2172/'Record info'!$K$933</f>
        <v>3.0780809439118553</v>
      </c>
      <c r="Y2172" s="4" t="s">
        <v>2276</v>
      </c>
      <c r="Z2172" s="4" t="s">
        <v>404</v>
      </c>
      <c r="AA2172" s="4" t="s">
        <v>405</v>
      </c>
      <c r="AB2172" s="204" t="s">
        <v>64</v>
      </c>
      <c r="AC2172" s="4"/>
      <c r="AD2172" s="4" t="s">
        <v>6669</v>
      </c>
    </row>
    <row r="2173" spans="1:30" s="60" customFormat="1" ht="36.5" customHeight="1">
      <c r="A2173" s="4" t="s">
        <v>6151</v>
      </c>
      <c r="B2173" s="4" t="s">
        <v>6201</v>
      </c>
      <c r="C2173" s="204" t="s">
        <v>1105</v>
      </c>
      <c r="D2173" s="204" t="s">
        <v>1105</v>
      </c>
      <c r="E2173" s="204" t="s">
        <v>1105</v>
      </c>
      <c r="F2173" s="4" t="s">
        <v>2276</v>
      </c>
      <c r="G2173" s="4" t="s">
        <v>74</v>
      </c>
      <c r="H2173" s="4" t="s">
        <v>523</v>
      </c>
      <c r="I2173" s="4">
        <v>2005</v>
      </c>
      <c r="J2173" s="21">
        <f>35698/'Record info'!$K$933</f>
        <v>0.38712965774519587</v>
      </c>
      <c r="K2173" s="4" t="s">
        <v>2276</v>
      </c>
      <c r="L2173" s="4" t="s">
        <v>2276</v>
      </c>
      <c r="M2173" s="4" t="s">
        <v>2276</v>
      </c>
      <c r="N2173" s="4" t="s">
        <v>2276</v>
      </c>
      <c r="O2173" s="4" t="s">
        <v>2276</v>
      </c>
      <c r="P2173" s="21">
        <f>T2173/35698</f>
        <v>9.4756568995461929</v>
      </c>
      <c r="Q2173" s="4" t="s">
        <v>2276</v>
      </c>
      <c r="R2173" s="4" t="s">
        <v>2276</v>
      </c>
      <c r="S2173" s="4" t="s">
        <v>2276</v>
      </c>
      <c r="T2173" s="75">
        <v>338262</v>
      </c>
      <c r="U2173" s="4" t="s">
        <v>2276</v>
      </c>
      <c r="V2173" s="75">
        <f>100*T2173/(T2172/0.086)</f>
        <v>10.249063543736524</v>
      </c>
      <c r="W2173" s="4" t="s">
        <v>2276</v>
      </c>
      <c r="X2173" s="75">
        <f>T2173/'Record info'!$K$933</f>
        <v>3.6683078124322215</v>
      </c>
      <c r="Y2173" s="4" t="s">
        <v>2276</v>
      </c>
      <c r="Z2173" s="4" t="s">
        <v>404</v>
      </c>
      <c r="AA2173" s="4" t="s">
        <v>405</v>
      </c>
      <c r="AB2173" s="204" t="s">
        <v>64</v>
      </c>
      <c r="AC2173" s="4"/>
      <c r="AD2173" s="4" t="s">
        <v>6670</v>
      </c>
    </row>
    <row r="2174" spans="1:30" s="205" customFormat="1" ht="36.5" customHeight="1">
      <c r="A2174" s="4" t="s">
        <v>6151</v>
      </c>
      <c r="B2174" s="4" t="s">
        <v>6667</v>
      </c>
      <c r="C2174" s="204" t="s">
        <v>1105</v>
      </c>
      <c r="D2174" s="204" t="s">
        <v>1105</v>
      </c>
      <c r="E2174" s="204" t="s">
        <v>1105</v>
      </c>
      <c r="F2174" s="4" t="s">
        <v>2276</v>
      </c>
      <c r="G2174" s="4" t="s">
        <v>2276</v>
      </c>
      <c r="H2174" s="4" t="s">
        <v>523</v>
      </c>
      <c r="I2174" s="4">
        <v>2002</v>
      </c>
      <c r="J2174" s="21">
        <f>24684/'Record info'!$K$933</f>
        <v>0.26768750271114389</v>
      </c>
      <c r="K2174" s="4" t="s">
        <v>2276</v>
      </c>
      <c r="L2174" s="4" t="s">
        <v>2276</v>
      </c>
      <c r="M2174" s="4" t="s">
        <v>2276</v>
      </c>
      <c r="N2174" s="4" t="s">
        <v>2276</v>
      </c>
      <c r="O2174" s="4" t="s">
        <v>2276</v>
      </c>
      <c r="P2174" s="21">
        <f>T2174/24684</f>
        <v>5.2665694376924321</v>
      </c>
      <c r="Q2174" s="4" t="s">
        <v>2276</v>
      </c>
      <c r="R2174" s="4" t="s">
        <v>2276</v>
      </c>
      <c r="S2174" s="4" t="s">
        <v>2276</v>
      </c>
      <c r="T2174" s="75">
        <v>130000</v>
      </c>
      <c r="U2174" s="4" t="s">
        <v>2276</v>
      </c>
      <c r="V2174" s="4" t="s">
        <v>2276</v>
      </c>
      <c r="W2174" s="4" t="s">
        <v>2276</v>
      </c>
      <c r="X2174" s="75">
        <f>T2174/'Record info'!$K$933</f>
        <v>1.4097948206307205</v>
      </c>
      <c r="Y2174" s="4" t="s">
        <v>2276</v>
      </c>
      <c r="Z2174" s="4" t="s">
        <v>404</v>
      </c>
      <c r="AA2174" s="4" t="s">
        <v>405</v>
      </c>
      <c r="AB2174" s="204" t="s">
        <v>64</v>
      </c>
      <c r="AC2174" s="4"/>
      <c r="AD2174" s="4" t="s">
        <v>6677</v>
      </c>
    </row>
    <row r="2175" spans="1:30" s="205" customFormat="1" ht="36.5" customHeight="1">
      <c r="A2175" s="4" t="s">
        <v>6151</v>
      </c>
      <c r="B2175" s="4" t="s">
        <v>6668</v>
      </c>
      <c r="C2175" s="204" t="s">
        <v>1105</v>
      </c>
      <c r="D2175" s="204" t="s">
        <v>1105</v>
      </c>
      <c r="E2175" s="204" t="s">
        <v>1105</v>
      </c>
      <c r="F2175" s="4" t="s">
        <v>2276</v>
      </c>
      <c r="G2175" s="4" t="s">
        <v>2276</v>
      </c>
      <c r="H2175" s="4" t="s">
        <v>523</v>
      </c>
      <c r="I2175" s="4">
        <v>2006</v>
      </c>
      <c r="J2175" s="21">
        <f>24684/'Record info'!$K$933</f>
        <v>0.26768750271114389</v>
      </c>
      <c r="K2175" s="4" t="s">
        <v>2276</v>
      </c>
      <c r="L2175" s="4" t="s">
        <v>2276</v>
      </c>
      <c r="M2175" s="4" t="s">
        <v>2276</v>
      </c>
      <c r="N2175" s="4" t="s">
        <v>2276</v>
      </c>
      <c r="O2175" s="4" t="s">
        <v>2276</v>
      </c>
      <c r="P2175" s="21">
        <f>T2175/24684</f>
        <v>3.038405444822557</v>
      </c>
      <c r="Q2175" s="4" t="s">
        <v>2276</v>
      </c>
      <c r="R2175" s="4" t="s">
        <v>2276</v>
      </c>
      <c r="S2175" s="4" t="s">
        <v>2276</v>
      </c>
      <c r="T2175" s="75">
        <v>75000</v>
      </c>
      <c r="U2175" s="4" t="s">
        <v>2276</v>
      </c>
      <c r="V2175" s="4" t="s">
        <v>2276</v>
      </c>
      <c r="W2175" s="4" t="s">
        <v>2276</v>
      </c>
      <c r="X2175" s="75">
        <f>T2175/'Record info'!$K$933</f>
        <v>0.81334316574849264</v>
      </c>
      <c r="Y2175" s="4" t="s">
        <v>2276</v>
      </c>
      <c r="Z2175" s="4" t="s">
        <v>404</v>
      </c>
      <c r="AA2175" s="4" t="s">
        <v>405</v>
      </c>
      <c r="AB2175" s="204" t="s">
        <v>64</v>
      </c>
      <c r="AC2175" s="4"/>
      <c r="AD2175" s="4" t="s">
        <v>6677</v>
      </c>
    </row>
    <row r="2176" spans="1:30" s="205" customFormat="1" ht="36.5" customHeight="1">
      <c r="A2176" s="4" t="s">
        <v>6151</v>
      </c>
      <c r="B2176" s="4" t="s">
        <v>6671</v>
      </c>
      <c r="C2176" s="204" t="s">
        <v>31</v>
      </c>
      <c r="D2176" s="4" t="s">
        <v>30</v>
      </c>
      <c r="E2176" s="4" t="s">
        <v>2653</v>
      </c>
      <c r="F2176" s="4" t="s">
        <v>2276</v>
      </c>
      <c r="G2176" s="4" t="s">
        <v>2276</v>
      </c>
      <c r="H2176" s="4" t="s">
        <v>523</v>
      </c>
      <c r="I2176" s="4"/>
      <c r="J2176" s="4" t="s">
        <v>2276</v>
      </c>
      <c r="K2176" s="4" t="s">
        <v>2276</v>
      </c>
      <c r="L2176" s="4" t="s">
        <v>2276</v>
      </c>
      <c r="M2176" s="4" t="s">
        <v>2276</v>
      </c>
      <c r="N2176" s="4" t="s">
        <v>2276</v>
      </c>
      <c r="O2176" s="4" t="s">
        <v>2276</v>
      </c>
      <c r="P2176" s="4" t="s">
        <v>2276</v>
      </c>
      <c r="Q2176" s="4" t="s">
        <v>2276</v>
      </c>
      <c r="R2176" s="4" t="s">
        <v>2276</v>
      </c>
      <c r="S2176" s="4" t="s">
        <v>2276</v>
      </c>
      <c r="T2176" s="4" t="s">
        <v>2276</v>
      </c>
      <c r="U2176" s="4" t="s">
        <v>2276</v>
      </c>
      <c r="V2176" s="4" t="s">
        <v>2276</v>
      </c>
      <c r="W2176" s="4" t="s">
        <v>2276</v>
      </c>
      <c r="X2176" s="4" t="s">
        <v>2276</v>
      </c>
      <c r="Y2176" s="4" t="s">
        <v>2276</v>
      </c>
      <c r="Z2176" s="4" t="s">
        <v>2276</v>
      </c>
      <c r="AA2176" s="4" t="s">
        <v>2276</v>
      </c>
      <c r="AB2176" s="4" t="s">
        <v>2276</v>
      </c>
      <c r="AC2176" s="4"/>
      <c r="AD2176" s="4"/>
    </row>
    <row r="2177" spans="1:30" s="60" customFormat="1" ht="36.5" customHeight="1">
      <c r="A2177" s="4" t="s">
        <v>6152</v>
      </c>
      <c r="B2177" s="4" t="s">
        <v>6202</v>
      </c>
      <c r="C2177" s="4" t="s">
        <v>24</v>
      </c>
      <c r="D2177" s="4" t="s">
        <v>2346</v>
      </c>
      <c r="E2177" s="4" t="s">
        <v>2276</v>
      </c>
      <c r="F2177" s="4" t="s">
        <v>2276</v>
      </c>
      <c r="G2177" s="4" t="s">
        <v>2276</v>
      </c>
      <c r="H2177" s="4" t="s">
        <v>523</v>
      </c>
      <c r="I2177" s="4"/>
      <c r="J2177" s="75">
        <f>0.9*J2178</f>
        <v>5.7821059038344488E-2</v>
      </c>
      <c r="K2177" s="4" t="s">
        <v>2276</v>
      </c>
      <c r="L2177" s="4" t="s">
        <v>2276</v>
      </c>
      <c r="M2177" s="4" t="s">
        <v>2276</v>
      </c>
      <c r="N2177" s="4" t="s">
        <v>2276</v>
      </c>
      <c r="O2177" s="4" t="s">
        <v>2276</v>
      </c>
      <c r="P2177" s="21">
        <f>0.9*P2178</f>
        <v>3.9580514208389719</v>
      </c>
      <c r="Q2177" s="4" t="s">
        <v>2276</v>
      </c>
      <c r="R2177" s="4" t="s">
        <v>2276</v>
      </c>
      <c r="S2177" s="4" t="s">
        <v>2276</v>
      </c>
      <c r="T2177" s="75">
        <f>0.9*T2178</f>
        <v>70200</v>
      </c>
      <c r="U2177" s="4" t="s">
        <v>2276</v>
      </c>
      <c r="V2177" s="4" t="s">
        <v>2276</v>
      </c>
      <c r="W2177" s="4" t="s">
        <v>2276</v>
      </c>
      <c r="X2177" s="75">
        <f>T2177/'Record info'!K934</f>
        <v>2.3737066342057211</v>
      </c>
      <c r="Y2177" s="4" t="s">
        <v>2276</v>
      </c>
      <c r="Z2177" s="4" t="s">
        <v>404</v>
      </c>
      <c r="AA2177" s="4" t="s">
        <v>405</v>
      </c>
      <c r="AB2177" s="204" t="s">
        <v>64</v>
      </c>
      <c r="AC2177" s="4"/>
      <c r="AD2177" s="4"/>
    </row>
    <row r="2178" spans="1:30" s="205" customFormat="1" ht="36.5" customHeight="1">
      <c r="A2178" s="4" t="s">
        <v>6152</v>
      </c>
      <c r="B2178" s="4" t="s">
        <v>6259</v>
      </c>
      <c r="C2178" s="204" t="s">
        <v>1105</v>
      </c>
      <c r="D2178" s="204" t="s">
        <v>1105</v>
      </c>
      <c r="E2178" s="204" t="s">
        <v>1105</v>
      </c>
      <c r="F2178" s="4" t="s">
        <v>2276</v>
      </c>
      <c r="G2178" s="4" t="s">
        <v>2276</v>
      </c>
      <c r="H2178" s="4" t="s">
        <v>523</v>
      </c>
      <c r="I2178" s="4"/>
      <c r="J2178" s="75">
        <f>1900/'Record info'!$K934</f>
        <v>6.4245621153716098E-2</v>
      </c>
      <c r="K2178" s="4" t="s">
        <v>2276</v>
      </c>
      <c r="L2178" s="4" t="s">
        <v>2276</v>
      </c>
      <c r="M2178" s="4" t="s">
        <v>2276</v>
      </c>
      <c r="N2178" s="4" t="s">
        <v>2276</v>
      </c>
      <c r="O2178" s="4" t="s">
        <v>2276</v>
      </c>
      <c r="P2178" s="21">
        <f>T2178/17736</f>
        <v>4.3978349120433018</v>
      </c>
      <c r="Q2178" s="4" t="s">
        <v>2276</v>
      </c>
      <c r="R2178" s="4" t="s">
        <v>2276</v>
      </c>
      <c r="S2178" s="4" t="s">
        <v>2276</v>
      </c>
      <c r="T2178" s="75">
        <v>78000</v>
      </c>
      <c r="U2178" s="4" t="s">
        <v>2276</v>
      </c>
      <c r="V2178" s="4" t="s">
        <v>2276</v>
      </c>
      <c r="W2178" s="4" t="s">
        <v>2276</v>
      </c>
      <c r="X2178" s="75">
        <f>T2178/'Record info'!K934</f>
        <v>2.6374518157841349</v>
      </c>
      <c r="Y2178" s="4" t="s">
        <v>2276</v>
      </c>
      <c r="Z2178" s="4" t="s">
        <v>404</v>
      </c>
      <c r="AA2178" s="4" t="s">
        <v>405</v>
      </c>
      <c r="AB2178" s="204" t="s">
        <v>64</v>
      </c>
      <c r="AC2178" s="4"/>
      <c r="AD2178" s="4"/>
    </row>
    <row r="2179" spans="1:30" s="205" customFormat="1" ht="36.5" customHeight="1">
      <c r="A2179" s="4" t="s">
        <v>6153</v>
      </c>
      <c r="B2179" s="4" t="s">
        <v>6203</v>
      </c>
      <c r="C2179" s="204" t="s">
        <v>1105</v>
      </c>
      <c r="D2179" s="204" t="s">
        <v>1105</v>
      </c>
      <c r="E2179" s="204" t="s">
        <v>1105</v>
      </c>
      <c r="F2179" s="4" t="s">
        <v>2276</v>
      </c>
      <c r="G2179" s="4" t="s">
        <v>2276</v>
      </c>
      <c r="H2179" s="4" t="s">
        <v>523</v>
      </c>
      <c r="I2179" s="4"/>
      <c r="J2179" s="75">
        <f>17736/'Record info'!K935</f>
        <v>3.505207612798672E-2</v>
      </c>
      <c r="K2179" s="4" t="s">
        <v>2276</v>
      </c>
      <c r="L2179" s="4" t="s">
        <v>2276</v>
      </c>
      <c r="M2179" s="4" t="s">
        <v>2276</v>
      </c>
      <c r="N2179" s="4" t="s">
        <v>2276</v>
      </c>
      <c r="O2179" s="4" t="s">
        <v>2276</v>
      </c>
      <c r="P2179" s="21">
        <f>T2179/17736</f>
        <v>6.7001014884979702</v>
      </c>
      <c r="Q2179" s="4" t="s">
        <v>2276</v>
      </c>
      <c r="R2179" s="4" t="s">
        <v>2276</v>
      </c>
      <c r="S2179" s="4" t="s">
        <v>2276</v>
      </c>
      <c r="T2179" s="75">
        <v>118833</v>
      </c>
      <c r="U2179" s="4" t="s">
        <v>2276</v>
      </c>
      <c r="V2179" s="4" t="s">
        <v>2276</v>
      </c>
      <c r="W2179" s="4" t="s">
        <v>2276</v>
      </c>
      <c r="X2179" s="75">
        <f>T2179/'Record info'!K935</f>
        <v>0.23485246744006799</v>
      </c>
      <c r="Y2179" s="4" t="s">
        <v>2276</v>
      </c>
      <c r="Z2179" s="4" t="s">
        <v>2276</v>
      </c>
      <c r="AA2179" s="4" t="s">
        <v>2276</v>
      </c>
      <c r="AB2179" s="4" t="s">
        <v>2276</v>
      </c>
      <c r="AC2179" s="4"/>
      <c r="AD2179" s="4"/>
    </row>
    <row r="2180" spans="1:30" s="60" customFormat="1" ht="36.5" customHeight="1">
      <c r="A2180" s="4" t="s">
        <v>6675</v>
      </c>
      <c r="B2180" s="4" t="s">
        <v>6676</v>
      </c>
      <c r="C2180" s="204" t="s">
        <v>1105</v>
      </c>
      <c r="D2180" s="204" t="s">
        <v>1105</v>
      </c>
      <c r="E2180" s="204" t="s">
        <v>1105</v>
      </c>
      <c r="F2180" s="4" t="s">
        <v>2276</v>
      </c>
      <c r="G2180" s="4" t="s">
        <v>2276</v>
      </c>
      <c r="H2180" s="4" t="s">
        <v>523</v>
      </c>
      <c r="I2180" s="4"/>
      <c r="J2180" s="4" t="s">
        <v>2276</v>
      </c>
      <c r="K2180" s="4" t="s">
        <v>2276</v>
      </c>
      <c r="L2180" s="4" t="s">
        <v>2276</v>
      </c>
      <c r="M2180" s="4" t="s">
        <v>2276</v>
      </c>
      <c r="N2180" s="4" t="s">
        <v>2276</v>
      </c>
      <c r="O2180" s="4" t="s">
        <v>2276</v>
      </c>
      <c r="P2180" s="4" t="s">
        <v>2276</v>
      </c>
      <c r="Q2180" s="4" t="s">
        <v>2276</v>
      </c>
      <c r="R2180" s="4" t="s">
        <v>2276</v>
      </c>
      <c r="S2180" s="4" t="s">
        <v>2276</v>
      </c>
      <c r="T2180" s="4" t="s">
        <v>2276</v>
      </c>
      <c r="U2180" s="4" t="s">
        <v>2276</v>
      </c>
      <c r="V2180" s="4" t="s">
        <v>2276</v>
      </c>
      <c r="W2180" s="4" t="s">
        <v>2276</v>
      </c>
      <c r="X2180" s="4" t="s">
        <v>2276</v>
      </c>
      <c r="Y2180" s="4" t="s">
        <v>2276</v>
      </c>
      <c r="Z2180" s="4" t="s">
        <v>404</v>
      </c>
      <c r="AA2180" s="4" t="s">
        <v>405</v>
      </c>
      <c r="AB2180" s="4" t="s">
        <v>2276</v>
      </c>
      <c r="AC2180" s="4"/>
      <c r="AD2180" s="4"/>
    </row>
    <row r="2181" spans="1:30" s="60" customFormat="1" ht="36.5" customHeight="1">
      <c r="A2181" s="4" t="s">
        <v>6154</v>
      </c>
      <c r="B2181" s="4" t="s">
        <v>6204</v>
      </c>
      <c r="C2181" s="204" t="s">
        <v>1105</v>
      </c>
      <c r="D2181" s="204" t="s">
        <v>1105</v>
      </c>
      <c r="E2181" s="204" t="s">
        <v>1105</v>
      </c>
      <c r="F2181" s="4" t="s">
        <v>2276</v>
      </c>
      <c r="G2181" s="4" t="s">
        <v>2662</v>
      </c>
      <c r="H2181" s="4" t="s">
        <v>523</v>
      </c>
      <c r="I2181" s="4"/>
      <c r="J2181" s="4" t="s">
        <v>2276</v>
      </c>
      <c r="K2181" s="4" t="s">
        <v>2276</v>
      </c>
      <c r="L2181" s="4" t="s">
        <v>2276</v>
      </c>
      <c r="M2181" s="4" t="s">
        <v>2276</v>
      </c>
      <c r="N2181" s="4" t="s">
        <v>2276</v>
      </c>
      <c r="O2181" s="4" t="s">
        <v>2276</v>
      </c>
      <c r="P2181" s="4" t="s">
        <v>2276</v>
      </c>
      <c r="Q2181" s="4" t="s">
        <v>2276</v>
      </c>
      <c r="R2181" s="4" t="s">
        <v>2276</v>
      </c>
      <c r="S2181" s="4" t="s">
        <v>2276</v>
      </c>
      <c r="T2181" s="4" t="s">
        <v>2276</v>
      </c>
      <c r="U2181" s="4" t="s">
        <v>2276</v>
      </c>
      <c r="V2181" s="4" t="s">
        <v>2276</v>
      </c>
      <c r="W2181" s="4" t="s">
        <v>2276</v>
      </c>
      <c r="X2181" s="4" t="s">
        <v>2276</v>
      </c>
      <c r="Y2181" s="4" t="s">
        <v>2276</v>
      </c>
      <c r="Z2181" s="4" t="s">
        <v>2276</v>
      </c>
      <c r="AA2181" s="4" t="s">
        <v>2276</v>
      </c>
      <c r="AB2181" s="4" t="s">
        <v>2276</v>
      </c>
      <c r="AC2181" s="4"/>
      <c r="AD2181" s="4"/>
    </row>
    <row r="2182" spans="1:30" s="60" customFormat="1" ht="36.5" customHeight="1">
      <c r="A2182" s="4" t="s">
        <v>6155</v>
      </c>
      <c r="B2182" s="4" t="s">
        <v>6205</v>
      </c>
      <c r="C2182" s="204" t="s">
        <v>1105</v>
      </c>
      <c r="D2182" s="204" t="s">
        <v>1105</v>
      </c>
      <c r="E2182" s="204" t="s">
        <v>1105</v>
      </c>
      <c r="F2182" s="4" t="s">
        <v>2276</v>
      </c>
      <c r="G2182" s="4" t="s">
        <v>2662</v>
      </c>
      <c r="H2182" s="4" t="s">
        <v>523</v>
      </c>
      <c r="I2182" s="4"/>
      <c r="J2182" s="4" t="s">
        <v>2276</v>
      </c>
      <c r="K2182" s="4" t="s">
        <v>2276</v>
      </c>
      <c r="L2182" s="4" t="s">
        <v>2276</v>
      </c>
      <c r="M2182" s="4" t="s">
        <v>2276</v>
      </c>
      <c r="N2182" s="4" t="s">
        <v>2276</v>
      </c>
      <c r="O2182" s="4" t="s">
        <v>2276</v>
      </c>
      <c r="P2182" s="4" t="s">
        <v>2276</v>
      </c>
      <c r="Q2182" s="4" t="s">
        <v>2276</v>
      </c>
      <c r="R2182" s="4" t="s">
        <v>2276</v>
      </c>
      <c r="S2182" s="4" t="s">
        <v>2276</v>
      </c>
      <c r="T2182" s="4" t="s">
        <v>2276</v>
      </c>
      <c r="U2182" s="4" t="s">
        <v>2276</v>
      </c>
      <c r="V2182" s="4" t="s">
        <v>2276</v>
      </c>
      <c r="W2182" s="4" t="s">
        <v>2276</v>
      </c>
      <c r="X2182" s="4" t="s">
        <v>2276</v>
      </c>
      <c r="Y2182" s="4" t="s">
        <v>2276</v>
      </c>
      <c r="Z2182" s="4" t="s">
        <v>2276</v>
      </c>
      <c r="AA2182" s="4" t="s">
        <v>2276</v>
      </c>
      <c r="AB2182" s="4" t="s">
        <v>2276</v>
      </c>
      <c r="AC2182" s="4"/>
      <c r="AD2182" s="4"/>
    </row>
    <row r="2183" spans="1:30" s="60" customFormat="1" ht="36.5" customHeight="1">
      <c r="A2183" s="4" t="s">
        <v>6156</v>
      </c>
      <c r="B2183" s="4" t="s">
        <v>6206</v>
      </c>
      <c r="C2183" s="204" t="s">
        <v>1105</v>
      </c>
      <c r="D2183" s="204" t="s">
        <v>1105</v>
      </c>
      <c r="E2183" s="204" t="s">
        <v>1105</v>
      </c>
      <c r="F2183" s="4" t="s">
        <v>2276</v>
      </c>
      <c r="G2183" s="4" t="s">
        <v>2662</v>
      </c>
      <c r="H2183" s="4" t="s">
        <v>523</v>
      </c>
      <c r="I2183" s="4"/>
      <c r="J2183" s="4" t="s">
        <v>2276</v>
      </c>
      <c r="K2183" s="4" t="s">
        <v>2276</v>
      </c>
      <c r="L2183" s="4" t="s">
        <v>2276</v>
      </c>
      <c r="M2183" s="4" t="s">
        <v>2276</v>
      </c>
      <c r="N2183" s="4" t="s">
        <v>2276</v>
      </c>
      <c r="O2183" s="4" t="s">
        <v>2276</v>
      </c>
      <c r="P2183" s="4" t="s">
        <v>2276</v>
      </c>
      <c r="Q2183" s="4" t="s">
        <v>2276</v>
      </c>
      <c r="R2183" s="4" t="s">
        <v>2276</v>
      </c>
      <c r="S2183" s="4" t="s">
        <v>2276</v>
      </c>
      <c r="T2183" s="4" t="s">
        <v>2276</v>
      </c>
      <c r="U2183" s="4" t="s">
        <v>2276</v>
      </c>
      <c r="V2183" s="4" t="s">
        <v>2276</v>
      </c>
      <c r="W2183" s="4" t="s">
        <v>2276</v>
      </c>
      <c r="X2183" s="4" t="s">
        <v>2276</v>
      </c>
      <c r="Y2183" s="4" t="s">
        <v>2276</v>
      </c>
      <c r="Z2183" s="4" t="s">
        <v>2276</v>
      </c>
      <c r="AA2183" s="4" t="s">
        <v>2276</v>
      </c>
      <c r="AB2183" s="4" t="s">
        <v>2276</v>
      </c>
      <c r="AC2183" s="4"/>
      <c r="AD2183" s="4"/>
    </row>
    <row r="2184" spans="1:30" s="60" customFormat="1" ht="36.5" customHeight="1">
      <c r="A2184" s="4" t="s">
        <v>6157</v>
      </c>
      <c r="B2184" s="4" t="s">
        <v>6207</v>
      </c>
      <c r="C2184" s="204" t="s">
        <v>1105</v>
      </c>
      <c r="D2184" s="204" t="s">
        <v>1105</v>
      </c>
      <c r="E2184" s="204" t="s">
        <v>1105</v>
      </c>
      <c r="F2184" s="4" t="s">
        <v>2276</v>
      </c>
      <c r="G2184" s="4" t="s">
        <v>2662</v>
      </c>
      <c r="H2184" s="4" t="s">
        <v>523</v>
      </c>
      <c r="I2184" s="4"/>
      <c r="J2184" s="4" t="s">
        <v>2276</v>
      </c>
      <c r="K2184" s="4" t="s">
        <v>2276</v>
      </c>
      <c r="L2184" s="4" t="s">
        <v>2276</v>
      </c>
      <c r="M2184" s="4" t="s">
        <v>2276</v>
      </c>
      <c r="N2184" s="4" t="s">
        <v>2276</v>
      </c>
      <c r="O2184" s="4" t="s">
        <v>2276</v>
      </c>
      <c r="P2184" s="4" t="s">
        <v>2276</v>
      </c>
      <c r="Q2184" s="4" t="s">
        <v>2276</v>
      </c>
      <c r="R2184" s="4" t="s">
        <v>2276</v>
      </c>
      <c r="S2184" s="4" t="s">
        <v>2276</v>
      </c>
      <c r="T2184" s="4" t="s">
        <v>2276</v>
      </c>
      <c r="U2184" s="4" t="s">
        <v>2276</v>
      </c>
      <c r="V2184" s="4" t="s">
        <v>2276</v>
      </c>
      <c r="W2184" s="4" t="s">
        <v>2276</v>
      </c>
      <c r="X2184" s="4" t="s">
        <v>2276</v>
      </c>
      <c r="Y2184" s="4" t="s">
        <v>2276</v>
      </c>
      <c r="Z2184" s="4" t="s">
        <v>2276</v>
      </c>
      <c r="AA2184" s="4" t="s">
        <v>2276</v>
      </c>
      <c r="AB2184" s="4" t="s">
        <v>2276</v>
      </c>
      <c r="AC2184" s="4"/>
      <c r="AD2184" s="4"/>
    </row>
    <row r="2185" spans="1:30" s="60" customFormat="1" ht="36.5" customHeight="1">
      <c r="A2185" s="4" t="s">
        <v>6158</v>
      </c>
      <c r="B2185" s="4" t="s">
        <v>6208</v>
      </c>
      <c r="C2185" s="204" t="s">
        <v>1105</v>
      </c>
      <c r="D2185" s="204" t="s">
        <v>1105</v>
      </c>
      <c r="E2185" s="204" t="s">
        <v>1105</v>
      </c>
      <c r="F2185" s="4" t="s">
        <v>2276</v>
      </c>
      <c r="G2185" s="4" t="s">
        <v>2662</v>
      </c>
      <c r="H2185" s="4" t="s">
        <v>523</v>
      </c>
      <c r="I2185" s="4"/>
      <c r="J2185" s="4" t="s">
        <v>2276</v>
      </c>
      <c r="K2185" s="4" t="s">
        <v>2276</v>
      </c>
      <c r="L2185" s="4" t="s">
        <v>2276</v>
      </c>
      <c r="M2185" s="4" t="s">
        <v>2276</v>
      </c>
      <c r="N2185" s="4" t="s">
        <v>2276</v>
      </c>
      <c r="O2185" s="4" t="s">
        <v>2276</v>
      </c>
      <c r="P2185" s="4" t="s">
        <v>2276</v>
      </c>
      <c r="Q2185" s="4" t="s">
        <v>2276</v>
      </c>
      <c r="R2185" s="4" t="s">
        <v>2276</v>
      </c>
      <c r="S2185" s="4" t="s">
        <v>2276</v>
      </c>
      <c r="T2185" s="4" t="s">
        <v>2276</v>
      </c>
      <c r="U2185" s="4" t="s">
        <v>2276</v>
      </c>
      <c r="V2185" s="4" t="s">
        <v>2276</v>
      </c>
      <c r="W2185" s="4" t="s">
        <v>2276</v>
      </c>
      <c r="X2185" s="4" t="s">
        <v>2276</v>
      </c>
      <c r="Y2185" s="4" t="s">
        <v>2276</v>
      </c>
      <c r="Z2185" s="4" t="s">
        <v>2276</v>
      </c>
      <c r="AA2185" s="4" t="s">
        <v>2276</v>
      </c>
      <c r="AB2185" s="4" t="s">
        <v>2276</v>
      </c>
      <c r="AC2185" s="4"/>
      <c r="AD2185" s="4"/>
    </row>
    <row r="2186" spans="1:30" s="60" customFormat="1" ht="36.5" customHeight="1">
      <c r="A2186" s="4" t="s">
        <v>6159</v>
      </c>
      <c r="B2186" s="4" t="s">
        <v>6209</v>
      </c>
      <c r="C2186" s="204" t="s">
        <v>1105</v>
      </c>
      <c r="D2186" s="204" t="s">
        <v>1105</v>
      </c>
      <c r="E2186" s="204" t="s">
        <v>1105</v>
      </c>
      <c r="F2186" s="4" t="s">
        <v>2276</v>
      </c>
      <c r="G2186" s="4" t="s">
        <v>2662</v>
      </c>
      <c r="H2186" s="4" t="s">
        <v>523</v>
      </c>
      <c r="I2186" s="4"/>
      <c r="J2186" s="4" t="s">
        <v>2276</v>
      </c>
      <c r="K2186" s="4" t="s">
        <v>2276</v>
      </c>
      <c r="L2186" s="4" t="s">
        <v>2276</v>
      </c>
      <c r="M2186" s="4" t="s">
        <v>2276</v>
      </c>
      <c r="N2186" s="4" t="s">
        <v>2276</v>
      </c>
      <c r="O2186" s="4" t="s">
        <v>2276</v>
      </c>
      <c r="P2186" s="4" t="s">
        <v>2276</v>
      </c>
      <c r="Q2186" s="4" t="s">
        <v>2276</v>
      </c>
      <c r="R2186" s="4" t="s">
        <v>2276</v>
      </c>
      <c r="S2186" s="4" t="s">
        <v>2276</v>
      </c>
      <c r="T2186" s="4" t="s">
        <v>2276</v>
      </c>
      <c r="U2186" s="4" t="s">
        <v>2276</v>
      </c>
      <c r="V2186" s="4" t="s">
        <v>2276</v>
      </c>
      <c r="W2186" s="4" t="s">
        <v>2276</v>
      </c>
      <c r="X2186" s="4" t="s">
        <v>2276</v>
      </c>
      <c r="Y2186" s="4" t="s">
        <v>2276</v>
      </c>
      <c r="Z2186" s="4" t="s">
        <v>2276</v>
      </c>
      <c r="AA2186" s="4" t="s">
        <v>2276</v>
      </c>
      <c r="AB2186" s="4" t="s">
        <v>2276</v>
      </c>
      <c r="AC2186" s="4"/>
      <c r="AD2186" s="4"/>
    </row>
    <row r="2187" spans="1:30" s="60" customFormat="1" ht="36.5" customHeight="1">
      <c r="A2187" s="4" t="s">
        <v>6160</v>
      </c>
      <c r="B2187" s="4" t="s">
        <v>6210</v>
      </c>
      <c r="C2187" s="4" t="s">
        <v>31</v>
      </c>
      <c r="D2187" s="4" t="s">
        <v>30</v>
      </c>
      <c r="E2187" s="4" t="s">
        <v>2653</v>
      </c>
      <c r="F2187" s="4" t="s">
        <v>2276</v>
      </c>
      <c r="G2187" s="4" t="s">
        <v>74</v>
      </c>
      <c r="H2187" s="4" t="s">
        <v>523</v>
      </c>
      <c r="I2187" s="4"/>
      <c r="J2187" s="4" t="s">
        <v>2276</v>
      </c>
      <c r="K2187" s="4" t="s">
        <v>2276</v>
      </c>
      <c r="L2187" s="4" t="s">
        <v>2276</v>
      </c>
      <c r="M2187" s="4" t="s">
        <v>2276</v>
      </c>
      <c r="N2187" s="4" t="s">
        <v>2276</v>
      </c>
      <c r="O2187" s="4" t="s">
        <v>2276</v>
      </c>
      <c r="P2187" s="75">
        <v>8</v>
      </c>
      <c r="Q2187" s="4" t="s">
        <v>2276</v>
      </c>
      <c r="R2187" s="4" t="s">
        <v>2276</v>
      </c>
      <c r="S2187" s="4" t="s">
        <v>2276</v>
      </c>
      <c r="T2187" s="4" t="s">
        <v>2276</v>
      </c>
      <c r="U2187" s="4" t="s">
        <v>2276</v>
      </c>
      <c r="V2187" s="4" t="s">
        <v>2276</v>
      </c>
      <c r="W2187" s="4" t="s">
        <v>2276</v>
      </c>
      <c r="X2187" s="4" t="s">
        <v>2276</v>
      </c>
      <c r="Y2187" s="4" t="s">
        <v>2276</v>
      </c>
      <c r="Z2187" s="204" t="s">
        <v>188</v>
      </c>
      <c r="AA2187" s="204" t="s">
        <v>189</v>
      </c>
      <c r="AB2187" s="4" t="s">
        <v>2276</v>
      </c>
      <c r="AC2187" s="4"/>
      <c r="AD2187" s="4"/>
    </row>
    <row r="2188" spans="1:30" s="205" customFormat="1" ht="36.5" customHeight="1">
      <c r="A2188" s="4" t="s">
        <v>6160</v>
      </c>
      <c r="B2188" s="4" t="s">
        <v>6682</v>
      </c>
      <c r="C2188" s="4" t="s">
        <v>31</v>
      </c>
      <c r="D2188" s="4" t="s">
        <v>30</v>
      </c>
      <c r="E2188" s="4" t="s">
        <v>2652</v>
      </c>
      <c r="F2188" s="4" t="s">
        <v>2276</v>
      </c>
      <c r="G2188" s="4" t="s">
        <v>74</v>
      </c>
      <c r="H2188" s="4" t="s">
        <v>523</v>
      </c>
      <c r="I2188" s="4"/>
      <c r="J2188" s="4" t="s">
        <v>2276</v>
      </c>
      <c r="K2188" s="4" t="s">
        <v>2276</v>
      </c>
      <c r="L2188" s="4" t="s">
        <v>2276</v>
      </c>
      <c r="M2188" s="4" t="s">
        <v>2276</v>
      </c>
      <c r="N2188" s="4" t="s">
        <v>2276</v>
      </c>
      <c r="O2188" s="4" t="s">
        <v>2276</v>
      </c>
      <c r="P2188" s="75">
        <v>8</v>
      </c>
      <c r="Q2188" s="4" t="s">
        <v>2276</v>
      </c>
      <c r="R2188" s="4" t="s">
        <v>2276</v>
      </c>
      <c r="S2188" s="4" t="s">
        <v>2276</v>
      </c>
      <c r="T2188" s="4" t="s">
        <v>2276</v>
      </c>
      <c r="U2188" s="4" t="s">
        <v>2276</v>
      </c>
      <c r="V2188" s="4" t="s">
        <v>2276</v>
      </c>
      <c r="W2188" s="4" t="s">
        <v>2276</v>
      </c>
      <c r="X2188" s="4" t="s">
        <v>2276</v>
      </c>
      <c r="Y2188" s="4" t="s">
        <v>2276</v>
      </c>
      <c r="Z2188" s="204" t="s">
        <v>188</v>
      </c>
      <c r="AA2188" s="204" t="s">
        <v>189</v>
      </c>
      <c r="AB2188" s="4" t="s">
        <v>2276</v>
      </c>
      <c r="AC2188" s="4"/>
      <c r="AD2188" s="4"/>
    </row>
    <row r="2189" spans="1:30" s="60" customFormat="1" ht="36.5" customHeight="1">
      <c r="A2189" s="4" t="s">
        <v>6161</v>
      </c>
      <c r="B2189" s="4" t="s">
        <v>6211</v>
      </c>
      <c r="C2189" s="4" t="s">
        <v>24</v>
      </c>
      <c r="D2189" s="4" t="s">
        <v>2346</v>
      </c>
      <c r="E2189" s="4" t="s">
        <v>2649</v>
      </c>
      <c r="F2189" s="4" t="s">
        <v>74</v>
      </c>
      <c r="G2189" s="4" t="s">
        <v>74</v>
      </c>
      <c r="H2189" s="4" t="s">
        <v>523</v>
      </c>
      <c r="I2189" s="4"/>
      <c r="J2189" s="195">
        <f>(2619/(80316.25/100))/18</f>
        <v>0.18115885639581031</v>
      </c>
      <c r="K2189" s="4" t="s">
        <v>2276</v>
      </c>
      <c r="L2189" s="4" t="s">
        <v>2276</v>
      </c>
      <c r="M2189" s="4" t="s">
        <v>2276</v>
      </c>
      <c r="N2189" s="4" t="s">
        <v>2276</v>
      </c>
      <c r="O2189" s="4" t="s">
        <v>2276</v>
      </c>
      <c r="P2189" s="4" t="s">
        <v>2276</v>
      </c>
      <c r="Q2189" s="4" t="s">
        <v>2276</v>
      </c>
      <c r="R2189" s="4" t="s">
        <v>2276</v>
      </c>
      <c r="S2189" s="4" t="s">
        <v>2276</v>
      </c>
      <c r="T2189" s="4" t="s">
        <v>2276</v>
      </c>
      <c r="U2189" s="4" t="s">
        <v>2276</v>
      </c>
      <c r="V2189" s="4" t="s">
        <v>2276</v>
      </c>
      <c r="W2189" s="4" t="s">
        <v>2276</v>
      </c>
      <c r="X2189" s="4" t="s">
        <v>2276</v>
      </c>
      <c r="Y2189" s="4" t="s">
        <v>2276</v>
      </c>
      <c r="Z2189" s="4" t="s">
        <v>2276</v>
      </c>
      <c r="AA2189" s="4" t="s">
        <v>2276</v>
      </c>
      <c r="AB2189" s="4" t="s">
        <v>2276</v>
      </c>
      <c r="AC2189" s="4" t="s">
        <v>6694</v>
      </c>
      <c r="AD2189" s="4"/>
    </row>
    <row r="2190" spans="1:30" s="205" customFormat="1" ht="36.5" customHeight="1">
      <c r="A2190" s="4" t="s">
        <v>6161</v>
      </c>
      <c r="B2190" s="4" t="s">
        <v>6212</v>
      </c>
      <c r="C2190" s="204" t="s">
        <v>2656</v>
      </c>
      <c r="D2190" s="4" t="s">
        <v>2276</v>
      </c>
      <c r="E2190" s="4" t="s">
        <v>2649</v>
      </c>
      <c r="F2190" s="4" t="s">
        <v>74</v>
      </c>
      <c r="G2190" s="4" t="s">
        <v>74</v>
      </c>
      <c r="H2190" s="4" t="s">
        <v>523</v>
      </c>
      <c r="I2190" s="4"/>
      <c r="J2190" s="195">
        <f>(176/(80316.25/100))/18</f>
        <v>1.217409649700749E-2</v>
      </c>
      <c r="K2190" s="4" t="s">
        <v>2276</v>
      </c>
      <c r="L2190" s="4" t="s">
        <v>2276</v>
      </c>
      <c r="M2190" s="4" t="s">
        <v>2276</v>
      </c>
      <c r="N2190" s="4" t="s">
        <v>2276</v>
      </c>
      <c r="O2190" s="4" t="s">
        <v>2276</v>
      </c>
      <c r="P2190" s="4" t="s">
        <v>2276</v>
      </c>
      <c r="Q2190" s="4" t="s">
        <v>2276</v>
      </c>
      <c r="R2190" s="4" t="s">
        <v>2276</v>
      </c>
      <c r="S2190" s="4" t="s">
        <v>2276</v>
      </c>
      <c r="T2190" s="4" t="s">
        <v>2276</v>
      </c>
      <c r="U2190" s="4" t="s">
        <v>2276</v>
      </c>
      <c r="V2190" s="4" t="s">
        <v>2276</v>
      </c>
      <c r="W2190" s="4" t="s">
        <v>2276</v>
      </c>
      <c r="X2190" s="4" t="s">
        <v>2276</v>
      </c>
      <c r="Y2190" s="4" t="s">
        <v>2276</v>
      </c>
      <c r="Z2190" s="4" t="s">
        <v>2276</v>
      </c>
      <c r="AA2190" s="4" t="s">
        <v>2276</v>
      </c>
      <c r="AB2190" s="4" t="s">
        <v>2276</v>
      </c>
      <c r="AC2190" s="4"/>
      <c r="AD2190" s="4"/>
    </row>
    <row r="2191" spans="1:30" s="205" customFormat="1" ht="36.5" customHeight="1">
      <c r="A2191" s="4" t="s">
        <v>6161</v>
      </c>
      <c r="B2191" s="4" t="s">
        <v>6213</v>
      </c>
      <c r="C2191" s="204" t="s">
        <v>2658</v>
      </c>
      <c r="D2191" s="4" t="s">
        <v>2276</v>
      </c>
      <c r="E2191" s="4" t="s">
        <v>2649</v>
      </c>
      <c r="F2191" s="4" t="s">
        <v>74</v>
      </c>
      <c r="G2191" s="4" t="s">
        <v>74</v>
      </c>
      <c r="H2191" s="4" t="s">
        <v>523</v>
      </c>
      <c r="I2191" s="4"/>
      <c r="J2191" s="195">
        <f>((135+91)/(80316.25/100))/18</f>
        <v>1.56326466382028E-2</v>
      </c>
      <c r="K2191" s="4" t="s">
        <v>2276</v>
      </c>
      <c r="L2191" s="4" t="s">
        <v>2276</v>
      </c>
      <c r="M2191" s="4" t="s">
        <v>2276</v>
      </c>
      <c r="N2191" s="4" t="s">
        <v>2276</v>
      </c>
      <c r="O2191" s="4" t="s">
        <v>2276</v>
      </c>
      <c r="P2191" s="4" t="s">
        <v>2276</v>
      </c>
      <c r="Q2191" s="4" t="s">
        <v>2276</v>
      </c>
      <c r="R2191" s="4" t="s">
        <v>2276</v>
      </c>
      <c r="S2191" s="4" t="s">
        <v>2276</v>
      </c>
      <c r="T2191" s="4" t="s">
        <v>2276</v>
      </c>
      <c r="U2191" s="4" t="s">
        <v>2276</v>
      </c>
      <c r="V2191" s="4" t="s">
        <v>2276</v>
      </c>
      <c r="W2191" s="4" t="s">
        <v>2276</v>
      </c>
      <c r="X2191" s="4" t="s">
        <v>2276</v>
      </c>
      <c r="Y2191" s="4" t="s">
        <v>2276</v>
      </c>
      <c r="Z2191" s="4" t="s">
        <v>2276</v>
      </c>
      <c r="AA2191" s="4" t="s">
        <v>2276</v>
      </c>
      <c r="AB2191" s="4" t="s">
        <v>2276</v>
      </c>
      <c r="AC2191" s="4"/>
      <c r="AD2191" s="4"/>
    </row>
    <row r="2192" spans="1:30" s="60" customFormat="1" ht="36.5" customHeight="1">
      <c r="A2192" s="4" t="s">
        <v>6161</v>
      </c>
      <c r="B2192" s="4" t="s">
        <v>6685</v>
      </c>
      <c r="C2192" s="4" t="s">
        <v>24</v>
      </c>
      <c r="D2192" s="4" t="s">
        <v>2346</v>
      </c>
      <c r="E2192" s="204" t="s">
        <v>863</v>
      </c>
      <c r="F2192" s="4" t="s">
        <v>74</v>
      </c>
      <c r="G2192" s="4" t="s">
        <v>74</v>
      </c>
      <c r="H2192" s="4" t="s">
        <v>523</v>
      </c>
      <c r="I2192" s="4"/>
      <c r="J2192" s="75">
        <f>(891/(24046.32/100))/18</f>
        <v>0.20585270428073818</v>
      </c>
      <c r="K2192" s="4" t="s">
        <v>2276</v>
      </c>
      <c r="L2192" s="4" t="s">
        <v>2276</v>
      </c>
      <c r="M2192" s="4" t="s">
        <v>2276</v>
      </c>
      <c r="N2192" s="4" t="s">
        <v>2276</v>
      </c>
      <c r="O2192" s="4" t="s">
        <v>2276</v>
      </c>
      <c r="P2192" s="4" t="s">
        <v>2276</v>
      </c>
      <c r="Q2192" s="4" t="s">
        <v>2276</v>
      </c>
      <c r="R2192" s="4" t="s">
        <v>2276</v>
      </c>
      <c r="S2192" s="4" t="s">
        <v>2276</v>
      </c>
      <c r="T2192" s="4" t="s">
        <v>2276</v>
      </c>
      <c r="U2192" s="4" t="s">
        <v>2276</v>
      </c>
      <c r="V2192" s="4" t="s">
        <v>2276</v>
      </c>
      <c r="W2192" s="4" t="s">
        <v>2276</v>
      </c>
      <c r="X2192" s="4" t="s">
        <v>2276</v>
      </c>
      <c r="Y2192" s="4" t="s">
        <v>2276</v>
      </c>
      <c r="Z2192" s="4" t="s">
        <v>2276</v>
      </c>
      <c r="AA2192" s="4" t="s">
        <v>2276</v>
      </c>
      <c r="AB2192" s="4" t="s">
        <v>2276</v>
      </c>
      <c r="AC2192" s="4" t="s">
        <v>6694</v>
      </c>
      <c r="AD2192" s="4"/>
    </row>
    <row r="2193" spans="1:30" s="205" customFormat="1" ht="36.5" customHeight="1">
      <c r="A2193" s="4" t="s">
        <v>6161</v>
      </c>
      <c r="B2193" s="4" t="s">
        <v>6686</v>
      </c>
      <c r="C2193" s="204" t="s">
        <v>2656</v>
      </c>
      <c r="D2193" s="4" t="s">
        <v>2276</v>
      </c>
      <c r="E2193" s="204" t="s">
        <v>863</v>
      </c>
      <c r="F2193" s="4" t="s">
        <v>74</v>
      </c>
      <c r="G2193" s="4" t="s">
        <v>74</v>
      </c>
      <c r="H2193" s="4" t="s">
        <v>523</v>
      </c>
      <c r="I2193" s="4"/>
      <c r="J2193" s="75">
        <f>(45/(24046.32/100))/18</f>
        <v>1.0396601226299908E-2</v>
      </c>
      <c r="K2193" s="4" t="s">
        <v>2276</v>
      </c>
      <c r="L2193" s="4" t="s">
        <v>2276</v>
      </c>
      <c r="M2193" s="4" t="s">
        <v>2276</v>
      </c>
      <c r="N2193" s="4" t="s">
        <v>2276</v>
      </c>
      <c r="O2193" s="4" t="s">
        <v>2276</v>
      </c>
      <c r="P2193" s="4" t="s">
        <v>2276</v>
      </c>
      <c r="Q2193" s="4" t="s">
        <v>2276</v>
      </c>
      <c r="R2193" s="4" t="s">
        <v>2276</v>
      </c>
      <c r="S2193" s="4" t="s">
        <v>2276</v>
      </c>
      <c r="T2193" s="4" t="s">
        <v>2276</v>
      </c>
      <c r="U2193" s="4" t="s">
        <v>2276</v>
      </c>
      <c r="V2193" s="4" t="s">
        <v>2276</v>
      </c>
      <c r="W2193" s="4" t="s">
        <v>2276</v>
      </c>
      <c r="X2193" s="4" t="s">
        <v>2276</v>
      </c>
      <c r="Y2193" s="4" t="s">
        <v>2276</v>
      </c>
      <c r="Z2193" s="4" t="s">
        <v>2276</v>
      </c>
      <c r="AA2193" s="4" t="s">
        <v>2276</v>
      </c>
      <c r="AB2193" s="4" t="s">
        <v>2276</v>
      </c>
      <c r="AC2193" s="4"/>
      <c r="AD2193" s="4"/>
    </row>
    <row r="2194" spans="1:30" s="205" customFormat="1" ht="36.5" customHeight="1">
      <c r="A2194" s="4" t="s">
        <v>6161</v>
      </c>
      <c r="B2194" s="4" t="s">
        <v>6687</v>
      </c>
      <c r="C2194" s="204" t="s">
        <v>2658</v>
      </c>
      <c r="D2194" s="4" t="s">
        <v>2276</v>
      </c>
      <c r="E2194" s="204" t="s">
        <v>863</v>
      </c>
      <c r="F2194" s="4" t="s">
        <v>74</v>
      </c>
      <c r="G2194" s="4" t="s">
        <v>74</v>
      </c>
      <c r="H2194" s="4" t="s">
        <v>523</v>
      </c>
      <c r="I2194" s="4"/>
      <c r="J2194" s="75">
        <f>(51/(24046.32/100))/18</f>
        <v>1.1782814723139896E-2</v>
      </c>
      <c r="K2194" s="4" t="s">
        <v>2276</v>
      </c>
      <c r="L2194" s="4" t="s">
        <v>2276</v>
      </c>
      <c r="M2194" s="4" t="s">
        <v>2276</v>
      </c>
      <c r="N2194" s="4" t="s">
        <v>2276</v>
      </c>
      <c r="O2194" s="4" t="s">
        <v>2276</v>
      </c>
      <c r="P2194" s="4" t="s">
        <v>2276</v>
      </c>
      <c r="Q2194" s="4" t="s">
        <v>2276</v>
      </c>
      <c r="R2194" s="4" t="s">
        <v>2276</v>
      </c>
      <c r="S2194" s="4" t="s">
        <v>2276</v>
      </c>
      <c r="T2194" s="4" t="s">
        <v>2276</v>
      </c>
      <c r="U2194" s="4" t="s">
        <v>2276</v>
      </c>
      <c r="V2194" s="4" t="s">
        <v>2276</v>
      </c>
      <c r="W2194" s="4" t="s">
        <v>2276</v>
      </c>
      <c r="X2194" s="4" t="s">
        <v>2276</v>
      </c>
      <c r="Y2194" s="4" t="s">
        <v>2276</v>
      </c>
      <c r="Z2194" s="4" t="s">
        <v>2276</v>
      </c>
      <c r="AA2194" s="4" t="s">
        <v>2276</v>
      </c>
      <c r="AB2194" s="4" t="s">
        <v>2276</v>
      </c>
      <c r="AC2194" s="4"/>
      <c r="AD2194" s="4"/>
    </row>
    <row r="2195" spans="1:30" s="60" customFormat="1" ht="36.5" customHeight="1">
      <c r="A2195" s="4" t="s">
        <v>6161</v>
      </c>
      <c r="B2195" s="4" t="s">
        <v>6688</v>
      </c>
      <c r="C2195" s="4" t="s">
        <v>24</v>
      </c>
      <c r="D2195" s="4" t="s">
        <v>2346</v>
      </c>
      <c r="E2195" s="204" t="s">
        <v>137</v>
      </c>
      <c r="F2195" s="4" t="s">
        <v>74</v>
      </c>
      <c r="G2195" s="4" t="s">
        <v>74</v>
      </c>
      <c r="H2195" s="4" t="s">
        <v>523</v>
      </c>
      <c r="I2195" s="4"/>
      <c r="J2195" s="75">
        <f>(566/(34790/100))/18</f>
        <v>9.0383571268883134E-2</v>
      </c>
      <c r="K2195" s="4" t="s">
        <v>2276</v>
      </c>
      <c r="L2195" s="4" t="s">
        <v>2276</v>
      </c>
      <c r="M2195" s="4" t="s">
        <v>2276</v>
      </c>
      <c r="N2195" s="4" t="s">
        <v>2276</v>
      </c>
      <c r="O2195" s="4" t="s">
        <v>2276</v>
      </c>
      <c r="P2195" s="4" t="s">
        <v>2276</v>
      </c>
      <c r="Q2195" s="4" t="s">
        <v>2276</v>
      </c>
      <c r="R2195" s="4" t="s">
        <v>2276</v>
      </c>
      <c r="S2195" s="4" t="s">
        <v>2276</v>
      </c>
      <c r="T2195" s="4" t="s">
        <v>2276</v>
      </c>
      <c r="U2195" s="4" t="s">
        <v>2276</v>
      </c>
      <c r="V2195" s="4" t="s">
        <v>2276</v>
      </c>
      <c r="W2195" s="4" t="s">
        <v>2276</v>
      </c>
      <c r="X2195" s="4" t="s">
        <v>2276</v>
      </c>
      <c r="Y2195" s="4" t="s">
        <v>2276</v>
      </c>
      <c r="Z2195" s="4" t="s">
        <v>2276</v>
      </c>
      <c r="AA2195" s="4" t="s">
        <v>2276</v>
      </c>
      <c r="AB2195" s="4" t="s">
        <v>2276</v>
      </c>
      <c r="AC2195" s="4" t="s">
        <v>6694</v>
      </c>
      <c r="AD2195" s="4"/>
    </row>
    <row r="2196" spans="1:30" s="205" customFormat="1" ht="36.5" customHeight="1">
      <c r="A2196" s="4" t="s">
        <v>6161</v>
      </c>
      <c r="B2196" s="4" t="s">
        <v>6689</v>
      </c>
      <c r="C2196" s="204" t="s">
        <v>2656</v>
      </c>
      <c r="D2196" s="4" t="s">
        <v>2276</v>
      </c>
      <c r="E2196" s="204" t="s">
        <v>137</v>
      </c>
      <c r="F2196" s="4" t="s">
        <v>74</v>
      </c>
      <c r="G2196" s="4" t="s">
        <v>74</v>
      </c>
      <c r="H2196" s="4" t="s">
        <v>523</v>
      </c>
      <c r="I2196" s="4"/>
      <c r="J2196" s="75">
        <f>(72/(34790/100))/18</f>
        <v>1.1497556769186549E-2</v>
      </c>
      <c r="K2196" s="4" t="s">
        <v>2276</v>
      </c>
      <c r="L2196" s="4" t="s">
        <v>2276</v>
      </c>
      <c r="M2196" s="4" t="s">
        <v>2276</v>
      </c>
      <c r="N2196" s="4" t="s">
        <v>2276</v>
      </c>
      <c r="O2196" s="4" t="s">
        <v>2276</v>
      </c>
      <c r="P2196" s="4" t="s">
        <v>2276</v>
      </c>
      <c r="Q2196" s="4" t="s">
        <v>2276</v>
      </c>
      <c r="R2196" s="4" t="s">
        <v>2276</v>
      </c>
      <c r="S2196" s="4" t="s">
        <v>2276</v>
      </c>
      <c r="T2196" s="4" t="s">
        <v>2276</v>
      </c>
      <c r="U2196" s="4" t="s">
        <v>2276</v>
      </c>
      <c r="V2196" s="4" t="s">
        <v>2276</v>
      </c>
      <c r="W2196" s="4" t="s">
        <v>2276</v>
      </c>
      <c r="X2196" s="4" t="s">
        <v>2276</v>
      </c>
      <c r="Y2196" s="4" t="s">
        <v>2276</v>
      </c>
      <c r="Z2196" s="4" t="s">
        <v>2276</v>
      </c>
      <c r="AA2196" s="4" t="s">
        <v>2276</v>
      </c>
      <c r="AB2196" s="4" t="s">
        <v>2276</v>
      </c>
      <c r="AC2196" s="4"/>
      <c r="AD2196" s="4"/>
    </row>
    <row r="2197" spans="1:30" s="205" customFormat="1" ht="36.5" customHeight="1">
      <c r="A2197" s="4" t="s">
        <v>6161</v>
      </c>
      <c r="B2197" s="4" t="s">
        <v>6690</v>
      </c>
      <c r="C2197" s="204" t="s">
        <v>2658</v>
      </c>
      <c r="D2197" s="4" t="s">
        <v>2276</v>
      </c>
      <c r="E2197" s="204" t="s">
        <v>137</v>
      </c>
      <c r="F2197" s="4" t="s">
        <v>74</v>
      </c>
      <c r="G2197" s="4" t="s">
        <v>74</v>
      </c>
      <c r="H2197" s="4" t="s">
        <v>523</v>
      </c>
      <c r="I2197" s="4"/>
      <c r="J2197" s="75">
        <f>(56/(34790/100))/18</f>
        <v>8.9425441538117587E-3</v>
      </c>
      <c r="K2197" s="4" t="s">
        <v>2276</v>
      </c>
      <c r="L2197" s="4" t="s">
        <v>2276</v>
      </c>
      <c r="M2197" s="4" t="s">
        <v>2276</v>
      </c>
      <c r="N2197" s="4" t="s">
        <v>2276</v>
      </c>
      <c r="O2197" s="4" t="s">
        <v>2276</v>
      </c>
      <c r="P2197" s="4" t="s">
        <v>2276</v>
      </c>
      <c r="Q2197" s="4" t="s">
        <v>2276</v>
      </c>
      <c r="R2197" s="4" t="s">
        <v>2276</v>
      </c>
      <c r="S2197" s="4" t="s">
        <v>2276</v>
      </c>
      <c r="T2197" s="4" t="s">
        <v>2276</v>
      </c>
      <c r="U2197" s="4" t="s">
        <v>2276</v>
      </c>
      <c r="V2197" s="4" t="s">
        <v>2276</v>
      </c>
      <c r="W2197" s="4" t="s">
        <v>2276</v>
      </c>
      <c r="X2197" s="4" t="s">
        <v>2276</v>
      </c>
      <c r="Y2197" s="4" t="s">
        <v>2276</v>
      </c>
      <c r="Z2197" s="4" t="s">
        <v>2276</v>
      </c>
      <c r="AA2197" s="4" t="s">
        <v>2276</v>
      </c>
      <c r="AB2197" s="4" t="s">
        <v>2276</v>
      </c>
      <c r="AC2197" s="4"/>
      <c r="AD2197" s="4"/>
    </row>
    <row r="2198" spans="1:30" s="205" customFormat="1" ht="36.5" customHeight="1">
      <c r="A2198" s="4" t="s">
        <v>6161</v>
      </c>
      <c r="B2198" s="4" t="s">
        <v>6691</v>
      </c>
      <c r="C2198" s="4" t="s">
        <v>24</v>
      </c>
      <c r="D2198" s="4" t="s">
        <v>2346</v>
      </c>
      <c r="E2198" s="4" t="s">
        <v>2276</v>
      </c>
      <c r="F2198" s="4" t="s">
        <v>2276</v>
      </c>
      <c r="G2198" s="4" t="s">
        <v>2276</v>
      </c>
      <c r="H2198" s="4" t="s">
        <v>523</v>
      </c>
      <c r="I2198" s="4"/>
      <c r="J2198" s="75">
        <f>(4153/(172737/100))/18</f>
        <v>0.13356850137620904</v>
      </c>
      <c r="K2198" s="4" t="s">
        <v>2276</v>
      </c>
      <c r="L2198" s="4" t="s">
        <v>2276</v>
      </c>
      <c r="M2198" s="4" t="s">
        <v>2276</v>
      </c>
      <c r="N2198" s="4" t="s">
        <v>2276</v>
      </c>
      <c r="O2198" s="4" t="s">
        <v>2276</v>
      </c>
      <c r="P2198" s="75">
        <f>T2198/(4764*0.87)</f>
        <v>3.7152590791086402</v>
      </c>
      <c r="Q2198" s="4" t="s">
        <v>2276</v>
      </c>
      <c r="R2198" s="4" t="s">
        <v>2276</v>
      </c>
      <c r="S2198" s="4" t="s">
        <v>2276</v>
      </c>
      <c r="T2198" s="75">
        <v>15398.56</v>
      </c>
      <c r="U2198" s="4" t="s">
        <v>2276</v>
      </c>
      <c r="V2198" s="4" t="s">
        <v>2276</v>
      </c>
      <c r="W2198" s="4" t="s">
        <v>2276</v>
      </c>
      <c r="X2198" s="75">
        <f>100*T2198/172737.51</f>
        <v>8.9144274454344039</v>
      </c>
      <c r="Y2198" s="4" t="s">
        <v>2276</v>
      </c>
      <c r="Z2198" s="4" t="s">
        <v>2276</v>
      </c>
      <c r="AA2198" s="4" t="s">
        <v>2276</v>
      </c>
      <c r="AB2198" s="4" t="s">
        <v>2276</v>
      </c>
      <c r="AC2198" s="4" t="s">
        <v>6694</v>
      </c>
      <c r="AD2198" s="4"/>
    </row>
    <row r="2199" spans="1:30" s="205" customFormat="1" ht="36.5" customHeight="1">
      <c r="A2199" s="4" t="s">
        <v>6161</v>
      </c>
      <c r="B2199" s="4" t="s">
        <v>6692</v>
      </c>
      <c r="C2199" s="204" t="s">
        <v>2656</v>
      </c>
      <c r="D2199" s="4" t="s">
        <v>2276</v>
      </c>
      <c r="E2199" s="4" t="s">
        <v>2276</v>
      </c>
      <c r="F2199" s="4" t="s">
        <v>2276</v>
      </c>
      <c r="G2199" s="4" t="s">
        <v>2276</v>
      </c>
      <c r="H2199" s="4" t="s">
        <v>523</v>
      </c>
      <c r="I2199" s="4"/>
      <c r="J2199" s="75">
        <f>(279/(172737/100))/18</f>
        <v>8.9731788788736631E-3</v>
      </c>
      <c r="K2199" s="4" t="s">
        <v>2276</v>
      </c>
      <c r="L2199" s="4" t="s">
        <v>2276</v>
      </c>
      <c r="M2199" s="4" t="s">
        <v>2276</v>
      </c>
      <c r="N2199" s="4" t="s">
        <v>2276</v>
      </c>
      <c r="O2199" s="4" t="s">
        <v>2276</v>
      </c>
      <c r="P2199" s="75">
        <f>T2199/(0.0546*4764)</f>
        <v>5.9760916119984131</v>
      </c>
      <c r="Q2199" s="4" t="s">
        <v>2276</v>
      </c>
      <c r="R2199" s="4" t="s">
        <v>2276</v>
      </c>
      <c r="S2199" s="4" t="s">
        <v>2276</v>
      </c>
      <c r="T2199" s="75">
        <f>0.0786*19776.94</f>
        <v>1554.467484</v>
      </c>
      <c r="U2199" s="4" t="s">
        <v>2276</v>
      </c>
      <c r="V2199" s="4" t="s">
        <v>2276</v>
      </c>
      <c r="W2199" s="4" t="s">
        <v>2276</v>
      </c>
      <c r="X2199" s="75">
        <f t="shared" ref="X2199:X2200" si="1">100*T2199/172737.51</f>
        <v>0.89990152341549901</v>
      </c>
      <c r="Y2199" s="4" t="s">
        <v>2276</v>
      </c>
      <c r="Z2199" s="4" t="s">
        <v>2276</v>
      </c>
      <c r="AA2199" s="4" t="s">
        <v>2276</v>
      </c>
      <c r="AB2199" s="4" t="s">
        <v>2276</v>
      </c>
      <c r="AC2199" s="4"/>
      <c r="AD2199" s="4"/>
    </row>
    <row r="2200" spans="1:30" s="205" customFormat="1" ht="36.5" customHeight="1">
      <c r="A2200" s="4" t="s">
        <v>6161</v>
      </c>
      <c r="B2200" s="4" t="s">
        <v>6693</v>
      </c>
      <c r="C2200" s="204" t="s">
        <v>2658</v>
      </c>
      <c r="D2200" s="4" t="s">
        <v>2276</v>
      </c>
      <c r="E2200" s="4" t="s">
        <v>2276</v>
      </c>
      <c r="F2200" s="4" t="s">
        <v>2276</v>
      </c>
      <c r="G2200" s="4" t="s">
        <v>2276</v>
      </c>
      <c r="H2200" s="4" t="s">
        <v>523</v>
      </c>
      <c r="I2200" s="4"/>
      <c r="J2200" s="75">
        <f>(332/(172737/100))/18</f>
        <v>1.0677761246545006E-2</v>
      </c>
      <c r="K2200" s="4" t="s">
        <v>2276</v>
      </c>
      <c r="L2200" s="4" t="s">
        <v>2276</v>
      </c>
      <c r="M2200" s="4" t="s">
        <v>2276</v>
      </c>
      <c r="N2200" s="4" t="s">
        <v>2276</v>
      </c>
      <c r="O2200" s="4" t="s">
        <v>2276</v>
      </c>
      <c r="P2200" s="75">
        <f>T2200/(0.0414*4764)</f>
        <v>4.1513308144416454</v>
      </c>
      <c r="Q2200" s="4" t="s">
        <v>2276</v>
      </c>
      <c r="R2200" s="4" t="s">
        <v>2276</v>
      </c>
      <c r="S2200" s="4" t="s">
        <v>2276</v>
      </c>
      <c r="T2200" s="75">
        <f>0.0414*19776.94</f>
        <v>818.76531599999998</v>
      </c>
      <c r="U2200" s="4" t="s">
        <v>2276</v>
      </c>
      <c r="V2200" s="4" t="s">
        <v>2276</v>
      </c>
      <c r="W2200" s="4" t="s">
        <v>2276</v>
      </c>
      <c r="X2200" s="75">
        <f t="shared" si="1"/>
        <v>0.4739939321806827</v>
      </c>
      <c r="Y2200" s="4" t="s">
        <v>2276</v>
      </c>
      <c r="Z2200" s="4" t="s">
        <v>2276</v>
      </c>
      <c r="AA2200" s="4" t="s">
        <v>2276</v>
      </c>
      <c r="AB2200" s="4" t="s">
        <v>2276</v>
      </c>
      <c r="AC2200" s="4"/>
      <c r="AD2200" s="4"/>
    </row>
    <row r="2201" spans="1:30" s="205" customFormat="1" ht="53.5" customHeight="1">
      <c r="A2201" s="4" t="s">
        <v>6162</v>
      </c>
      <c r="B2201" s="4" t="s">
        <v>6214</v>
      </c>
      <c r="C2201" s="204" t="s">
        <v>1105</v>
      </c>
      <c r="D2201" s="204" t="s">
        <v>1105</v>
      </c>
      <c r="E2201" s="204" t="s">
        <v>1105</v>
      </c>
      <c r="F2201" s="4" t="s">
        <v>2276</v>
      </c>
      <c r="G2201" s="4" t="s">
        <v>2276</v>
      </c>
      <c r="H2201" s="4" t="s">
        <v>523</v>
      </c>
      <c r="I2201" s="4"/>
      <c r="J2201" s="75">
        <f>4000/'Record info'!K945</f>
        <v>0.13525393927098125</v>
      </c>
      <c r="K2201" s="4" t="s">
        <v>2276</v>
      </c>
      <c r="L2201" s="4" t="s">
        <v>2276</v>
      </c>
      <c r="M2201" s="4" t="s">
        <v>2276</v>
      </c>
      <c r="N2201" s="4" t="s">
        <v>2276</v>
      </c>
      <c r="O2201" s="4" t="s">
        <v>2276</v>
      </c>
      <c r="P2201" s="75">
        <f>20000/4000</f>
        <v>5</v>
      </c>
      <c r="Q2201" s="4" t="s">
        <v>2276</v>
      </c>
      <c r="R2201" s="4" t="s">
        <v>2276</v>
      </c>
      <c r="S2201" s="4" t="s">
        <v>2276</v>
      </c>
      <c r="T2201" s="75">
        <v>20000</v>
      </c>
      <c r="U2201" s="4" t="s">
        <v>2276</v>
      </c>
      <c r="V2201" s="4" t="s">
        <v>2276</v>
      </c>
      <c r="W2201" s="4" t="s">
        <v>2276</v>
      </c>
      <c r="X2201" s="75">
        <f>20000/'Record info'!K945</f>
        <v>0.6762696963549063</v>
      </c>
      <c r="Y2201" s="4" t="s">
        <v>2276</v>
      </c>
      <c r="Z2201" s="4" t="s">
        <v>2276</v>
      </c>
      <c r="AA2201" s="4" t="s">
        <v>2276</v>
      </c>
      <c r="AB2201" s="4" t="s">
        <v>2276</v>
      </c>
      <c r="AC2201" s="4"/>
      <c r="AD2201" s="4"/>
    </row>
    <row r="2202" spans="1:30" s="60" customFormat="1" ht="48.5" customHeight="1">
      <c r="A2202" s="4" t="s">
        <v>6162</v>
      </c>
      <c r="B2202" s="4" t="s">
        <v>6215</v>
      </c>
      <c r="C2202" s="4" t="s">
        <v>24</v>
      </c>
      <c r="D2202" s="4" t="s">
        <v>1131</v>
      </c>
      <c r="E2202" s="4" t="s">
        <v>2649</v>
      </c>
      <c r="F2202" s="4" t="s">
        <v>2663</v>
      </c>
      <c r="G2202" s="4" t="s">
        <v>2663</v>
      </c>
      <c r="H2202" s="4" t="s">
        <v>523</v>
      </c>
      <c r="I2202" s="4"/>
      <c r="J2202" s="4" t="s">
        <v>2276</v>
      </c>
      <c r="K2202" s="4" t="s">
        <v>2276</v>
      </c>
      <c r="L2202" s="4" t="s">
        <v>2276</v>
      </c>
      <c r="M2202" s="4" t="s">
        <v>2276</v>
      </c>
      <c r="N2202" s="4" t="s">
        <v>2276</v>
      </c>
      <c r="O2202" s="4" t="s">
        <v>2276</v>
      </c>
      <c r="P2202" s="4" t="s">
        <v>2276</v>
      </c>
      <c r="Q2202" s="4" t="s">
        <v>2276</v>
      </c>
      <c r="R2202" s="4" t="s">
        <v>2276</v>
      </c>
      <c r="S2202" s="4" t="s">
        <v>2276</v>
      </c>
      <c r="T2202" s="4" t="s">
        <v>2276</v>
      </c>
      <c r="U2202" s="4" t="s">
        <v>2276</v>
      </c>
      <c r="V2202" s="4" t="s">
        <v>2276</v>
      </c>
      <c r="W2202" s="4" t="s">
        <v>2276</v>
      </c>
      <c r="X2202" s="4" t="s">
        <v>2276</v>
      </c>
      <c r="Y2202" s="4" t="s">
        <v>2276</v>
      </c>
      <c r="Z2202" s="4" t="s">
        <v>2276</v>
      </c>
      <c r="AA2202" s="4" t="s">
        <v>2276</v>
      </c>
      <c r="AB2202" s="4" t="s">
        <v>2276</v>
      </c>
      <c r="AC2202" s="4"/>
      <c r="AD2202" s="4"/>
    </row>
    <row r="2203" spans="1:30" s="60" customFormat="1" ht="53" customHeight="1">
      <c r="A2203" s="4" t="s">
        <v>6162</v>
      </c>
      <c r="B2203" s="4" t="s">
        <v>6216</v>
      </c>
      <c r="C2203" s="4" t="s">
        <v>24</v>
      </c>
      <c r="D2203" s="204" t="s">
        <v>2659</v>
      </c>
      <c r="E2203" s="4" t="s">
        <v>3855</v>
      </c>
      <c r="F2203" s="4" t="s">
        <v>28</v>
      </c>
      <c r="G2203" s="4" t="s">
        <v>2276</v>
      </c>
      <c r="H2203" s="4" t="s">
        <v>523</v>
      </c>
      <c r="I2203" s="4"/>
      <c r="J2203" s="4" t="s">
        <v>2276</v>
      </c>
      <c r="K2203" s="4" t="s">
        <v>2276</v>
      </c>
      <c r="L2203" s="4" t="s">
        <v>2276</v>
      </c>
      <c r="M2203" s="4" t="s">
        <v>2276</v>
      </c>
      <c r="N2203" s="4" t="s">
        <v>2276</v>
      </c>
      <c r="O2203" s="4" t="s">
        <v>2276</v>
      </c>
      <c r="P2203" s="4" t="s">
        <v>2276</v>
      </c>
      <c r="Q2203" s="4" t="s">
        <v>2276</v>
      </c>
      <c r="R2203" s="4" t="s">
        <v>2276</v>
      </c>
      <c r="S2203" s="4" t="s">
        <v>2276</v>
      </c>
      <c r="T2203" s="4" t="s">
        <v>2276</v>
      </c>
      <c r="U2203" s="4" t="s">
        <v>2276</v>
      </c>
      <c r="V2203" s="4" t="s">
        <v>2276</v>
      </c>
      <c r="W2203" s="4" t="s">
        <v>2276</v>
      </c>
      <c r="X2203" s="4" t="s">
        <v>2276</v>
      </c>
      <c r="Y2203" s="4" t="s">
        <v>2276</v>
      </c>
      <c r="Z2203" s="4" t="s">
        <v>2276</v>
      </c>
      <c r="AA2203" s="4" t="s">
        <v>2276</v>
      </c>
      <c r="AB2203" s="4" t="s">
        <v>2276</v>
      </c>
      <c r="AC2203" s="4" t="s">
        <v>6700</v>
      </c>
      <c r="AD2203" s="4"/>
    </row>
    <row r="2204" spans="1:30" s="60" customFormat="1" ht="53" customHeight="1">
      <c r="A2204" s="4" t="s">
        <v>6162</v>
      </c>
      <c r="B2204" s="4" t="s">
        <v>6217</v>
      </c>
      <c r="C2204" s="4" t="s">
        <v>24</v>
      </c>
      <c r="D2204" s="4" t="s">
        <v>2660</v>
      </c>
      <c r="E2204" s="4" t="s">
        <v>3855</v>
      </c>
      <c r="F2204" s="4" t="s">
        <v>29</v>
      </c>
      <c r="G2204" s="4" t="s">
        <v>2276</v>
      </c>
      <c r="H2204" s="4" t="s">
        <v>523</v>
      </c>
      <c r="I2204" s="4"/>
      <c r="J2204" s="4" t="s">
        <v>2276</v>
      </c>
      <c r="K2204" s="4" t="s">
        <v>2276</v>
      </c>
      <c r="L2204" s="4" t="s">
        <v>2276</v>
      </c>
      <c r="M2204" s="4" t="s">
        <v>2276</v>
      </c>
      <c r="N2204" s="4" t="s">
        <v>2276</v>
      </c>
      <c r="O2204" s="4" t="s">
        <v>2276</v>
      </c>
      <c r="P2204" s="4" t="s">
        <v>2276</v>
      </c>
      <c r="Q2204" s="4" t="s">
        <v>2276</v>
      </c>
      <c r="R2204" s="4" t="s">
        <v>2276</v>
      </c>
      <c r="S2204" s="4" t="s">
        <v>2276</v>
      </c>
      <c r="T2204" s="4" t="s">
        <v>2276</v>
      </c>
      <c r="U2204" s="4" t="s">
        <v>2276</v>
      </c>
      <c r="V2204" s="4" t="s">
        <v>2276</v>
      </c>
      <c r="W2204" s="4" t="s">
        <v>2276</v>
      </c>
      <c r="X2204" s="4" t="s">
        <v>2276</v>
      </c>
      <c r="Y2204" s="4" t="s">
        <v>2276</v>
      </c>
      <c r="Z2204" s="4" t="s">
        <v>2276</v>
      </c>
      <c r="AA2204" s="4" t="s">
        <v>2276</v>
      </c>
      <c r="AB2204" s="4" t="s">
        <v>2276</v>
      </c>
      <c r="AC2204" s="4" t="s">
        <v>6701</v>
      </c>
      <c r="AD2204" s="4"/>
    </row>
    <row r="2205" spans="1:30" s="205" customFormat="1" ht="57.5" customHeight="1">
      <c r="A2205" s="4" t="s">
        <v>6162</v>
      </c>
      <c r="B2205" s="4" t="s">
        <v>6261</v>
      </c>
      <c r="C2205" s="4" t="s">
        <v>24</v>
      </c>
      <c r="D2205" s="204" t="s">
        <v>2231</v>
      </c>
      <c r="E2205" s="4" t="s">
        <v>3855</v>
      </c>
      <c r="F2205" s="4" t="s">
        <v>2662</v>
      </c>
      <c r="G2205" s="4" t="s">
        <v>2276</v>
      </c>
      <c r="H2205" s="4" t="s">
        <v>523</v>
      </c>
      <c r="I2205" s="4"/>
      <c r="J2205" s="4" t="s">
        <v>2276</v>
      </c>
      <c r="K2205" s="4" t="s">
        <v>2276</v>
      </c>
      <c r="L2205" s="4" t="s">
        <v>2276</v>
      </c>
      <c r="M2205" s="4" t="s">
        <v>2276</v>
      </c>
      <c r="N2205" s="4" t="s">
        <v>2276</v>
      </c>
      <c r="O2205" s="4" t="s">
        <v>2276</v>
      </c>
      <c r="P2205" s="4" t="s">
        <v>2276</v>
      </c>
      <c r="Q2205" s="4" t="s">
        <v>2276</v>
      </c>
      <c r="R2205" s="4" t="s">
        <v>2276</v>
      </c>
      <c r="S2205" s="4" t="s">
        <v>2276</v>
      </c>
      <c r="T2205" s="4" t="s">
        <v>2276</v>
      </c>
      <c r="U2205" s="4" t="s">
        <v>2276</v>
      </c>
      <c r="V2205" s="4" t="s">
        <v>2276</v>
      </c>
      <c r="W2205" s="4" t="s">
        <v>2276</v>
      </c>
      <c r="X2205" s="4" t="s">
        <v>2276</v>
      </c>
      <c r="Y2205" s="4" t="s">
        <v>2276</v>
      </c>
      <c r="Z2205" s="4" t="s">
        <v>2276</v>
      </c>
      <c r="AA2205" s="4" t="s">
        <v>2276</v>
      </c>
      <c r="AB2205" s="4" t="s">
        <v>2276</v>
      </c>
      <c r="AC2205" s="4" t="s">
        <v>6700</v>
      </c>
      <c r="AD2205" s="4"/>
    </row>
    <row r="2206" spans="1:30" s="60" customFormat="1" ht="52" customHeight="1">
      <c r="A2206" s="4" t="s">
        <v>6162</v>
      </c>
      <c r="B2206" s="4" t="s">
        <v>6262</v>
      </c>
      <c r="C2206" s="4" t="s">
        <v>24</v>
      </c>
      <c r="D2206" s="4" t="s">
        <v>2346</v>
      </c>
      <c r="E2206" s="4" t="s">
        <v>2276</v>
      </c>
      <c r="F2206" s="4" t="s">
        <v>2276</v>
      </c>
      <c r="G2206" s="4" t="s">
        <v>2276</v>
      </c>
      <c r="H2206" s="4" t="s">
        <v>523</v>
      </c>
      <c r="I2206" s="4"/>
      <c r="J2206" s="4" t="s">
        <v>2276</v>
      </c>
      <c r="K2206" s="4" t="s">
        <v>2276</v>
      </c>
      <c r="L2206" s="4" t="s">
        <v>2276</v>
      </c>
      <c r="M2206" s="4" t="s">
        <v>2276</v>
      </c>
      <c r="N2206" s="4" t="s">
        <v>2276</v>
      </c>
      <c r="O2206" s="4" t="s">
        <v>2276</v>
      </c>
      <c r="P2206" s="4" t="s">
        <v>2276</v>
      </c>
      <c r="Q2206" s="4" t="s">
        <v>2276</v>
      </c>
      <c r="R2206" s="4" t="s">
        <v>2276</v>
      </c>
      <c r="S2206" s="4" t="s">
        <v>2276</v>
      </c>
      <c r="T2206" s="4" t="s">
        <v>2276</v>
      </c>
      <c r="U2206" s="4" t="s">
        <v>2276</v>
      </c>
      <c r="V2206" s="4" t="s">
        <v>2276</v>
      </c>
      <c r="W2206" s="4" t="s">
        <v>2276</v>
      </c>
      <c r="X2206" s="4" t="s">
        <v>2276</v>
      </c>
      <c r="Y2206" s="4" t="s">
        <v>2276</v>
      </c>
      <c r="Z2206" s="4" t="s">
        <v>2276</v>
      </c>
      <c r="AA2206" s="4" t="s">
        <v>2276</v>
      </c>
      <c r="AB2206" s="4" t="s">
        <v>2276</v>
      </c>
      <c r="AC2206" s="4" t="s">
        <v>6702</v>
      </c>
      <c r="AD2206" s="4"/>
    </row>
    <row r="2207" spans="1:30" s="205" customFormat="1" ht="52" customHeight="1">
      <c r="A2207" s="4" t="s">
        <v>6162</v>
      </c>
      <c r="B2207" s="4" t="s">
        <v>6695</v>
      </c>
      <c r="C2207" s="204" t="s">
        <v>2458</v>
      </c>
      <c r="D2207" s="204" t="s">
        <v>2994</v>
      </c>
      <c r="E2207" s="4" t="s">
        <v>2653</v>
      </c>
      <c r="F2207" s="4" t="s">
        <v>2276</v>
      </c>
      <c r="G2207" s="4" t="s">
        <v>2276</v>
      </c>
      <c r="H2207" s="4" t="s">
        <v>523</v>
      </c>
      <c r="I2207" s="4"/>
      <c r="J2207" s="4" t="s">
        <v>2276</v>
      </c>
      <c r="K2207" s="4" t="s">
        <v>2276</v>
      </c>
      <c r="L2207" s="4" t="s">
        <v>2276</v>
      </c>
      <c r="M2207" s="4" t="s">
        <v>2276</v>
      </c>
      <c r="N2207" s="4" t="s">
        <v>2276</v>
      </c>
      <c r="O2207" s="4" t="s">
        <v>2276</v>
      </c>
      <c r="P2207" s="4" t="s">
        <v>2276</v>
      </c>
      <c r="Q2207" s="4" t="s">
        <v>2276</v>
      </c>
      <c r="R2207" s="4" t="s">
        <v>2276</v>
      </c>
      <c r="S2207" s="4" t="s">
        <v>2276</v>
      </c>
      <c r="T2207" s="4" t="s">
        <v>2276</v>
      </c>
      <c r="U2207" s="4" t="s">
        <v>2276</v>
      </c>
      <c r="V2207" s="4" t="s">
        <v>2276</v>
      </c>
      <c r="W2207" s="4" t="s">
        <v>2276</v>
      </c>
      <c r="X2207" s="4" t="s">
        <v>2276</v>
      </c>
      <c r="Y2207" s="4" t="s">
        <v>2276</v>
      </c>
      <c r="Z2207" s="4" t="s">
        <v>2276</v>
      </c>
      <c r="AA2207" s="4" t="s">
        <v>2276</v>
      </c>
      <c r="AB2207" s="4" t="s">
        <v>2276</v>
      </c>
      <c r="AC2207" s="4" t="s">
        <v>6703</v>
      </c>
      <c r="AD2207" s="4"/>
    </row>
    <row r="2208" spans="1:30" s="205" customFormat="1" ht="55.5" customHeight="1">
      <c r="A2208" s="4" t="s">
        <v>6162</v>
      </c>
      <c r="B2208" s="4" t="s">
        <v>6697</v>
      </c>
      <c r="C2208" s="4" t="s">
        <v>24</v>
      </c>
      <c r="D2208" s="204" t="s">
        <v>1245</v>
      </c>
      <c r="E2208" s="4" t="s">
        <v>3855</v>
      </c>
      <c r="F2208" s="4" t="s">
        <v>2276</v>
      </c>
      <c r="G2208" s="4" t="s">
        <v>2276</v>
      </c>
      <c r="H2208" s="4" t="s">
        <v>523</v>
      </c>
      <c r="I2208" s="4"/>
      <c r="J2208" s="4" t="s">
        <v>2276</v>
      </c>
      <c r="K2208" s="4" t="s">
        <v>2276</v>
      </c>
      <c r="L2208" s="4" t="s">
        <v>2276</v>
      </c>
      <c r="M2208" s="4" t="s">
        <v>2276</v>
      </c>
      <c r="N2208" s="4" t="s">
        <v>2276</v>
      </c>
      <c r="O2208" s="4" t="s">
        <v>2276</v>
      </c>
      <c r="P2208" s="4" t="s">
        <v>2276</v>
      </c>
      <c r="Q2208" s="4" t="s">
        <v>2276</v>
      </c>
      <c r="R2208" s="4" t="s">
        <v>2276</v>
      </c>
      <c r="S2208" s="4" t="s">
        <v>2276</v>
      </c>
      <c r="T2208" s="4" t="s">
        <v>2276</v>
      </c>
      <c r="U2208" s="4" t="s">
        <v>2276</v>
      </c>
      <c r="V2208" s="4" t="s">
        <v>2276</v>
      </c>
      <c r="W2208" s="4" t="s">
        <v>2276</v>
      </c>
      <c r="X2208" s="4" t="s">
        <v>2276</v>
      </c>
      <c r="Y2208" s="4" t="s">
        <v>2276</v>
      </c>
      <c r="Z2208" s="4" t="s">
        <v>2276</v>
      </c>
      <c r="AA2208" s="4" t="s">
        <v>2276</v>
      </c>
      <c r="AB2208" s="4" t="s">
        <v>2276</v>
      </c>
      <c r="AC2208" s="4" t="s">
        <v>6703</v>
      </c>
      <c r="AD2208" s="4"/>
    </row>
    <row r="2209" spans="1:30" s="205" customFormat="1" ht="52" customHeight="1">
      <c r="A2209" s="4" t="s">
        <v>6162</v>
      </c>
      <c r="B2209" s="4" t="s">
        <v>6698</v>
      </c>
      <c r="C2209" s="204" t="s">
        <v>31</v>
      </c>
      <c r="D2209" s="204" t="s">
        <v>30</v>
      </c>
      <c r="E2209" s="204" t="s">
        <v>2276</v>
      </c>
      <c r="F2209" s="204" t="s">
        <v>2276</v>
      </c>
      <c r="G2209" s="204" t="s">
        <v>2276</v>
      </c>
      <c r="H2209" s="4" t="s">
        <v>523</v>
      </c>
      <c r="I2209" s="4"/>
      <c r="J2209" s="4" t="s">
        <v>2276</v>
      </c>
      <c r="K2209" s="4" t="s">
        <v>2276</v>
      </c>
      <c r="L2209" s="4" t="s">
        <v>2276</v>
      </c>
      <c r="M2209" s="4" t="s">
        <v>2276</v>
      </c>
      <c r="N2209" s="4" t="s">
        <v>2276</v>
      </c>
      <c r="O2209" s="4" t="s">
        <v>2276</v>
      </c>
      <c r="P2209" s="4" t="s">
        <v>2276</v>
      </c>
      <c r="Q2209" s="4" t="s">
        <v>2276</v>
      </c>
      <c r="R2209" s="4" t="s">
        <v>2276</v>
      </c>
      <c r="S2209" s="4" t="s">
        <v>2276</v>
      </c>
      <c r="T2209" s="4" t="s">
        <v>2276</v>
      </c>
      <c r="U2209" s="4" t="s">
        <v>2276</v>
      </c>
      <c r="V2209" s="4" t="s">
        <v>2276</v>
      </c>
      <c r="W2209" s="4" t="s">
        <v>2276</v>
      </c>
      <c r="X2209" s="4" t="s">
        <v>2276</v>
      </c>
      <c r="Y2209" s="4" t="s">
        <v>2276</v>
      </c>
      <c r="Z2209" s="4" t="s">
        <v>2276</v>
      </c>
      <c r="AA2209" s="4" t="s">
        <v>2276</v>
      </c>
      <c r="AB2209" s="4" t="s">
        <v>2276</v>
      </c>
      <c r="AC2209" s="4" t="s">
        <v>6703</v>
      </c>
      <c r="AD2209" s="4"/>
    </row>
    <row r="2210" spans="1:30" s="205" customFormat="1" ht="52" customHeight="1">
      <c r="A2210" s="4" t="s">
        <v>6162</v>
      </c>
      <c r="B2210" s="4" t="s">
        <v>6699</v>
      </c>
      <c r="C2210" s="204" t="s">
        <v>2656</v>
      </c>
      <c r="D2210" s="204" t="s">
        <v>2276</v>
      </c>
      <c r="E2210" s="204" t="s">
        <v>2276</v>
      </c>
      <c r="F2210" s="204" t="s">
        <v>2276</v>
      </c>
      <c r="G2210" s="204" t="s">
        <v>2276</v>
      </c>
      <c r="H2210" s="4" t="s">
        <v>523</v>
      </c>
      <c r="I2210" s="4"/>
      <c r="J2210" s="4" t="s">
        <v>2276</v>
      </c>
      <c r="K2210" s="4" t="s">
        <v>2276</v>
      </c>
      <c r="L2210" s="4" t="s">
        <v>2276</v>
      </c>
      <c r="M2210" s="4" t="s">
        <v>2276</v>
      </c>
      <c r="N2210" s="4" t="s">
        <v>2276</v>
      </c>
      <c r="O2210" s="4" t="s">
        <v>2276</v>
      </c>
      <c r="P2210" s="4" t="s">
        <v>2276</v>
      </c>
      <c r="Q2210" s="4" t="s">
        <v>2276</v>
      </c>
      <c r="R2210" s="4" t="s">
        <v>2276</v>
      </c>
      <c r="S2210" s="4" t="s">
        <v>2276</v>
      </c>
      <c r="T2210" s="4" t="s">
        <v>2276</v>
      </c>
      <c r="U2210" s="4" t="s">
        <v>2276</v>
      </c>
      <c r="V2210" s="4" t="s">
        <v>2276</v>
      </c>
      <c r="W2210" s="4" t="s">
        <v>2276</v>
      </c>
      <c r="X2210" s="4" t="s">
        <v>2276</v>
      </c>
      <c r="Y2210" s="4" t="s">
        <v>2276</v>
      </c>
      <c r="Z2210" s="4" t="s">
        <v>2276</v>
      </c>
      <c r="AA2210" s="4" t="s">
        <v>2276</v>
      </c>
      <c r="AB2210" s="4" t="s">
        <v>2276</v>
      </c>
      <c r="AC2210" s="4"/>
      <c r="AD2210" s="4"/>
    </row>
    <row r="2211" spans="1:30" s="60" customFormat="1" ht="36.5" customHeight="1">
      <c r="A2211" s="4" t="s">
        <v>6163</v>
      </c>
      <c r="B2211" s="4" t="s">
        <v>6218</v>
      </c>
      <c r="C2211" s="204" t="s">
        <v>1105</v>
      </c>
      <c r="D2211" s="204" t="s">
        <v>1105</v>
      </c>
      <c r="E2211" s="204" t="s">
        <v>1105</v>
      </c>
      <c r="F2211" s="204" t="s">
        <v>2276</v>
      </c>
      <c r="G2211" s="204" t="s">
        <v>2276</v>
      </c>
      <c r="H2211" s="4" t="s">
        <v>523</v>
      </c>
      <c r="I2211" s="4">
        <v>2003</v>
      </c>
      <c r="J2211" s="4"/>
      <c r="K2211" s="4" t="s">
        <v>2276</v>
      </c>
      <c r="L2211" s="4" t="s">
        <v>2276</v>
      </c>
      <c r="M2211" s="4" t="s">
        <v>2276</v>
      </c>
      <c r="N2211" s="4" t="s">
        <v>2276</v>
      </c>
      <c r="O2211" s="4" t="s">
        <v>2276</v>
      </c>
      <c r="P2211" s="4" t="s">
        <v>2276</v>
      </c>
      <c r="Q2211" s="4" t="s">
        <v>2276</v>
      </c>
      <c r="R2211" s="4" t="s">
        <v>2276</v>
      </c>
      <c r="S2211" s="4" t="s">
        <v>2276</v>
      </c>
      <c r="T2211" s="212">
        <v>17000</v>
      </c>
      <c r="U2211" s="4" t="s">
        <v>2276</v>
      </c>
      <c r="V2211" s="4" t="s">
        <v>2276</v>
      </c>
      <c r="W2211" s="4" t="s">
        <v>2276</v>
      </c>
      <c r="X2211" s="75">
        <f>T2211/'Record info'!K946</f>
        <v>0.70539419087136934</v>
      </c>
      <c r="Y2211" s="4" t="s">
        <v>2276</v>
      </c>
      <c r="Z2211" s="204" t="s">
        <v>86</v>
      </c>
      <c r="AA2211" s="204" t="s">
        <v>405</v>
      </c>
      <c r="AB2211" s="4" t="s">
        <v>2276</v>
      </c>
      <c r="AC2211" s="4"/>
      <c r="AD2211" s="204" t="s">
        <v>6711</v>
      </c>
    </row>
    <row r="2212" spans="1:30" s="60" customFormat="1" ht="36.5" customHeight="1">
      <c r="A2212" s="4" t="s">
        <v>6164</v>
      </c>
      <c r="B2212" s="4" t="s">
        <v>6219</v>
      </c>
      <c r="C2212" s="204" t="s">
        <v>1105</v>
      </c>
      <c r="D2212" s="204" t="s">
        <v>1105</v>
      </c>
      <c r="E2212" s="204" t="s">
        <v>1105</v>
      </c>
      <c r="F2212" s="204" t="s">
        <v>2276</v>
      </c>
      <c r="G2212" s="204" t="s">
        <v>2276</v>
      </c>
      <c r="H2212" s="4" t="s">
        <v>523</v>
      </c>
      <c r="I2212" s="4">
        <v>2003</v>
      </c>
      <c r="J2212" s="4"/>
      <c r="K2212" s="4" t="s">
        <v>2276</v>
      </c>
      <c r="L2212" s="4" t="s">
        <v>2276</v>
      </c>
      <c r="M2212" s="4" t="s">
        <v>2276</v>
      </c>
      <c r="N2212" s="4" t="s">
        <v>2276</v>
      </c>
      <c r="O2212" s="4" t="s">
        <v>2276</v>
      </c>
      <c r="P2212" s="4" t="s">
        <v>2276</v>
      </c>
      <c r="Q2212" s="4" t="s">
        <v>2276</v>
      </c>
      <c r="R2212" s="4" t="s">
        <v>2276</v>
      </c>
      <c r="S2212" s="4" t="s">
        <v>2276</v>
      </c>
      <c r="T2212" s="75">
        <v>5000</v>
      </c>
      <c r="U2212" s="4" t="s">
        <v>2276</v>
      </c>
      <c r="V2212" s="4" t="s">
        <v>2276</v>
      </c>
      <c r="W2212" s="4" t="s">
        <v>2276</v>
      </c>
      <c r="X2212" s="75">
        <f>T2212/'Record info'!K947</f>
        <v>0.57471264367816088</v>
      </c>
      <c r="Y2212" s="4" t="s">
        <v>2276</v>
      </c>
      <c r="Z2212" s="204" t="s">
        <v>86</v>
      </c>
      <c r="AA2212" s="204" t="s">
        <v>405</v>
      </c>
      <c r="AB2212" s="4" t="s">
        <v>2276</v>
      </c>
      <c r="AC2212" s="4"/>
      <c r="AD2212" s="204" t="s">
        <v>6711</v>
      </c>
    </row>
    <row r="2213" spans="1:30" s="60" customFormat="1" ht="36.5" customHeight="1">
      <c r="A2213" s="4" t="s">
        <v>6165</v>
      </c>
      <c r="B2213" s="4" t="s">
        <v>6220</v>
      </c>
      <c r="C2213" s="204" t="s">
        <v>1105</v>
      </c>
      <c r="D2213" s="204" t="s">
        <v>1105</v>
      </c>
      <c r="E2213" s="204" t="s">
        <v>1105</v>
      </c>
      <c r="F2213" s="204" t="s">
        <v>2276</v>
      </c>
      <c r="G2213" s="204" t="s">
        <v>2276</v>
      </c>
      <c r="H2213" s="4" t="s">
        <v>523</v>
      </c>
      <c r="I2213" s="4">
        <v>2003</v>
      </c>
      <c r="J2213" s="4"/>
      <c r="K2213" s="4" t="s">
        <v>2276</v>
      </c>
      <c r="L2213" s="4" t="s">
        <v>2276</v>
      </c>
      <c r="M2213" s="4" t="s">
        <v>2276</v>
      </c>
      <c r="N2213" s="4">
        <v>10500</v>
      </c>
      <c r="O2213" s="4" t="s">
        <v>2276</v>
      </c>
      <c r="P2213" s="4" t="s">
        <v>2276</v>
      </c>
      <c r="Q2213" s="4" t="s">
        <v>2276</v>
      </c>
      <c r="R2213" s="4" t="s">
        <v>2276</v>
      </c>
      <c r="S2213" s="4" t="s">
        <v>2276</v>
      </c>
      <c r="T2213" s="75">
        <v>4700</v>
      </c>
      <c r="U2213" s="4" t="s">
        <v>2276</v>
      </c>
      <c r="V2213" s="4" t="s">
        <v>2276</v>
      </c>
      <c r="W2213" s="4" t="s">
        <v>2276</v>
      </c>
      <c r="X2213" s="75">
        <f>T2213/'Record info'!K948</f>
        <v>0.14641744548286603</v>
      </c>
      <c r="Y2213" s="4" t="s">
        <v>2276</v>
      </c>
      <c r="Z2213" s="204" t="s">
        <v>86</v>
      </c>
      <c r="AA2213" s="204" t="s">
        <v>405</v>
      </c>
      <c r="AB2213" s="4" t="s">
        <v>2276</v>
      </c>
      <c r="AC2213" s="4"/>
      <c r="AD2213" s="204" t="s">
        <v>6711</v>
      </c>
    </row>
    <row r="2214" spans="1:30" s="205" customFormat="1" ht="36.5" customHeight="1">
      <c r="A2214" s="4" t="s">
        <v>6163</v>
      </c>
      <c r="B2214" s="4" t="s">
        <v>6704</v>
      </c>
      <c r="C2214" s="204" t="s">
        <v>1105</v>
      </c>
      <c r="D2214" s="204" t="s">
        <v>1105</v>
      </c>
      <c r="E2214" s="204" t="s">
        <v>1105</v>
      </c>
      <c r="F2214" s="204" t="s">
        <v>2276</v>
      </c>
      <c r="G2214" s="4" t="s">
        <v>74</v>
      </c>
      <c r="H2214" s="4" t="s">
        <v>523</v>
      </c>
      <c r="I2214" s="4"/>
      <c r="J2214" s="4" t="s">
        <v>2276</v>
      </c>
      <c r="K2214" s="4" t="s">
        <v>2276</v>
      </c>
      <c r="L2214" s="4" t="s">
        <v>2276</v>
      </c>
      <c r="M2214" s="4" t="s">
        <v>2276</v>
      </c>
      <c r="N2214" s="4" t="s">
        <v>2276</v>
      </c>
      <c r="O2214" s="4" t="s">
        <v>2276</v>
      </c>
      <c r="P2214" s="4" t="s">
        <v>2276</v>
      </c>
      <c r="Q2214" s="4" t="s">
        <v>2276</v>
      </c>
      <c r="R2214" s="4" t="s">
        <v>2276</v>
      </c>
      <c r="S2214" s="4" t="s">
        <v>2276</v>
      </c>
      <c r="T2214" s="75">
        <v>1200</v>
      </c>
      <c r="U2214" s="4" t="s">
        <v>2276</v>
      </c>
      <c r="V2214" s="75">
        <v>0.87</v>
      </c>
      <c r="W2214" s="4" t="s">
        <v>2276</v>
      </c>
      <c r="X2214" s="4" t="s">
        <v>2276</v>
      </c>
      <c r="Y2214" s="4" t="s">
        <v>2276</v>
      </c>
      <c r="Z2214" s="204" t="s">
        <v>86</v>
      </c>
      <c r="AA2214" s="204" t="s">
        <v>405</v>
      </c>
      <c r="AB2214" s="4" t="s">
        <v>2276</v>
      </c>
      <c r="AC2214" s="4"/>
      <c r="AD2214" s="4" t="s">
        <v>6707</v>
      </c>
    </row>
    <row r="2215" spans="1:30" s="205" customFormat="1" ht="36.5" customHeight="1">
      <c r="A2215" s="4" t="s">
        <v>6164</v>
      </c>
      <c r="B2215" s="4" t="s">
        <v>6705</v>
      </c>
      <c r="C2215" s="204" t="s">
        <v>1105</v>
      </c>
      <c r="D2215" s="204" t="s">
        <v>1105</v>
      </c>
      <c r="E2215" s="204" t="s">
        <v>1105</v>
      </c>
      <c r="F2215" s="204" t="s">
        <v>2276</v>
      </c>
      <c r="G2215" s="4" t="s">
        <v>74</v>
      </c>
      <c r="H2215" s="4" t="s">
        <v>523</v>
      </c>
      <c r="I2215" s="4"/>
      <c r="J2215" s="4" t="s">
        <v>2276</v>
      </c>
      <c r="K2215" s="4" t="s">
        <v>2276</v>
      </c>
      <c r="L2215" s="4" t="s">
        <v>2276</v>
      </c>
      <c r="M2215" s="4" t="s">
        <v>2276</v>
      </c>
      <c r="N2215" s="4" t="s">
        <v>2276</v>
      </c>
      <c r="O2215" s="4" t="s">
        <v>2276</v>
      </c>
      <c r="P2215" s="4" t="s">
        <v>2276</v>
      </c>
      <c r="Q2215" s="4" t="s">
        <v>2276</v>
      </c>
      <c r="R2215" s="4" t="s">
        <v>2276</v>
      </c>
      <c r="S2215" s="4" t="s">
        <v>2276</v>
      </c>
      <c r="T2215" s="75">
        <v>165</v>
      </c>
      <c r="U2215" s="4" t="s">
        <v>2276</v>
      </c>
      <c r="V2215" s="75">
        <v>0.26</v>
      </c>
      <c r="W2215" s="4" t="s">
        <v>2276</v>
      </c>
      <c r="X2215" s="4" t="s">
        <v>2276</v>
      </c>
      <c r="Y2215" s="4" t="s">
        <v>2276</v>
      </c>
      <c r="Z2215" s="204" t="s">
        <v>86</v>
      </c>
      <c r="AA2215" s="204" t="s">
        <v>405</v>
      </c>
      <c r="AB2215" s="4" t="s">
        <v>2276</v>
      </c>
      <c r="AC2215" s="4"/>
      <c r="AD2215" s="4" t="s">
        <v>6707</v>
      </c>
    </row>
    <row r="2216" spans="1:30" s="205" customFormat="1" ht="36.5" customHeight="1">
      <c r="A2216" s="4" t="s">
        <v>6165</v>
      </c>
      <c r="B2216" s="4" t="s">
        <v>6706</v>
      </c>
      <c r="C2216" s="204" t="s">
        <v>1105</v>
      </c>
      <c r="D2216" s="204" t="s">
        <v>1105</v>
      </c>
      <c r="E2216" s="204" t="s">
        <v>1105</v>
      </c>
      <c r="F2216" s="204" t="s">
        <v>2276</v>
      </c>
      <c r="G2216" s="4" t="s">
        <v>74</v>
      </c>
      <c r="H2216" s="4" t="s">
        <v>523</v>
      </c>
      <c r="I2216" s="4"/>
      <c r="J2216" s="4" t="s">
        <v>2276</v>
      </c>
      <c r="K2216" s="4" t="s">
        <v>2276</v>
      </c>
      <c r="L2216" s="4" t="s">
        <v>2276</v>
      </c>
      <c r="M2216" s="4" t="s">
        <v>2276</v>
      </c>
      <c r="N2216" s="4" t="s">
        <v>2276</v>
      </c>
      <c r="O2216" s="4" t="s">
        <v>2276</v>
      </c>
      <c r="P2216" s="4" t="s">
        <v>2276</v>
      </c>
      <c r="Q2216" s="4" t="s">
        <v>2276</v>
      </c>
      <c r="R2216" s="4" t="s">
        <v>2276</v>
      </c>
      <c r="S2216" s="4" t="s">
        <v>2276</v>
      </c>
      <c r="T2216" s="75">
        <v>450</v>
      </c>
      <c r="U2216" s="4" t="s">
        <v>2276</v>
      </c>
      <c r="V2216" s="75">
        <v>0.72</v>
      </c>
      <c r="W2216" s="4" t="s">
        <v>2276</v>
      </c>
      <c r="X2216" s="4" t="s">
        <v>2276</v>
      </c>
      <c r="Y2216" s="4" t="s">
        <v>2276</v>
      </c>
      <c r="Z2216" s="204" t="s">
        <v>86</v>
      </c>
      <c r="AA2216" s="204" t="s">
        <v>405</v>
      </c>
      <c r="AB2216" s="4" t="s">
        <v>2276</v>
      </c>
      <c r="AC2216" s="4"/>
      <c r="AD2216" s="4" t="s">
        <v>6707</v>
      </c>
    </row>
    <row r="2217" spans="1:30" s="205" customFormat="1" ht="36.5" customHeight="1">
      <c r="A2217" s="4" t="s">
        <v>6163</v>
      </c>
      <c r="B2217" s="4" t="s">
        <v>6708</v>
      </c>
      <c r="C2217" s="204" t="s">
        <v>1105</v>
      </c>
      <c r="D2217" s="204" t="s">
        <v>1105</v>
      </c>
      <c r="E2217" s="204" t="s">
        <v>1105</v>
      </c>
      <c r="F2217" s="204" t="s">
        <v>2276</v>
      </c>
      <c r="G2217" s="204" t="s">
        <v>2276</v>
      </c>
      <c r="H2217" s="4" t="s">
        <v>523</v>
      </c>
      <c r="I2217" s="4">
        <v>1990</v>
      </c>
      <c r="J2217" s="4" t="s">
        <v>2276</v>
      </c>
      <c r="K2217" s="4" t="s">
        <v>2276</v>
      </c>
      <c r="L2217" s="4" t="s">
        <v>2276</v>
      </c>
      <c r="M2217" s="4" t="s">
        <v>2276</v>
      </c>
      <c r="N2217" s="4" t="s">
        <v>2276</v>
      </c>
      <c r="O2217" s="4" t="s">
        <v>2276</v>
      </c>
      <c r="P2217" s="4" t="s">
        <v>2276</v>
      </c>
      <c r="Q2217" s="4" t="s">
        <v>2276</v>
      </c>
      <c r="R2217" s="4" t="s">
        <v>2276</v>
      </c>
      <c r="S2217" s="4" t="s">
        <v>2276</v>
      </c>
      <c r="T2217" s="4" t="s">
        <v>2276</v>
      </c>
      <c r="U2217" s="4" t="s">
        <v>2276</v>
      </c>
      <c r="V2217" s="4" t="s">
        <v>2276</v>
      </c>
      <c r="W2217" s="4" t="s">
        <v>2276</v>
      </c>
      <c r="X2217" s="4" t="s">
        <v>2276</v>
      </c>
      <c r="Y2217" s="4" t="s">
        <v>2276</v>
      </c>
      <c r="Z2217" s="204" t="s">
        <v>86</v>
      </c>
      <c r="AA2217" s="204" t="s">
        <v>405</v>
      </c>
      <c r="AB2217" s="4" t="s">
        <v>2276</v>
      </c>
      <c r="AC2217" s="4"/>
      <c r="AD2217" s="204" t="s">
        <v>6711</v>
      </c>
    </row>
    <row r="2218" spans="1:30" s="205" customFormat="1" ht="36.5" customHeight="1">
      <c r="A2218" s="4" t="s">
        <v>6164</v>
      </c>
      <c r="B2218" s="4" t="s">
        <v>6709</v>
      </c>
      <c r="C2218" s="204" t="s">
        <v>1105</v>
      </c>
      <c r="D2218" s="204" t="s">
        <v>1105</v>
      </c>
      <c r="E2218" s="204" t="s">
        <v>1105</v>
      </c>
      <c r="F2218" s="204" t="s">
        <v>2276</v>
      </c>
      <c r="G2218" s="204" t="s">
        <v>2276</v>
      </c>
      <c r="H2218" s="4" t="s">
        <v>523</v>
      </c>
      <c r="I2218" s="4">
        <v>1990</v>
      </c>
      <c r="J2218" s="4" t="s">
        <v>2276</v>
      </c>
      <c r="K2218" s="4" t="s">
        <v>2276</v>
      </c>
      <c r="L2218" s="4" t="s">
        <v>2276</v>
      </c>
      <c r="M2218" s="4" t="s">
        <v>2276</v>
      </c>
      <c r="N2218" s="4" t="s">
        <v>2276</v>
      </c>
      <c r="O2218" s="4" t="s">
        <v>2276</v>
      </c>
      <c r="P2218" s="4" t="s">
        <v>2276</v>
      </c>
      <c r="Q2218" s="4" t="s">
        <v>2276</v>
      </c>
      <c r="R2218" s="4" t="s">
        <v>2276</v>
      </c>
      <c r="S2218" s="4" t="s">
        <v>2276</v>
      </c>
      <c r="T2218" s="4" t="s">
        <v>2276</v>
      </c>
      <c r="U2218" s="4" t="s">
        <v>2276</v>
      </c>
      <c r="V2218" s="4" t="s">
        <v>2276</v>
      </c>
      <c r="W2218" s="4" t="s">
        <v>2276</v>
      </c>
      <c r="X2218" s="4" t="s">
        <v>2276</v>
      </c>
      <c r="Y2218" s="4" t="s">
        <v>2276</v>
      </c>
      <c r="Z2218" s="204" t="s">
        <v>86</v>
      </c>
      <c r="AA2218" s="204" t="s">
        <v>405</v>
      </c>
      <c r="AB2218" s="4" t="s">
        <v>2276</v>
      </c>
      <c r="AC2218" s="4"/>
      <c r="AD2218" s="204" t="s">
        <v>6711</v>
      </c>
    </row>
    <row r="2219" spans="1:30" s="205" customFormat="1" ht="36.5" customHeight="1">
      <c r="A2219" s="4" t="s">
        <v>6165</v>
      </c>
      <c r="B2219" s="4" t="s">
        <v>6710</v>
      </c>
      <c r="C2219" s="204" t="s">
        <v>1105</v>
      </c>
      <c r="D2219" s="204" t="s">
        <v>1105</v>
      </c>
      <c r="E2219" s="204" t="s">
        <v>1105</v>
      </c>
      <c r="F2219" s="204" t="s">
        <v>2276</v>
      </c>
      <c r="G2219" s="204" t="s">
        <v>2276</v>
      </c>
      <c r="H2219" s="4" t="s">
        <v>523</v>
      </c>
      <c r="I2219" s="4">
        <v>1990</v>
      </c>
      <c r="J2219" s="4" t="s">
        <v>2276</v>
      </c>
      <c r="K2219" s="4" t="s">
        <v>2276</v>
      </c>
      <c r="L2219" s="4" t="s">
        <v>2276</v>
      </c>
      <c r="M2219" s="4" t="s">
        <v>2276</v>
      </c>
      <c r="N2219" s="4" t="s">
        <v>2276</v>
      </c>
      <c r="O2219" s="4" t="s">
        <v>2276</v>
      </c>
      <c r="P2219" s="4" t="s">
        <v>2276</v>
      </c>
      <c r="Q2219" s="4" t="s">
        <v>2276</v>
      </c>
      <c r="R2219" s="4" t="s">
        <v>2276</v>
      </c>
      <c r="S2219" s="4" t="s">
        <v>2276</v>
      </c>
      <c r="T2219" s="4" t="s">
        <v>2276</v>
      </c>
      <c r="U2219" s="4" t="s">
        <v>2276</v>
      </c>
      <c r="V2219" s="4" t="s">
        <v>2276</v>
      </c>
      <c r="W2219" s="4" t="s">
        <v>2276</v>
      </c>
      <c r="X2219" s="4" t="s">
        <v>2276</v>
      </c>
      <c r="Y2219" s="4" t="s">
        <v>2276</v>
      </c>
      <c r="Z2219" s="204" t="s">
        <v>86</v>
      </c>
      <c r="AA2219" s="204" t="s">
        <v>405</v>
      </c>
      <c r="AB2219" s="4" t="s">
        <v>2276</v>
      </c>
      <c r="AC2219" s="4"/>
      <c r="AD2219" s="4"/>
    </row>
    <row r="2220" spans="1:30" s="205" customFormat="1" ht="36.5" customHeight="1">
      <c r="A2220" s="19" t="s">
        <v>6166</v>
      </c>
      <c r="B2220" s="19" t="s">
        <v>6221</v>
      </c>
      <c r="C2220" s="204" t="s">
        <v>1105</v>
      </c>
      <c r="D2220" s="204" t="s">
        <v>1105</v>
      </c>
      <c r="E2220" s="204" t="s">
        <v>1105</v>
      </c>
      <c r="F2220" s="204" t="s">
        <v>2276</v>
      </c>
      <c r="G2220" s="204" t="s">
        <v>2276</v>
      </c>
      <c r="H2220" s="4" t="s">
        <v>523</v>
      </c>
      <c r="I2220" s="19"/>
      <c r="J2220" s="4">
        <v>0.38</v>
      </c>
      <c r="K2220" s="4" t="s">
        <v>2276</v>
      </c>
      <c r="L2220" s="4" t="s">
        <v>2276</v>
      </c>
      <c r="M2220" s="4" t="s">
        <v>2276</v>
      </c>
      <c r="N2220" s="4" t="s">
        <v>2276</v>
      </c>
      <c r="O2220" s="4" t="s">
        <v>2276</v>
      </c>
      <c r="P2220" s="202">
        <f>T2220/14.1</f>
        <v>7.0921985815602842</v>
      </c>
      <c r="Q2220" s="4" t="s">
        <v>2276</v>
      </c>
      <c r="R2220" s="4" t="s">
        <v>2276</v>
      </c>
      <c r="S2220" s="4" t="s">
        <v>2276</v>
      </c>
      <c r="T2220" s="4">
        <v>100</v>
      </c>
      <c r="U2220" s="4" t="s">
        <v>2276</v>
      </c>
      <c r="V2220" s="4" t="s">
        <v>2276</v>
      </c>
      <c r="W2220" s="4" t="s">
        <v>2276</v>
      </c>
      <c r="X2220" s="75">
        <f>100/'Record info'!K949</f>
        <v>2.7048958615093319</v>
      </c>
      <c r="Y2220" s="4" t="s">
        <v>2276</v>
      </c>
      <c r="Z2220" s="204" t="s">
        <v>86</v>
      </c>
      <c r="AA2220" s="204" t="s">
        <v>405</v>
      </c>
      <c r="AB2220" s="4" t="s">
        <v>2276</v>
      </c>
      <c r="AC2220" s="19"/>
      <c r="AD2220" s="19"/>
    </row>
    <row r="2221" spans="1:30" s="205" customFormat="1" ht="36.5" customHeight="1">
      <c r="A2221" s="19" t="s">
        <v>6167</v>
      </c>
      <c r="B2221" s="19" t="s">
        <v>6222</v>
      </c>
      <c r="C2221" s="204" t="s">
        <v>1105</v>
      </c>
      <c r="D2221" s="204" t="s">
        <v>1105</v>
      </c>
      <c r="E2221" s="204" t="s">
        <v>1105</v>
      </c>
      <c r="F2221" s="204" t="s">
        <v>2276</v>
      </c>
      <c r="G2221" s="204" t="s">
        <v>2276</v>
      </c>
      <c r="H2221" s="4" t="s">
        <v>523</v>
      </c>
      <c r="I2221" s="19"/>
      <c r="J2221" s="4" t="s">
        <v>2276</v>
      </c>
      <c r="K2221" s="4" t="s">
        <v>2276</v>
      </c>
      <c r="L2221" s="4" t="s">
        <v>2276</v>
      </c>
      <c r="M2221" s="4" t="s">
        <v>2276</v>
      </c>
      <c r="N2221" s="4" t="s">
        <v>2276</v>
      </c>
      <c r="O2221" s="4" t="s">
        <v>2276</v>
      </c>
      <c r="P2221" s="4" t="s">
        <v>2276</v>
      </c>
      <c r="Q2221" s="4" t="s">
        <v>2276</v>
      </c>
      <c r="R2221" s="4" t="s">
        <v>2276</v>
      </c>
      <c r="S2221" s="4" t="s">
        <v>2276</v>
      </c>
      <c r="T2221" s="4" t="s">
        <v>2276</v>
      </c>
      <c r="U2221" s="4" t="s">
        <v>2276</v>
      </c>
      <c r="V2221" s="4" t="s">
        <v>2276</v>
      </c>
      <c r="W2221" s="4" t="s">
        <v>2276</v>
      </c>
      <c r="X2221" s="4" t="s">
        <v>2276</v>
      </c>
      <c r="Y2221" s="4" t="s">
        <v>2276</v>
      </c>
      <c r="Z2221" s="4" t="s">
        <v>2276</v>
      </c>
      <c r="AA2221" s="4" t="s">
        <v>2276</v>
      </c>
      <c r="AB2221" s="4" t="s">
        <v>2276</v>
      </c>
      <c r="AC2221" s="19"/>
      <c r="AD2221" s="19"/>
    </row>
    <row r="2222" spans="1:30" s="60" customFormat="1" ht="56.5" customHeight="1">
      <c r="A2222" s="4" t="s">
        <v>6168</v>
      </c>
      <c r="B2222" s="4" t="s">
        <v>6223</v>
      </c>
      <c r="C2222" s="204" t="s">
        <v>2458</v>
      </c>
      <c r="D2222" s="4" t="s">
        <v>2659</v>
      </c>
      <c r="E2222" s="4" t="s">
        <v>3855</v>
      </c>
      <c r="F2222" s="4" t="s">
        <v>28</v>
      </c>
      <c r="G2222" s="4" t="s">
        <v>74</v>
      </c>
      <c r="H2222" s="4" t="s">
        <v>523</v>
      </c>
      <c r="I2222" s="4"/>
      <c r="J2222" s="4" t="s">
        <v>2276</v>
      </c>
      <c r="K2222" s="4" t="s">
        <v>2276</v>
      </c>
      <c r="L2222" s="4" t="s">
        <v>2276</v>
      </c>
      <c r="M2222" s="4" t="s">
        <v>2276</v>
      </c>
      <c r="N2222" s="4" t="s">
        <v>2276</v>
      </c>
      <c r="O2222" s="4" t="s">
        <v>2276</v>
      </c>
      <c r="P2222" s="4" t="s">
        <v>2276</v>
      </c>
      <c r="Q2222" s="4" t="s">
        <v>2276</v>
      </c>
      <c r="R2222" s="4" t="s">
        <v>2276</v>
      </c>
      <c r="S2222" s="4" t="s">
        <v>2276</v>
      </c>
      <c r="T2222" s="4" t="s">
        <v>2276</v>
      </c>
      <c r="U2222" s="4" t="s">
        <v>2276</v>
      </c>
      <c r="V2222" s="4" t="s">
        <v>2276</v>
      </c>
      <c r="W2222" s="4" t="s">
        <v>2276</v>
      </c>
      <c r="X2222" s="4" t="s">
        <v>2276</v>
      </c>
      <c r="Y2222" s="4" t="s">
        <v>2276</v>
      </c>
      <c r="Z2222" s="4" t="s">
        <v>2276</v>
      </c>
      <c r="AA2222" s="4" t="s">
        <v>2276</v>
      </c>
      <c r="AB2222" s="4" t="s">
        <v>2276</v>
      </c>
      <c r="AC2222" s="4"/>
      <c r="AD2222" s="4"/>
    </row>
    <row r="2223" spans="1:30" s="60" customFormat="1" ht="60" customHeight="1">
      <c r="A2223" s="4" t="s">
        <v>6168</v>
      </c>
      <c r="B2223" s="4" t="s">
        <v>6224</v>
      </c>
      <c r="C2223" s="204" t="s">
        <v>2458</v>
      </c>
      <c r="D2223" s="204" t="s">
        <v>143</v>
      </c>
      <c r="E2223" s="4" t="s">
        <v>3855</v>
      </c>
      <c r="F2223" s="4" t="s">
        <v>28</v>
      </c>
      <c r="G2223" s="4" t="s">
        <v>74</v>
      </c>
      <c r="H2223" s="4" t="s">
        <v>524</v>
      </c>
      <c r="I2223" s="4"/>
      <c r="J2223" s="4">
        <v>0</v>
      </c>
      <c r="K2223" s="4">
        <v>0</v>
      </c>
      <c r="L2223" s="4">
        <v>0</v>
      </c>
      <c r="M2223" s="4">
        <v>0</v>
      </c>
      <c r="N2223" s="4">
        <v>0</v>
      </c>
      <c r="O2223" s="4">
        <v>0</v>
      </c>
      <c r="P2223" s="4">
        <v>0</v>
      </c>
      <c r="Q2223" s="4">
        <v>0</v>
      </c>
      <c r="R2223" s="4">
        <v>0</v>
      </c>
      <c r="S2223" s="4">
        <v>0</v>
      </c>
      <c r="T2223" s="4">
        <v>0</v>
      </c>
      <c r="U2223" s="4">
        <v>0</v>
      </c>
      <c r="V2223" s="4">
        <v>0</v>
      </c>
      <c r="W2223" s="4">
        <v>0</v>
      </c>
      <c r="X2223" s="4">
        <v>0</v>
      </c>
      <c r="Y2223" s="4" t="s">
        <v>2276</v>
      </c>
      <c r="Z2223" s="4" t="s">
        <v>2276</v>
      </c>
      <c r="AA2223" s="4" t="s">
        <v>2276</v>
      </c>
      <c r="AB2223" s="4" t="s">
        <v>2276</v>
      </c>
      <c r="AC2223" s="4"/>
      <c r="AD2223" s="4"/>
    </row>
    <row r="2224" spans="1:30" s="60" customFormat="1" ht="53" customHeight="1">
      <c r="A2224" s="4" t="s">
        <v>6168</v>
      </c>
      <c r="B2224" s="4" t="s">
        <v>6225</v>
      </c>
      <c r="C2224" s="4" t="s">
        <v>24</v>
      </c>
      <c r="D2224" s="4" t="s">
        <v>2659</v>
      </c>
      <c r="E2224" s="4" t="s">
        <v>3855</v>
      </c>
      <c r="F2224" s="4" t="s">
        <v>28</v>
      </c>
      <c r="G2224" s="4" t="s">
        <v>28</v>
      </c>
      <c r="H2224" s="4" t="s">
        <v>523</v>
      </c>
      <c r="I2224" s="4"/>
      <c r="J2224" s="4" t="s">
        <v>2276</v>
      </c>
      <c r="K2224" s="4" t="s">
        <v>2276</v>
      </c>
      <c r="L2224" s="4" t="s">
        <v>2276</v>
      </c>
      <c r="M2224" s="4" t="s">
        <v>2276</v>
      </c>
      <c r="N2224" s="4" t="s">
        <v>2276</v>
      </c>
      <c r="O2224" s="4" t="s">
        <v>2276</v>
      </c>
      <c r="P2224" s="4" t="s">
        <v>2276</v>
      </c>
      <c r="Q2224" s="4" t="s">
        <v>2276</v>
      </c>
      <c r="R2224" s="4" t="s">
        <v>2276</v>
      </c>
      <c r="S2224" s="4" t="s">
        <v>2276</v>
      </c>
      <c r="T2224" s="4" t="s">
        <v>2276</v>
      </c>
      <c r="U2224" s="4" t="s">
        <v>2276</v>
      </c>
      <c r="V2224" s="4" t="s">
        <v>2276</v>
      </c>
      <c r="W2224" s="4" t="s">
        <v>2276</v>
      </c>
      <c r="X2224" s="4" t="s">
        <v>2276</v>
      </c>
      <c r="Y2224" s="4" t="s">
        <v>2276</v>
      </c>
      <c r="Z2224" s="4" t="s">
        <v>2276</v>
      </c>
      <c r="AA2224" s="4" t="s">
        <v>2276</v>
      </c>
      <c r="AB2224" s="4" t="s">
        <v>2276</v>
      </c>
      <c r="AC2224" s="4"/>
      <c r="AD2224" s="4"/>
    </row>
    <row r="2225" spans="1:30" s="60" customFormat="1" ht="47.5" customHeight="1">
      <c r="A2225" s="4" t="s">
        <v>6168</v>
      </c>
      <c r="B2225" s="4" t="s">
        <v>6226</v>
      </c>
      <c r="C2225" s="4" t="s">
        <v>24</v>
      </c>
      <c r="D2225" s="204" t="s">
        <v>143</v>
      </c>
      <c r="E2225" s="4" t="s">
        <v>3855</v>
      </c>
      <c r="F2225" s="4" t="s">
        <v>28</v>
      </c>
      <c r="G2225" s="4" t="s">
        <v>28</v>
      </c>
      <c r="H2225" s="4" t="s">
        <v>524</v>
      </c>
      <c r="I2225" s="4"/>
      <c r="J2225" s="4">
        <v>0</v>
      </c>
      <c r="K2225" s="4">
        <v>0</v>
      </c>
      <c r="L2225" s="4">
        <v>0</v>
      </c>
      <c r="M2225" s="4">
        <v>0</v>
      </c>
      <c r="N2225" s="4">
        <v>0</v>
      </c>
      <c r="O2225" s="4">
        <v>0</v>
      </c>
      <c r="P2225" s="4">
        <v>0</v>
      </c>
      <c r="Q2225" s="4">
        <v>0</v>
      </c>
      <c r="R2225" s="4">
        <v>0</v>
      </c>
      <c r="S2225" s="4">
        <v>0</v>
      </c>
      <c r="T2225" s="4">
        <v>0</v>
      </c>
      <c r="U2225" s="4">
        <v>0</v>
      </c>
      <c r="V2225" s="4">
        <v>0</v>
      </c>
      <c r="W2225" s="4">
        <v>0</v>
      </c>
      <c r="X2225" s="4">
        <v>0</v>
      </c>
      <c r="Y2225" s="4" t="s">
        <v>2276</v>
      </c>
      <c r="Z2225" s="4" t="s">
        <v>2276</v>
      </c>
      <c r="AA2225" s="4" t="s">
        <v>2276</v>
      </c>
      <c r="AB2225" s="4" t="s">
        <v>2276</v>
      </c>
      <c r="AC2225" s="4"/>
      <c r="AD2225" s="4"/>
    </row>
    <row r="2226" spans="1:30" s="205" customFormat="1" ht="52" customHeight="1">
      <c r="A2226" s="4" t="s">
        <v>6168</v>
      </c>
      <c r="B2226" s="4" t="s">
        <v>6227</v>
      </c>
      <c r="C2226" s="204" t="s">
        <v>2458</v>
      </c>
      <c r="D2226" s="204" t="s">
        <v>25</v>
      </c>
      <c r="E2226" s="4" t="s">
        <v>3855</v>
      </c>
      <c r="F2226" s="4" t="s">
        <v>29</v>
      </c>
      <c r="G2226" s="4" t="s">
        <v>28</v>
      </c>
      <c r="H2226" s="4" t="s">
        <v>523</v>
      </c>
      <c r="I2226" s="4"/>
      <c r="J2226" s="4" t="s">
        <v>2276</v>
      </c>
      <c r="K2226" s="4" t="s">
        <v>2276</v>
      </c>
      <c r="L2226" s="4" t="s">
        <v>2276</v>
      </c>
      <c r="M2226" s="4" t="s">
        <v>2276</v>
      </c>
      <c r="N2226" s="4" t="s">
        <v>2276</v>
      </c>
      <c r="O2226" s="4" t="s">
        <v>2276</v>
      </c>
      <c r="P2226" s="4" t="s">
        <v>2276</v>
      </c>
      <c r="Q2226" s="4" t="s">
        <v>2276</v>
      </c>
      <c r="R2226" s="4" t="s">
        <v>2276</v>
      </c>
      <c r="S2226" s="4" t="s">
        <v>2276</v>
      </c>
      <c r="T2226" s="4" t="s">
        <v>2276</v>
      </c>
      <c r="U2226" s="4" t="s">
        <v>2276</v>
      </c>
      <c r="V2226" s="4" t="s">
        <v>2276</v>
      </c>
      <c r="W2226" s="4" t="s">
        <v>2276</v>
      </c>
      <c r="X2226" s="4" t="s">
        <v>2276</v>
      </c>
      <c r="Y2226" s="4" t="s">
        <v>2276</v>
      </c>
      <c r="Z2226" s="4" t="s">
        <v>2276</v>
      </c>
      <c r="AA2226" s="4" t="s">
        <v>2276</v>
      </c>
      <c r="AB2226" s="4" t="s">
        <v>2276</v>
      </c>
      <c r="AC2226" s="4"/>
      <c r="AD2226" s="4"/>
    </row>
    <row r="2227" spans="1:30" s="205" customFormat="1" ht="54" customHeight="1">
      <c r="A2227" s="4" t="s">
        <v>6168</v>
      </c>
      <c r="B2227" s="4" t="s">
        <v>6228</v>
      </c>
      <c r="C2227" s="4" t="s">
        <v>24</v>
      </c>
      <c r="D2227" s="204" t="s">
        <v>25</v>
      </c>
      <c r="E2227" s="4" t="s">
        <v>3855</v>
      </c>
      <c r="F2227" s="4" t="s">
        <v>29</v>
      </c>
      <c r="G2227" s="4" t="s">
        <v>28</v>
      </c>
      <c r="H2227" s="4" t="s">
        <v>523</v>
      </c>
      <c r="I2227" s="4"/>
      <c r="J2227" s="4" t="s">
        <v>2276</v>
      </c>
      <c r="K2227" s="4" t="s">
        <v>2276</v>
      </c>
      <c r="L2227" s="4" t="s">
        <v>2276</v>
      </c>
      <c r="M2227" s="4" t="s">
        <v>2276</v>
      </c>
      <c r="N2227" s="4" t="s">
        <v>2276</v>
      </c>
      <c r="O2227" s="4" t="s">
        <v>2276</v>
      </c>
      <c r="P2227" s="4" t="s">
        <v>2276</v>
      </c>
      <c r="Q2227" s="4" t="s">
        <v>2276</v>
      </c>
      <c r="R2227" s="4" t="s">
        <v>2276</v>
      </c>
      <c r="S2227" s="4" t="s">
        <v>2276</v>
      </c>
      <c r="T2227" s="4" t="s">
        <v>2276</v>
      </c>
      <c r="U2227" s="4" t="s">
        <v>2276</v>
      </c>
      <c r="V2227" s="4" t="s">
        <v>2276</v>
      </c>
      <c r="W2227" s="4" t="s">
        <v>2276</v>
      </c>
      <c r="X2227" s="4" t="s">
        <v>2276</v>
      </c>
      <c r="Y2227" s="4" t="s">
        <v>2276</v>
      </c>
      <c r="Z2227" s="4" t="s">
        <v>2276</v>
      </c>
      <c r="AA2227" s="4" t="s">
        <v>2276</v>
      </c>
      <c r="AB2227" s="4" t="s">
        <v>2276</v>
      </c>
      <c r="AC2227" s="4"/>
      <c r="AD2227" s="4"/>
    </row>
    <row r="2228" spans="1:30" s="60" customFormat="1" ht="45.5" customHeight="1">
      <c r="A2228" s="4" t="s">
        <v>6168</v>
      </c>
      <c r="B2228" s="4" t="s">
        <v>6714</v>
      </c>
      <c r="C2228" s="4" t="s">
        <v>24</v>
      </c>
      <c r="D2228" s="4" t="s">
        <v>2346</v>
      </c>
      <c r="E2228" s="4" t="s">
        <v>3855</v>
      </c>
      <c r="F2228" s="4" t="s">
        <v>2276</v>
      </c>
      <c r="G2228" s="4" t="s">
        <v>2276</v>
      </c>
      <c r="H2228" s="4" t="s">
        <v>523</v>
      </c>
      <c r="I2228" s="4"/>
      <c r="J2228" s="4" t="s">
        <v>2276</v>
      </c>
      <c r="K2228" s="4" t="s">
        <v>2276</v>
      </c>
      <c r="L2228" s="4" t="s">
        <v>2276</v>
      </c>
      <c r="M2228" s="4" t="s">
        <v>2276</v>
      </c>
      <c r="N2228" s="4" t="s">
        <v>2276</v>
      </c>
      <c r="O2228" s="4" t="s">
        <v>2276</v>
      </c>
      <c r="P2228" s="4" t="s">
        <v>2276</v>
      </c>
      <c r="Q2228" s="4" t="s">
        <v>2276</v>
      </c>
      <c r="R2228" s="4" t="s">
        <v>2276</v>
      </c>
      <c r="S2228" s="4" t="s">
        <v>2276</v>
      </c>
      <c r="T2228" s="4" t="s">
        <v>2276</v>
      </c>
      <c r="U2228" s="4" t="s">
        <v>2276</v>
      </c>
      <c r="V2228" s="4" t="s">
        <v>2276</v>
      </c>
      <c r="W2228" s="4" t="s">
        <v>2276</v>
      </c>
      <c r="X2228" s="4" t="s">
        <v>2276</v>
      </c>
      <c r="Y2228" s="4" t="s">
        <v>2276</v>
      </c>
      <c r="Z2228" s="4" t="s">
        <v>2276</v>
      </c>
      <c r="AA2228" s="4" t="s">
        <v>2276</v>
      </c>
      <c r="AB2228" s="4" t="s">
        <v>2276</v>
      </c>
      <c r="AC2228" s="4"/>
      <c r="AD2228" s="4"/>
    </row>
    <row r="2229" spans="1:30" s="205" customFormat="1" ht="45.5" customHeight="1">
      <c r="A2229" s="4" t="s">
        <v>6169</v>
      </c>
      <c r="B2229" s="4" t="s">
        <v>6229</v>
      </c>
      <c r="C2229" s="204" t="s">
        <v>2458</v>
      </c>
      <c r="D2229" s="4" t="s">
        <v>2659</v>
      </c>
      <c r="E2229" s="4" t="s">
        <v>3855</v>
      </c>
      <c r="F2229" s="4" t="s">
        <v>28</v>
      </c>
      <c r="G2229" s="4" t="s">
        <v>74</v>
      </c>
      <c r="H2229" s="4" t="s">
        <v>523</v>
      </c>
      <c r="I2229" s="4"/>
      <c r="J2229" s="4" t="s">
        <v>2276</v>
      </c>
      <c r="K2229" s="4" t="s">
        <v>2276</v>
      </c>
      <c r="L2229" s="4" t="s">
        <v>2276</v>
      </c>
      <c r="M2229" s="4" t="s">
        <v>2276</v>
      </c>
      <c r="N2229" s="4" t="s">
        <v>2276</v>
      </c>
      <c r="O2229" s="4" t="s">
        <v>2276</v>
      </c>
      <c r="P2229" s="4" t="s">
        <v>2276</v>
      </c>
      <c r="Q2229" s="4" t="s">
        <v>2276</v>
      </c>
      <c r="R2229" s="4" t="s">
        <v>2276</v>
      </c>
      <c r="S2229" s="4" t="s">
        <v>2276</v>
      </c>
      <c r="T2229" s="4" t="s">
        <v>2276</v>
      </c>
      <c r="U2229" s="4" t="s">
        <v>2276</v>
      </c>
      <c r="V2229" s="4" t="s">
        <v>2276</v>
      </c>
      <c r="W2229" s="4" t="s">
        <v>2276</v>
      </c>
      <c r="X2229" s="4" t="s">
        <v>2276</v>
      </c>
      <c r="Y2229" s="4" t="s">
        <v>2276</v>
      </c>
      <c r="Z2229" s="4" t="s">
        <v>2276</v>
      </c>
      <c r="AA2229" s="4" t="s">
        <v>2276</v>
      </c>
      <c r="AB2229" s="4" t="s">
        <v>2276</v>
      </c>
      <c r="AC2229" s="4"/>
      <c r="AD2229" s="4"/>
    </row>
    <row r="2230" spans="1:30" s="205" customFormat="1" ht="45.5" customHeight="1">
      <c r="A2230" s="4" t="s">
        <v>6169</v>
      </c>
      <c r="B2230" s="4" t="s">
        <v>6715</v>
      </c>
      <c r="C2230" s="204" t="s">
        <v>2458</v>
      </c>
      <c r="D2230" s="204" t="s">
        <v>143</v>
      </c>
      <c r="E2230" s="4" t="s">
        <v>3855</v>
      </c>
      <c r="F2230" s="4" t="s">
        <v>28</v>
      </c>
      <c r="G2230" s="4" t="s">
        <v>74</v>
      </c>
      <c r="H2230" s="4" t="s">
        <v>524</v>
      </c>
      <c r="I2230" s="4"/>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t="s">
        <v>2276</v>
      </c>
      <c r="Z2230" s="4" t="s">
        <v>2276</v>
      </c>
      <c r="AA2230" s="4" t="s">
        <v>2276</v>
      </c>
      <c r="AB2230" s="4" t="s">
        <v>2276</v>
      </c>
      <c r="AC2230" s="4"/>
      <c r="AD2230" s="4"/>
    </row>
    <row r="2231" spans="1:30" s="205" customFormat="1" ht="45.5" customHeight="1">
      <c r="A2231" s="4" t="s">
        <v>6169</v>
      </c>
      <c r="B2231" s="4" t="s">
        <v>6716</v>
      </c>
      <c r="C2231" s="4" t="s">
        <v>24</v>
      </c>
      <c r="D2231" s="4" t="s">
        <v>2659</v>
      </c>
      <c r="E2231" s="4" t="s">
        <v>3855</v>
      </c>
      <c r="F2231" s="4" t="s">
        <v>28</v>
      </c>
      <c r="G2231" s="4" t="s">
        <v>28</v>
      </c>
      <c r="H2231" s="4" t="s">
        <v>523</v>
      </c>
      <c r="I2231" s="4"/>
      <c r="J2231" s="4" t="s">
        <v>2276</v>
      </c>
      <c r="K2231" s="4" t="s">
        <v>2276</v>
      </c>
      <c r="L2231" s="4" t="s">
        <v>2276</v>
      </c>
      <c r="M2231" s="4" t="s">
        <v>2276</v>
      </c>
      <c r="N2231" s="4" t="s">
        <v>2276</v>
      </c>
      <c r="O2231" s="4" t="s">
        <v>2276</v>
      </c>
      <c r="P2231" s="4" t="s">
        <v>2276</v>
      </c>
      <c r="Q2231" s="4" t="s">
        <v>2276</v>
      </c>
      <c r="R2231" s="4" t="s">
        <v>2276</v>
      </c>
      <c r="S2231" s="4" t="s">
        <v>2276</v>
      </c>
      <c r="T2231" s="4" t="s">
        <v>2276</v>
      </c>
      <c r="U2231" s="4" t="s">
        <v>2276</v>
      </c>
      <c r="V2231" s="4" t="s">
        <v>2276</v>
      </c>
      <c r="W2231" s="4" t="s">
        <v>2276</v>
      </c>
      <c r="X2231" s="4" t="s">
        <v>2276</v>
      </c>
      <c r="Y2231" s="4" t="s">
        <v>2276</v>
      </c>
      <c r="Z2231" s="4" t="s">
        <v>2276</v>
      </c>
      <c r="AA2231" s="4" t="s">
        <v>2276</v>
      </c>
      <c r="AB2231" s="4" t="s">
        <v>2276</v>
      </c>
      <c r="AC2231" s="4"/>
      <c r="AD2231" s="4"/>
    </row>
    <row r="2232" spans="1:30" s="205" customFormat="1" ht="45.5" customHeight="1">
      <c r="A2232" s="4" t="s">
        <v>6169</v>
      </c>
      <c r="B2232" s="4" t="s">
        <v>6717</v>
      </c>
      <c r="C2232" s="4" t="s">
        <v>24</v>
      </c>
      <c r="D2232" s="204" t="s">
        <v>143</v>
      </c>
      <c r="E2232" s="4" t="s">
        <v>3855</v>
      </c>
      <c r="F2232" s="4" t="s">
        <v>28</v>
      </c>
      <c r="G2232" s="4" t="s">
        <v>28</v>
      </c>
      <c r="H2232" s="4" t="s">
        <v>524</v>
      </c>
      <c r="I2232" s="4"/>
      <c r="J2232" s="4">
        <v>0</v>
      </c>
      <c r="K2232" s="4">
        <v>0</v>
      </c>
      <c r="L2232" s="4">
        <v>0</v>
      </c>
      <c r="M2232" s="4">
        <v>0</v>
      </c>
      <c r="N2232" s="4">
        <v>0</v>
      </c>
      <c r="O2232" s="4">
        <v>0</v>
      </c>
      <c r="P2232" s="4">
        <v>0</v>
      </c>
      <c r="Q2232" s="4">
        <v>0</v>
      </c>
      <c r="R2232" s="4">
        <v>0</v>
      </c>
      <c r="S2232" s="4">
        <v>0</v>
      </c>
      <c r="T2232" s="4">
        <v>0</v>
      </c>
      <c r="U2232" s="4">
        <v>0</v>
      </c>
      <c r="V2232" s="4">
        <v>0</v>
      </c>
      <c r="W2232" s="4">
        <v>0</v>
      </c>
      <c r="X2232" s="4">
        <v>0</v>
      </c>
      <c r="Y2232" s="4" t="s">
        <v>2276</v>
      </c>
      <c r="Z2232" s="4" t="s">
        <v>2276</v>
      </c>
      <c r="AA2232" s="4" t="s">
        <v>2276</v>
      </c>
      <c r="AB2232" s="4" t="s">
        <v>2276</v>
      </c>
      <c r="AC2232" s="4"/>
      <c r="AD2232" s="4"/>
    </row>
    <row r="2233" spans="1:30" s="205" customFormat="1" ht="45.5" customHeight="1">
      <c r="A2233" s="4" t="s">
        <v>6169</v>
      </c>
      <c r="B2233" s="4" t="s">
        <v>6718</v>
      </c>
      <c r="C2233" s="204" t="s">
        <v>2458</v>
      </c>
      <c r="D2233" s="204" t="s">
        <v>25</v>
      </c>
      <c r="E2233" s="4" t="s">
        <v>3855</v>
      </c>
      <c r="F2233" s="4" t="s">
        <v>29</v>
      </c>
      <c r="G2233" s="4" t="s">
        <v>28</v>
      </c>
      <c r="H2233" s="4" t="s">
        <v>523</v>
      </c>
      <c r="I2233" s="4"/>
      <c r="J2233" s="4" t="s">
        <v>2276</v>
      </c>
      <c r="K2233" s="4" t="s">
        <v>2276</v>
      </c>
      <c r="L2233" s="4" t="s">
        <v>2276</v>
      </c>
      <c r="M2233" s="4" t="s">
        <v>2276</v>
      </c>
      <c r="N2233" s="4" t="s">
        <v>2276</v>
      </c>
      <c r="O2233" s="4" t="s">
        <v>2276</v>
      </c>
      <c r="P2233" s="4" t="s">
        <v>2276</v>
      </c>
      <c r="Q2233" s="4" t="s">
        <v>2276</v>
      </c>
      <c r="R2233" s="4" t="s">
        <v>2276</v>
      </c>
      <c r="S2233" s="4" t="s">
        <v>2276</v>
      </c>
      <c r="T2233" s="4" t="s">
        <v>2276</v>
      </c>
      <c r="U2233" s="4" t="s">
        <v>2276</v>
      </c>
      <c r="V2233" s="4" t="s">
        <v>2276</v>
      </c>
      <c r="W2233" s="4" t="s">
        <v>2276</v>
      </c>
      <c r="X2233" s="4" t="s">
        <v>2276</v>
      </c>
      <c r="Y2233" s="4" t="s">
        <v>2276</v>
      </c>
      <c r="Z2233" s="4" t="s">
        <v>2276</v>
      </c>
      <c r="AA2233" s="4" t="s">
        <v>2276</v>
      </c>
      <c r="AB2233" s="4" t="s">
        <v>2276</v>
      </c>
      <c r="AC2233" s="4"/>
      <c r="AD2233" s="4"/>
    </row>
    <row r="2234" spans="1:30" s="205" customFormat="1" ht="45.5" customHeight="1">
      <c r="A2234" s="4" t="s">
        <v>6169</v>
      </c>
      <c r="B2234" s="4" t="s">
        <v>6719</v>
      </c>
      <c r="C2234" s="4" t="s">
        <v>24</v>
      </c>
      <c r="D2234" s="204" t="s">
        <v>25</v>
      </c>
      <c r="E2234" s="4" t="s">
        <v>3855</v>
      </c>
      <c r="F2234" s="4" t="s">
        <v>29</v>
      </c>
      <c r="G2234" s="4" t="s">
        <v>28</v>
      </c>
      <c r="H2234" s="4" t="s">
        <v>523</v>
      </c>
      <c r="I2234" s="4"/>
      <c r="J2234" s="4" t="s">
        <v>2276</v>
      </c>
      <c r="K2234" s="4" t="s">
        <v>2276</v>
      </c>
      <c r="L2234" s="4" t="s">
        <v>2276</v>
      </c>
      <c r="M2234" s="4" t="s">
        <v>2276</v>
      </c>
      <c r="N2234" s="4" t="s">
        <v>2276</v>
      </c>
      <c r="O2234" s="4" t="s">
        <v>2276</v>
      </c>
      <c r="P2234" s="4" t="s">
        <v>2276</v>
      </c>
      <c r="Q2234" s="4" t="s">
        <v>2276</v>
      </c>
      <c r="R2234" s="4" t="s">
        <v>2276</v>
      </c>
      <c r="S2234" s="4" t="s">
        <v>2276</v>
      </c>
      <c r="T2234" s="4" t="s">
        <v>2276</v>
      </c>
      <c r="U2234" s="4" t="s">
        <v>2276</v>
      </c>
      <c r="V2234" s="4" t="s">
        <v>2276</v>
      </c>
      <c r="W2234" s="4" t="s">
        <v>2276</v>
      </c>
      <c r="X2234" s="4" t="s">
        <v>2276</v>
      </c>
      <c r="Y2234" s="4" t="s">
        <v>2276</v>
      </c>
      <c r="Z2234" s="4" t="s">
        <v>2276</v>
      </c>
      <c r="AA2234" s="4" t="s">
        <v>2276</v>
      </c>
      <c r="AB2234" s="4" t="s">
        <v>2276</v>
      </c>
      <c r="AC2234" s="4"/>
      <c r="AD2234" s="4"/>
    </row>
    <row r="2235" spans="1:30" s="205" customFormat="1" ht="45.5" customHeight="1">
      <c r="A2235" s="4" t="s">
        <v>6169</v>
      </c>
      <c r="B2235" s="4" t="s">
        <v>6720</v>
      </c>
      <c r="C2235" s="4" t="s">
        <v>24</v>
      </c>
      <c r="D2235" s="4" t="s">
        <v>2346</v>
      </c>
      <c r="E2235" s="4" t="s">
        <v>3855</v>
      </c>
      <c r="F2235" s="4" t="s">
        <v>2276</v>
      </c>
      <c r="G2235" s="4" t="s">
        <v>2276</v>
      </c>
      <c r="H2235" s="4" t="s">
        <v>523</v>
      </c>
      <c r="I2235" s="4"/>
      <c r="J2235" s="4" t="s">
        <v>2276</v>
      </c>
      <c r="K2235" s="4" t="s">
        <v>2276</v>
      </c>
      <c r="L2235" s="4" t="s">
        <v>2276</v>
      </c>
      <c r="M2235" s="4" t="s">
        <v>2276</v>
      </c>
      <c r="N2235" s="4" t="s">
        <v>2276</v>
      </c>
      <c r="O2235" s="4" t="s">
        <v>2276</v>
      </c>
      <c r="P2235" s="4" t="s">
        <v>2276</v>
      </c>
      <c r="Q2235" s="4" t="s">
        <v>2276</v>
      </c>
      <c r="R2235" s="4" t="s">
        <v>2276</v>
      </c>
      <c r="S2235" s="4" t="s">
        <v>2276</v>
      </c>
      <c r="T2235" s="4" t="s">
        <v>2276</v>
      </c>
      <c r="U2235" s="4" t="s">
        <v>2276</v>
      </c>
      <c r="V2235" s="4" t="s">
        <v>2276</v>
      </c>
      <c r="W2235" s="4" t="s">
        <v>2276</v>
      </c>
      <c r="X2235" s="4" t="s">
        <v>2276</v>
      </c>
      <c r="Y2235" s="4" t="s">
        <v>2276</v>
      </c>
      <c r="Z2235" s="4" t="s">
        <v>2276</v>
      </c>
      <c r="AA2235" s="4" t="s">
        <v>2276</v>
      </c>
      <c r="AB2235" s="4" t="s">
        <v>2276</v>
      </c>
      <c r="AC2235" s="4"/>
      <c r="AD2235" s="4"/>
    </row>
    <row r="2236" spans="1:30" s="60" customFormat="1" ht="47.5" customHeight="1">
      <c r="A2236" s="4" t="s">
        <v>6170</v>
      </c>
      <c r="B2236" s="4" t="s">
        <v>6230</v>
      </c>
      <c r="C2236" s="204" t="s">
        <v>2458</v>
      </c>
      <c r="D2236" s="4" t="s">
        <v>2659</v>
      </c>
      <c r="E2236" s="4" t="s">
        <v>3855</v>
      </c>
      <c r="F2236" s="4" t="s">
        <v>28</v>
      </c>
      <c r="G2236" s="4" t="s">
        <v>74</v>
      </c>
      <c r="H2236" s="4" t="s">
        <v>523</v>
      </c>
      <c r="I2236" s="4"/>
      <c r="J2236" s="4" t="s">
        <v>2276</v>
      </c>
      <c r="K2236" s="4" t="s">
        <v>2276</v>
      </c>
      <c r="L2236" s="4" t="s">
        <v>2276</v>
      </c>
      <c r="M2236" s="4" t="s">
        <v>2276</v>
      </c>
      <c r="N2236" s="4" t="s">
        <v>2276</v>
      </c>
      <c r="O2236" s="4" t="s">
        <v>2276</v>
      </c>
      <c r="P2236" s="4" t="s">
        <v>2276</v>
      </c>
      <c r="Q2236" s="4" t="s">
        <v>2276</v>
      </c>
      <c r="R2236" s="4" t="s">
        <v>2276</v>
      </c>
      <c r="S2236" s="4" t="s">
        <v>2276</v>
      </c>
      <c r="T2236" s="4" t="s">
        <v>2276</v>
      </c>
      <c r="U2236" s="4" t="s">
        <v>2276</v>
      </c>
      <c r="V2236" s="4" t="s">
        <v>2276</v>
      </c>
      <c r="W2236" s="4" t="s">
        <v>2276</v>
      </c>
      <c r="X2236" s="4" t="s">
        <v>2276</v>
      </c>
      <c r="Y2236" s="4" t="s">
        <v>2276</v>
      </c>
      <c r="Z2236" s="4" t="s">
        <v>2276</v>
      </c>
      <c r="AA2236" s="4" t="s">
        <v>2276</v>
      </c>
      <c r="AB2236" s="4" t="s">
        <v>2276</v>
      </c>
      <c r="AC2236" s="4"/>
      <c r="AD2236" s="4"/>
    </row>
    <row r="2237" spans="1:30" s="60" customFormat="1" ht="47.5" customHeight="1">
      <c r="A2237" s="4" t="s">
        <v>6170</v>
      </c>
      <c r="B2237" s="4" t="s">
        <v>6721</v>
      </c>
      <c r="C2237" s="204" t="s">
        <v>2458</v>
      </c>
      <c r="D2237" s="204" t="s">
        <v>143</v>
      </c>
      <c r="E2237" s="4" t="s">
        <v>3855</v>
      </c>
      <c r="F2237" s="4" t="s">
        <v>28</v>
      </c>
      <c r="G2237" s="4" t="s">
        <v>74</v>
      </c>
      <c r="H2237" s="4" t="s">
        <v>524</v>
      </c>
      <c r="I2237" s="4"/>
      <c r="J2237" s="4">
        <v>0</v>
      </c>
      <c r="K2237" s="4">
        <v>0</v>
      </c>
      <c r="L2237" s="4">
        <v>0</v>
      </c>
      <c r="M2237" s="4">
        <v>0</v>
      </c>
      <c r="N2237" s="4">
        <v>0</v>
      </c>
      <c r="O2237" s="4">
        <v>0</v>
      </c>
      <c r="P2237" s="4">
        <v>0</v>
      </c>
      <c r="Q2237" s="4">
        <v>0</v>
      </c>
      <c r="R2237" s="4">
        <v>0</v>
      </c>
      <c r="S2237" s="4">
        <v>0</v>
      </c>
      <c r="T2237" s="4">
        <v>0</v>
      </c>
      <c r="U2237" s="4">
        <v>0</v>
      </c>
      <c r="V2237" s="4">
        <v>0</v>
      </c>
      <c r="W2237" s="4">
        <v>0</v>
      </c>
      <c r="X2237" s="4">
        <v>0</v>
      </c>
      <c r="Y2237" s="4" t="s">
        <v>2276</v>
      </c>
      <c r="Z2237" s="4" t="s">
        <v>2276</v>
      </c>
      <c r="AA2237" s="4" t="s">
        <v>2276</v>
      </c>
      <c r="AB2237" s="4" t="s">
        <v>2276</v>
      </c>
      <c r="AC2237" s="4"/>
      <c r="AD2237" s="4"/>
    </row>
    <row r="2238" spans="1:30" s="60" customFormat="1" ht="47.5" customHeight="1">
      <c r="A2238" s="4" t="s">
        <v>6170</v>
      </c>
      <c r="B2238" s="4" t="s">
        <v>6722</v>
      </c>
      <c r="C2238" s="4" t="s">
        <v>24</v>
      </c>
      <c r="D2238" s="4" t="s">
        <v>2659</v>
      </c>
      <c r="E2238" s="4" t="s">
        <v>3855</v>
      </c>
      <c r="F2238" s="4" t="s">
        <v>28</v>
      </c>
      <c r="G2238" s="4" t="s">
        <v>28</v>
      </c>
      <c r="H2238" s="4" t="s">
        <v>523</v>
      </c>
      <c r="I2238" s="4"/>
      <c r="J2238" s="4" t="s">
        <v>2276</v>
      </c>
      <c r="K2238" s="4" t="s">
        <v>2276</v>
      </c>
      <c r="L2238" s="4" t="s">
        <v>2276</v>
      </c>
      <c r="M2238" s="4" t="s">
        <v>2276</v>
      </c>
      <c r="N2238" s="4" t="s">
        <v>2276</v>
      </c>
      <c r="O2238" s="4" t="s">
        <v>2276</v>
      </c>
      <c r="P2238" s="4" t="s">
        <v>2276</v>
      </c>
      <c r="Q2238" s="4" t="s">
        <v>2276</v>
      </c>
      <c r="R2238" s="4" t="s">
        <v>2276</v>
      </c>
      <c r="S2238" s="4" t="s">
        <v>2276</v>
      </c>
      <c r="T2238" s="4" t="s">
        <v>2276</v>
      </c>
      <c r="U2238" s="4" t="s">
        <v>2276</v>
      </c>
      <c r="V2238" s="4" t="s">
        <v>2276</v>
      </c>
      <c r="W2238" s="4" t="s">
        <v>2276</v>
      </c>
      <c r="X2238" s="4" t="s">
        <v>2276</v>
      </c>
      <c r="Y2238" s="4" t="s">
        <v>2276</v>
      </c>
      <c r="Z2238" s="4" t="s">
        <v>2276</v>
      </c>
      <c r="AA2238" s="4" t="s">
        <v>2276</v>
      </c>
      <c r="AB2238" s="4" t="s">
        <v>2276</v>
      </c>
      <c r="AC2238" s="4"/>
      <c r="AD2238" s="4"/>
    </row>
    <row r="2239" spans="1:30" s="60" customFormat="1" ht="47.5" customHeight="1">
      <c r="A2239" s="4" t="s">
        <v>6170</v>
      </c>
      <c r="B2239" s="4" t="s">
        <v>6723</v>
      </c>
      <c r="C2239" s="4" t="s">
        <v>24</v>
      </c>
      <c r="D2239" s="204" t="s">
        <v>143</v>
      </c>
      <c r="E2239" s="4" t="s">
        <v>3855</v>
      </c>
      <c r="F2239" s="4" t="s">
        <v>28</v>
      </c>
      <c r="G2239" s="4" t="s">
        <v>28</v>
      </c>
      <c r="H2239" s="4" t="s">
        <v>524</v>
      </c>
      <c r="I2239" s="4"/>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t="s">
        <v>2276</v>
      </c>
      <c r="Z2239" s="4" t="s">
        <v>2276</v>
      </c>
      <c r="AA2239" s="4" t="s">
        <v>2276</v>
      </c>
      <c r="AB2239" s="4" t="s">
        <v>2276</v>
      </c>
      <c r="AC2239" s="4"/>
      <c r="AD2239" s="4"/>
    </row>
    <row r="2240" spans="1:30" s="60" customFormat="1" ht="47.5" customHeight="1">
      <c r="A2240" s="4" t="s">
        <v>6170</v>
      </c>
      <c r="B2240" s="4" t="s">
        <v>6724</v>
      </c>
      <c r="C2240" s="204" t="s">
        <v>2458</v>
      </c>
      <c r="D2240" s="204" t="s">
        <v>25</v>
      </c>
      <c r="E2240" s="4" t="s">
        <v>3855</v>
      </c>
      <c r="F2240" s="4" t="s">
        <v>29</v>
      </c>
      <c r="G2240" s="4" t="s">
        <v>28</v>
      </c>
      <c r="H2240" s="4" t="s">
        <v>523</v>
      </c>
      <c r="I2240" s="4"/>
      <c r="J2240" s="4" t="s">
        <v>2276</v>
      </c>
      <c r="K2240" s="4" t="s">
        <v>2276</v>
      </c>
      <c r="L2240" s="4" t="s">
        <v>2276</v>
      </c>
      <c r="M2240" s="4" t="s">
        <v>2276</v>
      </c>
      <c r="N2240" s="4" t="s">
        <v>2276</v>
      </c>
      <c r="O2240" s="4" t="s">
        <v>2276</v>
      </c>
      <c r="P2240" s="4" t="s">
        <v>2276</v>
      </c>
      <c r="Q2240" s="4" t="s">
        <v>2276</v>
      </c>
      <c r="R2240" s="4" t="s">
        <v>2276</v>
      </c>
      <c r="S2240" s="4" t="s">
        <v>2276</v>
      </c>
      <c r="T2240" s="4" t="s">
        <v>2276</v>
      </c>
      <c r="U2240" s="4" t="s">
        <v>2276</v>
      </c>
      <c r="V2240" s="4" t="s">
        <v>2276</v>
      </c>
      <c r="W2240" s="4" t="s">
        <v>2276</v>
      </c>
      <c r="X2240" s="4" t="s">
        <v>2276</v>
      </c>
      <c r="Y2240" s="4" t="s">
        <v>2276</v>
      </c>
      <c r="Z2240" s="4" t="s">
        <v>2276</v>
      </c>
      <c r="AA2240" s="4" t="s">
        <v>2276</v>
      </c>
      <c r="AB2240" s="4" t="s">
        <v>2276</v>
      </c>
      <c r="AC2240" s="4"/>
      <c r="AD2240" s="4"/>
    </row>
    <row r="2241" spans="1:30" s="60" customFormat="1" ht="47.5" customHeight="1">
      <c r="A2241" s="4" t="s">
        <v>6170</v>
      </c>
      <c r="B2241" s="4" t="s">
        <v>6725</v>
      </c>
      <c r="C2241" s="4" t="s">
        <v>24</v>
      </c>
      <c r="D2241" s="204" t="s">
        <v>25</v>
      </c>
      <c r="E2241" s="4" t="s">
        <v>3855</v>
      </c>
      <c r="F2241" s="4" t="s">
        <v>29</v>
      </c>
      <c r="G2241" s="4" t="s">
        <v>28</v>
      </c>
      <c r="H2241" s="4" t="s">
        <v>523</v>
      </c>
      <c r="I2241" s="4"/>
      <c r="J2241" s="4" t="s">
        <v>2276</v>
      </c>
      <c r="K2241" s="4" t="s">
        <v>2276</v>
      </c>
      <c r="L2241" s="4" t="s">
        <v>2276</v>
      </c>
      <c r="M2241" s="4" t="s">
        <v>2276</v>
      </c>
      <c r="N2241" s="4" t="s">
        <v>2276</v>
      </c>
      <c r="O2241" s="4" t="s">
        <v>2276</v>
      </c>
      <c r="P2241" s="4" t="s">
        <v>2276</v>
      </c>
      <c r="Q2241" s="4" t="s">
        <v>2276</v>
      </c>
      <c r="R2241" s="4" t="s">
        <v>2276</v>
      </c>
      <c r="S2241" s="4" t="s">
        <v>2276</v>
      </c>
      <c r="T2241" s="4" t="s">
        <v>2276</v>
      </c>
      <c r="U2241" s="4" t="s">
        <v>2276</v>
      </c>
      <c r="V2241" s="4" t="s">
        <v>2276</v>
      </c>
      <c r="W2241" s="4" t="s">
        <v>2276</v>
      </c>
      <c r="X2241" s="4" t="s">
        <v>2276</v>
      </c>
      <c r="Y2241" s="4" t="s">
        <v>2276</v>
      </c>
      <c r="Z2241" s="4" t="s">
        <v>2276</v>
      </c>
      <c r="AA2241" s="4" t="s">
        <v>2276</v>
      </c>
      <c r="AB2241" s="4" t="s">
        <v>2276</v>
      </c>
      <c r="AC2241" s="4"/>
      <c r="AD2241" s="4"/>
    </row>
    <row r="2242" spans="1:30" s="60" customFormat="1" ht="47.5" customHeight="1">
      <c r="A2242" s="4" t="s">
        <v>6170</v>
      </c>
      <c r="B2242" s="4" t="s">
        <v>6726</v>
      </c>
      <c r="C2242" s="4" t="s">
        <v>24</v>
      </c>
      <c r="D2242" s="4" t="s">
        <v>2346</v>
      </c>
      <c r="E2242" s="4" t="s">
        <v>3855</v>
      </c>
      <c r="F2242" s="4" t="s">
        <v>2276</v>
      </c>
      <c r="G2242" s="4" t="s">
        <v>2276</v>
      </c>
      <c r="H2242" s="4" t="s">
        <v>523</v>
      </c>
      <c r="I2242" s="4"/>
      <c r="J2242" s="4" t="s">
        <v>2276</v>
      </c>
      <c r="K2242" s="4" t="s">
        <v>2276</v>
      </c>
      <c r="L2242" s="4" t="s">
        <v>2276</v>
      </c>
      <c r="M2242" s="4" t="s">
        <v>2276</v>
      </c>
      <c r="N2242" s="4" t="s">
        <v>2276</v>
      </c>
      <c r="O2242" s="4" t="s">
        <v>2276</v>
      </c>
      <c r="P2242" s="4" t="s">
        <v>2276</v>
      </c>
      <c r="Q2242" s="4" t="s">
        <v>2276</v>
      </c>
      <c r="R2242" s="4" t="s">
        <v>2276</v>
      </c>
      <c r="S2242" s="4" t="s">
        <v>2276</v>
      </c>
      <c r="T2242" s="4" t="s">
        <v>2276</v>
      </c>
      <c r="U2242" s="4" t="s">
        <v>2276</v>
      </c>
      <c r="V2242" s="4" t="s">
        <v>2276</v>
      </c>
      <c r="W2242" s="4" t="s">
        <v>2276</v>
      </c>
      <c r="X2242" s="4" t="s">
        <v>2276</v>
      </c>
      <c r="Y2242" s="4" t="s">
        <v>2276</v>
      </c>
      <c r="Z2242" s="4" t="s">
        <v>2276</v>
      </c>
      <c r="AA2242" s="4" t="s">
        <v>2276</v>
      </c>
      <c r="AB2242" s="4" t="s">
        <v>2276</v>
      </c>
      <c r="AC2242" s="4"/>
      <c r="AD2242" s="4"/>
    </row>
    <row r="2243" spans="1:30" s="205" customFormat="1" ht="47.5" customHeight="1">
      <c r="A2243" s="4" t="s">
        <v>6171</v>
      </c>
      <c r="B2243" s="4" t="s">
        <v>6231</v>
      </c>
      <c r="C2243" s="204" t="s">
        <v>2458</v>
      </c>
      <c r="D2243" s="4" t="s">
        <v>2659</v>
      </c>
      <c r="E2243" s="4" t="s">
        <v>3855</v>
      </c>
      <c r="F2243" s="4" t="s">
        <v>28</v>
      </c>
      <c r="G2243" s="4" t="s">
        <v>74</v>
      </c>
      <c r="H2243" s="4" t="s">
        <v>523</v>
      </c>
      <c r="I2243" s="4"/>
      <c r="J2243" s="4" t="s">
        <v>2276</v>
      </c>
      <c r="K2243" s="4" t="s">
        <v>2276</v>
      </c>
      <c r="L2243" s="4" t="s">
        <v>2276</v>
      </c>
      <c r="M2243" s="4" t="s">
        <v>2276</v>
      </c>
      <c r="N2243" s="4" t="s">
        <v>2276</v>
      </c>
      <c r="O2243" s="4" t="s">
        <v>2276</v>
      </c>
      <c r="P2243" s="4" t="s">
        <v>2276</v>
      </c>
      <c r="Q2243" s="4" t="s">
        <v>2276</v>
      </c>
      <c r="R2243" s="4" t="s">
        <v>2276</v>
      </c>
      <c r="S2243" s="4" t="s">
        <v>2276</v>
      </c>
      <c r="T2243" s="4" t="s">
        <v>2276</v>
      </c>
      <c r="U2243" s="4" t="s">
        <v>2276</v>
      </c>
      <c r="V2243" s="4" t="s">
        <v>2276</v>
      </c>
      <c r="W2243" s="4" t="s">
        <v>2276</v>
      </c>
      <c r="X2243" s="4" t="s">
        <v>2276</v>
      </c>
      <c r="Y2243" s="4" t="s">
        <v>2276</v>
      </c>
      <c r="Z2243" s="4" t="s">
        <v>2276</v>
      </c>
      <c r="AA2243" s="4" t="s">
        <v>2276</v>
      </c>
      <c r="AB2243" s="4" t="s">
        <v>2276</v>
      </c>
      <c r="AC2243" s="4"/>
      <c r="AD2243" s="4"/>
    </row>
    <row r="2244" spans="1:30" s="205" customFormat="1" ht="47.5" customHeight="1">
      <c r="A2244" s="4" t="s">
        <v>6171</v>
      </c>
      <c r="B2244" s="4" t="s">
        <v>6727</v>
      </c>
      <c r="C2244" s="204" t="s">
        <v>2458</v>
      </c>
      <c r="D2244" s="204" t="s">
        <v>143</v>
      </c>
      <c r="E2244" s="4" t="s">
        <v>3855</v>
      </c>
      <c r="F2244" s="4" t="s">
        <v>28</v>
      </c>
      <c r="G2244" s="4" t="s">
        <v>74</v>
      </c>
      <c r="H2244" s="4" t="s">
        <v>524</v>
      </c>
      <c r="I2244" s="4"/>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t="s">
        <v>2276</v>
      </c>
      <c r="Z2244" s="4" t="s">
        <v>2276</v>
      </c>
      <c r="AA2244" s="4" t="s">
        <v>2276</v>
      </c>
      <c r="AB2244" s="4" t="s">
        <v>2276</v>
      </c>
      <c r="AC2244" s="4"/>
      <c r="AD2244" s="4"/>
    </row>
    <row r="2245" spans="1:30" s="205" customFormat="1" ht="47.5" customHeight="1">
      <c r="A2245" s="4" t="s">
        <v>6171</v>
      </c>
      <c r="B2245" s="4" t="s">
        <v>6728</v>
      </c>
      <c r="C2245" s="4" t="s">
        <v>24</v>
      </c>
      <c r="D2245" s="4" t="s">
        <v>2659</v>
      </c>
      <c r="E2245" s="4" t="s">
        <v>3855</v>
      </c>
      <c r="F2245" s="4" t="s">
        <v>28</v>
      </c>
      <c r="G2245" s="4" t="s">
        <v>28</v>
      </c>
      <c r="H2245" s="4" t="s">
        <v>523</v>
      </c>
      <c r="I2245" s="4"/>
      <c r="J2245" s="4" t="s">
        <v>2276</v>
      </c>
      <c r="K2245" s="4" t="s">
        <v>2276</v>
      </c>
      <c r="L2245" s="4" t="s">
        <v>2276</v>
      </c>
      <c r="M2245" s="4" t="s">
        <v>2276</v>
      </c>
      <c r="N2245" s="4" t="s">
        <v>2276</v>
      </c>
      <c r="O2245" s="4" t="s">
        <v>2276</v>
      </c>
      <c r="P2245" s="4" t="s">
        <v>2276</v>
      </c>
      <c r="Q2245" s="4" t="s">
        <v>2276</v>
      </c>
      <c r="R2245" s="4" t="s">
        <v>2276</v>
      </c>
      <c r="S2245" s="4" t="s">
        <v>2276</v>
      </c>
      <c r="T2245" s="4" t="s">
        <v>2276</v>
      </c>
      <c r="U2245" s="4" t="s">
        <v>2276</v>
      </c>
      <c r="V2245" s="4" t="s">
        <v>2276</v>
      </c>
      <c r="W2245" s="4" t="s">
        <v>2276</v>
      </c>
      <c r="X2245" s="4" t="s">
        <v>2276</v>
      </c>
      <c r="Y2245" s="4" t="s">
        <v>2276</v>
      </c>
      <c r="Z2245" s="4" t="s">
        <v>2276</v>
      </c>
      <c r="AA2245" s="4" t="s">
        <v>2276</v>
      </c>
      <c r="AB2245" s="4" t="s">
        <v>2276</v>
      </c>
      <c r="AC2245" s="4"/>
      <c r="AD2245" s="4"/>
    </row>
    <row r="2246" spans="1:30" s="205" customFormat="1" ht="47.5" customHeight="1">
      <c r="A2246" s="4" t="s">
        <v>6171</v>
      </c>
      <c r="B2246" s="4" t="s">
        <v>6729</v>
      </c>
      <c r="C2246" s="4" t="s">
        <v>24</v>
      </c>
      <c r="D2246" s="204" t="s">
        <v>143</v>
      </c>
      <c r="E2246" s="4" t="s">
        <v>3855</v>
      </c>
      <c r="F2246" s="4" t="s">
        <v>28</v>
      </c>
      <c r="G2246" s="4" t="s">
        <v>28</v>
      </c>
      <c r="H2246" s="4" t="s">
        <v>524</v>
      </c>
      <c r="I2246" s="4"/>
      <c r="J2246" s="4">
        <v>0</v>
      </c>
      <c r="K2246" s="4">
        <v>0</v>
      </c>
      <c r="L2246" s="4">
        <v>0</v>
      </c>
      <c r="M2246" s="4">
        <v>0</v>
      </c>
      <c r="N2246" s="4">
        <v>0</v>
      </c>
      <c r="O2246" s="4">
        <v>0</v>
      </c>
      <c r="P2246" s="4">
        <v>0</v>
      </c>
      <c r="Q2246" s="4">
        <v>0</v>
      </c>
      <c r="R2246" s="4">
        <v>0</v>
      </c>
      <c r="S2246" s="4">
        <v>0</v>
      </c>
      <c r="T2246" s="4">
        <v>0</v>
      </c>
      <c r="U2246" s="4">
        <v>0</v>
      </c>
      <c r="V2246" s="4">
        <v>0</v>
      </c>
      <c r="W2246" s="4">
        <v>0</v>
      </c>
      <c r="X2246" s="4">
        <v>0</v>
      </c>
      <c r="Y2246" s="4" t="s">
        <v>2276</v>
      </c>
      <c r="Z2246" s="4" t="s">
        <v>2276</v>
      </c>
      <c r="AA2246" s="4" t="s">
        <v>2276</v>
      </c>
      <c r="AB2246" s="4" t="s">
        <v>2276</v>
      </c>
      <c r="AC2246" s="4"/>
      <c r="AD2246" s="4"/>
    </row>
    <row r="2247" spans="1:30" s="205" customFormat="1" ht="47.5" customHeight="1">
      <c r="A2247" s="4" t="s">
        <v>6171</v>
      </c>
      <c r="B2247" s="4" t="s">
        <v>6730</v>
      </c>
      <c r="C2247" s="204" t="s">
        <v>2458</v>
      </c>
      <c r="D2247" s="204" t="s">
        <v>25</v>
      </c>
      <c r="E2247" s="4" t="s">
        <v>3855</v>
      </c>
      <c r="F2247" s="4" t="s">
        <v>29</v>
      </c>
      <c r="G2247" s="4" t="s">
        <v>28</v>
      </c>
      <c r="H2247" s="4" t="s">
        <v>523</v>
      </c>
      <c r="I2247" s="4"/>
      <c r="J2247" s="4" t="s">
        <v>2276</v>
      </c>
      <c r="K2247" s="4" t="s">
        <v>2276</v>
      </c>
      <c r="L2247" s="4" t="s">
        <v>2276</v>
      </c>
      <c r="M2247" s="4" t="s">
        <v>2276</v>
      </c>
      <c r="N2247" s="4" t="s">
        <v>2276</v>
      </c>
      <c r="O2247" s="4" t="s">
        <v>2276</v>
      </c>
      <c r="P2247" s="4" t="s">
        <v>2276</v>
      </c>
      <c r="Q2247" s="4" t="s">
        <v>2276</v>
      </c>
      <c r="R2247" s="4" t="s">
        <v>2276</v>
      </c>
      <c r="S2247" s="4" t="s">
        <v>2276</v>
      </c>
      <c r="T2247" s="4" t="s">
        <v>2276</v>
      </c>
      <c r="U2247" s="4" t="s">
        <v>2276</v>
      </c>
      <c r="V2247" s="4" t="s">
        <v>2276</v>
      </c>
      <c r="W2247" s="4" t="s">
        <v>2276</v>
      </c>
      <c r="X2247" s="4" t="s">
        <v>2276</v>
      </c>
      <c r="Y2247" s="4" t="s">
        <v>2276</v>
      </c>
      <c r="Z2247" s="4" t="s">
        <v>2276</v>
      </c>
      <c r="AA2247" s="4" t="s">
        <v>2276</v>
      </c>
      <c r="AB2247" s="4" t="s">
        <v>2276</v>
      </c>
      <c r="AC2247" s="4"/>
      <c r="AD2247" s="4"/>
    </row>
    <row r="2248" spans="1:30" s="205" customFormat="1" ht="46.5" customHeight="1">
      <c r="A2248" s="4" t="s">
        <v>6171</v>
      </c>
      <c r="B2248" s="4" t="s">
        <v>6731</v>
      </c>
      <c r="C2248" s="4" t="s">
        <v>24</v>
      </c>
      <c r="D2248" s="204" t="s">
        <v>25</v>
      </c>
      <c r="E2248" s="4" t="s">
        <v>3855</v>
      </c>
      <c r="F2248" s="4" t="s">
        <v>29</v>
      </c>
      <c r="G2248" s="4" t="s">
        <v>28</v>
      </c>
      <c r="H2248" s="4" t="s">
        <v>523</v>
      </c>
      <c r="I2248" s="4"/>
      <c r="J2248" s="4" t="s">
        <v>2276</v>
      </c>
      <c r="K2248" s="4" t="s">
        <v>2276</v>
      </c>
      <c r="L2248" s="4" t="s">
        <v>2276</v>
      </c>
      <c r="M2248" s="4" t="s">
        <v>2276</v>
      </c>
      <c r="N2248" s="4" t="s">
        <v>2276</v>
      </c>
      <c r="O2248" s="4" t="s">
        <v>2276</v>
      </c>
      <c r="P2248" s="4" t="s">
        <v>2276</v>
      </c>
      <c r="Q2248" s="4" t="s">
        <v>2276</v>
      </c>
      <c r="R2248" s="4" t="s">
        <v>2276</v>
      </c>
      <c r="S2248" s="4" t="s">
        <v>2276</v>
      </c>
      <c r="T2248" s="4" t="s">
        <v>2276</v>
      </c>
      <c r="U2248" s="4" t="s">
        <v>2276</v>
      </c>
      <c r="V2248" s="4" t="s">
        <v>2276</v>
      </c>
      <c r="W2248" s="4" t="s">
        <v>2276</v>
      </c>
      <c r="X2248" s="4" t="s">
        <v>2276</v>
      </c>
      <c r="Y2248" s="4" t="s">
        <v>2276</v>
      </c>
      <c r="Z2248" s="4" t="s">
        <v>2276</v>
      </c>
      <c r="AA2248" s="4" t="s">
        <v>2276</v>
      </c>
      <c r="AB2248" s="4" t="s">
        <v>2276</v>
      </c>
      <c r="AC2248" s="4"/>
      <c r="AD2248" s="4"/>
    </row>
    <row r="2249" spans="1:30" s="205" customFormat="1" ht="46.5" customHeight="1">
      <c r="A2249" s="4" t="s">
        <v>6171</v>
      </c>
      <c r="B2249" s="4" t="s">
        <v>6732</v>
      </c>
      <c r="C2249" s="4" t="s">
        <v>24</v>
      </c>
      <c r="D2249" s="4" t="s">
        <v>2346</v>
      </c>
      <c r="E2249" s="4" t="s">
        <v>3855</v>
      </c>
      <c r="F2249" s="4" t="s">
        <v>2276</v>
      </c>
      <c r="G2249" s="4" t="s">
        <v>2276</v>
      </c>
      <c r="H2249" s="4" t="s">
        <v>523</v>
      </c>
      <c r="I2249" s="4"/>
      <c r="J2249" s="4" t="s">
        <v>2276</v>
      </c>
      <c r="K2249" s="4" t="s">
        <v>2276</v>
      </c>
      <c r="L2249" s="4" t="s">
        <v>2276</v>
      </c>
      <c r="M2249" s="4" t="s">
        <v>2276</v>
      </c>
      <c r="N2249" s="4" t="s">
        <v>2276</v>
      </c>
      <c r="O2249" s="4" t="s">
        <v>2276</v>
      </c>
      <c r="P2249" s="4" t="s">
        <v>2276</v>
      </c>
      <c r="Q2249" s="4" t="s">
        <v>2276</v>
      </c>
      <c r="R2249" s="4" t="s">
        <v>2276</v>
      </c>
      <c r="S2249" s="4" t="s">
        <v>2276</v>
      </c>
      <c r="T2249" s="4" t="s">
        <v>2276</v>
      </c>
      <c r="U2249" s="4" t="s">
        <v>2276</v>
      </c>
      <c r="V2249" s="4" t="s">
        <v>2276</v>
      </c>
      <c r="W2249" s="4" t="s">
        <v>2276</v>
      </c>
      <c r="X2249" s="4" t="s">
        <v>2276</v>
      </c>
      <c r="Y2249" s="4" t="s">
        <v>2276</v>
      </c>
      <c r="Z2249" s="4" t="s">
        <v>2276</v>
      </c>
      <c r="AA2249" s="4" t="s">
        <v>2276</v>
      </c>
      <c r="AB2249" s="4" t="s">
        <v>2276</v>
      </c>
      <c r="AC2249" s="4"/>
      <c r="AD2249" s="4"/>
    </row>
    <row r="2250" spans="1:30" s="205" customFormat="1" ht="46.5" customHeight="1">
      <c r="A2250" s="4" t="s">
        <v>6172</v>
      </c>
      <c r="B2250" s="4" t="s">
        <v>6232</v>
      </c>
      <c r="C2250" s="204" t="s">
        <v>2458</v>
      </c>
      <c r="D2250" s="4" t="s">
        <v>2659</v>
      </c>
      <c r="E2250" s="4" t="s">
        <v>3855</v>
      </c>
      <c r="F2250" s="4" t="s">
        <v>28</v>
      </c>
      <c r="G2250" s="4" t="s">
        <v>74</v>
      </c>
      <c r="H2250" s="4" t="s">
        <v>523</v>
      </c>
      <c r="I2250" s="4"/>
      <c r="J2250" s="4" t="s">
        <v>2276</v>
      </c>
      <c r="K2250" s="4" t="s">
        <v>2276</v>
      </c>
      <c r="L2250" s="4" t="s">
        <v>2276</v>
      </c>
      <c r="M2250" s="4" t="s">
        <v>2276</v>
      </c>
      <c r="N2250" s="4" t="s">
        <v>2276</v>
      </c>
      <c r="O2250" s="4" t="s">
        <v>2276</v>
      </c>
      <c r="P2250" s="4" t="s">
        <v>2276</v>
      </c>
      <c r="Q2250" s="4" t="s">
        <v>2276</v>
      </c>
      <c r="R2250" s="4" t="s">
        <v>2276</v>
      </c>
      <c r="S2250" s="4" t="s">
        <v>2276</v>
      </c>
      <c r="T2250" s="4" t="s">
        <v>2276</v>
      </c>
      <c r="U2250" s="4" t="s">
        <v>2276</v>
      </c>
      <c r="V2250" s="4" t="s">
        <v>2276</v>
      </c>
      <c r="W2250" s="4" t="s">
        <v>2276</v>
      </c>
      <c r="X2250" s="4" t="s">
        <v>2276</v>
      </c>
      <c r="Y2250" s="4" t="s">
        <v>2276</v>
      </c>
      <c r="Z2250" s="4" t="s">
        <v>2276</v>
      </c>
      <c r="AA2250" s="4" t="s">
        <v>2276</v>
      </c>
      <c r="AB2250" s="4" t="s">
        <v>2276</v>
      </c>
      <c r="AC2250" s="4"/>
      <c r="AD2250" s="4"/>
    </row>
    <row r="2251" spans="1:30" s="205" customFormat="1" ht="46.5" customHeight="1">
      <c r="A2251" s="4" t="s">
        <v>6172</v>
      </c>
      <c r="B2251" s="4" t="s">
        <v>6733</v>
      </c>
      <c r="C2251" s="204" t="s">
        <v>2458</v>
      </c>
      <c r="D2251" s="204" t="s">
        <v>143</v>
      </c>
      <c r="E2251" s="4" t="s">
        <v>3855</v>
      </c>
      <c r="F2251" s="4" t="s">
        <v>28</v>
      </c>
      <c r="G2251" s="4" t="s">
        <v>74</v>
      </c>
      <c r="H2251" s="4" t="s">
        <v>524</v>
      </c>
      <c r="I2251" s="4"/>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t="s">
        <v>2276</v>
      </c>
      <c r="Z2251" s="4" t="s">
        <v>2276</v>
      </c>
      <c r="AA2251" s="4" t="s">
        <v>2276</v>
      </c>
      <c r="AB2251" s="4" t="s">
        <v>2276</v>
      </c>
      <c r="AC2251" s="4"/>
      <c r="AD2251" s="4"/>
    </row>
    <row r="2252" spans="1:30" s="205" customFormat="1" ht="46.5" customHeight="1">
      <c r="A2252" s="4" t="s">
        <v>6172</v>
      </c>
      <c r="B2252" s="4" t="s">
        <v>6734</v>
      </c>
      <c r="C2252" s="4" t="s">
        <v>24</v>
      </c>
      <c r="D2252" s="4" t="s">
        <v>2659</v>
      </c>
      <c r="E2252" s="4" t="s">
        <v>3855</v>
      </c>
      <c r="F2252" s="4" t="s">
        <v>28</v>
      </c>
      <c r="G2252" s="4" t="s">
        <v>28</v>
      </c>
      <c r="H2252" s="4" t="s">
        <v>523</v>
      </c>
      <c r="I2252" s="4"/>
      <c r="J2252" s="4" t="s">
        <v>2276</v>
      </c>
      <c r="K2252" s="4" t="s">
        <v>2276</v>
      </c>
      <c r="L2252" s="4" t="s">
        <v>2276</v>
      </c>
      <c r="M2252" s="4" t="s">
        <v>2276</v>
      </c>
      <c r="N2252" s="4" t="s">
        <v>2276</v>
      </c>
      <c r="O2252" s="4" t="s">
        <v>2276</v>
      </c>
      <c r="P2252" s="4" t="s">
        <v>2276</v>
      </c>
      <c r="Q2252" s="4" t="s">
        <v>2276</v>
      </c>
      <c r="R2252" s="4" t="s">
        <v>2276</v>
      </c>
      <c r="S2252" s="4" t="s">
        <v>2276</v>
      </c>
      <c r="T2252" s="4" t="s">
        <v>2276</v>
      </c>
      <c r="U2252" s="4" t="s">
        <v>2276</v>
      </c>
      <c r="V2252" s="4" t="s">
        <v>2276</v>
      </c>
      <c r="W2252" s="4" t="s">
        <v>2276</v>
      </c>
      <c r="X2252" s="4" t="s">
        <v>2276</v>
      </c>
      <c r="Y2252" s="4" t="s">
        <v>2276</v>
      </c>
      <c r="Z2252" s="4" t="s">
        <v>2276</v>
      </c>
      <c r="AA2252" s="4" t="s">
        <v>2276</v>
      </c>
      <c r="AB2252" s="4" t="s">
        <v>2276</v>
      </c>
      <c r="AC2252" s="4"/>
      <c r="AD2252" s="4"/>
    </row>
    <row r="2253" spans="1:30" s="205" customFormat="1" ht="46.5" customHeight="1">
      <c r="A2253" s="4" t="s">
        <v>6172</v>
      </c>
      <c r="B2253" s="4" t="s">
        <v>6735</v>
      </c>
      <c r="C2253" s="4" t="s">
        <v>24</v>
      </c>
      <c r="D2253" s="204" t="s">
        <v>143</v>
      </c>
      <c r="E2253" s="4" t="s">
        <v>3855</v>
      </c>
      <c r="F2253" s="4" t="s">
        <v>28</v>
      </c>
      <c r="G2253" s="4" t="s">
        <v>28</v>
      </c>
      <c r="H2253" s="4" t="s">
        <v>524</v>
      </c>
      <c r="I2253" s="4"/>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t="s">
        <v>2276</v>
      </c>
      <c r="Z2253" s="4" t="s">
        <v>2276</v>
      </c>
      <c r="AA2253" s="4" t="s">
        <v>2276</v>
      </c>
      <c r="AB2253" s="4" t="s">
        <v>2276</v>
      </c>
      <c r="AC2253" s="4"/>
      <c r="AD2253" s="4"/>
    </row>
    <row r="2254" spans="1:30" s="205" customFormat="1" ht="46.5" customHeight="1">
      <c r="A2254" s="4" t="s">
        <v>6172</v>
      </c>
      <c r="B2254" s="4" t="s">
        <v>6736</v>
      </c>
      <c r="C2254" s="204" t="s">
        <v>2458</v>
      </c>
      <c r="D2254" s="204" t="s">
        <v>25</v>
      </c>
      <c r="E2254" s="4" t="s">
        <v>3855</v>
      </c>
      <c r="F2254" s="4" t="s">
        <v>29</v>
      </c>
      <c r="G2254" s="4" t="s">
        <v>28</v>
      </c>
      <c r="H2254" s="4" t="s">
        <v>523</v>
      </c>
      <c r="I2254" s="4"/>
      <c r="J2254" s="4" t="s">
        <v>2276</v>
      </c>
      <c r="K2254" s="4" t="s">
        <v>2276</v>
      </c>
      <c r="L2254" s="4" t="s">
        <v>2276</v>
      </c>
      <c r="M2254" s="4" t="s">
        <v>2276</v>
      </c>
      <c r="N2254" s="4" t="s">
        <v>2276</v>
      </c>
      <c r="O2254" s="4" t="s">
        <v>2276</v>
      </c>
      <c r="P2254" s="4" t="s">
        <v>2276</v>
      </c>
      <c r="Q2254" s="4" t="s">
        <v>2276</v>
      </c>
      <c r="R2254" s="4" t="s">
        <v>2276</v>
      </c>
      <c r="S2254" s="4" t="s">
        <v>2276</v>
      </c>
      <c r="T2254" s="4" t="s">
        <v>2276</v>
      </c>
      <c r="U2254" s="4" t="s">
        <v>2276</v>
      </c>
      <c r="V2254" s="4" t="s">
        <v>2276</v>
      </c>
      <c r="W2254" s="4" t="s">
        <v>2276</v>
      </c>
      <c r="X2254" s="4" t="s">
        <v>2276</v>
      </c>
      <c r="Y2254" s="4" t="s">
        <v>2276</v>
      </c>
      <c r="Z2254" s="4" t="s">
        <v>2276</v>
      </c>
      <c r="AA2254" s="4" t="s">
        <v>2276</v>
      </c>
      <c r="AB2254" s="4" t="s">
        <v>2276</v>
      </c>
      <c r="AC2254" s="4"/>
      <c r="AD2254" s="4"/>
    </row>
    <row r="2255" spans="1:30" s="205" customFormat="1" ht="46.5" customHeight="1">
      <c r="A2255" s="4" t="s">
        <v>6172</v>
      </c>
      <c r="B2255" s="4" t="s">
        <v>6737</v>
      </c>
      <c r="C2255" s="4" t="s">
        <v>24</v>
      </c>
      <c r="D2255" s="204" t="s">
        <v>25</v>
      </c>
      <c r="E2255" s="4" t="s">
        <v>3855</v>
      </c>
      <c r="F2255" s="4" t="s">
        <v>29</v>
      </c>
      <c r="G2255" s="4" t="s">
        <v>28</v>
      </c>
      <c r="H2255" s="4" t="s">
        <v>523</v>
      </c>
      <c r="I2255" s="4"/>
      <c r="J2255" s="4" t="s">
        <v>2276</v>
      </c>
      <c r="K2255" s="4" t="s">
        <v>2276</v>
      </c>
      <c r="L2255" s="4" t="s">
        <v>2276</v>
      </c>
      <c r="M2255" s="4" t="s">
        <v>2276</v>
      </c>
      <c r="N2255" s="4" t="s">
        <v>2276</v>
      </c>
      <c r="O2255" s="4" t="s">
        <v>2276</v>
      </c>
      <c r="P2255" s="4" t="s">
        <v>2276</v>
      </c>
      <c r="Q2255" s="4" t="s">
        <v>2276</v>
      </c>
      <c r="R2255" s="4" t="s">
        <v>2276</v>
      </c>
      <c r="S2255" s="4" t="s">
        <v>2276</v>
      </c>
      <c r="T2255" s="4" t="s">
        <v>2276</v>
      </c>
      <c r="U2255" s="4" t="s">
        <v>2276</v>
      </c>
      <c r="V2255" s="4" t="s">
        <v>2276</v>
      </c>
      <c r="W2255" s="4" t="s">
        <v>2276</v>
      </c>
      <c r="X2255" s="4" t="s">
        <v>2276</v>
      </c>
      <c r="Y2255" s="4" t="s">
        <v>2276</v>
      </c>
      <c r="Z2255" s="4" t="s">
        <v>2276</v>
      </c>
      <c r="AA2255" s="4" t="s">
        <v>2276</v>
      </c>
      <c r="AB2255" s="4" t="s">
        <v>2276</v>
      </c>
      <c r="AC2255" s="4"/>
      <c r="AD2255" s="4"/>
    </row>
    <row r="2256" spans="1:30" s="205" customFormat="1" ht="46.5" customHeight="1">
      <c r="A2256" s="4" t="s">
        <v>6172</v>
      </c>
      <c r="B2256" s="4" t="s">
        <v>6738</v>
      </c>
      <c r="C2256" s="4" t="s">
        <v>24</v>
      </c>
      <c r="D2256" s="4" t="s">
        <v>2346</v>
      </c>
      <c r="E2256" s="4" t="s">
        <v>3855</v>
      </c>
      <c r="F2256" s="4" t="s">
        <v>2276</v>
      </c>
      <c r="G2256" s="4" t="s">
        <v>2276</v>
      </c>
      <c r="H2256" s="4" t="s">
        <v>523</v>
      </c>
      <c r="I2256" s="4"/>
      <c r="J2256" s="4" t="s">
        <v>2276</v>
      </c>
      <c r="K2256" s="4" t="s">
        <v>2276</v>
      </c>
      <c r="L2256" s="4" t="s">
        <v>2276</v>
      </c>
      <c r="M2256" s="4" t="s">
        <v>2276</v>
      </c>
      <c r="N2256" s="4" t="s">
        <v>2276</v>
      </c>
      <c r="O2256" s="4" t="s">
        <v>2276</v>
      </c>
      <c r="P2256" s="4" t="s">
        <v>2276</v>
      </c>
      <c r="Q2256" s="4" t="s">
        <v>2276</v>
      </c>
      <c r="R2256" s="4" t="s">
        <v>2276</v>
      </c>
      <c r="S2256" s="4" t="s">
        <v>2276</v>
      </c>
      <c r="T2256" s="4" t="s">
        <v>2276</v>
      </c>
      <c r="U2256" s="4" t="s">
        <v>2276</v>
      </c>
      <c r="V2256" s="4" t="s">
        <v>2276</v>
      </c>
      <c r="W2256" s="4" t="s">
        <v>2276</v>
      </c>
      <c r="X2256" s="4" t="s">
        <v>2276</v>
      </c>
      <c r="Y2256" s="4" t="s">
        <v>2276</v>
      </c>
      <c r="Z2256" s="4" t="s">
        <v>2276</v>
      </c>
      <c r="AA2256" s="4" t="s">
        <v>2276</v>
      </c>
      <c r="AB2256" s="4" t="s">
        <v>2276</v>
      </c>
      <c r="AC2256" s="4"/>
      <c r="AD2256" s="4"/>
    </row>
    <row r="2257" spans="1:30" s="60" customFormat="1" ht="46.5" customHeight="1">
      <c r="A2257" s="4" t="s">
        <v>6173</v>
      </c>
      <c r="B2257" s="4" t="s">
        <v>6233</v>
      </c>
      <c r="C2257" s="204" t="s">
        <v>2458</v>
      </c>
      <c r="D2257" s="4" t="s">
        <v>2659</v>
      </c>
      <c r="E2257" s="4" t="s">
        <v>3855</v>
      </c>
      <c r="F2257" s="4" t="s">
        <v>28</v>
      </c>
      <c r="G2257" s="4" t="s">
        <v>74</v>
      </c>
      <c r="H2257" s="4" t="s">
        <v>523</v>
      </c>
      <c r="I2257" s="4"/>
      <c r="J2257" s="4" t="s">
        <v>2276</v>
      </c>
      <c r="K2257" s="4" t="s">
        <v>2276</v>
      </c>
      <c r="L2257" s="4" t="s">
        <v>2276</v>
      </c>
      <c r="M2257" s="4" t="s">
        <v>2276</v>
      </c>
      <c r="N2257" s="4" t="s">
        <v>2276</v>
      </c>
      <c r="O2257" s="4" t="s">
        <v>2276</v>
      </c>
      <c r="P2257" s="4" t="s">
        <v>2276</v>
      </c>
      <c r="Q2257" s="4" t="s">
        <v>2276</v>
      </c>
      <c r="R2257" s="4" t="s">
        <v>2276</v>
      </c>
      <c r="S2257" s="4" t="s">
        <v>2276</v>
      </c>
      <c r="T2257" s="4" t="s">
        <v>2276</v>
      </c>
      <c r="U2257" s="4" t="s">
        <v>2276</v>
      </c>
      <c r="V2257" s="4" t="s">
        <v>2276</v>
      </c>
      <c r="W2257" s="4" t="s">
        <v>2276</v>
      </c>
      <c r="X2257" s="4" t="s">
        <v>2276</v>
      </c>
      <c r="Y2257" s="4" t="s">
        <v>2276</v>
      </c>
      <c r="Z2257" s="4" t="s">
        <v>2276</v>
      </c>
      <c r="AA2257" s="4" t="s">
        <v>2276</v>
      </c>
      <c r="AB2257" s="4" t="s">
        <v>2276</v>
      </c>
      <c r="AC2257" s="4"/>
      <c r="AD2257" s="4"/>
    </row>
    <row r="2258" spans="1:30" s="60" customFormat="1" ht="46.5" customHeight="1">
      <c r="A2258" s="4" t="s">
        <v>6173</v>
      </c>
      <c r="B2258" s="4" t="s">
        <v>6739</v>
      </c>
      <c r="C2258" s="204" t="s">
        <v>2458</v>
      </c>
      <c r="D2258" s="204" t="s">
        <v>143</v>
      </c>
      <c r="E2258" s="4" t="s">
        <v>3855</v>
      </c>
      <c r="F2258" s="4" t="s">
        <v>28</v>
      </c>
      <c r="G2258" s="4" t="s">
        <v>74</v>
      </c>
      <c r="H2258" s="4" t="s">
        <v>524</v>
      </c>
      <c r="I2258" s="4"/>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t="s">
        <v>2276</v>
      </c>
      <c r="Z2258" s="4" t="s">
        <v>2276</v>
      </c>
      <c r="AA2258" s="4" t="s">
        <v>2276</v>
      </c>
      <c r="AB2258" s="4" t="s">
        <v>2276</v>
      </c>
      <c r="AC2258" s="4"/>
      <c r="AD2258" s="4"/>
    </row>
    <row r="2259" spans="1:30" s="60" customFormat="1" ht="46.5" customHeight="1">
      <c r="A2259" s="4" t="s">
        <v>6173</v>
      </c>
      <c r="B2259" s="4" t="s">
        <v>6740</v>
      </c>
      <c r="C2259" s="4" t="s">
        <v>24</v>
      </c>
      <c r="D2259" s="4" t="s">
        <v>2659</v>
      </c>
      <c r="E2259" s="4" t="s">
        <v>3855</v>
      </c>
      <c r="F2259" s="4" t="s">
        <v>28</v>
      </c>
      <c r="G2259" s="4" t="s">
        <v>28</v>
      </c>
      <c r="H2259" s="4" t="s">
        <v>523</v>
      </c>
      <c r="I2259" s="4"/>
      <c r="J2259" s="4" t="s">
        <v>2276</v>
      </c>
      <c r="K2259" s="4" t="s">
        <v>2276</v>
      </c>
      <c r="L2259" s="4" t="s">
        <v>2276</v>
      </c>
      <c r="M2259" s="4" t="s">
        <v>2276</v>
      </c>
      <c r="N2259" s="4" t="s">
        <v>2276</v>
      </c>
      <c r="O2259" s="4" t="s">
        <v>2276</v>
      </c>
      <c r="P2259" s="4" t="s">
        <v>2276</v>
      </c>
      <c r="Q2259" s="4" t="s">
        <v>2276</v>
      </c>
      <c r="R2259" s="4" t="s">
        <v>2276</v>
      </c>
      <c r="S2259" s="4" t="s">
        <v>2276</v>
      </c>
      <c r="T2259" s="4" t="s">
        <v>2276</v>
      </c>
      <c r="U2259" s="4" t="s">
        <v>2276</v>
      </c>
      <c r="V2259" s="4" t="s">
        <v>2276</v>
      </c>
      <c r="W2259" s="4" t="s">
        <v>2276</v>
      </c>
      <c r="X2259" s="4" t="s">
        <v>2276</v>
      </c>
      <c r="Y2259" s="4" t="s">
        <v>2276</v>
      </c>
      <c r="Z2259" s="4" t="s">
        <v>2276</v>
      </c>
      <c r="AA2259" s="4" t="s">
        <v>2276</v>
      </c>
      <c r="AB2259" s="4" t="s">
        <v>2276</v>
      </c>
      <c r="AC2259" s="4"/>
      <c r="AD2259" s="4"/>
    </row>
    <row r="2260" spans="1:30" s="60" customFormat="1" ht="46.5" customHeight="1">
      <c r="A2260" s="4" t="s">
        <v>6173</v>
      </c>
      <c r="B2260" s="4" t="s">
        <v>6741</v>
      </c>
      <c r="C2260" s="4" t="s">
        <v>24</v>
      </c>
      <c r="D2260" s="204" t="s">
        <v>143</v>
      </c>
      <c r="E2260" s="4" t="s">
        <v>3855</v>
      </c>
      <c r="F2260" s="4" t="s">
        <v>28</v>
      </c>
      <c r="G2260" s="4" t="s">
        <v>28</v>
      </c>
      <c r="H2260" s="4" t="s">
        <v>524</v>
      </c>
      <c r="I2260" s="4"/>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t="s">
        <v>2276</v>
      </c>
      <c r="Z2260" s="4" t="s">
        <v>2276</v>
      </c>
      <c r="AA2260" s="4" t="s">
        <v>2276</v>
      </c>
      <c r="AB2260" s="4" t="s">
        <v>2276</v>
      </c>
      <c r="AC2260" s="4"/>
      <c r="AD2260" s="4"/>
    </row>
    <row r="2261" spans="1:30" s="60" customFormat="1" ht="46.5" customHeight="1">
      <c r="A2261" s="4" t="s">
        <v>6173</v>
      </c>
      <c r="B2261" s="4" t="s">
        <v>6742</v>
      </c>
      <c r="C2261" s="204" t="s">
        <v>2458</v>
      </c>
      <c r="D2261" s="204" t="s">
        <v>25</v>
      </c>
      <c r="E2261" s="4" t="s">
        <v>3855</v>
      </c>
      <c r="F2261" s="4" t="s">
        <v>29</v>
      </c>
      <c r="G2261" s="4" t="s">
        <v>28</v>
      </c>
      <c r="H2261" s="4" t="s">
        <v>523</v>
      </c>
      <c r="I2261" s="4"/>
      <c r="J2261" s="4" t="s">
        <v>2276</v>
      </c>
      <c r="K2261" s="4" t="s">
        <v>2276</v>
      </c>
      <c r="L2261" s="4" t="s">
        <v>2276</v>
      </c>
      <c r="M2261" s="4" t="s">
        <v>2276</v>
      </c>
      <c r="N2261" s="4" t="s">
        <v>2276</v>
      </c>
      <c r="O2261" s="4" t="s">
        <v>2276</v>
      </c>
      <c r="P2261" s="4" t="s">
        <v>2276</v>
      </c>
      <c r="Q2261" s="4" t="s">
        <v>2276</v>
      </c>
      <c r="R2261" s="4" t="s">
        <v>2276</v>
      </c>
      <c r="S2261" s="4" t="s">
        <v>2276</v>
      </c>
      <c r="T2261" s="4" t="s">
        <v>2276</v>
      </c>
      <c r="U2261" s="4" t="s">
        <v>2276</v>
      </c>
      <c r="V2261" s="4" t="s">
        <v>2276</v>
      </c>
      <c r="W2261" s="4" t="s">
        <v>2276</v>
      </c>
      <c r="X2261" s="4" t="s">
        <v>2276</v>
      </c>
      <c r="Y2261" s="4" t="s">
        <v>2276</v>
      </c>
      <c r="Z2261" s="4" t="s">
        <v>2276</v>
      </c>
      <c r="AA2261" s="4" t="s">
        <v>2276</v>
      </c>
      <c r="AB2261" s="4" t="s">
        <v>2276</v>
      </c>
      <c r="AC2261" s="4"/>
      <c r="AD2261" s="4"/>
    </row>
    <row r="2262" spans="1:30" s="205" customFormat="1" ht="46.5" customHeight="1">
      <c r="A2262" s="4" t="s">
        <v>6173</v>
      </c>
      <c r="B2262" s="4" t="s">
        <v>6743</v>
      </c>
      <c r="C2262" s="4" t="s">
        <v>24</v>
      </c>
      <c r="D2262" s="204" t="s">
        <v>25</v>
      </c>
      <c r="E2262" s="4" t="s">
        <v>3855</v>
      </c>
      <c r="F2262" s="4" t="s">
        <v>29</v>
      </c>
      <c r="G2262" s="4" t="s">
        <v>28</v>
      </c>
      <c r="H2262" s="4" t="s">
        <v>523</v>
      </c>
      <c r="I2262" s="4"/>
      <c r="J2262" s="4" t="s">
        <v>2276</v>
      </c>
      <c r="K2262" s="4" t="s">
        <v>2276</v>
      </c>
      <c r="L2262" s="4" t="s">
        <v>2276</v>
      </c>
      <c r="M2262" s="4" t="s">
        <v>2276</v>
      </c>
      <c r="N2262" s="4" t="s">
        <v>2276</v>
      </c>
      <c r="O2262" s="4" t="s">
        <v>2276</v>
      </c>
      <c r="P2262" s="4" t="s">
        <v>2276</v>
      </c>
      <c r="Q2262" s="4" t="s">
        <v>2276</v>
      </c>
      <c r="R2262" s="4" t="s">
        <v>2276</v>
      </c>
      <c r="S2262" s="4" t="s">
        <v>2276</v>
      </c>
      <c r="T2262" s="4" t="s">
        <v>2276</v>
      </c>
      <c r="U2262" s="4" t="s">
        <v>2276</v>
      </c>
      <c r="V2262" s="4" t="s">
        <v>2276</v>
      </c>
      <c r="W2262" s="4" t="s">
        <v>2276</v>
      </c>
      <c r="X2262" s="4" t="s">
        <v>2276</v>
      </c>
      <c r="Y2262" s="4" t="s">
        <v>2276</v>
      </c>
      <c r="Z2262" s="4" t="s">
        <v>2276</v>
      </c>
      <c r="AA2262" s="4" t="s">
        <v>2276</v>
      </c>
      <c r="AB2262" s="4" t="s">
        <v>2276</v>
      </c>
      <c r="AC2262" s="4"/>
      <c r="AD2262" s="4"/>
    </row>
    <row r="2263" spans="1:30" s="60" customFormat="1" ht="46.5" customHeight="1">
      <c r="A2263" s="4" t="s">
        <v>6173</v>
      </c>
      <c r="B2263" s="4" t="s">
        <v>6744</v>
      </c>
      <c r="C2263" s="4" t="s">
        <v>24</v>
      </c>
      <c r="D2263" s="4" t="s">
        <v>2346</v>
      </c>
      <c r="E2263" s="4" t="s">
        <v>3855</v>
      </c>
      <c r="F2263" s="4" t="s">
        <v>2276</v>
      </c>
      <c r="G2263" s="4" t="s">
        <v>2276</v>
      </c>
      <c r="H2263" s="4" t="s">
        <v>523</v>
      </c>
      <c r="I2263" s="4"/>
      <c r="J2263" s="4" t="s">
        <v>2276</v>
      </c>
      <c r="K2263" s="4" t="s">
        <v>2276</v>
      </c>
      <c r="L2263" s="4" t="s">
        <v>2276</v>
      </c>
      <c r="M2263" s="4" t="s">
        <v>2276</v>
      </c>
      <c r="N2263" s="4" t="s">
        <v>2276</v>
      </c>
      <c r="O2263" s="4" t="s">
        <v>2276</v>
      </c>
      <c r="P2263" s="4" t="s">
        <v>2276</v>
      </c>
      <c r="Q2263" s="4" t="s">
        <v>2276</v>
      </c>
      <c r="R2263" s="4" t="s">
        <v>2276</v>
      </c>
      <c r="S2263" s="4" t="s">
        <v>2276</v>
      </c>
      <c r="T2263" s="4" t="s">
        <v>2276</v>
      </c>
      <c r="U2263" s="4" t="s">
        <v>2276</v>
      </c>
      <c r="V2263" s="4" t="s">
        <v>2276</v>
      </c>
      <c r="W2263" s="4" t="s">
        <v>2276</v>
      </c>
      <c r="X2263" s="4" t="s">
        <v>2276</v>
      </c>
      <c r="Y2263" s="4" t="s">
        <v>2276</v>
      </c>
      <c r="Z2263" s="4" t="s">
        <v>2276</v>
      </c>
      <c r="AA2263" s="4" t="s">
        <v>2276</v>
      </c>
      <c r="AB2263" s="4" t="s">
        <v>2276</v>
      </c>
      <c r="AC2263" s="4"/>
      <c r="AD2263" s="4"/>
    </row>
    <row r="2264" spans="1:30" s="205" customFormat="1" ht="46.5" customHeight="1">
      <c r="A2264" s="4" t="s">
        <v>6174</v>
      </c>
      <c r="B2264" s="4" t="s">
        <v>6234</v>
      </c>
      <c r="C2264" s="204" t="s">
        <v>2458</v>
      </c>
      <c r="D2264" s="4" t="s">
        <v>2659</v>
      </c>
      <c r="E2264" s="4" t="s">
        <v>3855</v>
      </c>
      <c r="F2264" s="4" t="s">
        <v>28</v>
      </c>
      <c r="G2264" s="4" t="s">
        <v>74</v>
      </c>
      <c r="H2264" s="4" t="s">
        <v>523</v>
      </c>
      <c r="I2264" s="4"/>
      <c r="J2264" s="4" t="s">
        <v>2276</v>
      </c>
      <c r="K2264" s="4" t="s">
        <v>2276</v>
      </c>
      <c r="L2264" s="4" t="s">
        <v>2276</v>
      </c>
      <c r="M2264" s="4" t="s">
        <v>2276</v>
      </c>
      <c r="N2264" s="4" t="s">
        <v>2276</v>
      </c>
      <c r="O2264" s="4" t="s">
        <v>2276</v>
      </c>
      <c r="P2264" s="4" t="s">
        <v>2276</v>
      </c>
      <c r="Q2264" s="4" t="s">
        <v>2276</v>
      </c>
      <c r="R2264" s="4" t="s">
        <v>2276</v>
      </c>
      <c r="S2264" s="4" t="s">
        <v>2276</v>
      </c>
      <c r="T2264" s="4" t="s">
        <v>2276</v>
      </c>
      <c r="U2264" s="4" t="s">
        <v>2276</v>
      </c>
      <c r="V2264" s="4" t="s">
        <v>2276</v>
      </c>
      <c r="W2264" s="4" t="s">
        <v>2276</v>
      </c>
      <c r="X2264" s="4" t="s">
        <v>2276</v>
      </c>
      <c r="Y2264" s="4" t="s">
        <v>2276</v>
      </c>
      <c r="Z2264" s="4" t="s">
        <v>2276</v>
      </c>
      <c r="AA2264" s="4" t="s">
        <v>2276</v>
      </c>
      <c r="AB2264" s="4" t="s">
        <v>2276</v>
      </c>
      <c r="AC2264" s="4"/>
      <c r="AD2264" s="4"/>
    </row>
    <row r="2265" spans="1:30" s="205" customFormat="1" ht="46.5" customHeight="1">
      <c r="A2265" s="4" t="s">
        <v>6174</v>
      </c>
      <c r="B2265" s="4" t="s">
        <v>6745</v>
      </c>
      <c r="C2265" s="204" t="s">
        <v>2458</v>
      </c>
      <c r="D2265" s="204" t="s">
        <v>143</v>
      </c>
      <c r="E2265" s="4" t="s">
        <v>3855</v>
      </c>
      <c r="F2265" s="4" t="s">
        <v>28</v>
      </c>
      <c r="G2265" s="4" t="s">
        <v>74</v>
      </c>
      <c r="H2265" s="4" t="s">
        <v>524</v>
      </c>
      <c r="I2265" s="4"/>
      <c r="J2265" s="4">
        <v>0</v>
      </c>
      <c r="K2265" s="4">
        <v>0</v>
      </c>
      <c r="L2265" s="4">
        <v>0</v>
      </c>
      <c r="M2265" s="4">
        <v>0</v>
      </c>
      <c r="N2265" s="4">
        <v>0</v>
      </c>
      <c r="O2265" s="4">
        <v>0</v>
      </c>
      <c r="P2265" s="4">
        <v>0</v>
      </c>
      <c r="Q2265" s="4">
        <v>0</v>
      </c>
      <c r="R2265" s="4">
        <v>0</v>
      </c>
      <c r="S2265" s="4">
        <v>0</v>
      </c>
      <c r="T2265" s="4">
        <v>0</v>
      </c>
      <c r="U2265" s="4">
        <v>0</v>
      </c>
      <c r="V2265" s="4">
        <v>0</v>
      </c>
      <c r="W2265" s="4">
        <v>0</v>
      </c>
      <c r="X2265" s="4">
        <v>0</v>
      </c>
      <c r="Y2265" s="4" t="s">
        <v>2276</v>
      </c>
      <c r="Z2265" s="4" t="s">
        <v>2276</v>
      </c>
      <c r="AA2265" s="4" t="s">
        <v>2276</v>
      </c>
      <c r="AB2265" s="4" t="s">
        <v>2276</v>
      </c>
      <c r="AC2265" s="4"/>
      <c r="AD2265" s="4"/>
    </row>
    <row r="2266" spans="1:30" s="205" customFormat="1" ht="46.5" customHeight="1">
      <c r="A2266" s="4" t="s">
        <v>6174</v>
      </c>
      <c r="B2266" s="4" t="s">
        <v>6746</v>
      </c>
      <c r="C2266" s="4" t="s">
        <v>24</v>
      </c>
      <c r="D2266" s="4" t="s">
        <v>2659</v>
      </c>
      <c r="E2266" s="4" t="s">
        <v>3855</v>
      </c>
      <c r="F2266" s="4" t="s">
        <v>28</v>
      </c>
      <c r="G2266" s="4" t="s">
        <v>28</v>
      </c>
      <c r="H2266" s="4" t="s">
        <v>523</v>
      </c>
      <c r="I2266" s="4"/>
      <c r="J2266" s="4" t="s">
        <v>2276</v>
      </c>
      <c r="K2266" s="4" t="s">
        <v>2276</v>
      </c>
      <c r="L2266" s="4" t="s">
        <v>2276</v>
      </c>
      <c r="M2266" s="4" t="s">
        <v>2276</v>
      </c>
      <c r="N2266" s="4" t="s">
        <v>2276</v>
      </c>
      <c r="O2266" s="4" t="s">
        <v>2276</v>
      </c>
      <c r="P2266" s="4" t="s">
        <v>2276</v>
      </c>
      <c r="Q2266" s="4" t="s">
        <v>2276</v>
      </c>
      <c r="R2266" s="4" t="s">
        <v>2276</v>
      </c>
      <c r="S2266" s="4" t="s">
        <v>2276</v>
      </c>
      <c r="T2266" s="4" t="s">
        <v>2276</v>
      </c>
      <c r="U2266" s="4" t="s">
        <v>2276</v>
      </c>
      <c r="V2266" s="4" t="s">
        <v>2276</v>
      </c>
      <c r="W2266" s="4" t="s">
        <v>2276</v>
      </c>
      <c r="X2266" s="4" t="s">
        <v>2276</v>
      </c>
      <c r="Y2266" s="4" t="s">
        <v>2276</v>
      </c>
      <c r="Z2266" s="4" t="s">
        <v>2276</v>
      </c>
      <c r="AA2266" s="4" t="s">
        <v>2276</v>
      </c>
      <c r="AB2266" s="4" t="s">
        <v>2276</v>
      </c>
      <c r="AC2266" s="4"/>
      <c r="AD2266" s="4"/>
    </row>
    <row r="2267" spans="1:30" s="205" customFormat="1" ht="46.5" customHeight="1">
      <c r="A2267" s="4" t="s">
        <v>6174</v>
      </c>
      <c r="B2267" s="4" t="s">
        <v>6747</v>
      </c>
      <c r="C2267" s="4" t="s">
        <v>24</v>
      </c>
      <c r="D2267" s="204" t="s">
        <v>143</v>
      </c>
      <c r="E2267" s="4" t="s">
        <v>3855</v>
      </c>
      <c r="F2267" s="4" t="s">
        <v>28</v>
      </c>
      <c r="G2267" s="4" t="s">
        <v>28</v>
      </c>
      <c r="H2267" s="4" t="s">
        <v>524</v>
      </c>
      <c r="I2267" s="4"/>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t="s">
        <v>2276</v>
      </c>
      <c r="Z2267" s="4" t="s">
        <v>2276</v>
      </c>
      <c r="AA2267" s="4" t="s">
        <v>2276</v>
      </c>
      <c r="AB2267" s="4" t="s">
        <v>2276</v>
      </c>
      <c r="AC2267" s="4"/>
      <c r="AD2267" s="4"/>
    </row>
    <row r="2268" spans="1:30" s="205" customFormat="1" ht="46.5" customHeight="1">
      <c r="A2268" s="4" t="s">
        <v>6174</v>
      </c>
      <c r="B2268" s="4" t="s">
        <v>6748</v>
      </c>
      <c r="C2268" s="204" t="s">
        <v>2458</v>
      </c>
      <c r="D2268" s="204" t="s">
        <v>25</v>
      </c>
      <c r="E2268" s="4" t="s">
        <v>3855</v>
      </c>
      <c r="F2268" s="4" t="s">
        <v>29</v>
      </c>
      <c r="G2268" s="4" t="s">
        <v>28</v>
      </c>
      <c r="H2268" s="4" t="s">
        <v>523</v>
      </c>
      <c r="I2268" s="4"/>
      <c r="J2268" s="4" t="s">
        <v>2276</v>
      </c>
      <c r="K2268" s="4" t="s">
        <v>2276</v>
      </c>
      <c r="L2268" s="4" t="s">
        <v>2276</v>
      </c>
      <c r="M2268" s="4" t="s">
        <v>2276</v>
      </c>
      <c r="N2268" s="4" t="s">
        <v>2276</v>
      </c>
      <c r="O2268" s="4" t="s">
        <v>2276</v>
      </c>
      <c r="P2268" s="4" t="s">
        <v>2276</v>
      </c>
      <c r="Q2268" s="4" t="s">
        <v>2276</v>
      </c>
      <c r="R2268" s="4" t="s">
        <v>2276</v>
      </c>
      <c r="S2268" s="4" t="s">
        <v>2276</v>
      </c>
      <c r="T2268" s="4" t="s">
        <v>2276</v>
      </c>
      <c r="U2268" s="4" t="s">
        <v>2276</v>
      </c>
      <c r="V2268" s="4" t="s">
        <v>2276</v>
      </c>
      <c r="W2268" s="4" t="s">
        <v>2276</v>
      </c>
      <c r="X2268" s="4" t="s">
        <v>2276</v>
      </c>
      <c r="Y2268" s="4" t="s">
        <v>2276</v>
      </c>
      <c r="Z2268" s="4" t="s">
        <v>2276</v>
      </c>
      <c r="AA2268" s="4" t="s">
        <v>2276</v>
      </c>
      <c r="AB2268" s="4" t="s">
        <v>2276</v>
      </c>
      <c r="AC2268" s="4"/>
      <c r="AD2268" s="4"/>
    </row>
    <row r="2269" spans="1:30" s="205" customFormat="1" ht="46.5" customHeight="1">
      <c r="A2269" s="4" t="s">
        <v>6174</v>
      </c>
      <c r="B2269" s="4" t="s">
        <v>6749</v>
      </c>
      <c r="C2269" s="4" t="s">
        <v>24</v>
      </c>
      <c r="D2269" s="204" t="s">
        <v>25</v>
      </c>
      <c r="E2269" s="4" t="s">
        <v>3855</v>
      </c>
      <c r="F2269" s="4" t="s">
        <v>29</v>
      </c>
      <c r="G2269" s="4" t="s">
        <v>28</v>
      </c>
      <c r="H2269" s="4" t="s">
        <v>523</v>
      </c>
      <c r="I2269" s="4"/>
      <c r="J2269" s="4" t="s">
        <v>2276</v>
      </c>
      <c r="K2269" s="4" t="s">
        <v>2276</v>
      </c>
      <c r="L2269" s="4" t="s">
        <v>2276</v>
      </c>
      <c r="M2269" s="4" t="s">
        <v>2276</v>
      </c>
      <c r="N2269" s="4" t="s">
        <v>2276</v>
      </c>
      <c r="O2269" s="4" t="s">
        <v>2276</v>
      </c>
      <c r="P2269" s="4" t="s">
        <v>2276</v>
      </c>
      <c r="Q2269" s="4" t="s">
        <v>2276</v>
      </c>
      <c r="R2269" s="4" t="s">
        <v>2276</v>
      </c>
      <c r="S2269" s="4" t="s">
        <v>2276</v>
      </c>
      <c r="T2269" s="4" t="s">
        <v>2276</v>
      </c>
      <c r="U2269" s="4" t="s">
        <v>2276</v>
      </c>
      <c r="V2269" s="4" t="s">
        <v>2276</v>
      </c>
      <c r="W2269" s="4" t="s">
        <v>2276</v>
      </c>
      <c r="X2269" s="4" t="s">
        <v>2276</v>
      </c>
      <c r="Y2269" s="4" t="s">
        <v>2276</v>
      </c>
      <c r="Z2269" s="4" t="s">
        <v>2276</v>
      </c>
      <c r="AA2269" s="4" t="s">
        <v>2276</v>
      </c>
      <c r="AB2269" s="4" t="s">
        <v>2276</v>
      </c>
      <c r="AC2269" s="4"/>
      <c r="AD2269" s="4"/>
    </row>
    <row r="2270" spans="1:30" s="205" customFormat="1" ht="46.5" customHeight="1">
      <c r="A2270" s="4" t="s">
        <v>6174</v>
      </c>
      <c r="B2270" s="4" t="s">
        <v>6750</v>
      </c>
      <c r="C2270" s="4" t="s">
        <v>24</v>
      </c>
      <c r="D2270" s="4" t="s">
        <v>2346</v>
      </c>
      <c r="E2270" s="4" t="s">
        <v>3855</v>
      </c>
      <c r="F2270" s="4" t="s">
        <v>2276</v>
      </c>
      <c r="G2270" s="4" t="s">
        <v>2276</v>
      </c>
      <c r="H2270" s="4" t="s">
        <v>523</v>
      </c>
      <c r="I2270" s="4"/>
      <c r="J2270" s="4" t="s">
        <v>2276</v>
      </c>
      <c r="K2270" s="4" t="s">
        <v>2276</v>
      </c>
      <c r="L2270" s="4" t="s">
        <v>2276</v>
      </c>
      <c r="M2270" s="4" t="s">
        <v>2276</v>
      </c>
      <c r="N2270" s="4" t="s">
        <v>2276</v>
      </c>
      <c r="O2270" s="4" t="s">
        <v>2276</v>
      </c>
      <c r="P2270" s="4" t="s">
        <v>2276</v>
      </c>
      <c r="Q2270" s="4" t="s">
        <v>2276</v>
      </c>
      <c r="R2270" s="4" t="s">
        <v>2276</v>
      </c>
      <c r="S2270" s="4" t="s">
        <v>2276</v>
      </c>
      <c r="T2270" s="4" t="s">
        <v>2276</v>
      </c>
      <c r="U2270" s="4" t="s">
        <v>2276</v>
      </c>
      <c r="V2270" s="4" t="s">
        <v>2276</v>
      </c>
      <c r="W2270" s="4" t="s">
        <v>2276</v>
      </c>
      <c r="X2270" s="4" t="s">
        <v>2276</v>
      </c>
      <c r="Y2270" s="4" t="s">
        <v>2276</v>
      </c>
      <c r="Z2270" s="4" t="s">
        <v>2276</v>
      </c>
      <c r="AA2270" s="4" t="s">
        <v>2276</v>
      </c>
      <c r="AB2270" s="4" t="s">
        <v>2276</v>
      </c>
      <c r="AC2270" s="4"/>
      <c r="AD2270" s="4"/>
    </row>
    <row r="2271" spans="1:30" s="205" customFormat="1" ht="46.5" customHeight="1">
      <c r="A2271" s="4" t="s">
        <v>6175</v>
      </c>
      <c r="B2271" s="4" t="s">
        <v>6235</v>
      </c>
      <c r="C2271" s="204" t="s">
        <v>2458</v>
      </c>
      <c r="D2271" s="4" t="s">
        <v>2659</v>
      </c>
      <c r="E2271" s="4" t="s">
        <v>3855</v>
      </c>
      <c r="F2271" s="4" t="s">
        <v>28</v>
      </c>
      <c r="G2271" s="4" t="s">
        <v>74</v>
      </c>
      <c r="H2271" s="4" t="s">
        <v>523</v>
      </c>
      <c r="I2271" s="4"/>
      <c r="J2271" s="4" t="s">
        <v>2276</v>
      </c>
      <c r="K2271" s="4" t="s">
        <v>2276</v>
      </c>
      <c r="L2271" s="4" t="s">
        <v>2276</v>
      </c>
      <c r="M2271" s="4" t="s">
        <v>2276</v>
      </c>
      <c r="N2271" s="4" t="s">
        <v>2276</v>
      </c>
      <c r="O2271" s="4" t="s">
        <v>2276</v>
      </c>
      <c r="P2271" s="4" t="s">
        <v>2276</v>
      </c>
      <c r="Q2271" s="4" t="s">
        <v>2276</v>
      </c>
      <c r="R2271" s="4" t="s">
        <v>2276</v>
      </c>
      <c r="S2271" s="4" t="s">
        <v>2276</v>
      </c>
      <c r="T2271" s="4" t="s">
        <v>2276</v>
      </c>
      <c r="U2271" s="4" t="s">
        <v>2276</v>
      </c>
      <c r="V2271" s="4" t="s">
        <v>2276</v>
      </c>
      <c r="W2271" s="4" t="s">
        <v>2276</v>
      </c>
      <c r="X2271" s="4" t="s">
        <v>2276</v>
      </c>
      <c r="Y2271" s="4" t="s">
        <v>2276</v>
      </c>
      <c r="Z2271" s="4" t="s">
        <v>2276</v>
      </c>
      <c r="AA2271" s="4" t="s">
        <v>2276</v>
      </c>
      <c r="AB2271" s="4" t="s">
        <v>2276</v>
      </c>
      <c r="AC2271" s="4"/>
      <c r="AD2271" s="4"/>
    </row>
    <row r="2272" spans="1:30" s="205" customFormat="1" ht="46.5" customHeight="1">
      <c r="A2272" s="4" t="s">
        <v>6175</v>
      </c>
      <c r="B2272" s="4" t="s">
        <v>6751</v>
      </c>
      <c r="C2272" s="204" t="s">
        <v>2458</v>
      </c>
      <c r="D2272" s="204" t="s">
        <v>143</v>
      </c>
      <c r="E2272" s="4" t="s">
        <v>3855</v>
      </c>
      <c r="F2272" s="4" t="s">
        <v>28</v>
      </c>
      <c r="G2272" s="4" t="s">
        <v>74</v>
      </c>
      <c r="H2272" s="4" t="s">
        <v>524</v>
      </c>
      <c r="I2272" s="4"/>
      <c r="J2272" s="4">
        <v>0</v>
      </c>
      <c r="K2272" s="4">
        <v>0</v>
      </c>
      <c r="L2272" s="4">
        <v>0</v>
      </c>
      <c r="M2272" s="4">
        <v>0</v>
      </c>
      <c r="N2272" s="4">
        <v>0</v>
      </c>
      <c r="O2272" s="4">
        <v>0</v>
      </c>
      <c r="P2272" s="4">
        <v>0</v>
      </c>
      <c r="Q2272" s="4">
        <v>0</v>
      </c>
      <c r="R2272" s="4">
        <v>0</v>
      </c>
      <c r="S2272" s="4">
        <v>0</v>
      </c>
      <c r="T2272" s="4">
        <v>0</v>
      </c>
      <c r="U2272" s="4">
        <v>0</v>
      </c>
      <c r="V2272" s="4">
        <v>0</v>
      </c>
      <c r="W2272" s="4">
        <v>0</v>
      </c>
      <c r="X2272" s="4">
        <v>0</v>
      </c>
      <c r="Y2272" s="4" t="s">
        <v>2276</v>
      </c>
      <c r="Z2272" s="4" t="s">
        <v>2276</v>
      </c>
      <c r="AA2272" s="4" t="s">
        <v>2276</v>
      </c>
      <c r="AB2272" s="4" t="s">
        <v>2276</v>
      </c>
      <c r="AC2272" s="4"/>
      <c r="AD2272" s="4"/>
    </row>
    <row r="2273" spans="1:30" s="205" customFormat="1" ht="46.5" customHeight="1">
      <c r="A2273" s="4" t="s">
        <v>6175</v>
      </c>
      <c r="B2273" s="4" t="s">
        <v>6752</v>
      </c>
      <c r="C2273" s="4" t="s">
        <v>24</v>
      </c>
      <c r="D2273" s="4" t="s">
        <v>2659</v>
      </c>
      <c r="E2273" s="4" t="s">
        <v>3855</v>
      </c>
      <c r="F2273" s="4" t="s">
        <v>28</v>
      </c>
      <c r="G2273" s="4" t="s">
        <v>28</v>
      </c>
      <c r="H2273" s="4" t="s">
        <v>523</v>
      </c>
      <c r="I2273" s="4"/>
      <c r="J2273" s="4" t="s">
        <v>2276</v>
      </c>
      <c r="K2273" s="4" t="s">
        <v>2276</v>
      </c>
      <c r="L2273" s="4" t="s">
        <v>2276</v>
      </c>
      <c r="M2273" s="4" t="s">
        <v>2276</v>
      </c>
      <c r="N2273" s="4" t="s">
        <v>2276</v>
      </c>
      <c r="O2273" s="4" t="s">
        <v>2276</v>
      </c>
      <c r="P2273" s="4" t="s">
        <v>2276</v>
      </c>
      <c r="Q2273" s="4" t="s">
        <v>2276</v>
      </c>
      <c r="R2273" s="4" t="s">
        <v>2276</v>
      </c>
      <c r="S2273" s="4" t="s">
        <v>2276</v>
      </c>
      <c r="T2273" s="4" t="s">
        <v>2276</v>
      </c>
      <c r="U2273" s="4" t="s">
        <v>2276</v>
      </c>
      <c r="V2273" s="4" t="s">
        <v>2276</v>
      </c>
      <c r="W2273" s="4" t="s">
        <v>2276</v>
      </c>
      <c r="X2273" s="4" t="s">
        <v>2276</v>
      </c>
      <c r="Y2273" s="4" t="s">
        <v>2276</v>
      </c>
      <c r="Z2273" s="4" t="s">
        <v>2276</v>
      </c>
      <c r="AA2273" s="4" t="s">
        <v>2276</v>
      </c>
      <c r="AB2273" s="4" t="s">
        <v>2276</v>
      </c>
      <c r="AC2273" s="4"/>
      <c r="AD2273" s="4"/>
    </row>
    <row r="2274" spans="1:30" s="205" customFormat="1" ht="46.5" customHeight="1">
      <c r="A2274" s="4" t="s">
        <v>6175</v>
      </c>
      <c r="B2274" s="4" t="s">
        <v>6753</v>
      </c>
      <c r="C2274" s="4" t="s">
        <v>24</v>
      </c>
      <c r="D2274" s="204" t="s">
        <v>143</v>
      </c>
      <c r="E2274" s="4" t="s">
        <v>3855</v>
      </c>
      <c r="F2274" s="4" t="s">
        <v>28</v>
      </c>
      <c r="G2274" s="4" t="s">
        <v>28</v>
      </c>
      <c r="H2274" s="4" t="s">
        <v>524</v>
      </c>
      <c r="I2274" s="4"/>
      <c r="J2274" s="4">
        <v>0</v>
      </c>
      <c r="K2274" s="4">
        <v>0</v>
      </c>
      <c r="L2274" s="4">
        <v>0</v>
      </c>
      <c r="M2274" s="4">
        <v>0</v>
      </c>
      <c r="N2274" s="4">
        <v>0</v>
      </c>
      <c r="O2274" s="4">
        <v>0</v>
      </c>
      <c r="P2274" s="4">
        <v>0</v>
      </c>
      <c r="Q2274" s="4">
        <v>0</v>
      </c>
      <c r="R2274" s="4">
        <v>0</v>
      </c>
      <c r="S2274" s="4">
        <v>0</v>
      </c>
      <c r="T2274" s="4">
        <v>0</v>
      </c>
      <c r="U2274" s="4">
        <v>0</v>
      </c>
      <c r="V2274" s="4">
        <v>0</v>
      </c>
      <c r="W2274" s="4">
        <v>0</v>
      </c>
      <c r="X2274" s="4">
        <v>0</v>
      </c>
      <c r="Y2274" s="4" t="s">
        <v>2276</v>
      </c>
      <c r="Z2274" s="4" t="s">
        <v>2276</v>
      </c>
      <c r="AA2274" s="4" t="s">
        <v>2276</v>
      </c>
      <c r="AB2274" s="4" t="s">
        <v>2276</v>
      </c>
      <c r="AC2274" s="4"/>
      <c r="AD2274" s="4"/>
    </row>
    <row r="2275" spans="1:30" s="205" customFormat="1" ht="46.5" customHeight="1">
      <c r="A2275" s="4" t="s">
        <v>6175</v>
      </c>
      <c r="B2275" s="4" t="s">
        <v>6754</v>
      </c>
      <c r="C2275" s="204" t="s">
        <v>2458</v>
      </c>
      <c r="D2275" s="204" t="s">
        <v>25</v>
      </c>
      <c r="E2275" s="4" t="s">
        <v>3855</v>
      </c>
      <c r="F2275" s="4" t="s">
        <v>29</v>
      </c>
      <c r="G2275" s="4" t="s">
        <v>28</v>
      </c>
      <c r="H2275" s="4" t="s">
        <v>523</v>
      </c>
      <c r="I2275" s="4"/>
      <c r="J2275" s="4" t="s">
        <v>2276</v>
      </c>
      <c r="K2275" s="4" t="s">
        <v>2276</v>
      </c>
      <c r="L2275" s="4" t="s">
        <v>2276</v>
      </c>
      <c r="M2275" s="4" t="s">
        <v>2276</v>
      </c>
      <c r="N2275" s="4" t="s">
        <v>2276</v>
      </c>
      <c r="O2275" s="4" t="s">
        <v>2276</v>
      </c>
      <c r="P2275" s="4" t="s">
        <v>2276</v>
      </c>
      <c r="Q2275" s="4" t="s">
        <v>2276</v>
      </c>
      <c r="R2275" s="4" t="s">
        <v>2276</v>
      </c>
      <c r="S2275" s="4" t="s">
        <v>2276</v>
      </c>
      <c r="T2275" s="4" t="s">
        <v>2276</v>
      </c>
      <c r="U2275" s="4" t="s">
        <v>2276</v>
      </c>
      <c r="V2275" s="4" t="s">
        <v>2276</v>
      </c>
      <c r="W2275" s="4" t="s">
        <v>2276</v>
      </c>
      <c r="X2275" s="4" t="s">
        <v>2276</v>
      </c>
      <c r="Y2275" s="4" t="s">
        <v>2276</v>
      </c>
      <c r="Z2275" s="4" t="s">
        <v>2276</v>
      </c>
      <c r="AA2275" s="4" t="s">
        <v>2276</v>
      </c>
      <c r="AB2275" s="4" t="s">
        <v>2276</v>
      </c>
      <c r="AC2275" s="4"/>
      <c r="AD2275" s="4"/>
    </row>
    <row r="2276" spans="1:30" s="205" customFormat="1" ht="46.5" customHeight="1">
      <c r="A2276" s="4" t="s">
        <v>6175</v>
      </c>
      <c r="B2276" s="4" t="s">
        <v>6755</v>
      </c>
      <c r="C2276" s="4" t="s">
        <v>24</v>
      </c>
      <c r="D2276" s="204" t="s">
        <v>25</v>
      </c>
      <c r="E2276" s="4" t="s">
        <v>3855</v>
      </c>
      <c r="F2276" s="4" t="s">
        <v>29</v>
      </c>
      <c r="G2276" s="4" t="s">
        <v>28</v>
      </c>
      <c r="H2276" s="4" t="s">
        <v>523</v>
      </c>
      <c r="I2276" s="4"/>
      <c r="J2276" s="4" t="s">
        <v>2276</v>
      </c>
      <c r="K2276" s="4" t="s">
        <v>2276</v>
      </c>
      <c r="L2276" s="4" t="s">
        <v>2276</v>
      </c>
      <c r="M2276" s="4" t="s">
        <v>2276</v>
      </c>
      <c r="N2276" s="4" t="s">
        <v>2276</v>
      </c>
      <c r="O2276" s="4" t="s">
        <v>2276</v>
      </c>
      <c r="P2276" s="4" t="s">
        <v>2276</v>
      </c>
      <c r="Q2276" s="4" t="s">
        <v>2276</v>
      </c>
      <c r="R2276" s="4" t="s">
        <v>2276</v>
      </c>
      <c r="S2276" s="4" t="s">
        <v>2276</v>
      </c>
      <c r="T2276" s="4" t="s">
        <v>2276</v>
      </c>
      <c r="U2276" s="4" t="s">
        <v>2276</v>
      </c>
      <c r="V2276" s="4" t="s">
        <v>2276</v>
      </c>
      <c r="W2276" s="4" t="s">
        <v>2276</v>
      </c>
      <c r="X2276" s="4" t="s">
        <v>2276</v>
      </c>
      <c r="Y2276" s="4" t="s">
        <v>2276</v>
      </c>
      <c r="Z2276" s="4" t="s">
        <v>2276</v>
      </c>
      <c r="AA2276" s="4" t="s">
        <v>2276</v>
      </c>
      <c r="AB2276" s="4" t="s">
        <v>2276</v>
      </c>
      <c r="AC2276" s="4"/>
      <c r="AD2276" s="4"/>
    </row>
    <row r="2277" spans="1:30" s="205" customFormat="1" ht="46.5" customHeight="1">
      <c r="A2277" s="4" t="s">
        <v>6175</v>
      </c>
      <c r="B2277" s="4" t="s">
        <v>6756</v>
      </c>
      <c r="C2277" s="4" t="s">
        <v>24</v>
      </c>
      <c r="D2277" s="4" t="s">
        <v>2346</v>
      </c>
      <c r="E2277" s="4" t="s">
        <v>3855</v>
      </c>
      <c r="F2277" s="4" t="s">
        <v>2276</v>
      </c>
      <c r="G2277" s="4" t="s">
        <v>2276</v>
      </c>
      <c r="H2277" s="4" t="s">
        <v>523</v>
      </c>
      <c r="I2277" s="4"/>
      <c r="J2277" s="4" t="s">
        <v>2276</v>
      </c>
      <c r="K2277" s="4" t="s">
        <v>2276</v>
      </c>
      <c r="L2277" s="4" t="s">
        <v>2276</v>
      </c>
      <c r="M2277" s="4" t="s">
        <v>2276</v>
      </c>
      <c r="N2277" s="4" t="s">
        <v>2276</v>
      </c>
      <c r="O2277" s="4" t="s">
        <v>2276</v>
      </c>
      <c r="P2277" s="4" t="s">
        <v>2276</v>
      </c>
      <c r="Q2277" s="4" t="s">
        <v>2276</v>
      </c>
      <c r="R2277" s="4" t="s">
        <v>2276</v>
      </c>
      <c r="S2277" s="4" t="s">
        <v>2276</v>
      </c>
      <c r="T2277" s="4" t="s">
        <v>2276</v>
      </c>
      <c r="U2277" s="4" t="s">
        <v>2276</v>
      </c>
      <c r="V2277" s="4" t="s">
        <v>2276</v>
      </c>
      <c r="W2277" s="4" t="s">
        <v>2276</v>
      </c>
      <c r="X2277" s="4" t="s">
        <v>2276</v>
      </c>
      <c r="Y2277" s="4" t="s">
        <v>2276</v>
      </c>
      <c r="Z2277" s="4" t="s">
        <v>2276</v>
      </c>
      <c r="AA2277" s="4" t="s">
        <v>2276</v>
      </c>
      <c r="AB2277" s="4" t="s">
        <v>2276</v>
      </c>
      <c r="AC2277" s="4"/>
      <c r="AD2277" s="4"/>
    </row>
    <row r="2278" spans="1:30" s="205" customFormat="1" ht="46.5" customHeight="1">
      <c r="A2278" s="4" t="s">
        <v>6176</v>
      </c>
      <c r="B2278" s="4" t="s">
        <v>6236</v>
      </c>
      <c r="C2278" s="204" t="s">
        <v>2458</v>
      </c>
      <c r="D2278" s="4" t="s">
        <v>2659</v>
      </c>
      <c r="E2278" s="4" t="s">
        <v>3855</v>
      </c>
      <c r="F2278" s="4" t="s">
        <v>28</v>
      </c>
      <c r="G2278" s="4" t="s">
        <v>74</v>
      </c>
      <c r="H2278" s="4" t="s">
        <v>523</v>
      </c>
      <c r="I2278" s="4"/>
      <c r="J2278" s="4" t="s">
        <v>2276</v>
      </c>
      <c r="K2278" s="4" t="s">
        <v>2276</v>
      </c>
      <c r="L2278" s="4" t="s">
        <v>2276</v>
      </c>
      <c r="M2278" s="4" t="s">
        <v>2276</v>
      </c>
      <c r="N2278" s="4" t="s">
        <v>2276</v>
      </c>
      <c r="O2278" s="4" t="s">
        <v>2276</v>
      </c>
      <c r="P2278" s="4" t="s">
        <v>2276</v>
      </c>
      <c r="Q2278" s="4" t="s">
        <v>2276</v>
      </c>
      <c r="R2278" s="4" t="s">
        <v>2276</v>
      </c>
      <c r="S2278" s="4" t="s">
        <v>2276</v>
      </c>
      <c r="T2278" s="4" t="s">
        <v>2276</v>
      </c>
      <c r="U2278" s="4" t="s">
        <v>2276</v>
      </c>
      <c r="V2278" s="4" t="s">
        <v>2276</v>
      </c>
      <c r="W2278" s="4" t="s">
        <v>2276</v>
      </c>
      <c r="X2278" s="4" t="s">
        <v>2276</v>
      </c>
      <c r="Y2278" s="4" t="s">
        <v>2276</v>
      </c>
      <c r="Z2278" s="4" t="s">
        <v>2276</v>
      </c>
      <c r="AA2278" s="4" t="s">
        <v>2276</v>
      </c>
      <c r="AB2278" s="4" t="s">
        <v>2276</v>
      </c>
      <c r="AC2278" s="4"/>
      <c r="AD2278" s="4"/>
    </row>
    <row r="2279" spans="1:30" s="205" customFormat="1" ht="46.5" customHeight="1">
      <c r="A2279" s="4" t="s">
        <v>6176</v>
      </c>
      <c r="B2279" s="4" t="s">
        <v>6757</v>
      </c>
      <c r="C2279" s="204" t="s">
        <v>2458</v>
      </c>
      <c r="D2279" s="204" t="s">
        <v>143</v>
      </c>
      <c r="E2279" s="4" t="s">
        <v>3855</v>
      </c>
      <c r="F2279" s="4" t="s">
        <v>28</v>
      </c>
      <c r="G2279" s="4" t="s">
        <v>74</v>
      </c>
      <c r="H2279" s="4" t="s">
        <v>524</v>
      </c>
      <c r="I2279" s="4"/>
      <c r="J2279" s="4">
        <v>0</v>
      </c>
      <c r="K2279" s="4">
        <v>0</v>
      </c>
      <c r="L2279" s="4">
        <v>0</v>
      </c>
      <c r="M2279" s="4">
        <v>0</v>
      </c>
      <c r="N2279" s="4">
        <v>0</v>
      </c>
      <c r="O2279" s="4">
        <v>0</v>
      </c>
      <c r="P2279" s="4">
        <v>0</v>
      </c>
      <c r="Q2279" s="4">
        <v>0</v>
      </c>
      <c r="R2279" s="4">
        <v>0</v>
      </c>
      <c r="S2279" s="4">
        <v>0</v>
      </c>
      <c r="T2279" s="4">
        <v>0</v>
      </c>
      <c r="U2279" s="4">
        <v>0</v>
      </c>
      <c r="V2279" s="4">
        <v>0</v>
      </c>
      <c r="W2279" s="4">
        <v>0</v>
      </c>
      <c r="X2279" s="4">
        <v>0</v>
      </c>
      <c r="Y2279" s="4" t="s">
        <v>2276</v>
      </c>
      <c r="Z2279" s="4" t="s">
        <v>2276</v>
      </c>
      <c r="AA2279" s="4" t="s">
        <v>2276</v>
      </c>
      <c r="AB2279" s="4" t="s">
        <v>2276</v>
      </c>
      <c r="AC2279" s="4"/>
      <c r="AD2279" s="4"/>
    </row>
    <row r="2280" spans="1:30" s="205" customFormat="1" ht="46.5" customHeight="1">
      <c r="A2280" s="4" t="s">
        <v>6176</v>
      </c>
      <c r="B2280" s="4" t="s">
        <v>6758</v>
      </c>
      <c r="C2280" s="4" t="s">
        <v>24</v>
      </c>
      <c r="D2280" s="4" t="s">
        <v>2659</v>
      </c>
      <c r="E2280" s="4" t="s">
        <v>3855</v>
      </c>
      <c r="F2280" s="4" t="s">
        <v>28</v>
      </c>
      <c r="G2280" s="4" t="s">
        <v>28</v>
      </c>
      <c r="H2280" s="4" t="s">
        <v>523</v>
      </c>
      <c r="I2280" s="4"/>
      <c r="J2280" s="4" t="s">
        <v>2276</v>
      </c>
      <c r="K2280" s="4" t="s">
        <v>2276</v>
      </c>
      <c r="L2280" s="4" t="s">
        <v>2276</v>
      </c>
      <c r="M2280" s="4" t="s">
        <v>2276</v>
      </c>
      <c r="N2280" s="4" t="s">
        <v>2276</v>
      </c>
      <c r="O2280" s="4" t="s">
        <v>2276</v>
      </c>
      <c r="P2280" s="4" t="s">
        <v>2276</v>
      </c>
      <c r="Q2280" s="4" t="s">
        <v>2276</v>
      </c>
      <c r="R2280" s="4" t="s">
        <v>2276</v>
      </c>
      <c r="S2280" s="4" t="s">
        <v>2276</v>
      </c>
      <c r="T2280" s="4" t="s">
        <v>2276</v>
      </c>
      <c r="U2280" s="4" t="s">
        <v>2276</v>
      </c>
      <c r="V2280" s="4" t="s">
        <v>2276</v>
      </c>
      <c r="W2280" s="4" t="s">
        <v>2276</v>
      </c>
      <c r="X2280" s="4" t="s">
        <v>2276</v>
      </c>
      <c r="Y2280" s="4" t="s">
        <v>2276</v>
      </c>
      <c r="Z2280" s="4" t="s">
        <v>2276</v>
      </c>
      <c r="AA2280" s="4" t="s">
        <v>2276</v>
      </c>
      <c r="AB2280" s="4" t="s">
        <v>2276</v>
      </c>
      <c r="AC2280" s="4"/>
      <c r="AD2280" s="4"/>
    </row>
    <row r="2281" spans="1:30" s="205" customFormat="1" ht="46.5" customHeight="1">
      <c r="A2281" s="4" t="s">
        <v>6176</v>
      </c>
      <c r="B2281" s="4" t="s">
        <v>6759</v>
      </c>
      <c r="C2281" s="4" t="s">
        <v>24</v>
      </c>
      <c r="D2281" s="204" t="s">
        <v>143</v>
      </c>
      <c r="E2281" s="4" t="s">
        <v>3855</v>
      </c>
      <c r="F2281" s="4" t="s">
        <v>28</v>
      </c>
      <c r="G2281" s="4" t="s">
        <v>28</v>
      </c>
      <c r="H2281" s="4" t="s">
        <v>524</v>
      </c>
      <c r="I2281" s="4"/>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t="s">
        <v>2276</v>
      </c>
      <c r="Z2281" s="4" t="s">
        <v>2276</v>
      </c>
      <c r="AA2281" s="4" t="s">
        <v>2276</v>
      </c>
      <c r="AB2281" s="4" t="s">
        <v>2276</v>
      </c>
      <c r="AC2281" s="4"/>
      <c r="AD2281" s="4"/>
    </row>
    <row r="2282" spans="1:30" s="205" customFormat="1" ht="46.5" customHeight="1">
      <c r="A2282" s="4" t="s">
        <v>6176</v>
      </c>
      <c r="B2282" s="4" t="s">
        <v>6760</v>
      </c>
      <c r="C2282" s="204" t="s">
        <v>2458</v>
      </c>
      <c r="D2282" s="204" t="s">
        <v>25</v>
      </c>
      <c r="E2282" s="4" t="s">
        <v>3855</v>
      </c>
      <c r="F2282" s="4" t="s">
        <v>29</v>
      </c>
      <c r="G2282" s="4" t="s">
        <v>28</v>
      </c>
      <c r="H2282" s="4" t="s">
        <v>523</v>
      </c>
      <c r="I2282" s="4"/>
      <c r="J2282" s="4" t="s">
        <v>2276</v>
      </c>
      <c r="K2282" s="4" t="s">
        <v>2276</v>
      </c>
      <c r="L2282" s="4" t="s">
        <v>2276</v>
      </c>
      <c r="M2282" s="4" t="s">
        <v>2276</v>
      </c>
      <c r="N2282" s="4" t="s">
        <v>2276</v>
      </c>
      <c r="O2282" s="4" t="s">
        <v>2276</v>
      </c>
      <c r="P2282" s="4" t="s">
        <v>2276</v>
      </c>
      <c r="Q2282" s="4" t="s">
        <v>2276</v>
      </c>
      <c r="R2282" s="4" t="s">
        <v>2276</v>
      </c>
      <c r="S2282" s="4" t="s">
        <v>2276</v>
      </c>
      <c r="T2282" s="4" t="s">
        <v>2276</v>
      </c>
      <c r="U2282" s="4" t="s">
        <v>2276</v>
      </c>
      <c r="V2282" s="4" t="s">
        <v>2276</v>
      </c>
      <c r="W2282" s="4" t="s">
        <v>2276</v>
      </c>
      <c r="X2282" s="4" t="s">
        <v>2276</v>
      </c>
      <c r="Y2282" s="4" t="s">
        <v>2276</v>
      </c>
      <c r="Z2282" s="4" t="s">
        <v>2276</v>
      </c>
      <c r="AA2282" s="4" t="s">
        <v>2276</v>
      </c>
      <c r="AB2282" s="4" t="s">
        <v>2276</v>
      </c>
      <c r="AC2282" s="4"/>
      <c r="AD2282" s="4"/>
    </row>
    <row r="2283" spans="1:30" s="205" customFormat="1" ht="46.5" customHeight="1">
      <c r="A2283" s="4" t="s">
        <v>6176</v>
      </c>
      <c r="B2283" s="4" t="s">
        <v>6761</v>
      </c>
      <c r="C2283" s="4" t="s">
        <v>24</v>
      </c>
      <c r="D2283" s="204" t="s">
        <v>25</v>
      </c>
      <c r="E2283" s="4" t="s">
        <v>3855</v>
      </c>
      <c r="F2283" s="4" t="s">
        <v>29</v>
      </c>
      <c r="G2283" s="4" t="s">
        <v>28</v>
      </c>
      <c r="H2283" s="4" t="s">
        <v>523</v>
      </c>
      <c r="I2283" s="4"/>
      <c r="J2283" s="4" t="s">
        <v>2276</v>
      </c>
      <c r="K2283" s="4" t="s">
        <v>2276</v>
      </c>
      <c r="L2283" s="4" t="s">
        <v>2276</v>
      </c>
      <c r="M2283" s="4" t="s">
        <v>2276</v>
      </c>
      <c r="N2283" s="4" t="s">
        <v>2276</v>
      </c>
      <c r="O2283" s="4" t="s">
        <v>2276</v>
      </c>
      <c r="P2283" s="4" t="s">
        <v>2276</v>
      </c>
      <c r="Q2283" s="4" t="s">
        <v>2276</v>
      </c>
      <c r="R2283" s="4" t="s">
        <v>2276</v>
      </c>
      <c r="S2283" s="4" t="s">
        <v>2276</v>
      </c>
      <c r="T2283" s="4" t="s">
        <v>2276</v>
      </c>
      <c r="U2283" s="4" t="s">
        <v>2276</v>
      </c>
      <c r="V2283" s="4" t="s">
        <v>2276</v>
      </c>
      <c r="W2283" s="4" t="s">
        <v>2276</v>
      </c>
      <c r="X2283" s="4" t="s">
        <v>2276</v>
      </c>
      <c r="Y2283" s="4" t="s">
        <v>2276</v>
      </c>
      <c r="Z2283" s="4" t="s">
        <v>2276</v>
      </c>
      <c r="AA2283" s="4" t="s">
        <v>2276</v>
      </c>
      <c r="AB2283" s="4" t="s">
        <v>2276</v>
      </c>
      <c r="AC2283" s="4"/>
      <c r="AD2283" s="4"/>
    </row>
    <row r="2284" spans="1:30" s="205" customFormat="1" ht="49" customHeight="1">
      <c r="A2284" s="4" t="s">
        <v>6176</v>
      </c>
      <c r="B2284" s="4" t="s">
        <v>6762</v>
      </c>
      <c r="C2284" s="4" t="s">
        <v>24</v>
      </c>
      <c r="D2284" s="4" t="s">
        <v>2346</v>
      </c>
      <c r="E2284" s="4" t="s">
        <v>3855</v>
      </c>
      <c r="F2284" s="4" t="s">
        <v>2276</v>
      </c>
      <c r="G2284" s="4" t="s">
        <v>2276</v>
      </c>
      <c r="H2284" s="4" t="s">
        <v>523</v>
      </c>
      <c r="I2284" s="4"/>
      <c r="J2284" s="4" t="s">
        <v>2276</v>
      </c>
      <c r="K2284" s="4" t="s">
        <v>2276</v>
      </c>
      <c r="L2284" s="4" t="s">
        <v>2276</v>
      </c>
      <c r="M2284" s="4" t="s">
        <v>2276</v>
      </c>
      <c r="N2284" s="4" t="s">
        <v>2276</v>
      </c>
      <c r="O2284" s="4" t="s">
        <v>2276</v>
      </c>
      <c r="P2284" s="4" t="s">
        <v>2276</v>
      </c>
      <c r="Q2284" s="4" t="s">
        <v>2276</v>
      </c>
      <c r="R2284" s="4" t="s">
        <v>2276</v>
      </c>
      <c r="S2284" s="4" t="s">
        <v>2276</v>
      </c>
      <c r="T2284" s="4" t="s">
        <v>2276</v>
      </c>
      <c r="U2284" s="4" t="s">
        <v>2276</v>
      </c>
      <c r="V2284" s="4" t="s">
        <v>2276</v>
      </c>
      <c r="W2284" s="4" t="s">
        <v>2276</v>
      </c>
      <c r="X2284" s="4" t="s">
        <v>2276</v>
      </c>
      <c r="Y2284" s="4" t="s">
        <v>2276</v>
      </c>
      <c r="Z2284" s="4" t="s">
        <v>2276</v>
      </c>
      <c r="AA2284" s="4" t="s">
        <v>2276</v>
      </c>
      <c r="AB2284" s="4" t="s">
        <v>2276</v>
      </c>
      <c r="AC2284" s="4"/>
      <c r="AD2284" s="4"/>
    </row>
    <row r="2285" spans="1:30" s="205" customFormat="1" ht="49" customHeight="1">
      <c r="A2285" s="4" t="s">
        <v>6177</v>
      </c>
      <c r="B2285" s="4" t="s">
        <v>6237</v>
      </c>
      <c r="C2285" s="204" t="s">
        <v>2458</v>
      </c>
      <c r="D2285" s="4" t="s">
        <v>2659</v>
      </c>
      <c r="E2285" s="4" t="s">
        <v>3855</v>
      </c>
      <c r="F2285" s="4" t="s">
        <v>28</v>
      </c>
      <c r="G2285" s="4" t="s">
        <v>74</v>
      </c>
      <c r="H2285" s="4" t="s">
        <v>523</v>
      </c>
      <c r="I2285" s="4"/>
      <c r="J2285" s="4" t="s">
        <v>2276</v>
      </c>
      <c r="K2285" s="4" t="s">
        <v>2276</v>
      </c>
      <c r="L2285" s="4" t="s">
        <v>2276</v>
      </c>
      <c r="M2285" s="4" t="s">
        <v>2276</v>
      </c>
      <c r="N2285" s="4" t="s">
        <v>2276</v>
      </c>
      <c r="O2285" s="4" t="s">
        <v>2276</v>
      </c>
      <c r="P2285" s="4" t="s">
        <v>2276</v>
      </c>
      <c r="Q2285" s="4" t="s">
        <v>2276</v>
      </c>
      <c r="R2285" s="4" t="s">
        <v>2276</v>
      </c>
      <c r="S2285" s="4" t="s">
        <v>2276</v>
      </c>
      <c r="T2285" s="4" t="s">
        <v>2276</v>
      </c>
      <c r="U2285" s="4" t="s">
        <v>2276</v>
      </c>
      <c r="V2285" s="4" t="s">
        <v>2276</v>
      </c>
      <c r="W2285" s="4" t="s">
        <v>2276</v>
      </c>
      <c r="X2285" s="4" t="s">
        <v>2276</v>
      </c>
      <c r="Y2285" s="4" t="s">
        <v>2276</v>
      </c>
      <c r="Z2285" s="4" t="s">
        <v>2276</v>
      </c>
      <c r="AA2285" s="4" t="s">
        <v>2276</v>
      </c>
      <c r="AB2285" s="4" t="s">
        <v>2276</v>
      </c>
      <c r="AC2285" s="4"/>
      <c r="AD2285" s="4"/>
    </row>
    <row r="2286" spans="1:30" s="205" customFormat="1" ht="49" customHeight="1">
      <c r="A2286" s="4" t="s">
        <v>6177</v>
      </c>
      <c r="B2286" s="4" t="s">
        <v>6763</v>
      </c>
      <c r="C2286" s="204" t="s">
        <v>2458</v>
      </c>
      <c r="D2286" s="204" t="s">
        <v>143</v>
      </c>
      <c r="E2286" s="4" t="s">
        <v>3855</v>
      </c>
      <c r="F2286" s="4" t="s">
        <v>28</v>
      </c>
      <c r="G2286" s="4" t="s">
        <v>74</v>
      </c>
      <c r="H2286" s="4" t="s">
        <v>524</v>
      </c>
      <c r="I2286" s="4"/>
      <c r="J2286" s="4">
        <v>0</v>
      </c>
      <c r="K2286" s="4">
        <v>0</v>
      </c>
      <c r="L2286" s="4">
        <v>0</v>
      </c>
      <c r="M2286" s="4">
        <v>0</v>
      </c>
      <c r="N2286" s="4">
        <v>0</v>
      </c>
      <c r="O2286" s="4">
        <v>0</v>
      </c>
      <c r="P2286" s="4">
        <v>0</v>
      </c>
      <c r="Q2286" s="4">
        <v>0</v>
      </c>
      <c r="R2286" s="4">
        <v>0</v>
      </c>
      <c r="S2286" s="4">
        <v>0</v>
      </c>
      <c r="T2286" s="4">
        <v>0</v>
      </c>
      <c r="U2286" s="4">
        <v>0</v>
      </c>
      <c r="V2286" s="4">
        <v>0</v>
      </c>
      <c r="W2286" s="4">
        <v>0</v>
      </c>
      <c r="X2286" s="4">
        <v>0</v>
      </c>
      <c r="Y2286" s="4" t="s">
        <v>2276</v>
      </c>
      <c r="Z2286" s="4" t="s">
        <v>2276</v>
      </c>
      <c r="AA2286" s="4" t="s">
        <v>2276</v>
      </c>
      <c r="AB2286" s="4" t="s">
        <v>2276</v>
      </c>
      <c r="AC2286" s="4"/>
      <c r="AD2286" s="4"/>
    </row>
    <row r="2287" spans="1:30" s="205" customFormat="1" ht="49" customHeight="1">
      <c r="A2287" s="4" t="s">
        <v>6177</v>
      </c>
      <c r="B2287" s="4" t="s">
        <v>6764</v>
      </c>
      <c r="C2287" s="4" t="s">
        <v>24</v>
      </c>
      <c r="D2287" s="4" t="s">
        <v>2659</v>
      </c>
      <c r="E2287" s="4" t="s">
        <v>3855</v>
      </c>
      <c r="F2287" s="4" t="s">
        <v>28</v>
      </c>
      <c r="G2287" s="4" t="s">
        <v>28</v>
      </c>
      <c r="H2287" s="4" t="s">
        <v>523</v>
      </c>
      <c r="I2287" s="4"/>
      <c r="J2287" s="4" t="s">
        <v>2276</v>
      </c>
      <c r="K2287" s="4" t="s">
        <v>2276</v>
      </c>
      <c r="L2287" s="4" t="s">
        <v>2276</v>
      </c>
      <c r="M2287" s="4" t="s">
        <v>2276</v>
      </c>
      <c r="N2287" s="4" t="s">
        <v>2276</v>
      </c>
      <c r="O2287" s="4" t="s">
        <v>2276</v>
      </c>
      <c r="P2287" s="4" t="s">
        <v>2276</v>
      </c>
      <c r="Q2287" s="4" t="s">
        <v>2276</v>
      </c>
      <c r="R2287" s="4" t="s">
        <v>2276</v>
      </c>
      <c r="S2287" s="4" t="s">
        <v>2276</v>
      </c>
      <c r="T2287" s="4" t="s">
        <v>2276</v>
      </c>
      <c r="U2287" s="4" t="s">
        <v>2276</v>
      </c>
      <c r="V2287" s="4" t="s">
        <v>2276</v>
      </c>
      <c r="W2287" s="4" t="s">
        <v>2276</v>
      </c>
      <c r="X2287" s="4" t="s">
        <v>2276</v>
      </c>
      <c r="Y2287" s="4" t="s">
        <v>2276</v>
      </c>
      <c r="Z2287" s="4" t="s">
        <v>2276</v>
      </c>
      <c r="AA2287" s="4" t="s">
        <v>2276</v>
      </c>
      <c r="AB2287" s="4" t="s">
        <v>2276</v>
      </c>
      <c r="AC2287" s="4"/>
      <c r="AD2287" s="4"/>
    </row>
    <row r="2288" spans="1:30" s="205" customFormat="1" ht="49" customHeight="1">
      <c r="A2288" s="4" t="s">
        <v>6177</v>
      </c>
      <c r="B2288" s="4" t="s">
        <v>6765</v>
      </c>
      <c r="C2288" s="4" t="s">
        <v>24</v>
      </c>
      <c r="D2288" s="204" t="s">
        <v>143</v>
      </c>
      <c r="E2288" s="4" t="s">
        <v>3855</v>
      </c>
      <c r="F2288" s="4" t="s">
        <v>28</v>
      </c>
      <c r="G2288" s="4" t="s">
        <v>28</v>
      </c>
      <c r="H2288" s="4" t="s">
        <v>524</v>
      </c>
      <c r="I2288" s="4"/>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t="s">
        <v>2276</v>
      </c>
      <c r="Z2288" s="4" t="s">
        <v>2276</v>
      </c>
      <c r="AA2288" s="4" t="s">
        <v>2276</v>
      </c>
      <c r="AB2288" s="4" t="s">
        <v>2276</v>
      </c>
      <c r="AC2288" s="4"/>
      <c r="AD2288" s="4"/>
    </row>
    <row r="2289" spans="1:30" s="205" customFormat="1" ht="49" customHeight="1">
      <c r="A2289" s="4" t="s">
        <v>6177</v>
      </c>
      <c r="B2289" s="4" t="s">
        <v>6766</v>
      </c>
      <c r="C2289" s="204" t="s">
        <v>2458</v>
      </c>
      <c r="D2289" s="204" t="s">
        <v>25</v>
      </c>
      <c r="E2289" s="4" t="s">
        <v>3855</v>
      </c>
      <c r="F2289" s="4" t="s">
        <v>29</v>
      </c>
      <c r="G2289" s="4" t="s">
        <v>28</v>
      </c>
      <c r="H2289" s="4" t="s">
        <v>523</v>
      </c>
      <c r="I2289" s="4"/>
      <c r="J2289" s="4" t="s">
        <v>2276</v>
      </c>
      <c r="K2289" s="4" t="s">
        <v>2276</v>
      </c>
      <c r="L2289" s="4" t="s">
        <v>2276</v>
      </c>
      <c r="M2289" s="4" t="s">
        <v>2276</v>
      </c>
      <c r="N2289" s="4" t="s">
        <v>2276</v>
      </c>
      <c r="O2289" s="4" t="s">
        <v>2276</v>
      </c>
      <c r="P2289" s="4" t="s">
        <v>2276</v>
      </c>
      <c r="Q2289" s="4" t="s">
        <v>2276</v>
      </c>
      <c r="R2289" s="4" t="s">
        <v>2276</v>
      </c>
      <c r="S2289" s="4" t="s">
        <v>2276</v>
      </c>
      <c r="T2289" s="4" t="s">
        <v>2276</v>
      </c>
      <c r="U2289" s="4" t="s">
        <v>2276</v>
      </c>
      <c r="V2289" s="4" t="s">
        <v>2276</v>
      </c>
      <c r="W2289" s="4" t="s">
        <v>2276</v>
      </c>
      <c r="X2289" s="4" t="s">
        <v>2276</v>
      </c>
      <c r="Y2289" s="4" t="s">
        <v>2276</v>
      </c>
      <c r="Z2289" s="4" t="s">
        <v>2276</v>
      </c>
      <c r="AA2289" s="4" t="s">
        <v>2276</v>
      </c>
      <c r="AB2289" s="4" t="s">
        <v>2276</v>
      </c>
      <c r="AC2289" s="4"/>
      <c r="AD2289" s="4"/>
    </row>
    <row r="2290" spans="1:30" s="205" customFormat="1" ht="49" customHeight="1">
      <c r="A2290" s="4" t="s">
        <v>6177</v>
      </c>
      <c r="B2290" s="4" t="s">
        <v>6767</v>
      </c>
      <c r="C2290" s="4" t="s">
        <v>24</v>
      </c>
      <c r="D2290" s="204" t="s">
        <v>25</v>
      </c>
      <c r="E2290" s="4" t="s">
        <v>3855</v>
      </c>
      <c r="F2290" s="4" t="s">
        <v>29</v>
      </c>
      <c r="G2290" s="4" t="s">
        <v>28</v>
      </c>
      <c r="H2290" s="4" t="s">
        <v>523</v>
      </c>
      <c r="I2290" s="4"/>
      <c r="J2290" s="4" t="s">
        <v>2276</v>
      </c>
      <c r="K2290" s="4" t="s">
        <v>2276</v>
      </c>
      <c r="L2290" s="4" t="s">
        <v>2276</v>
      </c>
      <c r="M2290" s="4" t="s">
        <v>2276</v>
      </c>
      <c r="N2290" s="4" t="s">
        <v>2276</v>
      </c>
      <c r="O2290" s="4" t="s">
        <v>2276</v>
      </c>
      <c r="P2290" s="4" t="s">
        <v>2276</v>
      </c>
      <c r="Q2290" s="4" t="s">
        <v>2276</v>
      </c>
      <c r="R2290" s="4" t="s">
        <v>2276</v>
      </c>
      <c r="S2290" s="4" t="s">
        <v>2276</v>
      </c>
      <c r="T2290" s="4" t="s">
        <v>2276</v>
      </c>
      <c r="U2290" s="4" t="s">
        <v>2276</v>
      </c>
      <c r="V2290" s="4" t="s">
        <v>2276</v>
      </c>
      <c r="W2290" s="4" t="s">
        <v>2276</v>
      </c>
      <c r="X2290" s="4" t="s">
        <v>2276</v>
      </c>
      <c r="Y2290" s="4" t="s">
        <v>2276</v>
      </c>
      <c r="Z2290" s="4" t="s">
        <v>2276</v>
      </c>
      <c r="AA2290" s="4" t="s">
        <v>2276</v>
      </c>
      <c r="AB2290" s="4" t="s">
        <v>2276</v>
      </c>
      <c r="AC2290" s="4"/>
      <c r="AD2290" s="4"/>
    </row>
    <row r="2291" spans="1:30" s="205" customFormat="1" ht="49" customHeight="1">
      <c r="A2291" s="4" t="s">
        <v>6177</v>
      </c>
      <c r="B2291" s="4" t="s">
        <v>6768</v>
      </c>
      <c r="C2291" s="4" t="s">
        <v>24</v>
      </c>
      <c r="D2291" s="4" t="s">
        <v>2346</v>
      </c>
      <c r="E2291" s="4" t="s">
        <v>3855</v>
      </c>
      <c r="F2291" s="4" t="s">
        <v>2276</v>
      </c>
      <c r="G2291" s="4" t="s">
        <v>2276</v>
      </c>
      <c r="H2291" s="4" t="s">
        <v>523</v>
      </c>
      <c r="I2291" s="4"/>
      <c r="J2291" s="4" t="s">
        <v>2276</v>
      </c>
      <c r="K2291" s="4" t="s">
        <v>2276</v>
      </c>
      <c r="L2291" s="4" t="s">
        <v>2276</v>
      </c>
      <c r="M2291" s="4" t="s">
        <v>2276</v>
      </c>
      <c r="N2291" s="4" t="s">
        <v>2276</v>
      </c>
      <c r="O2291" s="4" t="s">
        <v>2276</v>
      </c>
      <c r="P2291" s="4" t="s">
        <v>2276</v>
      </c>
      <c r="Q2291" s="4" t="s">
        <v>2276</v>
      </c>
      <c r="R2291" s="4" t="s">
        <v>2276</v>
      </c>
      <c r="S2291" s="4" t="s">
        <v>2276</v>
      </c>
      <c r="T2291" s="4" t="s">
        <v>2276</v>
      </c>
      <c r="U2291" s="4" t="s">
        <v>2276</v>
      </c>
      <c r="V2291" s="4" t="s">
        <v>2276</v>
      </c>
      <c r="W2291" s="4" t="s">
        <v>2276</v>
      </c>
      <c r="X2291" s="4" t="s">
        <v>2276</v>
      </c>
      <c r="Y2291" s="4" t="s">
        <v>2276</v>
      </c>
      <c r="Z2291" s="4" t="s">
        <v>2276</v>
      </c>
      <c r="AA2291" s="4" t="s">
        <v>2276</v>
      </c>
      <c r="AB2291" s="4" t="s">
        <v>2276</v>
      </c>
      <c r="AC2291" s="4"/>
      <c r="AD2291" s="4"/>
    </row>
    <row r="2292" spans="1:30" s="205" customFormat="1" ht="49" customHeight="1">
      <c r="A2292" s="4" t="s">
        <v>6178</v>
      </c>
      <c r="B2292" s="4" t="s">
        <v>6238</v>
      </c>
      <c r="C2292" s="204" t="s">
        <v>2458</v>
      </c>
      <c r="D2292" s="4" t="s">
        <v>2659</v>
      </c>
      <c r="E2292" s="4" t="s">
        <v>3855</v>
      </c>
      <c r="F2292" s="4" t="s">
        <v>28</v>
      </c>
      <c r="G2292" s="4" t="s">
        <v>74</v>
      </c>
      <c r="H2292" s="4" t="s">
        <v>523</v>
      </c>
      <c r="I2292" s="4"/>
      <c r="J2292" s="4" t="s">
        <v>2276</v>
      </c>
      <c r="K2292" s="4" t="s">
        <v>2276</v>
      </c>
      <c r="L2292" s="4" t="s">
        <v>2276</v>
      </c>
      <c r="M2292" s="4" t="s">
        <v>2276</v>
      </c>
      <c r="N2292" s="4" t="s">
        <v>2276</v>
      </c>
      <c r="O2292" s="4" t="s">
        <v>2276</v>
      </c>
      <c r="P2292" s="4" t="s">
        <v>2276</v>
      </c>
      <c r="Q2292" s="4" t="s">
        <v>2276</v>
      </c>
      <c r="R2292" s="4" t="s">
        <v>2276</v>
      </c>
      <c r="S2292" s="4" t="s">
        <v>2276</v>
      </c>
      <c r="T2292" s="4" t="s">
        <v>2276</v>
      </c>
      <c r="U2292" s="4" t="s">
        <v>2276</v>
      </c>
      <c r="V2292" s="4" t="s">
        <v>2276</v>
      </c>
      <c r="W2292" s="4" t="s">
        <v>2276</v>
      </c>
      <c r="X2292" s="4" t="s">
        <v>2276</v>
      </c>
      <c r="Y2292" s="4" t="s">
        <v>2276</v>
      </c>
      <c r="Z2292" s="4" t="s">
        <v>2276</v>
      </c>
      <c r="AA2292" s="4" t="s">
        <v>2276</v>
      </c>
      <c r="AB2292" s="4" t="s">
        <v>2276</v>
      </c>
      <c r="AC2292" s="4"/>
      <c r="AD2292" s="4"/>
    </row>
    <row r="2293" spans="1:30" s="205" customFormat="1" ht="49" customHeight="1">
      <c r="A2293" s="4" t="s">
        <v>6178</v>
      </c>
      <c r="B2293" s="4" t="s">
        <v>6769</v>
      </c>
      <c r="C2293" s="204" t="s">
        <v>2458</v>
      </c>
      <c r="D2293" s="204" t="s">
        <v>143</v>
      </c>
      <c r="E2293" s="4" t="s">
        <v>3855</v>
      </c>
      <c r="F2293" s="4" t="s">
        <v>28</v>
      </c>
      <c r="G2293" s="4" t="s">
        <v>74</v>
      </c>
      <c r="H2293" s="4" t="s">
        <v>524</v>
      </c>
      <c r="I2293" s="4"/>
      <c r="J2293" s="4">
        <v>0</v>
      </c>
      <c r="K2293" s="4">
        <v>0</v>
      </c>
      <c r="L2293" s="4">
        <v>0</v>
      </c>
      <c r="M2293" s="4">
        <v>0</v>
      </c>
      <c r="N2293" s="4">
        <v>0</v>
      </c>
      <c r="O2293" s="4">
        <v>0</v>
      </c>
      <c r="P2293" s="4">
        <v>0</v>
      </c>
      <c r="Q2293" s="4">
        <v>0</v>
      </c>
      <c r="R2293" s="4">
        <v>0</v>
      </c>
      <c r="S2293" s="4">
        <v>0</v>
      </c>
      <c r="T2293" s="4">
        <v>0</v>
      </c>
      <c r="U2293" s="4">
        <v>0</v>
      </c>
      <c r="V2293" s="4">
        <v>0</v>
      </c>
      <c r="W2293" s="4">
        <v>0</v>
      </c>
      <c r="X2293" s="4">
        <v>0</v>
      </c>
      <c r="Y2293" s="4" t="s">
        <v>2276</v>
      </c>
      <c r="Z2293" s="4" t="s">
        <v>2276</v>
      </c>
      <c r="AA2293" s="4" t="s">
        <v>2276</v>
      </c>
      <c r="AB2293" s="4" t="s">
        <v>2276</v>
      </c>
      <c r="AC2293" s="4"/>
      <c r="AD2293" s="4"/>
    </row>
    <row r="2294" spans="1:30" s="205" customFormat="1" ht="49" customHeight="1">
      <c r="A2294" s="4" t="s">
        <v>6178</v>
      </c>
      <c r="B2294" s="4" t="s">
        <v>6770</v>
      </c>
      <c r="C2294" s="4" t="s">
        <v>24</v>
      </c>
      <c r="D2294" s="4" t="s">
        <v>2659</v>
      </c>
      <c r="E2294" s="4" t="s">
        <v>3855</v>
      </c>
      <c r="F2294" s="4" t="s">
        <v>28</v>
      </c>
      <c r="G2294" s="4" t="s">
        <v>28</v>
      </c>
      <c r="H2294" s="4" t="s">
        <v>523</v>
      </c>
      <c r="I2294" s="4"/>
      <c r="J2294" s="4" t="s">
        <v>2276</v>
      </c>
      <c r="K2294" s="4" t="s">
        <v>2276</v>
      </c>
      <c r="L2294" s="4" t="s">
        <v>2276</v>
      </c>
      <c r="M2294" s="4" t="s">
        <v>2276</v>
      </c>
      <c r="N2294" s="4" t="s">
        <v>2276</v>
      </c>
      <c r="O2294" s="4" t="s">
        <v>2276</v>
      </c>
      <c r="P2294" s="4" t="s">
        <v>2276</v>
      </c>
      <c r="Q2294" s="4" t="s">
        <v>2276</v>
      </c>
      <c r="R2294" s="4" t="s">
        <v>2276</v>
      </c>
      <c r="S2294" s="4" t="s">
        <v>2276</v>
      </c>
      <c r="T2294" s="4" t="s">
        <v>2276</v>
      </c>
      <c r="U2294" s="4" t="s">
        <v>2276</v>
      </c>
      <c r="V2294" s="4" t="s">
        <v>2276</v>
      </c>
      <c r="W2294" s="4" t="s">
        <v>2276</v>
      </c>
      <c r="X2294" s="4" t="s">
        <v>2276</v>
      </c>
      <c r="Y2294" s="4" t="s">
        <v>2276</v>
      </c>
      <c r="Z2294" s="4" t="s">
        <v>2276</v>
      </c>
      <c r="AA2294" s="4" t="s">
        <v>2276</v>
      </c>
      <c r="AB2294" s="4" t="s">
        <v>2276</v>
      </c>
      <c r="AC2294" s="4"/>
      <c r="AD2294" s="4"/>
    </row>
    <row r="2295" spans="1:30" s="205" customFormat="1" ht="49" customHeight="1">
      <c r="A2295" s="4" t="s">
        <v>6178</v>
      </c>
      <c r="B2295" s="4" t="s">
        <v>6771</v>
      </c>
      <c r="C2295" s="4" t="s">
        <v>24</v>
      </c>
      <c r="D2295" s="204" t="s">
        <v>143</v>
      </c>
      <c r="E2295" s="4" t="s">
        <v>3855</v>
      </c>
      <c r="F2295" s="4" t="s">
        <v>28</v>
      </c>
      <c r="G2295" s="4" t="s">
        <v>28</v>
      </c>
      <c r="H2295" s="4" t="s">
        <v>524</v>
      </c>
      <c r="I2295" s="4"/>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t="s">
        <v>2276</v>
      </c>
      <c r="Z2295" s="4" t="s">
        <v>2276</v>
      </c>
      <c r="AA2295" s="4" t="s">
        <v>2276</v>
      </c>
      <c r="AB2295" s="4" t="s">
        <v>2276</v>
      </c>
      <c r="AC2295" s="4"/>
      <c r="AD2295" s="4"/>
    </row>
    <row r="2296" spans="1:30" s="205" customFormat="1" ht="49" customHeight="1">
      <c r="A2296" s="4" t="s">
        <v>6178</v>
      </c>
      <c r="B2296" s="4" t="s">
        <v>6772</v>
      </c>
      <c r="C2296" s="204" t="s">
        <v>2458</v>
      </c>
      <c r="D2296" s="204" t="s">
        <v>25</v>
      </c>
      <c r="E2296" s="4" t="s">
        <v>3855</v>
      </c>
      <c r="F2296" s="4" t="s">
        <v>29</v>
      </c>
      <c r="G2296" s="4" t="s">
        <v>28</v>
      </c>
      <c r="H2296" s="4" t="s">
        <v>523</v>
      </c>
      <c r="I2296" s="4"/>
      <c r="J2296" s="4" t="s">
        <v>2276</v>
      </c>
      <c r="K2296" s="4" t="s">
        <v>2276</v>
      </c>
      <c r="L2296" s="4" t="s">
        <v>2276</v>
      </c>
      <c r="M2296" s="4" t="s">
        <v>2276</v>
      </c>
      <c r="N2296" s="4" t="s">
        <v>2276</v>
      </c>
      <c r="O2296" s="4" t="s">
        <v>2276</v>
      </c>
      <c r="P2296" s="4" t="s">
        <v>2276</v>
      </c>
      <c r="Q2296" s="4" t="s">
        <v>2276</v>
      </c>
      <c r="R2296" s="4" t="s">
        <v>2276</v>
      </c>
      <c r="S2296" s="4" t="s">
        <v>2276</v>
      </c>
      <c r="T2296" s="4" t="s">
        <v>2276</v>
      </c>
      <c r="U2296" s="4" t="s">
        <v>2276</v>
      </c>
      <c r="V2296" s="4" t="s">
        <v>2276</v>
      </c>
      <c r="W2296" s="4" t="s">
        <v>2276</v>
      </c>
      <c r="X2296" s="4" t="s">
        <v>2276</v>
      </c>
      <c r="Y2296" s="4" t="s">
        <v>2276</v>
      </c>
      <c r="Z2296" s="4" t="s">
        <v>2276</v>
      </c>
      <c r="AA2296" s="4" t="s">
        <v>2276</v>
      </c>
      <c r="AB2296" s="4" t="s">
        <v>2276</v>
      </c>
      <c r="AC2296" s="4"/>
      <c r="AD2296" s="4"/>
    </row>
    <row r="2297" spans="1:30" s="205" customFormat="1" ht="49" customHeight="1">
      <c r="A2297" s="4" t="s">
        <v>6178</v>
      </c>
      <c r="B2297" s="4" t="s">
        <v>6773</v>
      </c>
      <c r="C2297" s="4" t="s">
        <v>24</v>
      </c>
      <c r="D2297" s="204" t="s">
        <v>25</v>
      </c>
      <c r="E2297" s="4" t="s">
        <v>3855</v>
      </c>
      <c r="F2297" s="4" t="s">
        <v>29</v>
      </c>
      <c r="G2297" s="4" t="s">
        <v>28</v>
      </c>
      <c r="H2297" s="4" t="s">
        <v>523</v>
      </c>
      <c r="I2297" s="4"/>
      <c r="J2297" s="4" t="s">
        <v>2276</v>
      </c>
      <c r="K2297" s="4" t="s">
        <v>2276</v>
      </c>
      <c r="L2297" s="4" t="s">
        <v>2276</v>
      </c>
      <c r="M2297" s="4" t="s">
        <v>2276</v>
      </c>
      <c r="N2297" s="4" t="s">
        <v>2276</v>
      </c>
      <c r="O2297" s="4" t="s">
        <v>2276</v>
      </c>
      <c r="P2297" s="4" t="s">
        <v>2276</v>
      </c>
      <c r="Q2297" s="4" t="s">
        <v>2276</v>
      </c>
      <c r="R2297" s="4" t="s">
        <v>2276</v>
      </c>
      <c r="S2297" s="4" t="s">
        <v>2276</v>
      </c>
      <c r="T2297" s="4" t="s">
        <v>2276</v>
      </c>
      <c r="U2297" s="4" t="s">
        <v>2276</v>
      </c>
      <c r="V2297" s="4" t="s">
        <v>2276</v>
      </c>
      <c r="W2297" s="4" t="s">
        <v>2276</v>
      </c>
      <c r="X2297" s="4" t="s">
        <v>2276</v>
      </c>
      <c r="Y2297" s="4" t="s">
        <v>2276</v>
      </c>
      <c r="Z2297" s="4" t="s">
        <v>2276</v>
      </c>
      <c r="AA2297" s="4" t="s">
        <v>2276</v>
      </c>
      <c r="AB2297" s="4" t="s">
        <v>2276</v>
      </c>
      <c r="AC2297" s="4"/>
      <c r="AD2297" s="4"/>
    </row>
    <row r="2298" spans="1:30" s="205" customFormat="1" ht="51" customHeight="1">
      <c r="A2298" s="4" t="s">
        <v>6178</v>
      </c>
      <c r="B2298" s="4" t="s">
        <v>6774</v>
      </c>
      <c r="C2298" s="4" t="s">
        <v>24</v>
      </c>
      <c r="D2298" s="4" t="s">
        <v>2346</v>
      </c>
      <c r="E2298" s="4" t="s">
        <v>3855</v>
      </c>
      <c r="F2298" s="4" t="s">
        <v>2276</v>
      </c>
      <c r="G2298" s="4" t="s">
        <v>2276</v>
      </c>
      <c r="H2298" s="4" t="s">
        <v>523</v>
      </c>
      <c r="I2298" s="4"/>
      <c r="J2298" s="4" t="s">
        <v>2276</v>
      </c>
      <c r="K2298" s="4" t="s">
        <v>2276</v>
      </c>
      <c r="L2298" s="4" t="s">
        <v>2276</v>
      </c>
      <c r="M2298" s="4" t="s">
        <v>2276</v>
      </c>
      <c r="N2298" s="4" t="s">
        <v>2276</v>
      </c>
      <c r="O2298" s="4" t="s">
        <v>2276</v>
      </c>
      <c r="P2298" s="4" t="s">
        <v>2276</v>
      </c>
      <c r="Q2298" s="4" t="s">
        <v>2276</v>
      </c>
      <c r="R2298" s="4" t="s">
        <v>2276</v>
      </c>
      <c r="S2298" s="4" t="s">
        <v>2276</v>
      </c>
      <c r="T2298" s="4" t="s">
        <v>2276</v>
      </c>
      <c r="U2298" s="4" t="s">
        <v>2276</v>
      </c>
      <c r="V2298" s="4" t="s">
        <v>2276</v>
      </c>
      <c r="W2298" s="4" t="s">
        <v>2276</v>
      </c>
      <c r="X2298" s="4" t="s">
        <v>2276</v>
      </c>
      <c r="Y2298" s="4" t="s">
        <v>2276</v>
      </c>
      <c r="Z2298" s="4" t="s">
        <v>2276</v>
      </c>
      <c r="AA2298" s="4" t="s">
        <v>2276</v>
      </c>
      <c r="AB2298" s="4" t="s">
        <v>2276</v>
      </c>
      <c r="AC2298" s="4"/>
      <c r="AD2298" s="4"/>
    </row>
    <row r="2299" spans="1:30" s="205" customFormat="1" ht="46.5" customHeight="1">
      <c r="A2299" s="4" t="s">
        <v>6179</v>
      </c>
      <c r="B2299" s="4" t="s">
        <v>6239</v>
      </c>
      <c r="C2299" s="204" t="s">
        <v>2458</v>
      </c>
      <c r="D2299" s="4" t="s">
        <v>2659</v>
      </c>
      <c r="E2299" s="4" t="s">
        <v>3855</v>
      </c>
      <c r="F2299" s="4" t="s">
        <v>28</v>
      </c>
      <c r="G2299" s="4" t="s">
        <v>74</v>
      </c>
      <c r="H2299" s="4" t="s">
        <v>523</v>
      </c>
      <c r="I2299" s="4"/>
      <c r="J2299" s="4" t="s">
        <v>2276</v>
      </c>
      <c r="K2299" s="4" t="s">
        <v>2276</v>
      </c>
      <c r="L2299" s="4" t="s">
        <v>2276</v>
      </c>
      <c r="M2299" s="4" t="s">
        <v>2276</v>
      </c>
      <c r="N2299" s="4" t="s">
        <v>2276</v>
      </c>
      <c r="O2299" s="4" t="s">
        <v>2276</v>
      </c>
      <c r="P2299" s="4" t="s">
        <v>2276</v>
      </c>
      <c r="Q2299" s="4" t="s">
        <v>2276</v>
      </c>
      <c r="R2299" s="4" t="s">
        <v>2276</v>
      </c>
      <c r="S2299" s="4" t="s">
        <v>2276</v>
      </c>
      <c r="T2299" s="4" t="s">
        <v>2276</v>
      </c>
      <c r="U2299" s="4" t="s">
        <v>2276</v>
      </c>
      <c r="V2299" s="4" t="s">
        <v>2276</v>
      </c>
      <c r="W2299" s="4" t="s">
        <v>2276</v>
      </c>
      <c r="X2299" s="4" t="s">
        <v>2276</v>
      </c>
      <c r="Y2299" s="4" t="s">
        <v>2276</v>
      </c>
      <c r="Z2299" s="4" t="s">
        <v>2276</v>
      </c>
      <c r="AA2299" s="4" t="s">
        <v>2276</v>
      </c>
      <c r="AB2299" s="4" t="s">
        <v>2276</v>
      </c>
      <c r="AC2299" s="4"/>
      <c r="AD2299" s="4"/>
    </row>
    <row r="2300" spans="1:30" s="205" customFormat="1" ht="46.5" customHeight="1">
      <c r="A2300" s="4" t="s">
        <v>6179</v>
      </c>
      <c r="B2300" s="4" t="s">
        <v>6775</v>
      </c>
      <c r="C2300" s="204" t="s">
        <v>2458</v>
      </c>
      <c r="D2300" s="204" t="s">
        <v>143</v>
      </c>
      <c r="E2300" s="4" t="s">
        <v>3855</v>
      </c>
      <c r="F2300" s="4" t="s">
        <v>28</v>
      </c>
      <c r="G2300" s="4" t="s">
        <v>74</v>
      </c>
      <c r="H2300" s="4" t="s">
        <v>524</v>
      </c>
      <c r="I2300" s="4"/>
      <c r="J2300" s="4">
        <v>0</v>
      </c>
      <c r="K2300" s="4">
        <v>0</v>
      </c>
      <c r="L2300" s="4">
        <v>0</v>
      </c>
      <c r="M2300" s="4">
        <v>0</v>
      </c>
      <c r="N2300" s="4">
        <v>0</v>
      </c>
      <c r="O2300" s="4">
        <v>0</v>
      </c>
      <c r="P2300" s="4">
        <v>0</v>
      </c>
      <c r="Q2300" s="4">
        <v>0</v>
      </c>
      <c r="R2300" s="4">
        <v>0</v>
      </c>
      <c r="S2300" s="4">
        <v>0</v>
      </c>
      <c r="T2300" s="4">
        <v>0</v>
      </c>
      <c r="U2300" s="4">
        <v>0</v>
      </c>
      <c r="V2300" s="4">
        <v>0</v>
      </c>
      <c r="W2300" s="4">
        <v>0</v>
      </c>
      <c r="X2300" s="4">
        <v>0</v>
      </c>
      <c r="Y2300" s="4" t="s">
        <v>2276</v>
      </c>
      <c r="Z2300" s="4" t="s">
        <v>2276</v>
      </c>
      <c r="AA2300" s="4" t="s">
        <v>2276</v>
      </c>
      <c r="AB2300" s="4" t="s">
        <v>2276</v>
      </c>
      <c r="AC2300" s="4"/>
      <c r="AD2300" s="4"/>
    </row>
    <row r="2301" spans="1:30" s="205" customFormat="1" ht="46.5" customHeight="1">
      <c r="A2301" s="4" t="s">
        <v>6179</v>
      </c>
      <c r="B2301" s="4" t="s">
        <v>6776</v>
      </c>
      <c r="C2301" s="4" t="s">
        <v>24</v>
      </c>
      <c r="D2301" s="4" t="s">
        <v>2659</v>
      </c>
      <c r="E2301" s="4" t="s">
        <v>3855</v>
      </c>
      <c r="F2301" s="4" t="s">
        <v>28</v>
      </c>
      <c r="G2301" s="4" t="s">
        <v>28</v>
      </c>
      <c r="H2301" s="4" t="s">
        <v>523</v>
      </c>
      <c r="I2301" s="4"/>
      <c r="J2301" s="4" t="s">
        <v>2276</v>
      </c>
      <c r="K2301" s="4" t="s">
        <v>2276</v>
      </c>
      <c r="L2301" s="4" t="s">
        <v>2276</v>
      </c>
      <c r="M2301" s="4" t="s">
        <v>2276</v>
      </c>
      <c r="N2301" s="4" t="s">
        <v>2276</v>
      </c>
      <c r="O2301" s="4" t="s">
        <v>2276</v>
      </c>
      <c r="P2301" s="4" t="s">
        <v>2276</v>
      </c>
      <c r="Q2301" s="4" t="s">
        <v>2276</v>
      </c>
      <c r="R2301" s="4" t="s">
        <v>2276</v>
      </c>
      <c r="S2301" s="4" t="s">
        <v>2276</v>
      </c>
      <c r="T2301" s="4" t="s">
        <v>2276</v>
      </c>
      <c r="U2301" s="4" t="s">
        <v>2276</v>
      </c>
      <c r="V2301" s="4" t="s">
        <v>2276</v>
      </c>
      <c r="W2301" s="4" t="s">
        <v>2276</v>
      </c>
      <c r="X2301" s="4" t="s">
        <v>2276</v>
      </c>
      <c r="Y2301" s="4" t="s">
        <v>2276</v>
      </c>
      <c r="Z2301" s="4" t="s">
        <v>2276</v>
      </c>
      <c r="AA2301" s="4" t="s">
        <v>2276</v>
      </c>
      <c r="AB2301" s="4" t="s">
        <v>2276</v>
      </c>
      <c r="AC2301" s="4"/>
      <c r="AD2301" s="4"/>
    </row>
    <row r="2302" spans="1:30" s="205" customFormat="1" ht="46.5" customHeight="1">
      <c r="A2302" s="4" t="s">
        <v>6179</v>
      </c>
      <c r="B2302" s="4" t="s">
        <v>6777</v>
      </c>
      <c r="C2302" s="4" t="s">
        <v>24</v>
      </c>
      <c r="D2302" s="204" t="s">
        <v>143</v>
      </c>
      <c r="E2302" s="4" t="s">
        <v>3855</v>
      </c>
      <c r="F2302" s="4" t="s">
        <v>28</v>
      </c>
      <c r="G2302" s="4" t="s">
        <v>28</v>
      </c>
      <c r="H2302" s="4" t="s">
        <v>524</v>
      </c>
      <c r="I2302" s="4"/>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t="s">
        <v>2276</v>
      </c>
      <c r="Z2302" s="4" t="s">
        <v>2276</v>
      </c>
      <c r="AA2302" s="4" t="s">
        <v>2276</v>
      </c>
      <c r="AB2302" s="4" t="s">
        <v>2276</v>
      </c>
      <c r="AC2302" s="4"/>
      <c r="AD2302" s="4"/>
    </row>
    <row r="2303" spans="1:30" s="205" customFormat="1" ht="46.5" customHeight="1">
      <c r="A2303" s="4" t="s">
        <v>6179</v>
      </c>
      <c r="B2303" s="4" t="s">
        <v>6778</v>
      </c>
      <c r="C2303" s="204" t="s">
        <v>2458</v>
      </c>
      <c r="D2303" s="204" t="s">
        <v>25</v>
      </c>
      <c r="E2303" s="4" t="s">
        <v>3855</v>
      </c>
      <c r="F2303" s="4" t="s">
        <v>29</v>
      </c>
      <c r="G2303" s="4" t="s">
        <v>28</v>
      </c>
      <c r="H2303" s="4" t="s">
        <v>523</v>
      </c>
      <c r="I2303" s="4"/>
      <c r="J2303" s="4" t="s">
        <v>2276</v>
      </c>
      <c r="K2303" s="4" t="s">
        <v>2276</v>
      </c>
      <c r="L2303" s="4" t="s">
        <v>2276</v>
      </c>
      <c r="M2303" s="4" t="s">
        <v>2276</v>
      </c>
      <c r="N2303" s="4" t="s">
        <v>2276</v>
      </c>
      <c r="O2303" s="4" t="s">
        <v>2276</v>
      </c>
      <c r="P2303" s="4" t="s">
        <v>2276</v>
      </c>
      <c r="Q2303" s="4" t="s">
        <v>2276</v>
      </c>
      <c r="R2303" s="4" t="s">
        <v>2276</v>
      </c>
      <c r="S2303" s="4" t="s">
        <v>2276</v>
      </c>
      <c r="T2303" s="4" t="s">
        <v>2276</v>
      </c>
      <c r="U2303" s="4" t="s">
        <v>2276</v>
      </c>
      <c r="V2303" s="4" t="s">
        <v>2276</v>
      </c>
      <c r="W2303" s="4" t="s">
        <v>2276</v>
      </c>
      <c r="X2303" s="4" t="s">
        <v>2276</v>
      </c>
      <c r="Y2303" s="4" t="s">
        <v>2276</v>
      </c>
      <c r="Z2303" s="4" t="s">
        <v>2276</v>
      </c>
      <c r="AA2303" s="4" t="s">
        <v>2276</v>
      </c>
      <c r="AB2303" s="4" t="s">
        <v>2276</v>
      </c>
      <c r="AC2303" s="4"/>
      <c r="AD2303" s="4"/>
    </row>
    <row r="2304" spans="1:30" s="205" customFormat="1" ht="46.5" customHeight="1">
      <c r="A2304" s="4" t="s">
        <v>6179</v>
      </c>
      <c r="B2304" s="4" t="s">
        <v>6779</v>
      </c>
      <c r="C2304" s="4" t="s">
        <v>24</v>
      </c>
      <c r="D2304" s="204" t="s">
        <v>25</v>
      </c>
      <c r="E2304" s="4" t="s">
        <v>3855</v>
      </c>
      <c r="F2304" s="4" t="s">
        <v>29</v>
      </c>
      <c r="G2304" s="4" t="s">
        <v>28</v>
      </c>
      <c r="H2304" s="4" t="s">
        <v>523</v>
      </c>
      <c r="I2304" s="4"/>
      <c r="J2304" s="4" t="s">
        <v>2276</v>
      </c>
      <c r="K2304" s="4" t="s">
        <v>2276</v>
      </c>
      <c r="L2304" s="4" t="s">
        <v>2276</v>
      </c>
      <c r="M2304" s="4" t="s">
        <v>2276</v>
      </c>
      <c r="N2304" s="4" t="s">
        <v>2276</v>
      </c>
      <c r="O2304" s="4" t="s">
        <v>2276</v>
      </c>
      <c r="P2304" s="4" t="s">
        <v>2276</v>
      </c>
      <c r="Q2304" s="4" t="s">
        <v>2276</v>
      </c>
      <c r="R2304" s="4" t="s">
        <v>2276</v>
      </c>
      <c r="S2304" s="4" t="s">
        <v>2276</v>
      </c>
      <c r="T2304" s="4" t="s">
        <v>2276</v>
      </c>
      <c r="U2304" s="4" t="s">
        <v>2276</v>
      </c>
      <c r="V2304" s="4" t="s">
        <v>2276</v>
      </c>
      <c r="W2304" s="4" t="s">
        <v>2276</v>
      </c>
      <c r="X2304" s="4" t="s">
        <v>2276</v>
      </c>
      <c r="Y2304" s="4" t="s">
        <v>2276</v>
      </c>
      <c r="Z2304" s="4" t="s">
        <v>2276</v>
      </c>
      <c r="AA2304" s="4" t="s">
        <v>2276</v>
      </c>
      <c r="AB2304" s="4" t="s">
        <v>2276</v>
      </c>
      <c r="AC2304" s="4"/>
      <c r="AD2304" s="4"/>
    </row>
    <row r="2305" spans="1:30" s="205" customFormat="1" ht="46.5" customHeight="1">
      <c r="A2305" s="4" t="s">
        <v>6179</v>
      </c>
      <c r="B2305" s="4" t="s">
        <v>6780</v>
      </c>
      <c r="C2305" s="4" t="s">
        <v>24</v>
      </c>
      <c r="D2305" s="4" t="s">
        <v>2346</v>
      </c>
      <c r="E2305" s="4" t="s">
        <v>3855</v>
      </c>
      <c r="F2305" s="4" t="s">
        <v>2276</v>
      </c>
      <c r="G2305" s="4" t="s">
        <v>2276</v>
      </c>
      <c r="H2305" s="4" t="s">
        <v>523</v>
      </c>
      <c r="I2305" s="4"/>
      <c r="J2305" s="4" t="s">
        <v>2276</v>
      </c>
      <c r="K2305" s="4" t="s">
        <v>2276</v>
      </c>
      <c r="L2305" s="4" t="s">
        <v>2276</v>
      </c>
      <c r="M2305" s="4" t="s">
        <v>2276</v>
      </c>
      <c r="N2305" s="4" t="s">
        <v>2276</v>
      </c>
      <c r="O2305" s="4" t="s">
        <v>2276</v>
      </c>
      <c r="P2305" s="4" t="s">
        <v>2276</v>
      </c>
      <c r="Q2305" s="4" t="s">
        <v>2276</v>
      </c>
      <c r="R2305" s="4" t="s">
        <v>2276</v>
      </c>
      <c r="S2305" s="4" t="s">
        <v>2276</v>
      </c>
      <c r="T2305" s="4" t="s">
        <v>2276</v>
      </c>
      <c r="U2305" s="4" t="s">
        <v>2276</v>
      </c>
      <c r="V2305" s="4" t="s">
        <v>2276</v>
      </c>
      <c r="W2305" s="4" t="s">
        <v>2276</v>
      </c>
      <c r="X2305" s="4" t="s">
        <v>2276</v>
      </c>
      <c r="Y2305" s="4" t="s">
        <v>2276</v>
      </c>
      <c r="Z2305" s="4" t="s">
        <v>2276</v>
      </c>
      <c r="AA2305" s="4" t="s">
        <v>2276</v>
      </c>
      <c r="AB2305" s="4" t="s">
        <v>2276</v>
      </c>
      <c r="AC2305" s="4"/>
      <c r="AD2305" s="4"/>
    </row>
    <row r="2306" spans="1:30" s="205" customFormat="1" ht="46.5" customHeight="1">
      <c r="A2306" s="4" t="s">
        <v>6180</v>
      </c>
      <c r="B2306" s="4" t="s">
        <v>6240</v>
      </c>
      <c r="C2306" s="4" t="s">
        <v>24</v>
      </c>
      <c r="D2306" s="204" t="s">
        <v>25</v>
      </c>
      <c r="E2306" s="4" t="s">
        <v>397</v>
      </c>
      <c r="F2306" s="4" t="s">
        <v>55</v>
      </c>
      <c r="G2306" s="4" t="s">
        <v>55</v>
      </c>
      <c r="H2306" s="4" t="s">
        <v>523</v>
      </c>
      <c r="I2306" s="4"/>
      <c r="J2306" s="4" t="s">
        <v>2276</v>
      </c>
      <c r="K2306" s="4" t="s">
        <v>2276</v>
      </c>
      <c r="L2306" s="4" t="s">
        <v>2276</v>
      </c>
      <c r="M2306" s="4" t="s">
        <v>2276</v>
      </c>
      <c r="N2306" s="4" t="s">
        <v>2276</v>
      </c>
      <c r="O2306" s="4" t="s">
        <v>2276</v>
      </c>
      <c r="P2306" s="4" t="s">
        <v>2276</v>
      </c>
      <c r="Q2306" s="4" t="s">
        <v>2276</v>
      </c>
      <c r="R2306" s="4" t="s">
        <v>2276</v>
      </c>
      <c r="S2306" s="4" t="s">
        <v>2276</v>
      </c>
      <c r="T2306" s="4" t="s">
        <v>2276</v>
      </c>
      <c r="U2306" s="4" t="s">
        <v>2276</v>
      </c>
      <c r="V2306" s="4" t="s">
        <v>2276</v>
      </c>
      <c r="W2306" s="4" t="s">
        <v>2276</v>
      </c>
      <c r="X2306" s="4" t="s">
        <v>2276</v>
      </c>
      <c r="Y2306" s="4" t="s">
        <v>2276</v>
      </c>
      <c r="Z2306" s="4" t="s">
        <v>2276</v>
      </c>
      <c r="AA2306" s="4" t="s">
        <v>2276</v>
      </c>
      <c r="AB2306" s="4" t="s">
        <v>2276</v>
      </c>
      <c r="AC2306" s="4"/>
      <c r="AD2306" s="4"/>
    </row>
    <row r="2307" spans="1:30" s="205" customFormat="1" ht="46.5" customHeight="1">
      <c r="A2307" s="4" t="s">
        <v>6180</v>
      </c>
      <c r="B2307" s="4" t="s">
        <v>6263</v>
      </c>
      <c r="C2307" s="4" t="s">
        <v>24</v>
      </c>
      <c r="D2307" s="204" t="s">
        <v>25</v>
      </c>
      <c r="E2307" s="4" t="s">
        <v>5006</v>
      </c>
      <c r="F2307" s="4" t="s">
        <v>55</v>
      </c>
      <c r="G2307" s="4" t="s">
        <v>55</v>
      </c>
      <c r="H2307" s="4" t="s">
        <v>523</v>
      </c>
      <c r="I2307" s="4"/>
      <c r="J2307" s="4" t="s">
        <v>2276</v>
      </c>
      <c r="K2307" s="4" t="s">
        <v>2276</v>
      </c>
      <c r="L2307" s="4" t="s">
        <v>2276</v>
      </c>
      <c r="M2307" s="4" t="s">
        <v>2276</v>
      </c>
      <c r="N2307" s="4" t="s">
        <v>2276</v>
      </c>
      <c r="O2307" s="4" t="s">
        <v>2276</v>
      </c>
      <c r="P2307" s="4" t="s">
        <v>2276</v>
      </c>
      <c r="Q2307" s="4" t="s">
        <v>2276</v>
      </c>
      <c r="R2307" s="4" t="s">
        <v>2276</v>
      </c>
      <c r="S2307" s="4" t="s">
        <v>2276</v>
      </c>
      <c r="T2307" s="4" t="s">
        <v>2276</v>
      </c>
      <c r="U2307" s="4" t="s">
        <v>2276</v>
      </c>
      <c r="V2307" s="4" t="s">
        <v>2276</v>
      </c>
      <c r="W2307" s="4" t="s">
        <v>2276</v>
      </c>
      <c r="X2307" s="4" t="s">
        <v>2276</v>
      </c>
      <c r="Y2307" s="4" t="s">
        <v>2276</v>
      </c>
      <c r="Z2307" s="4" t="s">
        <v>2276</v>
      </c>
      <c r="AA2307" s="4" t="s">
        <v>2276</v>
      </c>
      <c r="AB2307" s="4" t="s">
        <v>2276</v>
      </c>
      <c r="AC2307" s="4"/>
      <c r="AD2307" s="4"/>
    </row>
    <row r="2308" spans="1:30" s="205" customFormat="1" ht="46.5" customHeight="1">
      <c r="A2308" s="4" t="s">
        <v>6180</v>
      </c>
      <c r="B2308" s="4" t="s">
        <v>6264</v>
      </c>
      <c r="C2308" s="4" t="s">
        <v>24</v>
      </c>
      <c r="D2308" s="204" t="s">
        <v>144</v>
      </c>
      <c r="E2308" s="4" t="s">
        <v>5006</v>
      </c>
      <c r="F2308" s="4" t="s">
        <v>55</v>
      </c>
      <c r="G2308" s="4" t="s">
        <v>55</v>
      </c>
      <c r="H2308" s="4" t="s">
        <v>523</v>
      </c>
      <c r="I2308" s="4"/>
      <c r="J2308" s="4" t="s">
        <v>2276</v>
      </c>
      <c r="K2308" s="4" t="s">
        <v>2276</v>
      </c>
      <c r="L2308" s="4" t="s">
        <v>2276</v>
      </c>
      <c r="M2308" s="4" t="s">
        <v>2276</v>
      </c>
      <c r="N2308" s="4" t="s">
        <v>2276</v>
      </c>
      <c r="O2308" s="4" t="s">
        <v>2276</v>
      </c>
      <c r="P2308" s="4" t="s">
        <v>2276</v>
      </c>
      <c r="Q2308" s="4" t="s">
        <v>2276</v>
      </c>
      <c r="R2308" s="4" t="s">
        <v>2276</v>
      </c>
      <c r="S2308" s="4" t="s">
        <v>2276</v>
      </c>
      <c r="T2308" s="4" t="s">
        <v>2276</v>
      </c>
      <c r="U2308" s="4" t="s">
        <v>2276</v>
      </c>
      <c r="V2308" s="4" t="s">
        <v>2276</v>
      </c>
      <c r="W2308" s="4" t="s">
        <v>2276</v>
      </c>
      <c r="X2308" s="4" t="s">
        <v>2276</v>
      </c>
      <c r="Y2308" s="4" t="s">
        <v>2276</v>
      </c>
      <c r="Z2308" s="4" t="s">
        <v>2276</v>
      </c>
      <c r="AA2308" s="4" t="s">
        <v>2276</v>
      </c>
      <c r="AB2308" s="4" t="s">
        <v>2276</v>
      </c>
      <c r="AC2308" s="4"/>
      <c r="AD2308" s="4"/>
    </row>
    <row r="2309" spans="1:30" s="60" customFormat="1" ht="54" customHeight="1">
      <c r="A2309" s="4" t="s">
        <v>6182</v>
      </c>
      <c r="B2309" s="4" t="s">
        <v>6243</v>
      </c>
      <c r="C2309" s="4" t="s">
        <v>1105</v>
      </c>
      <c r="D2309" s="4" t="s">
        <v>1105</v>
      </c>
      <c r="E2309" s="4" t="s">
        <v>1105</v>
      </c>
      <c r="F2309" s="4" t="s">
        <v>2276</v>
      </c>
      <c r="G2309" s="4" t="s">
        <v>2276</v>
      </c>
      <c r="H2309" s="4" t="s">
        <v>523</v>
      </c>
      <c r="I2309" s="4"/>
      <c r="J2309" s="82">
        <f>28493/'Record info'!K988/10</f>
        <v>0.11822821576763484</v>
      </c>
      <c r="K2309" s="4" t="s">
        <v>2276</v>
      </c>
      <c r="L2309" s="4" t="s">
        <v>2276</v>
      </c>
      <c r="M2309" s="4" t="s">
        <v>2276</v>
      </c>
      <c r="N2309" s="4" t="s">
        <v>2276</v>
      </c>
      <c r="O2309" s="4" t="s">
        <v>2276</v>
      </c>
      <c r="P2309" s="4" t="s">
        <v>2276</v>
      </c>
      <c r="Q2309" s="4" t="s">
        <v>2276</v>
      </c>
      <c r="R2309" s="4" t="s">
        <v>2276</v>
      </c>
      <c r="S2309" s="4" t="s">
        <v>2276</v>
      </c>
      <c r="T2309" s="4" t="s">
        <v>2276</v>
      </c>
      <c r="U2309" s="4" t="s">
        <v>2276</v>
      </c>
      <c r="V2309" s="4" t="s">
        <v>2276</v>
      </c>
      <c r="W2309" s="4" t="s">
        <v>2276</v>
      </c>
      <c r="X2309" s="4" t="s">
        <v>2276</v>
      </c>
      <c r="Y2309" s="4" t="s">
        <v>2276</v>
      </c>
      <c r="Z2309" s="4" t="s">
        <v>2276</v>
      </c>
      <c r="AA2309" s="4" t="s">
        <v>2276</v>
      </c>
      <c r="AB2309" s="4" t="s">
        <v>2276</v>
      </c>
      <c r="AC2309" s="4"/>
      <c r="AD2309" s="4"/>
    </row>
    <row r="2310" spans="1:30" s="60" customFormat="1" ht="48" customHeight="1">
      <c r="A2310" s="4" t="s">
        <v>6182</v>
      </c>
      <c r="B2310" s="4" t="s">
        <v>6244</v>
      </c>
      <c r="C2310" s="4" t="s">
        <v>1105</v>
      </c>
      <c r="D2310" s="4" t="s">
        <v>1105</v>
      </c>
      <c r="E2310" s="4" t="s">
        <v>5801</v>
      </c>
      <c r="F2310" s="4" t="s">
        <v>2276</v>
      </c>
      <c r="G2310" s="4" t="s">
        <v>2276</v>
      </c>
      <c r="H2310" s="4" t="s">
        <v>523</v>
      </c>
      <c r="I2310" s="4"/>
      <c r="J2310" s="82">
        <f>714/882.88/10</f>
        <v>8.0871692642261697E-2</v>
      </c>
      <c r="K2310" s="4" t="s">
        <v>2276</v>
      </c>
      <c r="L2310" s="4" t="s">
        <v>2276</v>
      </c>
      <c r="M2310" s="4" t="s">
        <v>2276</v>
      </c>
      <c r="N2310" s="4" t="s">
        <v>2276</v>
      </c>
      <c r="O2310" s="4" t="s">
        <v>2276</v>
      </c>
      <c r="P2310" s="4" t="s">
        <v>2276</v>
      </c>
      <c r="Q2310" s="4" t="s">
        <v>2276</v>
      </c>
      <c r="R2310" s="4" t="s">
        <v>2276</v>
      </c>
      <c r="S2310" s="4" t="s">
        <v>2276</v>
      </c>
      <c r="T2310" s="4" t="s">
        <v>2276</v>
      </c>
      <c r="U2310" s="4" t="s">
        <v>2276</v>
      </c>
      <c r="V2310" s="4" t="s">
        <v>2276</v>
      </c>
      <c r="W2310" s="4" t="s">
        <v>2276</v>
      </c>
      <c r="X2310" s="4" t="s">
        <v>2276</v>
      </c>
      <c r="Y2310" s="4" t="s">
        <v>2276</v>
      </c>
      <c r="Z2310" s="4" t="s">
        <v>2276</v>
      </c>
      <c r="AA2310" s="4" t="s">
        <v>2276</v>
      </c>
      <c r="AB2310" s="4" t="s">
        <v>2276</v>
      </c>
      <c r="AC2310" s="4" t="s">
        <v>6789</v>
      </c>
      <c r="AD2310" s="4"/>
    </row>
    <row r="2311" spans="1:30" s="205" customFormat="1" ht="48" customHeight="1">
      <c r="A2311" s="4" t="s">
        <v>6182</v>
      </c>
      <c r="B2311" s="4" t="s">
        <v>6790</v>
      </c>
      <c r="C2311" s="4" t="s">
        <v>24</v>
      </c>
      <c r="D2311" s="4" t="s">
        <v>2276</v>
      </c>
      <c r="E2311" s="4" t="s">
        <v>3855</v>
      </c>
      <c r="F2311" s="4" t="s">
        <v>28</v>
      </c>
      <c r="G2311" s="4" t="s">
        <v>28</v>
      </c>
      <c r="H2311" s="4" t="s">
        <v>523</v>
      </c>
      <c r="I2311" s="4"/>
      <c r="J2311" s="4" t="s">
        <v>2276</v>
      </c>
      <c r="K2311" s="4" t="s">
        <v>2276</v>
      </c>
      <c r="L2311" s="4" t="s">
        <v>2276</v>
      </c>
      <c r="M2311" s="4" t="s">
        <v>2276</v>
      </c>
      <c r="N2311" s="4" t="s">
        <v>2276</v>
      </c>
      <c r="O2311" s="4" t="s">
        <v>2276</v>
      </c>
      <c r="P2311" s="4" t="s">
        <v>2276</v>
      </c>
      <c r="Q2311" s="4" t="s">
        <v>2276</v>
      </c>
      <c r="R2311" s="4" t="s">
        <v>2276</v>
      </c>
      <c r="S2311" s="4" t="s">
        <v>2276</v>
      </c>
      <c r="T2311" s="4" t="s">
        <v>2276</v>
      </c>
      <c r="U2311" s="4" t="s">
        <v>2276</v>
      </c>
      <c r="V2311" s="4" t="s">
        <v>2276</v>
      </c>
      <c r="W2311" s="4" t="s">
        <v>2276</v>
      </c>
      <c r="X2311" s="4" t="s">
        <v>2276</v>
      </c>
      <c r="Y2311" s="4" t="s">
        <v>2276</v>
      </c>
      <c r="Z2311" s="4" t="s">
        <v>2276</v>
      </c>
      <c r="AA2311" s="4" t="s">
        <v>2276</v>
      </c>
      <c r="AB2311" s="4" t="s">
        <v>2276</v>
      </c>
      <c r="AC2311" s="4" t="s">
        <v>6792</v>
      </c>
      <c r="AD2311" s="4"/>
    </row>
    <row r="2312" spans="1:30" s="205" customFormat="1" ht="48" customHeight="1">
      <c r="A2312" s="4" t="s">
        <v>6182</v>
      </c>
      <c r="B2312" s="4" t="s">
        <v>6791</v>
      </c>
      <c r="C2312" s="4" t="s">
        <v>24</v>
      </c>
      <c r="D2312" s="4" t="s">
        <v>2276</v>
      </c>
      <c r="E2312" s="4" t="s">
        <v>3855</v>
      </c>
      <c r="F2312" s="4" t="s">
        <v>29</v>
      </c>
      <c r="G2312" s="4" t="s">
        <v>29</v>
      </c>
      <c r="H2312" s="4" t="s">
        <v>523</v>
      </c>
      <c r="I2312" s="4"/>
      <c r="J2312" s="4" t="s">
        <v>2276</v>
      </c>
      <c r="K2312" s="4" t="s">
        <v>2276</v>
      </c>
      <c r="L2312" s="4" t="s">
        <v>2276</v>
      </c>
      <c r="M2312" s="4" t="s">
        <v>2276</v>
      </c>
      <c r="N2312" s="4" t="s">
        <v>2276</v>
      </c>
      <c r="O2312" s="4" t="s">
        <v>2276</v>
      </c>
      <c r="P2312" s="4" t="s">
        <v>2276</v>
      </c>
      <c r="Q2312" s="4" t="s">
        <v>2276</v>
      </c>
      <c r="R2312" s="4" t="s">
        <v>2276</v>
      </c>
      <c r="S2312" s="4" t="s">
        <v>2276</v>
      </c>
      <c r="T2312" s="4" t="s">
        <v>2276</v>
      </c>
      <c r="U2312" s="4" t="s">
        <v>2276</v>
      </c>
      <c r="V2312" s="4" t="s">
        <v>2276</v>
      </c>
      <c r="W2312" s="4" t="s">
        <v>2276</v>
      </c>
      <c r="X2312" s="4" t="s">
        <v>2276</v>
      </c>
      <c r="Y2312" s="4" t="s">
        <v>2276</v>
      </c>
      <c r="Z2312" s="4" t="s">
        <v>2276</v>
      </c>
      <c r="AA2312" s="4" t="s">
        <v>2276</v>
      </c>
      <c r="AB2312" s="4" t="s">
        <v>2276</v>
      </c>
      <c r="AC2312" s="4" t="s">
        <v>6792</v>
      </c>
      <c r="AD2312" s="4"/>
    </row>
    <row r="2313" spans="1:30" s="60" customFormat="1" ht="65.5" customHeight="1">
      <c r="A2313" s="4" t="s">
        <v>6183</v>
      </c>
      <c r="B2313" s="4" t="s">
        <v>6245</v>
      </c>
      <c r="C2313" s="4" t="s">
        <v>1105</v>
      </c>
      <c r="D2313" s="4" t="s">
        <v>2276</v>
      </c>
      <c r="E2313" s="4" t="s">
        <v>2276</v>
      </c>
      <c r="F2313" s="4" t="s">
        <v>2276</v>
      </c>
      <c r="G2313" s="4" t="s">
        <v>2276</v>
      </c>
      <c r="H2313" s="4" t="s">
        <v>523</v>
      </c>
      <c r="I2313" s="4"/>
      <c r="J2313" s="75">
        <f>0.6/8</f>
        <v>7.4999999999999997E-2</v>
      </c>
      <c r="K2313" s="4" t="s">
        <v>2276</v>
      </c>
      <c r="L2313" s="4" t="s">
        <v>2276</v>
      </c>
      <c r="M2313" s="4" t="s">
        <v>2276</v>
      </c>
      <c r="N2313" s="4" t="s">
        <v>2276</v>
      </c>
      <c r="O2313" s="4" t="s">
        <v>2276</v>
      </c>
      <c r="P2313" s="4" t="s">
        <v>2276</v>
      </c>
      <c r="Q2313" s="4" t="s">
        <v>2276</v>
      </c>
      <c r="R2313" s="4" t="s">
        <v>2276</v>
      </c>
      <c r="S2313" s="4" t="s">
        <v>2276</v>
      </c>
      <c r="T2313" s="4" t="s">
        <v>2276</v>
      </c>
      <c r="U2313" s="4" t="s">
        <v>2276</v>
      </c>
      <c r="V2313" s="4" t="s">
        <v>2276</v>
      </c>
      <c r="W2313" s="4" t="s">
        <v>2276</v>
      </c>
      <c r="X2313" s="4">
        <f>10.3/8</f>
        <v>1.2875000000000001</v>
      </c>
      <c r="Y2313" s="4" t="s">
        <v>2276</v>
      </c>
      <c r="Z2313" s="4" t="s">
        <v>2276</v>
      </c>
      <c r="AA2313" s="4" t="s">
        <v>2276</v>
      </c>
      <c r="AB2313" s="4" t="s">
        <v>2276</v>
      </c>
      <c r="AC2313" s="4"/>
      <c r="AD2313" s="4"/>
    </row>
    <row r="2314" spans="1:30" s="205" customFormat="1" ht="65.5" customHeight="1">
      <c r="A2314" s="4" t="s">
        <v>6183</v>
      </c>
      <c r="B2314" s="4" t="s">
        <v>6793</v>
      </c>
      <c r="C2314" s="204" t="s">
        <v>31</v>
      </c>
      <c r="D2314" s="4" t="s">
        <v>30</v>
      </c>
      <c r="E2314" s="4" t="s">
        <v>2653</v>
      </c>
      <c r="F2314" s="4" t="s">
        <v>2276</v>
      </c>
      <c r="G2314" s="4" t="s">
        <v>2276</v>
      </c>
      <c r="H2314" s="4" t="s">
        <v>523</v>
      </c>
      <c r="I2314" s="4"/>
      <c r="J2314" s="4" t="s">
        <v>2276</v>
      </c>
      <c r="K2314" s="4" t="s">
        <v>2276</v>
      </c>
      <c r="L2314" s="4" t="s">
        <v>2276</v>
      </c>
      <c r="M2314" s="4" t="s">
        <v>2276</v>
      </c>
      <c r="N2314" s="4" t="s">
        <v>2276</v>
      </c>
      <c r="O2314" s="4" t="s">
        <v>2276</v>
      </c>
      <c r="P2314" s="4" t="s">
        <v>2276</v>
      </c>
      <c r="Q2314" s="4" t="s">
        <v>2276</v>
      </c>
      <c r="R2314" s="4" t="s">
        <v>2276</v>
      </c>
      <c r="S2314" s="4" t="s">
        <v>2276</v>
      </c>
      <c r="T2314" s="4" t="s">
        <v>2276</v>
      </c>
      <c r="U2314" s="4" t="s">
        <v>2276</v>
      </c>
      <c r="V2314" s="4" t="s">
        <v>2276</v>
      </c>
      <c r="W2314" s="4" t="s">
        <v>2276</v>
      </c>
      <c r="X2314" s="4" t="s">
        <v>2276</v>
      </c>
      <c r="Y2314" s="4" t="s">
        <v>2276</v>
      </c>
      <c r="Z2314" s="4" t="s">
        <v>2276</v>
      </c>
      <c r="AA2314" s="4" t="s">
        <v>2276</v>
      </c>
      <c r="AB2314" s="4" t="s">
        <v>2276</v>
      </c>
      <c r="AC2314" s="4"/>
      <c r="AD2314" s="4" t="s">
        <v>6795</v>
      </c>
    </row>
    <row r="2315" spans="1:30" s="205" customFormat="1" ht="65.5" customHeight="1">
      <c r="A2315" s="4" t="s">
        <v>6183</v>
      </c>
      <c r="B2315" s="4" t="s">
        <v>6794</v>
      </c>
      <c r="C2315" s="204" t="s">
        <v>2458</v>
      </c>
      <c r="D2315" s="4" t="s">
        <v>25</v>
      </c>
      <c r="E2315" s="4" t="s">
        <v>3855</v>
      </c>
      <c r="F2315" s="4" t="s">
        <v>29</v>
      </c>
      <c r="G2315" s="4" t="s">
        <v>2276</v>
      </c>
      <c r="H2315" s="4" t="s">
        <v>523</v>
      </c>
      <c r="I2315" s="4"/>
      <c r="J2315" s="4" t="s">
        <v>2276</v>
      </c>
      <c r="K2315" s="4" t="s">
        <v>2276</v>
      </c>
      <c r="L2315" s="4" t="s">
        <v>2276</v>
      </c>
      <c r="M2315" s="4" t="s">
        <v>2276</v>
      </c>
      <c r="N2315" s="4" t="s">
        <v>2276</v>
      </c>
      <c r="O2315" s="4" t="s">
        <v>2276</v>
      </c>
      <c r="P2315" s="4" t="s">
        <v>2276</v>
      </c>
      <c r="Q2315" s="4" t="s">
        <v>2276</v>
      </c>
      <c r="R2315" s="4" t="s">
        <v>2276</v>
      </c>
      <c r="S2315" s="4" t="s">
        <v>2276</v>
      </c>
      <c r="T2315" s="4" t="s">
        <v>2276</v>
      </c>
      <c r="U2315" s="4" t="s">
        <v>2276</v>
      </c>
      <c r="V2315" s="4" t="s">
        <v>2276</v>
      </c>
      <c r="W2315" s="4" t="s">
        <v>2276</v>
      </c>
      <c r="X2315" s="4" t="s">
        <v>2276</v>
      </c>
      <c r="Y2315" s="4" t="s">
        <v>2276</v>
      </c>
      <c r="Z2315" s="4" t="s">
        <v>2276</v>
      </c>
      <c r="AA2315" s="4" t="s">
        <v>2276</v>
      </c>
      <c r="AB2315" s="4" t="s">
        <v>2276</v>
      </c>
      <c r="AC2315" s="4"/>
      <c r="AD2315" s="4"/>
    </row>
    <row r="2316" spans="1:30" s="205" customFormat="1" ht="65.5" customHeight="1">
      <c r="A2316" s="4" t="s">
        <v>6184</v>
      </c>
      <c r="B2316" s="4" t="s">
        <v>6246</v>
      </c>
      <c r="C2316" s="204" t="s">
        <v>1105</v>
      </c>
      <c r="D2316" s="4" t="s">
        <v>2276</v>
      </c>
      <c r="E2316" s="4" t="s">
        <v>2276</v>
      </c>
      <c r="F2316" s="4" t="s">
        <v>2276</v>
      </c>
      <c r="G2316" s="4" t="s">
        <v>74</v>
      </c>
      <c r="H2316" s="4" t="s">
        <v>523</v>
      </c>
      <c r="I2316" s="4"/>
      <c r="J2316" s="75">
        <f>177365/19/SUM('Record info'!$K990)</f>
        <v>0.32069119516300798</v>
      </c>
      <c r="K2316" s="4" t="s">
        <v>2276</v>
      </c>
      <c r="L2316" s="4" t="s">
        <v>2276</v>
      </c>
      <c r="M2316" s="4" t="s">
        <v>2276</v>
      </c>
      <c r="N2316" s="4" t="s">
        <v>2276</v>
      </c>
      <c r="O2316" s="4" t="s">
        <v>2276</v>
      </c>
      <c r="P2316" s="75">
        <f>797595/177365</f>
        <v>4.4969131452090325</v>
      </c>
      <c r="Q2316" s="4" t="s">
        <v>2276</v>
      </c>
      <c r="R2316" s="4" t="s">
        <v>2276</v>
      </c>
      <c r="S2316" s="4" t="s">
        <v>2276</v>
      </c>
      <c r="T2316" s="75">
        <f>797595/19</f>
        <v>41978.684210526313</v>
      </c>
      <c r="U2316" s="4" t="s">
        <v>2276</v>
      </c>
      <c r="V2316" s="75">
        <f>16129/41154*100/19</f>
        <v>2.0627271634400186</v>
      </c>
      <c r="W2316" s="4" t="s">
        <v>2276</v>
      </c>
      <c r="X2316" s="75">
        <f>797595/'Record info'!K990/19</f>
        <v>1.4421204510813259</v>
      </c>
      <c r="Y2316" s="4" t="s">
        <v>2276</v>
      </c>
      <c r="Z2316" s="4" t="s">
        <v>2276</v>
      </c>
      <c r="AA2316" s="4" t="s">
        <v>2276</v>
      </c>
      <c r="AB2316" s="4" t="s">
        <v>2276</v>
      </c>
      <c r="AC2316" s="4"/>
      <c r="AD2316" s="4"/>
    </row>
    <row r="2317" spans="1:30" s="205" customFormat="1" ht="65.5" customHeight="1">
      <c r="A2317" s="4" t="s">
        <v>6184</v>
      </c>
      <c r="B2317" s="4" t="s">
        <v>6904</v>
      </c>
      <c r="C2317" s="204" t="s">
        <v>24</v>
      </c>
      <c r="D2317" s="4" t="s">
        <v>2276</v>
      </c>
      <c r="E2317" s="4" t="s">
        <v>2276</v>
      </c>
      <c r="F2317" s="4" t="s">
        <v>2276</v>
      </c>
      <c r="G2317" s="4" t="s">
        <v>74</v>
      </c>
      <c r="H2317" s="4" t="s">
        <v>523</v>
      </c>
      <c r="I2317" s="4"/>
      <c r="J2317" s="75">
        <f>J$2316*0.82</f>
        <v>0.26296678003366653</v>
      </c>
      <c r="K2317" s="4" t="s">
        <v>2276</v>
      </c>
      <c r="L2317" s="4" t="s">
        <v>2276</v>
      </c>
      <c r="M2317" s="4" t="s">
        <v>2276</v>
      </c>
      <c r="N2317" s="4" t="s">
        <v>2276</v>
      </c>
      <c r="O2317" s="4" t="s">
        <v>2276</v>
      </c>
      <c r="P2317" s="4" t="s">
        <v>2276</v>
      </c>
      <c r="Q2317" s="4" t="s">
        <v>2276</v>
      </c>
      <c r="R2317" s="4" t="s">
        <v>2276</v>
      </c>
      <c r="S2317" s="4" t="s">
        <v>2276</v>
      </c>
      <c r="T2317" s="4" t="s">
        <v>2276</v>
      </c>
      <c r="U2317" s="4" t="s">
        <v>2276</v>
      </c>
      <c r="V2317" s="4" t="s">
        <v>2276</v>
      </c>
      <c r="W2317" s="4" t="s">
        <v>2276</v>
      </c>
      <c r="X2317" s="4" t="s">
        <v>2276</v>
      </c>
      <c r="Y2317" s="4" t="s">
        <v>2276</v>
      </c>
      <c r="Z2317" s="4" t="s">
        <v>2276</v>
      </c>
      <c r="AA2317" s="4" t="s">
        <v>2276</v>
      </c>
      <c r="AB2317" s="4" t="s">
        <v>2276</v>
      </c>
      <c r="AC2317" s="4"/>
      <c r="AD2317" s="4"/>
    </row>
    <row r="2318" spans="1:30" s="205" customFormat="1" ht="65.5" customHeight="1">
      <c r="A2318" s="4" t="s">
        <v>6184</v>
      </c>
      <c r="B2318" s="4" t="s">
        <v>6905</v>
      </c>
      <c r="C2318" s="204" t="s">
        <v>31</v>
      </c>
      <c r="D2318" s="4" t="s">
        <v>2276</v>
      </c>
      <c r="E2318" s="4" t="s">
        <v>2276</v>
      </c>
      <c r="F2318" s="4" t="s">
        <v>2276</v>
      </c>
      <c r="G2318" s="4" t="s">
        <v>74</v>
      </c>
      <c r="H2318" s="4" t="s">
        <v>523</v>
      </c>
      <c r="I2318" s="4"/>
      <c r="J2318" s="75">
        <f>J$2316*0.05</f>
        <v>1.60345597581504E-2</v>
      </c>
      <c r="K2318" s="4" t="s">
        <v>2276</v>
      </c>
      <c r="L2318" s="4" t="s">
        <v>2276</v>
      </c>
      <c r="M2318" s="4" t="s">
        <v>2276</v>
      </c>
      <c r="N2318" s="4" t="s">
        <v>2276</v>
      </c>
      <c r="O2318" s="4" t="s">
        <v>2276</v>
      </c>
      <c r="P2318" s="4" t="s">
        <v>2276</v>
      </c>
      <c r="Q2318" s="4" t="s">
        <v>2276</v>
      </c>
      <c r="R2318" s="4" t="s">
        <v>2276</v>
      </c>
      <c r="S2318" s="4" t="s">
        <v>2276</v>
      </c>
      <c r="T2318" s="4" t="s">
        <v>2276</v>
      </c>
      <c r="U2318" s="4" t="s">
        <v>2276</v>
      </c>
      <c r="V2318" s="4" t="s">
        <v>2276</v>
      </c>
      <c r="W2318" s="4" t="s">
        <v>2276</v>
      </c>
      <c r="X2318" s="4" t="s">
        <v>2276</v>
      </c>
      <c r="Y2318" s="4" t="s">
        <v>2276</v>
      </c>
      <c r="Z2318" s="4" t="s">
        <v>2276</v>
      </c>
      <c r="AA2318" s="4" t="s">
        <v>2276</v>
      </c>
      <c r="AB2318" s="4" t="s">
        <v>2276</v>
      </c>
      <c r="AC2318" s="4"/>
      <c r="AD2318" s="4"/>
    </row>
    <row r="2319" spans="1:30" s="205" customFormat="1" ht="65.5" customHeight="1">
      <c r="A2319" s="4" t="s">
        <v>6184</v>
      </c>
      <c r="B2319" s="4" t="s">
        <v>6906</v>
      </c>
      <c r="C2319" s="204" t="s">
        <v>2658</v>
      </c>
      <c r="D2319" s="4" t="s">
        <v>2276</v>
      </c>
      <c r="E2319" s="4" t="s">
        <v>2276</v>
      </c>
      <c r="F2319" s="4" t="s">
        <v>2276</v>
      </c>
      <c r="G2319" s="4" t="s">
        <v>74</v>
      </c>
      <c r="H2319" s="4" t="s">
        <v>523</v>
      </c>
      <c r="I2319" s="4"/>
      <c r="J2319" s="75">
        <f>J$2316*0.09</f>
        <v>2.8862207564670717E-2</v>
      </c>
      <c r="K2319" s="4" t="s">
        <v>2276</v>
      </c>
      <c r="L2319" s="4" t="s">
        <v>2276</v>
      </c>
      <c r="M2319" s="4" t="s">
        <v>2276</v>
      </c>
      <c r="N2319" s="4" t="s">
        <v>2276</v>
      </c>
      <c r="O2319" s="4" t="s">
        <v>2276</v>
      </c>
      <c r="P2319" s="4" t="s">
        <v>2276</v>
      </c>
      <c r="Q2319" s="4" t="s">
        <v>2276</v>
      </c>
      <c r="R2319" s="4" t="s">
        <v>2276</v>
      </c>
      <c r="S2319" s="4" t="s">
        <v>2276</v>
      </c>
      <c r="T2319" s="4" t="s">
        <v>2276</v>
      </c>
      <c r="U2319" s="4" t="s">
        <v>2276</v>
      </c>
      <c r="V2319" s="4" t="s">
        <v>2276</v>
      </c>
      <c r="W2319" s="4" t="s">
        <v>2276</v>
      </c>
      <c r="X2319" s="4" t="s">
        <v>2276</v>
      </c>
      <c r="Y2319" s="4" t="s">
        <v>2276</v>
      </c>
      <c r="Z2319" s="4" t="s">
        <v>2276</v>
      </c>
      <c r="AA2319" s="4" t="s">
        <v>2276</v>
      </c>
      <c r="AB2319" s="4" t="s">
        <v>2276</v>
      </c>
      <c r="AC2319" s="4"/>
      <c r="AD2319" s="4"/>
    </row>
    <row r="2320" spans="1:30" s="205" customFormat="1" ht="65.5" customHeight="1">
      <c r="A2320" s="4" t="s">
        <v>6184</v>
      </c>
      <c r="B2320" s="4" t="s">
        <v>6907</v>
      </c>
      <c r="C2320" s="204" t="s">
        <v>2656</v>
      </c>
      <c r="D2320" s="4" t="s">
        <v>2276</v>
      </c>
      <c r="E2320" s="4" t="s">
        <v>2276</v>
      </c>
      <c r="F2320" s="4" t="s">
        <v>2276</v>
      </c>
      <c r="G2320" s="4" t="s">
        <v>74</v>
      </c>
      <c r="H2320" s="4" t="s">
        <v>523</v>
      </c>
      <c r="I2320" s="4"/>
      <c r="J2320" s="75">
        <f>J$2316-SUM(J2317:J2319)</f>
        <v>1.2827647806520348E-2</v>
      </c>
      <c r="K2320" s="4" t="s">
        <v>2276</v>
      </c>
      <c r="L2320" s="4" t="s">
        <v>2276</v>
      </c>
      <c r="M2320" s="4" t="s">
        <v>2276</v>
      </c>
      <c r="N2320" s="4" t="s">
        <v>2276</v>
      </c>
      <c r="O2320" s="4" t="s">
        <v>2276</v>
      </c>
      <c r="P2320" s="4" t="s">
        <v>2276</v>
      </c>
      <c r="Q2320" s="4" t="s">
        <v>2276</v>
      </c>
      <c r="R2320" s="4" t="s">
        <v>2276</v>
      </c>
      <c r="S2320" s="4" t="s">
        <v>2276</v>
      </c>
      <c r="T2320" s="4" t="s">
        <v>2276</v>
      </c>
      <c r="U2320" s="4" t="s">
        <v>2276</v>
      </c>
      <c r="V2320" s="4" t="s">
        <v>2276</v>
      </c>
      <c r="W2320" s="4" t="s">
        <v>2276</v>
      </c>
      <c r="X2320" s="4" t="s">
        <v>2276</v>
      </c>
      <c r="Y2320" s="4" t="s">
        <v>2276</v>
      </c>
      <c r="Z2320" s="4" t="s">
        <v>2276</v>
      </c>
      <c r="AA2320" s="4" t="s">
        <v>2276</v>
      </c>
      <c r="AB2320" s="4" t="s">
        <v>2276</v>
      </c>
      <c r="AC2320" s="4"/>
      <c r="AD2320" s="4"/>
    </row>
    <row r="2321" spans="1:30" s="205" customFormat="1" ht="65.5" customHeight="1">
      <c r="A2321" s="4" t="s">
        <v>6184</v>
      </c>
      <c r="B2321" s="4" t="s">
        <v>6908</v>
      </c>
      <c r="C2321" s="204" t="s">
        <v>2458</v>
      </c>
      <c r="D2321" s="4" t="s">
        <v>25</v>
      </c>
      <c r="E2321" s="4" t="s">
        <v>3855</v>
      </c>
      <c r="F2321" s="4" t="s">
        <v>29</v>
      </c>
      <c r="G2321" s="4" t="s">
        <v>74</v>
      </c>
      <c r="H2321" s="4" t="s">
        <v>523</v>
      </c>
      <c r="I2321" s="4"/>
      <c r="J2321" s="4" t="s">
        <v>2276</v>
      </c>
      <c r="K2321" s="4" t="s">
        <v>2276</v>
      </c>
      <c r="L2321" s="4" t="s">
        <v>2276</v>
      </c>
      <c r="M2321" s="4" t="s">
        <v>2276</v>
      </c>
      <c r="N2321" s="4" t="s">
        <v>2276</v>
      </c>
      <c r="O2321" s="4" t="s">
        <v>2276</v>
      </c>
      <c r="P2321" s="4" t="s">
        <v>2276</v>
      </c>
      <c r="Q2321" s="4" t="s">
        <v>2276</v>
      </c>
      <c r="R2321" s="4" t="s">
        <v>2276</v>
      </c>
      <c r="S2321" s="4" t="s">
        <v>2276</v>
      </c>
      <c r="T2321" s="4" t="s">
        <v>2276</v>
      </c>
      <c r="U2321" s="4" t="s">
        <v>2276</v>
      </c>
      <c r="V2321" s="4" t="s">
        <v>2276</v>
      </c>
      <c r="W2321" s="4" t="s">
        <v>2276</v>
      </c>
      <c r="X2321" s="4" t="s">
        <v>2276</v>
      </c>
      <c r="Y2321" s="4" t="s">
        <v>2276</v>
      </c>
      <c r="Z2321" s="4" t="s">
        <v>2276</v>
      </c>
      <c r="AA2321" s="4" t="s">
        <v>2276</v>
      </c>
      <c r="AB2321" s="4" t="s">
        <v>2276</v>
      </c>
      <c r="AC2321" s="4"/>
      <c r="AD2321" s="4"/>
    </row>
    <row r="2322" spans="1:30" s="205" customFormat="1" ht="65.5" customHeight="1">
      <c r="A2322" s="4" t="s">
        <v>6184</v>
      </c>
      <c r="B2322" s="4" t="s">
        <v>6909</v>
      </c>
      <c r="C2322" s="204" t="s">
        <v>24</v>
      </c>
      <c r="D2322" s="4" t="s">
        <v>2804</v>
      </c>
      <c r="E2322" s="4" t="s">
        <v>3855</v>
      </c>
      <c r="F2322" s="4" t="s">
        <v>2662</v>
      </c>
      <c r="G2322" s="4" t="s">
        <v>2662</v>
      </c>
      <c r="H2322" s="4" t="s">
        <v>523</v>
      </c>
      <c r="I2322" s="4"/>
      <c r="J2322" s="4" t="s">
        <v>2276</v>
      </c>
      <c r="K2322" s="4" t="s">
        <v>2276</v>
      </c>
      <c r="L2322" s="4" t="s">
        <v>2276</v>
      </c>
      <c r="M2322" s="4" t="s">
        <v>2276</v>
      </c>
      <c r="N2322" s="4" t="s">
        <v>2276</v>
      </c>
      <c r="O2322" s="4" t="s">
        <v>2276</v>
      </c>
      <c r="P2322" s="4" t="s">
        <v>2276</v>
      </c>
      <c r="Q2322" s="4" t="s">
        <v>2276</v>
      </c>
      <c r="R2322" s="4" t="s">
        <v>2276</v>
      </c>
      <c r="S2322" s="4" t="s">
        <v>2276</v>
      </c>
      <c r="T2322" s="4" t="s">
        <v>2276</v>
      </c>
      <c r="U2322" s="4" t="s">
        <v>2276</v>
      </c>
      <c r="V2322" s="4" t="s">
        <v>2276</v>
      </c>
      <c r="W2322" s="4" t="s">
        <v>2276</v>
      </c>
      <c r="X2322" s="4" t="s">
        <v>2276</v>
      </c>
      <c r="Y2322" s="4" t="s">
        <v>2276</v>
      </c>
      <c r="Z2322" s="4" t="s">
        <v>2276</v>
      </c>
      <c r="AA2322" s="4" t="s">
        <v>2276</v>
      </c>
      <c r="AB2322" s="4" t="s">
        <v>2276</v>
      </c>
      <c r="AC2322" s="4"/>
      <c r="AD2322" s="4"/>
    </row>
    <row r="2323" spans="1:30" s="205" customFormat="1" ht="65.5" customHeight="1">
      <c r="A2323" s="4" t="s">
        <v>6184</v>
      </c>
      <c r="B2323" s="4" t="s">
        <v>6910</v>
      </c>
      <c r="C2323" s="204" t="s">
        <v>2458</v>
      </c>
      <c r="D2323" s="4" t="s">
        <v>2231</v>
      </c>
      <c r="E2323" s="4" t="s">
        <v>2649</v>
      </c>
      <c r="F2323" s="4" t="s">
        <v>2662</v>
      </c>
      <c r="G2323" s="4" t="s">
        <v>74</v>
      </c>
      <c r="H2323" s="4" t="s">
        <v>523</v>
      </c>
      <c r="I2323" s="4"/>
      <c r="J2323" s="4" t="s">
        <v>2276</v>
      </c>
      <c r="K2323" s="4" t="s">
        <v>2276</v>
      </c>
      <c r="L2323" s="4" t="s">
        <v>2276</v>
      </c>
      <c r="M2323" s="4" t="s">
        <v>2276</v>
      </c>
      <c r="N2323" s="4" t="s">
        <v>2276</v>
      </c>
      <c r="O2323" s="4" t="s">
        <v>2276</v>
      </c>
      <c r="P2323" s="4" t="s">
        <v>2276</v>
      </c>
      <c r="Q2323" s="4" t="s">
        <v>2276</v>
      </c>
      <c r="R2323" s="4" t="s">
        <v>2276</v>
      </c>
      <c r="S2323" s="4" t="s">
        <v>2276</v>
      </c>
      <c r="T2323" s="4" t="s">
        <v>2276</v>
      </c>
      <c r="U2323" s="4" t="s">
        <v>2276</v>
      </c>
      <c r="V2323" s="4" t="s">
        <v>2276</v>
      </c>
      <c r="W2323" s="4" t="s">
        <v>2276</v>
      </c>
      <c r="X2323" s="4" t="s">
        <v>2276</v>
      </c>
      <c r="Y2323" s="4" t="s">
        <v>2276</v>
      </c>
      <c r="Z2323" s="4" t="s">
        <v>2276</v>
      </c>
      <c r="AA2323" s="4" t="s">
        <v>2276</v>
      </c>
      <c r="AB2323" s="4" t="s">
        <v>2276</v>
      </c>
      <c r="AC2323" s="4" t="s">
        <v>6915</v>
      </c>
      <c r="AD2323" s="4"/>
    </row>
    <row r="2324" spans="1:30" s="205" customFormat="1" ht="65.5" customHeight="1">
      <c r="A2324" s="4" t="s">
        <v>6184</v>
      </c>
      <c r="B2324" s="4" t="s">
        <v>6911</v>
      </c>
      <c r="C2324" s="204" t="s">
        <v>24</v>
      </c>
      <c r="D2324" s="4" t="s">
        <v>2231</v>
      </c>
      <c r="E2324" s="4" t="s">
        <v>2649</v>
      </c>
      <c r="F2324" s="4" t="s">
        <v>2662</v>
      </c>
      <c r="G2324" s="4" t="s">
        <v>2662</v>
      </c>
      <c r="H2324" s="4" t="s">
        <v>523</v>
      </c>
      <c r="I2324" s="4"/>
      <c r="J2324" s="4" t="s">
        <v>2276</v>
      </c>
      <c r="K2324" s="4" t="s">
        <v>2276</v>
      </c>
      <c r="L2324" s="4" t="s">
        <v>2276</v>
      </c>
      <c r="M2324" s="4" t="s">
        <v>2276</v>
      </c>
      <c r="N2324" s="4" t="s">
        <v>2276</v>
      </c>
      <c r="O2324" s="4" t="s">
        <v>2276</v>
      </c>
      <c r="P2324" s="4" t="s">
        <v>2276</v>
      </c>
      <c r="Q2324" s="4" t="s">
        <v>2276</v>
      </c>
      <c r="R2324" s="4" t="s">
        <v>2276</v>
      </c>
      <c r="S2324" s="4" t="s">
        <v>2276</v>
      </c>
      <c r="T2324" s="4" t="s">
        <v>2276</v>
      </c>
      <c r="U2324" s="4" t="s">
        <v>2276</v>
      </c>
      <c r="V2324" s="4" t="s">
        <v>2276</v>
      </c>
      <c r="W2324" s="4" t="s">
        <v>2276</v>
      </c>
      <c r="X2324" s="4" t="s">
        <v>2276</v>
      </c>
      <c r="Y2324" s="4" t="s">
        <v>2276</v>
      </c>
      <c r="Z2324" s="4" t="s">
        <v>2276</v>
      </c>
      <c r="AA2324" s="4" t="s">
        <v>2276</v>
      </c>
      <c r="AB2324" s="4" t="s">
        <v>2276</v>
      </c>
      <c r="AC2324" s="4" t="s">
        <v>6915</v>
      </c>
      <c r="AD2324" s="4"/>
    </row>
    <row r="2325" spans="1:30" s="205" customFormat="1" ht="65.5" customHeight="1">
      <c r="A2325" s="4" t="s">
        <v>6184</v>
      </c>
      <c r="B2325" s="4" t="s">
        <v>6912</v>
      </c>
      <c r="C2325" s="204" t="s">
        <v>2458</v>
      </c>
      <c r="D2325" s="4" t="s">
        <v>2659</v>
      </c>
      <c r="E2325" s="4" t="s">
        <v>3855</v>
      </c>
      <c r="F2325" s="4" t="s">
        <v>28</v>
      </c>
      <c r="G2325" s="4" t="s">
        <v>74</v>
      </c>
      <c r="H2325" s="4" t="s">
        <v>523</v>
      </c>
      <c r="I2325" s="4"/>
      <c r="J2325" s="4" t="s">
        <v>2276</v>
      </c>
      <c r="K2325" s="4" t="s">
        <v>2276</v>
      </c>
      <c r="L2325" s="4" t="s">
        <v>2276</v>
      </c>
      <c r="M2325" s="4" t="s">
        <v>2276</v>
      </c>
      <c r="N2325" s="4" t="s">
        <v>2276</v>
      </c>
      <c r="O2325" s="4" t="s">
        <v>2276</v>
      </c>
      <c r="P2325" s="4" t="s">
        <v>2276</v>
      </c>
      <c r="Q2325" s="4" t="s">
        <v>2276</v>
      </c>
      <c r="R2325" s="4" t="s">
        <v>2276</v>
      </c>
      <c r="S2325" s="4" t="s">
        <v>2276</v>
      </c>
      <c r="T2325" s="4" t="s">
        <v>2276</v>
      </c>
      <c r="U2325" s="4" t="s">
        <v>2276</v>
      </c>
      <c r="V2325" s="4" t="s">
        <v>2276</v>
      </c>
      <c r="W2325" s="4" t="s">
        <v>2276</v>
      </c>
      <c r="X2325" s="4" t="s">
        <v>2276</v>
      </c>
      <c r="Y2325" s="4" t="s">
        <v>2276</v>
      </c>
      <c r="Z2325" s="4" t="s">
        <v>2276</v>
      </c>
      <c r="AA2325" s="4" t="s">
        <v>2276</v>
      </c>
      <c r="AB2325" s="4" t="s">
        <v>2276</v>
      </c>
      <c r="AD2325" s="4"/>
    </row>
    <row r="2326" spans="1:30" s="205" customFormat="1" ht="65.5" customHeight="1">
      <c r="A2326" s="4" t="s">
        <v>6184</v>
      </c>
      <c r="B2326" s="4" t="s">
        <v>6913</v>
      </c>
      <c r="C2326" s="204" t="s">
        <v>24</v>
      </c>
      <c r="D2326" s="4" t="s">
        <v>2231</v>
      </c>
      <c r="E2326" s="4" t="s">
        <v>3855</v>
      </c>
      <c r="F2326" s="4" t="s">
        <v>2662</v>
      </c>
      <c r="G2326" s="4" t="s">
        <v>2662</v>
      </c>
      <c r="H2326" s="4" t="s">
        <v>523</v>
      </c>
      <c r="I2326" s="4"/>
      <c r="J2326" s="4" t="s">
        <v>2276</v>
      </c>
      <c r="K2326" s="4" t="s">
        <v>2276</v>
      </c>
      <c r="L2326" s="4" t="s">
        <v>2276</v>
      </c>
      <c r="M2326" s="4" t="s">
        <v>2276</v>
      </c>
      <c r="N2326" s="4" t="s">
        <v>2276</v>
      </c>
      <c r="O2326" s="4" t="s">
        <v>2276</v>
      </c>
      <c r="P2326" s="4" t="s">
        <v>2276</v>
      </c>
      <c r="Q2326" s="4" t="s">
        <v>2276</v>
      </c>
      <c r="R2326" s="4" t="s">
        <v>2276</v>
      </c>
      <c r="S2326" s="4" t="s">
        <v>2276</v>
      </c>
      <c r="T2326" s="4" t="s">
        <v>2276</v>
      </c>
      <c r="U2326" s="4" t="s">
        <v>2276</v>
      </c>
      <c r="V2326" s="4" t="s">
        <v>2276</v>
      </c>
      <c r="W2326" s="4" t="s">
        <v>2276</v>
      </c>
      <c r="X2326" s="4" t="s">
        <v>2276</v>
      </c>
      <c r="Y2326" s="4" t="s">
        <v>2276</v>
      </c>
      <c r="Z2326" s="4" t="s">
        <v>2276</v>
      </c>
      <c r="AA2326" s="4" t="s">
        <v>2276</v>
      </c>
      <c r="AB2326" s="4" t="s">
        <v>2276</v>
      </c>
      <c r="AC2326" s="4"/>
      <c r="AD2326" s="4"/>
    </row>
    <row r="2327" spans="1:30" s="205" customFormat="1" ht="65.5" customHeight="1">
      <c r="A2327" s="4" t="s">
        <v>6184</v>
      </c>
      <c r="B2327" s="4" t="s">
        <v>6926</v>
      </c>
      <c r="C2327" s="204" t="s">
        <v>24</v>
      </c>
      <c r="D2327" s="4" t="s">
        <v>2346</v>
      </c>
      <c r="E2327" s="4" t="s">
        <v>3855</v>
      </c>
      <c r="F2327" s="4" t="s">
        <v>2663</v>
      </c>
      <c r="G2327" s="4" t="s">
        <v>2663</v>
      </c>
      <c r="H2327" s="4" t="s">
        <v>523</v>
      </c>
      <c r="I2327" s="4"/>
      <c r="J2327" s="4" t="s">
        <v>2276</v>
      </c>
      <c r="K2327" s="4" t="s">
        <v>2276</v>
      </c>
      <c r="L2327" s="4" t="s">
        <v>2276</v>
      </c>
      <c r="M2327" s="4" t="s">
        <v>2276</v>
      </c>
      <c r="N2327" s="4" t="s">
        <v>2276</v>
      </c>
      <c r="O2327" s="4" t="s">
        <v>2276</v>
      </c>
      <c r="P2327" s="4" t="s">
        <v>2276</v>
      </c>
      <c r="Q2327" s="4" t="s">
        <v>2276</v>
      </c>
      <c r="R2327" s="4" t="s">
        <v>2276</v>
      </c>
      <c r="S2327" s="4" t="s">
        <v>2276</v>
      </c>
      <c r="T2327" s="4" t="s">
        <v>2276</v>
      </c>
      <c r="U2327" s="4" t="s">
        <v>2276</v>
      </c>
      <c r="V2327" s="4" t="s">
        <v>2276</v>
      </c>
      <c r="W2327" s="4" t="s">
        <v>2276</v>
      </c>
      <c r="X2327" s="4" t="s">
        <v>2276</v>
      </c>
      <c r="Y2327" s="4" t="s">
        <v>2276</v>
      </c>
      <c r="Z2327" s="4" t="s">
        <v>2276</v>
      </c>
      <c r="AA2327" s="4" t="s">
        <v>2276</v>
      </c>
      <c r="AB2327" s="4" t="s">
        <v>2276</v>
      </c>
      <c r="AC2327" s="4" t="s">
        <v>6914</v>
      </c>
      <c r="AD2327" s="4"/>
    </row>
    <row r="2328" spans="1:30" s="205" customFormat="1" ht="65.5" customHeight="1">
      <c r="A2328" s="4" t="s">
        <v>6184</v>
      </c>
      <c r="B2328" s="4" t="s">
        <v>6927</v>
      </c>
      <c r="C2328" s="204" t="s">
        <v>24</v>
      </c>
      <c r="D2328" s="4" t="s">
        <v>1245</v>
      </c>
      <c r="E2328" s="4" t="s">
        <v>3855</v>
      </c>
      <c r="F2328" s="4" t="s">
        <v>74</v>
      </c>
      <c r="G2328" s="4" t="s">
        <v>74</v>
      </c>
      <c r="H2328" s="4" t="s">
        <v>523</v>
      </c>
      <c r="I2328" s="4"/>
      <c r="J2328" s="4" t="s">
        <v>2276</v>
      </c>
      <c r="K2328" s="4" t="s">
        <v>2276</v>
      </c>
      <c r="L2328" s="4" t="s">
        <v>2276</v>
      </c>
      <c r="M2328" s="4" t="s">
        <v>2276</v>
      </c>
      <c r="N2328" s="4" t="s">
        <v>2276</v>
      </c>
      <c r="O2328" s="4" t="s">
        <v>2276</v>
      </c>
      <c r="P2328" s="4" t="s">
        <v>2276</v>
      </c>
      <c r="Q2328" s="4" t="s">
        <v>2276</v>
      </c>
      <c r="R2328" s="4" t="s">
        <v>2276</v>
      </c>
      <c r="S2328" s="4" t="s">
        <v>2276</v>
      </c>
      <c r="T2328" s="4" t="s">
        <v>2276</v>
      </c>
      <c r="U2328" s="4" t="s">
        <v>2276</v>
      </c>
      <c r="V2328" s="4" t="s">
        <v>2276</v>
      </c>
      <c r="W2328" s="4" t="s">
        <v>2276</v>
      </c>
      <c r="X2328" s="4" t="s">
        <v>2276</v>
      </c>
      <c r="Y2328" s="4" t="s">
        <v>2276</v>
      </c>
      <c r="Z2328" s="4" t="s">
        <v>2276</v>
      </c>
      <c r="AA2328" s="4" t="s">
        <v>2276</v>
      </c>
      <c r="AB2328" s="4" t="s">
        <v>2276</v>
      </c>
      <c r="AC2328" s="4"/>
      <c r="AD2328" s="4"/>
    </row>
    <row r="2329" spans="1:30" s="60" customFormat="1" ht="50" customHeight="1">
      <c r="A2329" s="4" t="s">
        <v>6185</v>
      </c>
      <c r="B2329" s="4" t="s">
        <v>6247</v>
      </c>
      <c r="C2329" s="4" t="s">
        <v>1105</v>
      </c>
      <c r="D2329" s="4" t="s">
        <v>1105</v>
      </c>
      <c r="E2329" s="4" t="s">
        <v>1105</v>
      </c>
      <c r="F2329" s="4" t="s">
        <v>2276</v>
      </c>
      <c r="G2329" s="4" t="s">
        <v>74</v>
      </c>
      <c r="H2329" s="4" t="s">
        <v>523</v>
      </c>
      <c r="I2329" s="4"/>
      <c r="J2329" s="75">
        <f>31348.8/19/'Record info'!$K$991</f>
        <v>0.49281267685342389</v>
      </c>
      <c r="K2329" s="4" t="s">
        <v>2276</v>
      </c>
      <c r="L2329" s="4" t="s">
        <v>2276</v>
      </c>
      <c r="M2329" s="4" t="s">
        <v>2276</v>
      </c>
      <c r="N2329" s="4" t="s">
        <v>2276</v>
      </c>
      <c r="O2329" s="4" t="s">
        <v>2276</v>
      </c>
      <c r="P2329" s="75">
        <v>2.8730000000000002</v>
      </c>
      <c r="Q2329" s="4" t="s">
        <v>2276</v>
      </c>
      <c r="R2329" s="4" t="s">
        <v>2276</v>
      </c>
      <c r="S2329" s="4" t="s">
        <v>2276</v>
      </c>
      <c r="T2329" s="75">
        <f>90072/19</f>
        <v>4740.6315789473683</v>
      </c>
      <c r="U2329" s="4" t="s">
        <v>2276</v>
      </c>
      <c r="V2329" s="75">
        <f>2502/3594*100/19</f>
        <v>3.6640014058518586</v>
      </c>
      <c r="W2329" s="4" t="s">
        <v>2276</v>
      </c>
      <c r="X2329" s="4" t="s">
        <v>2276</v>
      </c>
      <c r="Y2329" s="4" t="s">
        <v>2276</v>
      </c>
      <c r="Z2329" s="4" t="s">
        <v>2276</v>
      </c>
      <c r="AA2329" s="4" t="s">
        <v>2276</v>
      </c>
      <c r="AB2329" s="4" t="s">
        <v>2276</v>
      </c>
      <c r="AC2329" s="4" t="s">
        <v>6917</v>
      </c>
      <c r="AD2329" s="4"/>
    </row>
    <row r="2330" spans="1:30" s="205" customFormat="1" ht="53" customHeight="1">
      <c r="A2330" s="4" t="s">
        <v>6185</v>
      </c>
      <c r="B2330" s="4" t="s">
        <v>6918</v>
      </c>
      <c r="C2330" s="204" t="s">
        <v>24</v>
      </c>
      <c r="D2330" s="4" t="s">
        <v>2276</v>
      </c>
      <c r="E2330" s="4" t="s">
        <v>2649</v>
      </c>
      <c r="F2330" s="4" t="s">
        <v>74</v>
      </c>
      <c r="G2330" s="4" t="s">
        <v>74</v>
      </c>
      <c r="H2330" s="4" t="s">
        <v>523</v>
      </c>
      <c r="I2330" s="4"/>
      <c r="J2330" s="75">
        <f>J$2329*(0.741)-J2331-J2334</f>
        <v>0.24503188387096778</v>
      </c>
      <c r="K2330" s="4" t="s">
        <v>2276</v>
      </c>
      <c r="L2330" s="4" t="s">
        <v>2276</v>
      </c>
      <c r="M2330" s="4" t="s">
        <v>2276</v>
      </c>
      <c r="N2330" s="4" t="s">
        <v>2276</v>
      </c>
      <c r="O2330" s="4" t="s">
        <v>2276</v>
      </c>
      <c r="P2330" s="4" t="s">
        <v>2276</v>
      </c>
      <c r="Q2330" s="4" t="s">
        <v>2276</v>
      </c>
      <c r="R2330" s="4" t="s">
        <v>2276</v>
      </c>
      <c r="S2330" s="4" t="s">
        <v>2276</v>
      </c>
      <c r="T2330" s="4" t="s">
        <v>2276</v>
      </c>
      <c r="U2330" s="4" t="s">
        <v>2276</v>
      </c>
      <c r="V2330" s="4" t="s">
        <v>2276</v>
      </c>
      <c r="W2330" s="4" t="s">
        <v>2276</v>
      </c>
      <c r="X2330" s="4" t="s">
        <v>2276</v>
      </c>
      <c r="Y2330" s="4" t="s">
        <v>2276</v>
      </c>
      <c r="Z2330" s="4" t="s">
        <v>2276</v>
      </c>
      <c r="AA2330" s="4" t="s">
        <v>2276</v>
      </c>
      <c r="AB2330" s="4" t="s">
        <v>2276</v>
      </c>
      <c r="AC2330" s="4"/>
      <c r="AD2330" s="4"/>
    </row>
    <row r="2331" spans="1:30" s="205" customFormat="1" ht="51.5" customHeight="1">
      <c r="A2331" s="4" t="s">
        <v>6185</v>
      </c>
      <c r="B2331" s="4" t="s">
        <v>6919</v>
      </c>
      <c r="C2331" s="204" t="s">
        <v>24</v>
      </c>
      <c r="D2331" s="4" t="s">
        <v>2276</v>
      </c>
      <c r="E2331" s="4" t="s">
        <v>3855</v>
      </c>
      <c r="F2331" s="4" t="s">
        <v>74</v>
      </c>
      <c r="G2331" s="4" t="s">
        <v>74</v>
      </c>
      <c r="H2331" s="4" t="s">
        <v>523</v>
      </c>
      <c r="I2331" s="4"/>
      <c r="J2331" s="75">
        <f>J$2329*0.741*0.15</f>
        <v>5.4776129032258064E-2</v>
      </c>
      <c r="K2331" s="4" t="s">
        <v>2276</v>
      </c>
      <c r="L2331" s="4" t="s">
        <v>2276</v>
      </c>
      <c r="M2331" s="4" t="s">
        <v>2276</v>
      </c>
      <c r="N2331" s="4" t="s">
        <v>2276</v>
      </c>
      <c r="O2331" s="4" t="s">
        <v>2276</v>
      </c>
      <c r="P2331" s="4" t="s">
        <v>2276</v>
      </c>
      <c r="Q2331" s="4" t="s">
        <v>2276</v>
      </c>
      <c r="R2331" s="4" t="s">
        <v>2276</v>
      </c>
      <c r="S2331" s="4" t="s">
        <v>2276</v>
      </c>
      <c r="T2331" s="4" t="s">
        <v>2276</v>
      </c>
      <c r="U2331" s="4" t="s">
        <v>2276</v>
      </c>
      <c r="V2331" s="4" t="s">
        <v>2276</v>
      </c>
      <c r="W2331" s="4" t="s">
        <v>2276</v>
      </c>
      <c r="X2331" s="4" t="s">
        <v>2276</v>
      </c>
      <c r="Y2331" s="4" t="s">
        <v>2276</v>
      </c>
      <c r="Z2331" s="4" t="s">
        <v>2276</v>
      </c>
      <c r="AA2331" s="4" t="s">
        <v>2276</v>
      </c>
      <c r="AB2331" s="4" t="s">
        <v>2276</v>
      </c>
      <c r="AC2331" s="4"/>
      <c r="AD2331" s="4"/>
    </row>
    <row r="2332" spans="1:30" s="205" customFormat="1" ht="48" customHeight="1">
      <c r="A2332" s="4" t="s">
        <v>6185</v>
      </c>
      <c r="B2332" s="4" t="s">
        <v>6920</v>
      </c>
      <c r="C2332" s="204" t="s">
        <v>2458</v>
      </c>
      <c r="D2332" s="4" t="s">
        <v>2276</v>
      </c>
      <c r="E2332" s="4" t="s">
        <v>3855</v>
      </c>
      <c r="F2332" s="4" t="s">
        <v>2276</v>
      </c>
      <c r="G2332" s="4" t="s">
        <v>74</v>
      </c>
      <c r="H2332" s="4" t="s">
        <v>523</v>
      </c>
      <c r="I2332" s="4"/>
      <c r="J2332" s="75">
        <f>J$2329*0.023/2</f>
        <v>5.6673457838143744E-3</v>
      </c>
      <c r="K2332" s="4" t="s">
        <v>2276</v>
      </c>
      <c r="L2332" s="4" t="s">
        <v>2276</v>
      </c>
      <c r="M2332" s="4" t="s">
        <v>2276</v>
      </c>
      <c r="N2332" s="4" t="s">
        <v>2276</v>
      </c>
      <c r="O2332" s="4" t="s">
        <v>2276</v>
      </c>
      <c r="P2332" s="4" t="s">
        <v>2276</v>
      </c>
      <c r="Q2332" s="4" t="s">
        <v>2276</v>
      </c>
      <c r="R2332" s="4" t="s">
        <v>2276</v>
      </c>
      <c r="S2332" s="4" t="s">
        <v>2276</v>
      </c>
      <c r="T2332" s="4" t="s">
        <v>2276</v>
      </c>
      <c r="U2332" s="4" t="s">
        <v>2276</v>
      </c>
      <c r="V2332" s="4" t="s">
        <v>2276</v>
      </c>
      <c r="W2332" s="4" t="s">
        <v>2276</v>
      </c>
      <c r="X2332" s="4" t="s">
        <v>2276</v>
      </c>
      <c r="Y2332" s="4" t="s">
        <v>2276</v>
      </c>
      <c r="Z2332" s="4" t="s">
        <v>2276</v>
      </c>
      <c r="AA2332" s="4" t="s">
        <v>2276</v>
      </c>
      <c r="AB2332" s="4" t="s">
        <v>2276</v>
      </c>
      <c r="AC2332" s="4"/>
      <c r="AD2332" s="4"/>
    </row>
    <row r="2333" spans="1:30" s="205" customFormat="1" ht="46.5" customHeight="1">
      <c r="A2333" s="4" t="s">
        <v>6185</v>
      </c>
      <c r="B2333" s="4" t="s">
        <v>6921</v>
      </c>
      <c r="C2333" s="204" t="s">
        <v>2458</v>
      </c>
      <c r="D2333" s="4" t="s">
        <v>2276</v>
      </c>
      <c r="E2333" s="4" t="s">
        <v>2649</v>
      </c>
      <c r="F2333" s="4" t="s">
        <v>2662</v>
      </c>
      <c r="G2333" s="4" t="s">
        <v>74</v>
      </c>
      <c r="H2333" s="4" t="s">
        <v>523</v>
      </c>
      <c r="I2333" s="4"/>
      <c r="J2333" s="75">
        <f>J$2329*0.023/2</f>
        <v>5.6673457838143744E-3</v>
      </c>
      <c r="K2333" s="4" t="s">
        <v>2276</v>
      </c>
      <c r="L2333" s="4" t="s">
        <v>2276</v>
      </c>
      <c r="M2333" s="4" t="s">
        <v>2276</v>
      </c>
      <c r="N2333" s="4" t="s">
        <v>2276</v>
      </c>
      <c r="O2333" s="4" t="s">
        <v>2276</v>
      </c>
      <c r="P2333" s="4" t="s">
        <v>2276</v>
      </c>
      <c r="Q2333" s="4" t="s">
        <v>2276</v>
      </c>
      <c r="R2333" s="4" t="s">
        <v>2276</v>
      </c>
      <c r="S2333" s="4" t="s">
        <v>2276</v>
      </c>
      <c r="T2333" s="4" t="s">
        <v>2276</v>
      </c>
      <c r="U2333" s="4" t="s">
        <v>2276</v>
      </c>
      <c r="V2333" s="4" t="s">
        <v>2276</v>
      </c>
      <c r="W2333" s="4" t="s">
        <v>2276</v>
      </c>
      <c r="X2333" s="4" t="s">
        <v>2276</v>
      </c>
      <c r="Y2333" s="4" t="s">
        <v>2276</v>
      </c>
      <c r="Z2333" s="4" t="s">
        <v>2276</v>
      </c>
      <c r="AA2333" s="4" t="s">
        <v>2276</v>
      </c>
      <c r="AB2333" s="4" t="s">
        <v>2276</v>
      </c>
      <c r="AC2333" s="4"/>
      <c r="AD2333" s="4"/>
    </row>
    <row r="2334" spans="1:30" s="205" customFormat="1" ht="49" customHeight="1">
      <c r="A2334" s="4" t="s">
        <v>6185</v>
      </c>
      <c r="B2334" s="4" t="s">
        <v>6922</v>
      </c>
      <c r="C2334" s="204" t="s">
        <v>24</v>
      </c>
      <c r="D2334" s="4" t="s">
        <v>2346</v>
      </c>
      <c r="E2334" s="4" t="s">
        <v>3855</v>
      </c>
      <c r="F2334" s="4" t="s">
        <v>2663</v>
      </c>
      <c r="G2334" s="4" t="s">
        <v>2663</v>
      </c>
      <c r="H2334" s="4" t="s">
        <v>523</v>
      </c>
      <c r="I2334" s="4"/>
      <c r="J2334" s="75">
        <f>J$2329*0.179*0.741</f>
        <v>6.5366180645161281E-2</v>
      </c>
      <c r="K2334" s="4" t="s">
        <v>2276</v>
      </c>
      <c r="L2334" s="4" t="s">
        <v>2276</v>
      </c>
      <c r="M2334" s="4" t="s">
        <v>2276</v>
      </c>
      <c r="N2334" s="4" t="s">
        <v>2276</v>
      </c>
      <c r="O2334" s="4" t="s">
        <v>2276</v>
      </c>
      <c r="P2334" s="4" t="s">
        <v>2276</v>
      </c>
      <c r="Q2334" s="4" t="s">
        <v>2276</v>
      </c>
      <c r="R2334" s="4" t="s">
        <v>2276</v>
      </c>
      <c r="S2334" s="4" t="s">
        <v>2276</v>
      </c>
      <c r="T2334" s="4" t="s">
        <v>2276</v>
      </c>
      <c r="U2334" s="4" t="s">
        <v>2276</v>
      </c>
      <c r="V2334" s="4" t="s">
        <v>2276</v>
      </c>
      <c r="W2334" s="4" t="s">
        <v>2276</v>
      </c>
      <c r="X2334" s="4" t="s">
        <v>2276</v>
      </c>
      <c r="Y2334" s="4" t="s">
        <v>2276</v>
      </c>
      <c r="Z2334" s="4" t="s">
        <v>2276</v>
      </c>
      <c r="AA2334" s="4" t="s">
        <v>2276</v>
      </c>
      <c r="AB2334" s="4" t="s">
        <v>2276</v>
      </c>
      <c r="AC2334" s="4"/>
      <c r="AD2334" s="4"/>
    </row>
    <row r="2335" spans="1:30" s="205" customFormat="1" ht="49" customHeight="1">
      <c r="A2335" s="4" t="s">
        <v>6185</v>
      </c>
      <c r="B2335" s="4" t="s">
        <v>6923</v>
      </c>
      <c r="C2335" s="204" t="s">
        <v>31</v>
      </c>
      <c r="D2335" s="4" t="s">
        <v>30</v>
      </c>
      <c r="E2335" s="4" t="s">
        <v>2276</v>
      </c>
      <c r="F2335" s="4" t="s">
        <v>2276</v>
      </c>
      <c r="G2335" s="4" t="s">
        <v>74</v>
      </c>
      <c r="H2335" s="4" t="s">
        <v>523</v>
      </c>
      <c r="I2335" s="4"/>
      <c r="J2335" s="75">
        <f>J$2329*0.028</f>
        <v>1.3798754951895869E-2</v>
      </c>
      <c r="K2335" s="4" t="s">
        <v>2276</v>
      </c>
      <c r="L2335" s="4" t="s">
        <v>2276</v>
      </c>
      <c r="M2335" s="4" t="s">
        <v>2276</v>
      </c>
      <c r="N2335" s="4" t="s">
        <v>2276</v>
      </c>
      <c r="O2335" s="4" t="s">
        <v>2276</v>
      </c>
      <c r="P2335" s="4" t="s">
        <v>2276</v>
      </c>
      <c r="Q2335" s="4" t="s">
        <v>2276</v>
      </c>
      <c r="R2335" s="4" t="s">
        <v>2276</v>
      </c>
      <c r="S2335" s="4" t="s">
        <v>2276</v>
      </c>
      <c r="T2335" s="4" t="s">
        <v>2276</v>
      </c>
      <c r="U2335" s="4" t="s">
        <v>2276</v>
      </c>
      <c r="V2335" s="4" t="s">
        <v>2276</v>
      </c>
      <c r="W2335" s="4" t="s">
        <v>2276</v>
      </c>
      <c r="X2335" s="4" t="s">
        <v>2276</v>
      </c>
      <c r="Y2335" s="4" t="s">
        <v>2276</v>
      </c>
      <c r="Z2335" s="4" t="s">
        <v>2276</v>
      </c>
      <c r="AA2335" s="4" t="s">
        <v>2276</v>
      </c>
      <c r="AB2335" s="4" t="s">
        <v>2276</v>
      </c>
      <c r="AC2335" s="4"/>
      <c r="AD2335" s="4"/>
    </row>
    <row r="2336" spans="1:30" s="205" customFormat="1" ht="49" customHeight="1">
      <c r="A2336" s="4" t="s">
        <v>6185</v>
      </c>
      <c r="B2336" s="4" t="s">
        <v>6924</v>
      </c>
      <c r="C2336" s="204" t="s">
        <v>2656</v>
      </c>
      <c r="D2336" s="4" t="s">
        <v>2276</v>
      </c>
      <c r="E2336" s="4" t="s">
        <v>3855</v>
      </c>
      <c r="F2336" s="4" t="s">
        <v>2276</v>
      </c>
      <c r="G2336" s="4" t="s">
        <v>74</v>
      </c>
      <c r="H2336" s="4" t="s">
        <v>523</v>
      </c>
      <c r="I2336" s="4"/>
      <c r="J2336" s="75">
        <f>J$2329*0.002</f>
        <v>9.8562535370684784E-4</v>
      </c>
      <c r="K2336" s="4" t="s">
        <v>2276</v>
      </c>
      <c r="L2336" s="4" t="s">
        <v>2276</v>
      </c>
      <c r="M2336" s="4" t="s">
        <v>2276</v>
      </c>
      <c r="N2336" s="4" t="s">
        <v>2276</v>
      </c>
      <c r="O2336" s="4" t="s">
        <v>2276</v>
      </c>
      <c r="P2336" s="4" t="s">
        <v>2276</v>
      </c>
      <c r="Q2336" s="4" t="s">
        <v>2276</v>
      </c>
      <c r="R2336" s="4" t="s">
        <v>2276</v>
      </c>
      <c r="S2336" s="4" t="s">
        <v>2276</v>
      </c>
      <c r="T2336" s="4" t="s">
        <v>2276</v>
      </c>
      <c r="U2336" s="4" t="s">
        <v>2276</v>
      </c>
      <c r="V2336" s="4" t="s">
        <v>2276</v>
      </c>
      <c r="W2336" s="4" t="s">
        <v>2276</v>
      </c>
      <c r="X2336" s="4" t="s">
        <v>2276</v>
      </c>
      <c r="Y2336" s="4" t="s">
        <v>2276</v>
      </c>
      <c r="Z2336" s="4" t="s">
        <v>2276</v>
      </c>
      <c r="AA2336" s="4" t="s">
        <v>2276</v>
      </c>
      <c r="AB2336" s="4" t="s">
        <v>2276</v>
      </c>
      <c r="AD2336" s="4"/>
    </row>
    <row r="2337" spans="1:30" s="205" customFormat="1" ht="49" customHeight="1">
      <c r="A2337" s="4" t="s">
        <v>6185</v>
      </c>
      <c r="B2337" s="4" t="s">
        <v>6925</v>
      </c>
      <c r="C2337" s="204" t="s">
        <v>2658</v>
      </c>
      <c r="D2337" s="4" t="s">
        <v>2276</v>
      </c>
      <c r="E2337" s="4" t="s">
        <v>2276</v>
      </c>
      <c r="F2337" s="4" t="s">
        <v>2276</v>
      </c>
      <c r="G2337" s="4" t="s">
        <v>74</v>
      </c>
      <c r="H2337" s="4" t="s">
        <v>523</v>
      </c>
      <c r="I2337" s="4"/>
      <c r="J2337" s="75">
        <f>J2329*0.169</f>
        <v>8.3285342388228642E-2</v>
      </c>
      <c r="K2337" s="4" t="s">
        <v>2276</v>
      </c>
      <c r="L2337" s="4" t="s">
        <v>2276</v>
      </c>
      <c r="M2337" s="4" t="s">
        <v>2276</v>
      </c>
      <c r="N2337" s="4" t="s">
        <v>2276</v>
      </c>
      <c r="O2337" s="4" t="s">
        <v>2276</v>
      </c>
      <c r="P2337" s="4" t="s">
        <v>2276</v>
      </c>
      <c r="Q2337" s="4" t="s">
        <v>2276</v>
      </c>
      <c r="R2337" s="4" t="s">
        <v>2276</v>
      </c>
      <c r="S2337" s="4" t="s">
        <v>2276</v>
      </c>
      <c r="T2337" s="4" t="s">
        <v>2276</v>
      </c>
      <c r="U2337" s="4" t="s">
        <v>2276</v>
      </c>
      <c r="V2337" s="4" t="s">
        <v>2276</v>
      </c>
      <c r="W2337" s="4" t="s">
        <v>2276</v>
      </c>
      <c r="X2337" s="4" t="s">
        <v>2276</v>
      </c>
      <c r="Y2337" s="4" t="s">
        <v>2276</v>
      </c>
      <c r="Z2337" s="4" t="s">
        <v>2276</v>
      </c>
      <c r="AA2337" s="4" t="s">
        <v>2276</v>
      </c>
      <c r="AB2337" s="4" t="s">
        <v>2276</v>
      </c>
      <c r="AC2337" s="4"/>
      <c r="AD2337" s="4"/>
    </row>
    <row r="2338" spans="1:30" s="205" customFormat="1" ht="49" customHeight="1">
      <c r="A2338" s="4" t="s">
        <v>6186</v>
      </c>
      <c r="B2338" s="4" t="s">
        <v>6248</v>
      </c>
      <c r="C2338" s="4" t="s">
        <v>1105</v>
      </c>
      <c r="D2338" s="4" t="s">
        <v>1105</v>
      </c>
      <c r="E2338" s="4" t="s">
        <v>1105</v>
      </c>
      <c r="F2338" s="4" t="s">
        <v>2276</v>
      </c>
      <c r="G2338" s="4" t="s">
        <v>74</v>
      </c>
      <c r="H2338" s="4" t="s">
        <v>523</v>
      </c>
      <c r="I2338" s="4"/>
      <c r="J2338" s="75">
        <f>29666.6/19/'Record info'!$K$992</f>
        <v>0.45376344086021503</v>
      </c>
      <c r="K2338" s="4" t="s">
        <v>2276</v>
      </c>
      <c r="L2338" s="4" t="s">
        <v>2276</v>
      </c>
      <c r="M2338" s="4" t="s">
        <v>2276</v>
      </c>
      <c r="N2338" s="4" t="s">
        <v>2276</v>
      </c>
      <c r="O2338" s="4" t="s">
        <v>2276</v>
      </c>
      <c r="P2338" s="75">
        <v>4.4287850000000004</v>
      </c>
      <c r="Q2338" s="4" t="s">
        <v>2276</v>
      </c>
      <c r="R2338" s="4" t="s">
        <v>2276</v>
      </c>
      <c r="S2338" s="4" t="s">
        <v>2276</v>
      </c>
      <c r="T2338" s="75">
        <v>131387</v>
      </c>
      <c r="U2338" s="4" t="s">
        <v>2276</v>
      </c>
      <c r="V2338" s="75">
        <f>3551/7577*100/19</f>
        <v>2.4666060029313086</v>
      </c>
      <c r="W2338" s="4" t="s">
        <v>2276</v>
      </c>
      <c r="X2338" s="4" t="s">
        <v>2276</v>
      </c>
      <c r="Y2338" s="4" t="s">
        <v>2276</v>
      </c>
      <c r="Z2338" s="4" t="s">
        <v>2276</v>
      </c>
      <c r="AA2338" s="4" t="s">
        <v>2276</v>
      </c>
      <c r="AB2338" s="4" t="s">
        <v>2276</v>
      </c>
      <c r="AC2338" s="4"/>
      <c r="AD2338" s="4"/>
    </row>
    <row r="2339" spans="1:30" s="205" customFormat="1" ht="49" customHeight="1">
      <c r="A2339" s="4" t="s">
        <v>6186</v>
      </c>
      <c r="B2339" s="4" t="s">
        <v>6929</v>
      </c>
      <c r="C2339" s="204" t="s">
        <v>24</v>
      </c>
      <c r="D2339" s="4" t="s">
        <v>2276</v>
      </c>
      <c r="E2339" s="4" t="s">
        <v>2649</v>
      </c>
      <c r="F2339" s="4" t="s">
        <v>74</v>
      </c>
      <c r="G2339" s="4" t="s">
        <v>74</v>
      </c>
      <c r="H2339" s="4" t="s">
        <v>523</v>
      </c>
      <c r="I2339" s="4"/>
      <c r="J2339" s="75">
        <f>J2338*(0.881)-J2340-J2343</f>
        <v>0.23227379139784948</v>
      </c>
      <c r="K2339" s="4" t="s">
        <v>2276</v>
      </c>
      <c r="L2339" s="4" t="s">
        <v>2276</v>
      </c>
      <c r="M2339" s="4" t="s">
        <v>2276</v>
      </c>
      <c r="N2339" s="4" t="s">
        <v>2276</v>
      </c>
      <c r="O2339" s="4" t="s">
        <v>2276</v>
      </c>
      <c r="P2339" s="4" t="s">
        <v>2276</v>
      </c>
      <c r="Q2339" s="4" t="s">
        <v>2276</v>
      </c>
      <c r="R2339" s="4" t="s">
        <v>2276</v>
      </c>
      <c r="S2339" s="4" t="s">
        <v>2276</v>
      </c>
      <c r="T2339" s="4" t="s">
        <v>2276</v>
      </c>
      <c r="U2339" s="4" t="s">
        <v>2276</v>
      </c>
      <c r="V2339" s="4" t="s">
        <v>2276</v>
      </c>
      <c r="W2339" s="4" t="s">
        <v>2276</v>
      </c>
      <c r="X2339" s="4" t="s">
        <v>2276</v>
      </c>
      <c r="Y2339" s="4" t="s">
        <v>2276</v>
      </c>
      <c r="Z2339" s="4" t="s">
        <v>2276</v>
      </c>
      <c r="AA2339" s="4" t="s">
        <v>2276</v>
      </c>
      <c r="AB2339" s="4" t="s">
        <v>2276</v>
      </c>
      <c r="AC2339" s="4"/>
      <c r="AD2339" s="4"/>
    </row>
    <row r="2340" spans="1:30" s="205" customFormat="1" ht="49" customHeight="1">
      <c r="A2340" s="4" t="s">
        <v>6186</v>
      </c>
      <c r="B2340" s="4" t="s">
        <v>6930</v>
      </c>
      <c r="C2340" s="204" t="s">
        <v>24</v>
      </c>
      <c r="D2340" s="4" t="s">
        <v>2276</v>
      </c>
      <c r="E2340" s="4" t="s">
        <v>3855</v>
      </c>
      <c r="F2340" s="4" t="s">
        <v>74</v>
      </c>
      <c r="G2340" s="4" t="s">
        <v>74</v>
      </c>
      <c r="H2340" s="4" t="s">
        <v>523</v>
      </c>
      <c r="I2340" s="4"/>
      <c r="J2340" s="75">
        <f>J2338*0.741*(0.376+0.115)</f>
        <v>0.16509320645161288</v>
      </c>
      <c r="K2340" s="4" t="s">
        <v>2276</v>
      </c>
      <c r="L2340" s="4" t="s">
        <v>2276</v>
      </c>
      <c r="M2340" s="4" t="s">
        <v>2276</v>
      </c>
      <c r="N2340" s="4" t="s">
        <v>2276</v>
      </c>
      <c r="O2340" s="4" t="s">
        <v>2276</v>
      </c>
      <c r="P2340" s="4" t="s">
        <v>2276</v>
      </c>
      <c r="Q2340" s="4" t="s">
        <v>2276</v>
      </c>
      <c r="R2340" s="4" t="s">
        <v>2276</v>
      </c>
      <c r="S2340" s="4" t="s">
        <v>2276</v>
      </c>
      <c r="T2340" s="4" t="s">
        <v>2276</v>
      </c>
      <c r="U2340" s="4" t="s">
        <v>2276</v>
      </c>
      <c r="V2340" s="4" t="s">
        <v>2276</v>
      </c>
      <c r="W2340" s="4" t="s">
        <v>2276</v>
      </c>
      <c r="X2340" s="4" t="s">
        <v>2276</v>
      </c>
      <c r="Y2340" s="4" t="s">
        <v>2276</v>
      </c>
      <c r="Z2340" s="4" t="s">
        <v>2276</v>
      </c>
      <c r="AA2340" s="4" t="s">
        <v>2276</v>
      </c>
      <c r="AB2340" s="4" t="s">
        <v>2276</v>
      </c>
      <c r="AC2340" s="4"/>
      <c r="AD2340" s="4"/>
    </row>
    <row r="2341" spans="1:30" s="205" customFormat="1" ht="49" customHeight="1">
      <c r="A2341" s="4" t="s">
        <v>6186</v>
      </c>
      <c r="B2341" s="4" t="s">
        <v>6931</v>
      </c>
      <c r="C2341" s="204" t="s">
        <v>2458</v>
      </c>
      <c r="D2341" s="4" t="s">
        <v>2276</v>
      </c>
      <c r="E2341" s="4" t="s">
        <v>3855</v>
      </c>
      <c r="F2341" s="4" t="s">
        <v>2276</v>
      </c>
      <c r="G2341" s="4" t="s">
        <v>74</v>
      </c>
      <c r="H2341" s="4" t="s">
        <v>523</v>
      </c>
      <c r="I2341" s="4"/>
      <c r="J2341" s="75">
        <f>J2338*0.013/2</f>
        <v>2.9494623655913974E-3</v>
      </c>
      <c r="K2341" s="4" t="s">
        <v>2276</v>
      </c>
      <c r="L2341" s="4" t="s">
        <v>2276</v>
      </c>
      <c r="M2341" s="4" t="s">
        <v>2276</v>
      </c>
      <c r="N2341" s="4" t="s">
        <v>2276</v>
      </c>
      <c r="O2341" s="4" t="s">
        <v>2276</v>
      </c>
      <c r="P2341" s="4" t="s">
        <v>2276</v>
      </c>
      <c r="Q2341" s="4" t="s">
        <v>2276</v>
      </c>
      <c r="R2341" s="4" t="s">
        <v>2276</v>
      </c>
      <c r="S2341" s="4" t="s">
        <v>2276</v>
      </c>
      <c r="T2341" s="4" t="s">
        <v>2276</v>
      </c>
      <c r="U2341" s="4" t="s">
        <v>2276</v>
      </c>
      <c r="V2341" s="4" t="s">
        <v>2276</v>
      </c>
      <c r="W2341" s="4" t="s">
        <v>2276</v>
      </c>
      <c r="X2341" s="4" t="s">
        <v>2276</v>
      </c>
      <c r="Y2341" s="4" t="s">
        <v>2276</v>
      </c>
      <c r="Z2341" s="4" t="s">
        <v>2276</v>
      </c>
      <c r="AA2341" s="4" t="s">
        <v>2276</v>
      </c>
      <c r="AB2341" s="4" t="s">
        <v>2276</v>
      </c>
      <c r="AC2341" s="4"/>
      <c r="AD2341" s="4"/>
    </row>
    <row r="2342" spans="1:30" s="205" customFormat="1" ht="49" customHeight="1">
      <c r="A2342" s="4" t="s">
        <v>6186</v>
      </c>
      <c r="B2342" s="4" t="s">
        <v>6932</v>
      </c>
      <c r="C2342" s="204" t="s">
        <v>2458</v>
      </c>
      <c r="D2342" s="4" t="s">
        <v>2276</v>
      </c>
      <c r="E2342" s="4" t="s">
        <v>2649</v>
      </c>
      <c r="F2342" s="4" t="s">
        <v>2662</v>
      </c>
      <c r="G2342" s="4" t="s">
        <v>74</v>
      </c>
      <c r="H2342" s="4" t="s">
        <v>523</v>
      </c>
      <c r="I2342" s="4"/>
      <c r="J2342" s="75">
        <f>J2338*0.013/2</f>
        <v>2.9494623655913974E-3</v>
      </c>
      <c r="K2342" s="4" t="s">
        <v>2276</v>
      </c>
      <c r="L2342" s="4" t="s">
        <v>2276</v>
      </c>
      <c r="M2342" s="4" t="s">
        <v>2276</v>
      </c>
      <c r="N2342" s="4" t="s">
        <v>2276</v>
      </c>
      <c r="O2342" s="4" t="s">
        <v>2276</v>
      </c>
      <c r="P2342" s="4" t="s">
        <v>2276</v>
      </c>
      <c r="Q2342" s="4" t="s">
        <v>2276</v>
      </c>
      <c r="R2342" s="4" t="s">
        <v>2276</v>
      </c>
      <c r="S2342" s="4" t="s">
        <v>2276</v>
      </c>
      <c r="T2342" s="4" t="s">
        <v>2276</v>
      </c>
      <c r="U2342" s="4" t="s">
        <v>2276</v>
      </c>
      <c r="V2342" s="4" t="s">
        <v>2276</v>
      </c>
      <c r="W2342" s="4" t="s">
        <v>2276</v>
      </c>
      <c r="X2342" s="4" t="s">
        <v>2276</v>
      </c>
      <c r="Y2342" s="4" t="s">
        <v>2276</v>
      </c>
      <c r="Z2342" s="4" t="s">
        <v>2276</v>
      </c>
      <c r="AA2342" s="4" t="s">
        <v>2276</v>
      </c>
      <c r="AB2342" s="4" t="s">
        <v>2276</v>
      </c>
      <c r="AC2342" s="4"/>
      <c r="AD2342" s="4"/>
    </row>
    <row r="2343" spans="1:30" s="205" customFormat="1" ht="49" customHeight="1">
      <c r="A2343" s="4" t="s">
        <v>6186</v>
      </c>
      <c r="B2343" s="4" t="s">
        <v>6933</v>
      </c>
      <c r="C2343" s="204" t="s">
        <v>24</v>
      </c>
      <c r="D2343" s="4" t="s">
        <v>2346</v>
      </c>
      <c r="E2343" s="4" t="s">
        <v>3855</v>
      </c>
      <c r="F2343" s="4" t="s">
        <v>2663</v>
      </c>
      <c r="G2343" s="4" t="s">
        <v>2663</v>
      </c>
      <c r="H2343" s="4" t="s">
        <v>523</v>
      </c>
      <c r="I2343" s="4"/>
      <c r="J2343" s="75">
        <f>J2338*0.006*0.881</f>
        <v>2.3985935483870967E-3</v>
      </c>
      <c r="K2343" s="4" t="s">
        <v>2276</v>
      </c>
      <c r="L2343" s="4" t="s">
        <v>2276</v>
      </c>
      <c r="M2343" s="4" t="s">
        <v>2276</v>
      </c>
      <c r="N2343" s="4" t="s">
        <v>2276</v>
      </c>
      <c r="O2343" s="4" t="s">
        <v>2276</v>
      </c>
      <c r="P2343" s="4" t="s">
        <v>2276</v>
      </c>
      <c r="Q2343" s="4" t="s">
        <v>2276</v>
      </c>
      <c r="R2343" s="4" t="s">
        <v>2276</v>
      </c>
      <c r="S2343" s="4" t="s">
        <v>2276</v>
      </c>
      <c r="T2343" s="4" t="s">
        <v>2276</v>
      </c>
      <c r="U2343" s="4" t="s">
        <v>2276</v>
      </c>
      <c r="V2343" s="4" t="s">
        <v>2276</v>
      </c>
      <c r="W2343" s="4" t="s">
        <v>2276</v>
      </c>
      <c r="X2343" s="4" t="s">
        <v>2276</v>
      </c>
      <c r="Y2343" s="4" t="s">
        <v>2276</v>
      </c>
      <c r="Z2343" s="4" t="s">
        <v>2276</v>
      </c>
      <c r="AA2343" s="4" t="s">
        <v>2276</v>
      </c>
      <c r="AB2343" s="4" t="s">
        <v>2276</v>
      </c>
      <c r="AC2343" s="4"/>
      <c r="AD2343" s="4"/>
    </row>
    <row r="2344" spans="1:30" s="205" customFormat="1" ht="49" customHeight="1">
      <c r="A2344" s="4" t="s">
        <v>6186</v>
      </c>
      <c r="B2344" s="4" t="s">
        <v>6934</v>
      </c>
      <c r="C2344" s="204" t="s">
        <v>31</v>
      </c>
      <c r="D2344" s="4" t="s">
        <v>30</v>
      </c>
      <c r="E2344" s="4" t="s">
        <v>2276</v>
      </c>
      <c r="F2344" s="4" t="s">
        <v>2276</v>
      </c>
      <c r="G2344" s="4" t="s">
        <v>74</v>
      </c>
      <c r="H2344" s="4" t="s">
        <v>523</v>
      </c>
      <c r="I2344" s="4"/>
      <c r="J2344" s="75">
        <f>J2338*0.015</f>
        <v>6.8064516129032254E-3</v>
      </c>
      <c r="K2344" s="4" t="s">
        <v>2276</v>
      </c>
      <c r="L2344" s="4" t="s">
        <v>2276</v>
      </c>
      <c r="M2344" s="4" t="s">
        <v>2276</v>
      </c>
      <c r="N2344" s="4" t="s">
        <v>2276</v>
      </c>
      <c r="O2344" s="4" t="s">
        <v>2276</v>
      </c>
      <c r="P2344" s="4" t="s">
        <v>2276</v>
      </c>
      <c r="Q2344" s="4" t="s">
        <v>2276</v>
      </c>
      <c r="R2344" s="4" t="s">
        <v>2276</v>
      </c>
      <c r="S2344" s="4" t="s">
        <v>2276</v>
      </c>
      <c r="T2344" s="4" t="s">
        <v>2276</v>
      </c>
      <c r="U2344" s="4" t="s">
        <v>2276</v>
      </c>
      <c r="V2344" s="4" t="s">
        <v>2276</v>
      </c>
      <c r="W2344" s="4" t="s">
        <v>2276</v>
      </c>
      <c r="X2344" s="4" t="s">
        <v>2276</v>
      </c>
      <c r="Y2344" s="4" t="s">
        <v>2276</v>
      </c>
      <c r="Z2344" s="4" t="s">
        <v>2276</v>
      </c>
      <c r="AA2344" s="4" t="s">
        <v>2276</v>
      </c>
      <c r="AB2344" s="4" t="s">
        <v>2276</v>
      </c>
      <c r="AC2344" s="4"/>
      <c r="AD2344" s="4"/>
    </row>
    <row r="2345" spans="1:30" s="205" customFormat="1" ht="49" customHeight="1">
      <c r="A2345" s="4" t="s">
        <v>6186</v>
      </c>
      <c r="B2345" s="4" t="s">
        <v>6935</v>
      </c>
      <c r="C2345" s="204" t="s">
        <v>2656</v>
      </c>
      <c r="D2345" s="4" t="s">
        <v>2276</v>
      </c>
      <c r="E2345" s="4" t="s">
        <v>3855</v>
      </c>
      <c r="F2345" s="4" t="s">
        <v>2276</v>
      </c>
      <c r="G2345" s="4" t="s">
        <v>74</v>
      </c>
      <c r="H2345" s="4" t="s">
        <v>523</v>
      </c>
      <c r="I2345" s="4"/>
      <c r="J2345" s="75">
        <f>J2338*0.008</f>
        <v>3.6301075268817201E-3</v>
      </c>
      <c r="K2345" s="4" t="s">
        <v>2276</v>
      </c>
      <c r="L2345" s="4" t="s">
        <v>2276</v>
      </c>
      <c r="M2345" s="4" t="s">
        <v>2276</v>
      </c>
      <c r="N2345" s="4" t="s">
        <v>2276</v>
      </c>
      <c r="O2345" s="4" t="s">
        <v>2276</v>
      </c>
      <c r="P2345" s="4" t="s">
        <v>2276</v>
      </c>
      <c r="Q2345" s="4" t="s">
        <v>2276</v>
      </c>
      <c r="R2345" s="4" t="s">
        <v>2276</v>
      </c>
      <c r="S2345" s="4" t="s">
        <v>2276</v>
      </c>
      <c r="T2345" s="4" t="s">
        <v>2276</v>
      </c>
      <c r="U2345" s="4" t="s">
        <v>2276</v>
      </c>
      <c r="V2345" s="4" t="s">
        <v>2276</v>
      </c>
      <c r="W2345" s="4" t="s">
        <v>2276</v>
      </c>
      <c r="X2345" s="4" t="s">
        <v>2276</v>
      </c>
      <c r="Y2345" s="4" t="s">
        <v>2276</v>
      </c>
      <c r="Z2345" s="4" t="s">
        <v>2276</v>
      </c>
      <c r="AA2345" s="4" t="s">
        <v>2276</v>
      </c>
      <c r="AB2345" s="4" t="s">
        <v>2276</v>
      </c>
      <c r="AC2345" s="4"/>
      <c r="AD2345" s="4"/>
    </row>
    <row r="2346" spans="1:30" s="205" customFormat="1" ht="49" customHeight="1">
      <c r="A2346" s="4" t="s">
        <v>6186</v>
      </c>
      <c r="B2346" s="4" t="s">
        <v>6936</v>
      </c>
      <c r="C2346" s="204" t="s">
        <v>2658</v>
      </c>
      <c r="D2346" s="4" t="s">
        <v>2276</v>
      </c>
      <c r="E2346" s="4" t="s">
        <v>2276</v>
      </c>
      <c r="F2346" s="4" t="s">
        <v>2276</v>
      </c>
      <c r="G2346" s="4" t="s">
        <v>74</v>
      </c>
      <c r="H2346" s="4" t="s">
        <v>523</v>
      </c>
      <c r="I2346" s="4"/>
      <c r="J2346" s="75">
        <f>J2338*0.072</f>
        <v>3.267096774193548E-2</v>
      </c>
      <c r="K2346" s="4" t="s">
        <v>2276</v>
      </c>
      <c r="L2346" s="4" t="s">
        <v>2276</v>
      </c>
      <c r="M2346" s="4" t="s">
        <v>2276</v>
      </c>
      <c r="N2346" s="4" t="s">
        <v>2276</v>
      </c>
      <c r="O2346" s="4" t="s">
        <v>2276</v>
      </c>
      <c r="P2346" s="4" t="s">
        <v>2276</v>
      </c>
      <c r="Q2346" s="4" t="s">
        <v>2276</v>
      </c>
      <c r="R2346" s="4" t="s">
        <v>2276</v>
      </c>
      <c r="S2346" s="4" t="s">
        <v>2276</v>
      </c>
      <c r="T2346" s="4" t="s">
        <v>2276</v>
      </c>
      <c r="U2346" s="4" t="s">
        <v>2276</v>
      </c>
      <c r="V2346" s="4" t="s">
        <v>2276</v>
      </c>
      <c r="W2346" s="4" t="s">
        <v>2276</v>
      </c>
      <c r="X2346" s="4" t="s">
        <v>2276</v>
      </c>
      <c r="Y2346" s="4" t="s">
        <v>2276</v>
      </c>
      <c r="Z2346" s="4" t="s">
        <v>2276</v>
      </c>
      <c r="AA2346" s="4" t="s">
        <v>2276</v>
      </c>
      <c r="AB2346" s="4" t="s">
        <v>2276</v>
      </c>
      <c r="AC2346" s="4"/>
      <c r="AD2346" s="4"/>
    </row>
    <row r="2347" spans="1:30" s="205" customFormat="1" ht="49" customHeight="1">
      <c r="A2347" s="4" t="s">
        <v>6901</v>
      </c>
      <c r="B2347" s="4" t="s">
        <v>6937</v>
      </c>
      <c r="C2347" s="4" t="s">
        <v>1105</v>
      </c>
      <c r="D2347" s="4" t="s">
        <v>1105</v>
      </c>
      <c r="E2347" s="4" t="s">
        <v>1105</v>
      </c>
      <c r="F2347" s="4" t="s">
        <v>2276</v>
      </c>
      <c r="G2347" s="4" t="s">
        <v>74</v>
      </c>
      <c r="H2347" s="4" t="s">
        <v>523</v>
      </c>
      <c r="I2347" s="4"/>
      <c r="J2347" s="75">
        <f>52403.2/19/'Record info'!$K$993</f>
        <v>0.32235427277872097</v>
      </c>
      <c r="K2347" s="4" t="s">
        <v>2276</v>
      </c>
      <c r="L2347" s="4" t="s">
        <v>2276</v>
      </c>
      <c r="M2347" s="4" t="s">
        <v>2276</v>
      </c>
      <c r="N2347" s="4" t="s">
        <v>2276</v>
      </c>
      <c r="O2347" s="4" t="s">
        <v>2276</v>
      </c>
      <c r="P2347" s="75">
        <v>4.4740000000000002</v>
      </c>
      <c r="Q2347" s="4" t="s">
        <v>2276</v>
      </c>
      <c r="R2347" s="4" t="s">
        <v>2276</v>
      </c>
      <c r="S2347" s="4" t="s">
        <v>2276</v>
      </c>
      <c r="T2347" s="75">
        <v>248768</v>
      </c>
      <c r="U2347" s="4" t="s">
        <v>2276</v>
      </c>
      <c r="V2347" s="75">
        <f>2704/6261*100/19</f>
        <v>2.2730520599534296</v>
      </c>
      <c r="W2347" s="4" t="s">
        <v>2276</v>
      </c>
      <c r="X2347" s="4" t="s">
        <v>2276</v>
      </c>
      <c r="Y2347" s="4" t="s">
        <v>2276</v>
      </c>
      <c r="Z2347" s="4" t="s">
        <v>2276</v>
      </c>
      <c r="AA2347" s="4" t="s">
        <v>2276</v>
      </c>
      <c r="AB2347" s="4" t="s">
        <v>2276</v>
      </c>
      <c r="AC2347" s="4"/>
      <c r="AD2347" s="4"/>
    </row>
    <row r="2348" spans="1:30" s="205" customFormat="1" ht="49" customHeight="1">
      <c r="A2348" s="4" t="s">
        <v>6901</v>
      </c>
      <c r="B2348" s="4" t="s">
        <v>6938</v>
      </c>
      <c r="C2348" s="204" t="s">
        <v>24</v>
      </c>
      <c r="D2348" s="4" t="s">
        <v>2276</v>
      </c>
      <c r="E2348" s="4" t="s">
        <v>2649</v>
      </c>
      <c r="F2348" s="4" t="s">
        <v>74</v>
      </c>
      <c r="G2348" s="4" t="s">
        <v>74</v>
      </c>
      <c r="H2348" s="4" t="s">
        <v>523</v>
      </c>
      <c r="I2348" s="4"/>
      <c r="J2348" s="75">
        <f>J2347*(0.764)-J2349-J2352</f>
        <v>0.1977617675155631</v>
      </c>
      <c r="K2348" s="4" t="s">
        <v>2276</v>
      </c>
      <c r="L2348" s="4" t="s">
        <v>2276</v>
      </c>
      <c r="M2348" s="4" t="s">
        <v>2276</v>
      </c>
      <c r="N2348" s="4" t="s">
        <v>2276</v>
      </c>
      <c r="O2348" s="4" t="s">
        <v>2276</v>
      </c>
      <c r="P2348" s="4" t="s">
        <v>2276</v>
      </c>
      <c r="Q2348" s="4" t="s">
        <v>2276</v>
      </c>
      <c r="R2348" s="4" t="s">
        <v>2276</v>
      </c>
      <c r="S2348" s="4" t="s">
        <v>2276</v>
      </c>
      <c r="T2348" s="4" t="s">
        <v>2276</v>
      </c>
      <c r="U2348" s="4" t="s">
        <v>2276</v>
      </c>
      <c r="V2348" s="4" t="s">
        <v>2276</v>
      </c>
      <c r="W2348" s="4" t="s">
        <v>2276</v>
      </c>
      <c r="X2348" s="4" t="s">
        <v>2276</v>
      </c>
      <c r="Y2348" s="4" t="s">
        <v>2276</v>
      </c>
      <c r="Z2348" s="4" t="s">
        <v>2276</v>
      </c>
      <c r="AA2348" s="4" t="s">
        <v>2276</v>
      </c>
      <c r="AB2348" s="4" t="s">
        <v>2276</v>
      </c>
      <c r="AC2348" s="4"/>
      <c r="AD2348" s="4"/>
    </row>
    <row r="2349" spans="1:30" s="205" customFormat="1" ht="49" customHeight="1">
      <c r="A2349" s="4" t="s">
        <v>6901</v>
      </c>
      <c r="B2349" s="4" t="s">
        <v>6939</v>
      </c>
      <c r="C2349" s="204" t="s">
        <v>24</v>
      </c>
      <c r="D2349" s="4" t="s">
        <v>2276</v>
      </c>
      <c r="E2349" s="4" t="s">
        <v>3855</v>
      </c>
      <c r="F2349" s="4" t="s">
        <v>74</v>
      </c>
      <c r="G2349" s="4" t="s">
        <v>74</v>
      </c>
      <c r="H2349" s="4" t="s">
        <v>523</v>
      </c>
      <c r="I2349" s="4"/>
      <c r="J2349" s="75">
        <f>J2347*0.764*(0.178)</f>
        <v>4.3837602263723824E-2</v>
      </c>
      <c r="K2349" s="4" t="s">
        <v>2276</v>
      </c>
      <c r="L2349" s="4" t="s">
        <v>2276</v>
      </c>
      <c r="M2349" s="4" t="s">
        <v>2276</v>
      </c>
      <c r="N2349" s="4" t="s">
        <v>2276</v>
      </c>
      <c r="O2349" s="4" t="s">
        <v>2276</v>
      </c>
      <c r="P2349" s="4" t="s">
        <v>2276</v>
      </c>
      <c r="Q2349" s="4" t="s">
        <v>2276</v>
      </c>
      <c r="R2349" s="4" t="s">
        <v>2276</v>
      </c>
      <c r="S2349" s="4" t="s">
        <v>2276</v>
      </c>
      <c r="T2349" s="4" t="s">
        <v>2276</v>
      </c>
      <c r="U2349" s="4" t="s">
        <v>2276</v>
      </c>
      <c r="V2349" s="4" t="s">
        <v>2276</v>
      </c>
      <c r="W2349" s="4" t="s">
        <v>2276</v>
      </c>
      <c r="X2349" s="4" t="s">
        <v>2276</v>
      </c>
      <c r="Y2349" s="4" t="s">
        <v>2276</v>
      </c>
      <c r="Z2349" s="4" t="s">
        <v>2276</v>
      </c>
      <c r="AA2349" s="4" t="s">
        <v>2276</v>
      </c>
      <c r="AB2349" s="4" t="s">
        <v>2276</v>
      </c>
      <c r="AC2349" s="4"/>
      <c r="AD2349" s="4"/>
    </row>
    <row r="2350" spans="1:30" s="205" customFormat="1" ht="49" customHeight="1">
      <c r="A2350" s="4" t="s">
        <v>6901</v>
      </c>
      <c r="B2350" s="4" t="s">
        <v>6940</v>
      </c>
      <c r="C2350" s="204" t="s">
        <v>2458</v>
      </c>
      <c r="D2350" s="4" t="s">
        <v>2276</v>
      </c>
      <c r="E2350" s="4" t="s">
        <v>3855</v>
      </c>
      <c r="F2350" s="4" t="s">
        <v>2276</v>
      </c>
      <c r="G2350" s="4" t="s">
        <v>74</v>
      </c>
      <c r="H2350" s="4" t="s">
        <v>523</v>
      </c>
      <c r="I2350" s="4"/>
      <c r="J2350" s="75">
        <f>J2347*0.036/2</f>
        <v>5.8023769100169773E-3</v>
      </c>
      <c r="K2350" s="4" t="s">
        <v>2276</v>
      </c>
      <c r="L2350" s="4" t="s">
        <v>2276</v>
      </c>
      <c r="M2350" s="4" t="s">
        <v>2276</v>
      </c>
      <c r="N2350" s="4" t="s">
        <v>2276</v>
      </c>
      <c r="O2350" s="4" t="s">
        <v>2276</v>
      </c>
      <c r="P2350" s="4" t="s">
        <v>2276</v>
      </c>
      <c r="Q2350" s="4" t="s">
        <v>2276</v>
      </c>
      <c r="R2350" s="4" t="s">
        <v>2276</v>
      </c>
      <c r="S2350" s="4" t="s">
        <v>2276</v>
      </c>
      <c r="T2350" s="4" t="s">
        <v>2276</v>
      </c>
      <c r="U2350" s="4" t="s">
        <v>2276</v>
      </c>
      <c r="V2350" s="4" t="s">
        <v>2276</v>
      </c>
      <c r="W2350" s="4" t="s">
        <v>2276</v>
      </c>
      <c r="X2350" s="4" t="s">
        <v>2276</v>
      </c>
      <c r="Y2350" s="4" t="s">
        <v>2276</v>
      </c>
      <c r="Z2350" s="4" t="s">
        <v>2276</v>
      </c>
      <c r="AA2350" s="4" t="s">
        <v>2276</v>
      </c>
      <c r="AB2350" s="4" t="s">
        <v>2276</v>
      </c>
      <c r="AC2350" s="4"/>
      <c r="AD2350" s="4"/>
    </row>
    <row r="2351" spans="1:30" s="205" customFormat="1" ht="49" customHeight="1">
      <c r="A2351" s="4" t="s">
        <v>6901</v>
      </c>
      <c r="B2351" s="4" t="s">
        <v>6941</v>
      </c>
      <c r="C2351" s="204" t="s">
        <v>2458</v>
      </c>
      <c r="D2351" s="4" t="s">
        <v>2276</v>
      </c>
      <c r="E2351" s="4" t="s">
        <v>2649</v>
      </c>
      <c r="F2351" s="4" t="s">
        <v>2662</v>
      </c>
      <c r="G2351" s="4" t="s">
        <v>74</v>
      </c>
      <c r="H2351" s="4" t="s">
        <v>523</v>
      </c>
      <c r="I2351" s="4"/>
      <c r="J2351" s="75">
        <f>J2347*0.036/2</f>
        <v>5.8023769100169773E-3</v>
      </c>
      <c r="K2351" s="4" t="s">
        <v>2276</v>
      </c>
      <c r="L2351" s="4" t="s">
        <v>2276</v>
      </c>
      <c r="M2351" s="4" t="s">
        <v>2276</v>
      </c>
      <c r="N2351" s="4" t="s">
        <v>2276</v>
      </c>
      <c r="O2351" s="4" t="s">
        <v>2276</v>
      </c>
      <c r="P2351" s="4" t="s">
        <v>2276</v>
      </c>
      <c r="Q2351" s="4" t="s">
        <v>2276</v>
      </c>
      <c r="R2351" s="4" t="s">
        <v>2276</v>
      </c>
      <c r="S2351" s="4" t="s">
        <v>2276</v>
      </c>
      <c r="T2351" s="4" t="s">
        <v>2276</v>
      </c>
      <c r="U2351" s="4" t="s">
        <v>2276</v>
      </c>
      <c r="V2351" s="4" t="s">
        <v>2276</v>
      </c>
      <c r="W2351" s="4" t="s">
        <v>2276</v>
      </c>
      <c r="X2351" s="4" t="s">
        <v>2276</v>
      </c>
      <c r="Y2351" s="4" t="s">
        <v>2276</v>
      </c>
      <c r="Z2351" s="4" t="s">
        <v>2276</v>
      </c>
      <c r="AA2351" s="4" t="s">
        <v>2276</v>
      </c>
      <c r="AB2351" s="4" t="s">
        <v>2276</v>
      </c>
      <c r="AC2351" s="4"/>
      <c r="AD2351" s="4"/>
    </row>
    <row r="2352" spans="1:30" s="205" customFormat="1" ht="49" customHeight="1">
      <c r="A2352" s="4" t="s">
        <v>6901</v>
      </c>
      <c r="B2352" s="4" t="s">
        <v>6942</v>
      </c>
      <c r="C2352" s="204" t="s">
        <v>24</v>
      </c>
      <c r="D2352" s="4" t="s">
        <v>2346</v>
      </c>
      <c r="E2352" s="4" t="s">
        <v>3855</v>
      </c>
      <c r="F2352" s="4" t="s">
        <v>2663</v>
      </c>
      <c r="G2352" s="4" t="s">
        <v>2663</v>
      </c>
      <c r="H2352" s="4" t="s">
        <v>523</v>
      </c>
      <c r="I2352" s="4"/>
      <c r="J2352" s="75">
        <f>J2347*0.019*0.764</f>
        <v>4.6792946236559139E-3</v>
      </c>
      <c r="K2352" s="4" t="s">
        <v>2276</v>
      </c>
      <c r="L2352" s="4" t="s">
        <v>2276</v>
      </c>
      <c r="M2352" s="4" t="s">
        <v>2276</v>
      </c>
      <c r="N2352" s="4" t="s">
        <v>2276</v>
      </c>
      <c r="O2352" s="4" t="s">
        <v>2276</v>
      </c>
      <c r="P2352" s="4" t="s">
        <v>2276</v>
      </c>
      <c r="Q2352" s="4" t="s">
        <v>2276</v>
      </c>
      <c r="R2352" s="4" t="s">
        <v>2276</v>
      </c>
      <c r="S2352" s="4" t="s">
        <v>2276</v>
      </c>
      <c r="T2352" s="4" t="s">
        <v>2276</v>
      </c>
      <c r="U2352" s="4" t="s">
        <v>2276</v>
      </c>
      <c r="V2352" s="4" t="s">
        <v>2276</v>
      </c>
      <c r="W2352" s="4" t="s">
        <v>2276</v>
      </c>
      <c r="X2352" s="4" t="s">
        <v>2276</v>
      </c>
      <c r="Y2352" s="4" t="s">
        <v>2276</v>
      </c>
      <c r="Z2352" s="4" t="s">
        <v>2276</v>
      </c>
      <c r="AA2352" s="4" t="s">
        <v>2276</v>
      </c>
      <c r="AB2352" s="4" t="s">
        <v>2276</v>
      </c>
      <c r="AC2352" s="4"/>
      <c r="AD2352" s="4"/>
    </row>
    <row r="2353" spans="1:30" s="205" customFormat="1" ht="49" customHeight="1">
      <c r="A2353" s="4" t="s">
        <v>6901</v>
      </c>
      <c r="B2353" s="4" t="s">
        <v>6943</v>
      </c>
      <c r="C2353" s="204" t="s">
        <v>31</v>
      </c>
      <c r="D2353" s="4" t="s">
        <v>30</v>
      </c>
      <c r="E2353" s="4" t="s">
        <v>2276</v>
      </c>
      <c r="F2353" s="4" t="s">
        <v>2276</v>
      </c>
      <c r="G2353" s="4" t="s">
        <v>74</v>
      </c>
      <c r="H2353" s="4" t="s">
        <v>523</v>
      </c>
      <c r="I2353" s="4"/>
      <c r="J2353" s="75">
        <f>J2347*0.031</f>
        <v>9.9929824561403504E-3</v>
      </c>
      <c r="K2353" s="4" t="s">
        <v>2276</v>
      </c>
      <c r="L2353" s="4" t="s">
        <v>2276</v>
      </c>
      <c r="M2353" s="4" t="s">
        <v>2276</v>
      </c>
      <c r="N2353" s="4" t="s">
        <v>2276</v>
      </c>
      <c r="O2353" s="4" t="s">
        <v>2276</v>
      </c>
      <c r="P2353" s="4" t="s">
        <v>2276</v>
      </c>
      <c r="Q2353" s="4" t="s">
        <v>2276</v>
      </c>
      <c r="R2353" s="4" t="s">
        <v>2276</v>
      </c>
      <c r="S2353" s="4" t="s">
        <v>2276</v>
      </c>
      <c r="T2353" s="4" t="s">
        <v>2276</v>
      </c>
      <c r="U2353" s="4" t="s">
        <v>2276</v>
      </c>
      <c r="V2353" s="4" t="s">
        <v>2276</v>
      </c>
      <c r="W2353" s="4" t="s">
        <v>2276</v>
      </c>
      <c r="X2353" s="4" t="s">
        <v>2276</v>
      </c>
      <c r="Y2353" s="4" t="s">
        <v>2276</v>
      </c>
      <c r="Z2353" s="4" t="s">
        <v>2276</v>
      </c>
      <c r="AA2353" s="4" t="s">
        <v>2276</v>
      </c>
      <c r="AB2353" s="4" t="s">
        <v>2276</v>
      </c>
      <c r="AC2353" s="4"/>
      <c r="AD2353" s="4"/>
    </row>
    <row r="2354" spans="1:30" s="205" customFormat="1" ht="49" customHeight="1">
      <c r="A2354" s="4" t="s">
        <v>6901</v>
      </c>
      <c r="B2354" s="4" t="s">
        <v>6944</v>
      </c>
      <c r="C2354" s="204" t="s">
        <v>2656</v>
      </c>
      <c r="D2354" s="4" t="s">
        <v>2276</v>
      </c>
      <c r="E2354" s="4" t="s">
        <v>3855</v>
      </c>
      <c r="F2354" s="4" t="s">
        <v>2276</v>
      </c>
      <c r="G2354" s="4" t="s">
        <v>74</v>
      </c>
      <c r="H2354" s="4" t="s">
        <v>523</v>
      </c>
      <c r="I2354" s="4"/>
      <c r="J2354" s="75">
        <f>J2347*0.008</f>
        <v>2.5788341822297676E-3</v>
      </c>
      <c r="K2354" s="4" t="s">
        <v>2276</v>
      </c>
      <c r="L2354" s="4" t="s">
        <v>2276</v>
      </c>
      <c r="M2354" s="4" t="s">
        <v>2276</v>
      </c>
      <c r="N2354" s="4" t="s">
        <v>2276</v>
      </c>
      <c r="O2354" s="4" t="s">
        <v>2276</v>
      </c>
      <c r="P2354" s="4" t="s">
        <v>2276</v>
      </c>
      <c r="Q2354" s="4" t="s">
        <v>2276</v>
      </c>
      <c r="R2354" s="4" t="s">
        <v>2276</v>
      </c>
      <c r="S2354" s="4" t="s">
        <v>2276</v>
      </c>
      <c r="T2354" s="4" t="s">
        <v>2276</v>
      </c>
      <c r="U2354" s="4" t="s">
        <v>2276</v>
      </c>
      <c r="V2354" s="4" t="s">
        <v>2276</v>
      </c>
      <c r="W2354" s="4" t="s">
        <v>2276</v>
      </c>
      <c r="X2354" s="4" t="s">
        <v>2276</v>
      </c>
      <c r="Y2354" s="4" t="s">
        <v>2276</v>
      </c>
      <c r="Z2354" s="4" t="s">
        <v>2276</v>
      </c>
      <c r="AA2354" s="4" t="s">
        <v>2276</v>
      </c>
      <c r="AB2354" s="4" t="s">
        <v>2276</v>
      </c>
      <c r="AC2354" s="4"/>
      <c r="AD2354" s="4"/>
    </row>
    <row r="2355" spans="1:30" s="205" customFormat="1" ht="49" customHeight="1">
      <c r="A2355" s="4" t="s">
        <v>6901</v>
      </c>
      <c r="B2355" s="4" t="s">
        <v>6945</v>
      </c>
      <c r="C2355" s="204" t="s">
        <v>2658</v>
      </c>
      <c r="D2355" s="4" t="s">
        <v>2276</v>
      </c>
      <c r="E2355" s="4" t="s">
        <v>2276</v>
      </c>
      <c r="F2355" s="4" t="s">
        <v>2276</v>
      </c>
      <c r="G2355" s="4" t="s">
        <v>74</v>
      </c>
      <c r="H2355" s="4" t="s">
        <v>523</v>
      </c>
      <c r="I2355" s="4"/>
      <c r="J2355" s="75">
        <f>J2347*0.142</f>
        <v>4.5774306734578371E-2</v>
      </c>
      <c r="K2355" s="4" t="s">
        <v>2276</v>
      </c>
      <c r="L2355" s="4" t="s">
        <v>2276</v>
      </c>
      <c r="M2355" s="4" t="s">
        <v>2276</v>
      </c>
      <c r="N2355" s="4" t="s">
        <v>2276</v>
      </c>
      <c r="O2355" s="4" t="s">
        <v>2276</v>
      </c>
      <c r="P2355" s="4" t="s">
        <v>2276</v>
      </c>
      <c r="Q2355" s="4" t="s">
        <v>2276</v>
      </c>
      <c r="R2355" s="4" t="s">
        <v>2276</v>
      </c>
      <c r="S2355" s="4" t="s">
        <v>2276</v>
      </c>
      <c r="T2355" s="4" t="s">
        <v>2276</v>
      </c>
      <c r="U2355" s="4" t="s">
        <v>2276</v>
      </c>
      <c r="V2355" s="4" t="s">
        <v>2276</v>
      </c>
      <c r="W2355" s="4" t="s">
        <v>2276</v>
      </c>
      <c r="X2355" s="4" t="s">
        <v>2276</v>
      </c>
      <c r="Y2355" s="4" t="s">
        <v>2276</v>
      </c>
      <c r="Z2355" s="4" t="s">
        <v>2276</v>
      </c>
      <c r="AA2355" s="4" t="s">
        <v>2276</v>
      </c>
      <c r="AB2355" s="4" t="s">
        <v>2276</v>
      </c>
      <c r="AC2355" s="4"/>
      <c r="AD2355" s="4"/>
    </row>
    <row r="2356" spans="1:30" s="205" customFormat="1" ht="49" customHeight="1">
      <c r="A2356" s="4" t="s">
        <v>6902</v>
      </c>
      <c r="B2356" s="4" t="s">
        <v>6946</v>
      </c>
      <c r="C2356" s="4" t="s">
        <v>1105</v>
      </c>
      <c r="D2356" s="4" t="s">
        <v>1105</v>
      </c>
      <c r="E2356" s="4" t="s">
        <v>1105</v>
      </c>
      <c r="F2356" s="4" t="s">
        <v>2276</v>
      </c>
      <c r="G2356" s="4" t="s">
        <v>74</v>
      </c>
      <c r="H2356" s="4" t="s">
        <v>523</v>
      </c>
      <c r="I2356" s="4"/>
      <c r="J2356" s="75">
        <f>43736/19/'Record info'!$K$994</f>
        <v>0.22501414827391059</v>
      </c>
      <c r="K2356" s="4" t="s">
        <v>2276</v>
      </c>
      <c r="L2356" s="4" t="s">
        <v>2276</v>
      </c>
      <c r="M2356" s="4" t="s">
        <v>2276</v>
      </c>
      <c r="N2356" s="4" t="s">
        <v>2276</v>
      </c>
      <c r="O2356" s="4" t="s">
        <v>2276</v>
      </c>
      <c r="P2356" s="75">
        <v>5.3719999999999999</v>
      </c>
      <c r="Q2356" s="4" t="s">
        <v>2276</v>
      </c>
      <c r="R2356" s="4" t="s">
        <v>2276</v>
      </c>
      <c r="S2356" s="4" t="s">
        <v>2276</v>
      </c>
      <c r="T2356" s="75">
        <v>234960</v>
      </c>
      <c r="U2356" s="4" t="s">
        <v>2276</v>
      </c>
      <c r="V2356" s="75">
        <f>2136/6630*100/19</f>
        <v>1.6956418194808287</v>
      </c>
      <c r="W2356" s="4" t="s">
        <v>2276</v>
      </c>
      <c r="X2356" s="4" t="s">
        <v>2276</v>
      </c>
      <c r="Y2356" s="4" t="s">
        <v>2276</v>
      </c>
      <c r="Z2356" s="4" t="s">
        <v>2276</v>
      </c>
      <c r="AA2356" s="4" t="s">
        <v>2276</v>
      </c>
      <c r="AB2356" s="4" t="s">
        <v>2276</v>
      </c>
      <c r="AC2356" s="4"/>
      <c r="AD2356" s="4"/>
    </row>
    <row r="2357" spans="1:30" s="205" customFormat="1" ht="49" customHeight="1">
      <c r="A2357" s="4" t="s">
        <v>6902</v>
      </c>
      <c r="B2357" s="4" t="s">
        <v>6947</v>
      </c>
      <c r="C2357" s="204" t="s">
        <v>24</v>
      </c>
      <c r="D2357" s="4" t="s">
        <v>2276</v>
      </c>
      <c r="E2357" s="4" t="s">
        <v>2649</v>
      </c>
      <c r="F2357" s="4" t="s">
        <v>74</v>
      </c>
      <c r="G2357" s="4" t="s">
        <v>74</v>
      </c>
      <c r="H2357" s="4" t="s">
        <v>523</v>
      </c>
      <c r="I2357" s="4"/>
      <c r="J2357" s="75">
        <f>J2356*(0.705)-J2358-J2361</f>
        <v>0.15228957555178269</v>
      </c>
      <c r="K2357" s="4" t="s">
        <v>2276</v>
      </c>
      <c r="L2357" s="4" t="s">
        <v>2276</v>
      </c>
      <c r="M2357" s="4" t="s">
        <v>2276</v>
      </c>
      <c r="N2357" s="4" t="s">
        <v>2276</v>
      </c>
      <c r="O2357" s="4" t="s">
        <v>2276</v>
      </c>
      <c r="P2357" s="4" t="s">
        <v>2276</v>
      </c>
      <c r="Q2357" s="4" t="s">
        <v>2276</v>
      </c>
      <c r="R2357" s="4" t="s">
        <v>2276</v>
      </c>
      <c r="S2357" s="4" t="s">
        <v>2276</v>
      </c>
      <c r="T2357" s="4" t="s">
        <v>2276</v>
      </c>
      <c r="U2357" s="4" t="s">
        <v>2276</v>
      </c>
      <c r="V2357" s="4" t="s">
        <v>2276</v>
      </c>
      <c r="W2357" s="4" t="s">
        <v>2276</v>
      </c>
      <c r="X2357" s="4" t="s">
        <v>2276</v>
      </c>
      <c r="Y2357" s="4" t="s">
        <v>2276</v>
      </c>
      <c r="Z2357" s="4" t="s">
        <v>2276</v>
      </c>
      <c r="AA2357" s="4" t="s">
        <v>2276</v>
      </c>
      <c r="AB2357" s="4" t="s">
        <v>2276</v>
      </c>
      <c r="AC2357" s="4"/>
      <c r="AD2357" s="4"/>
    </row>
    <row r="2358" spans="1:30" s="205" customFormat="1" ht="49" customHeight="1">
      <c r="A2358" s="4" t="s">
        <v>6902</v>
      </c>
      <c r="B2358" s="4" t="s">
        <v>6948</v>
      </c>
      <c r="C2358" s="204" t="s">
        <v>24</v>
      </c>
      <c r="D2358" s="4" t="s">
        <v>2276</v>
      </c>
      <c r="E2358" s="4" t="s">
        <v>3855</v>
      </c>
      <c r="F2358" s="4" t="s">
        <v>74</v>
      </c>
      <c r="G2358" s="4" t="s">
        <v>74</v>
      </c>
      <c r="H2358" s="4" t="s">
        <v>523</v>
      </c>
      <c r="I2358" s="4"/>
      <c r="J2358" s="75">
        <f>J2356*0.705*(0.036)</f>
        <v>5.7108590831918505E-3</v>
      </c>
      <c r="K2358" s="4" t="s">
        <v>2276</v>
      </c>
      <c r="L2358" s="4" t="s">
        <v>2276</v>
      </c>
      <c r="M2358" s="4" t="s">
        <v>2276</v>
      </c>
      <c r="N2358" s="4" t="s">
        <v>2276</v>
      </c>
      <c r="O2358" s="4" t="s">
        <v>2276</v>
      </c>
      <c r="P2358" s="4" t="s">
        <v>2276</v>
      </c>
      <c r="Q2358" s="4" t="s">
        <v>2276</v>
      </c>
      <c r="R2358" s="4" t="s">
        <v>2276</v>
      </c>
      <c r="S2358" s="4" t="s">
        <v>2276</v>
      </c>
      <c r="T2358" s="4" t="s">
        <v>2276</v>
      </c>
      <c r="U2358" s="4" t="s">
        <v>2276</v>
      </c>
      <c r="V2358" s="4" t="s">
        <v>2276</v>
      </c>
      <c r="W2358" s="4" t="s">
        <v>2276</v>
      </c>
      <c r="X2358" s="4" t="s">
        <v>2276</v>
      </c>
      <c r="Y2358" s="4" t="s">
        <v>2276</v>
      </c>
      <c r="Z2358" s="4" t="s">
        <v>2276</v>
      </c>
      <c r="AA2358" s="4" t="s">
        <v>2276</v>
      </c>
      <c r="AB2358" s="4" t="s">
        <v>2276</v>
      </c>
      <c r="AC2358" s="4"/>
      <c r="AD2358" s="4"/>
    </row>
    <row r="2359" spans="1:30" s="205" customFormat="1" ht="49" customHeight="1">
      <c r="A2359" s="4" t="s">
        <v>6902</v>
      </c>
      <c r="B2359" s="4" t="s">
        <v>6949</v>
      </c>
      <c r="C2359" s="204" t="s">
        <v>2458</v>
      </c>
      <c r="D2359" s="4" t="s">
        <v>2276</v>
      </c>
      <c r="E2359" s="4" t="s">
        <v>3855</v>
      </c>
      <c r="F2359" s="4" t="s">
        <v>2276</v>
      </c>
      <c r="G2359" s="4" t="s">
        <v>74</v>
      </c>
      <c r="H2359" s="4" t="s">
        <v>523</v>
      </c>
      <c r="I2359" s="4"/>
      <c r="J2359" s="75">
        <f>J2356*0.028/2</f>
        <v>3.1501980758347481E-3</v>
      </c>
      <c r="K2359" s="4" t="s">
        <v>2276</v>
      </c>
      <c r="L2359" s="4" t="s">
        <v>2276</v>
      </c>
      <c r="M2359" s="4" t="s">
        <v>2276</v>
      </c>
      <c r="N2359" s="4" t="s">
        <v>2276</v>
      </c>
      <c r="O2359" s="4" t="s">
        <v>2276</v>
      </c>
      <c r="P2359" s="4" t="s">
        <v>2276</v>
      </c>
      <c r="Q2359" s="4" t="s">
        <v>2276</v>
      </c>
      <c r="R2359" s="4" t="s">
        <v>2276</v>
      </c>
      <c r="S2359" s="4" t="s">
        <v>2276</v>
      </c>
      <c r="T2359" s="4" t="s">
        <v>2276</v>
      </c>
      <c r="U2359" s="4" t="s">
        <v>2276</v>
      </c>
      <c r="V2359" s="4" t="s">
        <v>2276</v>
      </c>
      <c r="W2359" s="4" t="s">
        <v>2276</v>
      </c>
      <c r="X2359" s="4" t="s">
        <v>2276</v>
      </c>
      <c r="Y2359" s="4" t="s">
        <v>2276</v>
      </c>
      <c r="Z2359" s="4" t="s">
        <v>2276</v>
      </c>
      <c r="AA2359" s="4" t="s">
        <v>2276</v>
      </c>
      <c r="AB2359" s="4" t="s">
        <v>2276</v>
      </c>
      <c r="AC2359" s="4"/>
      <c r="AD2359" s="4"/>
    </row>
    <row r="2360" spans="1:30" s="205" customFormat="1" ht="49" customHeight="1">
      <c r="A2360" s="4" t="s">
        <v>6902</v>
      </c>
      <c r="B2360" s="4" t="s">
        <v>6950</v>
      </c>
      <c r="C2360" s="204" t="s">
        <v>2458</v>
      </c>
      <c r="D2360" s="4" t="s">
        <v>2276</v>
      </c>
      <c r="E2360" s="4" t="s">
        <v>2649</v>
      </c>
      <c r="F2360" s="4" t="s">
        <v>2662</v>
      </c>
      <c r="G2360" s="4" t="s">
        <v>74</v>
      </c>
      <c r="H2360" s="4" t="s">
        <v>523</v>
      </c>
      <c r="I2360" s="4"/>
      <c r="J2360" s="75">
        <f>J2356*0.028/2</f>
        <v>3.1501980758347481E-3</v>
      </c>
      <c r="K2360" s="4" t="s">
        <v>2276</v>
      </c>
      <c r="L2360" s="4" t="s">
        <v>2276</v>
      </c>
      <c r="M2360" s="4" t="s">
        <v>2276</v>
      </c>
      <c r="N2360" s="4" t="s">
        <v>2276</v>
      </c>
      <c r="O2360" s="4" t="s">
        <v>2276</v>
      </c>
      <c r="P2360" s="4" t="s">
        <v>2276</v>
      </c>
      <c r="Q2360" s="4" t="s">
        <v>2276</v>
      </c>
      <c r="R2360" s="4" t="s">
        <v>2276</v>
      </c>
      <c r="S2360" s="4" t="s">
        <v>2276</v>
      </c>
      <c r="T2360" s="4" t="s">
        <v>2276</v>
      </c>
      <c r="U2360" s="4" t="s">
        <v>2276</v>
      </c>
      <c r="V2360" s="4" t="s">
        <v>2276</v>
      </c>
      <c r="W2360" s="4" t="s">
        <v>2276</v>
      </c>
      <c r="X2360" s="4" t="s">
        <v>2276</v>
      </c>
      <c r="Y2360" s="4" t="s">
        <v>2276</v>
      </c>
      <c r="Z2360" s="4" t="s">
        <v>2276</v>
      </c>
      <c r="AA2360" s="4" t="s">
        <v>2276</v>
      </c>
      <c r="AB2360" s="4" t="s">
        <v>2276</v>
      </c>
      <c r="AC2360" s="4"/>
      <c r="AD2360" s="4"/>
    </row>
    <row r="2361" spans="1:30" s="205" customFormat="1" ht="49" customHeight="1">
      <c r="A2361" s="4" t="s">
        <v>6902</v>
      </c>
      <c r="B2361" s="4" t="s">
        <v>6951</v>
      </c>
      <c r="C2361" s="204" t="s">
        <v>24</v>
      </c>
      <c r="D2361" s="4" t="s">
        <v>2346</v>
      </c>
      <c r="E2361" s="4" t="s">
        <v>3855</v>
      </c>
      <c r="F2361" s="4" t="s">
        <v>2663</v>
      </c>
      <c r="G2361" s="4" t="s">
        <v>2663</v>
      </c>
      <c r="H2361" s="4" t="s">
        <v>523</v>
      </c>
      <c r="I2361" s="4"/>
      <c r="J2361" s="75">
        <f>J2356*0.004*0.705</f>
        <v>6.3453989813242785E-4</v>
      </c>
      <c r="K2361" s="4" t="s">
        <v>2276</v>
      </c>
      <c r="L2361" s="4" t="s">
        <v>2276</v>
      </c>
      <c r="M2361" s="4" t="s">
        <v>2276</v>
      </c>
      <c r="N2361" s="4" t="s">
        <v>2276</v>
      </c>
      <c r="O2361" s="4" t="s">
        <v>2276</v>
      </c>
      <c r="P2361" s="4" t="s">
        <v>2276</v>
      </c>
      <c r="Q2361" s="4" t="s">
        <v>2276</v>
      </c>
      <c r="R2361" s="4" t="s">
        <v>2276</v>
      </c>
      <c r="S2361" s="4" t="s">
        <v>2276</v>
      </c>
      <c r="T2361" s="4" t="s">
        <v>2276</v>
      </c>
      <c r="U2361" s="4" t="s">
        <v>2276</v>
      </c>
      <c r="V2361" s="4" t="s">
        <v>2276</v>
      </c>
      <c r="W2361" s="4" t="s">
        <v>2276</v>
      </c>
      <c r="X2361" s="4" t="s">
        <v>2276</v>
      </c>
      <c r="Y2361" s="4" t="s">
        <v>2276</v>
      </c>
      <c r="Z2361" s="4" t="s">
        <v>2276</v>
      </c>
      <c r="AA2361" s="4" t="s">
        <v>2276</v>
      </c>
      <c r="AB2361" s="4" t="s">
        <v>2276</v>
      </c>
      <c r="AC2361" s="4"/>
      <c r="AD2361" s="4"/>
    </row>
    <row r="2362" spans="1:30" s="205" customFormat="1" ht="49" customHeight="1">
      <c r="A2362" s="4" t="s">
        <v>6902</v>
      </c>
      <c r="B2362" s="4" t="s">
        <v>6952</v>
      </c>
      <c r="C2362" s="204" t="s">
        <v>31</v>
      </c>
      <c r="D2362" s="4" t="s">
        <v>30</v>
      </c>
      <c r="E2362" s="4" t="s">
        <v>2276</v>
      </c>
      <c r="F2362" s="4" t="s">
        <v>2276</v>
      </c>
      <c r="G2362" s="4" t="s">
        <v>74</v>
      </c>
      <c r="H2362" s="4" t="s">
        <v>523</v>
      </c>
      <c r="I2362" s="4"/>
      <c r="J2362" s="75">
        <f>J2356*0.028</f>
        <v>6.3003961516694962E-3</v>
      </c>
      <c r="K2362" s="4" t="s">
        <v>2276</v>
      </c>
      <c r="L2362" s="4" t="s">
        <v>2276</v>
      </c>
      <c r="M2362" s="4" t="s">
        <v>2276</v>
      </c>
      <c r="N2362" s="4" t="s">
        <v>2276</v>
      </c>
      <c r="O2362" s="4" t="s">
        <v>2276</v>
      </c>
      <c r="P2362" s="4" t="s">
        <v>2276</v>
      </c>
      <c r="Q2362" s="4" t="s">
        <v>2276</v>
      </c>
      <c r="R2362" s="4" t="s">
        <v>2276</v>
      </c>
      <c r="S2362" s="4" t="s">
        <v>2276</v>
      </c>
      <c r="T2362" s="4" t="s">
        <v>2276</v>
      </c>
      <c r="U2362" s="4" t="s">
        <v>2276</v>
      </c>
      <c r="V2362" s="4" t="s">
        <v>2276</v>
      </c>
      <c r="W2362" s="4" t="s">
        <v>2276</v>
      </c>
      <c r="X2362" s="4" t="s">
        <v>2276</v>
      </c>
      <c r="Y2362" s="4" t="s">
        <v>2276</v>
      </c>
      <c r="Z2362" s="4" t="s">
        <v>2276</v>
      </c>
      <c r="AA2362" s="4" t="s">
        <v>2276</v>
      </c>
      <c r="AB2362" s="4" t="s">
        <v>2276</v>
      </c>
      <c r="AC2362" s="4"/>
      <c r="AD2362" s="4"/>
    </row>
    <row r="2363" spans="1:30" s="205" customFormat="1" ht="49" customHeight="1">
      <c r="A2363" s="4" t="s">
        <v>6902</v>
      </c>
      <c r="B2363" s="4" t="s">
        <v>6953</v>
      </c>
      <c r="C2363" s="204" t="s">
        <v>2656</v>
      </c>
      <c r="D2363" s="4" t="s">
        <v>2276</v>
      </c>
      <c r="E2363" s="4" t="s">
        <v>3855</v>
      </c>
      <c r="F2363" s="4" t="s">
        <v>2276</v>
      </c>
      <c r="G2363" s="4" t="s">
        <v>74</v>
      </c>
      <c r="H2363" s="4" t="s">
        <v>523</v>
      </c>
      <c r="I2363" s="4"/>
      <c r="J2363" s="75">
        <f>J2356*0.022</f>
        <v>4.9503112620260326E-3</v>
      </c>
      <c r="K2363" s="4" t="s">
        <v>2276</v>
      </c>
      <c r="L2363" s="4" t="s">
        <v>2276</v>
      </c>
      <c r="M2363" s="4" t="s">
        <v>2276</v>
      </c>
      <c r="N2363" s="4" t="s">
        <v>2276</v>
      </c>
      <c r="O2363" s="4" t="s">
        <v>2276</v>
      </c>
      <c r="P2363" s="4" t="s">
        <v>2276</v>
      </c>
      <c r="Q2363" s="4" t="s">
        <v>2276</v>
      </c>
      <c r="R2363" s="4" t="s">
        <v>2276</v>
      </c>
      <c r="S2363" s="4" t="s">
        <v>2276</v>
      </c>
      <c r="T2363" s="4" t="s">
        <v>2276</v>
      </c>
      <c r="U2363" s="4" t="s">
        <v>2276</v>
      </c>
      <c r="V2363" s="4" t="s">
        <v>2276</v>
      </c>
      <c r="W2363" s="4" t="s">
        <v>2276</v>
      </c>
      <c r="X2363" s="4" t="s">
        <v>2276</v>
      </c>
      <c r="Y2363" s="4" t="s">
        <v>2276</v>
      </c>
      <c r="Z2363" s="4" t="s">
        <v>2276</v>
      </c>
      <c r="AA2363" s="4" t="s">
        <v>2276</v>
      </c>
      <c r="AB2363" s="4" t="s">
        <v>2276</v>
      </c>
      <c r="AC2363" s="4"/>
      <c r="AD2363" s="4"/>
    </row>
    <row r="2364" spans="1:30" s="205" customFormat="1" ht="49" customHeight="1">
      <c r="A2364" s="4" t="s">
        <v>6902</v>
      </c>
      <c r="B2364" s="4" t="s">
        <v>6954</v>
      </c>
      <c r="C2364" s="204" t="s">
        <v>2658</v>
      </c>
      <c r="D2364" s="4" t="s">
        <v>2276</v>
      </c>
      <c r="E2364" s="4" t="s">
        <v>2276</v>
      </c>
      <c r="F2364" s="4" t="s">
        <v>2276</v>
      </c>
      <c r="G2364" s="4" t="s">
        <v>74</v>
      </c>
      <c r="H2364" s="4" t="s">
        <v>523</v>
      </c>
      <c r="I2364" s="4"/>
      <c r="J2364" s="75">
        <f>J2356*0.199</f>
        <v>4.4777815506508209E-2</v>
      </c>
      <c r="K2364" s="4" t="s">
        <v>2276</v>
      </c>
      <c r="L2364" s="4" t="s">
        <v>2276</v>
      </c>
      <c r="M2364" s="4" t="s">
        <v>2276</v>
      </c>
      <c r="N2364" s="4" t="s">
        <v>2276</v>
      </c>
      <c r="O2364" s="4" t="s">
        <v>2276</v>
      </c>
      <c r="P2364" s="4" t="s">
        <v>2276</v>
      </c>
      <c r="Q2364" s="4" t="s">
        <v>2276</v>
      </c>
      <c r="R2364" s="4" t="s">
        <v>2276</v>
      </c>
      <c r="S2364" s="4" t="s">
        <v>2276</v>
      </c>
      <c r="T2364" s="4" t="s">
        <v>2276</v>
      </c>
      <c r="U2364" s="4" t="s">
        <v>2276</v>
      </c>
      <c r="V2364" s="4" t="s">
        <v>2276</v>
      </c>
      <c r="W2364" s="4" t="s">
        <v>2276</v>
      </c>
      <c r="X2364" s="4" t="s">
        <v>2276</v>
      </c>
      <c r="Y2364" s="4" t="s">
        <v>2276</v>
      </c>
      <c r="Z2364" s="4" t="s">
        <v>2276</v>
      </c>
      <c r="AA2364" s="4" t="s">
        <v>2276</v>
      </c>
      <c r="AB2364" s="4" t="s">
        <v>2276</v>
      </c>
      <c r="AC2364" s="4"/>
      <c r="AD2364" s="4"/>
    </row>
    <row r="2365" spans="1:30" s="205" customFormat="1" ht="49" customHeight="1">
      <c r="A2365" s="4" t="s">
        <v>6903</v>
      </c>
      <c r="B2365" s="4" t="s">
        <v>6955</v>
      </c>
      <c r="C2365" s="4" t="s">
        <v>1105</v>
      </c>
      <c r="D2365" s="4" t="s">
        <v>1105</v>
      </c>
      <c r="E2365" s="4" t="s">
        <v>1105</v>
      </c>
      <c r="F2365" s="4" t="s">
        <v>2276</v>
      </c>
      <c r="G2365" s="4" t="s">
        <v>74</v>
      </c>
      <c r="H2365" s="4" t="s">
        <v>523</v>
      </c>
      <c r="I2365" s="4"/>
      <c r="J2365" s="75">
        <f>17501.5/19/'Record info'!$K$995</f>
        <v>0.58262591963780419</v>
      </c>
      <c r="K2365" s="4" t="s">
        <v>2276</v>
      </c>
      <c r="L2365" s="4" t="s">
        <v>2276</v>
      </c>
      <c r="M2365" s="4" t="s">
        <v>2276</v>
      </c>
      <c r="N2365" s="4" t="s">
        <v>2276</v>
      </c>
      <c r="O2365" s="4" t="s">
        <v>2276</v>
      </c>
      <c r="P2365" s="75">
        <v>4.2610000000000001</v>
      </c>
      <c r="Q2365" s="4" t="s">
        <v>2276</v>
      </c>
      <c r="R2365" s="4" t="s">
        <v>2276</v>
      </c>
      <c r="S2365" s="4" t="s">
        <v>2276</v>
      </c>
      <c r="T2365" s="75">
        <v>74579</v>
      </c>
      <c r="U2365" s="4" t="s">
        <v>2276</v>
      </c>
      <c r="V2365" s="75">
        <f>4387/10871*100/19</f>
        <v>2.1239512173866735</v>
      </c>
      <c r="W2365" s="4" t="s">
        <v>2276</v>
      </c>
      <c r="X2365" s="4" t="s">
        <v>2276</v>
      </c>
      <c r="Y2365" s="4" t="s">
        <v>2276</v>
      </c>
      <c r="Z2365" s="4" t="s">
        <v>2276</v>
      </c>
      <c r="AA2365" s="4" t="s">
        <v>2276</v>
      </c>
      <c r="AB2365" s="4" t="s">
        <v>2276</v>
      </c>
      <c r="AC2365" s="4"/>
      <c r="AD2365" s="4"/>
    </row>
    <row r="2366" spans="1:30" s="205" customFormat="1" ht="49" customHeight="1">
      <c r="A2366" s="4" t="s">
        <v>6903</v>
      </c>
      <c r="B2366" s="4" t="s">
        <v>6956</v>
      </c>
      <c r="C2366" s="204" t="s">
        <v>24</v>
      </c>
      <c r="D2366" s="4" t="s">
        <v>2276</v>
      </c>
      <c r="E2366" s="4" t="s">
        <v>2649</v>
      </c>
      <c r="F2366" s="4" t="s">
        <v>74</v>
      </c>
      <c r="G2366" s="4" t="s">
        <v>74</v>
      </c>
      <c r="H2366" s="4" t="s">
        <v>523</v>
      </c>
      <c r="I2366" s="4"/>
      <c r="J2366" s="75">
        <f>J2365*(0.86)-J2367-J2370</f>
        <v>0.26205348613469159</v>
      </c>
      <c r="K2366" s="4" t="s">
        <v>2276</v>
      </c>
      <c r="L2366" s="4" t="s">
        <v>2276</v>
      </c>
      <c r="M2366" s="4" t="s">
        <v>2276</v>
      </c>
      <c r="N2366" s="4" t="s">
        <v>2276</v>
      </c>
      <c r="O2366" s="4" t="s">
        <v>2276</v>
      </c>
      <c r="P2366" s="4" t="s">
        <v>2276</v>
      </c>
      <c r="Q2366" s="4" t="s">
        <v>2276</v>
      </c>
      <c r="R2366" s="4" t="s">
        <v>2276</v>
      </c>
      <c r="S2366" s="4" t="s">
        <v>2276</v>
      </c>
      <c r="T2366" s="4" t="s">
        <v>2276</v>
      </c>
      <c r="U2366" s="4" t="s">
        <v>2276</v>
      </c>
      <c r="V2366" s="4" t="s">
        <v>2276</v>
      </c>
      <c r="W2366" s="4" t="s">
        <v>2276</v>
      </c>
      <c r="X2366" s="4" t="s">
        <v>2276</v>
      </c>
      <c r="Y2366" s="4" t="s">
        <v>2276</v>
      </c>
      <c r="Z2366" s="4" t="s">
        <v>2276</v>
      </c>
      <c r="AA2366" s="4" t="s">
        <v>2276</v>
      </c>
      <c r="AB2366" s="4" t="s">
        <v>2276</v>
      </c>
      <c r="AC2366" s="4"/>
      <c r="AD2366" s="4"/>
    </row>
    <row r="2367" spans="1:30" s="205" customFormat="1" ht="49" customHeight="1">
      <c r="A2367" s="4" t="s">
        <v>6903</v>
      </c>
      <c r="B2367" s="4" t="s">
        <v>6957</v>
      </c>
      <c r="C2367" s="204" t="s">
        <v>24</v>
      </c>
      <c r="D2367" s="4" t="s">
        <v>2276</v>
      </c>
      <c r="E2367" s="4" t="s">
        <v>3855</v>
      </c>
      <c r="F2367" s="4" t="s">
        <v>74</v>
      </c>
      <c r="G2367" s="4" t="s">
        <v>74</v>
      </c>
      <c r="H2367" s="4" t="s">
        <v>523</v>
      </c>
      <c r="I2367" s="4"/>
      <c r="J2367" s="75">
        <f>J2365*0.86*(0.473)</f>
        <v>0.23700057159026597</v>
      </c>
      <c r="K2367" s="4" t="s">
        <v>2276</v>
      </c>
      <c r="L2367" s="4" t="s">
        <v>2276</v>
      </c>
      <c r="M2367" s="4" t="s">
        <v>2276</v>
      </c>
      <c r="N2367" s="4" t="s">
        <v>2276</v>
      </c>
      <c r="O2367" s="4" t="s">
        <v>2276</v>
      </c>
      <c r="P2367" s="4" t="s">
        <v>2276</v>
      </c>
      <c r="Q2367" s="4" t="s">
        <v>2276</v>
      </c>
      <c r="R2367" s="4" t="s">
        <v>2276</v>
      </c>
      <c r="S2367" s="4" t="s">
        <v>2276</v>
      </c>
      <c r="T2367" s="4" t="s">
        <v>2276</v>
      </c>
      <c r="U2367" s="4" t="s">
        <v>2276</v>
      </c>
      <c r="V2367" s="4" t="s">
        <v>2276</v>
      </c>
      <c r="W2367" s="4" t="s">
        <v>2276</v>
      </c>
      <c r="X2367" s="4" t="s">
        <v>2276</v>
      </c>
      <c r="Y2367" s="4" t="s">
        <v>2276</v>
      </c>
      <c r="Z2367" s="4" t="s">
        <v>2276</v>
      </c>
      <c r="AA2367" s="4" t="s">
        <v>2276</v>
      </c>
      <c r="AB2367" s="4" t="s">
        <v>2276</v>
      </c>
      <c r="AC2367" s="4"/>
      <c r="AD2367" s="4"/>
    </row>
    <row r="2368" spans="1:30" s="205" customFormat="1" ht="49" customHeight="1">
      <c r="A2368" s="4" t="s">
        <v>6903</v>
      </c>
      <c r="B2368" s="4" t="s">
        <v>6958</v>
      </c>
      <c r="C2368" s="204" t="s">
        <v>2458</v>
      </c>
      <c r="D2368" s="4" t="s">
        <v>2276</v>
      </c>
      <c r="E2368" s="4" t="s">
        <v>3855</v>
      </c>
      <c r="F2368" s="4" t="s">
        <v>2276</v>
      </c>
      <c r="G2368" s="4" t="s">
        <v>74</v>
      </c>
      <c r="H2368" s="4" t="s">
        <v>523</v>
      </c>
      <c r="I2368" s="4"/>
      <c r="J2368" s="75">
        <f>J2365*0.028/2</f>
        <v>8.1567628749292589E-3</v>
      </c>
      <c r="K2368" s="4" t="s">
        <v>2276</v>
      </c>
      <c r="L2368" s="4" t="s">
        <v>2276</v>
      </c>
      <c r="M2368" s="4" t="s">
        <v>2276</v>
      </c>
      <c r="N2368" s="4" t="s">
        <v>2276</v>
      </c>
      <c r="O2368" s="4" t="s">
        <v>2276</v>
      </c>
      <c r="P2368" s="4" t="s">
        <v>2276</v>
      </c>
      <c r="Q2368" s="4" t="s">
        <v>2276</v>
      </c>
      <c r="R2368" s="4" t="s">
        <v>2276</v>
      </c>
      <c r="S2368" s="4" t="s">
        <v>2276</v>
      </c>
      <c r="T2368" s="4" t="s">
        <v>2276</v>
      </c>
      <c r="U2368" s="4" t="s">
        <v>2276</v>
      </c>
      <c r="V2368" s="4" t="s">
        <v>2276</v>
      </c>
      <c r="W2368" s="4" t="s">
        <v>2276</v>
      </c>
      <c r="X2368" s="4" t="s">
        <v>2276</v>
      </c>
      <c r="Y2368" s="4" t="s">
        <v>2276</v>
      </c>
      <c r="Z2368" s="4" t="s">
        <v>2276</v>
      </c>
      <c r="AA2368" s="4" t="s">
        <v>2276</v>
      </c>
      <c r="AB2368" s="4" t="s">
        <v>2276</v>
      </c>
      <c r="AC2368" s="4"/>
      <c r="AD2368" s="4"/>
    </row>
    <row r="2369" spans="1:30" s="205" customFormat="1" ht="49" customHeight="1">
      <c r="A2369" s="4" t="s">
        <v>6903</v>
      </c>
      <c r="B2369" s="4" t="s">
        <v>6959</v>
      </c>
      <c r="C2369" s="204" t="s">
        <v>2458</v>
      </c>
      <c r="D2369" s="4" t="s">
        <v>2276</v>
      </c>
      <c r="E2369" s="4" t="s">
        <v>2649</v>
      </c>
      <c r="F2369" s="4" t="s">
        <v>2662</v>
      </c>
      <c r="G2369" s="4" t="s">
        <v>74</v>
      </c>
      <c r="H2369" s="4" t="s">
        <v>523</v>
      </c>
      <c r="I2369" s="4"/>
      <c r="J2369" s="75">
        <f>J2365*0.028/2</f>
        <v>8.1567628749292589E-3</v>
      </c>
      <c r="K2369" s="4" t="s">
        <v>2276</v>
      </c>
      <c r="L2369" s="4" t="s">
        <v>2276</v>
      </c>
      <c r="M2369" s="4" t="s">
        <v>2276</v>
      </c>
      <c r="N2369" s="4" t="s">
        <v>2276</v>
      </c>
      <c r="O2369" s="4" t="s">
        <v>2276</v>
      </c>
      <c r="P2369" s="4" t="s">
        <v>2276</v>
      </c>
      <c r="Q2369" s="4" t="s">
        <v>2276</v>
      </c>
      <c r="R2369" s="4" t="s">
        <v>2276</v>
      </c>
      <c r="S2369" s="4" t="s">
        <v>2276</v>
      </c>
      <c r="T2369" s="4" t="s">
        <v>2276</v>
      </c>
      <c r="U2369" s="4" t="s">
        <v>2276</v>
      </c>
      <c r="V2369" s="4" t="s">
        <v>2276</v>
      </c>
      <c r="W2369" s="4" t="s">
        <v>2276</v>
      </c>
      <c r="X2369" s="4" t="s">
        <v>2276</v>
      </c>
      <c r="Y2369" s="4" t="s">
        <v>2276</v>
      </c>
      <c r="Z2369" s="4" t="s">
        <v>2276</v>
      </c>
      <c r="AA2369" s="4" t="s">
        <v>2276</v>
      </c>
      <c r="AB2369" s="4" t="s">
        <v>2276</v>
      </c>
      <c r="AC2369" s="4"/>
      <c r="AD2369" s="4"/>
    </row>
    <row r="2370" spans="1:30" s="205" customFormat="1" ht="49" customHeight="1">
      <c r="A2370" s="4" t="s">
        <v>6903</v>
      </c>
      <c r="B2370" s="4" t="s">
        <v>6960</v>
      </c>
      <c r="C2370" s="204" t="s">
        <v>24</v>
      </c>
      <c r="D2370" s="4" t="s">
        <v>2346</v>
      </c>
      <c r="E2370" s="4" t="s">
        <v>3855</v>
      </c>
      <c r="F2370" s="4" t="s">
        <v>2663</v>
      </c>
      <c r="G2370" s="4" t="s">
        <v>2663</v>
      </c>
      <c r="H2370" s="4" t="s">
        <v>523</v>
      </c>
      <c r="I2370" s="4"/>
      <c r="J2370" s="75">
        <f>J2365*0.004*0.86</f>
        <v>2.0042331635540464E-3</v>
      </c>
      <c r="K2370" s="4" t="s">
        <v>2276</v>
      </c>
      <c r="L2370" s="4" t="s">
        <v>2276</v>
      </c>
      <c r="M2370" s="4" t="s">
        <v>2276</v>
      </c>
      <c r="N2370" s="4" t="s">
        <v>2276</v>
      </c>
      <c r="O2370" s="4" t="s">
        <v>2276</v>
      </c>
      <c r="P2370" s="4" t="s">
        <v>2276</v>
      </c>
      <c r="Q2370" s="4" t="s">
        <v>2276</v>
      </c>
      <c r="R2370" s="4" t="s">
        <v>2276</v>
      </c>
      <c r="S2370" s="4" t="s">
        <v>2276</v>
      </c>
      <c r="T2370" s="4" t="s">
        <v>2276</v>
      </c>
      <c r="U2370" s="4" t="s">
        <v>2276</v>
      </c>
      <c r="V2370" s="4" t="s">
        <v>2276</v>
      </c>
      <c r="W2370" s="4" t="s">
        <v>2276</v>
      </c>
      <c r="X2370" s="4" t="s">
        <v>2276</v>
      </c>
      <c r="Y2370" s="4" t="s">
        <v>2276</v>
      </c>
      <c r="Z2370" s="4" t="s">
        <v>2276</v>
      </c>
      <c r="AA2370" s="4" t="s">
        <v>2276</v>
      </c>
      <c r="AB2370" s="4" t="s">
        <v>2276</v>
      </c>
      <c r="AC2370" s="4"/>
      <c r="AD2370" s="4"/>
    </row>
    <row r="2371" spans="1:30" s="205" customFormat="1" ht="49" customHeight="1">
      <c r="A2371" s="4" t="s">
        <v>6903</v>
      </c>
      <c r="B2371" s="4" t="s">
        <v>6961</v>
      </c>
      <c r="C2371" s="204" t="s">
        <v>31</v>
      </c>
      <c r="D2371" s="4" t="s">
        <v>30</v>
      </c>
      <c r="E2371" s="4" t="s">
        <v>2276</v>
      </c>
      <c r="F2371" s="4" t="s">
        <v>2276</v>
      </c>
      <c r="G2371" s="4" t="s">
        <v>74</v>
      </c>
      <c r="H2371" s="4" t="s">
        <v>523</v>
      </c>
      <c r="I2371" s="4"/>
      <c r="J2371" s="75">
        <f>J2365*0.022</f>
        <v>1.2817770232031692E-2</v>
      </c>
      <c r="K2371" s="4" t="s">
        <v>2276</v>
      </c>
      <c r="L2371" s="4" t="s">
        <v>2276</v>
      </c>
      <c r="M2371" s="4" t="s">
        <v>2276</v>
      </c>
      <c r="N2371" s="4" t="s">
        <v>2276</v>
      </c>
      <c r="O2371" s="4" t="s">
        <v>2276</v>
      </c>
      <c r="P2371" s="4" t="s">
        <v>2276</v>
      </c>
      <c r="Q2371" s="4" t="s">
        <v>2276</v>
      </c>
      <c r="R2371" s="4" t="s">
        <v>2276</v>
      </c>
      <c r="S2371" s="4" t="s">
        <v>2276</v>
      </c>
      <c r="T2371" s="4" t="s">
        <v>2276</v>
      </c>
      <c r="U2371" s="4" t="s">
        <v>2276</v>
      </c>
      <c r="V2371" s="4" t="s">
        <v>2276</v>
      </c>
      <c r="W2371" s="4" t="s">
        <v>2276</v>
      </c>
      <c r="X2371" s="4" t="s">
        <v>2276</v>
      </c>
      <c r="Y2371" s="4" t="s">
        <v>2276</v>
      </c>
      <c r="Z2371" s="4" t="s">
        <v>2276</v>
      </c>
      <c r="AA2371" s="4" t="s">
        <v>2276</v>
      </c>
      <c r="AB2371" s="4" t="s">
        <v>2276</v>
      </c>
      <c r="AC2371" s="4"/>
      <c r="AD2371" s="4"/>
    </row>
    <row r="2372" spans="1:30" s="205" customFormat="1" ht="49" customHeight="1">
      <c r="A2372" s="4" t="s">
        <v>6903</v>
      </c>
      <c r="B2372" s="4" t="s">
        <v>6962</v>
      </c>
      <c r="C2372" s="204" t="s">
        <v>2656</v>
      </c>
      <c r="D2372" s="4" t="s">
        <v>2276</v>
      </c>
      <c r="E2372" s="4" t="s">
        <v>3855</v>
      </c>
      <c r="F2372" s="4" t="s">
        <v>2276</v>
      </c>
      <c r="G2372" s="4" t="s">
        <v>74</v>
      </c>
      <c r="H2372" s="4" t="s">
        <v>523</v>
      </c>
      <c r="I2372" s="4"/>
      <c r="J2372" s="75">
        <f>J2365*0.008</f>
        <v>4.6610073571024336E-3</v>
      </c>
      <c r="K2372" s="4" t="s">
        <v>2276</v>
      </c>
      <c r="L2372" s="4" t="s">
        <v>2276</v>
      </c>
      <c r="M2372" s="4" t="s">
        <v>2276</v>
      </c>
      <c r="N2372" s="4" t="s">
        <v>2276</v>
      </c>
      <c r="O2372" s="4" t="s">
        <v>2276</v>
      </c>
      <c r="P2372" s="4" t="s">
        <v>2276</v>
      </c>
      <c r="Q2372" s="4" t="s">
        <v>2276</v>
      </c>
      <c r="R2372" s="4" t="s">
        <v>2276</v>
      </c>
      <c r="S2372" s="4" t="s">
        <v>2276</v>
      </c>
      <c r="T2372" s="4" t="s">
        <v>2276</v>
      </c>
      <c r="U2372" s="4" t="s">
        <v>2276</v>
      </c>
      <c r="V2372" s="4" t="s">
        <v>2276</v>
      </c>
      <c r="W2372" s="4" t="s">
        <v>2276</v>
      </c>
      <c r="X2372" s="4" t="s">
        <v>2276</v>
      </c>
      <c r="Y2372" s="4" t="s">
        <v>2276</v>
      </c>
      <c r="Z2372" s="4" t="s">
        <v>2276</v>
      </c>
      <c r="AA2372" s="4" t="s">
        <v>2276</v>
      </c>
      <c r="AB2372" s="4" t="s">
        <v>2276</v>
      </c>
      <c r="AC2372" s="4"/>
      <c r="AD2372" s="4"/>
    </row>
    <row r="2373" spans="1:30" s="205" customFormat="1" ht="49" customHeight="1">
      <c r="A2373" s="4" t="s">
        <v>6903</v>
      </c>
      <c r="B2373" s="4" t="s">
        <v>6963</v>
      </c>
      <c r="C2373" s="204" t="s">
        <v>2658</v>
      </c>
      <c r="D2373" s="4" t="s">
        <v>2276</v>
      </c>
      <c r="E2373" s="4" t="s">
        <v>2276</v>
      </c>
      <c r="F2373" s="4" t="s">
        <v>2276</v>
      </c>
      <c r="G2373" s="4" t="s">
        <v>74</v>
      </c>
      <c r="H2373" s="4" t="s">
        <v>523</v>
      </c>
      <c r="I2373" s="4"/>
      <c r="J2373" s="75">
        <f>J2365*0.064</f>
        <v>3.7288058856819468E-2</v>
      </c>
      <c r="K2373" s="4" t="s">
        <v>2276</v>
      </c>
      <c r="L2373" s="4" t="s">
        <v>2276</v>
      </c>
      <c r="M2373" s="4" t="s">
        <v>2276</v>
      </c>
      <c r="N2373" s="4" t="s">
        <v>2276</v>
      </c>
      <c r="O2373" s="4" t="s">
        <v>2276</v>
      </c>
      <c r="P2373" s="4" t="s">
        <v>2276</v>
      </c>
      <c r="Q2373" s="4" t="s">
        <v>2276</v>
      </c>
      <c r="R2373" s="4" t="s">
        <v>2276</v>
      </c>
      <c r="S2373" s="4" t="s">
        <v>2276</v>
      </c>
      <c r="T2373" s="4" t="s">
        <v>2276</v>
      </c>
      <c r="U2373" s="4" t="s">
        <v>2276</v>
      </c>
      <c r="V2373" s="4" t="s">
        <v>2276</v>
      </c>
      <c r="W2373" s="4" t="s">
        <v>2276</v>
      </c>
      <c r="X2373" s="4" t="s">
        <v>2276</v>
      </c>
      <c r="Y2373" s="4" t="s">
        <v>2276</v>
      </c>
      <c r="Z2373" s="4" t="s">
        <v>2276</v>
      </c>
      <c r="AA2373" s="4" t="s">
        <v>2276</v>
      </c>
      <c r="AB2373" s="4" t="s">
        <v>2276</v>
      </c>
      <c r="AC2373" s="4"/>
      <c r="AD2373" s="4"/>
    </row>
    <row r="2374" spans="1:30" s="205" customFormat="1" ht="49" customHeight="1">
      <c r="A2374" s="4" t="s">
        <v>6928</v>
      </c>
      <c r="B2374" s="4" t="s">
        <v>6964</v>
      </c>
      <c r="C2374" s="4" t="s">
        <v>1105</v>
      </c>
      <c r="D2374" s="4" t="s">
        <v>1105</v>
      </c>
      <c r="E2374" s="4" t="s">
        <v>1105</v>
      </c>
      <c r="F2374" s="4" t="s">
        <v>2276</v>
      </c>
      <c r="G2374" s="4" t="s">
        <v>74</v>
      </c>
      <c r="H2374" s="4" t="s">
        <v>523</v>
      </c>
      <c r="I2374" s="4"/>
      <c r="J2374" s="75">
        <f>2709/19/'Record info'!$K$996</f>
        <v>7.3005093378607805E-2</v>
      </c>
      <c r="K2374" s="4" t="s">
        <v>2276</v>
      </c>
      <c r="L2374" s="4" t="s">
        <v>2276</v>
      </c>
      <c r="M2374" s="4" t="s">
        <v>2276</v>
      </c>
      <c r="N2374" s="4" t="s">
        <v>2276</v>
      </c>
      <c r="O2374" s="4" t="s">
        <v>2276</v>
      </c>
      <c r="P2374" s="75">
        <v>6.5810000000000004</v>
      </c>
      <c r="Q2374" s="4" t="s">
        <v>2276</v>
      </c>
      <c r="R2374" s="4" t="s">
        <v>2276</v>
      </c>
      <c r="S2374" s="4" t="s">
        <v>2276</v>
      </c>
      <c r="T2374" s="75">
        <v>17829</v>
      </c>
      <c r="U2374" s="4" t="s">
        <v>2276</v>
      </c>
      <c r="V2374" s="75">
        <f>849/6221*100/19</f>
        <v>0.71828018849567254</v>
      </c>
      <c r="W2374" s="4" t="s">
        <v>2276</v>
      </c>
      <c r="X2374" s="4" t="s">
        <v>2276</v>
      </c>
      <c r="Y2374" s="4" t="s">
        <v>2276</v>
      </c>
      <c r="Z2374" s="4" t="s">
        <v>2276</v>
      </c>
      <c r="AA2374" s="4" t="s">
        <v>2276</v>
      </c>
      <c r="AB2374" s="4" t="s">
        <v>2276</v>
      </c>
      <c r="AC2374" s="4"/>
      <c r="AD2374" s="4"/>
    </row>
    <row r="2375" spans="1:30" s="205" customFormat="1" ht="49" customHeight="1">
      <c r="A2375" s="4" t="s">
        <v>6928</v>
      </c>
      <c r="B2375" s="4" t="s">
        <v>6965</v>
      </c>
      <c r="C2375" s="204" t="s">
        <v>24</v>
      </c>
      <c r="D2375" s="4" t="s">
        <v>2276</v>
      </c>
      <c r="E2375" s="4" t="s">
        <v>2649</v>
      </c>
      <c r="F2375" s="4" t="s">
        <v>74</v>
      </c>
      <c r="G2375" s="4" t="s">
        <v>74</v>
      </c>
      <c r="H2375" s="4" t="s">
        <v>523</v>
      </c>
      <c r="I2375" s="4"/>
      <c r="J2375" s="75">
        <f>J2374*(0.458)-J2376-J2379</f>
        <v>3.0427062818336164E-2</v>
      </c>
      <c r="K2375" s="4" t="s">
        <v>2276</v>
      </c>
      <c r="L2375" s="4" t="s">
        <v>2276</v>
      </c>
      <c r="M2375" s="4" t="s">
        <v>2276</v>
      </c>
      <c r="N2375" s="4" t="s">
        <v>2276</v>
      </c>
      <c r="O2375" s="4" t="s">
        <v>2276</v>
      </c>
      <c r="P2375" s="4" t="s">
        <v>2276</v>
      </c>
      <c r="Q2375" s="4" t="s">
        <v>2276</v>
      </c>
      <c r="R2375" s="4" t="s">
        <v>2276</v>
      </c>
      <c r="S2375" s="4" t="s">
        <v>2276</v>
      </c>
      <c r="T2375" s="4" t="s">
        <v>2276</v>
      </c>
      <c r="U2375" s="4" t="s">
        <v>2276</v>
      </c>
      <c r="V2375" s="4" t="s">
        <v>2276</v>
      </c>
      <c r="W2375" s="4" t="s">
        <v>2276</v>
      </c>
      <c r="X2375" s="4" t="s">
        <v>2276</v>
      </c>
      <c r="Y2375" s="4" t="s">
        <v>2276</v>
      </c>
      <c r="Z2375" s="4" t="s">
        <v>2276</v>
      </c>
      <c r="AA2375" s="4" t="s">
        <v>2276</v>
      </c>
      <c r="AB2375" s="4" t="s">
        <v>2276</v>
      </c>
      <c r="AC2375" s="4"/>
      <c r="AD2375" s="4"/>
    </row>
    <row r="2376" spans="1:30" s="205" customFormat="1" ht="49" customHeight="1">
      <c r="A2376" s="4" t="s">
        <v>6928</v>
      </c>
      <c r="B2376" s="4" t="s">
        <v>6966</v>
      </c>
      <c r="C2376" s="204" t="s">
        <v>24</v>
      </c>
      <c r="D2376" s="4" t="s">
        <v>2276</v>
      </c>
      <c r="E2376" s="4" t="s">
        <v>3855</v>
      </c>
      <c r="F2376" s="4" t="s">
        <v>74</v>
      </c>
      <c r="G2376" s="4" t="s">
        <v>74</v>
      </c>
      <c r="H2376" s="4" t="s">
        <v>523</v>
      </c>
      <c r="I2376" s="4"/>
      <c r="J2376" s="75">
        <f>J2374*0.458*(0.086)</f>
        <v>2.8755246179966044E-3</v>
      </c>
      <c r="K2376" s="4" t="s">
        <v>2276</v>
      </c>
      <c r="L2376" s="4" t="s">
        <v>2276</v>
      </c>
      <c r="M2376" s="4" t="s">
        <v>2276</v>
      </c>
      <c r="N2376" s="4" t="s">
        <v>2276</v>
      </c>
      <c r="O2376" s="4" t="s">
        <v>2276</v>
      </c>
      <c r="P2376" s="4" t="s">
        <v>2276</v>
      </c>
      <c r="Q2376" s="4" t="s">
        <v>2276</v>
      </c>
      <c r="R2376" s="4" t="s">
        <v>2276</v>
      </c>
      <c r="S2376" s="4" t="s">
        <v>2276</v>
      </c>
      <c r="T2376" s="4" t="s">
        <v>2276</v>
      </c>
      <c r="U2376" s="4" t="s">
        <v>2276</v>
      </c>
      <c r="V2376" s="4" t="s">
        <v>2276</v>
      </c>
      <c r="W2376" s="4" t="s">
        <v>2276</v>
      </c>
      <c r="X2376" s="4" t="s">
        <v>2276</v>
      </c>
      <c r="Y2376" s="4" t="s">
        <v>2276</v>
      </c>
      <c r="Z2376" s="4" t="s">
        <v>2276</v>
      </c>
      <c r="AA2376" s="4" t="s">
        <v>2276</v>
      </c>
      <c r="AB2376" s="4" t="s">
        <v>2276</v>
      </c>
      <c r="AC2376" s="4"/>
      <c r="AD2376" s="4"/>
    </row>
    <row r="2377" spans="1:30" s="205" customFormat="1" ht="49" customHeight="1">
      <c r="A2377" s="4" t="s">
        <v>6928</v>
      </c>
      <c r="B2377" s="4" t="s">
        <v>6967</v>
      </c>
      <c r="C2377" s="204" t="s">
        <v>2458</v>
      </c>
      <c r="D2377" s="4" t="s">
        <v>2276</v>
      </c>
      <c r="E2377" s="4" t="s">
        <v>3855</v>
      </c>
      <c r="F2377" s="4" t="s">
        <v>2276</v>
      </c>
      <c r="G2377" s="4" t="s">
        <v>74</v>
      </c>
      <c r="H2377" s="4" t="s">
        <v>523</v>
      </c>
      <c r="I2377" s="4"/>
      <c r="J2377" s="75">
        <f>J2374*0.167/2</f>
        <v>6.0959252971137523E-3</v>
      </c>
      <c r="K2377" s="4" t="s">
        <v>2276</v>
      </c>
      <c r="L2377" s="4" t="s">
        <v>2276</v>
      </c>
      <c r="M2377" s="4" t="s">
        <v>2276</v>
      </c>
      <c r="N2377" s="4" t="s">
        <v>2276</v>
      </c>
      <c r="O2377" s="4" t="s">
        <v>2276</v>
      </c>
      <c r="P2377" s="4" t="s">
        <v>2276</v>
      </c>
      <c r="Q2377" s="4" t="s">
        <v>2276</v>
      </c>
      <c r="R2377" s="4" t="s">
        <v>2276</v>
      </c>
      <c r="S2377" s="4" t="s">
        <v>2276</v>
      </c>
      <c r="T2377" s="4" t="s">
        <v>2276</v>
      </c>
      <c r="U2377" s="4" t="s">
        <v>2276</v>
      </c>
      <c r="V2377" s="4" t="s">
        <v>2276</v>
      </c>
      <c r="W2377" s="4" t="s">
        <v>2276</v>
      </c>
      <c r="X2377" s="4" t="s">
        <v>2276</v>
      </c>
      <c r="Y2377" s="4" t="s">
        <v>2276</v>
      </c>
      <c r="Z2377" s="4" t="s">
        <v>2276</v>
      </c>
      <c r="AA2377" s="4" t="s">
        <v>2276</v>
      </c>
      <c r="AB2377" s="4" t="s">
        <v>2276</v>
      </c>
      <c r="AC2377" s="4"/>
      <c r="AD2377" s="4"/>
    </row>
    <row r="2378" spans="1:30" s="205" customFormat="1" ht="49" customHeight="1">
      <c r="A2378" s="4" t="s">
        <v>6928</v>
      </c>
      <c r="B2378" s="4" t="s">
        <v>6968</v>
      </c>
      <c r="C2378" s="204" t="s">
        <v>2458</v>
      </c>
      <c r="D2378" s="4" t="s">
        <v>2276</v>
      </c>
      <c r="E2378" s="4" t="s">
        <v>2649</v>
      </c>
      <c r="F2378" s="4" t="s">
        <v>2662</v>
      </c>
      <c r="G2378" s="4" t="s">
        <v>74</v>
      </c>
      <c r="H2378" s="4" t="s">
        <v>523</v>
      </c>
      <c r="I2378" s="4"/>
      <c r="J2378" s="75">
        <f>J2374*0.167/2</f>
        <v>6.0959252971137523E-3</v>
      </c>
      <c r="K2378" s="4" t="s">
        <v>2276</v>
      </c>
      <c r="L2378" s="4" t="s">
        <v>2276</v>
      </c>
      <c r="M2378" s="4" t="s">
        <v>2276</v>
      </c>
      <c r="N2378" s="4" t="s">
        <v>2276</v>
      </c>
      <c r="O2378" s="4" t="s">
        <v>2276</v>
      </c>
      <c r="P2378" s="4" t="s">
        <v>2276</v>
      </c>
      <c r="Q2378" s="4" t="s">
        <v>2276</v>
      </c>
      <c r="R2378" s="4" t="s">
        <v>2276</v>
      </c>
      <c r="S2378" s="4" t="s">
        <v>2276</v>
      </c>
      <c r="T2378" s="4" t="s">
        <v>2276</v>
      </c>
      <c r="U2378" s="4" t="s">
        <v>2276</v>
      </c>
      <c r="V2378" s="4" t="s">
        <v>2276</v>
      </c>
      <c r="W2378" s="4" t="s">
        <v>2276</v>
      </c>
      <c r="X2378" s="4" t="s">
        <v>2276</v>
      </c>
      <c r="Y2378" s="4" t="s">
        <v>2276</v>
      </c>
      <c r="Z2378" s="4" t="s">
        <v>2276</v>
      </c>
      <c r="AA2378" s="4" t="s">
        <v>2276</v>
      </c>
      <c r="AB2378" s="4" t="s">
        <v>2276</v>
      </c>
      <c r="AC2378" s="4"/>
      <c r="AD2378" s="4"/>
    </row>
    <row r="2379" spans="1:30" s="205" customFormat="1" ht="49" customHeight="1">
      <c r="A2379" s="4" t="s">
        <v>6928</v>
      </c>
      <c r="B2379" s="4" t="s">
        <v>6969</v>
      </c>
      <c r="C2379" s="204" t="s">
        <v>24</v>
      </c>
      <c r="D2379" s="4" t="s">
        <v>2346</v>
      </c>
      <c r="E2379" s="4" t="s">
        <v>3855</v>
      </c>
      <c r="F2379" s="4" t="s">
        <v>2663</v>
      </c>
      <c r="G2379" s="4" t="s">
        <v>2663</v>
      </c>
      <c r="H2379" s="4" t="s">
        <v>523</v>
      </c>
      <c r="I2379" s="4"/>
      <c r="J2379" s="75">
        <f>J2374*0.004*0.458</f>
        <v>1.337453310696095E-4</v>
      </c>
      <c r="K2379" s="4" t="s">
        <v>2276</v>
      </c>
      <c r="L2379" s="4" t="s">
        <v>2276</v>
      </c>
      <c r="M2379" s="4" t="s">
        <v>2276</v>
      </c>
      <c r="N2379" s="4" t="s">
        <v>2276</v>
      </c>
      <c r="O2379" s="4" t="s">
        <v>2276</v>
      </c>
      <c r="P2379" s="4" t="s">
        <v>2276</v>
      </c>
      <c r="Q2379" s="4" t="s">
        <v>2276</v>
      </c>
      <c r="R2379" s="4" t="s">
        <v>2276</v>
      </c>
      <c r="S2379" s="4" t="s">
        <v>2276</v>
      </c>
      <c r="T2379" s="4" t="s">
        <v>2276</v>
      </c>
      <c r="U2379" s="4" t="s">
        <v>2276</v>
      </c>
      <c r="V2379" s="4" t="s">
        <v>2276</v>
      </c>
      <c r="W2379" s="4" t="s">
        <v>2276</v>
      </c>
      <c r="X2379" s="4" t="s">
        <v>2276</v>
      </c>
      <c r="Y2379" s="4" t="s">
        <v>2276</v>
      </c>
      <c r="Z2379" s="4" t="s">
        <v>2276</v>
      </c>
      <c r="AA2379" s="4" t="s">
        <v>2276</v>
      </c>
      <c r="AB2379" s="4" t="s">
        <v>2276</v>
      </c>
      <c r="AC2379" s="4"/>
      <c r="AD2379" s="4"/>
    </row>
    <row r="2380" spans="1:30" s="205" customFormat="1" ht="49" customHeight="1">
      <c r="A2380" s="4" t="s">
        <v>6928</v>
      </c>
      <c r="B2380" s="4" t="s">
        <v>6970</v>
      </c>
      <c r="C2380" s="204" t="s">
        <v>31</v>
      </c>
      <c r="D2380" s="4" t="s">
        <v>30</v>
      </c>
      <c r="E2380" s="4" t="s">
        <v>2276</v>
      </c>
      <c r="F2380" s="4" t="s">
        <v>2276</v>
      </c>
      <c r="G2380" s="4" t="s">
        <v>74</v>
      </c>
      <c r="H2380" s="4" t="s">
        <v>523</v>
      </c>
      <c r="I2380" s="4"/>
      <c r="J2380" s="75">
        <f>J2374*0.06</f>
        <v>4.380305602716468E-3</v>
      </c>
      <c r="K2380" s="4" t="s">
        <v>2276</v>
      </c>
      <c r="L2380" s="4" t="s">
        <v>2276</v>
      </c>
      <c r="M2380" s="4" t="s">
        <v>2276</v>
      </c>
      <c r="N2380" s="4" t="s">
        <v>2276</v>
      </c>
      <c r="O2380" s="4" t="s">
        <v>2276</v>
      </c>
      <c r="P2380" s="4" t="s">
        <v>2276</v>
      </c>
      <c r="Q2380" s="4" t="s">
        <v>2276</v>
      </c>
      <c r="R2380" s="4" t="s">
        <v>2276</v>
      </c>
      <c r="S2380" s="4" t="s">
        <v>2276</v>
      </c>
      <c r="T2380" s="4" t="s">
        <v>2276</v>
      </c>
      <c r="U2380" s="4" t="s">
        <v>2276</v>
      </c>
      <c r="V2380" s="4" t="s">
        <v>2276</v>
      </c>
      <c r="W2380" s="4" t="s">
        <v>2276</v>
      </c>
      <c r="X2380" s="4" t="s">
        <v>2276</v>
      </c>
      <c r="Y2380" s="4" t="s">
        <v>2276</v>
      </c>
      <c r="Z2380" s="4" t="s">
        <v>2276</v>
      </c>
      <c r="AA2380" s="4" t="s">
        <v>2276</v>
      </c>
      <c r="AB2380" s="4" t="s">
        <v>2276</v>
      </c>
      <c r="AC2380" s="4"/>
      <c r="AD2380" s="4"/>
    </row>
    <row r="2381" spans="1:30" s="205" customFormat="1" ht="49" customHeight="1">
      <c r="A2381" s="4" t="s">
        <v>6928</v>
      </c>
      <c r="B2381" s="4" t="s">
        <v>6971</v>
      </c>
      <c r="C2381" s="204" t="s">
        <v>2656</v>
      </c>
      <c r="D2381" s="4" t="s">
        <v>2276</v>
      </c>
      <c r="E2381" s="4" t="s">
        <v>3855</v>
      </c>
      <c r="F2381" s="4" t="s">
        <v>2276</v>
      </c>
      <c r="G2381" s="4" t="s">
        <v>74</v>
      </c>
      <c r="H2381" s="4" t="s">
        <v>523</v>
      </c>
      <c r="I2381" s="4"/>
      <c r="J2381" s="75">
        <f>J2374*0.018</f>
        <v>1.3140916808149403E-3</v>
      </c>
      <c r="K2381" s="4" t="s">
        <v>2276</v>
      </c>
      <c r="L2381" s="4" t="s">
        <v>2276</v>
      </c>
      <c r="M2381" s="4" t="s">
        <v>2276</v>
      </c>
      <c r="N2381" s="4" t="s">
        <v>2276</v>
      </c>
      <c r="O2381" s="4" t="s">
        <v>2276</v>
      </c>
      <c r="P2381" s="4" t="s">
        <v>2276</v>
      </c>
      <c r="Q2381" s="4" t="s">
        <v>2276</v>
      </c>
      <c r="R2381" s="4" t="s">
        <v>2276</v>
      </c>
      <c r="S2381" s="4" t="s">
        <v>2276</v>
      </c>
      <c r="T2381" s="4" t="s">
        <v>2276</v>
      </c>
      <c r="U2381" s="4" t="s">
        <v>2276</v>
      </c>
      <c r="V2381" s="4" t="s">
        <v>2276</v>
      </c>
      <c r="W2381" s="4" t="s">
        <v>2276</v>
      </c>
      <c r="X2381" s="4" t="s">
        <v>2276</v>
      </c>
      <c r="Y2381" s="4" t="s">
        <v>2276</v>
      </c>
      <c r="Z2381" s="4" t="s">
        <v>2276</v>
      </c>
      <c r="AA2381" s="4" t="s">
        <v>2276</v>
      </c>
      <c r="AB2381" s="4" t="s">
        <v>2276</v>
      </c>
      <c r="AC2381" s="4"/>
      <c r="AD2381" s="4"/>
    </row>
    <row r="2382" spans="1:30" s="205" customFormat="1" ht="49" customHeight="1">
      <c r="A2382" s="4" t="s">
        <v>6928</v>
      </c>
      <c r="B2382" s="4" t="s">
        <v>6972</v>
      </c>
      <c r="C2382" s="204" t="s">
        <v>2658</v>
      </c>
      <c r="D2382" s="4" t="s">
        <v>2276</v>
      </c>
      <c r="E2382" s="4" t="s">
        <v>2276</v>
      </c>
      <c r="F2382" s="4" t="s">
        <v>2276</v>
      </c>
      <c r="G2382" s="4" t="s">
        <v>74</v>
      </c>
      <c r="H2382" s="4" t="s">
        <v>523</v>
      </c>
      <c r="I2382" s="4"/>
      <c r="J2382" s="75">
        <f>J2374*0.268</f>
        <v>1.9565365025466894E-2</v>
      </c>
      <c r="K2382" s="4" t="s">
        <v>2276</v>
      </c>
      <c r="L2382" s="4" t="s">
        <v>2276</v>
      </c>
      <c r="M2382" s="4" t="s">
        <v>2276</v>
      </c>
      <c r="N2382" s="4" t="s">
        <v>2276</v>
      </c>
      <c r="O2382" s="4" t="s">
        <v>2276</v>
      </c>
      <c r="P2382" s="4" t="s">
        <v>2276</v>
      </c>
      <c r="Q2382" s="4" t="s">
        <v>2276</v>
      </c>
      <c r="R2382" s="4" t="s">
        <v>2276</v>
      </c>
      <c r="S2382" s="4" t="s">
        <v>2276</v>
      </c>
      <c r="T2382" s="4" t="s">
        <v>2276</v>
      </c>
      <c r="U2382" s="4" t="s">
        <v>2276</v>
      </c>
      <c r="V2382" s="4" t="s">
        <v>2276</v>
      </c>
      <c r="W2382" s="4" t="s">
        <v>2276</v>
      </c>
      <c r="X2382" s="4" t="s">
        <v>2276</v>
      </c>
      <c r="Y2382" s="4" t="s">
        <v>2276</v>
      </c>
      <c r="Z2382" s="4" t="s">
        <v>2276</v>
      </c>
      <c r="AA2382" s="4" t="s">
        <v>2276</v>
      </c>
      <c r="AB2382" s="4" t="s">
        <v>2276</v>
      </c>
      <c r="AC2382" s="4"/>
      <c r="AD2382" s="4"/>
    </row>
    <row r="2383" spans="1:30" ht="29">
      <c r="A2383" s="4" t="s">
        <v>6364</v>
      </c>
      <c r="B2383" s="4" t="s">
        <v>6459</v>
      </c>
      <c r="C2383" s="4" t="s">
        <v>24</v>
      </c>
      <c r="D2383" s="4" t="s">
        <v>2659</v>
      </c>
      <c r="E2383" s="4" t="s">
        <v>397</v>
      </c>
      <c r="F2383" s="4" t="s">
        <v>28</v>
      </c>
      <c r="G2383" s="4" t="s">
        <v>2276</v>
      </c>
      <c r="H2383" s="4" t="s">
        <v>523</v>
      </c>
      <c r="I2383" s="4"/>
      <c r="J2383" s="4" t="s">
        <v>2276</v>
      </c>
      <c r="K2383" s="4" t="s">
        <v>2276</v>
      </c>
      <c r="L2383" s="4" t="s">
        <v>2276</v>
      </c>
      <c r="M2383" s="4" t="s">
        <v>2276</v>
      </c>
      <c r="N2383" s="4" t="s">
        <v>2276</v>
      </c>
      <c r="O2383" s="4" t="s">
        <v>2276</v>
      </c>
      <c r="P2383" s="4" t="s">
        <v>2276</v>
      </c>
      <c r="Q2383" s="4" t="s">
        <v>2276</v>
      </c>
      <c r="R2383" s="4" t="s">
        <v>2276</v>
      </c>
      <c r="S2383" s="4" t="s">
        <v>2276</v>
      </c>
      <c r="T2383" s="4" t="s">
        <v>2276</v>
      </c>
      <c r="U2383" s="75">
        <f>100*2/177*((177)/(177+869+94))</f>
        <v>0.17543859649122809</v>
      </c>
      <c r="V2383" s="4" t="s">
        <v>2276</v>
      </c>
      <c r="W2383" s="4" t="s">
        <v>2276</v>
      </c>
      <c r="X2383" s="4" t="s">
        <v>2276</v>
      </c>
      <c r="Y2383" s="4" t="s">
        <v>2276</v>
      </c>
      <c r="Z2383" s="4" t="s">
        <v>399</v>
      </c>
      <c r="AA2383" s="4" t="s">
        <v>38</v>
      </c>
      <c r="AB2383" s="4" t="s">
        <v>64</v>
      </c>
      <c r="AC2383" s="4" t="s">
        <v>6435</v>
      </c>
      <c r="AD2383" s="4" t="s">
        <v>6436</v>
      </c>
    </row>
    <row r="2384" spans="1:30" ht="29">
      <c r="A2384" s="4" t="s">
        <v>6364</v>
      </c>
      <c r="B2384" s="4" t="s">
        <v>6460</v>
      </c>
      <c r="C2384" s="4" t="s">
        <v>24</v>
      </c>
      <c r="D2384" s="4" t="s">
        <v>2659</v>
      </c>
      <c r="E2384" s="4" t="s">
        <v>396</v>
      </c>
      <c r="F2384" s="4" t="s">
        <v>28</v>
      </c>
      <c r="G2384" s="4" t="s">
        <v>2276</v>
      </c>
      <c r="H2384" s="4" t="s">
        <v>523</v>
      </c>
      <c r="I2384" s="4"/>
      <c r="J2384" s="4" t="s">
        <v>2276</v>
      </c>
      <c r="K2384" s="4" t="s">
        <v>2276</v>
      </c>
      <c r="L2384" s="4" t="s">
        <v>2276</v>
      </c>
      <c r="M2384" s="4" t="s">
        <v>2276</v>
      </c>
      <c r="N2384" s="4" t="s">
        <v>2276</v>
      </c>
      <c r="O2384" s="4" t="s">
        <v>2276</v>
      </c>
      <c r="P2384" s="4" t="s">
        <v>2276</v>
      </c>
      <c r="Q2384" s="4" t="s">
        <v>2276</v>
      </c>
      <c r="R2384" s="4" t="s">
        <v>2276</v>
      </c>
      <c r="S2384" s="4" t="s">
        <v>2276</v>
      </c>
      <c r="T2384" s="4" t="s">
        <v>2276</v>
      </c>
      <c r="U2384" s="75">
        <f>100*(53+657+141*1/9+15*1/9)/(869+94)*((869+94)/(177+869+94))</f>
        <v>63.801169590643269</v>
      </c>
      <c r="V2384" s="4" t="s">
        <v>2276</v>
      </c>
      <c r="W2384" s="4" t="s">
        <v>2276</v>
      </c>
      <c r="X2384" s="4" t="s">
        <v>2276</v>
      </c>
      <c r="Y2384" s="4" t="s">
        <v>2276</v>
      </c>
      <c r="Z2384" s="4" t="s">
        <v>399</v>
      </c>
      <c r="AA2384" s="4" t="s">
        <v>38</v>
      </c>
      <c r="AB2384" s="4" t="s">
        <v>64</v>
      </c>
      <c r="AC2384" s="4" t="s">
        <v>6435</v>
      </c>
      <c r="AD2384" s="4" t="s">
        <v>6436</v>
      </c>
    </row>
    <row r="2385" spans="1:30" ht="29">
      <c r="A2385" s="4" t="s">
        <v>6365</v>
      </c>
      <c r="B2385" s="4" t="s">
        <v>6461</v>
      </c>
      <c r="C2385" s="4" t="s">
        <v>24</v>
      </c>
      <c r="D2385" s="4" t="s">
        <v>2659</v>
      </c>
      <c r="E2385" s="4" t="s">
        <v>397</v>
      </c>
      <c r="F2385" s="4" t="s">
        <v>28</v>
      </c>
      <c r="G2385" s="4" t="s">
        <v>2276</v>
      </c>
      <c r="H2385" s="4" t="s">
        <v>523</v>
      </c>
      <c r="I2385" s="4"/>
      <c r="J2385" s="4" t="s">
        <v>2276</v>
      </c>
      <c r="K2385" s="4" t="s">
        <v>2276</v>
      </c>
      <c r="L2385" s="4" t="s">
        <v>2276</v>
      </c>
      <c r="M2385" s="4" t="s">
        <v>2276</v>
      </c>
      <c r="N2385" s="4" t="s">
        <v>2276</v>
      </c>
      <c r="O2385" s="4" t="s">
        <v>2276</v>
      </c>
      <c r="P2385" s="4" t="s">
        <v>2276</v>
      </c>
      <c r="Q2385" s="4" t="s">
        <v>2276</v>
      </c>
      <c r="R2385" s="4" t="s">
        <v>2276</v>
      </c>
      <c r="S2385" s="4" t="s">
        <v>2276</v>
      </c>
      <c r="T2385" s="4" t="s">
        <v>2276</v>
      </c>
      <c r="U2385" s="75">
        <f t="shared" ref="U2385" si="2">100*2/177*((177)/(177+869+94))</f>
        <v>0.17543859649122809</v>
      </c>
      <c r="V2385" s="4" t="s">
        <v>2276</v>
      </c>
      <c r="W2385" s="4" t="s">
        <v>2276</v>
      </c>
      <c r="X2385" s="4" t="s">
        <v>2276</v>
      </c>
      <c r="Y2385" s="4" t="s">
        <v>2276</v>
      </c>
      <c r="Z2385" s="4" t="s">
        <v>399</v>
      </c>
      <c r="AA2385" s="4" t="s">
        <v>38</v>
      </c>
      <c r="AB2385" s="4" t="s">
        <v>64</v>
      </c>
      <c r="AC2385" s="4" t="s">
        <v>6435</v>
      </c>
      <c r="AD2385" s="4" t="s">
        <v>6436</v>
      </c>
    </row>
    <row r="2386" spans="1:30" ht="29">
      <c r="A2386" s="4" t="s">
        <v>6365</v>
      </c>
      <c r="B2386" s="4" t="s">
        <v>6462</v>
      </c>
      <c r="C2386" s="4" t="s">
        <v>24</v>
      </c>
      <c r="D2386" s="4" t="s">
        <v>2659</v>
      </c>
      <c r="E2386" s="4" t="s">
        <v>396</v>
      </c>
      <c r="F2386" s="4" t="s">
        <v>28</v>
      </c>
      <c r="G2386" s="4" t="s">
        <v>2276</v>
      </c>
      <c r="H2386" s="4" t="s">
        <v>523</v>
      </c>
      <c r="I2386" s="4"/>
      <c r="J2386" s="4" t="s">
        <v>2276</v>
      </c>
      <c r="K2386" s="4" t="s">
        <v>2276</v>
      </c>
      <c r="L2386" s="4" t="s">
        <v>2276</v>
      </c>
      <c r="M2386" s="4" t="s">
        <v>2276</v>
      </c>
      <c r="N2386" s="4" t="s">
        <v>2276</v>
      </c>
      <c r="O2386" s="4" t="s">
        <v>2276</v>
      </c>
      <c r="P2386" s="4" t="s">
        <v>2276</v>
      </c>
      <c r="Q2386" s="4" t="s">
        <v>2276</v>
      </c>
      <c r="R2386" s="4" t="s">
        <v>2276</v>
      </c>
      <c r="S2386" s="4" t="s">
        <v>2276</v>
      </c>
      <c r="T2386" s="4" t="s">
        <v>2276</v>
      </c>
      <c r="U2386" s="75">
        <f t="shared" ref="U2386" si="3">100*(53+657+141*1/9+15*1/9)/(869+94)*((869+94)/(177+869+94))</f>
        <v>63.801169590643269</v>
      </c>
      <c r="V2386" s="4" t="s">
        <v>2276</v>
      </c>
      <c r="W2386" s="4" t="s">
        <v>2276</v>
      </c>
      <c r="X2386" s="4" t="s">
        <v>2276</v>
      </c>
      <c r="Y2386" s="4" t="s">
        <v>2276</v>
      </c>
      <c r="Z2386" s="4" t="s">
        <v>399</v>
      </c>
      <c r="AA2386" s="4" t="s">
        <v>38</v>
      </c>
      <c r="AB2386" s="4" t="s">
        <v>64</v>
      </c>
      <c r="AC2386" s="4" t="s">
        <v>6435</v>
      </c>
      <c r="AD2386" s="4" t="s">
        <v>6436</v>
      </c>
    </row>
    <row r="2387" spans="1:30" ht="29">
      <c r="A2387" s="4" t="s">
        <v>6366</v>
      </c>
      <c r="B2387" s="4" t="s">
        <v>6463</v>
      </c>
      <c r="C2387" s="4" t="s">
        <v>24</v>
      </c>
      <c r="D2387" s="4" t="s">
        <v>2659</v>
      </c>
      <c r="E2387" s="4" t="s">
        <v>397</v>
      </c>
      <c r="F2387" s="4" t="s">
        <v>28</v>
      </c>
      <c r="G2387" s="4" t="s">
        <v>2276</v>
      </c>
      <c r="H2387" s="4" t="s">
        <v>523</v>
      </c>
      <c r="I2387" s="4"/>
      <c r="J2387" s="4" t="s">
        <v>2276</v>
      </c>
      <c r="K2387" s="4" t="s">
        <v>2276</v>
      </c>
      <c r="L2387" s="4" t="s">
        <v>2276</v>
      </c>
      <c r="M2387" s="4" t="s">
        <v>2276</v>
      </c>
      <c r="N2387" s="4" t="s">
        <v>2276</v>
      </c>
      <c r="O2387" s="4" t="s">
        <v>2276</v>
      </c>
      <c r="P2387" s="4" t="s">
        <v>2276</v>
      </c>
      <c r="Q2387" s="4" t="s">
        <v>2276</v>
      </c>
      <c r="R2387" s="4" t="s">
        <v>2276</v>
      </c>
      <c r="S2387" s="4" t="s">
        <v>2276</v>
      </c>
      <c r="T2387" s="4" t="s">
        <v>2276</v>
      </c>
      <c r="U2387" s="75">
        <f t="shared" ref="U2387" si="4">100*2/177*((177)/(177+869+94))</f>
        <v>0.17543859649122809</v>
      </c>
      <c r="V2387" s="4" t="s">
        <v>2276</v>
      </c>
      <c r="W2387" s="4" t="s">
        <v>2276</v>
      </c>
      <c r="X2387" s="4" t="s">
        <v>2276</v>
      </c>
      <c r="Y2387" s="4" t="s">
        <v>2276</v>
      </c>
      <c r="Z2387" s="4" t="s">
        <v>399</v>
      </c>
      <c r="AA2387" s="4" t="s">
        <v>38</v>
      </c>
      <c r="AB2387" s="4" t="s">
        <v>64</v>
      </c>
      <c r="AC2387" s="4" t="s">
        <v>6435</v>
      </c>
      <c r="AD2387" s="4" t="s">
        <v>6436</v>
      </c>
    </row>
    <row r="2388" spans="1:30" ht="29">
      <c r="A2388" s="4" t="s">
        <v>6366</v>
      </c>
      <c r="B2388" s="4" t="s">
        <v>6464</v>
      </c>
      <c r="C2388" s="4" t="s">
        <v>24</v>
      </c>
      <c r="D2388" s="4" t="s">
        <v>2659</v>
      </c>
      <c r="E2388" s="4" t="s">
        <v>396</v>
      </c>
      <c r="F2388" s="4" t="s">
        <v>28</v>
      </c>
      <c r="G2388" s="4" t="s">
        <v>2276</v>
      </c>
      <c r="H2388" s="4" t="s">
        <v>523</v>
      </c>
      <c r="I2388" s="4"/>
      <c r="J2388" s="4" t="s">
        <v>2276</v>
      </c>
      <c r="K2388" s="4" t="s">
        <v>2276</v>
      </c>
      <c r="L2388" s="4" t="s">
        <v>2276</v>
      </c>
      <c r="M2388" s="4" t="s">
        <v>2276</v>
      </c>
      <c r="N2388" s="4" t="s">
        <v>2276</v>
      </c>
      <c r="O2388" s="4" t="s">
        <v>2276</v>
      </c>
      <c r="P2388" s="4" t="s">
        <v>2276</v>
      </c>
      <c r="Q2388" s="4" t="s">
        <v>2276</v>
      </c>
      <c r="R2388" s="4" t="s">
        <v>2276</v>
      </c>
      <c r="S2388" s="4" t="s">
        <v>2276</v>
      </c>
      <c r="T2388" s="4" t="s">
        <v>2276</v>
      </c>
      <c r="U2388" s="75">
        <f t="shared" ref="U2388" si="5">100*(53+657+141*1/9+15*1/9)/(869+94)*((869+94)/(177+869+94))</f>
        <v>63.801169590643269</v>
      </c>
      <c r="V2388" s="4" t="s">
        <v>2276</v>
      </c>
      <c r="W2388" s="4" t="s">
        <v>2276</v>
      </c>
      <c r="X2388" s="4" t="s">
        <v>2276</v>
      </c>
      <c r="Y2388" s="4" t="s">
        <v>2276</v>
      </c>
      <c r="Z2388" s="4" t="s">
        <v>399</v>
      </c>
      <c r="AA2388" s="4" t="s">
        <v>38</v>
      </c>
      <c r="AB2388" s="4" t="s">
        <v>64</v>
      </c>
      <c r="AC2388" s="4" t="s">
        <v>6435</v>
      </c>
      <c r="AD2388" s="4" t="s">
        <v>6436</v>
      </c>
    </row>
    <row r="2389" spans="1:30" ht="58">
      <c r="A2389" s="4" t="s">
        <v>6367</v>
      </c>
      <c r="B2389" s="4" t="s">
        <v>6465</v>
      </c>
      <c r="C2389" s="4" t="s">
        <v>24</v>
      </c>
      <c r="D2389" s="4" t="s">
        <v>2659</v>
      </c>
      <c r="E2389" s="4" t="s">
        <v>396</v>
      </c>
      <c r="F2389" s="4" t="s">
        <v>28</v>
      </c>
      <c r="G2389" s="4" t="s">
        <v>2276</v>
      </c>
      <c r="H2389" s="4" t="s">
        <v>523</v>
      </c>
      <c r="I2389" s="4"/>
      <c r="J2389" s="4" t="s">
        <v>2276</v>
      </c>
      <c r="K2389" s="4" t="s">
        <v>2276</v>
      </c>
      <c r="L2389" s="4" t="s">
        <v>2276</v>
      </c>
      <c r="M2389" s="4" t="s">
        <v>2276</v>
      </c>
      <c r="N2389" s="4" t="s">
        <v>2276</v>
      </c>
      <c r="O2389" s="4" t="s">
        <v>2276</v>
      </c>
      <c r="P2389" s="4" t="s">
        <v>2276</v>
      </c>
      <c r="Q2389" s="4" t="s">
        <v>2276</v>
      </c>
      <c r="R2389" s="4" t="s">
        <v>2276</v>
      </c>
      <c r="S2389" s="4" t="s">
        <v>2276</v>
      </c>
      <c r="T2389" s="4" t="s">
        <v>2276</v>
      </c>
      <c r="U2389" s="4" t="s">
        <v>2276</v>
      </c>
      <c r="V2389" s="4" t="s">
        <v>2276</v>
      </c>
      <c r="W2389" s="4" t="s">
        <v>2276</v>
      </c>
      <c r="X2389" s="4" t="s">
        <v>2276</v>
      </c>
      <c r="Y2389" s="75">
        <v>1</v>
      </c>
      <c r="Z2389" s="4" t="s">
        <v>399</v>
      </c>
      <c r="AA2389" s="4" t="s">
        <v>38</v>
      </c>
      <c r="AB2389" s="4" t="s">
        <v>64</v>
      </c>
      <c r="AC2389" s="4" t="s">
        <v>6437</v>
      </c>
      <c r="AD2389" s="4" t="s">
        <v>6438</v>
      </c>
    </row>
    <row r="2390" spans="1:30" ht="58">
      <c r="A2390" s="4" t="s">
        <v>6367</v>
      </c>
      <c r="B2390" s="4" t="s">
        <v>6466</v>
      </c>
      <c r="C2390" s="4" t="s">
        <v>24</v>
      </c>
      <c r="D2390" s="4" t="s">
        <v>2659</v>
      </c>
      <c r="E2390" s="4" t="s">
        <v>396</v>
      </c>
      <c r="F2390" s="4" t="s">
        <v>28</v>
      </c>
      <c r="G2390" s="4" t="s">
        <v>2276</v>
      </c>
      <c r="H2390" s="4" t="s">
        <v>523</v>
      </c>
      <c r="I2390" s="4"/>
      <c r="J2390" s="4" t="s">
        <v>2276</v>
      </c>
      <c r="K2390" s="4" t="s">
        <v>2276</v>
      </c>
      <c r="L2390" s="4" t="s">
        <v>2276</v>
      </c>
      <c r="M2390" s="4" t="s">
        <v>2276</v>
      </c>
      <c r="N2390" s="4" t="s">
        <v>2276</v>
      </c>
      <c r="O2390" s="4" t="s">
        <v>2276</v>
      </c>
      <c r="P2390" s="4" t="s">
        <v>2276</v>
      </c>
      <c r="Q2390" s="4" t="s">
        <v>2276</v>
      </c>
      <c r="R2390" s="4" t="s">
        <v>2276</v>
      </c>
      <c r="S2390" s="4" t="s">
        <v>2276</v>
      </c>
      <c r="T2390" s="4" t="s">
        <v>2276</v>
      </c>
      <c r="U2390" s="4" t="s">
        <v>2276</v>
      </c>
      <c r="V2390" s="4" t="s">
        <v>2276</v>
      </c>
      <c r="W2390" s="4" t="s">
        <v>2276</v>
      </c>
      <c r="X2390" s="4" t="s">
        <v>2276</v>
      </c>
      <c r="Y2390" s="75">
        <v>1</v>
      </c>
      <c r="Z2390" s="4" t="s">
        <v>399</v>
      </c>
      <c r="AA2390" s="4" t="s">
        <v>38</v>
      </c>
      <c r="AB2390" s="4" t="s">
        <v>64</v>
      </c>
      <c r="AC2390" s="4" t="s">
        <v>6439</v>
      </c>
      <c r="AD2390" s="4" t="s">
        <v>6438</v>
      </c>
    </row>
    <row r="2391" spans="1:30" ht="58">
      <c r="A2391" s="4" t="s">
        <v>6367</v>
      </c>
      <c r="B2391" s="4" t="s">
        <v>6467</v>
      </c>
      <c r="C2391" s="4" t="s">
        <v>24</v>
      </c>
      <c r="D2391" s="4" t="s">
        <v>2659</v>
      </c>
      <c r="E2391" s="4" t="s">
        <v>396</v>
      </c>
      <c r="F2391" s="4" t="s">
        <v>28</v>
      </c>
      <c r="G2391" s="4" t="s">
        <v>2276</v>
      </c>
      <c r="H2391" s="4" t="s">
        <v>523</v>
      </c>
      <c r="I2391" s="4"/>
      <c r="J2391" s="4" t="s">
        <v>2276</v>
      </c>
      <c r="K2391" s="4" t="s">
        <v>2276</v>
      </c>
      <c r="L2391" s="4" t="s">
        <v>2276</v>
      </c>
      <c r="M2391" s="4" t="s">
        <v>2276</v>
      </c>
      <c r="N2391" s="4" t="s">
        <v>2276</v>
      </c>
      <c r="O2391" s="4" t="s">
        <v>2276</v>
      </c>
      <c r="P2391" s="4" t="s">
        <v>2276</v>
      </c>
      <c r="Q2391" s="4" t="s">
        <v>2276</v>
      </c>
      <c r="R2391" s="4" t="s">
        <v>2276</v>
      </c>
      <c r="S2391" s="4" t="s">
        <v>2276</v>
      </c>
      <c r="T2391" s="4" t="s">
        <v>2276</v>
      </c>
      <c r="U2391" s="4" t="s">
        <v>2276</v>
      </c>
      <c r="V2391" s="4" t="s">
        <v>2276</v>
      </c>
      <c r="W2391" s="4" t="s">
        <v>2276</v>
      </c>
      <c r="X2391" s="4" t="s">
        <v>2276</v>
      </c>
      <c r="Y2391" s="75">
        <v>1</v>
      </c>
      <c r="Z2391" s="4" t="s">
        <v>2276</v>
      </c>
      <c r="AA2391" s="4" t="s">
        <v>2276</v>
      </c>
      <c r="AB2391" s="4" t="s">
        <v>64</v>
      </c>
      <c r="AC2391" s="4" t="s">
        <v>6440</v>
      </c>
      <c r="AD2391" s="4" t="s">
        <v>6438</v>
      </c>
    </row>
    <row r="2392" spans="1:30" ht="58">
      <c r="A2392" s="4" t="s">
        <v>6367</v>
      </c>
      <c r="B2392" s="4" t="s">
        <v>6468</v>
      </c>
      <c r="C2392" s="4" t="s">
        <v>24</v>
      </c>
      <c r="D2392" s="4" t="s">
        <v>2659</v>
      </c>
      <c r="E2392" s="4" t="s">
        <v>396</v>
      </c>
      <c r="F2392" s="4" t="s">
        <v>28</v>
      </c>
      <c r="G2392" s="4" t="s">
        <v>2276</v>
      </c>
      <c r="H2392" s="4" t="s">
        <v>523</v>
      </c>
      <c r="I2392" s="4"/>
      <c r="J2392" s="4" t="s">
        <v>2276</v>
      </c>
      <c r="K2392" s="4" t="s">
        <v>2276</v>
      </c>
      <c r="L2392" s="4" t="s">
        <v>2276</v>
      </c>
      <c r="M2392" s="4" t="s">
        <v>2276</v>
      </c>
      <c r="N2392" s="4" t="s">
        <v>2276</v>
      </c>
      <c r="O2392" s="4" t="s">
        <v>2276</v>
      </c>
      <c r="P2392" s="4" t="s">
        <v>2276</v>
      </c>
      <c r="Q2392" s="4" t="s">
        <v>2276</v>
      </c>
      <c r="R2392" s="4" t="s">
        <v>2276</v>
      </c>
      <c r="S2392" s="4" t="s">
        <v>2276</v>
      </c>
      <c r="T2392" s="4" t="s">
        <v>2276</v>
      </c>
      <c r="U2392" s="4" t="s">
        <v>2276</v>
      </c>
      <c r="V2392" s="4" t="s">
        <v>2276</v>
      </c>
      <c r="W2392" s="4" t="s">
        <v>2276</v>
      </c>
      <c r="X2392" s="4" t="s">
        <v>2276</v>
      </c>
      <c r="Y2392" s="75">
        <v>1</v>
      </c>
      <c r="Z2392" s="4" t="s">
        <v>2276</v>
      </c>
      <c r="AA2392" s="4" t="s">
        <v>2276</v>
      </c>
      <c r="AB2392" s="4" t="s">
        <v>64</v>
      </c>
      <c r="AC2392" s="4" t="s">
        <v>6439</v>
      </c>
      <c r="AD2392" s="4" t="s">
        <v>6438</v>
      </c>
    </row>
    <row r="2393" spans="1:30" ht="58">
      <c r="A2393" s="4" t="s">
        <v>6367</v>
      </c>
      <c r="B2393" s="4" t="s">
        <v>6469</v>
      </c>
      <c r="C2393" s="4" t="s">
        <v>24</v>
      </c>
      <c r="D2393" s="4" t="s">
        <v>2659</v>
      </c>
      <c r="E2393" s="4" t="s">
        <v>396</v>
      </c>
      <c r="F2393" s="4" t="s">
        <v>28</v>
      </c>
      <c r="G2393" s="4" t="s">
        <v>2276</v>
      </c>
      <c r="H2393" s="4" t="s">
        <v>523</v>
      </c>
      <c r="I2393" s="4"/>
      <c r="J2393" s="4" t="s">
        <v>2276</v>
      </c>
      <c r="K2393" s="4" t="s">
        <v>2276</v>
      </c>
      <c r="L2393" s="4" t="s">
        <v>2276</v>
      </c>
      <c r="M2393" s="4" t="s">
        <v>2276</v>
      </c>
      <c r="N2393" s="4" t="s">
        <v>2276</v>
      </c>
      <c r="O2393" s="4" t="s">
        <v>2276</v>
      </c>
      <c r="P2393" s="4" t="s">
        <v>2276</v>
      </c>
      <c r="Q2393" s="4" t="s">
        <v>2276</v>
      </c>
      <c r="R2393" s="4" t="s">
        <v>2276</v>
      </c>
      <c r="S2393" s="4" t="s">
        <v>2276</v>
      </c>
      <c r="T2393" s="4" t="s">
        <v>2276</v>
      </c>
      <c r="U2393" s="4" t="s">
        <v>2276</v>
      </c>
      <c r="V2393" s="4" t="s">
        <v>2276</v>
      </c>
      <c r="W2393" s="4" t="s">
        <v>2276</v>
      </c>
      <c r="X2393" s="4" t="s">
        <v>2276</v>
      </c>
      <c r="Y2393" s="75">
        <v>1</v>
      </c>
      <c r="Z2393" s="4" t="s">
        <v>2276</v>
      </c>
      <c r="AA2393" s="4" t="s">
        <v>2276</v>
      </c>
      <c r="AB2393" s="4" t="s">
        <v>64</v>
      </c>
      <c r="AC2393" s="4" t="s">
        <v>6441</v>
      </c>
      <c r="AD2393" s="4" t="s">
        <v>6438</v>
      </c>
    </row>
    <row r="2394" spans="1:30" ht="58">
      <c r="A2394" s="4" t="s">
        <v>6367</v>
      </c>
      <c r="B2394" s="4" t="s">
        <v>6470</v>
      </c>
      <c r="C2394" s="4" t="s">
        <v>24</v>
      </c>
      <c r="D2394" s="4" t="s">
        <v>2659</v>
      </c>
      <c r="E2394" s="4" t="s">
        <v>396</v>
      </c>
      <c r="F2394" s="4" t="s">
        <v>28</v>
      </c>
      <c r="G2394" s="4" t="s">
        <v>2276</v>
      </c>
      <c r="H2394" s="4" t="s">
        <v>523</v>
      </c>
      <c r="I2394" s="4"/>
      <c r="J2394" s="4" t="s">
        <v>2276</v>
      </c>
      <c r="K2394" s="4" t="s">
        <v>2276</v>
      </c>
      <c r="L2394" s="4" t="s">
        <v>2276</v>
      </c>
      <c r="M2394" s="4" t="s">
        <v>2276</v>
      </c>
      <c r="N2394" s="4" t="s">
        <v>2276</v>
      </c>
      <c r="O2394" s="4" t="s">
        <v>2276</v>
      </c>
      <c r="P2394" s="4" t="s">
        <v>2276</v>
      </c>
      <c r="Q2394" s="4" t="s">
        <v>2276</v>
      </c>
      <c r="R2394" s="4" t="s">
        <v>2276</v>
      </c>
      <c r="S2394" s="4" t="s">
        <v>2276</v>
      </c>
      <c r="T2394" s="4" t="s">
        <v>2276</v>
      </c>
      <c r="U2394" s="4" t="s">
        <v>2276</v>
      </c>
      <c r="V2394" s="4" t="s">
        <v>2276</v>
      </c>
      <c r="W2394" s="4" t="s">
        <v>2276</v>
      </c>
      <c r="X2394" s="4" t="s">
        <v>2276</v>
      </c>
      <c r="Y2394" s="75">
        <v>1</v>
      </c>
      <c r="Z2394" s="4" t="s">
        <v>2276</v>
      </c>
      <c r="AA2394" s="4" t="s">
        <v>2276</v>
      </c>
      <c r="AB2394" s="4" t="s">
        <v>64</v>
      </c>
      <c r="AC2394" s="4" t="s">
        <v>6439</v>
      </c>
      <c r="AD2394" s="4" t="s">
        <v>6438</v>
      </c>
    </row>
    <row r="2395" spans="1:30" ht="58">
      <c r="A2395" s="4" t="s">
        <v>6367</v>
      </c>
      <c r="B2395" s="4" t="s">
        <v>6471</v>
      </c>
      <c r="C2395" s="4" t="s">
        <v>24</v>
      </c>
      <c r="D2395" s="4" t="s">
        <v>2659</v>
      </c>
      <c r="E2395" s="4" t="s">
        <v>397</v>
      </c>
      <c r="F2395" s="4" t="s">
        <v>28</v>
      </c>
      <c r="G2395" s="4" t="s">
        <v>2276</v>
      </c>
      <c r="H2395" s="4" t="s">
        <v>523</v>
      </c>
      <c r="I2395" s="4"/>
      <c r="J2395" s="4" t="s">
        <v>2276</v>
      </c>
      <c r="K2395" s="4" t="s">
        <v>2276</v>
      </c>
      <c r="L2395" s="4" t="s">
        <v>2276</v>
      </c>
      <c r="M2395" s="4" t="s">
        <v>2276</v>
      </c>
      <c r="N2395" s="4" t="s">
        <v>2276</v>
      </c>
      <c r="O2395" s="4" t="s">
        <v>2276</v>
      </c>
      <c r="P2395" s="4" t="s">
        <v>2276</v>
      </c>
      <c r="Q2395" s="4" t="s">
        <v>2276</v>
      </c>
      <c r="R2395" s="4" t="s">
        <v>2276</v>
      </c>
      <c r="S2395" s="4" t="s">
        <v>2276</v>
      </c>
      <c r="T2395" s="4" t="s">
        <v>2276</v>
      </c>
      <c r="U2395" s="4" t="s">
        <v>2276</v>
      </c>
      <c r="V2395" s="4" t="s">
        <v>2276</v>
      </c>
      <c r="W2395" s="4" t="s">
        <v>2276</v>
      </c>
      <c r="X2395" s="4" t="s">
        <v>2276</v>
      </c>
      <c r="Y2395" s="75">
        <v>1</v>
      </c>
      <c r="Z2395" s="4" t="s">
        <v>2276</v>
      </c>
      <c r="AA2395" s="4" t="s">
        <v>2276</v>
      </c>
      <c r="AB2395" s="4" t="s">
        <v>64</v>
      </c>
      <c r="AC2395" s="4" t="s">
        <v>6437</v>
      </c>
      <c r="AD2395" s="4" t="s">
        <v>6438</v>
      </c>
    </row>
    <row r="2396" spans="1:30" ht="58">
      <c r="A2396" s="4" t="s">
        <v>6367</v>
      </c>
      <c r="B2396" s="4" t="s">
        <v>6472</v>
      </c>
      <c r="C2396" s="4" t="s">
        <v>24</v>
      </c>
      <c r="D2396" s="4" t="s">
        <v>2659</v>
      </c>
      <c r="E2396" s="4" t="s">
        <v>397</v>
      </c>
      <c r="F2396" s="4" t="s">
        <v>28</v>
      </c>
      <c r="G2396" s="4" t="s">
        <v>2276</v>
      </c>
      <c r="H2396" s="4" t="s">
        <v>523</v>
      </c>
      <c r="I2396" s="4"/>
      <c r="J2396" s="4" t="s">
        <v>2276</v>
      </c>
      <c r="K2396" s="4" t="s">
        <v>2276</v>
      </c>
      <c r="L2396" s="4" t="s">
        <v>2276</v>
      </c>
      <c r="M2396" s="4" t="s">
        <v>2276</v>
      </c>
      <c r="N2396" s="4" t="s">
        <v>2276</v>
      </c>
      <c r="O2396" s="4" t="s">
        <v>2276</v>
      </c>
      <c r="P2396" s="4" t="s">
        <v>2276</v>
      </c>
      <c r="Q2396" s="4" t="s">
        <v>2276</v>
      </c>
      <c r="R2396" s="4" t="s">
        <v>2276</v>
      </c>
      <c r="S2396" s="4" t="s">
        <v>2276</v>
      </c>
      <c r="T2396" s="4" t="s">
        <v>2276</v>
      </c>
      <c r="U2396" s="4" t="s">
        <v>2276</v>
      </c>
      <c r="V2396" s="4" t="s">
        <v>2276</v>
      </c>
      <c r="W2396" s="4" t="s">
        <v>2276</v>
      </c>
      <c r="X2396" s="4" t="s">
        <v>2276</v>
      </c>
      <c r="Y2396" s="75">
        <v>1</v>
      </c>
      <c r="Z2396" s="4" t="s">
        <v>2276</v>
      </c>
      <c r="AA2396" s="4" t="s">
        <v>2276</v>
      </c>
      <c r="AB2396" s="4" t="s">
        <v>64</v>
      </c>
      <c r="AC2396" s="4" t="s">
        <v>6439</v>
      </c>
      <c r="AD2396" s="4" t="s">
        <v>6438</v>
      </c>
    </row>
    <row r="2397" spans="1:30" ht="58">
      <c r="A2397" s="4" t="s">
        <v>6367</v>
      </c>
      <c r="B2397" s="4" t="s">
        <v>6473</v>
      </c>
      <c r="C2397" s="4" t="s">
        <v>24</v>
      </c>
      <c r="D2397" s="4" t="s">
        <v>2659</v>
      </c>
      <c r="E2397" s="4" t="s">
        <v>397</v>
      </c>
      <c r="F2397" s="4" t="s">
        <v>28</v>
      </c>
      <c r="G2397" s="4" t="s">
        <v>2276</v>
      </c>
      <c r="H2397" s="4" t="s">
        <v>523</v>
      </c>
      <c r="I2397" s="4"/>
      <c r="J2397" s="4" t="s">
        <v>2276</v>
      </c>
      <c r="K2397" s="4" t="s">
        <v>2276</v>
      </c>
      <c r="L2397" s="4" t="s">
        <v>2276</v>
      </c>
      <c r="M2397" s="4" t="s">
        <v>2276</v>
      </c>
      <c r="N2397" s="4" t="s">
        <v>2276</v>
      </c>
      <c r="O2397" s="4" t="s">
        <v>2276</v>
      </c>
      <c r="P2397" s="4" t="s">
        <v>2276</v>
      </c>
      <c r="Q2397" s="4" t="s">
        <v>2276</v>
      </c>
      <c r="R2397" s="4" t="s">
        <v>2276</v>
      </c>
      <c r="S2397" s="4" t="s">
        <v>2276</v>
      </c>
      <c r="T2397" s="4" t="s">
        <v>2276</v>
      </c>
      <c r="U2397" s="4" t="s">
        <v>2276</v>
      </c>
      <c r="V2397" s="4" t="s">
        <v>2276</v>
      </c>
      <c r="W2397" s="4" t="s">
        <v>2276</v>
      </c>
      <c r="X2397" s="4" t="s">
        <v>2276</v>
      </c>
      <c r="Y2397" s="75">
        <v>1</v>
      </c>
      <c r="Z2397" s="4" t="s">
        <v>2276</v>
      </c>
      <c r="AA2397" s="4" t="s">
        <v>2276</v>
      </c>
      <c r="AB2397" s="4" t="s">
        <v>64</v>
      </c>
      <c r="AC2397" s="4" t="s">
        <v>6440</v>
      </c>
      <c r="AD2397" s="4" t="s">
        <v>6438</v>
      </c>
    </row>
    <row r="2398" spans="1:30" ht="58">
      <c r="A2398" s="4" t="s">
        <v>6367</v>
      </c>
      <c r="B2398" s="4" t="s">
        <v>6474</v>
      </c>
      <c r="C2398" s="4" t="s">
        <v>24</v>
      </c>
      <c r="D2398" s="4" t="s">
        <v>2659</v>
      </c>
      <c r="E2398" s="4" t="s">
        <v>397</v>
      </c>
      <c r="F2398" s="4" t="s">
        <v>28</v>
      </c>
      <c r="G2398" s="4" t="s">
        <v>2276</v>
      </c>
      <c r="H2398" s="4" t="s">
        <v>523</v>
      </c>
      <c r="I2398" s="4"/>
      <c r="J2398" s="4" t="s">
        <v>2276</v>
      </c>
      <c r="K2398" s="4" t="s">
        <v>2276</v>
      </c>
      <c r="L2398" s="4" t="s">
        <v>2276</v>
      </c>
      <c r="M2398" s="4" t="s">
        <v>2276</v>
      </c>
      <c r="N2398" s="4" t="s">
        <v>2276</v>
      </c>
      <c r="O2398" s="4" t="s">
        <v>2276</v>
      </c>
      <c r="P2398" s="4" t="s">
        <v>2276</v>
      </c>
      <c r="Q2398" s="4" t="s">
        <v>2276</v>
      </c>
      <c r="R2398" s="4" t="s">
        <v>2276</v>
      </c>
      <c r="S2398" s="4" t="s">
        <v>2276</v>
      </c>
      <c r="T2398" s="4" t="s">
        <v>2276</v>
      </c>
      <c r="U2398" s="4" t="s">
        <v>2276</v>
      </c>
      <c r="V2398" s="4" t="s">
        <v>2276</v>
      </c>
      <c r="W2398" s="4" t="s">
        <v>2276</v>
      </c>
      <c r="X2398" s="4" t="s">
        <v>2276</v>
      </c>
      <c r="Y2398" s="75">
        <v>1</v>
      </c>
      <c r="Z2398" s="4" t="s">
        <v>2276</v>
      </c>
      <c r="AA2398" s="4" t="s">
        <v>2276</v>
      </c>
      <c r="AB2398" s="4" t="s">
        <v>64</v>
      </c>
      <c r="AC2398" s="4" t="s">
        <v>6439</v>
      </c>
      <c r="AD2398" s="4" t="s">
        <v>6438</v>
      </c>
    </row>
    <row r="2399" spans="1:30" ht="58">
      <c r="A2399" s="4" t="s">
        <v>6367</v>
      </c>
      <c r="B2399" s="4" t="s">
        <v>6475</v>
      </c>
      <c r="C2399" s="4" t="s">
        <v>24</v>
      </c>
      <c r="D2399" s="4" t="s">
        <v>2659</v>
      </c>
      <c r="E2399" s="4" t="s">
        <v>397</v>
      </c>
      <c r="F2399" s="4" t="s">
        <v>28</v>
      </c>
      <c r="G2399" s="4" t="s">
        <v>2276</v>
      </c>
      <c r="H2399" s="4" t="s">
        <v>523</v>
      </c>
      <c r="I2399" s="4"/>
      <c r="J2399" s="4" t="s">
        <v>2276</v>
      </c>
      <c r="K2399" s="4" t="s">
        <v>2276</v>
      </c>
      <c r="L2399" s="4" t="s">
        <v>2276</v>
      </c>
      <c r="M2399" s="4" t="s">
        <v>2276</v>
      </c>
      <c r="N2399" s="4" t="s">
        <v>2276</v>
      </c>
      <c r="O2399" s="4" t="s">
        <v>2276</v>
      </c>
      <c r="P2399" s="4" t="s">
        <v>2276</v>
      </c>
      <c r="Q2399" s="4" t="s">
        <v>2276</v>
      </c>
      <c r="R2399" s="4" t="s">
        <v>2276</v>
      </c>
      <c r="S2399" s="4" t="s">
        <v>2276</v>
      </c>
      <c r="T2399" s="4" t="s">
        <v>2276</v>
      </c>
      <c r="U2399" s="4" t="s">
        <v>2276</v>
      </c>
      <c r="V2399" s="4" t="s">
        <v>2276</v>
      </c>
      <c r="W2399" s="4" t="s">
        <v>2276</v>
      </c>
      <c r="X2399" s="4" t="s">
        <v>2276</v>
      </c>
      <c r="Y2399" s="75">
        <v>1</v>
      </c>
      <c r="Z2399" s="4" t="s">
        <v>2276</v>
      </c>
      <c r="AA2399" s="4" t="s">
        <v>2276</v>
      </c>
      <c r="AB2399" s="4" t="s">
        <v>64</v>
      </c>
      <c r="AC2399" s="4" t="s">
        <v>6441</v>
      </c>
      <c r="AD2399" s="4" t="s">
        <v>6438</v>
      </c>
    </row>
    <row r="2400" spans="1:30" ht="58">
      <c r="A2400" s="4" t="s">
        <v>6367</v>
      </c>
      <c r="B2400" s="4" t="s">
        <v>6476</v>
      </c>
      <c r="C2400" s="4" t="s">
        <v>24</v>
      </c>
      <c r="D2400" s="4" t="s">
        <v>2659</v>
      </c>
      <c r="E2400" s="4" t="s">
        <v>397</v>
      </c>
      <c r="F2400" s="4" t="s">
        <v>28</v>
      </c>
      <c r="G2400" s="4" t="s">
        <v>2276</v>
      </c>
      <c r="H2400" s="4" t="s">
        <v>523</v>
      </c>
      <c r="I2400" s="4"/>
      <c r="J2400" s="4" t="s">
        <v>2276</v>
      </c>
      <c r="K2400" s="4" t="s">
        <v>2276</v>
      </c>
      <c r="L2400" s="4" t="s">
        <v>2276</v>
      </c>
      <c r="M2400" s="4" t="s">
        <v>2276</v>
      </c>
      <c r="N2400" s="4" t="s">
        <v>2276</v>
      </c>
      <c r="O2400" s="4" t="s">
        <v>2276</v>
      </c>
      <c r="P2400" s="4" t="s">
        <v>2276</v>
      </c>
      <c r="Q2400" s="4" t="s">
        <v>2276</v>
      </c>
      <c r="R2400" s="4" t="s">
        <v>2276</v>
      </c>
      <c r="S2400" s="4" t="s">
        <v>2276</v>
      </c>
      <c r="T2400" s="4" t="s">
        <v>2276</v>
      </c>
      <c r="U2400" s="4" t="s">
        <v>2276</v>
      </c>
      <c r="V2400" s="4" t="s">
        <v>2276</v>
      </c>
      <c r="W2400" s="4" t="s">
        <v>2276</v>
      </c>
      <c r="X2400" s="4" t="s">
        <v>2276</v>
      </c>
      <c r="Y2400" s="75">
        <v>1</v>
      </c>
      <c r="Z2400" s="4" t="s">
        <v>2276</v>
      </c>
      <c r="AA2400" s="4" t="s">
        <v>2276</v>
      </c>
      <c r="AB2400" s="4" t="s">
        <v>64</v>
      </c>
      <c r="AC2400" s="4" t="s">
        <v>6439</v>
      </c>
      <c r="AD2400" s="4" t="s">
        <v>6438</v>
      </c>
    </row>
    <row r="2401" spans="1:30" ht="89.5" customHeight="1">
      <c r="A2401" s="4" t="s">
        <v>6327</v>
      </c>
      <c r="B2401" s="4" t="s">
        <v>6477</v>
      </c>
      <c r="C2401" s="4" t="s">
        <v>24</v>
      </c>
      <c r="D2401" s="4" t="s">
        <v>2659</v>
      </c>
      <c r="E2401" s="4" t="s">
        <v>3855</v>
      </c>
      <c r="F2401" s="4" t="s">
        <v>28</v>
      </c>
      <c r="G2401" s="4" t="s">
        <v>2276</v>
      </c>
      <c r="H2401" s="4" t="s">
        <v>523</v>
      </c>
      <c r="I2401" s="4"/>
      <c r="J2401" s="4" t="s">
        <v>2276</v>
      </c>
      <c r="K2401" s="4" t="s">
        <v>2276</v>
      </c>
      <c r="L2401" s="4" t="s">
        <v>2276</v>
      </c>
      <c r="M2401" s="4" t="s">
        <v>2276</v>
      </c>
      <c r="N2401" s="4" t="s">
        <v>2276</v>
      </c>
      <c r="O2401" s="4" t="s">
        <v>2276</v>
      </c>
      <c r="P2401" s="4" t="s">
        <v>2276</v>
      </c>
      <c r="Q2401" s="4" t="s">
        <v>2276</v>
      </c>
      <c r="R2401" s="4" t="s">
        <v>2276</v>
      </c>
      <c r="S2401" s="4" t="s">
        <v>2276</v>
      </c>
      <c r="T2401" s="4" t="s">
        <v>2276</v>
      </c>
      <c r="U2401" s="4" t="s">
        <v>2276</v>
      </c>
      <c r="V2401" s="4" t="s">
        <v>2276</v>
      </c>
      <c r="W2401" s="4" t="s">
        <v>2276</v>
      </c>
      <c r="X2401" s="4" t="s">
        <v>2276</v>
      </c>
      <c r="Y2401" s="4" t="s">
        <v>2276</v>
      </c>
      <c r="Z2401" s="204" t="s">
        <v>68</v>
      </c>
      <c r="AA2401" s="204" t="s">
        <v>35</v>
      </c>
      <c r="AB2401" s="4" t="s">
        <v>64</v>
      </c>
      <c r="AC2401" s="4" t="s">
        <v>6437</v>
      </c>
      <c r="AD2401" s="4" t="s">
        <v>8381</v>
      </c>
    </row>
    <row r="2402" spans="1:30" ht="96" customHeight="1">
      <c r="A2402" s="4" t="s">
        <v>6327</v>
      </c>
      <c r="B2402" s="4" t="s">
        <v>6478</v>
      </c>
      <c r="C2402" s="4" t="s">
        <v>24</v>
      </c>
      <c r="D2402" s="4" t="s">
        <v>2659</v>
      </c>
      <c r="E2402" s="4" t="s">
        <v>3855</v>
      </c>
      <c r="F2402" s="4" t="s">
        <v>28</v>
      </c>
      <c r="G2402" s="4" t="s">
        <v>2276</v>
      </c>
      <c r="H2402" s="4" t="s">
        <v>523</v>
      </c>
      <c r="I2402" s="4"/>
      <c r="J2402" s="4" t="s">
        <v>2276</v>
      </c>
      <c r="K2402" s="4" t="s">
        <v>2276</v>
      </c>
      <c r="L2402" s="4" t="s">
        <v>2276</v>
      </c>
      <c r="M2402" s="4" t="s">
        <v>2276</v>
      </c>
      <c r="N2402" s="4" t="s">
        <v>2276</v>
      </c>
      <c r="O2402" s="4" t="s">
        <v>2276</v>
      </c>
      <c r="P2402" s="4" t="s">
        <v>2276</v>
      </c>
      <c r="Q2402" s="4" t="s">
        <v>2276</v>
      </c>
      <c r="R2402" s="4" t="s">
        <v>2276</v>
      </c>
      <c r="S2402" s="4" t="s">
        <v>2276</v>
      </c>
      <c r="T2402" s="4" t="s">
        <v>2276</v>
      </c>
      <c r="U2402" s="4" t="s">
        <v>2276</v>
      </c>
      <c r="V2402" s="4" t="s">
        <v>2276</v>
      </c>
      <c r="W2402" s="4" t="s">
        <v>2276</v>
      </c>
      <c r="X2402" s="4" t="s">
        <v>2276</v>
      </c>
      <c r="Y2402" s="4" t="s">
        <v>2276</v>
      </c>
      <c r="Z2402" s="204" t="s">
        <v>86</v>
      </c>
      <c r="AA2402" s="204" t="s">
        <v>34</v>
      </c>
      <c r="AB2402" s="4" t="s">
        <v>64</v>
      </c>
      <c r="AC2402" s="4" t="s">
        <v>6439</v>
      </c>
      <c r="AD2402" s="4" t="s">
        <v>8381</v>
      </c>
    </row>
    <row r="2403" spans="1:30" ht="87">
      <c r="A2403" s="4" t="s">
        <v>6328</v>
      </c>
      <c r="B2403" s="4" t="s">
        <v>6479</v>
      </c>
      <c r="C2403" s="4" t="s">
        <v>24</v>
      </c>
      <c r="D2403" s="4" t="s">
        <v>2659</v>
      </c>
      <c r="E2403" s="4" t="s">
        <v>3855</v>
      </c>
      <c r="F2403" s="4" t="s">
        <v>28</v>
      </c>
      <c r="G2403" s="4" t="s">
        <v>2276</v>
      </c>
      <c r="H2403" s="4" t="s">
        <v>523</v>
      </c>
      <c r="I2403" s="4"/>
      <c r="J2403" s="4" t="s">
        <v>2276</v>
      </c>
      <c r="K2403" s="4" t="s">
        <v>2276</v>
      </c>
      <c r="L2403" s="4" t="s">
        <v>2276</v>
      </c>
      <c r="M2403" s="4" t="s">
        <v>2276</v>
      </c>
      <c r="N2403" s="4" t="s">
        <v>2276</v>
      </c>
      <c r="O2403" s="4" t="s">
        <v>2276</v>
      </c>
      <c r="P2403" s="4" t="s">
        <v>2276</v>
      </c>
      <c r="Q2403" s="4" t="s">
        <v>2276</v>
      </c>
      <c r="R2403" s="4" t="s">
        <v>2276</v>
      </c>
      <c r="S2403" s="4" t="s">
        <v>2276</v>
      </c>
      <c r="T2403" s="4" t="s">
        <v>2276</v>
      </c>
      <c r="U2403" s="4" t="s">
        <v>2276</v>
      </c>
      <c r="V2403" s="4" t="s">
        <v>2276</v>
      </c>
      <c r="W2403" s="4" t="s">
        <v>2276</v>
      </c>
      <c r="X2403" s="4" t="s">
        <v>2276</v>
      </c>
      <c r="Y2403" s="4" t="s">
        <v>2276</v>
      </c>
      <c r="Z2403" s="204" t="s">
        <v>68</v>
      </c>
      <c r="AA2403" s="204" t="s">
        <v>35</v>
      </c>
      <c r="AB2403" s="4" t="s">
        <v>64</v>
      </c>
      <c r="AC2403" s="4" t="s">
        <v>6437</v>
      </c>
      <c r="AD2403" s="4" t="s">
        <v>8381</v>
      </c>
    </row>
    <row r="2404" spans="1:30" ht="87">
      <c r="A2404" s="4" t="s">
        <v>6328</v>
      </c>
      <c r="B2404" s="4" t="s">
        <v>6480</v>
      </c>
      <c r="C2404" s="4" t="s">
        <v>24</v>
      </c>
      <c r="D2404" s="4" t="s">
        <v>2659</v>
      </c>
      <c r="E2404" s="4" t="s">
        <v>3855</v>
      </c>
      <c r="F2404" s="4" t="s">
        <v>28</v>
      </c>
      <c r="G2404" s="4" t="s">
        <v>2276</v>
      </c>
      <c r="H2404" s="4" t="s">
        <v>523</v>
      </c>
      <c r="I2404" s="4"/>
      <c r="J2404" s="4" t="s">
        <v>2276</v>
      </c>
      <c r="K2404" s="4" t="s">
        <v>2276</v>
      </c>
      <c r="L2404" s="4" t="s">
        <v>2276</v>
      </c>
      <c r="M2404" s="4" t="s">
        <v>2276</v>
      </c>
      <c r="N2404" s="4" t="s">
        <v>2276</v>
      </c>
      <c r="O2404" s="4" t="s">
        <v>2276</v>
      </c>
      <c r="P2404" s="4" t="s">
        <v>2276</v>
      </c>
      <c r="Q2404" s="4" t="s">
        <v>2276</v>
      </c>
      <c r="R2404" s="4" t="s">
        <v>2276</v>
      </c>
      <c r="S2404" s="4" t="s">
        <v>2276</v>
      </c>
      <c r="T2404" s="4" t="s">
        <v>2276</v>
      </c>
      <c r="U2404" s="4" t="s">
        <v>2276</v>
      </c>
      <c r="V2404" s="4" t="s">
        <v>2276</v>
      </c>
      <c r="W2404" s="4" t="s">
        <v>2276</v>
      </c>
      <c r="X2404" s="4" t="s">
        <v>2276</v>
      </c>
      <c r="Y2404" s="4" t="s">
        <v>2276</v>
      </c>
      <c r="Z2404" s="204" t="s">
        <v>86</v>
      </c>
      <c r="AA2404" s="204" t="s">
        <v>34</v>
      </c>
      <c r="AB2404" s="4" t="s">
        <v>64</v>
      </c>
      <c r="AC2404" s="4" t="s">
        <v>6439</v>
      </c>
      <c r="AD2404" s="4" t="s">
        <v>8381</v>
      </c>
    </row>
    <row r="2405" spans="1:30" ht="87">
      <c r="A2405" s="4" t="s">
        <v>6329</v>
      </c>
      <c r="B2405" s="4" t="s">
        <v>6481</v>
      </c>
      <c r="C2405" s="4" t="s">
        <v>24</v>
      </c>
      <c r="D2405" s="4" t="s">
        <v>2659</v>
      </c>
      <c r="E2405" s="4" t="s">
        <v>3855</v>
      </c>
      <c r="F2405" s="4" t="s">
        <v>28</v>
      </c>
      <c r="G2405" s="4" t="s">
        <v>2276</v>
      </c>
      <c r="H2405" s="4" t="s">
        <v>523</v>
      </c>
      <c r="I2405" s="4"/>
      <c r="J2405" s="4" t="s">
        <v>2276</v>
      </c>
      <c r="K2405" s="4" t="s">
        <v>2276</v>
      </c>
      <c r="L2405" s="4" t="s">
        <v>2276</v>
      </c>
      <c r="M2405" s="4" t="s">
        <v>2276</v>
      </c>
      <c r="N2405" s="4" t="s">
        <v>2276</v>
      </c>
      <c r="O2405" s="4" t="s">
        <v>2276</v>
      </c>
      <c r="P2405" s="4" t="s">
        <v>2276</v>
      </c>
      <c r="Q2405" s="4" t="s">
        <v>2276</v>
      </c>
      <c r="R2405" s="4" t="s">
        <v>2276</v>
      </c>
      <c r="S2405" s="4" t="s">
        <v>2276</v>
      </c>
      <c r="T2405" s="4" t="s">
        <v>2276</v>
      </c>
      <c r="U2405" s="4" t="s">
        <v>2276</v>
      </c>
      <c r="V2405" s="4" t="s">
        <v>2276</v>
      </c>
      <c r="W2405" s="4" t="s">
        <v>2276</v>
      </c>
      <c r="X2405" s="4" t="s">
        <v>2276</v>
      </c>
      <c r="Y2405" s="4" t="s">
        <v>2276</v>
      </c>
      <c r="Z2405" s="204" t="s">
        <v>86</v>
      </c>
      <c r="AA2405" s="204" t="s">
        <v>34</v>
      </c>
      <c r="AB2405" s="4" t="s">
        <v>64</v>
      </c>
      <c r="AC2405" s="4" t="s">
        <v>6442</v>
      </c>
      <c r="AD2405" s="4" t="s">
        <v>8381</v>
      </c>
    </row>
    <row r="2406" spans="1:30" s="203" customFormat="1" ht="53.5" customHeight="1">
      <c r="A2406" s="4" t="s">
        <v>6329</v>
      </c>
      <c r="B2406" s="4" t="s">
        <v>6482</v>
      </c>
      <c r="C2406" s="4" t="s">
        <v>24</v>
      </c>
      <c r="D2406" s="4" t="s">
        <v>2659</v>
      </c>
      <c r="E2406" s="4" t="s">
        <v>3855</v>
      </c>
      <c r="F2406" s="4" t="s">
        <v>28</v>
      </c>
      <c r="G2406" s="4" t="s">
        <v>2276</v>
      </c>
      <c r="H2406" s="4" t="s">
        <v>524</v>
      </c>
      <c r="I2406" s="4"/>
      <c r="J2406" s="4">
        <v>0</v>
      </c>
      <c r="K2406" s="4">
        <v>0</v>
      </c>
      <c r="L2406" s="4">
        <v>0</v>
      </c>
      <c r="M2406" s="4">
        <v>0</v>
      </c>
      <c r="N2406" s="4">
        <v>0</v>
      </c>
      <c r="O2406" s="4">
        <v>0</v>
      </c>
      <c r="P2406" s="4">
        <v>0</v>
      </c>
      <c r="Q2406" s="4">
        <v>0</v>
      </c>
      <c r="R2406" s="4">
        <v>0</v>
      </c>
      <c r="S2406" s="4">
        <v>0</v>
      </c>
      <c r="T2406" s="4">
        <v>0</v>
      </c>
      <c r="U2406" s="4">
        <v>0</v>
      </c>
      <c r="V2406" s="4">
        <v>0</v>
      </c>
      <c r="W2406" s="4">
        <v>0</v>
      </c>
      <c r="X2406" s="4">
        <v>0</v>
      </c>
      <c r="Y2406" s="4" t="s">
        <v>2276</v>
      </c>
      <c r="Z2406" s="204" t="s">
        <v>68</v>
      </c>
      <c r="AA2406" s="204" t="s">
        <v>35</v>
      </c>
      <c r="AB2406" s="4" t="s">
        <v>64</v>
      </c>
      <c r="AC2406" s="4" t="s">
        <v>8382</v>
      </c>
      <c r="AD2406" s="4"/>
    </row>
    <row r="2407" spans="1:30" ht="87">
      <c r="A2407" s="4" t="s">
        <v>6330</v>
      </c>
      <c r="B2407" s="4" t="s">
        <v>6483</v>
      </c>
      <c r="C2407" s="4" t="s">
        <v>24</v>
      </c>
      <c r="D2407" s="4" t="s">
        <v>2659</v>
      </c>
      <c r="E2407" s="4" t="s">
        <v>3855</v>
      </c>
      <c r="F2407" s="4" t="s">
        <v>28</v>
      </c>
      <c r="G2407" s="4" t="s">
        <v>2276</v>
      </c>
      <c r="H2407" s="4" t="s">
        <v>523</v>
      </c>
      <c r="I2407" s="4"/>
      <c r="J2407" s="4" t="s">
        <v>2276</v>
      </c>
      <c r="K2407" s="4" t="s">
        <v>2276</v>
      </c>
      <c r="L2407" s="4" t="s">
        <v>2276</v>
      </c>
      <c r="M2407" s="4" t="s">
        <v>2276</v>
      </c>
      <c r="N2407" s="4" t="s">
        <v>2276</v>
      </c>
      <c r="O2407" s="4" t="s">
        <v>2276</v>
      </c>
      <c r="P2407" s="4" t="s">
        <v>2276</v>
      </c>
      <c r="Q2407" s="4" t="s">
        <v>2276</v>
      </c>
      <c r="R2407" s="4" t="s">
        <v>2276</v>
      </c>
      <c r="S2407" s="4" t="s">
        <v>2276</v>
      </c>
      <c r="T2407" s="4" t="s">
        <v>2276</v>
      </c>
      <c r="U2407" s="4" t="s">
        <v>2276</v>
      </c>
      <c r="V2407" s="4" t="s">
        <v>2276</v>
      </c>
      <c r="W2407" s="4" t="s">
        <v>2276</v>
      </c>
      <c r="X2407" s="4" t="s">
        <v>2276</v>
      </c>
      <c r="Y2407" s="4" t="s">
        <v>2276</v>
      </c>
      <c r="Z2407" s="204" t="s">
        <v>68</v>
      </c>
      <c r="AA2407" s="204" t="s">
        <v>35</v>
      </c>
      <c r="AB2407" s="4" t="s">
        <v>64</v>
      </c>
      <c r="AC2407" s="4" t="s">
        <v>6443</v>
      </c>
      <c r="AD2407" s="4" t="s">
        <v>8381</v>
      </c>
    </row>
    <row r="2408" spans="1:30" ht="87">
      <c r="A2408" s="4" t="s">
        <v>6330</v>
      </c>
      <c r="B2408" s="4" t="s">
        <v>6484</v>
      </c>
      <c r="C2408" s="4" t="s">
        <v>24</v>
      </c>
      <c r="D2408" s="4" t="s">
        <v>2659</v>
      </c>
      <c r="E2408" s="4" t="s">
        <v>3855</v>
      </c>
      <c r="F2408" s="4" t="s">
        <v>28</v>
      </c>
      <c r="G2408" s="4" t="s">
        <v>2276</v>
      </c>
      <c r="H2408" s="4" t="s">
        <v>523</v>
      </c>
      <c r="I2408" s="4"/>
      <c r="J2408" s="4" t="s">
        <v>2276</v>
      </c>
      <c r="K2408" s="4" t="s">
        <v>2276</v>
      </c>
      <c r="L2408" s="4" t="s">
        <v>2276</v>
      </c>
      <c r="M2408" s="4" t="s">
        <v>2276</v>
      </c>
      <c r="N2408" s="4" t="s">
        <v>2276</v>
      </c>
      <c r="O2408" s="4" t="s">
        <v>2276</v>
      </c>
      <c r="P2408" s="4" t="s">
        <v>2276</v>
      </c>
      <c r="Q2408" s="4" t="s">
        <v>2276</v>
      </c>
      <c r="R2408" s="4" t="s">
        <v>2276</v>
      </c>
      <c r="S2408" s="4" t="s">
        <v>2276</v>
      </c>
      <c r="T2408" s="4" t="s">
        <v>2276</v>
      </c>
      <c r="U2408" s="4" t="s">
        <v>2276</v>
      </c>
      <c r="V2408" s="4" t="s">
        <v>2276</v>
      </c>
      <c r="W2408" s="4" t="s">
        <v>2276</v>
      </c>
      <c r="X2408" s="4" t="s">
        <v>2276</v>
      </c>
      <c r="Y2408" s="4" t="s">
        <v>2276</v>
      </c>
      <c r="Z2408" s="204" t="s">
        <v>86</v>
      </c>
      <c r="AA2408" s="204" t="s">
        <v>34</v>
      </c>
      <c r="AB2408" s="4" t="s">
        <v>64</v>
      </c>
      <c r="AC2408" s="4" t="s">
        <v>6444</v>
      </c>
      <c r="AD2408" s="4" t="s">
        <v>8381</v>
      </c>
    </row>
    <row r="2409" spans="1:30" ht="29">
      <c r="A2409" s="4" t="s">
        <v>6331</v>
      </c>
      <c r="B2409" s="4" t="s">
        <v>6485</v>
      </c>
      <c r="C2409" s="4" t="s">
        <v>24</v>
      </c>
      <c r="D2409" s="4" t="s">
        <v>2659</v>
      </c>
      <c r="E2409" s="4" t="s">
        <v>3855</v>
      </c>
      <c r="F2409" s="4" t="s">
        <v>28</v>
      </c>
      <c r="G2409" s="4" t="s">
        <v>2276</v>
      </c>
      <c r="H2409" s="4" t="s">
        <v>524</v>
      </c>
      <c r="I2409" s="4"/>
      <c r="J2409" s="4">
        <v>0</v>
      </c>
      <c r="K2409" s="4">
        <v>0</v>
      </c>
      <c r="L2409" s="4">
        <v>0</v>
      </c>
      <c r="M2409" s="4">
        <v>0</v>
      </c>
      <c r="N2409" s="4">
        <v>0</v>
      </c>
      <c r="O2409" s="4">
        <v>0</v>
      </c>
      <c r="P2409" s="4">
        <v>0</v>
      </c>
      <c r="Q2409" s="4">
        <v>0</v>
      </c>
      <c r="R2409" s="4">
        <v>0</v>
      </c>
      <c r="S2409" s="4">
        <v>0</v>
      </c>
      <c r="T2409" s="4">
        <v>0</v>
      </c>
      <c r="U2409" s="4">
        <v>0</v>
      </c>
      <c r="V2409" s="4">
        <v>0</v>
      </c>
      <c r="W2409" s="4">
        <v>0</v>
      </c>
      <c r="X2409" s="4">
        <v>0</v>
      </c>
      <c r="Y2409" s="4" t="s">
        <v>2276</v>
      </c>
      <c r="Z2409" s="204" t="s">
        <v>68</v>
      </c>
      <c r="AA2409" s="204" t="s">
        <v>35</v>
      </c>
      <c r="AB2409" s="4" t="s">
        <v>64</v>
      </c>
      <c r="AC2409" s="4" t="s">
        <v>6443</v>
      </c>
      <c r="AD2409" s="4"/>
    </row>
    <row r="2410" spans="1:30" ht="29">
      <c r="A2410" s="4" t="s">
        <v>6331</v>
      </c>
      <c r="B2410" s="4" t="s">
        <v>6486</v>
      </c>
      <c r="C2410" s="4" t="s">
        <v>24</v>
      </c>
      <c r="D2410" s="4" t="s">
        <v>2659</v>
      </c>
      <c r="E2410" s="4" t="s">
        <v>3855</v>
      </c>
      <c r="F2410" s="4" t="s">
        <v>28</v>
      </c>
      <c r="G2410" s="4" t="s">
        <v>2276</v>
      </c>
      <c r="H2410" s="4" t="s">
        <v>524</v>
      </c>
      <c r="I2410" s="4"/>
      <c r="J2410" s="4">
        <v>0</v>
      </c>
      <c r="K2410" s="4">
        <v>0</v>
      </c>
      <c r="L2410" s="4">
        <v>0</v>
      </c>
      <c r="M2410" s="4">
        <v>0</v>
      </c>
      <c r="N2410" s="4">
        <v>0</v>
      </c>
      <c r="O2410" s="4">
        <v>0</v>
      </c>
      <c r="P2410" s="4">
        <v>0</v>
      </c>
      <c r="Q2410" s="4">
        <v>0</v>
      </c>
      <c r="R2410" s="4">
        <v>0</v>
      </c>
      <c r="S2410" s="4">
        <v>0</v>
      </c>
      <c r="T2410" s="4">
        <v>0</v>
      </c>
      <c r="U2410" s="4">
        <v>0</v>
      </c>
      <c r="V2410" s="4">
        <v>0</v>
      </c>
      <c r="W2410" s="4">
        <v>0</v>
      </c>
      <c r="X2410" s="4">
        <v>0</v>
      </c>
      <c r="Y2410" s="4" t="s">
        <v>2276</v>
      </c>
      <c r="Z2410" s="204" t="s">
        <v>86</v>
      </c>
      <c r="AA2410" s="204" t="s">
        <v>34</v>
      </c>
      <c r="AB2410" s="4" t="s">
        <v>64</v>
      </c>
      <c r="AC2410" s="4" t="s">
        <v>6444</v>
      </c>
      <c r="AD2410" s="4"/>
    </row>
    <row r="2411" spans="1:30" ht="29">
      <c r="A2411" s="4" t="s">
        <v>6332</v>
      </c>
      <c r="B2411" s="4" t="s">
        <v>6487</v>
      </c>
      <c r="C2411" s="4" t="s">
        <v>24</v>
      </c>
      <c r="D2411" s="4" t="s">
        <v>2659</v>
      </c>
      <c r="E2411" s="4" t="s">
        <v>3855</v>
      </c>
      <c r="F2411" s="4" t="s">
        <v>28</v>
      </c>
      <c r="G2411" s="4" t="s">
        <v>2276</v>
      </c>
      <c r="H2411" s="4" t="s">
        <v>524</v>
      </c>
      <c r="I2411" s="4"/>
      <c r="J2411" s="4">
        <v>0</v>
      </c>
      <c r="K2411" s="4">
        <v>0</v>
      </c>
      <c r="L2411" s="4">
        <v>0</v>
      </c>
      <c r="M2411" s="4">
        <v>0</v>
      </c>
      <c r="N2411" s="4">
        <v>0</v>
      </c>
      <c r="O2411" s="4">
        <v>0</v>
      </c>
      <c r="P2411" s="4">
        <v>0</v>
      </c>
      <c r="Q2411" s="4">
        <v>0</v>
      </c>
      <c r="R2411" s="4">
        <v>0</v>
      </c>
      <c r="S2411" s="4">
        <v>0</v>
      </c>
      <c r="T2411" s="4">
        <v>0</v>
      </c>
      <c r="U2411" s="4">
        <v>0</v>
      </c>
      <c r="V2411" s="4">
        <v>0</v>
      </c>
      <c r="W2411" s="4">
        <v>0</v>
      </c>
      <c r="X2411" s="4">
        <v>0</v>
      </c>
      <c r="Y2411" s="4" t="s">
        <v>2276</v>
      </c>
      <c r="Z2411" s="204" t="s">
        <v>68</v>
      </c>
      <c r="AA2411" s="204" t="s">
        <v>35</v>
      </c>
      <c r="AB2411" s="4" t="s">
        <v>64</v>
      </c>
      <c r="AC2411" s="4" t="s">
        <v>6443</v>
      </c>
      <c r="AD2411" s="4"/>
    </row>
    <row r="2412" spans="1:30" ht="87">
      <c r="A2412" s="4" t="s">
        <v>6332</v>
      </c>
      <c r="B2412" s="4" t="s">
        <v>6488</v>
      </c>
      <c r="C2412" s="4" t="s">
        <v>24</v>
      </c>
      <c r="D2412" s="4" t="s">
        <v>2659</v>
      </c>
      <c r="E2412" s="4" t="s">
        <v>3855</v>
      </c>
      <c r="F2412" s="4" t="s">
        <v>28</v>
      </c>
      <c r="G2412" s="4" t="s">
        <v>2276</v>
      </c>
      <c r="H2412" s="4" t="s">
        <v>523</v>
      </c>
      <c r="I2412" s="4"/>
      <c r="J2412" s="4" t="s">
        <v>2276</v>
      </c>
      <c r="K2412" s="4" t="s">
        <v>2276</v>
      </c>
      <c r="L2412" s="4" t="s">
        <v>2276</v>
      </c>
      <c r="M2412" s="4" t="s">
        <v>2276</v>
      </c>
      <c r="N2412" s="4" t="s">
        <v>2276</v>
      </c>
      <c r="O2412" s="4" t="s">
        <v>2276</v>
      </c>
      <c r="P2412" s="4" t="s">
        <v>2276</v>
      </c>
      <c r="Q2412" s="4" t="s">
        <v>2276</v>
      </c>
      <c r="R2412" s="4" t="s">
        <v>2276</v>
      </c>
      <c r="S2412" s="4" t="s">
        <v>2276</v>
      </c>
      <c r="T2412" s="4" t="s">
        <v>2276</v>
      </c>
      <c r="U2412" s="4" t="s">
        <v>2276</v>
      </c>
      <c r="V2412" s="4" t="s">
        <v>2276</v>
      </c>
      <c r="W2412" s="4" t="s">
        <v>2276</v>
      </c>
      <c r="X2412" s="4" t="s">
        <v>2276</v>
      </c>
      <c r="Y2412" s="4" t="s">
        <v>2276</v>
      </c>
      <c r="Z2412" s="204" t="s">
        <v>86</v>
      </c>
      <c r="AA2412" s="204" t="s">
        <v>34</v>
      </c>
      <c r="AB2412" s="4" t="s">
        <v>64</v>
      </c>
      <c r="AC2412" s="4" t="s">
        <v>6444</v>
      </c>
      <c r="AD2412" s="4" t="s">
        <v>8381</v>
      </c>
    </row>
    <row r="2413" spans="1:30" ht="42.5" customHeight="1">
      <c r="A2413" s="4" t="s">
        <v>6333</v>
      </c>
      <c r="B2413" s="4" t="s">
        <v>6489</v>
      </c>
      <c r="C2413" s="4" t="s">
        <v>24</v>
      </c>
      <c r="D2413" s="4" t="s">
        <v>2659</v>
      </c>
      <c r="E2413" s="19" t="s">
        <v>3854</v>
      </c>
      <c r="F2413" s="4" t="s">
        <v>28</v>
      </c>
      <c r="G2413" s="4" t="s">
        <v>2276</v>
      </c>
      <c r="H2413" s="4" t="s">
        <v>524</v>
      </c>
      <c r="I2413" s="4"/>
      <c r="J2413" s="4">
        <v>0</v>
      </c>
      <c r="K2413" s="4">
        <v>0</v>
      </c>
      <c r="L2413" s="4">
        <v>0</v>
      </c>
      <c r="M2413" s="4">
        <v>0</v>
      </c>
      <c r="N2413" s="4">
        <v>0</v>
      </c>
      <c r="O2413" s="4">
        <v>0</v>
      </c>
      <c r="P2413" s="4">
        <v>0</v>
      </c>
      <c r="Q2413" s="4">
        <v>0</v>
      </c>
      <c r="R2413" s="4">
        <v>0</v>
      </c>
      <c r="S2413" s="4">
        <v>0</v>
      </c>
      <c r="T2413" s="4">
        <v>0</v>
      </c>
      <c r="U2413" s="4">
        <v>0</v>
      </c>
      <c r="V2413" s="4">
        <v>0</v>
      </c>
      <c r="W2413" s="4">
        <v>0</v>
      </c>
      <c r="X2413" s="4">
        <v>0</v>
      </c>
      <c r="Y2413" s="4" t="s">
        <v>2276</v>
      </c>
      <c r="Z2413" s="204" t="s">
        <v>68</v>
      </c>
      <c r="AA2413" s="204" t="s">
        <v>35</v>
      </c>
      <c r="AB2413" s="4" t="s">
        <v>64</v>
      </c>
      <c r="AC2413" s="4" t="s">
        <v>6445</v>
      </c>
      <c r="AD2413" s="4"/>
    </row>
    <row r="2414" spans="1:30" ht="42.5" customHeight="1">
      <c r="A2414" s="4" t="s">
        <v>6333</v>
      </c>
      <c r="B2414" s="4" t="s">
        <v>6490</v>
      </c>
      <c r="C2414" s="4" t="s">
        <v>24</v>
      </c>
      <c r="D2414" s="4" t="s">
        <v>2659</v>
      </c>
      <c r="E2414" s="19" t="s">
        <v>3854</v>
      </c>
      <c r="F2414" s="4" t="s">
        <v>28</v>
      </c>
      <c r="G2414" s="4" t="s">
        <v>2276</v>
      </c>
      <c r="H2414" s="4" t="s">
        <v>524</v>
      </c>
      <c r="I2414" s="4"/>
      <c r="J2414" s="4">
        <v>0</v>
      </c>
      <c r="K2414" s="4">
        <v>0</v>
      </c>
      <c r="L2414" s="4">
        <v>0</v>
      </c>
      <c r="M2414" s="4">
        <v>0</v>
      </c>
      <c r="N2414" s="4">
        <v>0</v>
      </c>
      <c r="O2414" s="4">
        <v>0</v>
      </c>
      <c r="P2414" s="4">
        <v>0</v>
      </c>
      <c r="Q2414" s="4">
        <v>0</v>
      </c>
      <c r="R2414" s="4">
        <v>0</v>
      </c>
      <c r="S2414" s="4">
        <v>0</v>
      </c>
      <c r="T2414" s="4">
        <v>0</v>
      </c>
      <c r="U2414" s="4">
        <v>0</v>
      </c>
      <c r="V2414" s="4">
        <v>0</v>
      </c>
      <c r="W2414" s="4">
        <v>0</v>
      </c>
      <c r="X2414" s="4">
        <v>0</v>
      </c>
      <c r="Y2414" s="4" t="s">
        <v>2276</v>
      </c>
      <c r="Z2414" s="204" t="s">
        <v>86</v>
      </c>
      <c r="AA2414" s="204" t="s">
        <v>34</v>
      </c>
      <c r="AB2414" s="4" t="s">
        <v>64</v>
      </c>
      <c r="AC2414" s="4" t="s">
        <v>6446</v>
      </c>
      <c r="AD2414" s="4"/>
    </row>
    <row r="2415" spans="1:30" ht="87">
      <c r="A2415" s="4" t="s">
        <v>6334</v>
      </c>
      <c r="B2415" s="4" t="s">
        <v>6491</v>
      </c>
      <c r="C2415" s="4" t="s">
        <v>24</v>
      </c>
      <c r="D2415" s="4" t="s">
        <v>2659</v>
      </c>
      <c r="E2415" s="19" t="s">
        <v>3854</v>
      </c>
      <c r="F2415" s="4" t="s">
        <v>28</v>
      </c>
      <c r="G2415" s="4" t="s">
        <v>2276</v>
      </c>
      <c r="H2415" s="4" t="s">
        <v>523</v>
      </c>
      <c r="I2415" s="4"/>
      <c r="J2415" s="4" t="s">
        <v>2276</v>
      </c>
      <c r="K2415" s="4" t="s">
        <v>2276</v>
      </c>
      <c r="L2415" s="4" t="s">
        <v>2276</v>
      </c>
      <c r="M2415" s="4" t="s">
        <v>2276</v>
      </c>
      <c r="N2415" s="4" t="s">
        <v>2276</v>
      </c>
      <c r="O2415" s="4" t="s">
        <v>2276</v>
      </c>
      <c r="P2415" s="4" t="s">
        <v>2276</v>
      </c>
      <c r="Q2415" s="4" t="s">
        <v>2276</v>
      </c>
      <c r="R2415" s="4" t="s">
        <v>2276</v>
      </c>
      <c r="S2415" s="4" t="s">
        <v>2276</v>
      </c>
      <c r="T2415" s="4" t="s">
        <v>2276</v>
      </c>
      <c r="U2415" s="4" t="s">
        <v>2276</v>
      </c>
      <c r="V2415" s="4" t="s">
        <v>2276</v>
      </c>
      <c r="W2415" s="4" t="s">
        <v>2276</v>
      </c>
      <c r="X2415" s="4" t="s">
        <v>2276</v>
      </c>
      <c r="Y2415" s="4" t="s">
        <v>2276</v>
      </c>
      <c r="Z2415" s="204" t="s">
        <v>68</v>
      </c>
      <c r="AA2415" s="204" t="s">
        <v>35</v>
      </c>
      <c r="AB2415" s="4" t="s">
        <v>64</v>
      </c>
      <c r="AC2415" s="4" t="s">
        <v>6443</v>
      </c>
      <c r="AD2415" s="4" t="s">
        <v>8381</v>
      </c>
    </row>
    <row r="2416" spans="1:30" ht="87">
      <c r="A2416" s="4" t="s">
        <v>6334</v>
      </c>
      <c r="B2416" s="4" t="s">
        <v>6492</v>
      </c>
      <c r="C2416" s="4" t="s">
        <v>24</v>
      </c>
      <c r="D2416" s="4" t="s">
        <v>2659</v>
      </c>
      <c r="E2416" s="19" t="s">
        <v>3854</v>
      </c>
      <c r="F2416" s="4" t="s">
        <v>28</v>
      </c>
      <c r="G2416" s="4" t="s">
        <v>2276</v>
      </c>
      <c r="H2416" s="4" t="s">
        <v>523</v>
      </c>
      <c r="I2416" s="4"/>
      <c r="J2416" s="4" t="s">
        <v>2276</v>
      </c>
      <c r="K2416" s="4" t="s">
        <v>2276</v>
      </c>
      <c r="L2416" s="4" t="s">
        <v>2276</v>
      </c>
      <c r="M2416" s="4" t="s">
        <v>2276</v>
      </c>
      <c r="N2416" s="4" t="s">
        <v>2276</v>
      </c>
      <c r="O2416" s="4" t="s">
        <v>2276</v>
      </c>
      <c r="P2416" s="4" t="s">
        <v>2276</v>
      </c>
      <c r="Q2416" s="4" t="s">
        <v>2276</v>
      </c>
      <c r="R2416" s="4" t="s">
        <v>2276</v>
      </c>
      <c r="S2416" s="4" t="s">
        <v>2276</v>
      </c>
      <c r="T2416" s="4" t="s">
        <v>2276</v>
      </c>
      <c r="U2416" s="4" t="s">
        <v>2276</v>
      </c>
      <c r="V2416" s="4" t="s">
        <v>2276</v>
      </c>
      <c r="W2416" s="4" t="s">
        <v>2276</v>
      </c>
      <c r="X2416" s="4" t="s">
        <v>2276</v>
      </c>
      <c r="Y2416" s="4" t="s">
        <v>2276</v>
      </c>
      <c r="Z2416" s="204" t="s">
        <v>86</v>
      </c>
      <c r="AA2416" s="204" t="s">
        <v>34</v>
      </c>
      <c r="AB2416" s="4" t="s">
        <v>64</v>
      </c>
      <c r="AC2416" s="4" t="s">
        <v>6444</v>
      </c>
      <c r="AD2416" s="4" t="s">
        <v>8381</v>
      </c>
    </row>
    <row r="2417" spans="1:30" ht="87">
      <c r="A2417" s="4" t="s">
        <v>6335</v>
      </c>
      <c r="B2417" s="4" t="s">
        <v>6493</v>
      </c>
      <c r="C2417" s="4" t="s">
        <v>24</v>
      </c>
      <c r="D2417" s="4" t="s">
        <v>2659</v>
      </c>
      <c r="E2417" s="19" t="s">
        <v>3854</v>
      </c>
      <c r="F2417" s="4" t="s">
        <v>28</v>
      </c>
      <c r="G2417" s="4" t="s">
        <v>2276</v>
      </c>
      <c r="H2417" s="4" t="s">
        <v>523</v>
      </c>
      <c r="I2417" s="4"/>
      <c r="J2417" s="4" t="s">
        <v>2276</v>
      </c>
      <c r="K2417" s="4" t="s">
        <v>2276</v>
      </c>
      <c r="L2417" s="4" t="s">
        <v>2276</v>
      </c>
      <c r="M2417" s="4" t="s">
        <v>2276</v>
      </c>
      <c r="N2417" s="4" t="s">
        <v>2276</v>
      </c>
      <c r="O2417" s="4" t="s">
        <v>2276</v>
      </c>
      <c r="P2417" s="4" t="s">
        <v>2276</v>
      </c>
      <c r="Q2417" s="4" t="s">
        <v>2276</v>
      </c>
      <c r="R2417" s="4" t="s">
        <v>2276</v>
      </c>
      <c r="S2417" s="4" t="s">
        <v>2276</v>
      </c>
      <c r="T2417" s="4" t="s">
        <v>2276</v>
      </c>
      <c r="U2417" s="4" t="s">
        <v>2276</v>
      </c>
      <c r="V2417" s="4" t="s">
        <v>2276</v>
      </c>
      <c r="W2417" s="4" t="s">
        <v>2276</v>
      </c>
      <c r="X2417" s="4" t="s">
        <v>2276</v>
      </c>
      <c r="Y2417" s="4" t="s">
        <v>2276</v>
      </c>
      <c r="Z2417" s="204" t="s">
        <v>68</v>
      </c>
      <c r="AA2417" s="204" t="s">
        <v>35</v>
      </c>
      <c r="AB2417" s="4" t="s">
        <v>64</v>
      </c>
      <c r="AC2417" s="4" t="s">
        <v>6447</v>
      </c>
      <c r="AD2417" s="4" t="s">
        <v>8381</v>
      </c>
    </row>
    <row r="2418" spans="1:30" ht="87">
      <c r="A2418" s="4" t="s">
        <v>6335</v>
      </c>
      <c r="B2418" s="4" t="s">
        <v>6494</v>
      </c>
      <c r="C2418" s="4" t="s">
        <v>24</v>
      </c>
      <c r="D2418" s="4" t="s">
        <v>2659</v>
      </c>
      <c r="E2418" s="19" t="s">
        <v>3854</v>
      </c>
      <c r="F2418" s="4" t="s">
        <v>28</v>
      </c>
      <c r="G2418" s="4" t="s">
        <v>2276</v>
      </c>
      <c r="H2418" s="4" t="s">
        <v>523</v>
      </c>
      <c r="I2418" s="4"/>
      <c r="J2418" s="4" t="s">
        <v>2276</v>
      </c>
      <c r="K2418" s="4" t="s">
        <v>2276</v>
      </c>
      <c r="L2418" s="4" t="s">
        <v>2276</v>
      </c>
      <c r="M2418" s="4" t="s">
        <v>2276</v>
      </c>
      <c r="N2418" s="4" t="s">
        <v>2276</v>
      </c>
      <c r="O2418" s="4" t="s">
        <v>2276</v>
      </c>
      <c r="P2418" s="4" t="s">
        <v>2276</v>
      </c>
      <c r="Q2418" s="4" t="s">
        <v>2276</v>
      </c>
      <c r="R2418" s="4" t="s">
        <v>2276</v>
      </c>
      <c r="S2418" s="4" t="s">
        <v>2276</v>
      </c>
      <c r="T2418" s="4" t="s">
        <v>2276</v>
      </c>
      <c r="U2418" s="4" t="s">
        <v>2276</v>
      </c>
      <c r="V2418" s="4" t="s">
        <v>2276</v>
      </c>
      <c r="W2418" s="4" t="s">
        <v>2276</v>
      </c>
      <c r="X2418" s="4" t="s">
        <v>2276</v>
      </c>
      <c r="Y2418" s="4" t="s">
        <v>2276</v>
      </c>
      <c r="Z2418" s="204" t="s">
        <v>86</v>
      </c>
      <c r="AA2418" s="204" t="s">
        <v>34</v>
      </c>
      <c r="AB2418" s="4" t="s">
        <v>64</v>
      </c>
      <c r="AC2418" s="4" t="s">
        <v>6448</v>
      </c>
      <c r="AD2418" s="4" t="s">
        <v>8381</v>
      </c>
    </row>
    <row r="2419" spans="1:30" ht="87">
      <c r="A2419" s="4" t="s">
        <v>6336</v>
      </c>
      <c r="B2419" s="4" t="s">
        <v>6495</v>
      </c>
      <c r="C2419" s="4" t="s">
        <v>24</v>
      </c>
      <c r="D2419" s="4" t="s">
        <v>2659</v>
      </c>
      <c r="E2419" s="19" t="s">
        <v>3854</v>
      </c>
      <c r="F2419" s="4" t="s">
        <v>28</v>
      </c>
      <c r="G2419" s="4" t="s">
        <v>2276</v>
      </c>
      <c r="H2419" s="4" t="s">
        <v>523</v>
      </c>
      <c r="I2419" s="4"/>
      <c r="J2419" s="4" t="s">
        <v>2276</v>
      </c>
      <c r="K2419" s="4" t="s">
        <v>2276</v>
      </c>
      <c r="L2419" s="4" t="s">
        <v>2276</v>
      </c>
      <c r="M2419" s="4" t="s">
        <v>2276</v>
      </c>
      <c r="N2419" s="4" t="s">
        <v>2276</v>
      </c>
      <c r="O2419" s="4" t="s">
        <v>2276</v>
      </c>
      <c r="P2419" s="4" t="s">
        <v>2276</v>
      </c>
      <c r="Q2419" s="4" t="s">
        <v>2276</v>
      </c>
      <c r="R2419" s="4" t="s">
        <v>2276</v>
      </c>
      <c r="S2419" s="4" t="s">
        <v>2276</v>
      </c>
      <c r="T2419" s="4" t="s">
        <v>2276</v>
      </c>
      <c r="U2419" s="4" t="s">
        <v>2276</v>
      </c>
      <c r="V2419" s="4" t="s">
        <v>2276</v>
      </c>
      <c r="W2419" s="4" t="s">
        <v>2276</v>
      </c>
      <c r="X2419" s="4" t="s">
        <v>2276</v>
      </c>
      <c r="Y2419" s="4" t="s">
        <v>2276</v>
      </c>
      <c r="Z2419" s="204" t="s">
        <v>68</v>
      </c>
      <c r="AA2419" s="204" t="s">
        <v>35</v>
      </c>
      <c r="AB2419" s="4" t="s">
        <v>64</v>
      </c>
      <c r="AC2419" s="4" t="s">
        <v>6449</v>
      </c>
      <c r="AD2419" s="4" t="s">
        <v>8381</v>
      </c>
    </row>
    <row r="2420" spans="1:30" ht="87">
      <c r="A2420" s="4" t="s">
        <v>6336</v>
      </c>
      <c r="B2420" s="4" t="s">
        <v>6496</v>
      </c>
      <c r="C2420" s="4" t="s">
        <v>24</v>
      </c>
      <c r="D2420" s="4" t="s">
        <v>2659</v>
      </c>
      <c r="E2420" s="19" t="s">
        <v>3854</v>
      </c>
      <c r="F2420" s="4" t="s">
        <v>28</v>
      </c>
      <c r="G2420" s="4" t="s">
        <v>2276</v>
      </c>
      <c r="H2420" s="4" t="s">
        <v>523</v>
      </c>
      <c r="I2420" s="4"/>
      <c r="J2420" s="4" t="s">
        <v>2276</v>
      </c>
      <c r="K2420" s="4" t="s">
        <v>2276</v>
      </c>
      <c r="L2420" s="4" t="s">
        <v>2276</v>
      </c>
      <c r="M2420" s="4" t="s">
        <v>2276</v>
      </c>
      <c r="N2420" s="4" t="s">
        <v>2276</v>
      </c>
      <c r="O2420" s="4" t="s">
        <v>2276</v>
      </c>
      <c r="P2420" s="4" t="s">
        <v>2276</v>
      </c>
      <c r="Q2420" s="4" t="s">
        <v>2276</v>
      </c>
      <c r="R2420" s="4" t="s">
        <v>2276</v>
      </c>
      <c r="S2420" s="4" t="s">
        <v>2276</v>
      </c>
      <c r="T2420" s="4" t="s">
        <v>2276</v>
      </c>
      <c r="U2420" s="4" t="s">
        <v>2276</v>
      </c>
      <c r="V2420" s="4" t="s">
        <v>2276</v>
      </c>
      <c r="W2420" s="4" t="s">
        <v>2276</v>
      </c>
      <c r="X2420" s="4" t="s">
        <v>2276</v>
      </c>
      <c r="Y2420" s="4" t="s">
        <v>2276</v>
      </c>
      <c r="Z2420" s="204" t="s">
        <v>86</v>
      </c>
      <c r="AA2420" s="204" t="s">
        <v>34</v>
      </c>
      <c r="AB2420" s="4" t="s">
        <v>64</v>
      </c>
      <c r="AC2420" s="4" t="s">
        <v>6449</v>
      </c>
      <c r="AD2420" s="4" t="s">
        <v>8381</v>
      </c>
    </row>
    <row r="2421" spans="1:30" ht="87">
      <c r="A2421" s="4" t="s">
        <v>6337</v>
      </c>
      <c r="B2421" s="4" t="s">
        <v>6497</v>
      </c>
      <c r="C2421" s="4" t="s">
        <v>24</v>
      </c>
      <c r="D2421" s="4" t="s">
        <v>2659</v>
      </c>
      <c r="E2421" s="19" t="s">
        <v>3854</v>
      </c>
      <c r="F2421" s="4" t="s">
        <v>28</v>
      </c>
      <c r="G2421" s="4" t="s">
        <v>2276</v>
      </c>
      <c r="H2421" s="4" t="s">
        <v>523</v>
      </c>
      <c r="I2421" s="4"/>
      <c r="J2421" s="4" t="s">
        <v>2276</v>
      </c>
      <c r="K2421" s="4" t="s">
        <v>2276</v>
      </c>
      <c r="L2421" s="4" t="s">
        <v>2276</v>
      </c>
      <c r="M2421" s="4" t="s">
        <v>2276</v>
      </c>
      <c r="N2421" s="4" t="s">
        <v>2276</v>
      </c>
      <c r="O2421" s="4" t="s">
        <v>2276</v>
      </c>
      <c r="P2421" s="4" t="s">
        <v>2276</v>
      </c>
      <c r="Q2421" s="4" t="s">
        <v>2276</v>
      </c>
      <c r="R2421" s="4" t="s">
        <v>2276</v>
      </c>
      <c r="S2421" s="4" t="s">
        <v>2276</v>
      </c>
      <c r="T2421" s="4" t="s">
        <v>2276</v>
      </c>
      <c r="U2421" s="4" t="s">
        <v>2276</v>
      </c>
      <c r="V2421" s="4" t="s">
        <v>2276</v>
      </c>
      <c r="W2421" s="4" t="s">
        <v>2276</v>
      </c>
      <c r="X2421" s="4" t="s">
        <v>2276</v>
      </c>
      <c r="Y2421" s="4" t="s">
        <v>2276</v>
      </c>
      <c r="Z2421" s="204" t="s">
        <v>68</v>
      </c>
      <c r="AA2421" s="204" t="s">
        <v>35</v>
      </c>
      <c r="AB2421" s="4" t="s">
        <v>64</v>
      </c>
      <c r="AC2421" s="4" t="s">
        <v>6449</v>
      </c>
      <c r="AD2421" s="4" t="s">
        <v>8381</v>
      </c>
    </row>
    <row r="2422" spans="1:30" ht="87">
      <c r="A2422" s="4" t="s">
        <v>6337</v>
      </c>
      <c r="B2422" s="4" t="s">
        <v>6498</v>
      </c>
      <c r="C2422" s="4" t="s">
        <v>24</v>
      </c>
      <c r="D2422" s="4" t="s">
        <v>2659</v>
      </c>
      <c r="E2422" s="19" t="s">
        <v>3854</v>
      </c>
      <c r="F2422" s="4" t="s">
        <v>28</v>
      </c>
      <c r="G2422" s="4" t="s">
        <v>2276</v>
      </c>
      <c r="H2422" s="4" t="s">
        <v>523</v>
      </c>
      <c r="I2422" s="4"/>
      <c r="J2422" s="4" t="s">
        <v>2276</v>
      </c>
      <c r="K2422" s="4" t="s">
        <v>2276</v>
      </c>
      <c r="L2422" s="4" t="s">
        <v>2276</v>
      </c>
      <c r="M2422" s="4" t="s">
        <v>2276</v>
      </c>
      <c r="N2422" s="4" t="s">
        <v>2276</v>
      </c>
      <c r="O2422" s="4" t="s">
        <v>2276</v>
      </c>
      <c r="P2422" s="4" t="s">
        <v>2276</v>
      </c>
      <c r="Q2422" s="4" t="s">
        <v>2276</v>
      </c>
      <c r="R2422" s="4" t="s">
        <v>2276</v>
      </c>
      <c r="S2422" s="4" t="s">
        <v>2276</v>
      </c>
      <c r="T2422" s="4" t="s">
        <v>2276</v>
      </c>
      <c r="U2422" s="4" t="s">
        <v>2276</v>
      </c>
      <c r="V2422" s="4" t="s">
        <v>2276</v>
      </c>
      <c r="W2422" s="4" t="s">
        <v>2276</v>
      </c>
      <c r="X2422" s="4" t="s">
        <v>2276</v>
      </c>
      <c r="Y2422" s="4" t="s">
        <v>2276</v>
      </c>
      <c r="Z2422" s="204" t="s">
        <v>86</v>
      </c>
      <c r="AA2422" s="204" t="s">
        <v>34</v>
      </c>
      <c r="AB2422" s="4" t="s">
        <v>64</v>
      </c>
      <c r="AC2422" s="4" t="s">
        <v>6449</v>
      </c>
      <c r="AD2422" s="4" t="s">
        <v>8381</v>
      </c>
    </row>
    <row r="2423" spans="1:30" ht="29">
      <c r="A2423" s="4" t="s">
        <v>6338</v>
      </c>
      <c r="B2423" s="4" t="s">
        <v>6499</v>
      </c>
      <c r="C2423" s="4" t="s">
        <v>24</v>
      </c>
      <c r="D2423" s="4" t="s">
        <v>2659</v>
      </c>
      <c r="E2423" s="19" t="s">
        <v>3854</v>
      </c>
      <c r="F2423" s="4" t="s">
        <v>28</v>
      </c>
      <c r="G2423" s="4" t="s">
        <v>2276</v>
      </c>
      <c r="H2423" s="4" t="s">
        <v>524</v>
      </c>
      <c r="I2423" s="4"/>
      <c r="J2423" s="4">
        <v>0</v>
      </c>
      <c r="K2423" s="4">
        <v>0</v>
      </c>
      <c r="L2423" s="4">
        <v>0</v>
      </c>
      <c r="M2423" s="4">
        <v>0</v>
      </c>
      <c r="N2423" s="4">
        <v>0</v>
      </c>
      <c r="O2423" s="4">
        <v>0</v>
      </c>
      <c r="P2423" s="4">
        <v>0</v>
      </c>
      <c r="Q2423" s="4">
        <v>0</v>
      </c>
      <c r="R2423" s="4">
        <v>0</v>
      </c>
      <c r="S2423" s="4">
        <v>0</v>
      </c>
      <c r="T2423" s="4">
        <v>0</v>
      </c>
      <c r="U2423" s="4">
        <v>0</v>
      </c>
      <c r="V2423" s="4">
        <v>0</v>
      </c>
      <c r="W2423" s="4">
        <v>0</v>
      </c>
      <c r="X2423" s="4">
        <v>0</v>
      </c>
      <c r="Y2423" s="4" t="s">
        <v>2276</v>
      </c>
      <c r="Z2423" s="204" t="s">
        <v>68</v>
      </c>
      <c r="AA2423" s="204" t="s">
        <v>35</v>
      </c>
      <c r="AB2423" s="4" t="s">
        <v>64</v>
      </c>
      <c r="AC2423" s="4" t="s">
        <v>6449</v>
      </c>
      <c r="AD2423" s="4"/>
    </row>
    <row r="2424" spans="1:30" ht="29">
      <c r="A2424" s="4" t="s">
        <v>6338</v>
      </c>
      <c r="B2424" s="4" t="s">
        <v>6500</v>
      </c>
      <c r="C2424" s="4" t="s">
        <v>24</v>
      </c>
      <c r="D2424" s="4" t="s">
        <v>2659</v>
      </c>
      <c r="E2424" s="19" t="s">
        <v>3854</v>
      </c>
      <c r="F2424" s="4" t="s">
        <v>28</v>
      </c>
      <c r="G2424" s="4" t="s">
        <v>2276</v>
      </c>
      <c r="H2424" s="4" t="s">
        <v>524</v>
      </c>
      <c r="I2424" s="4"/>
      <c r="J2424" s="4">
        <v>0</v>
      </c>
      <c r="K2424" s="4">
        <v>0</v>
      </c>
      <c r="L2424" s="4">
        <v>0</v>
      </c>
      <c r="M2424" s="4">
        <v>0</v>
      </c>
      <c r="N2424" s="4">
        <v>0</v>
      </c>
      <c r="O2424" s="4">
        <v>0</v>
      </c>
      <c r="P2424" s="4">
        <v>0</v>
      </c>
      <c r="Q2424" s="4">
        <v>0</v>
      </c>
      <c r="R2424" s="4">
        <v>0</v>
      </c>
      <c r="S2424" s="4">
        <v>0</v>
      </c>
      <c r="T2424" s="4">
        <v>0</v>
      </c>
      <c r="U2424" s="4">
        <v>0</v>
      </c>
      <c r="V2424" s="4">
        <v>0</v>
      </c>
      <c r="W2424" s="4">
        <v>0</v>
      </c>
      <c r="X2424" s="4">
        <v>0</v>
      </c>
      <c r="Y2424" s="4" t="s">
        <v>2276</v>
      </c>
      <c r="Z2424" s="204" t="s">
        <v>86</v>
      </c>
      <c r="AA2424" s="204" t="s">
        <v>34</v>
      </c>
      <c r="AB2424" s="4" t="s">
        <v>64</v>
      </c>
      <c r="AC2424" s="4" t="s">
        <v>6449</v>
      </c>
      <c r="AD2424" s="4"/>
    </row>
    <row r="2425" spans="1:30" ht="29">
      <c r="A2425" s="4" t="s">
        <v>6340</v>
      </c>
      <c r="B2425" s="4" t="s">
        <v>6501</v>
      </c>
      <c r="C2425" s="4" t="s">
        <v>24</v>
      </c>
      <c r="D2425" s="4" t="s">
        <v>2659</v>
      </c>
      <c r="E2425" s="4" t="s">
        <v>396</v>
      </c>
      <c r="F2425" s="4" t="s">
        <v>28</v>
      </c>
      <c r="G2425" s="4" t="s">
        <v>2276</v>
      </c>
      <c r="H2425" s="4" t="s">
        <v>523</v>
      </c>
      <c r="I2425" s="4">
        <v>2008</v>
      </c>
      <c r="J2425" s="4" t="s">
        <v>2276</v>
      </c>
      <c r="K2425" s="4" t="s">
        <v>2276</v>
      </c>
      <c r="L2425" s="4" t="s">
        <v>2276</v>
      </c>
      <c r="M2425" s="4" t="s">
        <v>2276</v>
      </c>
      <c r="N2425" s="4" t="s">
        <v>2276</v>
      </c>
      <c r="O2425" s="4" t="s">
        <v>2276</v>
      </c>
      <c r="P2425" s="4" t="s">
        <v>2276</v>
      </c>
      <c r="Q2425" s="4" t="s">
        <v>2276</v>
      </c>
      <c r="R2425" s="4" t="s">
        <v>2276</v>
      </c>
      <c r="S2425" s="4" t="s">
        <v>2276</v>
      </c>
      <c r="T2425" s="4" t="s">
        <v>2276</v>
      </c>
      <c r="U2425" s="4" t="s">
        <v>2276</v>
      </c>
      <c r="V2425" s="4" t="s">
        <v>2276</v>
      </c>
      <c r="W2425" s="4" t="s">
        <v>2276</v>
      </c>
      <c r="X2425" s="4" t="s">
        <v>2276</v>
      </c>
      <c r="Y2425" s="4" t="s">
        <v>2276</v>
      </c>
      <c r="Z2425" s="4" t="s">
        <v>2276</v>
      </c>
      <c r="AA2425" s="4" t="s">
        <v>2276</v>
      </c>
      <c r="AB2425" s="4" t="s">
        <v>64</v>
      </c>
      <c r="AC2425" s="4" t="s">
        <v>6450</v>
      </c>
      <c r="AD2425" s="4" t="s">
        <v>8397</v>
      </c>
    </row>
    <row r="2426" spans="1:30" ht="29">
      <c r="A2426" s="4" t="s">
        <v>6340</v>
      </c>
      <c r="B2426" s="4" t="s">
        <v>6502</v>
      </c>
      <c r="C2426" s="4" t="s">
        <v>24</v>
      </c>
      <c r="D2426" s="4" t="s">
        <v>2659</v>
      </c>
      <c r="E2426" s="4" t="s">
        <v>396</v>
      </c>
      <c r="F2426" s="4" t="s">
        <v>28</v>
      </c>
      <c r="G2426" s="4" t="s">
        <v>2276</v>
      </c>
      <c r="H2426" s="4" t="s">
        <v>523</v>
      </c>
      <c r="I2426" s="4">
        <v>2012</v>
      </c>
      <c r="J2426" s="4" t="s">
        <v>2276</v>
      </c>
      <c r="K2426" s="4" t="s">
        <v>2276</v>
      </c>
      <c r="L2426" s="4" t="s">
        <v>2276</v>
      </c>
      <c r="M2426" s="4" t="s">
        <v>2276</v>
      </c>
      <c r="N2426" s="4" t="s">
        <v>2276</v>
      </c>
      <c r="O2426" s="4" t="s">
        <v>2276</v>
      </c>
      <c r="P2426" s="4" t="s">
        <v>2276</v>
      </c>
      <c r="Q2426" s="4" t="s">
        <v>2276</v>
      </c>
      <c r="R2426" s="4" t="s">
        <v>2276</v>
      </c>
      <c r="S2426" s="4" t="s">
        <v>2276</v>
      </c>
      <c r="T2426" s="4" t="s">
        <v>2276</v>
      </c>
      <c r="U2426" s="4" t="s">
        <v>2276</v>
      </c>
      <c r="V2426" s="4" t="s">
        <v>2276</v>
      </c>
      <c r="W2426" s="4" t="s">
        <v>2276</v>
      </c>
      <c r="X2426" s="4" t="s">
        <v>2276</v>
      </c>
      <c r="Y2426" s="4" t="s">
        <v>2276</v>
      </c>
      <c r="Z2426" s="4" t="s">
        <v>2276</v>
      </c>
      <c r="AA2426" s="4" t="s">
        <v>2276</v>
      </c>
      <c r="AB2426" s="4" t="s">
        <v>64</v>
      </c>
      <c r="AC2426" s="4" t="s">
        <v>6450</v>
      </c>
      <c r="AD2426" s="4" t="s">
        <v>8397</v>
      </c>
    </row>
    <row r="2427" spans="1:30" ht="29">
      <c r="A2427" s="4" t="s">
        <v>6340</v>
      </c>
      <c r="B2427" s="4" t="s">
        <v>6503</v>
      </c>
      <c r="C2427" s="4" t="s">
        <v>24</v>
      </c>
      <c r="D2427" s="4" t="s">
        <v>2659</v>
      </c>
      <c r="E2427" s="4" t="s">
        <v>396</v>
      </c>
      <c r="F2427" s="4" t="s">
        <v>28</v>
      </c>
      <c r="G2427" s="4" t="s">
        <v>2276</v>
      </c>
      <c r="H2427" s="4" t="s">
        <v>524</v>
      </c>
      <c r="I2427" s="4">
        <v>2015</v>
      </c>
      <c r="J2427" s="75">
        <v>0</v>
      </c>
      <c r="K2427" s="75">
        <v>0</v>
      </c>
      <c r="L2427" s="75">
        <v>0</v>
      </c>
      <c r="M2427" s="75">
        <v>0</v>
      </c>
      <c r="N2427" s="75">
        <v>0</v>
      </c>
      <c r="O2427" s="75">
        <v>0</v>
      </c>
      <c r="P2427" s="75">
        <v>0</v>
      </c>
      <c r="Q2427" s="75">
        <v>0</v>
      </c>
      <c r="R2427" s="75">
        <v>0</v>
      </c>
      <c r="S2427" s="75">
        <v>0</v>
      </c>
      <c r="T2427" s="75">
        <v>0</v>
      </c>
      <c r="U2427" s="75">
        <v>0</v>
      </c>
      <c r="V2427" s="75">
        <v>0</v>
      </c>
      <c r="W2427" s="75">
        <v>0</v>
      </c>
      <c r="X2427" s="4" t="s">
        <v>2276</v>
      </c>
      <c r="Y2427" s="4" t="s">
        <v>2276</v>
      </c>
      <c r="Z2427" s="4" t="s">
        <v>2276</v>
      </c>
      <c r="AA2427" s="4" t="s">
        <v>2276</v>
      </c>
      <c r="AB2427" s="4" t="s">
        <v>64</v>
      </c>
      <c r="AC2427" s="4" t="s">
        <v>6450</v>
      </c>
      <c r="AD2427" s="4" t="s">
        <v>8397</v>
      </c>
    </row>
    <row r="2428" spans="1:30" ht="29">
      <c r="A2428" s="4" t="s">
        <v>6504</v>
      </c>
      <c r="B2428" s="4" t="s">
        <v>6505</v>
      </c>
      <c r="C2428" s="4" t="s">
        <v>24</v>
      </c>
      <c r="D2428" s="4" t="s">
        <v>2659</v>
      </c>
      <c r="E2428" s="4" t="s">
        <v>396</v>
      </c>
      <c r="F2428" s="4" t="s">
        <v>28</v>
      </c>
      <c r="G2428" s="4" t="s">
        <v>2276</v>
      </c>
      <c r="H2428" s="4" t="s">
        <v>523</v>
      </c>
      <c r="I2428" s="4">
        <v>2008</v>
      </c>
      <c r="J2428" s="4" t="s">
        <v>2276</v>
      </c>
      <c r="K2428" s="4" t="s">
        <v>2276</v>
      </c>
      <c r="L2428" s="4" t="s">
        <v>2276</v>
      </c>
      <c r="M2428" s="4" t="s">
        <v>2276</v>
      </c>
      <c r="N2428" s="4" t="s">
        <v>2276</v>
      </c>
      <c r="O2428" s="4" t="s">
        <v>2276</v>
      </c>
      <c r="P2428" s="4" t="s">
        <v>2276</v>
      </c>
      <c r="Q2428" s="4" t="s">
        <v>2276</v>
      </c>
      <c r="R2428" s="4" t="s">
        <v>2276</v>
      </c>
      <c r="S2428" s="4" t="s">
        <v>2276</v>
      </c>
      <c r="T2428" s="4" t="s">
        <v>2276</v>
      </c>
      <c r="U2428" s="4" t="s">
        <v>2276</v>
      </c>
      <c r="V2428" s="4" t="s">
        <v>2276</v>
      </c>
      <c r="W2428" s="4" t="s">
        <v>2276</v>
      </c>
      <c r="X2428" s="4" t="s">
        <v>2276</v>
      </c>
      <c r="Y2428" s="4" t="s">
        <v>2276</v>
      </c>
      <c r="Z2428" s="4" t="s">
        <v>2276</v>
      </c>
      <c r="AA2428" s="4" t="s">
        <v>2276</v>
      </c>
      <c r="AB2428" s="4" t="s">
        <v>64</v>
      </c>
      <c r="AC2428" s="4" t="s">
        <v>6450</v>
      </c>
      <c r="AD2428" s="4" t="s">
        <v>8397</v>
      </c>
    </row>
    <row r="2429" spans="1:30" ht="29">
      <c r="A2429" s="4" t="s">
        <v>6504</v>
      </c>
      <c r="B2429" s="4" t="s">
        <v>6506</v>
      </c>
      <c r="C2429" s="4" t="s">
        <v>24</v>
      </c>
      <c r="D2429" s="4" t="s">
        <v>2659</v>
      </c>
      <c r="E2429" s="4" t="s">
        <v>396</v>
      </c>
      <c r="F2429" s="4" t="s">
        <v>28</v>
      </c>
      <c r="G2429" s="4" t="s">
        <v>2276</v>
      </c>
      <c r="H2429" s="4" t="s">
        <v>523</v>
      </c>
      <c r="I2429" s="4">
        <v>2012</v>
      </c>
      <c r="J2429" s="4" t="s">
        <v>2276</v>
      </c>
      <c r="K2429" s="4" t="s">
        <v>2276</v>
      </c>
      <c r="L2429" s="4" t="s">
        <v>2276</v>
      </c>
      <c r="M2429" s="4" t="s">
        <v>2276</v>
      </c>
      <c r="N2429" s="4" t="s">
        <v>2276</v>
      </c>
      <c r="O2429" s="4" t="s">
        <v>2276</v>
      </c>
      <c r="P2429" s="4" t="s">
        <v>2276</v>
      </c>
      <c r="Q2429" s="4" t="s">
        <v>2276</v>
      </c>
      <c r="R2429" s="4" t="s">
        <v>2276</v>
      </c>
      <c r="S2429" s="4" t="s">
        <v>2276</v>
      </c>
      <c r="T2429" s="4" t="s">
        <v>2276</v>
      </c>
      <c r="U2429" s="4" t="s">
        <v>2276</v>
      </c>
      <c r="V2429" s="4" t="s">
        <v>2276</v>
      </c>
      <c r="W2429" s="4" t="s">
        <v>2276</v>
      </c>
      <c r="X2429" s="4" t="s">
        <v>2276</v>
      </c>
      <c r="Y2429" s="4" t="s">
        <v>2276</v>
      </c>
      <c r="Z2429" s="4" t="s">
        <v>2276</v>
      </c>
      <c r="AA2429" s="4" t="s">
        <v>2276</v>
      </c>
      <c r="AB2429" s="4" t="s">
        <v>64</v>
      </c>
      <c r="AC2429" s="4" t="s">
        <v>6450</v>
      </c>
      <c r="AD2429" s="4" t="s">
        <v>8397</v>
      </c>
    </row>
    <row r="2430" spans="1:30" ht="29">
      <c r="A2430" s="4" t="s">
        <v>6504</v>
      </c>
      <c r="B2430" s="4" t="s">
        <v>6507</v>
      </c>
      <c r="C2430" s="4" t="s">
        <v>24</v>
      </c>
      <c r="D2430" s="4" t="s">
        <v>2659</v>
      </c>
      <c r="E2430" s="4" t="s">
        <v>396</v>
      </c>
      <c r="F2430" s="4" t="s">
        <v>28</v>
      </c>
      <c r="G2430" s="4" t="s">
        <v>2276</v>
      </c>
      <c r="H2430" s="4" t="s">
        <v>524</v>
      </c>
      <c r="I2430" s="4">
        <v>2015</v>
      </c>
      <c r="J2430" s="75">
        <v>0</v>
      </c>
      <c r="K2430" s="75">
        <v>0</v>
      </c>
      <c r="L2430" s="75">
        <v>0</v>
      </c>
      <c r="M2430" s="75">
        <v>0</v>
      </c>
      <c r="N2430" s="75">
        <v>0</v>
      </c>
      <c r="O2430" s="75">
        <v>0</v>
      </c>
      <c r="P2430" s="75">
        <v>0</v>
      </c>
      <c r="Q2430" s="75">
        <v>0</v>
      </c>
      <c r="R2430" s="75">
        <v>0</v>
      </c>
      <c r="S2430" s="75">
        <v>0</v>
      </c>
      <c r="T2430" s="75">
        <v>0</v>
      </c>
      <c r="U2430" s="75">
        <v>0</v>
      </c>
      <c r="V2430" s="75">
        <v>0</v>
      </c>
      <c r="W2430" s="75">
        <v>0</v>
      </c>
      <c r="X2430" s="4" t="s">
        <v>2276</v>
      </c>
      <c r="Y2430" s="4" t="s">
        <v>2276</v>
      </c>
      <c r="Z2430" s="4" t="s">
        <v>2276</v>
      </c>
      <c r="AA2430" s="4" t="s">
        <v>2276</v>
      </c>
      <c r="AB2430" s="4" t="s">
        <v>64</v>
      </c>
      <c r="AC2430" s="4" t="s">
        <v>6450</v>
      </c>
      <c r="AD2430" s="4" t="s">
        <v>8397</v>
      </c>
    </row>
    <row r="2431" spans="1:30" ht="29">
      <c r="A2431" s="4" t="s">
        <v>6341</v>
      </c>
      <c r="B2431" s="4" t="s">
        <v>6508</v>
      </c>
      <c r="C2431" s="4" t="s">
        <v>24</v>
      </c>
      <c r="D2431" s="4" t="s">
        <v>2659</v>
      </c>
      <c r="E2431" s="4" t="s">
        <v>396</v>
      </c>
      <c r="F2431" s="4" t="s">
        <v>28</v>
      </c>
      <c r="G2431" s="4" t="s">
        <v>2276</v>
      </c>
      <c r="H2431" s="4" t="s">
        <v>523</v>
      </c>
      <c r="I2431" s="4">
        <v>2008</v>
      </c>
      <c r="J2431" s="4" t="s">
        <v>2276</v>
      </c>
      <c r="K2431" s="4" t="s">
        <v>2276</v>
      </c>
      <c r="L2431" s="4" t="s">
        <v>2276</v>
      </c>
      <c r="M2431" s="4" t="s">
        <v>2276</v>
      </c>
      <c r="N2431" s="4" t="s">
        <v>2276</v>
      </c>
      <c r="O2431" s="4" t="s">
        <v>2276</v>
      </c>
      <c r="P2431" s="4" t="s">
        <v>2276</v>
      </c>
      <c r="Q2431" s="4" t="s">
        <v>2276</v>
      </c>
      <c r="R2431" s="4" t="s">
        <v>2276</v>
      </c>
      <c r="S2431" s="4" t="s">
        <v>2276</v>
      </c>
      <c r="T2431" s="4" t="s">
        <v>2276</v>
      </c>
      <c r="U2431" s="4" t="s">
        <v>2276</v>
      </c>
      <c r="V2431" s="4" t="s">
        <v>2276</v>
      </c>
      <c r="W2431" s="4" t="s">
        <v>2276</v>
      </c>
      <c r="X2431" s="4" t="s">
        <v>2276</v>
      </c>
      <c r="Y2431" s="4" t="s">
        <v>2276</v>
      </c>
      <c r="Z2431" s="4" t="s">
        <v>2276</v>
      </c>
      <c r="AA2431" s="4" t="s">
        <v>2276</v>
      </c>
      <c r="AB2431" s="4" t="s">
        <v>64</v>
      </c>
      <c r="AC2431" s="4" t="s">
        <v>6450</v>
      </c>
      <c r="AD2431" s="4" t="s">
        <v>8397</v>
      </c>
    </row>
    <row r="2432" spans="1:30" ht="29">
      <c r="A2432" s="4" t="s">
        <v>6341</v>
      </c>
      <c r="B2432" s="4" t="s">
        <v>6509</v>
      </c>
      <c r="C2432" s="4" t="s">
        <v>24</v>
      </c>
      <c r="D2432" s="4" t="s">
        <v>2659</v>
      </c>
      <c r="E2432" s="4" t="s">
        <v>396</v>
      </c>
      <c r="F2432" s="4" t="s">
        <v>28</v>
      </c>
      <c r="G2432" s="4" t="s">
        <v>2276</v>
      </c>
      <c r="H2432" s="4" t="s">
        <v>523</v>
      </c>
      <c r="I2432" s="4">
        <v>2012</v>
      </c>
      <c r="J2432" s="4" t="s">
        <v>2276</v>
      </c>
      <c r="K2432" s="4" t="s">
        <v>2276</v>
      </c>
      <c r="L2432" s="4" t="s">
        <v>2276</v>
      </c>
      <c r="M2432" s="4" t="s">
        <v>2276</v>
      </c>
      <c r="N2432" s="4" t="s">
        <v>2276</v>
      </c>
      <c r="O2432" s="4" t="s">
        <v>2276</v>
      </c>
      <c r="P2432" s="4" t="s">
        <v>2276</v>
      </c>
      <c r="Q2432" s="4" t="s">
        <v>2276</v>
      </c>
      <c r="R2432" s="4" t="s">
        <v>2276</v>
      </c>
      <c r="S2432" s="4" t="s">
        <v>2276</v>
      </c>
      <c r="T2432" s="4" t="s">
        <v>2276</v>
      </c>
      <c r="U2432" s="4" t="s">
        <v>2276</v>
      </c>
      <c r="V2432" s="4" t="s">
        <v>2276</v>
      </c>
      <c r="W2432" s="4" t="s">
        <v>2276</v>
      </c>
      <c r="X2432" s="4" t="s">
        <v>2276</v>
      </c>
      <c r="Y2432" s="4" t="s">
        <v>2276</v>
      </c>
      <c r="Z2432" s="4" t="s">
        <v>2276</v>
      </c>
      <c r="AA2432" s="4" t="s">
        <v>2276</v>
      </c>
      <c r="AB2432" s="4" t="s">
        <v>64</v>
      </c>
      <c r="AC2432" s="4" t="s">
        <v>6450</v>
      </c>
      <c r="AD2432" s="4" t="s">
        <v>8397</v>
      </c>
    </row>
    <row r="2433" spans="1:30" ht="29">
      <c r="A2433" s="4" t="s">
        <v>6341</v>
      </c>
      <c r="B2433" s="4" t="s">
        <v>6510</v>
      </c>
      <c r="C2433" s="4" t="s">
        <v>24</v>
      </c>
      <c r="D2433" s="4" t="s">
        <v>2659</v>
      </c>
      <c r="E2433" s="4" t="s">
        <v>396</v>
      </c>
      <c r="F2433" s="4" t="s">
        <v>28</v>
      </c>
      <c r="G2433" s="4" t="s">
        <v>2276</v>
      </c>
      <c r="H2433" s="4" t="s">
        <v>524</v>
      </c>
      <c r="I2433" s="4">
        <v>2015</v>
      </c>
      <c r="J2433" s="75">
        <v>0</v>
      </c>
      <c r="K2433" s="75">
        <v>0</v>
      </c>
      <c r="L2433" s="75">
        <v>0</v>
      </c>
      <c r="M2433" s="75">
        <v>0</v>
      </c>
      <c r="N2433" s="75">
        <v>0</v>
      </c>
      <c r="O2433" s="75">
        <v>0</v>
      </c>
      <c r="P2433" s="75">
        <v>0</v>
      </c>
      <c r="Q2433" s="75">
        <v>0</v>
      </c>
      <c r="R2433" s="75">
        <v>0</v>
      </c>
      <c r="S2433" s="75">
        <v>0</v>
      </c>
      <c r="T2433" s="75">
        <v>0</v>
      </c>
      <c r="U2433" s="75">
        <v>0</v>
      </c>
      <c r="V2433" s="75">
        <v>0</v>
      </c>
      <c r="W2433" s="75">
        <v>0</v>
      </c>
      <c r="X2433" s="4" t="s">
        <v>2276</v>
      </c>
      <c r="Y2433" s="4" t="s">
        <v>2276</v>
      </c>
      <c r="Z2433" s="4" t="s">
        <v>2276</v>
      </c>
      <c r="AA2433" s="4" t="s">
        <v>2276</v>
      </c>
      <c r="AB2433" s="4" t="s">
        <v>64</v>
      </c>
      <c r="AC2433" s="4" t="s">
        <v>6450</v>
      </c>
      <c r="AD2433" s="4" t="s">
        <v>8397</v>
      </c>
    </row>
    <row r="2434" spans="1:30" ht="29">
      <c r="A2434" s="4" t="s">
        <v>6342</v>
      </c>
      <c r="B2434" s="4" t="s">
        <v>6511</v>
      </c>
      <c r="C2434" s="4" t="s">
        <v>24</v>
      </c>
      <c r="D2434" s="4" t="s">
        <v>2659</v>
      </c>
      <c r="E2434" s="4" t="s">
        <v>396</v>
      </c>
      <c r="F2434" s="4" t="s">
        <v>28</v>
      </c>
      <c r="G2434" s="4" t="s">
        <v>2276</v>
      </c>
      <c r="H2434" s="4" t="s">
        <v>523</v>
      </c>
      <c r="I2434" s="4">
        <v>2008</v>
      </c>
      <c r="J2434" s="4" t="s">
        <v>2276</v>
      </c>
      <c r="K2434" s="4" t="s">
        <v>2276</v>
      </c>
      <c r="L2434" s="4" t="s">
        <v>2276</v>
      </c>
      <c r="M2434" s="4" t="s">
        <v>2276</v>
      </c>
      <c r="N2434" s="4" t="s">
        <v>2276</v>
      </c>
      <c r="O2434" s="4" t="s">
        <v>2276</v>
      </c>
      <c r="P2434" s="4" t="s">
        <v>2276</v>
      </c>
      <c r="Q2434" s="4" t="s">
        <v>2276</v>
      </c>
      <c r="R2434" s="4" t="s">
        <v>2276</v>
      </c>
      <c r="S2434" s="4" t="s">
        <v>2276</v>
      </c>
      <c r="T2434" s="4" t="s">
        <v>2276</v>
      </c>
      <c r="U2434" s="4" t="s">
        <v>2276</v>
      </c>
      <c r="V2434" s="4" t="s">
        <v>2276</v>
      </c>
      <c r="W2434" s="4" t="s">
        <v>2276</v>
      </c>
      <c r="X2434" s="4" t="s">
        <v>2276</v>
      </c>
      <c r="Y2434" s="4" t="s">
        <v>2276</v>
      </c>
      <c r="Z2434" s="4" t="s">
        <v>2276</v>
      </c>
      <c r="AA2434" s="4" t="s">
        <v>2276</v>
      </c>
      <c r="AB2434" s="4" t="s">
        <v>64</v>
      </c>
      <c r="AC2434" s="4" t="s">
        <v>6450</v>
      </c>
      <c r="AD2434" s="4" t="s">
        <v>8397</v>
      </c>
    </row>
    <row r="2435" spans="1:30" ht="29">
      <c r="A2435" s="4" t="s">
        <v>6342</v>
      </c>
      <c r="B2435" s="4" t="s">
        <v>6512</v>
      </c>
      <c r="C2435" s="4" t="s">
        <v>24</v>
      </c>
      <c r="D2435" s="4" t="s">
        <v>2659</v>
      </c>
      <c r="E2435" s="4" t="s">
        <v>396</v>
      </c>
      <c r="F2435" s="4" t="s">
        <v>28</v>
      </c>
      <c r="G2435" s="4" t="s">
        <v>2276</v>
      </c>
      <c r="H2435" s="4" t="s">
        <v>523</v>
      </c>
      <c r="I2435" s="4">
        <v>2012</v>
      </c>
      <c r="J2435" s="4" t="s">
        <v>2276</v>
      </c>
      <c r="K2435" s="4" t="s">
        <v>2276</v>
      </c>
      <c r="L2435" s="4" t="s">
        <v>2276</v>
      </c>
      <c r="M2435" s="4" t="s">
        <v>2276</v>
      </c>
      <c r="N2435" s="4" t="s">
        <v>2276</v>
      </c>
      <c r="O2435" s="4" t="s">
        <v>2276</v>
      </c>
      <c r="P2435" s="4" t="s">
        <v>2276</v>
      </c>
      <c r="Q2435" s="4" t="s">
        <v>2276</v>
      </c>
      <c r="R2435" s="4" t="s">
        <v>2276</v>
      </c>
      <c r="S2435" s="4" t="s">
        <v>2276</v>
      </c>
      <c r="T2435" s="4" t="s">
        <v>2276</v>
      </c>
      <c r="U2435" s="4" t="s">
        <v>2276</v>
      </c>
      <c r="V2435" s="4" t="s">
        <v>2276</v>
      </c>
      <c r="W2435" s="4" t="s">
        <v>2276</v>
      </c>
      <c r="X2435" s="4" t="s">
        <v>2276</v>
      </c>
      <c r="Y2435" s="4" t="s">
        <v>2276</v>
      </c>
      <c r="Z2435" s="4" t="s">
        <v>2276</v>
      </c>
      <c r="AA2435" s="4" t="s">
        <v>2276</v>
      </c>
      <c r="AB2435" s="4" t="s">
        <v>64</v>
      </c>
      <c r="AC2435" s="4" t="s">
        <v>6450</v>
      </c>
      <c r="AD2435" s="4" t="s">
        <v>8397</v>
      </c>
    </row>
    <row r="2436" spans="1:30" ht="29">
      <c r="A2436" s="4" t="s">
        <v>6342</v>
      </c>
      <c r="B2436" s="4" t="s">
        <v>6513</v>
      </c>
      <c r="C2436" s="4" t="s">
        <v>24</v>
      </c>
      <c r="D2436" s="4" t="s">
        <v>2659</v>
      </c>
      <c r="E2436" s="4" t="s">
        <v>396</v>
      </c>
      <c r="F2436" s="4" t="s">
        <v>28</v>
      </c>
      <c r="G2436" s="4" t="s">
        <v>2276</v>
      </c>
      <c r="H2436" s="4" t="s">
        <v>524</v>
      </c>
      <c r="I2436" s="4">
        <v>2015</v>
      </c>
      <c r="J2436" s="75">
        <v>0</v>
      </c>
      <c r="K2436" s="75">
        <v>0</v>
      </c>
      <c r="L2436" s="75">
        <v>0</v>
      </c>
      <c r="M2436" s="75">
        <v>0</v>
      </c>
      <c r="N2436" s="75">
        <v>0</v>
      </c>
      <c r="O2436" s="75">
        <v>0</v>
      </c>
      <c r="P2436" s="75">
        <v>0</v>
      </c>
      <c r="Q2436" s="75">
        <v>0</v>
      </c>
      <c r="R2436" s="75">
        <v>0</v>
      </c>
      <c r="S2436" s="75">
        <v>0</v>
      </c>
      <c r="T2436" s="75">
        <v>0</v>
      </c>
      <c r="U2436" s="75">
        <v>0</v>
      </c>
      <c r="V2436" s="75">
        <v>0</v>
      </c>
      <c r="W2436" s="75">
        <v>0</v>
      </c>
      <c r="X2436" s="4" t="s">
        <v>2276</v>
      </c>
      <c r="Y2436" s="4" t="s">
        <v>2276</v>
      </c>
      <c r="Z2436" s="4" t="s">
        <v>2276</v>
      </c>
      <c r="AA2436" s="4" t="s">
        <v>2276</v>
      </c>
      <c r="AB2436" s="4" t="s">
        <v>64</v>
      </c>
      <c r="AC2436" s="4" t="s">
        <v>6450</v>
      </c>
      <c r="AD2436" s="4" t="s">
        <v>8397</v>
      </c>
    </row>
    <row r="2437" spans="1:30" ht="29">
      <c r="A2437" s="4" t="s">
        <v>6343</v>
      </c>
      <c r="B2437" s="4" t="s">
        <v>6514</v>
      </c>
      <c r="C2437" s="4" t="s">
        <v>24</v>
      </c>
      <c r="D2437" s="4" t="s">
        <v>2659</v>
      </c>
      <c r="E2437" s="4" t="s">
        <v>396</v>
      </c>
      <c r="F2437" s="4" t="s">
        <v>28</v>
      </c>
      <c r="G2437" s="4" t="s">
        <v>2276</v>
      </c>
      <c r="H2437" s="4" t="s">
        <v>523</v>
      </c>
      <c r="I2437" s="4">
        <v>2008</v>
      </c>
      <c r="J2437" s="4" t="s">
        <v>2276</v>
      </c>
      <c r="K2437" s="4" t="s">
        <v>2276</v>
      </c>
      <c r="L2437" s="4" t="s">
        <v>2276</v>
      </c>
      <c r="M2437" s="4" t="s">
        <v>2276</v>
      </c>
      <c r="N2437" s="4" t="s">
        <v>2276</v>
      </c>
      <c r="O2437" s="4" t="s">
        <v>2276</v>
      </c>
      <c r="P2437" s="4" t="s">
        <v>2276</v>
      </c>
      <c r="Q2437" s="4" t="s">
        <v>2276</v>
      </c>
      <c r="R2437" s="4" t="s">
        <v>2276</v>
      </c>
      <c r="S2437" s="4" t="s">
        <v>2276</v>
      </c>
      <c r="T2437" s="4" t="s">
        <v>2276</v>
      </c>
      <c r="U2437" s="4" t="s">
        <v>2276</v>
      </c>
      <c r="V2437" s="4" t="s">
        <v>2276</v>
      </c>
      <c r="W2437" s="4" t="s">
        <v>2276</v>
      </c>
      <c r="X2437" s="4" t="s">
        <v>2276</v>
      </c>
      <c r="Y2437" s="4" t="s">
        <v>2276</v>
      </c>
      <c r="Z2437" s="4" t="s">
        <v>2276</v>
      </c>
      <c r="AA2437" s="4" t="s">
        <v>2276</v>
      </c>
      <c r="AB2437" s="4" t="s">
        <v>64</v>
      </c>
      <c r="AC2437" s="4" t="s">
        <v>6450</v>
      </c>
      <c r="AD2437" s="4" t="s">
        <v>8397</v>
      </c>
    </row>
    <row r="2438" spans="1:30" ht="29">
      <c r="A2438" s="4" t="s">
        <v>6343</v>
      </c>
      <c r="B2438" s="4" t="s">
        <v>6515</v>
      </c>
      <c r="C2438" s="4" t="s">
        <v>24</v>
      </c>
      <c r="D2438" s="4" t="s">
        <v>2659</v>
      </c>
      <c r="E2438" s="4" t="s">
        <v>396</v>
      </c>
      <c r="F2438" s="4" t="s">
        <v>28</v>
      </c>
      <c r="G2438" s="4" t="s">
        <v>2276</v>
      </c>
      <c r="H2438" s="4" t="s">
        <v>523</v>
      </c>
      <c r="I2438" s="4">
        <v>2012</v>
      </c>
      <c r="J2438" s="4" t="s">
        <v>2276</v>
      </c>
      <c r="K2438" s="4" t="s">
        <v>2276</v>
      </c>
      <c r="L2438" s="4" t="s">
        <v>2276</v>
      </c>
      <c r="M2438" s="4" t="s">
        <v>2276</v>
      </c>
      <c r="N2438" s="4" t="s">
        <v>2276</v>
      </c>
      <c r="O2438" s="4" t="s">
        <v>2276</v>
      </c>
      <c r="P2438" s="4" t="s">
        <v>2276</v>
      </c>
      <c r="Q2438" s="4" t="s">
        <v>2276</v>
      </c>
      <c r="R2438" s="4" t="s">
        <v>2276</v>
      </c>
      <c r="S2438" s="4" t="s">
        <v>2276</v>
      </c>
      <c r="T2438" s="4" t="s">
        <v>2276</v>
      </c>
      <c r="U2438" s="4" t="s">
        <v>2276</v>
      </c>
      <c r="V2438" s="4" t="s">
        <v>2276</v>
      </c>
      <c r="W2438" s="4" t="s">
        <v>2276</v>
      </c>
      <c r="X2438" s="4" t="s">
        <v>2276</v>
      </c>
      <c r="Y2438" s="4" t="s">
        <v>2276</v>
      </c>
      <c r="Z2438" s="4" t="s">
        <v>2276</v>
      </c>
      <c r="AA2438" s="4" t="s">
        <v>2276</v>
      </c>
      <c r="AB2438" s="4" t="s">
        <v>64</v>
      </c>
      <c r="AC2438" s="4" t="s">
        <v>6450</v>
      </c>
      <c r="AD2438" s="4" t="s">
        <v>8397</v>
      </c>
    </row>
    <row r="2439" spans="1:30" ht="29">
      <c r="A2439" s="4" t="s">
        <v>6343</v>
      </c>
      <c r="B2439" s="4" t="s">
        <v>6516</v>
      </c>
      <c r="C2439" s="4" t="s">
        <v>24</v>
      </c>
      <c r="D2439" s="4" t="s">
        <v>2659</v>
      </c>
      <c r="E2439" s="4" t="s">
        <v>396</v>
      </c>
      <c r="F2439" s="4" t="s">
        <v>28</v>
      </c>
      <c r="G2439" s="4" t="s">
        <v>2276</v>
      </c>
      <c r="H2439" s="4" t="s">
        <v>524</v>
      </c>
      <c r="I2439" s="4">
        <v>2015</v>
      </c>
      <c r="J2439" s="75">
        <v>0</v>
      </c>
      <c r="K2439" s="75">
        <v>0</v>
      </c>
      <c r="L2439" s="75">
        <v>0</v>
      </c>
      <c r="M2439" s="75">
        <v>0</v>
      </c>
      <c r="N2439" s="75">
        <v>0</v>
      </c>
      <c r="O2439" s="75">
        <v>0</v>
      </c>
      <c r="P2439" s="75">
        <v>0</v>
      </c>
      <c r="Q2439" s="75">
        <v>0</v>
      </c>
      <c r="R2439" s="75">
        <v>0</v>
      </c>
      <c r="S2439" s="75">
        <v>0</v>
      </c>
      <c r="T2439" s="75">
        <v>0</v>
      </c>
      <c r="U2439" s="75">
        <v>0</v>
      </c>
      <c r="V2439" s="75">
        <v>0</v>
      </c>
      <c r="W2439" s="75">
        <v>0</v>
      </c>
      <c r="X2439" s="4" t="s">
        <v>2276</v>
      </c>
      <c r="Y2439" s="4" t="s">
        <v>2276</v>
      </c>
      <c r="Z2439" s="4" t="s">
        <v>2276</v>
      </c>
      <c r="AA2439" s="4" t="s">
        <v>2276</v>
      </c>
      <c r="AB2439" s="4" t="s">
        <v>64</v>
      </c>
      <c r="AC2439" s="4" t="s">
        <v>6450</v>
      </c>
      <c r="AD2439" s="4" t="s">
        <v>8397</v>
      </c>
    </row>
    <row r="2440" spans="1:30" ht="29">
      <c r="A2440" s="4" t="s">
        <v>6344</v>
      </c>
      <c r="B2440" s="4" t="s">
        <v>6517</v>
      </c>
      <c r="C2440" s="4" t="s">
        <v>24</v>
      </c>
      <c r="D2440" s="4" t="s">
        <v>2659</v>
      </c>
      <c r="E2440" s="4" t="s">
        <v>396</v>
      </c>
      <c r="F2440" s="4" t="s">
        <v>28</v>
      </c>
      <c r="G2440" s="4" t="s">
        <v>2276</v>
      </c>
      <c r="H2440" s="4" t="s">
        <v>523</v>
      </c>
      <c r="I2440" s="4">
        <v>2008</v>
      </c>
      <c r="J2440" s="4" t="s">
        <v>2276</v>
      </c>
      <c r="K2440" s="4" t="s">
        <v>2276</v>
      </c>
      <c r="L2440" s="4" t="s">
        <v>2276</v>
      </c>
      <c r="M2440" s="4" t="s">
        <v>2276</v>
      </c>
      <c r="N2440" s="4" t="s">
        <v>2276</v>
      </c>
      <c r="O2440" s="4" t="s">
        <v>2276</v>
      </c>
      <c r="P2440" s="4" t="s">
        <v>2276</v>
      </c>
      <c r="Q2440" s="4" t="s">
        <v>2276</v>
      </c>
      <c r="R2440" s="4" t="s">
        <v>2276</v>
      </c>
      <c r="S2440" s="4" t="s">
        <v>2276</v>
      </c>
      <c r="T2440" s="4" t="s">
        <v>2276</v>
      </c>
      <c r="U2440" s="4" t="s">
        <v>2276</v>
      </c>
      <c r="V2440" s="4" t="s">
        <v>2276</v>
      </c>
      <c r="W2440" s="4" t="s">
        <v>2276</v>
      </c>
      <c r="X2440" s="4" t="s">
        <v>2276</v>
      </c>
      <c r="Y2440" s="4" t="s">
        <v>2276</v>
      </c>
      <c r="Z2440" s="4" t="s">
        <v>2276</v>
      </c>
      <c r="AA2440" s="4" t="s">
        <v>2276</v>
      </c>
      <c r="AB2440" s="4" t="s">
        <v>64</v>
      </c>
      <c r="AC2440" s="4" t="s">
        <v>6450</v>
      </c>
      <c r="AD2440" s="4" t="s">
        <v>8397</v>
      </c>
    </row>
    <row r="2441" spans="1:30" ht="29">
      <c r="A2441" s="4" t="s">
        <v>6344</v>
      </c>
      <c r="B2441" s="4" t="s">
        <v>6518</v>
      </c>
      <c r="C2441" s="4" t="s">
        <v>24</v>
      </c>
      <c r="D2441" s="4" t="s">
        <v>2659</v>
      </c>
      <c r="E2441" s="4" t="s">
        <v>396</v>
      </c>
      <c r="F2441" s="4" t="s">
        <v>28</v>
      </c>
      <c r="G2441" s="4" t="s">
        <v>2276</v>
      </c>
      <c r="H2441" s="4" t="s">
        <v>523</v>
      </c>
      <c r="I2441" s="4">
        <v>2012</v>
      </c>
      <c r="J2441" s="4" t="s">
        <v>2276</v>
      </c>
      <c r="K2441" s="4" t="s">
        <v>2276</v>
      </c>
      <c r="L2441" s="4" t="s">
        <v>2276</v>
      </c>
      <c r="M2441" s="4" t="s">
        <v>2276</v>
      </c>
      <c r="N2441" s="4" t="s">
        <v>2276</v>
      </c>
      <c r="O2441" s="4" t="s">
        <v>2276</v>
      </c>
      <c r="P2441" s="4" t="s">
        <v>2276</v>
      </c>
      <c r="Q2441" s="4" t="s">
        <v>2276</v>
      </c>
      <c r="R2441" s="4" t="s">
        <v>2276</v>
      </c>
      <c r="S2441" s="4" t="s">
        <v>2276</v>
      </c>
      <c r="T2441" s="4" t="s">
        <v>2276</v>
      </c>
      <c r="U2441" s="4" t="s">
        <v>2276</v>
      </c>
      <c r="V2441" s="4" t="s">
        <v>2276</v>
      </c>
      <c r="W2441" s="4" t="s">
        <v>2276</v>
      </c>
      <c r="X2441" s="4" t="s">
        <v>2276</v>
      </c>
      <c r="Y2441" s="4" t="s">
        <v>2276</v>
      </c>
      <c r="Z2441" s="4" t="s">
        <v>2276</v>
      </c>
      <c r="AA2441" s="4" t="s">
        <v>2276</v>
      </c>
      <c r="AB2441" s="4" t="s">
        <v>64</v>
      </c>
      <c r="AC2441" s="4" t="s">
        <v>6450</v>
      </c>
      <c r="AD2441" s="4" t="s">
        <v>8397</v>
      </c>
    </row>
    <row r="2442" spans="1:30" ht="29">
      <c r="A2442" s="4" t="s">
        <v>6344</v>
      </c>
      <c r="B2442" s="4" t="s">
        <v>6519</v>
      </c>
      <c r="C2442" s="4" t="s">
        <v>24</v>
      </c>
      <c r="D2442" s="4" t="s">
        <v>2659</v>
      </c>
      <c r="E2442" s="4" t="s">
        <v>396</v>
      </c>
      <c r="F2442" s="4" t="s">
        <v>28</v>
      </c>
      <c r="G2442" s="4" t="s">
        <v>2276</v>
      </c>
      <c r="H2442" s="4" t="s">
        <v>524</v>
      </c>
      <c r="I2442" s="4">
        <v>2015</v>
      </c>
      <c r="J2442" s="75">
        <v>0</v>
      </c>
      <c r="K2442" s="75">
        <v>0</v>
      </c>
      <c r="L2442" s="75">
        <v>0</v>
      </c>
      <c r="M2442" s="75">
        <v>0</v>
      </c>
      <c r="N2442" s="75">
        <v>0</v>
      </c>
      <c r="O2442" s="75">
        <v>0</v>
      </c>
      <c r="P2442" s="75">
        <v>0</v>
      </c>
      <c r="Q2442" s="75">
        <v>0</v>
      </c>
      <c r="R2442" s="75">
        <v>0</v>
      </c>
      <c r="S2442" s="75">
        <v>0</v>
      </c>
      <c r="T2442" s="75">
        <v>0</v>
      </c>
      <c r="U2442" s="75">
        <v>0</v>
      </c>
      <c r="V2442" s="75">
        <v>0</v>
      </c>
      <c r="W2442" s="75">
        <v>0</v>
      </c>
      <c r="X2442" s="4" t="s">
        <v>2276</v>
      </c>
      <c r="Y2442" s="4" t="s">
        <v>2276</v>
      </c>
      <c r="Z2442" s="4" t="s">
        <v>2276</v>
      </c>
      <c r="AA2442" s="4" t="s">
        <v>2276</v>
      </c>
      <c r="AB2442" s="4" t="s">
        <v>64</v>
      </c>
      <c r="AC2442" s="4" t="s">
        <v>6450</v>
      </c>
      <c r="AD2442" s="4" t="s">
        <v>8397</v>
      </c>
    </row>
    <row r="2443" spans="1:30" ht="29">
      <c r="A2443" s="4" t="s">
        <v>8401</v>
      </c>
      <c r="B2443" s="4" t="s">
        <v>8403</v>
      </c>
      <c r="C2443" s="4" t="s">
        <v>24</v>
      </c>
      <c r="D2443" s="4" t="s">
        <v>2659</v>
      </c>
      <c r="E2443" s="4" t="s">
        <v>3855</v>
      </c>
      <c r="F2443" s="4" t="s">
        <v>28</v>
      </c>
      <c r="G2443" s="4" t="s">
        <v>2276</v>
      </c>
      <c r="H2443" s="4" t="s">
        <v>523</v>
      </c>
      <c r="I2443" s="4"/>
      <c r="J2443" s="4" t="s">
        <v>2276</v>
      </c>
      <c r="K2443" s="4" t="s">
        <v>2276</v>
      </c>
      <c r="L2443" s="4" t="s">
        <v>2276</v>
      </c>
      <c r="M2443" s="4" t="s">
        <v>2276</v>
      </c>
      <c r="N2443" s="4" t="s">
        <v>2276</v>
      </c>
      <c r="O2443" s="4" t="s">
        <v>2276</v>
      </c>
      <c r="P2443" s="4" t="s">
        <v>2276</v>
      </c>
      <c r="Q2443" s="4" t="s">
        <v>2276</v>
      </c>
      <c r="R2443" s="4" t="s">
        <v>2276</v>
      </c>
      <c r="S2443" s="4" t="s">
        <v>2276</v>
      </c>
      <c r="T2443" s="4" t="s">
        <v>2276</v>
      </c>
      <c r="U2443" s="4" t="s">
        <v>2276</v>
      </c>
      <c r="V2443" s="4" t="s">
        <v>2276</v>
      </c>
      <c r="W2443" s="4" t="s">
        <v>2276</v>
      </c>
      <c r="X2443" s="4" t="s">
        <v>2276</v>
      </c>
      <c r="Y2443" s="4" t="s">
        <v>2276</v>
      </c>
      <c r="Z2443" s="4" t="s">
        <v>2276</v>
      </c>
      <c r="AA2443" s="4" t="s">
        <v>2276</v>
      </c>
      <c r="AB2443" s="4" t="s">
        <v>64</v>
      </c>
      <c r="AC2443" s="4"/>
      <c r="AD2443" s="4"/>
    </row>
    <row r="2444" spans="1:30" ht="29">
      <c r="A2444" s="4" t="s">
        <v>8402</v>
      </c>
      <c r="B2444" s="4" t="s">
        <v>8404</v>
      </c>
      <c r="C2444" s="4" t="s">
        <v>24</v>
      </c>
      <c r="D2444" s="4" t="s">
        <v>2659</v>
      </c>
      <c r="E2444" s="4" t="s">
        <v>3855</v>
      </c>
      <c r="F2444" s="4" t="s">
        <v>28</v>
      </c>
      <c r="G2444" s="4" t="s">
        <v>2276</v>
      </c>
      <c r="H2444" s="4" t="s">
        <v>523</v>
      </c>
      <c r="I2444" s="4"/>
      <c r="J2444" s="4" t="s">
        <v>2276</v>
      </c>
      <c r="K2444" s="4" t="s">
        <v>2276</v>
      </c>
      <c r="L2444" s="4" t="s">
        <v>2276</v>
      </c>
      <c r="M2444" s="4" t="s">
        <v>2276</v>
      </c>
      <c r="N2444" s="4" t="s">
        <v>2276</v>
      </c>
      <c r="O2444" s="4" t="s">
        <v>2276</v>
      </c>
      <c r="P2444" s="4" t="s">
        <v>2276</v>
      </c>
      <c r="Q2444" s="4" t="s">
        <v>2276</v>
      </c>
      <c r="R2444" s="4" t="s">
        <v>2276</v>
      </c>
      <c r="S2444" s="4" t="s">
        <v>2276</v>
      </c>
      <c r="T2444" s="4" t="s">
        <v>2276</v>
      </c>
      <c r="U2444" s="4" t="s">
        <v>2276</v>
      </c>
      <c r="V2444" s="4" t="s">
        <v>2276</v>
      </c>
      <c r="W2444" s="4" t="s">
        <v>2276</v>
      </c>
      <c r="X2444" s="4" t="s">
        <v>2276</v>
      </c>
      <c r="Y2444" s="4" t="s">
        <v>2276</v>
      </c>
      <c r="Z2444" s="4" t="s">
        <v>2276</v>
      </c>
      <c r="AA2444" s="4" t="s">
        <v>2276</v>
      </c>
      <c r="AB2444" s="4" t="s">
        <v>64</v>
      </c>
      <c r="AC2444" s="4"/>
      <c r="AD2444" s="4"/>
    </row>
    <row r="2445" spans="1:30" ht="29">
      <c r="A2445" s="4" t="s">
        <v>6345</v>
      </c>
      <c r="B2445" s="4" t="s">
        <v>6520</v>
      </c>
      <c r="C2445" s="4" t="s">
        <v>24</v>
      </c>
      <c r="D2445" s="4" t="s">
        <v>2659</v>
      </c>
      <c r="E2445" s="19" t="s">
        <v>3854</v>
      </c>
      <c r="F2445" s="4" t="s">
        <v>28</v>
      </c>
      <c r="G2445" s="4" t="s">
        <v>2276</v>
      </c>
      <c r="H2445" s="4" t="s">
        <v>523</v>
      </c>
      <c r="I2445" s="4"/>
      <c r="J2445" s="4" t="s">
        <v>2276</v>
      </c>
      <c r="K2445" s="4" t="s">
        <v>2276</v>
      </c>
      <c r="L2445" s="4" t="s">
        <v>2276</v>
      </c>
      <c r="M2445" s="4" t="s">
        <v>2276</v>
      </c>
      <c r="N2445" s="4" t="s">
        <v>2276</v>
      </c>
      <c r="O2445" s="4" t="s">
        <v>2276</v>
      </c>
      <c r="P2445" s="4" t="s">
        <v>2276</v>
      </c>
      <c r="Q2445" s="4" t="s">
        <v>2276</v>
      </c>
      <c r="R2445" s="4" t="s">
        <v>2276</v>
      </c>
      <c r="S2445" s="4" t="s">
        <v>2276</v>
      </c>
      <c r="T2445" s="4" t="s">
        <v>2276</v>
      </c>
      <c r="U2445" s="4" t="s">
        <v>2276</v>
      </c>
      <c r="V2445" s="4" t="s">
        <v>2276</v>
      </c>
      <c r="W2445" s="4" t="s">
        <v>2276</v>
      </c>
      <c r="X2445" s="4" t="s">
        <v>2276</v>
      </c>
      <c r="Y2445" s="4" t="s">
        <v>2276</v>
      </c>
      <c r="Z2445" s="4" t="s">
        <v>405</v>
      </c>
      <c r="AA2445" s="4" t="s">
        <v>86</v>
      </c>
      <c r="AB2445" s="4" t="s">
        <v>64</v>
      </c>
      <c r="AC2445" s="4" t="s">
        <v>6451</v>
      </c>
      <c r="AD2445" s="4"/>
    </row>
    <row r="2446" spans="1:30" ht="29">
      <c r="A2446" s="4" t="s">
        <v>6345</v>
      </c>
      <c r="B2446" s="4" t="s">
        <v>6521</v>
      </c>
      <c r="C2446" s="4" t="s">
        <v>24</v>
      </c>
      <c r="D2446" s="4" t="s">
        <v>2659</v>
      </c>
      <c r="E2446" s="19" t="s">
        <v>3854</v>
      </c>
      <c r="F2446" s="4" t="s">
        <v>28</v>
      </c>
      <c r="G2446" s="4" t="s">
        <v>2276</v>
      </c>
      <c r="H2446" s="4" t="s">
        <v>523</v>
      </c>
      <c r="I2446" s="4"/>
      <c r="J2446" s="4" t="s">
        <v>2276</v>
      </c>
      <c r="K2446" s="4" t="s">
        <v>2276</v>
      </c>
      <c r="L2446" s="4" t="s">
        <v>2276</v>
      </c>
      <c r="M2446" s="4" t="s">
        <v>2276</v>
      </c>
      <c r="N2446" s="4" t="s">
        <v>2276</v>
      </c>
      <c r="O2446" s="4" t="s">
        <v>2276</v>
      </c>
      <c r="P2446" s="4" t="s">
        <v>2276</v>
      </c>
      <c r="Q2446" s="4" t="s">
        <v>2276</v>
      </c>
      <c r="R2446" s="4" t="s">
        <v>2276</v>
      </c>
      <c r="S2446" s="4" t="s">
        <v>2276</v>
      </c>
      <c r="T2446" s="4" t="s">
        <v>2276</v>
      </c>
      <c r="U2446" s="4" t="s">
        <v>2276</v>
      </c>
      <c r="V2446" s="4" t="s">
        <v>2276</v>
      </c>
      <c r="W2446" s="4" t="s">
        <v>2276</v>
      </c>
      <c r="X2446" s="4" t="s">
        <v>2276</v>
      </c>
      <c r="Y2446" s="4" t="s">
        <v>2276</v>
      </c>
      <c r="Z2446" s="4" t="s">
        <v>405</v>
      </c>
      <c r="AA2446" s="4" t="s">
        <v>86</v>
      </c>
      <c r="AB2446" s="4" t="s">
        <v>64</v>
      </c>
      <c r="AC2446" s="4" t="s">
        <v>6452</v>
      </c>
      <c r="AD2446" s="4"/>
    </row>
    <row r="2447" spans="1:30" ht="29">
      <c r="A2447" s="4" t="s">
        <v>6346</v>
      </c>
      <c r="B2447" s="4" t="s">
        <v>6522</v>
      </c>
      <c r="C2447" s="4" t="s">
        <v>24</v>
      </c>
      <c r="D2447" s="4" t="s">
        <v>2659</v>
      </c>
      <c r="E2447" s="4" t="s">
        <v>3854</v>
      </c>
      <c r="F2447" s="4" t="s">
        <v>28</v>
      </c>
      <c r="G2447" s="4" t="s">
        <v>2276</v>
      </c>
      <c r="H2447" s="4" t="s">
        <v>524</v>
      </c>
      <c r="I2447" s="4"/>
      <c r="J2447" s="75">
        <v>0</v>
      </c>
      <c r="K2447" s="75">
        <v>0</v>
      </c>
      <c r="L2447" s="75">
        <v>0</v>
      </c>
      <c r="M2447" s="75">
        <v>0</v>
      </c>
      <c r="N2447" s="75">
        <v>0</v>
      </c>
      <c r="O2447" s="75">
        <v>0</v>
      </c>
      <c r="P2447" s="75">
        <v>0</v>
      </c>
      <c r="Q2447" s="75">
        <v>0</v>
      </c>
      <c r="R2447" s="75">
        <v>0</v>
      </c>
      <c r="S2447" s="75">
        <v>0</v>
      </c>
      <c r="T2447" s="75">
        <v>0</v>
      </c>
      <c r="U2447" s="75">
        <v>0</v>
      </c>
      <c r="V2447" s="75">
        <v>0</v>
      </c>
      <c r="W2447" s="75">
        <v>0</v>
      </c>
      <c r="X2447" s="75">
        <v>0</v>
      </c>
      <c r="Y2447" s="4" t="s">
        <v>2276</v>
      </c>
      <c r="Z2447" s="4" t="s">
        <v>2276</v>
      </c>
      <c r="AA2447" s="4" t="s">
        <v>2276</v>
      </c>
      <c r="AB2447" s="4" t="s">
        <v>2276</v>
      </c>
      <c r="AC2447" s="4" t="s">
        <v>6453</v>
      </c>
      <c r="AD2447" s="4"/>
    </row>
    <row r="2448" spans="1:30" ht="29">
      <c r="A2448" s="4" t="s">
        <v>6346</v>
      </c>
      <c r="B2448" s="4" t="s">
        <v>6523</v>
      </c>
      <c r="C2448" s="4" t="s">
        <v>24</v>
      </c>
      <c r="D2448" s="4" t="s">
        <v>2659</v>
      </c>
      <c r="E2448" s="4" t="s">
        <v>397</v>
      </c>
      <c r="F2448" s="4" t="s">
        <v>28</v>
      </c>
      <c r="G2448" s="4" t="s">
        <v>2276</v>
      </c>
      <c r="H2448" s="4" t="s">
        <v>523</v>
      </c>
      <c r="I2448" s="4"/>
      <c r="J2448" s="4" t="s">
        <v>2276</v>
      </c>
      <c r="K2448" s="4" t="s">
        <v>2276</v>
      </c>
      <c r="L2448" s="4" t="s">
        <v>2276</v>
      </c>
      <c r="M2448" s="4" t="s">
        <v>2276</v>
      </c>
      <c r="N2448" s="4" t="s">
        <v>2276</v>
      </c>
      <c r="O2448" s="4" t="s">
        <v>2276</v>
      </c>
      <c r="P2448" s="4" t="s">
        <v>2276</v>
      </c>
      <c r="Q2448" s="4" t="s">
        <v>2276</v>
      </c>
      <c r="R2448" s="4" t="s">
        <v>2276</v>
      </c>
      <c r="S2448" s="4" t="s">
        <v>2276</v>
      </c>
      <c r="T2448" s="4" t="s">
        <v>2276</v>
      </c>
      <c r="U2448" s="4" t="s">
        <v>2276</v>
      </c>
      <c r="V2448" s="4" t="s">
        <v>2276</v>
      </c>
      <c r="W2448" s="4" t="s">
        <v>2276</v>
      </c>
      <c r="X2448" s="4" t="s">
        <v>2276</v>
      </c>
      <c r="Y2448" s="4" t="s">
        <v>2276</v>
      </c>
      <c r="Z2448" s="4" t="s">
        <v>405</v>
      </c>
      <c r="AA2448" s="4" t="s">
        <v>86</v>
      </c>
      <c r="AB2448" s="4" t="s">
        <v>64</v>
      </c>
      <c r="AC2448" s="4" t="s">
        <v>6453</v>
      </c>
      <c r="AD2448" s="4"/>
    </row>
    <row r="2449" spans="1:30" ht="29">
      <c r="A2449" s="4" t="s">
        <v>6347</v>
      </c>
      <c r="B2449" s="4" t="s">
        <v>6524</v>
      </c>
      <c r="C2449" s="4" t="s">
        <v>24</v>
      </c>
      <c r="D2449" s="4" t="s">
        <v>2659</v>
      </c>
      <c r="E2449" s="4" t="s">
        <v>397</v>
      </c>
      <c r="F2449" s="4" t="s">
        <v>28</v>
      </c>
      <c r="G2449" s="4" t="s">
        <v>2276</v>
      </c>
      <c r="H2449" s="4" t="s">
        <v>523</v>
      </c>
      <c r="I2449" s="4"/>
      <c r="J2449" s="4" t="s">
        <v>2276</v>
      </c>
      <c r="K2449" s="4" t="s">
        <v>2276</v>
      </c>
      <c r="L2449" s="4" t="s">
        <v>2276</v>
      </c>
      <c r="M2449" s="4" t="s">
        <v>2276</v>
      </c>
      <c r="N2449" s="4" t="s">
        <v>2276</v>
      </c>
      <c r="O2449" s="4" t="s">
        <v>2276</v>
      </c>
      <c r="P2449" s="4" t="s">
        <v>2276</v>
      </c>
      <c r="Q2449" s="4" t="s">
        <v>2276</v>
      </c>
      <c r="R2449" s="4" t="s">
        <v>2276</v>
      </c>
      <c r="S2449" s="4" t="s">
        <v>2276</v>
      </c>
      <c r="T2449" s="4" t="s">
        <v>2276</v>
      </c>
      <c r="U2449" s="4" t="s">
        <v>2276</v>
      </c>
      <c r="V2449" s="4" t="s">
        <v>2276</v>
      </c>
      <c r="W2449" s="229">
        <f>100*1.9/83</f>
        <v>2.2891566265060241</v>
      </c>
      <c r="X2449" s="4" t="s">
        <v>2276</v>
      </c>
      <c r="Y2449" s="4" t="s">
        <v>2276</v>
      </c>
      <c r="Z2449" s="4" t="s">
        <v>405</v>
      </c>
      <c r="AA2449" s="4" t="s">
        <v>86</v>
      </c>
      <c r="AB2449" s="4" t="s">
        <v>64</v>
      </c>
      <c r="AC2449" s="4" t="s">
        <v>6454</v>
      </c>
      <c r="AD2449" s="4"/>
    </row>
    <row r="2450" spans="1:30" ht="29">
      <c r="A2450" s="4" t="s">
        <v>6348</v>
      </c>
      <c r="B2450" s="4" t="s">
        <v>6525</v>
      </c>
      <c r="C2450" s="4" t="s">
        <v>24</v>
      </c>
      <c r="D2450" s="4" t="s">
        <v>2659</v>
      </c>
      <c r="E2450" s="4" t="s">
        <v>3855</v>
      </c>
      <c r="F2450" s="4" t="s">
        <v>28</v>
      </c>
      <c r="G2450" s="4" t="s">
        <v>2276</v>
      </c>
      <c r="H2450" s="4" t="s">
        <v>523</v>
      </c>
      <c r="I2450" s="4"/>
      <c r="J2450" s="4" t="s">
        <v>2276</v>
      </c>
      <c r="K2450" s="4" t="s">
        <v>2276</v>
      </c>
      <c r="L2450" s="4" t="s">
        <v>2276</v>
      </c>
      <c r="M2450" s="4" t="s">
        <v>2276</v>
      </c>
      <c r="N2450" s="4" t="s">
        <v>2276</v>
      </c>
      <c r="O2450" s="4" t="s">
        <v>2276</v>
      </c>
      <c r="P2450" s="4" t="s">
        <v>2276</v>
      </c>
      <c r="Q2450" s="4" t="s">
        <v>2276</v>
      </c>
      <c r="R2450" s="4" t="s">
        <v>2276</v>
      </c>
      <c r="S2450" s="4" t="s">
        <v>2276</v>
      </c>
      <c r="T2450" s="4" t="s">
        <v>2276</v>
      </c>
      <c r="U2450" s="4" t="s">
        <v>2276</v>
      </c>
      <c r="V2450" s="4" t="s">
        <v>2276</v>
      </c>
      <c r="W2450" s="4" t="s">
        <v>2276</v>
      </c>
      <c r="X2450" s="4" t="s">
        <v>2276</v>
      </c>
      <c r="Y2450" s="4" t="s">
        <v>2276</v>
      </c>
      <c r="Z2450" s="4" t="s">
        <v>2276</v>
      </c>
      <c r="AA2450" s="4" t="s">
        <v>2276</v>
      </c>
      <c r="AB2450" s="4" t="s">
        <v>64</v>
      </c>
      <c r="AC2450" s="4" t="s">
        <v>6455</v>
      </c>
      <c r="AD2450" s="4"/>
    </row>
    <row r="2451" spans="1:30" ht="29">
      <c r="A2451" s="4" t="s">
        <v>6348</v>
      </c>
      <c r="B2451" s="4" t="s">
        <v>6526</v>
      </c>
      <c r="C2451" s="4" t="s">
        <v>24</v>
      </c>
      <c r="D2451" s="4" t="s">
        <v>2659</v>
      </c>
      <c r="E2451" s="4" t="s">
        <v>3855</v>
      </c>
      <c r="F2451" s="4" t="s">
        <v>28</v>
      </c>
      <c r="G2451" s="4" t="s">
        <v>2276</v>
      </c>
      <c r="H2451" s="4" t="s">
        <v>523</v>
      </c>
      <c r="I2451" s="4"/>
      <c r="J2451" s="4" t="s">
        <v>2276</v>
      </c>
      <c r="K2451" s="4" t="s">
        <v>2276</v>
      </c>
      <c r="L2451" s="4" t="s">
        <v>2276</v>
      </c>
      <c r="M2451" s="4" t="s">
        <v>2276</v>
      </c>
      <c r="N2451" s="4" t="s">
        <v>2276</v>
      </c>
      <c r="O2451" s="4" t="s">
        <v>2276</v>
      </c>
      <c r="P2451" s="4" t="s">
        <v>2276</v>
      </c>
      <c r="Q2451" s="4" t="s">
        <v>2276</v>
      </c>
      <c r="R2451" s="4" t="s">
        <v>2276</v>
      </c>
      <c r="S2451" s="4" t="s">
        <v>2276</v>
      </c>
      <c r="T2451" s="4" t="s">
        <v>2276</v>
      </c>
      <c r="U2451" s="4" t="s">
        <v>2276</v>
      </c>
      <c r="V2451" s="4" t="s">
        <v>2276</v>
      </c>
      <c r="W2451" s="4" t="s">
        <v>2276</v>
      </c>
      <c r="X2451" s="4" t="s">
        <v>2276</v>
      </c>
      <c r="Y2451" s="4" t="s">
        <v>2276</v>
      </c>
      <c r="Z2451" s="4" t="s">
        <v>2276</v>
      </c>
      <c r="AA2451" s="4" t="s">
        <v>2276</v>
      </c>
      <c r="AB2451" s="4" t="s">
        <v>64</v>
      </c>
      <c r="AC2451" s="4" t="s">
        <v>6456</v>
      </c>
      <c r="AD2451" s="4"/>
    </row>
    <row r="2452" spans="1:30" ht="29">
      <c r="A2452" s="4" t="s">
        <v>6349</v>
      </c>
      <c r="B2452" s="4" t="s">
        <v>6527</v>
      </c>
      <c r="C2452" s="4" t="s">
        <v>24</v>
      </c>
      <c r="D2452" s="4" t="s">
        <v>2659</v>
      </c>
      <c r="E2452" s="4" t="s">
        <v>3855</v>
      </c>
      <c r="F2452" s="4" t="s">
        <v>28</v>
      </c>
      <c r="G2452" s="4" t="s">
        <v>2276</v>
      </c>
      <c r="H2452" s="4" t="s">
        <v>523</v>
      </c>
      <c r="I2452" s="4"/>
      <c r="J2452" s="4" t="s">
        <v>2276</v>
      </c>
      <c r="K2452" s="4" t="s">
        <v>2276</v>
      </c>
      <c r="L2452" s="4" t="s">
        <v>2276</v>
      </c>
      <c r="M2452" s="4" t="s">
        <v>2276</v>
      </c>
      <c r="N2452" s="4" t="s">
        <v>2276</v>
      </c>
      <c r="O2452" s="4" t="s">
        <v>2276</v>
      </c>
      <c r="P2452" s="4" t="s">
        <v>2276</v>
      </c>
      <c r="Q2452" s="4" t="s">
        <v>2276</v>
      </c>
      <c r="R2452" s="4" t="s">
        <v>2276</v>
      </c>
      <c r="S2452" s="4" t="s">
        <v>2276</v>
      </c>
      <c r="T2452" s="4" t="s">
        <v>2276</v>
      </c>
      <c r="U2452" s="4" t="s">
        <v>2276</v>
      </c>
      <c r="V2452" s="4" t="s">
        <v>2276</v>
      </c>
      <c r="W2452" s="4" t="s">
        <v>2276</v>
      </c>
      <c r="X2452" s="4" t="s">
        <v>2276</v>
      </c>
      <c r="Y2452" s="4" t="s">
        <v>2276</v>
      </c>
      <c r="Z2452" s="4" t="s">
        <v>2276</v>
      </c>
      <c r="AA2452" s="4" t="s">
        <v>2276</v>
      </c>
      <c r="AB2452" s="4" t="s">
        <v>64</v>
      </c>
      <c r="AC2452" s="4" t="s">
        <v>6455</v>
      </c>
      <c r="AD2452" s="4"/>
    </row>
    <row r="2453" spans="1:30" ht="29">
      <c r="A2453" s="4" t="s">
        <v>6349</v>
      </c>
      <c r="B2453" s="4" t="s">
        <v>6528</v>
      </c>
      <c r="C2453" s="4" t="s">
        <v>24</v>
      </c>
      <c r="D2453" s="4" t="s">
        <v>2659</v>
      </c>
      <c r="E2453" s="4" t="s">
        <v>3855</v>
      </c>
      <c r="F2453" s="4" t="s">
        <v>28</v>
      </c>
      <c r="G2453" s="4" t="s">
        <v>2276</v>
      </c>
      <c r="H2453" s="4" t="s">
        <v>523</v>
      </c>
      <c r="I2453" s="4"/>
      <c r="J2453" s="4" t="s">
        <v>2276</v>
      </c>
      <c r="K2453" s="4" t="s">
        <v>2276</v>
      </c>
      <c r="L2453" s="4" t="s">
        <v>2276</v>
      </c>
      <c r="M2453" s="4" t="s">
        <v>2276</v>
      </c>
      <c r="N2453" s="4" t="s">
        <v>2276</v>
      </c>
      <c r="O2453" s="4" t="s">
        <v>2276</v>
      </c>
      <c r="P2453" s="4" t="s">
        <v>2276</v>
      </c>
      <c r="Q2453" s="4" t="s">
        <v>2276</v>
      </c>
      <c r="R2453" s="4" t="s">
        <v>2276</v>
      </c>
      <c r="S2453" s="4" t="s">
        <v>2276</v>
      </c>
      <c r="T2453" s="4" t="s">
        <v>2276</v>
      </c>
      <c r="U2453" s="4" t="s">
        <v>2276</v>
      </c>
      <c r="V2453" s="4" t="s">
        <v>2276</v>
      </c>
      <c r="W2453" s="4" t="s">
        <v>2276</v>
      </c>
      <c r="X2453" s="4" t="s">
        <v>2276</v>
      </c>
      <c r="Y2453" s="4" t="s">
        <v>2276</v>
      </c>
      <c r="Z2453" s="4" t="s">
        <v>2276</v>
      </c>
      <c r="AA2453" s="4" t="s">
        <v>2276</v>
      </c>
      <c r="AB2453" s="4" t="s">
        <v>64</v>
      </c>
      <c r="AC2453" s="4" t="s">
        <v>6456</v>
      </c>
      <c r="AD2453" s="4"/>
    </row>
    <row r="2454" spans="1:30" ht="29">
      <c r="A2454" s="4" t="s">
        <v>6350</v>
      </c>
      <c r="B2454" s="4" t="s">
        <v>8405</v>
      </c>
      <c r="C2454" s="4" t="s">
        <v>24</v>
      </c>
      <c r="D2454" s="4" t="s">
        <v>2659</v>
      </c>
      <c r="E2454" s="4" t="s">
        <v>3854</v>
      </c>
      <c r="F2454" s="4" t="s">
        <v>28</v>
      </c>
      <c r="G2454" s="4" t="s">
        <v>2276</v>
      </c>
      <c r="H2454" s="4" t="s">
        <v>524</v>
      </c>
      <c r="I2454" s="4"/>
      <c r="J2454" s="75">
        <v>0</v>
      </c>
      <c r="K2454" s="75">
        <v>0</v>
      </c>
      <c r="L2454" s="75">
        <v>0</v>
      </c>
      <c r="M2454" s="75">
        <v>0</v>
      </c>
      <c r="N2454" s="75">
        <v>0</v>
      </c>
      <c r="O2454" s="75">
        <v>0</v>
      </c>
      <c r="P2454" s="75">
        <v>0</v>
      </c>
      <c r="Q2454" s="75">
        <v>0</v>
      </c>
      <c r="R2454" s="75">
        <v>0</v>
      </c>
      <c r="S2454" s="75">
        <v>0</v>
      </c>
      <c r="T2454" s="75">
        <v>0</v>
      </c>
      <c r="U2454" s="75">
        <v>0</v>
      </c>
      <c r="V2454" s="75">
        <v>0</v>
      </c>
      <c r="W2454" s="75">
        <v>0</v>
      </c>
      <c r="X2454" s="75">
        <v>0</v>
      </c>
      <c r="Y2454" s="4" t="s">
        <v>2276</v>
      </c>
      <c r="Z2454" s="4" t="s">
        <v>2276</v>
      </c>
      <c r="AA2454" s="4" t="s">
        <v>2276</v>
      </c>
      <c r="AB2454" s="4" t="s">
        <v>2276</v>
      </c>
      <c r="AC2454" s="4" t="s">
        <v>6455</v>
      </c>
      <c r="AD2454" s="4" t="s">
        <v>8407</v>
      </c>
    </row>
    <row r="2455" spans="1:30" ht="29">
      <c r="A2455" s="4" t="s">
        <v>6350</v>
      </c>
      <c r="B2455" s="4" t="s">
        <v>8406</v>
      </c>
      <c r="C2455" s="4" t="s">
        <v>24</v>
      </c>
      <c r="D2455" s="4" t="s">
        <v>2659</v>
      </c>
      <c r="E2455" s="4" t="s">
        <v>3854</v>
      </c>
      <c r="F2455" s="4" t="s">
        <v>28</v>
      </c>
      <c r="G2455" s="4" t="s">
        <v>2276</v>
      </c>
      <c r="H2455" s="4" t="s">
        <v>524</v>
      </c>
      <c r="I2455" s="4"/>
      <c r="J2455" s="75">
        <v>0</v>
      </c>
      <c r="K2455" s="75">
        <v>0</v>
      </c>
      <c r="L2455" s="75">
        <v>0</v>
      </c>
      <c r="M2455" s="75">
        <v>0</v>
      </c>
      <c r="N2455" s="75">
        <v>0</v>
      </c>
      <c r="O2455" s="75">
        <v>0</v>
      </c>
      <c r="P2455" s="75">
        <v>0</v>
      </c>
      <c r="Q2455" s="75">
        <v>0</v>
      </c>
      <c r="R2455" s="75">
        <v>0</v>
      </c>
      <c r="S2455" s="75">
        <v>0</v>
      </c>
      <c r="T2455" s="75">
        <v>0</v>
      </c>
      <c r="U2455" s="75">
        <v>0</v>
      </c>
      <c r="V2455" s="75">
        <v>0</v>
      </c>
      <c r="W2455" s="75">
        <v>0</v>
      </c>
      <c r="X2455" s="75">
        <v>0</v>
      </c>
      <c r="Y2455" s="4" t="s">
        <v>2276</v>
      </c>
      <c r="Z2455" s="4" t="s">
        <v>2276</v>
      </c>
      <c r="AA2455" s="4" t="s">
        <v>2276</v>
      </c>
      <c r="AB2455" s="4" t="s">
        <v>2276</v>
      </c>
      <c r="AC2455" s="4" t="s">
        <v>6456</v>
      </c>
      <c r="AD2455" s="4" t="s">
        <v>8407</v>
      </c>
    </row>
    <row r="2456" spans="1:30" ht="32.5" customHeight="1">
      <c r="A2456" s="4" t="s">
        <v>5439</v>
      </c>
      <c r="B2456" s="4" t="s">
        <v>6529</v>
      </c>
      <c r="C2456" s="58"/>
      <c r="D2456" s="58"/>
      <c r="E2456" s="58"/>
      <c r="F2456" s="58"/>
      <c r="G2456" s="58"/>
      <c r="H2456" s="58"/>
      <c r="I2456" s="58"/>
      <c r="J2456" s="228"/>
      <c r="K2456" s="228"/>
      <c r="L2456" s="228"/>
      <c r="M2456" s="228"/>
      <c r="N2456" s="228"/>
      <c r="O2456" s="228"/>
      <c r="P2456" s="228"/>
      <c r="Q2456" s="228"/>
      <c r="R2456" s="228"/>
      <c r="S2456" s="228"/>
      <c r="T2456" s="228"/>
      <c r="U2456" s="228"/>
      <c r="V2456" s="228"/>
      <c r="W2456" s="228"/>
      <c r="X2456" s="228"/>
      <c r="Y2456" s="228"/>
      <c r="Z2456" s="58"/>
      <c r="AA2456" s="58"/>
      <c r="AB2456" s="58"/>
      <c r="AC2456" s="58"/>
      <c r="AD2456" s="58"/>
    </row>
    <row r="2457" spans="1:30" ht="42.5" customHeight="1">
      <c r="A2457" s="4" t="s">
        <v>6351</v>
      </c>
      <c r="B2457" s="4" t="s">
        <v>6530</v>
      </c>
      <c r="C2457" s="4" t="s">
        <v>24</v>
      </c>
      <c r="D2457" s="4" t="s">
        <v>2659</v>
      </c>
      <c r="E2457" s="4" t="s">
        <v>397</v>
      </c>
      <c r="F2457" s="4" t="s">
        <v>28</v>
      </c>
      <c r="G2457" s="4" t="s">
        <v>2276</v>
      </c>
      <c r="H2457" s="4" t="s">
        <v>523</v>
      </c>
      <c r="I2457" s="4"/>
      <c r="J2457" s="4" t="s">
        <v>2276</v>
      </c>
      <c r="K2457" s="4" t="s">
        <v>2276</v>
      </c>
      <c r="L2457" s="4" t="s">
        <v>2276</v>
      </c>
      <c r="M2457" s="4" t="s">
        <v>2276</v>
      </c>
      <c r="N2457" s="4" t="s">
        <v>2276</v>
      </c>
      <c r="O2457" s="4" t="s">
        <v>2276</v>
      </c>
      <c r="P2457" s="4" t="s">
        <v>2276</v>
      </c>
      <c r="Q2457" s="4" t="s">
        <v>2276</v>
      </c>
      <c r="R2457" s="4" t="s">
        <v>2276</v>
      </c>
      <c r="S2457" s="4" t="s">
        <v>2276</v>
      </c>
      <c r="T2457" s="4" t="s">
        <v>2276</v>
      </c>
      <c r="U2457" s="4" t="s">
        <v>2276</v>
      </c>
      <c r="V2457" s="4" t="s">
        <v>2276</v>
      </c>
      <c r="W2457" s="4" t="s">
        <v>2276</v>
      </c>
      <c r="X2457" s="4" t="s">
        <v>2276</v>
      </c>
      <c r="Y2457" s="4" t="s">
        <v>2276</v>
      </c>
      <c r="Z2457" s="4" t="s">
        <v>34</v>
      </c>
      <c r="AA2457" s="4" t="s">
        <v>404</v>
      </c>
      <c r="AB2457" s="4" t="s">
        <v>64</v>
      </c>
      <c r="AC2457" s="4" t="s">
        <v>6457</v>
      </c>
      <c r="AD2457" s="4"/>
    </row>
    <row r="2458" spans="1:30" ht="51" customHeight="1">
      <c r="A2458" s="4" t="s">
        <v>6352</v>
      </c>
      <c r="B2458" s="4" t="s">
        <v>6531</v>
      </c>
      <c r="C2458" s="4" t="s">
        <v>24</v>
      </c>
      <c r="D2458" s="4" t="s">
        <v>2659</v>
      </c>
      <c r="E2458" s="4" t="s">
        <v>396</v>
      </c>
      <c r="F2458" s="4" t="s">
        <v>28</v>
      </c>
      <c r="G2458" s="4" t="s">
        <v>2276</v>
      </c>
      <c r="H2458" s="4" t="s">
        <v>523</v>
      </c>
      <c r="I2458" s="4">
        <v>2014</v>
      </c>
      <c r="J2458" s="4" t="s">
        <v>2276</v>
      </c>
      <c r="K2458" s="4" t="s">
        <v>2276</v>
      </c>
      <c r="L2458" s="4" t="s">
        <v>2276</v>
      </c>
      <c r="M2458" s="4" t="s">
        <v>2276</v>
      </c>
      <c r="N2458" s="4" t="s">
        <v>2276</v>
      </c>
      <c r="O2458" s="4" t="s">
        <v>2276</v>
      </c>
      <c r="P2458" s="4" t="s">
        <v>2276</v>
      </c>
      <c r="Q2458" s="4" t="s">
        <v>2276</v>
      </c>
      <c r="R2458" s="4" t="s">
        <v>2276</v>
      </c>
      <c r="S2458" s="4" t="s">
        <v>2276</v>
      </c>
      <c r="T2458" s="4" t="s">
        <v>2276</v>
      </c>
      <c r="U2458" s="4" t="s">
        <v>2276</v>
      </c>
      <c r="V2458" s="4" t="s">
        <v>2276</v>
      </c>
      <c r="W2458" s="4" t="s">
        <v>2276</v>
      </c>
      <c r="X2458" s="4" t="s">
        <v>2276</v>
      </c>
      <c r="Y2458" s="75">
        <v>1</v>
      </c>
      <c r="Z2458" s="4" t="s">
        <v>399</v>
      </c>
      <c r="AA2458" s="4" t="s">
        <v>34</v>
      </c>
      <c r="AB2458" s="4" t="s">
        <v>2276</v>
      </c>
      <c r="AC2458" s="4" t="s">
        <v>6458</v>
      </c>
      <c r="AD2458" s="4"/>
    </row>
    <row r="2459" spans="1:30" ht="31" customHeight="1">
      <c r="A2459" s="4" t="s">
        <v>6401</v>
      </c>
      <c r="B2459" s="4" t="s">
        <v>6544</v>
      </c>
      <c r="C2459" s="4" t="s">
        <v>24</v>
      </c>
      <c r="D2459" s="4" t="s">
        <v>1242</v>
      </c>
      <c r="E2459" s="4" t="s">
        <v>137</v>
      </c>
      <c r="F2459" s="4" t="s">
        <v>74</v>
      </c>
      <c r="G2459" s="4" t="s">
        <v>74</v>
      </c>
      <c r="H2459" s="4" t="s">
        <v>523</v>
      </c>
      <c r="I2459" s="4"/>
      <c r="J2459" s="221" t="s">
        <v>2276</v>
      </c>
      <c r="K2459" s="221" t="s">
        <v>2276</v>
      </c>
      <c r="L2459" s="221" t="s">
        <v>2276</v>
      </c>
      <c r="M2459" s="221" t="s">
        <v>2276</v>
      </c>
      <c r="N2459" s="221" t="s">
        <v>2276</v>
      </c>
      <c r="O2459" s="221" t="s">
        <v>2276</v>
      </c>
      <c r="P2459" s="221" t="s">
        <v>2276</v>
      </c>
      <c r="Q2459" s="221" t="s">
        <v>2276</v>
      </c>
      <c r="R2459" s="221" t="s">
        <v>2276</v>
      </c>
      <c r="S2459" s="221" t="s">
        <v>2276</v>
      </c>
      <c r="T2459" s="75">
        <v>312500</v>
      </c>
      <c r="U2459" s="221" t="s">
        <v>2276</v>
      </c>
      <c r="V2459" s="75">
        <v>12.5</v>
      </c>
      <c r="W2459" s="221" t="s">
        <v>2276</v>
      </c>
      <c r="X2459" s="75">
        <v>12.5</v>
      </c>
      <c r="Y2459" s="4" t="s">
        <v>2276</v>
      </c>
      <c r="Z2459" s="4" t="s">
        <v>127</v>
      </c>
      <c r="AA2459" s="4" t="s">
        <v>38</v>
      </c>
      <c r="AB2459" s="4" t="s">
        <v>2276</v>
      </c>
      <c r="AC2459" s="4"/>
      <c r="AD2459" s="4" t="s">
        <v>6535</v>
      </c>
    </row>
    <row r="2460" spans="1:30" ht="31" customHeight="1">
      <c r="A2460" s="4" t="s">
        <v>6401</v>
      </c>
      <c r="B2460" s="4" t="s">
        <v>6545</v>
      </c>
      <c r="C2460" s="4" t="s">
        <v>2657</v>
      </c>
      <c r="D2460" s="4" t="s">
        <v>2276</v>
      </c>
      <c r="E2460" s="4" t="s">
        <v>2276</v>
      </c>
      <c r="F2460" s="4" t="s">
        <v>2276</v>
      </c>
      <c r="G2460" s="4" t="s">
        <v>2276</v>
      </c>
      <c r="H2460" s="4" t="s">
        <v>523</v>
      </c>
      <c r="I2460" s="4"/>
      <c r="J2460" s="221" t="s">
        <v>2276</v>
      </c>
      <c r="K2460" s="221" t="s">
        <v>2276</v>
      </c>
      <c r="L2460" s="221" t="s">
        <v>2276</v>
      </c>
      <c r="M2460" s="221" t="s">
        <v>2276</v>
      </c>
      <c r="N2460" s="221" t="s">
        <v>2276</v>
      </c>
      <c r="O2460" s="221" t="s">
        <v>2276</v>
      </c>
      <c r="P2460" s="221" t="s">
        <v>2276</v>
      </c>
      <c r="Q2460" s="221" t="s">
        <v>2276</v>
      </c>
      <c r="R2460" s="221" t="s">
        <v>2276</v>
      </c>
      <c r="S2460" s="221" t="s">
        <v>2276</v>
      </c>
      <c r="T2460" s="75">
        <v>7140</v>
      </c>
      <c r="U2460" s="221" t="s">
        <v>2276</v>
      </c>
      <c r="V2460" s="75">
        <v>0.3</v>
      </c>
      <c r="W2460" s="221" t="s">
        <v>2276</v>
      </c>
      <c r="X2460" s="75">
        <v>0.3</v>
      </c>
      <c r="Y2460" s="4" t="s">
        <v>2276</v>
      </c>
      <c r="Z2460" s="4" t="s">
        <v>127</v>
      </c>
      <c r="AA2460" s="4" t="s">
        <v>38</v>
      </c>
      <c r="AB2460" s="4" t="s">
        <v>2276</v>
      </c>
      <c r="AC2460" s="4"/>
      <c r="AD2460" s="4" t="s">
        <v>6536</v>
      </c>
    </row>
    <row r="2461" spans="1:30" ht="31" customHeight="1">
      <c r="A2461" s="4" t="s">
        <v>6402</v>
      </c>
      <c r="B2461" s="4" t="s">
        <v>6546</v>
      </c>
      <c r="C2461" s="4" t="s">
        <v>24</v>
      </c>
      <c r="D2461" s="4" t="s">
        <v>1242</v>
      </c>
      <c r="E2461" s="4" t="s">
        <v>137</v>
      </c>
      <c r="F2461" s="4" t="s">
        <v>74</v>
      </c>
      <c r="G2461" s="4" t="s">
        <v>74</v>
      </c>
      <c r="H2461" s="4" t="s">
        <v>523</v>
      </c>
      <c r="I2461" s="4"/>
      <c r="J2461" s="221" t="s">
        <v>2276</v>
      </c>
      <c r="K2461" s="221" t="s">
        <v>2276</v>
      </c>
      <c r="L2461" s="221" t="s">
        <v>2276</v>
      </c>
      <c r="M2461" s="221" t="s">
        <v>2276</v>
      </c>
      <c r="N2461" s="221" t="s">
        <v>2276</v>
      </c>
      <c r="O2461" s="221" t="s">
        <v>2276</v>
      </c>
      <c r="P2461" s="221" t="s">
        <v>2276</v>
      </c>
      <c r="Q2461" s="221" t="s">
        <v>2276</v>
      </c>
      <c r="R2461" s="221" t="s">
        <v>2276</v>
      </c>
      <c r="S2461" s="75">
        <v>200000</v>
      </c>
      <c r="T2461" s="75">
        <v>165000</v>
      </c>
      <c r="U2461" s="75">
        <v>8</v>
      </c>
      <c r="V2461" s="75">
        <v>6.6</v>
      </c>
      <c r="W2461" s="75">
        <v>8</v>
      </c>
      <c r="X2461" s="75">
        <v>6.6</v>
      </c>
      <c r="Y2461" s="4" t="s">
        <v>2276</v>
      </c>
      <c r="Z2461" s="4" t="s">
        <v>127</v>
      </c>
      <c r="AA2461" s="4" t="s">
        <v>38</v>
      </c>
      <c r="AB2461" s="4" t="s">
        <v>2276</v>
      </c>
      <c r="AC2461" s="4"/>
      <c r="AD2461" s="4" t="s">
        <v>7861</v>
      </c>
    </row>
    <row r="2462" spans="1:30" ht="31" customHeight="1">
      <c r="A2462" s="4" t="s">
        <v>6402</v>
      </c>
      <c r="B2462" s="4" t="s">
        <v>6547</v>
      </c>
      <c r="C2462" s="4" t="s">
        <v>2657</v>
      </c>
      <c r="D2462" s="4" t="s">
        <v>2276</v>
      </c>
      <c r="E2462" s="4" t="s">
        <v>2276</v>
      </c>
      <c r="F2462" s="4" t="s">
        <v>2276</v>
      </c>
      <c r="G2462" s="4" t="s">
        <v>2276</v>
      </c>
      <c r="H2462" s="4" t="s">
        <v>523</v>
      </c>
      <c r="I2462" s="4"/>
      <c r="J2462" s="221" t="s">
        <v>2276</v>
      </c>
      <c r="K2462" s="221" t="s">
        <v>2276</v>
      </c>
      <c r="L2462" s="221" t="s">
        <v>2276</v>
      </c>
      <c r="M2462" s="221" t="s">
        <v>2276</v>
      </c>
      <c r="N2462" s="221" t="s">
        <v>2276</v>
      </c>
      <c r="O2462" s="221" t="s">
        <v>2276</v>
      </c>
      <c r="P2462" s="221" t="s">
        <v>2276</v>
      </c>
      <c r="Q2462" s="221" t="s">
        <v>2276</v>
      </c>
      <c r="R2462" s="221" t="s">
        <v>2276</v>
      </c>
      <c r="S2462" s="221" t="s">
        <v>2276</v>
      </c>
      <c r="T2462" s="221" t="s">
        <v>2276</v>
      </c>
      <c r="U2462" s="221" t="s">
        <v>2276</v>
      </c>
      <c r="V2462" s="221" t="s">
        <v>2276</v>
      </c>
      <c r="W2462" s="221" t="s">
        <v>2276</v>
      </c>
      <c r="X2462" s="221" t="s">
        <v>2276</v>
      </c>
      <c r="Y2462" s="221" t="s">
        <v>2276</v>
      </c>
      <c r="Z2462" s="4" t="s">
        <v>127</v>
      </c>
      <c r="AA2462" s="4" t="s">
        <v>38</v>
      </c>
      <c r="AB2462" s="4" t="s">
        <v>2276</v>
      </c>
      <c r="AC2462" s="4"/>
      <c r="AD2462" s="4" t="s">
        <v>6537</v>
      </c>
    </row>
    <row r="2463" spans="1:30" ht="31" customHeight="1">
      <c r="A2463" s="4" t="s">
        <v>6403</v>
      </c>
      <c r="B2463" s="4" t="s">
        <v>6548</v>
      </c>
      <c r="C2463" s="4" t="s">
        <v>24</v>
      </c>
      <c r="D2463" s="4" t="s">
        <v>2276</v>
      </c>
      <c r="E2463" s="4" t="s">
        <v>2653</v>
      </c>
      <c r="F2463" s="4" t="s">
        <v>2276</v>
      </c>
      <c r="G2463" s="4" t="s">
        <v>2276</v>
      </c>
      <c r="H2463" s="4" t="s">
        <v>523</v>
      </c>
      <c r="I2463" s="4"/>
      <c r="J2463" s="75">
        <f>0.44/10</f>
        <v>4.3999999999999997E-2</v>
      </c>
      <c r="K2463" s="21" t="s">
        <v>2276</v>
      </c>
      <c r="L2463" s="221" t="s">
        <v>2276</v>
      </c>
      <c r="M2463" s="221" t="s">
        <v>2276</v>
      </c>
      <c r="N2463" s="221" t="s">
        <v>2276</v>
      </c>
      <c r="O2463" s="221" t="s">
        <v>2276</v>
      </c>
      <c r="P2463" s="75">
        <f>((X2463/100)*'Record info'!K1033)/(0.043*'Record info'!K1033)</f>
        <v>3.7209302325581402E-2</v>
      </c>
      <c r="Q2463" s="221" t="s">
        <v>2276</v>
      </c>
      <c r="R2463" s="221" t="s">
        <v>2276</v>
      </c>
      <c r="S2463" s="221" t="s">
        <v>2276</v>
      </c>
      <c r="T2463" s="221" t="s">
        <v>2276</v>
      </c>
      <c r="U2463" s="221" t="s">
        <v>2276</v>
      </c>
      <c r="V2463" s="221" t="s">
        <v>2276</v>
      </c>
      <c r="W2463" s="221" t="s">
        <v>2276</v>
      </c>
      <c r="X2463" s="75">
        <f>1.6/10</f>
        <v>0.16</v>
      </c>
      <c r="Y2463" s="221" t="s">
        <v>2276</v>
      </c>
      <c r="Z2463" s="4" t="s">
        <v>2276</v>
      </c>
      <c r="AA2463" s="4" t="s">
        <v>2276</v>
      </c>
      <c r="AB2463" s="4" t="s">
        <v>2276</v>
      </c>
      <c r="AC2463" s="4"/>
      <c r="AD2463" s="4"/>
    </row>
    <row r="2464" spans="1:30" ht="31" customHeight="1">
      <c r="A2464" s="4" t="s">
        <v>6403</v>
      </c>
      <c r="B2464" s="4" t="s">
        <v>6549</v>
      </c>
      <c r="C2464" s="4" t="s">
        <v>2656</v>
      </c>
      <c r="D2464" s="4" t="s">
        <v>2276</v>
      </c>
      <c r="E2464" s="4" t="s">
        <v>2276</v>
      </c>
      <c r="F2464" s="4" t="s">
        <v>2276</v>
      </c>
      <c r="G2464" s="4" t="s">
        <v>2276</v>
      </c>
      <c r="H2464" s="4" t="s">
        <v>523</v>
      </c>
      <c r="I2464" s="4"/>
      <c r="J2464" s="221">
        <f>J2463*(1-0.992)</f>
        <v>3.5200000000000032E-4</v>
      </c>
      <c r="K2464" s="21" t="s">
        <v>2276</v>
      </c>
      <c r="L2464" s="221" t="s">
        <v>2276</v>
      </c>
      <c r="M2464" s="221" t="s">
        <v>2276</v>
      </c>
      <c r="N2464" s="221" t="s">
        <v>2276</v>
      </c>
      <c r="O2464" s="221" t="s">
        <v>2276</v>
      </c>
      <c r="P2464" s="221" t="s">
        <v>2276</v>
      </c>
      <c r="Q2464" s="221" t="s">
        <v>2276</v>
      </c>
      <c r="R2464" s="221" t="s">
        <v>2276</v>
      </c>
      <c r="S2464" s="221" t="s">
        <v>2276</v>
      </c>
      <c r="T2464" s="221" t="s">
        <v>2276</v>
      </c>
      <c r="U2464" s="221" t="s">
        <v>2276</v>
      </c>
      <c r="V2464" s="221" t="s">
        <v>2276</v>
      </c>
      <c r="W2464" s="221" t="s">
        <v>2276</v>
      </c>
      <c r="X2464" s="221" t="s">
        <v>2276</v>
      </c>
      <c r="Y2464" s="221" t="s">
        <v>2276</v>
      </c>
      <c r="Z2464" s="4" t="s">
        <v>2276</v>
      </c>
      <c r="AA2464" s="4" t="s">
        <v>2276</v>
      </c>
      <c r="AB2464" s="4" t="s">
        <v>2276</v>
      </c>
      <c r="AC2464" s="4"/>
      <c r="AD2464" s="4" t="s">
        <v>6538</v>
      </c>
    </row>
    <row r="2465" spans="1:30" ht="31" customHeight="1">
      <c r="A2465" s="4" t="s">
        <v>6404</v>
      </c>
      <c r="B2465" s="4" t="s">
        <v>6550</v>
      </c>
      <c r="C2465" s="4" t="s">
        <v>24</v>
      </c>
      <c r="D2465" s="4" t="s">
        <v>2276</v>
      </c>
      <c r="E2465" s="4" t="s">
        <v>2653</v>
      </c>
      <c r="F2465" s="4" t="s">
        <v>2276</v>
      </c>
      <c r="G2465" s="4" t="s">
        <v>2276</v>
      </c>
      <c r="H2465" s="4" t="s">
        <v>523</v>
      </c>
      <c r="I2465" s="4"/>
      <c r="J2465" s="75">
        <v>0.04</v>
      </c>
      <c r="K2465" s="21" t="s">
        <v>2276</v>
      </c>
      <c r="L2465" s="221" t="s">
        <v>2276</v>
      </c>
      <c r="M2465" s="221" t="s">
        <v>2276</v>
      </c>
      <c r="N2465" s="221" t="s">
        <v>2276</v>
      </c>
      <c r="O2465" s="221" t="s">
        <v>2276</v>
      </c>
      <c r="P2465" s="221" t="s">
        <v>2276</v>
      </c>
      <c r="Q2465" s="221" t="s">
        <v>2276</v>
      </c>
      <c r="R2465" s="221" t="s">
        <v>2276</v>
      </c>
      <c r="S2465" s="221" t="s">
        <v>2276</v>
      </c>
      <c r="T2465" s="221" t="s">
        <v>2276</v>
      </c>
      <c r="U2465" s="221" t="s">
        <v>2276</v>
      </c>
      <c r="V2465" s="221" t="s">
        <v>2276</v>
      </c>
      <c r="W2465" s="221" t="s">
        <v>2276</v>
      </c>
      <c r="X2465" s="221" t="s">
        <v>2276</v>
      </c>
      <c r="Y2465" s="221" t="s">
        <v>2276</v>
      </c>
      <c r="Z2465" s="4" t="s">
        <v>2276</v>
      </c>
      <c r="AA2465" s="4" t="s">
        <v>2276</v>
      </c>
      <c r="AB2465" s="4" t="s">
        <v>2276</v>
      </c>
      <c r="AC2465" s="4"/>
      <c r="AD2465" s="4"/>
    </row>
    <row r="2466" spans="1:30" ht="31" customHeight="1">
      <c r="A2466" s="4" t="s">
        <v>6404</v>
      </c>
      <c r="B2466" s="4" t="s">
        <v>6551</v>
      </c>
      <c r="C2466" s="4" t="s">
        <v>2656</v>
      </c>
      <c r="D2466" s="4" t="s">
        <v>2276</v>
      </c>
      <c r="E2466" s="4" t="s">
        <v>2276</v>
      </c>
      <c r="F2466" s="4" t="s">
        <v>2276</v>
      </c>
      <c r="G2466" s="4" t="s">
        <v>2276</v>
      </c>
      <c r="H2466" s="4" t="s">
        <v>523</v>
      </c>
      <c r="I2466" s="4"/>
      <c r="J2466" s="221" t="s">
        <v>2276</v>
      </c>
      <c r="K2466" s="21" t="s">
        <v>2276</v>
      </c>
      <c r="L2466" s="221" t="s">
        <v>2276</v>
      </c>
      <c r="M2466" s="221" t="s">
        <v>2276</v>
      </c>
      <c r="N2466" s="221" t="s">
        <v>2276</v>
      </c>
      <c r="O2466" s="221" t="s">
        <v>2276</v>
      </c>
      <c r="P2466" s="221" t="s">
        <v>2276</v>
      </c>
      <c r="Q2466" s="221" t="s">
        <v>2276</v>
      </c>
      <c r="R2466" s="221" t="s">
        <v>2276</v>
      </c>
      <c r="S2466" s="221" t="s">
        <v>2276</v>
      </c>
      <c r="T2466" s="221" t="s">
        <v>2276</v>
      </c>
      <c r="U2466" s="221" t="s">
        <v>2276</v>
      </c>
      <c r="V2466" s="221" t="s">
        <v>2276</v>
      </c>
      <c r="W2466" s="221" t="s">
        <v>2276</v>
      </c>
      <c r="X2466" s="221" t="s">
        <v>2276</v>
      </c>
      <c r="Y2466" s="221" t="s">
        <v>2276</v>
      </c>
      <c r="Z2466" s="4" t="s">
        <v>2276</v>
      </c>
      <c r="AA2466" s="4" t="s">
        <v>2276</v>
      </c>
      <c r="AB2466" s="4" t="s">
        <v>2276</v>
      </c>
      <c r="AC2466" s="4"/>
      <c r="AD2466" s="4" t="s">
        <v>6539</v>
      </c>
    </row>
    <row r="2467" spans="1:30" ht="31" customHeight="1">
      <c r="A2467" s="4" t="s">
        <v>6408</v>
      </c>
      <c r="B2467" s="4" t="s">
        <v>6552</v>
      </c>
      <c r="C2467" s="4" t="s">
        <v>2658</v>
      </c>
      <c r="D2467" s="4" t="s">
        <v>2276</v>
      </c>
      <c r="E2467" s="4" t="s">
        <v>2649</v>
      </c>
      <c r="F2467" s="4" t="s">
        <v>74</v>
      </c>
      <c r="G2467" s="4" t="s">
        <v>74</v>
      </c>
      <c r="H2467" s="4" t="s">
        <v>523</v>
      </c>
      <c r="I2467" s="4"/>
      <c r="J2467" s="75">
        <f>0.662878787878788/28</f>
        <v>2.3674242424242428E-2</v>
      </c>
      <c r="K2467" s="21" t="s">
        <v>2276</v>
      </c>
      <c r="L2467" s="221" t="s">
        <v>2276</v>
      </c>
      <c r="M2467" s="221" t="s">
        <v>2276</v>
      </c>
      <c r="N2467" s="221" t="s">
        <v>2276</v>
      </c>
      <c r="O2467" s="221" t="s">
        <v>2276</v>
      </c>
      <c r="P2467" s="221" t="s">
        <v>2276</v>
      </c>
      <c r="Q2467" s="221" t="s">
        <v>2276</v>
      </c>
      <c r="R2467" s="221" t="s">
        <v>2276</v>
      </c>
      <c r="S2467" s="221" t="s">
        <v>2276</v>
      </c>
      <c r="T2467" s="221" t="s">
        <v>2276</v>
      </c>
      <c r="U2467" s="221" t="s">
        <v>2276</v>
      </c>
      <c r="V2467" s="221" t="s">
        <v>2276</v>
      </c>
      <c r="W2467" s="221" t="s">
        <v>2276</v>
      </c>
      <c r="X2467" s="221" t="s">
        <v>2276</v>
      </c>
      <c r="Y2467" s="75">
        <v>32</v>
      </c>
      <c r="Z2467" s="4" t="s">
        <v>2276</v>
      </c>
      <c r="AA2467" s="4" t="s">
        <v>2276</v>
      </c>
      <c r="AB2467" s="4" t="s">
        <v>2276</v>
      </c>
      <c r="AC2467" s="4"/>
      <c r="AD2467" s="4"/>
    </row>
    <row r="2468" spans="1:30" ht="31" customHeight="1">
      <c r="A2468" s="4" t="s">
        <v>6408</v>
      </c>
      <c r="B2468" s="4" t="s">
        <v>6553</v>
      </c>
      <c r="C2468" s="4" t="s">
        <v>24</v>
      </c>
      <c r="D2468" s="4" t="s">
        <v>1242</v>
      </c>
      <c r="E2468" s="4" t="s">
        <v>2649</v>
      </c>
      <c r="F2468" s="4" t="s">
        <v>74</v>
      </c>
      <c r="G2468" s="4" t="s">
        <v>74</v>
      </c>
      <c r="H2468" s="4" t="s">
        <v>523</v>
      </c>
      <c r="I2468" s="4"/>
      <c r="J2468" s="21" t="s">
        <v>2276</v>
      </c>
      <c r="K2468" s="21" t="s">
        <v>2276</v>
      </c>
      <c r="L2468" s="221" t="s">
        <v>2276</v>
      </c>
      <c r="M2468" s="221" t="s">
        <v>2276</v>
      </c>
      <c r="N2468" s="221" t="s">
        <v>2276</v>
      </c>
      <c r="O2468" s="221" t="s">
        <v>2276</v>
      </c>
      <c r="P2468" s="221" t="s">
        <v>2276</v>
      </c>
      <c r="Q2468" s="221" t="s">
        <v>2276</v>
      </c>
      <c r="R2468" s="221" t="s">
        <v>2276</v>
      </c>
      <c r="S2468" s="221" t="s">
        <v>2276</v>
      </c>
      <c r="T2468" s="221" t="s">
        <v>2276</v>
      </c>
      <c r="U2468" s="221" t="s">
        <v>2276</v>
      </c>
      <c r="V2468" s="221" t="s">
        <v>2276</v>
      </c>
      <c r="W2468" s="221" t="s">
        <v>2276</v>
      </c>
      <c r="X2468" s="221" t="s">
        <v>2276</v>
      </c>
      <c r="Y2468" s="221" t="s">
        <v>2276</v>
      </c>
      <c r="Z2468" s="4" t="s">
        <v>2276</v>
      </c>
      <c r="AA2468" s="4" t="s">
        <v>2276</v>
      </c>
      <c r="AB2468" s="4" t="s">
        <v>2276</v>
      </c>
      <c r="AC2468" s="4"/>
      <c r="AD2468" s="4"/>
    </row>
    <row r="2469" spans="1:30" ht="31" customHeight="1">
      <c r="A2469" s="4" t="s">
        <v>6409</v>
      </c>
      <c r="B2469" s="4" t="s">
        <v>6554</v>
      </c>
      <c r="C2469" s="4" t="s">
        <v>2658</v>
      </c>
      <c r="D2469" s="4" t="s">
        <v>2276</v>
      </c>
      <c r="E2469" s="4" t="s">
        <v>2649</v>
      </c>
      <c r="F2469" s="4" t="s">
        <v>74</v>
      </c>
      <c r="G2469" s="4" t="s">
        <v>74</v>
      </c>
      <c r="H2469" s="4" t="s">
        <v>523</v>
      </c>
      <c r="I2469" s="4"/>
      <c r="J2469" s="75">
        <f>0.15609756097561/28</f>
        <v>5.5749128919860714E-3</v>
      </c>
      <c r="K2469" s="21" t="s">
        <v>2276</v>
      </c>
      <c r="L2469" s="221" t="s">
        <v>2276</v>
      </c>
      <c r="M2469" s="221" t="s">
        <v>2276</v>
      </c>
      <c r="N2469" s="221" t="s">
        <v>2276</v>
      </c>
      <c r="O2469" s="221" t="s">
        <v>2276</v>
      </c>
      <c r="P2469" s="221" t="s">
        <v>2276</v>
      </c>
      <c r="Q2469" s="221" t="s">
        <v>2276</v>
      </c>
      <c r="R2469" s="221" t="s">
        <v>2276</v>
      </c>
      <c r="S2469" s="221" t="s">
        <v>2276</v>
      </c>
      <c r="T2469" s="221" t="s">
        <v>2276</v>
      </c>
      <c r="U2469" s="221" t="s">
        <v>2276</v>
      </c>
      <c r="V2469" s="221" t="s">
        <v>2276</v>
      </c>
      <c r="W2469" s="221" t="s">
        <v>2276</v>
      </c>
      <c r="X2469" s="221" t="s">
        <v>2276</v>
      </c>
      <c r="Y2469" s="75">
        <v>14</v>
      </c>
      <c r="Z2469" s="4" t="s">
        <v>2276</v>
      </c>
      <c r="AA2469" s="4" t="s">
        <v>2276</v>
      </c>
      <c r="AB2469" s="4" t="s">
        <v>2276</v>
      </c>
      <c r="AC2469" s="4"/>
      <c r="AD2469" s="4"/>
    </row>
    <row r="2470" spans="1:30" ht="31" customHeight="1">
      <c r="A2470" s="4" t="s">
        <v>6409</v>
      </c>
      <c r="B2470" s="4" t="s">
        <v>6555</v>
      </c>
      <c r="C2470" s="4" t="s">
        <v>24</v>
      </c>
      <c r="D2470" s="4" t="s">
        <v>1242</v>
      </c>
      <c r="E2470" s="4" t="s">
        <v>2649</v>
      </c>
      <c r="F2470" s="4" t="s">
        <v>74</v>
      </c>
      <c r="G2470" s="4" t="s">
        <v>74</v>
      </c>
      <c r="H2470" s="4" t="s">
        <v>523</v>
      </c>
      <c r="I2470" s="4"/>
      <c r="J2470" s="21" t="s">
        <v>2276</v>
      </c>
      <c r="K2470" s="21" t="s">
        <v>2276</v>
      </c>
      <c r="L2470" s="221" t="s">
        <v>2276</v>
      </c>
      <c r="M2470" s="221" t="s">
        <v>2276</v>
      </c>
      <c r="N2470" s="221" t="s">
        <v>2276</v>
      </c>
      <c r="O2470" s="221" t="s">
        <v>2276</v>
      </c>
      <c r="P2470" s="221" t="s">
        <v>2276</v>
      </c>
      <c r="Q2470" s="221" t="s">
        <v>2276</v>
      </c>
      <c r="R2470" s="221" t="s">
        <v>2276</v>
      </c>
      <c r="S2470" s="221" t="s">
        <v>2276</v>
      </c>
      <c r="T2470" s="221" t="s">
        <v>2276</v>
      </c>
      <c r="U2470" s="221" t="s">
        <v>2276</v>
      </c>
      <c r="V2470" s="221" t="s">
        <v>2276</v>
      </c>
      <c r="W2470" s="221" t="s">
        <v>2276</v>
      </c>
      <c r="X2470" s="221" t="s">
        <v>2276</v>
      </c>
      <c r="Y2470" s="221" t="s">
        <v>2276</v>
      </c>
      <c r="Z2470" s="4" t="s">
        <v>2276</v>
      </c>
      <c r="AA2470" s="4" t="s">
        <v>2276</v>
      </c>
      <c r="AB2470" s="4" t="s">
        <v>2276</v>
      </c>
      <c r="AC2470" s="4"/>
      <c r="AD2470" s="4"/>
    </row>
    <row r="2471" spans="1:30" ht="31" customHeight="1">
      <c r="A2471" s="4" t="s">
        <v>6410</v>
      </c>
      <c r="B2471" s="4" t="s">
        <v>6556</v>
      </c>
      <c r="C2471" s="4" t="s">
        <v>2658</v>
      </c>
      <c r="D2471" s="4" t="s">
        <v>2276</v>
      </c>
      <c r="E2471" s="4" t="s">
        <v>2649</v>
      </c>
      <c r="F2471" s="4" t="s">
        <v>74</v>
      </c>
      <c r="G2471" s="4" t="s">
        <v>74</v>
      </c>
      <c r="H2471" s="4" t="s">
        <v>523</v>
      </c>
      <c r="I2471" s="4"/>
      <c r="J2471" s="75">
        <f>0.829508196721311/28</f>
        <v>2.9625292740046823E-2</v>
      </c>
      <c r="K2471" s="21" t="s">
        <v>2276</v>
      </c>
      <c r="L2471" s="221" t="s">
        <v>2276</v>
      </c>
      <c r="M2471" s="221" t="s">
        <v>2276</v>
      </c>
      <c r="N2471" s="221" t="s">
        <v>2276</v>
      </c>
      <c r="O2471" s="221" t="s">
        <v>2276</v>
      </c>
      <c r="P2471" s="221" t="s">
        <v>2276</v>
      </c>
      <c r="Q2471" s="221" t="s">
        <v>2276</v>
      </c>
      <c r="R2471" s="221" t="s">
        <v>2276</v>
      </c>
      <c r="S2471" s="221" t="s">
        <v>2276</v>
      </c>
      <c r="T2471" s="221" t="s">
        <v>2276</v>
      </c>
      <c r="U2471" s="221" t="s">
        <v>2276</v>
      </c>
      <c r="V2471" s="221" t="s">
        <v>2276</v>
      </c>
      <c r="W2471" s="221" t="s">
        <v>2276</v>
      </c>
      <c r="X2471" s="221" t="s">
        <v>2276</v>
      </c>
      <c r="Y2471" s="75">
        <v>35</v>
      </c>
      <c r="Z2471" s="4" t="s">
        <v>2276</v>
      </c>
      <c r="AA2471" s="4" t="s">
        <v>2276</v>
      </c>
      <c r="AB2471" s="4" t="s">
        <v>2276</v>
      </c>
      <c r="AC2471" s="4"/>
      <c r="AD2471" s="4"/>
    </row>
    <row r="2472" spans="1:30" ht="31" customHeight="1">
      <c r="A2472" s="4" t="s">
        <v>6410</v>
      </c>
      <c r="B2472" s="4" t="s">
        <v>6557</v>
      </c>
      <c r="C2472" s="4" t="s">
        <v>24</v>
      </c>
      <c r="D2472" s="4" t="s">
        <v>1242</v>
      </c>
      <c r="E2472" s="4" t="s">
        <v>2649</v>
      </c>
      <c r="F2472" s="4" t="s">
        <v>74</v>
      </c>
      <c r="G2472" s="4" t="s">
        <v>74</v>
      </c>
      <c r="H2472" s="4" t="s">
        <v>523</v>
      </c>
      <c r="I2472" s="4"/>
      <c r="J2472" s="21" t="s">
        <v>2276</v>
      </c>
      <c r="K2472" s="21" t="s">
        <v>2276</v>
      </c>
      <c r="L2472" s="221" t="s">
        <v>2276</v>
      </c>
      <c r="M2472" s="221" t="s">
        <v>2276</v>
      </c>
      <c r="N2472" s="221" t="s">
        <v>2276</v>
      </c>
      <c r="O2472" s="221" t="s">
        <v>2276</v>
      </c>
      <c r="P2472" s="221" t="s">
        <v>2276</v>
      </c>
      <c r="Q2472" s="221" t="s">
        <v>2276</v>
      </c>
      <c r="R2472" s="221" t="s">
        <v>2276</v>
      </c>
      <c r="S2472" s="221" t="s">
        <v>2276</v>
      </c>
      <c r="T2472" s="221" t="s">
        <v>2276</v>
      </c>
      <c r="U2472" s="221" t="s">
        <v>2276</v>
      </c>
      <c r="V2472" s="221" t="s">
        <v>2276</v>
      </c>
      <c r="W2472" s="221" t="s">
        <v>2276</v>
      </c>
      <c r="X2472" s="221" t="s">
        <v>2276</v>
      </c>
      <c r="Y2472" s="221" t="s">
        <v>2276</v>
      </c>
      <c r="Z2472" s="4" t="s">
        <v>2276</v>
      </c>
      <c r="AA2472" s="4" t="s">
        <v>2276</v>
      </c>
      <c r="AB2472" s="4" t="s">
        <v>2276</v>
      </c>
      <c r="AC2472" s="4"/>
      <c r="AD2472" s="4"/>
    </row>
    <row r="2473" spans="1:30" ht="31" customHeight="1">
      <c r="A2473" s="4" t="s">
        <v>6411</v>
      </c>
      <c r="B2473" s="4" t="s">
        <v>6558</v>
      </c>
      <c r="C2473" s="4" t="s">
        <v>2658</v>
      </c>
      <c r="D2473" s="4" t="s">
        <v>2276</v>
      </c>
      <c r="E2473" s="4" t="s">
        <v>2649</v>
      </c>
      <c r="F2473" s="4" t="s">
        <v>74</v>
      </c>
      <c r="G2473" s="4" t="s">
        <v>74</v>
      </c>
      <c r="H2473" s="4" t="s">
        <v>523</v>
      </c>
      <c r="I2473" s="4"/>
      <c r="J2473" s="75">
        <f>0.559241706161137/28</f>
        <v>1.9972918077183464E-2</v>
      </c>
      <c r="K2473" s="21" t="s">
        <v>2276</v>
      </c>
      <c r="L2473" s="221" t="s">
        <v>2276</v>
      </c>
      <c r="M2473" s="221" t="s">
        <v>2276</v>
      </c>
      <c r="N2473" s="221" t="s">
        <v>2276</v>
      </c>
      <c r="O2473" s="221" t="s">
        <v>2276</v>
      </c>
      <c r="P2473" s="221" t="s">
        <v>2276</v>
      </c>
      <c r="Q2473" s="221" t="s">
        <v>2276</v>
      </c>
      <c r="R2473" s="221" t="s">
        <v>2276</v>
      </c>
      <c r="S2473" s="221" t="s">
        <v>2276</v>
      </c>
      <c r="T2473" s="221" t="s">
        <v>2276</v>
      </c>
      <c r="U2473" s="221" t="s">
        <v>2276</v>
      </c>
      <c r="V2473" s="221" t="s">
        <v>2276</v>
      </c>
      <c r="W2473" s="221" t="s">
        <v>2276</v>
      </c>
      <c r="X2473" s="221" t="s">
        <v>2276</v>
      </c>
      <c r="Y2473" s="75">
        <v>30</v>
      </c>
      <c r="Z2473" s="4" t="s">
        <v>2276</v>
      </c>
      <c r="AA2473" s="4" t="s">
        <v>2276</v>
      </c>
      <c r="AB2473" s="4" t="s">
        <v>2276</v>
      </c>
      <c r="AC2473" s="4"/>
      <c r="AD2473" s="4"/>
    </row>
    <row r="2474" spans="1:30" ht="31" customHeight="1">
      <c r="A2474" s="4" t="s">
        <v>6411</v>
      </c>
      <c r="B2474" s="4" t="s">
        <v>6559</v>
      </c>
      <c r="C2474" s="4" t="s">
        <v>24</v>
      </c>
      <c r="D2474" s="4" t="s">
        <v>1242</v>
      </c>
      <c r="E2474" s="4" t="s">
        <v>2649</v>
      </c>
      <c r="F2474" s="4" t="s">
        <v>74</v>
      </c>
      <c r="G2474" s="4" t="s">
        <v>74</v>
      </c>
      <c r="H2474" s="4" t="s">
        <v>523</v>
      </c>
      <c r="I2474" s="4"/>
      <c r="J2474" s="21" t="s">
        <v>2276</v>
      </c>
      <c r="K2474" s="21" t="s">
        <v>2276</v>
      </c>
      <c r="L2474" s="21" t="s">
        <v>2276</v>
      </c>
      <c r="M2474" s="21" t="s">
        <v>2276</v>
      </c>
      <c r="N2474" s="21" t="s">
        <v>2276</v>
      </c>
      <c r="O2474" s="21" t="s">
        <v>2276</v>
      </c>
      <c r="P2474" s="21" t="s">
        <v>2276</v>
      </c>
      <c r="Q2474" s="21" t="s">
        <v>2276</v>
      </c>
      <c r="R2474" s="21" t="s">
        <v>2276</v>
      </c>
      <c r="S2474" s="21" t="s">
        <v>2276</v>
      </c>
      <c r="T2474" s="21" t="s">
        <v>2276</v>
      </c>
      <c r="U2474" s="21" t="s">
        <v>2276</v>
      </c>
      <c r="V2474" s="21" t="s">
        <v>2276</v>
      </c>
      <c r="W2474" s="21" t="s">
        <v>2276</v>
      </c>
      <c r="X2474" s="21" t="s">
        <v>2276</v>
      </c>
      <c r="Y2474" s="21" t="s">
        <v>2276</v>
      </c>
      <c r="Z2474" s="4" t="s">
        <v>2276</v>
      </c>
      <c r="AA2474" s="4" t="s">
        <v>2276</v>
      </c>
      <c r="AB2474" s="4" t="s">
        <v>2276</v>
      </c>
      <c r="AC2474" s="4"/>
      <c r="AD2474" s="4"/>
    </row>
    <row r="2475" spans="1:30" ht="31" customHeight="1">
      <c r="A2475" s="4" t="s">
        <v>6412</v>
      </c>
      <c r="B2475" s="4" t="s">
        <v>6560</v>
      </c>
      <c r="C2475" s="4" t="s">
        <v>24</v>
      </c>
      <c r="D2475" s="4" t="s">
        <v>2659</v>
      </c>
      <c r="E2475" s="4" t="s">
        <v>2649</v>
      </c>
      <c r="F2475" s="4" t="s">
        <v>74</v>
      </c>
      <c r="G2475" s="4" t="s">
        <v>74</v>
      </c>
      <c r="H2475" s="4" t="s">
        <v>523</v>
      </c>
      <c r="I2475" s="4"/>
      <c r="J2475" s="21" t="s">
        <v>2276</v>
      </c>
      <c r="K2475" s="21" t="s">
        <v>2276</v>
      </c>
      <c r="L2475" s="21" t="s">
        <v>2276</v>
      </c>
      <c r="M2475" s="21" t="s">
        <v>2276</v>
      </c>
      <c r="N2475" s="21" t="s">
        <v>2276</v>
      </c>
      <c r="O2475" s="21" t="s">
        <v>2276</v>
      </c>
      <c r="P2475" s="21" t="s">
        <v>2276</v>
      </c>
      <c r="Q2475" s="21" t="s">
        <v>2276</v>
      </c>
      <c r="R2475" s="21" t="s">
        <v>2276</v>
      </c>
      <c r="S2475" s="21" t="s">
        <v>2276</v>
      </c>
      <c r="T2475" s="21" t="s">
        <v>2276</v>
      </c>
      <c r="U2475" s="21" t="s">
        <v>2276</v>
      </c>
      <c r="V2475" s="21" t="s">
        <v>2276</v>
      </c>
      <c r="W2475" s="21" t="s">
        <v>2276</v>
      </c>
      <c r="X2475" s="21" t="s">
        <v>2276</v>
      </c>
      <c r="Y2475" s="21" t="s">
        <v>2276</v>
      </c>
      <c r="Z2475" s="4" t="s">
        <v>2276</v>
      </c>
      <c r="AA2475" s="4" t="s">
        <v>2276</v>
      </c>
      <c r="AB2475" s="4" t="s">
        <v>2276</v>
      </c>
      <c r="AC2475" s="4"/>
      <c r="AD2475" s="4"/>
    </row>
    <row r="2476" spans="1:30" ht="31" customHeight="1">
      <c r="A2476" s="4" t="s">
        <v>6413</v>
      </c>
      <c r="B2476" s="4" t="s">
        <v>6561</v>
      </c>
      <c r="C2476" s="4" t="s">
        <v>24</v>
      </c>
      <c r="D2476" s="4" t="s">
        <v>2659</v>
      </c>
      <c r="E2476" s="4" t="s">
        <v>2649</v>
      </c>
      <c r="F2476" s="4" t="s">
        <v>74</v>
      </c>
      <c r="G2476" s="4" t="s">
        <v>74</v>
      </c>
      <c r="H2476" s="4" t="s">
        <v>523</v>
      </c>
      <c r="I2476" s="4"/>
      <c r="J2476" s="21" t="s">
        <v>2276</v>
      </c>
      <c r="K2476" s="21" t="s">
        <v>2276</v>
      </c>
      <c r="L2476" s="21" t="s">
        <v>2276</v>
      </c>
      <c r="M2476" s="21" t="s">
        <v>2276</v>
      </c>
      <c r="N2476" s="21" t="s">
        <v>2276</v>
      </c>
      <c r="O2476" s="21" t="s">
        <v>2276</v>
      </c>
      <c r="P2476" s="21" t="s">
        <v>2276</v>
      </c>
      <c r="Q2476" s="21" t="s">
        <v>2276</v>
      </c>
      <c r="R2476" s="21" t="s">
        <v>2276</v>
      </c>
      <c r="S2476" s="21" t="s">
        <v>2276</v>
      </c>
      <c r="T2476" s="21" t="s">
        <v>2276</v>
      </c>
      <c r="U2476" s="21" t="s">
        <v>2276</v>
      </c>
      <c r="V2476" s="21" t="s">
        <v>2276</v>
      </c>
      <c r="W2476" s="21" t="s">
        <v>2276</v>
      </c>
      <c r="X2476" s="21" t="s">
        <v>2276</v>
      </c>
      <c r="Y2476" s="21" t="s">
        <v>2276</v>
      </c>
      <c r="Z2476" s="4" t="s">
        <v>2276</v>
      </c>
      <c r="AA2476" s="4" t="s">
        <v>2276</v>
      </c>
      <c r="AB2476" s="4" t="s">
        <v>2276</v>
      </c>
      <c r="AC2476" s="4"/>
      <c r="AD2476" s="4"/>
    </row>
    <row r="2477" spans="1:30" ht="31" customHeight="1">
      <c r="A2477" s="4" t="s">
        <v>6414</v>
      </c>
      <c r="B2477" s="4" t="s">
        <v>6562</v>
      </c>
      <c r="C2477" s="4" t="s">
        <v>24</v>
      </c>
      <c r="D2477" s="4" t="s">
        <v>2659</v>
      </c>
      <c r="E2477" s="4" t="s">
        <v>2649</v>
      </c>
      <c r="F2477" s="4" t="s">
        <v>74</v>
      </c>
      <c r="G2477" s="4" t="s">
        <v>74</v>
      </c>
      <c r="H2477" s="4" t="s">
        <v>523</v>
      </c>
      <c r="I2477" s="4"/>
      <c r="J2477" s="21" t="s">
        <v>2276</v>
      </c>
      <c r="K2477" s="21" t="s">
        <v>2276</v>
      </c>
      <c r="L2477" s="21" t="s">
        <v>2276</v>
      </c>
      <c r="M2477" s="21" t="s">
        <v>2276</v>
      </c>
      <c r="N2477" s="21" t="s">
        <v>2276</v>
      </c>
      <c r="O2477" s="21" t="s">
        <v>2276</v>
      </c>
      <c r="P2477" s="21" t="s">
        <v>2276</v>
      </c>
      <c r="Q2477" s="21" t="s">
        <v>2276</v>
      </c>
      <c r="R2477" s="21" t="s">
        <v>2276</v>
      </c>
      <c r="S2477" s="21" t="s">
        <v>2276</v>
      </c>
      <c r="T2477" s="21" t="s">
        <v>2276</v>
      </c>
      <c r="U2477" s="21" t="s">
        <v>2276</v>
      </c>
      <c r="V2477" s="21" t="s">
        <v>2276</v>
      </c>
      <c r="W2477" s="21" t="s">
        <v>2276</v>
      </c>
      <c r="X2477" s="21" t="s">
        <v>2276</v>
      </c>
      <c r="Y2477" s="21" t="s">
        <v>2276</v>
      </c>
      <c r="Z2477" s="4" t="s">
        <v>2276</v>
      </c>
      <c r="AA2477" s="4" t="s">
        <v>2276</v>
      </c>
      <c r="AB2477" s="4" t="s">
        <v>2276</v>
      </c>
      <c r="AC2477" s="4"/>
      <c r="AD2477" s="4"/>
    </row>
    <row r="2478" spans="1:30" s="203" customFormat="1" ht="31" customHeight="1">
      <c r="A2478" s="4" t="s">
        <v>6414</v>
      </c>
      <c r="B2478" s="4" t="s">
        <v>6600</v>
      </c>
      <c r="C2478" s="4" t="s">
        <v>24</v>
      </c>
      <c r="D2478" s="4" t="s">
        <v>1242</v>
      </c>
      <c r="E2478" s="4" t="s">
        <v>2649</v>
      </c>
      <c r="F2478" s="4" t="s">
        <v>74</v>
      </c>
      <c r="G2478" s="4" t="s">
        <v>74</v>
      </c>
      <c r="H2478" s="4" t="s">
        <v>523</v>
      </c>
      <c r="I2478" s="4"/>
      <c r="J2478" s="21" t="s">
        <v>2276</v>
      </c>
      <c r="K2478" s="21" t="s">
        <v>2276</v>
      </c>
      <c r="L2478" s="21" t="s">
        <v>2276</v>
      </c>
      <c r="M2478" s="21" t="s">
        <v>2276</v>
      </c>
      <c r="N2478" s="21" t="s">
        <v>2276</v>
      </c>
      <c r="O2478" s="21" t="s">
        <v>2276</v>
      </c>
      <c r="P2478" s="21" t="s">
        <v>2276</v>
      </c>
      <c r="Q2478" s="21" t="s">
        <v>2276</v>
      </c>
      <c r="R2478" s="21" t="s">
        <v>2276</v>
      </c>
      <c r="S2478" s="21" t="s">
        <v>2276</v>
      </c>
      <c r="T2478" s="21" t="s">
        <v>2276</v>
      </c>
      <c r="U2478" s="21" t="s">
        <v>2276</v>
      </c>
      <c r="V2478" s="21" t="s">
        <v>2276</v>
      </c>
      <c r="W2478" s="21" t="s">
        <v>2276</v>
      </c>
      <c r="X2478" s="21" t="s">
        <v>2276</v>
      </c>
      <c r="Y2478" s="21" t="s">
        <v>2276</v>
      </c>
      <c r="Z2478" s="21" t="s">
        <v>2276</v>
      </c>
      <c r="AA2478" s="21" t="s">
        <v>2276</v>
      </c>
      <c r="AB2478" s="21" t="s">
        <v>2276</v>
      </c>
      <c r="AC2478" s="4"/>
      <c r="AD2478" s="4"/>
    </row>
    <row r="2479" spans="1:30" ht="31" customHeight="1">
      <c r="A2479" s="4" t="s">
        <v>6415</v>
      </c>
      <c r="B2479" s="4" t="s">
        <v>6563</v>
      </c>
      <c r="C2479" s="4" t="s">
        <v>24</v>
      </c>
      <c r="D2479" s="4" t="s">
        <v>2659</v>
      </c>
      <c r="E2479" s="4" t="s">
        <v>2649</v>
      </c>
      <c r="F2479" s="4" t="s">
        <v>74</v>
      </c>
      <c r="G2479" s="4" t="s">
        <v>74</v>
      </c>
      <c r="H2479" s="4" t="s">
        <v>523</v>
      </c>
      <c r="I2479" s="4"/>
      <c r="J2479" s="21" t="s">
        <v>2276</v>
      </c>
      <c r="K2479" s="21" t="s">
        <v>2276</v>
      </c>
      <c r="L2479" s="21" t="s">
        <v>2276</v>
      </c>
      <c r="M2479" s="21" t="s">
        <v>2276</v>
      </c>
      <c r="N2479" s="21" t="s">
        <v>2276</v>
      </c>
      <c r="O2479" s="21" t="s">
        <v>2276</v>
      </c>
      <c r="P2479" s="21" t="s">
        <v>2276</v>
      </c>
      <c r="Q2479" s="21" t="s">
        <v>2276</v>
      </c>
      <c r="R2479" s="21" t="s">
        <v>2276</v>
      </c>
      <c r="S2479" s="21" t="s">
        <v>2276</v>
      </c>
      <c r="T2479" s="21" t="s">
        <v>2276</v>
      </c>
      <c r="U2479" s="21" t="s">
        <v>2276</v>
      </c>
      <c r="V2479" s="21" t="s">
        <v>2276</v>
      </c>
      <c r="W2479" s="21" t="s">
        <v>2276</v>
      </c>
      <c r="X2479" s="21" t="s">
        <v>2276</v>
      </c>
      <c r="Y2479" s="21" t="s">
        <v>2276</v>
      </c>
      <c r="Z2479" s="21" t="s">
        <v>2276</v>
      </c>
      <c r="AA2479" s="21" t="s">
        <v>2276</v>
      </c>
      <c r="AB2479" s="21" t="s">
        <v>2276</v>
      </c>
      <c r="AC2479" s="4"/>
      <c r="AD2479" s="4"/>
    </row>
    <row r="2480" spans="1:30" s="203" customFormat="1" ht="31" customHeight="1">
      <c r="A2480" s="4" t="s">
        <v>6415</v>
      </c>
      <c r="B2480" s="4" t="s">
        <v>6603</v>
      </c>
      <c r="C2480" s="4" t="s">
        <v>24</v>
      </c>
      <c r="D2480" s="4" t="s">
        <v>1242</v>
      </c>
      <c r="E2480" s="4" t="s">
        <v>2649</v>
      </c>
      <c r="F2480" s="4" t="s">
        <v>74</v>
      </c>
      <c r="G2480" s="4" t="s">
        <v>74</v>
      </c>
      <c r="H2480" s="4" t="s">
        <v>523</v>
      </c>
      <c r="I2480" s="4"/>
      <c r="J2480" s="21" t="s">
        <v>2276</v>
      </c>
      <c r="K2480" s="21" t="s">
        <v>2276</v>
      </c>
      <c r="L2480" s="21" t="s">
        <v>2276</v>
      </c>
      <c r="M2480" s="21" t="s">
        <v>2276</v>
      </c>
      <c r="N2480" s="21" t="s">
        <v>2276</v>
      </c>
      <c r="O2480" s="21" t="s">
        <v>2276</v>
      </c>
      <c r="P2480" s="21" t="s">
        <v>2276</v>
      </c>
      <c r="Q2480" s="21" t="s">
        <v>2276</v>
      </c>
      <c r="R2480" s="21" t="s">
        <v>2276</v>
      </c>
      <c r="S2480" s="21" t="s">
        <v>2276</v>
      </c>
      <c r="T2480" s="21" t="s">
        <v>2276</v>
      </c>
      <c r="U2480" s="21" t="s">
        <v>2276</v>
      </c>
      <c r="V2480" s="21" t="s">
        <v>2276</v>
      </c>
      <c r="W2480" s="21" t="s">
        <v>2276</v>
      </c>
      <c r="X2480" s="21" t="s">
        <v>2276</v>
      </c>
      <c r="Y2480" s="21" t="s">
        <v>2276</v>
      </c>
      <c r="Z2480" s="21" t="s">
        <v>2276</v>
      </c>
      <c r="AA2480" s="21" t="s">
        <v>2276</v>
      </c>
      <c r="AB2480" s="21" t="s">
        <v>2276</v>
      </c>
      <c r="AC2480" s="4"/>
      <c r="AD2480" s="4"/>
    </row>
    <row r="2481" spans="1:30" ht="31" customHeight="1">
      <c r="A2481" s="4" t="s">
        <v>6416</v>
      </c>
      <c r="B2481" s="4" t="s">
        <v>6564</v>
      </c>
      <c r="C2481" s="4" t="s">
        <v>24</v>
      </c>
      <c r="D2481" s="4" t="s">
        <v>2659</v>
      </c>
      <c r="E2481" s="4" t="s">
        <v>2649</v>
      </c>
      <c r="F2481" s="4" t="s">
        <v>74</v>
      </c>
      <c r="G2481" s="4" t="s">
        <v>74</v>
      </c>
      <c r="H2481" s="4" t="s">
        <v>523</v>
      </c>
      <c r="I2481" s="4"/>
      <c r="J2481" s="21" t="s">
        <v>2276</v>
      </c>
      <c r="K2481" s="21" t="s">
        <v>2276</v>
      </c>
      <c r="L2481" s="21" t="s">
        <v>2276</v>
      </c>
      <c r="M2481" s="21" t="s">
        <v>2276</v>
      </c>
      <c r="N2481" s="21" t="s">
        <v>2276</v>
      </c>
      <c r="O2481" s="21" t="s">
        <v>2276</v>
      </c>
      <c r="P2481" s="21" t="s">
        <v>2276</v>
      </c>
      <c r="Q2481" s="21" t="s">
        <v>2276</v>
      </c>
      <c r="R2481" s="21" t="s">
        <v>2276</v>
      </c>
      <c r="S2481" s="21" t="s">
        <v>2276</v>
      </c>
      <c r="T2481" s="21" t="s">
        <v>2276</v>
      </c>
      <c r="U2481" s="21" t="s">
        <v>2276</v>
      </c>
      <c r="V2481" s="21" t="s">
        <v>2276</v>
      </c>
      <c r="W2481" s="21" t="s">
        <v>2276</v>
      </c>
      <c r="X2481" s="21" t="s">
        <v>2276</v>
      </c>
      <c r="Y2481" s="21" t="s">
        <v>2276</v>
      </c>
      <c r="Z2481" s="21" t="s">
        <v>2276</v>
      </c>
      <c r="AA2481" s="21" t="s">
        <v>2276</v>
      </c>
      <c r="AB2481" s="21" t="s">
        <v>2276</v>
      </c>
      <c r="AC2481" s="4"/>
      <c r="AD2481" s="4"/>
    </row>
    <row r="2482" spans="1:30" ht="31" customHeight="1">
      <c r="A2482" s="4" t="s">
        <v>6417</v>
      </c>
      <c r="B2482" s="4" t="s">
        <v>6565</v>
      </c>
      <c r="C2482" s="4" t="s">
        <v>24</v>
      </c>
      <c r="D2482" s="4" t="s">
        <v>2659</v>
      </c>
      <c r="E2482" s="4" t="s">
        <v>2649</v>
      </c>
      <c r="F2482" s="4" t="s">
        <v>74</v>
      </c>
      <c r="G2482" s="4" t="s">
        <v>74</v>
      </c>
      <c r="H2482" s="4" t="s">
        <v>523</v>
      </c>
      <c r="I2482" s="4"/>
      <c r="J2482" s="21" t="s">
        <v>2276</v>
      </c>
      <c r="K2482" s="21" t="s">
        <v>2276</v>
      </c>
      <c r="L2482" s="21" t="s">
        <v>2276</v>
      </c>
      <c r="M2482" s="21" t="s">
        <v>2276</v>
      </c>
      <c r="N2482" s="21" t="s">
        <v>2276</v>
      </c>
      <c r="O2482" s="21" t="s">
        <v>2276</v>
      </c>
      <c r="P2482" s="21" t="s">
        <v>2276</v>
      </c>
      <c r="Q2482" s="21" t="s">
        <v>2276</v>
      </c>
      <c r="R2482" s="21" t="s">
        <v>2276</v>
      </c>
      <c r="S2482" s="21" t="s">
        <v>2276</v>
      </c>
      <c r="T2482" s="21" t="s">
        <v>2276</v>
      </c>
      <c r="U2482" s="21" t="s">
        <v>2276</v>
      </c>
      <c r="V2482" s="21" t="s">
        <v>2276</v>
      </c>
      <c r="W2482" s="21" t="s">
        <v>2276</v>
      </c>
      <c r="X2482" s="21" t="s">
        <v>2276</v>
      </c>
      <c r="Y2482" s="21" t="s">
        <v>2276</v>
      </c>
      <c r="Z2482" s="21" t="s">
        <v>2276</v>
      </c>
      <c r="AA2482" s="21" t="s">
        <v>2276</v>
      </c>
      <c r="AB2482" s="21" t="s">
        <v>2276</v>
      </c>
      <c r="AC2482" s="4"/>
      <c r="AD2482" s="4"/>
    </row>
    <row r="2483" spans="1:30" ht="31" customHeight="1">
      <c r="A2483" s="4" t="s">
        <v>6566</v>
      </c>
      <c r="B2483" s="4" t="s">
        <v>6567</v>
      </c>
      <c r="C2483" s="4" t="s">
        <v>24</v>
      </c>
      <c r="D2483" s="4" t="s">
        <v>2659</v>
      </c>
      <c r="E2483" s="4" t="s">
        <v>2649</v>
      </c>
      <c r="F2483" s="4" t="s">
        <v>74</v>
      </c>
      <c r="G2483" s="4" t="s">
        <v>74</v>
      </c>
      <c r="H2483" s="4" t="s">
        <v>523</v>
      </c>
      <c r="I2483" s="4"/>
      <c r="J2483" s="21" t="s">
        <v>2276</v>
      </c>
      <c r="K2483" s="21" t="s">
        <v>2276</v>
      </c>
      <c r="L2483" s="21" t="s">
        <v>2276</v>
      </c>
      <c r="M2483" s="21" t="s">
        <v>2276</v>
      </c>
      <c r="N2483" s="21" t="s">
        <v>2276</v>
      </c>
      <c r="O2483" s="21" t="s">
        <v>2276</v>
      </c>
      <c r="P2483" s="21" t="s">
        <v>2276</v>
      </c>
      <c r="Q2483" s="21" t="s">
        <v>2276</v>
      </c>
      <c r="R2483" s="21" t="s">
        <v>2276</v>
      </c>
      <c r="S2483" s="21" t="s">
        <v>2276</v>
      </c>
      <c r="T2483" s="21" t="s">
        <v>2276</v>
      </c>
      <c r="U2483" s="21" t="s">
        <v>2276</v>
      </c>
      <c r="V2483" s="21" t="s">
        <v>2276</v>
      </c>
      <c r="W2483" s="21" t="s">
        <v>2276</v>
      </c>
      <c r="X2483" s="21" t="s">
        <v>2276</v>
      </c>
      <c r="Y2483" s="21" t="s">
        <v>2276</v>
      </c>
      <c r="Z2483" s="21" t="s">
        <v>2276</v>
      </c>
      <c r="AA2483" s="21" t="s">
        <v>2276</v>
      </c>
      <c r="AB2483" s="21" t="s">
        <v>2276</v>
      </c>
      <c r="AC2483" s="4"/>
      <c r="AD2483" s="4"/>
    </row>
    <row r="2484" spans="1:30" s="203" customFormat="1" ht="31" customHeight="1">
      <c r="A2484" s="4" t="s">
        <v>6566</v>
      </c>
      <c r="B2484" s="4" t="s">
        <v>6608</v>
      </c>
      <c r="C2484" s="4" t="s">
        <v>24</v>
      </c>
      <c r="D2484" s="4" t="s">
        <v>1242</v>
      </c>
      <c r="E2484" s="4" t="s">
        <v>2649</v>
      </c>
      <c r="F2484" s="4" t="s">
        <v>74</v>
      </c>
      <c r="G2484" s="4" t="s">
        <v>74</v>
      </c>
      <c r="H2484" s="4" t="s">
        <v>523</v>
      </c>
      <c r="I2484" s="4"/>
      <c r="J2484" s="21" t="s">
        <v>2276</v>
      </c>
      <c r="K2484" s="21" t="s">
        <v>2276</v>
      </c>
      <c r="L2484" s="21" t="s">
        <v>2276</v>
      </c>
      <c r="M2484" s="21" t="s">
        <v>2276</v>
      </c>
      <c r="N2484" s="21" t="s">
        <v>2276</v>
      </c>
      <c r="O2484" s="21" t="s">
        <v>2276</v>
      </c>
      <c r="P2484" s="21" t="s">
        <v>2276</v>
      </c>
      <c r="Q2484" s="21" t="s">
        <v>2276</v>
      </c>
      <c r="R2484" s="21" t="s">
        <v>2276</v>
      </c>
      <c r="S2484" s="21" t="s">
        <v>2276</v>
      </c>
      <c r="T2484" s="21" t="s">
        <v>2276</v>
      </c>
      <c r="U2484" s="21" t="s">
        <v>2276</v>
      </c>
      <c r="V2484" s="21" t="s">
        <v>2276</v>
      </c>
      <c r="W2484" s="21" t="s">
        <v>2276</v>
      </c>
      <c r="X2484" s="21" t="s">
        <v>2276</v>
      </c>
      <c r="Y2484" s="21" t="s">
        <v>2276</v>
      </c>
      <c r="Z2484" s="21" t="s">
        <v>2276</v>
      </c>
      <c r="AA2484" s="21" t="s">
        <v>2276</v>
      </c>
      <c r="AB2484" s="21" t="s">
        <v>2276</v>
      </c>
      <c r="AC2484" s="4"/>
      <c r="AD2484" s="4"/>
    </row>
    <row r="2485" spans="1:30" ht="31" customHeight="1">
      <c r="A2485" s="4" t="s">
        <v>6419</v>
      </c>
      <c r="B2485" s="4" t="s">
        <v>6568</v>
      </c>
      <c r="C2485" s="4" t="s">
        <v>24</v>
      </c>
      <c r="D2485" s="4" t="s">
        <v>2659</v>
      </c>
      <c r="E2485" s="4" t="s">
        <v>2649</v>
      </c>
      <c r="F2485" s="4" t="s">
        <v>74</v>
      </c>
      <c r="G2485" s="4" t="s">
        <v>74</v>
      </c>
      <c r="H2485" s="4" t="s">
        <v>523</v>
      </c>
      <c r="I2485" s="4"/>
      <c r="J2485" s="21" t="s">
        <v>2276</v>
      </c>
      <c r="K2485" s="21" t="s">
        <v>2276</v>
      </c>
      <c r="L2485" s="21" t="s">
        <v>2276</v>
      </c>
      <c r="M2485" s="21" t="s">
        <v>2276</v>
      </c>
      <c r="N2485" s="21" t="s">
        <v>2276</v>
      </c>
      <c r="O2485" s="21" t="s">
        <v>2276</v>
      </c>
      <c r="P2485" s="21" t="s">
        <v>2276</v>
      </c>
      <c r="Q2485" s="21" t="s">
        <v>2276</v>
      </c>
      <c r="R2485" s="21" t="s">
        <v>2276</v>
      </c>
      <c r="S2485" s="21" t="s">
        <v>2276</v>
      </c>
      <c r="T2485" s="21" t="s">
        <v>2276</v>
      </c>
      <c r="U2485" s="21" t="s">
        <v>2276</v>
      </c>
      <c r="V2485" s="21" t="s">
        <v>2276</v>
      </c>
      <c r="W2485" s="21" t="s">
        <v>2276</v>
      </c>
      <c r="X2485" s="21" t="s">
        <v>2276</v>
      </c>
      <c r="Y2485" s="21" t="s">
        <v>2276</v>
      </c>
      <c r="Z2485" s="21" t="s">
        <v>2276</v>
      </c>
      <c r="AA2485" s="21" t="s">
        <v>2276</v>
      </c>
      <c r="AB2485" s="21" t="s">
        <v>2276</v>
      </c>
      <c r="AC2485" s="4"/>
      <c r="AD2485" s="4"/>
    </row>
    <row r="2486" spans="1:30" ht="31" customHeight="1">
      <c r="A2486" s="4" t="s">
        <v>6420</v>
      </c>
      <c r="B2486" s="4" t="s">
        <v>6569</v>
      </c>
      <c r="C2486" s="4" t="s">
        <v>24</v>
      </c>
      <c r="D2486" s="4" t="s">
        <v>2659</v>
      </c>
      <c r="E2486" s="4" t="s">
        <v>2649</v>
      </c>
      <c r="F2486" s="4" t="s">
        <v>74</v>
      </c>
      <c r="G2486" s="4" t="s">
        <v>74</v>
      </c>
      <c r="H2486" s="4" t="s">
        <v>523</v>
      </c>
      <c r="I2486" s="4"/>
      <c r="J2486" s="21" t="s">
        <v>2276</v>
      </c>
      <c r="K2486" s="21" t="s">
        <v>2276</v>
      </c>
      <c r="L2486" s="21" t="s">
        <v>2276</v>
      </c>
      <c r="M2486" s="21" t="s">
        <v>2276</v>
      </c>
      <c r="N2486" s="21" t="s">
        <v>2276</v>
      </c>
      <c r="O2486" s="21" t="s">
        <v>2276</v>
      </c>
      <c r="P2486" s="21" t="s">
        <v>2276</v>
      </c>
      <c r="Q2486" s="21" t="s">
        <v>2276</v>
      </c>
      <c r="R2486" s="21" t="s">
        <v>2276</v>
      </c>
      <c r="S2486" s="21" t="s">
        <v>2276</v>
      </c>
      <c r="T2486" s="21" t="s">
        <v>2276</v>
      </c>
      <c r="U2486" s="21" t="s">
        <v>2276</v>
      </c>
      <c r="V2486" s="21" t="s">
        <v>2276</v>
      </c>
      <c r="W2486" s="21" t="s">
        <v>2276</v>
      </c>
      <c r="X2486" s="21" t="s">
        <v>2276</v>
      </c>
      <c r="Y2486" s="21" t="s">
        <v>2276</v>
      </c>
      <c r="Z2486" s="21" t="s">
        <v>2276</v>
      </c>
      <c r="AA2486" s="21" t="s">
        <v>2276</v>
      </c>
      <c r="AB2486" s="21" t="s">
        <v>2276</v>
      </c>
      <c r="AC2486" s="4"/>
      <c r="AD2486" s="4"/>
    </row>
    <row r="2487" spans="1:30" ht="31" customHeight="1">
      <c r="A2487" s="4" t="s">
        <v>6421</v>
      </c>
      <c r="B2487" s="4" t="s">
        <v>6570</v>
      </c>
      <c r="C2487" s="4" t="s">
        <v>24</v>
      </c>
      <c r="D2487" s="4" t="s">
        <v>2659</v>
      </c>
      <c r="E2487" s="4" t="s">
        <v>2649</v>
      </c>
      <c r="F2487" s="4" t="s">
        <v>74</v>
      </c>
      <c r="G2487" s="4" t="s">
        <v>74</v>
      </c>
      <c r="H2487" s="4" t="s">
        <v>523</v>
      </c>
      <c r="I2487" s="4"/>
      <c r="J2487" s="21" t="s">
        <v>2276</v>
      </c>
      <c r="K2487" s="21" t="s">
        <v>2276</v>
      </c>
      <c r="L2487" s="21" t="s">
        <v>2276</v>
      </c>
      <c r="M2487" s="21" t="s">
        <v>2276</v>
      </c>
      <c r="N2487" s="21" t="s">
        <v>2276</v>
      </c>
      <c r="O2487" s="21" t="s">
        <v>2276</v>
      </c>
      <c r="P2487" s="21" t="s">
        <v>2276</v>
      </c>
      <c r="Q2487" s="21" t="s">
        <v>2276</v>
      </c>
      <c r="R2487" s="21" t="s">
        <v>2276</v>
      </c>
      <c r="S2487" s="21" t="s">
        <v>2276</v>
      </c>
      <c r="T2487" s="21" t="s">
        <v>2276</v>
      </c>
      <c r="U2487" s="21" t="s">
        <v>2276</v>
      </c>
      <c r="V2487" s="21" t="s">
        <v>2276</v>
      </c>
      <c r="W2487" s="21" t="s">
        <v>2276</v>
      </c>
      <c r="X2487" s="21" t="s">
        <v>2276</v>
      </c>
      <c r="Y2487" s="21" t="s">
        <v>2276</v>
      </c>
      <c r="Z2487" s="21" t="s">
        <v>2276</v>
      </c>
      <c r="AA2487" s="21" t="s">
        <v>2276</v>
      </c>
      <c r="AB2487" s="21" t="s">
        <v>2276</v>
      </c>
      <c r="AC2487" s="4"/>
      <c r="AD2487" s="4"/>
    </row>
    <row r="2488" spans="1:30" s="203" customFormat="1" ht="31" customHeight="1">
      <c r="A2488" s="4" t="s">
        <v>6421</v>
      </c>
      <c r="B2488" s="4" t="s">
        <v>6612</v>
      </c>
      <c r="C2488" s="4" t="s">
        <v>24</v>
      </c>
      <c r="D2488" s="4" t="s">
        <v>1242</v>
      </c>
      <c r="E2488" s="4" t="s">
        <v>2649</v>
      </c>
      <c r="F2488" s="4" t="s">
        <v>74</v>
      </c>
      <c r="G2488" s="4" t="s">
        <v>74</v>
      </c>
      <c r="H2488" s="4" t="s">
        <v>523</v>
      </c>
      <c r="I2488" s="4"/>
      <c r="J2488" s="21" t="s">
        <v>2276</v>
      </c>
      <c r="K2488" s="21" t="s">
        <v>2276</v>
      </c>
      <c r="L2488" s="21" t="s">
        <v>2276</v>
      </c>
      <c r="M2488" s="21" t="s">
        <v>2276</v>
      </c>
      <c r="N2488" s="21" t="s">
        <v>2276</v>
      </c>
      <c r="O2488" s="21" t="s">
        <v>2276</v>
      </c>
      <c r="P2488" s="21" t="s">
        <v>2276</v>
      </c>
      <c r="Q2488" s="21" t="s">
        <v>2276</v>
      </c>
      <c r="R2488" s="21" t="s">
        <v>2276</v>
      </c>
      <c r="S2488" s="21" t="s">
        <v>2276</v>
      </c>
      <c r="T2488" s="21" t="s">
        <v>2276</v>
      </c>
      <c r="U2488" s="21" t="s">
        <v>2276</v>
      </c>
      <c r="V2488" s="21" t="s">
        <v>2276</v>
      </c>
      <c r="W2488" s="21" t="s">
        <v>2276</v>
      </c>
      <c r="X2488" s="21" t="s">
        <v>2276</v>
      </c>
      <c r="Y2488" s="21" t="s">
        <v>2276</v>
      </c>
      <c r="Z2488" s="21" t="s">
        <v>2276</v>
      </c>
      <c r="AA2488" s="21" t="s">
        <v>2276</v>
      </c>
      <c r="AB2488" s="21" t="s">
        <v>2276</v>
      </c>
      <c r="AC2488" s="4"/>
      <c r="AD2488" s="4"/>
    </row>
    <row r="2489" spans="1:30" ht="31" customHeight="1">
      <c r="A2489" s="4" t="s">
        <v>6422</v>
      </c>
      <c r="B2489" s="4" t="s">
        <v>6571</v>
      </c>
      <c r="C2489" s="4" t="s">
        <v>24</v>
      </c>
      <c r="D2489" s="4" t="s">
        <v>2659</v>
      </c>
      <c r="E2489" s="4" t="s">
        <v>2649</v>
      </c>
      <c r="F2489" s="4" t="s">
        <v>74</v>
      </c>
      <c r="G2489" s="4" t="s">
        <v>74</v>
      </c>
      <c r="H2489" s="4" t="s">
        <v>523</v>
      </c>
      <c r="I2489" s="4"/>
      <c r="J2489" s="21" t="s">
        <v>2276</v>
      </c>
      <c r="K2489" s="21" t="s">
        <v>2276</v>
      </c>
      <c r="L2489" s="21" t="s">
        <v>2276</v>
      </c>
      <c r="M2489" s="21" t="s">
        <v>2276</v>
      </c>
      <c r="N2489" s="21" t="s">
        <v>2276</v>
      </c>
      <c r="O2489" s="21" t="s">
        <v>2276</v>
      </c>
      <c r="P2489" s="21" t="s">
        <v>2276</v>
      </c>
      <c r="Q2489" s="21" t="s">
        <v>2276</v>
      </c>
      <c r="R2489" s="21" t="s">
        <v>2276</v>
      </c>
      <c r="S2489" s="21" t="s">
        <v>2276</v>
      </c>
      <c r="T2489" s="21" t="s">
        <v>2276</v>
      </c>
      <c r="U2489" s="21" t="s">
        <v>2276</v>
      </c>
      <c r="V2489" s="21" t="s">
        <v>2276</v>
      </c>
      <c r="W2489" s="21" t="s">
        <v>2276</v>
      </c>
      <c r="X2489" s="21" t="s">
        <v>2276</v>
      </c>
      <c r="Y2489" s="21" t="s">
        <v>2276</v>
      </c>
      <c r="Z2489" s="21" t="s">
        <v>2276</v>
      </c>
      <c r="AA2489" s="21" t="s">
        <v>2276</v>
      </c>
      <c r="AB2489" s="21" t="s">
        <v>2276</v>
      </c>
      <c r="AC2489" s="4"/>
      <c r="AD2489" s="4"/>
    </row>
    <row r="2490" spans="1:30" s="203" customFormat="1" ht="31" customHeight="1">
      <c r="A2490" s="4" t="s">
        <v>6422</v>
      </c>
      <c r="B2490" s="4" t="s">
        <v>6614</v>
      </c>
      <c r="C2490" s="4" t="s">
        <v>24</v>
      </c>
      <c r="D2490" s="4" t="s">
        <v>1242</v>
      </c>
      <c r="E2490" s="4" t="s">
        <v>2649</v>
      </c>
      <c r="F2490" s="4" t="s">
        <v>74</v>
      </c>
      <c r="G2490" s="4" t="s">
        <v>74</v>
      </c>
      <c r="H2490" s="4" t="s">
        <v>523</v>
      </c>
      <c r="I2490" s="4"/>
      <c r="J2490" s="21" t="s">
        <v>2276</v>
      </c>
      <c r="K2490" s="21" t="s">
        <v>2276</v>
      </c>
      <c r="L2490" s="21" t="s">
        <v>2276</v>
      </c>
      <c r="M2490" s="21" t="s">
        <v>2276</v>
      </c>
      <c r="N2490" s="21" t="s">
        <v>2276</v>
      </c>
      <c r="O2490" s="21" t="s">
        <v>2276</v>
      </c>
      <c r="P2490" s="21" t="s">
        <v>2276</v>
      </c>
      <c r="Q2490" s="21" t="s">
        <v>2276</v>
      </c>
      <c r="R2490" s="21" t="s">
        <v>2276</v>
      </c>
      <c r="S2490" s="21" t="s">
        <v>2276</v>
      </c>
      <c r="T2490" s="21" t="s">
        <v>2276</v>
      </c>
      <c r="U2490" s="21" t="s">
        <v>2276</v>
      </c>
      <c r="V2490" s="21" t="s">
        <v>2276</v>
      </c>
      <c r="W2490" s="21" t="s">
        <v>2276</v>
      </c>
      <c r="X2490" s="21" t="s">
        <v>2276</v>
      </c>
      <c r="Y2490" s="21" t="s">
        <v>2276</v>
      </c>
      <c r="Z2490" s="21" t="s">
        <v>2276</v>
      </c>
      <c r="AA2490" s="21" t="s">
        <v>2276</v>
      </c>
      <c r="AB2490" s="21" t="s">
        <v>2276</v>
      </c>
      <c r="AC2490" s="4"/>
      <c r="AD2490" s="4"/>
    </row>
    <row r="2491" spans="1:30" ht="38" customHeight="1">
      <c r="A2491" s="4" t="s">
        <v>6423</v>
      </c>
      <c r="B2491" s="4" t="s">
        <v>6572</v>
      </c>
      <c r="C2491" s="4" t="s">
        <v>2458</v>
      </c>
      <c r="D2491" s="4" t="s">
        <v>2276</v>
      </c>
      <c r="E2491" s="4" t="s">
        <v>2652</v>
      </c>
      <c r="F2491" s="4" t="s">
        <v>74</v>
      </c>
      <c r="G2491" s="4" t="s">
        <v>74</v>
      </c>
      <c r="H2491" s="4" t="s">
        <v>523</v>
      </c>
      <c r="I2491" s="4"/>
      <c r="J2491" s="221">
        <v>1.1627906976744187E-5</v>
      </c>
      <c r="K2491" s="21" t="s">
        <v>2276</v>
      </c>
      <c r="L2491" s="21" t="s">
        <v>2276</v>
      </c>
      <c r="M2491" s="21" t="s">
        <v>2276</v>
      </c>
      <c r="N2491" s="21" t="s">
        <v>2276</v>
      </c>
      <c r="O2491" s="21" t="s">
        <v>2276</v>
      </c>
      <c r="P2491" s="75">
        <f>T2491/(23/16)</f>
        <v>2268.4310018903593</v>
      </c>
      <c r="Q2491" s="21" t="s">
        <v>2276</v>
      </c>
      <c r="R2491" s="21" t="s">
        <v>2276</v>
      </c>
      <c r="S2491" s="21" t="s">
        <v>2276</v>
      </c>
      <c r="T2491" s="75">
        <f>150000/46</f>
        <v>3260.8695652173915</v>
      </c>
      <c r="U2491" s="21" t="s">
        <v>2276</v>
      </c>
      <c r="V2491" s="21" t="s">
        <v>2276</v>
      </c>
      <c r="W2491" s="21" t="s">
        <v>2276</v>
      </c>
      <c r="X2491" s="75">
        <f>T2491/'Record info'!K$1053</f>
        <v>7.583417593528817E-2</v>
      </c>
      <c r="Y2491" s="21" t="s">
        <v>2276</v>
      </c>
      <c r="Z2491" s="4" t="s">
        <v>189</v>
      </c>
      <c r="AA2491" s="4" t="s">
        <v>68</v>
      </c>
      <c r="AB2491" s="4" t="s">
        <v>2276</v>
      </c>
      <c r="AC2491" s="4" t="s">
        <v>6541</v>
      </c>
      <c r="AD2491" s="4" t="s">
        <v>6542</v>
      </c>
    </row>
    <row r="2492" spans="1:30" ht="38" customHeight="1">
      <c r="A2492" s="4" t="s">
        <v>6423</v>
      </c>
      <c r="B2492" s="4" t="s">
        <v>6573</v>
      </c>
      <c r="C2492" s="4" t="s">
        <v>2656</v>
      </c>
      <c r="D2492" s="4" t="s">
        <v>2276</v>
      </c>
      <c r="E2492" s="4" t="s">
        <v>137</v>
      </c>
      <c r="F2492" s="4" t="s">
        <v>74</v>
      </c>
      <c r="G2492" s="4" t="s">
        <v>74</v>
      </c>
      <c r="H2492" s="4" t="s">
        <v>523</v>
      </c>
      <c r="I2492" s="4"/>
      <c r="J2492" s="221">
        <v>2.6188068756319516E-4</v>
      </c>
      <c r="K2492" s="21" t="s">
        <v>2276</v>
      </c>
      <c r="L2492" s="21" t="s">
        <v>2276</v>
      </c>
      <c r="M2492" s="21" t="s">
        <v>2276</v>
      </c>
      <c r="N2492" s="21" t="s">
        <v>2276</v>
      </c>
      <c r="O2492" s="21" t="s">
        <v>2276</v>
      </c>
      <c r="P2492" s="75">
        <f>T2492/(518/16)</f>
        <v>2283.0283699848915</v>
      </c>
      <c r="Q2492" s="21" t="s">
        <v>2276</v>
      </c>
      <c r="R2492" s="21" t="s">
        <v>2276</v>
      </c>
      <c r="S2492" s="21" t="s">
        <v>2276</v>
      </c>
      <c r="T2492" s="75">
        <f>3400000/46</f>
        <v>73913.043478260865</v>
      </c>
      <c r="U2492" s="21" t="s">
        <v>2276</v>
      </c>
      <c r="V2492" s="21" t="s">
        <v>2276</v>
      </c>
      <c r="W2492" s="21" t="s">
        <v>2276</v>
      </c>
      <c r="X2492" s="75">
        <f>T2492/'Record info'!K$1053</f>
        <v>1.7189079878665317</v>
      </c>
      <c r="Y2492" s="21" t="s">
        <v>2276</v>
      </c>
      <c r="Z2492" s="4" t="s">
        <v>189</v>
      </c>
      <c r="AA2492" s="4" t="s">
        <v>68</v>
      </c>
      <c r="AB2492" s="4" t="s">
        <v>2276</v>
      </c>
      <c r="AC2492" s="4" t="s">
        <v>6541</v>
      </c>
      <c r="AD2492" s="4" t="s">
        <v>6542</v>
      </c>
    </row>
    <row r="2493" spans="1:30" s="203" customFormat="1" ht="49" customHeight="1">
      <c r="A2493" s="4" t="s">
        <v>6423</v>
      </c>
      <c r="B2493" s="4" t="s">
        <v>7856</v>
      </c>
      <c r="C2493" s="4" t="s">
        <v>1105</v>
      </c>
      <c r="D2493" s="4" t="s">
        <v>2276</v>
      </c>
      <c r="E2493" s="4" t="s">
        <v>1105</v>
      </c>
      <c r="F2493" s="4" t="s">
        <v>74</v>
      </c>
      <c r="G2493" s="4" t="s">
        <v>74</v>
      </c>
      <c r="H2493" s="4" t="s">
        <v>523</v>
      </c>
      <c r="I2493" s="4"/>
      <c r="J2493" s="204" t="s">
        <v>2276</v>
      </c>
      <c r="K2493" s="204" t="s">
        <v>2276</v>
      </c>
      <c r="L2493" s="204" t="s">
        <v>2276</v>
      </c>
      <c r="M2493" s="204" t="s">
        <v>2276</v>
      </c>
      <c r="N2493" s="204" t="s">
        <v>2276</v>
      </c>
      <c r="O2493" s="204" t="s">
        <v>2276</v>
      </c>
      <c r="P2493" s="204" t="s">
        <v>2276</v>
      </c>
      <c r="Q2493" s="204" t="s">
        <v>2276</v>
      </c>
      <c r="R2493" s="204" t="s">
        <v>2276</v>
      </c>
      <c r="S2493" s="204" t="s">
        <v>2276</v>
      </c>
      <c r="T2493" s="204" t="s">
        <v>2276</v>
      </c>
      <c r="U2493" s="204" t="s">
        <v>2276</v>
      </c>
      <c r="V2493" s="204" t="s">
        <v>2276</v>
      </c>
      <c r="W2493" s="204" t="s">
        <v>2276</v>
      </c>
      <c r="X2493" s="204" t="s">
        <v>2276</v>
      </c>
      <c r="Y2493" s="204" t="s">
        <v>2276</v>
      </c>
      <c r="Z2493" s="4" t="s">
        <v>189</v>
      </c>
      <c r="AA2493" s="4" t="s">
        <v>68</v>
      </c>
      <c r="AB2493" s="4" t="s">
        <v>2276</v>
      </c>
      <c r="AC2493" s="4" t="s">
        <v>7859</v>
      </c>
      <c r="AD2493" s="4" t="s">
        <v>7858</v>
      </c>
    </row>
    <row r="2494" spans="1:30" ht="38" customHeight="1">
      <c r="A2494" s="4" t="s">
        <v>6424</v>
      </c>
      <c r="B2494" s="4" t="s">
        <v>6616</v>
      </c>
      <c r="C2494" s="4" t="s">
        <v>2458</v>
      </c>
      <c r="D2494" s="4" t="s">
        <v>2276</v>
      </c>
      <c r="E2494" s="4" t="s">
        <v>2649</v>
      </c>
      <c r="F2494" s="4" t="s">
        <v>74</v>
      </c>
      <c r="G2494" s="4" t="s">
        <v>74</v>
      </c>
      <c r="H2494" s="4" t="s">
        <v>523</v>
      </c>
      <c r="I2494" s="4"/>
      <c r="J2494" s="221">
        <v>1.4639515685195377E-4</v>
      </c>
      <c r="K2494" s="204" t="s">
        <v>2276</v>
      </c>
      <c r="L2494" s="204" t="s">
        <v>2276</v>
      </c>
      <c r="M2494" s="204" t="s">
        <v>2276</v>
      </c>
      <c r="N2494" s="204" t="s">
        <v>2276</v>
      </c>
      <c r="O2494" s="204" t="s">
        <v>2276</v>
      </c>
      <c r="P2494" s="75">
        <f>T2494/(532/46)</f>
        <v>4191.729323308271</v>
      </c>
      <c r="Q2494" s="204" t="s">
        <v>2276</v>
      </c>
      <c r="R2494" s="204" t="s">
        <v>2276</v>
      </c>
      <c r="S2494" s="204" t="s">
        <v>2276</v>
      </c>
      <c r="T2494" s="75">
        <f>2230000/46</f>
        <v>48478.260869565216</v>
      </c>
      <c r="U2494" s="204" t="s">
        <v>2276</v>
      </c>
      <c r="V2494" s="204" t="s">
        <v>2276</v>
      </c>
      <c r="W2494" s="204" t="s">
        <v>2276</v>
      </c>
      <c r="X2494" s="75">
        <f>T2494/'Record info'!K$1054</f>
        <v>0.61364887176664829</v>
      </c>
      <c r="Y2494" s="204" t="s">
        <v>2276</v>
      </c>
      <c r="Z2494" s="4" t="s">
        <v>189</v>
      </c>
      <c r="AA2494" s="4" t="s">
        <v>68</v>
      </c>
      <c r="AB2494" s="4" t="s">
        <v>2276</v>
      </c>
      <c r="AC2494" s="4" t="s">
        <v>6541</v>
      </c>
      <c r="AD2494" s="4" t="s">
        <v>6542</v>
      </c>
    </row>
    <row r="2495" spans="1:30" ht="38" customHeight="1">
      <c r="A2495" s="4" t="s">
        <v>6424</v>
      </c>
      <c r="B2495" s="4" t="s">
        <v>6617</v>
      </c>
      <c r="C2495" s="4" t="s">
        <v>2656</v>
      </c>
      <c r="D2495" s="4" t="s">
        <v>2276</v>
      </c>
      <c r="E2495" s="4" t="s">
        <v>2649</v>
      </c>
      <c r="F2495" s="4" t="s">
        <v>74</v>
      </c>
      <c r="G2495" s="4" t="s">
        <v>74</v>
      </c>
      <c r="H2495" s="4" t="s">
        <v>523</v>
      </c>
      <c r="I2495" s="4"/>
      <c r="J2495" s="221">
        <v>1.6895982388552558E-4</v>
      </c>
      <c r="K2495" s="204" t="s">
        <v>2276</v>
      </c>
      <c r="L2495" s="204" t="s">
        <v>2276</v>
      </c>
      <c r="M2495" s="204" t="s">
        <v>2276</v>
      </c>
      <c r="N2495" s="204" t="s">
        <v>2276</v>
      </c>
      <c r="O2495" s="204" t="s">
        <v>2276</v>
      </c>
      <c r="P2495" s="75">
        <f>T2495/(614/46)</f>
        <v>3257.328990228013</v>
      </c>
      <c r="Q2495" s="204" t="s">
        <v>2276</v>
      </c>
      <c r="R2495" s="204" t="s">
        <v>2276</v>
      </c>
      <c r="S2495" s="204" t="s">
        <v>2276</v>
      </c>
      <c r="T2495" s="75">
        <f>2000000/46</f>
        <v>43478.260869565216</v>
      </c>
      <c r="U2495" s="204" t="s">
        <v>2276</v>
      </c>
      <c r="V2495" s="204" t="s">
        <v>2276</v>
      </c>
      <c r="W2495" s="204" t="s">
        <v>2276</v>
      </c>
      <c r="X2495" s="75">
        <f>T2495/'Record info'!K$1054</f>
        <v>0.55035773252614195</v>
      </c>
      <c r="Y2495" s="204" t="s">
        <v>2276</v>
      </c>
      <c r="Z2495" s="4" t="s">
        <v>189</v>
      </c>
      <c r="AA2495" s="4" t="s">
        <v>68</v>
      </c>
      <c r="AB2495" s="4" t="s">
        <v>2276</v>
      </c>
      <c r="AC2495" s="4" t="s">
        <v>6541</v>
      </c>
      <c r="AD2495" s="4" t="s">
        <v>6542</v>
      </c>
    </row>
    <row r="2496" spans="1:30" s="203" customFormat="1" ht="44.5" customHeight="1">
      <c r="A2496" s="4" t="s">
        <v>6424</v>
      </c>
      <c r="B2496" s="4" t="s">
        <v>7857</v>
      </c>
      <c r="C2496" s="4" t="s">
        <v>1105</v>
      </c>
      <c r="D2496" s="4" t="s">
        <v>2276</v>
      </c>
      <c r="E2496" s="4" t="s">
        <v>1105</v>
      </c>
      <c r="F2496" s="4" t="s">
        <v>74</v>
      </c>
      <c r="G2496" s="4" t="s">
        <v>74</v>
      </c>
      <c r="H2496" s="4" t="s">
        <v>523</v>
      </c>
      <c r="I2496" s="204"/>
      <c r="J2496" s="204" t="s">
        <v>2276</v>
      </c>
      <c r="K2496" s="204" t="s">
        <v>2276</v>
      </c>
      <c r="L2496" s="204" t="s">
        <v>2276</v>
      </c>
      <c r="M2496" s="204" t="s">
        <v>2276</v>
      </c>
      <c r="N2496" s="204" t="s">
        <v>2276</v>
      </c>
      <c r="O2496" s="204" t="s">
        <v>2276</v>
      </c>
      <c r="P2496" s="204" t="s">
        <v>2276</v>
      </c>
      <c r="Q2496" s="204" t="s">
        <v>2276</v>
      </c>
      <c r="R2496" s="204" t="s">
        <v>2276</v>
      </c>
      <c r="S2496" s="204" t="s">
        <v>2276</v>
      </c>
      <c r="T2496" s="204" t="s">
        <v>2276</v>
      </c>
      <c r="U2496" s="204" t="s">
        <v>2276</v>
      </c>
      <c r="V2496" s="204" t="s">
        <v>2276</v>
      </c>
      <c r="W2496" s="204" t="s">
        <v>2276</v>
      </c>
      <c r="X2496" s="204" t="s">
        <v>2276</v>
      </c>
      <c r="Y2496" s="204" t="s">
        <v>2276</v>
      </c>
      <c r="Z2496" s="4" t="s">
        <v>189</v>
      </c>
      <c r="AA2496" s="4" t="s">
        <v>68</v>
      </c>
      <c r="AB2496" s="4" t="s">
        <v>2276</v>
      </c>
      <c r="AC2496" s="4" t="s">
        <v>7859</v>
      </c>
      <c r="AD2496" s="4" t="s">
        <v>7858</v>
      </c>
    </row>
    <row r="2497" spans="1:30" ht="34" customHeight="1">
      <c r="A2497" s="4" t="s">
        <v>6425</v>
      </c>
      <c r="B2497" s="4" t="s">
        <v>6574</v>
      </c>
      <c r="C2497" s="4" t="s">
        <v>1105</v>
      </c>
      <c r="D2497" s="4" t="s">
        <v>2276</v>
      </c>
      <c r="E2497" s="4" t="s">
        <v>2649</v>
      </c>
      <c r="F2497" s="4" t="s">
        <v>74</v>
      </c>
      <c r="G2497" s="4" t="s">
        <v>74</v>
      </c>
      <c r="H2497" s="4" t="s">
        <v>523</v>
      </c>
      <c r="I2497" s="4">
        <v>1989</v>
      </c>
      <c r="J2497" s="204" t="s">
        <v>2276</v>
      </c>
      <c r="K2497" s="204" t="s">
        <v>2276</v>
      </c>
      <c r="L2497" s="204" t="s">
        <v>2276</v>
      </c>
      <c r="M2497" s="204" t="s">
        <v>2276</v>
      </c>
      <c r="N2497" s="204" t="s">
        <v>2276</v>
      </c>
      <c r="O2497" s="204" t="s">
        <v>2276</v>
      </c>
      <c r="P2497" s="204" t="s">
        <v>2276</v>
      </c>
      <c r="Q2497" s="204" t="s">
        <v>2276</v>
      </c>
      <c r="R2497" s="204" t="s">
        <v>2276</v>
      </c>
      <c r="S2497" s="204" t="s">
        <v>2276</v>
      </c>
      <c r="T2497" s="75">
        <v>92285</v>
      </c>
      <c r="U2497" s="204" t="s">
        <v>2276</v>
      </c>
      <c r="V2497" s="204" t="s">
        <v>2276</v>
      </c>
      <c r="W2497" s="204" t="s">
        <v>2276</v>
      </c>
      <c r="X2497" s="75">
        <v>14.448880538594018</v>
      </c>
      <c r="Y2497" s="204" t="s">
        <v>2276</v>
      </c>
      <c r="Z2497" s="4" t="s">
        <v>2276</v>
      </c>
      <c r="AA2497" s="4" t="s">
        <v>2276</v>
      </c>
      <c r="AB2497" s="4" t="s">
        <v>2276</v>
      </c>
      <c r="AC2497" s="4"/>
      <c r="AD2497" s="4"/>
    </row>
    <row r="2498" spans="1:30" ht="34" customHeight="1">
      <c r="A2498" s="4" t="s">
        <v>6425</v>
      </c>
      <c r="B2498" s="4" t="s">
        <v>6575</v>
      </c>
      <c r="C2498" s="4" t="s">
        <v>1105</v>
      </c>
      <c r="D2498" s="4" t="s">
        <v>2276</v>
      </c>
      <c r="E2498" s="4" t="s">
        <v>2649</v>
      </c>
      <c r="F2498" s="4" t="s">
        <v>74</v>
      </c>
      <c r="G2498" s="4" t="s">
        <v>74</v>
      </c>
      <c r="H2498" s="4" t="s">
        <v>523</v>
      </c>
      <c r="I2498" s="4">
        <v>1990</v>
      </c>
      <c r="J2498" s="204" t="s">
        <v>2276</v>
      </c>
      <c r="K2498" s="204" t="s">
        <v>2276</v>
      </c>
      <c r="L2498" s="204" t="s">
        <v>2276</v>
      </c>
      <c r="M2498" s="204" t="s">
        <v>2276</v>
      </c>
      <c r="N2498" s="204" t="s">
        <v>2276</v>
      </c>
      <c r="O2498" s="204" t="s">
        <v>2276</v>
      </c>
      <c r="P2498" s="204" t="s">
        <v>2276</v>
      </c>
      <c r="Q2498" s="204" t="s">
        <v>2276</v>
      </c>
      <c r="R2498" s="204" t="s">
        <v>2276</v>
      </c>
      <c r="S2498" s="204" t="s">
        <v>2276</v>
      </c>
      <c r="T2498" s="75">
        <v>51141</v>
      </c>
      <c r="U2498" s="204" t="s">
        <v>2276</v>
      </c>
      <c r="V2498" s="204" t="s">
        <v>2276</v>
      </c>
      <c r="W2498" s="204" t="s">
        <v>2276</v>
      </c>
      <c r="X2498" s="75">
        <v>8.0070455612963833</v>
      </c>
      <c r="Y2498" s="204" t="s">
        <v>2276</v>
      </c>
      <c r="Z2498" s="4" t="s">
        <v>2276</v>
      </c>
      <c r="AA2498" s="4" t="s">
        <v>2276</v>
      </c>
      <c r="AB2498" s="4" t="s">
        <v>2276</v>
      </c>
      <c r="AC2498" s="4"/>
      <c r="AD2498" s="4"/>
    </row>
    <row r="2499" spans="1:30" ht="34" customHeight="1">
      <c r="A2499" s="4" t="s">
        <v>6425</v>
      </c>
      <c r="B2499" s="4" t="s">
        <v>6576</v>
      </c>
      <c r="C2499" s="4" t="s">
        <v>1105</v>
      </c>
      <c r="D2499" s="4" t="s">
        <v>2276</v>
      </c>
      <c r="E2499" s="4" t="s">
        <v>2649</v>
      </c>
      <c r="F2499" s="4" t="s">
        <v>74</v>
      </c>
      <c r="G2499" s="4" t="s">
        <v>74</v>
      </c>
      <c r="H2499" s="4" t="s">
        <v>523</v>
      </c>
      <c r="I2499" s="4">
        <v>1991</v>
      </c>
      <c r="J2499" s="204" t="s">
        <v>2276</v>
      </c>
      <c r="K2499" s="204" t="s">
        <v>2276</v>
      </c>
      <c r="L2499" s="204" t="s">
        <v>2276</v>
      </c>
      <c r="M2499" s="204" t="s">
        <v>2276</v>
      </c>
      <c r="N2499" s="204" t="s">
        <v>2276</v>
      </c>
      <c r="O2499" s="204" t="s">
        <v>2276</v>
      </c>
      <c r="P2499" s="204" t="s">
        <v>2276</v>
      </c>
      <c r="Q2499" s="204" t="s">
        <v>2276</v>
      </c>
      <c r="R2499" s="204" t="s">
        <v>2276</v>
      </c>
      <c r="S2499" s="204" t="s">
        <v>2276</v>
      </c>
      <c r="T2499" s="75">
        <v>42741</v>
      </c>
      <c r="U2499" s="204" t="s">
        <v>2276</v>
      </c>
      <c r="V2499" s="204" t="s">
        <v>2276</v>
      </c>
      <c r="W2499" s="204" t="s">
        <v>2276</v>
      </c>
      <c r="X2499" s="75">
        <v>6.6918741193048383</v>
      </c>
      <c r="Y2499" s="204" t="s">
        <v>2276</v>
      </c>
      <c r="Z2499" s="4" t="s">
        <v>2276</v>
      </c>
      <c r="AA2499" s="4" t="s">
        <v>2276</v>
      </c>
      <c r="AB2499" s="4" t="s">
        <v>2276</v>
      </c>
      <c r="AC2499" s="4"/>
      <c r="AD2499" s="4"/>
    </row>
    <row r="2500" spans="1:30" ht="34" customHeight="1">
      <c r="A2500" s="4" t="s">
        <v>6426</v>
      </c>
      <c r="B2500" s="4" t="s">
        <v>6577</v>
      </c>
      <c r="C2500" s="4" t="s">
        <v>24</v>
      </c>
      <c r="D2500" s="4" t="s">
        <v>1242</v>
      </c>
      <c r="E2500" s="4" t="s">
        <v>2649</v>
      </c>
      <c r="F2500" s="4" t="s">
        <v>74</v>
      </c>
      <c r="G2500" s="4" t="s">
        <v>74</v>
      </c>
      <c r="H2500" s="4" t="s">
        <v>523</v>
      </c>
      <c r="I2500" s="4"/>
      <c r="J2500" s="75">
        <f>T2500/P2500/'Record info'!K1056</f>
        <v>1.4983277591973246E-2</v>
      </c>
      <c r="K2500" s="204" t="s">
        <v>2276</v>
      </c>
      <c r="L2500" s="75">
        <v>0.2</v>
      </c>
      <c r="M2500" s="204" t="s">
        <v>2276</v>
      </c>
      <c r="N2500" s="75">
        <v>152</v>
      </c>
      <c r="O2500" s="204" t="s">
        <v>2276</v>
      </c>
      <c r="P2500" s="75">
        <v>25</v>
      </c>
      <c r="Q2500" s="204" t="s">
        <v>2276</v>
      </c>
      <c r="R2500" s="204" t="s">
        <v>2276</v>
      </c>
      <c r="S2500" s="204" t="s">
        <v>2276</v>
      </c>
      <c r="T2500" s="75">
        <f>11200/50</f>
        <v>224</v>
      </c>
      <c r="U2500" s="204" t="s">
        <v>2276</v>
      </c>
      <c r="V2500" s="204" t="s">
        <v>2276</v>
      </c>
      <c r="W2500" s="204" t="s">
        <v>2276</v>
      </c>
      <c r="X2500" s="75">
        <f>18.7/50</f>
        <v>0.374</v>
      </c>
      <c r="Y2500" s="204" t="s">
        <v>2276</v>
      </c>
      <c r="Z2500" s="4" t="s">
        <v>34</v>
      </c>
      <c r="AA2500" s="4" t="s">
        <v>405</v>
      </c>
      <c r="AB2500" s="4" t="s">
        <v>64</v>
      </c>
      <c r="AC2500" s="4"/>
      <c r="AD2500" s="4" t="s">
        <v>6543</v>
      </c>
    </row>
    <row r="2501" spans="1:30" ht="34" customHeight="1">
      <c r="A2501" s="4" t="s">
        <v>6427</v>
      </c>
      <c r="B2501" s="4" t="s">
        <v>6578</v>
      </c>
      <c r="C2501" s="4" t="s">
        <v>24</v>
      </c>
      <c r="D2501" s="4" t="s">
        <v>1242</v>
      </c>
      <c r="E2501" s="4" t="s">
        <v>2649</v>
      </c>
      <c r="F2501" s="4" t="s">
        <v>74</v>
      </c>
      <c r="G2501" s="4" t="s">
        <v>74</v>
      </c>
      <c r="H2501" s="4" t="s">
        <v>523</v>
      </c>
      <c r="I2501" s="4"/>
      <c r="J2501" s="75">
        <v>1.5260675923500131E-3</v>
      </c>
      <c r="K2501" s="204" t="s">
        <v>2276</v>
      </c>
      <c r="L2501" s="204" t="s">
        <v>2276</v>
      </c>
      <c r="M2501" s="204" t="s">
        <v>2276</v>
      </c>
      <c r="N2501" s="204" t="s">
        <v>2276</v>
      </c>
      <c r="O2501" s="204" t="s">
        <v>2276</v>
      </c>
      <c r="P2501" s="75">
        <v>12</v>
      </c>
      <c r="Q2501" s="204" t="s">
        <v>2276</v>
      </c>
      <c r="R2501" s="75">
        <v>7.5</v>
      </c>
      <c r="S2501" s="204" t="s">
        <v>2276</v>
      </c>
      <c r="T2501" s="75">
        <v>6141</v>
      </c>
      <c r="U2501" s="204" t="s">
        <v>2276</v>
      </c>
      <c r="V2501" s="75">
        <v>2.0110689022792769E-4</v>
      </c>
      <c r="W2501" s="204" t="s">
        <v>2276</v>
      </c>
      <c r="X2501" s="204" t="s">
        <v>2276</v>
      </c>
      <c r="Y2501" s="204" t="s">
        <v>2276</v>
      </c>
      <c r="Z2501" s="4" t="s">
        <v>2276</v>
      </c>
      <c r="AA2501" s="4" t="s">
        <v>2276</v>
      </c>
      <c r="AB2501" s="4" t="s">
        <v>2276</v>
      </c>
      <c r="AC2501" s="4"/>
      <c r="AD2501" s="4"/>
    </row>
    <row r="2502" spans="1:30" ht="34" customHeight="1">
      <c r="A2502" s="4" t="s">
        <v>6427</v>
      </c>
      <c r="B2502" s="4" t="s">
        <v>6579</v>
      </c>
      <c r="C2502" s="4" t="s">
        <v>2656</v>
      </c>
      <c r="D2502" s="4" t="s">
        <v>2276</v>
      </c>
      <c r="E2502" s="4" t="s">
        <v>2649</v>
      </c>
      <c r="F2502" s="4" t="s">
        <v>74</v>
      </c>
      <c r="G2502" s="4" t="s">
        <v>74</v>
      </c>
      <c r="H2502" s="4" t="s">
        <v>523</v>
      </c>
      <c r="I2502" s="4"/>
      <c r="J2502" s="75">
        <v>2.9473408435944457E-3</v>
      </c>
      <c r="K2502" s="204" t="s">
        <v>2276</v>
      </c>
      <c r="L2502" s="204" t="s">
        <v>2276</v>
      </c>
      <c r="M2502" s="204" t="s">
        <v>2276</v>
      </c>
      <c r="N2502" s="204" t="s">
        <v>2276</v>
      </c>
      <c r="O2502" s="204" t="s">
        <v>2276</v>
      </c>
      <c r="P2502" s="75">
        <v>3.5</v>
      </c>
      <c r="Q2502" s="204" t="s">
        <v>2276</v>
      </c>
      <c r="R2502" s="75">
        <v>1</v>
      </c>
      <c r="S2502" s="204" t="s">
        <v>2276</v>
      </c>
      <c r="T2502" s="75">
        <v>14301</v>
      </c>
      <c r="U2502" s="204" t="s">
        <v>2276</v>
      </c>
      <c r="V2502" s="75">
        <v>4.6833246004715745E-4</v>
      </c>
      <c r="W2502" s="204" t="s">
        <v>2276</v>
      </c>
      <c r="X2502" s="204" t="s">
        <v>2276</v>
      </c>
      <c r="Y2502" s="204" t="s">
        <v>2276</v>
      </c>
      <c r="Z2502" s="4" t="s">
        <v>2276</v>
      </c>
      <c r="AA2502" s="4" t="s">
        <v>2276</v>
      </c>
      <c r="AB2502" s="4" t="s">
        <v>2276</v>
      </c>
      <c r="AC2502" s="4"/>
      <c r="AD2502" s="4"/>
    </row>
    <row r="2503" spans="1:30" ht="123" customHeight="1">
      <c r="A2503" s="19" t="s">
        <v>6997</v>
      </c>
      <c r="B2503" s="19" t="s">
        <v>6999</v>
      </c>
      <c r="C2503" s="204" t="s">
        <v>24</v>
      </c>
      <c r="D2503" s="204" t="s">
        <v>25</v>
      </c>
      <c r="E2503" s="204" t="s">
        <v>45</v>
      </c>
      <c r="F2503" s="4" t="s">
        <v>29</v>
      </c>
      <c r="G2503" s="4" t="s">
        <v>29</v>
      </c>
      <c r="H2503" s="4" t="s">
        <v>523</v>
      </c>
      <c r="I2503" s="204"/>
      <c r="J2503" s="204" t="s">
        <v>2276</v>
      </c>
      <c r="K2503" s="204" t="s">
        <v>2276</v>
      </c>
      <c r="L2503" s="204" t="s">
        <v>2276</v>
      </c>
      <c r="M2503" s="204" t="s">
        <v>2276</v>
      </c>
      <c r="N2503" s="204" t="s">
        <v>2276</v>
      </c>
      <c r="O2503" s="204" t="s">
        <v>2276</v>
      </c>
      <c r="P2503" s="204" t="s">
        <v>2276</v>
      </c>
      <c r="Q2503" s="204" t="s">
        <v>2276</v>
      </c>
      <c r="R2503" s="204" t="s">
        <v>2276</v>
      </c>
      <c r="S2503" s="204" t="s">
        <v>2276</v>
      </c>
      <c r="T2503" s="204" t="s">
        <v>2276</v>
      </c>
      <c r="U2503" s="204" t="s">
        <v>2276</v>
      </c>
      <c r="V2503" s="204" t="s">
        <v>2276</v>
      </c>
      <c r="W2503" s="204" t="s">
        <v>2276</v>
      </c>
      <c r="X2503" s="204" t="s">
        <v>2276</v>
      </c>
      <c r="Y2503" s="204" t="s">
        <v>2276</v>
      </c>
      <c r="Z2503" s="204" t="s">
        <v>405</v>
      </c>
      <c r="AA2503" s="204" t="s">
        <v>425</v>
      </c>
      <c r="AB2503" s="4" t="s">
        <v>64</v>
      </c>
      <c r="AC2503" s="204"/>
      <c r="AD2503" s="4" t="s">
        <v>7004</v>
      </c>
    </row>
    <row r="2504" spans="1:30" ht="73" customHeight="1">
      <c r="A2504" s="19" t="s">
        <v>6997</v>
      </c>
      <c r="B2504" s="19" t="s">
        <v>7000</v>
      </c>
      <c r="C2504" s="204" t="s">
        <v>24</v>
      </c>
      <c r="D2504" s="204" t="s">
        <v>25</v>
      </c>
      <c r="E2504" s="204" t="s">
        <v>2647</v>
      </c>
      <c r="F2504" s="4" t="s">
        <v>29</v>
      </c>
      <c r="G2504" s="4" t="s">
        <v>29</v>
      </c>
      <c r="H2504" s="4" t="s">
        <v>523</v>
      </c>
      <c r="I2504" s="204"/>
      <c r="J2504" s="204" t="s">
        <v>2276</v>
      </c>
      <c r="K2504" s="204" t="s">
        <v>2276</v>
      </c>
      <c r="L2504" s="204" t="s">
        <v>2276</v>
      </c>
      <c r="M2504" s="204" t="s">
        <v>2276</v>
      </c>
      <c r="N2504" s="204" t="s">
        <v>2276</v>
      </c>
      <c r="O2504" s="204" t="s">
        <v>2276</v>
      </c>
      <c r="P2504" s="204" t="s">
        <v>2276</v>
      </c>
      <c r="Q2504" s="204" t="s">
        <v>2276</v>
      </c>
      <c r="R2504" s="204" t="s">
        <v>2276</v>
      </c>
      <c r="S2504" s="204" t="s">
        <v>2276</v>
      </c>
      <c r="T2504" s="204" t="s">
        <v>2276</v>
      </c>
      <c r="U2504" s="204" t="s">
        <v>2276</v>
      </c>
      <c r="V2504" s="204" t="s">
        <v>2276</v>
      </c>
      <c r="W2504" s="204" t="s">
        <v>2276</v>
      </c>
      <c r="X2504" s="204" t="s">
        <v>2276</v>
      </c>
      <c r="Y2504" s="204" t="s">
        <v>2276</v>
      </c>
      <c r="Z2504" s="204" t="s">
        <v>405</v>
      </c>
      <c r="AA2504" s="204" t="s">
        <v>425</v>
      </c>
      <c r="AB2504" s="4" t="s">
        <v>64</v>
      </c>
      <c r="AC2504" s="204"/>
      <c r="AD2504" s="4"/>
    </row>
    <row r="2505" spans="1:30" ht="123" customHeight="1">
      <c r="A2505" s="19" t="s">
        <v>6997</v>
      </c>
      <c r="B2505" s="19" t="s">
        <v>7001</v>
      </c>
      <c r="C2505" s="204" t="s">
        <v>2458</v>
      </c>
      <c r="D2505" s="204" t="s">
        <v>25</v>
      </c>
      <c r="E2505" s="204" t="s">
        <v>45</v>
      </c>
      <c r="F2505" s="4" t="s">
        <v>29</v>
      </c>
      <c r="G2505" s="204" t="s">
        <v>160</v>
      </c>
      <c r="H2505" s="4" t="s">
        <v>523</v>
      </c>
      <c r="I2505" s="204"/>
      <c r="J2505" s="204" t="s">
        <v>2276</v>
      </c>
      <c r="K2505" s="204" t="s">
        <v>2276</v>
      </c>
      <c r="L2505" s="204" t="s">
        <v>2276</v>
      </c>
      <c r="M2505" s="204" t="s">
        <v>2276</v>
      </c>
      <c r="N2505" s="204" t="s">
        <v>2276</v>
      </c>
      <c r="O2505" s="204" t="s">
        <v>2276</v>
      </c>
      <c r="P2505" s="204" t="s">
        <v>2276</v>
      </c>
      <c r="Q2505" s="204" t="s">
        <v>2276</v>
      </c>
      <c r="R2505" s="204" t="s">
        <v>2276</v>
      </c>
      <c r="S2505" s="204" t="s">
        <v>2276</v>
      </c>
      <c r="T2505" s="204" t="s">
        <v>2276</v>
      </c>
      <c r="U2505" s="204" t="s">
        <v>2276</v>
      </c>
      <c r="V2505" s="204" t="s">
        <v>2276</v>
      </c>
      <c r="W2505" s="204" t="s">
        <v>2276</v>
      </c>
      <c r="X2505" s="204" t="s">
        <v>2276</v>
      </c>
      <c r="Y2505" s="204" t="s">
        <v>2276</v>
      </c>
      <c r="Z2505" s="204" t="s">
        <v>405</v>
      </c>
      <c r="AA2505" s="204" t="s">
        <v>425</v>
      </c>
      <c r="AB2505" s="4" t="s">
        <v>64</v>
      </c>
      <c r="AC2505" s="4" t="s">
        <v>7006</v>
      </c>
      <c r="AD2505" s="4" t="s">
        <v>7005</v>
      </c>
    </row>
    <row r="2506" spans="1:30" ht="71" customHeight="1">
      <c r="A2506" s="19" t="s">
        <v>6997</v>
      </c>
      <c r="B2506" s="19" t="s">
        <v>7002</v>
      </c>
      <c r="C2506" s="204" t="s">
        <v>2458</v>
      </c>
      <c r="D2506" s="204" t="s">
        <v>25</v>
      </c>
      <c r="E2506" s="204" t="s">
        <v>2647</v>
      </c>
      <c r="F2506" s="4" t="s">
        <v>29</v>
      </c>
      <c r="G2506" s="204" t="s">
        <v>160</v>
      </c>
      <c r="H2506" s="4" t="s">
        <v>523</v>
      </c>
      <c r="I2506" s="204"/>
      <c r="J2506" s="204" t="s">
        <v>2276</v>
      </c>
      <c r="K2506" s="204" t="s">
        <v>2276</v>
      </c>
      <c r="L2506" s="204" t="s">
        <v>2276</v>
      </c>
      <c r="M2506" s="204" t="s">
        <v>2276</v>
      </c>
      <c r="N2506" s="204" t="s">
        <v>2276</v>
      </c>
      <c r="O2506" s="204" t="s">
        <v>2276</v>
      </c>
      <c r="P2506" s="204" t="s">
        <v>2276</v>
      </c>
      <c r="Q2506" s="204" t="s">
        <v>2276</v>
      </c>
      <c r="R2506" s="204" t="s">
        <v>2276</v>
      </c>
      <c r="S2506" s="204" t="s">
        <v>2276</v>
      </c>
      <c r="T2506" s="204" t="s">
        <v>2276</v>
      </c>
      <c r="U2506" s="204" t="s">
        <v>2276</v>
      </c>
      <c r="V2506" s="204" t="s">
        <v>2276</v>
      </c>
      <c r="W2506" s="204" t="s">
        <v>2276</v>
      </c>
      <c r="X2506" s="204" t="s">
        <v>2276</v>
      </c>
      <c r="Y2506" s="204" t="s">
        <v>2276</v>
      </c>
      <c r="Z2506" s="204" t="s">
        <v>405</v>
      </c>
      <c r="AA2506" s="204" t="s">
        <v>425</v>
      </c>
      <c r="AB2506" s="4" t="s">
        <v>64</v>
      </c>
      <c r="AC2506" s="204"/>
      <c r="AD2506" s="204"/>
    </row>
    <row r="2507" spans="1:30" ht="55.5" customHeight="1">
      <c r="A2507" s="19" t="s">
        <v>7008</v>
      </c>
      <c r="B2507" s="19" t="s">
        <v>7012</v>
      </c>
      <c r="C2507" s="204" t="s">
        <v>24</v>
      </c>
      <c r="D2507" s="204" t="s">
        <v>2231</v>
      </c>
      <c r="E2507" s="204" t="s">
        <v>84</v>
      </c>
      <c r="F2507" s="4" t="s">
        <v>2662</v>
      </c>
      <c r="G2507" s="4" t="s">
        <v>2662</v>
      </c>
      <c r="H2507" s="4" t="s">
        <v>523</v>
      </c>
      <c r="I2507" s="204"/>
      <c r="J2507" s="204" t="s">
        <v>2276</v>
      </c>
      <c r="K2507" s="204" t="s">
        <v>2276</v>
      </c>
      <c r="L2507" s="204" t="s">
        <v>2276</v>
      </c>
      <c r="M2507" s="204" t="s">
        <v>2276</v>
      </c>
      <c r="N2507" s="204" t="s">
        <v>2276</v>
      </c>
      <c r="O2507" s="204" t="s">
        <v>2276</v>
      </c>
      <c r="P2507" s="204" t="s">
        <v>2276</v>
      </c>
      <c r="Q2507" s="204" t="s">
        <v>2276</v>
      </c>
      <c r="R2507" s="204" t="s">
        <v>2276</v>
      </c>
      <c r="S2507" s="204" t="s">
        <v>2276</v>
      </c>
      <c r="T2507" s="204" t="s">
        <v>2276</v>
      </c>
      <c r="U2507" s="204" t="s">
        <v>2276</v>
      </c>
      <c r="V2507" s="21">
        <v>34</v>
      </c>
      <c r="W2507" s="204" t="s">
        <v>2276</v>
      </c>
      <c r="X2507" s="21">
        <f>100*534/'Record info'!K1060</f>
        <v>1.5602629656683711</v>
      </c>
      <c r="Y2507" s="204" t="s">
        <v>2276</v>
      </c>
      <c r="Z2507" s="204" t="s">
        <v>2276</v>
      </c>
      <c r="AA2507" s="204" t="s">
        <v>2276</v>
      </c>
      <c r="AB2507" s="204" t="s">
        <v>2276</v>
      </c>
      <c r="AC2507" s="4" t="s">
        <v>7014</v>
      </c>
      <c r="AD2507" s="204"/>
    </row>
    <row r="2508" spans="1:30" ht="50" customHeight="1">
      <c r="A2508" s="19" t="s">
        <v>7008</v>
      </c>
      <c r="B2508" s="19" t="s">
        <v>7013</v>
      </c>
      <c r="C2508" s="204" t="s">
        <v>24</v>
      </c>
      <c r="D2508" s="204" t="s">
        <v>25</v>
      </c>
      <c r="E2508" s="204" t="s">
        <v>45</v>
      </c>
      <c r="F2508" s="4" t="s">
        <v>29</v>
      </c>
      <c r="G2508" s="204" t="s">
        <v>29</v>
      </c>
      <c r="H2508" s="4" t="s">
        <v>523</v>
      </c>
      <c r="I2508" s="204"/>
      <c r="J2508" s="204" t="s">
        <v>2276</v>
      </c>
      <c r="K2508" s="204" t="s">
        <v>2276</v>
      </c>
      <c r="L2508" s="204" t="s">
        <v>2276</v>
      </c>
      <c r="M2508" s="204" t="s">
        <v>2276</v>
      </c>
      <c r="N2508" s="204" t="s">
        <v>2276</v>
      </c>
      <c r="O2508" s="204" t="s">
        <v>2276</v>
      </c>
      <c r="P2508" s="204" t="s">
        <v>2276</v>
      </c>
      <c r="Q2508" s="204" t="s">
        <v>2276</v>
      </c>
      <c r="R2508" s="204" t="s">
        <v>2276</v>
      </c>
      <c r="S2508" s="204" t="s">
        <v>2276</v>
      </c>
      <c r="T2508" s="204" t="s">
        <v>2276</v>
      </c>
      <c r="U2508" s="204" t="s">
        <v>2276</v>
      </c>
      <c r="V2508" s="204" t="s">
        <v>2276</v>
      </c>
      <c r="W2508" s="204" t="s">
        <v>2276</v>
      </c>
      <c r="X2508" s="21">
        <f>100*938/'Record info'!K1060</f>
        <v>2.7406866325785244</v>
      </c>
      <c r="Y2508" s="204" t="s">
        <v>2276</v>
      </c>
      <c r="Z2508" s="204" t="s">
        <v>2276</v>
      </c>
      <c r="AA2508" s="204" t="s">
        <v>2276</v>
      </c>
      <c r="AB2508" s="204" t="s">
        <v>2276</v>
      </c>
      <c r="AC2508" s="4" t="s">
        <v>7016</v>
      </c>
      <c r="AD2508" s="204"/>
    </row>
    <row r="2509" spans="1:30" ht="49" customHeight="1">
      <c r="A2509" s="19" t="s">
        <v>7008</v>
      </c>
      <c r="B2509" s="19" t="s">
        <v>7013</v>
      </c>
      <c r="C2509" s="204" t="s">
        <v>2458</v>
      </c>
      <c r="D2509" s="204" t="s">
        <v>25</v>
      </c>
      <c r="E2509" s="204" t="s">
        <v>2647</v>
      </c>
      <c r="F2509" s="4" t="s">
        <v>29</v>
      </c>
      <c r="G2509" s="204" t="s">
        <v>74</v>
      </c>
      <c r="H2509" s="4" t="s">
        <v>523</v>
      </c>
      <c r="I2509" s="204"/>
      <c r="J2509" s="204" t="s">
        <v>2276</v>
      </c>
      <c r="K2509" s="204" t="s">
        <v>2276</v>
      </c>
      <c r="L2509" s="204" t="s">
        <v>2276</v>
      </c>
      <c r="M2509" s="204" t="s">
        <v>2276</v>
      </c>
      <c r="N2509" s="204" t="s">
        <v>2276</v>
      </c>
      <c r="O2509" s="204" t="s">
        <v>2276</v>
      </c>
      <c r="P2509" s="204" t="s">
        <v>2276</v>
      </c>
      <c r="Q2509" s="204" t="s">
        <v>2276</v>
      </c>
      <c r="R2509" s="204" t="s">
        <v>2276</v>
      </c>
      <c r="S2509" s="204" t="s">
        <v>2276</v>
      </c>
      <c r="T2509" s="204" t="s">
        <v>2276</v>
      </c>
      <c r="U2509" s="204" t="s">
        <v>2276</v>
      </c>
      <c r="V2509" s="21">
        <f>100 * 180 / ('Record info'!K1060*'Land use'!R1060/100)</f>
        <v>0.92524000302366016</v>
      </c>
      <c r="W2509" s="204" t="s">
        <v>2276</v>
      </c>
      <c r="X2509" s="21">
        <f>100 * 180 / 'Record info'!K1060</f>
        <v>0.52593133674214754</v>
      </c>
      <c r="Y2509" s="204" t="s">
        <v>2276</v>
      </c>
      <c r="Z2509" s="204" t="s">
        <v>2276</v>
      </c>
      <c r="AA2509" s="204" t="s">
        <v>2276</v>
      </c>
      <c r="AB2509" s="204" t="s">
        <v>2276</v>
      </c>
      <c r="AC2509" s="4" t="s">
        <v>7015</v>
      </c>
      <c r="AD2509" s="204"/>
    </row>
    <row r="2510" spans="1:30" ht="60.5" customHeight="1">
      <c r="A2510" s="19" t="s">
        <v>7018</v>
      </c>
      <c r="B2510" s="19" t="s">
        <v>7019</v>
      </c>
      <c r="C2510" s="204" t="s">
        <v>24</v>
      </c>
      <c r="D2510" s="204" t="s">
        <v>143</v>
      </c>
      <c r="E2510" s="204" t="s">
        <v>45</v>
      </c>
      <c r="F2510" s="204" t="s">
        <v>74</v>
      </c>
      <c r="G2510" s="204" t="s">
        <v>74</v>
      </c>
      <c r="H2510" s="4" t="s">
        <v>523</v>
      </c>
      <c r="I2510" s="204"/>
      <c r="J2510" s="204" t="s">
        <v>2276</v>
      </c>
      <c r="K2510" s="204" t="s">
        <v>2276</v>
      </c>
      <c r="L2510" s="204" t="s">
        <v>2276</v>
      </c>
      <c r="M2510" s="204" t="s">
        <v>2276</v>
      </c>
      <c r="N2510" s="204" t="s">
        <v>2276</v>
      </c>
      <c r="O2510" s="204" t="s">
        <v>2276</v>
      </c>
      <c r="P2510" s="14">
        <v>333</v>
      </c>
      <c r="Q2510" s="204" t="s">
        <v>2276</v>
      </c>
      <c r="R2510" s="204" t="s">
        <v>2276</v>
      </c>
      <c r="S2510" s="204" t="s">
        <v>2276</v>
      </c>
      <c r="T2510" s="204" t="s">
        <v>2276</v>
      </c>
      <c r="U2510" s="204" t="s">
        <v>2276</v>
      </c>
      <c r="V2510" s="204" t="s">
        <v>2276</v>
      </c>
      <c r="W2510" s="204" t="s">
        <v>2276</v>
      </c>
      <c r="X2510" s="204" t="s">
        <v>2276</v>
      </c>
      <c r="Y2510" s="204" t="s">
        <v>2276</v>
      </c>
      <c r="Z2510" s="204" t="s">
        <v>2276</v>
      </c>
      <c r="AA2510" s="204" t="s">
        <v>2276</v>
      </c>
      <c r="AB2510" s="204" t="s">
        <v>2276</v>
      </c>
      <c r="AC2510" s="4" t="s">
        <v>7022</v>
      </c>
      <c r="AD2510" s="4" t="s">
        <v>7027</v>
      </c>
    </row>
    <row r="2511" spans="1:30" ht="65.5" customHeight="1">
      <c r="A2511" s="19" t="s">
        <v>7018</v>
      </c>
      <c r="B2511" s="19" t="s">
        <v>7020</v>
      </c>
      <c r="C2511" s="204" t="s">
        <v>24</v>
      </c>
      <c r="D2511" s="204" t="s">
        <v>143</v>
      </c>
      <c r="E2511" s="204" t="s">
        <v>84</v>
      </c>
      <c r="F2511" s="204" t="s">
        <v>74</v>
      </c>
      <c r="G2511" s="204" t="s">
        <v>74</v>
      </c>
      <c r="H2511" s="4" t="s">
        <v>523</v>
      </c>
      <c r="I2511" s="204"/>
      <c r="J2511" s="178" t="s">
        <v>2276</v>
      </c>
      <c r="K2511" s="204" t="s">
        <v>2276</v>
      </c>
      <c r="L2511" s="204" t="s">
        <v>2276</v>
      </c>
      <c r="M2511" s="204" t="s">
        <v>2276</v>
      </c>
      <c r="N2511" s="204" t="s">
        <v>2276</v>
      </c>
      <c r="O2511" s="204" t="s">
        <v>2276</v>
      </c>
      <c r="P2511" s="204" t="s">
        <v>2276</v>
      </c>
      <c r="Q2511" s="204" t="s">
        <v>2276</v>
      </c>
      <c r="R2511" s="204" t="s">
        <v>2276</v>
      </c>
      <c r="S2511" s="204" t="s">
        <v>2276</v>
      </c>
      <c r="T2511" s="204" t="s">
        <v>2276</v>
      </c>
      <c r="U2511" s="204" t="s">
        <v>2276</v>
      </c>
      <c r="V2511" s="204" t="s">
        <v>2276</v>
      </c>
      <c r="W2511" s="204" t="s">
        <v>2276</v>
      </c>
      <c r="X2511" s="204" t="s">
        <v>2276</v>
      </c>
      <c r="Y2511" s="204" t="s">
        <v>2276</v>
      </c>
      <c r="Z2511" s="204" t="s">
        <v>2276</v>
      </c>
      <c r="AA2511" s="204" t="s">
        <v>2276</v>
      </c>
      <c r="AB2511" s="204" t="s">
        <v>2276</v>
      </c>
      <c r="AC2511" s="4" t="s">
        <v>7022</v>
      </c>
      <c r="AD2511" s="4" t="s">
        <v>7021</v>
      </c>
    </row>
    <row r="2512" spans="1:30" ht="44.5" customHeight="1">
      <c r="A2512" s="19" t="s">
        <v>7024</v>
      </c>
      <c r="B2512" s="19" t="s">
        <v>7029</v>
      </c>
      <c r="C2512" s="204" t="s">
        <v>24</v>
      </c>
      <c r="D2512" s="204" t="s">
        <v>144</v>
      </c>
      <c r="E2512" s="204" t="s">
        <v>137</v>
      </c>
      <c r="F2512" s="4" t="s">
        <v>55</v>
      </c>
      <c r="G2512" s="4" t="s">
        <v>55</v>
      </c>
      <c r="H2512" s="4" t="s">
        <v>523</v>
      </c>
      <c r="I2512" s="204"/>
      <c r="J2512" s="204" t="s">
        <v>2276</v>
      </c>
      <c r="K2512" s="204" t="s">
        <v>2276</v>
      </c>
      <c r="L2512" s="204" t="s">
        <v>2276</v>
      </c>
      <c r="M2512" s="204" t="s">
        <v>2276</v>
      </c>
      <c r="N2512" s="204" t="s">
        <v>2276</v>
      </c>
      <c r="O2512" s="204" t="s">
        <v>2276</v>
      </c>
      <c r="P2512" s="204" t="s">
        <v>2276</v>
      </c>
      <c r="Q2512" s="204" t="s">
        <v>2276</v>
      </c>
      <c r="R2512" s="204" t="s">
        <v>2276</v>
      </c>
      <c r="S2512" s="204" t="s">
        <v>2276</v>
      </c>
      <c r="T2512" s="204" t="s">
        <v>2276</v>
      </c>
      <c r="U2512" s="204" t="s">
        <v>2276</v>
      </c>
      <c r="V2512" s="204" t="s">
        <v>2276</v>
      </c>
      <c r="W2512" s="204" t="s">
        <v>2276</v>
      </c>
      <c r="X2512" s="204" t="s">
        <v>2276</v>
      </c>
      <c r="Y2512" s="204" t="s">
        <v>2276</v>
      </c>
      <c r="Z2512" s="204" t="s">
        <v>2276</v>
      </c>
      <c r="AA2512" s="204" t="s">
        <v>2276</v>
      </c>
      <c r="AB2512" s="204" t="s">
        <v>2276</v>
      </c>
      <c r="AC2512" s="204"/>
      <c r="AD2512" s="204"/>
    </row>
    <row r="2513" spans="1:30" ht="66.5" customHeight="1">
      <c r="A2513" s="19" t="s">
        <v>7024</v>
      </c>
      <c r="B2513" s="19" t="s">
        <v>7030</v>
      </c>
      <c r="C2513" s="204" t="s">
        <v>24</v>
      </c>
      <c r="D2513" s="204" t="s">
        <v>144</v>
      </c>
      <c r="E2513" s="204" t="s">
        <v>2647</v>
      </c>
      <c r="F2513" s="4" t="s">
        <v>55</v>
      </c>
      <c r="G2513" s="4" t="s">
        <v>55</v>
      </c>
      <c r="H2513" s="4" t="s">
        <v>524</v>
      </c>
      <c r="I2513" s="204"/>
      <c r="J2513" s="21">
        <v>0</v>
      </c>
      <c r="K2513" s="21">
        <v>0</v>
      </c>
      <c r="L2513" s="21">
        <v>0</v>
      </c>
      <c r="M2513" s="21">
        <v>0</v>
      </c>
      <c r="N2513" s="21">
        <v>0</v>
      </c>
      <c r="O2513" s="21">
        <v>0</v>
      </c>
      <c r="P2513" s="21">
        <v>0</v>
      </c>
      <c r="Q2513" s="21">
        <v>0</v>
      </c>
      <c r="R2513" s="21">
        <v>0</v>
      </c>
      <c r="S2513" s="21">
        <v>0</v>
      </c>
      <c r="T2513" s="21">
        <v>0</v>
      </c>
      <c r="U2513" s="21">
        <v>0</v>
      </c>
      <c r="V2513" s="21">
        <v>0</v>
      </c>
      <c r="W2513" s="21">
        <v>0</v>
      </c>
      <c r="X2513" s="21">
        <v>0</v>
      </c>
      <c r="Y2513" s="204" t="s">
        <v>2276</v>
      </c>
      <c r="Z2513" s="204" t="s">
        <v>2276</v>
      </c>
      <c r="AA2513" s="204" t="s">
        <v>2276</v>
      </c>
      <c r="AB2513" s="204" t="s">
        <v>2276</v>
      </c>
      <c r="AC2513" s="4" t="s">
        <v>7032</v>
      </c>
      <c r="AD2513" s="204"/>
    </row>
    <row r="2514" spans="1:30" ht="66.5" customHeight="1">
      <c r="A2514" s="19" t="s">
        <v>7024</v>
      </c>
      <c r="B2514" s="19" t="s">
        <v>7031</v>
      </c>
      <c r="C2514" s="204" t="s">
        <v>24</v>
      </c>
      <c r="D2514" s="204" t="s">
        <v>25</v>
      </c>
      <c r="E2514" s="204" t="s">
        <v>2647</v>
      </c>
      <c r="F2514" s="4" t="s">
        <v>55</v>
      </c>
      <c r="G2514" s="4" t="s">
        <v>55</v>
      </c>
      <c r="H2514" s="4" t="s">
        <v>524</v>
      </c>
      <c r="I2514" s="204"/>
      <c r="J2514" s="21">
        <v>0</v>
      </c>
      <c r="K2514" s="21">
        <v>0</v>
      </c>
      <c r="L2514" s="21">
        <v>0</v>
      </c>
      <c r="M2514" s="21">
        <v>0</v>
      </c>
      <c r="N2514" s="21">
        <v>0</v>
      </c>
      <c r="O2514" s="21">
        <v>0</v>
      </c>
      <c r="P2514" s="21">
        <v>0</v>
      </c>
      <c r="Q2514" s="21">
        <v>0</v>
      </c>
      <c r="R2514" s="21">
        <v>0</v>
      </c>
      <c r="S2514" s="21">
        <v>0</v>
      </c>
      <c r="T2514" s="21">
        <v>0</v>
      </c>
      <c r="U2514" s="21">
        <v>0</v>
      </c>
      <c r="V2514" s="21">
        <v>0</v>
      </c>
      <c r="W2514" s="21">
        <v>0</v>
      </c>
      <c r="X2514" s="21">
        <v>0</v>
      </c>
      <c r="Y2514" s="204" t="s">
        <v>2276</v>
      </c>
      <c r="Z2514" s="204" t="s">
        <v>2276</v>
      </c>
      <c r="AA2514" s="204" t="s">
        <v>2276</v>
      </c>
      <c r="AB2514" s="204" t="s">
        <v>2276</v>
      </c>
      <c r="AC2514" s="4" t="s">
        <v>7032</v>
      </c>
      <c r="AD2514" s="204"/>
    </row>
    <row r="2515" spans="1:30" ht="47.5" customHeight="1">
      <c r="A2515" s="19" t="s">
        <v>7034</v>
      </c>
      <c r="B2515" s="19" t="s">
        <v>7036</v>
      </c>
      <c r="C2515" s="204" t="s">
        <v>24</v>
      </c>
      <c r="D2515" s="204" t="s">
        <v>25</v>
      </c>
      <c r="E2515" s="204" t="s">
        <v>45</v>
      </c>
      <c r="F2515" s="4" t="s">
        <v>55</v>
      </c>
      <c r="G2515" s="4" t="s">
        <v>55</v>
      </c>
      <c r="H2515" s="204" t="s">
        <v>523</v>
      </c>
      <c r="I2515" s="204"/>
      <c r="J2515" s="204" t="s">
        <v>2276</v>
      </c>
      <c r="K2515" s="204" t="s">
        <v>2276</v>
      </c>
      <c r="L2515" s="204" t="s">
        <v>2276</v>
      </c>
      <c r="M2515" s="204" t="s">
        <v>2276</v>
      </c>
      <c r="N2515" s="204" t="s">
        <v>2276</v>
      </c>
      <c r="O2515" s="204" t="s">
        <v>2276</v>
      </c>
      <c r="P2515" s="204" t="s">
        <v>2276</v>
      </c>
      <c r="Q2515" s="204" t="s">
        <v>2276</v>
      </c>
      <c r="R2515" s="204" t="s">
        <v>2276</v>
      </c>
      <c r="S2515" s="204" t="s">
        <v>2276</v>
      </c>
      <c r="T2515" s="204" t="s">
        <v>2276</v>
      </c>
      <c r="U2515" s="204" t="s">
        <v>2276</v>
      </c>
      <c r="V2515" s="21">
        <f>100*42/200</f>
        <v>21</v>
      </c>
      <c r="W2515" s="204" t="s">
        <v>2276</v>
      </c>
      <c r="X2515" s="21">
        <f>100*42/200</f>
        <v>21</v>
      </c>
      <c r="Y2515" s="204" t="s">
        <v>2276</v>
      </c>
      <c r="Z2515" s="204" t="s">
        <v>404</v>
      </c>
      <c r="AA2515" s="204" t="s">
        <v>405</v>
      </c>
      <c r="AB2515" s="204" t="s">
        <v>2276</v>
      </c>
      <c r="AC2515" s="204" t="s">
        <v>7037</v>
      </c>
      <c r="AD2515" s="4" t="s">
        <v>7038</v>
      </c>
    </row>
    <row r="2516" spans="1:30" ht="108.5" customHeight="1">
      <c r="A2516" s="19" t="s">
        <v>7040</v>
      </c>
      <c r="B2516" s="19" t="s">
        <v>7043</v>
      </c>
      <c r="C2516" s="204" t="s">
        <v>24</v>
      </c>
      <c r="D2516" s="204" t="s">
        <v>2804</v>
      </c>
      <c r="E2516" s="204" t="s">
        <v>45</v>
      </c>
      <c r="F2516" s="4" t="s">
        <v>2662</v>
      </c>
      <c r="G2516" s="4" t="s">
        <v>2662</v>
      </c>
      <c r="H2516" s="204" t="s">
        <v>523</v>
      </c>
      <c r="I2516" s="204"/>
      <c r="J2516" s="204" t="s">
        <v>2276</v>
      </c>
      <c r="K2516" s="204" t="s">
        <v>2276</v>
      </c>
      <c r="L2516" s="204" t="s">
        <v>2276</v>
      </c>
      <c r="M2516" s="204" t="s">
        <v>2276</v>
      </c>
      <c r="N2516" s="204" t="s">
        <v>2276</v>
      </c>
      <c r="O2516" s="21">
        <v>131</v>
      </c>
      <c r="P2516" s="21">
        <v>98</v>
      </c>
      <c r="Q2516" s="204" t="s">
        <v>2276</v>
      </c>
      <c r="R2516" s="204" t="s">
        <v>2276</v>
      </c>
      <c r="S2516" s="204" t="s">
        <v>2276</v>
      </c>
      <c r="T2516" s="204" t="s">
        <v>2276</v>
      </c>
      <c r="U2516" s="204" t="s">
        <v>2276</v>
      </c>
      <c r="V2516" s="204" t="s">
        <v>2276</v>
      </c>
      <c r="W2516" s="204" t="s">
        <v>2276</v>
      </c>
      <c r="X2516" s="204" t="s">
        <v>2276</v>
      </c>
      <c r="Y2516" s="204" t="s">
        <v>2276</v>
      </c>
      <c r="Z2516" s="204" t="s">
        <v>2276</v>
      </c>
      <c r="AA2516" s="204" t="s">
        <v>2276</v>
      </c>
      <c r="AB2516" s="204" t="s">
        <v>2276</v>
      </c>
      <c r="AC2516" s="4"/>
      <c r="AD2516" s="4" t="s">
        <v>7044</v>
      </c>
    </row>
    <row r="2517" spans="1:30" ht="58" customHeight="1">
      <c r="A2517" s="19" t="s">
        <v>7047</v>
      </c>
      <c r="B2517" s="19" t="s">
        <v>7050</v>
      </c>
      <c r="C2517" s="204" t="s">
        <v>1105</v>
      </c>
      <c r="D2517" s="204" t="s">
        <v>1105</v>
      </c>
      <c r="E2517" s="204" t="s">
        <v>1105</v>
      </c>
      <c r="F2517" s="204" t="s">
        <v>2276</v>
      </c>
      <c r="G2517" s="4" t="s">
        <v>2662</v>
      </c>
      <c r="H2517" s="204" t="s">
        <v>523</v>
      </c>
      <c r="I2517" s="204"/>
      <c r="J2517" s="204" t="s">
        <v>2276</v>
      </c>
      <c r="K2517" s="204" t="s">
        <v>2276</v>
      </c>
      <c r="L2517" s="204" t="s">
        <v>2276</v>
      </c>
      <c r="M2517" s="204" t="s">
        <v>2276</v>
      </c>
      <c r="N2517" s="204" t="s">
        <v>2276</v>
      </c>
      <c r="O2517" s="204" t="s">
        <v>2276</v>
      </c>
      <c r="P2517" s="204" t="s">
        <v>2276</v>
      </c>
      <c r="Q2517" s="204" t="s">
        <v>2276</v>
      </c>
      <c r="R2517" s="204" t="s">
        <v>2276</v>
      </c>
      <c r="S2517" s="204" t="s">
        <v>2276</v>
      </c>
      <c r="T2517" s="204" t="s">
        <v>2276</v>
      </c>
      <c r="U2517" s="204" t="s">
        <v>2276</v>
      </c>
      <c r="V2517" s="204" t="s">
        <v>2276</v>
      </c>
      <c r="W2517" s="204" t="s">
        <v>2276</v>
      </c>
      <c r="X2517" s="204" t="s">
        <v>2276</v>
      </c>
      <c r="Y2517" s="204" t="s">
        <v>2276</v>
      </c>
      <c r="Z2517" s="204" t="s">
        <v>38</v>
      </c>
      <c r="AA2517" s="204" t="s">
        <v>425</v>
      </c>
      <c r="AB2517" s="204" t="s">
        <v>76</v>
      </c>
      <c r="AC2517" s="4" t="s">
        <v>7053</v>
      </c>
      <c r="AD2517" s="19" t="s">
        <v>7056</v>
      </c>
    </row>
    <row r="2518" spans="1:30" ht="58" customHeight="1">
      <c r="A2518" s="19" t="s">
        <v>7049</v>
      </c>
      <c r="B2518" s="19" t="s">
        <v>7051</v>
      </c>
      <c r="C2518" s="204" t="s">
        <v>24</v>
      </c>
      <c r="D2518" s="204" t="s">
        <v>25</v>
      </c>
      <c r="E2518" s="204" t="s">
        <v>45</v>
      </c>
      <c r="F2518" s="204" t="s">
        <v>29</v>
      </c>
      <c r="G2518" s="204" t="s">
        <v>29</v>
      </c>
      <c r="H2518" s="204" t="s">
        <v>523</v>
      </c>
      <c r="I2518" s="204"/>
      <c r="J2518" s="204" t="s">
        <v>2276</v>
      </c>
      <c r="K2518" s="204" t="s">
        <v>2276</v>
      </c>
      <c r="L2518" s="204" t="s">
        <v>2276</v>
      </c>
      <c r="M2518" s="204" t="s">
        <v>2276</v>
      </c>
      <c r="N2518" s="204" t="s">
        <v>2276</v>
      </c>
      <c r="O2518" s="204" t="s">
        <v>2276</v>
      </c>
      <c r="P2518" s="204" t="s">
        <v>2276</v>
      </c>
      <c r="Q2518" s="204" t="s">
        <v>2276</v>
      </c>
      <c r="R2518" s="204" t="s">
        <v>2276</v>
      </c>
      <c r="S2518" s="204" t="s">
        <v>2276</v>
      </c>
      <c r="T2518" s="204" t="s">
        <v>2276</v>
      </c>
      <c r="U2518" s="204" t="s">
        <v>2276</v>
      </c>
      <c r="V2518" s="204" t="s">
        <v>2276</v>
      </c>
      <c r="W2518" s="204" t="s">
        <v>2276</v>
      </c>
      <c r="X2518" s="204" t="s">
        <v>2276</v>
      </c>
      <c r="Y2518" s="204" t="s">
        <v>2276</v>
      </c>
      <c r="Z2518" s="204" t="s">
        <v>38</v>
      </c>
      <c r="AA2518" s="204" t="s">
        <v>425</v>
      </c>
      <c r="AB2518" s="204" t="s">
        <v>2276</v>
      </c>
      <c r="AC2518" s="4" t="s">
        <v>7054</v>
      </c>
      <c r="AD2518" s="4" t="s">
        <v>7057</v>
      </c>
    </row>
    <row r="2519" spans="1:30" ht="58" customHeight="1">
      <c r="A2519" s="19" t="s">
        <v>7049</v>
      </c>
      <c r="B2519" s="19" t="s">
        <v>7052</v>
      </c>
      <c r="C2519" s="204" t="s">
        <v>24</v>
      </c>
      <c r="D2519" s="204" t="s">
        <v>1242</v>
      </c>
      <c r="E2519" s="204" t="s">
        <v>45</v>
      </c>
      <c r="F2519" s="4" t="s">
        <v>2662</v>
      </c>
      <c r="G2519" s="4" t="s">
        <v>2662</v>
      </c>
      <c r="H2519" s="204" t="s">
        <v>523</v>
      </c>
      <c r="I2519" s="204"/>
      <c r="J2519" s="204" t="s">
        <v>2276</v>
      </c>
      <c r="K2519" s="204" t="s">
        <v>2276</v>
      </c>
      <c r="L2519" s="204" t="s">
        <v>2276</v>
      </c>
      <c r="M2519" s="204" t="s">
        <v>2276</v>
      </c>
      <c r="N2519" s="204" t="s">
        <v>2276</v>
      </c>
      <c r="O2519" s="204" t="s">
        <v>2276</v>
      </c>
      <c r="P2519" s="204" t="s">
        <v>2276</v>
      </c>
      <c r="Q2519" s="204" t="s">
        <v>2276</v>
      </c>
      <c r="R2519" s="204" t="s">
        <v>2276</v>
      </c>
      <c r="S2519" s="204" t="s">
        <v>2276</v>
      </c>
      <c r="T2519" s="204" t="s">
        <v>2276</v>
      </c>
      <c r="U2519" s="204" t="s">
        <v>2276</v>
      </c>
      <c r="V2519" s="204" t="s">
        <v>2276</v>
      </c>
      <c r="W2519" s="204" t="s">
        <v>2276</v>
      </c>
      <c r="X2519" s="204" t="s">
        <v>2276</v>
      </c>
      <c r="Y2519" s="204" t="s">
        <v>2276</v>
      </c>
      <c r="Z2519" s="204" t="s">
        <v>38</v>
      </c>
      <c r="AA2519" s="204" t="s">
        <v>86</v>
      </c>
      <c r="AB2519" s="204" t="s">
        <v>2655</v>
      </c>
      <c r="AC2519" s="4" t="s">
        <v>7055</v>
      </c>
      <c r="AD2519" s="204"/>
    </row>
    <row r="2520" spans="1:30" ht="26.5" customHeight="1">
      <c r="A2520" s="19" t="s">
        <v>7060</v>
      </c>
      <c r="B2520" s="19" t="s">
        <v>7068</v>
      </c>
      <c r="C2520" s="204" t="s">
        <v>24</v>
      </c>
      <c r="D2520" s="204" t="s">
        <v>25</v>
      </c>
      <c r="E2520" s="204" t="s">
        <v>45</v>
      </c>
      <c r="F2520" s="4" t="s">
        <v>55</v>
      </c>
      <c r="G2520" s="4" t="s">
        <v>55</v>
      </c>
      <c r="H2520" s="204" t="s">
        <v>523</v>
      </c>
      <c r="I2520" s="204"/>
      <c r="J2520" s="204" t="s">
        <v>2276</v>
      </c>
      <c r="K2520" s="204" t="s">
        <v>2276</v>
      </c>
      <c r="L2520" s="204" t="s">
        <v>2276</v>
      </c>
      <c r="M2520" s="204" t="s">
        <v>2276</v>
      </c>
      <c r="N2520" s="204" t="s">
        <v>2276</v>
      </c>
      <c r="O2520" s="204" t="s">
        <v>2276</v>
      </c>
      <c r="P2520" s="204" t="s">
        <v>2276</v>
      </c>
      <c r="Q2520" s="204" t="s">
        <v>2276</v>
      </c>
      <c r="R2520" s="204" t="s">
        <v>2276</v>
      </c>
      <c r="S2520" s="204" t="s">
        <v>2276</v>
      </c>
      <c r="T2520" s="204" t="s">
        <v>2276</v>
      </c>
      <c r="U2520" s="204" t="s">
        <v>2276</v>
      </c>
      <c r="V2520" s="204" t="s">
        <v>2276</v>
      </c>
      <c r="W2520" s="204" t="s">
        <v>2276</v>
      </c>
      <c r="X2520" s="204" t="s">
        <v>2276</v>
      </c>
      <c r="Y2520" s="204" t="s">
        <v>2276</v>
      </c>
      <c r="Z2520" s="204" t="s">
        <v>2276</v>
      </c>
      <c r="AA2520" s="204" t="s">
        <v>2276</v>
      </c>
      <c r="AB2520" s="204" t="s">
        <v>2276</v>
      </c>
      <c r="AC2520" s="204"/>
      <c r="AD2520" s="204"/>
    </row>
    <row r="2521" spans="1:30" ht="26.5" customHeight="1">
      <c r="A2521" s="19" t="s">
        <v>7060</v>
      </c>
      <c r="B2521" s="19" t="s">
        <v>7069</v>
      </c>
      <c r="C2521" s="204" t="s">
        <v>2458</v>
      </c>
      <c r="D2521" s="204" t="s">
        <v>25</v>
      </c>
      <c r="E2521" s="204" t="s">
        <v>45</v>
      </c>
      <c r="F2521" s="4" t="s">
        <v>55</v>
      </c>
      <c r="G2521" s="204" t="s">
        <v>2276</v>
      </c>
      <c r="H2521" s="204" t="s">
        <v>523</v>
      </c>
      <c r="I2521" s="204"/>
      <c r="J2521" s="204" t="s">
        <v>2276</v>
      </c>
      <c r="K2521" s="204" t="s">
        <v>2276</v>
      </c>
      <c r="L2521" s="204" t="s">
        <v>2276</v>
      </c>
      <c r="M2521" s="204" t="s">
        <v>2276</v>
      </c>
      <c r="N2521" s="204" t="s">
        <v>2276</v>
      </c>
      <c r="O2521" s="204" t="s">
        <v>2276</v>
      </c>
      <c r="P2521" s="204" t="s">
        <v>2276</v>
      </c>
      <c r="Q2521" s="204" t="s">
        <v>2276</v>
      </c>
      <c r="R2521" s="204" t="s">
        <v>2276</v>
      </c>
      <c r="S2521" s="204" t="s">
        <v>2276</v>
      </c>
      <c r="T2521" s="204" t="s">
        <v>2276</v>
      </c>
      <c r="U2521" s="204" t="s">
        <v>2276</v>
      </c>
      <c r="V2521" s="204" t="s">
        <v>2276</v>
      </c>
      <c r="W2521" s="204" t="s">
        <v>2276</v>
      </c>
      <c r="X2521" s="204" t="s">
        <v>2276</v>
      </c>
      <c r="Y2521" s="204" t="s">
        <v>2276</v>
      </c>
      <c r="Z2521" s="204" t="s">
        <v>2276</v>
      </c>
      <c r="AA2521" s="204" t="s">
        <v>2276</v>
      </c>
      <c r="AB2521" s="204" t="s">
        <v>2276</v>
      </c>
      <c r="AC2521" s="204"/>
      <c r="AD2521" s="204"/>
    </row>
    <row r="2522" spans="1:30" ht="26.5" customHeight="1">
      <c r="A2522" s="19" t="s">
        <v>7060</v>
      </c>
      <c r="B2522" s="19" t="s">
        <v>7070</v>
      </c>
      <c r="C2522" s="204" t="s">
        <v>24</v>
      </c>
      <c r="D2522" s="204" t="s">
        <v>27</v>
      </c>
      <c r="E2522" s="204" t="s">
        <v>130</v>
      </c>
      <c r="F2522" s="4" t="s">
        <v>160</v>
      </c>
      <c r="G2522" s="204" t="s">
        <v>2276</v>
      </c>
      <c r="H2522" s="204" t="s">
        <v>523</v>
      </c>
      <c r="I2522" s="204"/>
      <c r="J2522" s="204" t="s">
        <v>2276</v>
      </c>
      <c r="K2522" s="204" t="s">
        <v>2276</v>
      </c>
      <c r="L2522" s="204" t="s">
        <v>2276</v>
      </c>
      <c r="M2522" s="204" t="s">
        <v>2276</v>
      </c>
      <c r="N2522" s="204" t="s">
        <v>2276</v>
      </c>
      <c r="O2522" s="204" t="s">
        <v>2276</v>
      </c>
      <c r="P2522" s="204" t="s">
        <v>2276</v>
      </c>
      <c r="Q2522" s="204" t="s">
        <v>2276</v>
      </c>
      <c r="R2522" s="204" t="s">
        <v>2276</v>
      </c>
      <c r="S2522" s="204" t="s">
        <v>2276</v>
      </c>
      <c r="T2522" s="204" t="s">
        <v>2276</v>
      </c>
      <c r="U2522" s="204" t="s">
        <v>2276</v>
      </c>
      <c r="V2522" s="204" t="s">
        <v>2276</v>
      </c>
      <c r="W2522" s="204" t="s">
        <v>2276</v>
      </c>
      <c r="X2522" s="204" t="s">
        <v>2276</v>
      </c>
      <c r="Y2522" s="204" t="s">
        <v>2276</v>
      </c>
      <c r="Z2522" s="204" t="s">
        <v>2276</v>
      </c>
      <c r="AA2522" s="204" t="s">
        <v>2276</v>
      </c>
      <c r="AB2522" s="204" t="s">
        <v>2276</v>
      </c>
      <c r="AC2522" s="204"/>
      <c r="AD2522" s="204"/>
    </row>
    <row r="2523" spans="1:30" ht="66" customHeight="1">
      <c r="A2523" s="19" t="s">
        <v>7060</v>
      </c>
      <c r="B2523" s="19" t="s">
        <v>7071</v>
      </c>
      <c r="C2523" s="204" t="s">
        <v>24</v>
      </c>
      <c r="D2523" s="204" t="s">
        <v>2231</v>
      </c>
      <c r="E2523" s="204" t="s">
        <v>84</v>
      </c>
      <c r="F2523" s="4" t="s">
        <v>2662</v>
      </c>
      <c r="G2523" s="4" t="s">
        <v>2662</v>
      </c>
      <c r="H2523" s="204" t="s">
        <v>524</v>
      </c>
      <c r="I2523" s="204"/>
      <c r="J2523" s="21">
        <v>0</v>
      </c>
      <c r="K2523" s="21">
        <v>0</v>
      </c>
      <c r="L2523" s="21">
        <v>0</v>
      </c>
      <c r="M2523" s="21">
        <v>0</v>
      </c>
      <c r="N2523" s="21">
        <v>0</v>
      </c>
      <c r="O2523" s="21">
        <v>0</v>
      </c>
      <c r="P2523" s="21">
        <v>0</v>
      </c>
      <c r="Q2523" s="21">
        <v>0</v>
      </c>
      <c r="R2523" s="21">
        <v>0</v>
      </c>
      <c r="S2523" s="21">
        <v>0</v>
      </c>
      <c r="T2523" s="21">
        <v>0</v>
      </c>
      <c r="U2523" s="21">
        <v>0</v>
      </c>
      <c r="V2523" s="21">
        <v>0</v>
      </c>
      <c r="W2523" s="21">
        <v>0</v>
      </c>
      <c r="X2523" s="21">
        <v>0</v>
      </c>
      <c r="Y2523" s="204" t="s">
        <v>2276</v>
      </c>
      <c r="Z2523" s="204" t="s">
        <v>2276</v>
      </c>
      <c r="AA2523" s="204" t="s">
        <v>2276</v>
      </c>
      <c r="AB2523" s="204" t="s">
        <v>2276</v>
      </c>
      <c r="AC2523" s="4" t="s">
        <v>7072</v>
      </c>
      <c r="AD2523" s="204"/>
    </row>
    <row r="2524" spans="1:30" ht="45.5" customHeight="1">
      <c r="A2524" s="19" t="s">
        <v>7060</v>
      </c>
      <c r="B2524" s="19" t="s">
        <v>7073</v>
      </c>
      <c r="C2524" s="4" t="s">
        <v>24</v>
      </c>
      <c r="D2524" s="4" t="s">
        <v>2346</v>
      </c>
      <c r="E2524" s="4" t="s">
        <v>130</v>
      </c>
      <c r="F2524" s="156" t="s">
        <v>2276</v>
      </c>
      <c r="G2524" s="4" t="s">
        <v>2662</v>
      </c>
      <c r="H2524" s="4" t="s">
        <v>523</v>
      </c>
      <c r="I2524" s="4"/>
      <c r="J2524" s="204" t="s">
        <v>2276</v>
      </c>
      <c r="K2524" s="204" t="s">
        <v>2276</v>
      </c>
      <c r="L2524" s="204" t="s">
        <v>2276</v>
      </c>
      <c r="M2524" s="204" t="s">
        <v>2276</v>
      </c>
      <c r="N2524" s="204" t="s">
        <v>2276</v>
      </c>
      <c r="O2524" s="75">
        <v>3.6</v>
      </c>
      <c r="P2524" s="204" t="s">
        <v>2276</v>
      </c>
      <c r="Q2524" s="204" t="s">
        <v>2276</v>
      </c>
      <c r="R2524" s="204" t="s">
        <v>2276</v>
      </c>
      <c r="S2524" s="204" t="s">
        <v>2276</v>
      </c>
      <c r="T2524" s="204" t="s">
        <v>2276</v>
      </c>
      <c r="U2524" s="204" t="s">
        <v>2276</v>
      </c>
      <c r="V2524" s="204" t="s">
        <v>2276</v>
      </c>
      <c r="W2524" s="204" t="s">
        <v>2276</v>
      </c>
      <c r="X2524" s="204" t="s">
        <v>2276</v>
      </c>
      <c r="Y2524" s="204" t="s">
        <v>2276</v>
      </c>
      <c r="Z2524" s="204" t="s">
        <v>2276</v>
      </c>
      <c r="AA2524" s="204" t="s">
        <v>2276</v>
      </c>
      <c r="AB2524" s="204" t="s">
        <v>2276</v>
      </c>
      <c r="AC2524" s="4" t="s">
        <v>7075</v>
      </c>
      <c r="AD2524" s="4"/>
    </row>
    <row r="2525" spans="1:30" ht="43.5" customHeight="1">
      <c r="A2525" s="19" t="s">
        <v>7060</v>
      </c>
      <c r="B2525" s="19" t="s">
        <v>7074</v>
      </c>
      <c r="C2525" s="204" t="s">
        <v>24</v>
      </c>
      <c r="D2525" s="204" t="s">
        <v>2346</v>
      </c>
      <c r="E2525" s="204" t="s">
        <v>45</v>
      </c>
      <c r="F2525" s="156" t="s">
        <v>2276</v>
      </c>
      <c r="G2525" s="4" t="s">
        <v>2662</v>
      </c>
      <c r="H2525" s="204" t="s">
        <v>523</v>
      </c>
      <c r="I2525" s="204"/>
      <c r="J2525" s="204" t="s">
        <v>2276</v>
      </c>
      <c r="K2525" s="204" t="s">
        <v>2276</v>
      </c>
      <c r="L2525" s="204" t="s">
        <v>2276</v>
      </c>
      <c r="M2525" s="204" t="s">
        <v>2276</v>
      </c>
      <c r="N2525" s="204" t="s">
        <v>2276</v>
      </c>
      <c r="O2525" s="21">
        <v>3.6</v>
      </c>
      <c r="P2525" s="204" t="s">
        <v>2276</v>
      </c>
      <c r="Q2525" s="204" t="s">
        <v>2276</v>
      </c>
      <c r="R2525" s="204" t="s">
        <v>2276</v>
      </c>
      <c r="S2525" s="204" t="s">
        <v>2276</v>
      </c>
      <c r="T2525" s="204" t="s">
        <v>2276</v>
      </c>
      <c r="U2525" s="204" t="s">
        <v>2276</v>
      </c>
      <c r="V2525" s="204" t="s">
        <v>2276</v>
      </c>
      <c r="W2525" s="204" t="s">
        <v>2276</v>
      </c>
      <c r="X2525" s="204" t="s">
        <v>2276</v>
      </c>
      <c r="Y2525" s="204" t="s">
        <v>2276</v>
      </c>
      <c r="Z2525" s="204" t="s">
        <v>2276</v>
      </c>
      <c r="AA2525" s="204" t="s">
        <v>2276</v>
      </c>
      <c r="AB2525" s="204" t="s">
        <v>2276</v>
      </c>
      <c r="AC2525" s="4" t="s">
        <v>7075</v>
      </c>
      <c r="AD2525" s="204"/>
    </row>
    <row r="2526" spans="1:30" ht="37.5" customHeight="1">
      <c r="A2526" s="19" t="s">
        <v>7080</v>
      </c>
      <c r="B2526" s="19" t="s">
        <v>7084</v>
      </c>
      <c r="C2526" s="204" t="s">
        <v>24</v>
      </c>
      <c r="D2526" s="204" t="s">
        <v>1242</v>
      </c>
      <c r="E2526" s="4" t="s">
        <v>3209</v>
      </c>
      <c r="F2526" s="4" t="s">
        <v>2662</v>
      </c>
      <c r="G2526" s="4" t="s">
        <v>2662</v>
      </c>
      <c r="H2526" s="204" t="s">
        <v>523</v>
      </c>
      <c r="I2526" s="204"/>
      <c r="J2526" s="204" t="s">
        <v>2276</v>
      </c>
      <c r="K2526" s="204" t="s">
        <v>2276</v>
      </c>
      <c r="L2526" s="204" t="s">
        <v>2276</v>
      </c>
      <c r="M2526" s="204" t="s">
        <v>2276</v>
      </c>
      <c r="N2526" s="204" t="s">
        <v>2276</v>
      </c>
      <c r="O2526" s="204" t="s">
        <v>2276</v>
      </c>
      <c r="P2526" s="204" t="s">
        <v>2276</v>
      </c>
      <c r="Q2526" s="204" t="s">
        <v>2276</v>
      </c>
      <c r="R2526" s="204" t="s">
        <v>2276</v>
      </c>
      <c r="S2526" s="204" t="s">
        <v>2276</v>
      </c>
      <c r="T2526" s="204" t="s">
        <v>2276</v>
      </c>
      <c r="U2526" s="204" t="s">
        <v>2276</v>
      </c>
      <c r="V2526" s="204" t="s">
        <v>2276</v>
      </c>
      <c r="W2526" s="204" t="s">
        <v>2276</v>
      </c>
      <c r="X2526" s="204" t="s">
        <v>2276</v>
      </c>
      <c r="Y2526" s="204" t="s">
        <v>2276</v>
      </c>
      <c r="Z2526" s="204" t="s">
        <v>35</v>
      </c>
      <c r="AA2526" s="204" t="s">
        <v>35</v>
      </c>
      <c r="AB2526" s="204" t="s">
        <v>2276</v>
      </c>
      <c r="AC2526" s="204"/>
      <c r="AD2526" s="204"/>
    </row>
    <row r="2527" spans="1:30" ht="37.5" customHeight="1">
      <c r="A2527" s="19" t="s">
        <v>7080</v>
      </c>
      <c r="B2527" s="19" t="s">
        <v>7085</v>
      </c>
      <c r="C2527" s="204" t="s">
        <v>24</v>
      </c>
      <c r="D2527" s="204" t="s">
        <v>144</v>
      </c>
      <c r="E2527" s="4" t="s">
        <v>3209</v>
      </c>
      <c r="F2527" s="4" t="s">
        <v>2662</v>
      </c>
      <c r="G2527" s="4" t="s">
        <v>2662</v>
      </c>
      <c r="H2527" s="204" t="s">
        <v>523</v>
      </c>
      <c r="I2527" s="204"/>
      <c r="J2527" s="204" t="s">
        <v>2276</v>
      </c>
      <c r="K2527" s="204" t="s">
        <v>2276</v>
      </c>
      <c r="L2527" s="204" t="s">
        <v>2276</v>
      </c>
      <c r="M2527" s="204" t="s">
        <v>2276</v>
      </c>
      <c r="N2527" s="204" t="s">
        <v>2276</v>
      </c>
      <c r="O2527" s="204" t="s">
        <v>2276</v>
      </c>
      <c r="P2527" s="204" t="s">
        <v>2276</v>
      </c>
      <c r="Q2527" s="204" t="s">
        <v>2276</v>
      </c>
      <c r="R2527" s="204" t="s">
        <v>2276</v>
      </c>
      <c r="S2527" s="204" t="s">
        <v>2276</v>
      </c>
      <c r="T2527" s="204" t="s">
        <v>2276</v>
      </c>
      <c r="U2527" s="204" t="s">
        <v>2276</v>
      </c>
      <c r="V2527" s="204" t="s">
        <v>2276</v>
      </c>
      <c r="W2527" s="204" t="s">
        <v>2276</v>
      </c>
      <c r="X2527" s="204" t="s">
        <v>2276</v>
      </c>
      <c r="Y2527" s="204" t="s">
        <v>2276</v>
      </c>
      <c r="Z2527" s="204" t="s">
        <v>35</v>
      </c>
      <c r="AA2527" s="204" t="s">
        <v>35</v>
      </c>
      <c r="AB2527" s="204" t="s">
        <v>2276</v>
      </c>
      <c r="AC2527" s="204"/>
      <c r="AD2527" s="204"/>
    </row>
    <row r="2528" spans="1:30" ht="40" customHeight="1">
      <c r="A2528" s="19" t="s">
        <v>7080</v>
      </c>
      <c r="B2528" s="19" t="s">
        <v>7086</v>
      </c>
      <c r="C2528" s="204" t="s">
        <v>24</v>
      </c>
      <c r="D2528" s="204" t="s">
        <v>2804</v>
      </c>
      <c r="E2528" s="204" t="s">
        <v>45</v>
      </c>
      <c r="F2528" s="4" t="s">
        <v>2662</v>
      </c>
      <c r="G2528" s="152" t="s">
        <v>2276</v>
      </c>
      <c r="H2528" s="204" t="s">
        <v>524</v>
      </c>
      <c r="I2528" s="204"/>
      <c r="J2528" s="21">
        <v>0</v>
      </c>
      <c r="K2528" s="21">
        <v>0</v>
      </c>
      <c r="L2528" s="21">
        <v>0</v>
      </c>
      <c r="M2528" s="21">
        <v>0</v>
      </c>
      <c r="N2528" s="21">
        <v>0</v>
      </c>
      <c r="O2528" s="21">
        <v>0</v>
      </c>
      <c r="P2528" s="21">
        <v>0</v>
      </c>
      <c r="Q2528" s="21">
        <v>0</v>
      </c>
      <c r="R2528" s="21">
        <v>0</v>
      </c>
      <c r="S2528" s="21">
        <v>0</v>
      </c>
      <c r="T2528" s="21">
        <v>0</v>
      </c>
      <c r="U2528" s="21">
        <v>0</v>
      </c>
      <c r="V2528" s="21">
        <v>0</v>
      </c>
      <c r="W2528" s="21">
        <v>0</v>
      </c>
      <c r="X2528" s="21">
        <v>0</v>
      </c>
      <c r="Y2528" s="204" t="s">
        <v>2276</v>
      </c>
      <c r="Z2528" s="204" t="s">
        <v>2276</v>
      </c>
      <c r="AA2528" s="204" t="s">
        <v>2276</v>
      </c>
      <c r="AB2528" s="204" t="s">
        <v>2276</v>
      </c>
      <c r="AC2528" s="4" t="s">
        <v>7088</v>
      </c>
      <c r="AD2528" s="204"/>
    </row>
    <row r="2529" spans="1:30" ht="40" customHeight="1">
      <c r="A2529" s="19" t="s">
        <v>7080</v>
      </c>
      <c r="B2529" s="19" t="s">
        <v>7087</v>
      </c>
      <c r="C2529" s="204" t="s">
        <v>24</v>
      </c>
      <c r="D2529" s="204" t="s">
        <v>2804</v>
      </c>
      <c r="E2529" s="204" t="s">
        <v>45</v>
      </c>
      <c r="F2529" s="4" t="s">
        <v>2662</v>
      </c>
      <c r="G2529" s="152" t="s">
        <v>2276</v>
      </c>
      <c r="H2529" s="204" t="s">
        <v>523</v>
      </c>
      <c r="I2529" s="204">
        <v>1979</v>
      </c>
      <c r="J2529" s="204" t="s">
        <v>2276</v>
      </c>
      <c r="K2529" s="204" t="s">
        <v>2276</v>
      </c>
      <c r="L2529" s="204" t="s">
        <v>2276</v>
      </c>
      <c r="M2529" s="204" t="s">
        <v>2276</v>
      </c>
      <c r="N2529" s="204" t="s">
        <v>2276</v>
      </c>
      <c r="O2529" s="204" t="s">
        <v>2276</v>
      </c>
      <c r="P2529" s="204" t="s">
        <v>2276</v>
      </c>
      <c r="Q2529" s="204" t="s">
        <v>2276</v>
      </c>
      <c r="R2529" s="204" t="s">
        <v>2276</v>
      </c>
      <c r="S2529" s="204" t="s">
        <v>2276</v>
      </c>
      <c r="T2529" s="204" t="s">
        <v>2276</v>
      </c>
      <c r="U2529" s="204" t="s">
        <v>2276</v>
      </c>
      <c r="V2529" s="204" t="s">
        <v>2276</v>
      </c>
      <c r="W2529" s="204" t="s">
        <v>2276</v>
      </c>
      <c r="X2529" s="204" t="s">
        <v>2276</v>
      </c>
      <c r="Y2529" s="204" t="s">
        <v>2276</v>
      </c>
      <c r="Z2529" s="204" t="s">
        <v>2276</v>
      </c>
      <c r="AA2529" s="204" t="s">
        <v>2276</v>
      </c>
      <c r="AB2529" s="204" t="s">
        <v>2276</v>
      </c>
      <c r="AC2529" s="204"/>
      <c r="AD2529" s="204"/>
    </row>
    <row r="2530" spans="1:30" ht="35.5" customHeight="1">
      <c r="A2530" s="19" t="s">
        <v>7095</v>
      </c>
      <c r="B2530" s="19" t="s">
        <v>7184</v>
      </c>
      <c r="C2530" s="204" t="s">
        <v>24</v>
      </c>
      <c r="D2530" s="204" t="s">
        <v>2804</v>
      </c>
      <c r="E2530" s="204" t="s">
        <v>45</v>
      </c>
      <c r="F2530" s="4" t="s">
        <v>2662</v>
      </c>
      <c r="G2530" s="152" t="s">
        <v>2276</v>
      </c>
      <c r="H2530" s="204" t="s">
        <v>523</v>
      </c>
      <c r="I2530" s="204"/>
      <c r="J2530" s="204" t="s">
        <v>2276</v>
      </c>
      <c r="K2530" s="204" t="s">
        <v>2276</v>
      </c>
      <c r="L2530" s="204" t="s">
        <v>2276</v>
      </c>
      <c r="M2530" s="204" t="s">
        <v>2276</v>
      </c>
      <c r="N2530" s="204" t="s">
        <v>2276</v>
      </c>
      <c r="O2530" s="204" t="s">
        <v>2276</v>
      </c>
      <c r="P2530" s="204" t="s">
        <v>2276</v>
      </c>
      <c r="Q2530" s="204" t="s">
        <v>2276</v>
      </c>
      <c r="R2530" s="204" t="s">
        <v>2276</v>
      </c>
      <c r="S2530" s="204" t="s">
        <v>2276</v>
      </c>
      <c r="T2530" s="204" t="s">
        <v>2276</v>
      </c>
      <c r="U2530" s="204" t="s">
        <v>2276</v>
      </c>
      <c r="V2530" s="204" t="s">
        <v>2276</v>
      </c>
      <c r="W2530" s="204" t="s">
        <v>2276</v>
      </c>
      <c r="X2530" s="204" t="s">
        <v>2276</v>
      </c>
      <c r="Y2530" s="204" t="s">
        <v>2276</v>
      </c>
      <c r="Z2530" s="204" t="s">
        <v>2276</v>
      </c>
      <c r="AA2530" s="204" t="s">
        <v>2276</v>
      </c>
      <c r="AB2530" s="204" t="s">
        <v>2276</v>
      </c>
      <c r="AC2530" s="204"/>
      <c r="AD2530" s="204"/>
    </row>
    <row r="2531" spans="1:30" ht="29">
      <c r="A2531" s="19" t="s">
        <v>7120</v>
      </c>
      <c r="B2531" s="19" t="s">
        <v>7189</v>
      </c>
      <c r="C2531" s="204" t="s">
        <v>24</v>
      </c>
      <c r="D2531" s="204" t="s">
        <v>2804</v>
      </c>
      <c r="E2531" s="204" t="s">
        <v>45</v>
      </c>
      <c r="F2531" s="4" t="s">
        <v>2662</v>
      </c>
      <c r="G2531" s="152" t="s">
        <v>2276</v>
      </c>
      <c r="H2531" s="204" t="s">
        <v>523</v>
      </c>
      <c r="I2531" s="204"/>
      <c r="J2531" s="204" t="s">
        <v>2276</v>
      </c>
      <c r="K2531" s="204" t="s">
        <v>2276</v>
      </c>
      <c r="L2531" s="204" t="s">
        <v>2276</v>
      </c>
      <c r="M2531" s="204" t="s">
        <v>2276</v>
      </c>
      <c r="N2531" s="204" t="s">
        <v>2276</v>
      </c>
      <c r="O2531" s="204" t="s">
        <v>2276</v>
      </c>
      <c r="P2531" s="204" t="s">
        <v>2276</v>
      </c>
      <c r="Q2531" s="204" t="s">
        <v>2276</v>
      </c>
      <c r="R2531" s="204" t="s">
        <v>2276</v>
      </c>
      <c r="S2531" s="204" t="s">
        <v>2276</v>
      </c>
      <c r="T2531" s="204" t="s">
        <v>2276</v>
      </c>
      <c r="U2531" s="204" t="s">
        <v>2276</v>
      </c>
      <c r="V2531" s="204" t="s">
        <v>2276</v>
      </c>
      <c r="W2531" s="204" t="s">
        <v>2276</v>
      </c>
      <c r="X2531" s="204" t="s">
        <v>2276</v>
      </c>
      <c r="Y2531" s="204" t="s">
        <v>2276</v>
      </c>
      <c r="Z2531" s="204" t="s">
        <v>2276</v>
      </c>
      <c r="AA2531" s="204" t="s">
        <v>2276</v>
      </c>
      <c r="AB2531" s="204" t="s">
        <v>2276</v>
      </c>
      <c r="AC2531" s="204"/>
      <c r="AD2531" s="204"/>
    </row>
    <row r="2532" spans="1:30" ht="29">
      <c r="A2532" s="19" t="s">
        <v>7121</v>
      </c>
      <c r="B2532" s="19" t="s">
        <v>7190</v>
      </c>
      <c r="C2532" s="204" t="s">
        <v>24</v>
      </c>
      <c r="D2532" s="204" t="s">
        <v>2804</v>
      </c>
      <c r="E2532" s="204" t="s">
        <v>45</v>
      </c>
      <c r="F2532" s="4" t="s">
        <v>2662</v>
      </c>
      <c r="G2532" s="152" t="s">
        <v>2276</v>
      </c>
      <c r="H2532" s="204" t="s">
        <v>523</v>
      </c>
      <c r="I2532" s="204"/>
      <c r="J2532" s="204" t="s">
        <v>2276</v>
      </c>
      <c r="K2532" s="204" t="s">
        <v>2276</v>
      </c>
      <c r="L2532" s="204" t="s">
        <v>2276</v>
      </c>
      <c r="M2532" s="204" t="s">
        <v>2276</v>
      </c>
      <c r="N2532" s="204" t="s">
        <v>2276</v>
      </c>
      <c r="O2532" s="204" t="s">
        <v>2276</v>
      </c>
      <c r="P2532" s="204" t="s">
        <v>2276</v>
      </c>
      <c r="Q2532" s="204" t="s">
        <v>2276</v>
      </c>
      <c r="R2532" s="204" t="s">
        <v>2276</v>
      </c>
      <c r="S2532" s="204" t="s">
        <v>2276</v>
      </c>
      <c r="T2532" s="204" t="s">
        <v>2276</v>
      </c>
      <c r="U2532" s="204" t="s">
        <v>2276</v>
      </c>
      <c r="V2532" s="204" t="s">
        <v>2276</v>
      </c>
      <c r="W2532" s="204" t="s">
        <v>2276</v>
      </c>
      <c r="X2532" s="204" t="s">
        <v>2276</v>
      </c>
      <c r="Y2532" s="204" t="s">
        <v>2276</v>
      </c>
      <c r="Z2532" s="204" t="s">
        <v>2276</v>
      </c>
      <c r="AA2532" s="204" t="s">
        <v>2276</v>
      </c>
      <c r="AB2532" s="204" t="s">
        <v>2276</v>
      </c>
      <c r="AC2532" s="204"/>
      <c r="AD2532" s="204"/>
    </row>
    <row r="2533" spans="1:30" ht="29">
      <c r="A2533" s="19" t="s">
        <v>7122</v>
      </c>
      <c r="B2533" s="19" t="s">
        <v>7191</v>
      </c>
      <c r="C2533" s="204" t="s">
        <v>24</v>
      </c>
      <c r="D2533" s="204" t="s">
        <v>2804</v>
      </c>
      <c r="E2533" s="204" t="s">
        <v>45</v>
      </c>
      <c r="F2533" s="4" t="s">
        <v>2662</v>
      </c>
      <c r="G2533" s="152" t="s">
        <v>2276</v>
      </c>
      <c r="H2533" s="204" t="s">
        <v>523</v>
      </c>
      <c r="I2533" s="204"/>
      <c r="J2533" s="204" t="s">
        <v>2276</v>
      </c>
      <c r="K2533" s="204" t="s">
        <v>2276</v>
      </c>
      <c r="L2533" s="204" t="s">
        <v>2276</v>
      </c>
      <c r="M2533" s="204" t="s">
        <v>2276</v>
      </c>
      <c r="N2533" s="204" t="s">
        <v>2276</v>
      </c>
      <c r="O2533" s="204" t="s">
        <v>2276</v>
      </c>
      <c r="P2533" s="204" t="s">
        <v>2276</v>
      </c>
      <c r="Q2533" s="204" t="s">
        <v>2276</v>
      </c>
      <c r="R2533" s="204" t="s">
        <v>2276</v>
      </c>
      <c r="S2533" s="204" t="s">
        <v>2276</v>
      </c>
      <c r="T2533" s="204" t="s">
        <v>2276</v>
      </c>
      <c r="U2533" s="204" t="s">
        <v>2276</v>
      </c>
      <c r="V2533" s="204" t="s">
        <v>2276</v>
      </c>
      <c r="W2533" s="204" t="s">
        <v>2276</v>
      </c>
      <c r="X2533" s="204" t="s">
        <v>2276</v>
      </c>
      <c r="Y2533" s="204" t="s">
        <v>2276</v>
      </c>
      <c r="Z2533" s="204" t="s">
        <v>2276</v>
      </c>
      <c r="AA2533" s="204" t="s">
        <v>2276</v>
      </c>
      <c r="AB2533" s="204" t="s">
        <v>2276</v>
      </c>
      <c r="AC2533" s="204"/>
      <c r="AD2533" s="204"/>
    </row>
    <row r="2534" spans="1:30" ht="29">
      <c r="A2534" s="19" t="s">
        <v>7123</v>
      </c>
      <c r="B2534" s="19" t="s">
        <v>7192</v>
      </c>
      <c r="C2534" s="204" t="s">
        <v>24</v>
      </c>
      <c r="D2534" s="204" t="s">
        <v>2804</v>
      </c>
      <c r="E2534" s="204" t="s">
        <v>45</v>
      </c>
      <c r="F2534" s="4" t="s">
        <v>2662</v>
      </c>
      <c r="G2534" s="152" t="s">
        <v>2276</v>
      </c>
      <c r="H2534" s="204" t="s">
        <v>523</v>
      </c>
      <c r="I2534" s="204"/>
      <c r="J2534" s="204" t="s">
        <v>2276</v>
      </c>
      <c r="K2534" s="204" t="s">
        <v>2276</v>
      </c>
      <c r="L2534" s="204" t="s">
        <v>2276</v>
      </c>
      <c r="M2534" s="204" t="s">
        <v>2276</v>
      </c>
      <c r="N2534" s="204" t="s">
        <v>2276</v>
      </c>
      <c r="O2534" s="204" t="s">
        <v>2276</v>
      </c>
      <c r="P2534" s="204" t="s">
        <v>2276</v>
      </c>
      <c r="Q2534" s="204" t="s">
        <v>2276</v>
      </c>
      <c r="R2534" s="204" t="s">
        <v>2276</v>
      </c>
      <c r="S2534" s="204" t="s">
        <v>2276</v>
      </c>
      <c r="T2534" s="204" t="s">
        <v>2276</v>
      </c>
      <c r="U2534" s="204" t="s">
        <v>2276</v>
      </c>
      <c r="V2534" s="204" t="s">
        <v>2276</v>
      </c>
      <c r="W2534" s="204" t="s">
        <v>2276</v>
      </c>
      <c r="X2534" s="204" t="s">
        <v>2276</v>
      </c>
      <c r="Y2534" s="204" t="s">
        <v>2276</v>
      </c>
      <c r="Z2534" s="204" t="s">
        <v>2276</v>
      </c>
      <c r="AA2534" s="204" t="s">
        <v>2276</v>
      </c>
      <c r="AB2534" s="204" t="s">
        <v>2276</v>
      </c>
      <c r="AC2534" s="204"/>
      <c r="AD2534" s="204"/>
    </row>
    <row r="2535" spans="1:30" ht="29">
      <c r="A2535" s="19" t="s">
        <v>7124</v>
      </c>
      <c r="B2535" s="19" t="s">
        <v>7193</v>
      </c>
      <c r="C2535" s="204" t="s">
        <v>24</v>
      </c>
      <c r="D2535" s="204" t="s">
        <v>2804</v>
      </c>
      <c r="E2535" s="204" t="s">
        <v>45</v>
      </c>
      <c r="F2535" s="4" t="s">
        <v>2662</v>
      </c>
      <c r="G2535" s="152" t="s">
        <v>2276</v>
      </c>
      <c r="H2535" s="204" t="s">
        <v>523</v>
      </c>
      <c r="I2535" s="204"/>
      <c r="J2535" s="204" t="s">
        <v>2276</v>
      </c>
      <c r="K2535" s="204" t="s">
        <v>2276</v>
      </c>
      <c r="L2535" s="204" t="s">
        <v>2276</v>
      </c>
      <c r="M2535" s="204" t="s">
        <v>2276</v>
      </c>
      <c r="N2535" s="204" t="s">
        <v>2276</v>
      </c>
      <c r="O2535" s="204" t="s">
        <v>2276</v>
      </c>
      <c r="P2535" s="204" t="s">
        <v>2276</v>
      </c>
      <c r="Q2535" s="204" t="s">
        <v>2276</v>
      </c>
      <c r="R2535" s="204" t="s">
        <v>2276</v>
      </c>
      <c r="S2535" s="204" t="s">
        <v>2276</v>
      </c>
      <c r="T2535" s="204" t="s">
        <v>2276</v>
      </c>
      <c r="U2535" s="204" t="s">
        <v>2276</v>
      </c>
      <c r="V2535" s="204" t="s">
        <v>2276</v>
      </c>
      <c r="W2535" s="204" t="s">
        <v>2276</v>
      </c>
      <c r="X2535" s="204" t="s">
        <v>2276</v>
      </c>
      <c r="Y2535" s="204" t="s">
        <v>2276</v>
      </c>
      <c r="Z2535" s="204" t="s">
        <v>2276</v>
      </c>
      <c r="AA2535" s="204" t="s">
        <v>2276</v>
      </c>
      <c r="AB2535" s="204" t="s">
        <v>2276</v>
      </c>
      <c r="AC2535" s="204"/>
      <c r="AD2535" s="204"/>
    </row>
    <row r="2536" spans="1:30" ht="29">
      <c r="A2536" s="19" t="s">
        <v>7125</v>
      </c>
      <c r="B2536" s="19" t="s">
        <v>7201</v>
      </c>
      <c r="C2536" s="204" t="s">
        <v>24</v>
      </c>
      <c r="D2536" s="204" t="s">
        <v>2804</v>
      </c>
      <c r="E2536" s="204" t="s">
        <v>45</v>
      </c>
      <c r="F2536" s="4" t="s">
        <v>2662</v>
      </c>
      <c r="G2536" s="152" t="s">
        <v>2276</v>
      </c>
      <c r="H2536" s="204" t="s">
        <v>523</v>
      </c>
      <c r="I2536" s="204"/>
      <c r="J2536" s="204" t="s">
        <v>2276</v>
      </c>
      <c r="K2536" s="204" t="s">
        <v>2276</v>
      </c>
      <c r="L2536" s="204" t="s">
        <v>2276</v>
      </c>
      <c r="M2536" s="204" t="s">
        <v>2276</v>
      </c>
      <c r="N2536" s="204" t="s">
        <v>2276</v>
      </c>
      <c r="O2536" s="204" t="s">
        <v>2276</v>
      </c>
      <c r="P2536" s="204" t="s">
        <v>2276</v>
      </c>
      <c r="Q2536" s="204" t="s">
        <v>2276</v>
      </c>
      <c r="R2536" s="204" t="s">
        <v>2276</v>
      </c>
      <c r="S2536" s="204" t="s">
        <v>2276</v>
      </c>
      <c r="T2536" s="204" t="s">
        <v>2276</v>
      </c>
      <c r="U2536" s="204" t="s">
        <v>2276</v>
      </c>
      <c r="V2536" s="204" t="s">
        <v>2276</v>
      </c>
      <c r="W2536" s="204" t="s">
        <v>2276</v>
      </c>
      <c r="X2536" s="204" t="s">
        <v>2276</v>
      </c>
      <c r="Y2536" s="204" t="s">
        <v>2276</v>
      </c>
      <c r="Z2536" s="204" t="s">
        <v>2276</v>
      </c>
      <c r="AA2536" s="204" t="s">
        <v>2276</v>
      </c>
      <c r="AB2536" s="204" t="s">
        <v>2276</v>
      </c>
      <c r="AC2536" s="204"/>
      <c r="AD2536" s="204"/>
    </row>
    <row r="2537" spans="1:30" ht="37" customHeight="1">
      <c r="A2537" s="19" t="s">
        <v>7169</v>
      </c>
      <c r="B2537" s="19" t="s">
        <v>7221</v>
      </c>
      <c r="C2537" s="204" t="s">
        <v>24</v>
      </c>
      <c r="D2537" s="204" t="s">
        <v>2804</v>
      </c>
      <c r="E2537" s="204" t="s">
        <v>45</v>
      </c>
      <c r="F2537" s="4" t="s">
        <v>2662</v>
      </c>
      <c r="G2537" s="152" t="s">
        <v>2276</v>
      </c>
      <c r="H2537" s="204" t="s">
        <v>523</v>
      </c>
      <c r="I2537" s="204"/>
      <c r="J2537" s="204" t="s">
        <v>2276</v>
      </c>
      <c r="K2537" s="204" t="s">
        <v>2276</v>
      </c>
      <c r="L2537" s="204" t="s">
        <v>2276</v>
      </c>
      <c r="M2537" s="204" t="s">
        <v>2276</v>
      </c>
      <c r="N2537" s="204" t="s">
        <v>2276</v>
      </c>
      <c r="O2537" s="204" t="s">
        <v>2276</v>
      </c>
      <c r="P2537" s="204" t="s">
        <v>2276</v>
      </c>
      <c r="Q2537" s="204" t="s">
        <v>2276</v>
      </c>
      <c r="R2537" s="204" t="s">
        <v>2276</v>
      </c>
      <c r="S2537" s="204" t="s">
        <v>2276</v>
      </c>
      <c r="T2537" s="204" t="s">
        <v>2276</v>
      </c>
      <c r="U2537" s="204" t="s">
        <v>2276</v>
      </c>
      <c r="V2537" s="204" t="s">
        <v>2276</v>
      </c>
      <c r="W2537" s="204" t="s">
        <v>2276</v>
      </c>
      <c r="X2537" s="204" t="s">
        <v>2276</v>
      </c>
      <c r="Y2537" s="204" t="s">
        <v>2276</v>
      </c>
      <c r="Z2537" s="204" t="s">
        <v>34</v>
      </c>
      <c r="AA2537" s="204" t="s">
        <v>405</v>
      </c>
      <c r="AB2537" s="204" t="s">
        <v>2276</v>
      </c>
      <c r="AC2537" s="11" t="s">
        <v>7222</v>
      </c>
      <c r="AD2537" s="204"/>
    </row>
    <row r="2538" spans="1:30" s="203" customFormat="1" ht="37" customHeight="1">
      <c r="A2538" s="19" t="s">
        <v>7169</v>
      </c>
      <c r="B2538" s="19" t="s">
        <v>7223</v>
      </c>
      <c r="C2538" s="204" t="s">
        <v>2458</v>
      </c>
      <c r="D2538" s="204" t="s">
        <v>2804</v>
      </c>
      <c r="E2538" s="204" t="s">
        <v>45</v>
      </c>
      <c r="F2538" s="4" t="s">
        <v>2662</v>
      </c>
      <c r="G2538" s="152" t="s">
        <v>2276</v>
      </c>
      <c r="H2538" s="204" t="s">
        <v>523</v>
      </c>
      <c r="I2538" s="204"/>
      <c r="J2538" s="204" t="s">
        <v>2276</v>
      </c>
      <c r="K2538" s="204" t="s">
        <v>2276</v>
      </c>
      <c r="L2538" s="204" t="s">
        <v>2276</v>
      </c>
      <c r="M2538" s="204" t="s">
        <v>2276</v>
      </c>
      <c r="N2538" s="204" t="s">
        <v>2276</v>
      </c>
      <c r="O2538" s="204" t="s">
        <v>2276</v>
      </c>
      <c r="P2538" s="204" t="s">
        <v>2276</v>
      </c>
      <c r="Q2538" s="204" t="s">
        <v>2276</v>
      </c>
      <c r="R2538" s="204" t="s">
        <v>2276</v>
      </c>
      <c r="S2538" s="204" t="s">
        <v>2276</v>
      </c>
      <c r="T2538" s="204" t="s">
        <v>2276</v>
      </c>
      <c r="U2538" s="204" t="s">
        <v>2276</v>
      </c>
      <c r="V2538" s="204" t="s">
        <v>2276</v>
      </c>
      <c r="W2538" s="204" t="s">
        <v>2276</v>
      </c>
      <c r="X2538" s="204" t="s">
        <v>2276</v>
      </c>
      <c r="Y2538" s="204" t="s">
        <v>2276</v>
      </c>
      <c r="Z2538" s="204" t="s">
        <v>2276</v>
      </c>
      <c r="AA2538" s="204" t="s">
        <v>2276</v>
      </c>
      <c r="AB2538" s="204" t="s">
        <v>2276</v>
      </c>
      <c r="AC2538" s="11" t="s">
        <v>7225</v>
      </c>
      <c r="AD2538" s="204"/>
    </row>
    <row r="2539" spans="1:30" ht="32.5" customHeight="1">
      <c r="A2539" s="19" t="s">
        <v>7170</v>
      </c>
      <c r="B2539" s="19" t="s">
        <v>7224</v>
      </c>
      <c r="C2539" s="204" t="s">
        <v>24</v>
      </c>
      <c r="D2539" s="204" t="s">
        <v>2804</v>
      </c>
      <c r="E2539" s="204" t="s">
        <v>45</v>
      </c>
      <c r="F2539" s="4" t="s">
        <v>2662</v>
      </c>
      <c r="G2539" s="152" t="s">
        <v>2276</v>
      </c>
      <c r="H2539" s="204" t="s">
        <v>523</v>
      </c>
      <c r="I2539" s="204"/>
      <c r="J2539" s="204" t="s">
        <v>2276</v>
      </c>
      <c r="K2539" s="204" t="s">
        <v>2276</v>
      </c>
      <c r="L2539" s="204" t="s">
        <v>2276</v>
      </c>
      <c r="M2539" s="204" t="s">
        <v>2276</v>
      </c>
      <c r="N2539" s="204" t="s">
        <v>2276</v>
      </c>
      <c r="O2539" s="204" t="s">
        <v>2276</v>
      </c>
      <c r="P2539" s="204" t="s">
        <v>2276</v>
      </c>
      <c r="Q2539" s="204" t="s">
        <v>2276</v>
      </c>
      <c r="R2539" s="204" t="s">
        <v>2276</v>
      </c>
      <c r="S2539" s="204" t="s">
        <v>2276</v>
      </c>
      <c r="T2539" s="204" t="s">
        <v>2276</v>
      </c>
      <c r="U2539" s="204" t="s">
        <v>2276</v>
      </c>
      <c r="V2539" s="204" t="s">
        <v>2276</v>
      </c>
      <c r="W2539" s="204" t="s">
        <v>2276</v>
      </c>
      <c r="X2539" s="204" t="s">
        <v>2276</v>
      </c>
      <c r="Y2539" s="204" t="s">
        <v>2276</v>
      </c>
      <c r="Z2539" s="204" t="s">
        <v>34</v>
      </c>
      <c r="AA2539" s="204" t="s">
        <v>405</v>
      </c>
      <c r="AB2539" s="204" t="s">
        <v>2276</v>
      </c>
      <c r="AC2539" s="11" t="s">
        <v>7222</v>
      </c>
      <c r="AD2539" s="204"/>
    </row>
    <row r="2540" spans="1:30" ht="35.5" customHeight="1">
      <c r="A2540" s="19" t="s">
        <v>7171</v>
      </c>
      <c r="B2540" s="19" t="s">
        <v>7226</v>
      </c>
      <c r="C2540" s="204" t="s">
        <v>24</v>
      </c>
      <c r="D2540" s="204" t="s">
        <v>2804</v>
      </c>
      <c r="E2540" s="204" t="s">
        <v>45</v>
      </c>
      <c r="F2540" s="4" t="s">
        <v>2662</v>
      </c>
      <c r="G2540" s="152" t="s">
        <v>2276</v>
      </c>
      <c r="H2540" s="204" t="s">
        <v>523</v>
      </c>
      <c r="I2540" s="204"/>
      <c r="J2540" s="204" t="s">
        <v>2276</v>
      </c>
      <c r="K2540" s="204" t="s">
        <v>2276</v>
      </c>
      <c r="L2540" s="204" t="s">
        <v>2276</v>
      </c>
      <c r="M2540" s="204" t="s">
        <v>2276</v>
      </c>
      <c r="N2540" s="204" t="s">
        <v>2276</v>
      </c>
      <c r="O2540" s="204" t="s">
        <v>2276</v>
      </c>
      <c r="P2540" s="204" t="s">
        <v>2276</v>
      </c>
      <c r="Q2540" s="204" t="s">
        <v>2276</v>
      </c>
      <c r="R2540" s="204" t="s">
        <v>2276</v>
      </c>
      <c r="S2540" s="204" t="s">
        <v>2276</v>
      </c>
      <c r="T2540" s="204" t="s">
        <v>2276</v>
      </c>
      <c r="U2540" s="204" t="s">
        <v>2276</v>
      </c>
      <c r="V2540" s="204" t="s">
        <v>2276</v>
      </c>
      <c r="W2540" s="204" t="s">
        <v>2276</v>
      </c>
      <c r="X2540" s="204" t="s">
        <v>2276</v>
      </c>
      <c r="Y2540" s="204" t="s">
        <v>2276</v>
      </c>
      <c r="Z2540" s="204" t="s">
        <v>34</v>
      </c>
      <c r="AA2540" s="204" t="s">
        <v>405</v>
      </c>
      <c r="AB2540" s="204" t="s">
        <v>2276</v>
      </c>
      <c r="AC2540" s="11" t="s">
        <v>7222</v>
      </c>
      <c r="AD2540" s="204"/>
    </row>
    <row r="2541" spans="1:30" ht="29">
      <c r="A2541" s="19" t="s">
        <v>7172</v>
      </c>
      <c r="B2541" s="19" t="s">
        <v>7228</v>
      </c>
      <c r="C2541" s="204" t="s">
        <v>24</v>
      </c>
      <c r="D2541" s="204" t="s">
        <v>2804</v>
      </c>
      <c r="E2541" s="204" t="s">
        <v>45</v>
      </c>
      <c r="F2541" s="4" t="s">
        <v>2662</v>
      </c>
      <c r="G2541" s="152" t="s">
        <v>2276</v>
      </c>
      <c r="H2541" s="204" t="s">
        <v>523</v>
      </c>
      <c r="I2541" s="204"/>
      <c r="J2541" s="204" t="s">
        <v>2276</v>
      </c>
      <c r="K2541" s="204" t="s">
        <v>2276</v>
      </c>
      <c r="L2541" s="204" t="s">
        <v>2276</v>
      </c>
      <c r="M2541" s="204" t="s">
        <v>2276</v>
      </c>
      <c r="N2541" s="204" t="s">
        <v>2276</v>
      </c>
      <c r="O2541" s="204" t="s">
        <v>2276</v>
      </c>
      <c r="P2541" s="204" t="s">
        <v>2276</v>
      </c>
      <c r="Q2541" s="204" t="s">
        <v>2276</v>
      </c>
      <c r="R2541" s="204" t="s">
        <v>2276</v>
      </c>
      <c r="S2541" s="204" t="s">
        <v>2276</v>
      </c>
      <c r="T2541" s="204" t="s">
        <v>2276</v>
      </c>
      <c r="U2541" s="204" t="s">
        <v>2276</v>
      </c>
      <c r="V2541" s="204" t="s">
        <v>2276</v>
      </c>
      <c r="W2541" s="204" t="s">
        <v>2276</v>
      </c>
      <c r="X2541" s="204" t="s">
        <v>2276</v>
      </c>
      <c r="Y2541" s="204" t="s">
        <v>2276</v>
      </c>
      <c r="Z2541" s="204" t="s">
        <v>2276</v>
      </c>
      <c r="AA2541" s="204" t="s">
        <v>2276</v>
      </c>
      <c r="AB2541" s="204" t="s">
        <v>2276</v>
      </c>
      <c r="AC2541" s="204"/>
      <c r="AD2541" s="204"/>
    </row>
    <row r="2542" spans="1:30" ht="29">
      <c r="A2542" s="19" t="s">
        <v>7172</v>
      </c>
      <c r="B2542" s="19" t="s">
        <v>7229</v>
      </c>
      <c r="C2542" s="204" t="s">
        <v>24</v>
      </c>
      <c r="D2542" s="204" t="s">
        <v>2804</v>
      </c>
      <c r="E2542" s="204" t="s">
        <v>5005</v>
      </c>
      <c r="F2542" s="4" t="s">
        <v>2662</v>
      </c>
      <c r="G2542" s="152" t="s">
        <v>2276</v>
      </c>
      <c r="H2542" s="204" t="s">
        <v>523</v>
      </c>
      <c r="I2542" s="204"/>
      <c r="J2542" s="204" t="s">
        <v>2276</v>
      </c>
      <c r="K2542" s="204" t="s">
        <v>2276</v>
      </c>
      <c r="L2542" s="204" t="s">
        <v>2276</v>
      </c>
      <c r="M2542" s="204" t="s">
        <v>2276</v>
      </c>
      <c r="N2542" s="204" t="s">
        <v>2276</v>
      </c>
      <c r="O2542" s="204" t="s">
        <v>2276</v>
      </c>
      <c r="P2542" s="204" t="s">
        <v>2276</v>
      </c>
      <c r="Q2542" s="204" t="s">
        <v>2276</v>
      </c>
      <c r="R2542" s="204" t="s">
        <v>2276</v>
      </c>
      <c r="S2542" s="204" t="s">
        <v>2276</v>
      </c>
      <c r="T2542" s="204" t="s">
        <v>2276</v>
      </c>
      <c r="U2542" s="204" t="s">
        <v>2276</v>
      </c>
      <c r="V2542" s="204" t="s">
        <v>2276</v>
      </c>
      <c r="W2542" s="204" t="s">
        <v>2276</v>
      </c>
      <c r="X2542" s="204" t="s">
        <v>2276</v>
      </c>
      <c r="Y2542" s="204" t="s">
        <v>2276</v>
      </c>
      <c r="Z2542" s="204" t="s">
        <v>2276</v>
      </c>
      <c r="AA2542" s="204" t="s">
        <v>2276</v>
      </c>
      <c r="AB2542" s="204" t="s">
        <v>2276</v>
      </c>
      <c r="AC2542" s="204"/>
      <c r="AD2542" s="204"/>
    </row>
    <row r="2543" spans="1:30" ht="29">
      <c r="A2543" s="19" t="s">
        <v>7230</v>
      </c>
      <c r="B2543" s="19" t="s">
        <v>7231</v>
      </c>
      <c r="C2543" s="204" t="s">
        <v>24</v>
      </c>
      <c r="D2543" s="204" t="s">
        <v>2804</v>
      </c>
      <c r="E2543" s="204" t="s">
        <v>45</v>
      </c>
      <c r="F2543" s="4" t="s">
        <v>2662</v>
      </c>
      <c r="G2543" s="152" t="s">
        <v>2276</v>
      </c>
      <c r="H2543" s="204" t="s">
        <v>523</v>
      </c>
      <c r="I2543" s="204"/>
      <c r="J2543" s="204" t="s">
        <v>2276</v>
      </c>
      <c r="K2543" s="204" t="s">
        <v>2276</v>
      </c>
      <c r="L2543" s="204" t="s">
        <v>2276</v>
      </c>
      <c r="M2543" s="204" t="s">
        <v>2276</v>
      </c>
      <c r="N2543" s="204" t="s">
        <v>2276</v>
      </c>
      <c r="O2543" s="204" t="s">
        <v>2276</v>
      </c>
      <c r="P2543" s="204" t="s">
        <v>2276</v>
      </c>
      <c r="Q2543" s="204" t="s">
        <v>2276</v>
      </c>
      <c r="R2543" s="204" t="s">
        <v>2276</v>
      </c>
      <c r="S2543" s="204" t="s">
        <v>2276</v>
      </c>
      <c r="T2543" s="204" t="s">
        <v>2276</v>
      </c>
      <c r="U2543" s="204" t="s">
        <v>2276</v>
      </c>
      <c r="V2543" s="204" t="s">
        <v>2276</v>
      </c>
      <c r="W2543" s="204" t="s">
        <v>2276</v>
      </c>
      <c r="X2543" s="204" t="s">
        <v>2276</v>
      </c>
      <c r="Y2543" s="204" t="s">
        <v>2276</v>
      </c>
      <c r="Z2543" s="204" t="s">
        <v>2276</v>
      </c>
      <c r="AA2543" s="204" t="s">
        <v>2276</v>
      </c>
      <c r="AB2543" s="204" t="s">
        <v>2276</v>
      </c>
      <c r="AC2543" s="204"/>
      <c r="AD2543" s="204"/>
    </row>
    <row r="2544" spans="1:30" ht="29">
      <c r="A2544" s="19" t="s">
        <v>7230</v>
      </c>
      <c r="B2544" s="19" t="s">
        <v>7232</v>
      </c>
      <c r="C2544" s="204" t="s">
        <v>24</v>
      </c>
      <c r="D2544" s="204" t="s">
        <v>2804</v>
      </c>
      <c r="E2544" s="204" t="s">
        <v>5005</v>
      </c>
      <c r="F2544" s="4" t="s">
        <v>2662</v>
      </c>
      <c r="G2544" s="152" t="s">
        <v>2276</v>
      </c>
      <c r="H2544" s="204" t="s">
        <v>523</v>
      </c>
      <c r="I2544" s="204"/>
      <c r="J2544" s="204" t="s">
        <v>2276</v>
      </c>
      <c r="K2544" s="204" t="s">
        <v>2276</v>
      </c>
      <c r="L2544" s="204" t="s">
        <v>2276</v>
      </c>
      <c r="M2544" s="204" t="s">
        <v>2276</v>
      </c>
      <c r="N2544" s="204" t="s">
        <v>2276</v>
      </c>
      <c r="O2544" s="204" t="s">
        <v>2276</v>
      </c>
      <c r="P2544" s="204" t="s">
        <v>2276</v>
      </c>
      <c r="Q2544" s="204" t="s">
        <v>2276</v>
      </c>
      <c r="R2544" s="204" t="s">
        <v>2276</v>
      </c>
      <c r="S2544" s="204" t="s">
        <v>2276</v>
      </c>
      <c r="T2544" s="204" t="s">
        <v>2276</v>
      </c>
      <c r="U2544" s="204" t="s">
        <v>2276</v>
      </c>
      <c r="V2544" s="204" t="s">
        <v>2276</v>
      </c>
      <c r="W2544" s="204" t="s">
        <v>2276</v>
      </c>
      <c r="X2544" s="204" t="s">
        <v>2276</v>
      </c>
      <c r="Y2544" s="204" t="s">
        <v>2276</v>
      </c>
      <c r="Z2544" s="204" t="s">
        <v>2276</v>
      </c>
      <c r="AA2544" s="204" t="s">
        <v>2276</v>
      </c>
      <c r="AB2544" s="204" t="s">
        <v>2276</v>
      </c>
      <c r="AC2544" s="204"/>
      <c r="AD2544" s="204"/>
    </row>
    <row r="2545" spans="1:30" ht="31.5" customHeight="1">
      <c r="A2545" s="19" t="s">
        <v>7234</v>
      </c>
      <c r="B2545" s="19" t="s">
        <v>7241</v>
      </c>
      <c r="C2545" s="204" t="s">
        <v>24</v>
      </c>
      <c r="D2545" s="204" t="s">
        <v>1242</v>
      </c>
      <c r="E2545" s="204" t="s">
        <v>3209</v>
      </c>
      <c r="F2545" s="4" t="s">
        <v>2662</v>
      </c>
      <c r="G2545" s="152" t="s">
        <v>2276</v>
      </c>
      <c r="H2545" s="204" t="s">
        <v>523</v>
      </c>
      <c r="I2545" s="204"/>
      <c r="J2545" s="204" t="s">
        <v>2276</v>
      </c>
      <c r="K2545" s="204" t="s">
        <v>2276</v>
      </c>
      <c r="L2545" s="204" t="s">
        <v>2276</v>
      </c>
      <c r="M2545" s="204" t="s">
        <v>2276</v>
      </c>
      <c r="N2545" s="204" t="s">
        <v>2276</v>
      </c>
      <c r="O2545" s="204" t="s">
        <v>2276</v>
      </c>
      <c r="P2545" s="204" t="s">
        <v>2276</v>
      </c>
      <c r="Q2545" s="204" t="s">
        <v>2276</v>
      </c>
      <c r="R2545" s="204" t="s">
        <v>2276</v>
      </c>
      <c r="S2545" s="204" t="s">
        <v>2276</v>
      </c>
      <c r="T2545" s="14">
        <v>10000</v>
      </c>
      <c r="U2545" s="204" t="s">
        <v>2276</v>
      </c>
      <c r="V2545" s="204" t="s">
        <v>2276</v>
      </c>
      <c r="W2545" s="204" t="s">
        <v>2276</v>
      </c>
      <c r="X2545" s="14">
        <f>10000/'Record info'!K1110</f>
        <v>6.4794494541387804E-3</v>
      </c>
      <c r="Y2545" s="204" t="s">
        <v>2276</v>
      </c>
      <c r="Z2545" s="204" t="s">
        <v>2276</v>
      </c>
      <c r="AA2545" s="204" t="s">
        <v>2276</v>
      </c>
      <c r="AB2545" s="204" t="s">
        <v>2276</v>
      </c>
      <c r="AC2545" s="4" t="s">
        <v>7250</v>
      </c>
      <c r="AD2545" s="204"/>
    </row>
    <row r="2546" spans="1:30" ht="39" customHeight="1">
      <c r="A2546" s="19" t="s">
        <v>7235</v>
      </c>
      <c r="B2546" s="19" t="s">
        <v>7242</v>
      </c>
      <c r="C2546" s="204" t="s">
        <v>24</v>
      </c>
      <c r="D2546" s="204" t="s">
        <v>1242</v>
      </c>
      <c r="E2546" s="204" t="s">
        <v>3209</v>
      </c>
      <c r="F2546" s="4" t="s">
        <v>2662</v>
      </c>
      <c r="G2546" s="152" t="s">
        <v>2276</v>
      </c>
      <c r="H2546" s="204" t="s">
        <v>524</v>
      </c>
      <c r="I2546" s="204"/>
      <c r="J2546" s="21">
        <v>0</v>
      </c>
      <c r="K2546" s="21">
        <v>0</v>
      </c>
      <c r="L2546" s="21">
        <v>0</v>
      </c>
      <c r="M2546" s="21">
        <v>0</v>
      </c>
      <c r="N2546" s="21">
        <v>0</v>
      </c>
      <c r="O2546" s="21">
        <v>0</v>
      </c>
      <c r="P2546" s="21">
        <v>0</v>
      </c>
      <c r="Q2546" s="21">
        <v>0</v>
      </c>
      <c r="R2546" s="21">
        <v>0</v>
      </c>
      <c r="S2546" s="21">
        <v>0</v>
      </c>
      <c r="T2546" s="21">
        <v>0</v>
      </c>
      <c r="U2546" s="21">
        <v>0</v>
      </c>
      <c r="V2546" s="21">
        <v>0</v>
      </c>
      <c r="W2546" s="21">
        <v>0</v>
      </c>
      <c r="X2546" s="21">
        <v>0</v>
      </c>
      <c r="Y2546" s="204" t="s">
        <v>2276</v>
      </c>
      <c r="Z2546" s="204" t="s">
        <v>2276</v>
      </c>
      <c r="AA2546" s="204" t="s">
        <v>2276</v>
      </c>
      <c r="AB2546" s="204" t="s">
        <v>2276</v>
      </c>
      <c r="AC2546" s="4" t="s">
        <v>7250</v>
      </c>
      <c r="AD2546" s="204"/>
    </row>
    <row r="2547" spans="1:30" ht="31.5" customHeight="1">
      <c r="A2547" s="19" t="s">
        <v>7235</v>
      </c>
      <c r="B2547" s="19" t="s">
        <v>7243</v>
      </c>
      <c r="C2547" s="204" t="s">
        <v>24</v>
      </c>
      <c r="D2547" s="204" t="s">
        <v>1242</v>
      </c>
      <c r="E2547" s="204" t="s">
        <v>3209</v>
      </c>
      <c r="F2547" s="4" t="s">
        <v>2662</v>
      </c>
      <c r="G2547" s="152" t="s">
        <v>2276</v>
      </c>
      <c r="H2547" s="204" t="s">
        <v>524</v>
      </c>
      <c r="I2547" s="204"/>
      <c r="J2547" s="21">
        <v>0</v>
      </c>
      <c r="K2547" s="21">
        <v>0</v>
      </c>
      <c r="L2547" s="21">
        <v>0</v>
      </c>
      <c r="M2547" s="21">
        <v>0</v>
      </c>
      <c r="N2547" s="21">
        <v>0</v>
      </c>
      <c r="O2547" s="21">
        <v>0</v>
      </c>
      <c r="P2547" s="21">
        <v>0</v>
      </c>
      <c r="Q2547" s="21">
        <v>0</v>
      </c>
      <c r="R2547" s="21">
        <v>0</v>
      </c>
      <c r="S2547" s="21">
        <v>0</v>
      </c>
      <c r="T2547" s="21">
        <v>0</v>
      </c>
      <c r="U2547" s="21">
        <v>0</v>
      </c>
      <c r="V2547" s="21">
        <v>0</v>
      </c>
      <c r="W2547" s="21">
        <v>0</v>
      </c>
      <c r="X2547" s="21">
        <v>0</v>
      </c>
      <c r="Y2547" s="204" t="s">
        <v>2276</v>
      </c>
      <c r="Z2547" s="204" t="s">
        <v>2276</v>
      </c>
      <c r="AA2547" s="204" t="s">
        <v>2276</v>
      </c>
      <c r="AB2547" s="204" t="s">
        <v>2276</v>
      </c>
      <c r="AC2547" s="204"/>
      <c r="AD2547" s="204"/>
    </row>
    <row r="2548" spans="1:30" ht="32.5" customHeight="1">
      <c r="A2548" s="19" t="s">
        <v>7236</v>
      </c>
      <c r="B2548" s="19" t="s">
        <v>7249</v>
      </c>
      <c r="C2548" s="204" t="s">
        <v>24</v>
      </c>
      <c r="D2548" s="204" t="s">
        <v>1242</v>
      </c>
      <c r="E2548" s="204" t="s">
        <v>3209</v>
      </c>
      <c r="F2548" s="4" t="s">
        <v>2662</v>
      </c>
      <c r="G2548" s="152" t="s">
        <v>2276</v>
      </c>
      <c r="H2548" s="204" t="s">
        <v>523</v>
      </c>
      <c r="I2548" s="204"/>
      <c r="J2548" s="204" t="s">
        <v>2276</v>
      </c>
      <c r="K2548" s="204" t="s">
        <v>2276</v>
      </c>
      <c r="L2548" s="204" t="s">
        <v>2276</v>
      </c>
      <c r="M2548" s="204" t="s">
        <v>2276</v>
      </c>
      <c r="N2548" s="204" t="s">
        <v>2276</v>
      </c>
      <c r="O2548" s="204" t="s">
        <v>2276</v>
      </c>
      <c r="P2548" s="204" t="s">
        <v>2276</v>
      </c>
      <c r="Q2548" s="204" t="s">
        <v>2276</v>
      </c>
      <c r="R2548" s="204" t="s">
        <v>2276</v>
      </c>
      <c r="S2548" s="204" t="s">
        <v>2276</v>
      </c>
      <c r="T2548" s="204" t="s">
        <v>2276</v>
      </c>
      <c r="U2548" s="204" t="s">
        <v>2276</v>
      </c>
      <c r="V2548" s="204" t="s">
        <v>2276</v>
      </c>
      <c r="W2548" s="204" t="s">
        <v>2276</v>
      </c>
      <c r="X2548" s="21">
        <v>0.6</v>
      </c>
      <c r="Y2548" s="204" t="s">
        <v>2276</v>
      </c>
      <c r="Z2548" s="204" t="s">
        <v>2276</v>
      </c>
      <c r="AA2548" s="204" t="s">
        <v>2276</v>
      </c>
      <c r="AB2548" s="204" t="s">
        <v>2276</v>
      </c>
      <c r="AC2548" s="204"/>
      <c r="AD2548" s="204"/>
    </row>
    <row r="2549" spans="1:30" ht="29" customHeight="1">
      <c r="A2549" s="19" t="s">
        <v>7237</v>
      </c>
      <c r="B2549" s="19" t="s">
        <v>7251</v>
      </c>
      <c r="C2549" s="204" t="s">
        <v>24</v>
      </c>
      <c r="D2549" s="204" t="s">
        <v>1242</v>
      </c>
      <c r="E2549" s="204" t="s">
        <v>3209</v>
      </c>
      <c r="F2549" s="4" t="s">
        <v>2662</v>
      </c>
      <c r="G2549" s="152" t="s">
        <v>2276</v>
      </c>
      <c r="H2549" s="204" t="s">
        <v>523</v>
      </c>
      <c r="I2549" s="204"/>
      <c r="J2549" s="204" t="s">
        <v>2276</v>
      </c>
      <c r="K2549" s="204" t="s">
        <v>2276</v>
      </c>
      <c r="L2549" s="204" t="s">
        <v>2276</v>
      </c>
      <c r="M2549" s="204" t="s">
        <v>2276</v>
      </c>
      <c r="N2549" s="204" t="s">
        <v>2276</v>
      </c>
      <c r="O2549" s="204" t="s">
        <v>2276</v>
      </c>
      <c r="P2549" s="204" t="s">
        <v>2276</v>
      </c>
      <c r="Q2549" s="204" t="s">
        <v>2276</v>
      </c>
      <c r="R2549" s="204" t="s">
        <v>2276</v>
      </c>
      <c r="S2549" s="204" t="s">
        <v>2276</v>
      </c>
      <c r="T2549" s="204" t="s">
        <v>2276</v>
      </c>
      <c r="U2549" s="204" t="s">
        <v>2276</v>
      </c>
      <c r="V2549" s="204" t="s">
        <v>2276</v>
      </c>
      <c r="W2549" s="204" t="s">
        <v>2276</v>
      </c>
      <c r="X2549" s="204" t="s">
        <v>2276</v>
      </c>
      <c r="Y2549" s="204" t="s">
        <v>2276</v>
      </c>
      <c r="Z2549" s="204" t="s">
        <v>2276</v>
      </c>
      <c r="AA2549" s="204" t="s">
        <v>2276</v>
      </c>
      <c r="AB2549" s="204" t="s">
        <v>2276</v>
      </c>
      <c r="AC2549" s="204"/>
      <c r="AD2549" s="204"/>
    </row>
    <row r="2550" spans="1:30" ht="30" customHeight="1">
      <c r="A2550" s="19" t="s">
        <v>7237</v>
      </c>
      <c r="B2550" s="204" t="s">
        <v>7253</v>
      </c>
      <c r="C2550" s="204" t="s">
        <v>24</v>
      </c>
      <c r="D2550" s="204" t="s">
        <v>2804</v>
      </c>
      <c r="E2550" s="204" t="s">
        <v>45</v>
      </c>
      <c r="F2550" s="4" t="s">
        <v>2662</v>
      </c>
      <c r="G2550" s="152" t="s">
        <v>2276</v>
      </c>
      <c r="H2550" s="204" t="s">
        <v>523</v>
      </c>
      <c r="I2550" s="204"/>
      <c r="J2550" s="204" t="s">
        <v>2276</v>
      </c>
      <c r="K2550" s="204" t="s">
        <v>2276</v>
      </c>
      <c r="L2550" s="204" t="s">
        <v>2276</v>
      </c>
      <c r="M2550" s="204" t="s">
        <v>2276</v>
      </c>
      <c r="N2550" s="204" t="s">
        <v>2276</v>
      </c>
      <c r="O2550" s="204" t="s">
        <v>2276</v>
      </c>
      <c r="P2550" s="204" t="s">
        <v>2276</v>
      </c>
      <c r="Q2550" s="204" t="s">
        <v>2276</v>
      </c>
      <c r="R2550" s="204" t="s">
        <v>2276</v>
      </c>
      <c r="S2550" s="21">
        <v>10000</v>
      </c>
      <c r="T2550" s="204" t="s">
        <v>2276</v>
      </c>
      <c r="U2550" s="204" t="s">
        <v>2276</v>
      </c>
      <c r="V2550" s="204" t="s">
        <v>2276</v>
      </c>
      <c r="W2550" s="21">
        <f>S2550/'Record info'!K1113</f>
        <v>1.3080444735120995</v>
      </c>
      <c r="X2550" s="204" t="s">
        <v>2276</v>
      </c>
      <c r="Y2550" s="204" t="s">
        <v>2276</v>
      </c>
      <c r="Z2550" s="204" t="s">
        <v>2276</v>
      </c>
      <c r="AA2550" s="204" t="s">
        <v>2276</v>
      </c>
      <c r="AB2550" s="204" t="s">
        <v>2276</v>
      </c>
      <c r="AC2550" s="204"/>
      <c r="AD2550" s="204"/>
    </row>
    <row r="2551" spans="1:30" ht="34.5" customHeight="1">
      <c r="A2551" s="19" t="s">
        <v>7237</v>
      </c>
      <c r="B2551" s="19" t="s">
        <v>7254</v>
      </c>
      <c r="C2551" s="204" t="s">
        <v>2458</v>
      </c>
      <c r="D2551" s="204" t="s">
        <v>2804</v>
      </c>
      <c r="E2551" s="204" t="s">
        <v>45</v>
      </c>
      <c r="F2551" s="4" t="s">
        <v>2662</v>
      </c>
      <c r="G2551" s="152" t="s">
        <v>2276</v>
      </c>
      <c r="H2551" s="204" t="s">
        <v>523</v>
      </c>
      <c r="I2551" s="204"/>
      <c r="J2551" s="204" t="s">
        <v>2276</v>
      </c>
      <c r="K2551" s="204" t="s">
        <v>2276</v>
      </c>
      <c r="L2551" s="204" t="s">
        <v>2276</v>
      </c>
      <c r="M2551" s="204" t="s">
        <v>2276</v>
      </c>
      <c r="N2551" s="204" t="s">
        <v>2276</v>
      </c>
      <c r="O2551" s="204" t="s">
        <v>2276</v>
      </c>
      <c r="P2551" s="204" t="s">
        <v>2276</v>
      </c>
      <c r="Q2551" s="204" t="s">
        <v>2276</v>
      </c>
      <c r="R2551" s="204" t="s">
        <v>2276</v>
      </c>
      <c r="S2551" s="204" t="s">
        <v>2276</v>
      </c>
      <c r="T2551" s="204" t="s">
        <v>2276</v>
      </c>
      <c r="U2551" s="204" t="s">
        <v>2276</v>
      </c>
      <c r="V2551" s="204" t="s">
        <v>2276</v>
      </c>
      <c r="W2551" s="204" t="s">
        <v>2276</v>
      </c>
      <c r="X2551" s="204" t="s">
        <v>2276</v>
      </c>
      <c r="Y2551" s="204" t="s">
        <v>2276</v>
      </c>
      <c r="Z2551" s="204" t="s">
        <v>2276</v>
      </c>
      <c r="AA2551" s="204" t="s">
        <v>2276</v>
      </c>
      <c r="AB2551" s="204" t="s">
        <v>2276</v>
      </c>
      <c r="AC2551" s="204"/>
      <c r="AD2551" s="204"/>
    </row>
    <row r="2552" spans="1:30" ht="28" customHeight="1">
      <c r="A2552" s="19" t="s">
        <v>7238</v>
      </c>
      <c r="B2552" s="19" t="s">
        <v>7252</v>
      </c>
      <c r="C2552" s="204" t="s">
        <v>24</v>
      </c>
      <c r="D2552" s="204" t="s">
        <v>2804</v>
      </c>
      <c r="E2552" s="204" t="s">
        <v>45</v>
      </c>
      <c r="F2552" s="4" t="s">
        <v>2662</v>
      </c>
      <c r="G2552" s="152" t="s">
        <v>2276</v>
      </c>
      <c r="H2552" s="204" t="s">
        <v>523</v>
      </c>
      <c r="I2552" s="204">
        <v>1980</v>
      </c>
      <c r="J2552" s="204" t="s">
        <v>2276</v>
      </c>
      <c r="K2552" s="204" t="s">
        <v>2276</v>
      </c>
      <c r="L2552" s="204" t="s">
        <v>2276</v>
      </c>
      <c r="M2552" s="204" t="s">
        <v>2276</v>
      </c>
      <c r="N2552" s="204" t="s">
        <v>2276</v>
      </c>
      <c r="O2552" s="204" t="s">
        <v>2276</v>
      </c>
      <c r="P2552" s="204" t="s">
        <v>2276</v>
      </c>
      <c r="Q2552" s="204" t="s">
        <v>2276</v>
      </c>
      <c r="R2552" s="204" t="s">
        <v>2276</v>
      </c>
      <c r="S2552" s="204" t="s">
        <v>2276</v>
      </c>
      <c r="T2552" s="204" t="s">
        <v>2276</v>
      </c>
      <c r="U2552" s="204" t="s">
        <v>2276</v>
      </c>
      <c r="V2552" s="204" t="s">
        <v>2276</v>
      </c>
      <c r="W2552" s="204" t="s">
        <v>2276</v>
      </c>
      <c r="X2552" s="204" t="s">
        <v>2276</v>
      </c>
      <c r="Y2552" s="204" t="s">
        <v>2276</v>
      </c>
      <c r="Z2552" s="204" t="s">
        <v>2276</v>
      </c>
      <c r="AA2552" s="204" t="s">
        <v>2276</v>
      </c>
      <c r="AB2552" s="204" t="s">
        <v>2276</v>
      </c>
      <c r="AC2552" s="204"/>
      <c r="AD2552" s="204"/>
    </row>
    <row r="2553" spans="1:30" ht="28" customHeight="1">
      <c r="A2553" s="19" t="s">
        <v>7238</v>
      </c>
      <c r="B2553" s="19" t="s">
        <v>7259</v>
      </c>
      <c r="C2553" s="204" t="s">
        <v>24</v>
      </c>
      <c r="D2553" s="204" t="s">
        <v>2804</v>
      </c>
      <c r="E2553" s="204" t="s">
        <v>45</v>
      </c>
      <c r="F2553" s="4" t="s">
        <v>2662</v>
      </c>
      <c r="G2553" s="152" t="s">
        <v>2276</v>
      </c>
      <c r="H2553" s="204" t="s">
        <v>523</v>
      </c>
      <c r="I2553" s="204">
        <v>1990</v>
      </c>
      <c r="J2553" s="204" t="s">
        <v>2276</v>
      </c>
      <c r="K2553" s="204" t="s">
        <v>2276</v>
      </c>
      <c r="L2553" s="204" t="s">
        <v>2276</v>
      </c>
      <c r="M2553" s="204" t="s">
        <v>2276</v>
      </c>
      <c r="N2553" s="204" t="s">
        <v>2276</v>
      </c>
      <c r="O2553" s="204" t="s">
        <v>2276</v>
      </c>
      <c r="P2553" s="204" t="s">
        <v>2276</v>
      </c>
      <c r="Q2553" s="204" t="s">
        <v>2276</v>
      </c>
      <c r="R2553" s="204" t="s">
        <v>2276</v>
      </c>
      <c r="S2553" s="204" t="s">
        <v>2276</v>
      </c>
      <c r="T2553" s="204" t="s">
        <v>2276</v>
      </c>
      <c r="U2553" s="204" t="s">
        <v>2276</v>
      </c>
      <c r="V2553" s="204" t="s">
        <v>2276</v>
      </c>
      <c r="W2553" s="204" t="s">
        <v>2276</v>
      </c>
      <c r="X2553" s="204" t="s">
        <v>2276</v>
      </c>
      <c r="Y2553" s="204" t="s">
        <v>2276</v>
      </c>
      <c r="Z2553" s="204" t="s">
        <v>2276</v>
      </c>
      <c r="AA2553" s="204" t="s">
        <v>2276</v>
      </c>
      <c r="AB2553" s="204" t="s">
        <v>2276</v>
      </c>
      <c r="AC2553" s="204"/>
      <c r="AD2553" s="204"/>
    </row>
    <row r="2554" spans="1:30" ht="28" customHeight="1">
      <c r="A2554" s="19" t="s">
        <v>7238</v>
      </c>
      <c r="B2554" s="19" t="s">
        <v>7260</v>
      </c>
      <c r="C2554" s="204" t="s">
        <v>24</v>
      </c>
      <c r="D2554" s="204" t="s">
        <v>1242</v>
      </c>
      <c r="E2554" s="204" t="s">
        <v>3209</v>
      </c>
      <c r="F2554" s="4" t="s">
        <v>2662</v>
      </c>
      <c r="G2554" s="152" t="s">
        <v>2276</v>
      </c>
      <c r="H2554" s="204" t="s">
        <v>523</v>
      </c>
      <c r="I2554" s="204"/>
      <c r="J2554" s="204" t="s">
        <v>2276</v>
      </c>
      <c r="K2554" s="204" t="s">
        <v>2276</v>
      </c>
      <c r="L2554" s="204" t="s">
        <v>2276</v>
      </c>
      <c r="M2554" s="204" t="s">
        <v>2276</v>
      </c>
      <c r="N2554" s="204" t="s">
        <v>2276</v>
      </c>
      <c r="O2554" s="204" t="s">
        <v>2276</v>
      </c>
      <c r="P2554" s="204" t="s">
        <v>2276</v>
      </c>
      <c r="Q2554" s="204" t="s">
        <v>2276</v>
      </c>
      <c r="R2554" s="204" t="s">
        <v>2276</v>
      </c>
      <c r="S2554" s="204" t="s">
        <v>2276</v>
      </c>
      <c r="T2554" s="204" t="s">
        <v>2276</v>
      </c>
      <c r="U2554" s="204" t="s">
        <v>2276</v>
      </c>
      <c r="V2554" s="204" t="s">
        <v>2276</v>
      </c>
      <c r="W2554" s="204" t="s">
        <v>2276</v>
      </c>
      <c r="X2554" s="204" t="s">
        <v>2276</v>
      </c>
      <c r="Y2554" s="204" t="s">
        <v>2276</v>
      </c>
      <c r="Z2554" s="204" t="s">
        <v>2276</v>
      </c>
      <c r="AA2554" s="204" t="s">
        <v>2276</v>
      </c>
      <c r="AB2554" s="204" t="s">
        <v>2276</v>
      </c>
      <c r="AC2554" s="204"/>
      <c r="AD2554" s="204"/>
    </row>
    <row r="2555" spans="1:30" ht="36" customHeight="1">
      <c r="A2555" s="19" t="s">
        <v>7268</v>
      </c>
      <c r="B2555" s="19" t="s">
        <v>7295</v>
      </c>
      <c r="C2555" s="204" t="s">
        <v>24</v>
      </c>
      <c r="D2555" s="204" t="s">
        <v>1242</v>
      </c>
      <c r="E2555" s="204" t="s">
        <v>3209</v>
      </c>
      <c r="F2555" s="152" t="s">
        <v>2276</v>
      </c>
      <c r="G2555" s="152" t="s">
        <v>2276</v>
      </c>
      <c r="H2555" s="204" t="s">
        <v>524</v>
      </c>
      <c r="I2555" s="204"/>
      <c r="J2555" s="177">
        <v>0</v>
      </c>
      <c r="K2555" s="21">
        <v>0</v>
      </c>
      <c r="L2555" s="21">
        <v>0</v>
      </c>
      <c r="M2555" s="21">
        <v>0</v>
      </c>
      <c r="N2555" s="21">
        <v>0</v>
      </c>
      <c r="O2555" s="21">
        <v>0</v>
      </c>
      <c r="P2555" s="21">
        <v>0</v>
      </c>
      <c r="Q2555" s="21">
        <v>0</v>
      </c>
      <c r="R2555" s="21">
        <v>0</v>
      </c>
      <c r="S2555" s="21">
        <v>0</v>
      </c>
      <c r="T2555" s="21">
        <v>0</v>
      </c>
      <c r="U2555" s="21">
        <v>0</v>
      </c>
      <c r="V2555" s="21">
        <v>0</v>
      </c>
      <c r="W2555" s="21">
        <v>0</v>
      </c>
      <c r="X2555" s="21">
        <v>0</v>
      </c>
      <c r="Y2555" s="204" t="s">
        <v>2276</v>
      </c>
      <c r="Z2555" s="204" t="s">
        <v>2276</v>
      </c>
      <c r="AA2555" s="204" t="s">
        <v>2276</v>
      </c>
      <c r="AB2555" s="204" t="s">
        <v>2276</v>
      </c>
      <c r="AC2555" s="204"/>
      <c r="AD2555" s="204"/>
    </row>
    <row r="2556" spans="1:30" ht="36" customHeight="1">
      <c r="A2556" s="19" t="s">
        <v>7281</v>
      </c>
      <c r="B2556" s="19" t="s">
        <v>7296</v>
      </c>
      <c r="C2556" s="204" t="s">
        <v>24</v>
      </c>
      <c r="D2556" s="204" t="s">
        <v>1242</v>
      </c>
      <c r="E2556" s="204" t="s">
        <v>3209</v>
      </c>
      <c r="F2556" s="152" t="s">
        <v>2276</v>
      </c>
      <c r="G2556" s="152" t="s">
        <v>2276</v>
      </c>
      <c r="H2556" s="204" t="s">
        <v>524</v>
      </c>
      <c r="I2556" s="204"/>
      <c r="J2556" s="177">
        <v>0</v>
      </c>
      <c r="K2556" s="21">
        <v>0</v>
      </c>
      <c r="L2556" s="21">
        <v>0</v>
      </c>
      <c r="M2556" s="21">
        <v>0</v>
      </c>
      <c r="N2556" s="21">
        <v>0</v>
      </c>
      <c r="O2556" s="21">
        <v>0</v>
      </c>
      <c r="P2556" s="21">
        <v>0</v>
      </c>
      <c r="Q2556" s="21">
        <v>0</v>
      </c>
      <c r="R2556" s="21">
        <v>0</v>
      </c>
      <c r="S2556" s="21">
        <v>0</v>
      </c>
      <c r="T2556" s="21">
        <v>0</v>
      </c>
      <c r="U2556" s="21">
        <v>0</v>
      </c>
      <c r="V2556" s="21">
        <v>0</v>
      </c>
      <c r="W2556" s="21">
        <v>0</v>
      </c>
      <c r="X2556" s="21">
        <v>0</v>
      </c>
      <c r="Y2556" s="204" t="s">
        <v>2276</v>
      </c>
      <c r="Z2556" s="204" t="s">
        <v>2276</v>
      </c>
      <c r="AA2556" s="204" t="s">
        <v>2276</v>
      </c>
      <c r="AB2556" s="204" t="s">
        <v>2276</v>
      </c>
      <c r="AC2556" s="204"/>
      <c r="AD2556" s="204"/>
    </row>
    <row r="2557" spans="1:30" ht="36" customHeight="1">
      <c r="A2557" s="19" t="s">
        <v>7282</v>
      </c>
      <c r="B2557" s="19" t="s">
        <v>7297</v>
      </c>
      <c r="C2557" s="204" t="s">
        <v>24</v>
      </c>
      <c r="D2557" s="204" t="s">
        <v>1242</v>
      </c>
      <c r="E2557" s="204" t="s">
        <v>3209</v>
      </c>
      <c r="F2557" s="152" t="s">
        <v>2276</v>
      </c>
      <c r="G2557" s="152" t="s">
        <v>2276</v>
      </c>
      <c r="H2557" s="204" t="s">
        <v>524</v>
      </c>
      <c r="I2557" s="204"/>
      <c r="J2557" s="177">
        <v>0</v>
      </c>
      <c r="K2557" s="21">
        <v>0</v>
      </c>
      <c r="L2557" s="21">
        <v>0</v>
      </c>
      <c r="M2557" s="21">
        <v>0</v>
      </c>
      <c r="N2557" s="21">
        <v>0</v>
      </c>
      <c r="O2557" s="21">
        <v>0</v>
      </c>
      <c r="P2557" s="21">
        <v>0</v>
      </c>
      <c r="Q2557" s="21">
        <v>0</v>
      </c>
      <c r="R2557" s="21">
        <v>0</v>
      </c>
      <c r="S2557" s="21">
        <v>0</v>
      </c>
      <c r="T2557" s="21">
        <v>0</v>
      </c>
      <c r="U2557" s="21">
        <v>0</v>
      </c>
      <c r="V2557" s="21">
        <v>0</v>
      </c>
      <c r="W2557" s="21">
        <v>0</v>
      </c>
      <c r="X2557" s="21">
        <v>0</v>
      </c>
      <c r="Y2557" s="204" t="s">
        <v>2276</v>
      </c>
      <c r="Z2557" s="204" t="s">
        <v>2276</v>
      </c>
      <c r="AA2557" s="204" t="s">
        <v>2276</v>
      </c>
      <c r="AB2557" s="204" t="s">
        <v>2276</v>
      </c>
      <c r="AC2557" s="204"/>
      <c r="AD2557" s="204"/>
    </row>
    <row r="2558" spans="1:30" ht="36" customHeight="1">
      <c r="A2558" s="19" t="s">
        <v>7283</v>
      </c>
      <c r="B2558" s="19" t="s">
        <v>7298</v>
      </c>
      <c r="C2558" s="204" t="s">
        <v>24</v>
      </c>
      <c r="D2558" s="204" t="s">
        <v>1242</v>
      </c>
      <c r="E2558" s="204" t="s">
        <v>3209</v>
      </c>
      <c r="F2558" s="152" t="s">
        <v>2276</v>
      </c>
      <c r="G2558" s="152" t="s">
        <v>2276</v>
      </c>
      <c r="H2558" s="204" t="s">
        <v>524</v>
      </c>
      <c r="I2558" s="204"/>
      <c r="J2558" s="177">
        <v>0</v>
      </c>
      <c r="K2558" s="21">
        <v>0</v>
      </c>
      <c r="L2558" s="21">
        <v>0</v>
      </c>
      <c r="M2558" s="21">
        <v>0</v>
      </c>
      <c r="N2558" s="21">
        <v>0</v>
      </c>
      <c r="O2558" s="21">
        <v>0</v>
      </c>
      <c r="P2558" s="21">
        <v>0</v>
      </c>
      <c r="Q2558" s="21">
        <v>0</v>
      </c>
      <c r="R2558" s="21">
        <v>0</v>
      </c>
      <c r="S2558" s="21">
        <v>0</v>
      </c>
      <c r="T2558" s="21">
        <v>0</v>
      </c>
      <c r="U2558" s="21">
        <v>0</v>
      </c>
      <c r="V2558" s="21">
        <v>0</v>
      </c>
      <c r="W2558" s="21">
        <v>0</v>
      </c>
      <c r="X2558" s="21">
        <v>0</v>
      </c>
      <c r="Y2558" s="204" t="s">
        <v>2276</v>
      </c>
      <c r="Z2558" s="204" t="s">
        <v>2276</v>
      </c>
      <c r="AA2558" s="204" t="s">
        <v>2276</v>
      </c>
      <c r="AB2558" s="204" t="s">
        <v>2276</v>
      </c>
      <c r="AC2558" s="204"/>
      <c r="AD2558" s="204"/>
    </row>
    <row r="2559" spans="1:30" ht="36" customHeight="1">
      <c r="A2559" s="19" t="s">
        <v>7284</v>
      </c>
      <c r="B2559" s="19" t="s">
        <v>7299</v>
      </c>
      <c r="C2559" s="204" t="s">
        <v>24</v>
      </c>
      <c r="D2559" s="204" t="s">
        <v>1242</v>
      </c>
      <c r="E2559" s="204" t="s">
        <v>3209</v>
      </c>
      <c r="F2559" s="152" t="s">
        <v>2276</v>
      </c>
      <c r="G2559" s="152" t="s">
        <v>2276</v>
      </c>
      <c r="H2559" s="204" t="s">
        <v>524</v>
      </c>
      <c r="I2559" s="204"/>
      <c r="J2559" s="177">
        <v>0</v>
      </c>
      <c r="K2559" s="21">
        <v>0</v>
      </c>
      <c r="L2559" s="21">
        <v>0</v>
      </c>
      <c r="M2559" s="21">
        <v>0</v>
      </c>
      <c r="N2559" s="21">
        <v>0</v>
      </c>
      <c r="O2559" s="21">
        <v>0</v>
      </c>
      <c r="P2559" s="21">
        <v>0</v>
      </c>
      <c r="Q2559" s="21">
        <v>0</v>
      </c>
      <c r="R2559" s="21">
        <v>0</v>
      </c>
      <c r="S2559" s="21">
        <v>0</v>
      </c>
      <c r="T2559" s="21">
        <v>0</v>
      </c>
      <c r="U2559" s="21">
        <v>0</v>
      </c>
      <c r="V2559" s="21">
        <v>0</v>
      </c>
      <c r="W2559" s="21">
        <v>0</v>
      </c>
      <c r="X2559" s="21">
        <v>0</v>
      </c>
      <c r="Y2559" s="204" t="s">
        <v>2276</v>
      </c>
      <c r="Z2559" s="204" t="s">
        <v>2276</v>
      </c>
      <c r="AA2559" s="204" t="s">
        <v>2276</v>
      </c>
      <c r="AB2559" s="204" t="s">
        <v>2276</v>
      </c>
      <c r="AC2559" s="204"/>
      <c r="AD2559" s="204"/>
    </row>
    <row r="2560" spans="1:30" ht="36" customHeight="1">
      <c r="A2560" s="19" t="s">
        <v>7285</v>
      </c>
      <c r="B2560" s="19" t="s">
        <v>7300</v>
      </c>
      <c r="C2560" s="204" t="s">
        <v>24</v>
      </c>
      <c r="D2560" s="204" t="s">
        <v>1242</v>
      </c>
      <c r="E2560" s="204" t="s">
        <v>3209</v>
      </c>
      <c r="F2560" s="152" t="s">
        <v>2276</v>
      </c>
      <c r="G2560" s="152" t="s">
        <v>2276</v>
      </c>
      <c r="H2560" s="204" t="s">
        <v>524</v>
      </c>
      <c r="I2560" s="204"/>
      <c r="J2560" s="177">
        <v>0</v>
      </c>
      <c r="K2560" s="21">
        <v>0</v>
      </c>
      <c r="L2560" s="21">
        <v>0</v>
      </c>
      <c r="M2560" s="21">
        <v>0</v>
      </c>
      <c r="N2560" s="21">
        <v>0</v>
      </c>
      <c r="O2560" s="21">
        <v>0</v>
      </c>
      <c r="P2560" s="21">
        <v>0</v>
      </c>
      <c r="Q2560" s="21">
        <v>0</v>
      </c>
      <c r="R2560" s="21">
        <v>0</v>
      </c>
      <c r="S2560" s="21">
        <v>0</v>
      </c>
      <c r="T2560" s="21">
        <v>0</v>
      </c>
      <c r="U2560" s="21">
        <v>0</v>
      </c>
      <c r="V2560" s="21">
        <v>0</v>
      </c>
      <c r="W2560" s="21">
        <v>0</v>
      </c>
      <c r="X2560" s="21">
        <v>0</v>
      </c>
      <c r="Y2560" s="204" t="s">
        <v>2276</v>
      </c>
      <c r="Z2560" s="204" t="s">
        <v>2276</v>
      </c>
      <c r="AA2560" s="204" t="s">
        <v>2276</v>
      </c>
      <c r="AB2560" s="204" t="s">
        <v>2276</v>
      </c>
      <c r="AC2560" s="204"/>
      <c r="AD2560" s="204"/>
    </row>
    <row r="2561" spans="1:30" ht="36" customHeight="1">
      <c r="A2561" s="19" t="s">
        <v>7286</v>
      </c>
      <c r="B2561" s="19" t="s">
        <v>7301</v>
      </c>
      <c r="C2561" s="204" t="s">
        <v>24</v>
      </c>
      <c r="D2561" s="204" t="s">
        <v>1242</v>
      </c>
      <c r="E2561" s="204" t="s">
        <v>3209</v>
      </c>
      <c r="F2561" s="152" t="s">
        <v>2276</v>
      </c>
      <c r="G2561" s="152" t="s">
        <v>2276</v>
      </c>
      <c r="H2561" s="204" t="s">
        <v>524</v>
      </c>
      <c r="I2561" s="204"/>
      <c r="J2561" s="177">
        <v>0</v>
      </c>
      <c r="K2561" s="21">
        <v>0</v>
      </c>
      <c r="L2561" s="21">
        <v>0</v>
      </c>
      <c r="M2561" s="21">
        <v>0</v>
      </c>
      <c r="N2561" s="21">
        <v>0</v>
      </c>
      <c r="O2561" s="21">
        <v>0</v>
      </c>
      <c r="P2561" s="21">
        <v>0</v>
      </c>
      <c r="Q2561" s="21">
        <v>0</v>
      </c>
      <c r="R2561" s="21">
        <v>0</v>
      </c>
      <c r="S2561" s="21">
        <v>0</v>
      </c>
      <c r="T2561" s="21">
        <v>0</v>
      </c>
      <c r="U2561" s="21">
        <v>0</v>
      </c>
      <c r="V2561" s="21">
        <v>0</v>
      </c>
      <c r="W2561" s="21">
        <v>0</v>
      </c>
      <c r="X2561" s="21">
        <v>0</v>
      </c>
      <c r="Y2561" s="204" t="s">
        <v>2276</v>
      </c>
      <c r="Z2561" s="204" t="s">
        <v>2276</v>
      </c>
      <c r="AA2561" s="204" t="s">
        <v>2276</v>
      </c>
      <c r="AB2561" s="204" t="s">
        <v>2276</v>
      </c>
      <c r="AC2561" s="11" t="s">
        <v>7308</v>
      </c>
      <c r="AD2561" s="204"/>
    </row>
    <row r="2562" spans="1:30" ht="36" customHeight="1">
      <c r="A2562" s="19" t="s">
        <v>7287</v>
      </c>
      <c r="B2562" s="19" t="s">
        <v>7302</v>
      </c>
      <c r="C2562" s="204" t="s">
        <v>24</v>
      </c>
      <c r="D2562" s="204" t="s">
        <v>1242</v>
      </c>
      <c r="E2562" s="204" t="s">
        <v>3209</v>
      </c>
      <c r="F2562" s="152" t="s">
        <v>2276</v>
      </c>
      <c r="G2562" s="152" t="s">
        <v>2276</v>
      </c>
      <c r="H2562" s="204" t="s">
        <v>524</v>
      </c>
      <c r="I2562" s="204"/>
      <c r="J2562" s="177">
        <v>0</v>
      </c>
      <c r="K2562" s="177">
        <v>0</v>
      </c>
      <c r="L2562" s="177">
        <v>0</v>
      </c>
      <c r="M2562" s="177">
        <v>0</v>
      </c>
      <c r="N2562" s="177">
        <v>0</v>
      </c>
      <c r="O2562" s="177">
        <v>0</v>
      </c>
      <c r="P2562" s="177">
        <v>0</v>
      </c>
      <c r="Q2562" s="177">
        <v>0</v>
      </c>
      <c r="R2562" s="177">
        <v>0</v>
      </c>
      <c r="S2562" s="177">
        <v>0</v>
      </c>
      <c r="T2562" s="177">
        <v>0</v>
      </c>
      <c r="U2562" s="177">
        <v>0</v>
      </c>
      <c r="V2562" s="177">
        <v>0</v>
      </c>
      <c r="W2562" s="177">
        <v>0</v>
      </c>
      <c r="X2562" s="177">
        <v>0</v>
      </c>
      <c r="Y2562" s="204" t="s">
        <v>2276</v>
      </c>
      <c r="Z2562" s="204" t="s">
        <v>2276</v>
      </c>
      <c r="AA2562" s="204" t="s">
        <v>2276</v>
      </c>
      <c r="AB2562" s="204" t="s">
        <v>2276</v>
      </c>
      <c r="AC2562" s="204"/>
      <c r="AD2562" s="204"/>
    </row>
    <row r="2563" spans="1:30" ht="35" customHeight="1">
      <c r="A2563" s="19" t="s">
        <v>7288</v>
      </c>
      <c r="B2563" s="19" t="s">
        <v>7303</v>
      </c>
      <c r="C2563" s="204" t="s">
        <v>24</v>
      </c>
      <c r="D2563" s="204" t="s">
        <v>1242</v>
      </c>
      <c r="E2563" s="204" t="s">
        <v>3209</v>
      </c>
      <c r="F2563" s="152" t="s">
        <v>2276</v>
      </c>
      <c r="G2563" s="152" t="s">
        <v>2276</v>
      </c>
      <c r="H2563" s="204" t="s">
        <v>523</v>
      </c>
      <c r="I2563" s="204">
        <v>2001</v>
      </c>
      <c r="J2563" s="204" t="s">
        <v>2276</v>
      </c>
      <c r="K2563" s="204" t="s">
        <v>2276</v>
      </c>
      <c r="L2563" s="204" t="s">
        <v>2276</v>
      </c>
      <c r="M2563" s="204" t="s">
        <v>2276</v>
      </c>
      <c r="N2563" s="204" t="s">
        <v>2276</v>
      </c>
      <c r="O2563" s="204" t="s">
        <v>2276</v>
      </c>
      <c r="P2563" s="204" t="s">
        <v>2276</v>
      </c>
      <c r="Q2563" s="204" t="s">
        <v>2276</v>
      </c>
      <c r="R2563" s="204" t="s">
        <v>2276</v>
      </c>
      <c r="S2563" s="204" t="s">
        <v>2276</v>
      </c>
      <c r="T2563" s="204">
        <f>3000*0.068</f>
        <v>204.00000000000003</v>
      </c>
      <c r="U2563" s="204" t="s">
        <v>2276</v>
      </c>
      <c r="V2563" s="204" t="s">
        <v>2276</v>
      </c>
      <c r="W2563" s="204" t="s">
        <v>2276</v>
      </c>
      <c r="X2563" s="21">
        <f>T2563/'Record info'!K$1115</f>
        <v>7.497794766245223E-3</v>
      </c>
      <c r="Y2563" s="204" t="s">
        <v>2276</v>
      </c>
      <c r="Z2563" s="204" t="s">
        <v>35</v>
      </c>
      <c r="AA2563" s="204" t="s">
        <v>38</v>
      </c>
      <c r="AB2563" s="204" t="s">
        <v>64</v>
      </c>
      <c r="AC2563" s="204" t="s">
        <v>7627</v>
      </c>
      <c r="AD2563" s="204"/>
    </row>
    <row r="2564" spans="1:30" ht="35" customHeight="1">
      <c r="A2564" s="19" t="s">
        <v>7289</v>
      </c>
      <c r="B2564" s="19" t="s">
        <v>7304</v>
      </c>
      <c r="C2564" s="204" t="s">
        <v>24</v>
      </c>
      <c r="D2564" s="204" t="s">
        <v>1242</v>
      </c>
      <c r="E2564" s="204" t="s">
        <v>3209</v>
      </c>
      <c r="F2564" s="152" t="s">
        <v>2276</v>
      </c>
      <c r="G2564" s="152" t="s">
        <v>2276</v>
      </c>
      <c r="H2564" s="204" t="s">
        <v>523</v>
      </c>
      <c r="I2564" s="204">
        <v>2001</v>
      </c>
      <c r="J2564" s="204" t="s">
        <v>2276</v>
      </c>
      <c r="K2564" s="204" t="s">
        <v>2276</v>
      </c>
      <c r="L2564" s="204" t="s">
        <v>2276</v>
      </c>
      <c r="M2564" s="204" t="s">
        <v>2276</v>
      </c>
      <c r="N2564" s="204" t="s">
        <v>2276</v>
      </c>
      <c r="O2564" s="204" t="s">
        <v>2276</v>
      </c>
      <c r="P2564" s="204" t="s">
        <v>2276</v>
      </c>
      <c r="Q2564" s="204" t="s">
        <v>2276</v>
      </c>
      <c r="R2564" s="204" t="s">
        <v>2276</v>
      </c>
      <c r="S2564" s="204" t="s">
        <v>2276</v>
      </c>
      <c r="T2564" s="21">
        <f>3000*0.05</f>
        <v>150</v>
      </c>
      <c r="U2564" s="204" t="s">
        <v>2276</v>
      </c>
      <c r="V2564" s="204" t="s">
        <v>2276</v>
      </c>
      <c r="W2564" s="204" t="s">
        <v>2276</v>
      </c>
      <c r="X2564" s="21">
        <f>T2564/'Record info'!K$1116</f>
        <v>5.0157159098508661E-3</v>
      </c>
      <c r="Y2564" s="204" t="s">
        <v>2276</v>
      </c>
      <c r="Z2564" s="204" t="s">
        <v>35</v>
      </c>
      <c r="AA2564" s="204" t="s">
        <v>38</v>
      </c>
      <c r="AB2564" s="204" t="s">
        <v>64</v>
      </c>
      <c r="AC2564" s="204" t="s">
        <v>7627</v>
      </c>
      <c r="AD2564" s="204"/>
    </row>
    <row r="2565" spans="1:30" ht="35" customHeight="1">
      <c r="A2565" s="19" t="s">
        <v>7290</v>
      </c>
      <c r="B2565" s="19" t="s">
        <v>7305</v>
      </c>
      <c r="C2565" s="204" t="s">
        <v>24</v>
      </c>
      <c r="D2565" s="204" t="s">
        <v>1242</v>
      </c>
      <c r="E2565" s="204" t="s">
        <v>3209</v>
      </c>
      <c r="F2565" s="152" t="s">
        <v>2276</v>
      </c>
      <c r="G2565" s="152" t="s">
        <v>2276</v>
      </c>
      <c r="H2565" s="204" t="s">
        <v>523</v>
      </c>
      <c r="I2565" s="204">
        <v>2001</v>
      </c>
      <c r="J2565" s="204" t="s">
        <v>2276</v>
      </c>
      <c r="K2565" s="204" t="s">
        <v>2276</v>
      </c>
      <c r="L2565" s="204" t="s">
        <v>2276</v>
      </c>
      <c r="M2565" s="204" t="s">
        <v>2276</v>
      </c>
      <c r="N2565" s="204" t="s">
        <v>2276</v>
      </c>
      <c r="O2565" s="204" t="s">
        <v>2276</v>
      </c>
      <c r="P2565" s="204" t="s">
        <v>2276</v>
      </c>
      <c r="Q2565" s="204" t="s">
        <v>2276</v>
      </c>
      <c r="R2565" s="204" t="s">
        <v>2276</v>
      </c>
      <c r="S2565" s="204" t="s">
        <v>2276</v>
      </c>
      <c r="T2565" s="21">
        <f>3000*0.493</f>
        <v>1479</v>
      </c>
      <c r="U2565" s="204" t="s">
        <v>2276</v>
      </c>
      <c r="V2565" s="204" t="s">
        <v>2276</v>
      </c>
      <c r="W2565" s="204" t="s">
        <v>2276</v>
      </c>
      <c r="X2565" s="21">
        <f>T2565/'Record info'!K$1117</f>
        <v>4.6490428441203283E-2</v>
      </c>
      <c r="Y2565" s="204" t="s">
        <v>2276</v>
      </c>
      <c r="Z2565" s="204" t="s">
        <v>35</v>
      </c>
      <c r="AA2565" s="204" t="s">
        <v>38</v>
      </c>
      <c r="AB2565" s="204" t="s">
        <v>64</v>
      </c>
      <c r="AC2565" s="204" t="s">
        <v>7627</v>
      </c>
      <c r="AD2565" s="204"/>
    </row>
    <row r="2566" spans="1:30" ht="35" customHeight="1">
      <c r="A2566" s="19" t="s">
        <v>7291</v>
      </c>
      <c r="B2566" s="19" t="s">
        <v>7306</v>
      </c>
      <c r="C2566" s="204" t="s">
        <v>24</v>
      </c>
      <c r="D2566" s="204" t="s">
        <v>1242</v>
      </c>
      <c r="E2566" s="204" t="s">
        <v>3209</v>
      </c>
      <c r="F2566" s="152" t="s">
        <v>2276</v>
      </c>
      <c r="G2566" s="152" t="s">
        <v>2276</v>
      </c>
      <c r="H2566" s="204" t="s">
        <v>523</v>
      </c>
      <c r="I2566" s="204">
        <v>2001</v>
      </c>
      <c r="J2566" s="204" t="s">
        <v>2276</v>
      </c>
      <c r="K2566" s="204" t="s">
        <v>2276</v>
      </c>
      <c r="L2566" s="204" t="s">
        <v>2276</v>
      </c>
      <c r="M2566" s="204" t="s">
        <v>2276</v>
      </c>
      <c r="N2566" s="204" t="s">
        <v>2276</v>
      </c>
      <c r="O2566" s="204" t="s">
        <v>2276</v>
      </c>
      <c r="P2566" s="204" t="s">
        <v>2276</v>
      </c>
      <c r="Q2566" s="204" t="s">
        <v>2276</v>
      </c>
      <c r="R2566" s="204" t="s">
        <v>2276</v>
      </c>
      <c r="S2566" s="204" t="s">
        <v>2276</v>
      </c>
      <c r="T2566" s="21">
        <f>3000*0.375</f>
        <v>1125</v>
      </c>
      <c r="U2566" s="204" t="s">
        <v>2276</v>
      </c>
      <c r="V2566" s="204" t="s">
        <v>2276</v>
      </c>
      <c r="W2566" s="204" t="s">
        <v>2276</v>
      </c>
      <c r="X2566" s="21">
        <f>T2566/'Record info'!K$1118</f>
        <v>9.3656343656343663E-2</v>
      </c>
      <c r="Y2566" s="204" t="s">
        <v>2276</v>
      </c>
      <c r="Z2566" s="204" t="s">
        <v>35</v>
      </c>
      <c r="AA2566" s="204" t="s">
        <v>38</v>
      </c>
      <c r="AB2566" s="204" t="s">
        <v>64</v>
      </c>
      <c r="AC2566" s="204" t="s">
        <v>7627</v>
      </c>
      <c r="AD2566" s="204"/>
    </row>
    <row r="2567" spans="1:30" ht="35" customHeight="1">
      <c r="A2567" s="19" t="s">
        <v>7292</v>
      </c>
      <c r="B2567" s="19" t="s">
        <v>7307</v>
      </c>
      <c r="C2567" s="204" t="s">
        <v>24</v>
      </c>
      <c r="D2567" s="204" t="s">
        <v>1242</v>
      </c>
      <c r="E2567" s="204" t="s">
        <v>3209</v>
      </c>
      <c r="F2567" s="152" t="s">
        <v>2276</v>
      </c>
      <c r="G2567" s="152" t="s">
        <v>2276</v>
      </c>
      <c r="H2567" s="204" t="s">
        <v>523</v>
      </c>
      <c r="I2567" s="204">
        <v>2001</v>
      </c>
      <c r="J2567" s="204" t="s">
        <v>2276</v>
      </c>
      <c r="K2567" s="204" t="s">
        <v>2276</v>
      </c>
      <c r="L2567" s="204" t="s">
        <v>2276</v>
      </c>
      <c r="M2567" s="204" t="s">
        <v>2276</v>
      </c>
      <c r="N2567" s="204" t="s">
        <v>2276</v>
      </c>
      <c r="O2567" s="204" t="s">
        <v>2276</v>
      </c>
      <c r="P2567" s="204" t="s">
        <v>2276</v>
      </c>
      <c r="Q2567" s="204" t="s">
        <v>2276</v>
      </c>
      <c r="R2567" s="204" t="s">
        <v>2276</v>
      </c>
      <c r="S2567" s="204" t="s">
        <v>2276</v>
      </c>
      <c r="T2567" s="21">
        <f>3000*0.058</f>
        <v>174</v>
      </c>
      <c r="U2567" s="204" t="s">
        <v>2276</v>
      </c>
      <c r="V2567" s="204" t="s">
        <v>2276</v>
      </c>
      <c r="W2567" s="204" t="s">
        <v>2276</v>
      </c>
      <c r="X2567" s="21">
        <f>T2567/'Record info'!K$1119</f>
        <v>3.0296171190778822E-3</v>
      </c>
      <c r="Y2567" s="204" t="s">
        <v>2276</v>
      </c>
      <c r="Z2567" s="204" t="s">
        <v>35</v>
      </c>
      <c r="AA2567" s="204" t="s">
        <v>38</v>
      </c>
      <c r="AB2567" s="204" t="s">
        <v>64</v>
      </c>
      <c r="AC2567" s="204" t="s">
        <v>7627</v>
      </c>
      <c r="AD2567" s="204"/>
    </row>
    <row r="2568" spans="1:30" ht="36.5" customHeight="1">
      <c r="A2568" s="19" t="s">
        <v>7288</v>
      </c>
      <c r="B2568" s="19" t="s">
        <v>7309</v>
      </c>
      <c r="C2568" s="204" t="s">
        <v>24</v>
      </c>
      <c r="D2568" s="204" t="s">
        <v>1242</v>
      </c>
      <c r="E2568" s="204" t="s">
        <v>3209</v>
      </c>
      <c r="F2568" s="152" t="s">
        <v>2276</v>
      </c>
      <c r="G2568" s="152" t="s">
        <v>2276</v>
      </c>
      <c r="H2568" s="204" t="s">
        <v>523</v>
      </c>
      <c r="I2568" s="204">
        <v>2002</v>
      </c>
      <c r="J2568" s="204" t="s">
        <v>2276</v>
      </c>
      <c r="K2568" s="204" t="s">
        <v>2276</v>
      </c>
      <c r="L2568" s="204" t="s">
        <v>2276</v>
      </c>
      <c r="M2568" s="204" t="s">
        <v>2276</v>
      </c>
      <c r="N2568" s="204" t="s">
        <v>2276</v>
      </c>
      <c r="O2568" s="204" t="s">
        <v>2276</v>
      </c>
      <c r="P2568" s="204" t="s">
        <v>2276</v>
      </c>
      <c r="Q2568" s="204" t="s">
        <v>2276</v>
      </c>
      <c r="R2568" s="204" t="s">
        <v>2276</v>
      </c>
      <c r="S2568" s="204" t="s">
        <v>2276</v>
      </c>
      <c r="T2568" s="21">
        <f>5000*0.068</f>
        <v>340</v>
      </c>
      <c r="U2568" s="204" t="s">
        <v>2276</v>
      </c>
      <c r="V2568" s="204" t="s">
        <v>2276</v>
      </c>
      <c r="W2568" s="204" t="s">
        <v>2276</v>
      </c>
      <c r="X2568" s="21">
        <f>T2568/'Record info'!K$1115</f>
        <v>1.2496324610408704E-2</v>
      </c>
      <c r="Y2568" s="204" t="s">
        <v>2276</v>
      </c>
      <c r="Z2568" s="204" t="s">
        <v>35</v>
      </c>
      <c r="AA2568" s="204" t="s">
        <v>38</v>
      </c>
      <c r="AB2568" s="204" t="s">
        <v>64</v>
      </c>
      <c r="AC2568" s="204" t="s">
        <v>7627</v>
      </c>
      <c r="AD2568" s="204"/>
    </row>
    <row r="2569" spans="1:30" ht="36.5" customHeight="1">
      <c r="A2569" s="19" t="s">
        <v>7289</v>
      </c>
      <c r="B2569" s="19" t="s">
        <v>7310</v>
      </c>
      <c r="C2569" s="204" t="s">
        <v>24</v>
      </c>
      <c r="D2569" s="204" t="s">
        <v>1242</v>
      </c>
      <c r="E2569" s="204" t="s">
        <v>3209</v>
      </c>
      <c r="F2569" s="152" t="s">
        <v>2276</v>
      </c>
      <c r="G2569" s="152" t="s">
        <v>2276</v>
      </c>
      <c r="H2569" s="204" t="s">
        <v>523</v>
      </c>
      <c r="I2569" s="204">
        <v>2002</v>
      </c>
      <c r="J2569" s="204" t="s">
        <v>2276</v>
      </c>
      <c r="K2569" s="204" t="s">
        <v>2276</v>
      </c>
      <c r="L2569" s="204" t="s">
        <v>2276</v>
      </c>
      <c r="M2569" s="204" t="s">
        <v>2276</v>
      </c>
      <c r="N2569" s="204" t="s">
        <v>2276</v>
      </c>
      <c r="O2569" s="204" t="s">
        <v>2276</v>
      </c>
      <c r="P2569" s="204" t="s">
        <v>2276</v>
      </c>
      <c r="Q2569" s="204" t="s">
        <v>2276</v>
      </c>
      <c r="R2569" s="204" t="s">
        <v>2276</v>
      </c>
      <c r="S2569" s="204" t="s">
        <v>2276</v>
      </c>
      <c r="T2569" s="21">
        <f>5000*0.05</f>
        <v>250</v>
      </c>
      <c r="U2569" s="204" t="s">
        <v>2276</v>
      </c>
      <c r="V2569" s="204" t="s">
        <v>2276</v>
      </c>
      <c r="W2569" s="204" t="s">
        <v>2276</v>
      </c>
      <c r="X2569" s="21">
        <f>T2569/'Record info'!K$1116</f>
        <v>8.3595265164181105E-3</v>
      </c>
      <c r="Y2569" s="204" t="s">
        <v>2276</v>
      </c>
      <c r="Z2569" s="204" t="s">
        <v>35</v>
      </c>
      <c r="AA2569" s="204" t="s">
        <v>38</v>
      </c>
      <c r="AB2569" s="204" t="s">
        <v>64</v>
      </c>
      <c r="AC2569" s="204" t="s">
        <v>7627</v>
      </c>
      <c r="AD2569" s="204"/>
    </row>
    <row r="2570" spans="1:30" ht="36.5" customHeight="1">
      <c r="A2570" s="19" t="s">
        <v>7290</v>
      </c>
      <c r="B2570" s="19" t="s">
        <v>7311</v>
      </c>
      <c r="C2570" s="204" t="s">
        <v>24</v>
      </c>
      <c r="D2570" s="204" t="s">
        <v>1242</v>
      </c>
      <c r="E2570" s="204" t="s">
        <v>3209</v>
      </c>
      <c r="F2570" s="152" t="s">
        <v>2276</v>
      </c>
      <c r="G2570" s="152" t="s">
        <v>2276</v>
      </c>
      <c r="H2570" s="204" t="s">
        <v>523</v>
      </c>
      <c r="I2570" s="204">
        <v>2002</v>
      </c>
      <c r="J2570" s="204" t="s">
        <v>2276</v>
      </c>
      <c r="K2570" s="204" t="s">
        <v>2276</v>
      </c>
      <c r="L2570" s="204" t="s">
        <v>2276</v>
      </c>
      <c r="M2570" s="204" t="s">
        <v>2276</v>
      </c>
      <c r="N2570" s="204" t="s">
        <v>2276</v>
      </c>
      <c r="O2570" s="204" t="s">
        <v>2276</v>
      </c>
      <c r="P2570" s="204" t="s">
        <v>2276</v>
      </c>
      <c r="Q2570" s="204" t="s">
        <v>2276</v>
      </c>
      <c r="R2570" s="204" t="s">
        <v>2276</v>
      </c>
      <c r="S2570" s="204" t="s">
        <v>2276</v>
      </c>
      <c r="T2570" s="21">
        <f>5000*0.493</f>
        <v>2465</v>
      </c>
      <c r="U2570" s="204" t="s">
        <v>2276</v>
      </c>
      <c r="V2570" s="204" t="s">
        <v>2276</v>
      </c>
      <c r="W2570" s="204" t="s">
        <v>2276</v>
      </c>
      <c r="X2570" s="21">
        <f>T2570/'Record info'!K$1117</f>
        <v>7.7484047402005471E-2</v>
      </c>
      <c r="Y2570" s="204" t="s">
        <v>2276</v>
      </c>
      <c r="Z2570" s="204" t="s">
        <v>35</v>
      </c>
      <c r="AA2570" s="204" t="s">
        <v>38</v>
      </c>
      <c r="AB2570" s="204" t="s">
        <v>64</v>
      </c>
      <c r="AC2570" s="204" t="s">
        <v>7627</v>
      </c>
      <c r="AD2570" s="204"/>
    </row>
    <row r="2571" spans="1:30" ht="36.5" customHeight="1">
      <c r="A2571" s="19" t="s">
        <v>7291</v>
      </c>
      <c r="B2571" s="19" t="s">
        <v>7312</v>
      </c>
      <c r="C2571" s="204" t="s">
        <v>24</v>
      </c>
      <c r="D2571" s="204" t="s">
        <v>1242</v>
      </c>
      <c r="E2571" s="204" t="s">
        <v>3209</v>
      </c>
      <c r="F2571" s="152" t="s">
        <v>2276</v>
      </c>
      <c r="G2571" s="152" t="s">
        <v>2276</v>
      </c>
      <c r="H2571" s="204" t="s">
        <v>523</v>
      </c>
      <c r="I2571" s="204">
        <v>2002</v>
      </c>
      <c r="J2571" s="204" t="s">
        <v>2276</v>
      </c>
      <c r="K2571" s="204" t="s">
        <v>2276</v>
      </c>
      <c r="L2571" s="204" t="s">
        <v>2276</v>
      </c>
      <c r="M2571" s="204" t="s">
        <v>2276</v>
      </c>
      <c r="N2571" s="204" t="s">
        <v>2276</v>
      </c>
      <c r="O2571" s="204" t="s">
        <v>2276</v>
      </c>
      <c r="P2571" s="204" t="s">
        <v>2276</v>
      </c>
      <c r="Q2571" s="204" t="s">
        <v>2276</v>
      </c>
      <c r="R2571" s="204" t="s">
        <v>2276</v>
      </c>
      <c r="S2571" s="204" t="s">
        <v>2276</v>
      </c>
      <c r="T2571" s="21">
        <f>5000*0.375</f>
        <v>1875</v>
      </c>
      <c r="U2571" s="204" t="s">
        <v>2276</v>
      </c>
      <c r="V2571" s="204" t="s">
        <v>2276</v>
      </c>
      <c r="W2571" s="204" t="s">
        <v>2276</v>
      </c>
      <c r="X2571" s="21">
        <f>T2571/'Record info'!K$1118</f>
        <v>0.15609390609390608</v>
      </c>
      <c r="Y2571" s="204" t="s">
        <v>2276</v>
      </c>
      <c r="Z2571" s="204" t="s">
        <v>35</v>
      </c>
      <c r="AA2571" s="204" t="s">
        <v>38</v>
      </c>
      <c r="AB2571" s="204" t="s">
        <v>64</v>
      </c>
      <c r="AC2571" s="204" t="s">
        <v>7627</v>
      </c>
      <c r="AD2571" s="204"/>
    </row>
    <row r="2572" spans="1:30" ht="36.5" customHeight="1">
      <c r="A2572" s="19" t="s">
        <v>7292</v>
      </c>
      <c r="B2572" s="19" t="s">
        <v>7313</v>
      </c>
      <c r="C2572" s="204" t="s">
        <v>24</v>
      </c>
      <c r="D2572" s="204" t="s">
        <v>1242</v>
      </c>
      <c r="E2572" s="204" t="s">
        <v>3209</v>
      </c>
      <c r="F2572" s="152" t="s">
        <v>2276</v>
      </c>
      <c r="G2572" s="152" t="s">
        <v>2276</v>
      </c>
      <c r="H2572" s="204" t="s">
        <v>523</v>
      </c>
      <c r="I2572" s="204">
        <v>2002</v>
      </c>
      <c r="J2572" s="204" t="s">
        <v>2276</v>
      </c>
      <c r="K2572" s="204" t="s">
        <v>2276</v>
      </c>
      <c r="L2572" s="204" t="s">
        <v>2276</v>
      </c>
      <c r="M2572" s="204" t="s">
        <v>2276</v>
      </c>
      <c r="N2572" s="204" t="s">
        <v>2276</v>
      </c>
      <c r="O2572" s="204" t="s">
        <v>2276</v>
      </c>
      <c r="P2572" s="204" t="s">
        <v>2276</v>
      </c>
      <c r="Q2572" s="204" t="s">
        <v>2276</v>
      </c>
      <c r="R2572" s="204" t="s">
        <v>2276</v>
      </c>
      <c r="S2572" s="204" t="s">
        <v>2276</v>
      </c>
      <c r="T2572" s="21">
        <f>5000*0.058</f>
        <v>290</v>
      </c>
      <c r="U2572" s="204" t="s">
        <v>2276</v>
      </c>
      <c r="V2572" s="204" t="s">
        <v>2276</v>
      </c>
      <c r="W2572" s="204" t="s">
        <v>2276</v>
      </c>
      <c r="X2572" s="21">
        <f>T2572/'Record info'!K$1119</f>
        <v>5.0493618651298033E-3</v>
      </c>
      <c r="Y2572" s="204" t="s">
        <v>2276</v>
      </c>
      <c r="Z2572" s="204" t="s">
        <v>35</v>
      </c>
      <c r="AA2572" s="204" t="s">
        <v>38</v>
      </c>
      <c r="AB2572" s="204" t="s">
        <v>64</v>
      </c>
      <c r="AC2572" s="204" t="s">
        <v>7627</v>
      </c>
      <c r="AD2572" s="204"/>
    </row>
    <row r="2573" spans="1:30" ht="36.5" customHeight="1">
      <c r="A2573" s="19" t="s">
        <v>7288</v>
      </c>
      <c r="B2573" s="19" t="s">
        <v>7314</v>
      </c>
      <c r="C2573" s="204" t="s">
        <v>24</v>
      </c>
      <c r="D2573" s="204" t="s">
        <v>1242</v>
      </c>
      <c r="E2573" s="204" t="s">
        <v>3209</v>
      </c>
      <c r="F2573" s="152" t="s">
        <v>2276</v>
      </c>
      <c r="G2573" s="152" t="s">
        <v>2276</v>
      </c>
      <c r="H2573" s="204" t="s">
        <v>523</v>
      </c>
      <c r="I2573" s="11">
        <v>2003</v>
      </c>
      <c r="J2573" s="204" t="s">
        <v>2276</v>
      </c>
      <c r="K2573" s="204" t="s">
        <v>2276</v>
      </c>
      <c r="L2573" s="204" t="s">
        <v>2276</v>
      </c>
      <c r="M2573" s="204" t="s">
        <v>2276</v>
      </c>
      <c r="N2573" s="204" t="s">
        <v>2276</v>
      </c>
      <c r="O2573" s="204" t="s">
        <v>2276</v>
      </c>
      <c r="P2573" s="204" t="s">
        <v>2276</v>
      </c>
      <c r="Q2573" s="204" t="s">
        <v>2276</v>
      </c>
      <c r="R2573" s="204" t="s">
        <v>2276</v>
      </c>
      <c r="S2573" s="204" t="s">
        <v>2276</v>
      </c>
      <c r="T2573" s="21">
        <f>4500*0.068</f>
        <v>306</v>
      </c>
      <c r="U2573" s="204" t="s">
        <v>2276</v>
      </c>
      <c r="V2573" s="204" t="s">
        <v>2276</v>
      </c>
      <c r="W2573" s="204" t="s">
        <v>2276</v>
      </c>
      <c r="X2573" s="21">
        <f>T2573/'Record info'!K$1115</f>
        <v>1.1246692149367833E-2</v>
      </c>
      <c r="Y2573" s="204" t="s">
        <v>2276</v>
      </c>
      <c r="Z2573" s="204" t="s">
        <v>35</v>
      </c>
      <c r="AA2573" s="204" t="s">
        <v>38</v>
      </c>
      <c r="AB2573" s="204" t="s">
        <v>64</v>
      </c>
      <c r="AC2573" s="204" t="s">
        <v>7627</v>
      </c>
      <c r="AD2573" s="204"/>
    </row>
    <row r="2574" spans="1:30" ht="36.5" customHeight="1">
      <c r="A2574" s="19" t="s">
        <v>7289</v>
      </c>
      <c r="B2574" s="19" t="s">
        <v>7315</v>
      </c>
      <c r="C2574" s="204" t="s">
        <v>24</v>
      </c>
      <c r="D2574" s="204" t="s">
        <v>1242</v>
      </c>
      <c r="E2574" s="204" t="s">
        <v>3209</v>
      </c>
      <c r="F2574" s="152" t="s">
        <v>2276</v>
      </c>
      <c r="G2574" s="152" t="s">
        <v>2276</v>
      </c>
      <c r="H2574" s="204" t="s">
        <v>523</v>
      </c>
      <c r="I2574" s="11">
        <v>2003</v>
      </c>
      <c r="J2574" s="204" t="s">
        <v>2276</v>
      </c>
      <c r="K2574" s="204" t="s">
        <v>2276</v>
      </c>
      <c r="L2574" s="204" t="s">
        <v>2276</v>
      </c>
      <c r="M2574" s="204" t="s">
        <v>2276</v>
      </c>
      <c r="N2574" s="204" t="s">
        <v>2276</v>
      </c>
      <c r="O2574" s="204" t="s">
        <v>2276</v>
      </c>
      <c r="P2574" s="204" t="s">
        <v>2276</v>
      </c>
      <c r="Q2574" s="204" t="s">
        <v>2276</v>
      </c>
      <c r="R2574" s="204" t="s">
        <v>2276</v>
      </c>
      <c r="S2574" s="204" t="s">
        <v>2276</v>
      </c>
      <c r="T2574" s="21">
        <f>4500*0.05</f>
        <v>225</v>
      </c>
      <c r="U2574" s="204" t="s">
        <v>2276</v>
      </c>
      <c r="V2574" s="204" t="s">
        <v>2276</v>
      </c>
      <c r="W2574" s="204" t="s">
        <v>2276</v>
      </c>
      <c r="X2574" s="21">
        <f>T2574/'Record info'!K$1116</f>
        <v>7.5235738647762987E-3</v>
      </c>
      <c r="Y2574" s="204" t="s">
        <v>2276</v>
      </c>
      <c r="Z2574" s="204" t="s">
        <v>35</v>
      </c>
      <c r="AA2574" s="204" t="s">
        <v>38</v>
      </c>
      <c r="AB2574" s="204" t="s">
        <v>64</v>
      </c>
      <c r="AC2574" s="204" t="s">
        <v>7627</v>
      </c>
      <c r="AD2574" s="204"/>
    </row>
    <row r="2575" spans="1:30" ht="36.5" customHeight="1">
      <c r="A2575" s="19" t="s">
        <v>7290</v>
      </c>
      <c r="B2575" s="19" t="s">
        <v>7316</v>
      </c>
      <c r="C2575" s="204" t="s">
        <v>24</v>
      </c>
      <c r="D2575" s="204" t="s">
        <v>1242</v>
      </c>
      <c r="E2575" s="204" t="s">
        <v>3209</v>
      </c>
      <c r="F2575" s="152" t="s">
        <v>2276</v>
      </c>
      <c r="G2575" s="152" t="s">
        <v>2276</v>
      </c>
      <c r="H2575" s="204" t="s">
        <v>523</v>
      </c>
      <c r="I2575" s="11">
        <v>2003</v>
      </c>
      <c r="J2575" s="204" t="s">
        <v>2276</v>
      </c>
      <c r="K2575" s="204" t="s">
        <v>2276</v>
      </c>
      <c r="L2575" s="204" t="s">
        <v>2276</v>
      </c>
      <c r="M2575" s="204" t="s">
        <v>2276</v>
      </c>
      <c r="N2575" s="204" t="s">
        <v>2276</v>
      </c>
      <c r="O2575" s="204" t="s">
        <v>2276</v>
      </c>
      <c r="P2575" s="204" t="s">
        <v>2276</v>
      </c>
      <c r="Q2575" s="204" t="s">
        <v>2276</v>
      </c>
      <c r="R2575" s="204" t="s">
        <v>2276</v>
      </c>
      <c r="S2575" s="204" t="s">
        <v>2276</v>
      </c>
      <c r="T2575" s="21">
        <f>4500*0.493</f>
        <v>2218.5</v>
      </c>
      <c r="U2575" s="204" t="s">
        <v>2276</v>
      </c>
      <c r="V2575" s="204" t="s">
        <v>2276</v>
      </c>
      <c r="W2575" s="204" t="s">
        <v>2276</v>
      </c>
      <c r="X2575" s="21">
        <f>T2575/'Record info'!K$1117</f>
        <v>6.9735642661804917E-2</v>
      </c>
      <c r="Y2575" s="204" t="s">
        <v>2276</v>
      </c>
      <c r="Z2575" s="204" t="s">
        <v>35</v>
      </c>
      <c r="AA2575" s="204" t="s">
        <v>38</v>
      </c>
      <c r="AB2575" s="204" t="s">
        <v>64</v>
      </c>
      <c r="AC2575" s="204" t="s">
        <v>7627</v>
      </c>
      <c r="AD2575" s="204"/>
    </row>
    <row r="2576" spans="1:30" ht="36.5" customHeight="1">
      <c r="A2576" s="19" t="s">
        <v>7291</v>
      </c>
      <c r="B2576" s="19" t="s">
        <v>7317</v>
      </c>
      <c r="C2576" s="204" t="s">
        <v>24</v>
      </c>
      <c r="D2576" s="204" t="s">
        <v>1242</v>
      </c>
      <c r="E2576" s="204" t="s">
        <v>3209</v>
      </c>
      <c r="F2576" s="152" t="s">
        <v>2276</v>
      </c>
      <c r="G2576" s="152" t="s">
        <v>2276</v>
      </c>
      <c r="H2576" s="204" t="s">
        <v>523</v>
      </c>
      <c r="I2576" s="11">
        <v>2003</v>
      </c>
      <c r="J2576" s="204" t="s">
        <v>2276</v>
      </c>
      <c r="K2576" s="204" t="s">
        <v>2276</v>
      </c>
      <c r="L2576" s="204" t="s">
        <v>2276</v>
      </c>
      <c r="M2576" s="204" t="s">
        <v>2276</v>
      </c>
      <c r="N2576" s="204" t="s">
        <v>2276</v>
      </c>
      <c r="O2576" s="204" t="s">
        <v>2276</v>
      </c>
      <c r="P2576" s="204" t="s">
        <v>2276</v>
      </c>
      <c r="Q2576" s="204" t="s">
        <v>2276</v>
      </c>
      <c r="R2576" s="204" t="s">
        <v>2276</v>
      </c>
      <c r="S2576" s="204" t="s">
        <v>2276</v>
      </c>
      <c r="T2576" s="21">
        <f>4500*0.375</f>
        <v>1687.5</v>
      </c>
      <c r="U2576" s="204" t="s">
        <v>2276</v>
      </c>
      <c r="V2576" s="204" t="s">
        <v>2276</v>
      </c>
      <c r="W2576" s="204" t="s">
        <v>2276</v>
      </c>
      <c r="X2576" s="21">
        <f>T2576/'Record info'!K$1118</f>
        <v>0.14048451548451549</v>
      </c>
      <c r="Y2576" s="204" t="s">
        <v>2276</v>
      </c>
      <c r="Z2576" s="204" t="s">
        <v>35</v>
      </c>
      <c r="AA2576" s="204" t="s">
        <v>38</v>
      </c>
      <c r="AB2576" s="204" t="s">
        <v>64</v>
      </c>
      <c r="AC2576" s="204" t="s">
        <v>7627</v>
      </c>
      <c r="AD2576" s="204"/>
    </row>
    <row r="2577" spans="1:30" ht="36.5" customHeight="1">
      <c r="A2577" s="19" t="s">
        <v>7292</v>
      </c>
      <c r="B2577" s="19" t="s">
        <v>7318</v>
      </c>
      <c r="C2577" s="204" t="s">
        <v>24</v>
      </c>
      <c r="D2577" s="204" t="s">
        <v>1242</v>
      </c>
      <c r="E2577" s="204" t="s">
        <v>3209</v>
      </c>
      <c r="F2577" s="152" t="s">
        <v>2276</v>
      </c>
      <c r="G2577" s="152" t="s">
        <v>2276</v>
      </c>
      <c r="H2577" s="204" t="s">
        <v>523</v>
      </c>
      <c r="I2577" s="11">
        <v>2003</v>
      </c>
      <c r="J2577" s="204" t="s">
        <v>2276</v>
      </c>
      <c r="K2577" s="204" t="s">
        <v>2276</v>
      </c>
      <c r="L2577" s="204" t="s">
        <v>2276</v>
      </c>
      <c r="M2577" s="204" t="s">
        <v>2276</v>
      </c>
      <c r="N2577" s="204" t="s">
        <v>2276</v>
      </c>
      <c r="O2577" s="204" t="s">
        <v>2276</v>
      </c>
      <c r="P2577" s="204" t="s">
        <v>2276</v>
      </c>
      <c r="Q2577" s="204" t="s">
        <v>2276</v>
      </c>
      <c r="R2577" s="204" t="s">
        <v>2276</v>
      </c>
      <c r="S2577" s="204" t="s">
        <v>2276</v>
      </c>
      <c r="T2577" s="21">
        <f>4500*0.058</f>
        <v>261</v>
      </c>
      <c r="U2577" s="204" t="s">
        <v>2276</v>
      </c>
      <c r="V2577" s="204" t="s">
        <v>2276</v>
      </c>
      <c r="W2577" s="204" t="s">
        <v>2276</v>
      </c>
      <c r="X2577" s="21">
        <f>T2577/'Record info'!K$1119</f>
        <v>4.5444256786168228E-3</v>
      </c>
      <c r="Y2577" s="204" t="s">
        <v>2276</v>
      </c>
      <c r="Z2577" s="204" t="s">
        <v>35</v>
      </c>
      <c r="AA2577" s="204" t="s">
        <v>38</v>
      </c>
      <c r="AB2577" s="204" t="s">
        <v>64</v>
      </c>
      <c r="AC2577" s="204" t="s">
        <v>7627</v>
      </c>
      <c r="AD2577" s="204"/>
    </row>
    <row r="2578" spans="1:30" ht="32.5" customHeight="1">
      <c r="A2578" s="19" t="s">
        <v>7288</v>
      </c>
      <c r="B2578" s="19" t="s">
        <v>7319</v>
      </c>
      <c r="C2578" s="204" t="s">
        <v>24</v>
      </c>
      <c r="D2578" s="204" t="s">
        <v>1242</v>
      </c>
      <c r="E2578" s="204" t="s">
        <v>3209</v>
      </c>
      <c r="F2578" s="152" t="s">
        <v>2276</v>
      </c>
      <c r="G2578" s="152" t="s">
        <v>2276</v>
      </c>
      <c r="H2578" s="204" t="s">
        <v>523</v>
      </c>
      <c r="I2578" s="11">
        <v>2004</v>
      </c>
      <c r="J2578" s="204" t="s">
        <v>2276</v>
      </c>
      <c r="K2578" s="204" t="s">
        <v>2276</v>
      </c>
      <c r="L2578" s="204" t="s">
        <v>2276</v>
      </c>
      <c r="M2578" s="204" t="s">
        <v>2276</v>
      </c>
      <c r="N2578" s="204" t="s">
        <v>2276</v>
      </c>
      <c r="O2578" s="204" t="s">
        <v>2276</v>
      </c>
      <c r="P2578" s="204" t="s">
        <v>2276</v>
      </c>
      <c r="Q2578" s="204" t="s">
        <v>2276</v>
      </c>
      <c r="R2578" s="204" t="s">
        <v>2276</v>
      </c>
      <c r="S2578" s="204" t="s">
        <v>2276</v>
      </c>
      <c r="T2578" s="21">
        <f>3800*0.068</f>
        <v>258.40000000000003</v>
      </c>
      <c r="U2578" s="204" t="s">
        <v>2276</v>
      </c>
      <c r="V2578" s="204" t="s">
        <v>2276</v>
      </c>
      <c r="W2578" s="204" t="s">
        <v>2276</v>
      </c>
      <c r="X2578" s="21">
        <f>T2578/'Record info'!K$1115</f>
        <v>9.4972067039106149E-3</v>
      </c>
      <c r="Y2578" s="204" t="s">
        <v>2276</v>
      </c>
      <c r="Z2578" s="204" t="s">
        <v>35</v>
      </c>
      <c r="AA2578" s="204" t="s">
        <v>38</v>
      </c>
      <c r="AB2578" s="204" t="s">
        <v>64</v>
      </c>
      <c r="AC2578" s="204" t="s">
        <v>7627</v>
      </c>
      <c r="AD2578" s="204"/>
    </row>
    <row r="2579" spans="1:30" ht="32.5" customHeight="1">
      <c r="A2579" s="19" t="s">
        <v>7289</v>
      </c>
      <c r="B2579" s="19" t="s">
        <v>7320</v>
      </c>
      <c r="C2579" s="204" t="s">
        <v>24</v>
      </c>
      <c r="D2579" s="204" t="s">
        <v>1242</v>
      </c>
      <c r="E2579" s="204" t="s">
        <v>3209</v>
      </c>
      <c r="F2579" s="152" t="s">
        <v>2276</v>
      </c>
      <c r="G2579" s="152" t="s">
        <v>2276</v>
      </c>
      <c r="H2579" s="204" t="s">
        <v>523</v>
      </c>
      <c r="I2579" s="11">
        <v>2004</v>
      </c>
      <c r="J2579" s="204" t="s">
        <v>2276</v>
      </c>
      <c r="K2579" s="204" t="s">
        <v>2276</v>
      </c>
      <c r="L2579" s="204" t="s">
        <v>2276</v>
      </c>
      <c r="M2579" s="204" t="s">
        <v>2276</v>
      </c>
      <c r="N2579" s="204" t="s">
        <v>2276</v>
      </c>
      <c r="O2579" s="204" t="s">
        <v>2276</v>
      </c>
      <c r="P2579" s="204" t="s">
        <v>2276</v>
      </c>
      <c r="Q2579" s="204" t="s">
        <v>2276</v>
      </c>
      <c r="R2579" s="204" t="s">
        <v>2276</v>
      </c>
      <c r="S2579" s="204" t="s">
        <v>2276</v>
      </c>
      <c r="T2579" s="21">
        <f>3800*0.05</f>
        <v>190</v>
      </c>
      <c r="U2579" s="204" t="s">
        <v>2276</v>
      </c>
      <c r="V2579" s="204" t="s">
        <v>2276</v>
      </c>
      <c r="W2579" s="204" t="s">
        <v>2276</v>
      </c>
      <c r="X2579" s="21">
        <f>T2579/'Record info'!K$1116</f>
        <v>6.3532401524777635E-3</v>
      </c>
      <c r="Y2579" s="204" t="s">
        <v>2276</v>
      </c>
      <c r="Z2579" s="204" t="s">
        <v>35</v>
      </c>
      <c r="AA2579" s="204" t="s">
        <v>38</v>
      </c>
      <c r="AB2579" s="204" t="s">
        <v>64</v>
      </c>
      <c r="AC2579" s="204" t="s">
        <v>7627</v>
      </c>
      <c r="AD2579" s="204"/>
    </row>
    <row r="2580" spans="1:30" ht="32.5" customHeight="1">
      <c r="A2580" s="19" t="s">
        <v>7290</v>
      </c>
      <c r="B2580" s="19" t="s">
        <v>7321</v>
      </c>
      <c r="C2580" s="204" t="s">
        <v>24</v>
      </c>
      <c r="D2580" s="204" t="s">
        <v>1242</v>
      </c>
      <c r="E2580" s="204" t="s">
        <v>3209</v>
      </c>
      <c r="F2580" s="152" t="s">
        <v>2276</v>
      </c>
      <c r="G2580" s="152" t="s">
        <v>2276</v>
      </c>
      <c r="H2580" s="204" t="s">
        <v>523</v>
      </c>
      <c r="I2580" s="11">
        <v>2004</v>
      </c>
      <c r="J2580" s="204" t="s">
        <v>2276</v>
      </c>
      <c r="K2580" s="204" t="s">
        <v>2276</v>
      </c>
      <c r="L2580" s="204" t="s">
        <v>2276</v>
      </c>
      <c r="M2580" s="204" t="s">
        <v>2276</v>
      </c>
      <c r="N2580" s="204" t="s">
        <v>2276</v>
      </c>
      <c r="O2580" s="204" t="s">
        <v>2276</v>
      </c>
      <c r="P2580" s="204" t="s">
        <v>2276</v>
      </c>
      <c r="Q2580" s="204" t="s">
        <v>2276</v>
      </c>
      <c r="R2580" s="204" t="s">
        <v>2276</v>
      </c>
      <c r="S2580" s="204" t="s">
        <v>2276</v>
      </c>
      <c r="T2580" s="21">
        <f>3800*0.493</f>
        <v>1873.3999999999999</v>
      </c>
      <c r="U2580" s="204" t="s">
        <v>2276</v>
      </c>
      <c r="V2580" s="204" t="s">
        <v>2276</v>
      </c>
      <c r="W2580" s="204" t="s">
        <v>2276</v>
      </c>
      <c r="X2580" s="21">
        <f>T2580/'Record info'!K$1117</f>
        <v>5.8887876025524151E-2</v>
      </c>
      <c r="Y2580" s="204" t="s">
        <v>2276</v>
      </c>
      <c r="Z2580" s="204" t="s">
        <v>35</v>
      </c>
      <c r="AA2580" s="204" t="s">
        <v>38</v>
      </c>
      <c r="AB2580" s="204" t="s">
        <v>64</v>
      </c>
      <c r="AC2580" s="204" t="s">
        <v>7627</v>
      </c>
      <c r="AD2580" s="204"/>
    </row>
    <row r="2581" spans="1:30" ht="32.5" customHeight="1">
      <c r="A2581" s="19" t="s">
        <v>7291</v>
      </c>
      <c r="B2581" s="19" t="s">
        <v>7322</v>
      </c>
      <c r="C2581" s="204" t="s">
        <v>24</v>
      </c>
      <c r="D2581" s="204" t="s">
        <v>1242</v>
      </c>
      <c r="E2581" s="204" t="s">
        <v>3209</v>
      </c>
      <c r="F2581" s="152" t="s">
        <v>2276</v>
      </c>
      <c r="G2581" s="152" t="s">
        <v>2276</v>
      </c>
      <c r="H2581" s="204" t="s">
        <v>523</v>
      </c>
      <c r="I2581" s="11">
        <v>2004</v>
      </c>
      <c r="J2581" s="204" t="s">
        <v>2276</v>
      </c>
      <c r="K2581" s="204" t="s">
        <v>2276</v>
      </c>
      <c r="L2581" s="204" t="s">
        <v>2276</v>
      </c>
      <c r="M2581" s="204" t="s">
        <v>2276</v>
      </c>
      <c r="N2581" s="204" t="s">
        <v>2276</v>
      </c>
      <c r="O2581" s="204" t="s">
        <v>2276</v>
      </c>
      <c r="P2581" s="204" t="s">
        <v>2276</v>
      </c>
      <c r="Q2581" s="204" t="s">
        <v>2276</v>
      </c>
      <c r="R2581" s="204" t="s">
        <v>2276</v>
      </c>
      <c r="S2581" s="204" t="s">
        <v>2276</v>
      </c>
      <c r="T2581" s="21">
        <f>3800*0.375</f>
        <v>1425</v>
      </c>
      <c r="U2581" s="204" t="s">
        <v>2276</v>
      </c>
      <c r="V2581" s="204" t="s">
        <v>2276</v>
      </c>
      <c r="W2581" s="204" t="s">
        <v>2276</v>
      </c>
      <c r="X2581" s="21">
        <f>T2581/'Record info'!K$1118</f>
        <v>0.11863136863136862</v>
      </c>
      <c r="Y2581" s="204" t="s">
        <v>2276</v>
      </c>
      <c r="Z2581" s="204" t="s">
        <v>35</v>
      </c>
      <c r="AA2581" s="204" t="s">
        <v>38</v>
      </c>
      <c r="AB2581" s="204" t="s">
        <v>64</v>
      </c>
      <c r="AC2581" s="204" t="s">
        <v>7627</v>
      </c>
      <c r="AD2581" s="204"/>
    </row>
    <row r="2582" spans="1:30" ht="32.5" customHeight="1">
      <c r="A2582" s="19" t="s">
        <v>7292</v>
      </c>
      <c r="B2582" s="19" t="s">
        <v>7323</v>
      </c>
      <c r="C2582" s="204" t="s">
        <v>24</v>
      </c>
      <c r="D2582" s="204" t="s">
        <v>1242</v>
      </c>
      <c r="E2582" s="204" t="s">
        <v>3209</v>
      </c>
      <c r="F2582" s="152" t="s">
        <v>2276</v>
      </c>
      <c r="G2582" s="152" t="s">
        <v>2276</v>
      </c>
      <c r="H2582" s="204" t="s">
        <v>523</v>
      </c>
      <c r="I2582" s="11">
        <v>2004</v>
      </c>
      <c r="J2582" s="204" t="s">
        <v>2276</v>
      </c>
      <c r="K2582" s="204" t="s">
        <v>2276</v>
      </c>
      <c r="L2582" s="204" t="s">
        <v>2276</v>
      </c>
      <c r="M2582" s="204" t="s">
        <v>2276</v>
      </c>
      <c r="N2582" s="204" t="s">
        <v>2276</v>
      </c>
      <c r="O2582" s="204" t="s">
        <v>2276</v>
      </c>
      <c r="P2582" s="204" t="s">
        <v>2276</v>
      </c>
      <c r="Q2582" s="204" t="s">
        <v>2276</v>
      </c>
      <c r="R2582" s="204" t="s">
        <v>2276</v>
      </c>
      <c r="S2582" s="204" t="s">
        <v>2276</v>
      </c>
      <c r="T2582" s="21">
        <f>3800*0.058</f>
        <v>220.4</v>
      </c>
      <c r="U2582" s="204" t="s">
        <v>2276</v>
      </c>
      <c r="V2582" s="204" t="s">
        <v>2276</v>
      </c>
      <c r="W2582" s="204" t="s">
        <v>2276</v>
      </c>
      <c r="X2582" s="21">
        <f>T2582/'Record info'!K$1119</f>
        <v>3.8375150174986506E-3</v>
      </c>
      <c r="Y2582" s="204" t="s">
        <v>2276</v>
      </c>
      <c r="Z2582" s="204" t="s">
        <v>35</v>
      </c>
      <c r="AA2582" s="204" t="s">
        <v>38</v>
      </c>
      <c r="AB2582" s="204" t="s">
        <v>64</v>
      </c>
      <c r="AC2582" s="204" t="s">
        <v>7627</v>
      </c>
      <c r="AD2582" s="204"/>
    </row>
    <row r="2583" spans="1:30" ht="28" customHeight="1">
      <c r="A2583" s="19" t="s">
        <v>7288</v>
      </c>
      <c r="B2583" s="19" t="s">
        <v>7324</v>
      </c>
      <c r="C2583" s="204" t="s">
        <v>24</v>
      </c>
      <c r="D2583" s="204" t="s">
        <v>1242</v>
      </c>
      <c r="E2583" s="204" t="s">
        <v>3209</v>
      </c>
      <c r="F2583" s="152" t="s">
        <v>2276</v>
      </c>
      <c r="G2583" s="152" t="s">
        <v>2276</v>
      </c>
      <c r="H2583" s="204" t="s">
        <v>523</v>
      </c>
      <c r="I2583" s="11">
        <v>2005</v>
      </c>
      <c r="J2583" s="204" t="s">
        <v>2276</v>
      </c>
      <c r="K2583" s="204" t="s">
        <v>2276</v>
      </c>
      <c r="L2583" s="204" t="s">
        <v>2276</v>
      </c>
      <c r="M2583" s="204" t="s">
        <v>2276</v>
      </c>
      <c r="N2583" s="204" t="s">
        <v>2276</v>
      </c>
      <c r="O2583" s="204" t="s">
        <v>2276</v>
      </c>
      <c r="P2583" s="204" t="s">
        <v>2276</v>
      </c>
      <c r="Q2583" s="204" t="s">
        <v>2276</v>
      </c>
      <c r="R2583" s="204" t="s">
        <v>2276</v>
      </c>
      <c r="S2583" s="204" t="s">
        <v>2276</v>
      </c>
      <c r="T2583" s="21">
        <f>2500*0.068</f>
        <v>170</v>
      </c>
      <c r="U2583" s="204" t="s">
        <v>2276</v>
      </c>
      <c r="V2583" s="204" t="s">
        <v>2276</v>
      </c>
      <c r="W2583" s="204" t="s">
        <v>2276</v>
      </c>
      <c r="X2583" s="21">
        <f>T2583/'Record info'!K$1115</f>
        <v>6.2481623052043521E-3</v>
      </c>
      <c r="Y2583" s="204" t="s">
        <v>2276</v>
      </c>
      <c r="Z2583" s="204" t="s">
        <v>35</v>
      </c>
      <c r="AA2583" s="204" t="s">
        <v>38</v>
      </c>
      <c r="AB2583" s="204" t="s">
        <v>64</v>
      </c>
      <c r="AC2583" s="204" t="s">
        <v>7627</v>
      </c>
      <c r="AD2583" s="204"/>
    </row>
    <row r="2584" spans="1:30" ht="28" customHeight="1">
      <c r="A2584" s="19" t="s">
        <v>7289</v>
      </c>
      <c r="B2584" s="19" t="s">
        <v>7325</v>
      </c>
      <c r="C2584" s="204" t="s">
        <v>24</v>
      </c>
      <c r="D2584" s="204" t="s">
        <v>1242</v>
      </c>
      <c r="E2584" s="204" t="s">
        <v>3209</v>
      </c>
      <c r="F2584" s="152" t="s">
        <v>2276</v>
      </c>
      <c r="G2584" s="152" t="s">
        <v>2276</v>
      </c>
      <c r="H2584" s="204" t="s">
        <v>523</v>
      </c>
      <c r="I2584" s="11">
        <v>2005</v>
      </c>
      <c r="J2584" s="204" t="s">
        <v>2276</v>
      </c>
      <c r="K2584" s="204" t="s">
        <v>2276</v>
      </c>
      <c r="L2584" s="204" t="s">
        <v>2276</v>
      </c>
      <c r="M2584" s="204" t="s">
        <v>2276</v>
      </c>
      <c r="N2584" s="204" t="s">
        <v>2276</v>
      </c>
      <c r="O2584" s="204" t="s">
        <v>2276</v>
      </c>
      <c r="P2584" s="204" t="s">
        <v>2276</v>
      </c>
      <c r="Q2584" s="204" t="s">
        <v>2276</v>
      </c>
      <c r="R2584" s="204" t="s">
        <v>2276</v>
      </c>
      <c r="S2584" s="204" t="s">
        <v>2276</v>
      </c>
      <c r="T2584" s="21">
        <f>2500*0.05</f>
        <v>125</v>
      </c>
      <c r="U2584" s="204" t="s">
        <v>2276</v>
      </c>
      <c r="V2584" s="204" t="s">
        <v>2276</v>
      </c>
      <c r="W2584" s="204" t="s">
        <v>2276</v>
      </c>
      <c r="X2584" s="21">
        <f>T2584/'Record info'!K$1116</f>
        <v>4.1797632582090552E-3</v>
      </c>
      <c r="Y2584" s="204" t="s">
        <v>2276</v>
      </c>
      <c r="Z2584" s="204" t="s">
        <v>35</v>
      </c>
      <c r="AA2584" s="204" t="s">
        <v>38</v>
      </c>
      <c r="AB2584" s="204" t="s">
        <v>64</v>
      </c>
      <c r="AC2584" s="204" t="s">
        <v>7627</v>
      </c>
      <c r="AD2584" s="204"/>
    </row>
    <row r="2585" spans="1:30" ht="28" customHeight="1">
      <c r="A2585" s="19" t="s">
        <v>7290</v>
      </c>
      <c r="B2585" s="19" t="s">
        <v>7326</v>
      </c>
      <c r="C2585" s="204" t="s">
        <v>24</v>
      </c>
      <c r="D2585" s="204" t="s">
        <v>1242</v>
      </c>
      <c r="E2585" s="204" t="s">
        <v>3209</v>
      </c>
      <c r="F2585" s="152" t="s">
        <v>2276</v>
      </c>
      <c r="G2585" s="152" t="s">
        <v>2276</v>
      </c>
      <c r="H2585" s="204" t="s">
        <v>523</v>
      </c>
      <c r="I2585" s="11">
        <v>2005</v>
      </c>
      <c r="J2585" s="204" t="s">
        <v>2276</v>
      </c>
      <c r="K2585" s="204" t="s">
        <v>2276</v>
      </c>
      <c r="L2585" s="204" t="s">
        <v>2276</v>
      </c>
      <c r="M2585" s="204" t="s">
        <v>2276</v>
      </c>
      <c r="N2585" s="204" t="s">
        <v>2276</v>
      </c>
      <c r="O2585" s="204" t="s">
        <v>2276</v>
      </c>
      <c r="P2585" s="204" t="s">
        <v>2276</v>
      </c>
      <c r="Q2585" s="204" t="s">
        <v>2276</v>
      </c>
      <c r="R2585" s="204" t="s">
        <v>2276</v>
      </c>
      <c r="S2585" s="204" t="s">
        <v>2276</v>
      </c>
      <c r="T2585" s="21">
        <f>2500*0.493</f>
        <v>1232.5</v>
      </c>
      <c r="U2585" s="204" t="s">
        <v>2276</v>
      </c>
      <c r="V2585" s="204" t="s">
        <v>2276</v>
      </c>
      <c r="W2585" s="204" t="s">
        <v>2276</v>
      </c>
      <c r="X2585" s="21">
        <f>T2585/'Record info'!K$1117</f>
        <v>3.8742023701002735E-2</v>
      </c>
      <c r="Y2585" s="204" t="s">
        <v>2276</v>
      </c>
      <c r="Z2585" s="204" t="s">
        <v>35</v>
      </c>
      <c r="AA2585" s="204" t="s">
        <v>38</v>
      </c>
      <c r="AB2585" s="204" t="s">
        <v>64</v>
      </c>
      <c r="AC2585" s="204" t="s">
        <v>7627</v>
      </c>
      <c r="AD2585" s="204"/>
    </row>
    <row r="2586" spans="1:30" ht="28" customHeight="1">
      <c r="A2586" s="19" t="s">
        <v>7291</v>
      </c>
      <c r="B2586" s="19" t="s">
        <v>7327</v>
      </c>
      <c r="C2586" s="204" t="s">
        <v>24</v>
      </c>
      <c r="D2586" s="204" t="s">
        <v>1242</v>
      </c>
      <c r="E2586" s="204" t="s">
        <v>3209</v>
      </c>
      <c r="F2586" s="152" t="s">
        <v>2276</v>
      </c>
      <c r="G2586" s="152" t="s">
        <v>2276</v>
      </c>
      <c r="H2586" s="204" t="s">
        <v>523</v>
      </c>
      <c r="I2586" s="11">
        <v>2005</v>
      </c>
      <c r="J2586" s="204" t="s">
        <v>2276</v>
      </c>
      <c r="K2586" s="204" t="s">
        <v>2276</v>
      </c>
      <c r="L2586" s="204" t="s">
        <v>2276</v>
      </c>
      <c r="M2586" s="204" t="s">
        <v>2276</v>
      </c>
      <c r="N2586" s="204" t="s">
        <v>2276</v>
      </c>
      <c r="O2586" s="204" t="s">
        <v>2276</v>
      </c>
      <c r="P2586" s="204" t="s">
        <v>2276</v>
      </c>
      <c r="Q2586" s="204" t="s">
        <v>2276</v>
      </c>
      <c r="R2586" s="204" t="s">
        <v>2276</v>
      </c>
      <c r="S2586" s="204" t="s">
        <v>2276</v>
      </c>
      <c r="T2586" s="21">
        <f>2500*0.375</f>
        <v>937.5</v>
      </c>
      <c r="U2586" s="204" t="s">
        <v>2276</v>
      </c>
      <c r="V2586" s="204" t="s">
        <v>2276</v>
      </c>
      <c r="W2586" s="204" t="s">
        <v>2276</v>
      </c>
      <c r="X2586" s="21">
        <f>T2586/'Record info'!K$1118</f>
        <v>7.8046953046953041E-2</v>
      </c>
      <c r="Y2586" s="204" t="s">
        <v>2276</v>
      </c>
      <c r="Z2586" s="204" t="s">
        <v>35</v>
      </c>
      <c r="AA2586" s="204" t="s">
        <v>38</v>
      </c>
      <c r="AB2586" s="204" t="s">
        <v>64</v>
      </c>
      <c r="AC2586" s="204" t="s">
        <v>7627</v>
      </c>
      <c r="AD2586" s="204"/>
    </row>
    <row r="2587" spans="1:30" ht="28" customHeight="1">
      <c r="A2587" s="19" t="s">
        <v>7292</v>
      </c>
      <c r="B2587" s="19" t="s">
        <v>7328</v>
      </c>
      <c r="C2587" s="204" t="s">
        <v>24</v>
      </c>
      <c r="D2587" s="204" t="s">
        <v>1242</v>
      </c>
      <c r="E2587" s="204" t="s">
        <v>3209</v>
      </c>
      <c r="F2587" s="152" t="s">
        <v>2276</v>
      </c>
      <c r="G2587" s="152" t="s">
        <v>2276</v>
      </c>
      <c r="H2587" s="204" t="s">
        <v>523</v>
      </c>
      <c r="I2587" s="11">
        <v>2005</v>
      </c>
      <c r="J2587" s="204" t="s">
        <v>2276</v>
      </c>
      <c r="K2587" s="204" t="s">
        <v>2276</v>
      </c>
      <c r="L2587" s="204" t="s">
        <v>2276</v>
      </c>
      <c r="M2587" s="204" t="s">
        <v>2276</v>
      </c>
      <c r="N2587" s="204" t="s">
        <v>2276</v>
      </c>
      <c r="O2587" s="204" t="s">
        <v>2276</v>
      </c>
      <c r="P2587" s="204" t="s">
        <v>2276</v>
      </c>
      <c r="Q2587" s="204" t="s">
        <v>2276</v>
      </c>
      <c r="R2587" s="204" t="s">
        <v>2276</v>
      </c>
      <c r="S2587" s="204" t="s">
        <v>2276</v>
      </c>
      <c r="T2587" s="21">
        <f>2500*0.058</f>
        <v>145</v>
      </c>
      <c r="U2587" s="204" t="s">
        <v>2276</v>
      </c>
      <c r="V2587" s="204" t="s">
        <v>2276</v>
      </c>
      <c r="W2587" s="204" t="s">
        <v>2276</v>
      </c>
      <c r="X2587" s="21">
        <f>T2587/'Record info'!K$1119</f>
        <v>2.5246809325649017E-3</v>
      </c>
      <c r="Y2587" s="204" t="s">
        <v>2276</v>
      </c>
      <c r="Z2587" s="204" t="s">
        <v>35</v>
      </c>
      <c r="AA2587" s="204" t="s">
        <v>38</v>
      </c>
      <c r="AB2587" s="204" t="s">
        <v>64</v>
      </c>
      <c r="AC2587" s="204" t="s">
        <v>7627</v>
      </c>
      <c r="AD2587" s="204"/>
    </row>
    <row r="2588" spans="1:30" ht="26.5" customHeight="1">
      <c r="A2588" s="19" t="s">
        <v>7288</v>
      </c>
      <c r="B2588" s="19" t="s">
        <v>7329</v>
      </c>
      <c r="C2588" s="204" t="s">
        <v>24</v>
      </c>
      <c r="D2588" s="204" t="s">
        <v>1242</v>
      </c>
      <c r="E2588" s="204" t="s">
        <v>3209</v>
      </c>
      <c r="F2588" s="152" t="s">
        <v>2276</v>
      </c>
      <c r="G2588" s="152" t="s">
        <v>2276</v>
      </c>
      <c r="H2588" s="204" t="s">
        <v>523</v>
      </c>
      <c r="I2588" s="11">
        <v>2006</v>
      </c>
      <c r="J2588" s="204" t="s">
        <v>2276</v>
      </c>
      <c r="K2588" s="204" t="s">
        <v>2276</v>
      </c>
      <c r="L2588" s="204" t="s">
        <v>2276</v>
      </c>
      <c r="M2588" s="204" t="s">
        <v>2276</v>
      </c>
      <c r="N2588" s="204" t="s">
        <v>2276</v>
      </c>
      <c r="O2588" s="204" t="s">
        <v>2276</v>
      </c>
      <c r="P2588" s="204" t="s">
        <v>2276</v>
      </c>
      <c r="Q2588" s="204" t="s">
        <v>2276</v>
      </c>
      <c r="R2588" s="204" t="s">
        <v>2276</v>
      </c>
      <c r="S2588" s="204" t="s">
        <v>2276</v>
      </c>
      <c r="T2588" s="21">
        <f>2250*0.068</f>
        <v>153</v>
      </c>
      <c r="U2588" s="204" t="s">
        <v>2276</v>
      </c>
      <c r="V2588" s="204" t="s">
        <v>2276</v>
      </c>
      <c r="W2588" s="204" t="s">
        <v>2276</v>
      </c>
      <c r="X2588" s="21">
        <f>T2588/'Record info'!K$1115</f>
        <v>5.6233460746839166E-3</v>
      </c>
      <c r="Y2588" s="204" t="s">
        <v>2276</v>
      </c>
      <c r="Z2588" s="204" t="s">
        <v>35</v>
      </c>
      <c r="AA2588" s="204" t="s">
        <v>38</v>
      </c>
      <c r="AB2588" s="204" t="s">
        <v>64</v>
      </c>
      <c r="AC2588" s="204" t="s">
        <v>7627</v>
      </c>
      <c r="AD2588" s="204"/>
    </row>
    <row r="2589" spans="1:30" ht="26.5" customHeight="1">
      <c r="A2589" s="19" t="s">
        <v>7289</v>
      </c>
      <c r="B2589" s="19" t="s">
        <v>7330</v>
      </c>
      <c r="C2589" s="204" t="s">
        <v>24</v>
      </c>
      <c r="D2589" s="204" t="s">
        <v>1242</v>
      </c>
      <c r="E2589" s="204" t="s">
        <v>3209</v>
      </c>
      <c r="F2589" s="152" t="s">
        <v>2276</v>
      </c>
      <c r="G2589" s="152" t="s">
        <v>2276</v>
      </c>
      <c r="H2589" s="204" t="s">
        <v>523</v>
      </c>
      <c r="I2589" s="11">
        <v>2006</v>
      </c>
      <c r="J2589" s="204" t="s">
        <v>2276</v>
      </c>
      <c r="K2589" s="204" t="s">
        <v>2276</v>
      </c>
      <c r="L2589" s="204" t="s">
        <v>2276</v>
      </c>
      <c r="M2589" s="204" t="s">
        <v>2276</v>
      </c>
      <c r="N2589" s="204" t="s">
        <v>2276</v>
      </c>
      <c r="O2589" s="204" t="s">
        <v>2276</v>
      </c>
      <c r="P2589" s="204" t="s">
        <v>2276</v>
      </c>
      <c r="Q2589" s="204" t="s">
        <v>2276</v>
      </c>
      <c r="R2589" s="204" t="s">
        <v>2276</v>
      </c>
      <c r="S2589" s="204" t="s">
        <v>2276</v>
      </c>
      <c r="T2589" s="21">
        <f>2250*0.05</f>
        <v>112.5</v>
      </c>
      <c r="U2589" s="204" t="s">
        <v>2276</v>
      </c>
      <c r="V2589" s="204" t="s">
        <v>2276</v>
      </c>
      <c r="W2589" s="204" t="s">
        <v>2276</v>
      </c>
      <c r="X2589" s="21">
        <f>T2589/'Record info'!K$1116</f>
        <v>3.7617869323881494E-3</v>
      </c>
      <c r="Y2589" s="204" t="s">
        <v>2276</v>
      </c>
      <c r="Z2589" s="204" t="s">
        <v>35</v>
      </c>
      <c r="AA2589" s="204" t="s">
        <v>38</v>
      </c>
      <c r="AB2589" s="204" t="s">
        <v>64</v>
      </c>
      <c r="AC2589" s="204" t="s">
        <v>7627</v>
      </c>
      <c r="AD2589" s="204"/>
    </row>
    <row r="2590" spans="1:30" ht="26.5" customHeight="1">
      <c r="A2590" s="19" t="s">
        <v>7290</v>
      </c>
      <c r="B2590" s="19" t="s">
        <v>7331</v>
      </c>
      <c r="C2590" s="204" t="s">
        <v>24</v>
      </c>
      <c r="D2590" s="204" t="s">
        <v>1242</v>
      </c>
      <c r="E2590" s="204" t="s">
        <v>3209</v>
      </c>
      <c r="F2590" s="152" t="s">
        <v>2276</v>
      </c>
      <c r="G2590" s="152" t="s">
        <v>2276</v>
      </c>
      <c r="H2590" s="204" t="s">
        <v>523</v>
      </c>
      <c r="I2590" s="11">
        <v>2006</v>
      </c>
      <c r="J2590" s="204" t="s">
        <v>2276</v>
      </c>
      <c r="K2590" s="204" t="s">
        <v>2276</v>
      </c>
      <c r="L2590" s="204" t="s">
        <v>2276</v>
      </c>
      <c r="M2590" s="204" t="s">
        <v>2276</v>
      </c>
      <c r="N2590" s="204" t="s">
        <v>2276</v>
      </c>
      <c r="O2590" s="204" t="s">
        <v>2276</v>
      </c>
      <c r="P2590" s="204" t="s">
        <v>2276</v>
      </c>
      <c r="Q2590" s="204" t="s">
        <v>2276</v>
      </c>
      <c r="R2590" s="204" t="s">
        <v>2276</v>
      </c>
      <c r="S2590" s="204" t="s">
        <v>2276</v>
      </c>
      <c r="T2590" s="21">
        <f>2250*0.493</f>
        <v>1109.25</v>
      </c>
      <c r="U2590" s="204" t="s">
        <v>2276</v>
      </c>
      <c r="V2590" s="204" t="s">
        <v>2276</v>
      </c>
      <c r="W2590" s="204" t="s">
        <v>2276</v>
      </c>
      <c r="X2590" s="21">
        <f>T2590/'Record info'!K$1117</f>
        <v>3.4867821330902458E-2</v>
      </c>
      <c r="Y2590" s="204" t="s">
        <v>2276</v>
      </c>
      <c r="Z2590" s="204" t="s">
        <v>35</v>
      </c>
      <c r="AA2590" s="204" t="s">
        <v>38</v>
      </c>
      <c r="AB2590" s="204" t="s">
        <v>64</v>
      </c>
      <c r="AC2590" s="204" t="s">
        <v>7627</v>
      </c>
      <c r="AD2590" s="204"/>
    </row>
    <row r="2591" spans="1:30" ht="26.5" customHeight="1">
      <c r="A2591" s="19" t="s">
        <v>7291</v>
      </c>
      <c r="B2591" s="19" t="s">
        <v>7332</v>
      </c>
      <c r="C2591" s="204" t="s">
        <v>24</v>
      </c>
      <c r="D2591" s="204" t="s">
        <v>1242</v>
      </c>
      <c r="E2591" s="204" t="s">
        <v>3209</v>
      </c>
      <c r="F2591" s="152" t="s">
        <v>2276</v>
      </c>
      <c r="G2591" s="152" t="s">
        <v>2276</v>
      </c>
      <c r="H2591" s="204" t="s">
        <v>523</v>
      </c>
      <c r="I2591" s="11">
        <v>2006</v>
      </c>
      <c r="J2591" s="204" t="s">
        <v>2276</v>
      </c>
      <c r="K2591" s="204" t="s">
        <v>2276</v>
      </c>
      <c r="L2591" s="204" t="s">
        <v>2276</v>
      </c>
      <c r="M2591" s="204" t="s">
        <v>2276</v>
      </c>
      <c r="N2591" s="204" t="s">
        <v>2276</v>
      </c>
      <c r="O2591" s="204" t="s">
        <v>2276</v>
      </c>
      <c r="P2591" s="204" t="s">
        <v>2276</v>
      </c>
      <c r="Q2591" s="204" t="s">
        <v>2276</v>
      </c>
      <c r="R2591" s="204" t="s">
        <v>2276</v>
      </c>
      <c r="S2591" s="204" t="s">
        <v>2276</v>
      </c>
      <c r="T2591" s="21">
        <f>2250*0.375</f>
        <v>843.75</v>
      </c>
      <c r="U2591" s="204" t="s">
        <v>2276</v>
      </c>
      <c r="V2591" s="204" t="s">
        <v>2276</v>
      </c>
      <c r="W2591" s="204" t="s">
        <v>2276</v>
      </c>
      <c r="X2591" s="21">
        <f>T2591/'Record info'!K$1118</f>
        <v>7.0242257742257744E-2</v>
      </c>
      <c r="Y2591" s="204" t="s">
        <v>2276</v>
      </c>
      <c r="Z2591" s="204" t="s">
        <v>35</v>
      </c>
      <c r="AA2591" s="204" t="s">
        <v>38</v>
      </c>
      <c r="AB2591" s="204" t="s">
        <v>64</v>
      </c>
      <c r="AC2591" s="204" t="s">
        <v>7627</v>
      </c>
      <c r="AD2591" s="204"/>
    </row>
    <row r="2592" spans="1:30" ht="26.5" customHeight="1">
      <c r="A2592" s="19" t="s">
        <v>7292</v>
      </c>
      <c r="B2592" s="19" t="s">
        <v>7333</v>
      </c>
      <c r="C2592" s="204" t="s">
        <v>24</v>
      </c>
      <c r="D2592" s="204" t="s">
        <v>1242</v>
      </c>
      <c r="E2592" s="204" t="s">
        <v>3209</v>
      </c>
      <c r="F2592" s="152" t="s">
        <v>2276</v>
      </c>
      <c r="G2592" s="152" t="s">
        <v>2276</v>
      </c>
      <c r="H2592" s="204" t="s">
        <v>523</v>
      </c>
      <c r="I2592" s="11">
        <v>2006</v>
      </c>
      <c r="J2592" s="204" t="s">
        <v>2276</v>
      </c>
      <c r="K2592" s="204" t="s">
        <v>2276</v>
      </c>
      <c r="L2592" s="204" t="s">
        <v>2276</v>
      </c>
      <c r="M2592" s="204" t="s">
        <v>2276</v>
      </c>
      <c r="N2592" s="204" t="s">
        <v>2276</v>
      </c>
      <c r="O2592" s="204" t="s">
        <v>2276</v>
      </c>
      <c r="P2592" s="204" t="s">
        <v>2276</v>
      </c>
      <c r="Q2592" s="204" t="s">
        <v>2276</v>
      </c>
      <c r="R2592" s="204" t="s">
        <v>2276</v>
      </c>
      <c r="S2592" s="204" t="s">
        <v>2276</v>
      </c>
      <c r="T2592" s="21">
        <f>2250*0.058</f>
        <v>130.5</v>
      </c>
      <c r="U2592" s="204" t="s">
        <v>2276</v>
      </c>
      <c r="V2592" s="204" t="s">
        <v>2276</v>
      </c>
      <c r="W2592" s="204" t="s">
        <v>2276</v>
      </c>
      <c r="X2592" s="21">
        <f>T2592/'Record info'!K$1119</f>
        <v>2.2722128393084114E-3</v>
      </c>
      <c r="Y2592" s="204" t="s">
        <v>2276</v>
      </c>
      <c r="Z2592" s="204" t="s">
        <v>35</v>
      </c>
      <c r="AA2592" s="204" t="s">
        <v>38</v>
      </c>
      <c r="AB2592" s="204" t="s">
        <v>64</v>
      </c>
      <c r="AC2592" s="204" t="s">
        <v>7627</v>
      </c>
      <c r="AD2592" s="204"/>
    </row>
    <row r="2593" spans="1:30" ht="24.5" customHeight="1">
      <c r="A2593" s="19" t="s">
        <v>7288</v>
      </c>
      <c r="B2593" s="19" t="s">
        <v>7334</v>
      </c>
      <c r="C2593" s="204" t="s">
        <v>24</v>
      </c>
      <c r="D2593" s="204" t="s">
        <v>1242</v>
      </c>
      <c r="E2593" s="204" t="s">
        <v>3209</v>
      </c>
      <c r="F2593" s="152" t="s">
        <v>2276</v>
      </c>
      <c r="G2593" s="152" t="s">
        <v>2276</v>
      </c>
      <c r="H2593" s="204" t="s">
        <v>523</v>
      </c>
      <c r="I2593" s="11">
        <v>2007</v>
      </c>
      <c r="J2593" s="204" t="s">
        <v>2276</v>
      </c>
      <c r="K2593" s="204" t="s">
        <v>2276</v>
      </c>
      <c r="L2593" s="204" t="s">
        <v>2276</v>
      </c>
      <c r="M2593" s="204" t="s">
        <v>2276</v>
      </c>
      <c r="N2593" s="204" t="s">
        <v>2276</v>
      </c>
      <c r="O2593" s="204" t="s">
        <v>2276</v>
      </c>
      <c r="P2593" s="204" t="s">
        <v>2276</v>
      </c>
      <c r="Q2593" s="204" t="s">
        <v>2276</v>
      </c>
      <c r="R2593" s="204" t="s">
        <v>2276</v>
      </c>
      <c r="S2593" s="204" t="s">
        <v>2276</v>
      </c>
      <c r="T2593" s="21">
        <f>4500*0.068</f>
        <v>306</v>
      </c>
      <c r="U2593" s="204" t="s">
        <v>2276</v>
      </c>
      <c r="V2593" s="204" t="s">
        <v>2276</v>
      </c>
      <c r="W2593" s="204" t="s">
        <v>2276</v>
      </c>
      <c r="X2593" s="21">
        <f>T2593/'Record info'!K$1115</f>
        <v>1.1246692149367833E-2</v>
      </c>
      <c r="Y2593" s="204" t="s">
        <v>2276</v>
      </c>
      <c r="Z2593" s="204" t="s">
        <v>35</v>
      </c>
      <c r="AA2593" s="204" t="s">
        <v>38</v>
      </c>
      <c r="AB2593" s="204" t="s">
        <v>64</v>
      </c>
      <c r="AC2593" s="204" t="s">
        <v>7627</v>
      </c>
      <c r="AD2593" s="204"/>
    </row>
    <row r="2594" spans="1:30" ht="24.5" customHeight="1">
      <c r="A2594" s="19" t="s">
        <v>7289</v>
      </c>
      <c r="B2594" s="19" t="s">
        <v>7335</v>
      </c>
      <c r="C2594" s="204" t="s">
        <v>24</v>
      </c>
      <c r="D2594" s="204" t="s">
        <v>1242</v>
      </c>
      <c r="E2594" s="204" t="s">
        <v>3209</v>
      </c>
      <c r="F2594" s="152" t="s">
        <v>2276</v>
      </c>
      <c r="G2594" s="152" t="s">
        <v>2276</v>
      </c>
      <c r="H2594" s="204" t="s">
        <v>523</v>
      </c>
      <c r="I2594" s="11">
        <v>2007</v>
      </c>
      <c r="J2594" s="204" t="s">
        <v>2276</v>
      </c>
      <c r="K2594" s="204" t="s">
        <v>2276</v>
      </c>
      <c r="L2594" s="204" t="s">
        <v>2276</v>
      </c>
      <c r="M2594" s="204" t="s">
        <v>2276</v>
      </c>
      <c r="N2594" s="204" t="s">
        <v>2276</v>
      </c>
      <c r="O2594" s="204" t="s">
        <v>2276</v>
      </c>
      <c r="P2594" s="204" t="s">
        <v>2276</v>
      </c>
      <c r="Q2594" s="204" t="s">
        <v>2276</v>
      </c>
      <c r="R2594" s="204" t="s">
        <v>2276</v>
      </c>
      <c r="S2594" s="204" t="s">
        <v>2276</v>
      </c>
      <c r="T2594" s="21">
        <f>4500*0.05</f>
        <v>225</v>
      </c>
      <c r="U2594" s="204" t="s">
        <v>2276</v>
      </c>
      <c r="V2594" s="204" t="s">
        <v>2276</v>
      </c>
      <c r="W2594" s="204" t="s">
        <v>2276</v>
      </c>
      <c r="X2594" s="21">
        <f>T2594/'Record info'!K$1116</f>
        <v>7.5235738647762987E-3</v>
      </c>
      <c r="Y2594" s="204" t="s">
        <v>2276</v>
      </c>
      <c r="Z2594" s="204" t="s">
        <v>35</v>
      </c>
      <c r="AA2594" s="204" t="s">
        <v>38</v>
      </c>
      <c r="AB2594" s="204" t="s">
        <v>64</v>
      </c>
      <c r="AC2594" s="204" t="s">
        <v>7627</v>
      </c>
      <c r="AD2594" s="204"/>
    </row>
    <row r="2595" spans="1:30" ht="24.5" customHeight="1">
      <c r="A2595" s="19" t="s">
        <v>7290</v>
      </c>
      <c r="B2595" s="19" t="s">
        <v>7336</v>
      </c>
      <c r="C2595" s="204" t="s">
        <v>24</v>
      </c>
      <c r="D2595" s="204" t="s">
        <v>1242</v>
      </c>
      <c r="E2595" s="204" t="s">
        <v>3209</v>
      </c>
      <c r="F2595" s="152" t="s">
        <v>2276</v>
      </c>
      <c r="G2595" s="152" t="s">
        <v>2276</v>
      </c>
      <c r="H2595" s="204" t="s">
        <v>523</v>
      </c>
      <c r="I2595" s="11">
        <v>2007</v>
      </c>
      <c r="J2595" s="204" t="s">
        <v>2276</v>
      </c>
      <c r="K2595" s="204" t="s">
        <v>2276</v>
      </c>
      <c r="L2595" s="204" t="s">
        <v>2276</v>
      </c>
      <c r="M2595" s="204" t="s">
        <v>2276</v>
      </c>
      <c r="N2595" s="204" t="s">
        <v>2276</v>
      </c>
      <c r="O2595" s="204" t="s">
        <v>2276</v>
      </c>
      <c r="P2595" s="204" t="s">
        <v>2276</v>
      </c>
      <c r="Q2595" s="204" t="s">
        <v>2276</v>
      </c>
      <c r="R2595" s="204" t="s">
        <v>2276</v>
      </c>
      <c r="S2595" s="204" t="s">
        <v>2276</v>
      </c>
      <c r="T2595" s="21">
        <f>4500*0.493</f>
        <v>2218.5</v>
      </c>
      <c r="U2595" s="204" t="s">
        <v>2276</v>
      </c>
      <c r="V2595" s="204" t="s">
        <v>2276</v>
      </c>
      <c r="W2595" s="204" t="s">
        <v>2276</v>
      </c>
      <c r="X2595" s="21">
        <f>T2595/'Record info'!K$1117</f>
        <v>6.9735642661804917E-2</v>
      </c>
      <c r="Y2595" s="204" t="s">
        <v>2276</v>
      </c>
      <c r="Z2595" s="204" t="s">
        <v>35</v>
      </c>
      <c r="AA2595" s="204" t="s">
        <v>38</v>
      </c>
      <c r="AB2595" s="204" t="s">
        <v>64</v>
      </c>
      <c r="AC2595" s="204" t="s">
        <v>7627</v>
      </c>
      <c r="AD2595" s="204"/>
    </row>
    <row r="2596" spans="1:30" ht="24.5" customHeight="1">
      <c r="A2596" s="19" t="s">
        <v>7291</v>
      </c>
      <c r="B2596" s="19" t="s">
        <v>7337</v>
      </c>
      <c r="C2596" s="204" t="s">
        <v>24</v>
      </c>
      <c r="D2596" s="204" t="s">
        <v>1242</v>
      </c>
      <c r="E2596" s="204" t="s">
        <v>3209</v>
      </c>
      <c r="F2596" s="152" t="s">
        <v>2276</v>
      </c>
      <c r="G2596" s="152" t="s">
        <v>2276</v>
      </c>
      <c r="H2596" s="204" t="s">
        <v>523</v>
      </c>
      <c r="I2596" s="11">
        <v>2007</v>
      </c>
      <c r="J2596" s="204" t="s">
        <v>2276</v>
      </c>
      <c r="K2596" s="204" t="s">
        <v>2276</v>
      </c>
      <c r="L2596" s="204" t="s">
        <v>2276</v>
      </c>
      <c r="M2596" s="204" t="s">
        <v>2276</v>
      </c>
      <c r="N2596" s="204" t="s">
        <v>2276</v>
      </c>
      <c r="O2596" s="204" t="s">
        <v>2276</v>
      </c>
      <c r="P2596" s="204" t="s">
        <v>2276</v>
      </c>
      <c r="Q2596" s="204" t="s">
        <v>2276</v>
      </c>
      <c r="R2596" s="204" t="s">
        <v>2276</v>
      </c>
      <c r="S2596" s="204" t="s">
        <v>2276</v>
      </c>
      <c r="T2596" s="21">
        <f>4500*0.375</f>
        <v>1687.5</v>
      </c>
      <c r="U2596" s="204" t="s">
        <v>2276</v>
      </c>
      <c r="V2596" s="204" t="s">
        <v>2276</v>
      </c>
      <c r="W2596" s="204" t="s">
        <v>2276</v>
      </c>
      <c r="X2596" s="21">
        <f>T2596/'Record info'!K$1118</f>
        <v>0.14048451548451549</v>
      </c>
      <c r="Y2596" s="204" t="s">
        <v>2276</v>
      </c>
      <c r="Z2596" s="204" t="s">
        <v>35</v>
      </c>
      <c r="AA2596" s="204" t="s">
        <v>38</v>
      </c>
      <c r="AB2596" s="204" t="s">
        <v>64</v>
      </c>
      <c r="AC2596" s="204" t="s">
        <v>7627</v>
      </c>
      <c r="AD2596" s="204"/>
    </row>
    <row r="2597" spans="1:30" ht="30" customHeight="1">
      <c r="A2597" s="19" t="s">
        <v>7292</v>
      </c>
      <c r="B2597" s="19" t="s">
        <v>7338</v>
      </c>
      <c r="C2597" s="204" t="s">
        <v>24</v>
      </c>
      <c r="D2597" s="204" t="s">
        <v>1242</v>
      </c>
      <c r="E2597" s="204" t="s">
        <v>3209</v>
      </c>
      <c r="F2597" s="152" t="s">
        <v>2276</v>
      </c>
      <c r="G2597" s="152" t="s">
        <v>2276</v>
      </c>
      <c r="H2597" s="204" t="s">
        <v>523</v>
      </c>
      <c r="I2597" s="11">
        <v>2007</v>
      </c>
      <c r="J2597" s="204" t="s">
        <v>2276</v>
      </c>
      <c r="K2597" s="204" t="s">
        <v>2276</v>
      </c>
      <c r="L2597" s="204" t="s">
        <v>2276</v>
      </c>
      <c r="M2597" s="204" t="s">
        <v>2276</v>
      </c>
      <c r="N2597" s="204" t="s">
        <v>2276</v>
      </c>
      <c r="O2597" s="204" t="s">
        <v>2276</v>
      </c>
      <c r="P2597" s="204" t="s">
        <v>2276</v>
      </c>
      <c r="Q2597" s="204" t="s">
        <v>2276</v>
      </c>
      <c r="R2597" s="204" t="s">
        <v>2276</v>
      </c>
      <c r="S2597" s="204" t="s">
        <v>2276</v>
      </c>
      <c r="T2597" s="21">
        <f>4500*0.058</f>
        <v>261</v>
      </c>
      <c r="U2597" s="204" t="s">
        <v>2276</v>
      </c>
      <c r="V2597" s="204" t="s">
        <v>2276</v>
      </c>
      <c r="W2597" s="204" t="s">
        <v>2276</v>
      </c>
      <c r="X2597" s="21">
        <f>T2597/'Record info'!K$1119</f>
        <v>4.5444256786168228E-3</v>
      </c>
      <c r="Y2597" s="204" t="s">
        <v>2276</v>
      </c>
      <c r="Z2597" s="204" t="s">
        <v>35</v>
      </c>
      <c r="AA2597" s="204" t="s">
        <v>38</v>
      </c>
      <c r="AB2597" s="204" t="s">
        <v>64</v>
      </c>
      <c r="AC2597" s="204" t="s">
        <v>7627</v>
      </c>
      <c r="AD2597" s="204"/>
    </row>
    <row r="2598" spans="1:30" ht="30" customHeight="1">
      <c r="A2598" s="19" t="s">
        <v>7288</v>
      </c>
      <c r="B2598" s="19" t="s">
        <v>7339</v>
      </c>
      <c r="C2598" s="204" t="s">
        <v>24</v>
      </c>
      <c r="D2598" s="204" t="s">
        <v>1242</v>
      </c>
      <c r="E2598" s="204" t="s">
        <v>3209</v>
      </c>
      <c r="F2598" s="152" t="s">
        <v>2276</v>
      </c>
      <c r="G2598" s="152" t="s">
        <v>2276</v>
      </c>
      <c r="H2598" s="204" t="s">
        <v>523</v>
      </c>
      <c r="I2598" s="11">
        <v>2008</v>
      </c>
      <c r="J2598" s="204" t="s">
        <v>2276</v>
      </c>
      <c r="K2598" s="204" t="s">
        <v>2276</v>
      </c>
      <c r="L2598" s="204" t="s">
        <v>2276</v>
      </c>
      <c r="M2598" s="204" t="s">
        <v>2276</v>
      </c>
      <c r="N2598" s="204" t="s">
        <v>2276</v>
      </c>
      <c r="O2598" s="204" t="s">
        <v>2276</v>
      </c>
      <c r="P2598" s="204" t="s">
        <v>2276</v>
      </c>
      <c r="Q2598" s="204" t="s">
        <v>2276</v>
      </c>
      <c r="R2598" s="204" t="s">
        <v>2276</v>
      </c>
      <c r="S2598" s="204" t="s">
        <v>2276</v>
      </c>
      <c r="T2598" s="21">
        <f>4000*0.068</f>
        <v>272</v>
      </c>
      <c r="U2598" s="204" t="s">
        <v>2276</v>
      </c>
      <c r="V2598" s="204" t="s">
        <v>2276</v>
      </c>
      <c r="W2598" s="204" t="s">
        <v>2276</v>
      </c>
      <c r="X2598" s="21">
        <f>T2598/'Record info'!K$1115</f>
        <v>9.9970596883269622E-3</v>
      </c>
      <c r="Y2598" s="204" t="s">
        <v>2276</v>
      </c>
      <c r="Z2598" s="204" t="s">
        <v>35</v>
      </c>
      <c r="AA2598" s="204" t="s">
        <v>38</v>
      </c>
      <c r="AB2598" s="204" t="s">
        <v>64</v>
      </c>
      <c r="AC2598" s="204" t="s">
        <v>7627</v>
      </c>
      <c r="AD2598" s="204"/>
    </row>
    <row r="2599" spans="1:30" ht="30" customHeight="1">
      <c r="A2599" s="19" t="s">
        <v>7289</v>
      </c>
      <c r="B2599" s="19" t="s">
        <v>7340</v>
      </c>
      <c r="C2599" s="204" t="s">
        <v>24</v>
      </c>
      <c r="D2599" s="204" t="s">
        <v>1242</v>
      </c>
      <c r="E2599" s="204" t="s">
        <v>3209</v>
      </c>
      <c r="F2599" s="152" t="s">
        <v>2276</v>
      </c>
      <c r="G2599" s="152" t="s">
        <v>2276</v>
      </c>
      <c r="H2599" s="204" t="s">
        <v>523</v>
      </c>
      <c r="I2599" s="11">
        <v>2008</v>
      </c>
      <c r="J2599" s="204" t="s">
        <v>2276</v>
      </c>
      <c r="K2599" s="204" t="s">
        <v>2276</v>
      </c>
      <c r="L2599" s="204" t="s">
        <v>2276</v>
      </c>
      <c r="M2599" s="204" t="s">
        <v>2276</v>
      </c>
      <c r="N2599" s="204" t="s">
        <v>2276</v>
      </c>
      <c r="O2599" s="204" t="s">
        <v>2276</v>
      </c>
      <c r="P2599" s="204" t="s">
        <v>2276</v>
      </c>
      <c r="Q2599" s="204" t="s">
        <v>2276</v>
      </c>
      <c r="R2599" s="204" t="s">
        <v>2276</v>
      </c>
      <c r="S2599" s="204" t="s">
        <v>2276</v>
      </c>
      <c r="T2599" s="21">
        <f>4000*0.05</f>
        <v>200</v>
      </c>
      <c r="U2599" s="204" t="s">
        <v>2276</v>
      </c>
      <c r="V2599" s="204" t="s">
        <v>2276</v>
      </c>
      <c r="W2599" s="204" t="s">
        <v>2276</v>
      </c>
      <c r="X2599" s="21">
        <f>T2599/'Record info'!K$1116</f>
        <v>6.6876212131344879E-3</v>
      </c>
      <c r="Y2599" s="204" t="s">
        <v>2276</v>
      </c>
      <c r="Z2599" s="204" t="s">
        <v>35</v>
      </c>
      <c r="AA2599" s="204" t="s">
        <v>38</v>
      </c>
      <c r="AB2599" s="204" t="s">
        <v>64</v>
      </c>
      <c r="AC2599" s="204" t="s">
        <v>7627</v>
      </c>
      <c r="AD2599" s="204"/>
    </row>
    <row r="2600" spans="1:30" ht="30" customHeight="1">
      <c r="A2600" s="19" t="s">
        <v>7290</v>
      </c>
      <c r="B2600" s="19" t="s">
        <v>7341</v>
      </c>
      <c r="C2600" s="204" t="s">
        <v>24</v>
      </c>
      <c r="D2600" s="204" t="s">
        <v>1242</v>
      </c>
      <c r="E2600" s="204" t="s">
        <v>3209</v>
      </c>
      <c r="F2600" s="152" t="s">
        <v>2276</v>
      </c>
      <c r="G2600" s="152" t="s">
        <v>2276</v>
      </c>
      <c r="H2600" s="204" t="s">
        <v>523</v>
      </c>
      <c r="I2600" s="11">
        <v>2008</v>
      </c>
      <c r="J2600" s="204" t="s">
        <v>2276</v>
      </c>
      <c r="K2600" s="204" t="s">
        <v>2276</v>
      </c>
      <c r="L2600" s="204" t="s">
        <v>2276</v>
      </c>
      <c r="M2600" s="204" t="s">
        <v>2276</v>
      </c>
      <c r="N2600" s="204" t="s">
        <v>2276</v>
      </c>
      <c r="O2600" s="204" t="s">
        <v>2276</v>
      </c>
      <c r="P2600" s="204" t="s">
        <v>2276</v>
      </c>
      <c r="Q2600" s="204" t="s">
        <v>2276</v>
      </c>
      <c r="R2600" s="204" t="s">
        <v>2276</v>
      </c>
      <c r="S2600" s="204" t="s">
        <v>2276</v>
      </c>
      <c r="T2600" s="21">
        <f>4000*0.493</f>
        <v>1972</v>
      </c>
      <c r="U2600" s="204" t="s">
        <v>2276</v>
      </c>
      <c r="V2600" s="204" t="s">
        <v>2276</v>
      </c>
      <c r="W2600" s="204" t="s">
        <v>2276</v>
      </c>
      <c r="X2600" s="21">
        <f>T2600/'Record info'!K$1117</f>
        <v>6.1987237921604377E-2</v>
      </c>
      <c r="Y2600" s="204" t="s">
        <v>2276</v>
      </c>
      <c r="Z2600" s="204" t="s">
        <v>35</v>
      </c>
      <c r="AA2600" s="204" t="s">
        <v>38</v>
      </c>
      <c r="AB2600" s="204" t="s">
        <v>64</v>
      </c>
      <c r="AC2600" s="204" t="s">
        <v>7627</v>
      </c>
      <c r="AD2600" s="204"/>
    </row>
    <row r="2601" spans="1:30" ht="30" customHeight="1">
      <c r="A2601" s="19" t="s">
        <v>7291</v>
      </c>
      <c r="B2601" s="19" t="s">
        <v>7342</v>
      </c>
      <c r="C2601" s="204" t="s">
        <v>24</v>
      </c>
      <c r="D2601" s="204" t="s">
        <v>1242</v>
      </c>
      <c r="E2601" s="204" t="s">
        <v>3209</v>
      </c>
      <c r="F2601" s="152" t="s">
        <v>2276</v>
      </c>
      <c r="G2601" s="152" t="s">
        <v>2276</v>
      </c>
      <c r="H2601" s="204" t="s">
        <v>523</v>
      </c>
      <c r="I2601" s="11">
        <v>2008</v>
      </c>
      <c r="J2601" s="204" t="s">
        <v>2276</v>
      </c>
      <c r="K2601" s="204" t="s">
        <v>2276</v>
      </c>
      <c r="L2601" s="204" t="s">
        <v>2276</v>
      </c>
      <c r="M2601" s="204" t="s">
        <v>2276</v>
      </c>
      <c r="N2601" s="204" t="s">
        <v>2276</v>
      </c>
      <c r="O2601" s="204" t="s">
        <v>2276</v>
      </c>
      <c r="P2601" s="204" t="s">
        <v>2276</v>
      </c>
      <c r="Q2601" s="204" t="s">
        <v>2276</v>
      </c>
      <c r="R2601" s="204" t="s">
        <v>2276</v>
      </c>
      <c r="S2601" s="204" t="s">
        <v>2276</v>
      </c>
      <c r="T2601" s="21">
        <f>4000*0.375</f>
        <v>1500</v>
      </c>
      <c r="U2601" s="204" t="s">
        <v>2276</v>
      </c>
      <c r="V2601" s="204" t="s">
        <v>2276</v>
      </c>
      <c r="W2601" s="204" t="s">
        <v>2276</v>
      </c>
      <c r="X2601" s="21">
        <f>T2601/'Record info'!K$1118</f>
        <v>0.12487512487512488</v>
      </c>
      <c r="Y2601" s="204" t="s">
        <v>2276</v>
      </c>
      <c r="Z2601" s="204" t="s">
        <v>35</v>
      </c>
      <c r="AA2601" s="204" t="s">
        <v>38</v>
      </c>
      <c r="AB2601" s="204" t="s">
        <v>64</v>
      </c>
      <c r="AC2601" s="204" t="s">
        <v>7627</v>
      </c>
      <c r="AD2601" s="204"/>
    </row>
    <row r="2602" spans="1:30" ht="30" customHeight="1">
      <c r="A2602" s="19" t="s">
        <v>7292</v>
      </c>
      <c r="B2602" s="19" t="s">
        <v>7343</v>
      </c>
      <c r="C2602" s="204" t="s">
        <v>24</v>
      </c>
      <c r="D2602" s="204" t="s">
        <v>1242</v>
      </c>
      <c r="E2602" s="204" t="s">
        <v>3209</v>
      </c>
      <c r="F2602" s="152" t="s">
        <v>2276</v>
      </c>
      <c r="G2602" s="152" t="s">
        <v>2276</v>
      </c>
      <c r="H2602" s="204" t="s">
        <v>523</v>
      </c>
      <c r="I2602" s="11">
        <v>2008</v>
      </c>
      <c r="J2602" s="204" t="s">
        <v>2276</v>
      </c>
      <c r="K2602" s="204" t="s">
        <v>2276</v>
      </c>
      <c r="L2602" s="204" t="s">
        <v>2276</v>
      </c>
      <c r="M2602" s="204" t="s">
        <v>2276</v>
      </c>
      <c r="N2602" s="204" t="s">
        <v>2276</v>
      </c>
      <c r="O2602" s="204" t="s">
        <v>2276</v>
      </c>
      <c r="P2602" s="204" t="s">
        <v>2276</v>
      </c>
      <c r="Q2602" s="204" t="s">
        <v>2276</v>
      </c>
      <c r="R2602" s="204" t="s">
        <v>2276</v>
      </c>
      <c r="S2602" s="204" t="s">
        <v>2276</v>
      </c>
      <c r="T2602" s="21">
        <f>4000*0.058</f>
        <v>232</v>
      </c>
      <c r="U2602" s="204" t="s">
        <v>2276</v>
      </c>
      <c r="V2602" s="204" t="s">
        <v>2276</v>
      </c>
      <c r="W2602" s="204" t="s">
        <v>2276</v>
      </c>
      <c r="X2602" s="21">
        <f>T2602/'Record info'!K$1119</f>
        <v>4.0394894921038423E-3</v>
      </c>
      <c r="Y2602" s="204" t="s">
        <v>2276</v>
      </c>
      <c r="Z2602" s="204" t="s">
        <v>35</v>
      </c>
      <c r="AA2602" s="204" t="s">
        <v>38</v>
      </c>
      <c r="AB2602" s="204" t="s">
        <v>64</v>
      </c>
      <c r="AC2602" s="204" t="s">
        <v>7627</v>
      </c>
      <c r="AD2602" s="204"/>
    </row>
    <row r="2603" spans="1:30" ht="28" customHeight="1">
      <c r="A2603" s="19" t="s">
        <v>7288</v>
      </c>
      <c r="B2603" s="19" t="s">
        <v>7344</v>
      </c>
      <c r="C2603" s="204" t="s">
        <v>24</v>
      </c>
      <c r="D2603" s="204" t="s">
        <v>1242</v>
      </c>
      <c r="E2603" s="204" t="s">
        <v>3209</v>
      </c>
      <c r="F2603" s="152" t="s">
        <v>2276</v>
      </c>
      <c r="G2603" s="152" t="s">
        <v>2276</v>
      </c>
      <c r="H2603" s="204" t="s">
        <v>523</v>
      </c>
      <c r="I2603" s="11">
        <v>2009</v>
      </c>
      <c r="J2603" s="204" t="s">
        <v>2276</v>
      </c>
      <c r="K2603" s="204" t="s">
        <v>2276</v>
      </c>
      <c r="L2603" s="204" t="s">
        <v>2276</v>
      </c>
      <c r="M2603" s="204" t="s">
        <v>2276</v>
      </c>
      <c r="N2603" s="204" t="s">
        <v>2276</v>
      </c>
      <c r="O2603" s="204" t="s">
        <v>2276</v>
      </c>
      <c r="P2603" s="204" t="s">
        <v>2276</v>
      </c>
      <c r="Q2603" s="204" t="s">
        <v>2276</v>
      </c>
      <c r="R2603" s="204" t="s">
        <v>2276</v>
      </c>
      <c r="S2603" s="204" t="s">
        <v>2276</v>
      </c>
      <c r="T2603" s="21">
        <f>3250*0.068</f>
        <v>221.00000000000003</v>
      </c>
      <c r="U2603" s="204" t="s">
        <v>2276</v>
      </c>
      <c r="V2603" s="204" t="s">
        <v>2276</v>
      </c>
      <c r="W2603" s="204" t="s">
        <v>2276</v>
      </c>
      <c r="X2603" s="21">
        <f>T2603/'Record info'!K$1115</f>
        <v>8.1226109967656585E-3</v>
      </c>
      <c r="Y2603" s="204" t="s">
        <v>2276</v>
      </c>
      <c r="Z2603" s="204" t="s">
        <v>35</v>
      </c>
      <c r="AA2603" s="204" t="s">
        <v>38</v>
      </c>
      <c r="AB2603" s="204" t="s">
        <v>64</v>
      </c>
      <c r="AC2603" s="204" t="s">
        <v>7627</v>
      </c>
      <c r="AD2603" s="204"/>
    </row>
    <row r="2604" spans="1:30" ht="28" customHeight="1">
      <c r="A2604" s="19" t="s">
        <v>7289</v>
      </c>
      <c r="B2604" s="19" t="s">
        <v>7345</v>
      </c>
      <c r="C2604" s="204" t="s">
        <v>24</v>
      </c>
      <c r="D2604" s="204" t="s">
        <v>1242</v>
      </c>
      <c r="E2604" s="204" t="s">
        <v>3209</v>
      </c>
      <c r="F2604" s="152" t="s">
        <v>2276</v>
      </c>
      <c r="G2604" s="152" t="s">
        <v>2276</v>
      </c>
      <c r="H2604" s="204" t="s">
        <v>523</v>
      </c>
      <c r="I2604" s="11">
        <v>2009</v>
      </c>
      <c r="J2604" s="204" t="s">
        <v>2276</v>
      </c>
      <c r="K2604" s="204" t="s">
        <v>2276</v>
      </c>
      <c r="L2604" s="204" t="s">
        <v>2276</v>
      </c>
      <c r="M2604" s="204" t="s">
        <v>2276</v>
      </c>
      <c r="N2604" s="204" t="s">
        <v>2276</v>
      </c>
      <c r="O2604" s="204" t="s">
        <v>2276</v>
      </c>
      <c r="P2604" s="204" t="s">
        <v>2276</v>
      </c>
      <c r="Q2604" s="204" t="s">
        <v>2276</v>
      </c>
      <c r="R2604" s="204" t="s">
        <v>2276</v>
      </c>
      <c r="S2604" s="204" t="s">
        <v>2276</v>
      </c>
      <c r="T2604" s="21">
        <f>3250*0.05</f>
        <v>162.5</v>
      </c>
      <c r="U2604" s="204" t="s">
        <v>2276</v>
      </c>
      <c r="V2604" s="204" t="s">
        <v>2276</v>
      </c>
      <c r="W2604" s="204" t="s">
        <v>2276</v>
      </c>
      <c r="X2604" s="21">
        <f>T2604/'Record info'!K$1116</f>
        <v>5.4336922356717715E-3</v>
      </c>
      <c r="Y2604" s="204" t="s">
        <v>2276</v>
      </c>
      <c r="Z2604" s="204" t="s">
        <v>35</v>
      </c>
      <c r="AA2604" s="204" t="s">
        <v>38</v>
      </c>
      <c r="AB2604" s="204" t="s">
        <v>64</v>
      </c>
      <c r="AC2604" s="204" t="s">
        <v>7627</v>
      </c>
      <c r="AD2604" s="204"/>
    </row>
    <row r="2605" spans="1:30" ht="28" customHeight="1">
      <c r="A2605" s="19" t="s">
        <v>7290</v>
      </c>
      <c r="B2605" s="19" t="s">
        <v>7346</v>
      </c>
      <c r="C2605" s="204" t="s">
        <v>24</v>
      </c>
      <c r="D2605" s="204" t="s">
        <v>1242</v>
      </c>
      <c r="E2605" s="204" t="s">
        <v>3209</v>
      </c>
      <c r="F2605" s="152" t="s">
        <v>2276</v>
      </c>
      <c r="G2605" s="152" t="s">
        <v>2276</v>
      </c>
      <c r="H2605" s="204" t="s">
        <v>523</v>
      </c>
      <c r="I2605" s="11">
        <v>2009</v>
      </c>
      <c r="J2605" s="204" t="s">
        <v>2276</v>
      </c>
      <c r="K2605" s="204" t="s">
        <v>2276</v>
      </c>
      <c r="L2605" s="204" t="s">
        <v>2276</v>
      </c>
      <c r="M2605" s="204" t="s">
        <v>2276</v>
      </c>
      <c r="N2605" s="204" t="s">
        <v>2276</v>
      </c>
      <c r="O2605" s="204" t="s">
        <v>2276</v>
      </c>
      <c r="P2605" s="204" t="s">
        <v>2276</v>
      </c>
      <c r="Q2605" s="204" t="s">
        <v>2276</v>
      </c>
      <c r="R2605" s="204" t="s">
        <v>2276</v>
      </c>
      <c r="S2605" s="204" t="s">
        <v>2276</v>
      </c>
      <c r="T2605" s="21">
        <f>3250*0.493</f>
        <v>1602.25</v>
      </c>
      <c r="U2605" s="204" t="s">
        <v>2276</v>
      </c>
      <c r="V2605" s="204" t="s">
        <v>2276</v>
      </c>
      <c r="W2605" s="204" t="s">
        <v>2276</v>
      </c>
      <c r="X2605" s="21">
        <f>T2605/'Record info'!K$1117</f>
        <v>5.0364630811303553E-2</v>
      </c>
      <c r="Y2605" s="204" t="s">
        <v>2276</v>
      </c>
      <c r="Z2605" s="204" t="s">
        <v>35</v>
      </c>
      <c r="AA2605" s="204" t="s">
        <v>38</v>
      </c>
      <c r="AB2605" s="204" t="s">
        <v>64</v>
      </c>
      <c r="AC2605" s="204" t="s">
        <v>7627</v>
      </c>
      <c r="AD2605" s="204"/>
    </row>
    <row r="2606" spans="1:30" ht="28" customHeight="1">
      <c r="A2606" s="19" t="s">
        <v>7291</v>
      </c>
      <c r="B2606" s="19" t="s">
        <v>7347</v>
      </c>
      <c r="C2606" s="204" t="s">
        <v>24</v>
      </c>
      <c r="D2606" s="204" t="s">
        <v>1242</v>
      </c>
      <c r="E2606" s="204" t="s">
        <v>3209</v>
      </c>
      <c r="F2606" s="152" t="s">
        <v>2276</v>
      </c>
      <c r="G2606" s="152" t="s">
        <v>2276</v>
      </c>
      <c r="H2606" s="204" t="s">
        <v>523</v>
      </c>
      <c r="I2606" s="11">
        <v>2009</v>
      </c>
      <c r="J2606" s="204" t="s">
        <v>2276</v>
      </c>
      <c r="K2606" s="204" t="s">
        <v>2276</v>
      </c>
      <c r="L2606" s="204" t="s">
        <v>2276</v>
      </c>
      <c r="M2606" s="204" t="s">
        <v>2276</v>
      </c>
      <c r="N2606" s="204" t="s">
        <v>2276</v>
      </c>
      <c r="O2606" s="204" t="s">
        <v>2276</v>
      </c>
      <c r="P2606" s="204" t="s">
        <v>2276</v>
      </c>
      <c r="Q2606" s="204" t="s">
        <v>2276</v>
      </c>
      <c r="R2606" s="204" t="s">
        <v>2276</v>
      </c>
      <c r="S2606" s="204" t="s">
        <v>2276</v>
      </c>
      <c r="T2606" s="21">
        <f>3250*0.375</f>
        <v>1218.75</v>
      </c>
      <c r="U2606" s="204" t="s">
        <v>2276</v>
      </c>
      <c r="V2606" s="204" t="s">
        <v>2276</v>
      </c>
      <c r="W2606" s="204" t="s">
        <v>2276</v>
      </c>
      <c r="X2606" s="21">
        <f>T2606/'Record info'!K$1118</f>
        <v>0.10146103896103896</v>
      </c>
      <c r="Y2606" s="204" t="s">
        <v>2276</v>
      </c>
      <c r="Z2606" s="204" t="s">
        <v>35</v>
      </c>
      <c r="AA2606" s="204" t="s">
        <v>38</v>
      </c>
      <c r="AB2606" s="204" t="s">
        <v>64</v>
      </c>
      <c r="AC2606" s="204" t="s">
        <v>7627</v>
      </c>
      <c r="AD2606" s="204"/>
    </row>
    <row r="2607" spans="1:30" ht="28" customHeight="1">
      <c r="A2607" s="19" t="s">
        <v>7292</v>
      </c>
      <c r="B2607" s="19" t="s">
        <v>7348</v>
      </c>
      <c r="C2607" s="204" t="s">
        <v>24</v>
      </c>
      <c r="D2607" s="204" t="s">
        <v>1242</v>
      </c>
      <c r="E2607" s="204" t="s">
        <v>3209</v>
      </c>
      <c r="F2607" s="152" t="s">
        <v>2276</v>
      </c>
      <c r="G2607" s="152" t="s">
        <v>2276</v>
      </c>
      <c r="H2607" s="204" t="s">
        <v>523</v>
      </c>
      <c r="I2607" s="11">
        <v>2009</v>
      </c>
      <c r="J2607" s="204" t="s">
        <v>2276</v>
      </c>
      <c r="K2607" s="204" t="s">
        <v>2276</v>
      </c>
      <c r="L2607" s="204" t="s">
        <v>2276</v>
      </c>
      <c r="M2607" s="204" t="s">
        <v>2276</v>
      </c>
      <c r="N2607" s="204" t="s">
        <v>2276</v>
      </c>
      <c r="O2607" s="204" t="s">
        <v>2276</v>
      </c>
      <c r="P2607" s="204" t="s">
        <v>2276</v>
      </c>
      <c r="Q2607" s="204" t="s">
        <v>2276</v>
      </c>
      <c r="R2607" s="204" t="s">
        <v>2276</v>
      </c>
      <c r="S2607" s="204" t="s">
        <v>2276</v>
      </c>
      <c r="T2607" s="21">
        <f>3250*0.058</f>
        <v>188.5</v>
      </c>
      <c r="U2607" s="204" t="s">
        <v>2276</v>
      </c>
      <c r="V2607" s="204" t="s">
        <v>2276</v>
      </c>
      <c r="W2607" s="204" t="s">
        <v>2276</v>
      </c>
      <c r="X2607" s="21">
        <f>T2607/'Record info'!K$1119</f>
        <v>3.2820852123343724E-3</v>
      </c>
      <c r="Y2607" s="204" t="s">
        <v>2276</v>
      </c>
      <c r="Z2607" s="204" t="s">
        <v>35</v>
      </c>
      <c r="AA2607" s="204" t="s">
        <v>38</v>
      </c>
      <c r="AB2607" s="204" t="s">
        <v>64</v>
      </c>
      <c r="AC2607" s="204" t="s">
        <v>7627</v>
      </c>
      <c r="AD2607" s="204"/>
    </row>
    <row r="2608" spans="1:30" ht="28" customHeight="1">
      <c r="A2608" s="19" t="s">
        <v>7288</v>
      </c>
      <c r="B2608" s="19" t="s">
        <v>7349</v>
      </c>
      <c r="C2608" s="204" t="s">
        <v>24</v>
      </c>
      <c r="D2608" s="204" t="s">
        <v>1242</v>
      </c>
      <c r="E2608" s="204" t="s">
        <v>3209</v>
      </c>
      <c r="F2608" s="152" t="s">
        <v>2276</v>
      </c>
      <c r="G2608" s="152" t="s">
        <v>2276</v>
      </c>
      <c r="H2608" s="204" t="s">
        <v>523</v>
      </c>
      <c r="I2608" s="11">
        <v>2010</v>
      </c>
      <c r="J2608" s="204" t="s">
        <v>2276</v>
      </c>
      <c r="K2608" s="204" t="s">
        <v>2276</v>
      </c>
      <c r="L2608" s="204" t="s">
        <v>2276</v>
      </c>
      <c r="M2608" s="204" t="s">
        <v>2276</v>
      </c>
      <c r="N2608" s="204" t="s">
        <v>2276</v>
      </c>
      <c r="O2608" s="204" t="s">
        <v>2276</v>
      </c>
      <c r="P2608" s="204" t="s">
        <v>2276</v>
      </c>
      <c r="Q2608" s="204" t="s">
        <v>2276</v>
      </c>
      <c r="R2608" s="204" t="s">
        <v>2276</v>
      </c>
      <c r="S2608" s="204" t="s">
        <v>2276</v>
      </c>
      <c r="T2608" s="21">
        <f>2500*0.068</f>
        <v>170</v>
      </c>
      <c r="U2608" s="204" t="s">
        <v>2276</v>
      </c>
      <c r="V2608" s="204" t="s">
        <v>2276</v>
      </c>
      <c r="W2608" s="204" t="s">
        <v>2276</v>
      </c>
      <c r="X2608" s="21">
        <f>T2608/'Record info'!K$1115</f>
        <v>6.2481623052043521E-3</v>
      </c>
      <c r="Y2608" s="204" t="s">
        <v>2276</v>
      </c>
      <c r="Z2608" s="204" t="s">
        <v>35</v>
      </c>
      <c r="AA2608" s="204" t="s">
        <v>38</v>
      </c>
      <c r="AB2608" s="204" t="s">
        <v>64</v>
      </c>
      <c r="AC2608" s="204" t="s">
        <v>7627</v>
      </c>
      <c r="AD2608" s="204"/>
    </row>
    <row r="2609" spans="1:30" ht="28" customHeight="1">
      <c r="A2609" s="19" t="s">
        <v>7289</v>
      </c>
      <c r="B2609" s="19" t="s">
        <v>7350</v>
      </c>
      <c r="C2609" s="204" t="s">
        <v>24</v>
      </c>
      <c r="D2609" s="204" t="s">
        <v>1242</v>
      </c>
      <c r="E2609" s="204" t="s">
        <v>3209</v>
      </c>
      <c r="F2609" s="152" t="s">
        <v>2276</v>
      </c>
      <c r="G2609" s="152" t="s">
        <v>2276</v>
      </c>
      <c r="H2609" s="204" t="s">
        <v>523</v>
      </c>
      <c r="I2609" s="11">
        <v>2010</v>
      </c>
      <c r="J2609" s="204" t="s">
        <v>2276</v>
      </c>
      <c r="K2609" s="204" t="s">
        <v>2276</v>
      </c>
      <c r="L2609" s="204" t="s">
        <v>2276</v>
      </c>
      <c r="M2609" s="204" t="s">
        <v>2276</v>
      </c>
      <c r="N2609" s="204" t="s">
        <v>2276</v>
      </c>
      <c r="O2609" s="204" t="s">
        <v>2276</v>
      </c>
      <c r="P2609" s="204" t="s">
        <v>2276</v>
      </c>
      <c r="Q2609" s="204" t="s">
        <v>2276</v>
      </c>
      <c r="R2609" s="204" t="s">
        <v>2276</v>
      </c>
      <c r="S2609" s="204" t="s">
        <v>2276</v>
      </c>
      <c r="T2609" s="21">
        <f>2500*0.05</f>
        <v>125</v>
      </c>
      <c r="U2609" s="204" t="s">
        <v>2276</v>
      </c>
      <c r="V2609" s="204" t="s">
        <v>2276</v>
      </c>
      <c r="W2609" s="204" t="s">
        <v>2276</v>
      </c>
      <c r="X2609" s="21">
        <f>T2609/'Record info'!K$1116</f>
        <v>4.1797632582090552E-3</v>
      </c>
      <c r="Y2609" s="204" t="s">
        <v>2276</v>
      </c>
      <c r="Z2609" s="204" t="s">
        <v>35</v>
      </c>
      <c r="AA2609" s="204" t="s">
        <v>38</v>
      </c>
      <c r="AB2609" s="204" t="s">
        <v>64</v>
      </c>
      <c r="AC2609" s="204" t="s">
        <v>7627</v>
      </c>
      <c r="AD2609" s="204"/>
    </row>
    <row r="2610" spans="1:30" ht="28" customHeight="1">
      <c r="A2610" s="19" t="s">
        <v>7290</v>
      </c>
      <c r="B2610" s="19" t="s">
        <v>7351</v>
      </c>
      <c r="C2610" s="204" t="s">
        <v>24</v>
      </c>
      <c r="D2610" s="204" t="s">
        <v>1242</v>
      </c>
      <c r="E2610" s="204" t="s">
        <v>3209</v>
      </c>
      <c r="F2610" s="152" t="s">
        <v>2276</v>
      </c>
      <c r="G2610" s="152" t="s">
        <v>2276</v>
      </c>
      <c r="H2610" s="204" t="s">
        <v>523</v>
      </c>
      <c r="I2610" s="11">
        <v>2010</v>
      </c>
      <c r="J2610" s="204" t="s">
        <v>2276</v>
      </c>
      <c r="K2610" s="204" t="s">
        <v>2276</v>
      </c>
      <c r="L2610" s="204" t="s">
        <v>2276</v>
      </c>
      <c r="M2610" s="204" t="s">
        <v>2276</v>
      </c>
      <c r="N2610" s="204" t="s">
        <v>2276</v>
      </c>
      <c r="O2610" s="204" t="s">
        <v>2276</v>
      </c>
      <c r="P2610" s="204" t="s">
        <v>2276</v>
      </c>
      <c r="Q2610" s="204" t="s">
        <v>2276</v>
      </c>
      <c r="R2610" s="204" t="s">
        <v>2276</v>
      </c>
      <c r="S2610" s="204" t="s">
        <v>2276</v>
      </c>
      <c r="T2610" s="21">
        <f>2500*0.493</f>
        <v>1232.5</v>
      </c>
      <c r="U2610" s="204" t="s">
        <v>2276</v>
      </c>
      <c r="V2610" s="204" t="s">
        <v>2276</v>
      </c>
      <c r="W2610" s="204" t="s">
        <v>2276</v>
      </c>
      <c r="X2610" s="21">
        <f>T2610/'Record info'!K$1117</f>
        <v>3.8742023701002735E-2</v>
      </c>
      <c r="Y2610" s="204" t="s">
        <v>2276</v>
      </c>
      <c r="Z2610" s="204" t="s">
        <v>35</v>
      </c>
      <c r="AA2610" s="204" t="s">
        <v>38</v>
      </c>
      <c r="AB2610" s="204" t="s">
        <v>64</v>
      </c>
      <c r="AC2610" s="204" t="s">
        <v>7627</v>
      </c>
      <c r="AD2610" s="204"/>
    </row>
    <row r="2611" spans="1:30" ht="28" customHeight="1">
      <c r="A2611" s="19" t="s">
        <v>7291</v>
      </c>
      <c r="B2611" s="19" t="s">
        <v>7352</v>
      </c>
      <c r="C2611" s="204" t="s">
        <v>24</v>
      </c>
      <c r="D2611" s="204" t="s">
        <v>1242</v>
      </c>
      <c r="E2611" s="204" t="s">
        <v>3209</v>
      </c>
      <c r="F2611" s="152" t="s">
        <v>2276</v>
      </c>
      <c r="G2611" s="152" t="s">
        <v>2276</v>
      </c>
      <c r="H2611" s="204" t="s">
        <v>523</v>
      </c>
      <c r="I2611" s="11">
        <v>2010</v>
      </c>
      <c r="J2611" s="204" t="s">
        <v>2276</v>
      </c>
      <c r="K2611" s="204" t="s">
        <v>2276</v>
      </c>
      <c r="L2611" s="204" t="s">
        <v>2276</v>
      </c>
      <c r="M2611" s="204" t="s">
        <v>2276</v>
      </c>
      <c r="N2611" s="204" t="s">
        <v>2276</v>
      </c>
      <c r="O2611" s="204" t="s">
        <v>2276</v>
      </c>
      <c r="P2611" s="204" t="s">
        <v>2276</v>
      </c>
      <c r="Q2611" s="204" t="s">
        <v>2276</v>
      </c>
      <c r="R2611" s="204" t="s">
        <v>2276</v>
      </c>
      <c r="S2611" s="204" t="s">
        <v>2276</v>
      </c>
      <c r="T2611" s="21">
        <f>2500*0.375</f>
        <v>937.5</v>
      </c>
      <c r="U2611" s="204" t="s">
        <v>2276</v>
      </c>
      <c r="V2611" s="204" t="s">
        <v>2276</v>
      </c>
      <c r="W2611" s="204" t="s">
        <v>2276</v>
      </c>
      <c r="X2611" s="21">
        <f>T2611/'Record info'!K$1118</f>
        <v>7.8046953046953041E-2</v>
      </c>
      <c r="Y2611" s="204" t="s">
        <v>2276</v>
      </c>
      <c r="Z2611" s="204" t="s">
        <v>35</v>
      </c>
      <c r="AA2611" s="204" t="s">
        <v>38</v>
      </c>
      <c r="AB2611" s="204" t="s">
        <v>64</v>
      </c>
      <c r="AC2611" s="204" t="s">
        <v>7627</v>
      </c>
      <c r="AD2611" s="204"/>
    </row>
    <row r="2612" spans="1:30" ht="30" customHeight="1">
      <c r="A2612" s="19" t="s">
        <v>7292</v>
      </c>
      <c r="B2612" s="19" t="s">
        <v>7353</v>
      </c>
      <c r="C2612" s="204" t="s">
        <v>24</v>
      </c>
      <c r="D2612" s="204" t="s">
        <v>1242</v>
      </c>
      <c r="E2612" s="204" t="s">
        <v>3209</v>
      </c>
      <c r="F2612" s="152" t="s">
        <v>2276</v>
      </c>
      <c r="G2612" s="152" t="s">
        <v>2276</v>
      </c>
      <c r="H2612" s="204" t="s">
        <v>523</v>
      </c>
      <c r="I2612" s="11">
        <v>2010</v>
      </c>
      <c r="J2612" s="204" t="s">
        <v>2276</v>
      </c>
      <c r="K2612" s="204" t="s">
        <v>2276</v>
      </c>
      <c r="L2612" s="204" t="s">
        <v>2276</v>
      </c>
      <c r="M2612" s="204" t="s">
        <v>2276</v>
      </c>
      <c r="N2612" s="204" t="s">
        <v>2276</v>
      </c>
      <c r="O2612" s="204" t="s">
        <v>2276</v>
      </c>
      <c r="P2612" s="204" t="s">
        <v>2276</v>
      </c>
      <c r="Q2612" s="204" t="s">
        <v>2276</v>
      </c>
      <c r="R2612" s="204" t="s">
        <v>2276</v>
      </c>
      <c r="S2612" s="204" t="s">
        <v>2276</v>
      </c>
      <c r="T2612" s="21">
        <f>2500*0.058</f>
        <v>145</v>
      </c>
      <c r="U2612" s="204" t="s">
        <v>2276</v>
      </c>
      <c r="V2612" s="204" t="s">
        <v>2276</v>
      </c>
      <c r="W2612" s="204" t="s">
        <v>2276</v>
      </c>
      <c r="X2612" s="21">
        <f>T2612/'Record info'!K$1119</f>
        <v>2.5246809325649017E-3</v>
      </c>
      <c r="Y2612" s="204" t="s">
        <v>2276</v>
      </c>
      <c r="Z2612" s="204" t="s">
        <v>35</v>
      </c>
      <c r="AA2612" s="204" t="s">
        <v>38</v>
      </c>
      <c r="AB2612" s="204" t="s">
        <v>64</v>
      </c>
      <c r="AC2612" s="204" t="s">
        <v>7627</v>
      </c>
      <c r="AD2612" s="204"/>
    </row>
    <row r="2613" spans="1:30" ht="30" customHeight="1">
      <c r="A2613" s="19" t="s">
        <v>7288</v>
      </c>
      <c r="B2613" s="19" t="s">
        <v>7354</v>
      </c>
      <c r="C2613" s="204" t="s">
        <v>24</v>
      </c>
      <c r="D2613" s="204" t="s">
        <v>1242</v>
      </c>
      <c r="E2613" s="204" t="s">
        <v>3209</v>
      </c>
      <c r="F2613" s="152" t="s">
        <v>2276</v>
      </c>
      <c r="G2613" s="152" t="s">
        <v>2276</v>
      </c>
      <c r="H2613" s="204" t="s">
        <v>523</v>
      </c>
      <c r="I2613" s="11">
        <v>2011</v>
      </c>
      <c r="J2613" s="204" t="s">
        <v>2276</v>
      </c>
      <c r="K2613" s="204" t="s">
        <v>2276</v>
      </c>
      <c r="L2613" s="204" t="s">
        <v>2276</v>
      </c>
      <c r="M2613" s="204" t="s">
        <v>2276</v>
      </c>
      <c r="N2613" s="204" t="s">
        <v>2276</v>
      </c>
      <c r="O2613" s="204" t="s">
        <v>2276</v>
      </c>
      <c r="P2613" s="204" t="s">
        <v>2276</v>
      </c>
      <c r="Q2613" s="204" t="s">
        <v>2276</v>
      </c>
      <c r="R2613" s="204" t="s">
        <v>2276</v>
      </c>
      <c r="S2613" s="204" t="s">
        <v>2276</v>
      </c>
      <c r="T2613" s="21">
        <f>4250*0.068</f>
        <v>289</v>
      </c>
      <c r="U2613" s="204" t="s">
        <v>2276</v>
      </c>
      <c r="V2613" s="204" t="s">
        <v>2276</v>
      </c>
      <c r="W2613" s="204" t="s">
        <v>2276</v>
      </c>
      <c r="X2613" s="21">
        <f>T2613/'Record info'!K$1115</f>
        <v>1.0621875918847399E-2</v>
      </c>
      <c r="Y2613" s="204" t="s">
        <v>2276</v>
      </c>
      <c r="Z2613" s="204" t="s">
        <v>35</v>
      </c>
      <c r="AA2613" s="204" t="s">
        <v>38</v>
      </c>
      <c r="AB2613" s="204" t="s">
        <v>64</v>
      </c>
      <c r="AC2613" s="204" t="s">
        <v>7627</v>
      </c>
      <c r="AD2613" s="204"/>
    </row>
    <row r="2614" spans="1:30" ht="30" customHeight="1">
      <c r="A2614" s="19" t="s">
        <v>7289</v>
      </c>
      <c r="B2614" s="19" t="s">
        <v>7355</v>
      </c>
      <c r="C2614" s="204" t="s">
        <v>24</v>
      </c>
      <c r="D2614" s="204" t="s">
        <v>1242</v>
      </c>
      <c r="E2614" s="204" t="s">
        <v>3209</v>
      </c>
      <c r="F2614" s="152" t="s">
        <v>2276</v>
      </c>
      <c r="G2614" s="152" t="s">
        <v>2276</v>
      </c>
      <c r="H2614" s="204" t="s">
        <v>523</v>
      </c>
      <c r="I2614" s="11">
        <v>2011</v>
      </c>
      <c r="J2614" s="204" t="s">
        <v>2276</v>
      </c>
      <c r="K2614" s="204" t="s">
        <v>2276</v>
      </c>
      <c r="L2614" s="204" t="s">
        <v>2276</v>
      </c>
      <c r="M2614" s="204" t="s">
        <v>2276</v>
      </c>
      <c r="N2614" s="204" t="s">
        <v>2276</v>
      </c>
      <c r="O2614" s="204" t="s">
        <v>2276</v>
      </c>
      <c r="P2614" s="204" t="s">
        <v>2276</v>
      </c>
      <c r="Q2614" s="204" t="s">
        <v>2276</v>
      </c>
      <c r="R2614" s="204" t="s">
        <v>2276</v>
      </c>
      <c r="S2614" s="204" t="s">
        <v>2276</v>
      </c>
      <c r="T2614" s="21">
        <f>4250*0.05</f>
        <v>212.5</v>
      </c>
      <c r="U2614" s="204" t="s">
        <v>2276</v>
      </c>
      <c r="V2614" s="204" t="s">
        <v>2276</v>
      </c>
      <c r="W2614" s="204" t="s">
        <v>2276</v>
      </c>
      <c r="X2614" s="21">
        <f>T2614/'Record info'!K$1116</f>
        <v>7.1055975389553933E-3</v>
      </c>
      <c r="Y2614" s="204" t="s">
        <v>2276</v>
      </c>
      <c r="Z2614" s="204" t="s">
        <v>35</v>
      </c>
      <c r="AA2614" s="204" t="s">
        <v>38</v>
      </c>
      <c r="AB2614" s="204" t="s">
        <v>64</v>
      </c>
      <c r="AC2614" s="204" t="s">
        <v>7627</v>
      </c>
      <c r="AD2614" s="204"/>
    </row>
    <row r="2615" spans="1:30" ht="30" customHeight="1">
      <c r="A2615" s="19" t="s">
        <v>7290</v>
      </c>
      <c r="B2615" s="19" t="s">
        <v>7356</v>
      </c>
      <c r="C2615" s="204" t="s">
        <v>24</v>
      </c>
      <c r="D2615" s="204" t="s">
        <v>1242</v>
      </c>
      <c r="E2615" s="204" t="s">
        <v>3209</v>
      </c>
      <c r="F2615" s="152" t="s">
        <v>2276</v>
      </c>
      <c r="G2615" s="152" t="s">
        <v>2276</v>
      </c>
      <c r="H2615" s="204" t="s">
        <v>523</v>
      </c>
      <c r="I2615" s="11">
        <v>2011</v>
      </c>
      <c r="J2615" s="204" t="s">
        <v>2276</v>
      </c>
      <c r="K2615" s="204" t="s">
        <v>2276</v>
      </c>
      <c r="L2615" s="204" t="s">
        <v>2276</v>
      </c>
      <c r="M2615" s="204" t="s">
        <v>2276</v>
      </c>
      <c r="N2615" s="204" t="s">
        <v>2276</v>
      </c>
      <c r="O2615" s="204" t="s">
        <v>2276</v>
      </c>
      <c r="P2615" s="204" t="s">
        <v>2276</v>
      </c>
      <c r="Q2615" s="204" t="s">
        <v>2276</v>
      </c>
      <c r="R2615" s="204" t="s">
        <v>2276</v>
      </c>
      <c r="S2615" s="204" t="s">
        <v>2276</v>
      </c>
      <c r="T2615" s="21">
        <f>4250*0.493</f>
        <v>2095.25</v>
      </c>
      <c r="U2615" s="204" t="s">
        <v>2276</v>
      </c>
      <c r="V2615" s="204" t="s">
        <v>2276</v>
      </c>
      <c r="W2615" s="204" t="s">
        <v>2276</v>
      </c>
      <c r="X2615" s="21">
        <f>T2615/'Record info'!K$1117</f>
        <v>6.5861440291704654E-2</v>
      </c>
      <c r="Y2615" s="204" t="s">
        <v>2276</v>
      </c>
      <c r="Z2615" s="204" t="s">
        <v>35</v>
      </c>
      <c r="AA2615" s="204" t="s">
        <v>38</v>
      </c>
      <c r="AB2615" s="204" t="s">
        <v>64</v>
      </c>
      <c r="AC2615" s="204" t="s">
        <v>7627</v>
      </c>
      <c r="AD2615" s="204"/>
    </row>
    <row r="2616" spans="1:30" ht="30" customHeight="1">
      <c r="A2616" s="19" t="s">
        <v>7291</v>
      </c>
      <c r="B2616" s="19" t="s">
        <v>7357</v>
      </c>
      <c r="C2616" s="204" t="s">
        <v>24</v>
      </c>
      <c r="D2616" s="204" t="s">
        <v>1242</v>
      </c>
      <c r="E2616" s="204" t="s">
        <v>3209</v>
      </c>
      <c r="F2616" s="152" t="s">
        <v>2276</v>
      </c>
      <c r="G2616" s="152" t="s">
        <v>2276</v>
      </c>
      <c r="H2616" s="204" t="s">
        <v>523</v>
      </c>
      <c r="I2616" s="11">
        <v>2011</v>
      </c>
      <c r="J2616" s="204" t="s">
        <v>2276</v>
      </c>
      <c r="K2616" s="204" t="s">
        <v>2276</v>
      </c>
      <c r="L2616" s="204" t="s">
        <v>2276</v>
      </c>
      <c r="M2616" s="204" t="s">
        <v>2276</v>
      </c>
      <c r="N2616" s="204" t="s">
        <v>2276</v>
      </c>
      <c r="O2616" s="204" t="s">
        <v>2276</v>
      </c>
      <c r="P2616" s="204" t="s">
        <v>2276</v>
      </c>
      <c r="Q2616" s="204" t="s">
        <v>2276</v>
      </c>
      <c r="R2616" s="204" t="s">
        <v>2276</v>
      </c>
      <c r="S2616" s="204" t="s">
        <v>2276</v>
      </c>
      <c r="T2616" s="21">
        <f>4250*0.375</f>
        <v>1593.75</v>
      </c>
      <c r="U2616" s="204" t="s">
        <v>2276</v>
      </c>
      <c r="V2616" s="204" t="s">
        <v>2276</v>
      </c>
      <c r="W2616" s="204" t="s">
        <v>2276</v>
      </c>
      <c r="X2616" s="21">
        <f>T2616/'Record info'!K$1118</f>
        <v>0.13267982017982019</v>
      </c>
      <c r="Y2616" s="204" t="s">
        <v>2276</v>
      </c>
      <c r="Z2616" s="204" t="s">
        <v>35</v>
      </c>
      <c r="AA2616" s="204" t="s">
        <v>38</v>
      </c>
      <c r="AB2616" s="204" t="s">
        <v>64</v>
      </c>
      <c r="AC2616" s="204" t="s">
        <v>7627</v>
      </c>
      <c r="AD2616" s="204"/>
    </row>
    <row r="2617" spans="1:30" ht="30" customHeight="1">
      <c r="A2617" s="19" t="s">
        <v>7292</v>
      </c>
      <c r="B2617" s="19" t="s">
        <v>7358</v>
      </c>
      <c r="C2617" s="204" t="s">
        <v>24</v>
      </c>
      <c r="D2617" s="204" t="s">
        <v>1242</v>
      </c>
      <c r="E2617" s="204" t="s">
        <v>3209</v>
      </c>
      <c r="F2617" s="152" t="s">
        <v>2276</v>
      </c>
      <c r="G2617" s="152" t="s">
        <v>2276</v>
      </c>
      <c r="H2617" s="204" t="s">
        <v>523</v>
      </c>
      <c r="I2617" s="11">
        <v>2011</v>
      </c>
      <c r="J2617" s="204" t="s">
        <v>2276</v>
      </c>
      <c r="K2617" s="204" t="s">
        <v>2276</v>
      </c>
      <c r="L2617" s="204" t="s">
        <v>2276</v>
      </c>
      <c r="M2617" s="204" t="s">
        <v>2276</v>
      </c>
      <c r="N2617" s="204" t="s">
        <v>2276</v>
      </c>
      <c r="O2617" s="204" t="s">
        <v>2276</v>
      </c>
      <c r="P2617" s="204" t="s">
        <v>2276</v>
      </c>
      <c r="Q2617" s="204" t="s">
        <v>2276</v>
      </c>
      <c r="R2617" s="204" t="s">
        <v>2276</v>
      </c>
      <c r="S2617" s="204" t="s">
        <v>2276</v>
      </c>
      <c r="T2617" s="21">
        <f>4250*0.058</f>
        <v>246.5</v>
      </c>
      <c r="U2617" s="204" t="s">
        <v>2276</v>
      </c>
      <c r="V2617" s="204" t="s">
        <v>2276</v>
      </c>
      <c r="W2617" s="204" t="s">
        <v>2276</v>
      </c>
      <c r="X2617" s="21">
        <f>T2617/'Record info'!K$1119</f>
        <v>4.291957585360333E-3</v>
      </c>
      <c r="Y2617" s="204" t="s">
        <v>2276</v>
      </c>
      <c r="Z2617" s="204" t="s">
        <v>35</v>
      </c>
      <c r="AA2617" s="204" t="s">
        <v>38</v>
      </c>
      <c r="AB2617" s="204" t="s">
        <v>64</v>
      </c>
      <c r="AC2617" s="204" t="s">
        <v>7627</v>
      </c>
      <c r="AD2617" s="204"/>
    </row>
    <row r="2618" spans="1:30" ht="30" customHeight="1">
      <c r="A2618" s="19" t="s">
        <v>7288</v>
      </c>
      <c r="B2618" s="19" t="s">
        <v>7359</v>
      </c>
      <c r="C2618" s="204" t="s">
        <v>24</v>
      </c>
      <c r="D2618" s="204" t="s">
        <v>1242</v>
      </c>
      <c r="E2618" s="204" t="s">
        <v>3209</v>
      </c>
      <c r="F2618" s="152" t="s">
        <v>2276</v>
      </c>
      <c r="G2618" s="152" t="s">
        <v>2276</v>
      </c>
      <c r="H2618" s="204" t="s">
        <v>523</v>
      </c>
      <c r="I2618" s="204">
        <v>2012</v>
      </c>
      <c r="J2618" s="204" t="s">
        <v>2276</v>
      </c>
      <c r="K2618" s="204" t="s">
        <v>2276</v>
      </c>
      <c r="L2618" s="204" t="s">
        <v>2276</v>
      </c>
      <c r="M2618" s="204" t="s">
        <v>2276</v>
      </c>
      <c r="N2618" s="204" t="s">
        <v>2276</v>
      </c>
      <c r="O2618" s="204" t="s">
        <v>2276</v>
      </c>
      <c r="P2618" s="204" t="s">
        <v>2276</v>
      </c>
      <c r="Q2618" s="204" t="s">
        <v>2276</v>
      </c>
      <c r="R2618" s="204" t="s">
        <v>2276</v>
      </c>
      <c r="S2618" s="204" t="s">
        <v>2276</v>
      </c>
      <c r="T2618" s="21">
        <f>3750*0.068</f>
        <v>255.00000000000003</v>
      </c>
      <c r="U2618" s="204" t="s">
        <v>2276</v>
      </c>
      <c r="V2618" s="204" t="s">
        <v>2276</v>
      </c>
      <c r="W2618" s="204" t="s">
        <v>2276</v>
      </c>
      <c r="X2618" s="21">
        <f>T2618/'Record info'!K$1115</f>
        <v>9.3722434578065294E-3</v>
      </c>
      <c r="Y2618" s="204" t="s">
        <v>2276</v>
      </c>
      <c r="Z2618" s="204" t="s">
        <v>35</v>
      </c>
      <c r="AA2618" s="204" t="s">
        <v>38</v>
      </c>
      <c r="AB2618" s="204" t="s">
        <v>64</v>
      </c>
      <c r="AC2618" s="204" t="s">
        <v>7627</v>
      </c>
      <c r="AD2618" s="204"/>
    </row>
    <row r="2619" spans="1:30" ht="30" customHeight="1">
      <c r="A2619" s="19" t="s">
        <v>7289</v>
      </c>
      <c r="B2619" s="19" t="s">
        <v>7360</v>
      </c>
      <c r="C2619" s="204" t="s">
        <v>24</v>
      </c>
      <c r="D2619" s="204" t="s">
        <v>1242</v>
      </c>
      <c r="E2619" s="204" t="s">
        <v>3209</v>
      </c>
      <c r="F2619" s="152" t="s">
        <v>2276</v>
      </c>
      <c r="G2619" s="152" t="s">
        <v>2276</v>
      </c>
      <c r="H2619" s="204" t="s">
        <v>523</v>
      </c>
      <c r="I2619" s="204">
        <v>2012</v>
      </c>
      <c r="J2619" s="204" t="s">
        <v>2276</v>
      </c>
      <c r="K2619" s="204" t="s">
        <v>2276</v>
      </c>
      <c r="L2619" s="204" t="s">
        <v>2276</v>
      </c>
      <c r="M2619" s="204" t="s">
        <v>2276</v>
      </c>
      <c r="N2619" s="204" t="s">
        <v>2276</v>
      </c>
      <c r="O2619" s="204" t="s">
        <v>2276</v>
      </c>
      <c r="P2619" s="204" t="s">
        <v>2276</v>
      </c>
      <c r="Q2619" s="204" t="s">
        <v>2276</v>
      </c>
      <c r="R2619" s="204" t="s">
        <v>2276</v>
      </c>
      <c r="S2619" s="204" t="s">
        <v>2276</v>
      </c>
      <c r="T2619" s="21">
        <f>3750*0.05</f>
        <v>187.5</v>
      </c>
      <c r="U2619" s="204" t="s">
        <v>2276</v>
      </c>
      <c r="V2619" s="204" t="s">
        <v>2276</v>
      </c>
      <c r="W2619" s="204" t="s">
        <v>2276</v>
      </c>
      <c r="X2619" s="21">
        <f>T2619/'Record info'!K$1116</f>
        <v>6.2696448873135824E-3</v>
      </c>
      <c r="Y2619" s="204" t="s">
        <v>2276</v>
      </c>
      <c r="Z2619" s="204" t="s">
        <v>35</v>
      </c>
      <c r="AA2619" s="204" t="s">
        <v>38</v>
      </c>
      <c r="AB2619" s="204" t="s">
        <v>64</v>
      </c>
      <c r="AC2619" s="204" t="s">
        <v>7627</v>
      </c>
      <c r="AD2619" s="204"/>
    </row>
    <row r="2620" spans="1:30" ht="30" customHeight="1">
      <c r="A2620" s="19" t="s">
        <v>7290</v>
      </c>
      <c r="B2620" s="19" t="s">
        <v>7361</v>
      </c>
      <c r="C2620" s="204" t="s">
        <v>24</v>
      </c>
      <c r="D2620" s="204" t="s">
        <v>1242</v>
      </c>
      <c r="E2620" s="204" t="s">
        <v>3209</v>
      </c>
      <c r="F2620" s="152" t="s">
        <v>2276</v>
      </c>
      <c r="G2620" s="152" t="s">
        <v>2276</v>
      </c>
      <c r="H2620" s="204" t="s">
        <v>523</v>
      </c>
      <c r="I2620" s="204">
        <v>2012</v>
      </c>
      <c r="J2620" s="204" t="s">
        <v>2276</v>
      </c>
      <c r="K2620" s="204" t="s">
        <v>2276</v>
      </c>
      <c r="L2620" s="204" t="s">
        <v>2276</v>
      </c>
      <c r="M2620" s="204" t="s">
        <v>2276</v>
      </c>
      <c r="N2620" s="204" t="s">
        <v>2276</v>
      </c>
      <c r="O2620" s="204" t="s">
        <v>2276</v>
      </c>
      <c r="P2620" s="204" t="s">
        <v>2276</v>
      </c>
      <c r="Q2620" s="204" t="s">
        <v>2276</v>
      </c>
      <c r="R2620" s="204" t="s">
        <v>2276</v>
      </c>
      <c r="S2620" s="204" t="s">
        <v>2276</v>
      </c>
      <c r="T2620" s="21">
        <f>3750*0.493</f>
        <v>1848.75</v>
      </c>
      <c r="U2620" s="204" t="s">
        <v>2276</v>
      </c>
      <c r="V2620" s="204" t="s">
        <v>2276</v>
      </c>
      <c r="W2620" s="204" t="s">
        <v>2276</v>
      </c>
      <c r="X2620" s="21">
        <f>T2620/'Record info'!K$1117</f>
        <v>5.81130355515041E-2</v>
      </c>
      <c r="Y2620" s="204" t="s">
        <v>2276</v>
      </c>
      <c r="Z2620" s="204" t="s">
        <v>35</v>
      </c>
      <c r="AA2620" s="204" t="s">
        <v>38</v>
      </c>
      <c r="AB2620" s="204" t="s">
        <v>64</v>
      </c>
      <c r="AC2620" s="204" t="s">
        <v>7627</v>
      </c>
      <c r="AD2620" s="204"/>
    </row>
    <row r="2621" spans="1:30" ht="30" customHeight="1">
      <c r="A2621" s="19" t="s">
        <v>7291</v>
      </c>
      <c r="B2621" s="19" t="s">
        <v>7362</v>
      </c>
      <c r="C2621" s="204" t="s">
        <v>24</v>
      </c>
      <c r="D2621" s="204" t="s">
        <v>1242</v>
      </c>
      <c r="E2621" s="204" t="s">
        <v>3209</v>
      </c>
      <c r="F2621" s="152" t="s">
        <v>2276</v>
      </c>
      <c r="G2621" s="152" t="s">
        <v>2276</v>
      </c>
      <c r="H2621" s="204" t="s">
        <v>523</v>
      </c>
      <c r="I2621" s="204">
        <v>2012</v>
      </c>
      <c r="J2621" s="204" t="s">
        <v>2276</v>
      </c>
      <c r="K2621" s="204" t="s">
        <v>2276</v>
      </c>
      <c r="L2621" s="204" t="s">
        <v>2276</v>
      </c>
      <c r="M2621" s="204" t="s">
        <v>2276</v>
      </c>
      <c r="N2621" s="204" t="s">
        <v>2276</v>
      </c>
      <c r="O2621" s="204" t="s">
        <v>2276</v>
      </c>
      <c r="P2621" s="204" t="s">
        <v>2276</v>
      </c>
      <c r="Q2621" s="204" t="s">
        <v>2276</v>
      </c>
      <c r="R2621" s="204" t="s">
        <v>2276</v>
      </c>
      <c r="S2621" s="204" t="s">
        <v>2276</v>
      </c>
      <c r="T2621" s="21">
        <f>3750*0.375</f>
        <v>1406.25</v>
      </c>
      <c r="U2621" s="204" t="s">
        <v>2276</v>
      </c>
      <c r="V2621" s="204" t="s">
        <v>2276</v>
      </c>
      <c r="W2621" s="204" t="s">
        <v>2276</v>
      </c>
      <c r="X2621" s="21">
        <f>T2621/'Record info'!K$1118</f>
        <v>0.11707042957042957</v>
      </c>
      <c r="Y2621" s="204" t="s">
        <v>2276</v>
      </c>
      <c r="Z2621" s="204" t="s">
        <v>35</v>
      </c>
      <c r="AA2621" s="204" t="s">
        <v>38</v>
      </c>
      <c r="AB2621" s="204" t="s">
        <v>64</v>
      </c>
      <c r="AC2621" s="204" t="s">
        <v>7627</v>
      </c>
      <c r="AD2621" s="204"/>
    </row>
    <row r="2622" spans="1:30" ht="30" customHeight="1">
      <c r="A2622" s="19" t="s">
        <v>7292</v>
      </c>
      <c r="B2622" s="19" t="s">
        <v>7363</v>
      </c>
      <c r="C2622" s="204" t="s">
        <v>24</v>
      </c>
      <c r="D2622" s="204" t="s">
        <v>1242</v>
      </c>
      <c r="E2622" s="204" t="s">
        <v>3209</v>
      </c>
      <c r="F2622" s="152" t="s">
        <v>2276</v>
      </c>
      <c r="G2622" s="152" t="s">
        <v>2276</v>
      </c>
      <c r="H2622" s="204" t="s">
        <v>523</v>
      </c>
      <c r="I2622" s="204">
        <v>2012</v>
      </c>
      <c r="J2622" s="204" t="s">
        <v>2276</v>
      </c>
      <c r="K2622" s="204" t="s">
        <v>2276</v>
      </c>
      <c r="L2622" s="204" t="s">
        <v>2276</v>
      </c>
      <c r="M2622" s="204" t="s">
        <v>2276</v>
      </c>
      <c r="N2622" s="204" t="s">
        <v>2276</v>
      </c>
      <c r="O2622" s="204" t="s">
        <v>2276</v>
      </c>
      <c r="P2622" s="204" t="s">
        <v>2276</v>
      </c>
      <c r="Q2622" s="204" t="s">
        <v>2276</v>
      </c>
      <c r="R2622" s="204" t="s">
        <v>2276</v>
      </c>
      <c r="S2622" s="204" t="s">
        <v>2276</v>
      </c>
      <c r="T2622" s="21">
        <f>3750*0.058</f>
        <v>217.5</v>
      </c>
      <c r="U2622" s="204" t="s">
        <v>2276</v>
      </c>
      <c r="V2622" s="204" t="s">
        <v>2276</v>
      </c>
      <c r="W2622" s="204" t="s">
        <v>2276</v>
      </c>
      <c r="X2622" s="21">
        <f>T2622/'Record info'!K$1119</f>
        <v>3.7870213988473525E-3</v>
      </c>
      <c r="Y2622" s="204" t="s">
        <v>2276</v>
      </c>
      <c r="Z2622" s="204" t="s">
        <v>35</v>
      </c>
      <c r="AA2622" s="204" t="s">
        <v>38</v>
      </c>
      <c r="AB2622" s="204" t="s">
        <v>64</v>
      </c>
      <c r="AC2622" s="204" t="s">
        <v>7627</v>
      </c>
      <c r="AD2622" s="204"/>
    </row>
    <row r="2623" spans="1:30" ht="30" customHeight="1">
      <c r="A2623" s="19" t="s">
        <v>7288</v>
      </c>
      <c r="B2623" s="19" t="s">
        <v>7364</v>
      </c>
      <c r="C2623" s="204" t="s">
        <v>24</v>
      </c>
      <c r="D2623" s="204" t="s">
        <v>1242</v>
      </c>
      <c r="E2623" s="204" t="s">
        <v>3209</v>
      </c>
      <c r="F2623" s="152" t="s">
        <v>2276</v>
      </c>
      <c r="G2623" s="152" t="s">
        <v>2276</v>
      </c>
      <c r="H2623" s="204" t="s">
        <v>523</v>
      </c>
      <c r="I2623" s="204">
        <v>2013</v>
      </c>
      <c r="J2623" s="204" t="s">
        <v>2276</v>
      </c>
      <c r="K2623" s="204" t="s">
        <v>2276</v>
      </c>
      <c r="L2623" s="204" t="s">
        <v>2276</v>
      </c>
      <c r="M2623" s="204" t="s">
        <v>2276</v>
      </c>
      <c r="N2623" s="204" t="s">
        <v>2276</v>
      </c>
      <c r="O2623" s="204" t="s">
        <v>2276</v>
      </c>
      <c r="P2623" s="204" t="s">
        <v>2276</v>
      </c>
      <c r="Q2623" s="204" t="s">
        <v>2276</v>
      </c>
      <c r="R2623" s="204" t="s">
        <v>2276</v>
      </c>
      <c r="S2623" s="204" t="s">
        <v>2276</v>
      </c>
      <c r="T2623" s="21">
        <f>2000*0.068</f>
        <v>136</v>
      </c>
      <c r="U2623" s="204" t="s">
        <v>2276</v>
      </c>
      <c r="V2623" s="204" t="s">
        <v>2276</v>
      </c>
      <c r="W2623" s="204" t="s">
        <v>2276</v>
      </c>
      <c r="X2623" s="21">
        <f>T2623/'Record info'!K$1115</f>
        <v>4.9985298441634811E-3</v>
      </c>
      <c r="Y2623" s="204" t="s">
        <v>2276</v>
      </c>
      <c r="Z2623" s="204" t="s">
        <v>35</v>
      </c>
      <c r="AA2623" s="204" t="s">
        <v>38</v>
      </c>
      <c r="AB2623" s="204" t="s">
        <v>64</v>
      </c>
      <c r="AC2623" s="204" t="s">
        <v>7627</v>
      </c>
      <c r="AD2623" s="204"/>
    </row>
    <row r="2624" spans="1:30" ht="30" customHeight="1">
      <c r="A2624" s="19" t="s">
        <v>7289</v>
      </c>
      <c r="B2624" s="19" t="s">
        <v>7365</v>
      </c>
      <c r="C2624" s="204" t="s">
        <v>24</v>
      </c>
      <c r="D2624" s="204" t="s">
        <v>1242</v>
      </c>
      <c r="E2624" s="204" t="s">
        <v>3209</v>
      </c>
      <c r="F2624" s="152" t="s">
        <v>2276</v>
      </c>
      <c r="G2624" s="152" t="s">
        <v>2276</v>
      </c>
      <c r="H2624" s="204" t="s">
        <v>523</v>
      </c>
      <c r="I2624" s="204">
        <v>2013</v>
      </c>
      <c r="J2624" s="204" t="s">
        <v>2276</v>
      </c>
      <c r="K2624" s="204" t="s">
        <v>2276</v>
      </c>
      <c r="L2624" s="204" t="s">
        <v>2276</v>
      </c>
      <c r="M2624" s="204" t="s">
        <v>2276</v>
      </c>
      <c r="N2624" s="204" t="s">
        <v>2276</v>
      </c>
      <c r="O2624" s="204" t="s">
        <v>2276</v>
      </c>
      <c r="P2624" s="204" t="s">
        <v>2276</v>
      </c>
      <c r="Q2624" s="204" t="s">
        <v>2276</v>
      </c>
      <c r="R2624" s="204" t="s">
        <v>2276</v>
      </c>
      <c r="S2624" s="204" t="s">
        <v>2276</v>
      </c>
      <c r="T2624" s="21">
        <f>2000*0.05</f>
        <v>100</v>
      </c>
      <c r="U2624" s="204" t="s">
        <v>2276</v>
      </c>
      <c r="V2624" s="204" t="s">
        <v>2276</v>
      </c>
      <c r="W2624" s="204" t="s">
        <v>2276</v>
      </c>
      <c r="X2624" s="21">
        <f>T2624/'Record info'!K$1116</f>
        <v>3.3438106065672439E-3</v>
      </c>
      <c r="Y2624" s="204" t="s">
        <v>2276</v>
      </c>
      <c r="Z2624" s="204" t="s">
        <v>35</v>
      </c>
      <c r="AA2624" s="204" t="s">
        <v>38</v>
      </c>
      <c r="AB2624" s="204" t="s">
        <v>64</v>
      </c>
      <c r="AC2624" s="204" t="s">
        <v>7627</v>
      </c>
      <c r="AD2624" s="204"/>
    </row>
    <row r="2625" spans="1:30" ht="30" customHeight="1">
      <c r="A2625" s="19" t="s">
        <v>7290</v>
      </c>
      <c r="B2625" s="19" t="s">
        <v>7366</v>
      </c>
      <c r="C2625" s="204" t="s">
        <v>24</v>
      </c>
      <c r="D2625" s="204" t="s">
        <v>1242</v>
      </c>
      <c r="E2625" s="204" t="s">
        <v>3209</v>
      </c>
      <c r="F2625" s="152" t="s">
        <v>2276</v>
      </c>
      <c r="G2625" s="152" t="s">
        <v>2276</v>
      </c>
      <c r="H2625" s="204" t="s">
        <v>523</v>
      </c>
      <c r="I2625" s="204">
        <v>2013</v>
      </c>
      <c r="J2625" s="204" t="s">
        <v>2276</v>
      </c>
      <c r="K2625" s="204" t="s">
        <v>2276</v>
      </c>
      <c r="L2625" s="204" t="s">
        <v>2276</v>
      </c>
      <c r="M2625" s="204" t="s">
        <v>2276</v>
      </c>
      <c r="N2625" s="204" t="s">
        <v>2276</v>
      </c>
      <c r="O2625" s="204" t="s">
        <v>2276</v>
      </c>
      <c r="P2625" s="204" t="s">
        <v>2276</v>
      </c>
      <c r="Q2625" s="204" t="s">
        <v>2276</v>
      </c>
      <c r="R2625" s="204" t="s">
        <v>2276</v>
      </c>
      <c r="S2625" s="204" t="s">
        <v>2276</v>
      </c>
      <c r="T2625" s="21">
        <f>2000*0.493</f>
        <v>986</v>
      </c>
      <c r="U2625" s="204" t="s">
        <v>2276</v>
      </c>
      <c r="V2625" s="204" t="s">
        <v>2276</v>
      </c>
      <c r="W2625" s="204" t="s">
        <v>2276</v>
      </c>
      <c r="X2625" s="21">
        <f>T2625/'Record info'!K$1117</f>
        <v>3.0993618960802188E-2</v>
      </c>
      <c r="Y2625" s="204" t="s">
        <v>2276</v>
      </c>
      <c r="Z2625" s="204" t="s">
        <v>35</v>
      </c>
      <c r="AA2625" s="204" t="s">
        <v>38</v>
      </c>
      <c r="AB2625" s="204" t="s">
        <v>64</v>
      </c>
      <c r="AC2625" s="204" t="s">
        <v>7627</v>
      </c>
      <c r="AD2625" s="204"/>
    </row>
    <row r="2626" spans="1:30" ht="30" customHeight="1">
      <c r="A2626" s="19" t="s">
        <v>7291</v>
      </c>
      <c r="B2626" s="19" t="s">
        <v>7367</v>
      </c>
      <c r="C2626" s="204" t="s">
        <v>24</v>
      </c>
      <c r="D2626" s="204" t="s">
        <v>1242</v>
      </c>
      <c r="E2626" s="204" t="s">
        <v>3209</v>
      </c>
      <c r="F2626" s="152" t="s">
        <v>2276</v>
      </c>
      <c r="G2626" s="152" t="s">
        <v>2276</v>
      </c>
      <c r="H2626" s="204" t="s">
        <v>523</v>
      </c>
      <c r="I2626" s="204">
        <v>2013</v>
      </c>
      <c r="J2626" s="204" t="s">
        <v>2276</v>
      </c>
      <c r="K2626" s="204" t="s">
        <v>2276</v>
      </c>
      <c r="L2626" s="204" t="s">
        <v>2276</v>
      </c>
      <c r="M2626" s="204" t="s">
        <v>2276</v>
      </c>
      <c r="N2626" s="204" t="s">
        <v>2276</v>
      </c>
      <c r="O2626" s="204" t="s">
        <v>2276</v>
      </c>
      <c r="P2626" s="204" t="s">
        <v>2276</v>
      </c>
      <c r="Q2626" s="204" t="s">
        <v>2276</v>
      </c>
      <c r="R2626" s="204" t="s">
        <v>2276</v>
      </c>
      <c r="S2626" s="204" t="s">
        <v>2276</v>
      </c>
      <c r="T2626" s="21">
        <f>2000*0.375</f>
        <v>750</v>
      </c>
      <c r="U2626" s="204" t="s">
        <v>2276</v>
      </c>
      <c r="V2626" s="204" t="s">
        <v>2276</v>
      </c>
      <c r="W2626" s="204" t="s">
        <v>2276</v>
      </c>
      <c r="X2626" s="21">
        <f>T2626/'Record info'!K$1118</f>
        <v>6.243756243756244E-2</v>
      </c>
      <c r="Y2626" s="204" t="s">
        <v>2276</v>
      </c>
      <c r="Z2626" s="204" t="s">
        <v>35</v>
      </c>
      <c r="AA2626" s="204" t="s">
        <v>38</v>
      </c>
      <c r="AB2626" s="204" t="s">
        <v>64</v>
      </c>
      <c r="AC2626" s="204" t="s">
        <v>7627</v>
      </c>
      <c r="AD2626" s="204"/>
    </row>
    <row r="2627" spans="1:30" ht="30" customHeight="1">
      <c r="A2627" s="19" t="s">
        <v>7292</v>
      </c>
      <c r="B2627" s="19" t="s">
        <v>7368</v>
      </c>
      <c r="C2627" s="204" t="s">
        <v>24</v>
      </c>
      <c r="D2627" s="204" t="s">
        <v>1242</v>
      </c>
      <c r="E2627" s="204" t="s">
        <v>3209</v>
      </c>
      <c r="F2627" s="152" t="s">
        <v>2276</v>
      </c>
      <c r="G2627" s="152" t="s">
        <v>2276</v>
      </c>
      <c r="H2627" s="204" t="s">
        <v>523</v>
      </c>
      <c r="I2627" s="204">
        <v>2013</v>
      </c>
      <c r="J2627" s="204" t="s">
        <v>2276</v>
      </c>
      <c r="K2627" s="204" t="s">
        <v>2276</v>
      </c>
      <c r="L2627" s="204" t="s">
        <v>2276</v>
      </c>
      <c r="M2627" s="204" t="s">
        <v>2276</v>
      </c>
      <c r="N2627" s="204" t="s">
        <v>2276</v>
      </c>
      <c r="O2627" s="204" t="s">
        <v>2276</v>
      </c>
      <c r="P2627" s="204" t="s">
        <v>2276</v>
      </c>
      <c r="Q2627" s="204" t="s">
        <v>2276</v>
      </c>
      <c r="R2627" s="204" t="s">
        <v>2276</v>
      </c>
      <c r="S2627" s="204" t="s">
        <v>2276</v>
      </c>
      <c r="T2627" s="21">
        <f>2000*0.058</f>
        <v>116</v>
      </c>
      <c r="U2627" s="204" t="s">
        <v>2276</v>
      </c>
      <c r="V2627" s="204" t="s">
        <v>2276</v>
      </c>
      <c r="W2627" s="204" t="s">
        <v>2276</v>
      </c>
      <c r="X2627" s="21">
        <f>T2627/'Record info'!K$1119</f>
        <v>2.0197447460519212E-3</v>
      </c>
      <c r="Y2627" s="204" t="s">
        <v>2276</v>
      </c>
      <c r="Z2627" s="204" t="s">
        <v>35</v>
      </c>
      <c r="AA2627" s="204" t="s">
        <v>38</v>
      </c>
      <c r="AB2627" s="204" t="s">
        <v>64</v>
      </c>
      <c r="AC2627" s="204" t="s">
        <v>7627</v>
      </c>
      <c r="AD2627" s="204"/>
    </row>
    <row r="2628" spans="1:30" ht="30" customHeight="1">
      <c r="A2628" s="19" t="s">
        <v>7288</v>
      </c>
      <c r="B2628" s="19" t="s">
        <v>7369</v>
      </c>
      <c r="C2628" s="204" t="s">
        <v>24</v>
      </c>
      <c r="D2628" s="204" t="s">
        <v>1242</v>
      </c>
      <c r="E2628" s="204" t="s">
        <v>3209</v>
      </c>
      <c r="F2628" s="152" t="s">
        <v>2276</v>
      </c>
      <c r="G2628" s="152" t="s">
        <v>2276</v>
      </c>
      <c r="H2628" s="204" t="s">
        <v>523</v>
      </c>
      <c r="I2628" s="204">
        <v>2014</v>
      </c>
      <c r="J2628" s="204" t="s">
        <v>2276</v>
      </c>
      <c r="K2628" s="204" t="s">
        <v>2276</v>
      </c>
      <c r="L2628" s="204" t="s">
        <v>2276</v>
      </c>
      <c r="M2628" s="204" t="s">
        <v>2276</v>
      </c>
      <c r="N2628" s="204" t="s">
        <v>2276</v>
      </c>
      <c r="O2628" s="204" t="s">
        <v>2276</v>
      </c>
      <c r="P2628" s="204" t="s">
        <v>2276</v>
      </c>
      <c r="Q2628" s="204" t="s">
        <v>2276</v>
      </c>
      <c r="R2628" s="204" t="s">
        <v>2276</v>
      </c>
      <c r="S2628" s="204" t="s">
        <v>2276</v>
      </c>
      <c r="T2628" s="21">
        <f>4000*0.068</f>
        <v>272</v>
      </c>
      <c r="U2628" s="204" t="s">
        <v>2276</v>
      </c>
      <c r="V2628" s="204" t="s">
        <v>2276</v>
      </c>
      <c r="W2628" s="204" t="s">
        <v>2276</v>
      </c>
      <c r="X2628" s="21">
        <f>T2628/'Record info'!K$1115</f>
        <v>9.9970596883269622E-3</v>
      </c>
      <c r="Y2628" s="204" t="s">
        <v>2276</v>
      </c>
      <c r="Z2628" s="204" t="s">
        <v>35</v>
      </c>
      <c r="AA2628" s="204" t="s">
        <v>38</v>
      </c>
      <c r="AB2628" s="204" t="s">
        <v>64</v>
      </c>
      <c r="AC2628" s="204" t="s">
        <v>7627</v>
      </c>
      <c r="AD2628" s="204"/>
    </row>
    <row r="2629" spans="1:30" ht="30" customHeight="1">
      <c r="A2629" s="19" t="s">
        <v>7289</v>
      </c>
      <c r="B2629" s="19" t="s">
        <v>7370</v>
      </c>
      <c r="C2629" s="204" t="s">
        <v>24</v>
      </c>
      <c r="D2629" s="204" t="s">
        <v>1242</v>
      </c>
      <c r="E2629" s="204" t="s">
        <v>3209</v>
      </c>
      <c r="F2629" s="152" t="s">
        <v>2276</v>
      </c>
      <c r="G2629" s="152" t="s">
        <v>2276</v>
      </c>
      <c r="H2629" s="204" t="s">
        <v>523</v>
      </c>
      <c r="I2629" s="204">
        <v>2014</v>
      </c>
      <c r="J2629" s="204" t="s">
        <v>2276</v>
      </c>
      <c r="K2629" s="204" t="s">
        <v>2276</v>
      </c>
      <c r="L2629" s="204" t="s">
        <v>2276</v>
      </c>
      <c r="M2629" s="204" t="s">
        <v>2276</v>
      </c>
      <c r="N2629" s="204" t="s">
        <v>2276</v>
      </c>
      <c r="O2629" s="204" t="s">
        <v>2276</v>
      </c>
      <c r="P2629" s="204" t="s">
        <v>2276</v>
      </c>
      <c r="Q2629" s="204" t="s">
        <v>2276</v>
      </c>
      <c r="R2629" s="204" t="s">
        <v>2276</v>
      </c>
      <c r="S2629" s="204" t="s">
        <v>2276</v>
      </c>
      <c r="T2629" s="21">
        <f>4000*0.05</f>
        <v>200</v>
      </c>
      <c r="U2629" s="204" t="s">
        <v>2276</v>
      </c>
      <c r="V2629" s="204" t="s">
        <v>2276</v>
      </c>
      <c r="W2629" s="204" t="s">
        <v>2276</v>
      </c>
      <c r="X2629" s="21">
        <f>T2629/'Record info'!K$1116</f>
        <v>6.6876212131344879E-3</v>
      </c>
      <c r="Y2629" s="204" t="s">
        <v>2276</v>
      </c>
      <c r="Z2629" s="204" t="s">
        <v>35</v>
      </c>
      <c r="AA2629" s="204" t="s">
        <v>38</v>
      </c>
      <c r="AB2629" s="204" t="s">
        <v>64</v>
      </c>
      <c r="AC2629" s="204" t="s">
        <v>7627</v>
      </c>
      <c r="AD2629" s="204"/>
    </row>
    <row r="2630" spans="1:30" ht="30" customHeight="1">
      <c r="A2630" s="19" t="s">
        <v>7290</v>
      </c>
      <c r="B2630" s="19" t="s">
        <v>7371</v>
      </c>
      <c r="C2630" s="204" t="s">
        <v>24</v>
      </c>
      <c r="D2630" s="204" t="s">
        <v>1242</v>
      </c>
      <c r="E2630" s="204" t="s">
        <v>3209</v>
      </c>
      <c r="F2630" s="152" t="s">
        <v>2276</v>
      </c>
      <c r="G2630" s="152" t="s">
        <v>2276</v>
      </c>
      <c r="H2630" s="204" t="s">
        <v>523</v>
      </c>
      <c r="I2630" s="204">
        <v>2014</v>
      </c>
      <c r="J2630" s="204" t="s">
        <v>2276</v>
      </c>
      <c r="K2630" s="204" t="s">
        <v>2276</v>
      </c>
      <c r="L2630" s="204" t="s">
        <v>2276</v>
      </c>
      <c r="M2630" s="204" t="s">
        <v>2276</v>
      </c>
      <c r="N2630" s="204" t="s">
        <v>2276</v>
      </c>
      <c r="O2630" s="204" t="s">
        <v>2276</v>
      </c>
      <c r="P2630" s="204" t="s">
        <v>2276</v>
      </c>
      <c r="Q2630" s="204" t="s">
        <v>2276</v>
      </c>
      <c r="R2630" s="204" t="s">
        <v>2276</v>
      </c>
      <c r="S2630" s="204" t="s">
        <v>2276</v>
      </c>
      <c r="T2630" s="21">
        <f>4000*0.493</f>
        <v>1972</v>
      </c>
      <c r="U2630" s="204" t="s">
        <v>2276</v>
      </c>
      <c r="V2630" s="204" t="s">
        <v>2276</v>
      </c>
      <c r="W2630" s="204" t="s">
        <v>2276</v>
      </c>
      <c r="X2630" s="21">
        <f>T2630/'Record info'!K$1117</f>
        <v>6.1987237921604377E-2</v>
      </c>
      <c r="Y2630" s="204" t="s">
        <v>2276</v>
      </c>
      <c r="Z2630" s="204" t="s">
        <v>35</v>
      </c>
      <c r="AA2630" s="204" t="s">
        <v>38</v>
      </c>
      <c r="AB2630" s="204" t="s">
        <v>64</v>
      </c>
      <c r="AC2630" s="204" t="s">
        <v>7627</v>
      </c>
      <c r="AD2630" s="204"/>
    </row>
    <row r="2631" spans="1:30" ht="30" customHeight="1">
      <c r="A2631" s="19" t="s">
        <v>7291</v>
      </c>
      <c r="B2631" s="19" t="s">
        <v>7372</v>
      </c>
      <c r="C2631" s="204" t="s">
        <v>24</v>
      </c>
      <c r="D2631" s="204" t="s">
        <v>1242</v>
      </c>
      <c r="E2631" s="204" t="s">
        <v>3209</v>
      </c>
      <c r="F2631" s="152" t="s">
        <v>2276</v>
      </c>
      <c r="G2631" s="152" t="s">
        <v>2276</v>
      </c>
      <c r="H2631" s="204" t="s">
        <v>523</v>
      </c>
      <c r="I2631" s="204">
        <v>2014</v>
      </c>
      <c r="J2631" s="204" t="s">
        <v>2276</v>
      </c>
      <c r="K2631" s="204" t="s">
        <v>2276</v>
      </c>
      <c r="L2631" s="204" t="s">
        <v>2276</v>
      </c>
      <c r="M2631" s="204" t="s">
        <v>2276</v>
      </c>
      <c r="N2631" s="204" t="s">
        <v>2276</v>
      </c>
      <c r="O2631" s="204" t="s">
        <v>2276</v>
      </c>
      <c r="P2631" s="204" t="s">
        <v>2276</v>
      </c>
      <c r="Q2631" s="204" t="s">
        <v>2276</v>
      </c>
      <c r="R2631" s="204" t="s">
        <v>2276</v>
      </c>
      <c r="S2631" s="204" t="s">
        <v>2276</v>
      </c>
      <c r="T2631" s="21">
        <f>4000*0.375</f>
        <v>1500</v>
      </c>
      <c r="U2631" s="204" t="s">
        <v>2276</v>
      </c>
      <c r="V2631" s="204" t="s">
        <v>2276</v>
      </c>
      <c r="W2631" s="204" t="s">
        <v>2276</v>
      </c>
      <c r="X2631" s="21">
        <f>T2631/'Record info'!K$1118</f>
        <v>0.12487512487512488</v>
      </c>
      <c r="Y2631" s="204" t="s">
        <v>2276</v>
      </c>
      <c r="Z2631" s="204" t="s">
        <v>35</v>
      </c>
      <c r="AA2631" s="204" t="s">
        <v>38</v>
      </c>
      <c r="AB2631" s="204" t="s">
        <v>64</v>
      </c>
      <c r="AC2631" s="204" t="s">
        <v>7627</v>
      </c>
      <c r="AD2631" s="204"/>
    </row>
    <row r="2632" spans="1:30" ht="30" customHeight="1">
      <c r="A2632" s="19" t="s">
        <v>7292</v>
      </c>
      <c r="B2632" s="19" t="s">
        <v>7373</v>
      </c>
      <c r="C2632" s="204" t="s">
        <v>24</v>
      </c>
      <c r="D2632" s="204" t="s">
        <v>1242</v>
      </c>
      <c r="E2632" s="204" t="s">
        <v>3209</v>
      </c>
      <c r="F2632" s="152" t="s">
        <v>2276</v>
      </c>
      <c r="G2632" s="152" t="s">
        <v>2276</v>
      </c>
      <c r="H2632" s="204" t="s">
        <v>523</v>
      </c>
      <c r="I2632" s="204">
        <v>2014</v>
      </c>
      <c r="J2632" s="204" t="s">
        <v>2276</v>
      </c>
      <c r="K2632" s="204" t="s">
        <v>2276</v>
      </c>
      <c r="L2632" s="204" t="s">
        <v>2276</v>
      </c>
      <c r="M2632" s="204" t="s">
        <v>2276</v>
      </c>
      <c r="N2632" s="204" t="s">
        <v>2276</v>
      </c>
      <c r="O2632" s="204" t="s">
        <v>2276</v>
      </c>
      <c r="P2632" s="204" t="s">
        <v>2276</v>
      </c>
      <c r="Q2632" s="204" t="s">
        <v>2276</v>
      </c>
      <c r="R2632" s="204" t="s">
        <v>2276</v>
      </c>
      <c r="S2632" s="204" t="s">
        <v>2276</v>
      </c>
      <c r="T2632" s="21">
        <f>4000*0.058</f>
        <v>232</v>
      </c>
      <c r="U2632" s="204" t="s">
        <v>2276</v>
      </c>
      <c r="V2632" s="204" t="s">
        <v>2276</v>
      </c>
      <c r="W2632" s="204" t="s">
        <v>2276</v>
      </c>
      <c r="X2632" s="21">
        <f>T2632/'Record info'!K$1119</f>
        <v>4.0394894921038423E-3</v>
      </c>
      <c r="Y2632" s="204" t="s">
        <v>2276</v>
      </c>
      <c r="Z2632" s="204" t="s">
        <v>35</v>
      </c>
      <c r="AA2632" s="204" t="s">
        <v>38</v>
      </c>
      <c r="AB2632" s="204" t="s">
        <v>64</v>
      </c>
      <c r="AC2632" s="204" t="s">
        <v>7627</v>
      </c>
      <c r="AD2632" s="204"/>
    </row>
    <row r="2633" spans="1:30" ht="30" customHeight="1">
      <c r="A2633" s="19" t="s">
        <v>7288</v>
      </c>
      <c r="B2633" s="19" t="s">
        <v>7374</v>
      </c>
      <c r="C2633" s="204" t="s">
        <v>24</v>
      </c>
      <c r="D2633" s="204" t="s">
        <v>1242</v>
      </c>
      <c r="E2633" s="204" t="s">
        <v>3209</v>
      </c>
      <c r="F2633" s="152" t="s">
        <v>2276</v>
      </c>
      <c r="G2633" s="152" t="s">
        <v>2276</v>
      </c>
      <c r="H2633" s="204" t="s">
        <v>523</v>
      </c>
      <c r="I2633" s="204">
        <v>2015</v>
      </c>
      <c r="J2633" s="204" t="s">
        <v>2276</v>
      </c>
      <c r="K2633" s="204" t="s">
        <v>2276</v>
      </c>
      <c r="L2633" s="204" t="s">
        <v>2276</v>
      </c>
      <c r="M2633" s="204" t="s">
        <v>2276</v>
      </c>
      <c r="N2633" s="204" t="s">
        <v>2276</v>
      </c>
      <c r="O2633" s="204" t="s">
        <v>2276</v>
      </c>
      <c r="P2633" s="204" t="s">
        <v>2276</v>
      </c>
      <c r="Q2633" s="204" t="s">
        <v>2276</v>
      </c>
      <c r="R2633" s="204" t="s">
        <v>2276</v>
      </c>
      <c r="S2633" s="204" t="s">
        <v>2276</v>
      </c>
      <c r="T2633" s="21">
        <f>4061*0.068</f>
        <v>276.14800000000002</v>
      </c>
      <c r="U2633" s="204" t="s">
        <v>2276</v>
      </c>
      <c r="V2633" s="204" t="s">
        <v>2276</v>
      </c>
      <c r="W2633" s="204" t="s">
        <v>2276</v>
      </c>
      <c r="X2633" s="21">
        <f>T2633/'Record info'!K$1115</f>
        <v>1.0149514848573949E-2</v>
      </c>
      <c r="Y2633" s="204" t="s">
        <v>2276</v>
      </c>
      <c r="Z2633" s="204" t="s">
        <v>35</v>
      </c>
      <c r="AA2633" s="204" t="s">
        <v>38</v>
      </c>
      <c r="AB2633" s="204" t="s">
        <v>64</v>
      </c>
      <c r="AC2633" s="204" t="s">
        <v>7627</v>
      </c>
      <c r="AD2633" s="204"/>
    </row>
    <row r="2634" spans="1:30" ht="30" customHeight="1">
      <c r="A2634" s="19" t="s">
        <v>7289</v>
      </c>
      <c r="B2634" s="19" t="s">
        <v>7375</v>
      </c>
      <c r="C2634" s="204" t="s">
        <v>24</v>
      </c>
      <c r="D2634" s="204" t="s">
        <v>1242</v>
      </c>
      <c r="E2634" s="204" t="s">
        <v>3209</v>
      </c>
      <c r="F2634" s="152" t="s">
        <v>2276</v>
      </c>
      <c r="G2634" s="152" t="s">
        <v>2276</v>
      </c>
      <c r="H2634" s="204" t="s">
        <v>523</v>
      </c>
      <c r="I2634" s="204">
        <v>2015</v>
      </c>
      <c r="J2634" s="204" t="s">
        <v>2276</v>
      </c>
      <c r="K2634" s="204" t="s">
        <v>2276</v>
      </c>
      <c r="L2634" s="204" t="s">
        <v>2276</v>
      </c>
      <c r="M2634" s="204" t="s">
        <v>2276</v>
      </c>
      <c r="N2634" s="204" t="s">
        <v>2276</v>
      </c>
      <c r="O2634" s="204" t="s">
        <v>2276</v>
      </c>
      <c r="P2634" s="204" t="s">
        <v>2276</v>
      </c>
      <c r="Q2634" s="204" t="s">
        <v>2276</v>
      </c>
      <c r="R2634" s="204" t="s">
        <v>2276</v>
      </c>
      <c r="S2634" s="204" t="s">
        <v>2276</v>
      </c>
      <c r="T2634" s="21">
        <f>4061*0.05</f>
        <v>203.05</v>
      </c>
      <c r="U2634" s="204" t="s">
        <v>2276</v>
      </c>
      <c r="V2634" s="204" t="s">
        <v>2276</v>
      </c>
      <c r="W2634" s="204" t="s">
        <v>2276</v>
      </c>
      <c r="X2634" s="21">
        <f>T2634/'Record info'!K$1116</f>
        <v>6.7896074366347895E-3</v>
      </c>
      <c r="Y2634" s="204" t="s">
        <v>2276</v>
      </c>
      <c r="Z2634" s="204" t="s">
        <v>35</v>
      </c>
      <c r="AA2634" s="204" t="s">
        <v>38</v>
      </c>
      <c r="AB2634" s="204" t="s">
        <v>64</v>
      </c>
      <c r="AC2634" s="204" t="s">
        <v>7627</v>
      </c>
      <c r="AD2634" s="204"/>
    </row>
    <row r="2635" spans="1:30" ht="30" customHeight="1">
      <c r="A2635" s="19" t="s">
        <v>7290</v>
      </c>
      <c r="B2635" s="19" t="s">
        <v>7376</v>
      </c>
      <c r="C2635" s="204" t="s">
        <v>24</v>
      </c>
      <c r="D2635" s="204" t="s">
        <v>1242</v>
      </c>
      <c r="E2635" s="204" t="s">
        <v>3209</v>
      </c>
      <c r="F2635" s="152" t="s">
        <v>2276</v>
      </c>
      <c r="G2635" s="152" t="s">
        <v>2276</v>
      </c>
      <c r="H2635" s="204" t="s">
        <v>523</v>
      </c>
      <c r="I2635" s="204">
        <v>2015</v>
      </c>
      <c r="J2635" s="204" t="s">
        <v>2276</v>
      </c>
      <c r="K2635" s="204" t="s">
        <v>2276</v>
      </c>
      <c r="L2635" s="204" t="s">
        <v>2276</v>
      </c>
      <c r="M2635" s="204" t="s">
        <v>2276</v>
      </c>
      <c r="N2635" s="204" t="s">
        <v>2276</v>
      </c>
      <c r="O2635" s="204" t="s">
        <v>2276</v>
      </c>
      <c r="P2635" s="204" t="s">
        <v>2276</v>
      </c>
      <c r="Q2635" s="204" t="s">
        <v>2276</v>
      </c>
      <c r="R2635" s="204" t="s">
        <v>2276</v>
      </c>
      <c r="S2635" s="204" t="s">
        <v>2276</v>
      </c>
      <c r="T2635" s="21">
        <f>4061*0.493</f>
        <v>2002.0729999999999</v>
      </c>
      <c r="U2635" s="204" t="s">
        <v>2276</v>
      </c>
      <c r="V2635" s="204" t="s">
        <v>2276</v>
      </c>
      <c r="W2635" s="204" t="s">
        <v>2276</v>
      </c>
      <c r="X2635" s="21">
        <f>T2635/'Record info'!K$1117</f>
        <v>6.2932543299908841E-2</v>
      </c>
      <c r="Y2635" s="204" t="s">
        <v>2276</v>
      </c>
      <c r="Z2635" s="204" t="s">
        <v>35</v>
      </c>
      <c r="AA2635" s="204" t="s">
        <v>38</v>
      </c>
      <c r="AB2635" s="204" t="s">
        <v>64</v>
      </c>
      <c r="AC2635" s="204" t="s">
        <v>7627</v>
      </c>
      <c r="AD2635" s="204"/>
    </row>
    <row r="2636" spans="1:30" ht="30" customHeight="1">
      <c r="A2636" s="19" t="s">
        <v>7291</v>
      </c>
      <c r="B2636" s="19" t="s">
        <v>7377</v>
      </c>
      <c r="C2636" s="204" t="s">
        <v>24</v>
      </c>
      <c r="D2636" s="204" t="s">
        <v>1242</v>
      </c>
      <c r="E2636" s="204" t="s">
        <v>3209</v>
      </c>
      <c r="F2636" s="152" t="s">
        <v>2276</v>
      </c>
      <c r="G2636" s="152" t="s">
        <v>2276</v>
      </c>
      <c r="H2636" s="204" t="s">
        <v>523</v>
      </c>
      <c r="I2636" s="204">
        <v>2015</v>
      </c>
      <c r="J2636" s="204" t="s">
        <v>2276</v>
      </c>
      <c r="K2636" s="204" t="s">
        <v>2276</v>
      </c>
      <c r="L2636" s="204" t="s">
        <v>2276</v>
      </c>
      <c r="M2636" s="204" t="s">
        <v>2276</v>
      </c>
      <c r="N2636" s="204" t="s">
        <v>2276</v>
      </c>
      <c r="O2636" s="204" t="s">
        <v>2276</v>
      </c>
      <c r="P2636" s="204" t="s">
        <v>2276</v>
      </c>
      <c r="Q2636" s="204" t="s">
        <v>2276</v>
      </c>
      <c r="R2636" s="204" t="s">
        <v>2276</v>
      </c>
      <c r="S2636" s="204" t="s">
        <v>2276</v>
      </c>
      <c r="T2636" s="21">
        <f>4061*0.375</f>
        <v>1522.875</v>
      </c>
      <c r="U2636" s="204" t="s">
        <v>2276</v>
      </c>
      <c r="V2636" s="204" t="s">
        <v>2276</v>
      </c>
      <c r="W2636" s="204" t="s">
        <v>2276</v>
      </c>
      <c r="X2636" s="21">
        <f>T2636/'Record info'!K$1118</f>
        <v>0.12677947052947053</v>
      </c>
      <c r="Y2636" s="204" t="s">
        <v>2276</v>
      </c>
      <c r="Z2636" s="204" t="s">
        <v>35</v>
      </c>
      <c r="AA2636" s="204" t="s">
        <v>38</v>
      </c>
      <c r="AB2636" s="204" t="s">
        <v>64</v>
      </c>
      <c r="AC2636" s="204" t="s">
        <v>7627</v>
      </c>
      <c r="AD2636" s="204"/>
    </row>
    <row r="2637" spans="1:30" ht="30" customHeight="1">
      <c r="A2637" s="19" t="s">
        <v>7292</v>
      </c>
      <c r="B2637" s="19" t="s">
        <v>7378</v>
      </c>
      <c r="C2637" s="204" t="s">
        <v>24</v>
      </c>
      <c r="D2637" s="204" t="s">
        <v>1242</v>
      </c>
      <c r="E2637" s="204" t="s">
        <v>3209</v>
      </c>
      <c r="F2637" s="152" t="s">
        <v>2276</v>
      </c>
      <c r="G2637" s="152" t="s">
        <v>2276</v>
      </c>
      <c r="H2637" s="204" t="s">
        <v>523</v>
      </c>
      <c r="I2637" s="204">
        <v>2015</v>
      </c>
      <c r="J2637" s="204" t="s">
        <v>2276</v>
      </c>
      <c r="K2637" s="204" t="s">
        <v>2276</v>
      </c>
      <c r="L2637" s="204" t="s">
        <v>2276</v>
      </c>
      <c r="M2637" s="204" t="s">
        <v>2276</v>
      </c>
      <c r="N2637" s="204" t="s">
        <v>2276</v>
      </c>
      <c r="O2637" s="204" t="s">
        <v>2276</v>
      </c>
      <c r="P2637" s="204" t="s">
        <v>2276</v>
      </c>
      <c r="Q2637" s="204" t="s">
        <v>2276</v>
      </c>
      <c r="R2637" s="204" t="s">
        <v>2276</v>
      </c>
      <c r="S2637" s="204" t="s">
        <v>2276</v>
      </c>
      <c r="T2637" s="21">
        <f>4061*0.058</f>
        <v>235.53800000000001</v>
      </c>
      <c r="U2637" s="204" t="s">
        <v>2276</v>
      </c>
      <c r="V2637" s="204" t="s">
        <v>2276</v>
      </c>
      <c r="W2637" s="204" t="s">
        <v>2276</v>
      </c>
      <c r="X2637" s="21">
        <f>T2637/'Record info'!K$1119</f>
        <v>4.1010917068584262E-3</v>
      </c>
      <c r="Y2637" s="204" t="s">
        <v>2276</v>
      </c>
      <c r="Z2637" s="204" t="s">
        <v>35</v>
      </c>
      <c r="AA2637" s="204" t="s">
        <v>38</v>
      </c>
      <c r="AB2637" s="204" t="s">
        <v>64</v>
      </c>
      <c r="AC2637" s="204" t="s">
        <v>7627</v>
      </c>
      <c r="AD2637" s="204"/>
    </row>
    <row r="2638" spans="1:30" ht="33.5" customHeight="1">
      <c r="A2638" s="19" t="s">
        <v>7293</v>
      </c>
      <c r="B2638" s="19" t="s">
        <v>7413</v>
      </c>
      <c r="C2638" s="204" t="s">
        <v>24</v>
      </c>
      <c r="D2638" s="204" t="s">
        <v>1242</v>
      </c>
      <c r="E2638" s="204" t="s">
        <v>3209</v>
      </c>
      <c r="F2638" s="152" t="s">
        <v>2276</v>
      </c>
      <c r="G2638" s="152" t="s">
        <v>2276</v>
      </c>
      <c r="H2638" s="204" t="s">
        <v>523</v>
      </c>
      <c r="I2638" s="204">
        <v>2006</v>
      </c>
      <c r="J2638" s="204" t="s">
        <v>2276</v>
      </c>
      <c r="K2638" s="204" t="s">
        <v>2276</v>
      </c>
      <c r="L2638" s="204" t="s">
        <v>2276</v>
      </c>
      <c r="M2638" s="204" t="s">
        <v>2276</v>
      </c>
      <c r="N2638" s="204" t="s">
        <v>2276</v>
      </c>
      <c r="O2638" s="204" t="s">
        <v>2276</v>
      </c>
      <c r="P2638" s="204" t="s">
        <v>2276</v>
      </c>
      <c r="Q2638" s="204" t="s">
        <v>2276</v>
      </c>
      <c r="R2638" s="204" t="s">
        <v>2276</v>
      </c>
      <c r="S2638" s="204" t="s">
        <v>2276</v>
      </c>
      <c r="T2638" s="21">
        <f>200*0.027</f>
        <v>5.4</v>
      </c>
      <c r="U2638" s="204" t="s">
        <v>2276</v>
      </c>
      <c r="V2638" s="204" t="s">
        <v>2276</v>
      </c>
      <c r="W2638" s="204" t="s">
        <v>2276</v>
      </c>
      <c r="X2638" s="21">
        <f>T2638/'Record info'!K$1128</f>
        <v>1.9285714285714288E-3</v>
      </c>
      <c r="Y2638" s="204" t="s">
        <v>2276</v>
      </c>
      <c r="Z2638" s="38" t="s">
        <v>68</v>
      </c>
      <c r="AA2638" s="204" t="s">
        <v>86</v>
      </c>
      <c r="AB2638" s="203" t="s">
        <v>76</v>
      </c>
      <c r="AC2638" s="204"/>
      <c r="AD2638" s="204"/>
    </row>
    <row r="2639" spans="1:30" ht="33.5" customHeight="1">
      <c r="A2639" s="19" t="s">
        <v>7379</v>
      </c>
      <c r="B2639" s="19" t="s">
        <v>7414</v>
      </c>
      <c r="C2639" s="204" t="s">
        <v>24</v>
      </c>
      <c r="D2639" s="204" t="s">
        <v>1242</v>
      </c>
      <c r="E2639" s="204" t="s">
        <v>3209</v>
      </c>
      <c r="F2639" s="152" t="s">
        <v>2276</v>
      </c>
      <c r="G2639" s="152" t="s">
        <v>2276</v>
      </c>
      <c r="H2639" s="204" t="s">
        <v>523</v>
      </c>
      <c r="I2639" s="204">
        <v>2006</v>
      </c>
      <c r="J2639" s="204" t="s">
        <v>2276</v>
      </c>
      <c r="K2639" s="204" t="s">
        <v>2276</v>
      </c>
      <c r="L2639" s="204" t="s">
        <v>2276</v>
      </c>
      <c r="M2639" s="204" t="s">
        <v>2276</v>
      </c>
      <c r="N2639" s="204" t="s">
        <v>2276</v>
      </c>
      <c r="O2639" s="204" t="s">
        <v>2276</v>
      </c>
      <c r="P2639" s="204" t="s">
        <v>2276</v>
      </c>
      <c r="Q2639" s="204" t="s">
        <v>2276</v>
      </c>
      <c r="R2639" s="204" t="s">
        <v>2276</v>
      </c>
      <c r="S2639" s="204" t="s">
        <v>2276</v>
      </c>
      <c r="T2639" s="21">
        <f>200*0.041</f>
        <v>8.2000000000000011</v>
      </c>
      <c r="U2639" s="204" t="s">
        <v>2276</v>
      </c>
      <c r="V2639" s="204" t="s">
        <v>2276</v>
      </c>
      <c r="W2639" s="204" t="s">
        <v>2276</v>
      </c>
      <c r="X2639" s="21">
        <f>T2639/'Record info'!K$1129</f>
        <v>2.3328591749644384E-3</v>
      </c>
      <c r="Y2639" s="204" t="s">
        <v>2276</v>
      </c>
      <c r="Z2639" s="204" t="s">
        <v>68</v>
      </c>
      <c r="AA2639" s="204" t="s">
        <v>86</v>
      </c>
      <c r="AB2639" s="204" t="s">
        <v>76</v>
      </c>
      <c r="AC2639" s="204"/>
      <c r="AD2639" s="204"/>
    </row>
    <row r="2640" spans="1:30" ht="33.5" customHeight="1">
      <c r="A2640" s="19" t="s">
        <v>7380</v>
      </c>
      <c r="B2640" s="19" t="s">
        <v>7415</v>
      </c>
      <c r="C2640" s="204" t="s">
        <v>24</v>
      </c>
      <c r="D2640" s="204" t="s">
        <v>1242</v>
      </c>
      <c r="E2640" s="204" t="s">
        <v>3209</v>
      </c>
      <c r="F2640" s="152" t="s">
        <v>2276</v>
      </c>
      <c r="G2640" s="152" t="s">
        <v>2276</v>
      </c>
      <c r="H2640" s="204" t="s">
        <v>523</v>
      </c>
      <c r="I2640" s="204">
        <v>2006</v>
      </c>
      <c r="J2640" s="204" t="s">
        <v>2276</v>
      </c>
      <c r="K2640" s="204" t="s">
        <v>2276</v>
      </c>
      <c r="L2640" s="204" t="s">
        <v>2276</v>
      </c>
      <c r="M2640" s="204" t="s">
        <v>2276</v>
      </c>
      <c r="N2640" s="204" t="s">
        <v>2276</v>
      </c>
      <c r="O2640" s="204" t="s">
        <v>2276</v>
      </c>
      <c r="P2640" s="204" t="s">
        <v>2276</v>
      </c>
      <c r="Q2640" s="204" t="s">
        <v>2276</v>
      </c>
      <c r="R2640" s="204" t="s">
        <v>2276</v>
      </c>
      <c r="S2640" s="204" t="s">
        <v>2276</v>
      </c>
      <c r="T2640" s="21">
        <f>200*0.004</f>
        <v>0.8</v>
      </c>
      <c r="U2640" s="204" t="s">
        <v>2276</v>
      </c>
      <c r="V2640" s="204" t="s">
        <v>2276</v>
      </c>
      <c r="W2640" s="204" t="s">
        <v>2276</v>
      </c>
      <c r="X2640" s="21">
        <f>T2640/'Record info'!K$1130</f>
        <v>1.185712168371128E-4</v>
      </c>
      <c r="Y2640" s="204" t="s">
        <v>2276</v>
      </c>
      <c r="Z2640" s="204" t="s">
        <v>68</v>
      </c>
      <c r="AA2640" s="204" t="s">
        <v>86</v>
      </c>
      <c r="AB2640" s="204" t="s">
        <v>76</v>
      </c>
      <c r="AC2640" s="204"/>
      <c r="AD2640" s="204"/>
    </row>
    <row r="2641" spans="1:30" ht="33.5" customHeight="1">
      <c r="A2641" s="19" t="s">
        <v>7381</v>
      </c>
      <c r="B2641" s="19" t="s">
        <v>7416</v>
      </c>
      <c r="C2641" s="204" t="s">
        <v>24</v>
      </c>
      <c r="D2641" s="204" t="s">
        <v>1242</v>
      </c>
      <c r="E2641" s="204" t="s">
        <v>3209</v>
      </c>
      <c r="F2641" s="152" t="s">
        <v>2276</v>
      </c>
      <c r="G2641" s="152" t="s">
        <v>2276</v>
      </c>
      <c r="H2641" s="204" t="s">
        <v>523</v>
      </c>
      <c r="I2641" s="204">
        <v>2006</v>
      </c>
      <c r="J2641" s="204" t="s">
        <v>2276</v>
      </c>
      <c r="K2641" s="204" t="s">
        <v>2276</v>
      </c>
      <c r="L2641" s="204" t="s">
        <v>2276</v>
      </c>
      <c r="M2641" s="204" t="s">
        <v>2276</v>
      </c>
      <c r="N2641" s="204" t="s">
        <v>2276</v>
      </c>
      <c r="O2641" s="204" t="s">
        <v>2276</v>
      </c>
      <c r="P2641" s="204" t="s">
        <v>2276</v>
      </c>
      <c r="Q2641" s="204" t="s">
        <v>2276</v>
      </c>
      <c r="R2641" s="204" t="s">
        <v>2276</v>
      </c>
      <c r="S2641" s="204" t="s">
        <v>2276</v>
      </c>
      <c r="T2641" s="21">
        <f>200*0.004</f>
        <v>0.8</v>
      </c>
      <c r="U2641" s="204" t="s">
        <v>2276</v>
      </c>
      <c r="V2641" s="204" t="s">
        <v>2276</v>
      </c>
      <c r="W2641" s="204" t="s">
        <v>2276</v>
      </c>
      <c r="X2641" s="21">
        <f>T2641/'Record info'!K$1131</f>
        <v>1.5797788309636652E-4</v>
      </c>
      <c r="Y2641" s="204" t="s">
        <v>2276</v>
      </c>
      <c r="Z2641" s="204" t="s">
        <v>68</v>
      </c>
      <c r="AA2641" s="204" t="s">
        <v>86</v>
      </c>
      <c r="AB2641" s="204" t="s">
        <v>76</v>
      </c>
      <c r="AC2641" s="204"/>
      <c r="AD2641" s="204"/>
    </row>
    <row r="2642" spans="1:30" ht="33.5" customHeight="1">
      <c r="A2642" s="19" t="s">
        <v>7382</v>
      </c>
      <c r="B2642" s="19" t="s">
        <v>7417</v>
      </c>
      <c r="C2642" s="204" t="s">
        <v>24</v>
      </c>
      <c r="D2642" s="204" t="s">
        <v>1242</v>
      </c>
      <c r="E2642" s="204" t="s">
        <v>3209</v>
      </c>
      <c r="F2642" s="152" t="s">
        <v>2276</v>
      </c>
      <c r="G2642" s="152" t="s">
        <v>2276</v>
      </c>
      <c r="H2642" s="204" t="s">
        <v>524</v>
      </c>
      <c r="I2642" s="204">
        <v>2006</v>
      </c>
      <c r="J2642" s="21">
        <v>0</v>
      </c>
      <c r="K2642" s="21">
        <v>0</v>
      </c>
      <c r="L2642" s="21">
        <v>0</v>
      </c>
      <c r="M2642" s="21">
        <v>0</v>
      </c>
      <c r="N2642" s="21">
        <v>0</v>
      </c>
      <c r="O2642" s="21">
        <v>0</v>
      </c>
      <c r="P2642" s="21">
        <v>0</v>
      </c>
      <c r="Q2642" s="21">
        <v>0</v>
      </c>
      <c r="R2642" s="21">
        <v>0</v>
      </c>
      <c r="S2642" s="21">
        <v>0</v>
      </c>
      <c r="T2642" s="21">
        <v>0</v>
      </c>
      <c r="U2642" s="21">
        <v>0</v>
      </c>
      <c r="V2642" s="21">
        <v>0</v>
      </c>
      <c r="W2642" s="21">
        <v>0</v>
      </c>
      <c r="X2642" s="21">
        <f>T2642/'Record info'!K$1132</f>
        <v>0</v>
      </c>
      <c r="Y2642" s="204" t="s">
        <v>2276</v>
      </c>
      <c r="Z2642" s="204" t="s">
        <v>68</v>
      </c>
      <c r="AA2642" s="204" t="s">
        <v>86</v>
      </c>
      <c r="AB2642" s="204" t="s">
        <v>76</v>
      </c>
      <c r="AC2642" s="204"/>
      <c r="AD2642" s="204"/>
    </row>
    <row r="2643" spans="1:30" ht="33.5" customHeight="1">
      <c r="A2643" s="19" t="s">
        <v>7383</v>
      </c>
      <c r="B2643" s="19" t="s">
        <v>7418</v>
      </c>
      <c r="C2643" s="204" t="s">
        <v>24</v>
      </c>
      <c r="D2643" s="204" t="s">
        <v>1242</v>
      </c>
      <c r="E2643" s="204" t="s">
        <v>3209</v>
      </c>
      <c r="F2643" s="152" t="s">
        <v>2276</v>
      </c>
      <c r="G2643" s="152" t="s">
        <v>2276</v>
      </c>
      <c r="H2643" s="204" t="s">
        <v>524</v>
      </c>
      <c r="I2643" s="204">
        <v>2006</v>
      </c>
      <c r="J2643" s="21">
        <v>0</v>
      </c>
      <c r="K2643" s="21">
        <v>0</v>
      </c>
      <c r="L2643" s="21">
        <v>0</v>
      </c>
      <c r="M2643" s="21">
        <v>0</v>
      </c>
      <c r="N2643" s="21">
        <v>0</v>
      </c>
      <c r="O2643" s="21">
        <v>0</v>
      </c>
      <c r="P2643" s="21">
        <v>0</v>
      </c>
      <c r="Q2643" s="21">
        <v>0</v>
      </c>
      <c r="R2643" s="21">
        <v>0</v>
      </c>
      <c r="S2643" s="21">
        <v>0</v>
      </c>
      <c r="T2643" s="21">
        <v>0</v>
      </c>
      <c r="U2643" s="21">
        <v>0</v>
      </c>
      <c r="V2643" s="21">
        <v>0</v>
      </c>
      <c r="W2643" s="21">
        <v>0</v>
      </c>
      <c r="X2643" s="21">
        <f>T2643/'Record info'!K$1133</f>
        <v>0</v>
      </c>
      <c r="Y2643" s="204" t="s">
        <v>2276</v>
      </c>
      <c r="Z2643" s="204" t="s">
        <v>68</v>
      </c>
      <c r="AA2643" s="204" t="s">
        <v>86</v>
      </c>
      <c r="AB2643" s="204" t="s">
        <v>76</v>
      </c>
      <c r="AC2643" s="204"/>
      <c r="AD2643" s="204"/>
    </row>
    <row r="2644" spans="1:30" ht="33.5" customHeight="1">
      <c r="A2644" s="19" t="s">
        <v>7384</v>
      </c>
      <c r="B2644" s="19" t="s">
        <v>7419</v>
      </c>
      <c r="C2644" s="204" t="s">
        <v>24</v>
      </c>
      <c r="D2644" s="204" t="s">
        <v>1242</v>
      </c>
      <c r="E2644" s="204" t="s">
        <v>3209</v>
      </c>
      <c r="F2644" s="152" t="s">
        <v>2276</v>
      </c>
      <c r="G2644" s="152" t="s">
        <v>2276</v>
      </c>
      <c r="H2644" s="204" t="s">
        <v>524</v>
      </c>
      <c r="I2644" s="204">
        <v>2006</v>
      </c>
      <c r="J2644" s="21">
        <v>0</v>
      </c>
      <c r="K2644" s="21">
        <v>0</v>
      </c>
      <c r="L2644" s="21">
        <v>0</v>
      </c>
      <c r="M2644" s="21">
        <v>0</v>
      </c>
      <c r="N2644" s="21">
        <v>0</v>
      </c>
      <c r="O2644" s="21">
        <v>0</v>
      </c>
      <c r="P2644" s="21">
        <v>0</v>
      </c>
      <c r="Q2644" s="21">
        <v>0</v>
      </c>
      <c r="R2644" s="21">
        <v>0</v>
      </c>
      <c r="S2644" s="21">
        <v>0</v>
      </c>
      <c r="T2644" s="21">
        <v>0</v>
      </c>
      <c r="U2644" s="21">
        <v>0</v>
      </c>
      <c r="V2644" s="21">
        <v>0</v>
      </c>
      <c r="W2644" s="21">
        <v>0</v>
      </c>
      <c r="X2644" s="21">
        <f>T2644/'Record info'!K$1134</f>
        <v>0</v>
      </c>
      <c r="Y2644" s="204" t="s">
        <v>2276</v>
      </c>
      <c r="Z2644" s="204" t="s">
        <v>68</v>
      </c>
      <c r="AA2644" s="204" t="s">
        <v>86</v>
      </c>
      <c r="AB2644" s="204" t="s">
        <v>76</v>
      </c>
      <c r="AC2644" s="204"/>
      <c r="AD2644" s="204"/>
    </row>
    <row r="2645" spans="1:30" ht="33.5" customHeight="1">
      <c r="A2645" s="19" t="s">
        <v>7385</v>
      </c>
      <c r="B2645" s="19" t="s">
        <v>7420</v>
      </c>
      <c r="C2645" s="204" t="s">
        <v>24</v>
      </c>
      <c r="D2645" s="204" t="s">
        <v>1242</v>
      </c>
      <c r="E2645" s="204" t="s">
        <v>3209</v>
      </c>
      <c r="F2645" s="152" t="s">
        <v>2276</v>
      </c>
      <c r="G2645" s="152" t="s">
        <v>2276</v>
      </c>
      <c r="H2645" s="204" t="s">
        <v>523</v>
      </c>
      <c r="I2645" s="204">
        <v>2006</v>
      </c>
      <c r="J2645" s="204" t="s">
        <v>2276</v>
      </c>
      <c r="K2645" s="204" t="s">
        <v>2276</v>
      </c>
      <c r="L2645" s="204" t="s">
        <v>2276</v>
      </c>
      <c r="M2645" s="204" t="s">
        <v>2276</v>
      </c>
      <c r="N2645" s="204" t="s">
        <v>2276</v>
      </c>
      <c r="O2645" s="204" t="s">
        <v>2276</v>
      </c>
      <c r="P2645" s="204" t="s">
        <v>2276</v>
      </c>
      <c r="Q2645" s="204" t="s">
        <v>2276</v>
      </c>
      <c r="R2645" s="204" t="s">
        <v>2276</v>
      </c>
      <c r="S2645" s="204" t="s">
        <v>2276</v>
      </c>
      <c r="T2645" s="21">
        <f>200*0.035</f>
        <v>7.0000000000000009</v>
      </c>
      <c r="U2645" s="204" t="s">
        <v>2276</v>
      </c>
      <c r="V2645" s="204" t="s">
        <v>2276</v>
      </c>
      <c r="W2645" s="204" t="s">
        <v>2276</v>
      </c>
      <c r="X2645" s="21">
        <f>T2645/'Record info'!K$1135</f>
        <v>1.1541632316570487E-3</v>
      </c>
      <c r="Y2645" s="204" t="s">
        <v>2276</v>
      </c>
      <c r="Z2645" s="204" t="s">
        <v>68</v>
      </c>
      <c r="AA2645" s="204" t="s">
        <v>86</v>
      </c>
      <c r="AB2645" s="204" t="s">
        <v>76</v>
      </c>
      <c r="AC2645" s="204"/>
      <c r="AD2645" s="204"/>
    </row>
    <row r="2646" spans="1:30" ht="33.5" customHeight="1">
      <c r="A2646" s="19" t="s">
        <v>7386</v>
      </c>
      <c r="B2646" s="19" t="s">
        <v>7421</v>
      </c>
      <c r="C2646" s="204" t="s">
        <v>24</v>
      </c>
      <c r="D2646" s="204" t="s">
        <v>1242</v>
      </c>
      <c r="E2646" s="204" t="s">
        <v>3209</v>
      </c>
      <c r="F2646" s="152" t="s">
        <v>2276</v>
      </c>
      <c r="G2646" s="152" t="s">
        <v>2276</v>
      </c>
      <c r="H2646" s="204" t="s">
        <v>523</v>
      </c>
      <c r="I2646" s="204">
        <v>2006</v>
      </c>
      <c r="J2646" s="204" t="s">
        <v>2276</v>
      </c>
      <c r="K2646" s="204" t="s">
        <v>2276</v>
      </c>
      <c r="L2646" s="204" t="s">
        <v>2276</v>
      </c>
      <c r="M2646" s="204" t="s">
        <v>2276</v>
      </c>
      <c r="N2646" s="204" t="s">
        <v>2276</v>
      </c>
      <c r="O2646" s="204" t="s">
        <v>2276</v>
      </c>
      <c r="P2646" s="204" t="s">
        <v>2276</v>
      </c>
      <c r="Q2646" s="204" t="s">
        <v>2276</v>
      </c>
      <c r="R2646" s="204" t="s">
        <v>2276</v>
      </c>
      <c r="S2646" s="204" t="s">
        <v>2276</v>
      </c>
      <c r="T2646" s="21">
        <f>200*0.079</f>
        <v>15.8</v>
      </c>
      <c r="U2646" s="204" t="s">
        <v>2276</v>
      </c>
      <c r="V2646" s="204" t="s">
        <v>2276</v>
      </c>
      <c r="W2646" s="204" t="s">
        <v>2276</v>
      </c>
      <c r="X2646" s="21">
        <f>T2646/'Record info'!K$1136</f>
        <v>2.3670411985018728E-3</v>
      </c>
      <c r="Y2646" s="204" t="s">
        <v>2276</v>
      </c>
      <c r="Z2646" s="204" t="s">
        <v>68</v>
      </c>
      <c r="AA2646" s="204" t="s">
        <v>86</v>
      </c>
      <c r="AB2646" s="204" t="s">
        <v>76</v>
      </c>
      <c r="AC2646" s="204"/>
      <c r="AD2646" s="204"/>
    </row>
    <row r="2647" spans="1:30" ht="33.5" customHeight="1">
      <c r="A2647" s="19" t="s">
        <v>7387</v>
      </c>
      <c r="B2647" s="19" t="s">
        <v>7422</v>
      </c>
      <c r="C2647" s="204" t="s">
        <v>24</v>
      </c>
      <c r="D2647" s="204" t="s">
        <v>1242</v>
      </c>
      <c r="E2647" s="204" t="s">
        <v>3209</v>
      </c>
      <c r="F2647" s="152" t="s">
        <v>2276</v>
      </c>
      <c r="G2647" s="152" t="s">
        <v>2276</v>
      </c>
      <c r="H2647" s="204" t="s">
        <v>523</v>
      </c>
      <c r="I2647" s="204">
        <v>2006</v>
      </c>
      <c r="J2647" s="204" t="s">
        <v>2276</v>
      </c>
      <c r="K2647" s="204" t="s">
        <v>2276</v>
      </c>
      <c r="L2647" s="204" t="s">
        <v>2276</v>
      </c>
      <c r="M2647" s="204" t="s">
        <v>2276</v>
      </c>
      <c r="N2647" s="204" t="s">
        <v>2276</v>
      </c>
      <c r="O2647" s="204" t="s">
        <v>2276</v>
      </c>
      <c r="P2647" s="204" t="s">
        <v>2276</v>
      </c>
      <c r="Q2647" s="204" t="s">
        <v>2276</v>
      </c>
      <c r="R2647" s="204" t="s">
        <v>2276</v>
      </c>
      <c r="S2647" s="204" t="s">
        <v>2276</v>
      </c>
      <c r="T2647" s="21">
        <f>200*0.132</f>
        <v>26.400000000000002</v>
      </c>
      <c r="U2647" s="204" t="s">
        <v>2276</v>
      </c>
      <c r="V2647" s="204" t="s">
        <v>2276</v>
      </c>
      <c r="W2647" s="204" t="s">
        <v>2276</v>
      </c>
      <c r="X2647" s="21">
        <f>T2647/'Record info'!K$1137</f>
        <v>4.7843421529539694E-3</v>
      </c>
      <c r="Y2647" s="204" t="s">
        <v>2276</v>
      </c>
      <c r="Z2647" s="204" t="s">
        <v>68</v>
      </c>
      <c r="AA2647" s="204" t="s">
        <v>86</v>
      </c>
      <c r="AB2647" s="204" t="s">
        <v>76</v>
      </c>
      <c r="AC2647" s="204"/>
      <c r="AD2647" s="204"/>
    </row>
    <row r="2648" spans="1:30" ht="33.5" customHeight="1">
      <c r="A2648" s="19" t="s">
        <v>7388</v>
      </c>
      <c r="B2648" s="19" t="s">
        <v>7423</v>
      </c>
      <c r="C2648" s="204" t="s">
        <v>24</v>
      </c>
      <c r="D2648" s="204" t="s">
        <v>1242</v>
      </c>
      <c r="E2648" s="204" t="s">
        <v>3209</v>
      </c>
      <c r="F2648" s="152" t="s">
        <v>2276</v>
      </c>
      <c r="G2648" s="152" t="s">
        <v>2276</v>
      </c>
      <c r="H2648" s="204" t="s">
        <v>523</v>
      </c>
      <c r="I2648" s="204">
        <v>2006</v>
      </c>
      <c r="J2648" s="204" t="s">
        <v>2276</v>
      </c>
      <c r="K2648" s="204" t="s">
        <v>2276</v>
      </c>
      <c r="L2648" s="204" t="s">
        <v>2276</v>
      </c>
      <c r="M2648" s="204" t="s">
        <v>2276</v>
      </c>
      <c r="N2648" s="204" t="s">
        <v>2276</v>
      </c>
      <c r="O2648" s="204" t="s">
        <v>2276</v>
      </c>
      <c r="P2648" s="204" t="s">
        <v>2276</v>
      </c>
      <c r="Q2648" s="204" t="s">
        <v>2276</v>
      </c>
      <c r="R2648" s="204" t="s">
        <v>2276</v>
      </c>
      <c r="S2648" s="204" t="s">
        <v>2276</v>
      </c>
      <c r="T2648" s="21">
        <f>200*0.057</f>
        <v>11.4</v>
      </c>
      <c r="U2648" s="204" t="s">
        <v>2276</v>
      </c>
      <c r="V2648" s="204" t="s">
        <v>2276</v>
      </c>
      <c r="W2648" s="204" t="s">
        <v>2276</v>
      </c>
      <c r="X2648" s="21">
        <f>T2648/'Record info'!K$1138</f>
        <v>2.8882695718267038E-3</v>
      </c>
      <c r="Y2648" s="204" t="s">
        <v>2276</v>
      </c>
      <c r="Z2648" s="204" t="s">
        <v>68</v>
      </c>
      <c r="AA2648" s="204" t="s">
        <v>86</v>
      </c>
      <c r="AB2648" s="204" t="s">
        <v>76</v>
      </c>
      <c r="AC2648" s="204"/>
      <c r="AD2648" s="204"/>
    </row>
    <row r="2649" spans="1:30" ht="33.5" customHeight="1">
      <c r="A2649" s="19" t="s">
        <v>7389</v>
      </c>
      <c r="B2649" s="19" t="s">
        <v>7424</v>
      </c>
      <c r="C2649" s="204" t="s">
        <v>24</v>
      </c>
      <c r="D2649" s="204" t="s">
        <v>1242</v>
      </c>
      <c r="E2649" s="204" t="s">
        <v>3209</v>
      </c>
      <c r="F2649" s="152" t="s">
        <v>2276</v>
      </c>
      <c r="G2649" s="152" t="s">
        <v>2276</v>
      </c>
      <c r="H2649" s="204" t="s">
        <v>523</v>
      </c>
      <c r="I2649" s="204">
        <v>2006</v>
      </c>
      <c r="J2649" s="204" t="s">
        <v>2276</v>
      </c>
      <c r="K2649" s="204" t="s">
        <v>2276</v>
      </c>
      <c r="L2649" s="204" t="s">
        <v>2276</v>
      </c>
      <c r="M2649" s="204" t="s">
        <v>2276</v>
      </c>
      <c r="N2649" s="204" t="s">
        <v>2276</v>
      </c>
      <c r="O2649" s="204" t="s">
        <v>2276</v>
      </c>
      <c r="P2649" s="204" t="s">
        <v>2276</v>
      </c>
      <c r="Q2649" s="204" t="s">
        <v>2276</v>
      </c>
      <c r="R2649" s="204" t="s">
        <v>2276</v>
      </c>
      <c r="S2649" s="204" t="s">
        <v>2276</v>
      </c>
      <c r="T2649" s="21">
        <f>200*0.024</f>
        <v>4.8</v>
      </c>
      <c r="U2649" s="204" t="s">
        <v>2276</v>
      </c>
      <c r="V2649" s="204" t="s">
        <v>2276</v>
      </c>
      <c r="W2649" s="204" t="s">
        <v>2276</v>
      </c>
      <c r="X2649" s="21">
        <f>T2649/'Record info'!K$1139</f>
        <v>1.7094017094017094E-3</v>
      </c>
      <c r="Y2649" s="204" t="s">
        <v>2276</v>
      </c>
      <c r="Z2649" s="204" t="s">
        <v>68</v>
      </c>
      <c r="AA2649" s="204" t="s">
        <v>86</v>
      </c>
      <c r="AB2649" s="204" t="s">
        <v>76</v>
      </c>
      <c r="AC2649" s="204"/>
      <c r="AD2649" s="204"/>
    </row>
    <row r="2650" spans="1:30" ht="33.5" customHeight="1">
      <c r="A2650" s="19" t="s">
        <v>7390</v>
      </c>
      <c r="B2650" s="19" t="s">
        <v>7425</v>
      </c>
      <c r="C2650" s="204" t="s">
        <v>24</v>
      </c>
      <c r="D2650" s="204" t="s">
        <v>1242</v>
      </c>
      <c r="E2650" s="204" t="s">
        <v>3209</v>
      </c>
      <c r="F2650" s="152" t="s">
        <v>2276</v>
      </c>
      <c r="G2650" s="152" t="s">
        <v>2276</v>
      </c>
      <c r="H2650" s="204" t="s">
        <v>523</v>
      </c>
      <c r="I2650" s="204">
        <v>2006</v>
      </c>
      <c r="J2650" s="204" t="s">
        <v>2276</v>
      </c>
      <c r="K2650" s="204" t="s">
        <v>2276</v>
      </c>
      <c r="L2650" s="204" t="s">
        <v>2276</v>
      </c>
      <c r="M2650" s="204" t="s">
        <v>2276</v>
      </c>
      <c r="N2650" s="204" t="s">
        <v>2276</v>
      </c>
      <c r="O2650" s="204" t="s">
        <v>2276</v>
      </c>
      <c r="P2650" s="204" t="s">
        <v>2276</v>
      </c>
      <c r="Q2650" s="204" t="s">
        <v>2276</v>
      </c>
      <c r="R2650" s="204" t="s">
        <v>2276</v>
      </c>
      <c r="S2650" s="204" t="s">
        <v>2276</v>
      </c>
      <c r="T2650" s="21">
        <f>200*0.072</f>
        <v>14.399999999999999</v>
      </c>
      <c r="U2650" s="204" t="s">
        <v>2276</v>
      </c>
      <c r="V2650" s="204" t="s">
        <v>2276</v>
      </c>
      <c r="W2650" s="204" t="s">
        <v>2276</v>
      </c>
      <c r="X2650" s="21">
        <f>T2650/'Record info'!K$1140</f>
        <v>2.8759736369083281E-3</v>
      </c>
      <c r="Y2650" s="204" t="s">
        <v>2276</v>
      </c>
      <c r="Z2650" s="204" t="s">
        <v>68</v>
      </c>
      <c r="AA2650" s="204" t="s">
        <v>86</v>
      </c>
      <c r="AB2650" s="204" t="s">
        <v>76</v>
      </c>
      <c r="AC2650" s="204"/>
      <c r="AD2650" s="204"/>
    </row>
    <row r="2651" spans="1:30" ht="33.5" customHeight="1">
      <c r="A2651" s="19" t="s">
        <v>7391</v>
      </c>
      <c r="B2651" s="19" t="s">
        <v>7426</v>
      </c>
      <c r="C2651" s="204" t="s">
        <v>24</v>
      </c>
      <c r="D2651" s="204" t="s">
        <v>1242</v>
      </c>
      <c r="E2651" s="204" t="s">
        <v>3209</v>
      </c>
      <c r="F2651" s="152" t="s">
        <v>2276</v>
      </c>
      <c r="G2651" s="152" t="s">
        <v>2276</v>
      </c>
      <c r="H2651" s="204" t="s">
        <v>523</v>
      </c>
      <c r="I2651" s="204">
        <v>2006</v>
      </c>
      <c r="J2651" s="204" t="s">
        <v>2276</v>
      </c>
      <c r="K2651" s="204" t="s">
        <v>2276</v>
      </c>
      <c r="L2651" s="204" t="s">
        <v>2276</v>
      </c>
      <c r="M2651" s="204" t="s">
        <v>2276</v>
      </c>
      <c r="N2651" s="204" t="s">
        <v>2276</v>
      </c>
      <c r="O2651" s="204" t="s">
        <v>2276</v>
      </c>
      <c r="P2651" s="204" t="s">
        <v>2276</v>
      </c>
      <c r="Q2651" s="204" t="s">
        <v>2276</v>
      </c>
      <c r="R2651" s="204" t="s">
        <v>2276</v>
      </c>
      <c r="S2651" s="204" t="s">
        <v>2276</v>
      </c>
      <c r="T2651" s="21">
        <f>200*0.068</f>
        <v>13.600000000000001</v>
      </c>
      <c r="U2651" s="204" t="s">
        <v>2276</v>
      </c>
      <c r="V2651" s="204" t="s">
        <v>2276</v>
      </c>
      <c r="W2651" s="204" t="s">
        <v>2276</v>
      </c>
      <c r="X2651" s="21">
        <f>T2651/'Record info'!K$1141</f>
        <v>1.1584327086882455E-2</v>
      </c>
      <c r="Y2651" s="204" t="s">
        <v>2276</v>
      </c>
      <c r="Z2651" s="204" t="s">
        <v>68</v>
      </c>
      <c r="AA2651" s="204" t="s">
        <v>86</v>
      </c>
      <c r="AB2651" s="204" t="s">
        <v>76</v>
      </c>
      <c r="AC2651" s="204"/>
      <c r="AD2651" s="204"/>
    </row>
    <row r="2652" spans="1:30" ht="33.5" customHeight="1">
      <c r="A2652" s="19" t="s">
        <v>7392</v>
      </c>
      <c r="B2652" s="19" t="s">
        <v>7427</v>
      </c>
      <c r="C2652" s="204" t="s">
        <v>24</v>
      </c>
      <c r="D2652" s="204" t="s">
        <v>1242</v>
      </c>
      <c r="E2652" s="204" t="s">
        <v>3209</v>
      </c>
      <c r="F2652" s="152" t="s">
        <v>2276</v>
      </c>
      <c r="G2652" s="152" t="s">
        <v>2276</v>
      </c>
      <c r="H2652" s="204" t="s">
        <v>523</v>
      </c>
      <c r="I2652" s="204">
        <v>2006</v>
      </c>
      <c r="J2652" s="204" t="s">
        <v>2276</v>
      </c>
      <c r="K2652" s="204" t="s">
        <v>2276</v>
      </c>
      <c r="L2652" s="204" t="s">
        <v>2276</v>
      </c>
      <c r="M2652" s="204" t="s">
        <v>2276</v>
      </c>
      <c r="N2652" s="204" t="s">
        <v>2276</v>
      </c>
      <c r="O2652" s="204" t="s">
        <v>2276</v>
      </c>
      <c r="P2652" s="204" t="s">
        <v>2276</v>
      </c>
      <c r="Q2652" s="204" t="s">
        <v>2276</v>
      </c>
      <c r="R2652" s="204" t="s">
        <v>2276</v>
      </c>
      <c r="S2652" s="204" t="s">
        <v>2276</v>
      </c>
      <c r="T2652" s="21">
        <f>200*0.075</f>
        <v>15</v>
      </c>
      <c r="U2652" s="204" t="s">
        <v>2276</v>
      </c>
      <c r="V2652" s="204" t="s">
        <v>2276</v>
      </c>
      <c r="W2652" s="204" t="s">
        <v>2276</v>
      </c>
      <c r="X2652" s="21">
        <f>T2652/'Record info'!K$1142</f>
        <v>3.4658040665434381E-3</v>
      </c>
      <c r="Y2652" s="204" t="s">
        <v>2276</v>
      </c>
      <c r="Z2652" s="204" t="s">
        <v>68</v>
      </c>
      <c r="AA2652" s="204" t="s">
        <v>86</v>
      </c>
      <c r="AB2652" s="204" t="s">
        <v>76</v>
      </c>
      <c r="AC2652" s="204"/>
      <c r="AD2652" s="204"/>
    </row>
    <row r="2653" spans="1:30" ht="33.5" customHeight="1">
      <c r="A2653" s="19" t="s">
        <v>7393</v>
      </c>
      <c r="B2653" s="19" t="s">
        <v>7428</v>
      </c>
      <c r="C2653" s="204" t="s">
        <v>24</v>
      </c>
      <c r="D2653" s="204" t="s">
        <v>1242</v>
      </c>
      <c r="E2653" s="204" t="s">
        <v>3209</v>
      </c>
      <c r="F2653" s="152" t="s">
        <v>2276</v>
      </c>
      <c r="G2653" s="152" t="s">
        <v>2276</v>
      </c>
      <c r="H2653" s="204" t="s">
        <v>523</v>
      </c>
      <c r="I2653" s="204">
        <v>2006</v>
      </c>
      <c r="J2653" s="204" t="s">
        <v>2276</v>
      </c>
      <c r="K2653" s="204" t="s">
        <v>2276</v>
      </c>
      <c r="L2653" s="204" t="s">
        <v>2276</v>
      </c>
      <c r="M2653" s="204" t="s">
        <v>2276</v>
      </c>
      <c r="N2653" s="204" t="s">
        <v>2276</v>
      </c>
      <c r="O2653" s="204" t="s">
        <v>2276</v>
      </c>
      <c r="P2653" s="204" t="s">
        <v>2276</v>
      </c>
      <c r="Q2653" s="204" t="s">
        <v>2276</v>
      </c>
      <c r="R2653" s="204" t="s">
        <v>2276</v>
      </c>
      <c r="S2653" s="204" t="s">
        <v>2276</v>
      </c>
      <c r="T2653" s="21">
        <f>200*0.111</f>
        <v>22.2</v>
      </c>
      <c r="U2653" s="204" t="s">
        <v>2276</v>
      </c>
      <c r="V2653" s="204" t="s">
        <v>2276</v>
      </c>
      <c r="W2653" s="204" t="s">
        <v>2276</v>
      </c>
      <c r="X2653" s="21">
        <f>T2653/'Record info'!K$1143</f>
        <v>9.2693110647181619E-3</v>
      </c>
      <c r="Y2653" s="204" t="s">
        <v>2276</v>
      </c>
      <c r="Z2653" s="204" t="s">
        <v>68</v>
      </c>
      <c r="AA2653" s="204" t="s">
        <v>86</v>
      </c>
      <c r="AB2653" s="204" t="s">
        <v>76</v>
      </c>
      <c r="AC2653" s="204"/>
      <c r="AD2653" s="204"/>
    </row>
    <row r="2654" spans="1:30" ht="33.5" customHeight="1">
      <c r="A2654" s="19" t="s">
        <v>7394</v>
      </c>
      <c r="B2654" s="19" t="s">
        <v>7429</v>
      </c>
      <c r="C2654" s="204" t="s">
        <v>24</v>
      </c>
      <c r="D2654" s="204" t="s">
        <v>1242</v>
      </c>
      <c r="E2654" s="204" t="s">
        <v>3209</v>
      </c>
      <c r="F2654" s="152" t="s">
        <v>2276</v>
      </c>
      <c r="G2654" s="152" t="s">
        <v>2276</v>
      </c>
      <c r="H2654" s="204" t="s">
        <v>523</v>
      </c>
      <c r="I2654" s="204">
        <v>2006</v>
      </c>
      <c r="J2654" s="204" t="s">
        <v>2276</v>
      </c>
      <c r="K2654" s="204" t="s">
        <v>2276</v>
      </c>
      <c r="L2654" s="204" t="s">
        <v>2276</v>
      </c>
      <c r="M2654" s="204" t="s">
        <v>2276</v>
      </c>
      <c r="N2654" s="204" t="s">
        <v>2276</v>
      </c>
      <c r="O2654" s="204" t="s">
        <v>2276</v>
      </c>
      <c r="P2654" s="204" t="s">
        <v>2276</v>
      </c>
      <c r="Q2654" s="204" t="s">
        <v>2276</v>
      </c>
      <c r="R2654" s="204" t="s">
        <v>2276</v>
      </c>
      <c r="S2654" s="204" t="s">
        <v>2276</v>
      </c>
      <c r="T2654" s="21">
        <f>200*0.106</f>
        <v>21.2</v>
      </c>
      <c r="U2654" s="204" t="s">
        <v>2276</v>
      </c>
      <c r="V2654" s="204" t="s">
        <v>2276</v>
      </c>
      <c r="W2654" s="204" t="s">
        <v>2276</v>
      </c>
      <c r="X2654" s="21">
        <f>T2654/'Record info'!K$1144</f>
        <v>7.9311634867190416E-3</v>
      </c>
      <c r="Y2654" s="204" t="s">
        <v>2276</v>
      </c>
      <c r="Z2654" s="204" t="s">
        <v>68</v>
      </c>
      <c r="AA2654" s="204" t="s">
        <v>86</v>
      </c>
      <c r="AB2654" s="204" t="s">
        <v>76</v>
      </c>
      <c r="AC2654" s="204"/>
      <c r="AD2654" s="204"/>
    </row>
    <row r="2655" spans="1:30" ht="33.5" customHeight="1">
      <c r="A2655" s="19" t="s">
        <v>7395</v>
      </c>
      <c r="B2655" s="19" t="s">
        <v>7430</v>
      </c>
      <c r="C2655" s="204" t="s">
        <v>24</v>
      </c>
      <c r="D2655" s="204" t="s">
        <v>1242</v>
      </c>
      <c r="E2655" s="204" t="s">
        <v>3209</v>
      </c>
      <c r="F2655" s="152" t="s">
        <v>2276</v>
      </c>
      <c r="G2655" s="152" t="s">
        <v>2276</v>
      </c>
      <c r="H2655" s="204" t="s">
        <v>523</v>
      </c>
      <c r="I2655" s="204">
        <v>2006</v>
      </c>
      <c r="J2655" s="204" t="s">
        <v>2276</v>
      </c>
      <c r="K2655" s="204" t="s">
        <v>2276</v>
      </c>
      <c r="L2655" s="204" t="s">
        <v>2276</v>
      </c>
      <c r="M2655" s="204" t="s">
        <v>2276</v>
      </c>
      <c r="N2655" s="204" t="s">
        <v>2276</v>
      </c>
      <c r="O2655" s="204" t="s">
        <v>2276</v>
      </c>
      <c r="P2655" s="204" t="s">
        <v>2276</v>
      </c>
      <c r="Q2655" s="204" t="s">
        <v>2276</v>
      </c>
      <c r="R2655" s="204" t="s">
        <v>2276</v>
      </c>
      <c r="S2655" s="204" t="s">
        <v>2276</v>
      </c>
      <c r="T2655" s="21">
        <f>200*0.166</f>
        <v>33.200000000000003</v>
      </c>
      <c r="U2655" s="204" t="s">
        <v>2276</v>
      </c>
      <c r="V2655" s="204" t="s">
        <v>2276</v>
      </c>
      <c r="W2655" s="204" t="s">
        <v>2276</v>
      </c>
      <c r="X2655" s="21">
        <f>T2655/'Record info'!K$1145</f>
        <v>1.4722838137472286E-2</v>
      </c>
      <c r="Y2655" s="204" t="s">
        <v>2276</v>
      </c>
      <c r="Z2655" s="204" t="s">
        <v>68</v>
      </c>
      <c r="AA2655" s="204" t="s">
        <v>86</v>
      </c>
      <c r="AB2655" s="204" t="s">
        <v>76</v>
      </c>
      <c r="AC2655" s="204"/>
      <c r="AD2655" s="204"/>
    </row>
    <row r="2656" spans="1:30" ht="29" customHeight="1">
      <c r="A2656" s="19" t="s">
        <v>7293</v>
      </c>
      <c r="B2656" s="19" t="s">
        <v>7431</v>
      </c>
      <c r="C2656" s="204" t="s">
        <v>24</v>
      </c>
      <c r="D2656" s="204" t="s">
        <v>1242</v>
      </c>
      <c r="E2656" s="204" t="s">
        <v>3209</v>
      </c>
      <c r="F2656" s="152" t="s">
        <v>2276</v>
      </c>
      <c r="G2656" s="152" t="s">
        <v>2276</v>
      </c>
      <c r="H2656" s="204" t="s">
        <v>523</v>
      </c>
      <c r="I2656" s="204">
        <v>2007</v>
      </c>
      <c r="J2656" s="204" t="s">
        <v>2276</v>
      </c>
      <c r="K2656" s="204" t="s">
        <v>2276</v>
      </c>
      <c r="L2656" s="204" t="s">
        <v>2276</v>
      </c>
      <c r="M2656" s="204" t="s">
        <v>2276</v>
      </c>
      <c r="N2656" s="204" t="s">
        <v>2276</v>
      </c>
      <c r="O2656" s="204" t="s">
        <v>2276</v>
      </c>
      <c r="P2656" s="204" t="s">
        <v>2276</v>
      </c>
      <c r="Q2656" s="204" t="s">
        <v>2276</v>
      </c>
      <c r="R2656" s="204" t="s">
        <v>2276</v>
      </c>
      <c r="S2656" s="204" t="s">
        <v>2276</v>
      </c>
      <c r="T2656" s="21">
        <f>550*0.027</f>
        <v>14.85</v>
      </c>
      <c r="U2656" s="204" t="s">
        <v>2276</v>
      </c>
      <c r="V2656" s="204" t="s">
        <v>2276</v>
      </c>
      <c r="W2656" s="204" t="s">
        <v>2276</v>
      </c>
      <c r="X2656" s="21">
        <f>T2656/'Record info'!K$1128</f>
        <v>5.3035714285714283E-3</v>
      </c>
      <c r="Y2656" s="204" t="s">
        <v>2276</v>
      </c>
      <c r="Z2656" s="204" t="s">
        <v>68</v>
      </c>
      <c r="AA2656" s="204" t="s">
        <v>86</v>
      </c>
      <c r="AB2656" s="204" t="s">
        <v>76</v>
      </c>
      <c r="AC2656" s="204"/>
      <c r="AD2656" s="204"/>
    </row>
    <row r="2657" spans="1:30" ht="29" customHeight="1">
      <c r="A2657" s="19" t="s">
        <v>7379</v>
      </c>
      <c r="B2657" s="19" t="s">
        <v>7432</v>
      </c>
      <c r="C2657" s="204" t="s">
        <v>24</v>
      </c>
      <c r="D2657" s="204" t="s">
        <v>1242</v>
      </c>
      <c r="E2657" s="204" t="s">
        <v>3209</v>
      </c>
      <c r="F2657" s="152" t="s">
        <v>2276</v>
      </c>
      <c r="G2657" s="152" t="s">
        <v>2276</v>
      </c>
      <c r="H2657" s="204" t="s">
        <v>523</v>
      </c>
      <c r="I2657" s="204">
        <v>2007</v>
      </c>
      <c r="J2657" s="204" t="s">
        <v>2276</v>
      </c>
      <c r="K2657" s="204" t="s">
        <v>2276</v>
      </c>
      <c r="L2657" s="204" t="s">
        <v>2276</v>
      </c>
      <c r="M2657" s="204" t="s">
        <v>2276</v>
      </c>
      <c r="N2657" s="204" t="s">
        <v>2276</v>
      </c>
      <c r="O2657" s="204" t="s">
        <v>2276</v>
      </c>
      <c r="P2657" s="204" t="s">
        <v>2276</v>
      </c>
      <c r="Q2657" s="204" t="s">
        <v>2276</v>
      </c>
      <c r="R2657" s="204" t="s">
        <v>2276</v>
      </c>
      <c r="S2657" s="204" t="s">
        <v>2276</v>
      </c>
      <c r="T2657" s="21">
        <f>550*0.041</f>
        <v>22.55</v>
      </c>
      <c r="U2657" s="204" t="s">
        <v>2276</v>
      </c>
      <c r="V2657" s="204" t="s">
        <v>2276</v>
      </c>
      <c r="W2657" s="204" t="s">
        <v>2276</v>
      </c>
      <c r="X2657" s="21">
        <f>T2657/'Record info'!K$1129</f>
        <v>6.4153627311522047E-3</v>
      </c>
      <c r="Y2657" s="204" t="s">
        <v>2276</v>
      </c>
      <c r="Z2657" s="204" t="s">
        <v>68</v>
      </c>
      <c r="AA2657" s="204" t="s">
        <v>86</v>
      </c>
      <c r="AB2657" s="204" t="s">
        <v>76</v>
      </c>
      <c r="AC2657" s="204"/>
      <c r="AD2657" s="204"/>
    </row>
    <row r="2658" spans="1:30" ht="29" customHeight="1">
      <c r="A2658" s="19" t="s">
        <v>7380</v>
      </c>
      <c r="B2658" s="19" t="s">
        <v>7433</v>
      </c>
      <c r="C2658" s="204" t="s">
        <v>24</v>
      </c>
      <c r="D2658" s="204" t="s">
        <v>1242</v>
      </c>
      <c r="E2658" s="204" t="s">
        <v>3209</v>
      </c>
      <c r="F2658" s="152" t="s">
        <v>2276</v>
      </c>
      <c r="G2658" s="152" t="s">
        <v>2276</v>
      </c>
      <c r="H2658" s="204" t="s">
        <v>523</v>
      </c>
      <c r="I2658" s="204">
        <v>2007</v>
      </c>
      <c r="J2658" s="204" t="s">
        <v>2276</v>
      </c>
      <c r="K2658" s="204" t="s">
        <v>2276</v>
      </c>
      <c r="L2658" s="204" t="s">
        <v>2276</v>
      </c>
      <c r="M2658" s="204" t="s">
        <v>2276</v>
      </c>
      <c r="N2658" s="204" t="s">
        <v>2276</v>
      </c>
      <c r="O2658" s="204" t="s">
        <v>2276</v>
      </c>
      <c r="P2658" s="204" t="s">
        <v>2276</v>
      </c>
      <c r="Q2658" s="204" t="s">
        <v>2276</v>
      </c>
      <c r="R2658" s="204" t="s">
        <v>2276</v>
      </c>
      <c r="S2658" s="204" t="s">
        <v>2276</v>
      </c>
      <c r="T2658" s="21">
        <f>550*0.004</f>
        <v>2.2000000000000002</v>
      </c>
      <c r="U2658" s="204" t="s">
        <v>2276</v>
      </c>
      <c r="V2658" s="204" t="s">
        <v>2276</v>
      </c>
      <c r="W2658" s="204" t="s">
        <v>2276</v>
      </c>
      <c r="X2658" s="21">
        <f>T2658/'Record info'!K$1130</f>
        <v>3.260708463020602E-4</v>
      </c>
      <c r="Y2658" s="204" t="s">
        <v>2276</v>
      </c>
      <c r="Z2658" s="204" t="s">
        <v>68</v>
      </c>
      <c r="AA2658" s="204" t="s">
        <v>86</v>
      </c>
      <c r="AB2658" s="204" t="s">
        <v>76</v>
      </c>
      <c r="AC2658" s="204"/>
      <c r="AD2658" s="204"/>
    </row>
    <row r="2659" spans="1:30" ht="29" customHeight="1">
      <c r="A2659" s="19" t="s">
        <v>7381</v>
      </c>
      <c r="B2659" s="19" t="s">
        <v>7434</v>
      </c>
      <c r="C2659" s="204" t="s">
        <v>24</v>
      </c>
      <c r="D2659" s="204" t="s">
        <v>1242</v>
      </c>
      <c r="E2659" s="204" t="s">
        <v>3209</v>
      </c>
      <c r="F2659" s="152" t="s">
        <v>2276</v>
      </c>
      <c r="G2659" s="152" t="s">
        <v>2276</v>
      </c>
      <c r="H2659" s="204" t="s">
        <v>523</v>
      </c>
      <c r="I2659" s="204">
        <v>2007</v>
      </c>
      <c r="J2659" s="204" t="s">
        <v>2276</v>
      </c>
      <c r="K2659" s="204" t="s">
        <v>2276</v>
      </c>
      <c r="L2659" s="204" t="s">
        <v>2276</v>
      </c>
      <c r="M2659" s="204" t="s">
        <v>2276</v>
      </c>
      <c r="N2659" s="204" t="s">
        <v>2276</v>
      </c>
      <c r="O2659" s="204" t="s">
        <v>2276</v>
      </c>
      <c r="P2659" s="204" t="s">
        <v>2276</v>
      </c>
      <c r="Q2659" s="204" t="s">
        <v>2276</v>
      </c>
      <c r="R2659" s="204" t="s">
        <v>2276</v>
      </c>
      <c r="S2659" s="204" t="s">
        <v>2276</v>
      </c>
      <c r="T2659" s="21">
        <f>550*0.004</f>
        <v>2.2000000000000002</v>
      </c>
      <c r="U2659" s="204" t="s">
        <v>2276</v>
      </c>
      <c r="V2659" s="204" t="s">
        <v>2276</v>
      </c>
      <c r="W2659" s="204" t="s">
        <v>2276</v>
      </c>
      <c r="X2659" s="21">
        <f>T2659/'Record info'!K$1131</f>
        <v>4.3443917851500796E-4</v>
      </c>
      <c r="Y2659" s="204" t="s">
        <v>2276</v>
      </c>
      <c r="Z2659" s="204" t="s">
        <v>68</v>
      </c>
      <c r="AA2659" s="204" t="s">
        <v>86</v>
      </c>
      <c r="AB2659" s="204" t="s">
        <v>76</v>
      </c>
      <c r="AC2659" s="204"/>
      <c r="AD2659" s="204"/>
    </row>
    <row r="2660" spans="1:30" ht="29" customHeight="1">
      <c r="A2660" s="19" t="s">
        <v>7382</v>
      </c>
      <c r="B2660" s="19" t="s">
        <v>7435</v>
      </c>
      <c r="C2660" s="204" t="s">
        <v>24</v>
      </c>
      <c r="D2660" s="204" t="s">
        <v>1242</v>
      </c>
      <c r="E2660" s="204" t="s">
        <v>3209</v>
      </c>
      <c r="F2660" s="152" t="s">
        <v>2276</v>
      </c>
      <c r="G2660" s="152" t="s">
        <v>2276</v>
      </c>
      <c r="H2660" s="204" t="s">
        <v>524</v>
      </c>
      <c r="I2660" s="204">
        <v>2007</v>
      </c>
      <c r="J2660" s="21">
        <v>0</v>
      </c>
      <c r="K2660" s="21">
        <v>0</v>
      </c>
      <c r="L2660" s="21">
        <v>0</v>
      </c>
      <c r="M2660" s="21">
        <v>0</v>
      </c>
      <c r="N2660" s="21">
        <v>0</v>
      </c>
      <c r="O2660" s="21">
        <v>0</v>
      </c>
      <c r="P2660" s="21">
        <v>0</v>
      </c>
      <c r="Q2660" s="21">
        <v>0</v>
      </c>
      <c r="R2660" s="21">
        <v>0</v>
      </c>
      <c r="S2660" s="21">
        <v>0</v>
      </c>
      <c r="T2660" s="21">
        <v>0</v>
      </c>
      <c r="U2660" s="21">
        <v>0</v>
      </c>
      <c r="V2660" s="21">
        <v>0</v>
      </c>
      <c r="W2660" s="21">
        <v>0</v>
      </c>
      <c r="X2660" s="21">
        <f>T2660/'Record info'!K$1132</f>
        <v>0</v>
      </c>
      <c r="Y2660" s="204" t="s">
        <v>2276</v>
      </c>
      <c r="Z2660" s="204" t="s">
        <v>68</v>
      </c>
      <c r="AA2660" s="204" t="s">
        <v>86</v>
      </c>
      <c r="AB2660" s="204" t="s">
        <v>76</v>
      </c>
      <c r="AC2660" s="204"/>
      <c r="AD2660" s="204"/>
    </row>
    <row r="2661" spans="1:30" ht="29" customHeight="1">
      <c r="A2661" s="19" t="s">
        <v>7383</v>
      </c>
      <c r="B2661" s="19" t="s">
        <v>7436</v>
      </c>
      <c r="C2661" s="204" t="s">
        <v>24</v>
      </c>
      <c r="D2661" s="204" t="s">
        <v>1242</v>
      </c>
      <c r="E2661" s="204" t="s">
        <v>3209</v>
      </c>
      <c r="F2661" s="152" t="s">
        <v>2276</v>
      </c>
      <c r="G2661" s="152" t="s">
        <v>2276</v>
      </c>
      <c r="H2661" s="204" t="s">
        <v>524</v>
      </c>
      <c r="I2661" s="204">
        <v>2007</v>
      </c>
      <c r="J2661" s="21">
        <v>0</v>
      </c>
      <c r="K2661" s="21">
        <v>0</v>
      </c>
      <c r="L2661" s="21">
        <v>0</v>
      </c>
      <c r="M2661" s="21">
        <v>0</v>
      </c>
      <c r="N2661" s="21">
        <v>0</v>
      </c>
      <c r="O2661" s="21">
        <v>0</v>
      </c>
      <c r="P2661" s="21">
        <v>0</v>
      </c>
      <c r="Q2661" s="21">
        <v>0</v>
      </c>
      <c r="R2661" s="21">
        <v>0</v>
      </c>
      <c r="S2661" s="21">
        <v>0</v>
      </c>
      <c r="T2661" s="21">
        <v>0</v>
      </c>
      <c r="U2661" s="21">
        <v>0</v>
      </c>
      <c r="V2661" s="21">
        <v>0</v>
      </c>
      <c r="W2661" s="21">
        <v>0</v>
      </c>
      <c r="X2661" s="21">
        <f>T2661/'Record info'!K$1133</f>
        <v>0</v>
      </c>
      <c r="Y2661" s="204" t="s">
        <v>2276</v>
      </c>
      <c r="Z2661" s="204" t="s">
        <v>68</v>
      </c>
      <c r="AA2661" s="204" t="s">
        <v>86</v>
      </c>
      <c r="AB2661" s="204" t="s">
        <v>76</v>
      </c>
      <c r="AC2661" s="204"/>
      <c r="AD2661" s="204"/>
    </row>
    <row r="2662" spans="1:30" ht="29" customHeight="1">
      <c r="A2662" s="19" t="s">
        <v>7384</v>
      </c>
      <c r="B2662" s="19" t="s">
        <v>7437</v>
      </c>
      <c r="C2662" s="204" t="s">
        <v>24</v>
      </c>
      <c r="D2662" s="204" t="s">
        <v>1242</v>
      </c>
      <c r="E2662" s="204" t="s">
        <v>3209</v>
      </c>
      <c r="F2662" s="152" t="s">
        <v>2276</v>
      </c>
      <c r="G2662" s="152" t="s">
        <v>2276</v>
      </c>
      <c r="H2662" s="204" t="s">
        <v>524</v>
      </c>
      <c r="I2662" s="204">
        <v>2007</v>
      </c>
      <c r="J2662" s="21">
        <v>0</v>
      </c>
      <c r="K2662" s="21">
        <v>0</v>
      </c>
      <c r="L2662" s="21">
        <v>0</v>
      </c>
      <c r="M2662" s="21">
        <v>0</v>
      </c>
      <c r="N2662" s="21">
        <v>0</v>
      </c>
      <c r="O2662" s="21">
        <v>0</v>
      </c>
      <c r="P2662" s="21">
        <v>0</v>
      </c>
      <c r="Q2662" s="21">
        <v>0</v>
      </c>
      <c r="R2662" s="21">
        <v>0</v>
      </c>
      <c r="S2662" s="21">
        <v>0</v>
      </c>
      <c r="T2662" s="21">
        <v>0</v>
      </c>
      <c r="U2662" s="21">
        <v>0</v>
      </c>
      <c r="V2662" s="21">
        <v>0</v>
      </c>
      <c r="W2662" s="21">
        <v>0</v>
      </c>
      <c r="X2662" s="21">
        <f>T2662/'Record info'!K$1134</f>
        <v>0</v>
      </c>
      <c r="Y2662" s="204" t="s">
        <v>2276</v>
      </c>
      <c r="Z2662" s="204" t="s">
        <v>68</v>
      </c>
      <c r="AA2662" s="204" t="s">
        <v>86</v>
      </c>
      <c r="AB2662" s="204" t="s">
        <v>76</v>
      </c>
      <c r="AC2662" s="204"/>
      <c r="AD2662" s="204"/>
    </row>
    <row r="2663" spans="1:30" ht="29" customHeight="1">
      <c r="A2663" s="19" t="s">
        <v>7385</v>
      </c>
      <c r="B2663" s="19" t="s">
        <v>7438</v>
      </c>
      <c r="C2663" s="204" t="s">
        <v>24</v>
      </c>
      <c r="D2663" s="204" t="s">
        <v>1242</v>
      </c>
      <c r="E2663" s="204" t="s">
        <v>3209</v>
      </c>
      <c r="F2663" s="152" t="s">
        <v>2276</v>
      </c>
      <c r="G2663" s="152" t="s">
        <v>2276</v>
      </c>
      <c r="H2663" s="204" t="s">
        <v>523</v>
      </c>
      <c r="I2663" s="204">
        <v>2007</v>
      </c>
      <c r="J2663" s="204" t="s">
        <v>2276</v>
      </c>
      <c r="K2663" s="204" t="s">
        <v>2276</v>
      </c>
      <c r="L2663" s="204" t="s">
        <v>2276</v>
      </c>
      <c r="M2663" s="204" t="s">
        <v>2276</v>
      </c>
      <c r="N2663" s="204" t="s">
        <v>2276</v>
      </c>
      <c r="O2663" s="204" t="s">
        <v>2276</v>
      </c>
      <c r="P2663" s="204" t="s">
        <v>2276</v>
      </c>
      <c r="Q2663" s="204" t="s">
        <v>2276</v>
      </c>
      <c r="R2663" s="204" t="s">
        <v>2276</v>
      </c>
      <c r="S2663" s="204" t="s">
        <v>2276</v>
      </c>
      <c r="T2663" s="21">
        <f>550*0.035</f>
        <v>19.250000000000004</v>
      </c>
      <c r="U2663" s="204" t="s">
        <v>2276</v>
      </c>
      <c r="V2663" s="204" t="s">
        <v>2276</v>
      </c>
      <c r="W2663" s="204" t="s">
        <v>2276</v>
      </c>
      <c r="X2663" s="21">
        <f>T2663/'Record info'!K$1135</f>
        <v>3.1739488870568843E-3</v>
      </c>
      <c r="Y2663" s="204" t="s">
        <v>2276</v>
      </c>
      <c r="Z2663" s="204" t="s">
        <v>68</v>
      </c>
      <c r="AA2663" s="204" t="s">
        <v>86</v>
      </c>
      <c r="AB2663" s="204" t="s">
        <v>76</v>
      </c>
      <c r="AC2663" s="204"/>
      <c r="AD2663" s="204"/>
    </row>
    <row r="2664" spans="1:30" ht="29" customHeight="1">
      <c r="A2664" s="19" t="s">
        <v>7386</v>
      </c>
      <c r="B2664" s="19" t="s">
        <v>7439</v>
      </c>
      <c r="C2664" s="204" t="s">
        <v>24</v>
      </c>
      <c r="D2664" s="204" t="s">
        <v>1242</v>
      </c>
      <c r="E2664" s="204" t="s">
        <v>3209</v>
      </c>
      <c r="F2664" s="152" t="s">
        <v>2276</v>
      </c>
      <c r="G2664" s="152" t="s">
        <v>2276</v>
      </c>
      <c r="H2664" s="204" t="s">
        <v>523</v>
      </c>
      <c r="I2664" s="204">
        <v>2007</v>
      </c>
      <c r="J2664" s="204" t="s">
        <v>2276</v>
      </c>
      <c r="K2664" s="204" t="s">
        <v>2276</v>
      </c>
      <c r="L2664" s="204" t="s">
        <v>2276</v>
      </c>
      <c r="M2664" s="204" t="s">
        <v>2276</v>
      </c>
      <c r="N2664" s="204" t="s">
        <v>2276</v>
      </c>
      <c r="O2664" s="204" t="s">
        <v>2276</v>
      </c>
      <c r="P2664" s="204" t="s">
        <v>2276</v>
      </c>
      <c r="Q2664" s="204" t="s">
        <v>2276</v>
      </c>
      <c r="R2664" s="204" t="s">
        <v>2276</v>
      </c>
      <c r="S2664" s="204" t="s">
        <v>2276</v>
      </c>
      <c r="T2664" s="21">
        <f>550*0.079</f>
        <v>43.45</v>
      </c>
      <c r="U2664" s="204" t="s">
        <v>2276</v>
      </c>
      <c r="V2664" s="204" t="s">
        <v>2276</v>
      </c>
      <c r="W2664" s="204" t="s">
        <v>2276</v>
      </c>
      <c r="X2664" s="21">
        <f>T2664/'Record info'!K$1136</f>
        <v>6.50936329588015E-3</v>
      </c>
      <c r="Y2664" s="204" t="s">
        <v>2276</v>
      </c>
      <c r="Z2664" s="204" t="s">
        <v>68</v>
      </c>
      <c r="AA2664" s="204" t="s">
        <v>86</v>
      </c>
      <c r="AB2664" s="204" t="s">
        <v>76</v>
      </c>
      <c r="AC2664" s="204"/>
      <c r="AD2664" s="204"/>
    </row>
    <row r="2665" spans="1:30" ht="29" customHeight="1">
      <c r="A2665" s="19" t="s">
        <v>7387</v>
      </c>
      <c r="B2665" s="19" t="s">
        <v>7440</v>
      </c>
      <c r="C2665" s="204" t="s">
        <v>24</v>
      </c>
      <c r="D2665" s="204" t="s">
        <v>1242</v>
      </c>
      <c r="E2665" s="204" t="s">
        <v>3209</v>
      </c>
      <c r="F2665" s="152" t="s">
        <v>2276</v>
      </c>
      <c r="G2665" s="152" t="s">
        <v>2276</v>
      </c>
      <c r="H2665" s="204" t="s">
        <v>523</v>
      </c>
      <c r="I2665" s="204">
        <v>2007</v>
      </c>
      <c r="J2665" s="204" t="s">
        <v>2276</v>
      </c>
      <c r="K2665" s="204" t="s">
        <v>2276</v>
      </c>
      <c r="L2665" s="204" t="s">
        <v>2276</v>
      </c>
      <c r="M2665" s="204" t="s">
        <v>2276</v>
      </c>
      <c r="N2665" s="204" t="s">
        <v>2276</v>
      </c>
      <c r="O2665" s="204" t="s">
        <v>2276</v>
      </c>
      <c r="P2665" s="204" t="s">
        <v>2276</v>
      </c>
      <c r="Q2665" s="204" t="s">
        <v>2276</v>
      </c>
      <c r="R2665" s="204" t="s">
        <v>2276</v>
      </c>
      <c r="S2665" s="204" t="s">
        <v>2276</v>
      </c>
      <c r="T2665" s="21">
        <f>550*0.132</f>
        <v>72.600000000000009</v>
      </c>
      <c r="U2665" s="204" t="s">
        <v>2276</v>
      </c>
      <c r="V2665" s="204" t="s">
        <v>2276</v>
      </c>
      <c r="W2665" s="204" t="s">
        <v>2276</v>
      </c>
      <c r="X2665" s="21">
        <f>T2665/'Record info'!K$1137</f>
        <v>1.3156940920623417E-2</v>
      </c>
      <c r="Y2665" s="204" t="s">
        <v>2276</v>
      </c>
      <c r="Z2665" s="204" t="s">
        <v>68</v>
      </c>
      <c r="AA2665" s="204" t="s">
        <v>86</v>
      </c>
      <c r="AB2665" s="204" t="s">
        <v>76</v>
      </c>
      <c r="AC2665" s="204"/>
      <c r="AD2665" s="204"/>
    </row>
    <row r="2666" spans="1:30" ht="29" customHeight="1">
      <c r="A2666" s="19" t="s">
        <v>7388</v>
      </c>
      <c r="B2666" s="19" t="s">
        <v>7441</v>
      </c>
      <c r="C2666" s="204" t="s">
        <v>24</v>
      </c>
      <c r="D2666" s="204" t="s">
        <v>1242</v>
      </c>
      <c r="E2666" s="204" t="s">
        <v>3209</v>
      </c>
      <c r="F2666" s="152" t="s">
        <v>2276</v>
      </c>
      <c r="G2666" s="152" t="s">
        <v>2276</v>
      </c>
      <c r="H2666" s="204" t="s">
        <v>523</v>
      </c>
      <c r="I2666" s="204">
        <v>2007</v>
      </c>
      <c r="J2666" s="204" t="s">
        <v>2276</v>
      </c>
      <c r="K2666" s="204" t="s">
        <v>2276</v>
      </c>
      <c r="L2666" s="204" t="s">
        <v>2276</v>
      </c>
      <c r="M2666" s="204" t="s">
        <v>2276</v>
      </c>
      <c r="N2666" s="204" t="s">
        <v>2276</v>
      </c>
      <c r="O2666" s="204" t="s">
        <v>2276</v>
      </c>
      <c r="P2666" s="204" t="s">
        <v>2276</v>
      </c>
      <c r="Q2666" s="204" t="s">
        <v>2276</v>
      </c>
      <c r="R2666" s="204" t="s">
        <v>2276</v>
      </c>
      <c r="S2666" s="204" t="s">
        <v>2276</v>
      </c>
      <c r="T2666" s="21">
        <f>550*0.057</f>
        <v>31.35</v>
      </c>
      <c r="U2666" s="204" t="s">
        <v>2276</v>
      </c>
      <c r="V2666" s="204" t="s">
        <v>2276</v>
      </c>
      <c r="W2666" s="204" t="s">
        <v>2276</v>
      </c>
      <c r="X2666" s="21">
        <f>T2666/'Record info'!K$1138</f>
        <v>7.9427413225234365E-3</v>
      </c>
      <c r="Y2666" s="204" t="s">
        <v>2276</v>
      </c>
      <c r="Z2666" s="204" t="s">
        <v>68</v>
      </c>
      <c r="AA2666" s="204" t="s">
        <v>86</v>
      </c>
      <c r="AB2666" s="204" t="s">
        <v>76</v>
      </c>
      <c r="AC2666" s="204"/>
      <c r="AD2666" s="204"/>
    </row>
    <row r="2667" spans="1:30" ht="29" customHeight="1">
      <c r="A2667" s="19" t="s">
        <v>7389</v>
      </c>
      <c r="B2667" s="19" t="s">
        <v>7442</v>
      </c>
      <c r="C2667" s="204" t="s">
        <v>24</v>
      </c>
      <c r="D2667" s="204" t="s">
        <v>1242</v>
      </c>
      <c r="E2667" s="204" t="s">
        <v>3209</v>
      </c>
      <c r="F2667" s="152" t="s">
        <v>2276</v>
      </c>
      <c r="G2667" s="152" t="s">
        <v>2276</v>
      </c>
      <c r="H2667" s="204" t="s">
        <v>523</v>
      </c>
      <c r="I2667" s="204">
        <v>2007</v>
      </c>
      <c r="J2667" s="204" t="s">
        <v>2276</v>
      </c>
      <c r="K2667" s="204" t="s">
        <v>2276</v>
      </c>
      <c r="L2667" s="204" t="s">
        <v>2276</v>
      </c>
      <c r="M2667" s="204" t="s">
        <v>2276</v>
      </c>
      <c r="N2667" s="204" t="s">
        <v>2276</v>
      </c>
      <c r="O2667" s="204" t="s">
        <v>2276</v>
      </c>
      <c r="P2667" s="204" t="s">
        <v>2276</v>
      </c>
      <c r="Q2667" s="204" t="s">
        <v>2276</v>
      </c>
      <c r="R2667" s="204" t="s">
        <v>2276</v>
      </c>
      <c r="S2667" s="204" t="s">
        <v>2276</v>
      </c>
      <c r="T2667" s="21">
        <f>550*0.024</f>
        <v>13.200000000000001</v>
      </c>
      <c r="U2667" s="204" t="s">
        <v>2276</v>
      </c>
      <c r="V2667" s="204" t="s">
        <v>2276</v>
      </c>
      <c r="W2667" s="204" t="s">
        <v>2276</v>
      </c>
      <c r="X2667" s="21">
        <f>T2667/'Record info'!K$1139</f>
        <v>4.7008547008547015E-3</v>
      </c>
      <c r="Y2667" s="204" t="s">
        <v>2276</v>
      </c>
      <c r="Z2667" s="204" t="s">
        <v>68</v>
      </c>
      <c r="AA2667" s="204" t="s">
        <v>86</v>
      </c>
      <c r="AB2667" s="204" t="s">
        <v>76</v>
      </c>
      <c r="AC2667" s="204"/>
      <c r="AD2667" s="204"/>
    </row>
    <row r="2668" spans="1:30" ht="29" customHeight="1">
      <c r="A2668" s="19" t="s">
        <v>7390</v>
      </c>
      <c r="B2668" s="19" t="s">
        <v>7443</v>
      </c>
      <c r="C2668" s="204" t="s">
        <v>24</v>
      </c>
      <c r="D2668" s="204" t="s">
        <v>1242</v>
      </c>
      <c r="E2668" s="204" t="s">
        <v>3209</v>
      </c>
      <c r="F2668" s="152" t="s">
        <v>2276</v>
      </c>
      <c r="G2668" s="152" t="s">
        <v>2276</v>
      </c>
      <c r="H2668" s="204" t="s">
        <v>523</v>
      </c>
      <c r="I2668" s="204">
        <v>2007</v>
      </c>
      <c r="J2668" s="204" t="s">
        <v>2276</v>
      </c>
      <c r="K2668" s="204" t="s">
        <v>2276</v>
      </c>
      <c r="L2668" s="204" t="s">
        <v>2276</v>
      </c>
      <c r="M2668" s="204" t="s">
        <v>2276</v>
      </c>
      <c r="N2668" s="204" t="s">
        <v>2276</v>
      </c>
      <c r="O2668" s="204" t="s">
        <v>2276</v>
      </c>
      <c r="P2668" s="204" t="s">
        <v>2276</v>
      </c>
      <c r="Q2668" s="204" t="s">
        <v>2276</v>
      </c>
      <c r="R2668" s="204" t="s">
        <v>2276</v>
      </c>
      <c r="S2668" s="204" t="s">
        <v>2276</v>
      </c>
      <c r="T2668" s="21">
        <f>550*0.072</f>
        <v>39.599999999999994</v>
      </c>
      <c r="U2668" s="204" t="s">
        <v>2276</v>
      </c>
      <c r="V2668" s="204" t="s">
        <v>2276</v>
      </c>
      <c r="W2668" s="204" t="s">
        <v>2276</v>
      </c>
      <c r="X2668" s="21">
        <f>T2668/'Record info'!K$1140</f>
        <v>7.9089275014979019E-3</v>
      </c>
      <c r="Y2668" s="204" t="s">
        <v>2276</v>
      </c>
      <c r="Z2668" s="204" t="s">
        <v>68</v>
      </c>
      <c r="AA2668" s="204" t="s">
        <v>86</v>
      </c>
      <c r="AB2668" s="204" t="s">
        <v>76</v>
      </c>
      <c r="AC2668" s="204"/>
      <c r="AD2668" s="204"/>
    </row>
    <row r="2669" spans="1:30" ht="29" customHeight="1">
      <c r="A2669" s="19" t="s">
        <v>7391</v>
      </c>
      <c r="B2669" s="19" t="s">
        <v>7444</v>
      </c>
      <c r="C2669" s="204" t="s">
        <v>24</v>
      </c>
      <c r="D2669" s="204" t="s">
        <v>1242</v>
      </c>
      <c r="E2669" s="204" t="s">
        <v>3209</v>
      </c>
      <c r="F2669" s="152" t="s">
        <v>2276</v>
      </c>
      <c r="G2669" s="152" t="s">
        <v>2276</v>
      </c>
      <c r="H2669" s="204" t="s">
        <v>523</v>
      </c>
      <c r="I2669" s="204">
        <v>2007</v>
      </c>
      <c r="J2669" s="204" t="s">
        <v>2276</v>
      </c>
      <c r="K2669" s="204" t="s">
        <v>2276</v>
      </c>
      <c r="L2669" s="204" t="s">
        <v>2276</v>
      </c>
      <c r="M2669" s="204" t="s">
        <v>2276</v>
      </c>
      <c r="N2669" s="204" t="s">
        <v>2276</v>
      </c>
      <c r="O2669" s="204" t="s">
        <v>2276</v>
      </c>
      <c r="P2669" s="204" t="s">
        <v>2276</v>
      </c>
      <c r="Q2669" s="204" t="s">
        <v>2276</v>
      </c>
      <c r="R2669" s="204" t="s">
        <v>2276</v>
      </c>
      <c r="S2669" s="204" t="s">
        <v>2276</v>
      </c>
      <c r="T2669" s="21">
        <f>550*0.068</f>
        <v>37.400000000000006</v>
      </c>
      <c r="U2669" s="204" t="s">
        <v>2276</v>
      </c>
      <c r="V2669" s="204" t="s">
        <v>2276</v>
      </c>
      <c r="W2669" s="204" t="s">
        <v>2276</v>
      </c>
      <c r="X2669" s="21">
        <f>T2669/'Record info'!K$1141</f>
        <v>3.1856899488926754E-2</v>
      </c>
      <c r="Y2669" s="204" t="s">
        <v>2276</v>
      </c>
      <c r="Z2669" s="204" t="s">
        <v>68</v>
      </c>
      <c r="AA2669" s="204" t="s">
        <v>86</v>
      </c>
      <c r="AB2669" s="204" t="s">
        <v>76</v>
      </c>
      <c r="AC2669" s="204"/>
      <c r="AD2669" s="204"/>
    </row>
    <row r="2670" spans="1:30" ht="29" customHeight="1">
      <c r="A2670" s="19" t="s">
        <v>7392</v>
      </c>
      <c r="B2670" s="19" t="s">
        <v>7445</v>
      </c>
      <c r="C2670" s="204" t="s">
        <v>24</v>
      </c>
      <c r="D2670" s="204" t="s">
        <v>1242</v>
      </c>
      <c r="E2670" s="204" t="s">
        <v>3209</v>
      </c>
      <c r="F2670" s="152" t="s">
        <v>2276</v>
      </c>
      <c r="G2670" s="152" t="s">
        <v>2276</v>
      </c>
      <c r="H2670" s="204" t="s">
        <v>523</v>
      </c>
      <c r="I2670" s="204">
        <v>2007</v>
      </c>
      <c r="J2670" s="204" t="s">
        <v>2276</v>
      </c>
      <c r="K2670" s="204" t="s">
        <v>2276</v>
      </c>
      <c r="L2670" s="204" t="s">
        <v>2276</v>
      </c>
      <c r="M2670" s="204" t="s">
        <v>2276</v>
      </c>
      <c r="N2670" s="204" t="s">
        <v>2276</v>
      </c>
      <c r="O2670" s="204" t="s">
        <v>2276</v>
      </c>
      <c r="P2670" s="204" t="s">
        <v>2276</v>
      </c>
      <c r="Q2670" s="204" t="s">
        <v>2276</v>
      </c>
      <c r="R2670" s="204" t="s">
        <v>2276</v>
      </c>
      <c r="S2670" s="204" t="s">
        <v>2276</v>
      </c>
      <c r="T2670" s="21">
        <f>550*0.075</f>
        <v>41.25</v>
      </c>
      <c r="U2670" s="204" t="s">
        <v>2276</v>
      </c>
      <c r="V2670" s="204" t="s">
        <v>2276</v>
      </c>
      <c r="W2670" s="204" t="s">
        <v>2276</v>
      </c>
      <c r="X2670" s="21">
        <f>T2670/'Record info'!K$1142</f>
        <v>9.5309611829944539E-3</v>
      </c>
      <c r="Y2670" s="204" t="s">
        <v>2276</v>
      </c>
      <c r="Z2670" s="204" t="s">
        <v>68</v>
      </c>
      <c r="AA2670" s="204" t="s">
        <v>86</v>
      </c>
      <c r="AB2670" s="204" t="s">
        <v>76</v>
      </c>
      <c r="AC2670" s="204"/>
      <c r="AD2670" s="204"/>
    </row>
    <row r="2671" spans="1:30" ht="29" customHeight="1">
      <c r="A2671" s="19" t="s">
        <v>7393</v>
      </c>
      <c r="B2671" s="19" t="s">
        <v>7446</v>
      </c>
      <c r="C2671" s="204" t="s">
        <v>24</v>
      </c>
      <c r="D2671" s="204" t="s">
        <v>1242</v>
      </c>
      <c r="E2671" s="204" t="s">
        <v>3209</v>
      </c>
      <c r="F2671" s="152" t="s">
        <v>2276</v>
      </c>
      <c r="G2671" s="152" t="s">
        <v>2276</v>
      </c>
      <c r="H2671" s="204" t="s">
        <v>523</v>
      </c>
      <c r="I2671" s="204">
        <v>2007</v>
      </c>
      <c r="J2671" s="204" t="s">
        <v>2276</v>
      </c>
      <c r="K2671" s="204" t="s">
        <v>2276</v>
      </c>
      <c r="L2671" s="204" t="s">
        <v>2276</v>
      </c>
      <c r="M2671" s="204" t="s">
        <v>2276</v>
      </c>
      <c r="N2671" s="204" t="s">
        <v>2276</v>
      </c>
      <c r="O2671" s="204" t="s">
        <v>2276</v>
      </c>
      <c r="P2671" s="204" t="s">
        <v>2276</v>
      </c>
      <c r="Q2671" s="204" t="s">
        <v>2276</v>
      </c>
      <c r="R2671" s="204" t="s">
        <v>2276</v>
      </c>
      <c r="S2671" s="204" t="s">
        <v>2276</v>
      </c>
      <c r="T2671" s="21">
        <f>550*0.111</f>
        <v>61.050000000000004</v>
      </c>
      <c r="U2671" s="204" t="s">
        <v>2276</v>
      </c>
      <c r="V2671" s="204" t="s">
        <v>2276</v>
      </c>
      <c r="W2671" s="204" t="s">
        <v>2276</v>
      </c>
      <c r="X2671" s="21">
        <f>T2671/'Record info'!K$1143</f>
        <v>2.549060542797495E-2</v>
      </c>
      <c r="Y2671" s="204" t="s">
        <v>2276</v>
      </c>
      <c r="Z2671" s="204" t="s">
        <v>68</v>
      </c>
      <c r="AA2671" s="204" t="s">
        <v>86</v>
      </c>
      <c r="AB2671" s="204" t="s">
        <v>76</v>
      </c>
      <c r="AC2671" s="204"/>
      <c r="AD2671" s="204"/>
    </row>
    <row r="2672" spans="1:30" ht="29" customHeight="1">
      <c r="A2672" s="19" t="s">
        <v>7394</v>
      </c>
      <c r="B2672" s="19" t="s">
        <v>7447</v>
      </c>
      <c r="C2672" s="204" t="s">
        <v>24</v>
      </c>
      <c r="D2672" s="204" t="s">
        <v>1242</v>
      </c>
      <c r="E2672" s="204" t="s">
        <v>3209</v>
      </c>
      <c r="F2672" s="152" t="s">
        <v>2276</v>
      </c>
      <c r="G2672" s="152" t="s">
        <v>2276</v>
      </c>
      <c r="H2672" s="204" t="s">
        <v>523</v>
      </c>
      <c r="I2672" s="204">
        <v>2007</v>
      </c>
      <c r="J2672" s="204" t="s">
        <v>2276</v>
      </c>
      <c r="K2672" s="204" t="s">
        <v>2276</v>
      </c>
      <c r="L2672" s="204" t="s">
        <v>2276</v>
      </c>
      <c r="M2672" s="204" t="s">
        <v>2276</v>
      </c>
      <c r="N2672" s="204" t="s">
        <v>2276</v>
      </c>
      <c r="O2672" s="204" t="s">
        <v>2276</v>
      </c>
      <c r="P2672" s="204" t="s">
        <v>2276</v>
      </c>
      <c r="Q2672" s="204" t="s">
        <v>2276</v>
      </c>
      <c r="R2672" s="204" t="s">
        <v>2276</v>
      </c>
      <c r="S2672" s="204" t="s">
        <v>2276</v>
      </c>
      <c r="T2672" s="21">
        <f>550*0.106</f>
        <v>58.3</v>
      </c>
      <c r="U2672" s="204" t="s">
        <v>2276</v>
      </c>
      <c r="V2672" s="204" t="s">
        <v>2276</v>
      </c>
      <c r="W2672" s="204" t="s">
        <v>2276</v>
      </c>
      <c r="X2672" s="21">
        <f>T2672/'Record info'!K$1144</f>
        <v>2.1810699588477367E-2</v>
      </c>
      <c r="Y2672" s="204" t="s">
        <v>2276</v>
      </c>
      <c r="Z2672" s="204" t="s">
        <v>68</v>
      </c>
      <c r="AA2672" s="204" t="s">
        <v>86</v>
      </c>
      <c r="AB2672" s="204" t="s">
        <v>76</v>
      </c>
      <c r="AC2672" s="204"/>
      <c r="AD2672" s="204"/>
    </row>
    <row r="2673" spans="1:30" ht="29" customHeight="1">
      <c r="A2673" s="19" t="s">
        <v>7395</v>
      </c>
      <c r="B2673" s="19" t="s">
        <v>7448</v>
      </c>
      <c r="C2673" s="204" t="s">
        <v>24</v>
      </c>
      <c r="D2673" s="204" t="s">
        <v>1242</v>
      </c>
      <c r="E2673" s="204" t="s">
        <v>3209</v>
      </c>
      <c r="F2673" s="152" t="s">
        <v>2276</v>
      </c>
      <c r="G2673" s="152" t="s">
        <v>2276</v>
      </c>
      <c r="H2673" s="204" t="s">
        <v>523</v>
      </c>
      <c r="I2673" s="204">
        <v>2007</v>
      </c>
      <c r="J2673" s="204" t="s">
        <v>2276</v>
      </c>
      <c r="K2673" s="204" t="s">
        <v>2276</v>
      </c>
      <c r="L2673" s="204" t="s">
        <v>2276</v>
      </c>
      <c r="M2673" s="204" t="s">
        <v>2276</v>
      </c>
      <c r="N2673" s="204" t="s">
        <v>2276</v>
      </c>
      <c r="O2673" s="204" t="s">
        <v>2276</v>
      </c>
      <c r="P2673" s="204" t="s">
        <v>2276</v>
      </c>
      <c r="Q2673" s="204" t="s">
        <v>2276</v>
      </c>
      <c r="R2673" s="204" t="s">
        <v>2276</v>
      </c>
      <c r="S2673" s="204" t="s">
        <v>2276</v>
      </c>
      <c r="T2673" s="21">
        <f>550*0.166</f>
        <v>91.300000000000011</v>
      </c>
      <c r="U2673" s="204" t="s">
        <v>2276</v>
      </c>
      <c r="V2673" s="204" t="s">
        <v>2276</v>
      </c>
      <c r="W2673" s="204" t="s">
        <v>2276</v>
      </c>
      <c r="X2673" s="21">
        <f>T2673/'Record info'!K$1145</f>
        <v>4.0487804878048789E-2</v>
      </c>
      <c r="Y2673" s="204" t="s">
        <v>2276</v>
      </c>
      <c r="Z2673" s="204" t="s">
        <v>68</v>
      </c>
      <c r="AA2673" s="204" t="s">
        <v>86</v>
      </c>
      <c r="AB2673" s="204" t="s">
        <v>76</v>
      </c>
      <c r="AC2673" s="204"/>
      <c r="AD2673" s="204"/>
    </row>
    <row r="2674" spans="1:30" ht="32" customHeight="1">
      <c r="A2674" s="19" t="s">
        <v>7293</v>
      </c>
      <c r="B2674" s="19" t="s">
        <v>7449</v>
      </c>
      <c r="C2674" s="204" t="s">
        <v>24</v>
      </c>
      <c r="D2674" s="204" t="s">
        <v>1242</v>
      </c>
      <c r="E2674" s="204" t="s">
        <v>3209</v>
      </c>
      <c r="F2674" s="152" t="s">
        <v>2276</v>
      </c>
      <c r="G2674" s="152" t="s">
        <v>2276</v>
      </c>
      <c r="H2674" s="204" t="s">
        <v>523</v>
      </c>
      <c r="I2674" s="204">
        <v>2008</v>
      </c>
      <c r="J2674" s="204" t="s">
        <v>2276</v>
      </c>
      <c r="K2674" s="204" t="s">
        <v>2276</v>
      </c>
      <c r="L2674" s="204" t="s">
        <v>2276</v>
      </c>
      <c r="M2674" s="204" t="s">
        <v>2276</v>
      </c>
      <c r="N2674" s="204" t="s">
        <v>2276</v>
      </c>
      <c r="O2674" s="204" t="s">
        <v>2276</v>
      </c>
      <c r="P2674" s="204" t="s">
        <v>2276</v>
      </c>
      <c r="Q2674" s="204" t="s">
        <v>2276</v>
      </c>
      <c r="R2674" s="204" t="s">
        <v>2276</v>
      </c>
      <c r="S2674" s="204" t="s">
        <v>2276</v>
      </c>
      <c r="T2674" s="21">
        <f>950*0.027</f>
        <v>25.65</v>
      </c>
      <c r="U2674" s="204" t="s">
        <v>2276</v>
      </c>
      <c r="V2674" s="204" t="s">
        <v>2276</v>
      </c>
      <c r="W2674" s="204" t="s">
        <v>2276</v>
      </c>
      <c r="X2674" s="21">
        <f>T2674/'Record info'!K$1128</f>
        <v>9.1607142857142859E-3</v>
      </c>
      <c r="Y2674" s="204" t="s">
        <v>2276</v>
      </c>
      <c r="Z2674" s="204" t="s">
        <v>68</v>
      </c>
      <c r="AA2674" s="204" t="s">
        <v>86</v>
      </c>
      <c r="AB2674" s="204" t="s">
        <v>76</v>
      </c>
      <c r="AC2674" s="204"/>
      <c r="AD2674" s="204"/>
    </row>
    <row r="2675" spans="1:30" ht="32" customHeight="1">
      <c r="A2675" s="19" t="s">
        <v>7379</v>
      </c>
      <c r="B2675" s="19" t="s">
        <v>7450</v>
      </c>
      <c r="C2675" s="204" t="s">
        <v>24</v>
      </c>
      <c r="D2675" s="204" t="s">
        <v>1242</v>
      </c>
      <c r="E2675" s="204" t="s">
        <v>3209</v>
      </c>
      <c r="F2675" s="152" t="s">
        <v>2276</v>
      </c>
      <c r="G2675" s="152" t="s">
        <v>2276</v>
      </c>
      <c r="H2675" s="204" t="s">
        <v>523</v>
      </c>
      <c r="I2675" s="204">
        <v>2008</v>
      </c>
      <c r="J2675" s="204" t="s">
        <v>2276</v>
      </c>
      <c r="K2675" s="204" t="s">
        <v>2276</v>
      </c>
      <c r="L2675" s="204" t="s">
        <v>2276</v>
      </c>
      <c r="M2675" s="204" t="s">
        <v>2276</v>
      </c>
      <c r="N2675" s="204" t="s">
        <v>2276</v>
      </c>
      <c r="O2675" s="204" t="s">
        <v>2276</v>
      </c>
      <c r="P2675" s="204" t="s">
        <v>2276</v>
      </c>
      <c r="Q2675" s="204" t="s">
        <v>2276</v>
      </c>
      <c r="R2675" s="204" t="s">
        <v>2276</v>
      </c>
      <c r="S2675" s="204" t="s">
        <v>2276</v>
      </c>
      <c r="T2675" s="21">
        <f>950*0.041</f>
        <v>38.950000000000003</v>
      </c>
      <c r="U2675" s="204" t="s">
        <v>2276</v>
      </c>
      <c r="V2675" s="204" t="s">
        <v>2276</v>
      </c>
      <c r="W2675" s="204" t="s">
        <v>2276</v>
      </c>
      <c r="X2675" s="21">
        <f>T2675/'Record info'!K$1129</f>
        <v>1.1081081081081082E-2</v>
      </c>
      <c r="Y2675" s="204" t="s">
        <v>2276</v>
      </c>
      <c r="Z2675" s="204" t="s">
        <v>68</v>
      </c>
      <c r="AA2675" s="204" t="s">
        <v>86</v>
      </c>
      <c r="AB2675" s="204" t="s">
        <v>76</v>
      </c>
      <c r="AC2675" s="204"/>
      <c r="AD2675" s="204"/>
    </row>
    <row r="2676" spans="1:30" ht="32" customHeight="1">
      <c r="A2676" s="19" t="s">
        <v>7380</v>
      </c>
      <c r="B2676" s="19" t="s">
        <v>7451</v>
      </c>
      <c r="C2676" s="204" t="s">
        <v>24</v>
      </c>
      <c r="D2676" s="204" t="s">
        <v>1242</v>
      </c>
      <c r="E2676" s="204" t="s">
        <v>3209</v>
      </c>
      <c r="F2676" s="152" t="s">
        <v>2276</v>
      </c>
      <c r="G2676" s="152" t="s">
        <v>2276</v>
      </c>
      <c r="H2676" s="204" t="s">
        <v>523</v>
      </c>
      <c r="I2676" s="204">
        <v>2008</v>
      </c>
      <c r="J2676" s="204" t="s">
        <v>2276</v>
      </c>
      <c r="K2676" s="204" t="s">
        <v>2276</v>
      </c>
      <c r="L2676" s="204" t="s">
        <v>2276</v>
      </c>
      <c r="M2676" s="204" t="s">
        <v>2276</v>
      </c>
      <c r="N2676" s="204" t="s">
        <v>2276</v>
      </c>
      <c r="O2676" s="204" t="s">
        <v>2276</v>
      </c>
      <c r="P2676" s="204" t="s">
        <v>2276</v>
      </c>
      <c r="Q2676" s="204" t="s">
        <v>2276</v>
      </c>
      <c r="R2676" s="204" t="s">
        <v>2276</v>
      </c>
      <c r="S2676" s="204" t="s">
        <v>2276</v>
      </c>
      <c r="T2676" s="21">
        <f>950*0.004</f>
        <v>3.8000000000000003</v>
      </c>
      <c r="U2676" s="204" t="s">
        <v>2276</v>
      </c>
      <c r="V2676" s="204" t="s">
        <v>2276</v>
      </c>
      <c r="W2676" s="204" t="s">
        <v>2276</v>
      </c>
      <c r="X2676" s="21">
        <f>T2676/'Record info'!K$1130</f>
        <v>5.6321327997628577E-4</v>
      </c>
      <c r="Y2676" s="204" t="s">
        <v>2276</v>
      </c>
      <c r="Z2676" s="204" t="s">
        <v>68</v>
      </c>
      <c r="AA2676" s="204" t="s">
        <v>86</v>
      </c>
      <c r="AB2676" s="204" t="s">
        <v>76</v>
      </c>
      <c r="AC2676" s="204"/>
      <c r="AD2676" s="204"/>
    </row>
    <row r="2677" spans="1:30" ht="32" customHeight="1">
      <c r="A2677" s="19" t="s">
        <v>7381</v>
      </c>
      <c r="B2677" s="19" t="s">
        <v>7452</v>
      </c>
      <c r="C2677" s="204" t="s">
        <v>24</v>
      </c>
      <c r="D2677" s="204" t="s">
        <v>1242</v>
      </c>
      <c r="E2677" s="204" t="s">
        <v>3209</v>
      </c>
      <c r="F2677" s="152" t="s">
        <v>2276</v>
      </c>
      <c r="G2677" s="152" t="s">
        <v>2276</v>
      </c>
      <c r="H2677" s="204" t="s">
        <v>523</v>
      </c>
      <c r="I2677" s="204">
        <v>2008</v>
      </c>
      <c r="J2677" s="204" t="s">
        <v>2276</v>
      </c>
      <c r="K2677" s="204" t="s">
        <v>2276</v>
      </c>
      <c r="L2677" s="204" t="s">
        <v>2276</v>
      </c>
      <c r="M2677" s="204" t="s">
        <v>2276</v>
      </c>
      <c r="N2677" s="204" t="s">
        <v>2276</v>
      </c>
      <c r="O2677" s="204" t="s">
        <v>2276</v>
      </c>
      <c r="P2677" s="204" t="s">
        <v>2276</v>
      </c>
      <c r="Q2677" s="204" t="s">
        <v>2276</v>
      </c>
      <c r="R2677" s="204" t="s">
        <v>2276</v>
      </c>
      <c r="S2677" s="204" t="s">
        <v>2276</v>
      </c>
      <c r="T2677" s="21">
        <f>950*0.004</f>
        <v>3.8000000000000003</v>
      </c>
      <c r="U2677" s="204" t="s">
        <v>2276</v>
      </c>
      <c r="V2677" s="204" t="s">
        <v>2276</v>
      </c>
      <c r="W2677" s="204" t="s">
        <v>2276</v>
      </c>
      <c r="X2677" s="21">
        <f>T2677/'Record info'!K$1131</f>
        <v>7.50394944707741E-4</v>
      </c>
      <c r="Y2677" s="204" t="s">
        <v>2276</v>
      </c>
      <c r="Z2677" s="204" t="s">
        <v>68</v>
      </c>
      <c r="AA2677" s="204" t="s">
        <v>86</v>
      </c>
      <c r="AB2677" s="204" t="s">
        <v>76</v>
      </c>
      <c r="AC2677" s="204"/>
      <c r="AD2677" s="204"/>
    </row>
    <row r="2678" spans="1:30" ht="32" customHeight="1">
      <c r="A2678" s="19" t="s">
        <v>7382</v>
      </c>
      <c r="B2678" s="19" t="s">
        <v>7453</v>
      </c>
      <c r="C2678" s="204" t="s">
        <v>24</v>
      </c>
      <c r="D2678" s="204" t="s">
        <v>1242</v>
      </c>
      <c r="E2678" s="204" t="s">
        <v>3209</v>
      </c>
      <c r="F2678" s="152" t="s">
        <v>2276</v>
      </c>
      <c r="G2678" s="152" t="s">
        <v>2276</v>
      </c>
      <c r="H2678" s="204" t="s">
        <v>524</v>
      </c>
      <c r="I2678" s="204">
        <v>2008</v>
      </c>
      <c r="J2678" s="21">
        <v>0</v>
      </c>
      <c r="K2678" s="21">
        <v>0</v>
      </c>
      <c r="L2678" s="21">
        <v>0</v>
      </c>
      <c r="M2678" s="21">
        <v>0</v>
      </c>
      <c r="N2678" s="21">
        <v>0</v>
      </c>
      <c r="O2678" s="21">
        <v>0</v>
      </c>
      <c r="P2678" s="21">
        <v>0</v>
      </c>
      <c r="Q2678" s="21">
        <v>0</v>
      </c>
      <c r="R2678" s="21">
        <v>0</v>
      </c>
      <c r="S2678" s="21">
        <v>0</v>
      </c>
      <c r="T2678" s="21">
        <v>0</v>
      </c>
      <c r="U2678" s="21">
        <v>0</v>
      </c>
      <c r="V2678" s="21">
        <v>0</v>
      </c>
      <c r="W2678" s="21">
        <v>0</v>
      </c>
      <c r="X2678" s="21">
        <f>T2678/'Record info'!K$1132</f>
        <v>0</v>
      </c>
      <c r="Y2678" s="204" t="s">
        <v>2276</v>
      </c>
      <c r="Z2678" s="204" t="s">
        <v>68</v>
      </c>
      <c r="AA2678" s="204" t="s">
        <v>86</v>
      </c>
      <c r="AB2678" s="204" t="s">
        <v>76</v>
      </c>
      <c r="AC2678" s="204"/>
      <c r="AD2678" s="204"/>
    </row>
    <row r="2679" spans="1:30" ht="32" customHeight="1">
      <c r="A2679" s="19" t="s">
        <v>7383</v>
      </c>
      <c r="B2679" s="19" t="s">
        <v>7454</v>
      </c>
      <c r="C2679" s="204" t="s">
        <v>24</v>
      </c>
      <c r="D2679" s="204" t="s">
        <v>1242</v>
      </c>
      <c r="E2679" s="204" t="s">
        <v>3209</v>
      </c>
      <c r="F2679" s="152" t="s">
        <v>2276</v>
      </c>
      <c r="G2679" s="152" t="s">
        <v>2276</v>
      </c>
      <c r="H2679" s="204" t="s">
        <v>524</v>
      </c>
      <c r="I2679" s="204">
        <v>2008</v>
      </c>
      <c r="J2679" s="21">
        <v>0</v>
      </c>
      <c r="K2679" s="21">
        <v>0</v>
      </c>
      <c r="L2679" s="21">
        <v>0</v>
      </c>
      <c r="M2679" s="21">
        <v>0</v>
      </c>
      <c r="N2679" s="21">
        <v>0</v>
      </c>
      <c r="O2679" s="21">
        <v>0</v>
      </c>
      <c r="P2679" s="21">
        <v>0</v>
      </c>
      <c r="Q2679" s="21">
        <v>0</v>
      </c>
      <c r="R2679" s="21">
        <v>0</v>
      </c>
      <c r="S2679" s="21">
        <v>0</v>
      </c>
      <c r="T2679" s="21">
        <v>0</v>
      </c>
      <c r="U2679" s="21">
        <v>0</v>
      </c>
      <c r="V2679" s="21">
        <v>0</v>
      </c>
      <c r="W2679" s="21">
        <v>0</v>
      </c>
      <c r="X2679" s="21">
        <f>T2679/'Record info'!K$1133</f>
        <v>0</v>
      </c>
      <c r="Y2679" s="204" t="s">
        <v>2276</v>
      </c>
      <c r="Z2679" s="204" t="s">
        <v>68</v>
      </c>
      <c r="AA2679" s="204" t="s">
        <v>86</v>
      </c>
      <c r="AB2679" s="204" t="s">
        <v>76</v>
      </c>
      <c r="AC2679" s="204"/>
      <c r="AD2679" s="204"/>
    </row>
    <row r="2680" spans="1:30" ht="32" customHeight="1">
      <c r="A2680" s="19" t="s">
        <v>7384</v>
      </c>
      <c r="B2680" s="19" t="s">
        <v>7455</v>
      </c>
      <c r="C2680" s="204" t="s">
        <v>24</v>
      </c>
      <c r="D2680" s="204" t="s">
        <v>1242</v>
      </c>
      <c r="E2680" s="204" t="s">
        <v>3209</v>
      </c>
      <c r="F2680" s="152" t="s">
        <v>2276</v>
      </c>
      <c r="G2680" s="152" t="s">
        <v>2276</v>
      </c>
      <c r="H2680" s="204" t="s">
        <v>524</v>
      </c>
      <c r="I2680" s="204">
        <v>2008</v>
      </c>
      <c r="J2680" s="21">
        <v>0</v>
      </c>
      <c r="K2680" s="21">
        <v>0</v>
      </c>
      <c r="L2680" s="21">
        <v>0</v>
      </c>
      <c r="M2680" s="21">
        <v>0</v>
      </c>
      <c r="N2680" s="21">
        <v>0</v>
      </c>
      <c r="O2680" s="21">
        <v>0</v>
      </c>
      <c r="P2680" s="21">
        <v>0</v>
      </c>
      <c r="Q2680" s="21">
        <v>0</v>
      </c>
      <c r="R2680" s="21">
        <v>0</v>
      </c>
      <c r="S2680" s="21">
        <v>0</v>
      </c>
      <c r="T2680" s="21">
        <v>0</v>
      </c>
      <c r="U2680" s="21">
        <v>0</v>
      </c>
      <c r="V2680" s="21">
        <v>0</v>
      </c>
      <c r="W2680" s="21">
        <v>0</v>
      </c>
      <c r="X2680" s="21">
        <f>T2680/'Record info'!K$1134</f>
        <v>0</v>
      </c>
      <c r="Y2680" s="204" t="s">
        <v>2276</v>
      </c>
      <c r="Z2680" s="204" t="s">
        <v>68</v>
      </c>
      <c r="AA2680" s="204" t="s">
        <v>86</v>
      </c>
      <c r="AB2680" s="204" t="s">
        <v>76</v>
      </c>
      <c r="AC2680" s="204"/>
      <c r="AD2680" s="204"/>
    </row>
    <row r="2681" spans="1:30" ht="32" customHeight="1">
      <c r="A2681" s="19" t="s">
        <v>7385</v>
      </c>
      <c r="B2681" s="19" t="s">
        <v>7456</v>
      </c>
      <c r="C2681" s="204" t="s">
        <v>24</v>
      </c>
      <c r="D2681" s="204" t="s">
        <v>1242</v>
      </c>
      <c r="E2681" s="204" t="s">
        <v>3209</v>
      </c>
      <c r="F2681" s="152" t="s">
        <v>2276</v>
      </c>
      <c r="G2681" s="152" t="s">
        <v>2276</v>
      </c>
      <c r="H2681" s="204" t="s">
        <v>523</v>
      </c>
      <c r="I2681" s="204">
        <v>2008</v>
      </c>
      <c r="J2681" s="204" t="s">
        <v>2276</v>
      </c>
      <c r="K2681" s="204" t="s">
        <v>2276</v>
      </c>
      <c r="L2681" s="204" t="s">
        <v>2276</v>
      </c>
      <c r="M2681" s="204" t="s">
        <v>2276</v>
      </c>
      <c r="N2681" s="204" t="s">
        <v>2276</v>
      </c>
      <c r="O2681" s="204" t="s">
        <v>2276</v>
      </c>
      <c r="P2681" s="204" t="s">
        <v>2276</v>
      </c>
      <c r="Q2681" s="204" t="s">
        <v>2276</v>
      </c>
      <c r="R2681" s="204" t="s">
        <v>2276</v>
      </c>
      <c r="S2681" s="204" t="s">
        <v>2276</v>
      </c>
      <c r="T2681" s="21">
        <f>950*0.035</f>
        <v>33.25</v>
      </c>
      <c r="U2681" s="204" t="s">
        <v>2276</v>
      </c>
      <c r="V2681" s="204" t="s">
        <v>2276</v>
      </c>
      <c r="W2681" s="204" t="s">
        <v>2276</v>
      </c>
      <c r="X2681" s="21">
        <f>T2681/'Record info'!K$1135</f>
        <v>5.4822753503709814E-3</v>
      </c>
      <c r="Y2681" s="204" t="s">
        <v>2276</v>
      </c>
      <c r="Z2681" s="204" t="s">
        <v>68</v>
      </c>
      <c r="AA2681" s="204" t="s">
        <v>86</v>
      </c>
      <c r="AB2681" s="204" t="s">
        <v>76</v>
      </c>
      <c r="AC2681" s="204"/>
      <c r="AD2681" s="204"/>
    </row>
    <row r="2682" spans="1:30" ht="32" customHeight="1">
      <c r="A2682" s="19" t="s">
        <v>7386</v>
      </c>
      <c r="B2682" s="19" t="s">
        <v>7457</v>
      </c>
      <c r="C2682" s="204" t="s">
        <v>24</v>
      </c>
      <c r="D2682" s="204" t="s">
        <v>1242</v>
      </c>
      <c r="E2682" s="204" t="s">
        <v>3209</v>
      </c>
      <c r="F2682" s="152" t="s">
        <v>2276</v>
      </c>
      <c r="G2682" s="152" t="s">
        <v>2276</v>
      </c>
      <c r="H2682" s="204" t="s">
        <v>523</v>
      </c>
      <c r="I2682" s="204">
        <v>2008</v>
      </c>
      <c r="J2682" s="204" t="s">
        <v>2276</v>
      </c>
      <c r="K2682" s="204" t="s">
        <v>2276</v>
      </c>
      <c r="L2682" s="204" t="s">
        <v>2276</v>
      </c>
      <c r="M2682" s="204" t="s">
        <v>2276</v>
      </c>
      <c r="N2682" s="204" t="s">
        <v>2276</v>
      </c>
      <c r="O2682" s="204" t="s">
        <v>2276</v>
      </c>
      <c r="P2682" s="204" t="s">
        <v>2276</v>
      </c>
      <c r="Q2682" s="204" t="s">
        <v>2276</v>
      </c>
      <c r="R2682" s="204" t="s">
        <v>2276</v>
      </c>
      <c r="S2682" s="204" t="s">
        <v>2276</v>
      </c>
      <c r="T2682" s="21">
        <f>950*0.079</f>
        <v>75.05</v>
      </c>
      <c r="U2682" s="204" t="s">
        <v>2276</v>
      </c>
      <c r="V2682" s="204" t="s">
        <v>2276</v>
      </c>
      <c r="W2682" s="204" t="s">
        <v>2276</v>
      </c>
      <c r="X2682" s="21">
        <f>T2682/'Record info'!K$1136</f>
        <v>1.1243445692883894E-2</v>
      </c>
      <c r="Y2682" s="204" t="s">
        <v>2276</v>
      </c>
      <c r="Z2682" s="204" t="s">
        <v>68</v>
      </c>
      <c r="AA2682" s="204" t="s">
        <v>86</v>
      </c>
      <c r="AB2682" s="204" t="s">
        <v>76</v>
      </c>
      <c r="AC2682" s="204"/>
      <c r="AD2682" s="204"/>
    </row>
    <row r="2683" spans="1:30" ht="32" customHeight="1">
      <c r="A2683" s="19" t="s">
        <v>7387</v>
      </c>
      <c r="B2683" s="19" t="s">
        <v>7458</v>
      </c>
      <c r="C2683" s="204" t="s">
        <v>24</v>
      </c>
      <c r="D2683" s="204" t="s">
        <v>1242</v>
      </c>
      <c r="E2683" s="204" t="s">
        <v>3209</v>
      </c>
      <c r="F2683" s="152" t="s">
        <v>2276</v>
      </c>
      <c r="G2683" s="152" t="s">
        <v>2276</v>
      </c>
      <c r="H2683" s="204" t="s">
        <v>523</v>
      </c>
      <c r="I2683" s="204">
        <v>2008</v>
      </c>
      <c r="J2683" s="204" t="s">
        <v>2276</v>
      </c>
      <c r="K2683" s="204" t="s">
        <v>2276</v>
      </c>
      <c r="L2683" s="204" t="s">
        <v>2276</v>
      </c>
      <c r="M2683" s="204" t="s">
        <v>2276</v>
      </c>
      <c r="N2683" s="204" t="s">
        <v>2276</v>
      </c>
      <c r="O2683" s="204" t="s">
        <v>2276</v>
      </c>
      <c r="P2683" s="204" t="s">
        <v>2276</v>
      </c>
      <c r="Q2683" s="204" t="s">
        <v>2276</v>
      </c>
      <c r="R2683" s="204" t="s">
        <v>2276</v>
      </c>
      <c r="S2683" s="204" t="s">
        <v>2276</v>
      </c>
      <c r="T2683" s="21">
        <f>950*0.132</f>
        <v>125.4</v>
      </c>
      <c r="U2683" s="204" t="s">
        <v>2276</v>
      </c>
      <c r="V2683" s="204" t="s">
        <v>2276</v>
      </c>
      <c r="W2683" s="204" t="s">
        <v>2276</v>
      </c>
      <c r="X2683" s="21">
        <f>T2683/'Record info'!K$1137</f>
        <v>2.2725625226531352E-2</v>
      </c>
      <c r="Y2683" s="204" t="s">
        <v>2276</v>
      </c>
      <c r="Z2683" s="204" t="s">
        <v>68</v>
      </c>
      <c r="AA2683" s="204" t="s">
        <v>86</v>
      </c>
      <c r="AB2683" s="204" t="s">
        <v>76</v>
      </c>
      <c r="AC2683" s="204"/>
      <c r="AD2683" s="204"/>
    </row>
    <row r="2684" spans="1:30" ht="32" customHeight="1">
      <c r="A2684" s="19" t="s">
        <v>7388</v>
      </c>
      <c r="B2684" s="19" t="s">
        <v>7459</v>
      </c>
      <c r="C2684" s="204" t="s">
        <v>24</v>
      </c>
      <c r="D2684" s="204" t="s">
        <v>1242</v>
      </c>
      <c r="E2684" s="204" t="s">
        <v>3209</v>
      </c>
      <c r="F2684" s="152" t="s">
        <v>2276</v>
      </c>
      <c r="G2684" s="152" t="s">
        <v>2276</v>
      </c>
      <c r="H2684" s="204" t="s">
        <v>523</v>
      </c>
      <c r="I2684" s="204">
        <v>2008</v>
      </c>
      <c r="J2684" s="204" t="s">
        <v>2276</v>
      </c>
      <c r="K2684" s="204" t="s">
        <v>2276</v>
      </c>
      <c r="L2684" s="204" t="s">
        <v>2276</v>
      </c>
      <c r="M2684" s="204" t="s">
        <v>2276</v>
      </c>
      <c r="N2684" s="204" t="s">
        <v>2276</v>
      </c>
      <c r="O2684" s="204" t="s">
        <v>2276</v>
      </c>
      <c r="P2684" s="204" t="s">
        <v>2276</v>
      </c>
      <c r="Q2684" s="204" t="s">
        <v>2276</v>
      </c>
      <c r="R2684" s="204" t="s">
        <v>2276</v>
      </c>
      <c r="S2684" s="204" t="s">
        <v>2276</v>
      </c>
      <c r="T2684" s="21">
        <f>950*0.057</f>
        <v>54.15</v>
      </c>
      <c r="U2684" s="204" t="s">
        <v>2276</v>
      </c>
      <c r="V2684" s="204" t="s">
        <v>2276</v>
      </c>
      <c r="W2684" s="204" t="s">
        <v>2276</v>
      </c>
      <c r="X2684" s="21">
        <f>T2684/'Record info'!K$1138</f>
        <v>1.3719280466176842E-2</v>
      </c>
      <c r="Y2684" s="204" t="s">
        <v>2276</v>
      </c>
      <c r="Z2684" s="204" t="s">
        <v>68</v>
      </c>
      <c r="AA2684" s="204" t="s">
        <v>86</v>
      </c>
      <c r="AB2684" s="204" t="s">
        <v>76</v>
      </c>
      <c r="AC2684" s="204"/>
      <c r="AD2684" s="204"/>
    </row>
    <row r="2685" spans="1:30" ht="32" customHeight="1">
      <c r="A2685" s="19" t="s">
        <v>7389</v>
      </c>
      <c r="B2685" s="19" t="s">
        <v>7460</v>
      </c>
      <c r="C2685" s="204" t="s">
        <v>24</v>
      </c>
      <c r="D2685" s="204" t="s">
        <v>1242</v>
      </c>
      <c r="E2685" s="204" t="s">
        <v>3209</v>
      </c>
      <c r="F2685" s="152" t="s">
        <v>2276</v>
      </c>
      <c r="G2685" s="152" t="s">
        <v>2276</v>
      </c>
      <c r="H2685" s="204" t="s">
        <v>523</v>
      </c>
      <c r="I2685" s="204">
        <v>2008</v>
      </c>
      <c r="J2685" s="204" t="s">
        <v>2276</v>
      </c>
      <c r="K2685" s="204" t="s">
        <v>2276</v>
      </c>
      <c r="L2685" s="204" t="s">
        <v>2276</v>
      </c>
      <c r="M2685" s="204" t="s">
        <v>2276</v>
      </c>
      <c r="N2685" s="204" t="s">
        <v>2276</v>
      </c>
      <c r="O2685" s="204" t="s">
        <v>2276</v>
      </c>
      <c r="P2685" s="204" t="s">
        <v>2276</v>
      </c>
      <c r="Q2685" s="204" t="s">
        <v>2276</v>
      </c>
      <c r="R2685" s="204" t="s">
        <v>2276</v>
      </c>
      <c r="S2685" s="204" t="s">
        <v>2276</v>
      </c>
      <c r="T2685" s="21">
        <f>950*0.024</f>
        <v>22.8</v>
      </c>
      <c r="U2685" s="204" t="s">
        <v>2276</v>
      </c>
      <c r="V2685" s="204" t="s">
        <v>2276</v>
      </c>
      <c r="W2685" s="204" t="s">
        <v>2276</v>
      </c>
      <c r="X2685" s="21">
        <f>T2685/'Record info'!K$1139</f>
        <v>8.1196581196581203E-3</v>
      </c>
      <c r="Y2685" s="204" t="s">
        <v>2276</v>
      </c>
      <c r="Z2685" s="204" t="s">
        <v>68</v>
      </c>
      <c r="AA2685" s="204" t="s">
        <v>86</v>
      </c>
      <c r="AB2685" s="204" t="s">
        <v>76</v>
      </c>
      <c r="AC2685" s="204"/>
      <c r="AD2685" s="204"/>
    </row>
    <row r="2686" spans="1:30" ht="32" customHeight="1">
      <c r="A2686" s="19" t="s">
        <v>7390</v>
      </c>
      <c r="B2686" s="19" t="s">
        <v>7461</v>
      </c>
      <c r="C2686" s="204" t="s">
        <v>24</v>
      </c>
      <c r="D2686" s="204" t="s">
        <v>1242</v>
      </c>
      <c r="E2686" s="204" t="s">
        <v>3209</v>
      </c>
      <c r="F2686" s="152" t="s">
        <v>2276</v>
      </c>
      <c r="G2686" s="152" t="s">
        <v>2276</v>
      </c>
      <c r="H2686" s="204" t="s">
        <v>523</v>
      </c>
      <c r="I2686" s="204">
        <v>2008</v>
      </c>
      <c r="J2686" s="204" t="s">
        <v>2276</v>
      </c>
      <c r="K2686" s="204" t="s">
        <v>2276</v>
      </c>
      <c r="L2686" s="204" t="s">
        <v>2276</v>
      </c>
      <c r="M2686" s="204" t="s">
        <v>2276</v>
      </c>
      <c r="N2686" s="204" t="s">
        <v>2276</v>
      </c>
      <c r="O2686" s="204" t="s">
        <v>2276</v>
      </c>
      <c r="P2686" s="204" t="s">
        <v>2276</v>
      </c>
      <c r="Q2686" s="204" t="s">
        <v>2276</v>
      </c>
      <c r="R2686" s="204" t="s">
        <v>2276</v>
      </c>
      <c r="S2686" s="204" t="s">
        <v>2276</v>
      </c>
      <c r="T2686" s="21">
        <f>950*0.072</f>
        <v>68.399999999999991</v>
      </c>
      <c r="U2686" s="204" t="s">
        <v>2276</v>
      </c>
      <c r="V2686" s="204" t="s">
        <v>2276</v>
      </c>
      <c r="W2686" s="204" t="s">
        <v>2276</v>
      </c>
      <c r="X2686" s="21">
        <f>T2686/'Record info'!K$1140</f>
        <v>1.3660874775314557E-2</v>
      </c>
      <c r="Y2686" s="204" t="s">
        <v>2276</v>
      </c>
      <c r="Z2686" s="204" t="s">
        <v>68</v>
      </c>
      <c r="AA2686" s="204" t="s">
        <v>86</v>
      </c>
      <c r="AB2686" s="204" t="s">
        <v>76</v>
      </c>
      <c r="AC2686" s="204"/>
      <c r="AD2686" s="204"/>
    </row>
    <row r="2687" spans="1:30" ht="32" customHeight="1">
      <c r="A2687" s="19" t="s">
        <v>7391</v>
      </c>
      <c r="B2687" s="19" t="s">
        <v>7462</v>
      </c>
      <c r="C2687" s="204" t="s">
        <v>24</v>
      </c>
      <c r="D2687" s="204" t="s">
        <v>1242</v>
      </c>
      <c r="E2687" s="204" t="s">
        <v>3209</v>
      </c>
      <c r="F2687" s="152" t="s">
        <v>2276</v>
      </c>
      <c r="G2687" s="152" t="s">
        <v>2276</v>
      </c>
      <c r="H2687" s="204" t="s">
        <v>523</v>
      </c>
      <c r="I2687" s="204">
        <v>2008</v>
      </c>
      <c r="J2687" s="204" t="s">
        <v>2276</v>
      </c>
      <c r="K2687" s="204" t="s">
        <v>2276</v>
      </c>
      <c r="L2687" s="204" t="s">
        <v>2276</v>
      </c>
      <c r="M2687" s="204" t="s">
        <v>2276</v>
      </c>
      <c r="N2687" s="204" t="s">
        <v>2276</v>
      </c>
      <c r="O2687" s="204" t="s">
        <v>2276</v>
      </c>
      <c r="P2687" s="204" t="s">
        <v>2276</v>
      </c>
      <c r="Q2687" s="204" t="s">
        <v>2276</v>
      </c>
      <c r="R2687" s="204" t="s">
        <v>2276</v>
      </c>
      <c r="S2687" s="204" t="s">
        <v>2276</v>
      </c>
      <c r="T2687" s="21">
        <f>950*0.068</f>
        <v>64.600000000000009</v>
      </c>
      <c r="U2687" s="204" t="s">
        <v>2276</v>
      </c>
      <c r="V2687" s="204" t="s">
        <v>2276</v>
      </c>
      <c r="W2687" s="204" t="s">
        <v>2276</v>
      </c>
      <c r="X2687" s="21">
        <f>T2687/'Record info'!K$1141</f>
        <v>5.5025553662691656E-2</v>
      </c>
      <c r="Y2687" s="204" t="s">
        <v>2276</v>
      </c>
      <c r="Z2687" s="204" t="s">
        <v>68</v>
      </c>
      <c r="AA2687" s="204" t="s">
        <v>86</v>
      </c>
      <c r="AB2687" s="204" t="s">
        <v>76</v>
      </c>
      <c r="AC2687" s="204"/>
      <c r="AD2687" s="204"/>
    </row>
    <row r="2688" spans="1:30" ht="32" customHeight="1">
      <c r="A2688" s="19" t="s">
        <v>7392</v>
      </c>
      <c r="B2688" s="19" t="s">
        <v>7463</v>
      </c>
      <c r="C2688" s="204" t="s">
        <v>24</v>
      </c>
      <c r="D2688" s="204" t="s">
        <v>1242</v>
      </c>
      <c r="E2688" s="204" t="s">
        <v>3209</v>
      </c>
      <c r="F2688" s="152" t="s">
        <v>2276</v>
      </c>
      <c r="G2688" s="152" t="s">
        <v>2276</v>
      </c>
      <c r="H2688" s="204" t="s">
        <v>523</v>
      </c>
      <c r="I2688" s="204">
        <v>2008</v>
      </c>
      <c r="J2688" s="204" t="s">
        <v>2276</v>
      </c>
      <c r="K2688" s="204" t="s">
        <v>2276</v>
      </c>
      <c r="L2688" s="204" t="s">
        <v>2276</v>
      </c>
      <c r="M2688" s="204" t="s">
        <v>2276</v>
      </c>
      <c r="N2688" s="204" t="s">
        <v>2276</v>
      </c>
      <c r="O2688" s="204" t="s">
        <v>2276</v>
      </c>
      <c r="P2688" s="204" t="s">
        <v>2276</v>
      </c>
      <c r="Q2688" s="204" t="s">
        <v>2276</v>
      </c>
      <c r="R2688" s="204" t="s">
        <v>2276</v>
      </c>
      <c r="S2688" s="204" t="s">
        <v>2276</v>
      </c>
      <c r="T2688" s="21">
        <f>950*0.075</f>
        <v>71.25</v>
      </c>
      <c r="U2688" s="204" t="s">
        <v>2276</v>
      </c>
      <c r="V2688" s="204" t="s">
        <v>2276</v>
      </c>
      <c r="W2688" s="204" t="s">
        <v>2276</v>
      </c>
      <c r="X2688" s="21">
        <f>T2688/'Record info'!K$1142</f>
        <v>1.6462569316081331E-2</v>
      </c>
      <c r="Y2688" s="204" t="s">
        <v>2276</v>
      </c>
      <c r="Z2688" s="204" t="s">
        <v>68</v>
      </c>
      <c r="AA2688" s="204" t="s">
        <v>86</v>
      </c>
      <c r="AB2688" s="204" t="s">
        <v>76</v>
      </c>
      <c r="AC2688" s="204"/>
      <c r="AD2688" s="204"/>
    </row>
    <row r="2689" spans="1:30" ht="32" customHeight="1">
      <c r="A2689" s="19" t="s">
        <v>7393</v>
      </c>
      <c r="B2689" s="19" t="s">
        <v>7464</v>
      </c>
      <c r="C2689" s="204" t="s">
        <v>24</v>
      </c>
      <c r="D2689" s="204" t="s">
        <v>1242</v>
      </c>
      <c r="E2689" s="204" t="s">
        <v>3209</v>
      </c>
      <c r="F2689" s="152" t="s">
        <v>2276</v>
      </c>
      <c r="G2689" s="152" t="s">
        <v>2276</v>
      </c>
      <c r="H2689" s="204" t="s">
        <v>523</v>
      </c>
      <c r="I2689" s="204">
        <v>2008</v>
      </c>
      <c r="J2689" s="204" t="s">
        <v>2276</v>
      </c>
      <c r="K2689" s="204" t="s">
        <v>2276</v>
      </c>
      <c r="L2689" s="204" t="s">
        <v>2276</v>
      </c>
      <c r="M2689" s="204" t="s">
        <v>2276</v>
      </c>
      <c r="N2689" s="204" t="s">
        <v>2276</v>
      </c>
      <c r="O2689" s="204" t="s">
        <v>2276</v>
      </c>
      <c r="P2689" s="204" t="s">
        <v>2276</v>
      </c>
      <c r="Q2689" s="204" t="s">
        <v>2276</v>
      </c>
      <c r="R2689" s="204" t="s">
        <v>2276</v>
      </c>
      <c r="S2689" s="204" t="s">
        <v>2276</v>
      </c>
      <c r="T2689" s="21">
        <f>950*0.111</f>
        <v>105.45</v>
      </c>
      <c r="U2689" s="204" t="s">
        <v>2276</v>
      </c>
      <c r="V2689" s="204" t="s">
        <v>2276</v>
      </c>
      <c r="W2689" s="204" t="s">
        <v>2276</v>
      </c>
      <c r="X2689" s="21">
        <f>T2689/'Record info'!K$1143</f>
        <v>4.4029227557411274E-2</v>
      </c>
      <c r="Y2689" s="204" t="s">
        <v>2276</v>
      </c>
      <c r="Z2689" s="204" t="s">
        <v>68</v>
      </c>
      <c r="AA2689" s="204" t="s">
        <v>86</v>
      </c>
      <c r="AB2689" s="204" t="s">
        <v>76</v>
      </c>
      <c r="AC2689" s="204"/>
      <c r="AD2689" s="204"/>
    </row>
    <row r="2690" spans="1:30" ht="32" customHeight="1">
      <c r="A2690" s="19" t="s">
        <v>7394</v>
      </c>
      <c r="B2690" s="19" t="s">
        <v>7465</v>
      </c>
      <c r="C2690" s="204" t="s">
        <v>24</v>
      </c>
      <c r="D2690" s="204" t="s">
        <v>1242</v>
      </c>
      <c r="E2690" s="204" t="s">
        <v>3209</v>
      </c>
      <c r="F2690" s="152" t="s">
        <v>2276</v>
      </c>
      <c r="G2690" s="152" t="s">
        <v>2276</v>
      </c>
      <c r="H2690" s="204" t="s">
        <v>523</v>
      </c>
      <c r="I2690" s="204">
        <v>2008</v>
      </c>
      <c r="J2690" s="204" t="s">
        <v>2276</v>
      </c>
      <c r="K2690" s="204" t="s">
        <v>2276</v>
      </c>
      <c r="L2690" s="204" t="s">
        <v>2276</v>
      </c>
      <c r="M2690" s="204" t="s">
        <v>2276</v>
      </c>
      <c r="N2690" s="204" t="s">
        <v>2276</v>
      </c>
      <c r="O2690" s="204" t="s">
        <v>2276</v>
      </c>
      <c r="P2690" s="204" t="s">
        <v>2276</v>
      </c>
      <c r="Q2690" s="204" t="s">
        <v>2276</v>
      </c>
      <c r="R2690" s="204" t="s">
        <v>2276</v>
      </c>
      <c r="S2690" s="204" t="s">
        <v>2276</v>
      </c>
      <c r="T2690" s="21">
        <f>950*0.106</f>
        <v>100.7</v>
      </c>
      <c r="U2690" s="204" t="s">
        <v>2276</v>
      </c>
      <c r="V2690" s="204" t="s">
        <v>2276</v>
      </c>
      <c r="W2690" s="204" t="s">
        <v>2276</v>
      </c>
      <c r="X2690" s="21">
        <f>T2690/'Record info'!K$1144</f>
        <v>3.767302656191545E-2</v>
      </c>
      <c r="Y2690" s="204" t="s">
        <v>2276</v>
      </c>
      <c r="Z2690" s="204" t="s">
        <v>68</v>
      </c>
      <c r="AA2690" s="204" t="s">
        <v>86</v>
      </c>
      <c r="AB2690" s="204" t="s">
        <v>76</v>
      </c>
      <c r="AC2690" s="204"/>
      <c r="AD2690" s="204"/>
    </row>
    <row r="2691" spans="1:30" ht="35.5" customHeight="1">
      <c r="A2691" s="19" t="s">
        <v>7395</v>
      </c>
      <c r="B2691" s="19" t="s">
        <v>7484</v>
      </c>
      <c r="C2691" s="204" t="s">
        <v>24</v>
      </c>
      <c r="D2691" s="204" t="s">
        <v>1242</v>
      </c>
      <c r="E2691" s="204" t="s">
        <v>3209</v>
      </c>
      <c r="F2691" s="152" t="s">
        <v>2276</v>
      </c>
      <c r="G2691" s="152" t="s">
        <v>2276</v>
      </c>
      <c r="H2691" s="204" t="s">
        <v>523</v>
      </c>
      <c r="I2691" s="204">
        <v>2008</v>
      </c>
      <c r="J2691" s="204" t="s">
        <v>2276</v>
      </c>
      <c r="K2691" s="204" t="s">
        <v>2276</v>
      </c>
      <c r="L2691" s="204" t="s">
        <v>2276</v>
      </c>
      <c r="M2691" s="204" t="s">
        <v>2276</v>
      </c>
      <c r="N2691" s="204" t="s">
        <v>2276</v>
      </c>
      <c r="O2691" s="204" t="s">
        <v>2276</v>
      </c>
      <c r="P2691" s="204" t="s">
        <v>2276</v>
      </c>
      <c r="Q2691" s="204" t="s">
        <v>2276</v>
      </c>
      <c r="R2691" s="204" t="s">
        <v>2276</v>
      </c>
      <c r="S2691" s="204" t="s">
        <v>2276</v>
      </c>
      <c r="T2691" s="21">
        <f>950*0.166</f>
        <v>157.70000000000002</v>
      </c>
      <c r="U2691" s="204" t="s">
        <v>2276</v>
      </c>
      <c r="V2691" s="204" t="s">
        <v>2276</v>
      </c>
      <c r="W2691" s="204" t="s">
        <v>2276</v>
      </c>
      <c r="X2691" s="21">
        <f>T2691/'Record info'!K$1145</f>
        <v>6.993348115299336E-2</v>
      </c>
      <c r="Y2691" s="204" t="s">
        <v>2276</v>
      </c>
      <c r="Z2691" s="204" t="s">
        <v>68</v>
      </c>
      <c r="AA2691" s="204" t="s">
        <v>86</v>
      </c>
      <c r="AB2691" s="204" t="s">
        <v>76</v>
      </c>
      <c r="AC2691" s="204"/>
      <c r="AD2691" s="204"/>
    </row>
    <row r="2692" spans="1:30" ht="29" customHeight="1">
      <c r="A2692" s="19" t="s">
        <v>7293</v>
      </c>
      <c r="B2692" s="19" t="s">
        <v>7466</v>
      </c>
      <c r="C2692" s="204" t="s">
        <v>24</v>
      </c>
      <c r="D2692" s="204" t="s">
        <v>1242</v>
      </c>
      <c r="E2692" s="204" t="s">
        <v>3209</v>
      </c>
      <c r="F2692" s="152" t="s">
        <v>2276</v>
      </c>
      <c r="G2692" s="152" t="s">
        <v>2276</v>
      </c>
      <c r="H2692" s="204" t="s">
        <v>523</v>
      </c>
      <c r="I2692" s="204">
        <v>2009</v>
      </c>
      <c r="J2692" s="204" t="s">
        <v>2276</v>
      </c>
      <c r="K2692" s="204" t="s">
        <v>2276</v>
      </c>
      <c r="L2692" s="204" t="s">
        <v>2276</v>
      </c>
      <c r="M2692" s="204" t="s">
        <v>2276</v>
      </c>
      <c r="N2692" s="204" t="s">
        <v>2276</v>
      </c>
      <c r="O2692" s="204" t="s">
        <v>2276</v>
      </c>
      <c r="P2692" s="204" t="s">
        <v>2276</v>
      </c>
      <c r="Q2692" s="204" t="s">
        <v>2276</v>
      </c>
      <c r="R2692" s="204" t="s">
        <v>2276</v>
      </c>
      <c r="S2692" s="204" t="s">
        <v>2276</v>
      </c>
      <c r="T2692" s="21">
        <f>1020*0.027</f>
        <v>27.54</v>
      </c>
      <c r="U2692" s="204" t="s">
        <v>2276</v>
      </c>
      <c r="V2692" s="204" t="s">
        <v>2276</v>
      </c>
      <c r="W2692" s="204" t="s">
        <v>2276</v>
      </c>
      <c r="X2692" s="21">
        <f>T2692/'Record info'!K$1128</f>
        <v>9.8357142857142862E-3</v>
      </c>
      <c r="Y2692" s="204" t="s">
        <v>2276</v>
      </c>
      <c r="Z2692" s="204" t="s">
        <v>68</v>
      </c>
      <c r="AA2692" s="204" t="s">
        <v>86</v>
      </c>
      <c r="AB2692" s="204" t="s">
        <v>76</v>
      </c>
      <c r="AC2692" s="204"/>
      <c r="AD2692" s="204"/>
    </row>
    <row r="2693" spans="1:30" ht="29" customHeight="1">
      <c r="A2693" s="19" t="s">
        <v>7379</v>
      </c>
      <c r="B2693" s="19" t="s">
        <v>7467</v>
      </c>
      <c r="C2693" s="204" t="s">
        <v>24</v>
      </c>
      <c r="D2693" s="204" t="s">
        <v>1242</v>
      </c>
      <c r="E2693" s="204" t="s">
        <v>3209</v>
      </c>
      <c r="F2693" s="152" t="s">
        <v>2276</v>
      </c>
      <c r="G2693" s="152" t="s">
        <v>2276</v>
      </c>
      <c r="H2693" s="204" t="s">
        <v>523</v>
      </c>
      <c r="I2693" s="204">
        <v>2009</v>
      </c>
      <c r="J2693" s="204" t="s">
        <v>2276</v>
      </c>
      <c r="K2693" s="204" t="s">
        <v>2276</v>
      </c>
      <c r="L2693" s="204" t="s">
        <v>2276</v>
      </c>
      <c r="M2693" s="204" t="s">
        <v>2276</v>
      </c>
      <c r="N2693" s="204" t="s">
        <v>2276</v>
      </c>
      <c r="O2693" s="204" t="s">
        <v>2276</v>
      </c>
      <c r="P2693" s="204" t="s">
        <v>2276</v>
      </c>
      <c r="Q2693" s="204" t="s">
        <v>2276</v>
      </c>
      <c r="R2693" s="204" t="s">
        <v>2276</v>
      </c>
      <c r="S2693" s="204" t="s">
        <v>2276</v>
      </c>
      <c r="T2693" s="21">
        <f>1020*0.041</f>
        <v>41.82</v>
      </c>
      <c r="U2693" s="204" t="s">
        <v>2276</v>
      </c>
      <c r="V2693" s="204" t="s">
        <v>2276</v>
      </c>
      <c r="W2693" s="204" t="s">
        <v>2276</v>
      </c>
      <c r="X2693" s="21">
        <f>T2693/'Record info'!K$1129</f>
        <v>1.1897581792318635E-2</v>
      </c>
      <c r="Y2693" s="204" t="s">
        <v>2276</v>
      </c>
      <c r="Z2693" s="204" t="s">
        <v>68</v>
      </c>
      <c r="AA2693" s="204" t="s">
        <v>86</v>
      </c>
      <c r="AB2693" s="204" t="s">
        <v>76</v>
      </c>
      <c r="AC2693" s="204"/>
      <c r="AD2693" s="204"/>
    </row>
    <row r="2694" spans="1:30" ht="29" customHeight="1">
      <c r="A2694" s="19" t="s">
        <v>7380</v>
      </c>
      <c r="B2694" s="19" t="s">
        <v>7468</v>
      </c>
      <c r="C2694" s="204" t="s">
        <v>24</v>
      </c>
      <c r="D2694" s="204" t="s">
        <v>1242</v>
      </c>
      <c r="E2694" s="204" t="s">
        <v>3209</v>
      </c>
      <c r="F2694" s="152" t="s">
        <v>2276</v>
      </c>
      <c r="G2694" s="152" t="s">
        <v>2276</v>
      </c>
      <c r="H2694" s="204" t="s">
        <v>523</v>
      </c>
      <c r="I2694" s="204">
        <v>2009</v>
      </c>
      <c r="J2694" s="204" t="s">
        <v>2276</v>
      </c>
      <c r="K2694" s="204" t="s">
        <v>2276</v>
      </c>
      <c r="L2694" s="204" t="s">
        <v>2276</v>
      </c>
      <c r="M2694" s="204" t="s">
        <v>2276</v>
      </c>
      <c r="N2694" s="204" t="s">
        <v>2276</v>
      </c>
      <c r="O2694" s="204" t="s">
        <v>2276</v>
      </c>
      <c r="P2694" s="204" t="s">
        <v>2276</v>
      </c>
      <c r="Q2694" s="204" t="s">
        <v>2276</v>
      </c>
      <c r="R2694" s="204" t="s">
        <v>2276</v>
      </c>
      <c r="S2694" s="204" t="s">
        <v>2276</v>
      </c>
      <c r="T2694" s="21">
        <f>1020*0.004</f>
        <v>4.08</v>
      </c>
      <c r="U2694" s="204" t="s">
        <v>2276</v>
      </c>
      <c r="V2694" s="204" t="s">
        <v>2276</v>
      </c>
      <c r="W2694" s="204" t="s">
        <v>2276</v>
      </c>
      <c r="X2694" s="21">
        <f>T2694/'Record info'!K$1130</f>
        <v>6.0471320586927529E-4</v>
      </c>
      <c r="Y2694" s="204" t="s">
        <v>2276</v>
      </c>
      <c r="Z2694" s="204" t="s">
        <v>68</v>
      </c>
      <c r="AA2694" s="204" t="s">
        <v>86</v>
      </c>
      <c r="AB2694" s="204" t="s">
        <v>76</v>
      </c>
      <c r="AC2694" s="204"/>
      <c r="AD2694" s="204"/>
    </row>
    <row r="2695" spans="1:30" ht="29" customHeight="1">
      <c r="A2695" s="19" t="s">
        <v>7381</v>
      </c>
      <c r="B2695" s="19" t="s">
        <v>7469</v>
      </c>
      <c r="C2695" s="204" t="s">
        <v>24</v>
      </c>
      <c r="D2695" s="204" t="s">
        <v>1242</v>
      </c>
      <c r="E2695" s="204" t="s">
        <v>3209</v>
      </c>
      <c r="F2695" s="152" t="s">
        <v>2276</v>
      </c>
      <c r="G2695" s="152" t="s">
        <v>2276</v>
      </c>
      <c r="H2695" s="204" t="s">
        <v>523</v>
      </c>
      <c r="I2695" s="204">
        <v>2009</v>
      </c>
      <c r="J2695" s="204" t="s">
        <v>2276</v>
      </c>
      <c r="K2695" s="204" t="s">
        <v>2276</v>
      </c>
      <c r="L2695" s="204" t="s">
        <v>2276</v>
      </c>
      <c r="M2695" s="204" t="s">
        <v>2276</v>
      </c>
      <c r="N2695" s="204" t="s">
        <v>2276</v>
      </c>
      <c r="O2695" s="204" t="s">
        <v>2276</v>
      </c>
      <c r="P2695" s="204" t="s">
        <v>2276</v>
      </c>
      <c r="Q2695" s="204" t="s">
        <v>2276</v>
      </c>
      <c r="R2695" s="204" t="s">
        <v>2276</v>
      </c>
      <c r="S2695" s="204" t="s">
        <v>2276</v>
      </c>
      <c r="T2695" s="21">
        <f>1020*0.004</f>
        <v>4.08</v>
      </c>
      <c r="U2695" s="204" t="s">
        <v>2276</v>
      </c>
      <c r="V2695" s="204" t="s">
        <v>2276</v>
      </c>
      <c r="W2695" s="204" t="s">
        <v>2276</v>
      </c>
      <c r="X2695" s="21">
        <f>T2695/'Record info'!K$1131</f>
        <v>8.0568720379146919E-4</v>
      </c>
      <c r="Y2695" s="204" t="s">
        <v>2276</v>
      </c>
      <c r="Z2695" s="204" t="s">
        <v>68</v>
      </c>
      <c r="AA2695" s="204" t="s">
        <v>86</v>
      </c>
      <c r="AB2695" s="204" t="s">
        <v>76</v>
      </c>
      <c r="AC2695" s="204"/>
      <c r="AD2695" s="204"/>
    </row>
    <row r="2696" spans="1:30" ht="29" customHeight="1">
      <c r="A2696" s="19" t="s">
        <v>7382</v>
      </c>
      <c r="B2696" s="19" t="s">
        <v>7470</v>
      </c>
      <c r="C2696" s="204" t="s">
        <v>24</v>
      </c>
      <c r="D2696" s="204" t="s">
        <v>1242</v>
      </c>
      <c r="E2696" s="204" t="s">
        <v>3209</v>
      </c>
      <c r="F2696" s="152" t="s">
        <v>2276</v>
      </c>
      <c r="G2696" s="152" t="s">
        <v>2276</v>
      </c>
      <c r="H2696" s="204" t="s">
        <v>524</v>
      </c>
      <c r="I2696" s="204">
        <v>2009</v>
      </c>
      <c r="J2696" s="21">
        <v>0</v>
      </c>
      <c r="K2696" s="21">
        <v>0</v>
      </c>
      <c r="L2696" s="21">
        <v>0</v>
      </c>
      <c r="M2696" s="21">
        <v>0</v>
      </c>
      <c r="N2696" s="21">
        <v>0</v>
      </c>
      <c r="O2696" s="21">
        <v>0</v>
      </c>
      <c r="P2696" s="21">
        <v>0</v>
      </c>
      <c r="Q2696" s="21">
        <v>0</v>
      </c>
      <c r="R2696" s="21">
        <v>0</v>
      </c>
      <c r="S2696" s="21">
        <v>0</v>
      </c>
      <c r="T2696" s="21">
        <v>0</v>
      </c>
      <c r="U2696" s="21">
        <v>0</v>
      </c>
      <c r="V2696" s="21">
        <v>0</v>
      </c>
      <c r="W2696" s="21">
        <v>0</v>
      </c>
      <c r="X2696" s="21">
        <f>T2696/'Record info'!K$1132</f>
        <v>0</v>
      </c>
      <c r="Y2696" s="204" t="s">
        <v>2276</v>
      </c>
      <c r="Z2696" s="204" t="s">
        <v>68</v>
      </c>
      <c r="AA2696" s="204" t="s">
        <v>86</v>
      </c>
      <c r="AB2696" s="204" t="s">
        <v>76</v>
      </c>
      <c r="AC2696" s="204"/>
      <c r="AD2696" s="204"/>
    </row>
    <row r="2697" spans="1:30" ht="29" customHeight="1">
      <c r="A2697" s="19" t="s">
        <v>7383</v>
      </c>
      <c r="B2697" s="19" t="s">
        <v>7471</v>
      </c>
      <c r="C2697" s="204" t="s">
        <v>24</v>
      </c>
      <c r="D2697" s="204" t="s">
        <v>1242</v>
      </c>
      <c r="E2697" s="204" t="s">
        <v>3209</v>
      </c>
      <c r="F2697" s="152" t="s">
        <v>2276</v>
      </c>
      <c r="G2697" s="152" t="s">
        <v>2276</v>
      </c>
      <c r="H2697" s="204" t="s">
        <v>524</v>
      </c>
      <c r="I2697" s="204">
        <v>2009</v>
      </c>
      <c r="J2697" s="21">
        <v>0</v>
      </c>
      <c r="K2697" s="21">
        <v>0</v>
      </c>
      <c r="L2697" s="21">
        <v>0</v>
      </c>
      <c r="M2697" s="21">
        <v>0</v>
      </c>
      <c r="N2697" s="21">
        <v>0</v>
      </c>
      <c r="O2697" s="21">
        <v>0</v>
      </c>
      <c r="P2697" s="21">
        <v>0</v>
      </c>
      <c r="Q2697" s="21">
        <v>0</v>
      </c>
      <c r="R2697" s="21">
        <v>0</v>
      </c>
      <c r="S2697" s="21">
        <v>0</v>
      </c>
      <c r="T2697" s="21">
        <v>0</v>
      </c>
      <c r="U2697" s="21">
        <v>0</v>
      </c>
      <c r="V2697" s="21">
        <v>0</v>
      </c>
      <c r="W2697" s="21">
        <v>0</v>
      </c>
      <c r="X2697" s="21">
        <f>T2697/'Record info'!K$1133</f>
        <v>0</v>
      </c>
      <c r="Y2697" s="204" t="s">
        <v>2276</v>
      </c>
      <c r="Z2697" s="204" t="s">
        <v>68</v>
      </c>
      <c r="AA2697" s="204" t="s">
        <v>86</v>
      </c>
      <c r="AB2697" s="204" t="s">
        <v>76</v>
      </c>
      <c r="AC2697" s="204"/>
      <c r="AD2697" s="204"/>
    </row>
    <row r="2698" spans="1:30" ht="29" customHeight="1">
      <c r="A2698" s="19" t="s">
        <v>7384</v>
      </c>
      <c r="B2698" s="19" t="s">
        <v>7472</v>
      </c>
      <c r="C2698" s="204" t="s">
        <v>24</v>
      </c>
      <c r="D2698" s="204" t="s">
        <v>1242</v>
      </c>
      <c r="E2698" s="204" t="s">
        <v>3209</v>
      </c>
      <c r="F2698" s="152" t="s">
        <v>2276</v>
      </c>
      <c r="G2698" s="152" t="s">
        <v>2276</v>
      </c>
      <c r="H2698" s="204" t="s">
        <v>524</v>
      </c>
      <c r="I2698" s="204">
        <v>2009</v>
      </c>
      <c r="J2698" s="21">
        <v>0</v>
      </c>
      <c r="K2698" s="21">
        <v>0</v>
      </c>
      <c r="L2698" s="21">
        <v>0</v>
      </c>
      <c r="M2698" s="21">
        <v>0</v>
      </c>
      <c r="N2698" s="21">
        <v>0</v>
      </c>
      <c r="O2698" s="21">
        <v>0</v>
      </c>
      <c r="P2698" s="21">
        <v>0</v>
      </c>
      <c r="Q2698" s="21">
        <v>0</v>
      </c>
      <c r="R2698" s="21">
        <v>0</v>
      </c>
      <c r="S2698" s="21">
        <v>0</v>
      </c>
      <c r="T2698" s="21">
        <v>0</v>
      </c>
      <c r="U2698" s="21">
        <v>0</v>
      </c>
      <c r="V2698" s="21">
        <v>0</v>
      </c>
      <c r="W2698" s="21">
        <v>0</v>
      </c>
      <c r="X2698" s="21">
        <f>T2698/'Record info'!K$1134</f>
        <v>0</v>
      </c>
      <c r="Y2698" s="204" t="s">
        <v>2276</v>
      </c>
      <c r="Z2698" s="204" t="s">
        <v>68</v>
      </c>
      <c r="AA2698" s="204" t="s">
        <v>86</v>
      </c>
      <c r="AB2698" s="204" t="s">
        <v>76</v>
      </c>
      <c r="AC2698" s="204"/>
      <c r="AD2698" s="204"/>
    </row>
    <row r="2699" spans="1:30" ht="29" customHeight="1">
      <c r="A2699" s="19" t="s">
        <v>7385</v>
      </c>
      <c r="B2699" s="19" t="s">
        <v>7473</v>
      </c>
      <c r="C2699" s="204" t="s">
        <v>24</v>
      </c>
      <c r="D2699" s="204" t="s">
        <v>1242</v>
      </c>
      <c r="E2699" s="204" t="s">
        <v>3209</v>
      </c>
      <c r="F2699" s="152" t="s">
        <v>2276</v>
      </c>
      <c r="G2699" s="152" t="s">
        <v>2276</v>
      </c>
      <c r="H2699" s="204" t="s">
        <v>523</v>
      </c>
      <c r="I2699" s="204">
        <v>2009</v>
      </c>
      <c r="J2699" s="204" t="s">
        <v>2276</v>
      </c>
      <c r="K2699" s="204" t="s">
        <v>2276</v>
      </c>
      <c r="L2699" s="204" t="s">
        <v>2276</v>
      </c>
      <c r="M2699" s="204" t="s">
        <v>2276</v>
      </c>
      <c r="N2699" s="204" t="s">
        <v>2276</v>
      </c>
      <c r="O2699" s="204" t="s">
        <v>2276</v>
      </c>
      <c r="P2699" s="204" t="s">
        <v>2276</v>
      </c>
      <c r="Q2699" s="204" t="s">
        <v>2276</v>
      </c>
      <c r="R2699" s="204" t="s">
        <v>2276</v>
      </c>
      <c r="S2699" s="204" t="s">
        <v>2276</v>
      </c>
      <c r="T2699" s="21">
        <f>1020*0.035</f>
        <v>35.700000000000003</v>
      </c>
      <c r="U2699" s="204" t="s">
        <v>2276</v>
      </c>
      <c r="V2699" s="204" t="s">
        <v>2276</v>
      </c>
      <c r="W2699" s="204" t="s">
        <v>2276</v>
      </c>
      <c r="X2699" s="21">
        <f>T2699/'Record info'!K$1135</f>
        <v>5.8862324814509485E-3</v>
      </c>
      <c r="Y2699" s="204" t="s">
        <v>2276</v>
      </c>
      <c r="Z2699" s="204" t="s">
        <v>68</v>
      </c>
      <c r="AA2699" s="204" t="s">
        <v>86</v>
      </c>
      <c r="AB2699" s="204" t="s">
        <v>76</v>
      </c>
      <c r="AC2699" s="204"/>
      <c r="AD2699" s="204"/>
    </row>
    <row r="2700" spans="1:30" ht="29" customHeight="1">
      <c r="A2700" s="19" t="s">
        <v>7386</v>
      </c>
      <c r="B2700" s="19" t="s">
        <v>7474</v>
      </c>
      <c r="C2700" s="204" t="s">
        <v>24</v>
      </c>
      <c r="D2700" s="204" t="s">
        <v>1242</v>
      </c>
      <c r="E2700" s="204" t="s">
        <v>3209</v>
      </c>
      <c r="F2700" s="152" t="s">
        <v>2276</v>
      </c>
      <c r="G2700" s="152" t="s">
        <v>2276</v>
      </c>
      <c r="H2700" s="204" t="s">
        <v>523</v>
      </c>
      <c r="I2700" s="204">
        <v>2009</v>
      </c>
      <c r="J2700" s="204" t="s">
        <v>2276</v>
      </c>
      <c r="K2700" s="204" t="s">
        <v>2276</v>
      </c>
      <c r="L2700" s="204" t="s">
        <v>2276</v>
      </c>
      <c r="M2700" s="204" t="s">
        <v>2276</v>
      </c>
      <c r="N2700" s="204" t="s">
        <v>2276</v>
      </c>
      <c r="O2700" s="204" t="s">
        <v>2276</v>
      </c>
      <c r="P2700" s="204" t="s">
        <v>2276</v>
      </c>
      <c r="Q2700" s="204" t="s">
        <v>2276</v>
      </c>
      <c r="R2700" s="204" t="s">
        <v>2276</v>
      </c>
      <c r="S2700" s="204" t="s">
        <v>2276</v>
      </c>
      <c r="T2700" s="21">
        <f>1020*0.079</f>
        <v>80.58</v>
      </c>
      <c r="U2700" s="204" t="s">
        <v>2276</v>
      </c>
      <c r="V2700" s="204" t="s">
        <v>2276</v>
      </c>
      <c r="W2700" s="204" t="s">
        <v>2276</v>
      </c>
      <c r="X2700" s="21">
        <f>T2700/'Record info'!K$1136</f>
        <v>1.207191011235955E-2</v>
      </c>
      <c r="Y2700" s="204" t="s">
        <v>2276</v>
      </c>
      <c r="Z2700" s="204" t="s">
        <v>68</v>
      </c>
      <c r="AA2700" s="204" t="s">
        <v>86</v>
      </c>
      <c r="AB2700" s="204" t="s">
        <v>76</v>
      </c>
      <c r="AC2700" s="204"/>
      <c r="AD2700" s="204"/>
    </row>
    <row r="2701" spans="1:30" ht="29" customHeight="1">
      <c r="A2701" s="19" t="s">
        <v>7387</v>
      </c>
      <c r="B2701" s="19" t="s">
        <v>7475</v>
      </c>
      <c r="C2701" s="204" t="s">
        <v>24</v>
      </c>
      <c r="D2701" s="204" t="s">
        <v>1242</v>
      </c>
      <c r="E2701" s="204" t="s">
        <v>3209</v>
      </c>
      <c r="F2701" s="152" t="s">
        <v>2276</v>
      </c>
      <c r="G2701" s="152" t="s">
        <v>2276</v>
      </c>
      <c r="H2701" s="204" t="s">
        <v>523</v>
      </c>
      <c r="I2701" s="204">
        <v>2009</v>
      </c>
      <c r="J2701" s="204" t="s">
        <v>2276</v>
      </c>
      <c r="K2701" s="204" t="s">
        <v>2276</v>
      </c>
      <c r="L2701" s="204" t="s">
        <v>2276</v>
      </c>
      <c r="M2701" s="204" t="s">
        <v>2276</v>
      </c>
      <c r="N2701" s="204" t="s">
        <v>2276</v>
      </c>
      <c r="O2701" s="204" t="s">
        <v>2276</v>
      </c>
      <c r="P2701" s="204" t="s">
        <v>2276</v>
      </c>
      <c r="Q2701" s="204" t="s">
        <v>2276</v>
      </c>
      <c r="R2701" s="204" t="s">
        <v>2276</v>
      </c>
      <c r="S2701" s="204" t="s">
        <v>2276</v>
      </c>
      <c r="T2701" s="21">
        <f>1020*0.132</f>
        <v>134.64000000000001</v>
      </c>
      <c r="U2701" s="204" t="s">
        <v>2276</v>
      </c>
      <c r="V2701" s="204" t="s">
        <v>2276</v>
      </c>
      <c r="W2701" s="204" t="s">
        <v>2276</v>
      </c>
      <c r="X2701" s="21">
        <f>T2701/'Record info'!K$1137</f>
        <v>2.4400144980065243E-2</v>
      </c>
      <c r="Y2701" s="204" t="s">
        <v>2276</v>
      </c>
      <c r="Z2701" s="204" t="s">
        <v>68</v>
      </c>
      <c r="AA2701" s="204" t="s">
        <v>86</v>
      </c>
      <c r="AB2701" s="204" t="s">
        <v>76</v>
      </c>
      <c r="AC2701" s="204"/>
      <c r="AD2701" s="204"/>
    </row>
    <row r="2702" spans="1:30" ht="29" customHeight="1">
      <c r="A2702" s="19" t="s">
        <v>7388</v>
      </c>
      <c r="B2702" s="19" t="s">
        <v>7476</v>
      </c>
      <c r="C2702" s="204" t="s">
        <v>24</v>
      </c>
      <c r="D2702" s="204" t="s">
        <v>1242</v>
      </c>
      <c r="E2702" s="204" t="s">
        <v>3209</v>
      </c>
      <c r="F2702" s="152" t="s">
        <v>2276</v>
      </c>
      <c r="G2702" s="152" t="s">
        <v>2276</v>
      </c>
      <c r="H2702" s="204" t="s">
        <v>523</v>
      </c>
      <c r="I2702" s="204">
        <v>2009</v>
      </c>
      <c r="J2702" s="204" t="s">
        <v>2276</v>
      </c>
      <c r="K2702" s="204" t="s">
        <v>2276</v>
      </c>
      <c r="L2702" s="204" t="s">
        <v>2276</v>
      </c>
      <c r="M2702" s="204" t="s">
        <v>2276</v>
      </c>
      <c r="N2702" s="204" t="s">
        <v>2276</v>
      </c>
      <c r="O2702" s="204" t="s">
        <v>2276</v>
      </c>
      <c r="P2702" s="204" t="s">
        <v>2276</v>
      </c>
      <c r="Q2702" s="204" t="s">
        <v>2276</v>
      </c>
      <c r="R2702" s="204" t="s">
        <v>2276</v>
      </c>
      <c r="S2702" s="204" t="s">
        <v>2276</v>
      </c>
      <c r="T2702" s="21">
        <f>1020*0.057</f>
        <v>58.14</v>
      </c>
      <c r="U2702" s="204" t="s">
        <v>2276</v>
      </c>
      <c r="V2702" s="204" t="s">
        <v>2276</v>
      </c>
      <c r="W2702" s="204" t="s">
        <v>2276</v>
      </c>
      <c r="X2702" s="21">
        <f>T2702/'Record info'!K$1138</f>
        <v>1.473017481631619E-2</v>
      </c>
      <c r="Y2702" s="204" t="s">
        <v>2276</v>
      </c>
      <c r="Z2702" s="204" t="s">
        <v>68</v>
      </c>
      <c r="AA2702" s="204" t="s">
        <v>86</v>
      </c>
      <c r="AB2702" s="204" t="s">
        <v>76</v>
      </c>
      <c r="AC2702" s="204"/>
      <c r="AD2702" s="204"/>
    </row>
    <row r="2703" spans="1:30" ht="29" customHeight="1">
      <c r="A2703" s="19" t="s">
        <v>7389</v>
      </c>
      <c r="B2703" s="19" t="s">
        <v>7477</v>
      </c>
      <c r="C2703" s="204" t="s">
        <v>24</v>
      </c>
      <c r="D2703" s="204" t="s">
        <v>1242</v>
      </c>
      <c r="E2703" s="204" t="s">
        <v>3209</v>
      </c>
      <c r="F2703" s="152" t="s">
        <v>2276</v>
      </c>
      <c r="G2703" s="152" t="s">
        <v>2276</v>
      </c>
      <c r="H2703" s="204" t="s">
        <v>523</v>
      </c>
      <c r="I2703" s="204">
        <v>2009</v>
      </c>
      <c r="J2703" s="204" t="s">
        <v>2276</v>
      </c>
      <c r="K2703" s="204" t="s">
        <v>2276</v>
      </c>
      <c r="L2703" s="204" t="s">
        <v>2276</v>
      </c>
      <c r="M2703" s="204" t="s">
        <v>2276</v>
      </c>
      <c r="N2703" s="204" t="s">
        <v>2276</v>
      </c>
      <c r="O2703" s="204" t="s">
        <v>2276</v>
      </c>
      <c r="P2703" s="204" t="s">
        <v>2276</v>
      </c>
      <c r="Q2703" s="204" t="s">
        <v>2276</v>
      </c>
      <c r="R2703" s="204" t="s">
        <v>2276</v>
      </c>
      <c r="S2703" s="204" t="s">
        <v>2276</v>
      </c>
      <c r="T2703" s="21">
        <f>1020*0.024</f>
        <v>24.48</v>
      </c>
      <c r="U2703" s="204" t="s">
        <v>2276</v>
      </c>
      <c r="V2703" s="204" t="s">
        <v>2276</v>
      </c>
      <c r="W2703" s="204" t="s">
        <v>2276</v>
      </c>
      <c r="X2703" s="21">
        <f>T2703/'Record info'!K$1139</f>
        <v>8.7179487179487175E-3</v>
      </c>
      <c r="Y2703" s="204" t="s">
        <v>2276</v>
      </c>
      <c r="Z2703" s="204" t="s">
        <v>68</v>
      </c>
      <c r="AA2703" s="204" t="s">
        <v>86</v>
      </c>
      <c r="AB2703" s="204" t="s">
        <v>76</v>
      </c>
      <c r="AC2703" s="204"/>
      <c r="AD2703" s="204"/>
    </row>
    <row r="2704" spans="1:30" ht="29" customHeight="1">
      <c r="A2704" s="19" t="s">
        <v>7390</v>
      </c>
      <c r="B2704" s="19" t="s">
        <v>7478</v>
      </c>
      <c r="C2704" s="204" t="s">
        <v>24</v>
      </c>
      <c r="D2704" s="204" t="s">
        <v>1242</v>
      </c>
      <c r="E2704" s="204" t="s">
        <v>3209</v>
      </c>
      <c r="F2704" s="152" t="s">
        <v>2276</v>
      </c>
      <c r="G2704" s="152" t="s">
        <v>2276</v>
      </c>
      <c r="H2704" s="204" t="s">
        <v>523</v>
      </c>
      <c r="I2704" s="204">
        <v>2009</v>
      </c>
      <c r="J2704" s="204" t="s">
        <v>2276</v>
      </c>
      <c r="K2704" s="204" t="s">
        <v>2276</v>
      </c>
      <c r="L2704" s="204" t="s">
        <v>2276</v>
      </c>
      <c r="M2704" s="204" t="s">
        <v>2276</v>
      </c>
      <c r="N2704" s="204" t="s">
        <v>2276</v>
      </c>
      <c r="O2704" s="204" t="s">
        <v>2276</v>
      </c>
      <c r="P2704" s="204" t="s">
        <v>2276</v>
      </c>
      <c r="Q2704" s="204" t="s">
        <v>2276</v>
      </c>
      <c r="R2704" s="204" t="s">
        <v>2276</v>
      </c>
      <c r="S2704" s="204" t="s">
        <v>2276</v>
      </c>
      <c r="T2704" s="21">
        <f>1020*0.072</f>
        <v>73.44</v>
      </c>
      <c r="U2704" s="204" t="s">
        <v>2276</v>
      </c>
      <c r="V2704" s="204" t="s">
        <v>2276</v>
      </c>
      <c r="W2704" s="204" t="s">
        <v>2276</v>
      </c>
      <c r="X2704" s="21">
        <f>T2704/'Record info'!K$1140</f>
        <v>1.4667465548232474E-2</v>
      </c>
      <c r="Y2704" s="204" t="s">
        <v>2276</v>
      </c>
      <c r="Z2704" s="204" t="s">
        <v>68</v>
      </c>
      <c r="AA2704" s="204" t="s">
        <v>86</v>
      </c>
      <c r="AB2704" s="204" t="s">
        <v>76</v>
      </c>
      <c r="AC2704" s="204"/>
      <c r="AD2704" s="204"/>
    </row>
    <row r="2705" spans="1:30" ht="29" customHeight="1">
      <c r="A2705" s="19" t="s">
        <v>7391</v>
      </c>
      <c r="B2705" s="19" t="s">
        <v>7479</v>
      </c>
      <c r="C2705" s="204" t="s">
        <v>24</v>
      </c>
      <c r="D2705" s="204" t="s">
        <v>1242</v>
      </c>
      <c r="E2705" s="204" t="s">
        <v>3209</v>
      </c>
      <c r="F2705" s="152" t="s">
        <v>2276</v>
      </c>
      <c r="G2705" s="152" t="s">
        <v>2276</v>
      </c>
      <c r="H2705" s="204" t="s">
        <v>523</v>
      </c>
      <c r="I2705" s="204">
        <v>2009</v>
      </c>
      <c r="J2705" s="204" t="s">
        <v>2276</v>
      </c>
      <c r="K2705" s="204" t="s">
        <v>2276</v>
      </c>
      <c r="L2705" s="204" t="s">
        <v>2276</v>
      </c>
      <c r="M2705" s="204" t="s">
        <v>2276</v>
      </c>
      <c r="N2705" s="204" t="s">
        <v>2276</v>
      </c>
      <c r="O2705" s="204" t="s">
        <v>2276</v>
      </c>
      <c r="P2705" s="204" t="s">
        <v>2276</v>
      </c>
      <c r="Q2705" s="204" t="s">
        <v>2276</v>
      </c>
      <c r="R2705" s="204" t="s">
        <v>2276</v>
      </c>
      <c r="S2705" s="204" t="s">
        <v>2276</v>
      </c>
      <c r="T2705" s="21">
        <f>1020*0.068</f>
        <v>69.36</v>
      </c>
      <c r="U2705" s="204" t="s">
        <v>2276</v>
      </c>
      <c r="V2705" s="204" t="s">
        <v>2276</v>
      </c>
      <c r="W2705" s="204" t="s">
        <v>2276</v>
      </c>
      <c r="X2705" s="21">
        <f>T2705/'Record info'!K$1141</f>
        <v>5.908006814310051E-2</v>
      </c>
      <c r="Y2705" s="204" t="s">
        <v>2276</v>
      </c>
      <c r="Z2705" s="204" t="s">
        <v>68</v>
      </c>
      <c r="AA2705" s="204" t="s">
        <v>86</v>
      </c>
      <c r="AB2705" s="204" t="s">
        <v>76</v>
      </c>
      <c r="AC2705" s="204"/>
      <c r="AD2705" s="204"/>
    </row>
    <row r="2706" spans="1:30" ht="29" customHeight="1">
      <c r="A2706" s="19" t="s">
        <v>7392</v>
      </c>
      <c r="B2706" s="19" t="s">
        <v>7480</v>
      </c>
      <c r="C2706" s="204" t="s">
        <v>24</v>
      </c>
      <c r="D2706" s="204" t="s">
        <v>1242</v>
      </c>
      <c r="E2706" s="204" t="s">
        <v>3209</v>
      </c>
      <c r="F2706" s="152" t="s">
        <v>2276</v>
      </c>
      <c r="G2706" s="152" t="s">
        <v>2276</v>
      </c>
      <c r="H2706" s="204" t="s">
        <v>523</v>
      </c>
      <c r="I2706" s="204">
        <v>2009</v>
      </c>
      <c r="J2706" s="204" t="s">
        <v>2276</v>
      </c>
      <c r="K2706" s="204" t="s">
        <v>2276</v>
      </c>
      <c r="L2706" s="204" t="s">
        <v>2276</v>
      </c>
      <c r="M2706" s="204" t="s">
        <v>2276</v>
      </c>
      <c r="N2706" s="204" t="s">
        <v>2276</v>
      </c>
      <c r="O2706" s="204" t="s">
        <v>2276</v>
      </c>
      <c r="P2706" s="204" t="s">
        <v>2276</v>
      </c>
      <c r="Q2706" s="204" t="s">
        <v>2276</v>
      </c>
      <c r="R2706" s="204" t="s">
        <v>2276</v>
      </c>
      <c r="S2706" s="204" t="s">
        <v>2276</v>
      </c>
      <c r="T2706" s="21">
        <f>1020*0.075</f>
        <v>76.5</v>
      </c>
      <c r="U2706" s="204" t="s">
        <v>2276</v>
      </c>
      <c r="V2706" s="204" t="s">
        <v>2276</v>
      </c>
      <c r="W2706" s="204" t="s">
        <v>2276</v>
      </c>
      <c r="X2706" s="21">
        <f>T2706/'Record info'!K$1142</f>
        <v>1.7675600739371536E-2</v>
      </c>
      <c r="Y2706" s="204" t="s">
        <v>2276</v>
      </c>
      <c r="Z2706" s="204" t="s">
        <v>68</v>
      </c>
      <c r="AA2706" s="204" t="s">
        <v>86</v>
      </c>
      <c r="AB2706" s="204" t="s">
        <v>76</v>
      </c>
      <c r="AC2706" s="204"/>
      <c r="AD2706" s="204"/>
    </row>
    <row r="2707" spans="1:30" ht="29" customHeight="1">
      <c r="A2707" s="19" t="s">
        <v>7393</v>
      </c>
      <c r="B2707" s="19" t="s">
        <v>7481</v>
      </c>
      <c r="C2707" s="204" t="s">
        <v>24</v>
      </c>
      <c r="D2707" s="204" t="s">
        <v>1242</v>
      </c>
      <c r="E2707" s="204" t="s">
        <v>3209</v>
      </c>
      <c r="F2707" s="152" t="s">
        <v>2276</v>
      </c>
      <c r="G2707" s="152" t="s">
        <v>2276</v>
      </c>
      <c r="H2707" s="204" t="s">
        <v>523</v>
      </c>
      <c r="I2707" s="204">
        <v>2009</v>
      </c>
      <c r="J2707" s="204" t="s">
        <v>2276</v>
      </c>
      <c r="K2707" s="204" t="s">
        <v>2276</v>
      </c>
      <c r="L2707" s="204" t="s">
        <v>2276</v>
      </c>
      <c r="M2707" s="204" t="s">
        <v>2276</v>
      </c>
      <c r="N2707" s="204" t="s">
        <v>2276</v>
      </c>
      <c r="O2707" s="204" t="s">
        <v>2276</v>
      </c>
      <c r="P2707" s="204" t="s">
        <v>2276</v>
      </c>
      <c r="Q2707" s="204" t="s">
        <v>2276</v>
      </c>
      <c r="R2707" s="204" t="s">
        <v>2276</v>
      </c>
      <c r="S2707" s="204" t="s">
        <v>2276</v>
      </c>
      <c r="T2707" s="21">
        <f>1020*0.111</f>
        <v>113.22</v>
      </c>
      <c r="U2707" s="204" t="s">
        <v>2276</v>
      </c>
      <c r="V2707" s="204" t="s">
        <v>2276</v>
      </c>
      <c r="W2707" s="204" t="s">
        <v>2276</v>
      </c>
      <c r="X2707" s="21">
        <f>T2707/'Record info'!K$1143</f>
        <v>4.7273486430062628E-2</v>
      </c>
      <c r="Y2707" s="204" t="s">
        <v>2276</v>
      </c>
      <c r="Z2707" s="204" t="s">
        <v>68</v>
      </c>
      <c r="AA2707" s="204" t="s">
        <v>86</v>
      </c>
      <c r="AB2707" s="204" t="s">
        <v>76</v>
      </c>
      <c r="AC2707" s="204"/>
      <c r="AD2707" s="204"/>
    </row>
    <row r="2708" spans="1:30" ht="29" customHeight="1">
      <c r="A2708" s="19" t="s">
        <v>7394</v>
      </c>
      <c r="B2708" s="19" t="s">
        <v>7482</v>
      </c>
      <c r="C2708" s="204" t="s">
        <v>24</v>
      </c>
      <c r="D2708" s="204" t="s">
        <v>1242</v>
      </c>
      <c r="E2708" s="204" t="s">
        <v>3209</v>
      </c>
      <c r="F2708" s="152" t="s">
        <v>2276</v>
      </c>
      <c r="G2708" s="152" t="s">
        <v>2276</v>
      </c>
      <c r="H2708" s="204" t="s">
        <v>523</v>
      </c>
      <c r="I2708" s="204">
        <v>2009</v>
      </c>
      <c r="J2708" s="204" t="s">
        <v>2276</v>
      </c>
      <c r="K2708" s="204" t="s">
        <v>2276</v>
      </c>
      <c r="L2708" s="204" t="s">
        <v>2276</v>
      </c>
      <c r="M2708" s="204" t="s">
        <v>2276</v>
      </c>
      <c r="N2708" s="204" t="s">
        <v>2276</v>
      </c>
      <c r="O2708" s="204" t="s">
        <v>2276</v>
      </c>
      <c r="P2708" s="204" t="s">
        <v>2276</v>
      </c>
      <c r="Q2708" s="204" t="s">
        <v>2276</v>
      </c>
      <c r="R2708" s="204" t="s">
        <v>2276</v>
      </c>
      <c r="S2708" s="204" t="s">
        <v>2276</v>
      </c>
      <c r="T2708" s="21">
        <f>1020*0.106</f>
        <v>108.11999999999999</v>
      </c>
      <c r="U2708" s="204" t="s">
        <v>2276</v>
      </c>
      <c r="V2708" s="204" t="s">
        <v>2276</v>
      </c>
      <c r="W2708" s="204" t="s">
        <v>2276</v>
      </c>
      <c r="X2708" s="21">
        <f>T2708/'Record info'!K$1144</f>
        <v>4.0448933782267112E-2</v>
      </c>
      <c r="Y2708" s="204" t="s">
        <v>2276</v>
      </c>
      <c r="Z2708" s="204" t="s">
        <v>68</v>
      </c>
      <c r="AA2708" s="204" t="s">
        <v>86</v>
      </c>
      <c r="AB2708" s="204" t="s">
        <v>76</v>
      </c>
      <c r="AC2708" s="204"/>
      <c r="AD2708" s="204"/>
    </row>
    <row r="2709" spans="1:30" ht="29" customHeight="1">
      <c r="A2709" s="19" t="s">
        <v>7395</v>
      </c>
      <c r="B2709" s="19" t="s">
        <v>7485</v>
      </c>
      <c r="C2709" s="204" t="s">
        <v>24</v>
      </c>
      <c r="D2709" s="204" t="s">
        <v>1242</v>
      </c>
      <c r="E2709" s="204" t="s">
        <v>3209</v>
      </c>
      <c r="F2709" s="152" t="s">
        <v>2276</v>
      </c>
      <c r="G2709" s="152" t="s">
        <v>2276</v>
      </c>
      <c r="H2709" s="204" t="s">
        <v>523</v>
      </c>
      <c r="I2709" s="204">
        <v>2009</v>
      </c>
      <c r="J2709" s="204" t="s">
        <v>2276</v>
      </c>
      <c r="K2709" s="204" t="s">
        <v>2276</v>
      </c>
      <c r="L2709" s="204" t="s">
        <v>2276</v>
      </c>
      <c r="M2709" s="204" t="s">
        <v>2276</v>
      </c>
      <c r="N2709" s="204" t="s">
        <v>2276</v>
      </c>
      <c r="O2709" s="204" t="s">
        <v>2276</v>
      </c>
      <c r="P2709" s="204" t="s">
        <v>2276</v>
      </c>
      <c r="Q2709" s="204" t="s">
        <v>2276</v>
      </c>
      <c r="R2709" s="204" t="s">
        <v>2276</v>
      </c>
      <c r="S2709" s="204" t="s">
        <v>2276</v>
      </c>
      <c r="T2709" s="21">
        <f>1020*0.166</f>
        <v>169.32000000000002</v>
      </c>
      <c r="U2709" s="204" t="s">
        <v>2276</v>
      </c>
      <c r="V2709" s="204" t="s">
        <v>2276</v>
      </c>
      <c r="W2709" s="204" t="s">
        <v>2276</v>
      </c>
      <c r="X2709" s="21">
        <f>T2709/'Record info'!K$1145</f>
        <v>7.5086474501108655E-2</v>
      </c>
      <c r="Y2709" s="204" t="s">
        <v>2276</v>
      </c>
      <c r="Z2709" s="204" t="s">
        <v>68</v>
      </c>
      <c r="AA2709" s="204" t="s">
        <v>86</v>
      </c>
      <c r="AB2709" s="204" t="s">
        <v>76</v>
      </c>
      <c r="AC2709" s="204"/>
      <c r="AD2709" s="204"/>
    </row>
    <row r="2710" spans="1:30" s="122" customFormat="1" ht="29" customHeight="1">
      <c r="A2710" s="19" t="s">
        <v>7293</v>
      </c>
      <c r="B2710" s="19" t="s">
        <v>7483</v>
      </c>
      <c r="C2710" s="204" t="s">
        <v>24</v>
      </c>
      <c r="D2710" s="204" t="s">
        <v>1242</v>
      </c>
      <c r="E2710" s="204" t="s">
        <v>3209</v>
      </c>
      <c r="F2710" s="152" t="s">
        <v>2276</v>
      </c>
      <c r="G2710" s="152" t="s">
        <v>2276</v>
      </c>
      <c r="H2710" s="204" t="s">
        <v>523</v>
      </c>
      <c r="I2710" s="204">
        <v>2010</v>
      </c>
      <c r="J2710" s="204" t="s">
        <v>2276</v>
      </c>
      <c r="K2710" s="204" t="s">
        <v>2276</v>
      </c>
      <c r="L2710" s="204" t="s">
        <v>2276</v>
      </c>
      <c r="M2710" s="204" t="s">
        <v>2276</v>
      </c>
      <c r="N2710" s="204" t="s">
        <v>2276</v>
      </c>
      <c r="O2710" s="204" t="s">
        <v>2276</v>
      </c>
      <c r="P2710" s="204" t="s">
        <v>2276</v>
      </c>
      <c r="Q2710" s="204" t="s">
        <v>2276</v>
      </c>
      <c r="R2710" s="204" t="s">
        <v>2276</v>
      </c>
      <c r="S2710" s="204" t="s">
        <v>2276</v>
      </c>
      <c r="T2710" s="21">
        <f>2500*0.027</f>
        <v>67.5</v>
      </c>
      <c r="U2710" s="204" t="s">
        <v>2276</v>
      </c>
      <c r="V2710" s="204" t="s">
        <v>2276</v>
      </c>
      <c r="W2710" s="204" t="s">
        <v>2276</v>
      </c>
      <c r="X2710" s="21">
        <f>T2710/'Record info'!K$1128</f>
        <v>2.4107142857142858E-2</v>
      </c>
      <c r="Y2710" s="204" t="s">
        <v>2276</v>
      </c>
      <c r="Z2710" s="204" t="s">
        <v>68</v>
      </c>
      <c r="AA2710" s="204" t="s">
        <v>86</v>
      </c>
      <c r="AB2710" s="204" t="s">
        <v>76</v>
      </c>
      <c r="AC2710" s="204"/>
      <c r="AD2710" s="204"/>
    </row>
    <row r="2711" spans="1:30" s="122" customFormat="1" ht="29" customHeight="1">
      <c r="A2711" s="19" t="s">
        <v>7379</v>
      </c>
      <c r="B2711" s="19" t="s">
        <v>7486</v>
      </c>
      <c r="C2711" s="204" t="s">
        <v>24</v>
      </c>
      <c r="D2711" s="204" t="s">
        <v>1242</v>
      </c>
      <c r="E2711" s="204" t="s">
        <v>3209</v>
      </c>
      <c r="F2711" s="152" t="s">
        <v>2276</v>
      </c>
      <c r="G2711" s="152" t="s">
        <v>2276</v>
      </c>
      <c r="H2711" s="204" t="s">
        <v>523</v>
      </c>
      <c r="I2711" s="204">
        <v>2010</v>
      </c>
      <c r="J2711" s="204" t="s">
        <v>2276</v>
      </c>
      <c r="K2711" s="204" t="s">
        <v>2276</v>
      </c>
      <c r="L2711" s="204" t="s">
        <v>2276</v>
      </c>
      <c r="M2711" s="204" t="s">
        <v>2276</v>
      </c>
      <c r="N2711" s="204" t="s">
        <v>2276</v>
      </c>
      <c r="O2711" s="204" t="s">
        <v>2276</v>
      </c>
      <c r="P2711" s="204" t="s">
        <v>2276</v>
      </c>
      <c r="Q2711" s="204" t="s">
        <v>2276</v>
      </c>
      <c r="R2711" s="204" t="s">
        <v>2276</v>
      </c>
      <c r="S2711" s="204" t="s">
        <v>2276</v>
      </c>
      <c r="T2711" s="21">
        <f>2500*0.041</f>
        <v>102.5</v>
      </c>
      <c r="U2711" s="204" t="s">
        <v>2276</v>
      </c>
      <c r="V2711" s="204" t="s">
        <v>2276</v>
      </c>
      <c r="W2711" s="204" t="s">
        <v>2276</v>
      </c>
      <c r="X2711" s="21">
        <f>T2711/'Record info'!K$1129</f>
        <v>2.9160739687055477E-2</v>
      </c>
      <c r="Y2711" s="204" t="s">
        <v>2276</v>
      </c>
      <c r="Z2711" s="204" t="s">
        <v>68</v>
      </c>
      <c r="AA2711" s="204" t="s">
        <v>86</v>
      </c>
      <c r="AB2711" s="204" t="s">
        <v>76</v>
      </c>
      <c r="AC2711" s="204"/>
      <c r="AD2711" s="204"/>
    </row>
    <row r="2712" spans="1:30" s="122" customFormat="1" ht="29" customHeight="1">
      <c r="A2712" s="19" t="s">
        <v>7380</v>
      </c>
      <c r="B2712" s="19" t="s">
        <v>7487</v>
      </c>
      <c r="C2712" s="204" t="s">
        <v>24</v>
      </c>
      <c r="D2712" s="204" t="s">
        <v>1242</v>
      </c>
      <c r="E2712" s="204" t="s">
        <v>3209</v>
      </c>
      <c r="F2712" s="152" t="s">
        <v>2276</v>
      </c>
      <c r="G2712" s="152" t="s">
        <v>2276</v>
      </c>
      <c r="H2712" s="204" t="s">
        <v>523</v>
      </c>
      <c r="I2712" s="204">
        <v>2010</v>
      </c>
      <c r="J2712" s="204" t="s">
        <v>2276</v>
      </c>
      <c r="K2712" s="204" t="s">
        <v>2276</v>
      </c>
      <c r="L2712" s="204" t="s">
        <v>2276</v>
      </c>
      <c r="M2712" s="204" t="s">
        <v>2276</v>
      </c>
      <c r="N2712" s="204" t="s">
        <v>2276</v>
      </c>
      <c r="O2712" s="204" t="s">
        <v>2276</v>
      </c>
      <c r="P2712" s="204" t="s">
        <v>2276</v>
      </c>
      <c r="Q2712" s="204" t="s">
        <v>2276</v>
      </c>
      <c r="R2712" s="204" t="s">
        <v>2276</v>
      </c>
      <c r="S2712" s="204" t="s">
        <v>2276</v>
      </c>
      <c r="T2712" s="21">
        <f>2500*0.004</f>
        <v>10</v>
      </c>
      <c r="U2712" s="204" t="s">
        <v>2276</v>
      </c>
      <c r="V2712" s="204" t="s">
        <v>2276</v>
      </c>
      <c r="W2712" s="204" t="s">
        <v>2276</v>
      </c>
      <c r="X2712" s="21">
        <f>T2712/'Record info'!K$1130</f>
        <v>1.4821402104639098E-3</v>
      </c>
      <c r="Y2712" s="204" t="s">
        <v>2276</v>
      </c>
      <c r="Z2712" s="204" t="s">
        <v>68</v>
      </c>
      <c r="AA2712" s="204" t="s">
        <v>86</v>
      </c>
      <c r="AB2712" s="204" t="s">
        <v>76</v>
      </c>
      <c r="AC2712" s="204"/>
      <c r="AD2712" s="204"/>
    </row>
    <row r="2713" spans="1:30" s="122" customFormat="1" ht="29" customHeight="1">
      <c r="A2713" s="19" t="s">
        <v>7381</v>
      </c>
      <c r="B2713" s="19" t="s">
        <v>7488</v>
      </c>
      <c r="C2713" s="204" t="s">
        <v>24</v>
      </c>
      <c r="D2713" s="204" t="s">
        <v>1242</v>
      </c>
      <c r="E2713" s="204" t="s">
        <v>3209</v>
      </c>
      <c r="F2713" s="152" t="s">
        <v>2276</v>
      </c>
      <c r="G2713" s="152" t="s">
        <v>2276</v>
      </c>
      <c r="H2713" s="204" t="s">
        <v>523</v>
      </c>
      <c r="I2713" s="204">
        <v>2010</v>
      </c>
      <c r="J2713" s="204" t="s">
        <v>2276</v>
      </c>
      <c r="K2713" s="204" t="s">
        <v>2276</v>
      </c>
      <c r="L2713" s="204" t="s">
        <v>2276</v>
      </c>
      <c r="M2713" s="204" t="s">
        <v>2276</v>
      </c>
      <c r="N2713" s="204" t="s">
        <v>2276</v>
      </c>
      <c r="O2713" s="204" t="s">
        <v>2276</v>
      </c>
      <c r="P2713" s="204" t="s">
        <v>2276</v>
      </c>
      <c r="Q2713" s="204" t="s">
        <v>2276</v>
      </c>
      <c r="R2713" s="204" t="s">
        <v>2276</v>
      </c>
      <c r="S2713" s="204" t="s">
        <v>2276</v>
      </c>
      <c r="T2713" s="21">
        <f>2500*0.004</f>
        <v>10</v>
      </c>
      <c r="U2713" s="204" t="s">
        <v>2276</v>
      </c>
      <c r="V2713" s="204" t="s">
        <v>2276</v>
      </c>
      <c r="W2713" s="204" t="s">
        <v>2276</v>
      </c>
      <c r="X2713" s="21">
        <f>T2713/'Record info'!K$1131</f>
        <v>1.9747235387045812E-3</v>
      </c>
      <c r="Y2713" s="204" t="s">
        <v>2276</v>
      </c>
      <c r="Z2713" s="204" t="s">
        <v>68</v>
      </c>
      <c r="AA2713" s="204" t="s">
        <v>86</v>
      </c>
      <c r="AB2713" s="204" t="s">
        <v>76</v>
      </c>
      <c r="AC2713" s="204"/>
      <c r="AD2713" s="204"/>
    </row>
    <row r="2714" spans="1:30" s="122" customFormat="1" ht="29" customHeight="1">
      <c r="A2714" s="19" t="s">
        <v>7382</v>
      </c>
      <c r="B2714" s="19" t="s">
        <v>7489</v>
      </c>
      <c r="C2714" s="204" t="s">
        <v>24</v>
      </c>
      <c r="D2714" s="204" t="s">
        <v>1242</v>
      </c>
      <c r="E2714" s="204" t="s">
        <v>3209</v>
      </c>
      <c r="F2714" s="152" t="s">
        <v>2276</v>
      </c>
      <c r="G2714" s="152" t="s">
        <v>2276</v>
      </c>
      <c r="H2714" s="204" t="s">
        <v>524</v>
      </c>
      <c r="I2714" s="204">
        <v>2010</v>
      </c>
      <c r="J2714" s="21">
        <v>0</v>
      </c>
      <c r="K2714" s="21">
        <v>0</v>
      </c>
      <c r="L2714" s="21">
        <v>0</v>
      </c>
      <c r="M2714" s="21">
        <v>0</v>
      </c>
      <c r="N2714" s="21">
        <v>0</v>
      </c>
      <c r="O2714" s="21">
        <v>0</v>
      </c>
      <c r="P2714" s="21">
        <v>0</v>
      </c>
      <c r="Q2714" s="21">
        <v>0</v>
      </c>
      <c r="R2714" s="21">
        <v>0</v>
      </c>
      <c r="S2714" s="21">
        <v>0</v>
      </c>
      <c r="T2714" s="21">
        <v>0</v>
      </c>
      <c r="U2714" s="21">
        <v>0</v>
      </c>
      <c r="V2714" s="21">
        <v>0</v>
      </c>
      <c r="W2714" s="21">
        <v>0</v>
      </c>
      <c r="X2714" s="21">
        <f>T2714/'Record info'!K$1132</f>
        <v>0</v>
      </c>
      <c r="Y2714" s="204" t="s">
        <v>2276</v>
      </c>
      <c r="Z2714" s="204" t="s">
        <v>68</v>
      </c>
      <c r="AA2714" s="204" t="s">
        <v>86</v>
      </c>
      <c r="AB2714" s="204" t="s">
        <v>76</v>
      </c>
      <c r="AC2714" s="204"/>
      <c r="AD2714" s="204"/>
    </row>
    <row r="2715" spans="1:30" s="122" customFormat="1" ht="29" customHeight="1">
      <c r="A2715" s="19" t="s">
        <v>7383</v>
      </c>
      <c r="B2715" s="19" t="s">
        <v>7490</v>
      </c>
      <c r="C2715" s="204" t="s">
        <v>24</v>
      </c>
      <c r="D2715" s="204" t="s">
        <v>1242</v>
      </c>
      <c r="E2715" s="204" t="s">
        <v>3209</v>
      </c>
      <c r="F2715" s="152" t="s">
        <v>2276</v>
      </c>
      <c r="G2715" s="152" t="s">
        <v>2276</v>
      </c>
      <c r="H2715" s="204" t="s">
        <v>524</v>
      </c>
      <c r="I2715" s="204">
        <v>2010</v>
      </c>
      <c r="J2715" s="21">
        <v>0</v>
      </c>
      <c r="K2715" s="21">
        <v>0</v>
      </c>
      <c r="L2715" s="21">
        <v>0</v>
      </c>
      <c r="M2715" s="21">
        <v>0</v>
      </c>
      <c r="N2715" s="21">
        <v>0</v>
      </c>
      <c r="O2715" s="21">
        <v>0</v>
      </c>
      <c r="P2715" s="21">
        <v>0</v>
      </c>
      <c r="Q2715" s="21">
        <v>0</v>
      </c>
      <c r="R2715" s="21">
        <v>0</v>
      </c>
      <c r="S2715" s="21">
        <v>0</v>
      </c>
      <c r="T2715" s="21">
        <v>0</v>
      </c>
      <c r="U2715" s="21">
        <v>0</v>
      </c>
      <c r="V2715" s="21">
        <v>0</v>
      </c>
      <c r="W2715" s="21">
        <v>0</v>
      </c>
      <c r="X2715" s="21">
        <f>T2715/'Record info'!K$1133</f>
        <v>0</v>
      </c>
      <c r="Y2715" s="204" t="s">
        <v>2276</v>
      </c>
      <c r="Z2715" s="204" t="s">
        <v>68</v>
      </c>
      <c r="AA2715" s="204" t="s">
        <v>86</v>
      </c>
      <c r="AB2715" s="204" t="s">
        <v>76</v>
      </c>
      <c r="AC2715" s="204"/>
      <c r="AD2715" s="204"/>
    </row>
    <row r="2716" spans="1:30" s="122" customFormat="1" ht="29" customHeight="1">
      <c r="A2716" s="19" t="s">
        <v>7384</v>
      </c>
      <c r="B2716" s="19" t="s">
        <v>7491</v>
      </c>
      <c r="C2716" s="204" t="s">
        <v>24</v>
      </c>
      <c r="D2716" s="204" t="s">
        <v>1242</v>
      </c>
      <c r="E2716" s="204" t="s">
        <v>3209</v>
      </c>
      <c r="F2716" s="152" t="s">
        <v>2276</v>
      </c>
      <c r="G2716" s="152" t="s">
        <v>2276</v>
      </c>
      <c r="H2716" s="204" t="s">
        <v>524</v>
      </c>
      <c r="I2716" s="204">
        <v>2010</v>
      </c>
      <c r="J2716" s="21">
        <v>0</v>
      </c>
      <c r="K2716" s="21">
        <v>0</v>
      </c>
      <c r="L2716" s="21">
        <v>0</v>
      </c>
      <c r="M2716" s="21">
        <v>0</v>
      </c>
      <c r="N2716" s="21">
        <v>0</v>
      </c>
      <c r="O2716" s="21">
        <v>0</v>
      </c>
      <c r="P2716" s="21">
        <v>0</v>
      </c>
      <c r="Q2716" s="21">
        <v>0</v>
      </c>
      <c r="R2716" s="21">
        <v>0</v>
      </c>
      <c r="S2716" s="21">
        <v>0</v>
      </c>
      <c r="T2716" s="21">
        <v>0</v>
      </c>
      <c r="U2716" s="21">
        <v>0</v>
      </c>
      <c r="V2716" s="21">
        <v>0</v>
      </c>
      <c r="W2716" s="21">
        <v>0</v>
      </c>
      <c r="X2716" s="21">
        <f>T2716/'Record info'!K$1134</f>
        <v>0</v>
      </c>
      <c r="Y2716" s="204" t="s">
        <v>2276</v>
      </c>
      <c r="Z2716" s="204" t="s">
        <v>68</v>
      </c>
      <c r="AA2716" s="204" t="s">
        <v>86</v>
      </c>
      <c r="AB2716" s="204" t="s">
        <v>76</v>
      </c>
      <c r="AC2716" s="204"/>
      <c r="AD2716" s="204"/>
    </row>
    <row r="2717" spans="1:30" s="122" customFormat="1" ht="29" customHeight="1">
      <c r="A2717" s="19" t="s">
        <v>7385</v>
      </c>
      <c r="B2717" s="19" t="s">
        <v>7492</v>
      </c>
      <c r="C2717" s="204" t="s">
        <v>24</v>
      </c>
      <c r="D2717" s="204" t="s">
        <v>1242</v>
      </c>
      <c r="E2717" s="204" t="s">
        <v>3209</v>
      </c>
      <c r="F2717" s="152" t="s">
        <v>2276</v>
      </c>
      <c r="G2717" s="152" t="s">
        <v>2276</v>
      </c>
      <c r="H2717" s="204" t="s">
        <v>523</v>
      </c>
      <c r="I2717" s="204">
        <v>2010</v>
      </c>
      <c r="J2717" s="204" t="s">
        <v>2276</v>
      </c>
      <c r="K2717" s="204" t="s">
        <v>2276</v>
      </c>
      <c r="L2717" s="204" t="s">
        <v>2276</v>
      </c>
      <c r="M2717" s="204" t="s">
        <v>2276</v>
      </c>
      <c r="N2717" s="204" t="s">
        <v>2276</v>
      </c>
      <c r="O2717" s="204" t="s">
        <v>2276</v>
      </c>
      <c r="P2717" s="204" t="s">
        <v>2276</v>
      </c>
      <c r="Q2717" s="204" t="s">
        <v>2276</v>
      </c>
      <c r="R2717" s="204" t="s">
        <v>2276</v>
      </c>
      <c r="S2717" s="204" t="s">
        <v>2276</v>
      </c>
      <c r="T2717" s="21">
        <f>2500*0.035</f>
        <v>87.500000000000014</v>
      </c>
      <c r="U2717" s="204" t="s">
        <v>2276</v>
      </c>
      <c r="V2717" s="204" t="s">
        <v>2276</v>
      </c>
      <c r="W2717" s="204" t="s">
        <v>2276</v>
      </c>
      <c r="X2717" s="21">
        <f>T2717/'Record info'!K$1135</f>
        <v>1.442704039571311E-2</v>
      </c>
      <c r="Y2717" s="204" t="s">
        <v>2276</v>
      </c>
      <c r="Z2717" s="204" t="s">
        <v>68</v>
      </c>
      <c r="AA2717" s="204" t="s">
        <v>86</v>
      </c>
      <c r="AB2717" s="204" t="s">
        <v>76</v>
      </c>
      <c r="AC2717" s="204"/>
      <c r="AD2717" s="204"/>
    </row>
    <row r="2718" spans="1:30" s="122" customFormat="1" ht="29" customHeight="1">
      <c r="A2718" s="19" t="s">
        <v>7386</v>
      </c>
      <c r="B2718" s="19" t="s">
        <v>7493</v>
      </c>
      <c r="C2718" s="204" t="s">
        <v>24</v>
      </c>
      <c r="D2718" s="204" t="s">
        <v>1242</v>
      </c>
      <c r="E2718" s="204" t="s">
        <v>3209</v>
      </c>
      <c r="F2718" s="152" t="s">
        <v>2276</v>
      </c>
      <c r="G2718" s="152" t="s">
        <v>2276</v>
      </c>
      <c r="H2718" s="204" t="s">
        <v>523</v>
      </c>
      <c r="I2718" s="204">
        <v>2010</v>
      </c>
      <c r="J2718" s="204" t="s">
        <v>2276</v>
      </c>
      <c r="K2718" s="204" t="s">
        <v>2276</v>
      </c>
      <c r="L2718" s="204" t="s">
        <v>2276</v>
      </c>
      <c r="M2718" s="204" t="s">
        <v>2276</v>
      </c>
      <c r="N2718" s="204" t="s">
        <v>2276</v>
      </c>
      <c r="O2718" s="204" t="s">
        <v>2276</v>
      </c>
      <c r="P2718" s="204" t="s">
        <v>2276</v>
      </c>
      <c r="Q2718" s="204" t="s">
        <v>2276</v>
      </c>
      <c r="R2718" s="204" t="s">
        <v>2276</v>
      </c>
      <c r="S2718" s="204" t="s">
        <v>2276</v>
      </c>
      <c r="T2718" s="21">
        <f>2500*0.079</f>
        <v>197.5</v>
      </c>
      <c r="U2718" s="204" t="s">
        <v>2276</v>
      </c>
      <c r="V2718" s="204" t="s">
        <v>2276</v>
      </c>
      <c r="W2718" s="204" t="s">
        <v>2276</v>
      </c>
      <c r="X2718" s="21">
        <f>T2718/'Record info'!K$1136</f>
        <v>2.9588014981273409E-2</v>
      </c>
      <c r="Y2718" s="204" t="s">
        <v>2276</v>
      </c>
      <c r="Z2718" s="204" t="s">
        <v>68</v>
      </c>
      <c r="AA2718" s="204" t="s">
        <v>86</v>
      </c>
      <c r="AB2718" s="204" t="s">
        <v>76</v>
      </c>
      <c r="AC2718" s="204"/>
      <c r="AD2718" s="204"/>
    </row>
    <row r="2719" spans="1:30" s="122" customFormat="1" ht="29" customHeight="1">
      <c r="A2719" s="19" t="s">
        <v>7387</v>
      </c>
      <c r="B2719" s="19" t="s">
        <v>7494</v>
      </c>
      <c r="C2719" s="204" t="s">
        <v>24</v>
      </c>
      <c r="D2719" s="204" t="s">
        <v>1242</v>
      </c>
      <c r="E2719" s="204" t="s">
        <v>3209</v>
      </c>
      <c r="F2719" s="152" t="s">
        <v>2276</v>
      </c>
      <c r="G2719" s="152" t="s">
        <v>2276</v>
      </c>
      <c r="H2719" s="204" t="s">
        <v>523</v>
      </c>
      <c r="I2719" s="204">
        <v>2010</v>
      </c>
      <c r="J2719" s="204" t="s">
        <v>2276</v>
      </c>
      <c r="K2719" s="204" t="s">
        <v>2276</v>
      </c>
      <c r="L2719" s="204" t="s">
        <v>2276</v>
      </c>
      <c r="M2719" s="204" t="s">
        <v>2276</v>
      </c>
      <c r="N2719" s="204" t="s">
        <v>2276</v>
      </c>
      <c r="O2719" s="204" t="s">
        <v>2276</v>
      </c>
      <c r="P2719" s="204" t="s">
        <v>2276</v>
      </c>
      <c r="Q2719" s="204" t="s">
        <v>2276</v>
      </c>
      <c r="R2719" s="204" t="s">
        <v>2276</v>
      </c>
      <c r="S2719" s="204" t="s">
        <v>2276</v>
      </c>
      <c r="T2719" s="21">
        <f>2500*0.132</f>
        <v>330</v>
      </c>
      <c r="U2719" s="204" t="s">
        <v>2276</v>
      </c>
      <c r="V2719" s="204" t="s">
        <v>2276</v>
      </c>
      <c r="W2719" s="204" t="s">
        <v>2276</v>
      </c>
      <c r="X2719" s="21">
        <f>T2719/'Record info'!K$1137</f>
        <v>5.9804276911924609E-2</v>
      </c>
      <c r="Y2719" s="204" t="s">
        <v>2276</v>
      </c>
      <c r="Z2719" s="204" t="s">
        <v>68</v>
      </c>
      <c r="AA2719" s="204" t="s">
        <v>86</v>
      </c>
      <c r="AB2719" s="204" t="s">
        <v>76</v>
      </c>
      <c r="AC2719" s="204"/>
      <c r="AD2719" s="204"/>
    </row>
    <row r="2720" spans="1:30" s="122" customFormat="1" ht="29" customHeight="1">
      <c r="A2720" s="19" t="s">
        <v>7388</v>
      </c>
      <c r="B2720" s="19" t="s">
        <v>7495</v>
      </c>
      <c r="C2720" s="204" t="s">
        <v>24</v>
      </c>
      <c r="D2720" s="204" t="s">
        <v>1242</v>
      </c>
      <c r="E2720" s="204" t="s">
        <v>3209</v>
      </c>
      <c r="F2720" s="152" t="s">
        <v>2276</v>
      </c>
      <c r="G2720" s="152" t="s">
        <v>2276</v>
      </c>
      <c r="H2720" s="204" t="s">
        <v>523</v>
      </c>
      <c r="I2720" s="204">
        <v>2010</v>
      </c>
      <c r="J2720" s="204" t="s">
        <v>2276</v>
      </c>
      <c r="K2720" s="204" t="s">
        <v>2276</v>
      </c>
      <c r="L2720" s="204" t="s">
        <v>2276</v>
      </c>
      <c r="M2720" s="204" t="s">
        <v>2276</v>
      </c>
      <c r="N2720" s="204" t="s">
        <v>2276</v>
      </c>
      <c r="O2720" s="204" t="s">
        <v>2276</v>
      </c>
      <c r="P2720" s="204" t="s">
        <v>2276</v>
      </c>
      <c r="Q2720" s="204" t="s">
        <v>2276</v>
      </c>
      <c r="R2720" s="204" t="s">
        <v>2276</v>
      </c>
      <c r="S2720" s="204" t="s">
        <v>2276</v>
      </c>
      <c r="T2720" s="21">
        <f>2500*0.057</f>
        <v>142.5</v>
      </c>
      <c r="U2720" s="204" t="s">
        <v>2276</v>
      </c>
      <c r="V2720" s="204" t="s">
        <v>2276</v>
      </c>
      <c r="W2720" s="204" t="s">
        <v>2276</v>
      </c>
      <c r="X2720" s="21">
        <f>T2720/'Record info'!K$1138</f>
        <v>3.6103369647833797E-2</v>
      </c>
      <c r="Y2720" s="204" t="s">
        <v>2276</v>
      </c>
      <c r="Z2720" s="204" t="s">
        <v>68</v>
      </c>
      <c r="AA2720" s="204" t="s">
        <v>86</v>
      </c>
      <c r="AB2720" s="204" t="s">
        <v>76</v>
      </c>
      <c r="AC2720" s="204"/>
      <c r="AD2720" s="204"/>
    </row>
    <row r="2721" spans="1:30" s="122" customFormat="1" ht="29" customHeight="1">
      <c r="A2721" s="19" t="s">
        <v>7389</v>
      </c>
      <c r="B2721" s="19" t="s">
        <v>7496</v>
      </c>
      <c r="C2721" s="204" t="s">
        <v>24</v>
      </c>
      <c r="D2721" s="204" t="s">
        <v>1242</v>
      </c>
      <c r="E2721" s="204" t="s">
        <v>3209</v>
      </c>
      <c r="F2721" s="152" t="s">
        <v>2276</v>
      </c>
      <c r="G2721" s="152" t="s">
        <v>2276</v>
      </c>
      <c r="H2721" s="204" t="s">
        <v>523</v>
      </c>
      <c r="I2721" s="204">
        <v>2010</v>
      </c>
      <c r="J2721" s="204" t="s">
        <v>2276</v>
      </c>
      <c r="K2721" s="204" t="s">
        <v>2276</v>
      </c>
      <c r="L2721" s="204" t="s">
        <v>2276</v>
      </c>
      <c r="M2721" s="204" t="s">
        <v>2276</v>
      </c>
      <c r="N2721" s="204" t="s">
        <v>2276</v>
      </c>
      <c r="O2721" s="204" t="s">
        <v>2276</v>
      </c>
      <c r="P2721" s="204" t="s">
        <v>2276</v>
      </c>
      <c r="Q2721" s="204" t="s">
        <v>2276</v>
      </c>
      <c r="R2721" s="204" t="s">
        <v>2276</v>
      </c>
      <c r="S2721" s="204" t="s">
        <v>2276</v>
      </c>
      <c r="T2721" s="21">
        <f>2500*0.024</f>
        <v>60</v>
      </c>
      <c r="U2721" s="204" t="s">
        <v>2276</v>
      </c>
      <c r="V2721" s="204" t="s">
        <v>2276</v>
      </c>
      <c r="W2721" s="204" t="s">
        <v>2276</v>
      </c>
      <c r="X2721" s="21">
        <f>T2721/'Record info'!K$1139</f>
        <v>2.1367521367521368E-2</v>
      </c>
      <c r="Y2721" s="204" t="s">
        <v>2276</v>
      </c>
      <c r="Z2721" s="204" t="s">
        <v>68</v>
      </c>
      <c r="AA2721" s="204" t="s">
        <v>86</v>
      </c>
      <c r="AB2721" s="204" t="s">
        <v>76</v>
      </c>
      <c r="AC2721" s="204"/>
      <c r="AD2721" s="204"/>
    </row>
    <row r="2722" spans="1:30" s="122" customFormat="1" ht="29" customHeight="1">
      <c r="A2722" s="19" t="s">
        <v>7390</v>
      </c>
      <c r="B2722" s="19" t="s">
        <v>7497</v>
      </c>
      <c r="C2722" s="204" t="s">
        <v>24</v>
      </c>
      <c r="D2722" s="204" t="s">
        <v>1242</v>
      </c>
      <c r="E2722" s="204" t="s">
        <v>3209</v>
      </c>
      <c r="F2722" s="152" t="s">
        <v>2276</v>
      </c>
      <c r="G2722" s="152" t="s">
        <v>2276</v>
      </c>
      <c r="H2722" s="204" t="s">
        <v>523</v>
      </c>
      <c r="I2722" s="204">
        <v>2010</v>
      </c>
      <c r="J2722" s="204" t="s">
        <v>2276</v>
      </c>
      <c r="K2722" s="204" t="s">
        <v>2276</v>
      </c>
      <c r="L2722" s="204" t="s">
        <v>2276</v>
      </c>
      <c r="M2722" s="204" t="s">
        <v>2276</v>
      </c>
      <c r="N2722" s="204" t="s">
        <v>2276</v>
      </c>
      <c r="O2722" s="204" t="s">
        <v>2276</v>
      </c>
      <c r="P2722" s="204" t="s">
        <v>2276</v>
      </c>
      <c r="Q2722" s="204" t="s">
        <v>2276</v>
      </c>
      <c r="R2722" s="204" t="s">
        <v>2276</v>
      </c>
      <c r="S2722" s="204" t="s">
        <v>2276</v>
      </c>
      <c r="T2722" s="21">
        <f>2500*0.072</f>
        <v>180</v>
      </c>
      <c r="U2722" s="204" t="s">
        <v>2276</v>
      </c>
      <c r="V2722" s="204" t="s">
        <v>2276</v>
      </c>
      <c r="W2722" s="204" t="s">
        <v>2276</v>
      </c>
      <c r="X2722" s="21">
        <f>T2722/'Record info'!K$1140</f>
        <v>3.5949670461354104E-2</v>
      </c>
      <c r="Y2722" s="204" t="s">
        <v>2276</v>
      </c>
      <c r="Z2722" s="204" t="s">
        <v>68</v>
      </c>
      <c r="AA2722" s="204" t="s">
        <v>86</v>
      </c>
      <c r="AB2722" s="204" t="s">
        <v>76</v>
      </c>
      <c r="AC2722" s="204"/>
      <c r="AD2722" s="204"/>
    </row>
    <row r="2723" spans="1:30" s="122" customFormat="1" ht="29" customHeight="1">
      <c r="A2723" s="19" t="s">
        <v>7391</v>
      </c>
      <c r="B2723" s="19" t="s">
        <v>7498</v>
      </c>
      <c r="C2723" s="204" t="s">
        <v>24</v>
      </c>
      <c r="D2723" s="204" t="s">
        <v>1242</v>
      </c>
      <c r="E2723" s="204" t="s">
        <v>3209</v>
      </c>
      <c r="F2723" s="152" t="s">
        <v>2276</v>
      </c>
      <c r="G2723" s="152" t="s">
        <v>2276</v>
      </c>
      <c r="H2723" s="204" t="s">
        <v>523</v>
      </c>
      <c r="I2723" s="204">
        <v>2010</v>
      </c>
      <c r="J2723" s="204" t="s">
        <v>2276</v>
      </c>
      <c r="K2723" s="204" t="s">
        <v>2276</v>
      </c>
      <c r="L2723" s="204" t="s">
        <v>2276</v>
      </c>
      <c r="M2723" s="204" t="s">
        <v>2276</v>
      </c>
      <c r="N2723" s="204" t="s">
        <v>2276</v>
      </c>
      <c r="O2723" s="204" t="s">
        <v>2276</v>
      </c>
      <c r="P2723" s="204" t="s">
        <v>2276</v>
      </c>
      <c r="Q2723" s="204" t="s">
        <v>2276</v>
      </c>
      <c r="R2723" s="204" t="s">
        <v>2276</v>
      </c>
      <c r="S2723" s="204" t="s">
        <v>2276</v>
      </c>
      <c r="T2723" s="21">
        <f>2500*0.068</f>
        <v>170</v>
      </c>
      <c r="U2723" s="204" t="s">
        <v>2276</v>
      </c>
      <c r="V2723" s="204" t="s">
        <v>2276</v>
      </c>
      <c r="W2723" s="204" t="s">
        <v>2276</v>
      </c>
      <c r="X2723" s="21">
        <f>T2723/'Record info'!K$1141</f>
        <v>0.14480408858603067</v>
      </c>
      <c r="Y2723" s="204" t="s">
        <v>2276</v>
      </c>
      <c r="Z2723" s="204" t="s">
        <v>68</v>
      </c>
      <c r="AA2723" s="204" t="s">
        <v>86</v>
      </c>
      <c r="AB2723" s="204" t="s">
        <v>76</v>
      </c>
      <c r="AC2723" s="204"/>
      <c r="AD2723" s="204"/>
    </row>
    <row r="2724" spans="1:30" s="122" customFormat="1" ht="29" customHeight="1">
      <c r="A2724" s="19" t="s">
        <v>7392</v>
      </c>
      <c r="B2724" s="19" t="s">
        <v>7499</v>
      </c>
      <c r="C2724" s="204" t="s">
        <v>24</v>
      </c>
      <c r="D2724" s="204" t="s">
        <v>1242</v>
      </c>
      <c r="E2724" s="204" t="s">
        <v>3209</v>
      </c>
      <c r="F2724" s="152" t="s">
        <v>2276</v>
      </c>
      <c r="G2724" s="152" t="s">
        <v>2276</v>
      </c>
      <c r="H2724" s="204" t="s">
        <v>523</v>
      </c>
      <c r="I2724" s="204">
        <v>2010</v>
      </c>
      <c r="J2724" s="204" t="s">
        <v>2276</v>
      </c>
      <c r="K2724" s="204" t="s">
        <v>2276</v>
      </c>
      <c r="L2724" s="204" t="s">
        <v>2276</v>
      </c>
      <c r="M2724" s="204" t="s">
        <v>2276</v>
      </c>
      <c r="N2724" s="204" t="s">
        <v>2276</v>
      </c>
      <c r="O2724" s="204" t="s">
        <v>2276</v>
      </c>
      <c r="P2724" s="204" t="s">
        <v>2276</v>
      </c>
      <c r="Q2724" s="204" t="s">
        <v>2276</v>
      </c>
      <c r="R2724" s="204" t="s">
        <v>2276</v>
      </c>
      <c r="S2724" s="204" t="s">
        <v>2276</v>
      </c>
      <c r="T2724" s="21">
        <f>2500*0.075</f>
        <v>187.5</v>
      </c>
      <c r="U2724" s="204" t="s">
        <v>2276</v>
      </c>
      <c r="V2724" s="204" t="s">
        <v>2276</v>
      </c>
      <c r="W2724" s="204" t="s">
        <v>2276</v>
      </c>
      <c r="X2724" s="21">
        <f>T2724/'Record info'!K$1142</f>
        <v>4.3322550831792976E-2</v>
      </c>
      <c r="Y2724" s="204" t="s">
        <v>2276</v>
      </c>
      <c r="Z2724" s="204" t="s">
        <v>68</v>
      </c>
      <c r="AA2724" s="204" t="s">
        <v>86</v>
      </c>
      <c r="AB2724" s="204" t="s">
        <v>76</v>
      </c>
      <c r="AC2724" s="204"/>
      <c r="AD2724" s="204"/>
    </row>
    <row r="2725" spans="1:30" s="122" customFormat="1" ht="29" customHeight="1">
      <c r="A2725" s="19" t="s">
        <v>7393</v>
      </c>
      <c r="B2725" s="19" t="s">
        <v>7500</v>
      </c>
      <c r="C2725" s="204" t="s">
        <v>24</v>
      </c>
      <c r="D2725" s="204" t="s">
        <v>1242</v>
      </c>
      <c r="E2725" s="204" t="s">
        <v>3209</v>
      </c>
      <c r="F2725" s="152" t="s">
        <v>2276</v>
      </c>
      <c r="G2725" s="152" t="s">
        <v>2276</v>
      </c>
      <c r="H2725" s="204" t="s">
        <v>523</v>
      </c>
      <c r="I2725" s="204">
        <v>2010</v>
      </c>
      <c r="J2725" s="204" t="s">
        <v>2276</v>
      </c>
      <c r="K2725" s="204" t="s">
        <v>2276</v>
      </c>
      <c r="L2725" s="204" t="s">
        <v>2276</v>
      </c>
      <c r="M2725" s="204" t="s">
        <v>2276</v>
      </c>
      <c r="N2725" s="204" t="s">
        <v>2276</v>
      </c>
      <c r="O2725" s="204" t="s">
        <v>2276</v>
      </c>
      <c r="P2725" s="204" t="s">
        <v>2276</v>
      </c>
      <c r="Q2725" s="204" t="s">
        <v>2276</v>
      </c>
      <c r="R2725" s="204" t="s">
        <v>2276</v>
      </c>
      <c r="S2725" s="204" t="s">
        <v>2276</v>
      </c>
      <c r="T2725" s="21">
        <f>2500*0.111</f>
        <v>277.5</v>
      </c>
      <c r="U2725" s="204" t="s">
        <v>2276</v>
      </c>
      <c r="V2725" s="204" t="s">
        <v>2276</v>
      </c>
      <c r="W2725" s="204" t="s">
        <v>2276</v>
      </c>
      <c r="X2725" s="21">
        <f>T2725/'Record info'!K$1143</f>
        <v>0.11586638830897704</v>
      </c>
      <c r="Y2725" s="204" t="s">
        <v>2276</v>
      </c>
      <c r="Z2725" s="204" t="s">
        <v>68</v>
      </c>
      <c r="AA2725" s="204" t="s">
        <v>86</v>
      </c>
      <c r="AB2725" s="204" t="s">
        <v>76</v>
      </c>
      <c r="AC2725" s="204"/>
      <c r="AD2725" s="204"/>
    </row>
    <row r="2726" spans="1:30" s="122" customFormat="1" ht="29" customHeight="1">
      <c r="A2726" s="19" t="s">
        <v>7394</v>
      </c>
      <c r="B2726" s="19" t="s">
        <v>7501</v>
      </c>
      <c r="C2726" s="204" t="s">
        <v>24</v>
      </c>
      <c r="D2726" s="204" t="s">
        <v>1242</v>
      </c>
      <c r="E2726" s="204" t="s">
        <v>3209</v>
      </c>
      <c r="F2726" s="152" t="s">
        <v>2276</v>
      </c>
      <c r="G2726" s="152" t="s">
        <v>2276</v>
      </c>
      <c r="H2726" s="204" t="s">
        <v>523</v>
      </c>
      <c r="I2726" s="204">
        <v>2010</v>
      </c>
      <c r="J2726" s="204" t="s">
        <v>2276</v>
      </c>
      <c r="K2726" s="204" t="s">
        <v>2276</v>
      </c>
      <c r="L2726" s="204" t="s">
        <v>2276</v>
      </c>
      <c r="M2726" s="204" t="s">
        <v>2276</v>
      </c>
      <c r="N2726" s="204" t="s">
        <v>2276</v>
      </c>
      <c r="O2726" s="204" t="s">
        <v>2276</v>
      </c>
      <c r="P2726" s="204" t="s">
        <v>2276</v>
      </c>
      <c r="Q2726" s="204" t="s">
        <v>2276</v>
      </c>
      <c r="R2726" s="204" t="s">
        <v>2276</v>
      </c>
      <c r="S2726" s="204" t="s">
        <v>2276</v>
      </c>
      <c r="T2726" s="21">
        <f>2500*0.106</f>
        <v>265</v>
      </c>
      <c r="U2726" s="204" t="s">
        <v>2276</v>
      </c>
      <c r="V2726" s="204" t="s">
        <v>2276</v>
      </c>
      <c r="W2726" s="204" t="s">
        <v>2276</v>
      </c>
      <c r="X2726" s="21">
        <f>T2726/'Record info'!K$1144</f>
        <v>9.9139543583988035E-2</v>
      </c>
      <c r="Y2726" s="204" t="s">
        <v>2276</v>
      </c>
      <c r="Z2726" s="204" t="s">
        <v>68</v>
      </c>
      <c r="AA2726" s="204" t="s">
        <v>86</v>
      </c>
      <c r="AB2726" s="204" t="s">
        <v>76</v>
      </c>
      <c r="AC2726" s="204"/>
      <c r="AD2726" s="204"/>
    </row>
    <row r="2727" spans="1:30" s="122" customFormat="1" ht="32.5" customHeight="1">
      <c r="A2727" s="19" t="s">
        <v>7395</v>
      </c>
      <c r="B2727" s="19" t="s">
        <v>7502</v>
      </c>
      <c r="C2727" s="204" t="s">
        <v>24</v>
      </c>
      <c r="D2727" s="204" t="s">
        <v>1242</v>
      </c>
      <c r="E2727" s="204" t="s">
        <v>3209</v>
      </c>
      <c r="F2727" s="152" t="s">
        <v>2276</v>
      </c>
      <c r="G2727" s="152" t="s">
        <v>2276</v>
      </c>
      <c r="H2727" s="204" t="s">
        <v>523</v>
      </c>
      <c r="I2727" s="204">
        <v>2010</v>
      </c>
      <c r="J2727" s="204" t="s">
        <v>2276</v>
      </c>
      <c r="K2727" s="204" t="s">
        <v>2276</v>
      </c>
      <c r="L2727" s="204" t="s">
        <v>2276</v>
      </c>
      <c r="M2727" s="204" t="s">
        <v>2276</v>
      </c>
      <c r="N2727" s="204" t="s">
        <v>2276</v>
      </c>
      <c r="O2727" s="204" t="s">
        <v>2276</v>
      </c>
      <c r="P2727" s="204" t="s">
        <v>2276</v>
      </c>
      <c r="Q2727" s="204" t="s">
        <v>2276</v>
      </c>
      <c r="R2727" s="204" t="s">
        <v>2276</v>
      </c>
      <c r="S2727" s="204" t="s">
        <v>2276</v>
      </c>
      <c r="T2727" s="21">
        <f>2500*0.166</f>
        <v>415</v>
      </c>
      <c r="U2727" s="204" t="s">
        <v>2276</v>
      </c>
      <c r="V2727" s="204" t="s">
        <v>2276</v>
      </c>
      <c r="W2727" s="204" t="s">
        <v>2276</v>
      </c>
      <c r="X2727" s="21">
        <f>T2727/'Record info'!K$1145</f>
        <v>0.18403547671840353</v>
      </c>
      <c r="Y2727" s="204" t="s">
        <v>2276</v>
      </c>
      <c r="Z2727" s="204" t="s">
        <v>68</v>
      </c>
      <c r="AA2727" s="204" t="s">
        <v>86</v>
      </c>
      <c r="AB2727" s="204" t="s">
        <v>76</v>
      </c>
      <c r="AC2727" s="204"/>
      <c r="AD2727" s="204"/>
    </row>
    <row r="2728" spans="1:30" ht="32.5" customHeight="1">
      <c r="A2728" s="19" t="s">
        <v>7293</v>
      </c>
      <c r="B2728" s="19" t="s">
        <v>7503</v>
      </c>
      <c r="C2728" s="204" t="s">
        <v>24</v>
      </c>
      <c r="D2728" s="204" t="s">
        <v>1242</v>
      </c>
      <c r="E2728" s="204" t="s">
        <v>3209</v>
      </c>
      <c r="F2728" s="152" t="s">
        <v>2276</v>
      </c>
      <c r="G2728" s="152" t="s">
        <v>2276</v>
      </c>
      <c r="H2728" s="204" t="s">
        <v>523</v>
      </c>
      <c r="I2728" s="204">
        <v>2011</v>
      </c>
      <c r="J2728" s="204" t="s">
        <v>2276</v>
      </c>
      <c r="K2728" s="204" t="s">
        <v>2276</v>
      </c>
      <c r="L2728" s="204" t="s">
        <v>2276</v>
      </c>
      <c r="M2728" s="204" t="s">
        <v>2276</v>
      </c>
      <c r="N2728" s="204" t="s">
        <v>2276</v>
      </c>
      <c r="O2728" s="204" t="s">
        <v>2276</v>
      </c>
      <c r="P2728" s="204" t="s">
        <v>2276</v>
      </c>
      <c r="Q2728" s="204" t="s">
        <v>2276</v>
      </c>
      <c r="R2728" s="204" t="s">
        <v>2276</v>
      </c>
      <c r="S2728" s="204" t="s">
        <v>2276</v>
      </c>
      <c r="T2728" s="21">
        <f>1750*0.027</f>
        <v>47.25</v>
      </c>
      <c r="U2728" s="204" t="s">
        <v>2276</v>
      </c>
      <c r="V2728" s="204" t="s">
        <v>2276</v>
      </c>
      <c r="W2728" s="204" t="s">
        <v>2276</v>
      </c>
      <c r="X2728" s="21">
        <f>T2728/'Record info'!K$1128</f>
        <v>1.6875000000000001E-2</v>
      </c>
      <c r="Y2728" s="204" t="s">
        <v>2276</v>
      </c>
      <c r="Z2728" s="204" t="s">
        <v>68</v>
      </c>
      <c r="AA2728" s="204" t="s">
        <v>86</v>
      </c>
      <c r="AB2728" s="204" t="s">
        <v>76</v>
      </c>
      <c r="AC2728" s="204"/>
      <c r="AD2728" s="204"/>
    </row>
    <row r="2729" spans="1:30" ht="32.5" customHeight="1">
      <c r="A2729" s="19" t="s">
        <v>7379</v>
      </c>
      <c r="B2729" s="19" t="s">
        <v>7504</v>
      </c>
      <c r="C2729" s="204" t="s">
        <v>24</v>
      </c>
      <c r="D2729" s="204" t="s">
        <v>1242</v>
      </c>
      <c r="E2729" s="204" t="s">
        <v>3209</v>
      </c>
      <c r="F2729" s="152" t="s">
        <v>2276</v>
      </c>
      <c r="G2729" s="152" t="s">
        <v>2276</v>
      </c>
      <c r="H2729" s="204" t="s">
        <v>523</v>
      </c>
      <c r="I2729" s="204">
        <v>2011</v>
      </c>
      <c r="J2729" s="204" t="s">
        <v>2276</v>
      </c>
      <c r="K2729" s="204" t="s">
        <v>2276</v>
      </c>
      <c r="L2729" s="204" t="s">
        <v>2276</v>
      </c>
      <c r="M2729" s="204" t="s">
        <v>2276</v>
      </c>
      <c r="N2729" s="204" t="s">
        <v>2276</v>
      </c>
      <c r="O2729" s="204" t="s">
        <v>2276</v>
      </c>
      <c r="P2729" s="204" t="s">
        <v>2276</v>
      </c>
      <c r="Q2729" s="204" t="s">
        <v>2276</v>
      </c>
      <c r="R2729" s="204" t="s">
        <v>2276</v>
      </c>
      <c r="S2729" s="204" t="s">
        <v>2276</v>
      </c>
      <c r="T2729" s="21">
        <f>1750*0.041</f>
        <v>71.75</v>
      </c>
      <c r="U2729" s="204" t="s">
        <v>2276</v>
      </c>
      <c r="V2729" s="204" t="s">
        <v>2276</v>
      </c>
      <c r="W2729" s="204" t="s">
        <v>2276</v>
      </c>
      <c r="X2729" s="21">
        <f>T2729/'Record info'!K$1129</f>
        <v>2.0412517780938833E-2</v>
      </c>
      <c r="Y2729" s="204" t="s">
        <v>2276</v>
      </c>
      <c r="Z2729" s="204" t="s">
        <v>68</v>
      </c>
      <c r="AA2729" s="204" t="s">
        <v>86</v>
      </c>
      <c r="AB2729" s="204" t="s">
        <v>76</v>
      </c>
      <c r="AC2729" s="204"/>
      <c r="AD2729" s="204"/>
    </row>
    <row r="2730" spans="1:30" ht="32.5" customHeight="1">
      <c r="A2730" s="19" t="s">
        <v>7380</v>
      </c>
      <c r="B2730" s="19" t="s">
        <v>7505</v>
      </c>
      <c r="C2730" s="204" t="s">
        <v>24</v>
      </c>
      <c r="D2730" s="204" t="s">
        <v>1242</v>
      </c>
      <c r="E2730" s="204" t="s">
        <v>3209</v>
      </c>
      <c r="F2730" s="152" t="s">
        <v>2276</v>
      </c>
      <c r="G2730" s="152" t="s">
        <v>2276</v>
      </c>
      <c r="H2730" s="204" t="s">
        <v>523</v>
      </c>
      <c r="I2730" s="204">
        <v>2011</v>
      </c>
      <c r="J2730" s="204" t="s">
        <v>2276</v>
      </c>
      <c r="K2730" s="204" t="s">
        <v>2276</v>
      </c>
      <c r="L2730" s="204" t="s">
        <v>2276</v>
      </c>
      <c r="M2730" s="204" t="s">
        <v>2276</v>
      </c>
      <c r="N2730" s="204" t="s">
        <v>2276</v>
      </c>
      <c r="O2730" s="204" t="s">
        <v>2276</v>
      </c>
      <c r="P2730" s="204" t="s">
        <v>2276</v>
      </c>
      <c r="Q2730" s="204" t="s">
        <v>2276</v>
      </c>
      <c r="R2730" s="204" t="s">
        <v>2276</v>
      </c>
      <c r="S2730" s="204" t="s">
        <v>2276</v>
      </c>
      <c r="T2730" s="21">
        <f>1750*0.004</f>
        <v>7</v>
      </c>
      <c r="U2730" s="204" t="s">
        <v>2276</v>
      </c>
      <c r="V2730" s="204" t="s">
        <v>2276</v>
      </c>
      <c r="W2730" s="204" t="s">
        <v>2276</v>
      </c>
      <c r="X2730" s="21">
        <f>T2730/'Record info'!K$1130</f>
        <v>1.037498147324737E-3</v>
      </c>
      <c r="Y2730" s="204" t="s">
        <v>2276</v>
      </c>
      <c r="Z2730" s="204" t="s">
        <v>68</v>
      </c>
      <c r="AA2730" s="204" t="s">
        <v>86</v>
      </c>
      <c r="AB2730" s="204" t="s">
        <v>76</v>
      </c>
      <c r="AC2730" s="204"/>
      <c r="AD2730" s="204"/>
    </row>
    <row r="2731" spans="1:30" ht="32.5" customHeight="1">
      <c r="A2731" s="19" t="s">
        <v>7381</v>
      </c>
      <c r="B2731" s="19" t="s">
        <v>7506</v>
      </c>
      <c r="C2731" s="204" t="s">
        <v>24</v>
      </c>
      <c r="D2731" s="204" t="s">
        <v>1242</v>
      </c>
      <c r="E2731" s="204" t="s">
        <v>3209</v>
      </c>
      <c r="F2731" s="152" t="s">
        <v>2276</v>
      </c>
      <c r="G2731" s="152" t="s">
        <v>2276</v>
      </c>
      <c r="H2731" s="204" t="s">
        <v>523</v>
      </c>
      <c r="I2731" s="204">
        <v>2011</v>
      </c>
      <c r="J2731" s="204" t="s">
        <v>2276</v>
      </c>
      <c r="K2731" s="204" t="s">
        <v>2276</v>
      </c>
      <c r="L2731" s="204" t="s">
        <v>2276</v>
      </c>
      <c r="M2731" s="204" t="s">
        <v>2276</v>
      </c>
      <c r="N2731" s="204" t="s">
        <v>2276</v>
      </c>
      <c r="O2731" s="204" t="s">
        <v>2276</v>
      </c>
      <c r="P2731" s="204" t="s">
        <v>2276</v>
      </c>
      <c r="Q2731" s="204" t="s">
        <v>2276</v>
      </c>
      <c r="R2731" s="204" t="s">
        <v>2276</v>
      </c>
      <c r="S2731" s="204" t="s">
        <v>2276</v>
      </c>
      <c r="T2731" s="21">
        <f>1750*0.004</f>
        <v>7</v>
      </c>
      <c r="U2731" s="204" t="s">
        <v>2276</v>
      </c>
      <c r="V2731" s="204" t="s">
        <v>2276</v>
      </c>
      <c r="W2731" s="204" t="s">
        <v>2276</v>
      </c>
      <c r="X2731" s="21">
        <f>T2731/'Record info'!K$1131</f>
        <v>1.382306477093207E-3</v>
      </c>
      <c r="Y2731" s="204" t="s">
        <v>2276</v>
      </c>
      <c r="Z2731" s="204" t="s">
        <v>68</v>
      </c>
      <c r="AA2731" s="204" t="s">
        <v>86</v>
      </c>
      <c r="AB2731" s="204" t="s">
        <v>76</v>
      </c>
      <c r="AC2731" s="204"/>
      <c r="AD2731" s="204"/>
    </row>
    <row r="2732" spans="1:30" ht="32.5" customHeight="1">
      <c r="A2732" s="19" t="s">
        <v>7382</v>
      </c>
      <c r="B2732" s="19" t="s">
        <v>7507</v>
      </c>
      <c r="C2732" s="204" t="s">
        <v>24</v>
      </c>
      <c r="D2732" s="204" t="s">
        <v>1242</v>
      </c>
      <c r="E2732" s="204" t="s">
        <v>3209</v>
      </c>
      <c r="F2732" s="152" t="s">
        <v>2276</v>
      </c>
      <c r="G2732" s="152" t="s">
        <v>2276</v>
      </c>
      <c r="H2732" s="204" t="s">
        <v>524</v>
      </c>
      <c r="I2732" s="204">
        <v>2011</v>
      </c>
      <c r="J2732" s="21">
        <v>0</v>
      </c>
      <c r="K2732" s="21">
        <v>0</v>
      </c>
      <c r="L2732" s="21">
        <v>0</v>
      </c>
      <c r="M2732" s="21">
        <v>0</v>
      </c>
      <c r="N2732" s="21">
        <v>0</v>
      </c>
      <c r="O2732" s="21">
        <v>0</v>
      </c>
      <c r="P2732" s="21">
        <v>0</v>
      </c>
      <c r="Q2732" s="21">
        <v>0</v>
      </c>
      <c r="R2732" s="21">
        <v>0</v>
      </c>
      <c r="S2732" s="21">
        <v>0</v>
      </c>
      <c r="T2732" s="21">
        <v>0</v>
      </c>
      <c r="U2732" s="21">
        <v>0</v>
      </c>
      <c r="V2732" s="21">
        <v>0</v>
      </c>
      <c r="W2732" s="21">
        <v>0</v>
      </c>
      <c r="X2732" s="21">
        <f>T2732/'Record info'!K$1132</f>
        <v>0</v>
      </c>
      <c r="Y2732" s="204" t="s">
        <v>2276</v>
      </c>
      <c r="Z2732" s="204" t="s">
        <v>68</v>
      </c>
      <c r="AA2732" s="204" t="s">
        <v>86</v>
      </c>
      <c r="AB2732" s="204" t="s">
        <v>76</v>
      </c>
      <c r="AC2732" s="204"/>
      <c r="AD2732" s="204"/>
    </row>
    <row r="2733" spans="1:30" ht="32.5" customHeight="1">
      <c r="A2733" s="19" t="s">
        <v>7383</v>
      </c>
      <c r="B2733" s="19" t="s">
        <v>7508</v>
      </c>
      <c r="C2733" s="204" t="s">
        <v>24</v>
      </c>
      <c r="D2733" s="204" t="s">
        <v>1242</v>
      </c>
      <c r="E2733" s="204" t="s">
        <v>3209</v>
      </c>
      <c r="F2733" s="152" t="s">
        <v>2276</v>
      </c>
      <c r="G2733" s="152" t="s">
        <v>2276</v>
      </c>
      <c r="H2733" s="204" t="s">
        <v>524</v>
      </c>
      <c r="I2733" s="204">
        <v>2011</v>
      </c>
      <c r="J2733" s="21">
        <v>0</v>
      </c>
      <c r="K2733" s="21">
        <v>0</v>
      </c>
      <c r="L2733" s="21">
        <v>0</v>
      </c>
      <c r="M2733" s="21">
        <v>0</v>
      </c>
      <c r="N2733" s="21">
        <v>0</v>
      </c>
      <c r="O2733" s="21">
        <v>0</v>
      </c>
      <c r="P2733" s="21">
        <v>0</v>
      </c>
      <c r="Q2733" s="21">
        <v>0</v>
      </c>
      <c r="R2733" s="21">
        <v>0</v>
      </c>
      <c r="S2733" s="21">
        <v>0</v>
      </c>
      <c r="T2733" s="21">
        <v>0</v>
      </c>
      <c r="U2733" s="21">
        <v>0</v>
      </c>
      <c r="V2733" s="21">
        <v>0</v>
      </c>
      <c r="W2733" s="21">
        <v>0</v>
      </c>
      <c r="X2733" s="21">
        <f>T2733/'Record info'!K$1133</f>
        <v>0</v>
      </c>
      <c r="Y2733" s="204" t="s">
        <v>2276</v>
      </c>
      <c r="Z2733" s="204" t="s">
        <v>68</v>
      </c>
      <c r="AA2733" s="204" t="s">
        <v>86</v>
      </c>
      <c r="AB2733" s="204" t="s">
        <v>76</v>
      </c>
      <c r="AC2733" s="204"/>
      <c r="AD2733" s="204"/>
    </row>
    <row r="2734" spans="1:30" ht="32.5" customHeight="1">
      <c r="A2734" s="19" t="s">
        <v>7384</v>
      </c>
      <c r="B2734" s="19" t="s">
        <v>7509</v>
      </c>
      <c r="C2734" s="204" t="s">
        <v>24</v>
      </c>
      <c r="D2734" s="204" t="s">
        <v>1242</v>
      </c>
      <c r="E2734" s="204" t="s">
        <v>3209</v>
      </c>
      <c r="F2734" s="152" t="s">
        <v>2276</v>
      </c>
      <c r="G2734" s="152" t="s">
        <v>2276</v>
      </c>
      <c r="H2734" s="204" t="s">
        <v>524</v>
      </c>
      <c r="I2734" s="204">
        <v>2011</v>
      </c>
      <c r="J2734" s="21">
        <v>0</v>
      </c>
      <c r="K2734" s="21">
        <v>0</v>
      </c>
      <c r="L2734" s="21">
        <v>0</v>
      </c>
      <c r="M2734" s="21">
        <v>0</v>
      </c>
      <c r="N2734" s="21">
        <v>0</v>
      </c>
      <c r="O2734" s="21">
        <v>0</v>
      </c>
      <c r="P2734" s="21">
        <v>0</v>
      </c>
      <c r="Q2734" s="21">
        <v>0</v>
      </c>
      <c r="R2734" s="21">
        <v>0</v>
      </c>
      <c r="S2734" s="21">
        <v>0</v>
      </c>
      <c r="T2734" s="21">
        <v>0</v>
      </c>
      <c r="U2734" s="21">
        <v>0</v>
      </c>
      <c r="V2734" s="21">
        <v>0</v>
      </c>
      <c r="W2734" s="21">
        <v>0</v>
      </c>
      <c r="X2734" s="21">
        <f>T2734/'Record info'!K$1134</f>
        <v>0</v>
      </c>
      <c r="Y2734" s="204" t="s">
        <v>2276</v>
      </c>
      <c r="Z2734" s="204" t="s">
        <v>68</v>
      </c>
      <c r="AA2734" s="204" t="s">
        <v>86</v>
      </c>
      <c r="AB2734" s="204" t="s">
        <v>76</v>
      </c>
      <c r="AC2734" s="204"/>
      <c r="AD2734" s="204"/>
    </row>
    <row r="2735" spans="1:30" ht="32.5" customHeight="1">
      <c r="A2735" s="19" t="s">
        <v>7385</v>
      </c>
      <c r="B2735" s="19" t="s">
        <v>7510</v>
      </c>
      <c r="C2735" s="204" t="s">
        <v>24</v>
      </c>
      <c r="D2735" s="204" t="s">
        <v>1242</v>
      </c>
      <c r="E2735" s="204" t="s">
        <v>3209</v>
      </c>
      <c r="F2735" s="152" t="s">
        <v>2276</v>
      </c>
      <c r="G2735" s="152" t="s">
        <v>2276</v>
      </c>
      <c r="H2735" s="204" t="s">
        <v>523</v>
      </c>
      <c r="I2735" s="204">
        <v>2011</v>
      </c>
      <c r="J2735" s="204" t="s">
        <v>2276</v>
      </c>
      <c r="K2735" s="204" t="s">
        <v>2276</v>
      </c>
      <c r="L2735" s="204" t="s">
        <v>2276</v>
      </c>
      <c r="M2735" s="204" t="s">
        <v>2276</v>
      </c>
      <c r="N2735" s="204" t="s">
        <v>2276</v>
      </c>
      <c r="O2735" s="204" t="s">
        <v>2276</v>
      </c>
      <c r="P2735" s="204" t="s">
        <v>2276</v>
      </c>
      <c r="Q2735" s="204" t="s">
        <v>2276</v>
      </c>
      <c r="R2735" s="204" t="s">
        <v>2276</v>
      </c>
      <c r="S2735" s="204" t="s">
        <v>2276</v>
      </c>
      <c r="T2735" s="21">
        <f>1750*0.035</f>
        <v>61.250000000000007</v>
      </c>
      <c r="U2735" s="204" t="s">
        <v>2276</v>
      </c>
      <c r="V2735" s="204" t="s">
        <v>2276</v>
      </c>
      <c r="W2735" s="204" t="s">
        <v>2276</v>
      </c>
      <c r="X2735" s="21">
        <f>T2735/'Record info'!K$1135</f>
        <v>1.0098928276999177E-2</v>
      </c>
      <c r="Y2735" s="204" t="s">
        <v>2276</v>
      </c>
      <c r="Z2735" s="204" t="s">
        <v>68</v>
      </c>
      <c r="AA2735" s="204" t="s">
        <v>86</v>
      </c>
      <c r="AB2735" s="204" t="s">
        <v>76</v>
      </c>
      <c r="AC2735" s="204"/>
      <c r="AD2735" s="204"/>
    </row>
    <row r="2736" spans="1:30" ht="32.5" customHeight="1">
      <c r="A2736" s="19" t="s">
        <v>7386</v>
      </c>
      <c r="B2736" s="19" t="s">
        <v>7511</v>
      </c>
      <c r="C2736" s="204" t="s">
        <v>24</v>
      </c>
      <c r="D2736" s="204" t="s">
        <v>1242</v>
      </c>
      <c r="E2736" s="204" t="s">
        <v>3209</v>
      </c>
      <c r="F2736" s="152" t="s">
        <v>2276</v>
      </c>
      <c r="G2736" s="152" t="s">
        <v>2276</v>
      </c>
      <c r="H2736" s="204" t="s">
        <v>523</v>
      </c>
      <c r="I2736" s="204">
        <v>2011</v>
      </c>
      <c r="J2736" s="204" t="s">
        <v>2276</v>
      </c>
      <c r="K2736" s="204" t="s">
        <v>2276</v>
      </c>
      <c r="L2736" s="204" t="s">
        <v>2276</v>
      </c>
      <c r="M2736" s="204" t="s">
        <v>2276</v>
      </c>
      <c r="N2736" s="204" t="s">
        <v>2276</v>
      </c>
      <c r="O2736" s="204" t="s">
        <v>2276</v>
      </c>
      <c r="P2736" s="204" t="s">
        <v>2276</v>
      </c>
      <c r="Q2736" s="204" t="s">
        <v>2276</v>
      </c>
      <c r="R2736" s="204" t="s">
        <v>2276</v>
      </c>
      <c r="S2736" s="204" t="s">
        <v>2276</v>
      </c>
      <c r="T2736" s="21">
        <f>1750*0.079</f>
        <v>138.25</v>
      </c>
      <c r="U2736" s="204" t="s">
        <v>2276</v>
      </c>
      <c r="V2736" s="204" t="s">
        <v>2276</v>
      </c>
      <c r="W2736" s="204" t="s">
        <v>2276</v>
      </c>
      <c r="X2736" s="21">
        <f>T2736/'Record info'!K$1136</f>
        <v>2.0711610486891387E-2</v>
      </c>
      <c r="Y2736" s="204" t="s">
        <v>2276</v>
      </c>
      <c r="Z2736" s="204" t="s">
        <v>68</v>
      </c>
      <c r="AA2736" s="204" t="s">
        <v>86</v>
      </c>
      <c r="AB2736" s="204" t="s">
        <v>76</v>
      </c>
      <c r="AC2736" s="204"/>
      <c r="AD2736" s="204"/>
    </row>
    <row r="2737" spans="1:30" ht="32.5" customHeight="1">
      <c r="A2737" s="19" t="s">
        <v>7387</v>
      </c>
      <c r="B2737" s="19" t="s">
        <v>7512</v>
      </c>
      <c r="C2737" s="204" t="s">
        <v>24</v>
      </c>
      <c r="D2737" s="204" t="s">
        <v>1242</v>
      </c>
      <c r="E2737" s="204" t="s">
        <v>3209</v>
      </c>
      <c r="F2737" s="152" t="s">
        <v>2276</v>
      </c>
      <c r="G2737" s="152" t="s">
        <v>2276</v>
      </c>
      <c r="H2737" s="204" t="s">
        <v>523</v>
      </c>
      <c r="I2737" s="204">
        <v>2011</v>
      </c>
      <c r="J2737" s="204" t="s">
        <v>2276</v>
      </c>
      <c r="K2737" s="204" t="s">
        <v>2276</v>
      </c>
      <c r="L2737" s="204" t="s">
        <v>2276</v>
      </c>
      <c r="M2737" s="204" t="s">
        <v>2276</v>
      </c>
      <c r="N2737" s="204" t="s">
        <v>2276</v>
      </c>
      <c r="O2737" s="204" t="s">
        <v>2276</v>
      </c>
      <c r="P2737" s="204" t="s">
        <v>2276</v>
      </c>
      <c r="Q2737" s="204" t="s">
        <v>2276</v>
      </c>
      <c r="R2737" s="204" t="s">
        <v>2276</v>
      </c>
      <c r="S2737" s="204" t="s">
        <v>2276</v>
      </c>
      <c r="T2737" s="21">
        <f>1750*0.132</f>
        <v>231</v>
      </c>
      <c r="U2737" s="204" t="s">
        <v>2276</v>
      </c>
      <c r="V2737" s="204" t="s">
        <v>2276</v>
      </c>
      <c r="W2737" s="204" t="s">
        <v>2276</v>
      </c>
      <c r="X2737" s="21">
        <f>T2737/'Record info'!K$1137</f>
        <v>4.1862993838347226E-2</v>
      </c>
      <c r="Y2737" s="204" t="s">
        <v>2276</v>
      </c>
      <c r="Z2737" s="204" t="s">
        <v>68</v>
      </c>
      <c r="AA2737" s="204" t="s">
        <v>86</v>
      </c>
      <c r="AB2737" s="204" t="s">
        <v>76</v>
      </c>
      <c r="AC2737" s="204"/>
      <c r="AD2737" s="204"/>
    </row>
    <row r="2738" spans="1:30" ht="32.5" customHeight="1">
      <c r="A2738" s="19" t="s">
        <v>7388</v>
      </c>
      <c r="B2738" s="19" t="s">
        <v>7513</v>
      </c>
      <c r="C2738" s="204" t="s">
        <v>24</v>
      </c>
      <c r="D2738" s="204" t="s">
        <v>1242</v>
      </c>
      <c r="E2738" s="204" t="s">
        <v>3209</v>
      </c>
      <c r="F2738" s="152" t="s">
        <v>2276</v>
      </c>
      <c r="G2738" s="152" t="s">
        <v>2276</v>
      </c>
      <c r="H2738" s="204" t="s">
        <v>523</v>
      </c>
      <c r="I2738" s="204">
        <v>2011</v>
      </c>
      <c r="J2738" s="204" t="s">
        <v>2276</v>
      </c>
      <c r="K2738" s="204" t="s">
        <v>2276</v>
      </c>
      <c r="L2738" s="204" t="s">
        <v>2276</v>
      </c>
      <c r="M2738" s="204" t="s">
        <v>2276</v>
      </c>
      <c r="N2738" s="204" t="s">
        <v>2276</v>
      </c>
      <c r="O2738" s="204" t="s">
        <v>2276</v>
      </c>
      <c r="P2738" s="204" t="s">
        <v>2276</v>
      </c>
      <c r="Q2738" s="204" t="s">
        <v>2276</v>
      </c>
      <c r="R2738" s="204" t="s">
        <v>2276</v>
      </c>
      <c r="S2738" s="204" t="s">
        <v>2276</v>
      </c>
      <c r="T2738" s="21">
        <f>1750*0.057</f>
        <v>99.75</v>
      </c>
      <c r="U2738" s="204" t="s">
        <v>2276</v>
      </c>
      <c r="V2738" s="204" t="s">
        <v>2276</v>
      </c>
      <c r="W2738" s="204" t="s">
        <v>2276</v>
      </c>
      <c r="X2738" s="21">
        <f>T2738/'Record info'!K$1138</f>
        <v>2.5272358753483659E-2</v>
      </c>
      <c r="Y2738" s="204" t="s">
        <v>2276</v>
      </c>
      <c r="Z2738" s="204" t="s">
        <v>68</v>
      </c>
      <c r="AA2738" s="204" t="s">
        <v>86</v>
      </c>
      <c r="AB2738" s="204" t="s">
        <v>76</v>
      </c>
      <c r="AC2738" s="204"/>
      <c r="AD2738" s="204"/>
    </row>
    <row r="2739" spans="1:30" ht="32.5" customHeight="1">
      <c r="A2739" s="19" t="s">
        <v>7389</v>
      </c>
      <c r="B2739" s="19" t="s">
        <v>7514</v>
      </c>
      <c r="C2739" s="204" t="s">
        <v>24</v>
      </c>
      <c r="D2739" s="204" t="s">
        <v>1242</v>
      </c>
      <c r="E2739" s="204" t="s">
        <v>3209</v>
      </c>
      <c r="F2739" s="152" t="s">
        <v>2276</v>
      </c>
      <c r="G2739" s="152" t="s">
        <v>2276</v>
      </c>
      <c r="H2739" s="204" t="s">
        <v>523</v>
      </c>
      <c r="I2739" s="204">
        <v>2011</v>
      </c>
      <c r="J2739" s="204" t="s">
        <v>2276</v>
      </c>
      <c r="K2739" s="204" t="s">
        <v>2276</v>
      </c>
      <c r="L2739" s="204" t="s">
        <v>2276</v>
      </c>
      <c r="M2739" s="204" t="s">
        <v>2276</v>
      </c>
      <c r="N2739" s="204" t="s">
        <v>2276</v>
      </c>
      <c r="O2739" s="204" t="s">
        <v>2276</v>
      </c>
      <c r="P2739" s="204" t="s">
        <v>2276</v>
      </c>
      <c r="Q2739" s="204" t="s">
        <v>2276</v>
      </c>
      <c r="R2739" s="204" t="s">
        <v>2276</v>
      </c>
      <c r="S2739" s="204" t="s">
        <v>2276</v>
      </c>
      <c r="T2739" s="21">
        <f>1750*0.024</f>
        <v>42</v>
      </c>
      <c r="U2739" s="204" t="s">
        <v>2276</v>
      </c>
      <c r="V2739" s="204" t="s">
        <v>2276</v>
      </c>
      <c r="W2739" s="204" t="s">
        <v>2276</v>
      </c>
      <c r="X2739" s="21">
        <f>T2739/'Record info'!K$1139</f>
        <v>1.4957264957264958E-2</v>
      </c>
      <c r="Y2739" s="204" t="s">
        <v>2276</v>
      </c>
      <c r="Z2739" s="204" t="s">
        <v>68</v>
      </c>
      <c r="AA2739" s="204" t="s">
        <v>86</v>
      </c>
      <c r="AB2739" s="204" t="s">
        <v>76</v>
      </c>
      <c r="AC2739" s="204"/>
      <c r="AD2739" s="204"/>
    </row>
    <row r="2740" spans="1:30" ht="32.5" customHeight="1">
      <c r="A2740" s="19" t="s">
        <v>7390</v>
      </c>
      <c r="B2740" s="19" t="s">
        <v>7515</v>
      </c>
      <c r="C2740" s="204" t="s">
        <v>24</v>
      </c>
      <c r="D2740" s="204" t="s">
        <v>1242</v>
      </c>
      <c r="E2740" s="204" t="s">
        <v>3209</v>
      </c>
      <c r="F2740" s="152" t="s">
        <v>2276</v>
      </c>
      <c r="G2740" s="152" t="s">
        <v>2276</v>
      </c>
      <c r="H2740" s="204" t="s">
        <v>523</v>
      </c>
      <c r="I2740" s="204">
        <v>2011</v>
      </c>
      <c r="J2740" s="204" t="s">
        <v>2276</v>
      </c>
      <c r="K2740" s="204" t="s">
        <v>2276</v>
      </c>
      <c r="L2740" s="204" t="s">
        <v>2276</v>
      </c>
      <c r="M2740" s="204" t="s">
        <v>2276</v>
      </c>
      <c r="N2740" s="204" t="s">
        <v>2276</v>
      </c>
      <c r="O2740" s="204" t="s">
        <v>2276</v>
      </c>
      <c r="P2740" s="204" t="s">
        <v>2276</v>
      </c>
      <c r="Q2740" s="204" t="s">
        <v>2276</v>
      </c>
      <c r="R2740" s="204" t="s">
        <v>2276</v>
      </c>
      <c r="S2740" s="204" t="s">
        <v>2276</v>
      </c>
      <c r="T2740" s="21">
        <f>1750*0.072</f>
        <v>125.99999999999999</v>
      </c>
      <c r="U2740" s="204" t="s">
        <v>2276</v>
      </c>
      <c r="V2740" s="204" t="s">
        <v>2276</v>
      </c>
      <c r="W2740" s="204" t="s">
        <v>2276</v>
      </c>
      <c r="X2740" s="21">
        <f>T2740/'Record info'!K$1140</f>
        <v>2.516476932294787E-2</v>
      </c>
      <c r="Y2740" s="204" t="s">
        <v>2276</v>
      </c>
      <c r="Z2740" s="204" t="s">
        <v>68</v>
      </c>
      <c r="AA2740" s="204" t="s">
        <v>86</v>
      </c>
      <c r="AB2740" s="204" t="s">
        <v>76</v>
      </c>
      <c r="AC2740" s="204"/>
      <c r="AD2740" s="204"/>
    </row>
    <row r="2741" spans="1:30" ht="32.5" customHeight="1">
      <c r="A2741" s="19" t="s">
        <v>7391</v>
      </c>
      <c r="B2741" s="19" t="s">
        <v>7516</v>
      </c>
      <c r="C2741" s="204" t="s">
        <v>24</v>
      </c>
      <c r="D2741" s="204" t="s">
        <v>1242</v>
      </c>
      <c r="E2741" s="204" t="s">
        <v>3209</v>
      </c>
      <c r="F2741" s="152" t="s">
        <v>2276</v>
      </c>
      <c r="G2741" s="152" t="s">
        <v>2276</v>
      </c>
      <c r="H2741" s="204" t="s">
        <v>523</v>
      </c>
      <c r="I2741" s="204">
        <v>2011</v>
      </c>
      <c r="J2741" s="204" t="s">
        <v>2276</v>
      </c>
      <c r="K2741" s="204" t="s">
        <v>2276</v>
      </c>
      <c r="L2741" s="204" t="s">
        <v>2276</v>
      </c>
      <c r="M2741" s="204" t="s">
        <v>2276</v>
      </c>
      <c r="N2741" s="204" t="s">
        <v>2276</v>
      </c>
      <c r="O2741" s="204" t="s">
        <v>2276</v>
      </c>
      <c r="P2741" s="204" t="s">
        <v>2276</v>
      </c>
      <c r="Q2741" s="204" t="s">
        <v>2276</v>
      </c>
      <c r="R2741" s="204" t="s">
        <v>2276</v>
      </c>
      <c r="S2741" s="204" t="s">
        <v>2276</v>
      </c>
      <c r="T2741" s="21">
        <f>1750*0.068</f>
        <v>119.00000000000001</v>
      </c>
      <c r="U2741" s="204" t="s">
        <v>2276</v>
      </c>
      <c r="V2741" s="204" t="s">
        <v>2276</v>
      </c>
      <c r="W2741" s="204" t="s">
        <v>2276</v>
      </c>
      <c r="X2741" s="21">
        <f>T2741/'Record info'!K$1141</f>
        <v>0.10136286201022147</v>
      </c>
      <c r="Y2741" s="204" t="s">
        <v>2276</v>
      </c>
      <c r="Z2741" s="204" t="s">
        <v>68</v>
      </c>
      <c r="AA2741" s="204" t="s">
        <v>86</v>
      </c>
      <c r="AB2741" s="204" t="s">
        <v>76</v>
      </c>
      <c r="AC2741" s="204"/>
      <c r="AD2741" s="204"/>
    </row>
    <row r="2742" spans="1:30" ht="32.5" customHeight="1">
      <c r="A2742" s="19" t="s">
        <v>7392</v>
      </c>
      <c r="B2742" s="19" t="s">
        <v>7517</v>
      </c>
      <c r="C2742" s="204" t="s">
        <v>24</v>
      </c>
      <c r="D2742" s="204" t="s">
        <v>1242</v>
      </c>
      <c r="E2742" s="204" t="s">
        <v>3209</v>
      </c>
      <c r="F2742" s="152" t="s">
        <v>2276</v>
      </c>
      <c r="G2742" s="152" t="s">
        <v>2276</v>
      </c>
      <c r="H2742" s="204" t="s">
        <v>523</v>
      </c>
      <c r="I2742" s="204">
        <v>2011</v>
      </c>
      <c r="J2742" s="204" t="s">
        <v>2276</v>
      </c>
      <c r="K2742" s="204" t="s">
        <v>2276</v>
      </c>
      <c r="L2742" s="204" t="s">
        <v>2276</v>
      </c>
      <c r="M2742" s="204" t="s">
        <v>2276</v>
      </c>
      <c r="N2742" s="204" t="s">
        <v>2276</v>
      </c>
      <c r="O2742" s="204" t="s">
        <v>2276</v>
      </c>
      <c r="P2742" s="204" t="s">
        <v>2276</v>
      </c>
      <c r="Q2742" s="204" t="s">
        <v>2276</v>
      </c>
      <c r="R2742" s="204" t="s">
        <v>2276</v>
      </c>
      <c r="S2742" s="204" t="s">
        <v>2276</v>
      </c>
      <c r="T2742" s="21">
        <f>1750*0.075</f>
        <v>131.25</v>
      </c>
      <c r="U2742" s="204" t="s">
        <v>2276</v>
      </c>
      <c r="V2742" s="204" t="s">
        <v>2276</v>
      </c>
      <c r="W2742" s="204" t="s">
        <v>2276</v>
      </c>
      <c r="X2742" s="21">
        <f>T2742/'Record info'!K$1142</f>
        <v>3.0325785582255082E-2</v>
      </c>
      <c r="Y2742" s="204" t="s">
        <v>2276</v>
      </c>
      <c r="Z2742" s="204" t="s">
        <v>68</v>
      </c>
      <c r="AA2742" s="204" t="s">
        <v>86</v>
      </c>
      <c r="AB2742" s="204" t="s">
        <v>76</v>
      </c>
      <c r="AC2742" s="204"/>
      <c r="AD2742" s="204"/>
    </row>
    <row r="2743" spans="1:30" ht="32.5" customHeight="1">
      <c r="A2743" s="19" t="s">
        <v>7393</v>
      </c>
      <c r="B2743" s="19" t="s">
        <v>7518</v>
      </c>
      <c r="C2743" s="204" t="s">
        <v>24</v>
      </c>
      <c r="D2743" s="204" t="s">
        <v>1242</v>
      </c>
      <c r="E2743" s="204" t="s">
        <v>3209</v>
      </c>
      <c r="F2743" s="152" t="s">
        <v>2276</v>
      </c>
      <c r="G2743" s="152" t="s">
        <v>2276</v>
      </c>
      <c r="H2743" s="204" t="s">
        <v>523</v>
      </c>
      <c r="I2743" s="204">
        <v>2011</v>
      </c>
      <c r="J2743" s="204" t="s">
        <v>2276</v>
      </c>
      <c r="K2743" s="204" t="s">
        <v>2276</v>
      </c>
      <c r="L2743" s="204" t="s">
        <v>2276</v>
      </c>
      <c r="M2743" s="204" t="s">
        <v>2276</v>
      </c>
      <c r="N2743" s="204" t="s">
        <v>2276</v>
      </c>
      <c r="O2743" s="204" t="s">
        <v>2276</v>
      </c>
      <c r="P2743" s="204" t="s">
        <v>2276</v>
      </c>
      <c r="Q2743" s="204" t="s">
        <v>2276</v>
      </c>
      <c r="R2743" s="204" t="s">
        <v>2276</v>
      </c>
      <c r="S2743" s="204" t="s">
        <v>2276</v>
      </c>
      <c r="T2743" s="21">
        <f>1750*0.111</f>
        <v>194.25</v>
      </c>
      <c r="U2743" s="204" t="s">
        <v>2276</v>
      </c>
      <c r="V2743" s="204" t="s">
        <v>2276</v>
      </c>
      <c r="W2743" s="204" t="s">
        <v>2276</v>
      </c>
      <c r="X2743" s="21">
        <f>T2743/'Record info'!K$1143</f>
        <v>8.1106471816283929E-2</v>
      </c>
      <c r="Y2743" s="204" t="s">
        <v>2276</v>
      </c>
      <c r="Z2743" s="204" t="s">
        <v>68</v>
      </c>
      <c r="AA2743" s="204" t="s">
        <v>86</v>
      </c>
      <c r="AB2743" s="204" t="s">
        <v>76</v>
      </c>
      <c r="AC2743" s="204"/>
      <c r="AD2743" s="204"/>
    </row>
    <row r="2744" spans="1:30" ht="32.5" customHeight="1">
      <c r="A2744" s="19" t="s">
        <v>7394</v>
      </c>
      <c r="B2744" s="19" t="s">
        <v>7519</v>
      </c>
      <c r="C2744" s="204" t="s">
        <v>24</v>
      </c>
      <c r="D2744" s="204" t="s">
        <v>1242</v>
      </c>
      <c r="E2744" s="204" t="s">
        <v>3209</v>
      </c>
      <c r="F2744" s="152" t="s">
        <v>2276</v>
      </c>
      <c r="G2744" s="152" t="s">
        <v>2276</v>
      </c>
      <c r="H2744" s="204" t="s">
        <v>523</v>
      </c>
      <c r="I2744" s="204">
        <v>2011</v>
      </c>
      <c r="J2744" s="204" t="s">
        <v>2276</v>
      </c>
      <c r="K2744" s="204" t="s">
        <v>2276</v>
      </c>
      <c r="L2744" s="204" t="s">
        <v>2276</v>
      </c>
      <c r="M2744" s="204" t="s">
        <v>2276</v>
      </c>
      <c r="N2744" s="204" t="s">
        <v>2276</v>
      </c>
      <c r="O2744" s="204" t="s">
        <v>2276</v>
      </c>
      <c r="P2744" s="204" t="s">
        <v>2276</v>
      </c>
      <c r="Q2744" s="204" t="s">
        <v>2276</v>
      </c>
      <c r="R2744" s="204" t="s">
        <v>2276</v>
      </c>
      <c r="S2744" s="204" t="s">
        <v>2276</v>
      </c>
      <c r="T2744" s="21">
        <f>1750*0.106</f>
        <v>185.5</v>
      </c>
      <c r="U2744" s="204" t="s">
        <v>2276</v>
      </c>
      <c r="V2744" s="204" t="s">
        <v>2276</v>
      </c>
      <c r="W2744" s="204" t="s">
        <v>2276</v>
      </c>
      <c r="X2744" s="21">
        <f>T2744/'Record info'!K$1144</f>
        <v>6.9397680508791623E-2</v>
      </c>
      <c r="Y2744" s="204" t="s">
        <v>2276</v>
      </c>
      <c r="Z2744" s="204" t="s">
        <v>68</v>
      </c>
      <c r="AA2744" s="204" t="s">
        <v>86</v>
      </c>
      <c r="AB2744" s="204" t="s">
        <v>76</v>
      </c>
      <c r="AC2744" s="204"/>
      <c r="AD2744" s="204"/>
    </row>
    <row r="2745" spans="1:30" ht="32.5" customHeight="1">
      <c r="A2745" s="19" t="s">
        <v>7395</v>
      </c>
      <c r="B2745" s="19" t="s">
        <v>7520</v>
      </c>
      <c r="C2745" s="204" t="s">
        <v>24</v>
      </c>
      <c r="D2745" s="204" t="s">
        <v>1242</v>
      </c>
      <c r="E2745" s="204" t="s">
        <v>3209</v>
      </c>
      <c r="F2745" s="152" t="s">
        <v>2276</v>
      </c>
      <c r="G2745" s="152" t="s">
        <v>2276</v>
      </c>
      <c r="H2745" s="204" t="s">
        <v>523</v>
      </c>
      <c r="I2745" s="204">
        <v>2011</v>
      </c>
      <c r="J2745" s="204" t="s">
        <v>2276</v>
      </c>
      <c r="K2745" s="204" t="s">
        <v>2276</v>
      </c>
      <c r="L2745" s="204" t="s">
        <v>2276</v>
      </c>
      <c r="M2745" s="204" t="s">
        <v>2276</v>
      </c>
      <c r="N2745" s="204" t="s">
        <v>2276</v>
      </c>
      <c r="O2745" s="204" t="s">
        <v>2276</v>
      </c>
      <c r="P2745" s="204" t="s">
        <v>2276</v>
      </c>
      <c r="Q2745" s="204" t="s">
        <v>2276</v>
      </c>
      <c r="R2745" s="204" t="s">
        <v>2276</v>
      </c>
      <c r="S2745" s="204" t="s">
        <v>2276</v>
      </c>
      <c r="T2745" s="21">
        <f>1750*0.166</f>
        <v>290.5</v>
      </c>
      <c r="U2745" s="204" t="s">
        <v>2276</v>
      </c>
      <c r="V2745" s="204" t="s">
        <v>2276</v>
      </c>
      <c r="W2745" s="204" t="s">
        <v>2276</v>
      </c>
      <c r="X2745" s="21">
        <f>T2745/'Record info'!K$1145</f>
        <v>0.12882483370288247</v>
      </c>
      <c r="Y2745" s="204" t="s">
        <v>2276</v>
      </c>
      <c r="Z2745" s="204" t="s">
        <v>68</v>
      </c>
      <c r="AA2745" s="204" t="s">
        <v>86</v>
      </c>
      <c r="AB2745" s="204" t="s">
        <v>76</v>
      </c>
      <c r="AC2745" s="204"/>
      <c r="AD2745" s="204"/>
    </row>
    <row r="2746" spans="1:30" ht="32.5" customHeight="1">
      <c r="A2746" s="19" t="s">
        <v>7293</v>
      </c>
      <c r="B2746" s="19" t="s">
        <v>7521</v>
      </c>
      <c r="C2746" s="204" t="s">
        <v>24</v>
      </c>
      <c r="D2746" s="204" t="s">
        <v>1242</v>
      </c>
      <c r="E2746" s="204" t="s">
        <v>3209</v>
      </c>
      <c r="F2746" s="152" t="s">
        <v>2276</v>
      </c>
      <c r="G2746" s="152" t="s">
        <v>2276</v>
      </c>
      <c r="H2746" s="204" t="s">
        <v>523</v>
      </c>
      <c r="I2746" s="204">
        <v>2012</v>
      </c>
      <c r="J2746" s="204" t="s">
        <v>2276</v>
      </c>
      <c r="K2746" s="204" t="s">
        <v>2276</v>
      </c>
      <c r="L2746" s="204" t="s">
        <v>2276</v>
      </c>
      <c r="M2746" s="204" t="s">
        <v>2276</v>
      </c>
      <c r="N2746" s="204" t="s">
        <v>2276</v>
      </c>
      <c r="O2746" s="204" t="s">
        <v>2276</v>
      </c>
      <c r="P2746" s="204" t="s">
        <v>2276</v>
      </c>
      <c r="Q2746" s="204" t="s">
        <v>2276</v>
      </c>
      <c r="R2746" s="204" t="s">
        <v>2276</v>
      </c>
      <c r="S2746" s="204" t="s">
        <v>2276</v>
      </c>
      <c r="T2746" s="21">
        <f>450*0.027</f>
        <v>12.15</v>
      </c>
      <c r="U2746" s="204" t="s">
        <v>2276</v>
      </c>
      <c r="V2746" s="204" t="s">
        <v>2276</v>
      </c>
      <c r="W2746" s="204" t="s">
        <v>2276</v>
      </c>
      <c r="X2746" s="21">
        <f>T2746/'Record info'!K$1128</f>
        <v>4.3392857142857148E-3</v>
      </c>
      <c r="Y2746" s="204" t="s">
        <v>2276</v>
      </c>
      <c r="Z2746" s="204" t="s">
        <v>68</v>
      </c>
      <c r="AA2746" s="204" t="s">
        <v>86</v>
      </c>
      <c r="AB2746" s="204" t="s">
        <v>76</v>
      </c>
      <c r="AC2746" s="204"/>
      <c r="AD2746" s="204"/>
    </row>
    <row r="2747" spans="1:30" ht="32.5" customHeight="1">
      <c r="A2747" s="19" t="s">
        <v>7379</v>
      </c>
      <c r="B2747" s="19" t="s">
        <v>7522</v>
      </c>
      <c r="C2747" s="204" t="s">
        <v>24</v>
      </c>
      <c r="D2747" s="204" t="s">
        <v>1242</v>
      </c>
      <c r="E2747" s="204" t="s">
        <v>3209</v>
      </c>
      <c r="F2747" s="152" t="s">
        <v>2276</v>
      </c>
      <c r="G2747" s="152" t="s">
        <v>2276</v>
      </c>
      <c r="H2747" s="204" t="s">
        <v>523</v>
      </c>
      <c r="I2747" s="204">
        <v>2012</v>
      </c>
      <c r="J2747" s="204" t="s">
        <v>2276</v>
      </c>
      <c r="K2747" s="204" t="s">
        <v>2276</v>
      </c>
      <c r="L2747" s="204" t="s">
        <v>2276</v>
      </c>
      <c r="M2747" s="204" t="s">
        <v>2276</v>
      </c>
      <c r="N2747" s="204" t="s">
        <v>2276</v>
      </c>
      <c r="O2747" s="204" t="s">
        <v>2276</v>
      </c>
      <c r="P2747" s="204" t="s">
        <v>2276</v>
      </c>
      <c r="Q2747" s="204" t="s">
        <v>2276</v>
      </c>
      <c r="R2747" s="204" t="s">
        <v>2276</v>
      </c>
      <c r="S2747" s="204" t="s">
        <v>2276</v>
      </c>
      <c r="T2747" s="21">
        <f>450*0.041</f>
        <v>18.45</v>
      </c>
      <c r="U2747" s="204" t="s">
        <v>2276</v>
      </c>
      <c r="V2747" s="204" t="s">
        <v>2276</v>
      </c>
      <c r="W2747" s="204" t="s">
        <v>2276</v>
      </c>
      <c r="X2747" s="21">
        <f>T2747/'Record info'!K$1129</f>
        <v>5.2489331436699855E-3</v>
      </c>
      <c r="Y2747" s="204" t="s">
        <v>2276</v>
      </c>
      <c r="Z2747" s="204" t="s">
        <v>68</v>
      </c>
      <c r="AA2747" s="204" t="s">
        <v>86</v>
      </c>
      <c r="AB2747" s="204" t="s">
        <v>76</v>
      </c>
      <c r="AC2747" s="204"/>
      <c r="AD2747" s="204"/>
    </row>
    <row r="2748" spans="1:30" ht="32.5" customHeight="1">
      <c r="A2748" s="19" t="s">
        <v>7380</v>
      </c>
      <c r="B2748" s="19" t="s">
        <v>7523</v>
      </c>
      <c r="C2748" s="204" t="s">
        <v>24</v>
      </c>
      <c r="D2748" s="204" t="s">
        <v>1242</v>
      </c>
      <c r="E2748" s="204" t="s">
        <v>3209</v>
      </c>
      <c r="F2748" s="152" t="s">
        <v>2276</v>
      </c>
      <c r="G2748" s="152" t="s">
        <v>2276</v>
      </c>
      <c r="H2748" s="204" t="s">
        <v>523</v>
      </c>
      <c r="I2748" s="204">
        <v>2012</v>
      </c>
      <c r="J2748" s="204" t="s">
        <v>2276</v>
      </c>
      <c r="K2748" s="204" t="s">
        <v>2276</v>
      </c>
      <c r="L2748" s="204" t="s">
        <v>2276</v>
      </c>
      <c r="M2748" s="204" t="s">
        <v>2276</v>
      </c>
      <c r="N2748" s="204" t="s">
        <v>2276</v>
      </c>
      <c r="O2748" s="204" t="s">
        <v>2276</v>
      </c>
      <c r="P2748" s="204" t="s">
        <v>2276</v>
      </c>
      <c r="Q2748" s="204" t="s">
        <v>2276</v>
      </c>
      <c r="R2748" s="204" t="s">
        <v>2276</v>
      </c>
      <c r="S2748" s="204" t="s">
        <v>2276</v>
      </c>
      <c r="T2748" s="21">
        <f>450*0.004</f>
        <v>1.8</v>
      </c>
      <c r="U2748" s="204" t="s">
        <v>2276</v>
      </c>
      <c r="V2748" s="204" t="s">
        <v>2276</v>
      </c>
      <c r="W2748" s="204" t="s">
        <v>2276</v>
      </c>
      <c r="X2748" s="21">
        <f>T2748/'Record info'!K$1130</f>
        <v>2.6678523788350376E-4</v>
      </c>
      <c r="Y2748" s="204" t="s">
        <v>2276</v>
      </c>
      <c r="Z2748" s="204" t="s">
        <v>68</v>
      </c>
      <c r="AA2748" s="204" t="s">
        <v>86</v>
      </c>
      <c r="AB2748" s="204" t="s">
        <v>76</v>
      </c>
      <c r="AC2748" s="204"/>
      <c r="AD2748" s="204"/>
    </row>
    <row r="2749" spans="1:30" ht="32.5" customHeight="1">
      <c r="A2749" s="19" t="s">
        <v>7381</v>
      </c>
      <c r="B2749" s="19" t="s">
        <v>7524</v>
      </c>
      <c r="C2749" s="204" t="s">
        <v>24</v>
      </c>
      <c r="D2749" s="204" t="s">
        <v>1242</v>
      </c>
      <c r="E2749" s="204" t="s">
        <v>3209</v>
      </c>
      <c r="F2749" s="152" t="s">
        <v>2276</v>
      </c>
      <c r="G2749" s="152" t="s">
        <v>2276</v>
      </c>
      <c r="H2749" s="204" t="s">
        <v>523</v>
      </c>
      <c r="I2749" s="204">
        <v>2012</v>
      </c>
      <c r="J2749" s="204" t="s">
        <v>2276</v>
      </c>
      <c r="K2749" s="204" t="s">
        <v>2276</v>
      </c>
      <c r="L2749" s="204" t="s">
        <v>2276</v>
      </c>
      <c r="M2749" s="204" t="s">
        <v>2276</v>
      </c>
      <c r="N2749" s="204" t="s">
        <v>2276</v>
      </c>
      <c r="O2749" s="204" t="s">
        <v>2276</v>
      </c>
      <c r="P2749" s="204" t="s">
        <v>2276</v>
      </c>
      <c r="Q2749" s="204" t="s">
        <v>2276</v>
      </c>
      <c r="R2749" s="204" t="s">
        <v>2276</v>
      </c>
      <c r="S2749" s="204" t="s">
        <v>2276</v>
      </c>
      <c r="T2749" s="21">
        <f>450*0.004</f>
        <v>1.8</v>
      </c>
      <c r="U2749" s="204" t="s">
        <v>2276</v>
      </c>
      <c r="V2749" s="204" t="s">
        <v>2276</v>
      </c>
      <c r="W2749" s="204" t="s">
        <v>2276</v>
      </c>
      <c r="X2749" s="21">
        <f>T2749/'Record info'!K$1131</f>
        <v>3.5545023696682463E-4</v>
      </c>
      <c r="Y2749" s="204" t="s">
        <v>2276</v>
      </c>
      <c r="Z2749" s="204" t="s">
        <v>68</v>
      </c>
      <c r="AA2749" s="204" t="s">
        <v>86</v>
      </c>
      <c r="AB2749" s="204" t="s">
        <v>76</v>
      </c>
      <c r="AC2749" s="204"/>
      <c r="AD2749" s="204"/>
    </row>
    <row r="2750" spans="1:30" ht="32.5" customHeight="1">
      <c r="A2750" s="19" t="s">
        <v>7382</v>
      </c>
      <c r="B2750" s="19" t="s">
        <v>7525</v>
      </c>
      <c r="C2750" s="204" t="s">
        <v>24</v>
      </c>
      <c r="D2750" s="204" t="s">
        <v>1242</v>
      </c>
      <c r="E2750" s="204" t="s">
        <v>3209</v>
      </c>
      <c r="F2750" s="152" t="s">
        <v>2276</v>
      </c>
      <c r="G2750" s="152" t="s">
        <v>2276</v>
      </c>
      <c r="H2750" s="204" t="s">
        <v>524</v>
      </c>
      <c r="I2750" s="204">
        <v>2012</v>
      </c>
      <c r="J2750" s="21">
        <v>0</v>
      </c>
      <c r="K2750" s="21">
        <v>0</v>
      </c>
      <c r="L2750" s="21">
        <v>0</v>
      </c>
      <c r="M2750" s="21">
        <v>0</v>
      </c>
      <c r="N2750" s="21">
        <v>0</v>
      </c>
      <c r="O2750" s="21">
        <v>0</v>
      </c>
      <c r="P2750" s="21">
        <v>0</v>
      </c>
      <c r="Q2750" s="21">
        <v>0</v>
      </c>
      <c r="R2750" s="21">
        <v>0</v>
      </c>
      <c r="S2750" s="21">
        <v>0</v>
      </c>
      <c r="T2750" s="21">
        <v>0</v>
      </c>
      <c r="U2750" s="21">
        <v>0</v>
      </c>
      <c r="V2750" s="21">
        <v>0</v>
      </c>
      <c r="W2750" s="21">
        <v>0</v>
      </c>
      <c r="X2750" s="21">
        <f>T2750/'Record info'!K$1132</f>
        <v>0</v>
      </c>
      <c r="Y2750" s="204" t="s">
        <v>2276</v>
      </c>
      <c r="Z2750" s="204" t="s">
        <v>68</v>
      </c>
      <c r="AA2750" s="204" t="s">
        <v>86</v>
      </c>
      <c r="AB2750" s="204" t="s">
        <v>76</v>
      </c>
      <c r="AC2750" s="204"/>
      <c r="AD2750" s="204"/>
    </row>
    <row r="2751" spans="1:30" ht="32.5" customHeight="1">
      <c r="A2751" s="19" t="s">
        <v>7383</v>
      </c>
      <c r="B2751" s="19" t="s">
        <v>7526</v>
      </c>
      <c r="C2751" s="204" t="s">
        <v>24</v>
      </c>
      <c r="D2751" s="204" t="s">
        <v>1242</v>
      </c>
      <c r="E2751" s="204" t="s">
        <v>3209</v>
      </c>
      <c r="F2751" s="152" t="s">
        <v>2276</v>
      </c>
      <c r="G2751" s="152" t="s">
        <v>2276</v>
      </c>
      <c r="H2751" s="204" t="s">
        <v>524</v>
      </c>
      <c r="I2751" s="204">
        <v>2012</v>
      </c>
      <c r="J2751" s="21">
        <v>0</v>
      </c>
      <c r="K2751" s="21">
        <v>0</v>
      </c>
      <c r="L2751" s="21">
        <v>0</v>
      </c>
      <c r="M2751" s="21">
        <v>0</v>
      </c>
      <c r="N2751" s="21">
        <v>0</v>
      </c>
      <c r="O2751" s="21">
        <v>0</v>
      </c>
      <c r="P2751" s="21">
        <v>0</v>
      </c>
      <c r="Q2751" s="21">
        <v>0</v>
      </c>
      <c r="R2751" s="21">
        <v>0</v>
      </c>
      <c r="S2751" s="21">
        <v>0</v>
      </c>
      <c r="T2751" s="21">
        <v>0</v>
      </c>
      <c r="U2751" s="21">
        <v>0</v>
      </c>
      <c r="V2751" s="21">
        <v>0</v>
      </c>
      <c r="W2751" s="21">
        <v>0</v>
      </c>
      <c r="X2751" s="21">
        <f>T2751/'Record info'!K$1133</f>
        <v>0</v>
      </c>
      <c r="Y2751" s="204" t="s">
        <v>2276</v>
      </c>
      <c r="Z2751" s="204" t="s">
        <v>68</v>
      </c>
      <c r="AA2751" s="204" t="s">
        <v>86</v>
      </c>
      <c r="AB2751" s="204" t="s">
        <v>76</v>
      </c>
      <c r="AC2751" s="204"/>
      <c r="AD2751" s="204"/>
    </row>
    <row r="2752" spans="1:30" ht="32.5" customHeight="1">
      <c r="A2752" s="19" t="s">
        <v>7384</v>
      </c>
      <c r="B2752" s="19" t="s">
        <v>7527</v>
      </c>
      <c r="C2752" s="204" t="s">
        <v>24</v>
      </c>
      <c r="D2752" s="204" t="s">
        <v>1242</v>
      </c>
      <c r="E2752" s="204" t="s">
        <v>3209</v>
      </c>
      <c r="F2752" s="152" t="s">
        <v>2276</v>
      </c>
      <c r="G2752" s="152" t="s">
        <v>2276</v>
      </c>
      <c r="H2752" s="204" t="s">
        <v>524</v>
      </c>
      <c r="I2752" s="204">
        <v>2012</v>
      </c>
      <c r="J2752" s="21">
        <v>0</v>
      </c>
      <c r="K2752" s="21">
        <v>0</v>
      </c>
      <c r="L2752" s="21">
        <v>0</v>
      </c>
      <c r="M2752" s="21">
        <v>0</v>
      </c>
      <c r="N2752" s="21">
        <v>0</v>
      </c>
      <c r="O2752" s="21">
        <v>0</v>
      </c>
      <c r="P2752" s="21">
        <v>0</v>
      </c>
      <c r="Q2752" s="21">
        <v>0</v>
      </c>
      <c r="R2752" s="21">
        <v>0</v>
      </c>
      <c r="S2752" s="21">
        <v>0</v>
      </c>
      <c r="T2752" s="21">
        <v>0</v>
      </c>
      <c r="U2752" s="21">
        <v>0</v>
      </c>
      <c r="V2752" s="21">
        <v>0</v>
      </c>
      <c r="W2752" s="21">
        <v>0</v>
      </c>
      <c r="X2752" s="21">
        <f>T2752/'Record info'!K$1134</f>
        <v>0</v>
      </c>
      <c r="Y2752" s="204" t="s">
        <v>2276</v>
      </c>
      <c r="Z2752" s="204" t="s">
        <v>68</v>
      </c>
      <c r="AA2752" s="204" t="s">
        <v>86</v>
      </c>
      <c r="AB2752" s="204" t="s">
        <v>76</v>
      </c>
      <c r="AC2752" s="204"/>
      <c r="AD2752" s="204"/>
    </row>
    <row r="2753" spans="1:30" ht="32.5" customHeight="1">
      <c r="A2753" s="19" t="s">
        <v>7385</v>
      </c>
      <c r="B2753" s="19" t="s">
        <v>7528</v>
      </c>
      <c r="C2753" s="204" t="s">
        <v>24</v>
      </c>
      <c r="D2753" s="204" t="s">
        <v>1242</v>
      </c>
      <c r="E2753" s="204" t="s">
        <v>3209</v>
      </c>
      <c r="F2753" s="152" t="s">
        <v>2276</v>
      </c>
      <c r="G2753" s="152" t="s">
        <v>2276</v>
      </c>
      <c r="H2753" s="204" t="s">
        <v>523</v>
      </c>
      <c r="I2753" s="204">
        <v>2012</v>
      </c>
      <c r="J2753" s="204" t="s">
        <v>2276</v>
      </c>
      <c r="K2753" s="204" t="s">
        <v>2276</v>
      </c>
      <c r="L2753" s="204" t="s">
        <v>2276</v>
      </c>
      <c r="M2753" s="204" t="s">
        <v>2276</v>
      </c>
      <c r="N2753" s="204" t="s">
        <v>2276</v>
      </c>
      <c r="O2753" s="204" t="s">
        <v>2276</v>
      </c>
      <c r="P2753" s="204" t="s">
        <v>2276</v>
      </c>
      <c r="Q2753" s="204" t="s">
        <v>2276</v>
      </c>
      <c r="R2753" s="204" t="s">
        <v>2276</v>
      </c>
      <c r="S2753" s="204" t="s">
        <v>2276</v>
      </c>
      <c r="T2753" s="21">
        <f>450*0.035</f>
        <v>15.750000000000002</v>
      </c>
      <c r="U2753" s="204" t="s">
        <v>2276</v>
      </c>
      <c r="V2753" s="204" t="s">
        <v>2276</v>
      </c>
      <c r="W2753" s="204" t="s">
        <v>2276</v>
      </c>
      <c r="X2753" s="21">
        <f>T2753/'Record info'!K$1135</f>
        <v>2.5968672712283597E-3</v>
      </c>
      <c r="Y2753" s="204" t="s">
        <v>2276</v>
      </c>
      <c r="Z2753" s="204" t="s">
        <v>68</v>
      </c>
      <c r="AA2753" s="204" t="s">
        <v>86</v>
      </c>
      <c r="AB2753" s="204" t="s">
        <v>76</v>
      </c>
      <c r="AC2753" s="204"/>
      <c r="AD2753" s="204"/>
    </row>
    <row r="2754" spans="1:30" ht="32.5" customHeight="1">
      <c r="A2754" s="19" t="s">
        <v>7386</v>
      </c>
      <c r="B2754" s="19" t="s">
        <v>7529</v>
      </c>
      <c r="C2754" s="204" t="s">
        <v>24</v>
      </c>
      <c r="D2754" s="204" t="s">
        <v>1242</v>
      </c>
      <c r="E2754" s="204" t="s">
        <v>3209</v>
      </c>
      <c r="F2754" s="152" t="s">
        <v>2276</v>
      </c>
      <c r="G2754" s="152" t="s">
        <v>2276</v>
      </c>
      <c r="H2754" s="204" t="s">
        <v>523</v>
      </c>
      <c r="I2754" s="204">
        <v>2012</v>
      </c>
      <c r="J2754" s="204" t="s">
        <v>2276</v>
      </c>
      <c r="K2754" s="204" t="s">
        <v>2276</v>
      </c>
      <c r="L2754" s="204" t="s">
        <v>2276</v>
      </c>
      <c r="M2754" s="204" t="s">
        <v>2276</v>
      </c>
      <c r="N2754" s="204" t="s">
        <v>2276</v>
      </c>
      <c r="O2754" s="204" t="s">
        <v>2276</v>
      </c>
      <c r="P2754" s="204" t="s">
        <v>2276</v>
      </c>
      <c r="Q2754" s="204" t="s">
        <v>2276</v>
      </c>
      <c r="R2754" s="204" t="s">
        <v>2276</v>
      </c>
      <c r="S2754" s="204" t="s">
        <v>2276</v>
      </c>
      <c r="T2754" s="21">
        <f>450*0.079</f>
        <v>35.549999999999997</v>
      </c>
      <c r="U2754" s="204" t="s">
        <v>2276</v>
      </c>
      <c r="V2754" s="204" t="s">
        <v>2276</v>
      </c>
      <c r="W2754" s="204" t="s">
        <v>2276</v>
      </c>
      <c r="X2754" s="21">
        <f>T2754/'Record info'!K$1136</f>
        <v>5.3258426966292134E-3</v>
      </c>
      <c r="Y2754" s="204" t="s">
        <v>2276</v>
      </c>
      <c r="Z2754" s="204" t="s">
        <v>68</v>
      </c>
      <c r="AA2754" s="204" t="s">
        <v>86</v>
      </c>
      <c r="AB2754" s="204" t="s">
        <v>76</v>
      </c>
      <c r="AC2754" s="204"/>
      <c r="AD2754" s="204"/>
    </row>
    <row r="2755" spans="1:30" ht="32.5" customHeight="1">
      <c r="A2755" s="19" t="s">
        <v>7387</v>
      </c>
      <c r="B2755" s="19" t="s">
        <v>7530</v>
      </c>
      <c r="C2755" s="204" t="s">
        <v>24</v>
      </c>
      <c r="D2755" s="204" t="s">
        <v>1242</v>
      </c>
      <c r="E2755" s="204" t="s">
        <v>3209</v>
      </c>
      <c r="F2755" s="152" t="s">
        <v>2276</v>
      </c>
      <c r="G2755" s="152" t="s">
        <v>2276</v>
      </c>
      <c r="H2755" s="204" t="s">
        <v>523</v>
      </c>
      <c r="I2755" s="204">
        <v>2012</v>
      </c>
      <c r="J2755" s="204" t="s">
        <v>2276</v>
      </c>
      <c r="K2755" s="204" t="s">
        <v>2276</v>
      </c>
      <c r="L2755" s="204" t="s">
        <v>2276</v>
      </c>
      <c r="M2755" s="204" t="s">
        <v>2276</v>
      </c>
      <c r="N2755" s="204" t="s">
        <v>2276</v>
      </c>
      <c r="O2755" s="204" t="s">
        <v>2276</v>
      </c>
      <c r="P2755" s="204" t="s">
        <v>2276</v>
      </c>
      <c r="Q2755" s="204" t="s">
        <v>2276</v>
      </c>
      <c r="R2755" s="204" t="s">
        <v>2276</v>
      </c>
      <c r="S2755" s="204" t="s">
        <v>2276</v>
      </c>
      <c r="T2755" s="21">
        <f>450*0.132</f>
        <v>59.400000000000006</v>
      </c>
      <c r="U2755" s="204" t="s">
        <v>2276</v>
      </c>
      <c r="V2755" s="204" t="s">
        <v>2276</v>
      </c>
      <c r="W2755" s="204" t="s">
        <v>2276</v>
      </c>
      <c r="X2755" s="21">
        <f>T2755/'Record info'!K$1137</f>
        <v>1.076476984414643E-2</v>
      </c>
      <c r="Y2755" s="204" t="s">
        <v>2276</v>
      </c>
      <c r="Z2755" s="204" t="s">
        <v>68</v>
      </c>
      <c r="AA2755" s="204" t="s">
        <v>86</v>
      </c>
      <c r="AB2755" s="204" t="s">
        <v>76</v>
      </c>
      <c r="AC2755" s="204"/>
      <c r="AD2755" s="204"/>
    </row>
    <row r="2756" spans="1:30" ht="32.5" customHeight="1">
      <c r="A2756" s="19" t="s">
        <v>7388</v>
      </c>
      <c r="B2756" s="19" t="s">
        <v>7531</v>
      </c>
      <c r="C2756" s="204" t="s">
        <v>24</v>
      </c>
      <c r="D2756" s="204" t="s">
        <v>1242</v>
      </c>
      <c r="E2756" s="204" t="s">
        <v>3209</v>
      </c>
      <c r="F2756" s="152" t="s">
        <v>2276</v>
      </c>
      <c r="G2756" s="152" t="s">
        <v>2276</v>
      </c>
      <c r="H2756" s="204" t="s">
        <v>523</v>
      </c>
      <c r="I2756" s="204">
        <v>2012</v>
      </c>
      <c r="J2756" s="204" t="s">
        <v>2276</v>
      </c>
      <c r="K2756" s="204" t="s">
        <v>2276</v>
      </c>
      <c r="L2756" s="204" t="s">
        <v>2276</v>
      </c>
      <c r="M2756" s="204" t="s">
        <v>2276</v>
      </c>
      <c r="N2756" s="204" t="s">
        <v>2276</v>
      </c>
      <c r="O2756" s="204" t="s">
        <v>2276</v>
      </c>
      <c r="P2756" s="204" t="s">
        <v>2276</v>
      </c>
      <c r="Q2756" s="204" t="s">
        <v>2276</v>
      </c>
      <c r="R2756" s="204" t="s">
        <v>2276</v>
      </c>
      <c r="S2756" s="204" t="s">
        <v>2276</v>
      </c>
      <c r="T2756" s="21">
        <f>450*0.057</f>
        <v>25.650000000000002</v>
      </c>
      <c r="U2756" s="204" t="s">
        <v>2276</v>
      </c>
      <c r="V2756" s="204" t="s">
        <v>2276</v>
      </c>
      <c r="W2756" s="204" t="s">
        <v>2276</v>
      </c>
      <c r="X2756" s="21">
        <f>T2756/'Record info'!K$1138</f>
        <v>6.4986065366100841E-3</v>
      </c>
      <c r="Y2756" s="204" t="s">
        <v>2276</v>
      </c>
      <c r="Z2756" s="204" t="s">
        <v>68</v>
      </c>
      <c r="AA2756" s="204" t="s">
        <v>86</v>
      </c>
      <c r="AB2756" s="204" t="s">
        <v>76</v>
      </c>
      <c r="AC2756" s="204"/>
      <c r="AD2756" s="204"/>
    </row>
    <row r="2757" spans="1:30" ht="32.5" customHeight="1">
      <c r="A2757" s="19" t="s">
        <v>7389</v>
      </c>
      <c r="B2757" s="19" t="s">
        <v>7532</v>
      </c>
      <c r="C2757" s="204" t="s">
        <v>24</v>
      </c>
      <c r="D2757" s="204" t="s">
        <v>1242</v>
      </c>
      <c r="E2757" s="204" t="s">
        <v>3209</v>
      </c>
      <c r="F2757" s="152" t="s">
        <v>2276</v>
      </c>
      <c r="G2757" s="152" t="s">
        <v>2276</v>
      </c>
      <c r="H2757" s="204" t="s">
        <v>523</v>
      </c>
      <c r="I2757" s="204">
        <v>2012</v>
      </c>
      <c r="J2757" s="204" t="s">
        <v>2276</v>
      </c>
      <c r="K2757" s="204" t="s">
        <v>2276</v>
      </c>
      <c r="L2757" s="204" t="s">
        <v>2276</v>
      </c>
      <c r="M2757" s="204" t="s">
        <v>2276</v>
      </c>
      <c r="N2757" s="204" t="s">
        <v>2276</v>
      </c>
      <c r="O2757" s="204" t="s">
        <v>2276</v>
      </c>
      <c r="P2757" s="204" t="s">
        <v>2276</v>
      </c>
      <c r="Q2757" s="204" t="s">
        <v>2276</v>
      </c>
      <c r="R2757" s="204" t="s">
        <v>2276</v>
      </c>
      <c r="S2757" s="204" t="s">
        <v>2276</v>
      </c>
      <c r="T2757" s="21">
        <f>450*0.024</f>
        <v>10.8</v>
      </c>
      <c r="U2757" s="204" t="s">
        <v>2276</v>
      </c>
      <c r="V2757" s="204" t="s">
        <v>2276</v>
      </c>
      <c r="W2757" s="204" t="s">
        <v>2276</v>
      </c>
      <c r="X2757" s="21">
        <f>T2757/'Record info'!K$1139</f>
        <v>3.8461538461538464E-3</v>
      </c>
      <c r="Y2757" s="204" t="s">
        <v>2276</v>
      </c>
      <c r="Z2757" s="204" t="s">
        <v>68</v>
      </c>
      <c r="AA2757" s="204" t="s">
        <v>86</v>
      </c>
      <c r="AB2757" s="204" t="s">
        <v>76</v>
      </c>
      <c r="AC2757" s="204"/>
      <c r="AD2757" s="204"/>
    </row>
    <row r="2758" spans="1:30" ht="32.5" customHeight="1">
      <c r="A2758" s="19" t="s">
        <v>7390</v>
      </c>
      <c r="B2758" s="19" t="s">
        <v>7533</v>
      </c>
      <c r="C2758" s="204" t="s">
        <v>24</v>
      </c>
      <c r="D2758" s="204" t="s">
        <v>1242</v>
      </c>
      <c r="E2758" s="204" t="s">
        <v>3209</v>
      </c>
      <c r="F2758" s="152" t="s">
        <v>2276</v>
      </c>
      <c r="G2758" s="152" t="s">
        <v>2276</v>
      </c>
      <c r="H2758" s="204" t="s">
        <v>523</v>
      </c>
      <c r="I2758" s="204">
        <v>2012</v>
      </c>
      <c r="J2758" s="204" t="s">
        <v>2276</v>
      </c>
      <c r="K2758" s="204" t="s">
        <v>2276</v>
      </c>
      <c r="L2758" s="204" t="s">
        <v>2276</v>
      </c>
      <c r="M2758" s="204" t="s">
        <v>2276</v>
      </c>
      <c r="N2758" s="204" t="s">
        <v>2276</v>
      </c>
      <c r="O2758" s="204" t="s">
        <v>2276</v>
      </c>
      <c r="P2758" s="204" t="s">
        <v>2276</v>
      </c>
      <c r="Q2758" s="204" t="s">
        <v>2276</v>
      </c>
      <c r="R2758" s="204" t="s">
        <v>2276</v>
      </c>
      <c r="S2758" s="204" t="s">
        <v>2276</v>
      </c>
      <c r="T2758" s="21">
        <f>450*0.072</f>
        <v>32.4</v>
      </c>
      <c r="U2758" s="204" t="s">
        <v>2276</v>
      </c>
      <c r="V2758" s="204" t="s">
        <v>2276</v>
      </c>
      <c r="W2758" s="204" t="s">
        <v>2276</v>
      </c>
      <c r="X2758" s="21">
        <f>T2758/'Record info'!K$1140</f>
        <v>6.4709406830437384E-3</v>
      </c>
      <c r="Y2758" s="204" t="s">
        <v>2276</v>
      </c>
      <c r="Z2758" s="204" t="s">
        <v>68</v>
      </c>
      <c r="AA2758" s="204" t="s">
        <v>86</v>
      </c>
      <c r="AB2758" s="204" t="s">
        <v>76</v>
      </c>
      <c r="AC2758" s="204"/>
      <c r="AD2758" s="204"/>
    </row>
    <row r="2759" spans="1:30" ht="32.5" customHeight="1">
      <c r="A2759" s="19" t="s">
        <v>7391</v>
      </c>
      <c r="B2759" s="19" t="s">
        <v>7534</v>
      </c>
      <c r="C2759" s="204" t="s">
        <v>24</v>
      </c>
      <c r="D2759" s="204" t="s">
        <v>1242</v>
      </c>
      <c r="E2759" s="204" t="s">
        <v>3209</v>
      </c>
      <c r="F2759" s="152" t="s">
        <v>2276</v>
      </c>
      <c r="G2759" s="152" t="s">
        <v>2276</v>
      </c>
      <c r="H2759" s="204" t="s">
        <v>523</v>
      </c>
      <c r="I2759" s="204">
        <v>2012</v>
      </c>
      <c r="J2759" s="204" t="s">
        <v>2276</v>
      </c>
      <c r="K2759" s="204" t="s">
        <v>2276</v>
      </c>
      <c r="L2759" s="204" t="s">
        <v>2276</v>
      </c>
      <c r="M2759" s="204" t="s">
        <v>2276</v>
      </c>
      <c r="N2759" s="204" t="s">
        <v>2276</v>
      </c>
      <c r="O2759" s="204" t="s">
        <v>2276</v>
      </c>
      <c r="P2759" s="204" t="s">
        <v>2276</v>
      </c>
      <c r="Q2759" s="204" t="s">
        <v>2276</v>
      </c>
      <c r="R2759" s="204" t="s">
        <v>2276</v>
      </c>
      <c r="S2759" s="204" t="s">
        <v>2276</v>
      </c>
      <c r="T2759" s="21">
        <f>450*0.068</f>
        <v>30.6</v>
      </c>
      <c r="U2759" s="204" t="s">
        <v>2276</v>
      </c>
      <c r="V2759" s="204" t="s">
        <v>2276</v>
      </c>
      <c r="W2759" s="204" t="s">
        <v>2276</v>
      </c>
      <c r="X2759" s="21">
        <f>T2759/'Record info'!K$1141</f>
        <v>2.6064735945485522E-2</v>
      </c>
      <c r="Y2759" s="204" t="s">
        <v>2276</v>
      </c>
      <c r="Z2759" s="204" t="s">
        <v>68</v>
      </c>
      <c r="AA2759" s="204" t="s">
        <v>86</v>
      </c>
      <c r="AB2759" s="204" t="s">
        <v>76</v>
      </c>
      <c r="AC2759" s="204"/>
      <c r="AD2759" s="204"/>
    </row>
    <row r="2760" spans="1:30" ht="32.5" customHeight="1">
      <c r="A2760" s="19" t="s">
        <v>7392</v>
      </c>
      <c r="B2760" s="19" t="s">
        <v>7535</v>
      </c>
      <c r="C2760" s="204" t="s">
        <v>24</v>
      </c>
      <c r="D2760" s="204" t="s">
        <v>1242</v>
      </c>
      <c r="E2760" s="204" t="s">
        <v>3209</v>
      </c>
      <c r="F2760" s="152" t="s">
        <v>2276</v>
      </c>
      <c r="G2760" s="152" t="s">
        <v>2276</v>
      </c>
      <c r="H2760" s="204" t="s">
        <v>523</v>
      </c>
      <c r="I2760" s="204">
        <v>2012</v>
      </c>
      <c r="J2760" s="204" t="s">
        <v>2276</v>
      </c>
      <c r="K2760" s="204" t="s">
        <v>2276</v>
      </c>
      <c r="L2760" s="204" t="s">
        <v>2276</v>
      </c>
      <c r="M2760" s="204" t="s">
        <v>2276</v>
      </c>
      <c r="N2760" s="204" t="s">
        <v>2276</v>
      </c>
      <c r="O2760" s="204" t="s">
        <v>2276</v>
      </c>
      <c r="P2760" s="204" t="s">
        <v>2276</v>
      </c>
      <c r="Q2760" s="204" t="s">
        <v>2276</v>
      </c>
      <c r="R2760" s="204" t="s">
        <v>2276</v>
      </c>
      <c r="S2760" s="204" t="s">
        <v>2276</v>
      </c>
      <c r="T2760" s="21">
        <f>450*0.075</f>
        <v>33.75</v>
      </c>
      <c r="U2760" s="204" t="s">
        <v>2276</v>
      </c>
      <c r="V2760" s="204" t="s">
        <v>2276</v>
      </c>
      <c r="W2760" s="204" t="s">
        <v>2276</v>
      </c>
      <c r="X2760" s="21">
        <f>T2760/'Record info'!K$1142</f>
        <v>7.7980591497227355E-3</v>
      </c>
      <c r="Y2760" s="204" t="s">
        <v>2276</v>
      </c>
      <c r="Z2760" s="204" t="s">
        <v>68</v>
      </c>
      <c r="AA2760" s="204" t="s">
        <v>86</v>
      </c>
      <c r="AB2760" s="204" t="s">
        <v>76</v>
      </c>
      <c r="AC2760" s="204"/>
      <c r="AD2760" s="204"/>
    </row>
    <row r="2761" spans="1:30" ht="32.5" customHeight="1">
      <c r="A2761" s="19" t="s">
        <v>7393</v>
      </c>
      <c r="B2761" s="19" t="s">
        <v>7536</v>
      </c>
      <c r="C2761" s="204" t="s">
        <v>24</v>
      </c>
      <c r="D2761" s="204" t="s">
        <v>1242</v>
      </c>
      <c r="E2761" s="204" t="s">
        <v>3209</v>
      </c>
      <c r="F2761" s="152" t="s">
        <v>2276</v>
      </c>
      <c r="G2761" s="152" t="s">
        <v>2276</v>
      </c>
      <c r="H2761" s="204" t="s">
        <v>523</v>
      </c>
      <c r="I2761" s="204">
        <v>2012</v>
      </c>
      <c r="J2761" s="204" t="s">
        <v>2276</v>
      </c>
      <c r="K2761" s="204" t="s">
        <v>2276</v>
      </c>
      <c r="L2761" s="204" t="s">
        <v>2276</v>
      </c>
      <c r="M2761" s="204" t="s">
        <v>2276</v>
      </c>
      <c r="N2761" s="204" t="s">
        <v>2276</v>
      </c>
      <c r="O2761" s="204" t="s">
        <v>2276</v>
      </c>
      <c r="P2761" s="204" t="s">
        <v>2276</v>
      </c>
      <c r="Q2761" s="204" t="s">
        <v>2276</v>
      </c>
      <c r="R2761" s="204" t="s">
        <v>2276</v>
      </c>
      <c r="S2761" s="204" t="s">
        <v>2276</v>
      </c>
      <c r="T2761" s="21">
        <f>450*0.111</f>
        <v>49.95</v>
      </c>
      <c r="U2761" s="204" t="s">
        <v>2276</v>
      </c>
      <c r="V2761" s="204" t="s">
        <v>2276</v>
      </c>
      <c r="W2761" s="204" t="s">
        <v>2276</v>
      </c>
      <c r="X2761" s="21">
        <f>T2761/'Record info'!K$1143</f>
        <v>2.0855949895615868E-2</v>
      </c>
      <c r="Y2761" s="204" t="s">
        <v>2276</v>
      </c>
      <c r="Z2761" s="204" t="s">
        <v>68</v>
      </c>
      <c r="AA2761" s="204" t="s">
        <v>86</v>
      </c>
      <c r="AB2761" s="204" t="s">
        <v>76</v>
      </c>
      <c r="AC2761" s="204"/>
      <c r="AD2761" s="204"/>
    </row>
    <row r="2762" spans="1:30" ht="32.5" customHeight="1">
      <c r="A2762" s="19" t="s">
        <v>7394</v>
      </c>
      <c r="B2762" s="19" t="s">
        <v>7537</v>
      </c>
      <c r="C2762" s="204" t="s">
        <v>24</v>
      </c>
      <c r="D2762" s="204" t="s">
        <v>1242</v>
      </c>
      <c r="E2762" s="204" t="s">
        <v>3209</v>
      </c>
      <c r="F2762" s="152" t="s">
        <v>2276</v>
      </c>
      <c r="G2762" s="152" t="s">
        <v>2276</v>
      </c>
      <c r="H2762" s="204" t="s">
        <v>523</v>
      </c>
      <c r="I2762" s="204">
        <v>2012</v>
      </c>
      <c r="J2762" s="204" t="s">
        <v>2276</v>
      </c>
      <c r="K2762" s="204" t="s">
        <v>2276</v>
      </c>
      <c r="L2762" s="204" t="s">
        <v>2276</v>
      </c>
      <c r="M2762" s="204" t="s">
        <v>2276</v>
      </c>
      <c r="N2762" s="204" t="s">
        <v>2276</v>
      </c>
      <c r="O2762" s="204" t="s">
        <v>2276</v>
      </c>
      <c r="P2762" s="204" t="s">
        <v>2276</v>
      </c>
      <c r="Q2762" s="204" t="s">
        <v>2276</v>
      </c>
      <c r="R2762" s="204" t="s">
        <v>2276</v>
      </c>
      <c r="S2762" s="204" t="s">
        <v>2276</v>
      </c>
      <c r="T2762" s="21">
        <f>450*0.106</f>
        <v>47.699999999999996</v>
      </c>
      <c r="U2762" s="204" t="s">
        <v>2276</v>
      </c>
      <c r="V2762" s="204" t="s">
        <v>2276</v>
      </c>
      <c r="W2762" s="204" t="s">
        <v>2276</v>
      </c>
      <c r="X2762" s="21">
        <f>T2762/'Record info'!K$1144</f>
        <v>1.7845117845117844E-2</v>
      </c>
      <c r="Y2762" s="204" t="s">
        <v>2276</v>
      </c>
      <c r="Z2762" s="204" t="s">
        <v>68</v>
      </c>
      <c r="AA2762" s="204" t="s">
        <v>86</v>
      </c>
      <c r="AB2762" s="204" t="s">
        <v>76</v>
      </c>
      <c r="AC2762" s="204"/>
      <c r="AD2762" s="204"/>
    </row>
    <row r="2763" spans="1:30" ht="32.5" customHeight="1">
      <c r="A2763" s="19" t="s">
        <v>7395</v>
      </c>
      <c r="B2763" s="19" t="s">
        <v>7538</v>
      </c>
      <c r="C2763" s="204" t="s">
        <v>24</v>
      </c>
      <c r="D2763" s="204" t="s">
        <v>1242</v>
      </c>
      <c r="E2763" s="204" t="s">
        <v>3209</v>
      </c>
      <c r="F2763" s="152" t="s">
        <v>2276</v>
      </c>
      <c r="G2763" s="152" t="s">
        <v>2276</v>
      </c>
      <c r="H2763" s="204" t="s">
        <v>523</v>
      </c>
      <c r="I2763" s="204">
        <v>2012</v>
      </c>
      <c r="J2763" s="204" t="s">
        <v>2276</v>
      </c>
      <c r="K2763" s="204" t="s">
        <v>2276</v>
      </c>
      <c r="L2763" s="204" t="s">
        <v>2276</v>
      </c>
      <c r="M2763" s="204" t="s">
        <v>2276</v>
      </c>
      <c r="N2763" s="204" t="s">
        <v>2276</v>
      </c>
      <c r="O2763" s="204" t="s">
        <v>2276</v>
      </c>
      <c r="P2763" s="204" t="s">
        <v>2276</v>
      </c>
      <c r="Q2763" s="204" t="s">
        <v>2276</v>
      </c>
      <c r="R2763" s="204" t="s">
        <v>2276</v>
      </c>
      <c r="S2763" s="204" t="s">
        <v>2276</v>
      </c>
      <c r="T2763" s="21">
        <f>450*0.166</f>
        <v>74.7</v>
      </c>
      <c r="U2763" s="204" t="s">
        <v>2276</v>
      </c>
      <c r="V2763" s="204" t="s">
        <v>2276</v>
      </c>
      <c r="W2763" s="204" t="s">
        <v>2276</v>
      </c>
      <c r="X2763" s="21">
        <f>T2763/'Record info'!K$1145</f>
        <v>3.3126385809312639E-2</v>
      </c>
      <c r="Y2763" s="204" t="s">
        <v>2276</v>
      </c>
      <c r="Z2763" s="204" t="s">
        <v>68</v>
      </c>
      <c r="AA2763" s="204" t="s">
        <v>86</v>
      </c>
      <c r="AB2763" s="204" t="s">
        <v>76</v>
      </c>
      <c r="AC2763" s="204"/>
      <c r="AD2763" s="204"/>
    </row>
    <row r="2764" spans="1:30" ht="36" customHeight="1">
      <c r="A2764" s="19" t="s">
        <v>7293</v>
      </c>
      <c r="B2764" s="19" t="s">
        <v>7539</v>
      </c>
      <c r="C2764" s="204" t="s">
        <v>24</v>
      </c>
      <c r="D2764" s="204" t="s">
        <v>1242</v>
      </c>
      <c r="E2764" s="204" t="s">
        <v>3209</v>
      </c>
      <c r="F2764" s="152" t="s">
        <v>2276</v>
      </c>
      <c r="G2764" s="152" t="s">
        <v>2276</v>
      </c>
      <c r="H2764" s="204" t="s">
        <v>523</v>
      </c>
      <c r="I2764" s="204">
        <v>2013</v>
      </c>
      <c r="J2764" s="204" t="s">
        <v>2276</v>
      </c>
      <c r="K2764" s="204" t="s">
        <v>2276</v>
      </c>
      <c r="L2764" s="204" t="s">
        <v>2276</v>
      </c>
      <c r="M2764" s="204" t="s">
        <v>2276</v>
      </c>
      <c r="N2764" s="204" t="s">
        <v>2276</v>
      </c>
      <c r="O2764" s="204" t="s">
        <v>2276</v>
      </c>
      <c r="P2764" s="204" t="s">
        <v>2276</v>
      </c>
      <c r="Q2764" s="204" t="s">
        <v>2276</v>
      </c>
      <c r="R2764" s="204" t="s">
        <v>2276</v>
      </c>
      <c r="S2764" s="204" t="s">
        <v>2276</v>
      </c>
      <c r="T2764" s="21">
        <f>1200*0.027</f>
        <v>32.4</v>
      </c>
      <c r="U2764" s="204" t="s">
        <v>2276</v>
      </c>
      <c r="V2764" s="204" t="s">
        <v>2276</v>
      </c>
      <c r="W2764" s="204" t="s">
        <v>2276</v>
      </c>
      <c r="X2764" s="21">
        <f>T2764/'Record info'!K$1128</f>
        <v>1.1571428571428571E-2</v>
      </c>
      <c r="Y2764" s="204" t="s">
        <v>2276</v>
      </c>
      <c r="Z2764" s="204" t="s">
        <v>68</v>
      </c>
      <c r="AA2764" s="204" t="s">
        <v>86</v>
      </c>
      <c r="AB2764" s="204" t="s">
        <v>76</v>
      </c>
      <c r="AC2764" s="204"/>
      <c r="AD2764" s="204"/>
    </row>
    <row r="2765" spans="1:30" ht="36" customHeight="1">
      <c r="A2765" s="19" t="s">
        <v>7379</v>
      </c>
      <c r="B2765" s="19" t="s">
        <v>7540</v>
      </c>
      <c r="C2765" s="204" t="s">
        <v>24</v>
      </c>
      <c r="D2765" s="204" t="s">
        <v>1242</v>
      </c>
      <c r="E2765" s="204" t="s">
        <v>3209</v>
      </c>
      <c r="F2765" s="152" t="s">
        <v>2276</v>
      </c>
      <c r="G2765" s="152" t="s">
        <v>2276</v>
      </c>
      <c r="H2765" s="204" t="s">
        <v>523</v>
      </c>
      <c r="I2765" s="204">
        <v>2013</v>
      </c>
      <c r="J2765" s="204" t="s">
        <v>2276</v>
      </c>
      <c r="K2765" s="204" t="s">
        <v>2276</v>
      </c>
      <c r="L2765" s="204" t="s">
        <v>2276</v>
      </c>
      <c r="M2765" s="204" t="s">
        <v>2276</v>
      </c>
      <c r="N2765" s="204" t="s">
        <v>2276</v>
      </c>
      <c r="O2765" s="204" t="s">
        <v>2276</v>
      </c>
      <c r="P2765" s="204" t="s">
        <v>2276</v>
      </c>
      <c r="Q2765" s="204" t="s">
        <v>2276</v>
      </c>
      <c r="R2765" s="204" t="s">
        <v>2276</v>
      </c>
      <c r="S2765" s="204" t="s">
        <v>2276</v>
      </c>
      <c r="T2765" s="21">
        <f>1200*0.041</f>
        <v>49.2</v>
      </c>
      <c r="U2765" s="204" t="s">
        <v>2276</v>
      </c>
      <c r="V2765" s="204" t="s">
        <v>2276</v>
      </c>
      <c r="W2765" s="204" t="s">
        <v>2276</v>
      </c>
      <c r="X2765" s="21">
        <f>T2765/'Record info'!K$1129</f>
        <v>1.399715504978663E-2</v>
      </c>
      <c r="Y2765" s="204" t="s">
        <v>2276</v>
      </c>
      <c r="Z2765" s="204" t="s">
        <v>68</v>
      </c>
      <c r="AA2765" s="204" t="s">
        <v>86</v>
      </c>
      <c r="AB2765" s="204" t="s">
        <v>76</v>
      </c>
      <c r="AC2765" s="204"/>
      <c r="AD2765" s="204"/>
    </row>
    <row r="2766" spans="1:30" ht="36" customHeight="1">
      <c r="A2766" s="19" t="s">
        <v>7380</v>
      </c>
      <c r="B2766" s="19" t="s">
        <v>7541</v>
      </c>
      <c r="C2766" s="204" t="s">
        <v>24</v>
      </c>
      <c r="D2766" s="204" t="s">
        <v>1242</v>
      </c>
      <c r="E2766" s="204" t="s">
        <v>3209</v>
      </c>
      <c r="F2766" s="152" t="s">
        <v>2276</v>
      </c>
      <c r="G2766" s="152" t="s">
        <v>2276</v>
      </c>
      <c r="H2766" s="204" t="s">
        <v>523</v>
      </c>
      <c r="I2766" s="204">
        <v>2013</v>
      </c>
      <c r="J2766" s="204" t="s">
        <v>2276</v>
      </c>
      <c r="K2766" s="204" t="s">
        <v>2276</v>
      </c>
      <c r="L2766" s="204" t="s">
        <v>2276</v>
      </c>
      <c r="M2766" s="204" t="s">
        <v>2276</v>
      </c>
      <c r="N2766" s="204" t="s">
        <v>2276</v>
      </c>
      <c r="O2766" s="204" t="s">
        <v>2276</v>
      </c>
      <c r="P2766" s="204" t="s">
        <v>2276</v>
      </c>
      <c r="Q2766" s="204" t="s">
        <v>2276</v>
      </c>
      <c r="R2766" s="204" t="s">
        <v>2276</v>
      </c>
      <c r="S2766" s="204" t="s">
        <v>2276</v>
      </c>
      <c r="T2766" s="21">
        <f>1200*0.004</f>
        <v>4.8</v>
      </c>
      <c r="U2766" s="204" t="s">
        <v>2276</v>
      </c>
      <c r="V2766" s="204" t="s">
        <v>2276</v>
      </c>
      <c r="W2766" s="204" t="s">
        <v>2276</v>
      </c>
      <c r="X2766" s="21">
        <f>T2766/'Record info'!K$1130</f>
        <v>7.1142730102267667E-4</v>
      </c>
      <c r="Y2766" s="204" t="s">
        <v>2276</v>
      </c>
      <c r="Z2766" s="204" t="s">
        <v>68</v>
      </c>
      <c r="AA2766" s="204" t="s">
        <v>86</v>
      </c>
      <c r="AB2766" s="204" t="s">
        <v>76</v>
      </c>
      <c r="AC2766" s="204"/>
      <c r="AD2766" s="204"/>
    </row>
    <row r="2767" spans="1:30" ht="36" customHeight="1">
      <c r="A2767" s="19" t="s">
        <v>7381</v>
      </c>
      <c r="B2767" s="19" t="s">
        <v>7542</v>
      </c>
      <c r="C2767" s="204" t="s">
        <v>24</v>
      </c>
      <c r="D2767" s="204" t="s">
        <v>1242</v>
      </c>
      <c r="E2767" s="204" t="s">
        <v>3209</v>
      </c>
      <c r="F2767" s="152" t="s">
        <v>2276</v>
      </c>
      <c r="G2767" s="152" t="s">
        <v>2276</v>
      </c>
      <c r="H2767" s="204" t="s">
        <v>523</v>
      </c>
      <c r="I2767" s="204">
        <v>2013</v>
      </c>
      <c r="J2767" s="204" t="s">
        <v>2276</v>
      </c>
      <c r="K2767" s="204" t="s">
        <v>2276</v>
      </c>
      <c r="L2767" s="204" t="s">
        <v>2276</v>
      </c>
      <c r="M2767" s="204" t="s">
        <v>2276</v>
      </c>
      <c r="N2767" s="204" t="s">
        <v>2276</v>
      </c>
      <c r="O2767" s="204" t="s">
        <v>2276</v>
      </c>
      <c r="P2767" s="204" t="s">
        <v>2276</v>
      </c>
      <c r="Q2767" s="204" t="s">
        <v>2276</v>
      </c>
      <c r="R2767" s="204" t="s">
        <v>2276</v>
      </c>
      <c r="S2767" s="204" t="s">
        <v>2276</v>
      </c>
      <c r="T2767" s="21">
        <f>1200*0.004</f>
        <v>4.8</v>
      </c>
      <c r="U2767" s="204" t="s">
        <v>2276</v>
      </c>
      <c r="V2767" s="204" t="s">
        <v>2276</v>
      </c>
      <c r="W2767" s="204" t="s">
        <v>2276</v>
      </c>
      <c r="X2767" s="21">
        <f>T2767/'Record info'!K$1131</f>
        <v>9.4786729857819897E-4</v>
      </c>
      <c r="Y2767" s="204" t="s">
        <v>2276</v>
      </c>
      <c r="Z2767" s="204" t="s">
        <v>68</v>
      </c>
      <c r="AA2767" s="204" t="s">
        <v>86</v>
      </c>
      <c r="AB2767" s="204" t="s">
        <v>76</v>
      </c>
      <c r="AC2767" s="204"/>
      <c r="AD2767" s="204"/>
    </row>
    <row r="2768" spans="1:30" ht="36" customHeight="1">
      <c r="A2768" s="19" t="s">
        <v>7382</v>
      </c>
      <c r="B2768" s="19" t="s">
        <v>7543</v>
      </c>
      <c r="C2768" s="204" t="s">
        <v>24</v>
      </c>
      <c r="D2768" s="204" t="s">
        <v>1242</v>
      </c>
      <c r="E2768" s="204" t="s">
        <v>3209</v>
      </c>
      <c r="F2768" s="152" t="s">
        <v>2276</v>
      </c>
      <c r="G2768" s="152" t="s">
        <v>2276</v>
      </c>
      <c r="H2768" s="204" t="s">
        <v>524</v>
      </c>
      <c r="I2768" s="204">
        <v>2013</v>
      </c>
      <c r="J2768" s="21">
        <v>0</v>
      </c>
      <c r="K2768" s="21">
        <v>0</v>
      </c>
      <c r="L2768" s="21">
        <v>0</v>
      </c>
      <c r="M2768" s="21">
        <v>0</v>
      </c>
      <c r="N2768" s="21">
        <v>0</v>
      </c>
      <c r="O2768" s="21">
        <v>0</v>
      </c>
      <c r="P2768" s="21">
        <v>0</v>
      </c>
      <c r="Q2768" s="21">
        <v>0</v>
      </c>
      <c r="R2768" s="21">
        <v>0</v>
      </c>
      <c r="S2768" s="21">
        <v>0</v>
      </c>
      <c r="T2768" s="21">
        <v>0</v>
      </c>
      <c r="U2768" s="21">
        <v>0</v>
      </c>
      <c r="V2768" s="21">
        <v>0</v>
      </c>
      <c r="W2768" s="21">
        <v>0</v>
      </c>
      <c r="X2768" s="21">
        <f>T2768/'Record info'!K$1132</f>
        <v>0</v>
      </c>
      <c r="Y2768" s="204" t="s">
        <v>2276</v>
      </c>
      <c r="Z2768" s="204" t="s">
        <v>68</v>
      </c>
      <c r="AA2768" s="204" t="s">
        <v>86</v>
      </c>
      <c r="AB2768" s="204" t="s">
        <v>76</v>
      </c>
      <c r="AC2768" s="204"/>
      <c r="AD2768" s="204"/>
    </row>
    <row r="2769" spans="1:30" ht="36" customHeight="1">
      <c r="A2769" s="19" t="s">
        <v>7383</v>
      </c>
      <c r="B2769" s="19" t="s">
        <v>7544</v>
      </c>
      <c r="C2769" s="204" t="s">
        <v>24</v>
      </c>
      <c r="D2769" s="204" t="s">
        <v>1242</v>
      </c>
      <c r="E2769" s="204" t="s">
        <v>3209</v>
      </c>
      <c r="F2769" s="152" t="s">
        <v>2276</v>
      </c>
      <c r="G2769" s="152" t="s">
        <v>2276</v>
      </c>
      <c r="H2769" s="204" t="s">
        <v>524</v>
      </c>
      <c r="I2769" s="204">
        <v>2013</v>
      </c>
      <c r="J2769" s="21">
        <v>0</v>
      </c>
      <c r="K2769" s="21">
        <v>0</v>
      </c>
      <c r="L2769" s="21">
        <v>0</v>
      </c>
      <c r="M2769" s="21">
        <v>0</v>
      </c>
      <c r="N2769" s="21">
        <v>0</v>
      </c>
      <c r="O2769" s="21">
        <v>0</v>
      </c>
      <c r="P2769" s="21">
        <v>0</v>
      </c>
      <c r="Q2769" s="21">
        <v>0</v>
      </c>
      <c r="R2769" s="21">
        <v>0</v>
      </c>
      <c r="S2769" s="21">
        <v>0</v>
      </c>
      <c r="T2769" s="21">
        <v>0</v>
      </c>
      <c r="U2769" s="21">
        <v>0</v>
      </c>
      <c r="V2769" s="21">
        <v>0</v>
      </c>
      <c r="W2769" s="21">
        <v>0</v>
      </c>
      <c r="X2769" s="21">
        <f>T2769/'Record info'!K$1133</f>
        <v>0</v>
      </c>
      <c r="Y2769" s="204" t="s">
        <v>2276</v>
      </c>
      <c r="Z2769" s="204" t="s">
        <v>68</v>
      </c>
      <c r="AA2769" s="204" t="s">
        <v>86</v>
      </c>
      <c r="AB2769" s="204" t="s">
        <v>76</v>
      </c>
      <c r="AC2769" s="204"/>
      <c r="AD2769" s="204"/>
    </row>
    <row r="2770" spans="1:30" ht="36" customHeight="1">
      <c r="A2770" s="19" t="s">
        <v>7384</v>
      </c>
      <c r="B2770" s="19" t="s">
        <v>7545</v>
      </c>
      <c r="C2770" s="204" t="s">
        <v>24</v>
      </c>
      <c r="D2770" s="204" t="s">
        <v>1242</v>
      </c>
      <c r="E2770" s="204" t="s">
        <v>3209</v>
      </c>
      <c r="F2770" s="152" t="s">
        <v>2276</v>
      </c>
      <c r="G2770" s="152" t="s">
        <v>2276</v>
      </c>
      <c r="H2770" s="204" t="s">
        <v>524</v>
      </c>
      <c r="I2770" s="204">
        <v>2013</v>
      </c>
      <c r="J2770" s="21">
        <v>0</v>
      </c>
      <c r="K2770" s="21">
        <v>0</v>
      </c>
      <c r="L2770" s="21">
        <v>0</v>
      </c>
      <c r="M2770" s="21">
        <v>0</v>
      </c>
      <c r="N2770" s="21">
        <v>0</v>
      </c>
      <c r="O2770" s="21">
        <v>0</v>
      </c>
      <c r="P2770" s="21">
        <v>0</v>
      </c>
      <c r="Q2770" s="21">
        <v>0</v>
      </c>
      <c r="R2770" s="21">
        <v>0</v>
      </c>
      <c r="S2770" s="21">
        <v>0</v>
      </c>
      <c r="T2770" s="21">
        <v>0</v>
      </c>
      <c r="U2770" s="21">
        <v>0</v>
      </c>
      <c r="V2770" s="21">
        <v>0</v>
      </c>
      <c r="W2770" s="21">
        <v>0</v>
      </c>
      <c r="X2770" s="21">
        <f>T2770/'Record info'!K$1134</f>
        <v>0</v>
      </c>
      <c r="Y2770" s="204" t="s">
        <v>2276</v>
      </c>
      <c r="Z2770" s="204" t="s">
        <v>68</v>
      </c>
      <c r="AA2770" s="204" t="s">
        <v>86</v>
      </c>
      <c r="AB2770" s="204" t="s">
        <v>76</v>
      </c>
      <c r="AC2770" s="204"/>
      <c r="AD2770" s="204"/>
    </row>
    <row r="2771" spans="1:30" ht="36" customHeight="1">
      <c r="A2771" s="19" t="s">
        <v>7385</v>
      </c>
      <c r="B2771" s="19" t="s">
        <v>7546</v>
      </c>
      <c r="C2771" s="204" t="s">
        <v>24</v>
      </c>
      <c r="D2771" s="204" t="s">
        <v>1242</v>
      </c>
      <c r="E2771" s="204" t="s">
        <v>3209</v>
      </c>
      <c r="F2771" s="152" t="s">
        <v>2276</v>
      </c>
      <c r="G2771" s="152" t="s">
        <v>2276</v>
      </c>
      <c r="H2771" s="204" t="s">
        <v>523</v>
      </c>
      <c r="I2771" s="204">
        <v>2013</v>
      </c>
      <c r="J2771" s="204" t="s">
        <v>2276</v>
      </c>
      <c r="K2771" s="204" t="s">
        <v>2276</v>
      </c>
      <c r="L2771" s="204" t="s">
        <v>2276</v>
      </c>
      <c r="M2771" s="204" t="s">
        <v>2276</v>
      </c>
      <c r="N2771" s="204" t="s">
        <v>2276</v>
      </c>
      <c r="O2771" s="204" t="s">
        <v>2276</v>
      </c>
      <c r="P2771" s="204" t="s">
        <v>2276</v>
      </c>
      <c r="Q2771" s="204" t="s">
        <v>2276</v>
      </c>
      <c r="R2771" s="204" t="s">
        <v>2276</v>
      </c>
      <c r="S2771" s="204" t="s">
        <v>2276</v>
      </c>
      <c r="T2771" s="21">
        <f>1200*0.035</f>
        <v>42.000000000000007</v>
      </c>
      <c r="U2771" s="204" t="s">
        <v>2276</v>
      </c>
      <c r="V2771" s="204" t="s">
        <v>2276</v>
      </c>
      <c r="W2771" s="204" t="s">
        <v>2276</v>
      </c>
      <c r="X2771" s="21">
        <f>T2771/'Record info'!K$1135</f>
        <v>6.9249793899422932E-3</v>
      </c>
      <c r="Y2771" s="204" t="s">
        <v>2276</v>
      </c>
      <c r="Z2771" s="204" t="s">
        <v>68</v>
      </c>
      <c r="AA2771" s="204" t="s">
        <v>86</v>
      </c>
      <c r="AB2771" s="204" t="s">
        <v>76</v>
      </c>
      <c r="AC2771" s="204"/>
      <c r="AD2771" s="204"/>
    </row>
    <row r="2772" spans="1:30" ht="36" customHeight="1">
      <c r="A2772" s="19" t="s">
        <v>7386</v>
      </c>
      <c r="B2772" s="19" t="s">
        <v>7547</v>
      </c>
      <c r="C2772" s="204" t="s">
        <v>24</v>
      </c>
      <c r="D2772" s="204" t="s">
        <v>1242</v>
      </c>
      <c r="E2772" s="204" t="s">
        <v>3209</v>
      </c>
      <c r="F2772" s="152" t="s">
        <v>2276</v>
      </c>
      <c r="G2772" s="152" t="s">
        <v>2276</v>
      </c>
      <c r="H2772" s="204" t="s">
        <v>523</v>
      </c>
      <c r="I2772" s="204">
        <v>2013</v>
      </c>
      <c r="J2772" s="204" t="s">
        <v>2276</v>
      </c>
      <c r="K2772" s="204" t="s">
        <v>2276</v>
      </c>
      <c r="L2772" s="204" t="s">
        <v>2276</v>
      </c>
      <c r="M2772" s="204" t="s">
        <v>2276</v>
      </c>
      <c r="N2772" s="204" t="s">
        <v>2276</v>
      </c>
      <c r="O2772" s="204" t="s">
        <v>2276</v>
      </c>
      <c r="P2772" s="204" t="s">
        <v>2276</v>
      </c>
      <c r="Q2772" s="204" t="s">
        <v>2276</v>
      </c>
      <c r="R2772" s="204" t="s">
        <v>2276</v>
      </c>
      <c r="S2772" s="204" t="s">
        <v>2276</v>
      </c>
      <c r="T2772" s="21">
        <f>1200*0.079</f>
        <v>94.8</v>
      </c>
      <c r="U2772" s="204" t="s">
        <v>2276</v>
      </c>
      <c r="V2772" s="204" t="s">
        <v>2276</v>
      </c>
      <c r="W2772" s="204" t="s">
        <v>2276</v>
      </c>
      <c r="X2772" s="21">
        <f>T2772/'Record info'!K$1136</f>
        <v>1.4202247191011236E-2</v>
      </c>
      <c r="Y2772" s="204" t="s">
        <v>2276</v>
      </c>
      <c r="Z2772" s="204" t="s">
        <v>68</v>
      </c>
      <c r="AA2772" s="204" t="s">
        <v>86</v>
      </c>
      <c r="AB2772" s="204" t="s">
        <v>76</v>
      </c>
      <c r="AC2772" s="204"/>
      <c r="AD2772" s="204"/>
    </row>
    <row r="2773" spans="1:30" ht="36" customHeight="1">
      <c r="A2773" s="19" t="s">
        <v>7387</v>
      </c>
      <c r="B2773" s="19" t="s">
        <v>7548</v>
      </c>
      <c r="C2773" s="204" t="s">
        <v>24</v>
      </c>
      <c r="D2773" s="204" t="s">
        <v>1242</v>
      </c>
      <c r="E2773" s="204" t="s">
        <v>3209</v>
      </c>
      <c r="F2773" s="152" t="s">
        <v>2276</v>
      </c>
      <c r="G2773" s="152" t="s">
        <v>2276</v>
      </c>
      <c r="H2773" s="204" t="s">
        <v>523</v>
      </c>
      <c r="I2773" s="204">
        <v>2013</v>
      </c>
      <c r="J2773" s="204" t="s">
        <v>2276</v>
      </c>
      <c r="K2773" s="204" t="s">
        <v>2276</v>
      </c>
      <c r="L2773" s="204" t="s">
        <v>2276</v>
      </c>
      <c r="M2773" s="204" t="s">
        <v>2276</v>
      </c>
      <c r="N2773" s="204" t="s">
        <v>2276</v>
      </c>
      <c r="O2773" s="204" t="s">
        <v>2276</v>
      </c>
      <c r="P2773" s="204" t="s">
        <v>2276</v>
      </c>
      <c r="Q2773" s="204" t="s">
        <v>2276</v>
      </c>
      <c r="R2773" s="204" t="s">
        <v>2276</v>
      </c>
      <c r="S2773" s="204" t="s">
        <v>2276</v>
      </c>
      <c r="T2773" s="21">
        <f>1200*0.132</f>
        <v>158.4</v>
      </c>
      <c r="U2773" s="204" t="s">
        <v>2276</v>
      </c>
      <c r="V2773" s="204" t="s">
        <v>2276</v>
      </c>
      <c r="W2773" s="204" t="s">
        <v>2276</v>
      </c>
      <c r="X2773" s="21">
        <f>T2773/'Record info'!K$1137</f>
        <v>2.8706052917723813E-2</v>
      </c>
      <c r="Y2773" s="204" t="s">
        <v>2276</v>
      </c>
      <c r="Z2773" s="204" t="s">
        <v>68</v>
      </c>
      <c r="AA2773" s="204" t="s">
        <v>86</v>
      </c>
      <c r="AB2773" s="204" t="s">
        <v>76</v>
      </c>
      <c r="AC2773" s="204"/>
      <c r="AD2773" s="204"/>
    </row>
    <row r="2774" spans="1:30" ht="36" customHeight="1">
      <c r="A2774" s="19" t="s">
        <v>7388</v>
      </c>
      <c r="B2774" s="19" t="s">
        <v>7549</v>
      </c>
      <c r="C2774" s="204" t="s">
        <v>24</v>
      </c>
      <c r="D2774" s="204" t="s">
        <v>1242</v>
      </c>
      <c r="E2774" s="204" t="s">
        <v>3209</v>
      </c>
      <c r="F2774" s="152" t="s">
        <v>2276</v>
      </c>
      <c r="G2774" s="152" t="s">
        <v>2276</v>
      </c>
      <c r="H2774" s="204" t="s">
        <v>523</v>
      </c>
      <c r="I2774" s="204">
        <v>2013</v>
      </c>
      <c r="J2774" s="204" t="s">
        <v>2276</v>
      </c>
      <c r="K2774" s="204" t="s">
        <v>2276</v>
      </c>
      <c r="L2774" s="204" t="s">
        <v>2276</v>
      </c>
      <c r="M2774" s="204" t="s">
        <v>2276</v>
      </c>
      <c r="N2774" s="204" t="s">
        <v>2276</v>
      </c>
      <c r="O2774" s="204" t="s">
        <v>2276</v>
      </c>
      <c r="P2774" s="204" t="s">
        <v>2276</v>
      </c>
      <c r="Q2774" s="204" t="s">
        <v>2276</v>
      </c>
      <c r="R2774" s="204" t="s">
        <v>2276</v>
      </c>
      <c r="S2774" s="204" t="s">
        <v>2276</v>
      </c>
      <c r="T2774" s="21">
        <f>1200*0.057</f>
        <v>68.400000000000006</v>
      </c>
      <c r="U2774" s="204" t="s">
        <v>2276</v>
      </c>
      <c r="V2774" s="204" t="s">
        <v>2276</v>
      </c>
      <c r="W2774" s="204" t="s">
        <v>2276</v>
      </c>
      <c r="X2774" s="21">
        <f>T2774/'Record info'!K$1138</f>
        <v>1.7329617430960224E-2</v>
      </c>
      <c r="Y2774" s="204" t="s">
        <v>2276</v>
      </c>
      <c r="Z2774" s="204" t="s">
        <v>68</v>
      </c>
      <c r="AA2774" s="204" t="s">
        <v>86</v>
      </c>
      <c r="AB2774" s="204" t="s">
        <v>76</v>
      </c>
      <c r="AC2774" s="204"/>
      <c r="AD2774" s="204"/>
    </row>
    <row r="2775" spans="1:30" ht="36" customHeight="1">
      <c r="A2775" s="19" t="s">
        <v>7389</v>
      </c>
      <c r="B2775" s="19" t="s">
        <v>7550</v>
      </c>
      <c r="C2775" s="204" t="s">
        <v>24</v>
      </c>
      <c r="D2775" s="204" t="s">
        <v>1242</v>
      </c>
      <c r="E2775" s="204" t="s">
        <v>3209</v>
      </c>
      <c r="F2775" s="152" t="s">
        <v>2276</v>
      </c>
      <c r="G2775" s="152" t="s">
        <v>2276</v>
      </c>
      <c r="H2775" s="204" t="s">
        <v>523</v>
      </c>
      <c r="I2775" s="204">
        <v>2013</v>
      </c>
      <c r="J2775" s="204" t="s">
        <v>2276</v>
      </c>
      <c r="K2775" s="204" t="s">
        <v>2276</v>
      </c>
      <c r="L2775" s="204" t="s">
        <v>2276</v>
      </c>
      <c r="M2775" s="204" t="s">
        <v>2276</v>
      </c>
      <c r="N2775" s="204" t="s">
        <v>2276</v>
      </c>
      <c r="O2775" s="204" t="s">
        <v>2276</v>
      </c>
      <c r="P2775" s="204" t="s">
        <v>2276</v>
      </c>
      <c r="Q2775" s="204" t="s">
        <v>2276</v>
      </c>
      <c r="R2775" s="204" t="s">
        <v>2276</v>
      </c>
      <c r="S2775" s="204" t="s">
        <v>2276</v>
      </c>
      <c r="T2775" s="21">
        <f>1200*0.024</f>
        <v>28.8</v>
      </c>
      <c r="U2775" s="204" t="s">
        <v>2276</v>
      </c>
      <c r="V2775" s="204" t="s">
        <v>2276</v>
      </c>
      <c r="W2775" s="204" t="s">
        <v>2276</v>
      </c>
      <c r="X2775" s="21">
        <f>T2775/'Record info'!K$1139</f>
        <v>1.0256410256410256E-2</v>
      </c>
      <c r="Y2775" s="204" t="s">
        <v>2276</v>
      </c>
      <c r="Z2775" s="204" t="s">
        <v>68</v>
      </c>
      <c r="AA2775" s="204" t="s">
        <v>86</v>
      </c>
      <c r="AB2775" s="204" t="s">
        <v>76</v>
      </c>
      <c r="AC2775" s="204"/>
      <c r="AD2775" s="204"/>
    </row>
    <row r="2776" spans="1:30" ht="36" customHeight="1">
      <c r="A2776" s="19" t="s">
        <v>7390</v>
      </c>
      <c r="B2776" s="19" t="s">
        <v>7551</v>
      </c>
      <c r="C2776" s="204" t="s">
        <v>24</v>
      </c>
      <c r="D2776" s="204" t="s">
        <v>1242</v>
      </c>
      <c r="E2776" s="204" t="s">
        <v>3209</v>
      </c>
      <c r="F2776" s="152" t="s">
        <v>2276</v>
      </c>
      <c r="G2776" s="152" t="s">
        <v>2276</v>
      </c>
      <c r="H2776" s="204" t="s">
        <v>523</v>
      </c>
      <c r="I2776" s="204">
        <v>2013</v>
      </c>
      <c r="J2776" s="204" t="s">
        <v>2276</v>
      </c>
      <c r="K2776" s="204" t="s">
        <v>2276</v>
      </c>
      <c r="L2776" s="204" t="s">
        <v>2276</v>
      </c>
      <c r="M2776" s="204" t="s">
        <v>2276</v>
      </c>
      <c r="N2776" s="204" t="s">
        <v>2276</v>
      </c>
      <c r="O2776" s="204" t="s">
        <v>2276</v>
      </c>
      <c r="P2776" s="204" t="s">
        <v>2276</v>
      </c>
      <c r="Q2776" s="204" t="s">
        <v>2276</v>
      </c>
      <c r="R2776" s="204" t="s">
        <v>2276</v>
      </c>
      <c r="S2776" s="204" t="s">
        <v>2276</v>
      </c>
      <c r="T2776" s="21">
        <f>1200*0.072</f>
        <v>86.399999999999991</v>
      </c>
      <c r="U2776" s="204" t="s">
        <v>2276</v>
      </c>
      <c r="V2776" s="204" t="s">
        <v>2276</v>
      </c>
      <c r="W2776" s="204" t="s">
        <v>2276</v>
      </c>
      <c r="X2776" s="21">
        <f>T2776/'Record info'!K$1140</f>
        <v>1.7255841821449968E-2</v>
      </c>
      <c r="Y2776" s="204" t="s">
        <v>2276</v>
      </c>
      <c r="Z2776" s="204" t="s">
        <v>68</v>
      </c>
      <c r="AA2776" s="204" t="s">
        <v>86</v>
      </c>
      <c r="AB2776" s="204" t="s">
        <v>76</v>
      </c>
      <c r="AC2776" s="204"/>
      <c r="AD2776" s="204"/>
    </row>
    <row r="2777" spans="1:30" ht="36" customHeight="1">
      <c r="A2777" s="19" t="s">
        <v>7391</v>
      </c>
      <c r="B2777" s="19" t="s">
        <v>7552</v>
      </c>
      <c r="C2777" s="204" t="s">
        <v>24</v>
      </c>
      <c r="D2777" s="204" t="s">
        <v>1242</v>
      </c>
      <c r="E2777" s="204" t="s">
        <v>3209</v>
      </c>
      <c r="F2777" s="152" t="s">
        <v>2276</v>
      </c>
      <c r="G2777" s="152" t="s">
        <v>2276</v>
      </c>
      <c r="H2777" s="204" t="s">
        <v>523</v>
      </c>
      <c r="I2777" s="204">
        <v>2013</v>
      </c>
      <c r="J2777" s="204" t="s">
        <v>2276</v>
      </c>
      <c r="K2777" s="204" t="s">
        <v>2276</v>
      </c>
      <c r="L2777" s="204" t="s">
        <v>2276</v>
      </c>
      <c r="M2777" s="204" t="s">
        <v>2276</v>
      </c>
      <c r="N2777" s="204" t="s">
        <v>2276</v>
      </c>
      <c r="O2777" s="204" t="s">
        <v>2276</v>
      </c>
      <c r="P2777" s="204" t="s">
        <v>2276</v>
      </c>
      <c r="Q2777" s="204" t="s">
        <v>2276</v>
      </c>
      <c r="R2777" s="204" t="s">
        <v>2276</v>
      </c>
      <c r="S2777" s="204" t="s">
        <v>2276</v>
      </c>
      <c r="T2777" s="21">
        <f>1200*0.068</f>
        <v>81.600000000000009</v>
      </c>
      <c r="U2777" s="204" t="s">
        <v>2276</v>
      </c>
      <c r="V2777" s="204" t="s">
        <v>2276</v>
      </c>
      <c r="W2777" s="204" t="s">
        <v>2276</v>
      </c>
      <c r="X2777" s="21">
        <f>T2777/'Record info'!K$1141</f>
        <v>6.950596252129472E-2</v>
      </c>
      <c r="Y2777" s="204" t="s">
        <v>2276</v>
      </c>
      <c r="Z2777" s="204" t="s">
        <v>68</v>
      </c>
      <c r="AA2777" s="204" t="s">
        <v>86</v>
      </c>
      <c r="AB2777" s="204" t="s">
        <v>76</v>
      </c>
      <c r="AC2777" s="204"/>
      <c r="AD2777" s="204"/>
    </row>
    <row r="2778" spans="1:30" ht="36" customHeight="1">
      <c r="A2778" s="19" t="s">
        <v>7392</v>
      </c>
      <c r="B2778" s="19" t="s">
        <v>7553</v>
      </c>
      <c r="C2778" s="204" t="s">
        <v>24</v>
      </c>
      <c r="D2778" s="204" t="s">
        <v>1242</v>
      </c>
      <c r="E2778" s="204" t="s">
        <v>3209</v>
      </c>
      <c r="F2778" s="152" t="s">
        <v>2276</v>
      </c>
      <c r="G2778" s="152" t="s">
        <v>2276</v>
      </c>
      <c r="H2778" s="204" t="s">
        <v>523</v>
      </c>
      <c r="I2778" s="204">
        <v>2013</v>
      </c>
      <c r="J2778" s="204" t="s">
        <v>2276</v>
      </c>
      <c r="K2778" s="204" t="s">
        <v>2276</v>
      </c>
      <c r="L2778" s="204" t="s">
        <v>2276</v>
      </c>
      <c r="M2778" s="204" t="s">
        <v>2276</v>
      </c>
      <c r="N2778" s="204" t="s">
        <v>2276</v>
      </c>
      <c r="O2778" s="204" t="s">
        <v>2276</v>
      </c>
      <c r="P2778" s="204" t="s">
        <v>2276</v>
      </c>
      <c r="Q2778" s="204" t="s">
        <v>2276</v>
      </c>
      <c r="R2778" s="204" t="s">
        <v>2276</v>
      </c>
      <c r="S2778" s="204" t="s">
        <v>2276</v>
      </c>
      <c r="T2778" s="21">
        <f>1200*0.075</f>
        <v>90</v>
      </c>
      <c r="U2778" s="204" t="s">
        <v>2276</v>
      </c>
      <c r="V2778" s="204" t="s">
        <v>2276</v>
      </c>
      <c r="W2778" s="204" t="s">
        <v>2276</v>
      </c>
      <c r="X2778" s="21">
        <f>T2778/'Record info'!K$1142</f>
        <v>2.0794824399260628E-2</v>
      </c>
      <c r="Y2778" s="204" t="s">
        <v>2276</v>
      </c>
      <c r="Z2778" s="204" t="s">
        <v>68</v>
      </c>
      <c r="AA2778" s="204" t="s">
        <v>86</v>
      </c>
      <c r="AB2778" s="204" t="s">
        <v>76</v>
      </c>
      <c r="AC2778" s="204"/>
      <c r="AD2778" s="204"/>
    </row>
    <row r="2779" spans="1:30" ht="36" customHeight="1">
      <c r="A2779" s="19" t="s">
        <v>7393</v>
      </c>
      <c r="B2779" s="19" t="s">
        <v>7554</v>
      </c>
      <c r="C2779" s="204" t="s">
        <v>24</v>
      </c>
      <c r="D2779" s="204" t="s">
        <v>1242</v>
      </c>
      <c r="E2779" s="204" t="s">
        <v>3209</v>
      </c>
      <c r="F2779" s="152" t="s">
        <v>2276</v>
      </c>
      <c r="G2779" s="152" t="s">
        <v>2276</v>
      </c>
      <c r="H2779" s="204" t="s">
        <v>523</v>
      </c>
      <c r="I2779" s="204">
        <v>2013</v>
      </c>
      <c r="J2779" s="204" t="s">
        <v>2276</v>
      </c>
      <c r="K2779" s="204" t="s">
        <v>2276</v>
      </c>
      <c r="L2779" s="204" t="s">
        <v>2276</v>
      </c>
      <c r="M2779" s="204" t="s">
        <v>2276</v>
      </c>
      <c r="N2779" s="204" t="s">
        <v>2276</v>
      </c>
      <c r="O2779" s="204" t="s">
        <v>2276</v>
      </c>
      <c r="P2779" s="204" t="s">
        <v>2276</v>
      </c>
      <c r="Q2779" s="204" t="s">
        <v>2276</v>
      </c>
      <c r="R2779" s="204" t="s">
        <v>2276</v>
      </c>
      <c r="S2779" s="204" t="s">
        <v>2276</v>
      </c>
      <c r="T2779" s="21">
        <f>1200*0.111</f>
        <v>133.19999999999999</v>
      </c>
      <c r="U2779" s="204" t="s">
        <v>2276</v>
      </c>
      <c r="V2779" s="204" t="s">
        <v>2276</v>
      </c>
      <c r="W2779" s="204" t="s">
        <v>2276</v>
      </c>
      <c r="X2779" s="21">
        <f>T2779/'Record info'!K$1143</f>
        <v>5.5615866388308975E-2</v>
      </c>
      <c r="Y2779" s="204" t="s">
        <v>2276</v>
      </c>
      <c r="Z2779" s="204" t="s">
        <v>68</v>
      </c>
      <c r="AA2779" s="204" t="s">
        <v>86</v>
      </c>
      <c r="AB2779" s="204" t="s">
        <v>76</v>
      </c>
      <c r="AC2779" s="204"/>
      <c r="AD2779" s="204"/>
    </row>
    <row r="2780" spans="1:30" ht="36" customHeight="1">
      <c r="A2780" s="19" t="s">
        <v>7394</v>
      </c>
      <c r="B2780" s="19" t="s">
        <v>7555</v>
      </c>
      <c r="C2780" s="204" t="s">
        <v>24</v>
      </c>
      <c r="D2780" s="204" t="s">
        <v>1242</v>
      </c>
      <c r="E2780" s="204" t="s">
        <v>3209</v>
      </c>
      <c r="F2780" s="152" t="s">
        <v>2276</v>
      </c>
      <c r="G2780" s="152" t="s">
        <v>2276</v>
      </c>
      <c r="H2780" s="204" t="s">
        <v>523</v>
      </c>
      <c r="I2780" s="204">
        <v>2013</v>
      </c>
      <c r="J2780" s="204" t="s">
        <v>2276</v>
      </c>
      <c r="K2780" s="204" t="s">
        <v>2276</v>
      </c>
      <c r="L2780" s="204" t="s">
        <v>2276</v>
      </c>
      <c r="M2780" s="204" t="s">
        <v>2276</v>
      </c>
      <c r="N2780" s="204" t="s">
        <v>2276</v>
      </c>
      <c r="O2780" s="204" t="s">
        <v>2276</v>
      </c>
      <c r="P2780" s="204" t="s">
        <v>2276</v>
      </c>
      <c r="Q2780" s="204" t="s">
        <v>2276</v>
      </c>
      <c r="R2780" s="204" t="s">
        <v>2276</v>
      </c>
      <c r="S2780" s="204" t="s">
        <v>2276</v>
      </c>
      <c r="T2780" s="21">
        <f>1200*0.106</f>
        <v>127.2</v>
      </c>
      <c r="U2780" s="204" t="s">
        <v>2276</v>
      </c>
      <c r="V2780" s="204" t="s">
        <v>2276</v>
      </c>
      <c r="W2780" s="204" t="s">
        <v>2276</v>
      </c>
      <c r="X2780" s="21">
        <f>T2780/'Record info'!K$1144</f>
        <v>4.7586980920314256E-2</v>
      </c>
      <c r="Y2780" s="204" t="s">
        <v>2276</v>
      </c>
      <c r="Z2780" s="204" t="s">
        <v>68</v>
      </c>
      <c r="AA2780" s="204" t="s">
        <v>86</v>
      </c>
      <c r="AB2780" s="204" t="s">
        <v>76</v>
      </c>
      <c r="AC2780" s="204"/>
      <c r="AD2780" s="204"/>
    </row>
    <row r="2781" spans="1:30" ht="36" customHeight="1">
      <c r="A2781" s="19" t="s">
        <v>7395</v>
      </c>
      <c r="B2781" s="19" t="s">
        <v>7556</v>
      </c>
      <c r="C2781" s="204" t="s">
        <v>24</v>
      </c>
      <c r="D2781" s="204" t="s">
        <v>1242</v>
      </c>
      <c r="E2781" s="204" t="s">
        <v>3209</v>
      </c>
      <c r="F2781" s="152" t="s">
        <v>2276</v>
      </c>
      <c r="G2781" s="152" t="s">
        <v>2276</v>
      </c>
      <c r="H2781" s="204" t="s">
        <v>523</v>
      </c>
      <c r="I2781" s="204">
        <v>2013</v>
      </c>
      <c r="J2781" s="204" t="s">
        <v>2276</v>
      </c>
      <c r="K2781" s="204" t="s">
        <v>2276</v>
      </c>
      <c r="L2781" s="204" t="s">
        <v>2276</v>
      </c>
      <c r="M2781" s="204" t="s">
        <v>2276</v>
      </c>
      <c r="N2781" s="204" t="s">
        <v>2276</v>
      </c>
      <c r="O2781" s="204" t="s">
        <v>2276</v>
      </c>
      <c r="P2781" s="204" t="s">
        <v>2276</v>
      </c>
      <c r="Q2781" s="204" t="s">
        <v>2276</v>
      </c>
      <c r="R2781" s="204" t="s">
        <v>2276</v>
      </c>
      <c r="S2781" s="204" t="s">
        <v>2276</v>
      </c>
      <c r="T2781" s="21">
        <f>1200*0.166</f>
        <v>199.20000000000002</v>
      </c>
      <c r="U2781" s="204" t="s">
        <v>2276</v>
      </c>
      <c r="V2781" s="204" t="s">
        <v>2276</v>
      </c>
      <c r="W2781" s="204" t="s">
        <v>2276</v>
      </c>
      <c r="X2781" s="21">
        <f>T2781/'Record info'!K$1145</f>
        <v>8.8337028824833713E-2</v>
      </c>
      <c r="Y2781" s="204" t="s">
        <v>2276</v>
      </c>
      <c r="Z2781" s="204" t="s">
        <v>68</v>
      </c>
      <c r="AA2781" s="204" t="s">
        <v>86</v>
      </c>
      <c r="AB2781" s="204" t="s">
        <v>76</v>
      </c>
      <c r="AC2781" s="204"/>
      <c r="AD2781" s="204"/>
    </row>
    <row r="2782" spans="1:30" ht="43.5" customHeight="1">
      <c r="A2782" s="19" t="s">
        <v>7293</v>
      </c>
      <c r="B2782" s="19" t="s">
        <v>7557</v>
      </c>
      <c r="C2782" s="204" t="s">
        <v>24</v>
      </c>
      <c r="D2782" s="204" t="s">
        <v>1242</v>
      </c>
      <c r="E2782" s="204" t="s">
        <v>3209</v>
      </c>
      <c r="F2782" s="152" t="s">
        <v>2276</v>
      </c>
      <c r="G2782" s="152" t="s">
        <v>2276</v>
      </c>
      <c r="H2782" s="204" t="s">
        <v>523</v>
      </c>
      <c r="I2782" s="204">
        <v>2014</v>
      </c>
      <c r="J2782" s="204" t="s">
        <v>2276</v>
      </c>
      <c r="K2782" s="204" t="s">
        <v>2276</v>
      </c>
      <c r="L2782" s="204" t="s">
        <v>2276</v>
      </c>
      <c r="M2782" s="204" t="s">
        <v>2276</v>
      </c>
      <c r="N2782" s="204" t="s">
        <v>2276</v>
      </c>
      <c r="O2782" s="204" t="s">
        <v>2276</v>
      </c>
      <c r="P2782" s="204" t="s">
        <v>2276</v>
      </c>
      <c r="Q2782" s="204" t="s">
        <v>2276</v>
      </c>
      <c r="R2782" s="204" t="s">
        <v>2276</v>
      </c>
      <c r="S2782" s="204" t="s">
        <v>2276</v>
      </c>
      <c r="T2782" s="21">
        <f>800*0.027</f>
        <v>21.6</v>
      </c>
      <c r="U2782" s="204" t="s">
        <v>2276</v>
      </c>
      <c r="V2782" s="204" t="s">
        <v>2276</v>
      </c>
      <c r="W2782" s="204" t="s">
        <v>2276</v>
      </c>
      <c r="X2782" s="21">
        <f>T2782/'Record info'!K$1128</f>
        <v>7.7142857142857152E-3</v>
      </c>
      <c r="Y2782" s="204" t="s">
        <v>2276</v>
      </c>
      <c r="Z2782" s="204" t="s">
        <v>68</v>
      </c>
      <c r="AA2782" s="204" t="s">
        <v>86</v>
      </c>
      <c r="AB2782" s="204" t="s">
        <v>76</v>
      </c>
      <c r="AC2782" s="204"/>
      <c r="AD2782" s="204"/>
    </row>
    <row r="2783" spans="1:30" ht="43.5" customHeight="1">
      <c r="A2783" s="19" t="s">
        <v>7379</v>
      </c>
      <c r="B2783" s="19" t="s">
        <v>7558</v>
      </c>
      <c r="C2783" s="204" t="s">
        <v>24</v>
      </c>
      <c r="D2783" s="204" t="s">
        <v>1242</v>
      </c>
      <c r="E2783" s="204" t="s">
        <v>3209</v>
      </c>
      <c r="F2783" s="152" t="s">
        <v>2276</v>
      </c>
      <c r="G2783" s="152" t="s">
        <v>2276</v>
      </c>
      <c r="H2783" s="204" t="s">
        <v>523</v>
      </c>
      <c r="I2783" s="204">
        <v>2014</v>
      </c>
      <c r="J2783" s="204" t="s">
        <v>2276</v>
      </c>
      <c r="K2783" s="204" t="s">
        <v>2276</v>
      </c>
      <c r="L2783" s="204" t="s">
        <v>2276</v>
      </c>
      <c r="M2783" s="204" t="s">
        <v>2276</v>
      </c>
      <c r="N2783" s="204" t="s">
        <v>2276</v>
      </c>
      <c r="O2783" s="204" t="s">
        <v>2276</v>
      </c>
      <c r="P2783" s="204" t="s">
        <v>2276</v>
      </c>
      <c r="Q2783" s="204" t="s">
        <v>2276</v>
      </c>
      <c r="R2783" s="204" t="s">
        <v>2276</v>
      </c>
      <c r="S2783" s="204" t="s">
        <v>2276</v>
      </c>
      <c r="T2783" s="21">
        <f>800*0.041</f>
        <v>32.800000000000004</v>
      </c>
      <c r="U2783" s="204" t="s">
        <v>2276</v>
      </c>
      <c r="V2783" s="204" t="s">
        <v>2276</v>
      </c>
      <c r="W2783" s="204" t="s">
        <v>2276</v>
      </c>
      <c r="X2783" s="21">
        <f>T2783/'Record info'!K$1129</f>
        <v>9.3314366998577536E-3</v>
      </c>
      <c r="Y2783" s="204" t="s">
        <v>2276</v>
      </c>
      <c r="Z2783" s="204" t="s">
        <v>68</v>
      </c>
      <c r="AA2783" s="204" t="s">
        <v>86</v>
      </c>
      <c r="AB2783" s="204" t="s">
        <v>76</v>
      </c>
      <c r="AC2783" s="204"/>
      <c r="AD2783" s="204"/>
    </row>
    <row r="2784" spans="1:30" ht="43.5" customHeight="1">
      <c r="A2784" s="19" t="s">
        <v>7380</v>
      </c>
      <c r="B2784" s="19" t="s">
        <v>7559</v>
      </c>
      <c r="C2784" s="204" t="s">
        <v>24</v>
      </c>
      <c r="D2784" s="204" t="s">
        <v>1242</v>
      </c>
      <c r="E2784" s="204" t="s">
        <v>3209</v>
      </c>
      <c r="F2784" s="152" t="s">
        <v>2276</v>
      </c>
      <c r="G2784" s="152" t="s">
        <v>2276</v>
      </c>
      <c r="H2784" s="204" t="s">
        <v>523</v>
      </c>
      <c r="I2784" s="204">
        <v>2014</v>
      </c>
      <c r="J2784" s="204" t="s">
        <v>2276</v>
      </c>
      <c r="K2784" s="204" t="s">
        <v>2276</v>
      </c>
      <c r="L2784" s="204" t="s">
        <v>2276</v>
      </c>
      <c r="M2784" s="204" t="s">
        <v>2276</v>
      </c>
      <c r="N2784" s="204" t="s">
        <v>2276</v>
      </c>
      <c r="O2784" s="204" t="s">
        <v>2276</v>
      </c>
      <c r="P2784" s="204" t="s">
        <v>2276</v>
      </c>
      <c r="Q2784" s="204" t="s">
        <v>2276</v>
      </c>
      <c r="R2784" s="204" t="s">
        <v>2276</v>
      </c>
      <c r="S2784" s="204" t="s">
        <v>2276</v>
      </c>
      <c r="T2784" s="21">
        <f>800*0.004</f>
        <v>3.2</v>
      </c>
      <c r="U2784" s="204" t="s">
        <v>2276</v>
      </c>
      <c r="V2784" s="204" t="s">
        <v>2276</v>
      </c>
      <c r="W2784" s="204" t="s">
        <v>2276</v>
      </c>
      <c r="X2784" s="21">
        <f>T2784/'Record info'!K$1130</f>
        <v>4.742848673484512E-4</v>
      </c>
      <c r="Y2784" s="204" t="s">
        <v>2276</v>
      </c>
      <c r="Z2784" s="204" t="s">
        <v>68</v>
      </c>
      <c r="AA2784" s="204" t="s">
        <v>86</v>
      </c>
      <c r="AB2784" s="204" t="s">
        <v>76</v>
      </c>
      <c r="AC2784" s="204"/>
      <c r="AD2784" s="204"/>
    </row>
    <row r="2785" spans="1:30" ht="43.5" customHeight="1">
      <c r="A2785" s="19" t="s">
        <v>7381</v>
      </c>
      <c r="B2785" s="19" t="s">
        <v>7560</v>
      </c>
      <c r="C2785" s="204" t="s">
        <v>24</v>
      </c>
      <c r="D2785" s="204" t="s">
        <v>1242</v>
      </c>
      <c r="E2785" s="204" t="s">
        <v>3209</v>
      </c>
      <c r="F2785" s="152" t="s">
        <v>2276</v>
      </c>
      <c r="G2785" s="152" t="s">
        <v>2276</v>
      </c>
      <c r="H2785" s="204" t="s">
        <v>523</v>
      </c>
      <c r="I2785" s="204">
        <v>2014</v>
      </c>
      <c r="J2785" s="204" t="s">
        <v>2276</v>
      </c>
      <c r="K2785" s="204" t="s">
        <v>2276</v>
      </c>
      <c r="L2785" s="204" t="s">
        <v>2276</v>
      </c>
      <c r="M2785" s="204" t="s">
        <v>2276</v>
      </c>
      <c r="N2785" s="204" t="s">
        <v>2276</v>
      </c>
      <c r="O2785" s="204" t="s">
        <v>2276</v>
      </c>
      <c r="P2785" s="204" t="s">
        <v>2276</v>
      </c>
      <c r="Q2785" s="204" t="s">
        <v>2276</v>
      </c>
      <c r="R2785" s="204" t="s">
        <v>2276</v>
      </c>
      <c r="S2785" s="204" t="s">
        <v>2276</v>
      </c>
      <c r="T2785" s="21">
        <f>800*0.004</f>
        <v>3.2</v>
      </c>
      <c r="U2785" s="204" t="s">
        <v>2276</v>
      </c>
      <c r="V2785" s="204" t="s">
        <v>2276</v>
      </c>
      <c r="W2785" s="204" t="s">
        <v>2276</v>
      </c>
      <c r="X2785" s="21">
        <f>T2785/'Record info'!K$1131</f>
        <v>6.3191153238546609E-4</v>
      </c>
      <c r="Y2785" s="204" t="s">
        <v>2276</v>
      </c>
      <c r="Z2785" s="204" t="s">
        <v>68</v>
      </c>
      <c r="AA2785" s="204" t="s">
        <v>86</v>
      </c>
      <c r="AB2785" s="204" t="s">
        <v>76</v>
      </c>
      <c r="AC2785" s="204"/>
      <c r="AD2785" s="204"/>
    </row>
    <row r="2786" spans="1:30" ht="43.5" customHeight="1">
      <c r="A2786" s="19" t="s">
        <v>7382</v>
      </c>
      <c r="B2786" s="19" t="s">
        <v>7561</v>
      </c>
      <c r="C2786" s="204" t="s">
        <v>24</v>
      </c>
      <c r="D2786" s="204" t="s">
        <v>1242</v>
      </c>
      <c r="E2786" s="204" t="s">
        <v>3209</v>
      </c>
      <c r="F2786" s="152" t="s">
        <v>2276</v>
      </c>
      <c r="G2786" s="152" t="s">
        <v>2276</v>
      </c>
      <c r="H2786" s="204" t="s">
        <v>524</v>
      </c>
      <c r="I2786" s="204">
        <v>2014</v>
      </c>
      <c r="J2786" s="21">
        <v>0</v>
      </c>
      <c r="K2786" s="21">
        <v>0</v>
      </c>
      <c r="L2786" s="21">
        <v>0</v>
      </c>
      <c r="M2786" s="21">
        <v>0</v>
      </c>
      <c r="N2786" s="21">
        <v>0</v>
      </c>
      <c r="O2786" s="21">
        <v>0</v>
      </c>
      <c r="P2786" s="21">
        <v>0</v>
      </c>
      <c r="Q2786" s="21">
        <v>0</v>
      </c>
      <c r="R2786" s="21">
        <v>0</v>
      </c>
      <c r="S2786" s="21">
        <v>0</v>
      </c>
      <c r="T2786" s="21">
        <v>0</v>
      </c>
      <c r="U2786" s="21">
        <v>0</v>
      </c>
      <c r="V2786" s="21">
        <v>0</v>
      </c>
      <c r="W2786" s="21">
        <v>0</v>
      </c>
      <c r="X2786" s="21">
        <f>T2786/'Record info'!K$1132</f>
        <v>0</v>
      </c>
      <c r="Y2786" s="204" t="s">
        <v>2276</v>
      </c>
      <c r="Z2786" s="204" t="s">
        <v>68</v>
      </c>
      <c r="AA2786" s="204" t="s">
        <v>86</v>
      </c>
      <c r="AB2786" s="204" t="s">
        <v>76</v>
      </c>
      <c r="AC2786" s="204"/>
      <c r="AD2786" s="204"/>
    </row>
    <row r="2787" spans="1:30" ht="43.5" customHeight="1">
      <c r="A2787" s="19" t="s">
        <v>7383</v>
      </c>
      <c r="B2787" s="19" t="s">
        <v>7562</v>
      </c>
      <c r="C2787" s="204" t="s">
        <v>24</v>
      </c>
      <c r="D2787" s="204" t="s">
        <v>1242</v>
      </c>
      <c r="E2787" s="204" t="s">
        <v>3209</v>
      </c>
      <c r="F2787" s="152" t="s">
        <v>2276</v>
      </c>
      <c r="G2787" s="152" t="s">
        <v>2276</v>
      </c>
      <c r="H2787" s="204" t="s">
        <v>524</v>
      </c>
      <c r="I2787" s="204">
        <v>2014</v>
      </c>
      <c r="J2787" s="21">
        <v>0</v>
      </c>
      <c r="K2787" s="21">
        <v>0</v>
      </c>
      <c r="L2787" s="21">
        <v>0</v>
      </c>
      <c r="M2787" s="21">
        <v>0</v>
      </c>
      <c r="N2787" s="21">
        <v>0</v>
      </c>
      <c r="O2787" s="21">
        <v>0</v>
      </c>
      <c r="P2787" s="21">
        <v>0</v>
      </c>
      <c r="Q2787" s="21">
        <v>0</v>
      </c>
      <c r="R2787" s="21">
        <v>0</v>
      </c>
      <c r="S2787" s="21">
        <v>0</v>
      </c>
      <c r="T2787" s="21">
        <v>0</v>
      </c>
      <c r="U2787" s="21">
        <v>0</v>
      </c>
      <c r="V2787" s="21">
        <v>0</v>
      </c>
      <c r="W2787" s="21">
        <v>0</v>
      </c>
      <c r="X2787" s="21">
        <f>T2787/'Record info'!K$1133</f>
        <v>0</v>
      </c>
      <c r="Y2787" s="204" t="s">
        <v>2276</v>
      </c>
      <c r="Z2787" s="204" t="s">
        <v>68</v>
      </c>
      <c r="AA2787" s="204" t="s">
        <v>86</v>
      </c>
      <c r="AB2787" s="204" t="s">
        <v>76</v>
      </c>
      <c r="AC2787" s="204"/>
      <c r="AD2787" s="204"/>
    </row>
    <row r="2788" spans="1:30" ht="43.5" customHeight="1">
      <c r="A2788" s="19" t="s">
        <v>7384</v>
      </c>
      <c r="B2788" s="19" t="s">
        <v>7563</v>
      </c>
      <c r="C2788" s="204" t="s">
        <v>24</v>
      </c>
      <c r="D2788" s="204" t="s">
        <v>1242</v>
      </c>
      <c r="E2788" s="204" t="s">
        <v>3209</v>
      </c>
      <c r="F2788" s="152" t="s">
        <v>2276</v>
      </c>
      <c r="G2788" s="152" t="s">
        <v>2276</v>
      </c>
      <c r="H2788" s="204" t="s">
        <v>524</v>
      </c>
      <c r="I2788" s="204">
        <v>2014</v>
      </c>
      <c r="J2788" s="21">
        <v>0</v>
      </c>
      <c r="K2788" s="21">
        <v>0</v>
      </c>
      <c r="L2788" s="21">
        <v>0</v>
      </c>
      <c r="M2788" s="21">
        <v>0</v>
      </c>
      <c r="N2788" s="21">
        <v>0</v>
      </c>
      <c r="O2788" s="21">
        <v>0</v>
      </c>
      <c r="P2788" s="21">
        <v>0</v>
      </c>
      <c r="Q2788" s="21">
        <v>0</v>
      </c>
      <c r="R2788" s="21">
        <v>0</v>
      </c>
      <c r="S2788" s="21">
        <v>0</v>
      </c>
      <c r="T2788" s="21">
        <v>0</v>
      </c>
      <c r="U2788" s="21">
        <v>0</v>
      </c>
      <c r="V2788" s="21">
        <v>0</v>
      </c>
      <c r="W2788" s="21">
        <v>0</v>
      </c>
      <c r="X2788" s="21">
        <f>T2788/'Record info'!K$1134</f>
        <v>0</v>
      </c>
      <c r="Y2788" s="204" t="s">
        <v>2276</v>
      </c>
      <c r="Z2788" s="204" t="s">
        <v>68</v>
      </c>
      <c r="AA2788" s="204" t="s">
        <v>86</v>
      </c>
      <c r="AB2788" s="204" t="s">
        <v>76</v>
      </c>
      <c r="AC2788" s="204"/>
      <c r="AD2788" s="204"/>
    </row>
    <row r="2789" spans="1:30" ht="43.5" customHeight="1">
      <c r="A2789" s="19" t="s">
        <v>7385</v>
      </c>
      <c r="B2789" s="19" t="s">
        <v>7564</v>
      </c>
      <c r="C2789" s="204" t="s">
        <v>24</v>
      </c>
      <c r="D2789" s="204" t="s">
        <v>1242</v>
      </c>
      <c r="E2789" s="204" t="s">
        <v>3209</v>
      </c>
      <c r="F2789" s="152" t="s">
        <v>2276</v>
      </c>
      <c r="G2789" s="152" t="s">
        <v>2276</v>
      </c>
      <c r="H2789" s="204" t="s">
        <v>523</v>
      </c>
      <c r="I2789" s="204">
        <v>2014</v>
      </c>
      <c r="J2789" s="204" t="s">
        <v>2276</v>
      </c>
      <c r="K2789" s="204" t="s">
        <v>2276</v>
      </c>
      <c r="L2789" s="204" t="s">
        <v>2276</v>
      </c>
      <c r="M2789" s="204" t="s">
        <v>2276</v>
      </c>
      <c r="N2789" s="204" t="s">
        <v>2276</v>
      </c>
      <c r="O2789" s="204" t="s">
        <v>2276</v>
      </c>
      <c r="P2789" s="204" t="s">
        <v>2276</v>
      </c>
      <c r="Q2789" s="204" t="s">
        <v>2276</v>
      </c>
      <c r="R2789" s="204" t="s">
        <v>2276</v>
      </c>
      <c r="S2789" s="204" t="s">
        <v>2276</v>
      </c>
      <c r="T2789" s="21">
        <f>800*0.035</f>
        <v>28.000000000000004</v>
      </c>
      <c r="U2789" s="204" t="s">
        <v>2276</v>
      </c>
      <c r="V2789" s="204" t="s">
        <v>2276</v>
      </c>
      <c r="W2789" s="204" t="s">
        <v>2276</v>
      </c>
      <c r="X2789" s="21">
        <f>T2789/'Record info'!K$1135</f>
        <v>4.6166529266281949E-3</v>
      </c>
      <c r="Y2789" s="204" t="s">
        <v>2276</v>
      </c>
      <c r="Z2789" s="204" t="s">
        <v>68</v>
      </c>
      <c r="AA2789" s="204" t="s">
        <v>86</v>
      </c>
      <c r="AB2789" s="204" t="s">
        <v>76</v>
      </c>
      <c r="AC2789" s="204"/>
      <c r="AD2789" s="204"/>
    </row>
    <row r="2790" spans="1:30" ht="43.5" customHeight="1">
      <c r="A2790" s="19" t="s">
        <v>7386</v>
      </c>
      <c r="B2790" s="19" t="s">
        <v>7565</v>
      </c>
      <c r="C2790" s="204" t="s">
        <v>24</v>
      </c>
      <c r="D2790" s="204" t="s">
        <v>1242</v>
      </c>
      <c r="E2790" s="204" t="s">
        <v>3209</v>
      </c>
      <c r="F2790" s="152" t="s">
        <v>2276</v>
      </c>
      <c r="G2790" s="152" t="s">
        <v>2276</v>
      </c>
      <c r="H2790" s="204" t="s">
        <v>523</v>
      </c>
      <c r="I2790" s="204">
        <v>2014</v>
      </c>
      <c r="J2790" s="204" t="s">
        <v>2276</v>
      </c>
      <c r="K2790" s="204" t="s">
        <v>2276</v>
      </c>
      <c r="L2790" s="204" t="s">
        <v>2276</v>
      </c>
      <c r="M2790" s="204" t="s">
        <v>2276</v>
      </c>
      <c r="N2790" s="204" t="s">
        <v>2276</v>
      </c>
      <c r="O2790" s="204" t="s">
        <v>2276</v>
      </c>
      <c r="P2790" s="204" t="s">
        <v>2276</v>
      </c>
      <c r="Q2790" s="204" t="s">
        <v>2276</v>
      </c>
      <c r="R2790" s="204" t="s">
        <v>2276</v>
      </c>
      <c r="S2790" s="204" t="s">
        <v>2276</v>
      </c>
      <c r="T2790" s="21">
        <f>800*0.079</f>
        <v>63.2</v>
      </c>
      <c r="U2790" s="204" t="s">
        <v>2276</v>
      </c>
      <c r="V2790" s="204" t="s">
        <v>2276</v>
      </c>
      <c r="W2790" s="204" t="s">
        <v>2276</v>
      </c>
      <c r="X2790" s="21">
        <f>T2790/'Record info'!K$1136</f>
        <v>9.4681647940074911E-3</v>
      </c>
      <c r="Y2790" s="204" t="s">
        <v>2276</v>
      </c>
      <c r="Z2790" s="204" t="s">
        <v>68</v>
      </c>
      <c r="AA2790" s="204" t="s">
        <v>86</v>
      </c>
      <c r="AB2790" s="204" t="s">
        <v>76</v>
      </c>
      <c r="AC2790" s="204"/>
      <c r="AD2790" s="204"/>
    </row>
    <row r="2791" spans="1:30" ht="43.5" customHeight="1">
      <c r="A2791" s="19" t="s">
        <v>7387</v>
      </c>
      <c r="B2791" s="19" t="s">
        <v>7566</v>
      </c>
      <c r="C2791" s="204" t="s">
        <v>24</v>
      </c>
      <c r="D2791" s="204" t="s">
        <v>1242</v>
      </c>
      <c r="E2791" s="204" t="s">
        <v>3209</v>
      </c>
      <c r="F2791" s="152" t="s">
        <v>2276</v>
      </c>
      <c r="G2791" s="152" t="s">
        <v>2276</v>
      </c>
      <c r="H2791" s="204" t="s">
        <v>523</v>
      </c>
      <c r="I2791" s="204">
        <v>2014</v>
      </c>
      <c r="J2791" s="204" t="s">
        <v>2276</v>
      </c>
      <c r="K2791" s="204" t="s">
        <v>2276</v>
      </c>
      <c r="L2791" s="204" t="s">
        <v>2276</v>
      </c>
      <c r="M2791" s="204" t="s">
        <v>2276</v>
      </c>
      <c r="N2791" s="204" t="s">
        <v>2276</v>
      </c>
      <c r="O2791" s="204" t="s">
        <v>2276</v>
      </c>
      <c r="P2791" s="204" t="s">
        <v>2276</v>
      </c>
      <c r="Q2791" s="204" t="s">
        <v>2276</v>
      </c>
      <c r="R2791" s="204" t="s">
        <v>2276</v>
      </c>
      <c r="S2791" s="204" t="s">
        <v>2276</v>
      </c>
      <c r="T2791" s="21">
        <f>800*0.132</f>
        <v>105.60000000000001</v>
      </c>
      <c r="U2791" s="204" t="s">
        <v>2276</v>
      </c>
      <c r="V2791" s="204" t="s">
        <v>2276</v>
      </c>
      <c r="W2791" s="204" t="s">
        <v>2276</v>
      </c>
      <c r="X2791" s="21">
        <f>T2791/'Record info'!K$1137</f>
        <v>1.9137368611815878E-2</v>
      </c>
      <c r="Y2791" s="204" t="s">
        <v>2276</v>
      </c>
      <c r="Z2791" s="204" t="s">
        <v>68</v>
      </c>
      <c r="AA2791" s="204" t="s">
        <v>86</v>
      </c>
      <c r="AB2791" s="204" t="s">
        <v>76</v>
      </c>
      <c r="AC2791" s="204"/>
      <c r="AD2791" s="204"/>
    </row>
    <row r="2792" spans="1:30" ht="43.5" customHeight="1">
      <c r="A2792" s="19" t="s">
        <v>7388</v>
      </c>
      <c r="B2792" s="19" t="s">
        <v>7567</v>
      </c>
      <c r="C2792" s="204" t="s">
        <v>24</v>
      </c>
      <c r="D2792" s="204" t="s">
        <v>1242</v>
      </c>
      <c r="E2792" s="204" t="s">
        <v>3209</v>
      </c>
      <c r="F2792" s="152" t="s">
        <v>2276</v>
      </c>
      <c r="G2792" s="152" t="s">
        <v>2276</v>
      </c>
      <c r="H2792" s="204" t="s">
        <v>523</v>
      </c>
      <c r="I2792" s="204">
        <v>2014</v>
      </c>
      <c r="J2792" s="204" t="s">
        <v>2276</v>
      </c>
      <c r="K2792" s="204" t="s">
        <v>2276</v>
      </c>
      <c r="L2792" s="204" t="s">
        <v>2276</v>
      </c>
      <c r="M2792" s="204" t="s">
        <v>2276</v>
      </c>
      <c r="N2792" s="204" t="s">
        <v>2276</v>
      </c>
      <c r="O2792" s="204" t="s">
        <v>2276</v>
      </c>
      <c r="P2792" s="204" t="s">
        <v>2276</v>
      </c>
      <c r="Q2792" s="204" t="s">
        <v>2276</v>
      </c>
      <c r="R2792" s="204" t="s">
        <v>2276</v>
      </c>
      <c r="S2792" s="204" t="s">
        <v>2276</v>
      </c>
      <c r="T2792" s="21">
        <f>800*0.057</f>
        <v>45.6</v>
      </c>
      <c r="U2792" s="204" t="s">
        <v>2276</v>
      </c>
      <c r="V2792" s="204" t="s">
        <v>2276</v>
      </c>
      <c r="W2792" s="204" t="s">
        <v>2276</v>
      </c>
      <c r="X2792" s="21">
        <f>T2792/'Record info'!K$1138</f>
        <v>1.1553078287306815E-2</v>
      </c>
      <c r="Y2792" s="204" t="s">
        <v>2276</v>
      </c>
      <c r="Z2792" s="204" t="s">
        <v>68</v>
      </c>
      <c r="AA2792" s="204" t="s">
        <v>86</v>
      </c>
      <c r="AB2792" s="204" t="s">
        <v>76</v>
      </c>
      <c r="AC2792" s="204"/>
      <c r="AD2792" s="204"/>
    </row>
    <row r="2793" spans="1:30" ht="43.5" customHeight="1">
      <c r="A2793" s="19" t="s">
        <v>7389</v>
      </c>
      <c r="B2793" s="19" t="s">
        <v>7568</v>
      </c>
      <c r="C2793" s="204" t="s">
        <v>24</v>
      </c>
      <c r="D2793" s="204" t="s">
        <v>1242</v>
      </c>
      <c r="E2793" s="204" t="s">
        <v>3209</v>
      </c>
      <c r="F2793" s="152" t="s">
        <v>2276</v>
      </c>
      <c r="G2793" s="152" t="s">
        <v>2276</v>
      </c>
      <c r="H2793" s="204" t="s">
        <v>523</v>
      </c>
      <c r="I2793" s="204">
        <v>2014</v>
      </c>
      <c r="J2793" s="204" t="s">
        <v>2276</v>
      </c>
      <c r="K2793" s="204" t="s">
        <v>2276</v>
      </c>
      <c r="L2793" s="204" t="s">
        <v>2276</v>
      </c>
      <c r="M2793" s="204" t="s">
        <v>2276</v>
      </c>
      <c r="N2793" s="204" t="s">
        <v>2276</v>
      </c>
      <c r="O2793" s="204" t="s">
        <v>2276</v>
      </c>
      <c r="P2793" s="204" t="s">
        <v>2276</v>
      </c>
      <c r="Q2793" s="204" t="s">
        <v>2276</v>
      </c>
      <c r="R2793" s="204" t="s">
        <v>2276</v>
      </c>
      <c r="S2793" s="204" t="s">
        <v>2276</v>
      </c>
      <c r="T2793" s="21">
        <f>800*0.024</f>
        <v>19.2</v>
      </c>
      <c r="U2793" s="204" t="s">
        <v>2276</v>
      </c>
      <c r="V2793" s="204" t="s">
        <v>2276</v>
      </c>
      <c r="W2793" s="204" t="s">
        <v>2276</v>
      </c>
      <c r="X2793" s="21">
        <f>T2793/'Record info'!K$1139</f>
        <v>6.8376068376068376E-3</v>
      </c>
      <c r="Y2793" s="204" t="s">
        <v>2276</v>
      </c>
      <c r="Z2793" s="204" t="s">
        <v>68</v>
      </c>
      <c r="AA2793" s="204" t="s">
        <v>86</v>
      </c>
      <c r="AB2793" s="204" t="s">
        <v>76</v>
      </c>
      <c r="AC2793" s="204"/>
      <c r="AD2793" s="204"/>
    </row>
    <row r="2794" spans="1:30" ht="43.5" customHeight="1">
      <c r="A2794" s="19" t="s">
        <v>7390</v>
      </c>
      <c r="B2794" s="19" t="s">
        <v>7569</v>
      </c>
      <c r="C2794" s="204" t="s">
        <v>24</v>
      </c>
      <c r="D2794" s="204" t="s">
        <v>1242</v>
      </c>
      <c r="E2794" s="204" t="s">
        <v>3209</v>
      </c>
      <c r="F2794" s="152" t="s">
        <v>2276</v>
      </c>
      <c r="G2794" s="152" t="s">
        <v>2276</v>
      </c>
      <c r="H2794" s="204" t="s">
        <v>523</v>
      </c>
      <c r="I2794" s="204">
        <v>2014</v>
      </c>
      <c r="J2794" s="204" t="s">
        <v>2276</v>
      </c>
      <c r="K2794" s="204" t="s">
        <v>2276</v>
      </c>
      <c r="L2794" s="204" t="s">
        <v>2276</v>
      </c>
      <c r="M2794" s="204" t="s">
        <v>2276</v>
      </c>
      <c r="N2794" s="204" t="s">
        <v>2276</v>
      </c>
      <c r="O2794" s="204" t="s">
        <v>2276</v>
      </c>
      <c r="P2794" s="204" t="s">
        <v>2276</v>
      </c>
      <c r="Q2794" s="204" t="s">
        <v>2276</v>
      </c>
      <c r="R2794" s="204" t="s">
        <v>2276</v>
      </c>
      <c r="S2794" s="204" t="s">
        <v>2276</v>
      </c>
      <c r="T2794" s="21">
        <f>800*0.072</f>
        <v>57.599999999999994</v>
      </c>
      <c r="U2794" s="204" t="s">
        <v>2276</v>
      </c>
      <c r="V2794" s="204" t="s">
        <v>2276</v>
      </c>
      <c r="W2794" s="204" t="s">
        <v>2276</v>
      </c>
      <c r="X2794" s="21">
        <f>T2794/'Record info'!K$1140</f>
        <v>1.1503894547633313E-2</v>
      </c>
      <c r="Y2794" s="204" t="s">
        <v>2276</v>
      </c>
      <c r="Z2794" s="204" t="s">
        <v>68</v>
      </c>
      <c r="AA2794" s="204" t="s">
        <v>86</v>
      </c>
      <c r="AB2794" s="204" t="s">
        <v>76</v>
      </c>
      <c r="AC2794" s="204"/>
      <c r="AD2794" s="204"/>
    </row>
    <row r="2795" spans="1:30" ht="43.5" customHeight="1">
      <c r="A2795" s="19" t="s">
        <v>7391</v>
      </c>
      <c r="B2795" s="19" t="s">
        <v>7570</v>
      </c>
      <c r="C2795" s="204" t="s">
        <v>24</v>
      </c>
      <c r="D2795" s="204" t="s">
        <v>1242</v>
      </c>
      <c r="E2795" s="204" t="s">
        <v>3209</v>
      </c>
      <c r="F2795" s="152" t="s">
        <v>2276</v>
      </c>
      <c r="G2795" s="152" t="s">
        <v>2276</v>
      </c>
      <c r="H2795" s="204" t="s">
        <v>523</v>
      </c>
      <c r="I2795" s="204">
        <v>2014</v>
      </c>
      <c r="J2795" s="204" t="s">
        <v>2276</v>
      </c>
      <c r="K2795" s="204" t="s">
        <v>2276</v>
      </c>
      <c r="L2795" s="204" t="s">
        <v>2276</v>
      </c>
      <c r="M2795" s="204" t="s">
        <v>2276</v>
      </c>
      <c r="N2795" s="204" t="s">
        <v>2276</v>
      </c>
      <c r="O2795" s="204" t="s">
        <v>2276</v>
      </c>
      <c r="P2795" s="204" t="s">
        <v>2276</v>
      </c>
      <c r="Q2795" s="204" t="s">
        <v>2276</v>
      </c>
      <c r="R2795" s="204" t="s">
        <v>2276</v>
      </c>
      <c r="S2795" s="204" t="s">
        <v>2276</v>
      </c>
      <c r="T2795" s="21">
        <f>800*0.068</f>
        <v>54.400000000000006</v>
      </c>
      <c r="U2795" s="204" t="s">
        <v>2276</v>
      </c>
      <c r="V2795" s="204" t="s">
        <v>2276</v>
      </c>
      <c r="W2795" s="204" t="s">
        <v>2276</v>
      </c>
      <c r="X2795" s="21">
        <f>T2795/'Record info'!K$1141</f>
        <v>4.6337308347529818E-2</v>
      </c>
      <c r="Y2795" s="204" t="s">
        <v>2276</v>
      </c>
      <c r="Z2795" s="204" t="s">
        <v>68</v>
      </c>
      <c r="AA2795" s="204" t="s">
        <v>86</v>
      </c>
      <c r="AB2795" s="204" t="s">
        <v>76</v>
      </c>
      <c r="AC2795" s="204"/>
      <c r="AD2795" s="204"/>
    </row>
    <row r="2796" spans="1:30" ht="43.5" customHeight="1">
      <c r="A2796" s="19" t="s">
        <v>7392</v>
      </c>
      <c r="B2796" s="19" t="s">
        <v>7571</v>
      </c>
      <c r="C2796" s="204" t="s">
        <v>24</v>
      </c>
      <c r="D2796" s="204" t="s">
        <v>1242</v>
      </c>
      <c r="E2796" s="204" t="s">
        <v>3209</v>
      </c>
      <c r="F2796" s="152" t="s">
        <v>2276</v>
      </c>
      <c r="G2796" s="152" t="s">
        <v>2276</v>
      </c>
      <c r="H2796" s="204" t="s">
        <v>523</v>
      </c>
      <c r="I2796" s="204">
        <v>2014</v>
      </c>
      <c r="J2796" s="204" t="s">
        <v>2276</v>
      </c>
      <c r="K2796" s="204" t="s">
        <v>2276</v>
      </c>
      <c r="L2796" s="204" t="s">
        <v>2276</v>
      </c>
      <c r="M2796" s="204" t="s">
        <v>2276</v>
      </c>
      <c r="N2796" s="204" t="s">
        <v>2276</v>
      </c>
      <c r="O2796" s="204" t="s">
        <v>2276</v>
      </c>
      <c r="P2796" s="204" t="s">
        <v>2276</v>
      </c>
      <c r="Q2796" s="204" t="s">
        <v>2276</v>
      </c>
      <c r="R2796" s="204" t="s">
        <v>2276</v>
      </c>
      <c r="S2796" s="204" t="s">
        <v>2276</v>
      </c>
      <c r="T2796" s="21">
        <f>800*0.075</f>
        <v>60</v>
      </c>
      <c r="U2796" s="204" t="s">
        <v>2276</v>
      </c>
      <c r="V2796" s="204" t="s">
        <v>2276</v>
      </c>
      <c r="W2796" s="204" t="s">
        <v>2276</v>
      </c>
      <c r="X2796" s="21">
        <f>T2796/'Record info'!K$1142</f>
        <v>1.3863216266173753E-2</v>
      </c>
      <c r="Y2796" s="204" t="s">
        <v>2276</v>
      </c>
      <c r="Z2796" s="204" t="s">
        <v>68</v>
      </c>
      <c r="AA2796" s="204" t="s">
        <v>86</v>
      </c>
      <c r="AB2796" s="204" t="s">
        <v>76</v>
      </c>
      <c r="AC2796" s="204"/>
      <c r="AD2796" s="204"/>
    </row>
    <row r="2797" spans="1:30" ht="43.5" customHeight="1">
      <c r="A2797" s="19" t="s">
        <v>7393</v>
      </c>
      <c r="B2797" s="19" t="s">
        <v>7572</v>
      </c>
      <c r="C2797" s="204" t="s">
        <v>24</v>
      </c>
      <c r="D2797" s="204" t="s">
        <v>1242</v>
      </c>
      <c r="E2797" s="204" t="s">
        <v>3209</v>
      </c>
      <c r="F2797" s="152" t="s">
        <v>2276</v>
      </c>
      <c r="G2797" s="152" t="s">
        <v>2276</v>
      </c>
      <c r="H2797" s="204" t="s">
        <v>523</v>
      </c>
      <c r="I2797" s="204">
        <v>2014</v>
      </c>
      <c r="J2797" s="204" t="s">
        <v>2276</v>
      </c>
      <c r="K2797" s="204" t="s">
        <v>2276</v>
      </c>
      <c r="L2797" s="204" t="s">
        <v>2276</v>
      </c>
      <c r="M2797" s="204" t="s">
        <v>2276</v>
      </c>
      <c r="N2797" s="204" t="s">
        <v>2276</v>
      </c>
      <c r="O2797" s="204" t="s">
        <v>2276</v>
      </c>
      <c r="P2797" s="204" t="s">
        <v>2276</v>
      </c>
      <c r="Q2797" s="204" t="s">
        <v>2276</v>
      </c>
      <c r="R2797" s="204" t="s">
        <v>2276</v>
      </c>
      <c r="S2797" s="204" t="s">
        <v>2276</v>
      </c>
      <c r="T2797" s="21">
        <f>800*0.111</f>
        <v>88.8</v>
      </c>
      <c r="U2797" s="204" t="s">
        <v>2276</v>
      </c>
      <c r="V2797" s="204" t="s">
        <v>2276</v>
      </c>
      <c r="W2797" s="204" t="s">
        <v>2276</v>
      </c>
      <c r="X2797" s="21">
        <f>T2797/'Record info'!K$1143</f>
        <v>3.7077244258872648E-2</v>
      </c>
      <c r="Y2797" s="204" t="s">
        <v>2276</v>
      </c>
      <c r="Z2797" s="204" t="s">
        <v>68</v>
      </c>
      <c r="AA2797" s="204" t="s">
        <v>86</v>
      </c>
      <c r="AB2797" s="204" t="s">
        <v>76</v>
      </c>
      <c r="AC2797" s="204"/>
      <c r="AD2797" s="204"/>
    </row>
    <row r="2798" spans="1:30" ht="43.5" customHeight="1">
      <c r="A2798" s="19" t="s">
        <v>7394</v>
      </c>
      <c r="B2798" s="19" t="s">
        <v>7573</v>
      </c>
      <c r="C2798" s="204" t="s">
        <v>24</v>
      </c>
      <c r="D2798" s="204" t="s">
        <v>1242</v>
      </c>
      <c r="E2798" s="204" t="s">
        <v>3209</v>
      </c>
      <c r="F2798" s="152" t="s">
        <v>2276</v>
      </c>
      <c r="G2798" s="152" t="s">
        <v>2276</v>
      </c>
      <c r="H2798" s="204" t="s">
        <v>523</v>
      </c>
      <c r="I2798" s="204">
        <v>2014</v>
      </c>
      <c r="J2798" s="204" t="s">
        <v>2276</v>
      </c>
      <c r="K2798" s="204" t="s">
        <v>2276</v>
      </c>
      <c r="L2798" s="204" t="s">
        <v>2276</v>
      </c>
      <c r="M2798" s="204" t="s">
        <v>2276</v>
      </c>
      <c r="N2798" s="204" t="s">
        <v>2276</v>
      </c>
      <c r="O2798" s="204" t="s">
        <v>2276</v>
      </c>
      <c r="P2798" s="204" t="s">
        <v>2276</v>
      </c>
      <c r="Q2798" s="204" t="s">
        <v>2276</v>
      </c>
      <c r="R2798" s="204" t="s">
        <v>2276</v>
      </c>
      <c r="S2798" s="204" t="s">
        <v>2276</v>
      </c>
      <c r="T2798" s="21">
        <f>800*0.106</f>
        <v>84.8</v>
      </c>
      <c r="U2798" s="204" t="s">
        <v>2276</v>
      </c>
      <c r="V2798" s="204" t="s">
        <v>2276</v>
      </c>
      <c r="W2798" s="204" t="s">
        <v>2276</v>
      </c>
      <c r="X2798" s="21">
        <f>T2798/'Record info'!K$1144</f>
        <v>3.1724653946876166E-2</v>
      </c>
      <c r="Y2798" s="204" t="s">
        <v>2276</v>
      </c>
      <c r="Z2798" s="204" t="s">
        <v>68</v>
      </c>
      <c r="AA2798" s="204" t="s">
        <v>86</v>
      </c>
      <c r="AB2798" s="204" t="s">
        <v>76</v>
      </c>
      <c r="AC2798" s="204"/>
      <c r="AD2798" s="204"/>
    </row>
    <row r="2799" spans="1:30" ht="43.5" customHeight="1">
      <c r="A2799" s="19" t="s">
        <v>7395</v>
      </c>
      <c r="B2799" s="19" t="s">
        <v>7574</v>
      </c>
      <c r="C2799" s="204" t="s">
        <v>24</v>
      </c>
      <c r="D2799" s="204" t="s">
        <v>1242</v>
      </c>
      <c r="E2799" s="204" t="s">
        <v>3209</v>
      </c>
      <c r="F2799" s="152" t="s">
        <v>2276</v>
      </c>
      <c r="G2799" s="152" t="s">
        <v>2276</v>
      </c>
      <c r="H2799" s="204" t="s">
        <v>523</v>
      </c>
      <c r="I2799" s="204">
        <v>2014</v>
      </c>
      <c r="J2799" s="204" t="s">
        <v>2276</v>
      </c>
      <c r="K2799" s="204" t="s">
        <v>2276</v>
      </c>
      <c r="L2799" s="204" t="s">
        <v>2276</v>
      </c>
      <c r="M2799" s="204" t="s">
        <v>2276</v>
      </c>
      <c r="N2799" s="204" t="s">
        <v>2276</v>
      </c>
      <c r="O2799" s="204" t="s">
        <v>2276</v>
      </c>
      <c r="P2799" s="204" t="s">
        <v>2276</v>
      </c>
      <c r="Q2799" s="204" t="s">
        <v>2276</v>
      </c>
      <c r="R2799" s="204" t="s">
        <v>2276</v>
      </c>
      <c r="S2799" s="204" t="s">
        <v>2276</v>
      </c>
      <c r="T2799" s="21">
        <f>800*0.166</f>
        <v>132.80000000000001</v>
      </c>
      <c r="U2799" s="204" t="s">
        <v>2276</v>
      </c>
      <c r="V2799" s="204" t="s">
        <v>2276</v>
      </c>
      <c r="W2799" s="204" t="s">
        <v>2276</v>
      </c>
      <c r="X2799" s="21">
        <f>T2799/'Record info'!K$1145</f>
        <v>5.8891352549889142E-2</v>
      </c>
      <c r="Y2799" s="204" t="s">
        <v>2276</v>
      </c>
      <c r="Z2799" s="204" t="s">
        <v>68</v>
      </c>
      <c r="AA2799" s="204" t="s">
        <v>86</v>
      </c>
      <c r="AB2799" s="204" t="s">
        <v>76</v>
      </c>
      <c r="AC2799" s="204"/>
      <c r="AD2799" s="204"/>
    </row>
    <row r="2800" spans="1:30" ht="41" customHeight="1">
      <c r="A2800" s="19" t="s">
        <v>7293</v>
      </c>
      <c r="B2800" s="19" t="s">
        <v>7575</v>
      </c>
      <c r="C2800" s="204" t="s">
        <v>24</v>
      </c>
      <c r="D2800" s="204" t="s">
        <v>1242</v>
      </c>
      <c r="E2800" s="204" t="s">
        <v>3209</v>
      </c>
      <c r="F2800" s="152" t="s">
        <v>2276</v>
      </c>
      <c r="G2800" s="152" t="s">
        <v>2276</v>
      </c>
      <c r="H2800" s="204" t="s">
        <v>523</v>
      </c>
      <c r="I2800" s="204">
        <v>2015</v>
      </c>
      <c r="J2800" s="204" t="s">
        <v>2276</v>
      </c>
      <c r="K2800" s="204" t="s">
        <v>2276</v>
      </c>
      <c r="L2800" s="204" t="s">
        <v>2276</v>
      </c>
      <c r="M2800" s="204" t="s">
        <v>2276</v>
      </c>
      <c r="N2800" s="204" t="s">
        <v>2276</v>
      </c>
      <c r="O2800" s="204" t="s">
        <v>2276</v>
      </c>
      <c r="P2800" s="204" t="s">
        <v>2276</v>
      </c>
      <c r="Q2800" s="204" t="s">
        <v>2276</v>
      </c>
      <c r="R2800" s="204" t="s">
        <v>2276</v>
      </c>
      <c r="S2800" s="204" t="s">
        <v>2276</v>
      </c>
      <c r="T2800" s="21">
        <f>750*0.027</f>
        <v>20.25</v>
      </c>
      <c r="U2800" s="204" t="s">
        <v>2276</v>
      </c>
      <c r="V2800" s="204" t="s">
        <v>2276</v>
      </c>
      <c r="W2800" s="204" t="s">
        <v>2276</v>
      </c>
      <c r="X2800" s="21">
        <f>T2800/'Record info'!K$1128</f>
        <v>7.2321428571428571E-3</v>
      </c>
      <c r="Y2800" s="204" t="s">
        <v>2276</v>
      </c>
      <c r="Z2800" s="204" t="s">
        <v>68</v>
      </c>
      <c r="AA2800" s="204" t="s">
        <v>86</v>
      </c>
      <c r="AB2800" s="204" t="s">
        <v>76</v>
      </c>
      <c r="AC2800" s="204"/>
      <c r="AD2800" s="204"/>
    </row>
    <row r="2801" spans="1:30" ht="41" customHeight="1">
      <c r="A2801" s="19" t="s">
        <v>7379</v>
      </c>
      <c r="B2801" s="19" t="s">
        <v>7576</v>
      </c>
      <c r="C2801" s="204" t="s">
        <v>24</v>
      </c>
      <c r="D2801" s="204" t="s">
        <v>1242</v>
      </c>
      <c r="E2801" s="204" t="s">
        <v>3209</v>
      </c>
      <c r="F2801" s="152" t="s">
        <v>2276</v>
      </c>
      <c r="G2801" s="152" t="s">
        <v>2276</v>
      </c>
      <c r="H2801" s="204" t="s">
        <v>523</v>
      </c>
      <c r="I2801" s="204">
        <v>2015</v>
      </c>
      <c r="J2801" s="204" t="s">
        <v>2276</v>
      </c>
      <c r="K2801" s="204" t="s">
        <v>2276</v>
      </c>
      <c r="L2801" s="204" t="s">
        <v>2276</v>
      </c>
      <c r="M2801" s="204" t="s">
        <v>2276</v>
      </c>
      <c r="N2801" s="204" t="s">
        <v>2276</v>
      </c>
      <c r="O2801" s="204" t="s">
        <v>2276</v>
      </c>
      <c r="P2801" s="204" t="s">
        <v>2276</v>
      </c>
      <c r="Q2801" s="204" t="s">
        <v>2276</v>
      </c>
      <c r="R2801" s="204" t="s">
        <v>2276</v>
      </c>
      <c r="S2801" s="204" t="s">
        <v>2276</v>
      </c>
      <c r="T2801" s="21">
        <f>750*0.041</f>
        <v>30.75</v>
      </c>
      <c r="U2801" s="204" t="s">
        <v>2276</v>
      </c>
      <c r="V2801" s="204" t="s">
        <v>2276</v>
      </c>
      <c r="W2801" s="204" t="s">
        <v>2276</v>
      </c>
      <c r="X2801" s="21">
        <f>T2801/'Record info'!K$1129</f>
        <v>8.7482219061166423E-3</v>
      </c>
      <c r="Y2801" s="204" t="s">
        <v>2276</v>
      </c>
      <c r="Z2801" s="204" t="s">
        <v>68</v>
      </c>
      <c r="AA2801" s="204" t="s">
        <v>86</v>
      </c>
      <c r="AB2801" s="204" t="s">
        <v>76</v>
      </c>
      <c r="AC2801" s="204"/>
      <c r="AD2801" s="204"/>
    </row>
    <row r="2802" spans="1:30" ht="41" customHeight="1">
      <c r="A2802" s="19" t="s">
        <v>7380</v>
      </c>
      <c r="B2802" s="19" t="s">
        <v>7577</v>
      </c>
      <c r="C2802" s="204" t="s">
        <v>24</v>
      </c>
      <c r="D2802" s="204" t="s">
        <v>1242</v>
      </c>
      <c r="E2802" s="204" t="s">
        <v>3209</v>
      </c>
      <c r="F2802" s="152" t="s">
        <v>2276</v>
      </c>
      <c r="G2802" s="152" t="s">
        <v>2276</v>
      </c>
      <c r="H2802" s="204" t="s">
        <v>523</v>
      </c>
      <c r="I2802" s="204">
        <v>2015</v>
      </c>
      <c r="J2802" s="204" t="s">
        <v>2276</v>
      </c>
      <c r="K2802" s="204" t="s">
        <v>2276</v>
      </c>
      <c r="L2802" s="204" t="s">
        <v>2276</v>
      </c>
      <c r="M2802" s="204" t="s">
        <v>2276</v>
      </c>
      <c r="N2802" s="204" t="s">
        <v>2276</v>
      </c>
      <c r="O2802" s="204" t="s">
        <v>2276</v>
      </c>
      <c r="P2802" s="204" t="s">
        <v>2276</v>
      </c>
      <c r="Q2802" s="204" t="s">
        <v>2276</v>
      </c>
      <c r="R2802" s="204" t="s">
        <v>2276</v>
      </c>
      <c r="S2802" s="204" t="s">
        <v>2276</v>
      </c>
      <c r="T2802" s="21">
        <f>750*0.004</f>
        <v>3</v>
      </c>
      <c r="U2802" s="204" t="s">
        <v>2276</v>
      </c>
      <c r="V2802" s="204" t="s">
        <v>2276</v>
      </c>
      <c r="W2802" s="204" t="s">
        <v>2276</v>
      </c>
      <c r="X2802" s="21">
        <f>T2802/'Record info'!K$1130</f>
        <v>4.4464206313917296E-4</v>
      </c>
      <c r="Y2802" s="204" t="s">
        <v>2276</v>
      </c>
      <c r="Z2802" s="204" t="s">
        <v>68</v>
      </c>
      <c r="AA2802" s="204" t="s">
        <v>86</v>
      </c>
      <c r="AB2802" s="204" t="s">
        <v>76</v>
      </c>
      <c r="AC2802" s="204"/>
      <c r="AD2802" s="204"/>
    </row>
    <row r="2803" spans="1:30" ht="41" customHeight="1">
      <c r="A2803" s="19" t="s">
        <v>7381</v>
      </c>
      <c r="B2803" s="19" t="s">
        <v>7578</v>
      </c>
      <c r="C2803" s="204" t="s">
        <v>24</v>
      </c>
      <c r="D2803" s="204" t="s">
        <v>1242</v>
      </c>
      <c r="E2803" s="204" t="s">
        <v>3209</v>
      </c>
      <c r="F2803" s="152" t="s">
        <v>2276</v>
      </c>
      <c r="G2803" s="152" t="s">
        <v>2276</v>
      </c>
      <c r="H2803" s="204" t="s">
        <v>523</v>
      </c>
      <c r="I2803" s="204">
        <v>2015</v>
      </c>
      <c r="J2803" s="204" t="s">
        <v>2276</v>
      </c>
      <c r="K2803" s="204" t="s">
        <v>2276</v>
      </c>
      <c r="L2803" s="204" t="s">
        <v>2276</v>
      </c>
      <c r="M2803" s="204" t="s">
        <v>2276</v>
      </c>
      <c r="N2803" s="204" t="s">
        <v>2276</v>
      </c>
      <c r="O2803" s="204" t="s">
        <v>2276</v>
      </c>
      <c r="P2803" s="204" t="s">
        <v>2276</v>
      </c>
      <c r="Q2803" s="204" t="s">
        <v>2276</v>
      </c>
      <c r="R2803" s="204" t="s">
        <v>2276</v>
      </c>
      <c r="S2803" s="204" t="s">
        <v>2276</v>
      </c>
      <c r="T2803" s="21">
        <f>750*0.004</f>
        <v>3</v>
      </c>
      <c r="U2803" s="204" t="s">
        <v>2276</v>
      </c>
      <c r="V2803" s="204" t="s">
        <v>2276</v>
      </c>
      <c r="W2803" s="204" t="s">
        <v>2276</v>
      </c>
      <c r="X2803" s="21">
        <f>T2803/'Record info'!K$1131</f>
        <v>5.9241706161137445E-4</v>
      </c>
      <c r="Y2803" s="204" t="s">
        <v>2276</v>
      </c>
      <c r="Z2803" s="204" t="s">
        <v>68</v>
      </c>
      <c r="AA2803" s="204" t="s">
        <v>86</v>
      </c>
      <c r="AB2803" s="204" t="s">
        <v>76</v>
      </c>
      <c r="AC2803" s="204"/>
      <c r="AD2803" s="204"/>
    </row>
    <row r="2804" spans="1:30" ht="41" customHeight="1">
      <c r="A2804" s="19" t="s">
        <v>7382</v>
      </c>
      <c r="B2804" s="19" t="s">
        <v>7579</v>
      </c>
      <c r="C2804" s="204" t="s">
        <v>24</v>
      </c>
      <c r="D2804" s="204" t="s">
        <v>1242</v>
      </c>
      <c r="E2804" s="204" t="s">
        <v>3209</v>
      </c>
      <c r="F2804" s="152" t="s">
        <v>2276</v>
      </c>
      <c r="G2804" s="152" t="s">
        <v>2276</v>
      </c>
      <c r="H2804" s="204" t="s">
        <v>524</v>
      </c>
      <c r="I2804" s="204">
        <v>2015</v>
      </c>
      <c r="J2804" s="21">
        <v>0</v>
      </c>
      <c r="K2804" s="21">
        <v>0</v>
      </c>
      <c r="L2804" s="21">
        <v>0</v>
      </c>
      <c r="M2804" s="21">
        <v>0</v>
      </c>
      <c r="N2804" s="21">
        <v>0</v>
      </c>
      <c r="O2804" s="21">
        <v>0</v>
      </c>
      <c r="P2804" s="21">
        <v>0</v>
      </c>
      <c r="Q2804" s="21">
        <v>0</v>
      </c>
      <c r="R2804" s="21">
        <v>0</v>
      </c>
      <c r="S2804" s="21">
        <v>0</v>
      </c>
      <c r="T2804" s="21">
        <v>0</v>
      </c>
      <c r="U2804" s="21">
        <v>0</v>
      </c>
      <c r="V2804" s="21">
        <v>0</v>
      </c>
      <c r="W2804" s="21">
        <v>0</v>
      </c>
      <c r="X2804" s="21">
        <f>T2804/'Record info'!K$1132</f>
        <v>0</v>
      </c>
      <c r="Y2804" s="204" t="s">
        <v>2276</v>
      </c>
      <c r="Z2804" s="204" t="s">
        <v>68</v>
      </c>
      <c r="AA2804" s="204" t="s">
        <v>86</v>
      </c>
      <c r="AB2804" s="204" t="s">
        <v>76</v>
      </c>
      <c r="AC2804" s="204"/>
      <c r="AD2804" s="204"/>
    </row>
    <row r="2805" spans="1:30" ht="41" customHeight="1">
      <c r="A2805" s="19" t="s">
        <v>7383</v>
      </c>
      <c r="B2805" s="19" t="s">
        <v>7580</v>
      </c>
      <c r="C2805" s="204" t="s">
        <v>24</v>
      </c>
      <c r="D2805" s="204" t="s">
        <v>1242</v>
      </c>
      <c r="E2805" s="204" t="s">
        <v>3209</v>
      </c>
      <c r="F2805" s="152" t="s">
        <v>2276</v>
      </c>
      <c r="G2805" s="152" t="s">
        <v>2276</v>
      </c>
      <c r="H2805" s="204" t="s">
        <v>524</v>
      </c>
      <c r="I2805" s="204">
        <v>2015</v>
      </c>
      <c r="J2805" s="21">
        <v>0</v>
      </c>
      <c r="K2805" s="21">
        <v>0</v>
      </c>
      <c r="L2805" s="21">
        <v>0</v>
      </c>
      <c r="M2805" s="21">
        <v>0</v>
      </c>
      <c r="N2805" s="21">
        <v>0</v>
      </c>
      <c r="O2805" s="21">
        <v>0</v>
      </c>
      <c r="P2805" s="21">
        <v>0</v>
      </c>
      <c r="Q2805" s="21">
        <v>0</v>
      </c>
      <c r="R2805" s="21">
        <v>0</v>
      </c>
      <c r="S2805" s="21">
        <v>0</v>
      </c>
      <c r="T2805" s="21">
        <v>0</v>
      </c>
      <c r="U2805" s="21">
        <v>0</v>
      </c>
      <c r="V2805" s="21">
        <v>0</v>
      </c>
      <c r="W2805" s="21">
        <v>0</v>
      </c>
      <c r="X2805" s="21">
        <f>T2805/'Record info'!K$1133</f>
        <v>0</v>
      </c>
      <c r="Y2805" s="204" t="s">
        <v>2276</v>
      </c>
      <c r="Z2805" s="204" t="s">
        <v>68</v>
      </c>
      <c r="AA2805" s="204" t="s">
        <v>86</v>
      </c>
      <c r="AB2805" s="204" t="s">
        <v>76</v>
      </c>
      <c r="AC2805" s="204"/>
      <c r="AD2805" s="204"/>
    </row>
    <row r="2806" spans="1:30" ht="41" customHeight="1">
      <c r="A2806" s="19" t="s">
        <v>7384</v>
      </c>
      <c r="B2806" s="19" t="s">
        <v>7581</v>
      </c>
      <c r="C2806" s="204" t="s">
        <v>24</v>
      </c>
      <c r="D2806" s="204" t="s">
        <v>1242</v>
      </c>
      <c r="E2806" s="204" t="s">
        <v>3209</v>
      </c>
      <c r="F2806" s="152" t="s">
        <v>2276</v>
      </c>
      <c r="G2806" s="152" t="s">
        <v>2276</v>
      </c>
      <c r="H2806" s="204" t="s">
        <v>524</v>
      </c>
      <c r="I2806" s="204">
        <v>2015</v>
      </c>
      <c r="J2806" s="21">
        <v>0</v>
      </c>
      <c r="K2806" s="21">
        <v>0</v>
      </c>
      <c r="L2806" s="21">
        <v>0</v>
      </c>
      <c r="M2806" s="21">
        <v>0</v>
      </c>
      <c r="N2806" s="21">
        <v>0</v>
      </c>
      <c r="O2806" s="21">
        <v>0</v>
      </c>
      <c r="P2806" s="21">
        <v>0</v>
      </c>
      <c r="Q2806" s="21">
        <v>0</v>
      </c>
      <c r="R2806" s="21">
        <v>0</v>
      </c>
      <c r="S2806" s="21">
        <v>0</v>
      </c>
      <c r="T2806" s="21">
        <v>0</v>
      </c>
      <c r="U2806" s="21">
        <v>0</v>
      </c>
      <c r="V2806" s="21">
        <v>0</v>
      </c>
      <c r="W2806" s="21">
        <v>0</v>
      </c>
      <c r="X2806" s="21">
        <f>T2806/'Record info'!K$1134</f>
        <v>0</v>
      </c>
      <c r="Y2806" s="204" t="s">
        <v>2276</v>
      </c>
      <c r="Z2806" s="204" t="s">
        <v>68</v>
      </c>
      <c r="AA2806" s="204" t="s">
        <v>86</v>
      </c>
      <c r="AB2806" s="204" t="s">
        <v>76</v>
      </c>
      <c r="AC2806" s="204"/>
      <c r="AD2806" s="204"/>
    </row>
    <row r="2807" spans="1:30" ht="41" customHeight="1">
      <c r="A2807" s="19" t="s">
        <v>7385</v>
      </c>
      <c r="B2807" s="19" t="s">
        <v>7582</v>
      </c>
      <c r="C2807" s="204" t="s">
        <v>24</v>
      </c>
      <c r="D2807" s="204" t="s">
        <v>1242</v>
      </c>
      <c r="E2807" s="204" t="s">
        <v>3209</v>
      </c>
      <c r="F2807" s="152" t="s">
        <v>2276</v>
      </c>
      <c r="G2807" s="152" t="s">
        <v>2276</v>
      </c>
      <c r="H2807" s="204" t="s">
        <v>523</v>
      </c>
      <c r="I2807" s="204">
        <v>2015</v>
      </c>
      <c r="J2807" s="204" t="s">
        <v>2276</v>
      </c>
      <c r="K2807" s="204" t="s">
        <v>2276</v>
      </c>
      <c r="L2807" s="204" t="s">
        <v>2276</v>
      </c>
      <c r="M2807" s="204" t="s">
        <v>2276</v>
      </c>
      <c r="N2807" s="204" t="s">
        <v>2276</v>
      </c>
      <c r="O2807" s="204" t="s">
        <v>2276</v>
      </c>
      <c r="P2807" s="204" t="s">
        <v>2276</v>
      </c>
      <c r="Q2807" s="204" t="s">
        <v>2276</v>
      </c>
      <c r="R2807" s="204" t="s">
        <v>2276</v>
      </c>
      <c r="S2807" s="204" t="s">
        <v>2276</v>
      </c>
      <c r="T2807" s="21">
        <f>750*0.035</f>
        <v>26.250000000000004</v>
      </c>
      <c r="U2807" s="204" t="s">
        <v>2276</v>
      </c>
      <c r="V2807" s="204" t="s">
        <v>2276</v>
      </c>
      <c r="W2807" s="204" t="s">
        <v>2276</v>
      </c>
      <c r="X2807" s="21">
        <f>T2807/'Record info'!K$1135</f>
        <v>4.3281121187139331E-3</v>
      </c>
      <c r="Y2807" s="204" t="s">
        <v>2276</v>
      </c>
      <c r="Z2807" s="204" t="s">
        <v>68</v>
      </c>
      <c r="AA2807" s="204" t="s">
        <v>86</v>
      </c>
      <c r="AB2807" s="204" t="s">
        <v>76</v>
      </c>
      <c r="AC2807" s="204"/>
      <c r="AD2807" s="204"/>
    </row>
    <row r="2808" spans="1:30" ht="41" customHeight="1">
      <c r="A2808" s="19" t="s">
        <v>7386</v>
      </c>
      <c r="B2808" s="19" t="s">
        <v>7583</v>
      </c>
      <c r="C2808" s="204" t="s">
        <v>24</v>
      </c>
      <c r="D2808" s="204" t="s">
        <v>1242</v>
      </c>
      <c r="E2808" s="204" t="s">
        <v>3209</v>
      </c>
      <c r="F2808" s="152" t="s">
        <v>2276</v>
      </c>
      <c r="G2808" s="152" t="s">
        <v>2276</v>
      </c>
      <c r="H2808" s="204" t="s">
        <v>523</v>
      </c>
      <c r="I2808" s="204">
        <v>2015</v>
      </c>
      <c r="J2808" s="204" t="s">
        <v>2276</v>
      </c>
      <c r="K2808" s="204" t="s">
        <v>2276</v>
      </c>
      <c r="L2808" s="204" t="s">
        <v>2276</v>
      </c>
      <c r="M2808" s="204" t="s">
        <v>2276</v>
      </c>
      <c r="N2808" s="204" t="s">
        <v>2276</v>
      </c>
      <c r="O2808" s="204" t="s">
        <v>2276</v>
      </c>
      <c r="P2808" s="204" t="s">
        <v>2276</v>
      </c>
      <c r="Q2808" s="204" t="s">
        <v>2276</v>
      </c>
      <c r="R2808" s="204" t="s">
        <v>2276</v>
      </c>
      <c r="S2808" s="204" t="s">
        <v>2276</v>
      </c>
      <c r="T2808" s="21">
        <f>750*0.079</f>
        <v>59.25</v>
      </c>
      <c r="U2808" s="204" t="s">
        <v>2276</v>
      </c>
      <c r="V2808" s="204" t="s">
        <v>2276</v>
      </c>
      <c r="W2808" s="204" t="s">
        <v>2276</v>
      </c>
      <c r="X2808" s="21">
        <f>T2808/'Record info'!K$1136</f>
        <v>8.8764044943820224E-3</v>
      </c>
      <c r="Y2808" s="204" t="s">
        <v>2276</v>
      </c>
      <c r="Z2808" s="204" t="s">
        <v>68</v>
      </c>
      <c r="AA2808" s="204" t="s">
        <v>86</v>
      </c>
      <c r="AB2808" s="204" t="s">
        <v>76</v>
      </c>
      <c r="AC2808" s="204"/>
      <c r="AD2808" s="204"/>
    </row>
    <row r="2809" spans="1:30" ht="41" customHeight="1">
      <c r="A2809" s="19" t="s">
        <v>7387</v>
      </c>
      <c r="B2809" s="19" t="s">
        <v>7584</v>
      </c>
      <c r="C2809" s="204" t="s">
        <v>24</v>
      </c>
      <c r="D2809" s="204" t="s">
        <v>1242</v>
      </c>
      <c r="E2809" s="204" t="s">
        <v>3209</v>
      </c>
      <c r="F2809" s="152" t="s">
        <v>2276</v>
      </c>
      <c r="G2809" s="152" t="s">
        <v>2276</v>
      </c>
      <c r="H2809" s="204" t="s">
        <v>523</v>
      </c>
      <c r="I2809" s="204">
        <v>2015</v>
      </c>
      <c r="J2809" s="204" t="s">
        <v>2276</v>
      </c>
      <c r="K2809" s="204" t="s">
        <v>2276</v>
      </c>
      <c r="L2809" s="204" t="s">
        <v>2276</v>
      </c>
      <c r="M2809" s="204" t="s">
        <v>2276</v>
      </c>
      <c r="N2809" s="204" t="s">
        <v>2276</v>
      </c>
      <c r="O2809" s="204" t="s">
        <v>2276</v>
      </c>
      <c r="P2809" s="204" t="s">
        <v>2276</v>
      </c>
      <c r="Q2809" s="204" t="s">
        <v>2276</v>
      </c>
      <c r="R2809" s="204" t="s">
        <v>2276</v>
      </c>
      <c r="S2809" s="204" t="s">
        <v>2276</v>
      </c>
      <c r="T2809" s="21">
        <f>750*0.132</f>
        <v>99</v>
      </c>
      <c r="U2809" s="204" t="s">
        <v>2276</v>
      </c>
      <c r="V2809" s="204" t="s">
        <v>2276</v>
      </c>
      <c r="W2809" s="204" t="s">
        <v>2276</v>
      </c>
      <c r="X2809" s="21">
        <f>T2809/'Record info'!K$1137</f>
        <v>1.7941283073577383E-2</v>
      </c>
      <c r="Y2809" s="204" t="s">
        <v>2276</v>
      </c>
      <c r="Z2809" s="204" t="s">
        <v>68</v>
      </c>
      <c r="AA2809" s="204" t="s">
        <v>86</v>
      </c>
      <c r="AB2809" s="204" t="s">
        <v>76</v>
      </c>
      <c r="AC2809" s="204"/>
      <c r="AD2809" s="204"/>
    </row>
    <row r="2810" spans="1:30" ht="41" customHeight="1">
      <c r="A2810" s="19" t="s">
        <v>7388</v>
      </c>
      <c r="B2810" s="19" t="s">
        <v>7585</v>
      </c>
      <c r="C2810" s="204" t="s">
        <v>24</v>
      </c>
      <c r="D2810" s="204" t="s">
        <v>1242</v>
      </c>
      <c r="E2810" s="204" t="s">
        <v>3209</v>
      </c>
      <c r="F2810" s="152" t="s">
        <v>2276</v>
      </c>
      <c r="G2810" s="152" t="s">
        <v>2276</v>
      </c>
      <c r="H2810" s="204" t="s">
        <v>523</v>
      </c>
      <c r="I2810" s="204">
        <v>2015</v>
      </c>
      <c r="J2810" s="204" t="s">
        <v>2276</v>
      </c>
      <c r="K2810" s="204" t="s">
        <v>2276</v>
      </c>
      <c r="L2810" s="204" t="s">
        <v>2276</v>
      </c>
      <c r="M2810" s="204" t="s">
        <v>2276</v>
      </c>
      <c r="N2810" s="204" t="s">
        <v>2276</v>
      </c>
      <c r="O2810" s="204" t="s">
        <v>2276</v>
      </c>
      <c r="P2810" s="204" t="s">
        <v>2276</v>
      </c>
      <c r="Q2810" s="204" t="s">
        <v>2276</v>
      </c>
      <c r="R2810" s="204" t="s">
        <v>2276</v>
      </c>
      <c r="S2810" s="204" t="s">
        <v>2276</v>
      </c>
      <c r="T2810" s="21">
        <f>750*0.057</f>
        <v>42.75</v>
      </c>
      <c r="U2810" s="204" t="s">
        <v>2276</v>
      </c>
      <c r="V2810" s="204" t="s">
        <v>2276</v>
      </c>
      <c r="W2810" s="204" t="s">
        <v>2276</v>
      </c>
      <c r="X2810" s="21">
        <f>T2810/'Record info'!K$1138</f>
        <v>1.0831010894350139E-2</v>
      </c>
      <c r="Y2810" s="204" t="s">
        <v>2276</v>
      </c>
      <c r="Z2810" s="204" t="s">
        <v>68</v>
      </c>
      <c r="AA2810" s="204" t="s">
        <v>86</v>
      </c>
      <c r="AB2810" s="204" t="s">
        <v>76</v>
      </c>
      <c r="AC2810" s="204"/>
      <c r="AD2810" s="204"/>
    </row>
    <row r="2811" spans="1:30" ht="41" customHeight="1">
      <c r="A2811" s="19" t="s">
        <v>7389</v>
      </c>
      <c r="B2811" s="19" t="s">
        <v>7586</v>
      </c>
      <c r="C2811" s="204" t="s">
        <v>24</v>
      </c>
      <c r="D2811" s="204" t="s">
        <v>1242</v>
      </c>
      <c r="E2811" s="204" t="s">
        <v>3209</v>
      </c>
      <c r="F2811" s="152" t="s">
        <v>2276</v>
      </c>
      <c r="G2811" s="152" t="s">
        <v>2276</v>
      </c>
      <c r="H2811" s="204" t="s">
        <v>523</v>
      </c>
      <c r="I2811" s="204">
        <v>2015</v>
      </c>
      <c r="J2811" s="204" t="s">
        <v>2276</v>
      </c>
      <c r="K2811" s="204" t="s">
        <v>2276</v>
      </c>
      <c r="L2811" s="204" t="s">
        <v>2276</v>
      </c>
      <c r="M2811" s="204" t="s">
        <v>2276</v>
      </c>
      <c r="N2811" s="204" t="s">
        <v>2276</v>
      </c>
      <c r="O2811" s="204" t="s">
        <v>2276</v>
      </c>
      <c r="P2811" s="204" t="s">
        <v>2276</v>
      </c>
      <c r="Q2811" s="204" t="s">
        <v>2276</v>
      </c>
      <c r="R2811" s="204" t="s">
        <v>2276</v>
      </c>
      <c r="S2811" s="204" t="s">
        <v>2276</v>
      </c>
      <c r="T2811" s="21">
        <f>750*0.024</f>
        <v>18</v>
      </c>
      <c r="U2811" s="204" t="s">
        <v>2276</v>
      </c>
      <c r="V2811" s="204" t="s">
        <v>2276</v>
      </c>
      <c r="W2811" s="204" t="s">
        <v>2276</v>
      </c>
      <c r="X2811" s="21">
        <f>T2811/'Record info'!K$1139</f>
        <v>6.41025641025641E-3</v>
      </c>
      <c r="Y2811" s="204" t="s">
        <v>2276</v>
      </c>
      <c r="Z2811" s="204" t="s">
        <v>68</v>
      </c>
      <c r="AA2811" s="204" t="s">
        <v>86</v>
      </c>
      <c r="AB2811" s="204" t="s">
        <v>76</v>
      </c>
      <c r="AC2811" s="204"/>
      <c r="AD2811" s="204"/>
    </row>
    <row r="2812" spans="1:30" ht="41" customHeight="1">
      <c r="A2812" s="19" t="s">
        <v>7390</v>
      </c>
      <c r="B2812" s="19" t="s">
        <v>7587</v>
      </c>
      <c r="C2812" s="204" t="s">
        <v>24</v>
      </c>
      <c r="D2812" s="204" t="s">
        <v>1242</v>
      </c>
      <c r="E2812" s="204" t="s">
        <v>3209</v>
      </c>
      <c r="F2812" s="152" t="s">
        <v>2276</v>
      </c>
      <c r="G2812" s="152" t="s">
        <v>2276</v>
      </c>
      <c r="H2812" s="204" t="s">
        <v>523</v>
      </c>
      <c r="I2812" s="204">
        <v>2015</v>
      </c>
      <c r="J2812" s="204" t="s">
        <v>2276</v>
      </c>
      <c r="K2812" s="204" t="s">
        <v>2276</v>
      </c>
      <c r="L2812" s="204" t="s">
        <v>2276</v>
      </c>
      <c r="M2812" s="204" t="s">
        <v>2276</v>
      </c>
      <c r="N2812" s="204" t="s">
        <v>2276</v>
      </c>
      <c r="O2812" s="204" t="s">
        <v>2276</v>
      </c>
      <c r="P2812" s="204" t="s">
        <v>2276</v>
      </c>
      <c r="Q2812" s="204" t="s">
        <v>2276</v>
      </c>
      <c r="R2812" s="204" t="s">
        <v>2276</v>
      </c>
      <c r="S2812" s="204" t="s">
        <v>2276</v>
      </c>
      <c r="T2812" s="21">
        <f>750*0.072</f>
        <v>53.999999999999993</v>
      </c>
      <c r="U2812" s="204" t="s">
        <v>2276</v>
      </c>
      <c r="V2812" s="204" t="s">
        <v>2276</v>
      </c>
      <c r="W2812" s="204" t="s">
        <v>2276</v>
      </c>
      <c r="X2812" s="21">
        <f>T2812/'Record info'!K$1140</f>
        <v>1.078490113840623E-2</v>
      </c>
      <c r="Y2812" s="204" t="s">
        <v>2276</v>
      </c>
      <c r="Z2812" s="204" t="s">
        <v>68</v>
      </c>
      <c r="AA2812" s="204" t="s">
        <v>86</v>
      </c>
      <c r="AB2812" s="204" t="s">
        <v>76</v>
      </c>
      <c r="AC2812" s="204"/>
      <c r="AD2812" s="204"/>
    </row>
    <row r="2813" spans="1:30" ht="41" customHeight="1">
      <c r="A2813" s="19" t="s">
        <v>7391</v>
      </c>
      <c r="B2813" s="19" t="s">
        <v>7588</v>
      </c>
      <c r="C2813" s="204" t="s">
        <v>24</v>
      </c>
      <c r="D2813" s="204" t="s">
        <v>1242</v>
      </c>
      <c r="E2813" s="204" t="s">
        <v>3209</v>
      </c>
      <c r="F2813" s="152" t="s">
        <v>2276</v>
      </c>
      <c r="G2813" s="152" t="s">
        <v>2276</v>
      </c>
      <c r="H2813" s="204" t="s">
        <v>523</v>
      </c>
      <c r="I2813" s="204">
        <v>2015</v>
      </c>
      <c r="J2813" s="204" t="s">
        <v>2276</v>
      </c>
      <c r="K2813" s="204" t="s">
        <v>2276</v>
      </c>
      <c r="L2813" s="204" t="s">
        <v>2276</v>
      </c>
      <c r="M2813" s="204" t="s">
        <v>2276</v>
      </c>
      <c r="N2813" s="204" t="s">
        <v>2276</v>
      </c>
      <c r="O2813" s="204" t="s">
        <v>2276</v>
      </c>
      <c r="P2813" s="204" t="s">
        <v>2276</v>
      </c>
      <c r="Q2813" s="204" t="s">
        <v>2276</v>
      </c>
      <c r="R2813" s="204" t="s">
        <v>2276</v>
      </c>
      <c r="S2813" s="204" t="s">
        <v>2276</v>
      </c>
      <c r="T2813" s="21">
        <f>750*0.068</f>
        <v>51.000000000000007</v>
      </c>
      <c r="U2813" s="204" t="s">
        <v>2276</v>
      </c>
      <c r="V2813" s="204" t="s">
        <v>2276</v>
      </c>
      <c r="W2813" s="204" t="s">
        <v>2276</v>
      </c>
      <c r="X2813" s="21">
        <f>T2813/'Record info'!K$1141</f>
        <v>4.3441226575809205E-2</v>
      </c>
      <c r="Y2813" s="204" t="s">
        <v>2276</v>
      </c>
      <c r="Z2813" s="204" t="s">
        <v>68</v>
      </c>
      <c r="AA2813" s="204" t="s">
        <v>86</v>
      </c>
      <c r="AB2813" s="204" t="s">
        <v>76</v>
      </c>
      <c r="AC2813" s="204"/>
      <c r="AD2813" s="204"/>
    </row>
    <row r="2814" spans="1:30" ht="41" customHeight="1">
      <c r="A2814" s="19" t="s">
        <v>7392</v>
      </c>
      <c r="B2814" s="19" t="s">
        <v>7589</v>
      </c>
      <c r="C2814" s="204" t="s">
        <v>24</v>
      </c>
      <c r="D2814" s="204" t="s">
        <v>1242</v>
      </c>
      <c r="E2814" s="204" t="s">
        <v>3209</v>
      </c>
      <c r="F2814" s="152" t="s">
        <v>2276</v>
      </c>
      <c r="G2814" s="152" t="s">
        <v>2276</v>
      </c>
      <c r="H2814" s="204" t="s">
        <v>523</v>
      </c>
      <c r="I2814" s="204">
        <v>2015</v>
      </c>
      <c r="J2814" s="204" t="s">
        <v>2276</v>
      </c>
      <c r="K2814" s="204" t="s">
        <v>2276</v>
      </c>
      <c r="L2814" s="204" t="s">
        <v>2276</v>
      </c>
      <c r="M2814" s="204" t="s">
        <v>2276</v>
      </c>
      <c r="N2814" s="204" t="s">
        <v>2276</v>
      </c>
      <c r="O2814" s="204" t="s">
        <v>2276</v>
      </c>
      <c r="P2814" s="204" t="s">
        <v>2276</v>
      </c>
      <c r="Q2814" s="204" t="s">
        <v>2276</v>
      </c>
      <c r="R2814" s="204" t="s">
        <v>2276</v>
      </c>
      <c r="S2814" s="204" t="s">
        <v>2276</v>
      </c>
      <c r="T2814" s="21">
        <f>750*0.075</f>
        <v>56.25</v>
      </c>
      <c r="U2814" s="204" t="s">
        <v>2276</v>
      </c>
      <c r="V2814" s="204" t="s">
        <v>2276</v>
      </c>
      <c r="W2814" s="204" t="s">
        <v>2276</v>
      </c>
      <c r="X2814" s="21">
        <f>T2814/'Record info'!K$1142</f>
        <v>1.2996765249537892E-2</v>
      </c>
      <c r="Y2814" s="204" t="s">
        <v>2276</v>
      </c>
      <c r="Z2814" s="204" t="s">
        <v>68</v>
      </c>
      <c r="AA2814" s="204" t="s">
        <v>86</v>
      </c>
      <c r="AB2814" s="204" t="s">
        <v>76</v>
      </c>
      <c r="AC2814" s="204"/>
      <c r="AD2814" s="204"/>
    </row>
    <row r="2815" spans="1:30" ht="41" customHeight="1">
      <c r="A2815" s="19" t="s">
        <v>7393</v>
      </c>
      <c r="B2815" s="19" t="s">
        <v>7590</v>
      </c>
      <c r="C2815" s="204" t="s">
        <v>24</v>
      </c>
      <c r="D2815" s="204" t="s">
        <v>1242</v>
      </c>
      <c r="E2815" s="204" t="s">
        <v>3209</v>
      </c>
      <c r="F2815" s="152" t="s">
        <v>2276</v>
      </c>
      <c r="G2815" s="152" t="s">
        <v>2276</v>
      </c>
      <c r="H2815" s="204" t="s">
        <v>523</v>
      </c>
      <c r="I2815" s="204">
        <v>2015</v>
      </c>
      <c r="J2815" s="204" t="s">
        <v>2276</v>
      </c>
      <c r="K2815" s="204" t="s">
        <v>2276</v>
      </c>
      <c r="L2815" s="204" t="s">
        <v>2276</v>
      </c>
      <c r="M2815" s="204" t="s">
        <v>2276</v>
      </c>
      <c r="N2815" s="204" t="s">
        <v>2276</v>
      </c>
      <c r="O2815" s="204" t="s">
        <v>2276</v>
      </c>
      <c r="P2815" s="204" t="s">
        <v>2276</v>
      </c>
      <c r="Q2815" s="204" t="s">
        <v>2276</v>
      </c>
      <c r="R2815" s="204" t="s">
        <v>2276</v>
      </c>
      <c r="S2815" s="204" t="s">
        <v>2276</v>
      </c>
      <c r="T2815" s="21">
        <f>750*0.111</f>
        <v>83.25</v>
      </c>
      <c r="U2815" s="204" t="s">
        <v>2276</v>
      </c>
      <c r="V2815" s="204" t="s">
        <v>2276</v>
      </c>
      <c r="W2815" s="204" t="s">
        <v>2276</v>
      </c>
      <c r="X2815" s="21">
        <f>T2815/'Record info'!K$1143</f>
        <v>3.475991649269311E-2</v>
      </c>
      <c r="Y2815" s="204" t="s">
        <v>2276</v>
      </c>
      <c r="Z2815" s="204" t="s">
        <v>68</v>
      </c>
      <c r="AA2815" s="204" t="s">
        <v>86</v>
      </c>
      <c r="AB2815" s="204" t="s">
        <v>76</v>
      </c>
      <c r="AC2815" s="204"/>
      <c r="AD2815" s="204"/>
    </row>
    <row r="2816" spans="1:30" ht="41" customHeight="1">
      <c r="A2816" s="19" t="s">
        <v>7394</v>
      </c>
      <c r="B2816" s="19" t="s">
        <v>7591</v>
      </c>
      <c r="C2816" s="204" t="s">
        <v>24</v>
      </c>
      <c r="D2816" s="204" t="s">
        <v>1242</v>
      </c>
      <c r="E2816" s="204" t="s">
        <v>3209</v>
      </c>
      <c r="F2816" s="152" t="s">
        <v>2276</v>
      </c>
      <c r="G2816" s="152" t="s">
        <v>2276</v>
      </c>
      <c r="H2816" s="204" t="s">
        <v>523</v>
      </c>
      <c r="I2816" s="204">
        <v>2015</v>
      </c>
      <c r="J2816" s="204" t="s">
        <v>2276</v>
      </c>
      <c r="K2816" s="204" t="s">
        <v>2276</v>
      </c>
      <c r="L2816" s="204" t="s">
        <v>2276</v>
      </c>
      <c r="M2816" s="204" t="s">
        <v>2276</v>
      </c>
      <c r="N2816" s="204" t="s">
        <v>2276</v>
      </c>
      <c r="O2816" s="204" t="s">
        <v>2276</v>
      </c>
      <c r="P2816" s="204" t="s">
        <v>2276</v>
      </c>
      <c r="Q2816" s="204" t="s">
        <v>2276</v>
      </c>
      <c r="R2816" s="204" t="s">
        <v>2276</v>
      </c>
      <c r="S2816" s="204" t="s">
        <v>2276</v>
      </c>
      <c r="T2816" s="21">
        <f>750*0.106</f>
        <v>79.5</v>
      </c>
      <c r="U2816" s="204" t="s">
        <v>2276</v>
      </c>
      <c r="V2816" s="204" t="s">
        <v>2276</v>
      </c>
      <c r="W2816" s="204" t="s">
        <v>2276</v>
      </c>
      <c r="X2816" s="21">
        <f>T2816/'Record info'!K$1144</f>
        <v>2.9741863075196408E-2</v>
      </c>
      <c r="Y2816" s="204" t="s">
        <v>2276</v>
      </c>
      <c r="Z2816" s="204" t="s">
        <v>68</v>
      </c>
      <c r="AA2816" s="204" t="s">
        <v>86</v>
      </c>
      <c r="AB2816" s="204" t="s">
        <v>76</v>
      </c>
      <c r="AC2816" s="204"/>
      <c r="AD2816" s="204"/>
    </row>
    <row r="2817" spans="1:30" ht="41" customHeight="1">
      <c r="A2817" s="19" t="s">
        <v>7395</v>
      </c>
      <c r="B2817" s="19" t="s">
        <v>7592</v>
      </c>
      <c r="C2817" s="204" t="s">
        <v>24</v>
      </c>
      <c r="D2817" s="204" t="s">
        <v>1242</v>
      </c>
      <c r="E2817" s="204" t="s">
        <v>3209</v>
      </c>
      <c r="F2817" s="152" t="s">
        <v>2276</v>
      </c>
      <c r="G2817" s="152" t="s">
        <v>2276</v>
      </c>
      <c r="H2817" s="204" t="s">
        <v>523</v>
      </c>
      <c r="I2817" s="204">
        <v>2015</v>
      </c>
      <c r="J2817" s="204" t="s">
        <v>2276</v>
      </c>
      <c r="K2817" s="204" t="s">
        <v>2276</v>
      </c>
      <c r="L2817" s="204" t="s">
        <v>2276</v>
      </c>
      <c r="M2817" s="204" t="s">
        <v>2276</v>
      </c>
      <c r="N2817" s="204" t="s">
        <v>2276</v>
      </c>
      <c r="O2817" s="204" t="s">
        <v>2276</v>
      </c>
      <c r="P2817" s="204" t="s">
        <v>2276</v>
      </c>
      <c r="Q2817" s="204" t="s">
        <v>2276</v>
      </c>
      <c r="R2817" s="204" t="s">
        <v>2276</v>
      </c>
      <c r="S2817" s="204" t="s">
        <v>2276</v>
      </c>
      <c r="T2817" s="21">
        <f>750*0.166</f>
        <v>124.5</v>
      </c>
      <c r="U2817" s="204" t="s">
        <v>2276</v>
      </c>
      <c r="V2817" s="204" t="s">
        <v>2276</v>
      </c>
      <c r="W2817" s="204" t="s">
        <v>2276</v>
      </c>
      <c r="X2817" s="21">
        <f>T2817/'Record info'!K$1145</f>
        <v>5.5210643015521067E-2</v>
      </c>
      <c r="Y2817" s="204" t="s">
        <v>2276</v>
      </c>
      <c r="Z2817" s="204" t="s">
        <v>68</v>
      </c>
      <c r="AA2817" s="204" t="s">
        <v>86</v>
      </c>
      <c r="AB2817" s="204" t="s">
        <v>76</v>
      </c>
      <c r="AC2817" s="204"/>
      <c r="AD2817" s="204"/>
    </row>
    <row r="2818" spans="1:30" ht="31" customHeight="1">
      <c r="A2818" s="19" t="s">
        <v>7594</v>
      </c>
      <c r="B2818" s="19" t="s">
        <v>7595</v>
      </c>
      <c r="C2818" s="204" t="s">
        <v>24</v>
      </c>
      <c r="D2818" s="204" t="s">
        <v>1242</v>
      </c>
      <c r="E2818" s="204" t="s">
        <v>3209</v>
      </c>
      <c r="F2818" s="152" t="s">
        <v>2276</v>
      </c>
      <c r="G2818" s="152" t="s">
        <v>2276</v>
      </c>
      <c r="H2818" s="204" t="s">
        <v>523</v>
      </c>
      <c r="I2818" s="11">
        <v>1998</v>
      </c>
      <c r="J2818" s="204" t="s">
        <v>2276</v>
      </c>
      <c r="K2818" s="204" t="s">
        <v>2276</v>
      </c>
      <c r="L2818" s="204" t="s">
        <v>2276</v>
      </c>
      <c r="M2818" s="204" t="s">
        <v>2276</v>
      </c>
      <c r="N2818" s="204" t="s">
        <v>2276</v>
      </c>
      <c r="O2818" s="204" t="s">
        <v>2276</v>
      </c>
      <c r="P2818" s="204" t="s">
        <v>2276</v>
      </c>
      <c r="Q2818" s="204" t="s">
        <v>2276</v>
      </c>
      <c r="R2818" s="204" t="s">
        <v>2276</v>
      </c>
      <c r="S2818" s="204" t="s">
        <v>2276</v>
      </c>
      <c r="T2818" s="21">
        <v>6</v>
      </c>
      <c r="U2818" s="204" t="s">
        <v>2276</v>
      </c>
      <c r="V2818" s="204" t="s">
        <v>2276</v>
      </c>
      <c r="W2818" s="204" t="s">
        <v>2276</v>
      </c>
      <c r="X2818" s="218">
        <f>T2818/'Record info'!K$1146</f>
        <v>2.5965033754543881E-4</v>
      </c>
      <c r="Y2818" s="204" t="s">
        <v>2276</v>
      </c>
      <c r="Z2818" s="204" t="s">
        <v>188</v>
      </c>
      <c r="AA2818" s="204" t="s">
        <v>189</v>
      </c>
      <c r="AB2818" s="204" t="s">
        <v>64</v>
      </c>
      <c r="AC2818" s="204"/>
      <c r="AD2818" s="204"/>
    </row>
    <row r="2819" spans="1:30" ht="27.5" customHeight="1">
      <c r="A2819" s="19" t="s">
        <v>7594</v>
      </c>
      <c r="B2819" s="19" t="s">
        <v>7596</v>
      </c>
      <c r="C2819" s="204" t="s">
        <v>24</v>
      </c>
      <c r="D2819" s="204" t="s">
        <v>1242</v>
      </c>
      <c r="E2819" s="204" t="s">
        <v>3209</v>
      </c>
      <c r="F2819" s="152" t="s">
        <v>2276</v>
      </c>
      <c r="G2819" s="152" t="s">
        <v>2276</v>
      </c>
      <c r="H2819" s="204" t="s">
        <v>523</v>
      </c>
      <c r="I2819" s="11">
        <v>1999</v>
      </c>
      <c r="J2819" s="204" t="s">
        <v>2276</v>
      </c>
      <c r="K2819" s="204" t="s">
        <v>2276</v>
      </c>
      <c r="L2819" s="204" t="s">
        <v>2276</v>
      </c>
      <c r="M2819" s="204" t="s">
        <v>2276</v>
      </c>
      <c r="N2819" s="204" t="s">
        <v>2276</v>
      </c>
      <c r="O2819" s="204" t="s">
        <v>2276</v>
      </c>
      <c r="P2819" s="204" t="s">
        <v>2276</v>
      </c>
      <c r="Q2819" s="204" t="s">
        <v>2276</v>
      </c>
      <c r="R2819" s="204" t="s">
        <v>2276</v>
      </c>
      <c r="S2819" s="204" t="s">
        <v>2276</v>
      </c>
      <c r="T2819" s="21">
        <v>0.4</v>
      </c>
      <c r="U2819" s="204" t="s">
        <v>2276</v>
      </c>
      <c r="V2819" s="204" t="s">
        <v>2276</v>
      </c>
      <c r="W2819" s="204" t="s">
        <v>2276</v>
      </c>
      <c r="X2819" s="218">
        <f>T2819/'Record info'!K$1146</f>
        <v>1.7310022503029254E-5</v>
      </c>
      <c r="Y2819" s="204" t="s">
        <v>2276</v>
      </c>
      <c r="Z2819" s="204" t="s">
        <v>188</v>
      </c>
      <c r="AA2819" s="204" t="s">
        <v>189</v>
      </c>
      <c r="AB2819" s="204" t="s">
        <v>64</v>
      </c>
      <c r="AC2819" s="204"/>
      <c r="AD2819" s="204"/>
    </row>
    <row r="2820" spans="1:30" ht="27.5" customHeight="1">
      <c r="A2820" s="19" t="s">
        <v>7594</v>
      </c>
      <c r="B2820" s="19" t="s">
        <v>7597</v>
      </c>
      <c r="C2820" s="204" t="s">
        <v>24</v>
      </c>
      <c r="D2820" s="204" t="s">
        <v>1242</v>
      </c>
      <c r="E2820" s="204" t="s">
        <v>3209</v>
      </c>
      <c r="F2820" s="152" t="s">
        <v>2276</v>
      </c>
      <c r="G2820" s="152" t="s">
        <v>2276</v>
      </c>
      <c r="H2820" s="204" t="s">
        <v>523</v>
      </c>
      <c r="I2820" s="11">
        <v>2000</v>
      </c>
      <c r="J2820" s="204" t="s">
        <v>2276</v>
      </c>
      <c r="K2820" s="204" t="s">
        <v>2276</v>
      </c>
      <c r="L2820" s="204" t="s">
        <v>2276</v>
      </c>
      <c r="M2820" s="204" t="s">
        <v>2276</v>
      </c>
      <c r="N2820" s="204" t="s">
        <v>2276</v>
      </c>
      <c r="O2820" s="204" t="s">
        <v>2276</v>
      </c>
      <c r="P2820" s="204" t="s">
        <v>2276</v>
      </c>
      <c r="Q2820" s="204" t="s">
        <v>2276</v>
      </c>
      <c r="R2820" s="204" t="s">
        <v>2276</v>
      </c>
      <c r="S2820" s="204" t="s">
        <v>2276</v>
      </c>
      <c r="T2820" s="21">
        <v>35</v>
      </c>
      <c r="U2820" s="204" t="s">
        <v>2276</v>
      </c>
      <c r="V2820" s="204" t="s">
        <v>2276</v>
      </c>
      <c r="W2820" s="204" t="s">
        <v>2276</v>
      </c>
      <c r="X2820" s="218">
        <f>T2820/'Record info'!K$1146</f>
        <v>1.5146269690150596E-3</v>
      </c>
      <c r="Y2820" s="204" t="s">
        <v>2276</v>
      </c>
      <c r="Z2820" s="204" t="s">
        <v>188</v>
      </c>
      <c r="AA2820" s="204" t="s">
        <v>189</v>
      </c>
      <c r="AB2820" s="204" t="s">
        <v>64</v>
      </c>
      <c r="AC2820" s="204"/>
      <c r="AD2820" s="204"/>
    </row>
    <row r="2821" spans="1:30" ht="27.5" customHeight="1">
      <c r="A2821" s="19" t="s">
        <v>7594</v>
      </c>
      <c r="B2821" s="19" t="s">
        <v>7598</v>
      </c>
      <c r="C2821" s="204" t="s">
        <v>24</v>
      </c>
      <c r="D2821" s="204" t="s">
        <v>1242</v>
      </c>
      <c r="E2821" s="204" t="s">
        <v>3209</v>
      </c>
      <c r="F2821" s="152" t="s">
        <v>2276</v>
      </c>
      <c r="G2821" s="152" t="s">
        <v>2276</v>
      </c>
      <c r="H2821" s="204" t="s">
        <v>523</v>
      </c>
      <c r="I2821" s="11">
        <v>2001</v>
      </c>
      <c r="J2821" s="204" t="s">
        <v>2276</v>
      </c>
      <c r="K2821" s="204" t="s">
        <v>2276</v>
      </c>
      <c r="L2821" s="204" t="s">
        <v>2276</v>
      </c>
      <c r="M2821" s="204" t="s">
        <v>2276</v>
      </c>
      <c r="N2821" s="204" t="s">
        <v>2276</v>
      </c>
      <c r="O2821" s="204" t="s">
        <v>2276</v>
      </c>
      <c r="P2821" s="204" t="s">
        <v>2276</v>
      </c>
      <c r="Q2821" s="204" t="s">
        <v>2276</v>
      </c>
      <c r="R2821" s="204" t="s">
        <v>2276</v>
      </c>
      <c r="S2821" s="204" t="s">
        <v>2276</v>
      </c>
      <c r="T2821" s="21">
        <v>45</v>
      </c>
      <c r="U2821" s="204" t="s">
        <v>2276</v>
      </c>
      <c r="V2821" s="204" t="s">
        <v>2276</v>
      </c>
      <c r="W2821" s="204" t="s">
        <v>2276</v>
      </c>
      <c r="X2821" s="218">
        <f>T2821/'Record info'!K$1146</f>
        <v>1.9473775315907911E-3</v>
      </c>
      <c r="Y2821" s="204" t="s">
        <v>2276</v>
      </c>
      <c r="Z2821" s="204" t="s">
        <v>188</v>
      </c>
      <c r="AA2821" s="204" t="s">
        <v>189</v>
      </c>
      <c r="AB2821" s="204" t="s">
        <v>64</v>
      </c>
      <c r="AC2821" s="204"/>
      <c r="AD2821" s="204"/>
    </row>
    <row r="2822" spans="1:30" ht="27.5" customHeight="1">
      <c r="A2822" s="19" t="s">
        <v>7594</v>
      </c>
      <c r="B2822" s="19" t="s">
        <v>7599</v>
      </c>
      <c r="C2822" s="204" t="s">
        <v>24</v>
      </c>
      <c r="D2822" s="204" t="s">
        <v>1242</v>
      </c>
      <c r="E2822" s="204" t="s">
        <v>3209</v>
      </c>
      <c r="F2822" s="152" t="s">
        <v>2276</v>
      </c>
      <c r="G2822" s="152" t="s">
        <v>2276</v>
      </c>
      <c r="H2822" s="204" t="s">
        <v>523</v>
      </c>
      <c r="I2822" s="11">
        <v>2002</v>
      </c>
      <c r="J2822" s="204" t="s">
        <v>2276</v>
      </c>
      <c r="K2822" s="204" t="s">
        <v>2276</v>
      </c>
      <c r="L2822" s="204" t="s">
        <v>2276</v>
      </c>
      <c r="M2822" s="204" t="s">
        <v>2276</v>
      </c>
      <c r="N2822" s="204" t="s">
        <v>2276</v>
      </c>
      <c r="O2822" s="204" t="s">
        <v>2276</v>
      </c>
      <c r="P2822" s="204" t="s">
        <v>2276</v>
      </c>
      <c r="Q2822" s="204" t="s">
        <v>2276</v>
      </c>
      <c r="R2822" s="204" t="s">
        <v>2276</v>
      </c>
      <c r="S2822" s="204" t="s">
        <v>2276</v>
      </c>
      <c r="T2822" s="21">
        <v>325</v>
      </c>
      <c r="U2822" s="204" t="s">
        <v>2276</v>
      </c>
      <c r="V2822" s="204" t="s">
        <v>2276</v>
      </c>
      <c r="W2822" s="204" t="s">
        <v>2276</v>
      </c>
      <c r="X2822" s="218">
        <f>T2822/'Record info'!K$1146</f>
        <v>1.4064393283711269E-2</v>
      </c>
      <c r="Y2822" s="204" t="s">
        <v>2276</v>
      </c>
      <c r="Z2822" s="204" t="s">
        <v>188</v>
      </c>
      <c r="AA2822" s="204" t="s">
        <v>189</v>
      </c>
      <c r="AB2822" s="204" t="s">
        <v>64</v>
      </c>
      <c r="AC2822" s="204"/>
      <c r="AD2822" s="204"/>
    </row>
    <row r="2823" spans="1:30" ht="27.5" customHeight="1">
      <c r="A2823" s="19" t="s">
        <v>7594</v>
      </c>
      <c r="B2823" s="19" t="s">
        <v>7600</v>
      </c>
      <c r="C2823" s="204" t="s">
        <v>24</v>
      </c>
      <c r="D2823" s="204" t="s">
        <v>1242</v>
      </c>
      <c r="E2823" s="204" t="s">
        <v>3209</v>
      </c>
      <c r="F2823" s="152" t="s">
        <v>2276</v>
      </c>
      <c r="G2823" s="152" t="s">
        <v>2276</v>
      </c>
      <c r="H2823" s="204" t="s">
        <v>523</v>
      </c>
      <c r="I2823" s="11">
        <v>2003</v>
      </c>
      <c r="J2823" s="204" t="s">
        <v>2276</v>
      </c>
      <c r="K2823" s="204" t="s">
        <v>2276</v>
      </c>
      <c r="L2823" s="204" t="s">
        <v>2276</v>
      </c>
      <c r="M2823" s="204" t="s">
        <v>2276</v>
      </c>
      <c r="N2823" s="204" t="s">
        <v>2276</v>
      </c>
      <c r="O2823" s="204" t="s">
        <v>2276</v>
      </c>
      <c r="P2823" s="204" t="s">
        <v>2276</v>
      </c>
      <c r="Q2823" s="204" t="s">
        <v>2276</v>
      </c>
      <c r="R2823" s="204" t="s">
        <v>2276</v>
      </c>
      <c r="S2823" s="204" t="s">
        <v>2276</v>
      </c>
      <c r="T2823" s="21">
        <v>175</v>
      </c>
      <c r="U2823" s="204" t="s">
        <v>2276</v>
      </c>
      <c r="V2823" s="204" t="s">
        <v>2276</v>
      </c>
      <c r="W2823" s="204" t="s">
        <v>2276</v>
      </c>
      <c r="X2823" s="218">
        <f>T2823/'Record info'!K$1146</f>
        <v>7.5731348450752984E-3</v>
      </c>
      <c r="Y2823" s="204" t="s">
        <v>2276</v>
      </c>
      <c r="Z2823" s="204" t="s">
        <v>188</v>
      </c>
      <c r="AA2823" s="204" t="s">
        <v>189</v>
      </c>
      <c r="AB2823" s="204" t="s">
        <v>64</v>
      </c>
      <c r="AC2823" s="204"/>
      <c r="AD2823" s="204"/>
    </row>
    <row r="2824" spans="1:30" ht="27.5" customHeight="1">
      <c r="A2824" s="19" t="s">
        <v>7594</v>
      </c>
      <c r="B2824" s="19" t="s">
        <v>7601</v>
      </c>
      <c r="C2824" s="204" t="s">
        <v>24</v>
      </c>
      <c r="D2824" s="204" t="s">
        <v>1242</v>
      </c>
      <c r="E2824" s="204" t="s">
        <v>3209</v>
      </c>
      <c r="F2824" s="152" t="s">
        <v>2276</v>
      </c>
      <c r="G2824" s="152" t="s">
        <v>2276</v>
      </c>
      <c r="H2824" s="204" t="s">
        <v>523</v>
      </c>
      <c r="I2824" s="11">
        <v>2004</v>
      </c>
      <c r="J2824" s="204" t="s">
        <v>2276</v>
      </c>
      <c r="K2824" s="204" t="s">
        <v>2276</v>
      </c>
      <c r="L2824" s="204" t="s">
        <v>2276</v>
      </c>
      <c r="M2824" s="204" t="s">
        <v>2276</v>
      </c>
      <c r="N2824" s="204" t="s">
        <v>2276</v>
      </c>
      <c r="O2824" s="204" t="s">
        <v>2276</v>
      </c>
      <c r="P2824" s="204" t="s">
        <v>2276</v>
      </c>
      <c r="Q2824" s="204" t="s">
        <v>2276</v>
      </c>
      <c r="R2824" s="204" t="s">
        <v>2276</v>
      </c>
      <c r="S2824" s="204" t="s">
        <v>2276</v>
      </c>
      <c r="T2824" s="21">
        <v>100</v>
      </c>
      <c r="U2824" s="204" t="s">
        <v>2276</v>
      </c>
      <c r="V2824" s="204" t="s">
        <v>2276</v>
      </c>
      <c r="W2824" s="204" t="s">
        <v>2276</v>
      </c>
      <c r="X2824" s="218">
        <f>T2824/'Record info'!K$1146</f>
        <v>4.3275056257573137E-3</v>
      </c>
      <c r="Y2824" s="204" t="s">
        <v>2276</v>
      </c>
      <c r="Z2824" s="204" t="s">
        <v>188</v>
      </c>
      <c r="AA2824" s="204" t="s">
        <v>189</v>
      </c>
      <c r="AB2824" s="204" t="s">
        <v>64</v>
      </c>
      <c r="AC2824" s="204"/>
      <c r="AD2824" s="204"/>
    </row>
    <row r="2825" spans="1:30" ht="27.5" customHeight="1">
      <c r="A2825" s="19" t="s">
        <v>7594</v>
      </c>
      <c r="B2825" s="19" t="s">
        <v>7602</v>
      </c>
      <c r="C2825" s="204" t="s">
        <v>24</v>
      </c>
      <c r="D2825" s="204" t="s">
        <v>1242</v>
      </c>
      <c r="E2825" s="204" t="s">
        <v>3209</v>
      </c>
      <c r="F2825" s="152" t="s">
        <v>2276</v>
      </c>
      <c r="G2825" s="152" t="s">
        <v>2276</v>
      </c>
      <c r="H2825" s="204" t="s">
        <v>523</v>
      </c>
      <c r="I2825" s="11">
        <v>2005</v>
      </c>
      <c r="J2825" s="204" t="s">
        <v>2276</v>
      </c>
      <c r="K2825" s="204" t="s">
        <v>2276</v>
      </c>
      <c r="L2825" s="204" t="s">
        <v>2276</v>
      </c>
      <c r="M2825" s="204" t="s">
        <v>2276</v>
      </c>
      <c r="N2825" s="204" t="s">
        <v>2276</v>
      </c>
      <c r="O2825" s="204" t="s">
        <v>2276</v>
      </c>
      <c r="P2825" s="204" t="s">
        <v>2276</v>
      </c>
      <c r="Q2825" s="204" t="s">
        <v>2276</v>
      </c>
      <c r="R2825" s="204" t="s">
        <v>2276</v>
      </c>
      <c r="S2825" s="204" t="s">
        <v>2276</v>
      </c>
      <c r="T2825" s="21">
        <v>125</v>
      </c>
      <c r="U2825" s="204" t="s">
        <v>2276</v>
      </c>
      <c r="V2825" s="204" t="s">
        <v>2276</v>
      </c>
      <c r="W2825" s="204" t="s">
        <v>2276</v>
      </c>
      <c r="X2825" s="218">
        <f>T2825/'Record info'!K$1146</f>
        <v>5.409382032196642E-3</v>
      </c>
      <c r="Y2825" s="204" t="s">
        <v>2276</v>
      </c>
      <c r="Z2825" s="204" t="s">
        <v>188</v>
      </c>
      <c r="AA2825" s="204" t="s">
        <v>189</v>
      </c>
      <c r="AB2825" s="204" t="s">
        <v>64</v>
      </c>
      <c r="AC2825" s="204"/>
      <c r="AD2825" s="204"/>
    </row>
    <row r="2826" spans="1:30" ht="27.5" customHeight="1">
      <c r="A2826" s="19" t="s">
        <v>7594</v>
      </c>
      <c r="B2826" s="19" t="s">
        <v>7603</v>
      </c>
      <c r="C2826" s="204" t="s">
        <v>24</v>
      </c>
      <c r="D2826" s="204" t="s">
        <v>1242</v>
      </c>
      <c r="E2826" s="204" t="s">
        <v>3209</v>
      </c>
      <c r="F2826" s="152" t="s">
        <v>2276</v>
      </c>
      <c r="G2826" s="152" t="s">
        <v>2276</v>
      </c>
      <c r="H2826" s="204" t="s">
        <v>523</v>
      </c>
      <c r="I2826" s="11">
        <v>2006</v>
      </c>
      <c r="J2826" s="204" t="s">
        <v>2276</v>
      </c>
      <c r="K2826" s="204" t="s">
        <v>2276</v>
      </c>
      <c r="L2826" s="204" t="s">
        <v>2276</v>
      </c>
      <c r="M2826" s="204" t="s">
        <v>2276</v>
      </c>
      <c r="N2826" s="204" t="s">
        <v>2276</v>
      </c>
      <c r="O2826" s="204" t="s">
        <v>2276</v>
      </c>
      <c r="P2826" s="204" t="s">
        <v>2276</v>
      </c>
      <c r="Q2826" s="204" t="s">
        <v>2276</v>
      </c>
      <c r="R2826" s="204" t="s">
        <v>2276</v>
      </c>
      <c r="S2826" s="204" t="s">
        <v>2276</v>
      </c>
      <c r="T2826" s="21">
        <v>75</v>
      </c>
      <c r="U2826" s="204" t="s">
        <v>2276</v>
      </c>
      <c r="V2826" s="204" t="s">
        <v>2276</v>
      </c>
      <c r="W2826" s="204" t="s">
        <v>2276</v>
      </c>
      <c r="X2826" s="218">
        <f>T2826/'Record info'!K$1146</f>
        <v>3.2456292193179851E-3</v>
      </c>
      <c r="Y2826" s="204" t="s">
        <v>2276</v>
      </c>
      <c r="Z2826" s="204" t="s">
        <v>188</v>
      </c>
      <c r="AA2826" s="204" t="s">
        <v>189</v>
      </c>
      <c r="AB2826" s="204" t="s">
        <v>64</v>
      </c>
      <c r="AC2826" s="204"/>
      <c r="AD2826" s="204"/>
    </row>
    <row r="2827" spans="1:30" ht="27.5" customHeight="1">
      <c r="A2827" s="19" t="s">
        <v>7594</v>
      </c>
      <c r="B2827" s="19" t="s">
        <v>7604</v>
      </c>
      <c r="C2827" s="204" t="s">
        <v>24</v>
      </c>
      <c r="D2827" s="204" t="s">
        <v>1242</v>
      </c>
      <c r="E2827" s="204" t="s">
        <v>3209</v>
      </c>
      <c r="F2827" s="152" t="s">
        <v>2276</v>
      </c>
      <c r="G2827" s="152" t="s">
        <v>2276</v>
      </c>
      <c r="H2827" s="204" t="s">
        <v>523</v>
      </c>
      <c r="I2827" s="11">
        <v>2007</v>
      </c>
      <c r="J2827" s="204" t="s">
        <v>2276</v>
      </c>
      <c r="K2827" s="204" t="s">
        <v>2276</v>
      </c>
      <c r="L2827" s="204" t="s">
        <v>2276</v>
      </c>
      <c r="M2827" s="204" t="s">
        <v>2276</v>
      </c>
      <c r="N2827" s="204" t="s">
        <v>2276</v>
      </c>
      <c r="O2827" s="204" t="s">
        <v>2276</v>
      </c>
      <c r="P2827" s="204" t="s">
        <v>2276</v>
      </c>
      <c r="Q2827" s="204" t="s">
        <v>2276</v>
      </c>
      <c r="R2827" s="204" t="s">
        <v>2276</v>
      </c>
      <c r="S2827" s="204" t="s">
        <v>2276</v>
      </c>
      <c r="T2827" s="21">
        <v>95</v>
      </c>
      <c r="U2827" s="204" t="s">
        <v>2276</v>
      </c>
      <c r="V2827" s="204" t="s">
        <v>2276</v>
      </c>
      <c r="W2827" s="204" t="s">
        <v>2276</v>
      </c>
      <c r="X2827" s="218">
        <f>T2827/'Record info'!K$1146</f>
        <v>4.1111303444694479E-3</v>
      </c>
      <c r="Y2827" s="204" t="s">
        <v>2276</v>
      </c>
      <c r="Z2827" s="204" t="s">
        <v>188</v>
      </c>
      <c r="AA2827" s="204" t="s">
        <v>189</v>
      </c>
      <c r="AB2827" s="204" t="s">
        <v>64</v>
      </c>
      <c r="AC2827" s="204"/>
      <c r="AD2827" s="204"/>
    </row>
    <row r="2828" spans="1:30" ht="27.5" customHeight="1">
      <c r="A2828" s="19" t="s">
        <v>7594</v>
      </c>
      <c r="B2828" s="19" t="s">
        <v>7605</v>
      </c>
      <c r="C2828" s="204" t="s">
        <v>24</v>
      </c>
      <c r="D2828" s="204" t="s">
        <v>1242</v>
      </c>
      <c r="E2828" s="204" t="s">
        <v>3209</v>
      </c>
      <c r="F2828" s="152" t="s">
        <v>2276</v>
      </c>
      <c r="G2828" s="152" t="s">
        <v>2276</v>
      </c>
      <c r="H2828" s="204" t="s">
        <v>523</v>
      </c>
      <c r="I2828" s="11">
        <v>2008</v>
      </c>
      <c r="J2828" s="204" t="s">
        <v>2276</v>
      </c>
      <c r="K2828" s="204" t="s">
        <v>2276</v>
      </c>
      <c r="L2828" s="204" t="s">
        <v>2276</v>
      </c>
      <c r="M2828" s="204" t="s">
        <v>2276</v>
      </c>
      <c r="N2828" s="204" t="s">
        <v>2276</v>
      </c>
      <c r="O2828" s="204" t="s">
        <v>2276</v>
      </c>
      <c r="P2828" s="204" t="s">
        <v>2276</v>
      </c>
      <c r="Q2828" s="204" t="s">
        <v>2276</v>
      </c>
      <c r="R2828" s="204" t="s">
        <v>2276</v>
      </c>
      <c r="S2828" s="204" t="s">
        <v>2276</v>
      </c>
      <c r="T2828" s="21">
        <v>60</v>
      </c>
      <c r="U2828" s="204" t="s">
        <v>2276</v>
      </c>
      <c r="V2828" s="204" t="s">
        <v>2276</v>
      </c>
      <c r="W2828" s="204" t="s">
        <v>2276</v>
      </c>
      <c r="X2828" s="218">
        <f>T2828/'Record info'!K$1146</f>
        <v>2.5965033754543881E-3</v>
      </c>
      <c r="Y2828" s="204" t="s">
        <v>2276</v>
      </c>
      <c r="Z2828" s="204" t="s">
        <v>188</v>
      </c>
      <c r="AA2828" s="204" t="s">
        <v>189</v>
      </c>
      <c r="AB2828" s="204" t="s">
        <v>64</v>
      </c>
      <c r="AC2828" s="204"/>
      <c r="AD2828" s="204"/>
    </row>
    <row r="2829" spans="1:30" ht="27.5" customHeight="1">
      <c r="A2829" s="19" t="s">
        <v>7594</v>
      </c>
      <c r="B2829" s="19" t="s">
        <v>7606</v>
      </c>
      <c r="C2829" s="204" t="s">
        <v>24</v>
      </c>
      <c r="D2829" s="204" t="s">
        <v>1242</v>
      </c>
      <c r="E2829" s="204" t="s">
        <v>3209</v>
      </c>
      <c r="F2829" s="152" t="s">
        <v>2276</v>
      </c>
      <c r="G2829" s="152" t="s">
        <v>2276</v>
      </c>
      <c r="H2829" s="204" t="s">
        <v>523</v>
      </c>
      <c r="I2829" s="11">
        <v>2009</v>
      </c>
      <c r="J2829" s="204" t="s">
        <v>2276</v>
      </c>
      <c r="K2829" s="204" t="s">
        <v>2276</v>
      </c>
      <c r="L2829" s="204" t="s">
        <v>2276</v>
      </c>
      <c r="M2829" s="204" t="s">
        <v>2276</v>
      </c>
      <c r="N2829" s="204" t="s">
        <v>2276</v>
      </c>
      <c r="O2829" s="204" t="s">
        <v>2276</v>
      </c>
      <c r="P2829" s="204" t="s">
        <v>2276</v>
      </c>
      <c r="Q2829" s="204" t="s">
        <v>2276</v>
      </c>
      <c r="R2829" s="204" t="s">
        <v>2276</v>
      </c>
      <c r="S2829" s="204" t="s">
        <v>2276</v>
      </c>
      <c r="T2829" s="21">
        <v>15</v>
      </c>
      <c r="U2829" s="204" t="s">
        <v>2276</v>
      </c>
      <c r="V2829" s="204" t="s">
        <v>2276</v>
      </c>
      <c r="W2829" s="204" t="s">
        <v>2276</v>
      </c>
      <c r="X2829" s="218">
        <f>T2829/'Record info'!K$1146</f>
        <v>6.4912584386359702E-4</v>
      </c>
      <c r="Y2829" s="204" t="s">
        <v>2276</v>
      </c>
      <c r="Z2829" s="204" t="s">
        <v>188</v>
      </c>
      <c r="AA2829" s="204" t="s">
        <v>189</v>
      </c>
      <c r="AB2829" s="204" t="s">
        <v>64</v>
      </c>
      <c r="AC2829" s="204"/>
      <c r="AD2829" s="204"/>
    </row>
    <row r="2830" spans="1:30" ht="27.5" customHeight="1">
      <c r="A2830" s="19" t="s">
        <v>7594</v>
      </c>
      <c r="B2830" s="19" t="s">
        <v>7607</v>
      </c>
      <c r="C2830" s="204" t="s">
        <v>24</v>
      </c>
      <c r="D2830" s="204" t="s">
        <v>1242</v>
      </c>
      <c r="E2830" s="204" t="s">
        <v>3209</v>
      </c>
      <c r="F2830" s="152" t="s">
        <v>2276</v>
      </c>
      <c r="G2830" s="152" t="s">
        <v>2276</v>
      </c>
      <c r="H2830" s="204" t="s">
        <v>523</v>
      </c>
      <c r="I2830" s="11">
        <v>2010</v>
      </c>
      <c r="J2830" s="204" t="s">
        <v>2276</v>
      </c>
      <c r="K2830" s="204" t="s">
        <v>2276</v>
      </c>
      <c r="L2830" s="204" t="s">
        <v>2276</v>
      </c>
      <c r="M2830" s="204" t="s">
        <v>2276</v>
      </c>
      <c r="N2830" s="204" t="s">
        <v>2276</v>
      </c>
      <c r="O2830" s="204" t="s">
        <v>2276</v>
      </c>
      <c r="P2830" s="204" t="s">
        <v>2276</v>
      </c>
      <c r="Q2830" s="204" t="s">
        <v>2276</v>
      </c>
      <c r="R2830" s="204" t="s">
        <v>2276</v>
      </c>
      <c r="S2830" s="204" t="s">
        <v>2276</v>
      </c>
      <c r="T2830" s="21">
        <v>20</v>
      </c>
      <c r="U2830" s="204" t="s">
        <v>2276</v>
      </c>
      <c r="V2830" s="204" t="s">
        <v>2276</v>
      </c>
      <c r="W2830" s="204" t="s">
        <v>2276</v>
      </c>
      <c r="X2830" s="218">
        <f>T2830/'Record info'!K$1146</f>
        <v>8.6550112515146273E-4</v>
      </c>
      <c r="Y2830" s="204" t="s">
        <v>2276</v>
      </c>
      <c r="Z2830" s="204" t="s">
        <v>188</v>
      </c>
      <c r="AA2830" s="204" t="s">
        <v>189</v>
      </c>
      <c r="AB2830" s="204" t="s">
        <v>64</v>
      </c>
      <c r="AC2830" s="204"/>
      <c r="AD2830" s="204"/>
    </row>
    <row r="2831" spans="1:30" ht="27.5" customHeight="1">
      <c r="A2831" s="19" t="s">
        <v>7594</v>
      </c>
      <c r="B2831" s="19" t="s">
        <v>7608</v>
      </c>
      <c r="C2831" s="204" t="s">
        <v>24</v>
      </c>
      <c r="D2831" s="204" t="s">
        <v>1242</v>
      </c>
      <c r="E2831" s="204" t="s">
        <v>3209</v>
      </c>
      <c r="F2831" s="152" t="s">
        <v>2276</v>
      </c>
      <c r="G2831" s="152" t="s">
        <v>2276</v>
      </c>
      <c r="H2831" s="204" t="s">
        <v>523</v>
      </c>
      <c r="I2831" s="11">
        <v>2011</v>
      </c>
      <c r="J2831" s="204" t="s">
        <v>2276</v>
      </c>
      <c r="K2831" s="204" t="s">
        <v>2276</v>
      </c>
      <c r="L2831" s="204" t="s">
        <v>2276</v>
      </c>
      <c r="M2831" s="204" t="s">
        <v>2276</v>
      </c>
      <c r="N2831" s="204" t="s">
        <v>2276</v>
      </c>
      <c r="O2831" s="204" t="s">
        <v>2276</v>
      </c>
      <c r="P2831" s="204" t="s">
        <v>2276</v>
      </c>
      <c r="Q2831" s="204" t="s">
        <v>2276</v>
      </c>
      <c r="R2831" s="204" t="s">
        <v>2276</v>
      </c>
      <c r="S2831" s="204" t="s">
        <v>2276</v>
      </c>
      <c r="T2831" s="21">
        <v>70</v>
      </c>
      <c r="U2831" s="204" t="s">
        <v>2276</v>
      </c>
      <c r="V2831" s="204" t="s">
        <v>2276</v>
      </c>
      <c r="W2831" s="204" t="s">
        <v>2276</v>
      </c>
      <c r="X2831" s="218">
        <f>T2831/'Record info'!K$1146</f>
        <v>3.0292539380301193E-3</v>
      </c>
      <c r="Y2831" s="204" t="s">
        <v>2276</v>
      </c>
      <c r="Z2831" s="204" t="s">
        <v>188</v>
      </c>
      <c r="AA2831" s="204" t="s">
        <v>189</v>
      </c>
      <c r="AB2831" s="204" t="s">
        <v>64</v>
      </c>
      <c r="AC2831" s="204"/>
      <c r="AD2831" s="204"/>
    </row>
    <row r="2832" spans="1:30" ht="27.5" customHeight="1">
      <c r="A2832" s="19" t="s">
        <v>7594</v>
      </c>
      <c r="B2832" s="19" t="s">
        <v>7609</v>
      </c>
      <c r="C2832" s="204" t="s">
        <v>24</v>
      </c>
      <c r="D2832" s="204" t="s">
        <v>1242</v>
      </c>
      <c r="E2832" s="204" t="s">
        <v>3209</v>
      </c>
      <c r="F2832" s="152" t="s">
        <v>2276</v>
      </c>
      <c r="G2832" s="152" t="s">
        <v>2276</v>
      </c>
      <c r="H2832" s="204" t="s">
        <v>523</v>
      </c>
      <c r="I2832" s="11">
        <v>2012</v>
      </c>
      <c r="J2832" s="204" t="s">
        <v>2276</v>
      </c>
      <c r="K2832" s="204" t="s">
        <v>2276</v>
      </c>
      <c r="L2832" s="204" t="s">
        <v>2276</v>
      </c>
      <c r="M2832" s="204" t="s">
        <v>2276</v>
      </c>
      <c r="N2832" s="204" t="s">
        <v>2276</v>
      </c>
      <c r="O2832" s="204" t="s">
        <v>2276</v>
      </c>
      <c r="P2832" s="204" t="s">
        <v>2276</v>
      </c>
      <c r="Q2832" s="204" t="s">
        <v>2276</v>
      </c>
      <c r="R2832" s="204" t="s">
        <v>2276</v>
      </c>
      <c r="S2832" s="204" t="s">
        <v>2276</v>
      </c>
      <c r="T2832" s="21">
        <v>80</v>
      </c>
      <c r="U2832" s="204" t="s">
        <v>2276</v>
      </c>
      <c r="V2832" s="204" t="s">
        <v>2276</v>
      </c>
      <c r="W2832" s="204" t="s">
        <v>2276</v>
      </c>
      <c r="X2832" s="218">
        <f>T2832/'Record info'!K$1146</f>
        <v>3.4620045006058509E-3</v>
      </c>
      <c r="Y2832" s="204" t="s">
        <v>2276</v>
      </c>
      <c r="Z2832" s="204" t="s">
        <v>188</v>
      </c>
      <c r="AA2832" s="204" t="s">
        <v>189</v>
      </c>
      <c r="AB2832" s="204" t="s">
        <v>64</v>
      </c>
      <c r="AC2832" s="204"/>
      <c r="AD2832" s="204"/>
    </row>
    <row r="2833" spans="1:30" ht="27.5" customHeight="1">
      <c r="A2833" s="19" t="s">
        <v>7594</v>
      </c>
      <c r="B2833" s="19" t="s">
        <v>7610</v>
      </c>
      <c r="C2833" s="204" t="s">
        <v>24</v>
      </c>
      <c r="D2833" s="204" t="s">
        <v>1242</v>
      </c>
      <c r="E2833" s="204" t="s">
        <v>3209</v>
      </c>
      <c r="F2833" s="152" t="s">
        <v>2276</v>
      </c>
      <c r="G2833" s="152" t="s">
        <v>2276</v>
      </c>
      <c r="H2833" s="204" t="s">
        <v>523</v>
      </c>
      <c r="I2833" s="11">
        <v>2013</v>
      </c>
      <c r="J2833" s="204" t="s">
        <v>2276</v>
      </c>
      <c r="K2833" s="204" t="s">
        <v>2276</v>
      </c>
      <c r="L2833" s="204" t="s">
        <v>2276</v>
      </c>
      <c r="M2833" s="204" t="s">
        <v>2276</v>
      </c>
      <c r="N2833" s="204" t="s">
        <v>2276</v>
      </c>
      <c r="O2833" s="204" t="s">
        <v>2276</v>
      </c>
      <c r="P2833" s="204" t="s">
        <v>2276</v>
      </c>
      <c r="Q2833" s="204" t="s">
        <v>2276</v>
      </c>
      <c r="R2833" s="204" t="s">
        <v>2276</v>
      </c>
      <c r="S2833" s="204" t="s">
        <v>2276</v>
      </c>
      <c r="T2833" s="21">
        <v>75</v>
      </c>
      <c r="U2833" s="204" t="s">
        <v>2276</v>
      </c>
      <c r="V2833" s="204" t="s">
        <v>2276</v>
      </c>
      <c r="W2833" s="204" t="s">
        <v>2276</v>
      </c>
      <c r="X2833" s="218">
        <f>T2833/'Record info'!K$1146</f>
        <v>3.2456292193179851E-3</v>
      </c>
      <c r="Y2833" s="204" t="s">
        <v>2276</v>
      </c>
      <c r="Z2833" s="204" t="s">
        <v>188</v>
      </c>
      <c r="AA2833" s="204" t="s">
        <v>189</v>
      </c>
      <c r="AB2833" s="204" t="s">
        <v>64</v>
      </c>
      <c r="AC2833" s="204"/>
      <c r="AD2833" s="204"/>
    </row>
    <row r="2834" spans="1:30" ht="27.5" customHeight="1">
      <c r="A2834" s="19" t="s">
        <v>7594</v>
      </c>
      <c r="B2834" s="19" t="s">
        <v>7611</v>
      </c>
      <c r="C2834" s="204" t="s">
        <v>24</v>
      </c>
      <c r="D2834" s="204" t="s">
        <v>1242</v>
      </c>
      <c r="E2834" s="204" t="s">
        <v>3209</v>
      </c>
      <c r="F2834" s="152" t="s">
        <v>2276</v>
      </c>
      <c r="G2834" s="152" t="s">
        <v>2276</v>
      </c>
      <c r="H2834" s="204" t="s">
        <v>523</v>
      </c>
      <c r="I2834" s="11">
        <v>2014</v>
      </c>
      <c r="J2834" s="204" t="s">
        <v>2276</v>
      </c>
      <c r="K2834" s="204" t="s">
        <v>2276</v>
      </c>
      <c r="L2834" s="204" t="s">
        <v>2276</v>
      </c>
      <c r="M2834" s="204" t="s">
        <v>2276</v>
      </c>
      <c r="N2834" s="204" t="s">
        <v>2276</v>
      </c>
      <c r="O2834" s="204" t="s">
        <v>2276</v>
      </c>
      <c r="P2834" s="204" t="s">
        <v>2276</v>
      </c>
      <c r="Q2834" s="204" t="s">
        <v>2276</v>
      </c>
      <c r="R2834" s="204" t="s">
        <v>2276</v>
      </c>
      <c r="S2834" s="204" t="s">
        <v>2276</v>
      </c>
      <c r="T2834" s="21">
        <v>80</v>
      </c>
      <c r="U2834" s="204" t="s">
        <v>2276</v>
      </c>
      <c r="V2834" s="204" t="s">
        <v>2276</v>
      </c>
      <c r="W2834" s="204" t="s">
        <v>2276</v>
      </c>
      <c r="X2834" s="218">
        <f>T2834/'Record info'!K$1146</f>
        <v>3.4620045006058509E-3</v>
      </c>
      <c r="Y2834" s="204" t="s">
        <v>2276</v>
      </c>
      <c r="Z2834" s="204" t="s">
        <v>188</v>
      </c>
      <c r="AA2834" s="204" t="s">
        <v>189</v>
      </c>
      <c r="AB2834" s="204" t="s">
        <v>64</v>
      </c>
      <c r="AC2834" s="204"/>
      <c r="AD2834" s="204"/>
    </row>
    <row r="2835" spans="1:30" ht="27.5" customHeight="1">
      <c r="A2835" s="19" t="s">
        <v>7594</v>
      </c>
      <c r="B2835" s="19" t="s">
        <v>7612</v>
      </c>
      <c r="C2835" s="204" t="s">
        <v>24</v>
      </c>
      <c r="D2835" s="204" t="s">
        <v>1242</v>
      </c>
      <c r="E2835" s="204" t="s">
        <v>3209</v>
      </c>
      <c r="F2835" s="152" t="s">
        <v>2276</v>
      </c>
      <c r="G2835" s="152" t="s">
        <v>2276</v>
      </c>
      <c r="H2835" s="204" t="s">
        <v>523</v>
      </c>
      <c r="I2835" s="11">
        <v>2015</v>
      </c>
      <c r="J2835" s="204" t="s">
        <v>2276</v>
      </c>
      <c r="K2835" s="204" t="s">
        <v>2276</v>
      </c>
      <c r="L2835" s="204" t="s">
        <v>2276</v>
      </c>
      <c r="M2835" s="204" t="s">
        <v>2276</v>
      </c>
      <c r="N2835" s="204" t="s">
        <v>2276</v>
      </c>
      <c r="O2835" s="204" t="s">
        <v>2276</v>
      </c>
      <c r="P2835" s="204" t="s">
        <v>2276</v>
      </c>
      <c r="Q2835" s="204" t="s">
        <v>2276</v>
      </c>
      <c r="R2835" s="204" t="s">
        <v>2276</v>
      </c>
      <c r="S2835" s="204" t="s">
        <v>2276</v>
      </c>
      <c r="T2835" s="21">
        <v>84</v>
      </c>
      <c r="U2835" s="204" t="s">
        <v>2276</v>
      </c>
      <c r="V2835" s="204" t="s">
        <v>2276</v>
      </c>
      <c r="W2835" s="204" t="s">
        <v>2276</v>
      </c>
      <c r="X2835" s="218">
        <f>T2835/'Record info'!K$1146</f>
        <v>3.6351047256361433E-3</v>
      </c>
      <c r="Y2835" s="204" t="s">
        <v>2276</v>
      </c>
      <c r="Z2835" s="204" t="s">
        <v>188</v>
      </c>
      <c r="AA2835" s="204" t="s">
        <v>189</v>
      </c>
      <c r="AB2835" s="204" t="s">
        <v>64</v>
      </c>
      <c r="AC2835" s="204"/>
      <c r="AD2835" s="204"/>
    </row>
    <row r="2836" spans="1:30" ht="32" customHeight="1">
      <c r="A2836" s="19" t="s">
        <v>7616</v>
      </c>
      <c r="B2836" s="19" t="s">
        <v>7617</v>
      </c>
      <c r="C2836" s="204" t="s">
        <v>24</v>
      </c>
      <c r="D2836" s="204" t="s">
        <v>1242</v>
      </c>
      <c r="E2836" s="204" t="s">
        <v>3209</v>
      </c>
      <c r="F2836" s="152" t="s">
        <v>2276</v>
      </c>
      <c r="G2836" s="152" t="s">
        <v>2276</v>
      </c>
      <c r="H2836" s="204" t="s">
        <v>523</v>
      </c>
      <c r="I2836" s="204"/>
      <c r="J2836" s="204" t="s">
        <v>2276</v>
      </c>
      <c r="K2836" s="204" t="s">
        <v>2276</v>
      </c>
      <c r="L2836" s="204" t="s">
        <v>2276</v>
      </c>
      <c r="M2836" s="204" t="s">
        <v>2276</v>
      </c>
      <c r="N2836" s="204" t="s">
        <v>2276</v>
      </c>
      <c r="O2836" s="204" t="s">
        <v>2276</v>
      </c>
      <c r="P2836" s="204" t="s">
        <v>2276</v>
      </c>
      <c r="Q2836" s="204" t="s">
        <v>2276</v>
      </c>
      <c r="R2836" s="204" t="s">
        <v>2276</v>
      </c>
      <c r="S2836" s="204" t="s">
        <v>2276</v>
      </c>
      <c r="T2836" s="21">
        <v>50</v>
      </c>
      <c r="U2836" s="204" t="s">
        <v>2276</v>
      </c>
      <c r="V2836" s="204" t="s">
        <v>2276</v>
      </c>
      <c r="W2836" s="204" t="s">
        <v>2276</v>
      </c>
      <c r="X2836" s="21">
        <f>T2836/'Record info'!K1147</f>
        <v>1.6592663387956383E-4</v>
      </c>
      <c r="Y2836" s="204" t="s">
        <v>2276</v>
      </c>
      <c r="Z2836" s="204" t="s">
        <v>68</v>
      </c>
      <c r="AA2836" s="204" t="s">
        <v>189</v>
      </c>
      <c r="AB2836" s="204" t="s">
        <v>64</v>
      </c>
      <c r="AC2836" s="204"/>
      <c r="AD2836" s="204"/>
    </row>
    <row r="2837" spans="1:30" ht="37.5" customHeight="1">
      <c r="A2837" s="19" t="s">
        <v>7594</v>
      </c>
      <c r="B2837" s="19" t="s">
        <v>7618</v>
      </c>
      <c r="C2837" s="11" t="s">
        <v>24</v>
      </c>
      <c r="D2837" s="11" t="s">
        <v>1242</v>
      </c>
      <c r="E2837" s="11" t="s">
        <v>3209</v>
      </c>
      <c r="F2837" s="19" t="s">
        <v>2662</v>
      </c>
      <c r="G2837" s="19" t="s">
        <v>2662</v>
      </c>
      <c r="H2837" s="11" t="s">
        <v>523</v>
      </c>
      <c r="I2837" s="11"/>
      <c r="J2837" s="11" t="s">
        <v>2276</v>
      </c>
      <c r="K2837" s="11" t="s">
        <v>2276</v>
      </c>
      <c r="L2837" s="11" t="s">
        <v>2276</v>
      </c>
      <c r="M2837" s="11" t="s">
        <v>2276</v>
      </c>
      <c r="N2837" s="74">
        <v>67</v>
      </c>
      <c r="O2837" s="11" t="s">
        <v>2276</v>
      </c>
      <c r="P2837" s="74">
        <v>5.35</v>
      </c>
      <c r="Q2837" s="11" t="s">
        <v>2276</v>
      </c>
      <c r="R2837" s="11" t="s">
        <v>2276</v>
      </c>
      <c r="S2837" s="11" t="s">
        <v>2276</v>
      </c>
      <c r="T2837" s="11" t="s">
        <v>2276</v>
      </c>
      <c r="U2837" s="11" t="s">
        <v>2276</v>
      </c>
      <c r="V2837" s="11" t="s">
        <v>2276</v>
      </c>
      <c r="W2837" s="11" t="s">
        <v>2276</v>
      </c>
      <c r="X2837" s="11" t="s">
        <v>2276</v>
      </c>
      <c r="Y2837" s="11" t="s">
        <v>2276</v>
      </c>
      <c r="Z2837" s="204" t="s">
        <v>188</v>
      </c>
      <c r="AA2837" s="204" t="s">
        <v>189</v>
      </c>
      <c r="AB2837" s="204" t="s">
        <v>64</v>
      </c>
      <c r="AC2837" s="19" t="s">
        <v>7629</v>
      </c>
      <c r="AD2837" s="11"/>
    </row>
    <row r="2838" spans="1:30" s="203" customFormat="1" ht="31" customHeight="1">
      <c r="A2838" s="19" t="s">
        <v>7594</v>
      </c>
      <c r="B2838" s="19" t="s">
        <v>7626</v>
      </c>
      <c r="C2838" s="11" t="s">
        <v>24</v>
      </c>
      <c r="D2838" s="11" t="s">
        <v>1242</v>
      </c>
      <c r="E2838" s="11" t="s">
        <v>3209</v>
      </c>
      <c r="F2838" s="19" t="s">
        <v>74</v>
      </c>
      <c r="G2838" s="19" t="s">
        <v>74</v>
      </c>
      <c r="H2838" s="11" t="s">
        <v>523</v>
      </c>
      <c r="I2838" s="11"/>
      <c r="J2838" s="11" t="s">
        <v>2276</v>
      </c>
      <c r="K2838" s="11" t="s">
        <v>2276</v>
      </c>
      <c r="L2838" s="11" t="s">
        <v>2276</v>
      </c>
      <c r="M2838" s="11" t="s">
        <v>2276</v>
      </c>
      <c r="N2838" s="11" t="s">
        <v>2276</v>
      </c>
      <c r="O2838" s="11" t="s">
        <v>2276</v>
      </c>
      <c r="P2838" s="74">
        <v>2.13</v>
      </c>
      <c r="Q2838" s="11" t="s">
        <v>2276</v>
      </c>
      <c r="R2838" s="11" t="s">
        <v>2276</v>
      </c>
      <c r="S2838" s="11" t="s">
        <v>2276</v>
      </c>
      <c r="T2838" s="11" t="s">
        <v>2276</v>
      </c>
      <c r="U2838" s="11" t="s">
        <v>2276</v>
      </c>
      <c r="V2838" s="11" t="s">
        <v>2276</v>
      </c>
      <c r="W2838" s="11" t="s">
        <v>2276</v>
      </c>
      <c r="X2838" s="11" t="s">
        <v>2276</v>
      </c>
      <c r="Y2838" s="11" t="s">
        <v>2276</v>
      </c>
      <c r="Z2838" s="204" t="s">
        <v>188</v>
      </c>
      <c r="AA2838" s="204" t="s">
        <v>189</v>
      </c>
      <c r="AB2838" s="204" t="s">
        <v>64</v>
      </c>
      <c r="AC2838" s="19" t="s">
        <v>7629</v>
      </c>
      <c r="AD2838" s="11"/>
    </row>
    <row r="2839" spans="1:30" ht="39" customHeight="1">
      <c r="A2839" s="19" t="s">
        <v>7619</v>
      </c>
      <c r="B2839" s="19" t="s">
        <v>7621</v>
      </c>
      <c r="C2839" s="204" t="s">
        <v>24</v>
      </c>
      <c r="D2839" s="204" t="s">
        <v>1242</v>
      </c>
      <c r="E2839" s="204" t="s">
        <v>3209</v>
      </c>
      <c r="F2839" s="4" t="s">
        <v>74</v>
      </c>
      <c r="G2839" s="4" t="s">
        <v>74</v>
      </c>
      <c r="H2839" s="204" t="s">
        <v>523</v>
      </c>
      <c r="I2839" s="204"/>
      <c r="J2839" s="204" t="s">
        <v>2276</v>
      </c>
      <c r="K2839" s="204" t="s">
        <v>2276</v>
      </c>
      <c r="L2839" s="204" t="s">
        <v>2276</v>
      </c>
      <c r="M2839" s="204" t="s">
        <v>2276</v>
      </c>
      <c r="N2839" s="21">
        <v>146</v>
      </c>
      <c r="O2839" s="204" t="s">
        <v>2276</v>
      </c>
      <c r="P2839" s="21">
        <v>8.1999999999999993</v>
      </c>
      <c r="Q2839" s="204" t="s">
        <v>2276</v>
      </c>
      <c r="R2839" s="204" t="s">
        <v>2276</v>
      </c>
      <c r="S2839" s="204" t="s">
        <v>2276</v>
      </c>
      <c r="T2839" s="204" t="s">
        <v>2276</v>
      </c>
      <c r="U2839" s="204" t="s">
        <v>2276</v>
      </c>
      <c r="V2839" s="204" t="s">
        <v>2276</v>
      </c>
      <c r="W2839" s="204" t="s">
        <v>2276</v>
      </c>
      <c r="X2839" s="204" t="s">
        <v>2276</v>
      </c>
      <c r="Y2839" s="204" t="s">
        <v>2276</v>
      </c>
      <c r="Z2839" s="204" t="s">
        <v>68</v>
      </c>
      <c r="AA2839" s="204" t="s">
        <v>86</v>
      </c>
      <c r="AB2839" s="204" t="s">
        <v>76</v>
      </c>
      <c r="AC2839" s="4" t="s">
        <v>7628</v>
      </c>
      <c r="AD2839" s="204"/>
    </row>
    <row r="2840" spans="1:30" ht="31" customHeight="1">
      <c r="A2840" s="19" t="s">
        <v>7620</v>
      </c>
      <c r="B2840" s="19" t="s">
        <v>7622</v>
      </c>
      <c r="C2840" s="204" t="s">
        <v>24</v>
      </c>
      <c r="D2840" s="204" t="s">
        <v>1242</v>
      </c>
      <c r="E2840" s="204" t="s">
        <v>3209</v>
      </c>
      <c r="F2840" s="4" t="s">
        <v>74</v>
      </c>
      <c r="G2840" s="4" t="s">
        <v>74</v>
      </c>
      <c r="H2840" s="204" t="s">
        <v>523</v>
      </c>
      <c r="I2840" s="204"/>
      <c r="J2840" s="204" t="s">
        <v>2276</v>
      </c>
      <c r="K2840" s="204" t="s">
        <v>2276</v>
      </c>
      <c r="L2840" s="204" t="s">
        <v>2276</v>
      </c>
      <c r="M2840" s="204" t="s">
        <v>2276</v>
      </c>
      <c r="N2840" s="21">
        <v>179</v>
      </c>
      <c r="O2840" s="204" t="s">
        <v>2276</v>
      </c>
      <c r="P2840" s="21">
        <v>11.54</v>
      </c>
      <c r="Q2840" s="204" t="s">
        <v>2276</v>
      </c>
      <c r="R2840" s="204" t="s">
        <v>2276</v>
      </c>
      <c r="S2840" s="204" t="s">
        <v>2276</v>
      </c>
      <c r="T2840" s="204" t="s">
        <v>2276</v>
      </c>
      <c r="U2840" s="204" t="s">
        <v>2276</v>
      </c>
      <c r="V2840" s="204" t="s">
        <v>2276</v>
      </c>
      <c r="W2840" s="204" t="s">
        <v>2276</v>
      </c>
      <c r="X2840" s="204" t="s">
        <v>2276</v>
      </c>
      <c r="Y2840" s="204" t="s">
        <v>2276</v>
      </c>
      <c r="Z2840" s="204" t="s">
        <v>35</v>
      </c>
      <c r="AA2840" s="204" t="s">
        <v>38</v>
      </c>
      <c r="AB2840" s="204" t="s">
        <v>64</v>
      </c>
      <c r="AC2840" s="204" t="s">
        <v>7627</v>
      </c>
      <c r="AD2840" s="204"/>
    </row>
    <row r="2841" spans="1:30" ht="41" customHeight="1">
      <c r="A2841" s="19" t="s">
        <v>7620</v>
      </c>
      <c r="B2841" s="19" t="s">
        <v>7625</v>
      </c>
      <c r="C2841" s="204" t="s">
        <v>24</v>
      </c>
      <c r="D2841" s="204" t="s">
        <v>1242</v>
      </c>
      <c r="E2841" s="204" t="s">
        <v>3209</v>
      </c>
      <c r="F2841" s="4" t="s">
        <v>2662</v>
      </c>
      <c r="G2841" s="4" t="s">
        <v>2662</v>
      </c>
      <c r="H2841" s="204" t="s">
        <v>523</v>
      </c>
      <c r="I2841" s="204"/>
      <c r="J2841" s="204" t="s">
        <v>2276</v>
      </c>
      <c r="K2841" s="204" t="s">
        <v>2276</v>
      </c>
      <c r="L2841" s="204" t="s">
        <v>2276</v>
      </c>
      <c r="M2841" s="204" t="s">
        <v>2276</v>
      </c>
      <c r="N2841" s="204" t="s">
        <v>2276</v>
      </c>
      <c r="O2841" s="204" t="s">
        <v>2276</v>
      </c>
      <c r="P2841" s="21">
        <v>4.93</v>
      </c>
      <c r="Q2841" s="204" t="s">
        <v>2276</v>
      </c>
      <c r="R2841" s="204" t="s">
        <v>2276</v>
      </c>
      <c r="S2841" s="204" t="s">
        <v>2276</v>
      </c>
      <c r="T2841" s="204" t="s">
        <v>2276</v>
      </c>
      <c r="U2841" s="204" t="s">
        <v>2276</v>
      </c>
      <c r="V2841" s="204" t="s">
        <v>2276</v>
      </c>
      <c r="W2841" s="204" t="s">
        <v>2276</v>
      </c>
      <c r="X2841" s="204" t="s">
        <v>2276</v>
      </c>
      <c r="Y2841" s="204" t="s">
        <v>2276</v>
      </c>
      <c r="Z2841" s="204" t="s">
        <v>68</v>
      </c>
      <c r="AA2841" s="204" t="s">
        <v>86</v>
      </c>
      <c r="AB2841" s="204" t="s">
        <v>76</v>
      </c>
      <c r="AC2841" s="4" t="s">
        <v>7628</v>
      </c>
      <c r="AD2841" s="204"/>
    </row>
    <row r="2842" spans="1:30" ht="43.5" customHeight="1">
      <c r="A2842" s="19" t="s">
        <v>7619</v>
      </c>
      <c r="B2842" s="19" t="s">
        <v>7623</v>
      </c>
      <c r="C2842" s="204" t="s">
        <v>24</v>
      </c>
      <c r="D2842" s="204" t="s">
        <v>1242</v>
      </c>
      <c r="E2842" s="204" t="s">
        <v>3209</v>
      </c>
      <c r="F2842" s="4" t="s">
        <v>2662</v>
      </c>
      <c r="G2842" s="4" t="s">
        <v>2662</v>
      </c>
      <c r="H2842" s="204" t="s">
        <v>523</v>
      </c>
      <c r="I2842" s="204"/>
      <c r="J2842" s="204" t="s">
        <v>2276</v>
      </c>
      <c r="K2842" s="204" t="s">
        <v>2276</v>
      </c>
      <c r="L2842" s="204" t="s">
        <v>2276</v>
      </c>
      <c r="M2842" s="204" t="s">
        <v>2276</v>
      </c>
      <c r="N2842" s="204" t="s">
        <v>2276</v>
      </c>
      <c r="O2842" s="204" t="s">
        <v>2276</v>
      </c>
      <c r="P2842" s="21">
        <v>5.23</v>
      </c>
      <c r="Q2842" s="204" t="s">
        <v>2276</v>
      </c>
      <c r="R2842" s="204" t="s">
        <v>2276</v>
      </c>
      <c r="S2842" s="204" t="s">
        <v>2276</v>
      </c>
      <c r="T2842" s="204" t="s">
        <v>2276</v>
      </c>
      <c r="U2842" s="204" t="s">
        <v>2276</v>
      </c>
      <c r="V2842" s="204" t="s">
        <v>2276</v>
      </c>
      <c r="W2842" s="204" t="s">
        <v>2276</v>
      </c>
      <c r="X2842" s="204" t="s">
        <v>2276</v>
      </c>
      <c r="Y2842" s="204" t="s">
        <v>2276</v>
      </c>
      <c r="Z2842" s="204" t="s">
        <v>35</v>
      </c>
      <c r="AA2842" s="204" t="s">
        <v>38</v>
      </c>
      <c r="AB2842" s="204" t="s">
        <v>64</v>
      </c>
      <c r="AC2842" s="204" t="s">
        <v>7627</v>
      </c>
      <c r="AD2842" s="204"/>
    </row>
    <row r="2843" spans="1:30" ht="38.5" customHeight="1">
      <c r="A2843" s="19" t="s">
        <v>7643</v>
      </c>
      <c r="B2843" s="19" t="s">
        <v>7779</v>
      </c>
      <c r="C2843" s="204" t="s">
        <v>24</v>
      </c>
      <c r="D2843" s="204" t="s">
        <v>1242</v>
      </c>
      <c r="E2843" s="204" t="s">
        <v>3209</v>
      </c>
      <c r="F2843" s="4" t="s">
        <v>2662</v>
      </c>
      <c r="G2843" s="4" t="s">
        <v>2662</v>
      </c>
      <c r="H2843" s="204" t="s">
        <v>523</v>
      </c>
      <c r="I2843" s="11"/>
      <c r="J2843" s="204" t="s">
        <v>2276</v>
      </c>
      <c r="K2843" s="204" t="s">
        <v>2276</v>
      </c>
      <c r="L2843" s="204" t="s">
        <v>2276</v>
      </c>
      <c r="M2843" s="204" t="s">
        <v>2276</v>
      </c>
      <c r="N2843" s="204" t="s">
        <v>2276</v>
      </c>
      <c r="O2843" s="204" t="s">
        <v>2276</v>
      </c>
      <c r="P2843" s="74">
        <v>34.51</v>
      </c>
      <c r="Q2843" s="204" t="s">
        <v>2276</v>
      </c>
      <c r="R2843" s="204" t="s">
        <v>2276</v>
      </c>
      <c r="S2843" s="204" t="s">
        <v>2276</v>
      </c>
      <c r="T2843" s="74">
        <f>1631087/13</f>
        <v>125468.23076923077</v>
      </c>
      <c r="U2843" s="204" t="s">
        <v>2276</v>
      </c>
      <c r="V2843" s="204" t="s">
        <v>2276</v>
      </c>
      <c r="W2843" s="204" t="s">
        <v>2276</v>
      </c>
      <c r="X2843" s="74">
        <f>T2843/'Record info'!K$1150</f>
        <v>1.6371240241719318E-3</v>
      </c>
      <c r="Y2843" s="204" t="s">
        <v>2276</v>
      </c>
      <c r="Z2843" s="204" t="s">
        <v>2276</v>
      </c>
      <c r="AA2843" s="204" t="s">
        <v>2276</v>
      </c>
      <c r="AB2843" s="204" t="s">
        <v>2276</v>
      </c>
      <c r="AC2843" s="11" t="s">
        <v>7781</v>
      </c>
      <c r="AD2843" s="11"/>
    </row>
    <row r="2844" spans="1:30" ht="37.5" customHeight="1">
      <c r="A2844" s="19" t="s">
        <v>7643</v>
      </c>
      <c r="B2844" s="19" t="s">
        <v>7780</v>
      </c>
      <c r="C2844" s="204" t="s">
        <v>24</v>
      </c>
      <c r="D2844" s="204" t="s">
        <v>1242</v>
      </c>
      <c r="E2844" s="204" t="s">
        <v>3209</v>
      </c>
      <c r="F2844" s="4" t="s">
        <v>74</v>
      </c>
      <c r="G2844" s="4" t="s">
        <v>74</v>
      </c>
      <c r="H2844" s="204" t="s">
        <v>523</v>
      </c>
      <c r="I2844" s="103"/>
      <c r="J2844" s="204" t="s">
        <v>2276</v>
      </c>
      <c r="K2844" s="204" t="s">
        <v>2276</v>
      </c>
      <c r="L2844" s="204" t="s">
        <v>2276</v>
      </c>
      <c r="M2844" s="204" t="s">
        <v>2276</v>
      </c>
      <c r="N2844" s="204" t="s">
        <v>2276</v>
      </c>
      <c r="O2844" s="204" t="s">
        <v>2276</v>
      </c>
      <c r="P2844" s="74">
        <v>11.42</v>
      </c>
      <c r="Q2844" s="204" t="s">
        <v>2276</v>
      </c>
      <c r="R2844" s="204" t="s">
        <v>2276</v>
      </c>
      <c r="S2844" s="204" t="s">
        <v>2276</v>
      </c>
      <c r="T2844" s="74">
        <f>107311/13</f>
        <v>8254.6923076923085</v>
      </c>
      <c r="U2844" s="204" t="s">
        <v>2276</v>
      </c>
      <c r="V2844" s="204" t="s">
        <v>2276</v>
      </c>
      <c r="W2844" s="204" t="s">
        <v>2276</v>
      </c>
      <c r="X2844" s="74">
        <f>T2844/'Record info'!K$1150</f>
        <v>1.0770818243166318E-4</v>
      </c>
      <c r="Y2844" s="204" t="s">
        <v>2276</v>
      </c>
      <c r="Z2844" s="204" t="s">
        <v>2276</v>
      </c>
      <c r="AA2844" s="204" t="s">
        <v>2276</v>
      </c>
      <c r="AB2844" s="204" t="s">
        <v>2276</v>
      </c>
      <c r="AC2844" s="11" t="s">
        <v>7782</v>
      </c>
      <c r="AD2844" s="11"/>
    </row>
    <row r="2845" spans="1:30" ht="33.5" customHeight="1">
      <c r="A2845" s="19" t="s">
        <v>7644</v>
      </c>
      <c r="B2845" s="204" t="s">
        <v>7785</v>
      </c>
      <c r="C2845" s="204" t="s">
        <v>24</v>
      </c>
      <c r="D2845" s="204" t="s">
        <v>1242</v>
      </c>
      <c r="E2845" s="204" t="s">
        <v>3209</v>
      </c>
      <c r="F2845" s="4" t="s">
        <v>2276</v>
      </c>
      <c r="G2845" s="4" t="s">
        <v>2276</v>
      </c>
      <c r="H2845" s="204" t="s">
        <v>523</v>
      </c>
      <c r="I2845" s="103"/>
      <c r="J2845" s="204" t="s">
        <v>2276</v>
      </c>
      <c r="K2845" s="204" t="s">
        <v>2276</v>
      </c>
      <c r="L2845" s="204" t="s">
        <v>2276</v>
      </c>
      <c r="M2845" s="204" t="s">
        <v>2276</v>
      </c>
      <c r="N2845" s="204" t="s">
        <v>2276</v>
      </c>
      <c r="O2845" s="204" t="s">
        <v>2276</v>
      </c>
      <c r="P2845" s="204" t="s">
        <v>2276</v>
      </c>
      <c r="Q2845" s="204" t="s">
        <v>2276</v>
      </c>
      <c r="R2845" s="204" t="s">
        <v>2276</v>
      </c>
      <c r="S2845" s="204" t="s">
        <v>2276</v>
      </c>
      <c r="T2845" s="204" t="s">
        <v>2276</v>
      </c>
      <c r="U2845" s="204" t="s">
        <v>2276</v>
      </c>
      <c r="V2845" s="204" t="s">
        <v>2276</v>
      </c>
      <c r="W2845" s="204" t="s">
        <v>2276</v>
      </c>
      <c r="X2845" s="204" t="s">
        <v>2276</v>
      </c>
      <c r="Y2845" s="204" t="s">
        <v>2276</v>
      </c>
      <c r="Z2845" s="204" t="s">
        <v>2276</v>
      </c>
      <c r="AA2845" s="204" t="s">
        <v>2276</v>
      </c>
      <c r="AB2845" s="204" t="s">
        <v>2276</v>
      </c>
      <c r="AC2845" s="204"/>
      <c r="AD2845" s="204"/>
    </row>
    <row r="2846" spans="1:30" ht="33.5" customHeight="1">
      <c r="A2846" s="19" t="s">
        <v>7645</v>
      </c>
      <c r="B2846" s="204" t="s">
        <v>7786</v>
      </c>
      <c r="C2846" s="204" t="s">
        <v>24</v>
      </c>
      <c r="D2846" s="204" t="s">
        <v>1242</v>
      </c>
      <c r="E2846" s="204" t="s">
        <v>3209</v>
      </c>
      <c r="F2846" s="4" t="s">
        <v>2276</v>
      </c>
      <c r="G2846" s="4" t="s">
        <v>2276</v>
      </c>
      <c r="H2846" s="204" t="s">
        <v>523</v>
      </c>
      <c r="I2846" s="103"/>
      <c r="J2846" s="204" t="s">
        <v>2276</v>
      </c>
      <c r="K2846" s="204" t="s">
        <v>2276</v>
      </c>
      <c r="L2846" s="204" t="s">
        <v>2276</v>
      </c>
      <c r="M2846" s="204" t="s">
        <v>2276</v>
      </c>
      <c r="N2846" s="204" t="s">
        <v>2276</v>
      </c>
      <c r="O2846" s="204" t="s">
        <v>2276</v>
      </c>
      <c r="P2846" s="204" t="s">
        <v>2276</v>
      </c>
      <c r="Q2846" s="204" t="s">
        <v>2276</v>
      </c>
      <c r="R2846" s="204" t="s">
        <v>2276</v>
      </c>
      <c r="S2846" s="204" t="s">
        <v>2276</v>
      </c>
      <c r="T2846" s="204" t="s">
        <v>2276</v>
      </c>
      <c r="U2846" s="204" t="s">
        <v>2276</v>
      </c>
      <c r="V2846" s="204" t="s">
        <v>2276</v>
      </c>
      <c r="W2846" s="204" t="s">
        <v>2276</v>
      </c>
      <c r="X2846" s="204" t="s">
        <v>2276</v>
      </c>
      <c r="Y2846" s="204" t="s">
        <v>2276</v>
      </c>
      <c r="Z2846" s="204" t="s">
        <v>2276</v>
      </c>
      <c r="AA2846" s="204" t="s">
        <v>2276</v>
      </c>
      <c r="AB2846" s="204" t="s">
        <v>2276</v>
      </c>
      <c r="AC2846" s="204"/>
      <c r="AD2846" s="204"/>
    </row>
    <row r="2847" spans="1:30" ht="33.5" customHeight="1">
      <c r="A2847" s="19" t="s">
        <v>7646</v>
      </c>
      <c r="B2847" s="204" t="s">
        <v>7787</v>
      </c>
      <c r="C2847" s="204" t="s">
        <v>24</v>
      </c>
      <c r="D2847" s="204" t="s">
        <v>1242</v>
      </c>
      <c r="E2847" s="204" t="s">
        <v>3209</v>
      </c>
      <c r="F2847" s="4" t="s">
        <v>2276</v>
      </c>
      <c r="G2847" s="4" t="s">
        <v>2276</v>
      </c>
      <c r="H2847" s="204" t="s">
        <v>523</v>
      </c>
      <c r="I2847" s="103"/>
      <c r="J2847" s="204" t="s">
        <v>2276</v>
      </c>
      <c r="K2847" s="204" t="s">
        <v>2276</v>
      </c>
      <c r="L2847" s="204" t="s">
        <v>2276</v>
      </c>
      <c r="M2847" s="204" t="s">
        <v>2276</v>
      </c>
      <c r="N2847" s="204" t="s">
        <v>2276</v>
      </c>
      <c r="O2847" s="204" t="s">
        <v>2276</v>
      </c>
      <c r="P2847" s="204" t="s">
        <v>2276</v>
      </c>
      <c r="Q2847" s="204" t="s">
        <v>2276</v>
      </c>
      <c r="R2847" s="204" t="s">
        <v>2276</v>
      </c>
      <c r="S2847" s="204" t="s">
        <v>2276</v>
      </c>
      <c r="T2847" s="204" t="s">
        <v>2276</v>
      </c>
      <c r="U2847" s="204" t="s">
        <v>2276</v>
      </c>
      <c r="V2847" s="204" t="s">
        <v>2276</v>
      </c>
      <c r="W2847" s="204" t="s">
        <v>2276</v>
      </c>
      <c r="X2847" s="204" t="s">
        <v>2276</v>
      </c>
      <c r="Y2847" s="204" t="s">
        <v>2276</v>
      </c>
      <c r="Z2847" s="204" t="s">
        <v>2276</v>
      </c>
      <c r="AA2847" s="204" t="s">
        <v>2276</v>
      </c>
      <c r="AB2847" s="204" t="s">
        <v>2276</v>
      </c>
      <c r="AC2847" s="204"/>
      <c r="AD2847" s="204"/>
    </row>
    <row r="2848" spans="1:30" ht="33.5" customHeight="1">
      <c r="A2848" s="19" t="s">
        <v>7647</v>
      </c>
      <c r="B2848" s="204" t="s">
        <v>7788</v>
      </c>
      <c r="C2848" s="204" t="s">
        <v>24</v>
      </c>
      <c r="D2848" s="204" t="s">
        <v>1242</v>
      </c>
      <c r="E2848" s="204" t="s">
        <v>3209</v>
      </c>
      <c r="F2848" s="4" t="s">
        <v>2276</v>
      </c>
      <c r="G2848" s="4" t="s">
        <v>2276</v>
      </c>
      <c r="H2848" s="204" t="s">
        <v>523</v>
      </c>
      <c r="I2848" s="103"/>
      <c r="J2848" s="204" t="s">
        <v>2276</v>
      </c>
      <c r="K2848" s="204" t="s">
        <v>2276</v>
      </c>
      <c r="L2848" s="204" t="s">
        <v>2276</v>
      </c>
      <c r="M2848" s="204" t="s">
        <v>2276</v>
      </c>
      <c r="N2848" s="204" t="s">
        <v>2276</v>
      </c>
      <c r="O2848" s="204" t="s">
        <v>2276</v>
      </c>
      <c r="P2848" s="204" t="s">
        <v>2276</v>
      </c>
      <c r="Q2848" s="204" t="s">
        <v>2276</v>
      </c>
      <c r="R2848" s="204" t="s">
        <v>2276</v>
      </c>
      <c r="S2848" s="204" t="s">
        <v>2276</v>
      </c>
      <c r="T2848" s="204" t="s">
        <v>2276</v>
      </c>
      <c r="U2848" s="204" t="s">
        <v>2276</v>
      </c>
      <c r="V2848" s="204" t="s">
        <v>2276</v>
      </c>
      <c r="W2848" s="204" t="s">
        <v>2276</v>
      </c>
      <c r="X2848" s="204" t="s">
        <v>2276</v>
      </c>
      <c r="Y2848" s="204" t="s">
        <v>2276</v>
      </c>
      <c r="Z2848" s="204" t="s">
        <v>2276</v>
      </c>
      <c r="AA2848" s="204" t="s">
        <v>2276</v>
      </c>
      <c r="AB2848" s="204" t="s">
        <v>2276</v>
      </c>
      <c r="AC2848" s="204"/>
      <c r="AD2848" s="204"/>
    </row>
    <row r="2849" spans="1:30" ht="33.5" customHeight="1">
      <c r="A2849" s="19" t="s">
        <v>7648</v>
      </c>
      <c r="B2849" s="204" t="s">
        <v>7789</v>
      </c>
      <c r="C2849" s="204" t="s">
        <v>24</v>
      </c>
      <c r="D2849" s="204" t="s">
        <v>1242</v>
      </c>
      <c r="E2849" s="204" t="s">
        <v>3209</v>
      </c>
      <c r="F2849" s="4" t="s">
        <v>2276</v>
      </c>
      <c r="G2849" s="4" t="s">
        <v>2276</v>
      </c>
      <c r="H2849" s="204" t="s">
        <v>523</v>
      </c>
      <c r="I2849" s="103"/>
      <c r="J2849" s="204" t="s">
        <v>2276</v>
      </c>
      <c r="K2849" s="204" t="s">
        <v>2276</v>
      </c>
      <c r="L2849" s="204" t="s">
        <v>2276</v>
      </c>
      <c r="M2849" s="204" t="s">
        <v>2276</v>
      </c>
      <c r="N2849" s="204" t="s">
        <v>2276</v>
      </c>
      <c r="O2849" s="204" t="s">
        <v>2276</v>
      </c>
      <c r="P2849" s="204" t="s">
        <v>2276</v>
      </c>
      <c r="Q2849" s="204" t="s">
        <v>2276</v>
      </c>
      <c r="R2849" s="204" t="s">
        <v>2276</v>
      </c>
      <c r="S2849" s="204" t="s">
        <v>2276</v>
      </c>
      <c r="T2849" s="204" t="s">
        <v>2276</v>
      </c>
      <c r="U2849" s="204" t="s">
        <v>2276</v>
      </c>
      <c r="V2849" s="204" t="s">
        <v>2276</v>
      </c>
      <c r="W2849" s="204" t="s">
        <v>2276</v>
      </c>
      <c r="X2849" s="204" t="s">
        <v>2276</v>
      </c>
      <c r="Y2849" s="204" t="s">
        <v>2276</v>
      </c>
      <c r="Z2849" s="204" t="s">
        <v>2276</v>
      </c>
      <c r="AA2849" s="204" t="s">
        <v>2276</v>
      </c>
      <c r="AB2849" s="204" t="s">
        <v>2276</v>
      </c>
      <c r="AC2849" s="204"/>
      <c r="AD2849" s="204"/>
    </row>
    <row r="2850" spans="1:30" ht="33.5" customHeight="1">
      <c r="A2850" s="19" t="s">
        <v>7649</v>
      </c>
      <c r="B2850" s="204" t="s">
        <v>7790</v>
      </c>
      <c r="C2850" s="204" t="s">
        <v>24</v>
      </c>
      <c r="D2850" s="204" t="s">
        <v>1242</v>
      </c>
      <c r="E2850" s="204" t="s">
        <v>3209</v>
      </c>
      <c r="F2850" s="4" t="s">
        <v>2276</v>
      </c>
      <c r="G2850" s="4" t="s">
        <v>2276</v>
      </c>
      <c r="H2850" s="204" t="s">
        <v>523</v>
      </c>
      <c r="I2850" s="103"/>
      <c r="J2850" s="204" t="s">
        <v>2276</v>
      </c>
      <c r="K2850" s="204" t="s">
        <v>2276</v>
      </c>
      <c r="L2850" s="204" t="s">
        <v>2276</v>
      </c>
      <c r="M2850" s="204" t="s">
        <v>2276</v>
      </c>
      <c r="N2850" s="204" t="s">
        <v>2276</v>
      </c>
      <c r="O2850" s="204" t="s">
        <v>2276</v>
      </c>
      <c r="P2850" s="204" t="s">
        <v>2276</v>
      </c>
      <c r="Q2850" s="204" t="s">
        <v>2276</v>
      </c>
      <c r="R2850" s="204" t="s">
        <v>2276</v>
      </c>
      <c r="S2850" s="204" t="s">
        <v>2276</v>
      </c>
      <c r="T2850" s="204" t="s">
        <v>2276</v>
      </c>
      <c r="U2850" s="204" t="s">
        <v>2276</v>
      </c>
      <c r="V2850" s="204" t="s">
        <v>2276</v>
      </c>
      <c r="W2850" s="204" t="s">
        <v>2276</v>
      </c>
      <c r="X2850" s="204" t="s">
        <v>2276</v>
      </c>
      <c r="Y2850" s="204" t="s">
        <v>2276</v>
      </c>
      <c r="Z2850" s="204" t="s">
        <v>2276</v>
      </c>
      <c r="AA2850" s="204" t="s">
        <v>2276</v>
      </c>
      <c r="AB2850" s="204" t="s">
        <v>2276</v>
      </c>
      <c r="AC2850" s="204"/>
      <c r="AD2850" s="204"/>
    </row>
    <row r="2851" spans="1:30" ht="33.5" customHeight="1">
      <c r="A2851" s="19" t="s">
        <v>7650</v>
      </c>
      <c r="B2851" s="204" t="s">
        <v>7791</v>
      </c>
      <c r="C2851" s="204" t="s">
        <v>24</v>
      </c>
      <c r="D2851" s="204" t="s">
        <v>1242</v>
      </c>
      <c r="E2851" s="204" t="s">
        <v>3209</v>
      </c>
      <c r="F2851" s="4" t="s">
        <v>2276</v>
      </c>
      <c r="G2851" s="4" t="s">
        <v>2276</v>
      </c>
      <c r="H2851" s="204" t="s">
        <v>523</v>
      </c>
      <c r="I2851" s="103"/>
      <c r="J2851" s="204" t="s">
        <v>2276</v>
      </c>
      <c r="K2851" s="204" t="s">
        <v>2276</v>
      </c>
      <c r="L2851" s="204" t="s">
        <v>2276</v>
      </c>
      <c r="M2851" s="204" t="s">
        <v>2276</v>
      </c>
      <c r="N2851" s="204" t="s">
        <v>2276</v>
      </c>
      <c r="O2851" s="204" t="s">
        <v>2276</v>
      </c>
      <c r="P2851" s="204" t="s">
        <v>2276</v>
      </c>
      <c r="Q2851" s="204" t="s">
        <v>2276</v>
      </c>
      <c r="R2851" s="204" t="s">
        <v>2276</v>
      </c>
      <c r="S2851" s="204" t="s">
        <v>2276</v>
      </c>
      <c r="T2851" s="204" t="s">
        <v>2276</v>
      </c>
      <c r="U2851" s="204" t="s">
        <v>2276</v>
      </c>
      <c r="V2851" s="204" t="s">
        <v>2276</v>
      </c>
      <c r="W2851" s="204" t="s">
        <v>2276</v>
      </c>
      <c r="X2851" s="204" t="s">
        <v>2276</v>
      </c>
      <c r="Y2851" s="204" t="s">
        <v>2276</v>
      </c>
      <c r="Z2851" s="204" t="s">
        <v>2276</v>
      </c>
      <c r="AA2851" s="204" t="s">
        <v>2276</v>
      </c>
      <c r="AB2851" s="204" t="s">
        <v>2276</v>
      </c>
      <c r="AC2851" s="204"/>
      <c r="AD2851" s="204"/>
    </row>
    <row r="2852" spans="1:30" ht="33.5" customHeight="1">
      <c r="A2852" s="19" t="s">
        <v>7651</v>
      </c>
      <c r="B2852" s="204" t="s">
        <v>7792</v>
      </c>
      <c r="C2852" s="204" t="s">
        <v>24</v>
      </c>
      <c r="D2852" s="204" t="s">
        <v>1242</v>
      </c>
      <c r="E2852" s="204" t="s">
        <v>3209</v>
      </c>
      <c r="F2852" s="4" t="s">
        <v>2276</v>
      </c>
      <c r="G2852" s="4" t="s">
        <v>2276</v>
      </c>
      <c r="H2852" s="204" t="s">
        <v>523</v>
      </c>
      <c r="I2852" s="103"/>
      <c r="J2852" s="204" t="s">
        <v>2276</v>
      </c>
      <c r="K2852" s="204" t="s">
        <v>2276</v>
      </c>
      <c r="L2852" s="204" t="s">
        <v>2276</v>
      </c>
      <c r="M2852" s="204" t="s">
        <v>2276</v>
      </c>
      <c r="N2852" s="204" t="s">
        <v>2276</v>
      </c>
      <c r="O2852" s="204" t="s">
        <v>2276</v>
      </c>
      <c r="P2852" s="204" t="s">
        <v>2276</v>
      </c>
      <c r="Q2852" s="204" t="s">
        <v>2276</v>
      </c>
      <c r="R2852" s="204" t="s">
        <v>2276</v>
      </c>
      <c r="S2852" s="204" t="s">
        <v>2276</v>
      </c>
      <c r="T2852" s="204" t="s">
        <v>2276</v>
      </c>
      <c r="U2852" s="204" t="s">
        <v>2276</v>
      </c>
      <c r="V2852" s="204" t="s">
        <v>2276</v>
      </c>
      <c r="W2852" s="204" t="s">
        <v>2276</v>
      </c>
      <c r="X2852" s="204" t="s">
        <v>2276</v>
      </c>
      <c r="Y2852" s="204" t="s">
        <v>2276</v>
      </c>
      <c r="Z2852" s="204" t="s">
        <v>2276</v>
      </c>
      <c r="AA2852" s="204" t="s">
        <v>2276</v>
      </c>
      <c r="AB2852" s="204" t="s">
        <v>2276</v>
      </c>
      <c r="AC2852" s="204"/>
      <c r="AD2852" s="204"/>
    </row>
    <row r="2853" spans="1:30" ht="33.5" customHeight="1">
      <c r="A2853" s="19" t="s">
        <v>7652</v>
      </c>
      <c r="B2853" s="204" t="s">
        <v>7793</v>
      </c>
      <c r="C2853" s="204" t="s">
        <v>24</v>
      </c>
      <c r="D2853" s="204" t="s">
        <v>1242</v>
      </c>
      <c r="E2853" s="204" t="s">
        <v>3209</v>
      </c>
      <c r="F2853" s="4" t="s">
        <v>2276</v>
      </c>
      <c r="G2853" s="4" t="s">
        <v>2276</v>
      </c>
      <c r="H2853" s="204" t="s">
        <v>523</v>
      </c>
      <c r="I2853" s="103"/>
      <c r="J2853" s="204" t="s">
        <v>2276</v>
      </c>
      <c r="K2853" s="204" t="s">
        <v>2276</v>
      </c>
      <c r="L2853" s="204" t="s">
        <v>2276</v>
      </c>
      <c r="M2853" s="204" t="s">
        <v>2276</v>
      </c>
      <c r="N2853" s="204" t="s">
        <v>2276</v>
      </c>
      <c r="O2853" s="204" t="s">
        <v>2276</v>
      </c>
      <c r="P2853" s="204" t="s">
        <v>2276</v>
      </c>
      <c r="Q2853" s="204" t="s">
        <v>2276</v>
      </c>
      <c r="R2853" s="204" t="s">
        <v>2276</v>
      </c>
      <c r="S2853" s="204" t="s">
        <v>2276</v>
      </c>
      <c r="T2853" s="204" t="s">
        <v>2276</v>
      </c>
      <c r="U2853" s="204" t="s">
        <v>2276</v>
      </c>
      <c r="V2853" s="204" t="s">
        <v>2276</v>
      </c>
      <c r="W2853" s="204" t="s">
        <v>2276</v>
      </c>
      <c r="X2853" s="204" t="s">
        <v>2276</v>
      </c>
      <c r="Y2853" s="204" t="s">
        <v>2276</v>
      </c>
      <c r="Z2853" s="204" t="s">
        <v>2276</v>
      </c>
      <c r="AA2853" s="204" t="s">
        <v>2276</v>
      </c>
      <c r="AB2853" s="204" t="s">
        <v>2276</v>
      </c>
      <c r="AC2853" s="204"/>
      <c r="AD2853" s="204"/>
    </row>
    <row r="2854" spans="1:30" ht="33.5" customHeight="1">
      <c r="A2854" s="19" t="s">
        <v>7653</v>
      </c>
      <c r="B2854" s="204" t="s">
        <v>7794</v>
      </c>
      <c r="C2854" s="204" t="s">
        <v>24</v>
      </c>
      <c r="D2854" s="204" t="s">
        <v>1242</v>
      </c>
      <c r="E2854" s="204" t="s">
        <v>3209</v>
      </c>
      <c r="F2854" s="4" t="s">
        <v>2276</v>
      </c>
      <c r="G2854" s="4" t="s">
        <v>2276</v>
      </c>
      <c r="H2854" s="204" t="s">
        <v>523</v>
      </c>
      <c r="I2854" s="103"/>
      <c r="J2854" s="204" t="s">
        <v>2276</v>
      </c>
      <c r="K2854" s="204" t="s">
        <v>2276</v>
      </c>
      <c r="L2854" s="204" t="s">
        <v>2276</v>
      </c>
      <c r="M2854" s="204" t="s">
        <v>2276</v>
      </c>
      <c r="N2854" s="204" t="s">
        <v>2276</v>
      </c>
      <c r="O2854" s="204" t="s">
        <v>2276</v>
      </c>
      <c r="P2854" s="204" t="s">
        <v>2276</v>
      </c>
      <c r="Q2854" s="204" t="s">
        <v>2276</v>
      </c>
      <c r="R2854" s="204" t="s">
        <v>2276</v>
      </c>
      <c r="S2854" s="204" t="s">
        <v>2276</v>
      </c>
      <c r="T2854" s="204" t="s">
        <v>2276</v>
      </c>
      <c r="U2854" s="204" t="s">
        <v>2276</v>
      </c>
      <c r="V2854" s="204" t="s">
        <v>2276</v>
      </c>
      <c r="W2854" s="204" t="s">
        <v>2276</v>
      </c>
      <c r="X2854" s="204" t="s">
        <v>2276</v>
      </c>
      <c r="Y2854" s="204" t="s">
        <v>2276</v>
      </c>
      <c r="Z2854" s="204" t="s">
        <v>2276</v>
      </c>
      <c r="AA2854" s="204" t="s">
        <v>2276</v>
      </c>
      <c r="AB2854" s="204" t="s">
        <v>2276</v>
      </c>
      <c r="AC2854" s="204"/>
      <c r="AD2854" s="204"/>
    </row>
    <row r="2855" spans="1:30" ht="33.5" customHeight="1">
      <c r="A2855" s="19" t="s">
        <v>7654</v>
      </c>
      <c r="B2855" s="204" t="s">
        <v>7795</v>
      </c>
      <c r="C2855" s="204" t="s">
        <v>24</v>
      </c>
      <c r="D2855" s="204" t="s">
        <v>1242</v>
      </c>
      <c r="E2855" s="204" t="s">
        <v>3209</v>
      </c>
      <c r="F2855" s="4" t="s">
        <v>2276</v>
      </c>
      <c r="G2855" s="4" t="s">
        <v>2276</v>
      </c>
      <c r="H2855" s="204" t="s">
        <v>523</v>
      </c>
      <c r="I2855" s="103"/>
      <c r="J2855" s="204" t="s">
        <v>2276</v>
      </c>
      <c r="K2855" s="204" t="s">
        <v>2276</v>
      </c>
      <c r="L2855" s="204" t="s">
        <v>2276</v>
      </c>
      <c r="M2855" s="204" t="s">
        <v>2276</v>
      </c>
      <c r="N2855" s="204" t="s">
        <v>2276</v>
      </c>
      <c r="O2855" s="204" t="s">
        <v>2276</v>
      </c>
      <c r="P2855" s="204" t="s">
        <v>2276</v>
      </c>
      <c r="Q2855" s="204" t="s">
        <v>2276</v>
      </c>
      <c r="R2855" s="204" t="s">
        <v>2276</v>
      </c>
      <c r="S2855" s="204" t="s">
        <v>2276</v>
      </c>
      <c r="T2855" s="204" t="s">
        <v>2276</v>
      </c>
      <c r="U2855" s="204" t="s">
        <v>2276</v>
      </c>
      <c r="V2855" s="204" t="s">
        <v>2276</v>
      </c>
      <c r="W2855" s="204" t="s">
        <v>2276</v>
      </c>
      <c r="X2855" s="204" t="s">
        <v>2276</v>
      </c>
      <c r="Y2855" s="204" t="s">
        <v>2276</v>
      </c>
      <c r="Z2855" s="204" t="s">
        <v>2276</v>
      </c>
      <c r="AA2855" s="204" t="s">
        <v>2276</v>
      </c>
      <c r="AB2855" s="204" t="s">
        <v>2276</v>
      </c>
      <c r="AC2855" s="204"/>
      <c r="AD2855" s="204"/>
    </row>
    <row r="2856" spans="1:30" ht="33.5" customHeight="1">
      <c r="A2856" s="19" t="s">
        <v>7655</v>
      </c>
      <c r="B2856" s="204" t="s">
        <v>7796</v>
      </c>
      <c r="C2856" s="204" t="s">
        <v>24</v>
      </c>
      <c r="D2856" s="204" t="s">
        <v>1242</v>
      </c>
      <c r="E2856" s="204" t="s">
        <v>3209</v>
      </c>
      <c r="F2856" s="4" t="s">
        <v>2276</v>
      </c>
      <c r="G2856" s="4" t="s">
        <v>2276</v>
      </c>
      <c r="H2856" s="204" t="s">
        <v>523</v>
      </c>
      <c r="I2856" s="103"/>
      <c r="J2856" s="204" t="s">
        <v>2276</v>
      </c>
      <c r="K2856" s="204" t="s">
        <v>2276</v>
      </c>
      <c r="L2856" s="204" t="s">
        <v>2276</v>
      </c>
      <c r="M2856" s="204" t="s">
        <v>2276</v>
      </c>
      <c r="N2856" s="204" t="s">
        <v>2276</v>
      </c>
      <c r="O2856" s="204" t="s">
        <v>2276</v>
      </c>
      <c r="P2856" s="204" t="s">
        <v>2276</v>
      </c>
      <c r="Q2856" s="204" t="s">
        <v>2276</v>
      </c>
      <c r="R2856" s="204" t="s">
        <v>2276</v>
      </c>
      <c r="S2856" s="204" t="s">
        <v>2276</v>
      </c>
      <c r="T2856" s="204" t="s">
        <v>2276</v>
      </c>
      <c r="U2856" s="204" t="s">
        <v>2276</v>
      </c>
      <c r="V2856" s="204" t="s">
        <v>2276</v>
      </c>
      <c r="W2856" s="204" t="s">
        <v>2276</v>
      </c>
      <c r="X2856" s="204" t="s">
        <v>2276</v>
      </c>
      <c r="Y2856" s="204" t="s">
        <v>2276</v>
      </c>
      <c r="Z2856" s="204" t="s">
        <v>2276</v>
      </c>
      <c r="AA2856" s="204" t="s">
        <v>2276</v>
      </c>
      <c r="AB2856" s="204" t="s">
        <v>2276</v>
      </c>
      <c r="AC2856" s="204"/>
      <c r="AD2856" s="204"/>
    </row>
    <row r="2857" spans="1:30" ht="33.5" customHeight="1">
      <c r="A2857" s="19" t="s">
        <v>7656</v>
      </c>
      <c r="B2857" s="204" t="s">
        <v>7797</v>
      </c>
      <c r="C2857" s="204" t="s">
        <v>24</v>
      </c>
      <c r="D2857" s="204" t="s">
        <v>1242</v>
      </c>
      <c r="E2857" s="204" t="s">
        <v>3209</v>
      </c>
      <c r="F2857" s="4" t="s">
        <v>2276</v>
      </c>
      <c r="G2857" s="4" t="s">
        <v>2276</v>
      </c>
      <c r="H2857" s="204" t="s">
        <v>523</v>
      </c>
      <c r="I2857" s="103"/>
      <c r="J2857" s="204" t="s">
        <v>2276</v>
      </c>
      <c r="K2857" s="204" t="s">
        <v>2276</v>
      </c>
      <c r="L2857" s="204" t="s">
        <v>2276</v>
      </c>
      <c r="M2857" s="204" t="s">
        <v>2276</v>
      </c>
      <c r="N2857" s="204" t="s">
        <v>2276</v>
      </c>
      <c r="O2857" s="204" t="s">
        <v>2276</v>
      </c>
      <c r="P2857" s="204" t="s">
        <v>2276</v>
      </c>
      <c r="Q2857" s="204" t="s">
        <v>2276</v>
      </c>
      <c r="R2857" s="204" t="s">
        <v>2276</v>
      </c>
      <c r="S2857" s="204" t="s">
        <v>2276</v>
      </c>
      <c r="T2857" s="204" t="s">
        <v>2276</v>
      </c>
      <c r="U2857" s="204" t="s">
        <v>2276</v>
      </c>
      <c r="V2857" s="204" t="s">
        <v>2276</v>
      </c>
      <c r="W2857" s="204" t="s">
        <v>2276</v>
      </c>
      <c r="X2857" s="204" t="s">
        <v>2276</v>
      </c>
      <c r="Y2857" s="204" t="s">
        <v>2276</v>
      </c>
      <c r="Z2857" s="204" t="s">
        <v>2276</v>
      </c>
      <c r="AA2857" s="204" t="s">
        <v>2276</v>
      </c>
      <c r="AB2857" s="204" t="s">
        <v>2276</v>
      </c>
      <c r="AC2857" s="204"/>
      <c r="AD2857" s="204"/>
    </row>
    <row r="2858" spans="1:30" ht="33.5" customHeight="1">
      <c r="A2858" s="19" t="s">
        <v>7657</v>
      </c>
      <c r="B2858" s="204" t="s">
        <v>7798</v>
      </c>
      <c r="C2858" s="204" t="s">
        <v>24</v>
      </c>
      <c r="D2858" s="204" t="s">
        <v>1242</v>
      </c>
      <c r="E2858" s="204" t="s">
        <v>3209</v>
      </c>
      <c r="F2858" s="4" t="s">
        <v>2276</v>
      </c>
      <c r="G2858" s="4" t="s">
        <v>2276</v>
      </c>
      <c r="H2858" s="204" t="s">
        <v>523</v>
      </c>
      <c r="I2858" s="103"/>
      <c r="J2858" s="204" t="s">
        <v>2276</v>
      </c>
      <c r="K2858" s="204" t="s">
        <v>2276</v>
      </c>
      <c r="L2858" s="204" t="s">
        <v>2276</v>
      </c>
      <c r="M2858" s="204" t="s">
        <v>2276</v>
      </c>
      <c r="N2858" s="204" t="s">
        <v>2276</v>
      </c>
      <c r="O2858" s="204" t="s">
        <v>2276</v>
      </c>
      <c r="P2858" s="204" t="s">
        <v>2276</v>
      </c>
      <c r="Q2858" s="204" t="s">
        <v>2276</v>
      </c>
      <c r="R2858" s="204" t="s">
        <v>2276</v>
      </c>
      <c r="S2858" s="204" t="s">
        <v>2276</v>
      </c>
      <c r="T2858" s="204" t="s">
        <v>2276</v>
      </c>
      <c r="U2858" s="204" t="s">
        <v>2276</v>
      </c>
      <c r="V2858" s="204" t="s">
        <v>2276</v>
      </c>
      <c r="W2858" s="204" t="s">
        <v>2276</v>
      </c>
      <c r="X2858" s="204" t="s">
        <v>2276</v>
      </c>
      <c r="Y2858" s="204" t="s">
        <v>2276</v>
      </c>
      <c r="Z2858" s="204" t="s">
        <v>2276</v>
      </c>
      <c r="AA2858" s="204" t="s">
        <v>2276</v>
      </c>
      <c r="AB2858" s="204" t="s">
        <v>2276</v>
      </c>
      <c r="AC2858" s="204"/>
      <c r="AD2858" s="204"/>
    </row>
    <row r="2859" spans="1:30" ht="33.5" customHeight="1">
      <c r="A2859" s="19" t="s">
        <v>7658</v>
      </c>
      <c r="B2859" s="204" t="s">
        <v>7799</v>
      </c>
      <c r="C2859" s="204" t="s">
        <v>24</v>
      </c>
      <c r="D2859" s="204" t="s">
        <v>1242</v>
      </c>
      <c r="E2859" s="204" t="s">
        <v>3209</v>
      </c>
      <c r="F2859" s="4" t="s">
        <v>2276</v>
      </c>
      <c r="G2859" s="4" t="s">
        <v>2276</v>
      </c>
      <c r="H2859" s="204" t="s">
        <v>523</v>
      </c>
      <c r="I2859" s="103"/>
      <c r="J2859" s="204" t="s">
        <v>2276</v>
      </c>
      <c r="K2859" s="204" t="s">
        <v>2276</v>
      </c>
      <c r="L2859" s="204" t="s">
        <v>2276</v>
      </c>
      <c r="M2859" s="204" t="s">
        <v>2276</v>
      </c>
      <c r="N2859" s="204" t="s">
        <v>2276</v>
      </c>
      <c r="O2859" s="204" t="s">
        <v>2276</v>
      </c>
      <c r="P2859" s="204" t="s">
        <v>2276</v>
      </c>
      <c r="Q2859" s="204" t="s">
        <v>2276</v>
      </c>
      <c r="R2859" s="204" t="s">
        <v>2276</v>
      </c>
      <c r="S2859" s="204" t="s">
        <v>2276</v>
      </c>
      <c r="T2859" s="204" t="s">
        <v>2276</v>
      </c>
      <c r="U2859" s="204" t="s">
        <v>2276</v>
      </c>
      <c r="V2859" s="204" t="s">
        <v>2276</v>
      </c>
      <c r="W2859" s="204" t="s">
        <v>2276</v>
      </c>
      <c r="X2859" s="204" t="s">
        <v>2276</v>
      </c>
      <c r="Y2859" s="204" t="s">
        <v>2276</v>
      </c>
      <c r="Z2859" s="204" t="s">
        <v>2276</v>
      </c>
      <c r="AA2859" s="204" t="s">
        <v>2276</v>
      </c>
      <c r="AB2859" s="204" t="s">
        <v>2276</v>
      </c>
      <c r="AC2859" s="204"/>
      <c r="AD2859" s="204"/>
    </row>
    <row r="2860" spans="1:30" ht="33.5" customHeight="1">
      <c r="A2860" s="19" t="s">
        <v>7659</v>
      </c>
      <c r="B2860" s="204" t="s">
        <v>7800</v>
      </c>
      <c r="C2860" s="204" t="s">
        <v>24</v>
      </c>
      <c r="D2860" s="204" t="s">
        <v>1242</v>
      </c>
      <c r="E2860" s="204" t="s">
        <v>3209</v>
      </c>
      <c r="F2860" s="4" t="s">
        <v>2276</v>
      </c>
      <c r="G2860" s="4" t="s">
        <v>2276</v>
      </c>
      <c r="H2860" s="204" t="s">
        <v>523</v>
      </c>
      <c r="I2860" s="103"/>
      <c r="J2860" s="204" t="s">
        <v>2276</v>
      </c>
      <c r="K2860" s="204" t="s">
        <v>2276</v>
      </c>
      <c r="L2860" s="204" t="s">
        <v>2276</v>
      </c>
      <c r="M2860" s="204" t="s">
        <v>2276</v>
      </c>
      <c r="N2860" s="204" t="s">
        <v>2276</v>
      </c>
      <c r="O2860" s="204" t="s">
        <v>2276</v>
      </c>
      <c r="P2860" s="204" t="s">
        <v>2276</v>
      </c>
      <c r="Q2860" s="204" t="s">
        <v>2276</v>
      </c>
      <c r="R2860" s="204" t="s">
        <v>2276</v>
      </c>
      <c r="S2860" s="204" t="s">
        <v>2276</v>
      </c>
      <c r="T2860" s="204" t="s">
        <v>2276</v>
      </c>
      <c r="U2860" s="204" t="s">
        <v>2276</v>
      </c>
      <c r="V2860" s="204" t="s">
        <v>2276</v>
      </c>
      <c r="W2860" s="204" t="s">
        <v>2276</v>
      </c>
      <c r="X2860" s="204" t="s">
        <v>2276</v>
      </c>
      <c r="Y2860" s="204" t="s">
        <v>2276</v>
      </c>
      <c r="Z2860" s="204" t="s">
        <v>2276</v>
      </c>
      <c r="AA2860" s="204" t="s">
        <v>2276</v>
      </c>
      <c r="AB2860" s="204" t="s">
        <v>2276</v>
      </c>
      <c r="AC2860" s="204"/>
      <c r="AD2860" s="204"/>
    </row>
    <row r="2861" spans="1:30" ht="33.5" customHeight="1">
      <c r="A2861" s="19" t="s">
        <v>7660</v>
      </c>
      <c r="B2861" s="204" t="s">
        <v>7801</v>
      </c>
      <c r="C2861" s="204" t="s">
        <v>24</v>
      </c>
      <c r="D2861" s="204" t="s">
        <v>1242</v>
      </c>
      <c r="E2861" s="204" t="s">
        <v>3209</v>
      </c>
      <c r="F2861" s="4" t="s">
        <v>2276</v>
      </c>
      <c r="G2861" s="4" t="s">
        <v>2276</v>
      </c>
      <c r="H2861" s="204" t="s">
        <v>523</v>
      </c>
      <c r="I2861" s="103"/>
      <c r="J2861" s="204" t="s">
        <v>2276</v>
      </c>
      <c r="K2861" s="204" t="s">
        <v>2276</v>
      </c>
      <c r="L2861" s="204" t="s">
        <v>2276</v>
      </c>
      <c r="M2861" s="204" t="s">
        <v>2276</v>
      </c>
      <c r="N2861" s="204" t="s">
        <v>2276</v>
      </c>
      <c r="O2861" s="204" t="s">
        <v>2276</v>
      </c>
      <c r="P2861" s="204" t="s">
        <v>2276</v>
      </c>
      <c r="Q2861" s="204" t="s">
        <v>2276</v>
      </c>
      <c r="R2861" s="204" t="s">
        <v>2276</v>
      </c>
      <c r="S2861" s="204" t="s">
        <v>2276</v>
      </c>
      <c r="T2861" s="204" t="s">
        <v>2276</v>
      </c>
      <c r="U2861" s="204" t="s">
        <v>2276</v>
      </c>
      <c r="V2861" s="204" t="s">
        <v>2276</v>
      </c>
      <c r="W2861" s="204" t="s">
        <v>2276</v>
      </c>
      <c r="X2861" s="204" t="s">
        <v>2276</v>
      </c>
      <c r="Y2861" s="204" t="s">
        <v>2276</v>
      </c>
      <c r="Z2861" s="204" t="s">
        <v>2276</v>
      </c>
      <c r="AA2861" s="204" t="s">
        <v>2276</v>
      </c>
      <c r="AB2861" s="204" t="s">
        <v>2276</v>
      </c>
      <c r="AC2861" s="204"/>
      <c r="AD2861" s="204"/>
    </row>
    <row r="2862" spans="1:30" ht="33.5" customHeight="1">
      <c r="A2862" s="19" t="s">
        <v>7661</v>
      </c>
      <c r="B2862" s="204" t="s">
        <v>7802</v>
      </c>
      <c r="C2862" s="204" t="s">
        <v>24</v>
      </c>
      <c r="D2862" s="204" t="s">
        <v>1242</v>
      </c>
      <c r="E2862" s="204" t="s">
        <v>3209</v>
      </c>
      <c r="F2862" s="4" t="s">
        <v>2276</v>
      </c>
      <c r="G2862" s="4" t="s">
        <v>2276</v>
      </c>
      <c r="H2862" s="204" t="s">
        <v>523</v>
      </c>
      <c r="I2862" s="103"/>
      <c r="J2862" s="204" t="s">
        <v>2276</v>
      </c>
      <c r="K2862" s="204" t="s">
        <v>2276</v>
      </c>
      <c r="L2862" s="204" t="s">
        <v>2276</v>
      </c>
      <c r="M2862" s="204" t="s">
        <v>2276</v>
      </c>
      <c r="N2862" s="204" t="s">
        <v>2276</v>
      </c>
      <c r="O2862" s="204" t="s">
        <v>2276</v>
      </c>
      <c r="P2862" s="204" t="s">
        <v>2276</v>
      </c>
      <c r="Q2862" s="204" t="s">
        <v>2276</v>
      </c>
      <c r="R2862" s="204" t="s">
        <v>2276</v>
      </c>
      <c r="S2862" s="204" t="s">
        <v>2276</v>
      </c>
      <c r="T2862" s="204" t="s">
        <v>2276</v>
      </c>
      <c r="U2862" s="204" t="s">
        <v>2276</v>
      </c>
      <c r="V2862" s="204" t="s">
        <v>2276</v>
      </c>
      <c r="W2862" s="204" t="s">
        <v>2276</v>
      </c>
      <c r="X2862" s="204" t="s">
        <v>2276</v>
      </c>
      <c r="Y2862" s="204" t="s">
        <v>2276</v>
      </c>
      <c r="Z2862" s="204" t="s">
        <v>2276</v>
      </c>
      <c r="AA2862" s="204" t="s">
        <v>2276</v>
      </c>
      <c r="AB2862" s="204" t="s">
        <v>2276</v>
      </c>
      <c r="AC2862" s="204"/>
      <c r="AD2862" s="204"/>
    </row>
    <row r="2863" spans="1:30" ht="33.5" customHeight="1">
      <c r="A2863" s="19" t="s">
        <v>7662</v>
      </c>
      <c r="B2863" s="204" t="s">
        <v>7803</v>
      </c>
      <c r="C2863" s="204" t="s">
        <v>24</v>
      </c>
      <c r="D2863" s="204" t="s">
        <v>1242</v>
      </c>
      <c r="E2863" s="204" t="s">
        <v>3209</v>
      </c>
      <c r="F2863" s="4" t="s">
        <v>2276</v>
      </c>
      <c r="G2863" s="4" t="s">
        <v>2276</v>
      </c>
      <c r="H2863" s="204" t="s">
        <v>523</v>
      </c>
      <c r="I2863" s="103"/>
      <c r="J2863" s="204" t="s">
        <v>2276</v>
      </c>
      <c r="K2863" s="204" t="s">
        <v>2276</v>
      </c>
      <c r="L2863" s="204" t="s">
        <v>2276</v>
      </c>
      <c r="M2863" s="204" t="s">
        <v>2276</v>
      </c>
      <c r="N2863" s="204" t="s">
        <v>2276</v>
      </c>
      <c r="O2863" s="204" t="s">
        <v>2276</v>
      </c>
      <c r="P2863" s="204" t="s">
        <v>2276</v>
      </c>
      <c r="Q2863" s="204" t="s">
        <v>2276</v>
      </c>
      <c r="R2863" s="204" t="s">
        <v>2276</v>
      </c>
      <c r="S2863" s="204" t="s">
        <v>2276</v>
      </c>
      <c r="T2863" s="204" t="s">
        <v>2276</v>
      </c>
      <c r="U2863" s="204" t="s">
        <v>2276</v>
      </c>
      <c r="V2863" s="204" t="s">
        <v>2276</v>
      </c>
      <c r="W2863" s="204" t="s">
        <v>2276</v>
      </c>
      <c r="X2863" s="204" t="s">
        <v>2276</v>
      </c>
      <c r="Y2863" s="204" t="s">
        <v>2276</v>
      </c>
      <c r="Z2863" s="204" t="s">
        <v>2276</v>
      </c>
      <c r="AA2863" s="204" t="s">
        <v>2276</v>
      </c>
      <c r="AB2863" s="204" t="s">
        <v>2276</v>
      </c>
      <c r="AC2863" s="204"/>
      <c r="AD2863" s="204"/>
    </row>
    <row r="2864" spans="1:30" ht="33.5" customHeight="1">
      <c r="A2864" s="19" t="s">
        <v>7663</v>
      </c>
      <c r="B2864" s="204" t="s">
        <v>7804</v>
      </c>
      <c r="C2864" s="204" t="s">
        <v>24</v>
      </c>
      <c r="D2864" s="204" t="s">
        <v>1242</v>
      </c>
      <c r="E2864" s="204" t="s">
        <v>3209</v>
      </c>
      <c r="F2864" s="4" t="s">
        <v>2276</v>
      </c>
      <c r="G2864" s="4" t="s">
        <v>2276</v>
      </c>
      <c r="H2864" s="204" t="s">
        <v>523</v>
      </c>
      <c r="I2864" s="103"/>
      <c r="J2864" s="204" t="s">
        <v>2276</v>
      </c>
      <c r="K2864" s="204" t="s">
        <v>2276</v>
      </c>
      <c r="L2864" s="204" t="s">
        <v>2276</v>
      </c>
      <c r="M2864" s="204" t="s">
        <v>2276</v>
      </c>
      <c r="N2864" s="204" t="s">
        <v>2276</v>
      </c>
      <c r="O2864" s="204" t="s">
        <v>2276</v>
      </c>
      <c r="P2864" s="204" t="s">
        <v>2276</v>
      </c>
      <c r="Q2864" s="204" t="s">
        <v>2276</v>
      </c>
      <c r="R2864" s="204" t="s">
        <v>2276</v>
      </c>
      <c r="S2864" s="204" t="s">
        <v>2276</v>
      </c>
      <c r="T2864" s="204" t="s">
        <v>2276</v>
      </c>
      <c r="U2864" s="204" t="s">
        <v>2276</v>
      </c>
      <c r="V2864" s="204" t="s">
        <v>2276</v>
      </c>
      <c r="W2864" s="204" t="s">
        <v>2276</v>
      </c>
      <c r="X2864" s="204" t="s">
        <v>2276</v>
      </c>
      <c r="Y2864" s="204" t="s">
        <v>2276</v>
      </c>
      <c r="Z2864" s="204" t="s">
        <v>2276</v>
      </c>
      <c r="AA2864" s="204" t="s">
        <v>2276</v>
      </c>
      <c r="AB2864" s="204" t="s">
        <v>2276</v>
      </c>
      <c r="AC2864" s="204"/>
      <c r="AD2864" s="204"/>
    </row>
    <row r="2865" spans="1:30" ht="33.5" customHeight="1">
      <c r="A2865" s="19" t="s">
        <v>7664</v>
      </c>
      <c r="B2865" s="204" t="s">
        <v>7805</v>
      </c>
      <c r="C2865" s="204" t="s">
        <v>24</v>
      </c>
      <c r="D2865" s="204" t="s">
        <v>1242</v>
      </c>
      <c r="E2865" s="204" t="s">
        <v>3209</v>
      </c>
      <c r="F2865" s="4" t="s">
        <v>2276</v>
      </c>
      <c r="G2865" s="4" t="s">
        <v>2276</v>
      </c>
      <c r="H2865" s="204" t="s">
        <v>523</v>
      </c>
      <c r="I2865" s="103"/>
      <c r="J2865" s="204" t="s">
        <v>2276</v>
      </c>
      <c r="K2865" s="204" t="s">
        <v>2276</v>
      </c>
      <c r="L2865" s="204" t="s">
        <v>2276</v>
      </c>
      <c r="M2865" s="204" t="s">
        <v>2276</v>
      </c>
      <c r="N2865" s="204" t="s">
        <v>2276</v>
      </c>
      <c r="O2865" s="204" t="s">
        <v>2276</v>
      </c>
      <c r="P2865" s="204" t="s">
        <v>2276</v>
      </c>
      <c r="Q2865" s="204" t="s">
        <v>2276</v>
      </c>
      <c r="R2865" s="204" t="s">
        <v>2276</v>
      </c>
      <c r="S2865" s="204" t="s">
        <v>2276</v>
      </c>
      <c r="T2865" s="204" t="s">
        <v>2276</v>
      </c>
      <c r="U2865" s="204" t="s">
        <v>2276</v>
      </c>
      <c r="V2865" s="204" t="s">
        <v>2276</v>
      </c>
      <c r="W2865" s="204" t="s">
        <v>2276</v>
      </c>
      <c r="X2865" s="204" t="s">
        <v>2276</v>
      </c>
      <c r="Y2865" s="204" t="s">
        <v>2276</v>
      </c>
      <c r="Z2865" s="204" t="s">
        <v>2276</v>
      </c>
      <c r="AA2865" s="204" t="s">
        <v>2276</v>
      </c>
      <c r="AB2865" s="204" t="s">
        <v>2276</v>
      </c>
      <c r="AC2865" s="204"/>
      <c r="AD2865" s="204"/>
    </row>
    <row r="2866" spans="1:30" ht="33.5" customHeight="1">
      <c r="A2866" s="19" t="s">
        <v>7665</v>
      </c>
      <c r="B2866" s="204" t="s">
        <v>7806</v>
      </c>
      <c r="C2866" s="204" t="s">
        <v>24</v>
      </c>
      <c r="D2866" s="204" t="s">
        <v>1242</v>
      </c>
      <c r="E2866" s="204" t="s">
        <v>3209</v>
      </c>
      <c r="F2866" s="4" t="s">
        <v>2276</v>
      </c>
      <c r="G2866" s="4" t="s">
        <v>2276</v>
      </c>
      <c r="H2866" s="204" t="s">
        <v>523</v>
      </c>
      <c r="I2866" s="103"/>
      <c r="J2866" s="204" t="s">
        <v>2276</v>
      </c>
      <c r="K2866" s="204" t="s">
        <v>2276</v>
      </c>
      <c r="L2866" s="204" t="s">
        <v>2276</v>
      </c>
      <c r="M2866" s="204" t="s">
        <v>2276</v>
      </c>
      <c r="N2866" s="204" t="s">
        <v>2276</v>
      </c>
      <c r="O2866" s="204" t="s">
        <v>2276</v>
      </c>
      <c r="P2866" s="204" t="s">
        <v>2276</v>
      </c>
      <c r="Q2866" s="204" t="s">
        <v>2276</v>
      </c>
      <c r="R2866" s="204" t="s">
        <v>2276</v>
      </c>
      <c r="S2866" s="204" t="s">
        <v>2276</v>
      </c>
      <c r="T2866" s="204" t="s">
        <v>2276</v>
      </c>
      <c r="U2866" s="204" t="s">
        <v>2276</v>
      </c>
      <c r="V2866" s="204" t="s">
        <v>2276</v>
      </c>
      <c r="W2866" s="204" t="s">
        <v>2276</v>
      </c>
      <c r="X2866" s="204" t="s">
        <v>2276</v>
      </c>
      <c r="Y2866" s="204" t="s">
        <v>2276</v>
      </c>
      <c r="Z2866" s="204" t="s">
        <v>2276</v>
      </c>
      <c r="AA2866" s="204" t="s">
        <v>2276</v>
      </c>
      <c r="AB2866" s="204" t="s">
        <v>2276</v>
      </c>
      <c r="AC2866" s="204"/>
      <c r="AD2866" s="204"/>
    </row>
    <row r="2867" spans="1:30" ht="33.5" customHeight="1">
      <c r="A2867" s="19" t="s">
        <v>7666</v>
      </c>
      <c r="B2867" s="204" t="s">
        <v>7807</v>
      </c>
      <c r="C2867" s="204" t="s">
        <v>24</v>
      </c>
      <c r="D2867" s="204" t="s">
        <v>1242</v>
      </c>
      <c r="E2867" s="204" t="s">
        <v>3209</v>
      </c>
      <c r="F2867" s="4" t="s">
        <v>2276</v>
      </c>
      <c r="G2867" s="4" t="s">
        <v>2276</v>
      </c>
      <c r="H2867" s="204" t="s">
        <v>523</v>
      </c>
      <c r="I2867" s="103"/>
      <c r="J2867" s="204" t="s">
        <v>2276</v>
      </c>
      <c r="K2867" s="204" t="s">
        <v>2276</v>
      </c>
      <c r="L2867" s="204" t="s">
        <v>2276</v>
      </c>
      <c r="M2867" s="204" t="s">
        <v>2276</v>
      </c>
      <c r="N2867" s="204" t="s">
        <v>2276</v>
      </c>
      <c r="O2867" s="204" t="s">
        <v>2276</v>
      </c>
      <c r="P2867" s="204" t="s">
        <v>2276</v>
      </c>
      <c r="Q2867" s="204" t="s">
        <v>2276</v>
      </c>
      <c r="R2867" s="204" t="s">
        <v>2276</v>
      </c>
      <c r="S2867" s="204" t="s">
        <v>2276</v>
      </c>
      <c r="T2867" s="204" t="s">
        <v>2276</v>
      </c>
      <c r="U2867" s="204" t="s">
        <v>2276</v>
      </c>
      <c r="V2867" s="204" t="s">
        <v>2276</v>
      </c>
      <c r="W2867" s="204" t="s">
        <v>2276</v>
      </c>
      <c r="X2867" s="204" t="s">
        <v>2276</v>
      </c>
      <c r="Y2867" s="204" t="s">
        <v>2276</v>
      </c>
      <c r="Z2867" s="204" t="s">
        <v>2276</v>
      </c>
      <c r="AA2867" s="204" t="s">
        <v>2276</v>
      </c>
      <c r="AB2867" s="204" t="s">
        <v>2276</v>
      </c>
      <c r="AC2867" s="204"/>
      <c r="AD2867" s="204"/>
    </row>
    <row r="2868" spans="1:30" ht="33.5" customHeight="1">
      <c r="A2868" s="19" t="s">
        <v>7667</v>
      </c>
      <c r="B2868" s="204" t="s">
        <v>7808</v>
      </c>
      <c r="C2868" s="204" t="s">
        <v>24</v>
      </c>
      <c r="D2868" s="204" t="s">
        <v>1242</v>
      </c>
      <c r="E2868" s="204" t="s">
        <v>3209</v>
      </c>
      <c r="F2868" s="4" t="s">
        <v>2276</v>
      </c>
      <c r="G2868" s="4" t="s">
        <v>2276</v>
      </c>
      <c r="H2868" s="204" t="s">
        <v>523</v>
      </c>
      <c r="I2868" s="103"/>
      <c r="J2868" s="204" t="s">
        <v>2276</v>
      </c>
      <c r="K2868" s="204" t="s">
        <v>2276</v>
      </c>
      <c r="L2868" s="204" t="s">
        <v>2276</v>
      </c>
      <c r="M2868" s="204" t="s">
        <v>2276</v>
      </c>
      <c r="N2868" s="204" t="s">
        <v>2276</v>
      </c>
      <c r="O2868" s="204" t="s">
        <v>2276</v>
      </c>
      <c r="P2868" s="204" t="s">
        <v>2276</v>
      </c>
      <c r="Q2868" s="204" t="s">
        <v>2276</v>
      </c>
      <c r="R2868" s="204" t="s">
        <v>2276</v>
      </c>
      <c r="S2868" s="204" t="s">
        <v>2276</v>
      </c>
      <c r="T2868" s="204" t="s">
        <v>2276</v>
      </c>
      <c r="U2868" s="204" t="s">
        <v>2276</v>
      </c>
      <c r="V2868" s="204" t="s">
        <v>2276</v>
      </c>
      <c r="W2868" s="204" t="s">
        <v>2276</v>
      </c>
      <c r="X2868" s="204" t="s">
        <v>2276</v>
      </c>
      <c r="Y2868" s="204" t="s">
        <v>2276</v>
      </c>
      <c r="Z2868" s="204" t="s">
        <v>2276</v>
      </c>
      <c r="AA2868" s="204" t="s">
        <v>2276</v>
      </c>
      <c r="AB2868" s="204" t="s">
        <v>2276</v>
      </c>
      <c r="AC2868" s="204"/>
      <c r="AD2868" s="204"/>
    </row>
    <row r="2869" spans="1:30" ht="33.5" customHeight="1">
      <c r="A2869" s="19" t="s">
        <v>7668</v>
      </c>
      <c r="B2869" s="204" t="s">
        <v>7809</v>
      </c>
      <c r="C2869" s="204" t="s">
        <v>24</v>
      </c>
      <c r="D2869" s="204" t="s">
        <v>1242</v>
      </c>
      <c r="E2869" s="204" t="s">
        <v>3209</v>
      </c>
      <c r="F2869" s="4" t="s">
        <v>2276</v>
      </c>
      <c r="G2869" s="4" t="s">
        <v>2276</v>
      </c>
      <c r="H2869" s="204" t="s">
        <v>523</v>
      </c>
      <c r="I2869" s="103"/>
      <c r="J2869" s="204" t="s">
        <v>2276</v>
      </c>
      <c r="K2869" s="204" t="s">
        <v>2276</v>
      </c>
      <c r="L2869" s="204" t="s">
        <v>2276</v>
      </c>
      <c r="M2869" s="204" t="s">
        <v>2276</v>
      </c>
      <c r="N2869" s="204" t="s">
        <v>2276</v>
      </c>
      <c r="O2869" s="204" t="s">
        <v>2276</v>
      </c>
      <c r="P2869" s="204" t="s">
        <v>2276</v>
      </c>
      <c r="Q2869" s="204" t="s">
        <v>2276</v>
      </c>
      <c r="R2869" s="204" t="s">
        <v>2276</v>
      </c>
      <c r="S2869" s="204" t="s">
        <v>2276</v>
      </c>
      <c r="T2869" s="204" t="s">
        <v>2276</v>
      </c>
      <c r="U2869" s="204" t="s">
        <v>2276</v>
      </c>
      <c r="V2869" s="204" t="s">
        <v>2276</v>
      </c>
      <c r="W2869" s="204" t="s">
        <v>2276</v>
      </c>
      <c r="X2869" s="204" t="s">
        <v>2276</v>
      </c>
      <c r="Y2869" s="204" t="s">
        <v>2276</v>
      </c>
      <c r="Z2869" s="204" t="s">
        <v>2276</v>
      </c>
      <c r="AA2869" s="204" t="s">
        <v>2276</v>
      </c>
      <c r="AB2869" s="204" t="s">
        <v>2276</v>
      </c>
      <c r="AC2869" s="204"/>
      <c r="AD2869" s="204"/>
    </row>
    <row r="2870" spans="1:30" ht="33.5" customHeight="1">
      <c r="A2870" s="19" t="s">
        <v>7669</v>
      </c>
      <c r="B2870" s="204" t="s">
        <v>7810</v>
      </c>
      <c r="C2870" s="204" t="s">
        <v>24</v>
      </c>
      <c r="D2870" s="204" t="s">
        <v>1242</v>
      </c>
      <c r="E2870" s="204" t="s">
        <v>3209</v>
      </c>
      <c r="F2870" s="4" t="s">
        <v>2276</v>
      </c>
      <c r="G2870" s="4" t="s">
        <v>2276</v>
      </c>
      <c r="H2870" s="204" t="s">
        <v>523</v>
      </c>
      <c r="I2870" s="103"/>
      <c r="J2870" s="204" t="s">
        <v>2276</v>
      </c>
      <c r="K2870" s="204" t="s">
        <v>2276</v>
      </c>
      <c r="L2870" s="204" t="s">
        <v>2276</v>
      </c>
      <c r="M2870" s="204" t="s">
        <v>2276</v>
      </c>
      <c r="N2870" s="204" t="s">
        <v>2276</v>
      </c>
      <c r="O2870" s="204" t="s">
        <v>2276</v>
      </c>
      <c r="P2870" s="204" t="s">
        <v>2276</v>
      </c>
      <c r="Q2870" s="204" t="s">
        <v>2276</v>
      </c>
      <c r="R2870" s="204" t="s">
        <v>2276</v>
      </c>
      <c r="S2870" s="204" t="s">
        <v>2276</v>
      </c>
      <c r="T2870" s="204" t="s">
        <v>2276</v>
      </c>
      <c r="U2870" s="204" t="s">
        <v>2276</v>
      </c>
      <c r="V2870" s="204" t="s">
        <v>2276</v>
      </c>
      <c r="W2870" s="204" t="s">
        <v>2276</v>
      </c>
      <c r="X2870" s="204" t="s">
        <v>2276</v>
      </c>
      <c r="Y2870" s="204" t="s">
        <v>2276</v>
      </c>
      <c r="Z2870" s="204" t="s">
        <v>2276</v>
      </c>
      <c r="AA2870" s="204" t="s">
        <v>2276</v>
      </c>
      <c r="AB2870" s="204" t="s">
        <v>2276</v>
      </c>
      <c r="AC2870" s="204"/>
      <c r="AD2870" s="204"/>
    </row>
    <row r="2871" spans="1:30" ht="33.5" customHeight="1">
      <c r="A2871" s="19" t="s">
        <v>7670</v>
      </c>
      <c r="B2871" s="204" t="s">
        <v>7811</v>
      </c>
      <c r="C2871" s="204" t="s">
        <v>24</v>
      </c>
      <c r="D2871" s="204" t="s">
        <v>1242</v>
      </c>
      <c r="E2871" s="204" t="s">
        <v>3209</v>
      </c>
      <c r="F2871" s="4" t="s">
        <v>2276</v>
      </c>
      <c r="G2871" s="4" t="s">
        <v>2276</v>
      </c>
      <c r="H2871" s="204" t="s">
        <v>523</v>
      </c>
      <c r="I2871" s="103"/>
      <c r="J2871" s="204" t="s">
        <v>2276</v>
      </c>
      <c r="K2871" s="204" t="s">
        <v>2276</v>
      </c>
      <c r="L2871" s="204" t="s">
        <v>2276</v>
      </c>
      <c r="M2871" s="204" t="s">
        <v>2276</v>
      </c>
      <c r="N2871" s="204" t="s">
        <v>2276</v>
      </c>
      <c r="O2871" s="204" t="s">
        <v>2276</v>
      </c>
      <c r="P2871" s="204" t="s">
        <v>2276</v>
      </c>
      <c r="Q2871" s="204" t="s">
        <v>2276</v>
      </c>
      <c r="R2871" s="204" t="s">
        <v>2276</v>
      </c>
      <c r="S2871" s="204" t="s">
        <v>2276</v>
      </c>
      <c r="T2871" s="204" t="s">
        <v>2276</v>
      </c>
      <c r="U2871" s="204" t="s">
        <v>2276</v>
      </c>
      <c r="V2871" s="204" t="s">
        <v>2276</v>
      </c>
      <c r="W2871" s="204" t="s">
        <v>2276</v>
      </c>
      <c r="X2871" s="204" t="s">
        <v>2276</v>
      </c>
      <c r="Y2871" s="204" t="s">
        <v>2276</v>
      </c>
      <c r="Z2871" s="204" t="s">
        <v>2276</v>
      </c>
      <c r="AA2871" s="204" t="s">
        <v>2276</v>
      </c>
      <c r="AB2871" s="204" t="s">
        <v>2276</v>
      </c>
      <c r="AC2871" s="204"/>
      <c r="AD2871" s="204"/>
    </row>
    <row r="2872" spans="1:30" ht="33.5" customHeight="1">
      <c r="A2872" s="19" t="s">
        <v>7671</v>
      </c>
      <c r="B2872" s="204" t="s">
        <v>7812</v>
      </c>
      <c r="C2872" s="204" t="s">
        <v>24</v>
      </c>
      <c r="D2872" s="204" t="s">
        <v>1242</v>
      </c>
      <c r="E2872" s="204" t="s">
        <v>3209</v>
      </c>
      <c r="F2872" s="4" t="s">
        <v>2276</v>
      </c>
      <c r="G2872" s="4" t="s">
        <v>2276</v>
      </c>
      <c r="H2872" s="204" t="s">
        <v>523</v>
      </c>
      <c r="I2872" s="103"/>
      <c r="J2872" s="204" t="s">
        <v>2276</v>
      </c>
      <c r="K2872" s="204" t="s">
        <v>2276</v>
      </c>
      <c r="L2872" s="204" t="s">
        <v>2276</v>
      </c>
      <c r="M2872" s="204" t="s">
        <v>2276</v>
      </c>
      <c r="N2872" s="204" t="s">
        <v>2276</v>
      </c>
      <c r="O2872" s="204" t="s">
        <v>2276</v>
      </c>
      <c r="P2872" s="204" t="s">
        <v>2276</v>
      </c>
      <c r="Q2872" s="204" t="s">
        <v>2276</v>
      </c>
      <c r="R2872" s="204" t="s">
        <v>2276</v>
      </c>
      <c r="S2872" s="204" t="s">
        <v>2276</v>
      </c>
      <c r="T2872" s="204" t="s">
        <v>2276</v>
      </c>
      <c r="U2872" s="204" t="s">
        <v>2276</v>
      </c>
      <c r="V2872" s="204" t="s">
        <v>2276</v>
      </c>
      <c r="W2872" s="204" t="s">
        <v>2276</v>
      </c>
      <c r="X2872" s="204" t="s">
        <v>2276</v>
      </c>
      <c r="Y2872" s="204" t="s">
        <v>2276</v>
      </c>
      <c r="Z2872" s="204" t="s">
        <v>2276</v>
      </c>
      <c r="AA2872" s="204" t="s">
        <v>2276</v>
      </c>
      <c r="AB2872" s="204" t="s">
        <v>2276</v>
      </c>
      <c r="AC2872" s="204"/>
      <c r="AD2872" s="204"/>
    </row>
    <row r="2873" spans="1:30" ht="33.5" customHeight="1">
      <c r="A2873" s="19" t="s">
        <v>7672</v>
      </c>
      <c r="B2873" s="204" t="s">
        <v>7813</v>
      </c>
      <c r="C2873" s="204" t="s">
        <v>24</v>
      </c>
      <c r="D2873" s="204" t="s">
        <v>1242</v>
      </c>
      <c r="E2873" s="204" t="s">
        <v>3209</v>
      </c>
      <c r="F2873" s="4" t="s">
        <v>2276</v>
      </c>
      <c r="G2873" s="4" t="s">
        <v>2276</v>
      </c>
      <c r="H2873" s="204" t="s">
        <v>523</v>
      </c>
      <c r="I2873" s="103"/>
      <c r="J2873" s="204" t="s">
        <v>2276</v>
      </c>
      <c r="K2873" s="204" t="s">
        <v>2276</v>
      </c>
      <c r="L2873" s="204" t="s">
        <v>2276</v>
      </c>
      <c r="M2873" s="204" t="s">
        <v>2276</v>
      </c>
      <c r="N2873" s="204" t="s">
        <v>2276</v>
      </c>
      <c r="O2873" s="204" t="s">
        <v>2276</v>
      </c>
      <c r="P2873" s="204" t="s">
        <v>2276</v>
      </c>
      <c r="Q2873" s="204" t="s">
        <v>2276</v>
      </c>
      <c r="R2873" s="204" t="s">
        <v>2276</v>
      </c>
      <c r="S2873" s="204" t="s">
        <v>2276</v>
      </c>
      <c r="T2873" s="204" t="s">
        <v>2276</v>
      </c>
      <c r="U2873" s="204" t="s">
        <v>2276</v>
      </c>
      <c r="V2873" s="204" t="s">
        <v>2276</v>
      </c>
      <c r="W2873" s="204" t="s">
        <v>2276</v>
      </c>
      <c r="X2873" s="204" t="s">
        <v>2276</v>
      </c>
      <c r="Y2873" s="204" t="s">
        <v>2276</v>
      </c>
      <c r="Z2873" s="204" t="s">
        <v>2276</v>
      </c>
      <c r="AA2873" s="204" t="s">
        <v>2276</v>
      </c>
      <c r="AB2873" s="204" t="s">
        <v>2276</v>
      </c>
      <c r="AC2873" s="204"/>
      <c r="AD2873" s="204"/>
    </row>
    <row r="2874" spans="1:30" ht="33.5" customHeight="1">
      <c r="A2874" s="19" t="s">
        <v>7673</v>
      </c>
      <c r="B2874" s="204" t="s">
        <v>7814</v>
      </c>
      <c r="C2874" s="204" t="s">
        <v>24</v>
      </c>
      <c r="D2874" s="204" t="s">
        <v>1242</v>
      </c>
      <c r="E2874" s="204" t="s">
        <v>3209</v>
      </c>
      <c r="F2874" s="4" t="s">
        <v>2276</v>
      </c>
      <c r="G2874" s="4" t="s">
        <v>2276</v>
      </c>
      <c r="H2874" s="204" t="s">
        <v>523</v>
      </c>
      <c r="I2874" s="103"/>
      <c r="J2874" s="204" t="s">
        <v>2276</v>
      </c>
      <c r="K2874" s="204" t="s">
        <v>2276</v>
      </c>
      <c r="L2874" s="204" t="s">
        <v>2276</v>
      </c>
      <c r="M2874" s="204" t="s">
        <v>2276</v>
      </c>
      <c r="N2874" s="204" t="s">
        <v>2276</v>
      </c>
      <c r="O2874" s="204" t="s">
        <v>2276</v>
      </c>
      <c r="P2874" s="204" t="s">
        <v>2276</v>
      </c>
      <c r="Q2874" s="204" t="s">
        <v>2276</v>
      </c>
      <c r="R2874" s="204" t="s">
        <v>2276</v>
      </c>
      <c r="S2874" s="204" t="s">
        <v>2276</v>
      </c>
      <c r="T2874" s="204" t="s">
        <v>2276</v>
      </c>
      <c r="U2874" s="204" t="s">
        <v>2276</v>
      </c>
      <c r="V2874" s="204" t="s">
        <v>2276</v>
      </c>
      <c r="W2874" s="204" t="s">
        <v>2276</v>
      </c>
      <c r="X2874" s="204" t="s">
        <v>2276</v>
      </c>
      <c r="Y2874" s="204" t="s">
        <v>2276</v>
      </c>
      <c r="Z2874" s="204" t="s">
        <v>2276</v>
      </c>
      <c r="AA2874" s="204" t="s">
        <v>2276</v>
      </c>
      <c r="AB2874" s="204" t="s">
        <v>2276</v>
      </c>
      <c r="AC2874" s="204"/>
      <c r="AD2874" s="204"/>
    </row>
    <row r="2875" spans="1:30" ht="33.5" customHeight="1">
      <c r="A2875" s="19" t="s">
        <v>7593</v>
      </c>
      <c r="B2875" s="204" t="s">
        <v>7815</v>
      </c>
      <c r="C2875" s="204" t="s">
        <v>24</v>
      </c>
      <c r="D2875" s="204" t="s">
        <v>1242</v>
      </c>
      <c r="E2875" s="204" t="s">
        <v>3209</v>
      </c>
      <c r="F2875" s="4" t="s">
        <v>2276</v>
      </c>
      <c r="G2875" s="4" t="s">
        <v>2276</v>
      </c>
      <c r="H2875" s="204" t="s">
        <v>523</v>
      </c>
      <c r="I2875" s="103"/>
      <c r="J2875" s="204" t="s">
        <v>2276</v>
      </c>
      <c r="K2875" s="204" t="s">
        <v>2276</v>
      </c>
      <c r="L2875" s="204" t="s">
        <v>2276</v>
      </c>
      <c r="M2875" s="204" t="s">
        <v>2276</v>
      </c>
      <c r="N2875" s="204" t="s">
        <v>2276</v>
      </c>
      <c r="O2875" s="204" t="s">
        <v>2276</v>
      </c>
      <c r="P2875" s="204" t="s">
        <v>2276</v>
      </c>
      <c r="Q2875" s="204" t="s">
        <v>2276</v>
      </c>
      <c r="R2875" s="204" t="s">
        <v>2276</v>
      </c>
      <c r="S2875" s="204" t="s">
        <v>2276</v>
      </c>
      <c r="T2875" s="204" t="s">
        <v>2276</v>
      </c>
      <c r="U2875" s="204" t="s">
        <v>2276</v>
      </c>
      <c r="V2875" s="204" t="s">
        <v>2276</v>
      </c>
      <c r="W2875" s="204" t="s">
        <v>2276</v>
      </c>
      <c r="X2875" s="204" t="s">
        <v>2276</v>
      </c>
      <c r="Y2875" s="204" t="s">
        <v>2276</v>
      </c>
      <c r="Z2875" s="204" t="s">
        <v>2276</v>
      </c>
      <c r="AA2875" s="204" t="s">
        <v>2276</v>
      </c>
      <c r="AB2875" s="204" t="s">
        <v>2276</v>
      </c>
      <c r="AC2875" s="204"/>
      <c r="AD2875" s="204"/>
    </row>
    <row r="2876" spans="1:30" ht="33.5" customHeight="1">
      <c r="A2876" s="19" t="s">
        <v>7614</v>
      </c>
      <c r="B2876" s="204" t="s">
        <v>7615</v>
      </c>
      <c r="C2876" s="204" t="s">
        <v>24</v>
      </c>
      <c r="D2876" s="204" t="s">
        <v>1242</v>
      </c>
      <c r="E2876" s="204" t="s">
        <v>3209</v>
      </c>
      <c r="F2876" s="4" t="s">
        <v>2276</v>
      </c>
      <c r="G2876" s="4" t="s">
        <v>2276</v>
      </c>
      <c r="H2876" s="204" t="s">
        <v>523</v>
      </c>
      <c r="I2876" s="103"/>
      <c r="J2876" s="204" t="s">
        <v>2276</v>
      </c>
      <c r="K2876" s="204" t="s">
        <v>2276</v>
      </c>
      <c r="L2876" s="204" t="s">
        <v>2276</v>
      </c>
      <c r="M2876" s="204" t="s">
        <v>2276</v>
      </c>
      <c r="N2876" s="204" t="s">
        <v>2276</v>
      </c>
      <c r="O2876" s="204" t="s">
        <v>2276</v>
      </c>
      <c r="P2876" s="204" t="s">
        <v>2276</v>
      </c>
      <c r="Q2876" s="204" t="s">
        <v>2276</v>
      </c>
      <c r="R2876" s="204" t="s">
        <v>2276</v>
      </c>
      <c r="S2876" s="204" t="s">
        <v>2276</v>
      </c>
      <c r="T2876" s="204" t="s">
        <v>2276</v>
      </c>
      <c r="U2876" s="204" t="s">
        <v>2276</v>
      </c>
      <c r="V2876" s="204" t="s">
        <v>2276</v>
      </c>
      <c r="W2876" s="204" t="s">
        <v>2276</v>
      </c>
      <c r="X2876" s="204" t="s">
        <v>2276</v>
      </c>
      <c r="Y2876" s="204" t="s">
        <v>2276</v>
      </c>
      <c r="Z2876" s="204" t="s">
        <v>2276</v>
      </c>
      <c r="AA2876" s="204" t="s">
        <v>2276</v>
      </c>
      <c r="AB2876" s="204" t="s">
        <v>2276</v>
      </c>
      <c r="AC2876" s="204"/>
      <c r="AD2876" s="204"/>
    </row>
    <row r="2877" spans="1:30" ht="33.5" customHeight="1">
      <c r="A2877" s="19" t="s">
        <v>7674</v>
      </c>
      <c r="B2877" s="204" t="s">
        <v>7816</v>
      </c>
      <c r="C2877" s="204" t="s">
        <v>24</v>
      </c>
      <c r="D2877" s="204" t="s">
        <v>1242</v>
      </c>
      <c r="E2877" s="204" t="s">
        <v>3209</v>
      </c>
      <c r="F2877" s="4" t="s">
        <v>2276</v>
      </c>
      <c r="G2877" s="4" t="s">
        <v>2276</v>
      </c>
      <c r="H2877" s="204" t="s">
        <v>523</v>
      </c>
      <c r="I2877" s="103"/>
      <c r="J2877" s="204" t="s">
        <v>2276</v>
      </c>
      <c r="K2877" s="204" t="s">
        <v>2276</v>
      </c>
      <c r="L2877" s="204" t="s">
        <v>2276</v>
      </c>
      <c r="M2877" s="204" t="s">
        <v>2276</v>
      </c>
      <c r="N2877" s="204" t="s">
        <v>2276</v>
      </c>
      <c r="O2877" s="204" t="s">
        <v>2276</v>
      </c>
      <c r="P2877" s="204" t="s">
        <v>2276</v>
      </c>
      <c r="Q2877" s="204" t="s">
        <v>2276</v>
      </c>
      <c r="R2877" s="204" t="s">
        <v>2276</v>
      </c>
      <c r="S2877" s="204" t="s">
        <v>2276</v>
      </c>
      <c r="T2877" s="204" t="s">
        <v>2276</v>
      </c>
      <c r="U2877" s="204" t="s">
        <v>2276</v>
      </c>
      <c r="V2877" s="204" t="s">
        <v>2276</v>
      </c>
      <c r="W2877" s="204" t="s">
        <v>2276</v>
      </c>
      <c r="X2877" s="204" t="s">
        <v>2276</v>
      </c>
      <c r="Y2877" s="204" t="s">
        <v>2276</v>
      </c>
      <c r="Z2877" s="204" t="s">
        <v>2276</v>
      </c>
      <c r="AA2877" s="204" t="s">
        <v>2276</v>
      </c>
      <c r="AB2877" s="204" t="s">
        <v>2276</v>
      </c>
      <c r="AC2877" s="204"/>
      <c r="AD2877" s="204"/>
    </row>
    <row r="2878" spans="1:30" ht="33.5" customHeight="1">
      <c r="A2878" s="19" t="s">
        <v>7675</v>
      </c>
      <c r="B2878" s="204" t="s">
        <v>7817</v>
      </c>
      <c r="C2878" s="204" t="s">
        <v>24</v>
      </c>
      <c r="D2878" s="204" t="s">
        <v>1242</v>
      </c>
      <c r="E2878" s="204" t="s">
        <v>3209</v>
      </c>
      <c r="F2878" s="4" t="s">
        <v>2276</v>
      </c>
      <c r="G2878" s="4" t="s">
        <v>2276</v>
      </c>
      <c r="H2878" s="204" t="s">
        <v>524</v>
      </c>
      <c r="I2878" s="103"/>
      <c r="J2878" s="21">
        <v>0</v>
      </c>
      <c r="K2878" s="21">
        <v>0</v>
      </c>
      <c r="L2878" s="21">
        <v>0</v>
      </c>
      <c r="M2878" s="21">
        <v>0</v>
      </c>
      <c r="N2878" s="21">
        <v>0</v>
      </c>
      <c r="O2878" s="21">
        <v>0</v>
      </c>
      <c r="P2878" s="21">
        <v>0</v>
      </c>
      <c r="Q2878" s="21">
        <v>0</v>
      </c>
      <c r="R2878" s="21">
        <v>0</v>
      </c>
      <c r="S2878" s="21">
        <v>0</v>
      </c>
      <c r="T2878" s="21">
        <v>0</v>
      </c>
      <c r="U2878" s="21">
        <v>0</v>
      </c>
      <c r="V2878" s="21">
        <v>0</v>
      </c>
      <c r="W2878" s="21">
        <v>0</v>
      </c>
      <c r="X2878" s="21">
        <v>0</v>
      </c>
      <c r="Y2878" s="21">
        <v>0</v>
      </c>
      <c r="Z2878" s="204" t="s">
        <v>2276</v>
      </c>
      <c r="AA2878" s="204" t="s">
        <v>2276</v>
      </c>
      <c r="AB2878" s="204" t="s">
        <v>2276</v>
      </c>
      <c r="AC2878" s="204"/>
      <c r="AD2878" s="204"/>
    </row>
    <row r="2879" spans="1:30" ht="33.5" customHeight="1">
      <c r="A2879" s="19" t="s">
        <v>7676</v>
      </c>
      <c r="B2879" s="204" t="s">
        <v>7818</v>
      </c>
      <c r="C2879" s="204" t="s">
        <v>24</v>
      </c>
      <c r="D2879" s="204" t="s">
        <v>1242</v>
      </c>
      <c r="E2879" s="204" t="s">
        <v>3209</v>
      </c>
      <c r="F2879" s="4" t="s">
        <v>2276</v>
      </c>
      <c r="G2879" s="4" t="s">
        <v>2276</v>
      </c>
      <c r="H2879" s="204" t="s">
        <v>523</v>
      </c>
      <c r="I2879" s="103"/>
      <c r="J2879" s="204" t="s">
        <v>2276</v>
      </c>
      <c r="K2879" s="204" t="s">
        <v>2276</v>
      </c>
      <c r="L2879" s="204" t="s">
        <v>2276</v>
      </c>
      <c r="M2879" s="204" t="s">
        <v>2276</v>
      </c>
      <c r="N2879" s="204" t="s">
        <v>2276</v>
      </c>
      <c r="O2879" s="204" t="s">
        <v>2276</v>
      </c>
      <c r="P2879" s="204" t="s">
        <v>2276</v>
      </c>
      <c r="Q2879" s="204" t="s">
        <v>2276</v>
      </c>
      <c r="R2879" s="204" t="s">
        <v>2276</v>
      </c>
      <c r="S2879" s="204" t="s">
        <v>2276</v>
      </c>
      <c r="T2879" s="204" t="s">
        <v>2276</v>
      </c>
      <c r="U2879" s="204" t="s">
        <v>2276</v>
      </c>
      <c r="V2879" s="204" t="s">
        <v>2276</v>
      </c>
      <c r="W2879" s="204" t="s">
        <v>2276</v>
      </c>
      <c r="X2879" s="204" t="s">
        <v>2276</v>
      </c>
      <c r="Y2879" s="204" t="s">
        <v>2276</v>
      </c>
      <c r="Z2879" s="204" t="s">
        <v>2276</v>
      </c>
      <c r="AA2879" s="204" t="s">
        <v>2276</v>
      </c>
      <c r="AB2879" s="204" t="s">
        <v>2276</v>
      </c>
      <c r="AC2879" s="204"/>
      <c r="AD2879" s="204"/>
    </row>
    <row r="2880" spans="1:30" ht="33.5" customHeight="1">
      <c r="A2880" s="19" t="s">
        <v>7677</v>
      </c>
      <c r="B2880" s="204" t="s">
        <v>7819</v>
      </c>
      <c r="C2880" s="204" t="s">
        <v>24</v>
      </c>
      <c r="D2880" s="204" t="s">
        <v>1242</v>
      </c>
      <c r="E2880" s="204" t="s">
        <v>3209</v>
      </c>
      <c r="F2880" s="4" t="s">
        <v>2276</v>
      </c>
      <c r="G2880" s="4" t="s">
        <v>2276</v>
      </c>
      <c r="H2880" s="204" t="s">
        <v>523</v>
      </c>
      <c r="I2880" s="103"/>
      <c r="J2880" s="204" t="s">
        <v>2276</v>
      </c>
      <c r="K2880" s="204" t="s">
        <v>2276</v>
      </c>
      <c r="L2880" s="204" t="s">
        <v>2276</v>
      </c>
      <c r="M2880" s="204" t="s">
        <v>2276</v>
      </c>
      <c r="N2880" s="204" t="s">
        <v>2276</v>
      </c>
      <c r="O2880" s="204" t="s">
        <v>2276</v>
      </c>
      <c r="P2880" s="204" t="s">
        <v>2276</v>
      </c>
      <c r="Q2880" s="204" t="s">
        <v>2276</v>
      </c>
      <c r="R2880" s="204" t="s">
        <v>2276</v>
      </c>
      <c r="S2880" s="204" t="s">
        <v>2276</v>
      </c>
      <c r="T2880" s="204" t="s">
        <v>2276</v>
      </c>
      <c r="U2880" s="204" t="s">
        <v>2276</v>
      </c>
      <c r="V2880" s="204" t="s">
        <v>2276</v>
      </c>
      <c r="W2880" s="204" t="s">
        <v>2276</v>
      </c>
      <c r="X2880" s="204" t="s">
        <v>2276</v>
      </c>
      <c r="Y2880" s="204" t="s">
        <v>2276</v>
      </c>
      <c r="Z2880" s="204" t="s">
        <v>2276</v>
      </c>
      <c r="AA2880" s="204" t="s">
        <v>2276</v>
      </c>
      <c r="AB2880" s="204" t="s">
        <v>2276</v>
      </c>
      <c r="AC2880" s="204"/>
      <c r="AD2880" s="204"/>
    </row>
    <row r="2881" spans="1:30" ht="33.5" customHeight="1">
      <c r="A2881" s="19" t="s">
        <v>7678</v>
      </c>
      <c r="B2881" s="204" t="s">
        <v>7820</v>
      </c>
      <c r="C2881" s="204" t="s">
        <v>24</v>
      </c>
      <c r="D2881" s="204" t="s">
        <v>1242</v>
      </c>
      <c r="E2881" s="204" t="s">
        <v>3209</v>
      </c>
      <c r="F2881" s="4" t="s">
        <v>2276</v>
      </c>
      <c r="G2881" s="4" t="s">
        <v>2276</v>
      </c>
      <c r="H2881" s="204" t="s">
        <v>523</v>
      </c>
      <c r="I2881" s="103"/>
      <c r="J2881" s="204" t="s">
        <v>2276</v>
      </c>
      <c r="K2881" s="204" t="s">
        <v>2276</v>
      </c>
      <c r="L2881" s="204" t="s">
        <v>2276</v>
      </c>
      <c r="M2881" s="204" t="s">
        <v>2276</v>
      </c>
      <c r="N2881" s="204" t="s">
        <v>2276</v>
      </c>
      <c r="O2881" s="204" t="s">
        <v>2276</v>
      </c>
      <c r="P2881" s="204" t="s">
        <v>2276</v>
      </c>
      <c r="Q2881" s="204" t="s">
        <v>2276</v>
      </c>
      <c r="R2881" s="204" t="s">
        <v>2276</v>
      </c>
      <c r="S2881" s="204" t="s">
        <v>2276</v>
      </c>
      <c r="T2881" s="204" t="s">
        <v>2276</v>
      </c>
      <c r="U2881" s="204" t="s">
        <v>2276</v>
      </c>
      <c r="V2881" s="204" t="s">
        <v>2276</v>
      </c>
      <c r="W2881" s="204" t="s">
        <v>2276</v>
      </c>
      <c r="X2881" s="204" t="s">
        <v>2276</v>
      </c>
      <c r="Y2881" s="204" t="s">
        <v>2276</v>
      </c>
      <c r="Z2881" s="204" t="s">
        <v>2276</v>
      </c>
      <c r="AA2881" s="204" t="s">
        <v>2276</v>
      </c>
      <c r="AB2881" s="204" t="s">
        <v>2276</v>
      </c>
      <c r="AC2881" s="204"/>
      <c r="AD2881" s="204"/>
    </row>
    <row r="2882" spans="1:30" ht="33.5" customHeight="1">
      <c r="A2882" s="19" t="s">
        <v>7679</v>
      </c>
      <c r="B2882" s="204" t="s">
        <v>7821</v>
      </c>
      <c r="C2882" s="204" t="s">
        <v>24</v>
      </c>
      <c r="D2882" s="204" t="s">
        <v>1242</v>
      </c>
      <c r="E2882" s="204" t="s">
        <v>3209</v>
      </c>
      <c r="F2882" s="4" t="s">
        <v>2276</v>
      </c>
      <c r="G2882" s="4" t="s">
        <v>2276</v>
      </c>
      <c r="H2882" s="204" t="s">
        <v>523</v>
      </c>
      <c r="I2882" s="103"/>
      <c r="J2882" s="204" t="s">
        <v>2276</v>
      </c>
      <c r="K2882" s="204" t="s">
        <v>2276</v>
      </c>
      <c r="L2882" s="204" t="s">
        <v>2276</v>
      </c>
      <c r="M2882" s="204" t="s">
        <v>2276</v>
      </c>
      <c r="N2882" s="204" t="s">
        <v>2276</v>
      </c>
      <c r="O2882" s="204" t="s">
        <v>2276</v>
      </c>
      <c r="P2882" s="204" t="s">
        <v>2276</v>
      </c>
      <c r="Q2882" s="204" t="s">
        <v>2276</v>
      </c>
      <c r="R2882" s="204" t="s">
        <v>2276</v>
      </c>
      <c r="S2882" s="204" t="s">
        <v>2276</v>
      </c>
      <c r="T2882" s="204" t="s">
        <v>2276</v>
      </c>
      <c r="U2882" s="204" t="s">
        <v>2276</v>
      </c>
      <c r="V2882" s="204" t="s">
        <v>2276</v>
      </c>
      <c r="W2882" s="204" t="s">
        <v>2276</v>
      </c>
      <c r="X2882" s="204" t="s">
        <v>2276</v>
      </c>
      <c r="Y2882" s="204" t="s">
        <v>2276</v>
      </c>
      <c r="Z2882" s="204" t="s">
        <v>2276</v>
      </c>
      <c r="AA2882" s="204" t="s">
        <v>2276</v>
      </c>
      <c r="AB2882" s="204" t="s">
        <v>2276</v>
      </c>
      <c r="AC2882" s="204"/>
      <c r="AD2882" s="204"/>
    </row>
    <row r="2883" spans="1:30" ht="33.5" customHeight="1">
      <c r="A2883" s="19" t="s">
        <v>7680</v>
      </c>
      <c r="B2883" s="204" t="s">
        <v>7822</v>
      </c>
      <c r="C2883" s="204" t="s">
        <v>24</v>
      </c>
      <c r="D2883" s="204" t="s">
        <v>1242</v>
      </c>
      <c r="E2883" s="204" t="s">
        <v>3209</v>
      </c>
      <c r="F2883" s="4" t="s">
        <v>2276</v>
      </c>
      <c r="G2883" s="4" t="s">
        <v>2276</v>
      </c>
      <c r="H2883" s="204" t="s">
        <v>523</v>
      </c>
      <c r="I2883" s="103"/>
      <c r="J2883" s="204" t="s">
        <v>2276</v>
      </c>
      <c r="K2883" s="204" t="s">
        <v>2276</v>
      </c>
      <c r="L2883" s="204" t="s">
        <v>2276</v>
      </c>
      <c r="M2883" s="204" t="s">
        <v>2276</v>
      </c>
      <c r="N2883" s="204" t="s">
        <v>2276</v>
      </c>
      <c r="O2883" s="204" t="s">
        <v>2276</v>
      </c>
      <c r="P2883" s="204" t="s">
        <v>2276</v>
      </c>
      <c r="Q2883" s="204" t="s">
        <v>2276</v>
      </c>
      <c r="R2883" s="204" t="s">
        <v>2276</v>
      </c>
      <c r="S2883" s="204" t="s">
        <v>2276</v>
      </c>
      <c r="T2883" s="204" t="s">
        <v>2276</v>
      </c>
      <c r="U2883" s="204" t="s">
        <v>2276</v>
      </c>
      <c r="V2883" s="204" t="s">
        <v>2276</v>
      </c>
      <c r="W2883" s="204" t="s">
        <v>2276</v>
      </c>
      <c r="X2883" s="204" t="s">
        <v>2276</v>
      </c>
      <c r="Y2883" s="204" t="s">
        <v>2276</v>
      </c>
      <c r="Z2883" s="204" t="s">
        <v>2276</v>
      </c>
      <c r="AA2883" s="204" t="s">
        <v>2276</v>
      </c>
      <c r="AB2883" s="204" t="s">
        <v>2276</v>
      </c>
      <c r="AC2883" s="204"/>
      <c r="AD2883" s="204"/>
    </row>
    <row r="2884" spans="1:30" ht="33.5" customHeight="1">
      <c r="A2884" s="19" t="s">
        <v>7681</v>
      </c>
      <c r="B2884" s="204" t="s">
        <v>7823</v>
      </c>
      <c r="C2884" s="204" t="s">
        <v>24</v>
      </c>
      <c r="D2884" s="204" t="s">
        <v>1242</v>
      </c>
      <c r="E2884" s="204" t="s">
        <v>3209</v>
      </c>
      <c r="F2884" s="4" t="s">
        <v>2276</v>
      </c>
      <c r="G2884" s="4" t="s">
        <v>2276</v>
      </c>
      <c r="H2884" s="204" t="s">
        <v>523</v>
      </c>
      <c r="I2884" s="103"/>
      <c r="J2884" s="204" t="s">
        <v>2276</v>
      </c>
      <c r="K2884" s="204" t="s">
        <v>2276</v>
      </c>
      <c r="L2884" s="204" t="s">
        <v>2276</v>
      </c>
      <c r="M2884" s="204" t="s">
        <v>2276</v>
      </c>
      <c r="N2884" s="204" t="s">
        <v>2276</v>
      </c>
      <c r="O2884" s="204" t="s">
        <v>2276</v>
      </c>
      <c r="P2884" s="204" t="s">
        <v>2276</v>
      </c>
      <c r="Q2884" s="204" t="s">
        <v>2276</v>
      </c>
      <c r="R2884" s="204" t="s">
        <v>2276</v>
      </c>
      <c r="S2884" s="204" t="s">
        <v>2276</v>
      </c>
      <c r="T2884" s="204" t="s">
        <v>2276</v>
      </c>
      <c r="U2884" s="204" t="s">
        <v>2276</v>
      </c>
      <c r="V2884" s="204" t="s">
        <v>2276</v>
      </c>
      <c r="W2884" s="204" t="s">
        <v>2276</v>
      </c>
      <c r="X2884" s="204" t="s">
        <v>2276</v>
      </c>
      <c r="Y2884" s="204" t="s">
        <v>2276</v>
      </c>
      <c r="Z2884" s="204" t="s">
        <v>2276</v>
      </c>
      <c r="AA2884" s="204" t="s">
        <v>2276</v>
      </c>
      <c r="AB2884" s="204" t="s">
        <v>2276</v>
      </c>
      <c r="AC2884" s="204"/>
      <c r="AD2884" s="204"/>
    </row>
    <row r="2885" spans="1:30" ht="33.5" customHeight="1">
      <c r="A2885" s="19" t="s">
        <v>7682</v>
      </c>
      <c r="B2885" s="204" t="s">
        <v>7824</v>
      </c>
      <c r="C2885" s="204" t="s">
        <v>24</v>
      </c>
      <c r="D2885" s="204" t="s">
        <v>1242</v>
      </c>
      <c r="E2885" s="204" t="s">
        <v>3209</v>
      </c>
      <c r="F2885" s="4" t="s">
        <v>2276</v>
      </c>
      <c r="G2885" s="4" t="s">
        <v>2276</v>
      </c>
      <c r="H2885" s="204" t="s">
        <v>523</v>
      </c>
      <c r="I2885" s="103"/>
      <c r="J2885" s="204" t="s">
        <v>2276</v>
      </c>
      <c r="K2885" s="204" t="s">
        <v>2276</v>
      </c>
      <c r="L2885" s="204" t="s">
        <v>2276</v>
      </c>
      <c r="M2885" s="204" t="s">
        <v>2276</v>
      </c>
      <c r="N2885" s="204" t="s">
        <v>2276</v>
      </c>
      <c r="O2885" s="204" t="s">
        <v>2276</v>
      </c>
      <c r="P2885" s="204" t="s">
        <v>2276</v>
      </c>
      <c r="Q2885" s="204" t="s">
        <v>2276</v>
      </c>
      <c r="R2885" s="204" t="s">
        <v>2276</v>
      </c>
      <c r="S2885" s="204" t="s">
        <v>2276</v>
      </c>
      <c r="T2885" s="204" t="s">
        <v>2276</v>
      </c>
      <c r="U2885" s="204" t="s">
        <v>2276</v>
      </c>
      <c r="V2885" s="204" t="s">
        <v>2276</v>
      </c>
      <c r="W2885" s="204" t="s">
        <v>2276</v>
      </c>
      <c r="X2885" s="204" t="s">
        <v>2276</v>
      </c>
      <c r="Y2885" s="204" t="s">
        <v>2276</v>
      </c>
      <c r="Z2885" s="204" t="s">
        <v>2276</v>
      </c>
      <c r="AA2885" s="204" t="s">
        <v>2276</v>
      </c>
      <c r="AB2885" s="204" t="s">
        <v>2276</v>
      </c>
      <c r="AC2885" s="204"/>
      <c r="AD2885" s="204"/>
    </row>
    <row r="2886" spans="1:30" ht="33.5" customHeight="1">
      <c r="A2886" s="19" t="s">
        <v>7683</v>
      </c>
      <c r="B2886" s="204" t="s">
        <v>7825</v>
      </c>
      <c r="C2886" s="204" t="s">
        <v>24</v>
      </c>
      <c r="D2886" s="204" t="s">
        <v>1242</v>
      </c>
      <c r="E2886" s="204" t="s">
        <v>3209</v>
      </c>
      <c r="F2886" s="4" t="s">
        <v>2276</v>
      </c>
      <c r="G2886" s="4" t="s">
        <v>2276</v>
      </c>
      <c r="H2886" s="204" t="s">
        <v>523</v>
      </c>
      <c r="I2886" s="103"/>
      <c r="J2886" s="204" t="s">
        <v>2276</v>
      </c>
      <c r="K2886" s="204" t="s">
        <v>2276</v>
      </c>
      <c r="L2886" s="204" t="s">
        <v>2276</v>
      </c>
      <c r="M2886" s="204" t="s">
        <v>2276</v>
      </c>
      <c r="N2886" s="204" t="s">
        <v>2276</v>
      </c>
      <c r="O2886" s="204" t="s">
        <v>2276</v>
      </c>
      <c r="P2886" s="204" t="s">
        <v>2276</v>
      </c>
      <c r="Q2886" s="204" t="s">
        <v>2276</v>
      </c>
      <c r="R2886" s="204" t="s">
        <v>2276</v>
      </c>
      <c r="S2886" s="204" t="s">
        <v>2276</v>
      </c>
      <c r="T2886" s="204" t="s">
        <v>2276</v>
      </c>
      <c r="U2886" s="204" t="s">
        <v>2276</v>
      </c>
      <c r="V2886" s="204" t="s">
        <v>2276</v>
      </c>
      <c r="W2886" s="204" t="s">
        <v>2276</v>
      </c>
      <c r="X2886" s="204" t="s">
        <v>2276</v>
      </c>
      <c r="Y2886" s="204" t="s">
        <v>2276</v>
      </c>
      <c r="Z2886" s="204" t="s">
        <v>2276</v>
      </c>
      <c r="AA2886" s="204" t="s">
        <v>2276</v>
      </c>
      <c r="AB2886" s="204" t="s">
        <v>2276</v>
      </c>
      <c r="AC2886" s="204"/>
      <c r="AD2886" s="204"/>
    </row>
    <row r="2887" spans="1:30" ht="33.5" customHeight="1">
      <c r="A2887" s="19" t="s">
        <v>7684</v>
      </c>
      <c r="B2887" s="204" t="s">
        <v>7826</v>
      </c>
      <c r="C2887" s="204" t="s">
        <v>24</v>
      </c>
      <c r="D2887" s="204" t="s">
        <v>1242</v>
      </c>
      <c r="E2887" s="204" t="s">
        <v>3209</v>
      </c>
      <c r="F2887" s="4" t="s">
        <v>2276</v>
      </c>
      <c r="G2887" s="4" t="s">
        <v>2276</v>
      </c>
      <c r="H2887" s="204" t="s">
        <v>523</v>
      </c>
      <c r="I2887" s="103"/>
      <c r="J2887" s="204" t="s">
        <v>2276</v>
      </c>
      <c r="K2887" s="204" t="s">
        <v>2276</v>
      </c>
      <c r="L2887" s="204" t="s">
        <v>2276</v>
      </c>
      <c r="M2887" s="204" t="s">
        <v>2276</v>
      </c>
      <c r="N2887" s="204" t="s">
        <v>2276</v>
      </c>
      <c r="O2887" s="204" t="s">
        <v>2276</v>
      </c>
      <c r="P2887" s="204" t="s">
        <v>2276</v>
      </c>
      <c r="Q2887" s="204" t="s">
        <v>2276</v>
      </c>
      <c r="R2887" s="204" t="s">
        <v>2276</v>
      </c>
      <c r="S2887" s="204" t="s">
        <v>2276</v>
      </c>
      <c r="T2887" s="204" t="s">
        <v>2276</v>
      </c>
      <c r="U2887" s="204" t="s">
        <v>2276</v>
      </c>
      <c r="V2887" s="204" t="s">
        <v>2276</v>
      </c>
      <c r="W2887" s="204" t="s">
        <v>2276</v>
      </c>
      <c r="X2887" s="204" t="s">
        <v>2276</v>
      </c>
      <c r="Y2887" s="204" t="s">
        <v>2276</v>
      </c>
      <c r="Z2887" s="204" t="s">
        <v>2276</v>
      </c>
      <c r="AA2887" s="204" t="s">
        <v>2276</v>
      </c>
      <c r="AB2887" s="204" t="s">
        <v>2276</v>
      </c>
      <c r="AC2887" s="204"/>
      <c r="AD2887" s="204"/>
    </row>
    <row r="2888" spans="1:30" ht="33.5" customHeight="1">
      <c r="A2888" s="19" t="s">
        <v>7685</v>
      </c>
      <c r="B2888" s="204" t="s">
        <v>7827</v>
      </c>
      <c r="C2888" s="204" t="s">
        <v>24</v>
      </c>
      <c r="D2888" s="204" t="s">
        <v>1242</v>
      </c>
      <c r="E2888" s="204" t="s">
        <v>3209</v>
      </c>
      <c r="F2888" s="4" t="s">
        <v>2276</v>
      </c>
      <c r="G2888" s="4" t="s">
        <v>2276</v>
      </c>
      <c r="H2888" s="204" t="s">
        <v>523</v>
      </c>
      <c r="I2888" s="103"/>
      <c r="J2888" s="204" t="s">
        <v>2276</v>
      </c>
      <c r="K2888" s="204" t="s">
        <v>2276</v>
      </c>
      <c r="L2888" s="204" t="s">
        <v>2276</v>
      </c>
      <c r="M2888" s="204" t="s">
        <v>2276</v>
      </c>
      <c r="N2888" s="204" t="s">
        <v>2276</v>
      </c>
      <c r="O2888" s="204" t="s">
        <v>2276</v>
      </c>
      <c r="P2888" s="204" t="s">
        <v>2276</v>
      </c>
      <c r="Q2888" s="204" t="s">
        <v>2276</v>
      </c>
      <c r="R2888" s="204" t="s">
        <v>2276</v>
      </c>
      <c r="S2888" s="204" t="s">
        <v>2276</v>
      </c>
      <c r="T2888" s="204" t="s">
        <v>2276</v>
      </c>
      <c r="U2888" s="204" t="s">
        <v>2276</v>
      </c>
      <c r="V2888" s="204" t="s">
        <v>2276</v>
      </c>
      <c r="W2888" s="204" t="s">
        <v>2276</v>
      </c>
      <c r="X2888" s="204" t="s">
        <v>2276</v>
      </c>
      <c r="Y2888" s="204" t="s">
        <v>2276</v>
      </c>
      <c r="Z2888" s="204" t="s">
        <v>2276</v>
      </c>
      <c r="AA2888" s="204" t="s">
        <v>2276</v>
      </c>
      <c r="AB2888" s="204" t="s">
        <v>2276</v>
      </c>
      <c r="AC2888" s="204"/>
      <c r="AD2888" s="204"/>
    </row>
    <row r="2889" spans="1:30" ht="33.5" customHeight="1">
      <c r="A2889" s="19" t="s">
        <v>7686</v>
      </c>
      <c r="B2889" s="204" t="s">
        <v>7828</v>
      </c>
      <c r="C2889" s="204" t="s">
        <v>24</v>
      </c>
      <c r="D2889" s="204" t="s">
        <v>1242</v>
      </c>
      <c r="E2889" s="204" t="s">
        <v>3209</v>
      </c>
      <c r="F2889" s="4" t="s">
        <v>2276</v>
      </c>
      <c r="G2889" s="4" t="s">
        <v>2276</v>
      </c>
      <c r="H2889" s="204" t="s">
        <v>523</v>
      </c>
      <c r="I2889" s="103"/>
      <c r="J2889" s="204" t="s">
        <v>2276</v>
      </c>
      <c r="K2889" s="204" t="s">
        <v>2276</v>
      </c>
      <c r="L2889" s="204" t="s">
        <v>2276</v>
      </c>
      <c r="M2889" s="204" t="s">
        <v>2276</v>
      </c>
      <c r="N2889" s="204" t="s">
        <v>2276</v>
      </c>
      <c r="O2889" s="204" t="s">
        <v>2276</v>
      </c>
      <c r="P2889" s="204" t="s">
        <v>2276</v>
      </c>
      <c r="Q2889" s="204" t="s">
        <v>2276</v>
      </c>
      <c r="R2889" s="204" t="s">
        <v>2276</v>
      </c>
      <c r="S2889" s="204" t="s">
        <v>2276</v>
      </c>
      <c r="T2889" s="204" t="s">
        <v>2276</v>
      </c>
      <c r="U2889" s="204" t="s">
        <v>2276</v>
      </c>
      <c r="V2889" s="204" t="s">
        <v>2276</v>
      </c>
      <c r="W2889" s="204" t="s">
        <v>2276</v>
      </c>
      <c r="X2889" s="204" t="s">
        <v>2276</v>
      </c>
      <c r="Y2889" s="204" t="s">
        <v>2276</v>
      </c>
      <c r="Z2889" s="204" t="s">
        <v>2276</v>
      </c>
      <c r="AA2889" s="204" t="s">
        <v>2276</v>
      </c>
      <c r="AB2889" s="204" t="s">
        <v>2276</v>
      </c>
      <c r="AC2889" s="204"/>
      <c r="AD2889" s="204"/>
    </row>
    <row r="2890" spans="1:30" ht="33.5" customHeight="1">
      <c r="A2890" s="19" t="s">
        <v>7687</v>
      </c>
      <c r="B2890" s="204" t="s">
        <v>7829</v>
      </c>
      <c r="C2890" s="204" t="s">
        <v>24</v>
      </c>
      <c r="D2890" s="204" t="s">
        <v>1242</v>
      </c>
      <c r="E2890" s="204" t="s">
        <v>3209</v>
      </c>
      <c r="F2890" s="4" t="s">
        <v>2276</v>
      </c>
      <c r="G2890" s="4" t="s">
        <v>2276</v>
      </c>
      <c r="H2890" s="204" t="s">
        <v>523</v>
      </c>
      <c r="I2890" s="103"/>
      <c r="J2890" s="204" t="s">
        <v>2276</v>
      </c>
      <c r="K2890" s="204" t="s">
        <v>2276</v>
      </c>
      <c r="L2890" s="204" t="s">
        <v>2276</v>
      </c>
      <c r="M2890" s="204" t="s">
        <v>2276</v>
      </c>
      <c r="N2890" s="204" t="s">
        <v>2276</v>
      </c>
      <c r="O2890" s="204" t="s">
        <v>2276</v>
      </c>
      <c r="P2890" s="204" t="s">
        <v>2276</v>
      </c>
      <c r="Q2890" s="204" t="s">
        <v>2276</v>
      </c>
      <c r="R2890" s="204" t="s">
        <v>2276</v>
      </c>
      <c r="S2890" s="204" t="s">
        <v>2276</v>
      </c>
      <c r="T2890" s="204" t="s">
        <v>2276</v>
      </c>
      <c r="U2890" s="204" t="s">
        <v>2276</v>
      </c>
      <c r="V2890" s="204" t="s">
        <v>2276</v>
      </c>
      <c r="W2890" s="204" t="s">
        <v>2276</v>
      </c>
      <c r="X2890" s="204" t="s">
        <v>2276</v>
      </c>
      <c r="Y2890" s="204" t="s">
        <v>2276</v>
      </c>
      <c r="Z2890" s="204" t="s">
        <v>2276</v>
      </c>
      <c r="AA2890" s="204" t="s">
        <v>2276</v>
      </c>
      <c r="AB2890" s="204" t="s">
        <v>2276</v>
      </c>
      <c r="AC2890" s="204"/>
      <c r="AD2890" s="204"/>
    </row>
    <row r="2891" spans="1:30" ht="33.5" customHeight="1">
      <c r="A2891" s="19" t="s">
        <v>7688</v>
      </c>
      <c r="B2891" s="204" t="s">
        <v>7830</v>
      </c>
      <c r="C2891" s="204" t="s">
        <v>24</v>
      </c>
      <c r="D2891" s="204" t="s">
        <v>1242</v>
      </c>
      <c r="E2891" s="204" t="s">
        <v>3209</v>
      </c>
      <c r="F2891" s="4" t="s">
        <v>2276</v>
      </c>
      <c r="G2891" s="4" t="s">
        <v>2276</v>
      </c>
      <c r="H2891" s="204" t="s">
        <v>523</v>
      </c>
      <c r="I2891" s="103"/>
      <c r="J2891" s="204" t="s">
        <v>2276</v>
      </c>
      <c r="K2891" s="204" t="s">
        <v>2276</v>
      </c>
      <c r="L2891" s="204" t="s">
        <v>2276</v>
      </c>
      <c r="M2891" s="204" t="s">
        <v>2276</v>
      </c>
      <c r="N2891" s="204" t="s">
        <v>2276</v>
      </c>
      <c r="O2891" s="204" t="s">
        <v>2276</v>
      </c>
      <c r="P2891" s="204" t="s">
        <v>2276</v>
      </c>
      <c r="Q2891" s="204" t="s">
        <v>2276</v>
      </c>
      <c r="R2891" s="204" t="s">
        <v>2276</v>
      </c>
      <c r="S2891" s="204" t="s">
        <v>2276</v>
      </c>
      <c r="T2891" s="204" t="s">
        <v>2276</v>
      </c>
      <c r="U2891" s="204" t="s">
        <v>2276</v>
      </c>
      <c r="V2891" s="204" t="s">
        <v>2276</v>
      </c>
      <c r="W2891" s="204" t="s">
        <v>2276</v>
      </c>
      <c r="X2891" s="204" t="s">
        <v>2276</v>
      </c>
      <c r="Y2891" s="204" t="s">
        <v>2276</v>
      </c>
      <c r="Z2891" s="204" t="s">
        <v>2276</v>
      </c>
      <c r="AA2891" s="204" t="s">
        <v>2276</v>
      </c>
      <c r="AB2891" s="204" t="s">
        <v>2276</v>
      </c>
      <c r="AC2891" s="204"/>
      <c r="AD2891" s="204"/>
    </row>
    <row r="2892" spans="1:30" ht="33.5" customHeight="1">
      <c r="A2892" s="19" t="s">
        <v>7689</v>
      </c>
      <c r="B2892" s="204" t="s">
        <v>7831</v>
      </c>
      <c r="C2892" s="204" t="s">
        <v>24</v>
      </c>
      <c r="D2892" s="204" t="s">
        <v>1242</v>
      </c>
      <c r="E2892" s="204" t="s">
        <v>3209</v>
      </c>
      <c r="F2892" s="4" t="s">
        <v>2276</v>
      </c>
      <c r="G2892" s="4" t="s">
        <v>2276</v>
      </c>
      <c r="H2892" s="204" t="s">
        <v>523</v>
      </c>
      <c r="I2892" s="103"/>
      <c r="J2892" s="204" t="s">
        <v>2276</v>
      </c>
      <c r="K2892" s="204" t="s">
        <v>2276</v>
      </c>
      <c r="L2892" s="204" t="s">
        <v>2276</v>
      </c>
      <c r="M2892" s="204" t="s">
        <v>2276</v>
      </c>
      <c r="N2892" s="204" t="s">
        <v>2276</v>
      </c>
      <c r="O2892" s="204" t="s">
        <v>2276</v>
      </c>
      <c r="P2892" s="204" t="s">
        <v>2276</v>
      </c>
      <c r="Q2892" s="204" t="s">
        <v>2276</v>
      </c>
      <c r="R2892" s="204" t="s">
        <v>2276</v>
      </c>
      <c r="S2892" s="204" t="s">
        <v>2276</v>
      </c>
      <c r="T2892" s="204" t="s">
        <v>2276</v>
      </c>
      <c r="U2892" s="204" t="s">
        <v>2276</v>
      </c>
      <c r="V2892" s="204" t="s">
        <v>2276</v>
      </c>
      <c r="W2892" s="204" t="s">
        <v>2276</v>
      </c>
      <c r="X2892" s="204" t="s">
        <v>2276</v>
      </c>
      <c r="Y2892" s="204" t="s">
        <v>2276</v>
      </c>
      <c r="Z2892" s="204" t="s">
        <v>2276</v>
      </c>
      <c r="AA2892" s="204" t="s">
        <v>2276</v>
      </c>
      <c r="AB2892" s="204" t="s">
        <v>2276</v>
      </c>
      <c r="AC2892" s="204"/>
      <c r="AD2892" s="204"/>
    </row>
    <row r="2893" spans="1:30" ht="33.5" customHeight="1">
      <c r="A2893" s="19" t="s">
        <v>7690</v>
      </c>
      <c r="B2893" s="204" t="s">
        <v>7832</v>
      </c>
      <c r="C2893" s="204" t="s">
        <v>24</v>
      </c>
      <c r="D2893" s="204" t="s">
        <v>1242</v>
      </c>
      <c r="E2893" s="204" t="s">
        <v>3209</v>
      </c>
      <c r="F2893" s="4" t="s">
        <v>2276</v>
      </c>
      <c r="G2893" s="4" t="s">
        <v>2276</v>
      </c>
      <c r="H2893" s="204" t="s">
        <v>523</v>
      </c>
      <c r="I2893" s="103"/>
      <c r="J2893" s="204" t="s">
        <v>2276</v>
      </c>
      <c r="K2893" s="204" t="s">
        <v>2276</v>
      </c>
      <c r="L2893" s="204" t="s">
        <v>2276</v>
      </c>
      <c r="M2893" s="204" t="s">
        <v>2276</v>
      </c>
      <c r="N2893" s="204" t="s">
        <v>2276</v>
      </c>
      <c r="O2893" s="204" t="s">
        <v>2276</v>
      </c>
      <c r="P2893" s="204" t="s">
        <v>2276</v>
      </c>
      <c r="Q2893" s="204" t="s">
        <v>2276</v>
      </c>
      <c r="R2893" s="204" t="s">
        <v>2276</v>
      </c>
      <c r="S2893" s="204" t="s">
        <v>2276</v>
      </c>
      <c r="T2893" s="204" t="s">
        <v>2276</v>
      </c>
      <c r="U2893" s="204" t="s">
        <v>2276</v>
      </c>
      <c r="V2893" s="204" t="s">
        <v>2276</v>
      </c>
      <c r="W2893" s="204" t="s">
        <v>2276</v>
      </c>
      <c r="X2893" s="204" t="s">
        <v>2276</v>
      </c>
      <c r="Y2893" s="204" t="s">
        <v>2276</v>
      </c>
      <c r="Z2893" s="204" t="s">
        <v>2276</v>
      </c>
      <c r="AA2893" s="204" t="s">
        <v>2276</v>
      </c>
      <c r="AB2893" s="204" t="s">
        <v>2276</v>
      </c>
      <c r="AC2893" s="204"/>
      <c r="AD2893" s="204"/>
    </row>
    <row r="2894" spans="1:30" ht="33.5" customHeight="1">
      <c r="A2894" s="19" t="s">
        <v>7691</v>
      </c>
      <c r="B2894" s="204" t="s">
        <v>7833</v>
      </c>
      <c r="C2894" s="204" t="s">
        <v>24</v>
      </c>
      <c r="D2894" s="204" t="s">
        <v>1242</v>
      </c>
      <c r="E2894" s="204" t="s">
        <v>3209</v>
      </c>
      <c r="F2894" s="4" t="s">
        <v>2276</v>
      </c>
      <c r="G2894" s="4" t="s">
        <v>2276</v>
      </c>
      <c r="H2894" s="204" t="s">
        <v>523</v>
      </c>
      <c r="I2894" s="103"/>
      <c r="J2894" s="204" t="s">
        <v>2276</v>
      </c>
      <c r="K2894" s="204" t="s">
        <v>2276</v>
      </c>
      <c r="L2894" s="204" t="s">
        <v>2276</v>
      </c>
      <c r="M2894" s="204" t="s">
        <v>2276</v>
      </c>
      <c r="N2894" s="204" t="s">
        <v>2276</v>
      </c>
      <c r="O2894" s="204" t="s">
        <v>2276</v>
      </c>
      <c r="P2894" s="204" t="s">
        <v>2276</v>
      </c>
      <c r="Q2894" s="204" t="s">
        <v>2276</v>
      </c>
      <c r="R2894" s="204" t="s">
        <v>2276</v>
      </c>
      <c r="S2894" s="204" t="s">
        <v>2276</v>
      </c>
      <c r="T2894" s="204" t="s">
        <v>2276</v>
      </c>
      <c r="U2894" s="204" t="s">
        <v>2276</v>
      </c>
      <c r="V2894" s="204" t="s">
        <v>2276</v>
      </c>
      <c r="W2894" s="204" t="s">
        <v>2276</v>
      </c>
      <c r="X2894" s="204" t="s">
        <v>2276</v>
      </c>
      <c r="Y2894" s="204" t="s">
        <v>2276</v>
      </c>
      <c r="Z2894" s="204" t="s">
        <v>2276</v>
      </c>
      <c r="AA2894" s="204" t="s">
        <v>2276</v>
      </c>
      <c r="AB2894" s="204" t="s">
        <v>2276</v>
      </c>
      <c r="AC2894" s="204"/>
      <c r="AD2894" s="204"/>
    </row>
    <row r="2895" spans="1:30" ht="33.5" customHeight="1">
      <c r="A2895" s="19" t="s">
        <v>7692</v>
      </c>
      <c r="B2895" s="204" t="s">
        <v>7834</v>
      </c>
      <c r="C2895" s="204" t="s">
        <v>24</v>
      </c>
      <c r="D2895" s="204" t="s">
        <v>1242</v>
      </c>
      <c r="E2895" s="204" t="s">
        <v>3209</v>
      </c>
      <c r="F2895" s="4" t="s">
        <v>2276</v>
      </c>
      <c r="G2895" s="4" t="s">
        <v>2276</v>
      </c>
      <c r="H2895" s="204" t="s">
        <v>524</v>
      </c>
      <c r="I2895" s="103"/>
      <c r="J2895" s="21">
        <v>0</v>
      </c>
      <c r="K2895" s="21">
        <v>0</v>
      </c>
      <c r="L2895" s="21">
        <v>0</v>
      </c>
      <c r="M2895" s="21">
        <v>0</v>
      </c>
      <c r="N2895" s="21">
        <v>0</v>
      </c>
      <c r="O2895" s="21">
        <v>0</v>
      </c>
      <c r="P2895" s="21">
        <v>0</v>
      </c>
      <c r="Q2895" s="21">
        <v>0</v>
      </c>
      <c r="R2895" s="21">
        <v>0</v>
      </c>
      <c r="S2895" s="21">
        <v>0</v>
      </c>
      <c r="T2895" s="21">
        <v>0</v>
      </c>
      <c r="U2895" s="21">
        <v>0</v>
      </c>
      <c r="V2895" s="21">
        <v>0</v>
      </c>
      <c r="W2895" s="21">
        <v>0</v>
      </c>
      <c r="X2895" s="21">
        <v>0</v>
      </c>
      <c r="Y2895" s="21">
        <v>0</v>
      </c>
      <c r="Z2895" s="204" t="s">
        <v>2276</v>
      </c>
      <c r="AA2895" s="204" t="s">
        <v>2276</v>
      </c>
      <c r="AB2895" s="204" t="s">
        <v>2276</v>
      </c>
      <c r="AC2895" s="204"/>
      <c r="AD2895" s="204"/>
    </row>
    <row r="2896" spans="1:30" ht="33.5" customHeight="1">
      <c r="A2896" s="19" t="s">
        <v>7760</v>
      </c>
      <c r="B2896" s="204" t="s">
        <v>7835</v>
      </c>
      <c r="C2896" s="204" t="s">
        <v>24</v>
      </c>
      <c r="D2896" s="204" t="s">
        <v>1242</v>
      </c>
      <c r="E2896" s="204" t="s">
        <v>3209</v>
      </c>
      <c r="F2896" s="4" t="s">
        <v>2276</v>
      </c>
      <c r="G2896" s="4" t="s">
        <v>2276</v>
      </c>
      <c r="H2896" s="204" t="s">
        <v>523</v>
      </c>
      <c r="I2896" s="103"/>
      <c r="J2896" s="204" t="s">
        <v>2276</v>
      </c>
      <c r="K2896" s="204" t="s">
        <v>2276</v>
      </c>
      <c r="L2896" s="204" t="s">
        <v>2276</v>
      </c>
      <c r="M2896" s="204" t="s">
        <v>2276</v>
      </c>
      <c r="N2896" s="204" t="s">
        <v>2276</v>
      </c>
      <c r="O2896" s="204" t="s">
        <v>2276</v>
      </c>
      <c r="P2896" s="204" t="s">
        <v>2276</v>
      </c>
      <c r="Q2896" s="204" t="s">
        <v>2276</v>
      </c>
      <c r="R2896" s="204" t="s">
        <v>2276</v>
      </c>
      <c r="S2896" s="204" t="s">
        <v>2276</v>
      </c>
      <c r="T2896" s="204" t="s">
        <v>2276</v>
      </c>
      <c r="U2896" s="204" t="s">
        <v>2276</v>
      </c>
      <c r="V2896" s="204" t="s">
        <v>2276</v>
      </c>
      <c r="W2896" s="204" t="s">
        <v>2276</v>
      </c>
      <c r="X2896" s="204" t="s">
        <v>2276</v>
      </c>
      <c r="Y2896" s="204" t="s">
        <v>2276</v>
      </c>
      <c r="Z2896" s="204" t="s">
        <v>2276</v>
      </c>
      <c r="AA2896" s="204" t="s">
        <v>2276</v>
      </c>
      <c r="AB2896" s="204" t="s">
        <v>2276</v>
      </c>
      <c r="AC2896" s="204"/>
      <c r="AD2896" s="204"/>
    </row>
    <row r="2897" spans="1:30" ht="33.5" customHeight="1">
      <c r="A2897" s="19" t="s">
        <v>7761</v>
      </c>
      <c r="B2897" s="204" t="s">
        <v>7836</v>
      </c>
      <c r="C2897" s="204" t="s">
        <v>24</v>
      </c>
      <c r="D2897" s="204" t="s">
        <v>1242</v>
      </c>
      <c r="E2897" s="204" t="s">
        <v>3209</v>
      </c>
      <c r="F2897" s="4" t="s">
        <v>2276</v>
      </c>
      <c r="G2897" s="4" t="s">
        <v>2276</v>
      </c>
      <c r="H2897" s="204" t="s">
        <v>523</v>
      </c>
      <c r="I2897" s="103"/>
      <c r="J2897" s="204" t="s">
        <v>2276</v>
      </c>
      <c r="K2897" s="204" t="s">
        <v>2276</v>
      </c>
      <c r="L2897" s="204" t="s">
        <v>2276</v>
      </c>
      <c r="M2897" s="204" t="s">
        <v>2276</v>
      </c>
      <c r="N2897" s="204" t="s">
        <v>2276</v>
      </c>
      <c r="O2897" s="204" t="s">
        <v>2276</v>
      </c>
      <c r="P2897" s="204" t="s">
        <v>2276</v>
      </c>
      <c r="Q2897" s="204" t="s">
        <v>2276</v>
      </c>
      <c r="R2897" s="204" t="s">
        <v>2276</v>
      </c>
      <c r="S2897" s="204" t="s">
        <v>2276</v>
      </c>
      <c r="T2897" s="204" t="s">
        <v>2276</v>
      </c>
      <c r="U2897" s="204" t="s">
        <v>2276</v>
      </c>
      <c r="V2897" s="204" t="s">
        <v>2276</v>
      </c>
      <c r="W2897" s="204" t="s">
        <v>2276</v>
      </c>
      <c r="X2897" s="204" t="s">
        <v>2276</v>
      </c>
      <c r="Y2897" s="204" t="s">
        <v>2276</v>
      </c>
      <c r="Z2897" s="204" t="s">
        <v>2276</v>
      </c>
      <c r="AA2897" s="204" t="s">
        <v>2276</v>
      </c>
      <c r="AB2897" s="204" t="s">
        <v>2276</v>
      </c>
      <c r="AC2897" s="204"/>
      <c r="AD2897" s="204"/>
    </row>
    <row r="2898" spans="1:30" ht="33.5" customHeight="1">
      <c r="A2898" s="19" t="s">
        <v>7762</v>
      </c>
      <c r="B2898" s="204" t="s">
        <v>7837</v>
      </c>
      <c r="C2898" s="204" t="s">
        <v>24</v>
      </c>
      <c r="D2898" s="204" t="s">
        <v>1242</v>
      </c>
      <c r="E2898" s="204" t="s">
        <v>3209</v>
      </c>
      <c r="F2898" s="4" t="s">
        <v>2276</v>
      </c>
      <c r="G2898" s="4" t="s">
        <v>2276</v>
      </c>
      <c r="H2898" s="204" t="s">
        <v>523</v>
      </c>
      <c r="I2898" s="103"/>
      <c r="J2898" s="204" t="s">
        <v>2276</v>
      </c>
      <c r="K2898" s="204" t="s">
        <v>2276</v>
      </c>
      <c r="L2898" s="204" t="s">
        <v>2276</v>
      </c>
      <c r="M2898" s="204" t="s">
        <v>2276</v>
      </c>
      <c r="N2898" s="204" t="s">
        <v>2276</v>
      </c>
      <c r="O2898" s="204" t="s">
        <v>2276</v>
      </c>
      <c r="P2898" s="204" t="s">
        <v>2276</v>
      </c>
      <c r="Q2898" s="204" t="s">
        <v>2276</v>
      </c>
      <c r="R2898" s="204" t="s">
        <v>2276</v>
      </c>
      <c r="S2898" s="204" t="s">
        <v>2276</v>
      </c>
      <c r="T2898" s="204" t="s">
        <v>2276</v>
      </c>
      <c r="U2898" s="204" t="s">
        <v>2276</v>
      </c>
      <c r="V2898" s="204" t="s">
        <v>2276</v>
      </c>
      <c r="W2898" s="204" t="s">
        <v>2276</v>
      </c>
      <c r="X2898" s="204" t="s">
        <v>2276</v>
      </c>
      <c r="Y2898" s="204" t="s">
        <v>2276</v>
      </c>
      <c r="Z2898" s="204" t="s">
        <v>2276</v>
      </c>
      <c r="AA2898" s="204" t="s">
        <v>2276</v>
      </c>
      <c r="AB2898" s="204" t="s">
        <v>2276</v>
      </c>
      <c r="AC2898" s="204"/>
      <c r="AD2898" s="204"/>
    </row>
    <row r="2899" spans="1:30" ht="33.5" customHeight="1">
      <c r="A2899" s="19" t="s">
        <v>7763</v>
      </c>
      <c r="B2899" s="204" t="s">
        <v>7838</v>
      </c>
      <c r="C2899" s="204" t="s">
        <v>24</v>
      </c>
      <c r="D2899" s="204" t="s">
        <v>1242</v>
      </c>
      <c r="E2899" s="204" t="s">
        <v>3209</v>
      </c>
      <c r="F2899" s="4" t="s">
        <v>2276</v>
      </c>
      <c r="G2899" s="4" t="s">
        <v>2276</v>
      </c>
      <c r="H2899" s="204" t="s">
        <v>523</v>
      </c>
      <c r="I2899" s="103"/>
      <c r="J2899" s="204" t="s">
        <v>2276</v>
      </c>
      <c r="K2899" s="204" t="s">
        <v>2276</v>
      </c>
      <c r="L2899" s="204" t="s">
        <v>2276</v>
      </c>
      <c r="M2899" s="204" t="s">
        <v>2276</v>
      </c>
      <c r="N2899" s="204" t="s">
        <v>2276</v>
      </c>
      <c r="O2899" s="204" t="s">
        <v>2276</v>
      </c>
      <c r="P2899" s="204" t="s">
        <v>2276</v>
      </c>
      <c r="Q2899" s="204" t="s">
        <v>2276</v>
      </c>
      <c r="R2899" s="204" t="s">
        <v>2276</v>
      </c>
      <c r="S2899" s="204" t="s">
        <v>2276</v>
      </c>
      <c r="T2899" s="204" t="s">
        <v>2276</v>
      </c>
      <c r="U2899" s="204" t="s">
        <v>2276</v>
      </c>
      <c r="V2899" s="204" t="s">
        <v>2276</v>
      </c>
      <c r="W2899" s="204" t="s">
        <v>2276</v>
      </c>
      <c r="X2899" s="204" t="s">
        <v>2276</v>
      </c>
      <c r="Y2899" s="204" t="s">
        <v>2276</v>
      </c>
      <c r="Z2899" s="204" t="s">
        <v>2276</v>
      </c>
      <c r="AA2899" s="204" t="s">
        <v>2276</v>
      </c>
      <c r="AB2899" s="204" t="s">
        <v>2276</v>
      </c>
      <c r="AC2899" s="204"/>
      <c r="AD2899" s="204"/>
    </row>
    <row r="2900" spans="1:30" ht="33.5" customHeight="1">
      <c r="A2900" s="19" t="s">
        <v>7764</v>
      </c>
      <c r="B2900" s="204" t="s">
        <v>7839</v>
      </c>
      <c r="C2900" s="204" t="s">
        <v>24</v>
      </c>
      <c r="D2900" s="204" t="s">
        <v>1242</v>
      </c>
      <c r="E2900" s="204" t="s">
        <v>3209</v>
      </c>
      <c r="F2900" s="4" t="s">
        <v>2276</v>
      </c>
      <c r="G2900" s="4" t="s">
        <v>2276</v>
      </c>
      <c r="H2900" s="204" t="s">
        <v>523</v>
      </c>
      <c r="I2900" s="103"/>
      <c r="J2900" s="204" t="s">
        <v>2276</v>
      </c>
      <c r="K2900" s="204" t="s">
        <v>2276</v>
      </c>
      <c r="L2900" s="204" t="s">
        <v>2276</v>
      </c>
      <c r="M2900" s="204" t="s">
        <v>2276</v>
      </c>
      <c r="N2900" s="204" t="s">
        <v>2276</v>
      </c>
      <c r="O2900" s="204" t="s">
        <v>2276</v>
      </c>
      <c r="P2900" s="204" t="s">
        <v>2276</v>
      </c>
      <c r="Q2900" s="204" t="s">
        <v>2276</v>
      </c>
      <c r="R2900" s="204" t="s">
        <v>2276</v>
      </c>
      <c r="S2900" s="204" t="s">
        <v>2276</v>
      </c>
      <c r="T2900" s="204" t="s">
        <v>2276</v>
      </c>
      <c r="U2900" s="204" t="s">
        <v>2276</v>
      </c>
      <c r="V2900" s="204" t="s">
        <v>2276</v>
      </c>
      <c r="W2900" s="204" t="s">
        <v>2276</v>
      </c>
      <c r="X2900" s="204" t="s">
        <v>2276</v>
      </c>
      <c r="Y2900" s="204" t="s">
        <v>2276</v>
      </c>
      <c r="Z2900" s="204" t="s">
        <v>2276</v>
      </c>
      <c r="AA2900" s="204" t="s">
        <v>2276</v>
      </c>
      <c r="AB2900" s="204" t="s">
        <v>2276</v>
      </c>
      <c r="AC2900" s="204"/>
      <c r="AD2900" s="204"/>
    </row>
    <row r="2901" spans="1:30" ht="33.5" customHeight="1">
      <c r="A2901" s="19" t="s">
        <v>7765</v>
      </c>
      <c r="B2901" s="204" t="s">
        <v>7840</v>
      </c>
      <c r="C2901" s="204" t="s">
        <v>24</v>
      </c>
      <c r="D2901" s="204" t="s">
        <v>1242</v>
      </c>
      <c r="E2901" s="204" t="s">
        <v>3209</v>
      </c>
      <c r="F2901" s="4" t="s">
        <v>2276</v>
      </c>
      <c r="G2901" s="4" t="s">
        <v>2276</v>
      </c>
      <c r="H2901" s="204" t="s">
        <v>523</v>
      </c>
      <c r="I2901" s="103"/>
      <c r="J2901" s="204" t="s">
        <v>2276</v>
      </c>
      <c r="K2901" s="204" t="s">
        <v>2276</v>
      </c>
      <c r="L2901" s="204" t="s">
        <v>2276</v>
      </c>
      <c r="M2901" s="204" t="s">
        <v>2276</v>
      </c>
      <c r="N2901" s="204" t="s">
        <v>2276</v>
      </c>
      <c r="O2901" s="204" t="s">
        <v>2276</v>
      </c>
      <c r="P2901" s="204" t="s">
        <v>2276</v>
      </c>
      <c r="Q2901" s="204" t="s">
        <v>2276</v>
      </c>
      <c r="R2901" s="204" t="s">
        <v>2276</v>
      </c>
      <c r="S2901" s="204" t="s">
        <v>2276</v>
      </c>
      <c r="T2901" s="204" t="s">
        <v>2276</v>
      </c>
      <c r="U2901" s="204" t="s">
        <v>2276</v>
      </c>
      <c r="V2901" s="204" t="s">
        <v>2276</v>
      </c>
      <c r="W2901" s="204" t="s">
        <v>2276</v>
      </c>
      <c r="X2901" s="204" t="s">
        <v>2276</v>
      </c>
      <c r="Y2901" s="204" t="s">
        <v>2276</v>
      </c>
      <c r="Z2901" s="204" t="s">
        <v>2276</v>
      </c>
      <c r="AA2901" s="204" t="s">
        <v>2276</v>
      </c>
      <c r="AB2901" s="204" t="s">
        <v>2276</v>
      </c>
      <c r="AC2901" s="204"/>
      <c r="AD2901" s="204"/>
    </row>
    <row r="2902" spans="1:30" ht="33.5" customHeight="1">
      <c r="A2902" s="19" t="s">
        <v>7766</v>
      </c>
      <c r="B2902" s="204" t="s">
        <v>7841</v>
      </c>
      <c r="C2902" s="204" t="s">
        <v>24</v>
      </c>
      <c r="D2902" s="204" t="s">
        <v>1242</v>
      </c>
      <c r="E2902" s="204" t="s">
        <v>3209</v>
      </c>
      <c r="F2902" s="4" t="s">
        <v>2276</v>
      </c>
      <c r="G2902" s="4" t="s">
        <v>2276</v>
      </c>
      <c r="H2902" s="204" t="s">
        <v>523</v>
      </c>
      <c r="I2902" s="103"/>
      <c r="J2902" s="204" t="s">
        <v>2276</v>
      </c>
      <c r="K2902" s="204" t="s">
        <v>2276</v>
      </c>
      <c r="L2902" s="204" t="s">
        <v>2276</v>
      </c>
      <c r="M2902" s="204" t="s">
        <v>2276</v>
      </c>
      <c r="N2902" s="204" t="s">
        <v>2276</v>
      </c>
      <c r="O2902" s="204" t="s">
        <v>2276</v>
      </c>
      <c r="P2902" s="204" t="s">
        <v>2276</v>
      </c>
      <c r="Q2902" s="204" t="s">
        <v>2276</v>
      </c>
      <c r="R2902" s="204" t="s">
        <v>2276</v>
      </c>
      <c r="S2902" s="204" t="s">
        <v>2276</v>
      </c>
      <c r="T2902" s="204" t="s">
        <v>2276</v>
      </c>
      <c r="U2902" s="204" t="s">
        <v>2276</v>
      </c>
      <c r="V2902" s="204" t="s">
        <v>2276</v>
      </c>
      <c r="W2902" s="204" t="s">
        <v>2276</v>
      </c>
      <c r="X2902" s="204" t="s">
        <v>2276</v>
      </c>
      <c r="Y2902" s="204" t="s">
        <v>2276</v>
      </c>
      <c r="Z2902" s="204" t="s">
        <v>2276</v>
      </c>
      <c r="AA2902" s="204" t="s">
        <v>2276</v>
      </c>
      <c r="AB2902" s="204" t="s">
        <v>2276</v>
      </c>
      <c r="AC2902" s="204"/>
      <c r="AD2902" s="204"/>
    </row>
    <row r="2903" spans="1:30" ht="33.5" customHeight="1">
      <c r="A2903" s="19" t="s">
        <v>7670</v>
      </c>
      <c r="B2903" s="204" t="s">
        <v>7811</v>
      </c>
      <c r="C2903" s="204" t="s">
        <v>24</v>
      </c>
      <c r="D2903" s="204" t="s">
        <v>1242</v>
      </c>
      <c r="E2903" s="204" t="s">
        <v>3209</v>
      </c>
      <c r="F2903" s="4" t="s">
        <v>2276</v>
      </c>
      <c r="G2903" s="4" t="s">
        <v>2276</v>
      </c>
      <c r="H2903" s="204" t="s">
        <v>523</v>
      </c>
      <c r="I2903" s="103"/>
      <c r="J2903" s="204" t="s">
        <v>2276</v>
      </c>
      <c r="K2903" s="204" t="s">
        <v>2276</v>
      </c>
      <c r="L2903" s="204" t="s">
        <v>2276</v>
      </c>
      <c r="M2903" s="204" t="s">
        <v>2276</v>
      </c>
      <c r="N2903" s="204" t="s">
        <v>2276</v>
      </c>
      <c r="O2903" s="204" t="s">
        <v>2276</v>
      </c>
      <c r="P2903" s="204" t="s">
        <v>2276</v>
      </c>
      <c r="Q2903" s="204" t="s">
        <v>2276</v>
      </c>
      <c r="R2903" s="204" t="s">
        <v>2276</v>
      </c>
      <c r="S2903" s="204" t="s">
        <v>2276</v>
      </c>
      <c r="T2903" s="204" t="s">
        <v>2276</v>
      </c>
      <c r="U2903" s="204" t="s">
        <v>2276</v>
      </c>
      <c r="V2903" s="204" t="s">
        <v>2276</v>
      </c>
      <c r="W2903" s="204" t="s">
        <v>2276</v>
      </c>
      <c r="X2903" s="204" t="s">
        <v>2276</v>
      </c>
      <c r="Y2903" s="204" t="s">
        <v>2276</v>
      </c>
      <c r="Z2903" s="204" t="s">
        <v>2276</v>
      </c>
      <c r="AA2903" s="204" t="s">
        <v>2276</v>
      </c>
      <c r="AB2903" s="204" t="s">
        <v>2276</v>
      </c>
      <c r="AC2903" s="204"/>
      <c r="AD2903" s="204"/>
    </row>
    <row r="2904" spans="1:30" ht="33.5" customHeight="1">
      <c r="A2904" s="19" t="s">
        <v>7767</v>
      </c>
      <c r="B2904" s="204" t="s">
        <v>7842</v>
      </c>
      <c r="C2904" s="204" t="s">
        <v>24</v>
      </c>
      <c r="D2904" s="204" t="s">
        <v>1242</v>
      </c>
      <c r="E2904" s="204" t="s">
        <v>3209</v>
      </c>
      <c r="F2904" s="4" t="s">
        <v>2276</v>
      </c>
      <c r="G2904" s="4" t="s">
        <v>2276</v>
      </c>
      <c r="H2904" s="204" t="s">
        <v>523</v>
      </c>
      <c r="I2904" s="103"/>
      <c r="J2904" s="204" t="s">
        <v>2276</v>
      </c>
      <c r="K2904" s="204" t="s">
        <v>2276</v>
      </c>
      <c r="L2904" s="204" t="s">
        <v>2276</v>
      </c>
      <c r="M2904" s="204" t="s">
        <v>2276</v>
      </c>
      <c r="N2904" s="204" t="s">
        <v>2276</v>
      </c>
      <c r="O2904" s="204" t="s">
        <v>2276</v>
      </c>
      <c r="P2904" s="204" t="s">
        <v>2276</v>
      </c>
      <c r="Q2904" s="204" t="s">
        <v>2276</v>
      </c>
      <c r="R2904" s="204" t="s">
        <v>2276</v>
      </c>
      <c r="S2904" s="204" t="s">
        <v>2276</v>
      </c>
      <c r="T2904" s="204" t="s">
        <v>2276</v>
      </c>
      <c r="U2904" s="204" t="s">
        <v>2276</v>
      </c>
      <c r="V2904" s="204" t="s">
        <v>2276</v>
      </c>
      <c r="W2904" s="204" t="s">
        <v>2276</v>
      </c>
      <c r="X2904" s="204" t="s">
        <v>2276</v>
      </c>
      <c r="Y2904" s="204" t="s">
        <v>2276</v>
      </c>
      <c r="Z2904" s="204" t="s">
        <v>2276</v>
      </c>
      <c r="AA2904" s="204" t="s">
        <v>2276</v>
      </c>
      <c r="AB2904" s="204" t="s">
        <v>2276</v>
      </c>
      <c r="AC2904" s="204"/>
      <c r="AD2904" s="204"/>
    </row>
    <row r="2905" spans="1:30" ht="33.5" customHeight="1">
      <c r="A2905" s="19" t="s">
        <v>7768</v>
      </c>
      <c r="B2905" s="204" t="s">
        <v>7843</v>
      </c>
      <c r="C2905" s="204" t="s">
        <v>24</v>
      </c>
      <c r="D2905" s="204" t="s">
        <v>1242</v>
      </c>
      <c r="E2905" s="204" t="s">
        <v>3209</v>
      </c>
      <c r="F2905" s="4" t="s">
        <v>2276</v>
      </c>
      <c r="G2905" s="4" t="s">
        <v>2276</v>
      </c>
      <c r="H2905" s="204" t="s">
        <v>524</v>
      </c>
      <c r="I2905" s="103"/>
      <c r="J2905" s="21">
        <v>0</v>
      </c>
      <c r="K2905" s="21">
        <v>0</v>
      </c>
      <c r="L2905" s="21">
        <v>0</v>
      </c>
      <c r="M2905" s="21">
        <v>0</v>
      </c>
      <c r="N2905" s="21">
        <v>0</v>
      </c>
      <c r="O2905" s="21">
        <v>0</v>
      </c>
      <c r="P2905" s="21">
        <v>0</v>
      </c>
      <c r="Q2905" s="21">
        <v>0</v>
      </c>
      <c r="R2905" s="21">
        <v>0</v>
      </c>
      <c r="S2905" s="21">
        <v>0</v>
      </c>
      <c r="T2905" s="21">
        <v>0</v>
      </c>
      <c r="U2905" s="21">
        <v>0</v>
      </c>
      <c r="V2905" s="21">
        <v>0</v>
      </c>
      <c r="W2905" s="21">
        <v>0</v>
      </c>
      <c r="X2905" s="21">
        <v>0</v>
      </c>
      <c r="Y2905" s="21">
        <v>0</v>
      </c>
      <c r="Z2905" s="204" t="s">
        <v>2276</v>
      </c>
      <c r="AA2905" s="204" t="s">
        <v>2276</v>
      </c>
      <c r="AB2905" s="204" t="s">
        <v>2276</v>
      </c>
      <c r="AC2905" s="204"/>
      <c r="AD2905" s="204"/>
    </row>
    <row r="2906" spans="1:30" ht="33.5" customHeight="1">
      <c r="A2906" s="19" t="s">
        <v>7769</v>
      </c>
      <c r="B2906" s="204" t="s">
        <v>7844</v>
      </c>
      <c r="C2906" s="204" t="s">
        <v>24</v>
      </c>
      <c r="D2906" s="204" t="s">
        <v>1242</v>
      </c>
      <c r="E2906" s="204" t="s">
        <v>3209</v>
      </c>
      <c r="F2906" s="4" t="s">
        <v>2276</v>
      </c>
      <c r="G2906" s="4" t="s">
        <v>2276</v>
      </c>
      <c r="H2906" s="204" t="s">
        <v>523</v>
      </c>
      <c r="I2906" s="103"/>
      <c r="J2906" s="204" t="s">
        <v>2276</v>
      </c>
      <c r="K2906" s="204" t="s">
        <v>2276</v>
      </c>
      <c r="L2906" s="204" t="s">
        <v>2276</v>
      </c>
      <c r="M2906" s="204" t="s">
        <v>2276</v>
      </c>
      <c r="N2906" s="204" t="s">
        <v>2276</v>
      </c>
      <c r="O2906" s="204" t="s">
        <v>2276</v>
      </c>
      <c r="P2906" s="204" t="s">
        <v>2276</v>
      </c>
      <c r="Q2906" s="204" t="s">
        <v>2276</v>
      </c>
      <c r="R2906" s="204" t="s">
        <v>2276</v>
      </c>
      <c r="S2906" s="204" t="s">
        <v>2276</v>
      </c>
      <c r="T2906" s="204" t="s">
        <v>2276</v>
      </c>
      <c r="U2906" s="204" t="s">
        <v>2276</v>
      </c>
      <c r="V2906" s="204" t="s">
        <v>2276</v>
      </c>
      <c r="W2906" s="204" t="s">
        <v>2276</v>
      </c>
      <c r="X2906" s="204" t="s">
        <v>2276</v>
      </c>
      <c r="Y2906" s="204" t="s">
        <v>2276</v>
      </c>
      <c r="Z2906" s="204" t="s">
        <v>2276</v>
      </c>
      <c r="AA2906" s="204" t="s">
        <v>2276</v>
      </c>
      <c r="AB2906" s="204" t="s">
        <v>2276</v>
      </c>
      <c r="AC2906" s="204"/>
      <c r="AD2906" s="204"/>
    </row>
    <row r="2907" spans="1:30" ht="33.5" customHeight="1">
      <c r="A2907" s="19" t="s">
        <v>7770</v>
      </c>
      <c r="B2907" s="204" t="s">
        <v>7845</v>
      </c>
      <c r="C2907" s="204" t="s">
        <v>24</v>
      </c>
      <c r="D2907" s="204" t="s">
        <v>1242</v>
      </c>
      <c r="E2907" s="204" t="s">
        <v>3209</v>
      </c>
      <c r="F2907" s="4" t="s">
        <v>2276</v>
      </c>
      <c r="G2907" s="4" t="s">
        <v>2276</v>
      </c>
      <c r="H2907" s="204" t="s">
        <v>523</v>
      </c>
      <c r="I2907" s="103"/>
      <c r="J2907" s="204" t="s">
        <v>2276</v>
      </c>
      <c r="K2907" s="204" t="s">
        <v>2276</v>
      </c>
      <c r="L2907" s="204" t="s">
        <v>2276</v>
      </c>
      <c r="M2907" s="204" t="s">
        <v>2276</v>
      </c>
      <c r="N2907" s="204" t="s">
        <v>2276</v>
      </c>
      <c r="O2907" s="204" t="s">
        <v>2276</v>
      </c>
      <c r="P2907" s="204" t="s">
        <v>2276</v>
      </c>
      <c r="Q2907" s="204" t="s">
        <v>2276</v>
      </c>
      <c r="R2907" s="204" t="s">
        <v>2276</v>
      </c>
      <c r="S2907" s="204" t="s">
        <v>2276</v>
      </c>
      <c r="T2907" s="204" t="s">
        <v>2276</v>
      </c>
      <c r="U2907" s="204" t="s">
        <v>2276</v>
      </c>
      <c r="V2907" s="204" t="s">
        <v>2276</v>
      </c>
      <c r="W2907" s="204" t="s">
        <v>2276</v>
      </c>
      <c r="X2907" s="204" t="s">
        <v>2276</v>
      </c>
      <c r="Y2907" s="204" t="s">
        <v>2276</v>
      </c>
      <c r="Z2907" s="204" t="s">
        <v>2276</v>
      </c>
      <c r="AA2907" s="204" t="s">
        <v>2276</v>
      </c>
      <c r="AB2907" s="204" t="s">
        <v>2276</v>
      </c>
      <c r="AC2907" s="204"/>
      <c r="AD2907" s="204"/>
    </row>
    <row r="2908" spans="1:30" ht="33.5" customHeight="1">
      <c r="A2908" s="19" t="s">
        <v>7771</v>
      </c>
      <c r="B2908" s="204" t="s">
        <v>7846</v>
      </c>
      <c r="C2908" s="204" t="s">
        <v>24</v>
      </c>
      <c r="D2908" s="204" t="s">
        <v>1242</v>
      </c>
      <c r="E2908" s="204" t="s">
        <v>3209</v>
      </c>
      <c r="F2908" s="4" t="s">
        <v>2276</v>
      </c>
      <c r="G2908" s="4" t="s">
        <v>2276</v>
      </c>
      <c r="H2908" s="204" t="s">
        <v>523</v>
      </c>
      <c r="I2908" s="103"/>
      <c r="J2908" s="204" t="s">
        <v>2276</v>
      </c>
      <c r="K2908" s="204" t="s">
        <v>2276</v>
      </c>
      <c r="L2908" s="204" t="s">
        <v>2276</v>
      </c>
      <c r="M2908" s="204" t="s">
        <v>2276</v>
      </c>
      <c r="N2908" s="204" t="s">
        <v>2276</v>
      </c>
      <c r="O2908" s="204" t="s">
        <v>2276</v>
      </c>
      <c r="P2908" s="204" t="s">
        <v>2276</v>
      </c>
      <c r="Q2908" s="204" t="s">
        <v>2276</v>
      </c>
      <c r="R2908" s="204" t="s">
        <v>2276</v>
      </c>
      <c r="S2908" s="204" t="s">
        <v>2276</v>
      </c>
      <c r="T2908" s="204" t="s">
        <v>2276</v>
      </c>
      <c r="U2908" s="204" t="s">
        <v>2276</v>
      </c>
      <c r="V2908" s="204" t="s">
        <v>2276</v>
      </c>
      <c r="W2908" s="204" t="s">
        <v>2276</v>
      </c>
      <c r="X2908" s="204" t="s">
        <v>2276</v>
      </c>
      <c r="Y2908" s="204" t="s">
        <v>2276</v>
      </c>
      <c r="Z2908" s="204" t="s">
        <v>2276</v>
      </c>
      <c r="AA2908" s="204" t="s">
        <v>2276</v>
      </c>
      <c r="AB2908" s="204" t="s">
        <v>2276</v>
      </c>
      <c r="AC2908" s="204"/>
      <c r="AD2908" s="204"/>
    </row>
    <row r="2909" spans="1:30" ht="33.5" customHeight="1">
      <c r="A2909" s="19" t="s">
        <v>7772</v>
      </c>
      <c r="B2909" s="204" t="s">
        <v>7847</v>
      </c>
      <c r="C2909" s="204" t="s">
        <v>24</v>
      </c>
      <c r="D2909" s="204" t="s">
        <v>1242</v>
      </c>
      <c r="E2909" s="204" t="s">
        <v>3209</v>
      </c>
      <c r="F2909" s="4" t="s">
        <v>2276</v>
      </c>
      <c r="G2909" s="4" t="s">
        <v>2276</v>
      </c>
      <c r="H2909" s="204" t="s">
        <v>523</v>
      </c>
      <c r="I2909" s="103"/>
      <c r="J2909" s="204" t="s">
        <v>2276</v>
      </c>
      <c r="K2909" s="204" t="s">
        <v>2276</v>
      </c>
      <c r="L2909" s="204" t="s">
        <v>2276</v>
      </c>
      <c r="M2909" s="204" t="s">
        <v>2276</v>
      </c>
      <c r="N2909" s="204" t="s">
        <v>2276</v>
      </c>
      <c r="O2909" s="204" t="s">
        <v>2276</v>
      </c>
      <c r="P2909" s="204" t="s">
        <v>2276</v>
      </c>
      <c r="Q2909" s="204" t="s">
        <v>2276</v>
      </c>
      <c r="R2909" s="204" t="s">
        <v>2276</v>
      </c>
      <c r="S2909" s="204" t="s">
        <v>2276</v>
      </c>
      <c r="T2909" s="204" t="s">
        <v>2276</v>
      </c>
      <c r="U2909" s="204" t="s">
        <v>2276</v>
      </c>
      <c r="V2909" s="204" t="s">
        <v>2276</v>
      </c>
      <c r="W2909" s="204" t="s">
        <v>2276</v>
      </c>
      <c r="X2909" s="204" t="s">
        <v>2276</v>
      </c>
      <c r="Y2909" s="204" t="s">
        <v>2276</v>
      </c>
      <c r="Z2909" s="204" t="s">
        <v>2276</v>
      </c>
      <c r="AA2909" s="204" t="s">
        <v>2276</v>
      </c>
      <c r="AB2909" s="204" t="s">
        <v>2276</v>
      </c>
      <c r="AC2909" s="204"/>
      <c r="AD2909" s="204"/>
    </row>
    <row r="2910" spans="1:30" ht="33.5" customHeight="1">
      <c r="A2910" s="19" t="s">
        <v>7773</v>
      </c>
      <c r="B2910" s="204" t="s">
        <v>7848</v>
      </c>
      <c r="C2910" s="204" t="s">
        <v>24</v>
      </c>
      <c r="D2910" s="204" t="s">
        <v>1242</v>
      </c>
      <c r="E2910" s="204" t="s">
        <v>3209</v>
      </c>
      <c r="F2910" s="4" t="s">
        <v>2276</v>
      </c>
      <c r="G2910" s="4" t="s">
        <v>2276</v>
      </c>
      <c r="H2910" s="204" t="s">
        <v>524</v>
      </c>
      <c r="I2910" s="103"/>
      <c r="J2910" s="21">
        <v>0</v>
      </c>
      <c r="K2910" s="21">
        <v>0</v>
      </c>
      <c r="L2910" s="21">
        <v>0</v>
      </c>
      <c r="M2910" s="21">
        <v>0</v>
      </c>
      <c r="N2910" s="21">
        <v>0</v>
      </c>
      <c r="O2910" s="21">
        <v>0</v>
      </c>
      <c r="P2910" s="21">
        <v>0</v>
      </c>
      <c r="Q2910" s="21">
        <v>0</v>
      </c>
      <c r="R2910" s="21">
        <v>0</v>
      </c>
      <c r="S2910" s="21">
        <v>0</v>
      </c>
      <c r="T2910" s="21">
        <v>0</v>
      </c>
      <c r="U2910" s="21">
        <v>0</v>
      </c>
      <c r="V2910" s="21">
        <v>0</v>
      </c>
      <c r="W2910" s="21">
        <v>0</v>
      </c>
      <c r="X2910" s="21">
        <v>0</v>
      </c>
      <c r="Y2910" s="21">
        <v>0</v>
      </c>
      <c r="Z2910" s="204" t="s">
        <v>2276</v>
      </c>
      <c r="AA2910" s="204" t="s">
        <v>2276</v>
      </c>
      <c r="AB2910" s="204" t="s">
        <v>2276</v>
      </c>
      <c r="AC2910" s="204"/>
      <c r="AD2910" s="204"/>
    </row>
    <row r="2911" spans="1:30" ht="33.5" customHeight="1">
      <c r="A2911" s="19" t="s">
        <v>7774</v>
      </c>
      <c r="B2911" s="204" t="s">
        <v>7849</v>
      </c>
      <c r="C2911" s="204" t="s">
        <v>24</v>
      </c>
      <c r="D2911" s="204" t="s">
        <v>1242</v>
      </c>
      <c r="E2911" s="204" t="s">
        <v>3209</v>
      </c>
      <c r="F2911" s="4" t="s">
        <v>2276</v>
      </c>
      <c r="G2911" s="4" t="s">
        <v>2276</v>
      </c>
      <c r="H2911" s="204" t="s">
        <v>523</v>
      </c>
      <c r="I2911" s="103"/>
      <c r="J2911" s="204" t="s">
        <v>2276</v>
      </c>
      <c r="K2911" s="204" t="s">
        <v>2276</v>
      </c>
      <c r="L2911" s="204" t="s">
        <v>2276</v>
      </c>
      <c r="M2911" s="204" t="s">
        <v>2276</v>
      </c>
      <c r="N2911" s="204" t="s">
        <v>2276</v>
      </c>
      <c r="O2911" s="204" t="s">
        <v>2276</v>
      </c>
      <c r="P2911" s="204" t="s">
        <v>2276</v>
      </c>
      <c r="Q2911" s="204" t="s">
        <v>2276</v>
      </c>
      <c r="R2911" s="204" t="s">
        <v>2276</v>
      </c>
      <c r="S2911" s="204" t="s">
        <v>2276</v>
      </c>
      <c r="T2911" s="204" t="s">
        <v>2276</v>
      </c>
      <c r="U2911" s="204" t="s">
        <v>2276</v>
      </c>
      <c r="V2911" s="204" t="s">
        <v>2276</v>
      </c>
      <c r="W2911" s="204" t="s">
        <v>2276</v>
      </c>
      <c r="X2911" s="204" t="s">
        <v>2276</v>
      </c>
      <c r="Y2911" s="204" t="s">
        <v>2276</v>
      </c>
      <c r="Z2911" s="204" t="s">
        <v>2276</v>
      </c>
      <c r="AA2911" s="204" t="s">
        <v>2276</v>
      </c>
      <c r="AB2911" s="204" t="s">
        <v>2276</v>
      </c>
      <c r="AC2911" s="204"/>
      <c r="AD2911" s="204"/>
    </row>
    <row r="2912" spans="1:30" ht="36.5" customHeight="1">
      <c r="A2912" s="19" t="s">
        <v>7873</v>
      </c>
      <c r="B2912" s="11" t="s">
        <v>7875</v>
      </c>
      <c r="C2912" s="204" t="s">
        <v>24</v>
      </c>
      <c r="D2912" s="204" t="s">
        <v>143</v>
      </c>
      <c r="E2912" s="204" t="s">
        <v>130</v>
      </c>
      <c r="F2912" s="4" t="s">
        <v>74</v>
      </c>
      <c r="G2912" s="4" t="s">
        <v>74</v>
      </c>
      <c r="H2912" s="204" t="s">
        <v>523</v>
      </c>
      <c r="I2912" s="204"/>
      <c r="J2912" s="204" t="s">
        <v>2276</v>
      </c>
      <c r="K2912" s="21">
        <v>0.5</v>
      </c>
      <c r="L2912" s="204" t="s">
        <v>2276</v>
      </c>
      <c r="M2912" s="204" t="s">
        <v>2276</v>
      </c>
      <c r="N2912" s="204" t="s">
        <v>2276</v>
      </c>
      <c r="O2912" s="21">
        <v>2.327</v>
      </c>
      <c r="P2912" s="204" t="s">
        <v>2276</v>
      </c>
      <c r="Q2912" s="204" t="s">
        <v>2276</v>
      </c>
      <c r="R2912" s="204" t="s">
        <v>2276</v>
      </c>
      <c r="S2912" s="204" t="s">
        <v>2276</v>
      </c>
      <c r="T2912" s="204" t="s">
        <v>2276</v>
      </c>
      <c r="U2912" s="204" t="s">
        <v>2276</v>
      </c>
      <c r="V2912" s="204" t="s">
        <v>2276</v>
      </c>
      <c r="W2912" s="204" t="s">
        <v>2276</v>
      </c>
      <c r="X2912" s="204" t="s">
        <v>2276</v>
      </c>
      <c r="Y2912" s="204" t="s">
        <v>2276</v>
      </c>
      <c r="Z2912" s="204" t="s">
        <v>68</v>
      </c>
      <c r="AA2912" s="204" t="s">
        <v>35</v>
      </c>
      <c r="AB2912" s="204" t="s">
        <v>2276</v>
      </c>
      <c r="AC2912" s="204" t="s">
        <v>7884</v>
      </c>
      <c r="AD2912" s="204"/>
    </row>
    <row r="2913" spans="1:30" s="203" customFormat="1" ht="36.5" customHeight="1">
      <c r="A2913" s="19" t="s">
        <v>7873</v>
      </c>
      <c r="B2913" s="11" t="s">
        <v>7876</v>
      </c>
      <c r="C2913" s="204" t="s">
        <v>24</v>
      </c>
      <c r="D2913" s="204" t="s">
        <v>27</v>
      </c>
      <c r="E2913" s="204" t="s">
        <v>130</v>
      </c>
      <c r="F2913" s="4" t="s">
        <v>160</v>
      </c>
      <c r="G2913" s="4" t="s">
        <v>160</v>
      </c>
      <c r="H2913" s="204" t="s">
        <v>523</v>
      </c>
      <c r="I2913" s="204"/>
      <c r="J2913" s="204" t="s">
        <v>2276</v>
      </c>
      <c r="K2913" s="21">
        <v>0.5</v>
      </c>
      <c r="L2913" s="204" t="s">
        <v>2276</v>
      </c>
      <c r="M2913" s="204" t="s">
        <v>2276</v>
      </c>
      <c r="N2913" s="204" t="s">
        <v>2276</v>
      </c>
      <c r="O2913" s="21">
        <v>2.327</v>
      </c>
      <c r="P2913" s="204" t="s">
        <v>2276</v>
      </c>
      <c r="Q2913" s="204" t="s">
        <v>2276</v>
      </c>
      <c r="R2913" s="204" t="s">
        <v>2276</v>
      </c>
      <c r="S2913" s="204" t="s">
        <v>2276</v>
      </c>
      <c r="T2913" s="204" t="s">
        <v>2276</v>
      </c>
      <c r="U2913" s="204" t="s">
        <v>2276</v>
      </c>
      <c r="V2913" s="204" t="s">
        <v>2276</v>
      </c>
      <c r="W2913" s="204" t="s">
        <v>2276</v>
      </c>
      <c r="X2913" s="204" t="s">
        <v>2276</v>
      </c>
      <c r="Y2913" s="21" t="s">
        <v>2403</v>
      </c>
      <c r="Z2913" s="204" t="s">
        <v>425</v>
      </c>
      <c r="AA2913" s="204" t="s">
        <v>399</v>
      </c>
      <c r="AB2913" s="204" t="s">
        <v>2276</v>
      </c>
      <c r="AC2913" s="204"/>
      <c r="AD2913" s="204"/>
    </row>
    <row r="2914" spans="1:30" ht="47.5" customHeight="1">
      <c r="A2914" s="19" t="s">
        <v>7873</v>
      </c>
      <c r="B2914" s="11" t="s">
        <v>7877</v>
      </c>
      <c r="C2914" s="204" t="s">
        <v>24</v>
      </c>
      <c r="D2914" s="204" t="s">
        <v>143</v>
      </c>
      <c r="E2914" s="4" t="s">
        <v>3854</v>
      </c>
      <c r="F2914" s="4" t="s">
        <v>74</v>
      </c>
      <c r="G2914" s="4" t="s">
        <v>74</v>
      </c>
      <c r="H2914" s="204" t="s">
        <v>523</v>
      </c>
      <c r="I2914" s="204"/>
      <c r="J2914" s="204" t="s">
        <v>2276</v>
      </c>
      <c r="K2914" s="21">
        <v>1</v>
      </c>
      <c r="L2914" s="204" t="s">
        <v>2276</v>
      </c>
      <c r="M2914" s="21">
        <v>12.5</v>
      </c>
      <c r="N2914" s="204" t="s">
        <v>2276</v>
      </c>
      <c r="O2914" s="21">
        <v>5.4249999999999998</v>
      </c>
      <c r="P2914" s="204" t="s">
        <v>2276</v>
      </c>
      <c r="Q2914" s="204" t="s">
        <v>2276</v>
      </c>
      <c r="R2914" s="204" t="s">
        <v>2276</v>
      </c>
      <c r="S2914" s="204" t="s">
        <v>2276</v>
      </c>
      <c r="T2914" s="204" t="s">
        <v>2276</v>
      </c>
      <c r="U2914" s="204" t="s">
        <v>2276</v>
      </c>
      <c r="V2914" s="204" t="s">
        <v>2276</v>
      </c>
      <c r="W2914" s="204" t="s">
        <v>2276</v>
      </c>
      <c r="X2914" s="204" t="s">
        <v>2276</v>
      </c>
      <c r="Y2914" s="204" t="s">
        <v>2276</v>
      </c>
      <c r="Z2914" s="204" t="s">
        <v>68</v>
      </c>
      <c r="AA2914" s="204" t="s">
        <v>35</v>
      </c>
      <c r="AB2914" s="204" t="s">
        <v>2276</v>
      </c>
      <c r="AC2914" s="204"/>
      <c r="AD2914" s="204"/>
    </row>
    <row r="2915" spans="1:30" ht="47.5" customHeight="1">
      <c r="A2915" s="19" t="s">
        <v>7873</v>
      </c>
      <c r="B2915" s="11" t="s">
        <v>7878</v>
      </c>
      <c r="C2915" s="204" t="s">
        <v>24</v>
      </c>
      <c r="D2915" s="204" t="s">
        <v>25</v>
      </c>
      <c r="E2915" s="4" t="s">
        <v>3854</v>
      </c>
      <c r="F2915" s="4" t="s">
        <v>29</v>
      </c>
      <c r="G2915" s="4" t="s">
        <v>29</v>
      </c>
      <c r="H2915" s="204" t="s">
        <v>523</v>
      </c>
      <c r="I2915" s="204"/>
      <c r="J2915" s="204" t="s">
        <v>2276</v>
      </c>
      <c r="K2915" s="204" t="s">
        <v>2276</v>
      </c>
      <c r="L2915" s="204" t="s">
        <v>2276</v>
      </c>
      <c r="M2915" s="204" t="s">
        <v>2276</v>
      </c>
      <c r="N2915" s="204" t="s">
        <v>2276</v>
      </c>
      <c r="O2915" s="204" t="s">
        <v>2276</v>
      </c>
      <c r="P2915" s="204" t="s">
        <v>2276</v>
      </c>
      <c r="Q2915" s="204" t="s">
        <v>2276</v>
      </c>
      <c r="R2915" s="204" t="s">
        <v>2276</v>
      </c>
      <c r="S2915" s="204" t="s">
        <v>2276</v>
      </c>
      <c r="T2915" s="204" t="s">
        <v>2276</v>
      </c>
      <c r="U2915" s="204" t="s">
        <v>2276</v>
      </c>
      <c r="V2915" s="204" t="s">
        <v>2276</v>
      </c>
      <c r="W2915" s="204" t="s">
        <v>2276</v>
      </c>
      <c r="X2915" s="204" t="s">
        <v>2276</v>
      </c>
      <c r="Y2915" s="21" t="s">
        <v>2375</v>
      </c>
      <c r="Z2915" s="204" t="s">
        <v>2276</v>
      </c>
      <c r="AA2915" s="204" t="s">
        <v>2276</v>
      </c>
      <c r="AB2915" s="204" t="s">
        <v>2276</v>
      </c>
      <c r="AC2915" s="204"/>
      <c r="AD2915" s="204"/>
    </row>
    <row r="2916" spans="1:30" ht="47.5" customHeight="1">
      <c r="A2916" s="19" t="s">
        <v>7873</v>
      </c>
      <c r="B2916" s="11" t="s">
        <v>7879</v>
      </c>
      <c r="C2916" s="204" t="s">
        <v>2458</v>
      </c>
      <c r="D2916" s="204" t="s">
        <v>25</v>
      </c>
      <c r="E2916" s="4" t="s">
        <v>3854</v>
      </c>
      <c r="F2916" s="4" t="s">
        <v>29</v>
      </c>
      <c r="G2916" s="4" t="s">
        <v>74</v>
      </c>
      <c r="H2916" s="204" t="s">
        <v>523</v>
      </c>
      <c r="I2916" s="204"/>
      <c r="J2916" s="204" t="s">
        <v>2276</v>
      </c>
      <c r="K2916" s="204" t="s">
        <v>2276</v>
      </c>
      <c r="L2916" s="204" t="s">
        <v>2276</v>
      </c>
      <c r="M2916" s="204" t="s">
        <v>2276</v>
      </c>
      <c r="N2916" s="204" t="s">
        <v>2276</v>
      </c>
      <c r="O2916" s="204" t="s">
        <v>2276</v>
      </c>
      <c r="P2916" s="204" t="s">
        <v>2276</v>
      </c>
      <c r="Q2916" s="204" t="s">
        <v>2276</v>
      </c>
      <c r="R2916" s="204" t="s">
        <v>2276</v>
      </c>
      <c r="S2916" s="204" t="s">
        <v>2276</v>
      </c>
      <c r="T2916" s="204" t="s">
        <v>2276</v>
      </c>
      <c r="U2916" s="204" t="s">
        <v>2276</v>
      </c>
      <c r="V2916" s="204" t="s">
        <v>2276</v>
      </c>
      <c r="W2916" s="204" t="s">
        <v>2276</v>
      </c>
      <c r="X2916" s="204" t="s">
        <v>2276</v>
      </c>
      <c r="Y2916" s="204" t="s">
        <v>2276</v>
      </c>
      <c r="Z2916" s="204" t="s">
        <v>2276</v>
      </c>
      <c r="AA2916" s="204" t="s">
        <v>2276</v>
      </c>
      <c r="AB2916" s="204" t="s">
        <v>2276</v>
      </c>
      <c r="AC2916" s="204"/>
      <c r="AD2916" s="204"/>
    </row>
    <row r="2917" spans="1:30" ht="36.5" customHeight="1">
      <c r="A2917" s="19" t="s">
        <v>7873</v>
      </c>
      <c r="B2917" s="11" t="s">
        <v>7880</v>
      </c>
      <c r="C2917" s="204" t="s">
        <v>24</v>
      </c>
      <c r="D2917" s="204" t="s">
        <v>143</v>
      </c>
      <c r="E2917" s="204" t="s">
        <v>45</v>
      </c>
      <c r="F2917" s="4" t="s">
        <v>74</v>
      </c>
      <c r="G2917" s="4" t="s">
        <v>74</v>
      </c>
      <c r="H2917" s="204" t="s">
        <v>523</v>
      </c>
      <c r="I2917" s="204"/>
      <c r="J2917" s="204" t="s">
        <v>2276</v>
      </c>
      <c r="K2917" s="204" t="s">
        <v>2276</v>
      </c>
      <c r="L2917" s="204" t="s">
        <v>2276</v>
      </c>
      <c r="M2917" s="204" t="s">
        <v>2276</v>
      </c>
      <c r="N2917" s="204" t="s">
        <v>2276</v>
      </c>
      <c r="O2917" s="204" t="s">
        <v>2276</v>
      </c>
      <c r="P2917" s="204" t="s">
        <v>2276</v>
      </c>
      <c r="Q2917" s="204" t="s">
        <v>2276</v>
      </c>
      <c r="R2917" s="204" t="s">
        <v>2276</v>
      </c>
      <c r="S2917" s="204" t="s">
        <v>2276</v>
      </c>
      <c r="T2917" s="204" t="s">
        <v>2276</v>
      </c>
      <c r="U2917" s="204" t="s">
        <v>2276</v>
      </c>
      <c r="V2917" s="204" t="s">
        <v>2276</v>
      </c>
      <c r="W2917" s="204" t="s">
        <v>2276</v>
      </c>
      <c r="X2917" s="204" t="s">
        <v>2276</v>
      </c>
      <c r="Y2917" s="204" t="s">
        <v>2276</v>
      </c>
      <c r="Z2917" s="204" t="s">
        <v>68</v>
      </c>
      <c r="AA2917" s="204" t="s">
        <v>35</v>
      </c>
      <c r="AB2917" s="204" t="s">
        <v>2276</v>
      </c>
      <c r="AC2917" s="204"/>
      <c r="AD2917" s="204"/>
    </row>
    <row r="2918" spans="1:30" ht="36.5" customHeight="1">
      <c r="A2918" s="19" t="s">
        <v>7873</v>
      </c>
      <c r="B2918" s="11" t="s">
        <v>7881</v>
      </c>
      <c r="C2918" s="204" t="s">
        <v>24</v>
      </c>
      <c r="D2918" s="204" t="s">
        <v>25</v>
      </c>
      <c r="E2918" s="204" t="s">
        <v>45</v>
      </c>
      <c r="F2918" s="4" t="s">
        <v>29</v>
      </c>
      <c r="G2918" s="4" t="s">
        <v>29</v>
      </c>
      <c r="H2918" s="204" t="s">
        <v>523</v>
      </c>
      <c r="I2918" s="204"/>
      <c r="J2918" s="204" t="s">
        <v>2276</v>
      </c>
      <c r="K2918" s="204" t="s">
        <v>2276</v>
      </c>
      <c r="L2918" s="204" t="s">
        <v>2276</v>
      </c>
      <c r="M2918" s="204" t="s">
        <v>2276</v>
      </c>
      <c r="N2918" s="204" t="s">
        <v>2276</v>
      </c>
      <c r="O2918" s="204" t="s">
        <v>2276</v>
      </c>
      <c r="P2918" s="204" t="s">
        <v>2276</v>
      </c>
      <c r="Q2918" s="204" t="s">
        <v>2276</v>
      </c>
      <c r="R2918" s="204" t="s">
        <v>2276</v>
      </c>
      <c r="S2918" s="204" t="s">
        <v>2276</v>
      </c>
      <c r="T2918" s="204" t="s">
        <v>2276</v>
      </c>
      <c r="U2918" s="204" t="s">
        <v>2276</v>
      </c>
      <c r="V2918" s="204" t="s">
        <v>2276</v>
      </c>
      <c r="W2918" s="204" t="s">
        <v>2276</v>
      </c>
      <c r="X2918" s="204" t="s">
        <v>2276</v>
      </c>
      <c r="Y2918" s="21" t="s">
        <v>2375</v>
      </c>
      <c r="Z2918" s="204" t="s">
        <v>2276</v>
      </c>
      <c r="AA2918" s="204" t="s">
        <v>2276</v>
      </c>
      <c r="AB2918" s="204" t="s">
        <v>2276</v>
      </c>
      <c r="AC2918" s="204"/>
      <c r="AD2918" s="204"/>
    </row>
    <row r="2919" spans="1:30" ht="36.5" customHeight="1">
      <c r="A2919" s="19" t="s">
        <v>7873</v>
      </c>
      <c r="B2919" s="11" t="s">
        <v>7882</v>
      </c>
      <c r="C2919" s="204" t="s">
        <v>2458</v>
      </c>
      <c r="D2919" s="204" t="s">
        <v>25</v>
      </c>
      <c r="E2919" s="204" t="s">
        <v>45</v>
      </c>
      <c r="F2919" s="4" t="s">
        <v>29</v>
      </c>
      <c r="G2919" s="4" t="s">
        <v>74</v>
      </c>
      <c r="H2919" s="204" t="s">
        <v>523</v>
      </c>
      <c r="I2919" s="204"/>
      <c r="J2919" s="204" t="s">
        <v>2276</v>
      </c>
      <c r="K2919" s="204" t="s">
        <v>2276</v>
      </c>
      <c r="L2919" s="204" t="s">
        <v>2276</v>
      </c>
      <c r="M2919" s="204" t="s">
        <v>2276</v>
      </c>
      <c r="N2919" s="204" t="s">
        <v>2276</v>
      </c>
      <c r="O2919" s="204" t="s">
        <v>2276</v>
      </c>
      <c r="P2919" s="204" t="s">
        <v>2276</v>
      </c>
      <c r="Q2919" s="204" t="s">
        <v>2276</v>
      </c>
      <c r="R2919" s="204" t="s">
        <v>2276</v>
      </c>
      <c r="S2919" s="204" t="s">
        <v>2276</v>
      </c>
      <c r="T2919" s="204" t="s">
        <v>2276</v>
      </c>
      <c r="U2919" s="204" t="s">
        <v>2276</v>
      </c>
      <c r="V2919" s="204" t="s">
        <v>2276</v>
      </c>
      <c r="W2919" s="204" t="s">
        <v>2276</v>
      </c>
      <c r="X2919" s="204" t="s">
        <v>2276</v>
      </c>
      <c r="Y2919" s="204" t="s">
        <v>2276</v>
      </c>
      <c r="Z2919" s="204" t="s">
        <v>2276</v>
      </c>
      <c r="AA2919" s="204" t="s">
        <v>2276</v>
      </c>
      <c r="AB2919" s="204" t="s">
        <v>2276</v>
      </c>
      <c r="AC2919" s="204"/>
      <c r="AD2919" s="204"/>
    </row>
    <row r="2920" spans="1:30" ht="49" customHeight="1">
      <c r="A2920" s="19" t="s">
        <v>7886</v>
      </c>
      <c r="B2920" s="11" t="s">
        <v>7890</v>
      </c>
      <c r="C2920" s="204" t="s">
        <v>24</v>
      </c>
      <c r="D2920" s="204" t="s">
        <v>25</v>
      </c>
      <c r="E2920" s="204" t="s">
        <v>45</v>
      </c>
      <c r="F2920" s="4" t="s">
        <v>55</v>
      </c>
      <c r="G2920" s="4" t="s">
        <v>55</v>
      </c>
      <c r="H2920" s="204" t="s">
        <v>523</v>
      </c>
      <c r="I2920" s="204"/>
      <c r="J2920" s="204" t="s">
        <v>2276</v>
      </c>
      <c r="K2920" s="204" t="s">
        <v>2276</v>
      </c>
      <c r="L2920" s="204" t="s">
        <v>2276</v>
      </c>
      <c r="M2920" s="204" t="s">
        <v>2276</v>
      </c>
      <c r="N2920" s="204" t="s">
        <v>2276</v>
      </c>
      <c r="O2920" s="204" t="s">
        <v>2276</v>
      </c>
      <c r="P2920" s="204" t="s">
        <v>2276</v>
      </c>
      <c r="Q2920" s="204" t="s">
        <v>2276</v>
      </c>
      <c r="R2920" s="204" t="s">
        <v>2276</v>
      </c>
      <c r="S2920" s="204" t="s">
        <v>2276</v>
      </c>
      <c r="T2920" s="204" t="s">
        <v>2276</v>
      </c>
      <c r="U2920" s="204" t="s">
        <v>2276</v>
      </c>
      <c r="V2920" s="204" t="s">
        <v>2276</v>
      </c>
      <c r="W2920" s="204" t="s">
        <v>2276</v>
      </c>
      <c r="X2920" s="204" t="s">
        <v>2276</v>
      </c>
      <c r="Y2920" s="204" t="s">
        <v>2276</v>
      </c>
      <c r="Z2920" s="204" t="s">
        <v>2276</v>
      </c>
      <c r="AA2920" s="204" t="s">
        <v>2276</v>
      </c>
      <c r="AB2920" s="204" t="s">
        <v>2276</v>
      </c>
      <c r="AC2920" s="4" t="s">
        <v>7892</v>
      </c>
      <c r="AD2920" s="204" t="s">
        <v>7894</v>
      </c>
    </row>
    <row r="2921" spans="1:30" ht="49" customHeight="1">
      <c r="A2921" s="19" t="s">
        <v>7886</v>
      </c>
      <c r="B2921" s="11" t="s">
        <v>7891</v>
      </c>
      <c r="C2921" s="204" t="s">
        <v>24</v>
      </c>
      <c r="D2921" s="204" t="s">
        <v>25</v>
      </c>
      <c r="E2921" s="204" t="s">
        <v>5005</v>
      </c>
      <c r="F2921" s="4" t="s">
        <v>55</v>
      </c>
      <c r="G2921" s="4" t="s">
        <v>55</v>
      </c>
      <c r="H2921" s="204" t="s">
        <v>523</v>
      </c>
      <c r="I2921" s="204"/>
      <c r="J2921" s="204" t="s">
        <v>2276</v>
      </c>
      <c r="K2921" s="204" t="s">
        <v>2276</v>
      </c>
      <c r="L2921" s="204" t="s">
        <v>2276</v>
      </c>
      <c r="M2921" s="204" t="s">
        <v>2276</v>
      </c>
      <c r="N2921" s="204" t="s">
        <v>2276</v>
      </c>
      <c r="O2921" s="204" t="s">
        <v>2276</v>
      </c>
      <c r="P2921" s="204" t="s">
        <v>2276</v>
      </c>
      <c r="Q2921" s="204" t="s">
        <v>2276</v>
      </c>
      <c r="R2921" s="204" t="s">
        <v>2276</v>
      </c>
      <c r="S2921" s="204" t="s">
        <v>2276</v>
      </c>
      <c r="T2921" s="204" t="s">
        <v>2276</v>
      </c>
      <c r="U2921" s="204" t="s">
        <v>2276</v>
      </c>
      <c r="V2921" s="204" t="s">
        <v>2276</v>
      </c>
      <c r="W2921" s="204" t="s">
        <v>2276</v>
      </c>
      <c r="X2921" s="204" t="s">
        <v>2276</v>
      </c>
      <c r="Y2921" s="204" t="s">
        <v>2276</v>
      </c>
      <c r="Z2921" s="204" t="s">
        <v>2276</v>
      </c>
      <c r="AA2921" s="204" t="s">
        <v>2276</v>
      </c>
      <c r="AB2921" s="204" t="s">
        <v>2276</v>
      </c>
      <c r="AC2921" s="4" t="s">
        <v>7893</v>
      </c>
      <c r="AD2921" s="204" t="s">
        <v>7894</v>
      </c>
    </row>
    <row r="2922" spans="1:30" ht="33.5" customHeight="1">
      <c r="A2922" s="204" t="s">
        <v>7895</v>
      </c>
      <c r="B2922" s="11" t="s">
        <v>7898</v>
      </c>
      <c r="C2922" s="204" t="s">
        <v>24</v>
      </c>
      <c r="D2922" s="204" t="s">
        <v>144</v>
      </c>
      <c r="E2922" s="204" t="s">
        <v>137</v>
      </c>
      <c r="F2922" s="4" t="s">
        <v>2276</v>
      </c>
      <c r="G2922" s="4" t="s">
        <v>2276</v>
      </c>
      <c r="H2922" s="204" t="s">
        <v>524</v>
      </c>
      <c r="I2922" s="204"/>
      <c r="J2922" s="21">
        <v>0</v>
      </c>
      <c r="K2922" s="21">
        <v>0</v>
      </c>
      <c r="L2922" s="21">
        <v>0</v>
      </c>
      <c r="M2922" s="21">
        <v>0</v>
      </c>
      <c r="N2922" s="21">
        <v>0</v>
      </c>
      <c r="O2922" s="21">
        <v>0</v>
      </c>
      <c r="P2922" s="21">
        <v>0</v>
      </c>
      <c r="Q2922" s="21">
        <v>0</v>
      </c>
      <c r="R2922" s="21">
        <v>0</v>
      </c>
      <c r="S2922" s="21">
        <v>0</v>
      </c>
      <c r="T2922" s="21">
        <v>0</v>
      </c>
      <c r="U2922" s="21">
        <v>0</v>
      </c>
      <c r="V2922" s="21">
        <v>0</v>
      </c>
      <c r="W2922" s="21">
        <v>0</v>
      </c>
      <c r="X2922" s="204" t="s">
        <v>2276</v>
      </c>
      <c r="Y2922" s="204" t="s">
        <v>2276</v>
      </c>
      <c r="Z2922" s="204" t="s">
        <v>2276</v>
      </c>
      <c r="AA2922" s="204" t="s">
        <v>2276</v>
      </c>
      <c r="AB2922" s="204" t="s">
        <v>2276</v>
      </c>
      <c r="AC2922" s="204"/>
      <c r="AD2922" s="204"/>
    </row>
    <row r="2923" spans="1:30" ht="33.5" customHeight="1">
      <c r="A2923" s="204" t="s">
        <v>7895</v>
      </c>
      <c r="B2923" s="11" t="s">
        <v>7899</v>
      </c>
      <c r="C2923" s="204" t="s">
        <v>24</v>
      </c>
      <c r="D2923" s="204" t="s">
        <v>25</v>
      </c>
      <c r="E2923" s="204" t="s">
        <v>45</v>
      </c>
      <c r="F2923" s="4" t="s">
        <v>2276</v>
      </c>
      <c r="G2923" s="4" t="s">
        <v>2276</v>
      </c>
      <c r="H2923" s="204" t="s">
        <v>524</v>
      </c>
      <c r="I2923" s="204"/>
      <c r="J2923" s="21">
        <v>0</v>
      </c>
      <c r="K2923" s="21">
        <v>0</v>
      </c>
      <c r="L2923" s="21">
        <v>0</v>
      </c>
      <c r="M2923" s="21">
        <v>0</v>
      </c>
      <c r="N2923" s="21">
        <v>0</v>
      </c>
      <c r="O2923" s="21">
        <v>0</v>
      </c>
      <c r="P2923" s="21">
        <v>0</v>
      </c>
      <c r="Q2923" s="21">
        <v>0</v>
      </c>
      <c r="R2923" s="21">
        <v>0</v>
      </c>
      <c r="S2923" s="21">
        <v>0</v>
      </c>
      <c r="T2923" s="21">
        <v>0</v>
      </c>
      <c r="U2923" s="21">
        <v>0</v>
      </c>
      <c r="V2923" s="21">
        <v>0</v>
      </c>
      <c r="W2923" s="21">
        <v>0</v>
      </c>
      <c r="X2923" s="204" t="s">
        <v>2276</v>
      </c>
      <c r="Y2923" s="204" t="s">
        <v>2276</v>
      </c>
      <c r="Z2923" s="204" t="s">
        <v>2276</v>
      </c>
      <c r="AA2923" s="204" t="s">
        <v>2276</v>
      </c>
      <c r="AB2923" s="204" t="s">
        <v>2276</v>
      </c>
      <c r="AC2923" s="204"/>
      <c r="AD2923" s="204"/>
    </row>
    <row r="2924" spans="1:30" ht="32" customHeight="1">
      <c r="A2924" s="204" t="s">
        <v>7901</v>
      </c>
      <c r="B2924" s="11" t="s">
        <v>7903</v>
      </c>
      <c r="C2924" s="204" t="s">
        <v>2658</v>
      </c>
      <c r="D2924" s="204" t="s">
        <v>2276</v>
      </c>
      <c r="E2924" s="204" t="s">
        <v>2276</v>
      </c>
      <c r="F2924" s="204" t="s">
        <v>2276</v>
      </c>
      <c r="G2924" s="4" t="s">
        <v>2662</v>
      </c>
      <c r="H2924" s="204" t="s">
        <v>523</v>
      </c>
      <c r="I2924" s="204"/>
      <c r="J2924" s="204" t="s">
        <v>2276</v>
      </c>
      <c r="K2924" s="204" t="s">
        <v>2276</v>
      </c>
      <c r="L2924" s="204" t="s">
        <v>2276</v>
      </c>
      <c r="M2924" s="204" t="s">
        <v>2276</v>
      </c>
      <c r="N2924" s="204" t="s">
        <v>2276</v>
      </c>
      <c r="O2924" s="204" t="s">
        <v>2276</v>
      </c>
      <c r="P2924" s="204" t="s">
        <v>2276</v>
      </c>
      <c r="Q2924" s="204" t="s">
        <v>2276</v>
      </c>
      <c r="R2924" s="204" t="s">
        <v>2276</v>
      </c>
      <c r="S2924" s="204" t="s">
        <v>2276</v>
      </c>
      <c r="T2924" s="204" t="s">
        <v>2276</v>
      </c>
      <c r="U2924" s="204" t="s">
        <v>2276</v>
      </c>
      <c r="V2924" s="204" t="s">
        <v>2276</v>
      </c>
      <c r="W2924" s="204" t="s">
        <v>2276</v>
      </c>
      <c r="X2924" s="204" t="s">
        <v>2276</v>
      </c>
      <c r="Y2924" s="204" t="s">
        <v>2276</v>
      </c>
      <c r="Z2924" s="204" t="s">
        <v>2276</v>
      </c>
      <c r="AA2924" s="204" t="s">
        <v>2276</v>
      </c>
      <c r="AB2924" s="204" t="s">
        <v>2276</v>
      </c>
      <c r="AC2924" s="204"/>
      <c r="AD2924" s="204"/>
    </row>
    <row r="2925" spans="1:30" ht="31.5" customHeight="1">
      <c r="A2925" s="55" t="s">
        <v>7907</v>
      </c>
      <c r="B2925" s="55" t="s">
        <v>7918</v>
      </c>
      <c r="C2925" s="204" t="s">
        <v>24</v>
      </c>
      <c r="D2925" s="204" t="s">
        <v>144</v>
      </c>
      <c r="E2925" s="204" t="s">
        <v>137</v>
      </c>
      <c r="F2925" s="4" t="s">
        <v>2662</v>
      </c>
      <c r="G2925" s="4" t="s">
        <v>2662</v>
      </c>
      <c r="H2925" s="204" t="s">
        <v>523</v>
      </c>
      <c r="I2925" s="204"/>
      <c r="J2925" s="204" t="s">
        <v>2276</v>
      </c>
      <c r="K2925" s="204" t="s">
        <v>2276</v>
      </c>
      <c r="L2925" s="204" t="s">
        <v>2276</v>
      </c>
      <c r="M2925" s="204" t="s">
        <v>2276</v>
      </c>
      <c r="N2925" s="204" t="s">
        <v>2276</v>
      </c>
      <c r="O2925" s="204" t="s">
        <v>2276</v>
      </c>
      <c r="P2925" s="204" t="s">
        <v>2276</v>
      </c>
      <c r="Q2925" s="204" t="s">
        <v>2276</v>
      </c>
      <c r="R2925" s="204" t="s">
        <v>2276</v>
      </c>
      <c r="S2925" s="204" t="s">
        <v>2276</v>
      </c>
      <c r="T2925" s="204" t="s">
        <v>2276</v>
      </c>
      <c r="U2925" s="204" t="s">
        <v>2276</v>
      </c>
      <c r="V2925" s="204" t="s">
        <v>2276</v>
      </c>
      <c r="W2925" s="204" t="s">
        <v>2276</v>
      </c>
      <c r="X2925" s="204" t="s">
        <v>2276</v>
      </c>
      <c r="Y2925" s="21">
        <v>2</v>
      </c>
      <c r="Z2925" s="204" t="s">
        <v>425</v>
      </c>
      <c r="AA2925" s="204" t="s">
        <v>68</v>
      </c>
      <c r="AB2925" s="204" t="s">
        <v>2655</v>
      </c>
      <c r="AC2925" s="204" t="s">
        <v>7926</v>
      </c>
      <c r="AD2925" s="204"/>
    </row>
    <row r="2926" spans="1:30" ht="31.5" customHeight="1">
      <c r="A2926" s="19" t="s">
        <v>7910</v>
      </c>
      <c r="B2926" s="19" t="s">
        <v>7919</v>
      </c>
      <c r="C2926" s="204" t="s">
        <v>24</v>
      </c>
      <c r="D2926" s="204" t="s">
        <v>144</v>
      </c>
      <c r="E2926" s="204" t="s">
        <v>137</v>
      </c>
      <c r="F2926" s="4" t="s">
        <v>2662</v>
      </c>
      <c r="G2926" s="4" t="s">
        <v>2662</v>
      </c>
      <c r="H2926" s="204" t="s">
        <v>523</v>
      </c>
      <c r="I2926" s="204"/>
      <c r="J2926" s="204" t="s">
        <v>2276</v>
      </c>
      <c r="K2926" s="204" t="s">
        <v>2276</v>
      </c>
      <c r="L2926" s="204" t="s">
        <v>2276</v>
      </c>
      <c r="M2926" s="204" t="s">
        <v>2276</v>
      </c>
      <c r="N2926" s="204" t="s">
        <v>2276</v>
      </c>
      <c r="O2926" s="204" t="s">
        <v>2276</v>
      </c>
      <c r="P2926" s="204" t="s">
        <v>2276</v>
      </c>
      <c r="Q2926" s="204" t="s">
        <v>2276</v>
      </c>
      <c r="R2926" s="204" t="s">
        <v>2276</v>
      </c>
      <c r="S2926" s="204" t="s">
        <v>2276</v>
      </c>
      <c r="T2926" s="204" t="s">
        <v>2276</v>
      </c>
      <c r="U2926" s="204" t="s">
        <v>2276</v>
      </c>
      <c r="V2926" s="204" t="s">
        <v>2276</v>
      </c>
      <c r="W2926" s="204" t="s">
        <v>2276</v>
      </c>
      <c r="X2926" s="204" t="s">
        <v>2276</v>
      </c>
      <c r="Y2926" s="21">
        <v>2</v>
      </c>
      <c r="Z2926" s="204" t="s">
        <v>425</v>
      </c>
      <c r="AA2926" s="204" t="s">
        <v>68</v>
      </c>
      <c r="AB2926" s="204" t="s">
        <v>2655</v>
      </c>
      <c r="AC2926" s="204" t="s">
        <v>7926</v>
      </c>
      <c r="AD2926" s="204"/>
    </row>
    <row r="2927" spans="1:30" ht="31.5" customHeight="1">
      <c r="A2927" s="19" t="s">
        <v>7911</v>
      </c>
      <c r="B2927" s="19" t="s">
        <v>7920</v>
      </c>
      <c r="C2927" s="204" t="s">
        <v>24</v>
      </c>
      <c r="D2927" s="204" t="s">
        <v>144</v>
      </c>
      <c r="E2927" s="204" t="s">
        <v>137</v>
      </c>
      <c r="F2927" s="4" t="s">
        <v>2662</v>
      </c>
      <c r="G2927" s="4" t="s">
        <v>2662</v>
      </c>
      <c r="H2927" s="204" t="s">
        <v>523</v>
      </c>
      <c r="I2927" s="204"/>
      <c r="J2927" s="204" t="s">
        <v>2276</v>
      </c>
      <c r="K2927" s="204" t="s">
        <v>2276</v>
      </c>
      <c r="L2927" s="204" t="s">
        <v>2276</v>
      </c>
      <c r="M2927" s="204" t="s">
        <v>2276</v>
      </c>
      <c r="N2927" s="204" t="s">
        <v>2276</v>
      </c>
      <c r="O2927" s="204" t="s">
        <v>2276</v>
      </c>
      <c r="P2927" s="204" t="s">
        <v>2276</v>
      </c>
      <c r="Q2927" s="204" t="s">
        <v>2276</v>
      </c>
      <c r="R2927" s="204" t="s">
        <v>2276</v>
      </c>
      <c r="S2927" s="204" t="s">
        <v>2276</v>
      </c>
      <c r="T2927" s="204" t="s">
        <v>2276</v>
      </c>
      <c r="U2927" s="204" t="s">
        <v>2276</v>
      </c>
      <c r="V2927" s="204" t="s">
        <v>2276</v>
      </c>
      <c r="W2927" s="204" t="s">
        <v>2276</v>
      </c>
      <c r="X2927" s="204" t="s">
        <v>2276</v>
      </c>
      <c r="Y2927" s="21">
        <v>2</v>
      </c>
      <c r="Z2927" s="204" t="s">
        <v>425</v>
      </c>
      <c r="AA2927" s="204" t="s">
        <v>68</v>
      </c>
      <c r="AB2927" s="204" t="s">
        <v>2655</v>
      </c>
      <c r="AC2927" s="204" t="s">
        <v>7926</v>
      </c>
      <c r="AD2927" s="204"/>
    </row>
    <row r="2928" spans="1:30" ht="31.5" customHeight="1">
      <c r="A2928" s="19" t="s">
        <v>7912</v>
      </c>
      <c r="B2928" s="19" t="s">
        <v>7921</v>
      </c>
      <c r="C2928" s="204" t="s">
        <v>24</v>
      </c>
      <c r="D2928" s="204" t="s">
        <v>144</v>
      </c>
      <c r="E2928" s="204" t="s">
        <v>137</v>
      </c>
      <c r="F2928" s="4" t="s">
        <v>2662</v>
      </c>
      <c r="G2928" s="4" t="s">
        <v>2662</v>
      </c>
      <c r="H2928" s="204" t="s">
        <v>523</v>
      </c>
      <c r="I2928" s="204"/>
      <c r="J2928" s="204" t="s">
        <v>2276</v>
      </c>
      <c r="K2928" s="204" t="s">
        <v>2276</v>
      </c>
      <c r="L2928" s="204" t="s">
        <v>2276</v>
      </c>
      <c r="M2928" s="204" t="s">
        <v>2276</v>
      </c>
      <c r="N2928" s="204" t="s">
        <v>2276</v>
      </c>
      <c r="O2928" s="204" t="s">
        <v>2276</v>
      </c>
      <c r="P2928" s="204" t="s">
        <v>2276</v>
      </c>
      <c r="Q2928" s="204" t="s">
        <v>2276</v>
      </c>
      <c r="R2928" s="204" t="s">
        <v>2276</v>
      </c>
      <c r="S2928" s="204" t="s">
        <v>2276</v>
      </c>
      <c r="T2928" s="204" t="s">
        <v>2276</v>
      </c>
      <c r="U2928" s="204" t="s">
        <v>2276</v>
      </c>
      <c r="V2928" s="204" t="s">
        <v>2276</v>
      </c>
      <c r="W2928" s="204" t="s">
        <v>2276</v>
      </c>
      <c r="X2928" s="204" t="s">
        <v>2276</v>
      </c>
      <c r="Y2928" s="21">
        <v>2</v>
      </c>
      <c r="Z2928" s="204" t="s">
        <v>425</v>
      </c>
      <c r="AA2928" s="204" t="s">
        <v>68</v>
      </c>
      <c r="AB2928" s="204" t="s">
        <v>2655</v>
      </c>
      <c r="AC2928" s="204" t="s">
        <v>7926</v>
      </c>
      <c r="AD2928" s="204"/>
    </row>
    <row r="2929" spans="1:30" ht="31.5" customHeight="1">
      <c r="A2929" s="19" t="s">
        <v>7913</v>
      </c>
      <c r="B2929" s="19" t="s">
        <v>7922</v>
      </c>
      <c r="C2929" s="204" t="s">
        <v>24</v>
      </c>
      <c r="D2929" s="204" t="s">
        <v>25</v>
      </c>
      <c r="E2929" s="204" t="s">
        <v>2647</v>
      </c>
      <c r="F2929" s="4" t="s">
        <v>29</v>
      </c>
      <c r="G2929" s="4" t="s">
        <v>29</v>
      </c>
      <c r="H2929" s="204" t="s">
        <v>523</v>
      </c>
      <c r="I2929" s="204"/>
      <c r="J2929" s="204" t="s">
        <v>2276</v>
      </c>
      <c r="K2929" s="204" t="s">
        <v>2276</v>
      </c>
      <c r="L2929" s="204" t="s">
        <v>2276</v>
      </c>
      <c r="M2929" s="204" t="s">
        <v>2276</v>
      </c>
      <c r="N2929" s="204" t="s">
        <v>2276</v>
      </c>
      <c r="O2929" s="204" t="s">
        <v>2276</v>
      </c>
      <c r="P2929" s="204" t="s">
        <v>2276</v>
      </c>
      <c r="Q2929" s="204" t="s">
        <v>2276</v>
      </c>
      <c r="R2929" s="204" t="s">
        <v>2276</v>
      </c>
      <c r="S2929" s="204" t="s">
        <v>2276</v>
      </c>
      <c r="T2929" s="204" t="s">
        <v>2276</v>
      </c>
      <c r="U2929" s="204" t="s">
        <v>2276</v>
      </c>
      <c r="V2929" s="204" t="s">
        <v>2276</v>
      </c>
      <c r="W2929" s="204" t="s">
        <v>2276</v>
      </c>
      <c r="X2929" s="204" t="s">
        <v>2276</v>
      </c>
      <c r="Y2929" s="21">
        <v>2</v>
      </c>
      <c r="Z2929" s="204" t="s">
        <v>425</v>
      </c>
      <c r="AA2929" s="204" t="s">
        <v>68</v>
      </c>
      <c r="AB2929" s="204" t="s">
        <v>2655</v>
      </c>
      <c r="AC2929" s="204" t="s">
        <v>7926</v>
      </c>
      <c r="AD2929" s="204"/>
    </row>
    <row r="2930" spans="1:30" ht="31.5" customHeight="1">
      <c r="A2930" s="19" t="s">
        <v>7914</v>
      </c>
      <c r="B2930" s="19" t="s">
        <v>7923</v>
      </c>
      <c r="C2930" s="204" t="s">
        <v>24</v>
      </c>
      <c r="D2930" s="204" t="s">
        <v>25</v>
      </c>
      <c r="E2930" s="204" t="s">
        <v>2647</v>
      </c>
      <c r="F2930" s="4" t="s">
        <v>29</v>
      </c>
      <c r="G2930" s="4" t="s">
        <v>29</v>
      </c>
      <c r="H2930" s="204" t="s">
        <v>523</v>
      </c>
      <c r="I2930" s="204"/>
      <c r="J2930" s="204" t="s">
        <v>2276</v>
      </c>
      <c r="K2930" s="204" t="s">
        <v>2276</v>
      </c>
      <c r="L2930" s="204" t="s">
        <v>2276</v>
      </c>
      <c r="M2930" s="204" t="s">
        <v>2276</v>
      </c>
      <c r="N2930" s="204" t="s">
        <v>2276</v>
      </c>
      <c r="O2930" s="204" t="s">
        <v>2276</v>
      </c>
      <c r="P2930" s="204" t="s">
        <v>2276</v>
      </c>
      <c r="Q2930" s="204" t="s">
        <v>2276</v>
      </c>
      <c r="R2930" s="204" t="s">
        <v>2276</v>
      </c>
      <c r="S2930" s="204" t="s">
        <v>2276</v>
      </c>
      <c r="T2930" s="204" t="s">
        <v>2276</v>
      </c>
      <c r="U2930" s="204" t="s">
        <v>2276</v>
      </c>
      <c r="V2930" s="204" t="s">
        <v>2276</v>
      </c>
      <c r="W2930" s="204" t="s">
        <v>2276</v>
      </c>
      <c r="X2930" s="204" t="s">
        <v>2276</v>
      </c>
      <c r="Y2930" s="21">
        <v>2</v>
      </c>
      <c r="Z2930" s="204" t="s">
        <v>425</v>
      </c>
      <c r="AA2930" s="204" t="s">
        <v>68</v>
      </c>
      <c r="AB2930" s="204" t="s">
        <v>2655</v>
      </c>
      <c r="AC2930" s="204" t="s">
        <v>7926</v>
      </c>
      <c r="AD2930" s="204"/>
    </row>
    <row r="2931" spans="1:30" ht="31.5" customHeight="1">
      <c r="A2931" s="19" t="s">
        <v>7915</v>
      </c>
      <c r="B2931" s="19" t="s">
        <v>7924</v>
      </c>
      <c r="C2931" s="204" t="s">
        <v>24</v>
      </c>
      <c r="D2931" s="204" t="s">
        <v>25</v>
      </c>
      <c r="E2931" s="204" t="s">
        <v>2647</v>
      </c>
      <c r="F2931" s="4" t="s">
        <v>29</v>
      </c>
      <c r="G2931" s="4" t="s">
        <v>29</v>
      </c>
      <c r="H2931" s="204" t="s">
        <v>523</v>
      </c>
      <c r="I2931" s="204"/>
      <c r="J2931" s="204" t="s">
        <v>2276</v>
      </c>
      <c r="K2931" s="204" t="s">
        <v>2276</v>
      </c>
      <c r="L2931" s="204" t="s">
        <v>2276</v>
      </c>
      <c r="M2931" s="204" t="s">
        <v>2276</v>
      </c>
      <c r="N2931" s="204" t="s">
        <v>2276</v>
      </c>
      <c r="O2931" s="204" t="s">
        <v>2276</v>
      </c>
      <c r="P2931" s="204" t="s">
        <v>2276</v>
      </c>
      <c r="Q2931" s="204" t="s">
        <v>2276</v>
      </c>
      <c r="R2931" s="204" t="s">
        <v>2276</v>
      </c>
      <c r="S2931" s="204" t="s">
        <v>2276</v>
      </c>
      <c r="T2931" s="204" t="s">
        <v>2276</v>
      </c>
      <c r="U2931" s="204" t="s">
        <v>2276</v>
      </c>
      <c r="V2931" s="204" t="s">
        <v>2276</v>
      </c>
      <c r="W2931" s="204" t="s">
        <v>2276</v>
      </c>
      <c r="X2931" s="204" t="s">
        <v>2276</v>
      </c>
      <c r="Y2931" s="21">
        <v>2</v>
      </c>
      <c r="Z2931" s="204" t="s">
        <v>425</v>
      </c>
      <c r="AA2931" s="204" t="s">
        <v>68</v>
      </c>
      <c r="AB2931" s="204" t="s">
        <v>2655</v>
      </c>
      <c r="AC2931" s="204" t="s">
        <v>7926</v>
      </c>
      <c r="AD2931" s="204"/>
    </row>
    <row r="2932" spans="1:30" ht="31.5" customHeight="1">
      <c r="A2932" s="19" t="s">
        <v>7916</v>
      </c>
      <c r="B2932" s="19" t="s">
        <v>7925</v>
      </c>
      <c r="C2932" s="204" t="s">
        <v>24</v>
      </c>
      <c r="D2932" s="204" t="s">
        <v>25</v>
      </c>
      <c r="E2932" s="204" t="s">
        <v>5005</v>
      </c>
      <c r="F2932" s="4" t="s">
        <v>2662</v>
      </c>
      <c r="G2932" s="4" t="s">
        <v>2662</v>
      </c>
      <c r="H2932" s="204" t="s">
        <v>524</v>
      </c>
      <c r="I2932" s="204"/>
      <c r="J2932" s="21">
        <v>0</v>
      </c>
      <c r="K2932" s="21">
        <v>0</v>
      </c>
      <c r="L2932" s="21">
        <v>0</v>
      </c>
      <c r="M2932" s="21">
        <v>0</v>
      </c>
      <c r="N2932" s="21">
        <v>0</v>
      </c>
      <c r="O2932" s="21">
        <v>0</v>
      </c>
      <c r="P2932" s="21">
        <v>0</v>
      </c>
      <c r="Q2932" s="21">
        <v>0</v>
      </c>
      <c r="R2932" s="21">
        <v>0</v>
      </c>
      <c r="S2932" s="21">
        <v>0</v>
      </c>
      <c r="T2932" s="21">
        <v>0</v>
      </c>
      <c r="U2932" s="21">
        <v>0</v>
      </c>
      <c r="V2932" s="21">
        <v>0</v>
      </c>
      <c r="W2932" s="21">
        <v>0</v>
      </c>
      <c r="X2932" s="204" t="s">
        <v>2276</v>
      </c>
      <c r="Y2932" s="204" t="s">
        <v>2276</v>
      </c>
      <c r="Z2932" s="204" t="s">
        <v>2276</v>
      </c>
      <c r="AA2932" s="204" t="s">
        <v>2276</v>
      </c>
      <c r="AB2932" s="204" t="s">
        <v>2276</v>
      </c>
      <c r="AC2932" s="204"/>
      <c r="AD2932" s="204"/>
    </row>
    <row r="2933" spans="1:30" ht="31.5" customHeight="1">
      <c r="A2933" s="19" t="s">
        <v>7930</v>
      </c>
      <c r="B2933" s="19" t="s">
        <v>7934</v>
      </c>
      <c r="C2933" s="204" t="s">
        <v>24</v>
      </c>
      <c r="D2933" s="204" t="s">
        <v>144</v>
      </c>
      <c r="E2933" s="204" t="s">
        <v>137</v>
      </c>
      <c r="F2933" s="4" t="s">
        <v>2662</v>
      </c>
      <c r="G2933" s="4" t="s">
        <v>2662</v>
      </c>
      <c r="H2933" s="204" t="s">
        <v>524</v>
      </c>
      <c r="I2933" s="204"/>
      <c r="J2933" s="21">
        <v>0</v>
      </c>
      <c r="K2933" s="21">
        <v>0</v>
      </c>
      <c r="L2933" s="21">
        <v>0</v>
      </c>
      <c r="M2933" s="21">
        <v>0</v>
      </c>
      <c r="N2933" s="21">
        <v>0</v>
      </c>
      <c r="O2933" s="21">
        <v>0</v>
      </c>
      <c r="P2933" s="21">
        <v>0</v>
      </c>
      <c r="Q2933" s="21">
        <v>0</v>
      </c>
      <c r="R2933" s="21">
        <v>0</v>
      </c>
      <c r="S2933" s="21">
        <v>0</v>
      </c>
      <c r="T2933" s="21">
        <v>0</v>
      </c>
      <c r="U2933" s="21">
        <v>0</v>
      </c>
      <c r="V2933" s="21">
        <v>0</v>
      </c>
      <c r="W2933" s="21">
        <v>0</v>
      </c>
      <c r="X2933" s="204" t="s">
        <v>2276</v>
      </c>
      <c r="Y2933" s="204" t="s">
        <v>2276</v>
      </c>
      <c r="Z2933" s="204" t="s">
        <v>2276</v>
      </c>
      <c r="AA2933" s="204" t="s">
        <v>2276</v>
      </c>
      <c r="AB2933" s="204" t="s">
        <v>2276</v>
      </c>
      <c r="AC2933" s="204"/>
      <c r="AD2933" s="204"/>
    </row>
    <row r="2934" spans="1:30" ht="31.5" customHeight="1">
      <c r="A2934" s="19" t="s">
        <v>7930</v>
      </c>
      <c r="B2934" s="19" t="s">
        <v>7935</v>
      </c>
      <c r="C2934" s="204" t="s">
        <v>24</v>
      </c>
      <c r="D2934" s="204" t="s">
        <v>25</v>
      </c>
      <c r="E2934" s="204" t="s">
        <v>45</v>
      </c>
      <c r="F2934" s="4" t="s">
        <v>2662</v>
      </c>
      <c r="G2934" s="4" t="s">
        <v>2662</v>
      </c>
      <c r="H2934" s="204" t="s">
        <v>523</v>
      </c>
      <c r="I2934" s="204"/>
      <c r="J2934" s="204" t="s">
        <v>2276</v>
      </c>
      <c r="K2934" s="204" t="s">
        <v>2276</v>
      </c>
      <c r="L2934" s="204" t="s">
        <v>2276</v>
      </c>
      <c r="M2934" s="204" t="s">
        <v>2276</v>
      </c>
      <c r="N2934" s="204" t="s">
        <v>2276</v>
      </c>
      <c r="O2934" s="204" t="s">
        <v>2276</v>
      </c>
      <c r="P2934" s="204" t="s">
        <v>2276</v>
      </c>
      <c r="Q2934" s="204" t="s">
        <v>2276</v>
      </c>
      <c r="R2934" s="204" t="s">
        <v>2276</v>
      </c>
      <c r="S2934" s="204" t="s">
        <v>2276</v>
      </c>
      <c r="T2934" s="204" t="s">
        <v>2276</v>
      </c>
      <c r="U2934" s="204" t="s">
        <v>2276</v>
      </c>
      <c r="V2934" s="204" t="s">
        <v>2276</v>
      </c>
      <c r="W2934" s="204" t="s">
        <v>2276</v>
      </c>
      <c r="X2934" s="204" t="s">
        <v>2276</v>
      </c>
      <c r="Y2934" s="204" t="s">
        <v>2276</v>
      </c>
      <c r="Z2934" s="204" t="s">
        <v>2276</v>
      </c>
      <c r="AA2934" s="204" t="s">
        <v>2276</v>
      </c>
      <c r="AB2934" s="204" t="s">
        <v>2276</v>
      </c>
      <c r="AC2934" s="204"/>
      <c r="AD2934" s="204"/>
    </row>
    <row r="2935" spans="1:30" ht="31.5" customHeight="1">
      <c r="A2935" s="19" t="s">
        <v>7930</v>
      </c>
      <c r="B2935" s="19" t="s">
        <v>7936</v>
      </c>
      <c r="C2935" s="204" t="s">
        <v>1105</v>
      </c>
      <c r="D2935" s="204" t="s">
        <v>1105</v>
      </c>
      <c r="E2935" s="204" t="s">
        <v>1105</v>
      </c>
      <c r="F2935" s="204" t="s">
        <v>2276</v>
      </c>
      <c r="G2935" s="4" t="s">
        <v>2662</v>
      </c>
      <c r="H2935" s="204" t="s">
        <v>523</v>
      </c>
      <c r="I2935" s="204"/>
      <c r="J2935" s="204" t="s">
        <v>2276</v>
      </c>
      <c r="K2935" s="204" t="s">
        <v>2276</v>
      </c>
      <c r="L2935" s="204" t="s">
        <v>2276</v>
      </c>
      <c r="M2935" s="204" t="s">
        <v>2276</v>
      </c>
      <c r="N2935" s="204" t="s">
        <v>2276</v>
      </c>
      <c r="O2935" s="204" t="s">
        <v>2276</v>
      </c>
      <c r="P2935" s="204" t="s">
        <v>2276</v>
      </c>
      <c r="Q2935" s="204" t="s">
        <v>2276</v>
      </c>
      <c r="R2935" s="204" t="s">
        <v>2276</v>
      </c>
      <c r="S2935" s="204" t="s">
        <v>2276</v>
      </c>
      <c r="T2935" s="204" t="s">
        <v>2276</v>
      </c>
      <c r="U2935" s="204" t="s">
        <v>2276</v>
      </c>
      <c r="V2935" s="21">
        <v>6</v>
      </c>
      <c r="W2935" s="204" t="s">
        <v>2276</v>
      </c>
      <c r="X2935" s="21">
        <v>3</v>
      </c>
      <c r="Y2935" s="204" t="s">
        <v>2276</v>
      </c>
      <c r="Z2935" s="204" t="s">
        <v>2276</v>
      </c>
      <c r="AA2935" s="204" t="s">
        <v>2276</v>
      </c>
      <c r="AB2935" s="204" t="s">
        <v>2276</v>
      </c>
      <c r="AC2935" s="204"/>
      <c r="AD2935" s="204"/>
    </row>
    <row r="2936" spans="1:30" ht="35.5" customHeight="1">
      <c r="A2936" s="19" t="s">
        <v>7930</v>
      </c>
      <c r="B2936" s="19" t="s">
        <v>7937</v>
      </c>
      <c r="C2936" s="204" t="s">
        <v>31</v>
      </c>
      <c r="D2936" s="204" t="s">
        <v>2276</v>
      </c>
      <c r="E2936" s="204" t="s">
        <v>2276</v>
      </c>
      <c r="F2936" s="204" t="s">
        <v>2276</v>
      </c>
      <c r="G2936" s="4" t="s">
        <v>2662</v>
      </c>
      <c r="H2936" s="204" t="s">
        <v>523</v>
      </c>
      <c r="I2936" s="204"/>
      <c r="J2936" s="204" t="s">
        <v>2276</v>
      </c>
      <c r="K2936" s="204" t="s">
        <v>2276</v>
      </c>
      <c r="L2936" s="204" t="s">
        <v>2276</v>
      </c>
      <c r="M2936" s="204" t="s">
        <v>2276</v>
      </c>
      <c r="N2936" s="204" t="s">
        <v>2276</v>
      </c>
      <c r="O2936" s="204" t="s">
        <v>2276</v>
      </c>
      <c r="P2936" s="204" t="s">
        <v>2276</v>
      </c>
      <c r="Q2936" s="204" t="s">
        <v>2276</v>
      </c>
      <c r="R2936" s="204" t="s">
        <v>2276</v>
      </c>
      <c r="S2936" s="204" t="s">
        <v>2276</v>
      </c>
      <c r="T2936" s="204" t="s">
        <v>2276</v>
      </c>
      <c r="U2936" s="204" t="s">
        <v>2276</v>
      </c>
      <c r="V2936" s="204" t="s">
        <v>2276</v>
      </c>
      <c r="W2936" s="204" t="s">
        <v>2276</v>
      </c>
      <c r="X2936" s="204" t="s">
        <v>2276</v>
      </c>
      <c r="Y2936" s="204" t="s">
        <v>2276</v>
      </c>
      <c r="Z2936" s="204" t="s">
        <v>2276</v>
      </c>
      <c r="AA2936" s="204" t="s">
        <v>2276</v>
      </c>
      <c r="AB2936" s="204" t="s">
        <v>2276</v>
      </c>
      <c r="AC2936" s="204"/>
      <c r="AD2936" s="204"/>
    </row>
    <row r="2937" spans="1:30" ht="32" customHeight="1">
      <c r="A2937" s="19" t="s">
        <v>7939</v>
      </c>
      <c r="B2937" s="19" t="s">
        <v>7958</v>
      </c>
      <c r="C2937" s="204" t="s">
        <v>1105</v>
      </c>
      <c r="D2937" s="204" t="s">
        <v>2276</v>
      </c>
      <c r="E2937" s="204" t="s">
        <v>2276</v>
      </c>
      <c r="F2937" s="204" t="s">
        <v>2276</v>
      </c>
      <c r="G2937" s="204" t="s">
        <v>2276</v>
      </c>
      <c r="H2937" s="204" t="s">
        <v>523</v>
      </c>
      <c r="I2937" s="204"/>
      <c r="J2937" s="204" t="s">
        <v>2276</v>
      </c>
      <c r="K2937" s="204" t="s">
        <v>2276</v>
      </c>
      <c r="L2937" s="204" t="s">
        <v>2276</v>
      </c>
      <c r="M2937" s="204" t="s">
        <v>2276</v>
      </c>
      <c r="N2937" s="204" t="s">
        <v>2276</v>
      </c>
      <c r="O2937" s="204" t="s">
        <v>2276</v>
      </c>
      <c r="P2937" s="204" t="s">
        <v>2276</v>
      </c>
      <c r="Q2937" s="204" t="s">
        <v>2276</v>
      </c>
      <c r="R2937" s="204" t="s">
        <v>2276</v>
      </c>
      <c r="S2937" s="204" t="s">
        <v>2276</v>
      </c>
      <c r="T2937" s="204" t="s">
        <v>2276</v>
      </c>
      <c r="U2937" s="204" t="s">
        <v>2276</v>
      </c>
      <c r="V2937" s="204" t="s">
        <v>2276</v>
      </c>
      <c r="W2937" s="204" t="s">
        <v>2276</v>
      </c>
      <c r="X2937" s="204" t="s">
        <v>2276</v>
      </c>
      <c r="Y2937" s="204" t="s">
        <v>2276</v>
      </c>
      <c r="Z2937" s="204" t="s">
        <v>38</v>
      </c>
      <c r="AA2937" s="204" t="s">
        <v>425</v>
      </c>
      <c r="AB2937" s="204" t="s">
        <v>64</v>
      </c>
      <c r="AC2937" s="204"/>
      <c r="AD2937" s="4" t="s">
        <v>7968</v>
      </c>
    </row>
    <row r="2938" spans="1:30" ht="32" customHeight="1">
      <c r="A2938" s="19" t="s">
        <v>7939</v>
      </c>
      <c r="B2938" s="19" t="s">
        <v>7959</v>
      </c>
      <c r="C2938" s="204" t="s">
        <v>1105</v>
      </c>
      <c r="D2938" s="204" t="s">
        <v>2276</v>
      </c>
      <c r="E2938" s="204" t="s">
        <v>2276</v>
      </c>
      <c r="F2938" s="204" t="s">
        <v>2276</v>
      </c>
      <c r="G2938" s="204" t="s">
        <v>2276</v>
      </c>
      <c r="H2938" s="204" t="s">
        <v>523</v>
      </c>
      <c r="I2938" s="204"/>
      <c r="J2938" s="204" t="s">
        <v>2276</v>
      </c>
      <c r="K2938" s="204" t="s">
        <v>2276</v>
      </c>
      <c r="L2938" s="204" t="s">
        <v>2276</v>
      </c>
      <c r="M2938" s="204" t="s">
        <v>2276</v>
      </c>
      <c r="N2938" s="204" t="s">
        <v>2276</v>
      </c>
      <c r="O2938" s="204" t="s">
        <v>2276</v>
      </c>
      <c r="P2938" s="204" t="s">
        <v>2276</v>
      </c>
      <c r="Q2938" s="204" t="s">
        <v>2276</v>
      </c>
      <c r="R2938" s="204" t="s">
        <v>2276</v>
      </c>
      <c r="S2938" s="204" t="s">
        <v>2276</v>
      </c>
      <c r="T2938" s="204" t="s">
        <v>2276</v>
      </c>
      <c r="U2938" s="204" t="s">
        <v>2276</v>
      </c>
      <c r="V2938" s="204" t="s">
        <v>2276</v>
      </c>
      <c r="W2938" s="204" t="s">
        <v>2276</v>
      </c>
      <c r="X2938" s="204" t="s">
        <v>2276</v>
      </c>
      <c r="Y2938" s="204" t="s">
        <v>2276</v>
      </c>
      <c r="Z2938" s="204" t="s">
        <v>38</v>
      </c>
      <c r="AA2938" s="204" t="s">
        <v>425</v>
      </c>
      <c r="AB2938" s="204" t="s">
        <v>64</v>
      </c>
      <c r="AC2938" s="204"/>
      <c r="AD2938" s="4" t="s">
        <v>7968</v>
      </c>
    </row>
    <row r="2939" spans="1:30" ht="32" customHeight="1">
      <c r="A2939" s="19" t="s">
        <v>7939</v>
      </c>
      <c r="B2939" s="19" t="s">
        <v>7960</v>
      </c>
      <c r="C2939" s="204" t="s">
        <v>1105</v>
      </c>
      <c r="D2939" s="204" t="s">
        <v>2276</v>
      </c>
      <c r="E2939" s="204" t="s">
        <v>2276</v>
      </c>
      <c r="F2939" s="204" t="s">
        <v>2276</v>
      </c>
      <c r="G2939" s="204" t="s">
        <v>2276</v>
      </c>
      <c r="H2939" s="204" t="s">
        <v>523</v>
      </c>
      <c r="I2939" s="204"/>
      <c r="J2939" s="204" t="s">
        <v>2276</v>
      </c>
      <c r="K2939" s="204" t="s">
        <v>2276</v>
      </c>
      <c r="L2939" s="204" t="s">
        <v>2276</v>
      </c>
      <c r="M2939" s="204" t="s">
        <v>2276</v>
      </c>
      <c r="N2939" s="204" t="s">
        <v>2276</v>
      </c>
      <c r="O2939" s="204" t="s">
        <v>2276</v>
      </c>
      <c r="P2939" s="204" t="s">
        <v>2276</v>
      </c>
      <c r="Q2939" s="204" t="s">
        <v>2276</v>
      </c>
      <c r="R2939" s="204" t="s">
        <v>2276</v>
      </c>
      <c r="S2939" s="204" t="s">
        <v>2276</v>
      </c>
      <c r="T2939" s="204" t="s">
        <v>2276</v>
      </c>
      <c r="U2939" s="204" t="s">
        <v>2276</v>
      </c>
      <c r="V2939" s="204" t="s">
        <v>2276</v>
      </c>
      <c r="W2939" s="204" t="s">
        <v>2276</v>
      </c>
      <c r="X2939" s="204" t="s">
        <v>2276</v>
      </c>
      <c r="Y2939" s="204" t="s">
        <v>2276</v>
      </c>
      <c r="Z2939" s="204" t="s">
        <v>38</v>
      </c>
      <c r="AA2939" s="204" t="s">
        <v>425</v>
      </c>
      <c r="AB2939" s="204" t="s">
        <v>64</v>
      </c>
      <c r="AC2939" s="204"/>
      <c r="AD2939" s="4" t="s">
        <v>7968</v>
      </c>
    </row>
    <row r="2940" spans="1:30" ht="32" customHeight="1">
      <c r="A2940" s="19" t="s">
        <v>7939</v>
      </c>
      <c r="B2940" s="19" t="s">
        <v>7961</v>
      </c>
      <c r="C2940" s="204" t="s">
        <v>1105</v>
      </c>
      <c r="D2940" s="204" t="s">
        <v>2276</v>
      </c>
      <c r="E2940" s="204" t="s">
        <v>2276</v>
      </c>
      <c r="F2940" s="204" t="s">
        <v>2276</v>
      </c>
      <c r="G2940" s="204" t="s">
        <v>2276</v>
      </c>
      <c r="H2940" s="204" t="s">
        <v>523</v>
      </c>
      <c r="I2940" s="204"/>
      <c r="J2940" s="204" t="s">
        <v>2276</v>
      </c>
      <c r="K2940" s="204" t="s">
        <v>2276</v>
      </c>
      <c r="L2940" s="204" t="s">
        <v>2276</v>
      </c>
      <c r="M2940" s="204" t="s">
        <v>2276</v>
      </c>
      <c r="N2940" s="204" t="s">
        <v>2276</v>
      </c>
      <c r="O2940" s="204" t="s">
        <v>2276</v>
      </c>
      <c r="P2940" s="204" t="s">
        <v>2276</v>
      </c>
      <c r="Q2940" s="204" t="s">
        <v>2276</v>
      </c>
      <c r="R2940" s="204" t="s">
        <v>2276</v>
      </c>
      <c r="S2940" s="204" t="s">
        <v>2276</v>
      </c>
      <c r="T2940" s="204" t="s">
        <v>2276</v>
      </c>
      <c r="U2940" s="204" t="s">
        <v>2276</v>
      </c>
      <c r="V2940" s="204" t="s">
        <v>2276</v>
      </c>
      <c r="W2940" s="204" t="s">
        <v>2276</v>
      </c>
      <c r="X2940" s="204" t="s">
        <v>2276</v>
      </c>
      <c r="Y2940" s="204" t="s">
        <v>2276</v>
      </c>
      <c r="Z2940" s="204" t="s">
        <v>38</v>
      </c>
      <c r="AA2940" s="204" t="s">
        <v>425</v>
      </c>
      <c r="AB2940" s="204" t="s">
        <v>64</v>
      </c>
      <c r="AC2940" s="204"/>
      <c r="AD2940" s="4" t="s">
        <v>7968</v>
      </c>
    </row>
    <row r="2941" spans="1:30" ht="32" customHeight="1">
      <c r="A2941" s="19" t="s">
        <v>7939</v>
      </c>
      <c r="B2941" s="19" t="s">
        <v>7962</v>
      </c>
      <c r="C2941" s="204" t="s">
        <v>1105</v>
      </c>
      <c r="D2941" s="204" t="s">
        <v>2276</v>
      </c>
      <c r="E2941" s="204" t="s">
        <v>2276</v>
      </c>
      <c r="F2941" s="204" t="s">
        <v>2276</v>
      </c>
      <c r="G2941" s="204" t="s">
        <v>2276</v>
      </c>
      <c r="H2941" s="204" t="s">
        <v>523</v>
      </c>
      <c r="I2941" s="204"/>
      <c r="J2941" s="204" t="s">
        <v>2276</v>
      </c>
      <c r="K2941" s="204" t="s">
        <v>2276</v>
      </c>
      <c r="L2941" s="204" t="s">
        <v>2276</v>
      </c>
      <c r="M2941" s="204" t="s">
        <v>2276</v>
      </c>
      <c r="N2941" s="204" t="s">
        <v>2276</v>
      </c>
      <c r="O2941" s="204" t="s">
        <v>2276</v>
      </c>
      <c r="P2941" s="204" t="s">
        <v>2276</v>
      </c>
      <c r="Q2941" s="204" t="s">
        <v>2276</v>
      </c>
      <c r="R2941" s="204" t="s">
        <v>2276</v>
      </c>
      <c r="S2941" s="204" t="s">
        <v>2276</v>
      </c>
      <c r="T2941" s="204" t="s">
        <v>2276</v>
      </c>
      <c r="U2941" s="204" t="s">
        <v>2276</v>
      </c>
      <c r="V2941" s="204" t="s">
        <v>2276</v>
      </c>
      <c r="W2941" s="204" t="s">
        <v>2276</v>
      </c>
      <c r="X2941" s="204" t="s">
        <v>2276</v>
      </c>
      <c r="Y2941" s="204" t="s">
        <v>2276</v>
      </c>
      <c r="Z2941" s="204" t="s">
        <v>38</v>
      </c>
      <c r="AA2941" s="204" t="s">
        <v>425</v>
      </c>
      <c r="AB2941" s="204" t="s">
        <v>64</v>
      </c>
      <c r="AC2941" s="204"/>
      <c r="AD2941" s="4" t="s">
        <v>7968</v>
      </c>
    </row>
    <row r="2942" spans="1:30" ht="32" customHeight="1">
      <c r="A2942" s="19" t="s">
        <v>7940</v>
      </c>
      <c r="B2942" s="19" t="s">
        <v>7963</v>
      </c>
      <c r="C2942" s="204" t="s">
        <v>1105</v>
      </c>
      <c r="D2942" s="204" t="s">
        <v>2276</v>
      </c>
      <c r="E2942" s="204" t="s">
        <v>2276</v>
      </c>
      <c r="F2942" s="204" t="s">
        <v>2276</v>
      </c>
      <c r="G2942" s="204" t="s">
        <v>2276</v>
      </c>
      <c r="H2942" s="204" t="s">
        <v>523</v>
      </c>
      <c r="I2942" s="204"/>
      <c r="J2942" s="204" t="s">
        <v>2276</v>
      </c>
      <c r="K2942" s="204" t="s">
        <v>2276</v>
      </c>
      <c r="L2942" s="204" t="s">
        <v>2276</v>
      </c>
      <c r="M2942" s="204" t="s">
        <v>2276</v>
      </c>
      <c r="N2942" s="204" t="s">
        <v>2276</v>
      </c>
      <c r="O2942" s="204" t="s">
        <v>2276</v>
      </c>
      <c r="P2942" s="204" t="s">
        <v>2276</v>
      </c>
      <c r="Q2942" s="204" t="s">
        <v>2276</v>
      </c>
      <c r="R2942" s="204" t="s">
        <v>2276</v>
      </c>
      <c r="S2942" s="204" t="s">
        <v>2276</v>
      </c>
      <c r="T2942" s="204" t="s">
        <v>2276</v>
      </c>
      <c r="U2942" s="204" t="s">
        <v>2276</v>
      </c>
      <c r="V2942" s="204" t="s">
        <v>2276</v>
      </c>
      <c r="W2942" s="204" t="s">
        <v>2276</v>
      </c>
      <c r="X2942" s="204" t="s">
        <v>2276</v>
      </c>
      <c r="Y2942" s="204" t="s">
        <v>2276</v>
      </c>
      <c r="Z2942" s="204" t="s">
        <v>38</v>
      </c>
      <c r="AA2942" s="204" t="s">
        <v>425</v>
      </c>
      <c r="AB2942" s="204" t="s">
        <v>64</v>
      </c>
      <c r="AC2942" s="204"/>
      <c r="AD2942" s="4" t="s">
        <v>7968</v>
      </c>
    </row>
    <row r="2943" spans="1:30" ht="32" customHeight="1">
      <c r="A2943" s="19" t="s">
        <v>7940</v>
      </c>
      <c r="B2943" s="19" t="s">
        <v>7964</v>
      </c>
      <c r="C2943" s="204" t="s">
        <v>1105</v>
      </c>
      <c r="D2943" s="204" t="s">
        <v>2276</v>
      </c>
      <c r="E2943" s="204" t="s">
        <v>2276</v>
      </c>
      <c r="F2943" s="204" t="s">
        <v>2276</v>
      </c>
      <c r="G2943" s="204" t="s">
        <v>2276</v>
      </c>
      <c r="H2943" s="204" t="s">
        <v>523</v>
      </c>
      <c r="I2943" s="204"/>
      <c r="J2943" s="204" t="s">
        <v>2276</v>
      </c>
      <c r="K2943" s="204" t="s">
        <v>2276</v>
      </c>
      <c r="L2943" s="204" t="s">
        <v>2276</v>
      </c>
      <c r="M2943" s="204" t="s">
        <v>2276</v>
      </c>
      <c r="N2943" s="204" t="s">
        <v>2276</v>
      </c>
      <c r="O2943" s="204" t="s">
        <v>2276</v>
      </c>
      <c r="P2943" s="204" t="s">
        <v>2276</v>
      </c>
      <c r="Q2943" s="204" t="s">
        <v>2276</v>
      </c>
      <c r="R2943" s="204" t="s">
        <v>2276</v>
      </c>
      <c r="S2943" s="204" t="s">
        <v>2276</v>
      </c>
      <c r="T2943" s="204" t="s">
        <v>2276</v>
      </c>
      <c r="U2943" s="204" t="s">
        <v>2276</v>
      </c>
      <c r="V2943" s="204" t="s">
        <v>2276</v>
      </c>
      <c r="W2943" s="204" t="s">
        <v>2276</v>
      </c>
      <c r="X2943" s="204" t="s">
        <v>2276</v>
      </c>
      <c r="Y2943" s="204" t="s">
        <v>2276</v>
      </c>
      <c r="Z2943" s="204" t="s">
        <v>38</v>
      </c>
      <c r="AA2943" s="204" t="s">
        <v>425</v>
      </c>
      <c r="AB2943" s="204" t="s">
        <v>64</v>
      </c>
      <c r="AC2943" s="204"/>
      <c r="AD2943" s="4" t="s">
        <v>7968</v>
      </c>
    </row>
    <row r="2944" spans="1:30" ht="32" customHeight="1">
      <c r="A2944" s="19" t="s">
        <v>7940</v>
      </c>
      <c r="B2944" s="19" t="s">
        <v>7965</v>
      </c>
      <c r="C2944" s="204" t="s">
        <v>1105</v>
      </c>
      <c r="D2944" s="204" t="s">
        <v>2276</v>
      </c>
      <c r="E2944" s="204" t="s">
        <v>2276</v>
      </c>
      <c r="F2944" s="204" t="s">
        <v>2276</v>
      </c>
      <c r="G2944" s="204" t="s">
        <v>2276</v>
      </c>
      <c r="H2944" s="204" t="s">
        <v>523</v>
      </c>
      <c r="I2944" s="204"/>
      <c r="J2944" s="204" t="s">
        <v>2276</v>
      </c>
      <c r="K2944" s="204" t="s">
        <v>2276</v>
      </c>
      <c r="L2944" s="204" t="s">
        <v>2276</v>
      </c>
      <c r="M2944" s="204" t="s">
        <v>2276</v>
      </c>
      <c r="N2944" s="204" t="s">
        <v>2276</v>
      </c>
      <c r="O2944" s="204" t="s">
        <v>2276</v>
      </c>
      <c r="P2944" s="204" t="s">
        <v>2276</v>
      </c>
      <c r="Q2944" s="204" t="s">
        <v>2276</v>
      </c>
      <c r="R2944" s="204" t="s">
        <v>2276</v>
      </c>
      <c r="S2944" s="204" t="s">
        <v>2276</v>
      </c>
      <c r="T2944" s="204" t="s">
        <v>2276</v>
      </c>
      <c r="U2944" s="204" t="s">
        <v>2276</v>
      </c>
      <c r="V2944" s="204" t="s">
        <v>2276</v>
      </c>
      <c r="W2944" s="204" t="s">
        <v>2276</v>
      </c>
      <c r="X2944" s="204" t="s">
        <v>2276</v>
      </c>
      <c r="Y2944" s="204" t="s">
        <v>2276</v>
      </c>
      <c r="Z2944" s="204" t="s">
        <v>38</v>
      </c>
      <c r="AA2944" s="204" t="s">
        <v>425</v>
      </c>
      <c r="AB2944" s="204" t="s">
        <v>64</v>
      </c>
      <c r="AC2944" s="204"/>
      <c r="AD2944" s="4" t="s">
        <v>7968</v>
      </c>
    </row>
    <row r="2945" spans="1:30" ht="32" customHeight="1">
      <c r="A2945" s="19" t="s">
        <v>7940</v>
      </c>
      <c r="B2945" s="19" t="s">
        <v>7966</v>
      </c>
      <c r="C2945" s="204" t="s">
        <v>1105</v>
      </c>
      <c r="D2945" s="204" t="s">
        <v>2276</v>
      </c>
      <c r="E2945" s="204" t="s">
        <v>2276</v>
      </c>
      <c r="F2945" s="204" t="s">
        <v>2276</v>
      </c>
      <c r="G2945" s="204" t="s">
        <v>2276</v>
      </c>
      <c r="H2945" s="204" t="s">
        <v>523</v>
      </c>
      <c r="I2945" s="204"/>
      <c r="J2945" s="204" t="s">
        <v>2276</v>
      </c>
      <c r="K2945" s="204" t="s">
        <v>2276</v>
      </c>
      <c r="L2945" s="204" t="s">
        <v>2276</v>
      </c>
      <c r="M2945" s="204" t="s">
        <v>2276</v>
      </c>
      <c r="N2945" s="204" t="s">
        <v>2276</v>
      </c>
      <c r="O2945" s="204" t="s">
        <v>2276</v>
      </c>
      <c r="P2945" s="204" t="s">
        <v>2276</v>
      </c>
      <c r="Q2945" s="204" t="s">
        <v>2276</v>
      </c>
      <c r="R2945" s="204" t="s">
        <v>2276</v>
      </c>
      <c r="S2945" s="204" t="s">
        <v>2276</v>
      </c>
      <c r="T2945" s="204" t="s">
        <v>2276</v>
      </c>
      <c r="U2945" s="204" t="s">
        <v>2276</v>
      </c>
      <c r="V2945" s="204" t="s">
        <v>2276</v>
      </c>
      <c r="W2945" s="204" t="s">
        <v>2276</v>
      </c>
      <c r="X2945" s="204" t="s">
        <v>2276</v>
      </c>
      <c r="Y2945" s="204" t="s">
        <v>2276</v>
      </c>
      <c r="Z2945" s="204" t="s">
        <v>38</v>
      </c>
      <c r="AA2945" s="204" t="s">
        <v>425</v>
      </c>
      <c r="AB2945" s="204" t="s">
        <v>64</v>
      </c>
      <c r="AC2945" s="204"/>
      <c r="AD2945" s="4" t="s">
        <v>7968</v>
      </c>
    </row>
    <row r="2946" spans="1:30" ht="32" customHeight="1">
      <c r="A2946" s="19" t="s">
        <v>7940</v>
      </c>
      <c r="B2946" s="19" t="s">
        <v>7967</v>
      </c>
      <c r="C2946" s="204" t="s">
        <v>1105</v>
      </c>
      <c r="D2946" s="204" t="s">
        <v>2276</v>
      </c>
      <c r="E2946" s="204" t="s">
        <v>2276</v>
      </c>
      <c r="F2946" s="204" t="s">
        <v>2276</v>
      </c>
      <c r="G2946" s="204" t="s">
        <v>2276</v>
      </c>
      <c r="H2946" s="204" t="s">
        <v>523</v>
      </c>
      <c r="I2946" s="204"/>
      <c r="J2946" s="204" t="s">
        <v>2276</v>
      </c>
      <c r="K2946" s="204" t="s">
        <v>2276</v>
      </c>
      <c r="L2946" s="204" t="s">
        <v>2276</v>
      </c>
      <c r="M2946" s="204" t="s">
        <v>2276</v>
      </c>
      <c r="N2946" s="204" t="s">
        <v>2276</v>
      </c>
      <c r="O2946" s="204" t="s">
        <v>2276</v>
      </c>
      <c r="P2946" s="204" t="s">
        <v>2276</v>
      </c>
      <c r="Q2946" s="204" t="s">
        <v>2276</v>
      </c>
      <c r="R2946" s="204" t="s">
        <v>2276</v>
      </c>
      <c r="S2946" s="204" t="s">
        <v>2276</v>
      </c>
      <c r="T2946" s="204" t="s">
        <v>2276</v>
      </c>
      <c r="U2946" s="204" t="s">
        <v>2276</v>
      </c>
      <c r="V2946" s="204" t="s">
        <v>2276</v>
      </c>
      <c r="W2946" s="204" t="s">
        <v>2276</v>
      </c>
      <c r="X2946" s="204" t="s">
        <v>2276</v>
      </c>
      <c r="Y2946" s="204" t="s">
        <v>2276</v>
      </c>
      <c r="Z2946" s="204" t="s">
        <v>38</v>
      </c>
      <c r="AA2946" s="204" t="s">
        <v>425</v>
      </c>
      <c r="AB2946" s="204" t="s">
        <v>64</v>
      </c>
      <c r="AC2946" s="204"/>
      <c r="AD2946" s="4" t="s">
        <v>7968</v>
      </c>
    </row>
    <row r="2947" spans="1:30" ht="45.5" customHeight="1">
      <c r="A2947" s="19" t="s">
        <v>7940</v>
      </c>
      <c r="B2947" s="19" t="s">
        <v>7969</v>
      </c>
      <c r="C2947" s="204" t="s">
        <v>24</v>
      </c>
      <c r="D2947" s="204" t="s">
        <v>25</v>
      </c>
      <c r="E2947" s="204" t="s">
        <v>45</v>
      </c>
      <c r="F2947" s="4" t="s">
        <v>2662</v>
      </c>
      <c r="G2947" s="4" t="s">
        <v>2662</v>
      </c>
      <c r="H2947" s="204" t="s">
        <v>523</v>
      </c>
      <c r="I2947" s="204"/>
      <c r="J2947" s="204" t="s">
        <v>2276</v>
      </c>
      <c r="K2947" s="204" t="s">
        <v>2276</v>
      </c>
      <c r="L2947" s="204" t="s">
        <v>2276</v>
      </c>
      <c r="M2947" s="204" t="s">
        <v>2276</v>
      </c>
      <c r="N2947" s="204" t="s">
        <v>2276</v>
      </c>
      <c r="O2947" s="204" t="s">
        <v>2276</v>
      </c>
      <c r="P2947" s="204" t="s">
        <v>2276</v>
      </c>
      <c r="Q2947" s="204" t="s">
        <v>2276</v>
      </c>
      <c r="R2947" s="204" t="s">
        <v>2276</v>
      </c>
      <c r="S2947" s="204" t="s">
        <v>2276</v>
      </c>
      <c r="T2947" s="204" t="s">
        <v>2276</v>
      </c>
      <c r="U2947" s="204" t="s">
        <v>2276</v>
      </c>
      <c r="V2947" s="204" t="s">
        <v>2276</v>
      </c>
      <c r="W2947" s="204" t="s">
        <v>2276</v>
      </c>
      <c r="X2947" s="204" t="s">
        <v>2276</v>
      </c>
      <c r="Y2947" s="204" t="s">
        <v>2276</v>
      </c>
      <c r="Z2947" s="204" t="s">
        <v>38</v>
      </c>
      <c r="AA2947" s="204" t="s">
        <v>425</v>
      </c>
      <c r="AB2947" s="204" t="s">
        <v>64</v>
      </c>
      <c r="AC2947" s="204"/>
      <c r="AD2947" s="204"/>
    </row>
    <row r="2948" spans="1:30" ht="45.5" customHeight="1">
      <c r="A2948" s="19" t="s">
        <v>7940</v>
      </c>
      <c r="B2948" s="19" t="s">
        <v>7970</v>
      </c>
      <c r="C2948" s="204" t="s">
        <v>24</v>
      </c>
      <c r="D2948" s="204" t="s">
        <v>25</v>
      </c>
      <c r="E2948" s="204" t="s">
        <v>45</v>
      </c>
      <c r="F2948" s="4" t="s">
        <v>2662</v>
      </c>
      <c r="G2948" s="4" t="s">
        <v>2662</v>
      </c>
      <c r="H2948" s="204" t="s">
        <v>523</v>
      </c>
      <c r="I2948" s="204"/>
      <c r="J2948" s="204" t="s">
        <v>2276</v>
      </c>
      <c r="K2948" s="204" t="s">
        <v>2276</v>
      </c>
      <c r="L2948" s="204" t="s">
        <v>2276</v>
      </c>
      <c r="M2948" s="204" t="s">
        <v>2276</v>
      </c>
      <c r="N2948" s="204" t="s">
        <v>2276</v>
      </c>
      <c r="O2948" s="204" t="s">
        <v>2276</v>
      </c>
      <c r="P2948" s="204" t="s">
        <v>2276</v>
      </c>
      <c r="Q2948" s="204" t="s">
        <v>2276</v>
      </c>
      <c r="R2948" s="204" t="s">
        <v>2276</v>
      </c>
      <c r="S2948" s="204" t="s">
        <v>2276</v>
      </c>
      <c r="T2948" s="204" t="s">
        <v>2276</v>
      </c>
      <c r="U2948" s="204" t="s">
        <v>2276</v>
      </c>
      <c r="V2948" s="204" t="s">
        <v>2276</v>
      </c>
      <c r="W2948" s="204" t="s">
        <v>2276</v>
      </c>
      <c r="X2948" s="204" t="s">
        <v>2276</v>
      </c>
      <c r="Y2948" s="204" t="s">
        <v>2276</v>
      </c>
      <c r="Z2948" s="204" t="s">
        <v>38</v>
      </c>
      <c r="AA2948" s="204" t="s">
        <v>425</v>
      </c>
      <c r="AB2948" s="204" t="s">
        <v>64</v>
      </c>
      <c r="AC2948" s="204"/>
      <c r="AD2948" s="204"/>
    </row>
    <row r="2949" spans="1:30" ht="45.5" customHeight="1">
      <c r="A2949" s="19" t="s">
        <v>7940</v>
      </c>
      <c r="B2949" s="19" t="s">
        <v>7971</v>
      </c>
      <c r="C2949" s="204" t="s">
        <v>24</v>
      </c>
      <c r="D2949" s="204" t="s">
        <v>25</v>
      </c>
      <c r="E2949" s="204" t="s">
        <v>45</v>
      </c>
      <c r="F2949" s="4" t="s">
        <v>2662</v>
      </c>
      <c r="G2949" s="4" t="s">
        <v>2662</v>
      </c>
      <c r="H2949" s="204" t="s">
        <v>523</v>
      </c>
      <c r="I2949" s="204"/>
      <c r="J2949" s="204" t="s">
        <v>2276</v>
      </c>
      <c r="K2949" s="204" t="s">
        <v>2276</v>
      </c>
      <c r="L2949" s="204" t="s">
        <v>2276</v>
      </c>
      <c r="M2949" s="204" t="s">
        <v>2276</v>
      </c>
      <c r="N2949" s="204" t="s">
        <v>2276</v>
      </c>
      <c r="O2949" s="204" t="s">
        <v>2276</v>
      </c>
      <c r="P2949" s="204" t="s">
        <v>2276</v>
      </c>
      <c r="Q2949" s="204" t="s">
        <v>2276</v>
      </c>
      <c r="R2949" s="204" t="s">
        <v>2276</v>
      </c>
      <c r="S2949" s="204" t="s">
        <v>2276</v>
      </c>
      <c r="T2949" s="204" t="s">
        <v>2276</v>
      </c>
      <c r="U2949" s="204" t="s">
        <v>2276</v>
      </c>
      <c r="V2949" s="204" t="s">
        <v>2276</v>
      </c>
      <c r="W2949" s="204" t="s">
        <v>2276</v>
      </c>
      <c r="X2949" s="204" t="s">
        <v>2276</v>
      </c>
      <c r="Y2949" s="204" t="s">
        <v>2276</v>
      </c>
      <c r="Z2949" s="204" t="s">
        <v>38</v>
      </c>
      <c r="AA2949" s="204" t="s">
        <v>425</v>
      </c>
      <c r="AB2949" s="204" t="s">
        <v>64</v>
      </c>
      <c r="AC2949" s="204"/>
      <c r="AD2949" s="204"/>
    </row>
    <row r="2950" spans="1:30" ht="45.5" customHeight="1">
      <c r="A2950" s="19" t="s">
        <v>7940</v>
      </c>
      <c r="B2950" s="19" t="s">
        <v>7972</v>
      </c>
      <c r="C2950" s="204" t="s">
        <v>24</v>
      </c>
      <c r="D2950" s="204" t="s">
        <v>25</v>
      </c>
      <c r="E2950" s="204" t="s">
        <v>45</v>
      </c>
      <c r="F2950" s="4" t="s">
        <v>2662</v>
      </c>
      <c r="G2950" s="4" t="s">
        <v>2662</v>
      </c>
      <c r="H2950" s="204" t="s">
        <v>523</v>
      </c>
      <c r="I2950" s="204"/>
      <c r="J2950" s="204" t="s">
        <v>2276</v>
      </c>
      <c r="K2950" s="204" t="s">
        <v>2276</v>
      </c>
      <c r="L2950" s="204" t="s">
        <v>2276</v>
      </c>
      <c r="M2950" s="204" t="s">
        <v>2276</v>
      </c>
      <c r="N2950" s="204" t="s">
        <v>2276</v>
      </c>
      <c r="O2950" s="204" t="s">
        <v>2276</v>
      </c>
      <c r="P2950" s="204" t="s">
        <v>2276</v>
      </c>
      <c r="Q2950" s="204" t="s">
        <v>2276</v>
      </c>
      <c r="R2950" s="204" t="s">
        <v>2276</v>
      </c>
      <c r="S2950" s="204" t="s">
        <v>2276</v>
      </c>
      <c r="T2950" s="204" t="s">
        <v>2276</v>
      </c>
      <c r="U2950" s="204" t="s">
        <v>2276</v>
      </c>
      <c r="V2950" s="204" t="s">
        <v>2276</v>
      </c>
      <c r="W2950" s="204" t="s">
        <v>2276</v>
      </c>
      <c r="X2950" s="204" t="s">
        <v>2276</v>
      </c>
      <c r="Y2950" s="204" t="s">
        <v>2276</v>
      </c>
      <c r="Z2950" s="204" t="s">
        <v>38</v>
      </c>
      <c r="AA2950" s="204" t="s">
        <v>425</v>
      </c>
      <c r="AB2950" s="204" t="s">
        <v>64</v>
      </c>
      <c r="AC2950" s="204"/>
      <c r="AD2950" s="204"/>
    </row>
    <row r="2951" spans="1:30" ht="45.5" customHeight="1">
      <c r="A2951" s="19" t="s">
        <v>7940</v>
      </c>
      <c r="B2951" s="19" t="s">
        <v>7973</v>
      </c>
      <c r="C2951" s="204" t="s">
        <v>24</v>
      </c>
      <c r="D2951" s="204" t="s">
        <v>25</v>
      </c>
      <c r="E2951" s="204" t="s">
        <v>45</v>
      </c>
      <c r="F2951" s="4" t="s">
        <v>2662</v>
      </c>
      <c r="G2951" s="4" t="s">
        <v>2662</v>
      </c>
      <c r="H2951" s="204" t="s">
        <v>523</v>
      </c>
      <c r="I2951" s="204"/>
      <c r="J2951" s="204" t="s">
        <v>2276</v>
      </c>
      <c r="K2951" s="204" t="s">
        <v>2276</v>
      </c>
      <c r="L2951" s="204" t="s">
        <v>2276</v>
      </c>
      <c r="M2951" s="204" t="s">
        <v>2276</v>
      </c>
      <c r="N2951" s="204" t="s">
        <v>2276</v>
      </c>
      <c r="O2951" s="204" t="s">
        <v>2276</v>
      </c>
      <c r="P2951" s="204" t="s">
        <v>2276</v>
      </c>
      <c r="Q2951" s="204" t="s">
        <v>2276</v>
      </c>
      <c r="R2951" s="204" t="s">
        <v>2276</v>
      </c>
      <c r="S2951" s="204" t="s">
        <v>2276</v>
      </c>
      <c r="T2951" s="204" t="s">
        <v>2276</v>
      </c>
      <c r="U2951" s="204" t="s">
        <v>2276</v>
      </c>
      <c r="V2951" s="204" t="s">
        <v>2276</v>
      </c>
      <c r="W2951" s="204" t="s">
        <v>2276</v>
      </c>
      <c r="X2951" s="204" t="s">
        <v>2276</v>
      </c>
      <c r="Y2951" s="204" t="s">
        <v>2276</v>
      </c>
      <c r="Z2951" s="204" t="s">
        <v>38</v>
      </c>
      <c r="AA2951" s="204" t="s">
        <v>425</v>
      </c>
      <c r="AB2951" s="204" t="s">
        <v>64</v>
      </c>
      <c r="AC2951" s="204"/>
      <c r="AD2951" s="204"/>
    </row>
    <row r="2952" spans="1:30" ht="34" customHeight="1">
      <c r="A2952" s="19" t="s">
        <v>7976</v>
      </c>
      <c r="B2952" s="19" t="s">
        <v>7983</v>
      </c>
      <c r="C2952" s="204" t="s">
        <v>1105</v>
      </c>
      <c r="D2952" s="204" t="s">
        <v>1105</v>
      </c>
      <c r="E2952" s="204" t="s">
        <v>2276</v>
      </c>
      <c r="F2952" s="204" t="s">
        <v>2276</v>
      </c>
      <c r="G2952" s="204" t="s">
        <v>28</v>
      </c>
      <c r="H2952" s="204" t="s">
        <v>523</v>
      </c>
      <c r="I2952" s="204"/>
      <c r="J2952" s="204" t="s">
        <v>2276</v>
      </c>
      <c r="K2952" s="204" t="s">
        <v>2276</v>
      </c>
      <c r="L2952" s="204" t="s">
        <v>2276</v>
      </c>
      <c r="M2952" s="204" t="s">
        <v>2276</v>
      </c>
      <c r="N2952" s="204" t="s">
        <v>2276</v>
      </c>
      <c r="O2952" s="204" t="s">
        <v>2276</v>
      </c>
      <c r="P2952" s="204" t="s">
        <v>2276</v>
      </c>
      <c r="Q2952" s="204" t="s">
        <v>2276</v>
      </c>
      <c r="R2952" s="204" t="s">
        <v>2276</v>
      </c>
      <c r="S2952" s="204" t="s">
        <v>2276</v>
      </c>
      <c r="T2952" s="204" t="s">
        <v>2276</v>
      </c>
      <c r="U2952" s="204" t="s">
        <v>2276</v>
      </c>
      <c r="V2952" s="204" t="s">
        <v>2276</v>
      </c>
      <c r="W2952" s="204" t="s">
        <v>2276</v>
      </c>
      <c r="X2952" s="21">
        <f>0.98*0.28</f>
        <v>0.27440000000000003</v>
      </c>
      <c r="Y2952" s="204" t="s">
        <v>2276</v>
      </c>
      <c r="Z2952" s="204" t="s">
        <v>2276</v>
      </c>
      <c r="AA2952" s="204" t="s">
        <v>2276</v>
      </c>
      <c r="AB2952" s="204" t="s">
        <v>2276</v>
      </c>
      <c r="AC2952" s="204"/>
      <c r="AD2952" s="204"/>
    </row>
    <row r="2953" spans="1:30" ht="34" customHeight="1">
      <c r="A2953" s="19" t="s">
        <v>7977</v>
      </c>
      <c r="B2953" s="19" t="s">
        <v>7980</v>
      </c>
      <c r="C2953" s="204" t="s">
        <v>1105</v>
      </c>
      <c r="D2953" s="204" t="s">
        <v>1105</v>
      </c>
      <c r="E2953" s="204" t="s">
        <v>2276</v>
      </c>
      <c r="F2953" s="204" t="s">
        <v>2276</v>
      </c>
      <c r="G2953" s="204" t="s">
        <v>28</v>
      </c>
      <c r="H2953" s="204" t="s">
        <v>523</v>
      </c>
      <c r="I2953" s="204"/>
      <c r="J2953" s="204" t="s">
        <v>2276</v>
      </c>
      <c r="K2953" s="204" t="s">
        <v>2276</v>
      </c>
      <c r="L2953" s="204" t="s">
        <v>2276</v>
      </c>
      <c r="M2953" s="204" t="s">
        <v>2276</v>
      </c>
      <c r="N2953" s="204" t="s">
        <v>2276</v>
      </c>
      <c r="O2953" s="204" t="s">
        <v>2276</v>
      </c>
      <c r="P2953" s="204" t="s">
        <v>2276</v>
      </c>
      <c r="Q2953" s="204" t="s">
        <v>2276</v>
      </c>
      <c r="R2953" s="204" t="s">
        <v>2276</v>
      </c>
      <c r="S2953" s="204" t="s">
        <v>2276</v>
      </c>
      <c r="T2953" s="204" t="s">
        <v>2276</v>
      </c>
      <c r="U2953" s="204" t="s">
        <v>2276</v>
      </c>
      <c r="V2953" s="204" t="s">
        <v>2276</v>
      </c>
      <c r="W2953" s="204" t="s">
        <v>2276</v>
      </c>
      <c r="X2953" s="21">
        <f>AVERAGE(7.42, 6.06)*AVERAGE(0.4972, 0.1905)</f>
        <v>2.3175490000000001</v>
      </c>
      <c r="Y2953" s="204" t="s">
        <v>2276</v>
      </c>
      <c r="Z2953" s="204" t="s">
        <v>2276</v>
      </c>
      <c r="AA2953" s="204" t="s">
        <v>2276</v>
      </c>
      <c r="AB2953" s="204" t="s">
        <v>2276</v>
      </c>
      <c r="AC2953" s="204"/>
      <c r="AD2953" s="204"/>
    </row>
    <row r="2954" spans="1:30" ht="34" customHeight="1">
      <c r="A2954" s="19" t="s">
        <v>7976</v>
      </c>
      <c r="B2954" s="19" t="s">
        <v>7984</v>
      </c>
      <c r="C2954" s="204" t="s">
        <v>1105</v>
      </c>
      <c r="D2954" s="204" t="s">
        <v>1105</v>
      </c>
      <c r="E2954" s="204" t="s">
        <v>2276</v>
      </c>
      <c r="F2954" s="204" t="s">
        <v>2276</v>
      </c>
      <c r="G2954" s="204" t="s">
        <v>55</v>
      </c>
      <c r="H2954" s="204" t="s">
        <v>523</v>
      </c>
      <c r="I2954" s="204"/>
      <c r="J2954" s="204" t="s">
        <v>2276</v>
      </c>
      <c r="K2954" s="204" t="s">
        <v>2276</v>
      </c>
      <c r="L2954" s="204" t="s">
        <v>2276</v>
      </c>
      <c r="M2954" s="204" t="s">
        <v>2276</v>
      </c>
      <c r="N2954" s="204" t="s">
        <v>2276</v>
      </c>
      <c r="O2954" s="204" t="s">
        <v>2276</v>
      </c>
      <c r="P2954" s="204" t="s">
        <v>2276</v>
      </c>
      <c r="Q2954" s="204" t="s">
        <v>2276</v>
      </c>
      <c r="R2954" s="204" t="s">
        <v>2276</v>
      </c>
      <c r="S2954" s="204" t="s">
        <v>2276</v>
      </c>
      <c r="T2954" s="204" t="s">
        <v>2276</v>
      </c>
      <c r="U2954" s="204" t="s">
        <v>2276</v>
      </c>
      <c r="V2954" s="204" t="s">
        <v>2276</v>
      </c>
      <c r="W2954" s="204" t="s">
        <v>2276</v>
      </c>
      <c r="X2954" s="21">
        <f>0.681*0.98</f>
        <v>0.66738000000000008</v>
      </c>
      <c r="Y2954" s="204" t="s">
        <v>2276</v>
      </c>
      <c r="Z2954" s="204" t="s">
        <v>2276</v>
      </c>
      <c r="AA2954" s="204" t="s">
        <v>2276</v>
      </c>
      <c r="AB2954" s="204" t="s">
        <v>2276</v>
      </c>
      <c r="AC2954" s="204"/>
      <c r="AD2954" s="204"/>
    </row>
    <row r="2955" spans="1:30" ht="34" customHeight="1">
      <c r="A2955" s="19" t="s">
        <v>7977</v>
      </c>
      <c r="B2955" s="19" t="s">
        <v>7981</v>
      </c>
      <c r="C2955" s="204" t="s">
        <v>1105</v>
      </c>
      <c r="D2955" s="204" t="s">
        <v>1105</v>
      </c>
      <c r="E2955" s="204" t="s">
        <v>2276</v>
      </c>
      <c r="F2955" s="204" t="s">
        <v>2276</v>
      </c>
      <c r="G2955" s="204" t="s">
        <v>55</v>
      </c>
      <c r="H2955" s="204" t="s">
        <v>523</v>
      </c>
      <c r="I2955" s="204"/>
      <c r="J2955" s="204" t="s">
        <v>2276</v>
      </c>
      <c r="K2955" s="204" t="s">
        <v>2276</v>
      </c>
      <c r="L2955" s="204" t="s">
        <v>2276</v>
      </c>
      <c r="M2955" s="204" t="s">
        <v>2276</v>
      </c>
      <c r="N2955" s="204" t="s">
        <v>2276</v>
      </c>
      <c r="O2955" s="204" t="s">
        <v>2276</v>
      </c>
      <c r="P2955" s="204" t="s">
        <v>2276</v>
      </c>
      <c r="Q2955" s="204" t="s">
        <v>2276</v>
      </c>
      <c r="R2955" s="204" t="s">
        <v>2276</v>
      </c>
      <c r="S2955" s="204" t="s">
        <v>2276</v>
      </c>
      <c r="T2955" s="204" t="s">
        <v>2276</v>
      </c>
      <c r="U2955" s="204" t="s">
        <v>2276</v>
      </c>
      <c r="V2955" s="204" t="s">
        <v>2276</v>
      </c>
      <c r="W2955" s="204" t="s">
        <v>2276</v>
      </c>
      <c r="X2955" s="21">
        <f>AVERAGE(7.42, 6.06)*AVERAGE(0.4762, 0.7757)</f>
        <v>4.2189030000000001</v>
      </c>
      <c r="Y2955" s="204" t="s">
        <v>2276</v>
      </c>
      <c r="Z2955" s="204" t="s">
        <v>2276</v>
      </c>
      <c r="AA2955" s="204" t="s">
        <v>2276</v>
      </c>
      <c r="AB2955" s="204" t="s">
        <v>2276</v>
      </c>
      <c r="AC2955" s="204"/>
      <c r="AD2955" s="204"/>
    </row>
    <row r="2956" spans="1:30" ht="34" customHeight="1">
      <c r="A2956" s="19" t="s">
        <v>7977</v>
      </c>
      <c r="B2956" s="19" t="s">
        <v>7982</v>
      </c>
      <c r="C2956" s="204" t="s">
        <v>24</v>
      </c>
      <c r="D2956" s="204" t="s">
        <v>25</v>
      </c>
      <c r="E2956" s="204" t="s">
        <v>2647</v>
      </c>
      <c r="F2956" s="204" t="s">
        <v>55</v>
      </c>
      <c r="G2956" s="204" t="s">
        <v>55</v>
      </c>
      <c r="H2956" s="204" t="s">
        <v>523</v>
      </c>
      <c r="I2956" s="204"/>
      <c r="J2956" s="204" t="s">
        <v>2276</v>
      </c>
      <c r="K2956" s="204" t="s">
        <v>2276</v>
      </c>
      <c r="L2956" s="204" t="s">
        <v>2276</v>
      </c>
      <c r="M2956" s="204" t="s">
        <v>2276</v>
      </c>
      <c r="N2956" s="204" t="s">
        <v>2276</v>
      </c>
      <c r="O2956" s="204" t="s">
        <v>2276</v>
      </c>
      <c r="P2956" s="204" t="s">
        <v>2276</v>
      </c>
      <c r="Q2956" s="204" t="s">
        <v>2276</v>
      </c>
      <c r="R2956" s="21">
        <v>11.5</v>
      </c>
      <c r="S2956" s="204" t="s">
        <v>2276</v>
      </c>
      <c r="T2956" s="204" t="s">
        <v>2276</v>
      </c>
      <c r="U2956" s="204" t="s">
        <v>2276</v>
      </c>
      <c r="V2956" s="204" t="s">
        <v>2276</v>
      </c>
      <c r="W2956" s="204" t="s">
        <v>2276</v>
      </c>
      <c r="X2956" s="204" t="s">
        <v>2276</v>
      </c>
      <c r="Y2956" s="204" t="s">
        <v>2276</v>
      </c>
      <c r="Z2956" s="204" t="s">
        <v>2276</v>
      </c>
      <c r="AA2956" s="204" t="s">
        <v>2276</v>
      </c>
      <c r="AB2956" s="204" t="s">
        <v>2276</v>
      </c>
      <c r="AC2956" s="204"/>
      <c r="AD2956" s="204"/>
    </row>
    <row r="2957" spans="1:30" ht="34" customHeight="1">
      <c r="A2957" s="19" t="s">
        <v>7977</v>
      </c>
      <c r="B2957" s="19" t="s">
        <v>7985</v>
      </c>
      <c r="C2957" s="204" t="s">
        <v>24</v>
      </c>
      <c r="D2957" s="204" t="s">
        <v>2659</v>
      </c>
      <c r="E2957" s="204" t="s">
        <v>84</v>
      </c>
      <c r="F2957" s="204" t="s">
        <v>28</v>
      </c>
      <c r="G2957" s="204" t="s">
        <v>28</v>
      </c>
      <c r="H2957" s="204" t="s">
        <v>523</v>
      </c>
      <c r="I2957" s="204"/>
      <c r="J2957" s="204" t="s">
        <v>2276</v>
      </c>
      <c r="K2957" s="204" t="s">
        <v>2276</v>
      </c>
      <c r="L2957" s="204" t="s">
        <v>2276</v>
      </c>
      <c r="M2957" s="204" t="s">
        <v>2276</v>
      </c>
      <c r="N2957" s="204" t="s">
        <v>2276</v>
      </c>
      <c r="O2957" s="204" t="s">
        <v>2276</v>
      </c>
      <c r="P2957" s="204" t="s">
        <v>2276</v>
      </c>
      <c r="Q2957" s="204" t="s">
        <v>2276</v>
      </c>
      <c r="R2957" s="204" t="s">
        <v>2276</v>
      </c>
      <c r="S2957" s="204" t="s">
        <v>2276</v>
      </c>
      <c r="T2957" s="204" t="s">
        <v>2276</v>
      </c>
      <c r="U2957" s="204" t="s">
        <v>2276</v>
      </c>
      <c r="V2957" s="204" t="s">
        <v>2276</v>
      </c>
      <c r="W2957" s="204" t="s">
        <v>2276</v>
      </c>
      <c r="X2957" s="204" t="s">
        <v>2276</v>
      </c>
      <c r="Y2957" s="204" t="s">
        <v>2276</v>
      </c>
      <c r="Z2957" s="204" t="s">
        <v>2276</v>
      </c>
      <c r="AA2957" s="204" t="s">
        <v>2276</v>
      </c>
      <c r="AB2957" s="204" t="s">
        <v>2276</v>
      </c>
      <c r="AC2957" s="204"/>
      <c r="AD2957" s="204"/>
    </row>
    <row r="2958" spans="1:30" ht="33" customHeight="1">
      <c r="A2958" s="19" t="s">
        <v>7977</v>
      </c>
      <c r="B2958" s="19" t="s">
        <v>7986</v>
      </c>
      <c r="C2958" s="204" t="s">
        <v>1105</v>
      </c>
      <c r="D2958" s="204" t="s">
        <v>1105</v>
      </c>
      <c r="E2958" s="204" t="s">
        <v>5801</v>
      </c>
      <c r="F2958" s="204" t="s">
        <v>55</v>
      </c>
      <c r="G2958" s="204" t="s">
        <v>55</v>
      </c>
      <c r="H2958" s="204" t="s">
        <v>523</v>
      </c>
      <c r="I2958" s="204"/>
      <c r="J2958" s="21">
        <f>0.425/100</f>
        <v>4.2500000000000003E-3</v>
      </c>
      <c r="K2958" s="204" t="s">
        <v>2276</v>
      </c>
      <c r="L2958" s="204" t="s">
        <v>2276</v>
      </c>
      <c r="M2958" s="204" t="s">
        <v>2276</v>
      </c>
      <c r="N2958" s="204" t="s">
        <v>2276</v>
      </c>
      <c r="O2958" s="204" t="s">
        <v>2276</v>
      </c>
      <c r="P2958" s="204" t="s">
        <v>2276</v>
      </c>
      <c r="Q2958" s="204" t="s">
        <v>2276</v>
      </c>
      <c r="R2958" s="21">
        <v>12</v>
      </c>
      <c r="S2958" s="204" t="s">
        <v>2276</v>
      </c>
      <c r="T2958" s="204" t="s">
        <v>2276</v>
      </c>
      <c r="U2958" s="204" t="s">
        <v>2276</v>
      </c>
      <c r="V2958" s="204" t="s">
        <v>2276</v>
      </c>
      <c r="W2958" s="204" t="s">
        <v>2276</v>
      </c>
      <c r="X2958" s="21">
        <v>6</v>
      </c>
      <c r="Y2958" s="204" t="s">
        <v>2276</v>
      </c>
      <c r="Z2958" s="204" t="s">
        <v>2276</v>
      </c>
      <c r="AA2958" s="204" t="s">
        <v>2276</v>
      </c>
      <c r="AB2958" s="204" t="s">
        <v>2276</v>
      </c>
      <c r="AC2958" s="204"/>
      <c r="AD2958" s="204"/>
    </row>
    <row r="2959" spans="1:30" ht="47.5" customHeight="1">
      <c r="A2959" s="19" t="s">
        <v>7991</v>
      </c>
      <c r="B2959" s="19" t="s">
        <v>7994</v>
      </c>
      <c r="C2959" s="204" t="s">
        <v>24</v>
      </c>
      <c r="D2959" s="204" t="s">
        <v>25</v>
      </c>
      <c r="E2959" s="204" t="s">
        <v>2647</v>
      </c>
      <c r="F2959" s="4" t="s">
        <v>29</v>
      </c>
      <c r="G2959" s="4" t="s">
        <v>29</v>
      </c>
      <c r="H2959" s="204" t="s">
        <v>523</v>
      </c>
      <c r="I2959" s="204"/>
      <c r="J2959" s="204" t="s">
        <v>2276</v>
      </c>
      <c r="K2959" s="204" t="s">
        <v>2276</v>
      </c>
      <c r="L2959" s="204" t="s">
        <v>2276</v>
      </c>
      <c r="M2959" s="204" t="s">
        <v>2276</v>
      </c>
      <c r="N2959" s="204" t="s">
        <v>2276</v>
      </c>
      <c r="O2959" s="204" t="s">
        <v>2276</v>
      </c>
      <c r="P2959" s="204" t="s">
        <v>2276</v>
      </c>
      <c r="Q2959" s="204" t="s">
        <v>2276</v>
      </c>
      <c r="R2959" s="204" t="s">
        <v>2276</v>
      </c>
      <c r="S2959" s="204" t="s">
        <v>2276</v>
      </c>
      <c r="T2959" s="204" t="s">
        <v>2276</v>
      </c>
      <c r="U2959" s="204" t="s">
        <v>2276</v>
      </c>
      <c r="V2959" s="204" t="s">
        <v>2276</v>
      </c>
      <c r="W2959" s="204" t="s">
        <v>2276</v>
      </c>
      <c r="X2959" s="204" t="s">
        <v>2276</v>
      </c>
      <c r="Y2959" s="204" t="s">
        <v>2276</v>
      </c>
      <c r="Z2959" s="204" t="s">
        <v>2276</v>
      </c>
      <c r="AA2959" s="204" t="s">
        <v>2276</v>
      </c>
      <c r="AB2959" s="204" t="s">
        <v>2276</v>
      </c>
      <c r="AC2959" s="4" t="s">
        <v>7998</v>
      </c>
      <c r="AD2959" s="204"/>
    </row>
    <row r="2960" spans="1:30" ht="47.5" customHeight="1">
      <c r="A2960" s="19" t="s">
        <v>7991</v>
      </c>
      <c r="B2960" s="19" t="s">
        <v>7995</v>
      </c>
      <c r="C2960" s="204" t="s">
        <v>24</v>
      </c>
      <c r="D2960" s="204" t="s">
        <v>2804</v>
      </c>
      <c r="E2960" s="204" t="s">
        <v>2647</v>
      </c>
      <c r="F2960" s="4" t="s">
        <v>2662</v>
      </c>
      <c r="G2960" s="4" t="s">
        <v>2662</v>
      </c>
      <c r="H2960" s="204" t="s">
        <v>523</v>
      </c>
      <c r="I2960" s="204"/>
      <c r="J2960" s="204" t="s">
        <v>2276</v>
      </c>
      <c r="K2960" s="204" t="s">
        <v>2276</v>
      </c>
      <c r="L2960" s="204" t="s">
        <v>2276</v>
      </c>
      <c r="M2960" s="204" t="s">
        <v>2276</v>
      </c>
      <c r="N2960" s="204" t="s">
        <v>2276</v>
      </c>
      <c r="O2960" s="204" t="s">
        <v>2276</v>
      </c>
      <c r="P2960" s="204" t="s">
        <v>2276</v>
      </c>
      <c r="Q2960" s="204" t="s">
        <v>2276</v>
      </c>
      <c r="R2960" s="204" t="s">
        <v>2276</v>
      </c>
      <c r="S2960" s="204" t="s">
        <v>2276</v>
      </c>
      <c r="T2960" s="204" t="s">
        <v>2276</v>
      </c>
      <c r="U2960" s="204" t="s">
        <v>2276</v>
      </c>
      <c r="V2960" s="204" t="s">
        <v>2276</v>
      </c>
      <c r="W2960" s="204" t="s">
        <v>2276</v>
      </c>
      <c r="X2960" s="204" t="s">
        <v>2276</v>
      </c>
      <c r="Y2960" s="204" t="s">
        <v>2276</v>
      </c>
      <c r="Z2960" s="204" t="s">
        <v>2276</v>
      </c>
      <c r="AA2960" s="204" t="s">
        <v>2276</v>
      </c>
      <c r="AB2960" s="204" t="s">
        <v>2276</v>
      </c>
      <c r="AC2960" s="4" t="s">
        <v>7998</v>
      </c>
      <c r="AD2960" s="204"/>
    </row>
    <row r="2961" spans="1:30" ht="47.5" customHeight="1">
      <c r="A2961" s="19" t="s">
        <v>7991</v>
      </c>
      <c r="B2961" s="19" t="s">
        <v>7996</v>
      </c>
      <c r="C2961" s="204" t="s">
        <v>24</v>
      </c>
      <c r="D2961" s="204" t="s">
        <v>25</v>
      </c>
      <c r="E2961" s="204" t="s">
        <v>45</v>
      </c>
      <c r="F2961" s="4" t="s">
        <v>29</v>
      </c>
      <c r="G2961" s="4" t="s">
        <v>29</v>
      </c>
      <c r="H2961" s="204" t="s">
        <v>523</v>
      </c>
      <c r="I2961" s="204"/>
      <c r="J2961" s="204" t="s">
        <v>2276</v>
      </c>
      <c r="K2961" s="204" t="s">
        <v>2276</v>
      </c>
      <c r="L2961" s="204" t="s">
        <v>2276</v>
      </c>
      <c r="M2961" s="204" t="s">
        <v>2276</v>
      </c>
      <c r="N2961" s="204" t="s">
        <v>2276</v>
      </c>
      <c r="O2961" s="204" t="s">
        <v>2276</v>
      </c>
      <c r="P2961" s="204" t="s">
        <v>2276</v>
      </c>
      <c r="Q2961" s="204" t="s">
        <v>2276</v>
      </c>
      <c r="R2961" s="204" t="s">
        <v>2276</v>
      </c>
      <c r="S2961" s="204" t="s">
        <v>2276</v>
      </c>
      <c r="T2961" s="204" t="s">
        <v>2276</v>
      </c>
      <c r="U2961" s="204" t="s">
        <v>2276</v>
      </c>
      <c r="V2961" s="204" t="s">
        <v>2276</v>
      </c>
      <c r="W2961" s="204" t="s">
        <v>2276</v>
      </c>
      <c r="X2961" s="204" t="s">
        <v>2276</v>
      </c>
      <c r="Y2961" s="204" t="s">
        <v>2276</v>
      </c>
      <c r="Z2961" s="204" t="s">
        <v>2276</v>
      </c>
      <c r="AA2961" s="204" t="s">
        <v>2276</v>
      </c>
      <c r="AB2961" s="204" t="s">
        <v>2276</v>
      </c>
      <c r="AC2961" s="4" t="s">
        <v>7998</v>
      </c>
      <c r="AD2961" s="204"/>
    </row>
    <row r="2962" spans="1:30" ht="47.5" customHeight="1">
      <c r="A2962" s="19" t="s">
        <v>7991</v>
      </c>
      <c r="B2962" s="19" t="s">
        <v>7997</v>
      </c>
      <c r="C2962" s="204" t="s">
        <v>24</v>
      </c>
      <c r="D2962" s="204" t="s">
        <v>2804</v>
      </c>
      <c r="E2962" s="204" t="s">
        <v>45</v>
      </c>
      <c r="F2962" s="4" t="s">
        <v>2662</v>
      </c>
      <c r="G2962" s="4" t="s">
        <v>2662</v>
      </c>
      <c r="H2962" s="204" t="s">
        <v>523</v>
      </c>
      <c r="I2962" s="204"/>
      <c r="J2962" s="204" t="s">
        <v>2276</v>
      </c>
      <c r="K2962" s="204" t="s">
        <v>2276</v>
      </c>
      <c r="L2962" s="204" t="s">
        <v>2276</v>
      </c>
      <c r="M2962" s="204" t="s">
        <v>2276</v>
      </c>
      <c r="N2962" s="204" t="s">
        <v>2276</v>
      </c>
      <c r="O2962" s="204" t="s">
        <v>2276</v>
      </c>
      <c r="P2962" s="204" t="s">
        <v>2276</v>
      </c>
      <c r="Q2962" s="204" t="s">
        <v>2276</v>
      </c>
      <c r="R2962" s="204" t="s">
        <v>2276</v>
      </c>
      <c r="S2962" s="204" t="s">
        <v>2276</v>
      </c>
      <c r="T2962" s="204" t="s">
        <v>2276</v>
      </c>
      <c r="U2962" s="204" t="s">
        <v>2276</v>
      </c>
      <c r="V2962" s="204" t="s">
        <v>2276</v>
      </c>
      <c r="W2962" s="204" t="s">
        <v>2276</v>
      </c>
      <c r="X2962" s="204" t="s">
        <v>2276</v>
      </c>
      <c r="Y2962" s="204" t="s">
        <v>2276</v>
      </c>
      <c r="Z2962" s="204" t="s">
        <v>2276</v>
      </c>
      <c r="AA2962" s="204" t="s">
        <v>2276</v>
      </c>
      <c r="AB2962" s="204" t="s">
        <v>2276</v>
      </c>
      <c r="AC2962" s="4" t="s">
        <v>7998</v>
      </c>
      <c r="AD2962" s="204"/>
    </row>
    <row r="2963" spans="1:30" ht="38" customHeight="1">
      <c r="A2963" s="19" t="s">
        <v>8000</v>
      </c>
      <c r="B2963" s="19" t="s">
        <v>8008</v>
      </c>
      <c r="C2963" s="204" t="s">
        <v>24</v>
      </c>
      <c r="D2963" s="204" t="s">
        <v>144</v>
      </c>
      <c r="E2963" s="204" t="s">
        <v>137</v>
      </c>
      <c r="F2963" s="4" t="s">
        <v>2662</v>
      </c>
      <c r="G2963" s="4" t="s">
        <v>2662</v>
      </c>
      <c r="H2963" s="204" t="s">
        <v>523</v>
      </c>
      <c r="I2963" s="204"/>
      <c r="J2963" s="204" t="s">
        <v>2276</v>
      </c>
      <c r="K2963" s="204" t="s">
        <v>2276</v>
      </c>
      <c r="L2963" s="204" t="s">
        <v>2276</v>
      </c>
      <c r="M2963" s="204" t="s">
        <v>2276</v>
      </c>
      <c r="N2963" s="204" t="s">
        <v>2276</v>
      </c>
      <c r="O2963" s="204" t="s">
        <v>2276</v>
      </c>
      <c r="P2963" s="204" t="s">
        <v>2276</v>
      </c>
      <c r="Q2963" s="204" t="s">
        <v>2276</v>
      </c>
      <c r="R2963" s="204" t="s">
        <v>2276</v>
      </c>
      <c r="S2963" s="204" t="s">
        <v>2276</v>
      </c>
      <c r="T2963" s="204" t="s">
        <v>2276</v>
      </c>
      <c r="U2963" s="204" t="s">
        <v>2276</v>
      </c>
      <c r="V2963" s="204" t="s">
        <v>2276</v>
      </c>
      <c r="W2963" s="204" t="s">
        <v>2276</v>
      </c>
      <c r="X2963" s="204" t="s">
        <v>2276</v>
      </c>
      <c r="Y2963" s="204" t="s">
        <v>2276</v>
      </c>
      <c r="Z2963" s="204" t="s">
        <v>2276</v>
      </c>
      <c r="AA2963" s="204" t="s">
        <v>2276</v>
      </c>
      <c r="AB2963" s="204" t="s">
        <v>2276</v>
      </c>
      <c r="AC2963" s="204"/>
      <c r="AD2963" s="204"/>
    </row>
    <row r="2964" spans="1:30" ht="38" customHeight="1">
      <c r="A2964" s="19" t="s">
        <v>8006</v>
      </c>
      <c r="B2964" s="19" t="s">
        <v>8009</v>
      </c>
      <c r="C2964" s="204" t="s">
        <v>24</v>
      </c>
      <c r="D2964" s="204" t="s">
        <v>144</v>
      </c>
      <c r="E2964" s="204" t="s">
        <v>137</v>
      </c>
      <c r="F2964" s="4" t="s">
        <v>2662</v>
      </c>
      <c r="G2964" s="4" t="s">
        <v>2662</v>
      </c>
      <c r="H2964" s="204" t="s">
        <v>523</v>
      </c>
      <c r="I2964" s="204"/>
      <c r="J2964" s="204" t="s">
        <v>2276</v>
      </c>
      <c r="K2964" s="204" t="s">
        <v>2276</v>
      </c>
      <c r="L2964" s="204" t="s">
        <v>2276</v>
      </c>
      <c r="M2964" s="204" t="s">
        <v>2276</v>
      </c>
      <c r="N2964" s="204" t="s">
        <v>2276</v>
      </c>
      <c r="O2964" s="204" t="s">
        <v>2276</v>
      </c>
      <c r="P2964" s="204" t="s">
        <v>2276</v>
      </c>
      <c r="Q2964" s="204" t="s">
        <v>2276</v>
      </c>
      <c r="R2964" s="204" t="s">
        <v>2276</v>
      </c>
      <c r="S2964" s="204" t="s">
        <v>2276</v>
      </c>
      <c r="T2964" s="204" t="s">
        <v>2276</v>
      </c>
      <c r="U2964" s="204" t="s">
        <v>2276</v>
      </c>
      <c r="V2964" s="204" t="s">
        <v>2276</v>
      </c>
      <c r="W2964" s="204" t="s">
        <v>2276</v>
      </c>
      <c r="X2964" s="204" t="s">
        <v>2276</v>
      </c>
      <c r="Y2964" s="204" t="s">
        <v>2276</v>
      </c>
      <c r="Z2964" s="204" t="s">
        <v>2276</v>
      </c>
      <c r="AA2964" s="204" t="s">
        <v>2276</v>
      </c>
      <c r="AB2964" s="204" t="s">
        <v>2276</v>
      </c>
      <c r="AC2964" s="204"/>
      <c r="AD2964" s="204"/>
    </row>
    <row r="2965" spans="1:30" ht="38" customHeight="1">
      <c r="A2965" s="19" t="s">
        <v>8007</v>
      </c>
      <c r="B2965" s="19" t="s">
        <v>8010</v>
      </c>
      <c r="C2965" s="204" t="s">
        <v>24</v>
      </c>
      <c r="D2965" s="204" t="s">
        <v>144</v>
      </c>
      <c r="E2965" s="204" t="s">
        <v>137</v>
      </c>
      <c r="F2965" s="4" t="s">
        <v>2662</v>
      </c>
      <c r="G2965" s="4" t="s">
        <v>2662</v>
      </c>
      <c r="H2965" s="204" t="s">
        <v>523</v>
      </c>
      <c r="I2965" s="204"/>
      <c r="J2965" s="204" t="s">
        <v>2276</v>
      </c>
      <c r="K2965" s="204" t="s">
        <v>2276</v>
      </c>
      <c r="L2965" s="204" t="s">
        <v>2276</v>
      </c>
      <c r="M2965" s="204" t="s">
        <v>2276</v>
      </c>
      <c r="N2965" s="204" t="s">
        <v>2276</v>
      </c>
      <c r="O2965" s="204" t="s">
        <v>2276</v>
      </c>
      <c r="P2965" s="204" t="s">
        <v>2276</v>
      </c>
      <c r="Q2965" s="204" t="s">
        <v>2276</v>
      </c>
      <c r="R2965" s="204" t="s">
        <v>2276</v>
      </c>
      <c r="S2965" s="204" t="s">
        <v>2276</v>
      </c>
      <c r="T2965" s="204" t="s">
        <v>2276</v>
      </c>
      <c r="U2965" s="204" t="s">
        <v>2276</v>
      </c>
      <c r="V2965" s="204" t="s">
        <v>2276</v>
      </c>
      <c r="W2965" s="204" t="s">
        <v>2276</v>
      </c>
      <c r="X2965" s="204" t="s">
        <v>2276</v>
      </c>
      <c r="Y2965" s="204" t="s">
        <v>2276</v>
      </c>
      <c r="Z2965" s="204" t="s">
        <v>2276</v>
      </c>
      <c r="AA2965" s="204" t="s">
        <v>2276</v>
      </c>
      <c r="AB2965" s="204" t="s">
        <v>2276</v>
      </c>
      <c r="AC2965" s="204"/>
      <c r="AD2965" s="204"/>
    </row>
    <row r="2966" spans="1:30" ht="31" customHeight="1">
      <c r="A2966" s="19" t="s">
        <v>8013</v>
      </c>
      <c r="B2966" s="19" t="s">
        <v>8015</v>
      </c>
      <c r="C2966" s="204" t="s">
        <v>24</v>
      </c>
      <c r="D2966" s="204" t="s">
        <v>2804</v>
      </c>
      <c r="E2966" s="204" t="s">
        <v>45</v>
      </c>
      <c r="F2966" s="4" t="s">
        <v>2662</v>
      </c>
      <c r="G2966" s="4" t="s">
        <v>2662</v>
      </c>
      <c r="H2966" s="204" t="s">
        <v>523</v>
      </c>
      <c r="I2966" s="204"/>
      <c r="J2966" s="204" t="s">
        <v>2276</v>
      </c>
      <c r="K2966" s="204" t="s">
        <v>2276</v>
      </c>
      <c r="L2966" s="204" t="s">
        <v>2276</v>
      </c>
      <c r="M2966" s="204" t="s">
        <v>2276</v>
      </c>
      <c r="N2966" s="204" t="s">
        <v>2276</v>
      </c>
      <c r="O2966" s="204" t="s">
        <v>2276</v>
      </c>
      <c r="P2966" s="204" t="s">
        <v>2276</v>
      </c>
      <c r="Q2966" s="204" t="s">
        <v>2276</v>
      </c>
      <c r="R2966" s="204" t="s">
        <v>2276</v>
      </c>
      <c r="S2966" s="204" t="s">
        <v>2276</v>
      </c>
      <c r="T2966" s="204" t="s">
        <v>2276</v>
      </c>
      <c r="U2966" s="204" t="s">
        <v>2276</v>
      </c>
      <c r="V2966" s="204" t="s">
        <v>2276</v>
      </c>
      <c r="W2966" s="204" t="s">
        <v>2276</v>
      </c>
      <c r="X2966" s="204" t="s">
        <v>2276</v>
      </c>
      <c r="Y2966" s="204" t="s">
        <v>2276</v>
      </c>
      <c r="Z2966" s="204" t="s">
        <v>2276</v>
      </c>
      <c r="AA2966" s="204" t="s">
        <v>2276</v>
      </c>
      <c r="AB2966" s="204" t="s">
        <v>2276</v>
      </c>
      <c r="AC2966" s="204"/>
      <c r="AD2966" s="204"/>
    </row>
    <row r="2967" spans="1:30" ht="31" customHeight="1">
      <c r="A2967" s="19" t="s">
        <v>8013</v>
      </c>
      <c r="B2967" s="19" t="s">
        <v>8016</v>
      </c>
      <c r="C2967" s="204" t="s">
        <v>2458</v>
      </c>
      <c r="D2967" s="204" t="s">
        <v>2804</v>
      </c>
      <c r="E2967" s="204" t="s">
        <v>45</v>
      </c>
      <c r="F2967" s="4" t="s">
        <v>2662</v>
      </c>
      <c r="G2967" s="4" t="s">
        <v>2662</v>
      </c>
      <c r="H2967" s="204" t="s">
        <v>523</v>
      </c>
      <c r="I2967" s="204"/>
      <c r="J2967" s="204" t="s">
        <v>2276</v>
      </c>
      <c r="K2967" s="204" t="s">
        <v>2276</v>
      </c>
      <c r="L2967" s="204" t="s">
        <v>2276</v>
      </c>
      <c r="M2967" s="204" t="s">
        <v>2276</v>
      </c>
      <c r="N2967" s="204" t="s">
        <v>2276</v>
      </c>
      <c r="O2967" s="204" t="s">
        <v>2276</v>
      </c>
      <c r="P2967" s="204" t="s">
        <v>2276</v>
      </c>
      <c r="Q2967" s="204" t="s">
        <v>2276</v>
      </c>
      <c r="R2967" s="204" t="s">
        <v>2276</v>
      </c>
      <c r="S2967" s="204" t="s">
        <v>2276</v>
      </c>
      <c r="T2967" s="204" t="s">
        <v>2276</v>
      </c>
      <c r="U2967" s="204" t="s">
        <v>2276</v>
      </c>
      <c r="V2967" s="204" t="s">
        <v>2276</v>
      </c>
      <c r="W2967" s="204" t="s">
        <v>2276</v>
      </c>
      <c r="X2967" s="204" t="s">
        <v>2276</v>
      </c>
      <c r="Y2967" s="204" t="s">
        <v>2276</v>
      </c>
      <c r="Z2967" s="204" t="s">
        <v>2276</v>
      </c>
      <c r="AA2967" s="204" t="s">
        <v>2276</v>
      </c>
      <c r="AB2967" s="204" t="s">
        <v>2276</v>
      </c>
      <c r="AC2967" s="204"/>
      <c r="AD2967" s="204"/>
    </row>
    <row r="2968" spans="1:30" ht="41" customHeight="1">
      <c r="A2968" s="19" t="s">
        <v>8019</v>
      </c>
      <c r="B2968" s="19" t="s">
        <v>8023</v>
      </c>
      <c r="C2968" s="204" t="s">
        <v>24</v>
      </c>
      <c r="D2968" s="204" t="s">
        <v>144</v>
      </c>
      <c r="E2968" s="204" t="s">
        <v>137</v>
      </c>
      <c r="F2968" s="4" t="s">
        <v>2662</v>
      </c>
      <c r="G2968" s="4" t="s">
        <v>2662</v>
      </c>
      <c r="H2968" s="204" t="s">
        <v>524</v>
      </c>
      <c r="I2968" s="204"/>
      <c r="J2968" s="21">
        <v>0</v>
      </c>
      <c r="K2968" s="21">
        <v>0</v>
      </c>
      <c r="L2968" s="21">
        <v>0</v>
      </c>
      <c r="M2968" s="21">
        <v>0</v>
      </c>
      <c r="N2968" s="21">
        <v>0</v>
      </c>
      <c r="O2968" s="21">
        <v>0</v>
      </c>
      <c r="P2968" s="21">
        <v>0</v>
      </c>
      <c r="Q2968" s="21">
        <v>0</v>
      </c>
      <c r="R2968" s="21">
        <v>0</v>
      </c>
      <c r="S2968" s="21">
        <v>0</v>
      </c>
      <c r="T2968" s="21">
        <v>0</v>
      </c>
      <c r="U2968" s="21">
        <v>0</v>
      </c>
      <c r="V2968" s="21">
        <v>0</v>
      </c>
      <c r="W2968" s="21">
        <v>0</v>
      </c>
      <c r="X2968" s="204" t="s">
        <v>2276</v>
      </c>
      <c r="Y2968" s="204" t="s">
        <v>2276</v>
      </c>
      <c r="Z2968" s="204" t="s">
        <v>2276</v>
      </c>
      <c r="AA2968" s="204" t="s">
        <v>2276</v>
      </c>
      <c r="AB2968" s="204" t="s">
        <v>2276</v>
      </c>
      <c r="AC2968" s="204"/>
      <c r="AD2968" s="204"/>
    </row>
    <row r="2969" spans="1:30" ht="34.5" customHeight="1">
      <c r="A2969" s="19" t="s">
        <v>8020</v>
      </c>
      <c r="B2969" s="19" t="s">
        <v>8024</v>
      </c>
      <c r="C2969" s="204" t="s">
        <v>24</v>
      </c>
      <c r="D2969" s="204" t="s">
        <v>2804</v>
      </c>
      <c r="E2969" s="204" t="s">
        <v>45</v>
      </c>
      <c r="F2969" s="4" t="s">
        <v>2662</v>
      </c>
      <c r="G2969" s="4" t="s">
        <v>2662</v>
      </c>
      <c r="H2969" s="204" t="s">
        <v>523</v>
      </c>
      <c r="I2969" s="204"/>
      <c r="J2969" s="204" t="s">
        <v>2276</v>
      </c>
      <c r="K2969" s="204" t="s">
        <v>2276</v>
      </c>
      <c r="L2969" s="204" t="s">
        <v>2276</v>
      </c>
      <c r="M2969" s="204" t="s">
        <v>2276</v>
      </c>
      <c r="N2969" s="204" t="s">
        <v>2276</v>
      </c>
      <c r="O2969" s="204" t="s">
        <v>2276</v>
      </c>
      <c r="P2969" s="204" t="s">
        <v>2276</v>
      </c>
      <c r="Q2969" s="204" t="s">
        <v>2276</v>
      </c>
      <c r="R2969" s="204" t="s">
        <v>2276</v>
      </c>
      <c r="S2969" s="204" t="s">
        <v>2276</v>
      </c>
      <c r="T2969" s="204" t="s">
        <v>2276</v>
      </c>
      <c r="U2969" s="204" t="s">
        <v>2276</v>
      </c>
      <c r="V2969" s="204" t="s">
        <v>2276</v>
      </c>
      <c r="W2969" s="204" t="s">
        <v>2276</v>
      </c>
      <c r="X2969" s="204" t="s">
        <v>2276</v>
      </c>
      <c r="Y2969" s="21">
        <v>2</v>
      </c>
      <c r="Z2969" s="204" t="s">
        <v>405</v>
      </c>
      <c r="AA2969" s="204" t="s">
        <v>425</v>
      </c>
      <c r="AB2969" s="204" t="s">
        <v>2276</v>
      </c>
      <c r="AC2969" s="204"/>
      <c r="AD2969" s="204"/>
    </row>
    <row r="2970" spans="1:30" ht="30" customHeight="1">
      <c r="A2970" s="19" t="s">
        <v>8019</v>
      </c>
      <c r="B2970" s="19" t="s">
        <v>8027</v>
      </c>
      <c r="C2970" s="204" t="s">
        <v>24</v>
      </c>
      <c r="D2970" s="204" t="s">
        <v>2804</v>
      </c>
      <c r="E2970" s="204" t="s">
        <v>45</v>
      </c>
      <c r="F2970" s="4" t="s">
        <v>2662</v>
      </c>
      <c r="G2970" s="4" t="s">
        <v>2662</v>
      </c>
      <c r="H2970" s="204" t="s">
        <v>524</v>
      </c>
      <c r="I2970" s="204"/>
      <c r="J2970" s="21">
        <v>0</v>
      </c>
      <c r="K2970" s="21">
        <v>0</v>
      </c>
      <c r="L2970" s="21">
        <v>0</v>
      </c>
      <c r="M2970" s="21">
        <v>0</v>
      </c>
      <c r="N2970" s="21">
        <v>0</v>
      </c>
      <c r="O2970" s="21">
        <v>0</v>
      </c>
      <c r="P2970" s="21">
        <v>0</v>
      </c>
      <c r="Q2970" s="21">
        <v>0</v>
      </c>
      <c r="R2970" s="21">
        <v>0</v>
      </c>
      <c r="S2970" s="21">
        <v>0</v>
      </c>
      <c r="T2970" s="21">
        <v>0</v>
      </c>
      <c r="U2970" s="21">
        <v>0</v>
      </c>
      <c r="V2970" s="21">
        <v>0</v>
      </c>
      <c r="W2970" s="21">
        <v>0</v>
      </c>
      <c r="X2970" s="204" t="s">
        <v>2276</v>
      </c>
      <c r="Y2970" s="204" t="s">
        <v>2276</v>
      </c>
      <c r="Z2970" s="204" t="s">
        <v>2276</v>
      </c>
      <c r="AA2970" s="204" t="s">
        <v>2276</v>
      </c>
      <c r="AB2970" s="204" t="s">
        <v>2276</v>
      </c>
      <c r="AC2970" s="204"/>
      <c r="AD2970" s="204"/>
    </row>
    <row r="2971" spans="1:30" ht="35.5" customHeight="1">
      <c r="A2971" s="19" t="s">
        <v>8030</v>
      </c>
      <c r="B2971" s="19" t="s">
        <v>8033</v>
      </c>
      <c r="C2971" s="204" t="s">
        <v>24</v>
      </c>
      <c r="D2971" s="204" t="s">
        <v>1245</v>
      </c>
      <c r="E2971" s="204" t="s">
        <v>116</v>
      </c>
      <c r="F2971" s="4" t="s">
        <v>2662</v>
      </c>
      <c r="G2971" s="4" t="s">
        <v>2662</v>
      </c>
      <c r="H2971" s="204" t="s">
        <v>523</v>
      </c>
      <c r="I2971" s="204"/>
      <c r="J2971" s="204" t="s">
        <v>2276</v>
      </c>
      <c r="K2971" s="204" t="s">
        <v>2276</v>
      </c>
      <c r="L2971" s="204" t="s">
        <v>2276</v>
      </c>
      <c r="M2971" s="204" t="s">
        <v>2276</v>
      </c>
      <c r="N2971" s="204" t="s">
        <v>2276</v>
      </c>
      <c r="O2971" s="204" t="s">
        <v>2276</v>
      </c>
      <c r="P2971" s="204" t="s">
        <v>2276</v>
      </c>
      <c r="Q2971" s="204" t="s">
        <v>2276</v>
      </c>
      <c r="R2971" s="204" t="s">
        <v>2276</v>
      </c>
      <c r="S2971" s="204" t="s">
        <v>2276</v>
      </c>
      <c r="T2971" s="204" t="s">
        <v>2276</v>
      </c>
      <c r="U2971" s="204" t="s">
        <v>2276</v>
      </c>
      <c r="V2971" s="204" t="s">
        <v>2276</v>
      </c>
      <c r="W2971" s="204" t="s">
        <v>2276</v>
      </c>
      <c r="X2971" s="204" t="s">
        <v>2276</v>
      </c>
      <c r="Y2971" s="204" t="s">
        <v>2276</v>
      </c>
      <c r="Z2971" s="204" t="s">
        <v>404</v>
      </c>
      <c r="AA2971" s="204" t="s">
        <v>425</v>
      </c>
      <c r="AB2971" s="204" t="s">
        <v>2276</v>
      </c>
      <c r="AC2971" s="204"/>
      <c r="AD2971" s="204"/>
    </row>
    <row r="2972" spans="1:30" ht="36.5" customHeight="1">
      <c r="A2972" s="19" t="s">
        <v>8030</v>
      </c>
      <c r="B2972" s="19" t="s">
        <v>8036</v>
      </c>
      <c r="C2972" s="204" t="s">
        <v>24</v>
      </c>
      <c r="D2972" s="204" t="s">
        <v>406</v>
      </c>
      <c r="E2972" s="204" t="s">
        <v>116</v>
      </c>
      <c r="F2972" s="4" t="s">
        <v>2662</v>
      </c>
      <c r="G2972" s="4" t="s">
        <v>2662</v>
      </c>
      <c r="H2972" s="204" t="s">
        <v>523</v>
      </c>
      <c r="I2972" s="204"/>
      <c r="J2972" s="204" t="s">
        <v>2276</v>
      </c>
      <c r="K2972" s="204" t="s">
        <v>2276</v>
      </c>
      <c r="L2972" s="204" t="s">
        <v>2276</v>
      </c>
      <c r="M2972" s="204" t="s">
        <v>2276</v>
      </c>
      <c r="N2972" s="204" t="s">
        <v>2276</v>
      </c>
      <c r="O2972" s="204" t="s">
        <v>2276</v>
      </c>
      <c r="P2972" s="204" t="s">
        <v>2276</v>
      </c>
      <c r="Q2972" s="204" t="s">
        <v>2276</v>
      </c>
      <c r="R2972" s="204" t="s">
        <v>2276</v>
      </c>
      <c r="S2972" s="204" t="s">
        <v>2276</v>
      </c>
      <c r="T2972" s="204" t="s">
        <v>2276</v>
      </c>
      <c r="U2972" s="204" t="s">
        <v>2276</v>
      </c>
      <c r="V2972" s="204" t="s">
        <v>2276</v>
      </c>
      <c r="W2972" s="204" t="s">
        <v>2276</v>
      </c>
      <c r="X2972" s="204" t="s">
        <v>2276</v>
      </c>
      <c r="Y2972" s="204" t="s">
        <v>2276</v>
      </c>
      <c r="Z2972" s="204" t="s">
        <v>404</v>
      </c>
      <c r="AA2972" s="204" t="s">
        <v>425</v>
      </c>
      <c r="AB2972" s="204" t="s">
        <v>2276</v>
      </c>
      <c r="AC2972" s="204"/>
      <c r="AD2972" s="204"/>
    </row>
    <row r="2973" spans="1:30" ht="37.5" customHeight="1">
      <c r="A2973" s="19" t="s">
        <v>8038</v>
      </c>
      <c r="B2973" s="19" t="s">
        <v>8041</v>
      </c>
      <c r="C2973" s="204" t="s">
        <v>24</v>
      </c>
      <c r="D2973" s="204" t="s">
        <v>2804</v>
      </c>
      <c r="E2973" t="s">
        <v>2647</v>
      </c>
      <c r="F2973" s="4" t="s">
        <v>2662</v>
      </c>
      <c r="G2973" s="4" t="s">
        <v>2662</v>
      </c>
      <c r="H2973" s="204" t="s">
        <v>523</v>
      </c>
      <c r="I2973" s="204"/>
      <c r="J2973" s="204" t="s">
        <v>2276</v>
      </c>
      <c r="K2973" s="204" t="s">
        <v>2276</v>
      </c>
      <c r="L2973" s="204" t="s">
        <v>2276</v>
      </c>
      <c r="M2973" s="204" t="s">
        <v>2276</v>
      </c>
      <c r="N2973" s="204" t="s">
        <v>2276</v>
      </c>
      <c r="O2973" s="204" t="s">
        <v>2276</v>
      </c>
      <c r="P2973" s="204" t="s">
        <v>2276</v>
      </c>
      <c r="Q2973" s="204" t="s">
        <v>2276</v>
      </c>
      <c r="R2973" s="204" t="s">
        <v>2276</v>
      </c>
      <c r="S2973" s="204" t="s">
        <v>2276</v>
      </c>
      <c r="T2973" s="204" t="s">
        <v>2276</v>
      </c>
      <c r="U2973" s="204" t="s">
        <v>2276</v>
      </c>
      <c r="V2973" s="204" t="s">
        <v>2276</v>
      </c>
      <c r="W2973" s="204" t="s">
        <v>2276</v>
      </c>
      <c r="X2973" s="204" t="s">
        <v>2276</v>
      </c>
      <c r="Y2973" s="204" t="s">
        <v>2276</v>
      </c>
      <c r="Z2973" s="204" t="s">
        <v>2276</v>
      </c>
      <c r="AA2973" s="204" t="s">
        <v>2276</v>
      </c>
      <c r="AB2973" s="204" t="s">
        <v>2276</v>
      </c>
      <c r="AC2973" s="204"/>
      <c r="AD2973" s="204"/>
    </row>
    <row r="2974" spans="1:30" ht="37" customHeight="1">
      <c r="A2974" s="19" t="s">
        <v>8040</v>
      </c>
      <c r="B2974" s="19" t="s">
        <v>8042</v>
      </c>
      <c r="C2974" s="204" t="s">
        <v>24</v>
      </c>
      <c r="D2974" s="204" t="s">
        <v>2804</v>
      </c>
      <c r="E2974" s="204" t="s">
        <v>45</v>
      </c>
      <c r="F2974" s="4" t="s">
        <v>2662</v>
      </c>
      <c r="G2974" s="4" t="s">
        <v>2662</v>
      </c>
      <c r="H2974" s="204" t="s">
        <v>523</v>
      </c>
      <c r="I2974" s="204"/>
      <c r="J2974" s="204" t="s">
        <v>2276</v>
      </c>
      <c r="K2974" s="204" t="s">
        <v>2276</v>
      </c>
      <c r="L2974" s="204" t="s">
        <v>2276</v>
      </c>
      <c r="M2974" s="204" t="s">
        <v>2276</v>
      </c>
      <c r="N2974" s="204" t="s">
        <v>2276</v>
      </c>
      <c r="O2974" s="204" t="s">
        <v>2276</v>
      </c>
      <c r="P2974" s="204" t="s">
        <v>2276</v>
      </c>
      <c r="Q2974" s="204" t="s">
        <v>2276</v>
      </c>
      <c r="R2974" s="204" t="s">
        <v>2276</v>
      </c>
      <c r="S2974" s="204" t="s">
        <v>2276</v>
      </c>
      <c r="T2974" s="204" t="s">
        <v>2276</v>
      </c>
      <c r="U2974" s="204" t="s">
        <v>2276</v>
      </c>
      <c r="V2974" s="204" t="s">
        <v>2276</v>
      </c>
      <c r="W2974" s="204" t="s">
        <v>2276</v>
      </c>
      <c r="X2974" s="204" t="s">
        <v>2276</v>
      </c>
      <c r="Y2974" s="204" t="s">
        <v>2276</v>
      </c>
      <c r="Z2974" s="204" t="s">
        <v>2276</v>
      </c>
      <c r="AA2974" s="204" t="s">
        <v>2276</v>
      </c>
      <c r="AB2974" s="204" t="s">
        <v>2276</v>
      </c>
      <c r="AC2974" s="204"/>
      <c r="AD2974" s="204"/>
    </row>
    <row r="2975" spans="1:30" ht="33.5" customHeight="1">
      <c r="A2975" s="19" t="s">
        <v>8056</v>
      </c>
      <c r="B2975" s="19" t="s">
        <v>8057</v>
      </c>
      <c r="C2975" s="204" t="s">
        <v>24</v>
      </c>
      <c r="D2975" s="204" t="s">
        <v>25</v>
      </c>
      <c r="E2975" s="204" t="s">
        <v>45</v>
      </c>
      <c r="F2975" s="4" t="s">
        <v>29</v>
      </c>
      <c r="G2975" s="4" t="s">
        <v>29</v>
      </c>
      <c r="H2975" s="204" t="s">
        <v>523</v>
      </c>
      <c r="I2975" s="204"/>
      <c r="J2975" s="204" t="s">
        <v>2276</v>
      </c>
      <c r="K2975" s="204" t="s">
        <v>2276</v>
      </c>
      <c r="L2975" s="204" t="s">
        <v>2276</v>
      </c>
      <c r="M2975" s="204" t="s">
        <v>2276</v>
      </c>
      <c r="N2975" s="204" t="s">
        <v>2276</v>
      </c>
      <c r="O2975" s="204" t="s">
        <v>2276</v>
      </c>
      <c r="P2975" s="204" t="s">
        <v>2276</v>
      </c>
      <c r="Q2975" s="204" t="s">
        <v>2276</v>
      </c>
      <c r="R2975" s="204" t="s">
        <v>2276</v>
      </c>
      <c r="S2975" s="204" t="s">
        <v>2276</v>
      </c>
      <c r="T2975" s="204" t="s">
        <v>2276</v>
      </c>
      <c r="U2975" s="204" t="s">
        <v>2276</v>
      </c>
      <c r="V2975" s="204" t="s">
        <v>2276</v>
      </c>
      <c r="W2975" s="204" t="s">
        <v>2276</v>
      </c>
      <c r="X2975" s="204" t="s">
        <v>2276</v>
      </c>
      <c r="Y2975" s="204" t="s">
        <v>2276</v>
      </c>
      <c r="Z2975" s="204" t="s">
        <v>2276</v>
      </c>
      <c r="AA2975" s="204" t="s">
        <v>2276</v>
      </c>
      <c r="AB2975" s="204" t="s">
        <v>2276</v>
      </c>
      <c r="AC2975" s="204"/>
      <c r="AD2975" s="204"/>
    </row>
    <row r="2976" spans="1:30" ht="33.5" customHeight="1">
      <c r="A2976" s="19" t="s">
        <v>8056</v>
      </c>
      <c r="B2976" s="19" t="s">
        <v>8058</v>
      </c>
      <c r="C2976" s="204" t="s">
        <v>24</v>
      </c>
      <c r="D2976" s="204" t="s">
        <v>143</v>
      </c>
      <c r="E2976" s="204" t="s">
        <v>45</v>
      </c>
      <c r="F2976" s="4" t="s">
        <v>74</v>
      </c>
      <c r="G2976" s="4" t="s">
        <v>74</v>
      </c>
      <c r="H2976" s="204" t="s">
        <v>523</v>
      </c>
      <c r="I2976" s="204"/>
      <c r="J2976" s="204" t="s">
        <v>2276</v>
      </c>
      <c r="K2976" s="204" t="s">
        <v>2276</v>
      </c>
      <c r="L2976" s="204" t="s">
        <v>2276</v>
      </c>
      <c r="M2976" s="204" t="s">
        <v>2276</v>
      </c>
      <c r="N2976" s="204" t="s">
        <v>2276</v>
      </c>
      <c r="O2976" s="204" t="s">
        <v>2276</v>
      </c>
      <c r="P2976" s="204" t="s">
        <v>2276</v>
      </c>
      <c r="Q2976" s="204" t="s">
        <v>2276</v>
      </c>
      <c r="R2976" s="204" t="s">
        <v>2276</v>
      </c>
      <c r="S2976" s="204" t="s">
        <v>2276</v>
      </c>
      <c r="T2976" s="204" t="s">
        <v>2276</v>
      </c>
      <c r="U2976" s="204" t="s">
        <v>2276</v>
      </c>
      <c r="V2976" s="204" t="s">
        <v>2276</v>
      </c>
      <c r="W2976" s="204" t="s">
        <v>2276</v>
      </c>
      <c r="X2976" s="204" t="s">
        <v>2276</v>
      </c>
      <c r="Y2976" s="204" t="s">
        <v>2276</v>
      </c>
      <c r="Z2976" s="204" t="s">
        <v>2276</v>
      </c>
      <c r="AA2976" s="204" t="s">
        <v>2276</v>
      </c>
      <c r="AB2976" s="204" t="s">
        <v>2276</v>
      </c>
      <c r="AC2976" s="204"/>
      <c r="AD2976" s="204"/>
    </row>
    <row r="2977" spans="1:30" ht="35.5" customHeight="1">
      <c r="A2977" s="19" t="s">
        <v>8056</v>
      </c>
      <c r="B2977" s="19" t="s">
        <v>8059</v>
      </c>
      <c r="C2977" s="204" t="s">
        <v>2458</v>
      </c>
      <c r="D2977" s="204" t="s">
        <v>25</v>
      </c>
      <c r="E2977" s="204" t="s">
        <v>45</v>
      </c>
      <c r="F2977" s="4" t="s">
        <v>29</v>
      </c>
      <c r="G2977" s="4" t="s">
        <v>74</v>
      </c>
      <c r="H2977" s="204" t="s">
        <v>523</v>
      </c>
      <c r="I2977" s="204"/>
      <c r="J2977" s="204" t="s">
        <v>2276</v>
      </c>
      <c r="K2977" s="204" t="s">
        <v>2276</v>
      </c>
      <c r="L2977" s="204" t="s">
        <v>2276</v>
      </c>
      <c r="M2977" s="204" t="s">
        <v>2276</v>
      </c>
      <c r="N2977" s="204" t="s">
        <v>2276</v>
      </c>
      <c r="O2977" s="204" t="s">
        <v>2276</v>
      </c>
      <c r="P2977" s="204" t="s">
        <v>2276</v>
      </c>
      <c r="Q2977" s="204" t="s">
        <v>2276</v>
      </c>
      <c r="R2977" s="204" t="s">
        <v>2276</v>
      </c>
      <c r="S2977" s="204" t="s">
        <v>2276</v>
      </c>
      <c r="T2977" s="204" t="s">
        <v>2276</v>
      </c>
      <c r="U2977" s="204" t="s">
        <v>2276</v>
      </c>
      <c r="V2977" s="204" t="s">
        <v>2276</v>
      </c>
      <c r="W2977" s="204" t="s">
        <v>2276</v>
      </c>
      <c r="X2977" s="204" t="s">
        <v>2276</v>
      </c>
      <c r="Y2977" s="204" t="s">
        <v>2276</v>
      </c>
      <c r="Z2977" s="204" t="s">
        <v>2276</v>
      </c>
      <c r="AA2977" s="204" t="s">
        <v>2276</v>
      </c>
      <c r="AB2977" s="204" t="s">
        <v>2276</v>
      </c>
      <c r="AC2977" s="4" t="s">
        <v>8060</v>
      </c>
      <c r="AD2977" s="204"/>
    </row>
    <row r="2978" spans="1:30" ht="46.5" customHeight="1">
      <c r="A2978" s="19" t="s">
        <v>8063</v>
      </c>
      <c r="B2978" s="19" t="s">
        <v>8065</v>
      </c>
      <c r="C2978" s="204" t="s">
        <v>24</v>
      </c>
      <c r="D2978" s="204" t="s">
        <v>144</v>
      </c>
      <c r="E2978" s="204" t="s">
        <v>137</v>
      </c>
      <c r="F2978" s="4" t="s">
        <v>2662</v>
      </c>
      <c r="G2978" s="4" t="s">
        <v>2662</v>
      </c>
      <c r="H2978" s="204" t="s">
        <v>523</v>
      </c>
      <c r="I2978" s="204"/>
      <c r="J2978" s="204" t="s">
        <v>2276</v>
      </c>
      <c r="K2978" s="204" t="s">
        <v>2276</v>
      </c>
      <c r="L2978" s="204" t="s">
        <v>2276</v>
      </c>
      <c r="M2978" s="204" t="s">
        <v>2276</v>
      </c>
      <c r="N2978" s="204" t="s">
        <v>2276</v>
      </c>
      <c r="O2978" s="204" t="s">
        <v>2276</v>
      </c>
      <c r="P2978" s="204" t="s">
        <v>2276</v>
      </c>
      <c r="Q2978" s="204" t="s">
        <v>2276</v>
      </c>
      <c r="R2978" s="204" t="s">
        <v>2276</v>
      </c>
      <c r="S2978" s="204" t="s">
        <v>2276</v>
      </c>
      <c r="T2978" s="204" t="s">
        <v>2276</v>
      </c>
      <c r="U2978" s="204" t="s">
        <v>2276</v>
      </c>
      <c r="V2978" s="204" t="s">
        <v>2276</v>
      </c>
      <c r="W2978" s="204" t="s">
        <v>2276</v>
      </c>
      <c r="X2978" s="204" t="s">
        <v>2276</v>
      </c>
      <c r="Y2978" s="204" t="s">
        <v>2276</v>
      </c>
      <c r="Z2978" s="204" t="s">
        <v>2276</v>
      </c>
      <c r="AA2978" s="204" t="s">
        <v>2276</v>
      </c>
      <c r="AB2978" s="204" t="s">
        <v>2276</v>
      </c>
      <c r="AC2978" s="4"/>
      <c r="AD2978" s="204"/>
    </row>
    <row r="2979" spans="1:30" ht="44" customHeight="1">
      <c r="A2979" s="19" t="s">
        <v>8069</v>
      </c>
      <c r="B2979" s="19" t="s">
        <v>8072</v>
      </c>
      <c r="C2979" s="204" t="s">
        <v>24</v>
      </c>
      <c r="D2979" s="204" t="s">
        <v>25</v>
      </c>
      <c r="E2979" s="204" t="s">
        <v>45</v>
      </c>
      <c r="F2979" s="4" t="s">
        <v>2662</v>
      </c>
      <c r="G2979" s="4" t="s">
        <v>2276</v>
      </c>
      <c r="H2979" s="204" t="s">
        <v>523</v>
      </c>
      <c r="I2979" s="204"/>
      <c r="J2979" s="204" t="s">
        <v>2276</v>
      </c>
      <c r="K2979" s="204" t="s">
        <v>2276</v>
      </c>
      <c r="L2979" s="204" t="s">
        <v>2276</v>
      </c>
      <c r="M2979" s="204" t="s">
        <v>2276</v>
      </c>
      <c r="N2979" s="204" t="s">
        <v>2276</v>
      </c>
      <c r="O2979" s="204" t="s">
        <v>2276</v>
      </c>
      <c r="P2979" s="204" t="s">
        <v>2276</v>
      </c>
      <c r="Q2979" s="204" t="s">
        <v>2276</v>
      </c>
      <c r="R2979" s="204" t="s">
        <v>2276</v>
      </c>
      <c r="S2979" s="204" t="s">
        <v>2276</v>
      </c>
      <c r="T2979" s="204" t="s">
        <v>2276</v>
      </c>
      <c r="U2979" s="204" t="s">
        <v>2276</v>
      </c>
      <c r="V2979" s="204" t="s">
        <v>2276</v>
      </c>
      <c r="W2979" s="204" t="s">
        <v>2276</v>
      </c>
      <c r="X2979" s="204" t="s">
        <v>2276</v>
      </c>
      <c r="Y2979" s="204" t="s">
        <v>2276</v>
      </c>
      <c r="Z2979" s="204" t="s">
        <v>2276</v>
      </c>
      <c r="AA2979" s="204" t="s">
        <v>2276</v>
      </c>
      <c r="AB2979" s="204" t="s">
        <v>2276</v>
      </c>
      <c r="AC2979" s="204"/>
      <c r="AD2979" s="204"/>
    </row>
    <row r="2980" spans="1:30" ht="39.5" customHeight="1">
      <c r="A2980" s="19" t="s">
        <v>8076</v>
      </c>
      <c r="B2980" s="19" t="s">
        <v>8077</v>
      </c>
      <c r="C2980" s="204" t="s">
        <v>24</v>
      </c>
      <c r="D2980" s="204" t="s">
        <v>25</v>
      </c>
      <c r="E2980" s="204" t="s">
        <v>45</v>
      </c>
      <c r="F2980" s="4" t="s">
        <v>2662</v>
      </c>
      <c r="G2980" s="4" t="s">
        <v>2276</v>
      </c>
      <c r="H2980" s="204" t="s">
        <v>523</v>
      </c>
      <c r="I2980" s="204"/>
      <c r="J2980" s="204" t="s">
        <v>2276</v>
      </c>
      <c r="K2980" s="21">
        <v>6.0000000000000001E-3</v>
      </c>
      <c r="L2980" s="204" t="s">
        <v>2276</v>
      </c>
      <c r="M2980" s="21">
        <v>96</v>
      </c>
      <c r="N2980" s="204" t="s">
        <v>2276</v>
      </c>
      <c r="O2980" s="204" t="s">
        <v>2276</v>
      </c>
      <c r="P2980" s="204" t="s">
        <v>2276</v>
      </c>
      <c r="Q2980" s="21">
        <v>4</v>
      </c>
      <c r="R2980" s="204" t="s">
        <v>2276</v>
      </c>
      <c r="S2980" s="204" t="s">
        <v>2276</v>
      </c>
      <c r="T2980" s="204" t="s">
        <v>2276</v>
      </c>
      <c r="U2980" s="204" t="s">
        <v>2276</v>
      </c>
      <c r="V2980" s="204" t="s">
        <v>2276</v>
      </c>
      <c r="W2980" s="204" t="s">
        <v>2276</v>
      </c>
      <c r="X2980" s="204" t="s">
        <v>2276</v>
      </c>
      <c r="Y2980" s="204" t="s">
        <v>2276</v>
      </c>
      <c r="Z2980" s="204" t="s">
        <v>2276</v>
      </c>
      <c r="AA2980" s="204" t="s">
        <v>2276</v>
      </c>
      <c r="AB2980" s="204" t="s">
        <v>2276</v>
      </c>
      <c r="AC2980" s="204"/>
      <c r="AD2980" s="4" t="s">
        <v>8080</v>
      </c>
    </row>
    <row r="2981" spans="1:30" ht="48.5" customHeight="1">
      <c r="A2981" s="19" t="s">
        <v>8076</v>
      </c>
      <c r="B2981" s="19" t="s">
        <v>8079</v>
      </c>
      <c r="C2981" s="204" t="s">
        <v>24</v>
      </c>
      <c r="D2981" s="204" t="s">
        <v>25</v>
      </c>
      <c r="E2981" s="4" t="s">
        <v>3855</v>
      </c>
      <c r="F2981" s="4" t="s">
        <v>2662</v>
      </c>
      <c r="G2981" s="4" t="s">
        <v>2276</v>
      </c>
      <c r="H2981" s="204" t="s">
        <v>523</v>
      </c>
      <c r="I2981" s="204"/>
      <c r="J2981" s="204" t="s">
        <v>2276</v>
      </c>
      <c r="K2981" s="21">
        <v>6.0000000000000001E-3</v>
      </c>
      <c r="L2981" s="204" t="s">
        <v>2276</v>
      </c>
      <c r="M2981" s="21">
        <v>96</v>
      </c>
      <c r="N2981" s="204" t="s">
        <v>2276</v>
      </c>
      <c r="O2981" s="204" t="s">
        <v>2276</v>
      </c>
      <c r="P2981" s="204" t="s">
        <v>2276</v>
      </c>
      <c r="Q2981" s="21">
        <v>4</v>
      </c>
      <c r="R2981" s="204" t="s">
        <v>2276</v>
      </c>
      <c r="S2981" s="204" t="s">
        <v>2276</v>
      </c>
      <c r="T2981" s="204" t="s">
        <v>2276</v>
      </c>
      <c r="U2981" s="204" t="s">
        <v>2276</v>
      </c>
      <c r="V2981" s="204" t="s">
        <v>2276</v>
      </c>
      <c r="W2981" s="204" t="s">
        <v>2276</v>
      </c>
      <c r="X2981" s="204" t="s">
        <v>2276</v>
      </c>
      <c r="Y2981" s="204" t="s">
        <v>2276</v>
      </c>
      <c r="Z2981" s="204" t="s">
        <v>2276</v>
      </c>
      <c r="AA2981" s="204" t="s">
        <v>2276</v>
      </c>
      <c r="AB2981" s="204" t="s">
        <v>2276</v>
      </c>
      <c r="AC2981" s="204"/>
      <c r="AD2981" s="4" t="s">
        <v>8080</v>
      </c>
    </row>
    <row r="2982" spans="1:30" ht="42" customHeight="1">
      <c r="A2982" s="19" t="s">
        <v>8082</v>
      </c>
      <c r="B2982" s="19" t="s">
        <v>8088</v>
      </c>
      <c r="C2982" s="204" t="s">
        <v>24</v>
      </c>
      <c r="D2982" s="204" t="s">
        <v>2804</v>
      </c>
      <c r="E2982" s="204" t="s">
        <v>5005</v>
      </c>
      <c r="F2982" s="4" t="s">
        <v>2662</v>
      </c>
      <c r="G2982" s="4" t="s">
        <v>2276</v>
      </c>
      <c r="H2982" s="204" t="s">
        <v>523</v>
      </c>
      <c r="I2982" s="204"/>
      <c r="J2982" s="204" t="s">
        <v>2276</v>
      </c>
      <c r="K2982" s="204" t="s">
        <v>2276</v>
      </c>
      <c r="L2982" s="204" t="s">
        <v>2276</v>
      </c>
      <c r="M2982" s="204" t="s">
        <v>2276</v>
      </c>
      <c r="N2982" s="204" t="s">
        <v>2276</v>
      </c>
      <c r="O2982" s="204" t="s">
        <v>2276</v>
      </c>
      <c r="P2982" s="204" t="s">
        <v>2276</v>
      </c>
      <c r="Q2982" s="204" t="s">
        <v>2276</v>
      </c>
      <c r="R2982" s="204" t="s">
        <v>2276</v>
      </c>
      <c r="S2982" s="204" t="s">
        <v>2276</v>
      </c>
      <c r="T2982" s="204" t="s">
        <v>2276</v>
      </c>
      <c r="U2982" s="204" t="s">
        <v>2276</v>
      </c>
      <c r="V2982" s="204" t="s">
        <v>2276</v>
      </c>
      <c r="W2982" s="204" t="s">
        <v>2276</v>
      </c>
      <c r="X2982" s="204" t="s">
        <v>2276</v>
      </c>
      <c r="Y2982" s="204" t="s">
        <v>2276</v>
      </c>
      <c r="Z2982" s="204" t="s">
        <v>425</v>
      </c>
      <c r="AA2982" s="204" t="s">
        <v>68</v>
      </c>
      <c r="AB2982" s="204" t="s">
        <v>2276</v>
      </c>
      <c r="AC2982" s="4" t="s">
        <v>8093</v>
      </c>
      <c r="AD2982" s="204"/>
    </row>
    <row r="2983" spans="1:30" ht="51" customHeight="1">
      <c r="A2983" s="19" t="s">
        <v>8082</v>
      </c>
      <c r="B2983" s="19" t="s">
        <v>8091</v>
      </c>
      <c r="C2983" s="204" t="s">
        <v>24</v>
      </c>
      <c r="D2983" s="204" t="s">
        <v>2804</v>
      </c>
      <c r="E2983" s="4" t="s">
        <v>3854</v>
      </c>
      <c r="F2983" s="4" t="s">
        <v>55</v>
      </c>
      <c r="G2983" s="4" t="s">
        <v>2276</v>
      </c>
      <c r="H2983" s="204" t="s">
        <v>524</v>
      </c>
      <c r="I2983" s="204"/>
      <c r="J2983" s="21">
        <v>0</v>
      </c>
      <c r="K2983" s="21">
        <v>0</v>
      </c>
      <c r="L2983" s="21">
        <v>0</v>
      </c>
      <c r="M2983" s="21">
        <v>0</v>
      </c>
      <c r="N2983" s="21">
        <v>0</v>
      </c>
      <c r="O2983" s="21">
        <v>0</v>
      </c>
      <c r="P2983" s="21">
        <v>0</v>
      </c>
      <c r="Q2983" s="21">
        <v>0</v>
      </c>
      <c r="R2983" s="21">
        <v>0</v>
      </c>
      <c r="S2983" s="21">
        <v>0</v>
      </c>
      <c r="T2983" s="21">
        <v>0</v>
      </c>
      <c r="U2983" s="21">
        <v>0</v>
      </c>
      <c r="V2983" s="21">
        <v>0</v>
      </c>
      <c r="W2983" s="21">
        <v>0</v>
      </c>
      <c r="X2983" s="21">
        <v>0</v>
      </c>
      <c r="Y2983" s="204" t="s">
        <v>2276</v>
      </c>
      <c r="Z2983" s="204" t="s">
        <v>425</v>
      </c>
      <c r="AA2983" s="204" t="s">
        <v>68</v>
      </c>
      <c r="AB2983" s="204" t="s">
        <v>2276</v>
      </c>
      <c r="AC2983" s="4" t="s">
        <v>8092</v>
      </c>
      <c r="AD2983" s="204"/>
    </row>
    <row r="2984" spans="1:30" ht="53" customHeight="1">
      <c r="A2984" s="19" t="s">
        <v>8085</v>
      </c>
      <c r="B2984" s="19" t="s">
        <v>8090</v>
      </c>
      <c r="C2984" s="204" t="s">
        <v>24</v>
      </c>
      <c r="D2984" s="204" t="s">
        <v>2804</v>
      </c>
      <c r="E2984" s="204" t="s">
        <v>5005</v>
      </c>
      <c r="F2984" s="4" t="s">
        <v>2662</v>
      </c>
      <c r="G2984" s="4" t="s">
        <v>2276</v>
      </c>
      <c r="H2984" s="204" t="s">
        <v>523</v>
      </c>
      <c r="I2984" s="204"/>
      <c r="J2984" s="204" t="s">
        <v>2276</v>
      </c>
      <c r="K2984" s="204" t="s">
        <v>2276</v>
      </c>
      <c r="L2984" s="204" t="s">
        <v>2276</v>
      </c>
      <c r="M2984" s="204" t="s">
        <v>2276</v>
      </c>
      <c r="N2984" s="204" t="s">
        <v>2276</v>
      </c>
      <c r="O2984" s="204" t="s">
        <v>2276</v>
      </c>
      <c r="P2984" s="204" t="s">
        <v>2276</v>
      </c>
      <c r="Q2984" s="204" t="s">
        <v>2276</v>
      </c>
      <c r="R2984" s="204" t="s">
        <v>2276</v>
      </c>
      <c r="S2984" s="204" t="s">
        <v>2276</v>
      </c>
      <c r="T2984" s="204" t="s">
        <v>2276</v>
      </c>
      <c r="U2984" s="204" t="s">
        <v>2276</v>
      </c>
      <c r="V2984" s="204" t="s">
        <v>2276</v>
      </c>
      <c r="W2984" s="204" t="s">
        <v>2276</v>
      </c>
      <c r="X2984" s="204" t="s">
        <v>2276</v>
      </c>
      <c r="Y2984" s="204" t="s">
        <v>2276</v>
      </c>
      <c r="Z2984" s="204" t="s">
        <v>425</v>
      </c>
      <c r="AA2984" s="204" t="s">
        <v>68</v>
      </c>
      <c r="AB2984" s="204" t="s">
        <v>2276</v>
      </c>
      <c r="AC2984" s="4" t="s">
        <v>8093</v>
      </c>
      <c r="AD2984" s="204"/>
    </row>
    <row r="2985" spans="1:30" ht="53" customHeight="1">
      <c r="A2985" s="19" t="s">
        <v>8085</v>
      </c>
      <c r="B2985" s="19" t="s">
        <v>8089</v>
      </c>
      <c r="C2985" s="204" t="s">
        <v>24</v>
      </c>
      <c r="D2985" s="204" t="s">
        <v>2804</v>
      </c>
      <c r="E2985" s="4" t="s">
        <v>3854</v>
      </c>
      <c r="F2985" s="4" t="s">
        <v>2662</v>
      </c>
      <c r="G2985" s="4" t="s">
        <v>2276</v>
      </c>
      <c r="H2985" s="204" t="s">
        <v>523</v>
      </c>
      <c r="I2985" s="204"/>
      <c r="J2985" s="204" t="s">
        <v>2276</v>
      </c>
      <c r="K2985" s="204" t="s">
        <v>2276</v>
      </c>
      <c r="L2985" s="204" t="s">
        <v>2276</v>
      </c>
      <c r="M2985" s="204" t="s">
        <v>2276</v>
      </c>
      <c r="N2985" s="204" t="s">
        <v>2276</v>
      </c>
      <c r="O2985" s="204" t="s">
        <v>2276</v>
      </c>
      <c r="P2985" s="204" t="s">
        <v>2276</v>
      </c>
      <c r="Q2985" s="204" t="s">
        <v>2276</v>
      </c>
      <c r="R2985" s="204" t="s">
        <v>2276</v>
      </c>
      <c r="S2985" s="204" t="s">
        <v>2276</v>
      </c>
      <c r="T2985" s="204" t="s">
        <v>2276</v>
      </c>
      <c r="U2985" s="204" t="s">
        <v>2276</v>
      </c>
      <c r="V2985" s="204" t="s">
        <v>2276</v>
      </c>
      <c r="W2985" s="204" t="s">
        <v>2276</v>
      </c>
      <c r="X2985" s="204" t="s">
        <v>2276</v>
      </c>
      <c r="Y2985" s="204" t="s">
        <v>2276</v>
      </c>
      <c r="Z2985" s="204" t="s">
        <v>425</v>
      </c>
      <c r="AA2985" s="204" t="s">
        <v>68</v>
      </c>
      <c r="AB2985" s="204" t="s">
        <v>2276</v>
      </c>
      <c r="AC2985" s="4" t="s">
        <v>8094</v>
      </c>
      <c r="AD2985" s="204"/>
    </row>
    <row r="2986" spans="1:30" ht="47" customHeight="1">
      <c r="A2986" s="19" t="s">
        <v>8095</v>
      </c>
      <c r="B2986" s="19" t="s">
        <v>8096</v>
      </c>
      <c r="C2986" s="204" t="s">
        <v>24</v>
      </c>
      <c r="D2986" s="204" t="s">
        <v>27</v>
      </c>
      <c r="E2986" s="4" t="s">
        <v>397</v>
      </c>
      <c r="F2986" s="4" t="s">
        <v>55</v>
      </c>
      <c r="G2986" s="4" t="s">
        <v>2276</v>
      </c>
      <c r="H2986" s="204" t="s">
        <v>523</v>
      </c>
      <c r="I2986" s="204"/>
      <c r="J2986" s="204" t="s">
        <v>2276</v>
      </c>
      <c r="K2986" s="204" t="s">
        <v>2276</v>
      </c>
      <c r="L2986" s="204" t="s">
        <v>2276</v>
      </c>
      <c r="M2986" s="204" t="s">
        <v>2276</v>
      </c>
      <c r="N2986" s="204" t="s">
        <v>2276</v>
      </c>
      <c r="O2986" s="204" t="s">
        <v>2276</v>
      </c>
      <c r="P2986" s="204" t="s">
        <v>2276</v>
      </c>
      <c r="Q2986" s="204" t="s">
        <v>2276</v>
      </c>
      <c r="R2986" s="204" t="s">
        <v>2276</v>
      </c>
      <c r="S2986" s="204" t="s">
        <v>2276</v>
      </c>
      <c r="T2986" s="204" t="s">
        <v>2276</v>
      </c>
      <c r="U2986" s="204" t="s">
        <v>2276</v>
      </c>
      <c r="V2986" s="204" t="s">
        <v>2276</v>
      </c>
      <c r="W2986" s="204" t="s">
        <v>2276</v>
      </c>
      <c r="X2986" s="204" t="s">
        <v>2276</v>
      </c>
      <c r="Y2986" s="21">
        <v>1</v>
      </c>
      <c r="Z2986" s="204" t="s">
        <v>38</v>
      </c>
      <c r="AA2986" s="204" t="s">
        <v>86</v>
      </c>
      <c r="AB2986" s="204" t="s">
        <v>64</v>
      </c>
      <c r="AC2986" s="204" t="s">
        <v>8101</v>
      </c>
      <c r="AD2986" s="204"/>
    </row>
    <row r="2987" spans="1:30" ht="44.5" customHeight="1">
      <c r="A2987" s="19" t="s">
        <v>8095</v>
      </c>
      <c r="B2987" s="19" t="s">
        <v>8102</v>
      </c>
      <c r="C2987" s="204" t="s">
        <v>24</v>
      </c>
      <c r="D2987" s="204" t="s">
        <v>2804</v>
      </c>
      <c r="E2987" s="4" t="s">
        <v>397</v>
      </c>
      <c r="F2987" s="4" t="s">
        <v>2662</v>
      </c>
      <c r="G2987" s="4" t="s">
        <v>2276</v>
      </c>
      <c r="H2987" s="204" t="s">
        <v>523</v>
      </c>
      <c r="I2987" s="204"/>
      <c r="J2987" s="204" t="s">
        <v>2276</v>
      </c>
      <c r="K2987" s="204" t="s">
        <v>2276</v>
      </c>
      <c r="L2987" s="204" t="s">
        <v>2276</v>
      </c>
      <c r="M2987" s="204" t="s">
        <v>2276</v>
      </c>
      <c r="N2987" s="204" t="s">
        <v>2276</v>
      </c>
      <c r="O2987" s="204" t="s">
        <v>2276</v>
      </c>
      <c r="P2987" s="204" t="s">
        <v>2276</v>
      </c>
      <c r="Q2987" s="204" t="s">
        <v>2276</v>
      </c>
      <c r="R2987" s="204" t="s">
        <v>2276</v>
      </c>
      <c r="S2987" s="204" t="s">
        <v>2276</v>
      </c>
      <c r="T2987" s="204" t="s">
        <v>2276</v>
      </c>
      <c r="U2987" s="204" t="s">
        <v>2276</v>
      </c>
      <c r="V2987" s="204" t="s">
        <v>2276</v>
      </c>
      <c r="W2987" s="204" t="s">
        <v>2276</v>
      </c>
      <c r="X2987" s="204" t="s">
        <v>2276</v>
      </c>
      <c r="Y2987" s="204" t="s">
        <v>2276</v>
      </c>
      <c r="Z2987" s="204" t="s">
        <v>86</v>
      </c>
      <c r="AA2987" s="204" t="s">
        <v>68</v>
      </c>
      <c r="AB2987" s="204" t="s">
        <v>2276</v>
      </c>
      <c r="AC2987" s="19" t="s">
        <v>8103</v>
      </c>
      <c r="AD2987" s="204"/>
    </row>
    <row r="2988" spans="1:30" ht="35" customHeight="1">
      <c r="A2988" s="19" t="s">
        <v>8104</v>
      </c>
      <c r="B2988" s="19" t="s">
        <v>8108</v>
      </c>
      <c r="C2988" s="204" t="s">
        <v>24</v>
      </c>
      <c r="D2988" s="204" t="s">
        <v>2804</v>
      </c>
      <c r="E2988" s="204" t="s">
        <v>45</v>
      </c>
      <c r="F2988" s="4" t="s">
        <v>2662</v>
      </c>
      <c r="G2988" s="4" t="s">
        <v>2276</v>
      </c>
      <c r="H2988" s="204" t="s">
        <v>523</v>
      </c>
      <c r="I2988" s="204"/>
      <c r="J2988" s="204" t="s">
        <v>2276</v>
      </c>
      <c r="K2988" s="204" t="s">
        <v>2276</v>
      </c>
      <c r="L2988" s="204" t="s">
        <v>2276</v>
      </c>
      <c r="M2988" s="204" t="s">
        <v>2276</v>
      </c>
      <c r="N2988" s="204" t="s">
        <v>2276</v>
      </c>
      <c r="O2988" s="204" t="s">
        <v>2276</v>
      </c>
      <c r="P2988" s="204" t="s">
        <v>2276</v>
      </c>
      <c r="Q2988" s="204" t="s">
        <v>2276</v>
      </c>
      <c r="R2988" s="204" t="s">
        <v>2276</v>
      </c>
      <c r="S2988" s="204" t="s">
        <v>2276</v>
      </c>
      <c r="T2988" s="204" t="s">
        <v>2276</v>
      </c>
      <c r="U2988" s="204" t="s">
        <v>2276</v>
      </c>
      <c r="V2988" s="204" t="s">
        <v>2276</v>
      </c>
      <c r="W2988" s="204" t="s">
        <v>2276</v>
      </c>
      <c r="X2988" s="204" t="s">
        <v>2276</v>
      </c>
      <c r="Y2988" s="204" t="s">
        <v>2276</v>
      </c>
      <c r="Z2988" s="204" t="s">
        <v>127</v>
      </c>
      <c r="AA2988" s="204" t="s">
        <v>38</v>
      </c>
      <c r="AB2988" s="204" t="s">
        <v>2276</v>
      </c>
      <c r="AC2988" s="204"/>
      <c r="AD2988" s="204"/>
    </row>
    <row r="2989" spans="1:30" ht="42" customHeight="1">
      <c r="A2989" s="19" t="s">
        <v>8104</v>
      </c>
      <c r="B2989" s="19" t="s">
        <v>8109</v>
      </c>
      <c r="C2989" s="204" t="s">
        <v>2458</v>
      </c>
      <c r="D2989" s="204" t="s">
        <v>2804</v>
      </c>
      <c r="E2989" s="204" t="s">
        <v>45</v>
      </c>
      <c r="F2989" s="4" t="s">
        <v>2662</v>
      </c>
      <c r="G2989" s="4" t="s">
        <v>2276</v>
      </c>
      <c r="H2989" s="204" t="s">
        <v>523</v>
      </c>
      <c r="I2989" s="204"/>
      <c r="J2989" s="204" t="s">
        <v>2276</v>
      </c>
      <c r="K2989" s="204" t="s">
        <v>2276</v>
      </c>
      <c r="L2989" s="204" t="s">
        <v>2276</v>
      </c>
      <c r="M2989" s="204" t="s">
        <v>2276</v>
      </c>
      <c r="N2989" s="204" t="s">
        <v>2276</v>
      </c>
      <c r="O2989" s="204" t="s">
        <v>2276</v>
      </c>
      <c r="P2989" s="204" t="s">
        <v>2276</v>
      </c>
      <c r="Q2989" s="204" t="s">
        <v>2276</v>
      </c>
      <c r="R2989" s="204" t="s">
        <v>2276</v>
      </c>
      <c r="S2989" s="204" t="s">
        <v>2276</v>
      </c>
      <c r="T2989" s="204" t="s">
        <v>2276</v>
      </c>
      <c r="U2989" s="204" t="s">
        <v>2276</v>
      </c>
      <c r="V2989" s="204" t="s">
        <v>2276</v>
      </c>
      <c r="W2989" s="204" t="s">
        <v>2276</v>
      </c>
      <c r="X2989" s="204" t="s">
        <v>2276</v>
      </c>
      <c r="Y2989" s="204" t="s">
        <v>2276</v>
      </c>
      <c r="Z2989" s="204" t="s">
        <v>127</v>
      </c>
      <c r="AA2989" s="204" t="s">
        <v>38</v>
      </c>
      <c r="AB2989" s="204" t="s">
        <v>2276</v>
      </c>
      <c r="AC2989" s="204"/>
      <c r="AD2989" s="204"/>
    </row>
    <row r="2990" spans="1:30" ht="35.5" customHeight="1">
      <c r="A2990" s="19" t="s">
        <v>8104</v>
      </c>
      <c r="B2990" s="19" t="s">
        <v>8113</v>
      </c>
      <c r="C2990" s="204" t="s">
        <v>24</v>
      </c>
      <c r="D2990" s="204" t="s">
        <v>144</v>
      </c>
      <c r="E2990" s="204" t="s">
        <v>137</v>
      </c>
      <c r="F2990" s="4" t="s">
        <v>2662</v>
      </c>
      <c r="G2990" s="4" t="s">
        <v>2276</v>
      </c>
      <c r="H2990" s="204" t="s">
        <v>524</v>
      </c>
      <c r="I2990" s="204"/>
      <c r="J2990" s="21">
        <v>0</v>
      </c>
      <c r="K2990" s="21">
        <v>0</v>
      </c>
      <c r="L2990" s="21">
        <v>0</v>
      </c>
      <c r="M2990" s="21">
        <v>0</v>
      </c>
      <c r="N2990" s="21">
        <v>0</v>
      </c>
      <c r="O2990" s="21">
        <v>0</v>
      </c>
      <c r="P2990" s="21">
        <v>0</v>
      </c>
      <c r="Q2990" s="21">
        <v>0</v>
      </c>
      <c r="R2990" s="21">
        <v>0</v>
      </c>
      <c r="S2990" s="21">
        <v>0</v>
      </c>
      <c r="T2990" s="21">
        <v>0</v>
      </c>
      <c r="U2990" s="21">
        <v>0</v>
      </c>
      <c r="V2990" s="21">
        <v>0</v>
      </c>
      <c r="W2990" s="21">
        <v>0</v>
      </c>
      <c r="X2990" s="21">
        <v>0</v>
      </c>
      <c r="Y2990" s="204" t="s">
        <v>2276</v>
      </c>
      <c r="Z2990" s="204" t="s">
        <v>2276</v>
      </c>
      <c r="AA2990" s="204" t="s">
        <v>2276</v>
      </c>
      <c r="AB2990" s="204" t="s">
        <v>2276</v>
      </c>
      <c r="AC2990" s="204"/>
      <c r="AD2990" s="204"/>
    </row>
    <row r="2991" spans="1:30" ht="28" customHeight="1">
      <c r="A2991" s="19" t="s">
        <v>8115</v>
      </c>
      <c r="B2991" s="19" t="s">
        <v>8125</v>
      </c>
      <c r="C2991" s="204" t="s">
        <v>1105</v>
      </c>
      <c r="D2991" s="204" t="s">
        <v>1105</v>
      </c>
      <c r="E2991" s="204" t="s">
        <v>1105</v>
      </c>
      <c r="F2991" s="204" t="s">
        <v>1105</v>
      </c>
      <c r="G2991" s="4" t="s">
        <v>74</v>
      </c>
      <c r="H2991" s="204" t="s">
        <v>523</v>
      </c>
      <c r="I2991" s="204"/>
      <c r="J2991" s="21">
        <f>100*45/27884</f>
        <v>0.16138287189786257</v>
      </c>
      <c r="K2991" s="204" t="s">
        <v>2276</v>
      </c>
      <c r="L2991" s="204" t="s">
        <v>2276</v>
      </c>
      <c r="M2991" s="204" t="s">
        <v>2276</v>
      </c>
      <c r="N2991" s="204" t="s">
        <v>2276</v>
      </c>
      <c r="O2991" s="204" t="s">
        <v>2276</v>
      </c>
      <c r="P2991" s="204" t="s">
        <v>2276</v>
      </c>
      <c r="Q2991" s="204" t="s">
        <v>2276</v>
      </c>
      <c r="R2991" s="204" t="s">
        <v>2276</v>
      </c>
      <c r="S2991" s="204" t="s">
        <v>2276</v>
      </c>
      <c r="T2991" s="204" t="s">
        <v>2276</v>
      </c>
      <c r="U2991" s="204" t="s">
        <v>2276</v>
      </c>
      <c r="V2991" s="204" t="s">
        <v>2276</v>
      </c>
      <c r="W2991" s="204" t="s">
        <v>2276</v>
      </c>
      <c r="X2991" s="204" t="s">
        <v>2276</v>
      </c>
      <c r="Y2991" s="204" t="s">
        <v>2276</v>
      </c>
      <c r="Z2991" s="204" t="s">
        <v>2276</v>
      </c>
      <c r="AA2991" s="204" t="s">
        <v>2276</v>
      </c>
      <c r="AB2991" s="204" t="s">
        <v>2276</v>
      </c>
      <c r="AC2991" s="204"/>
      <c r="AD2991" s="204"/>
    </row>
    <row r="2992" spans="1:30" ht="28" customHeight="1">
      <c r="A2992" s="19" t="s">
        <v>8122</v>
      </c>
      <c r="B2992" s="19" t="s">
        <v>8126</v>
      </c>
      <c r="C2992" s="204" t="s">
        <v>1105</v>
      </c>
      <c r="D2992" s="204" t="s">
        <v>1105</v>
      </c>
      <c r="E2992" s="204" t="s">
        <v>1105</v>
      </c>
      <c r="F2992" s="204" t="s">
        <v>1105</v>
      </c>
      <c r="G2992" s="4" t="s">
        <v>74</v>
      </c>
      <c r="H2992" s="204" t="s">
        <v>523</v>
      </c>
      <c r="I2992" s="204"/>
      <c r="J2992" s="21">
        <f>100*152/50640</f>
        <v>0.30015797788309639</v>
      </c>
      <c r="K2992" s="204" t="s">
        <v>2276</v>
      </c>
      <c r="L2992" s="204" t="s">
        <v>2276</v>
      </c>
      <c r="M2992" s="204" t="s">
        <v>2276</v>
      </c>
      <c r="N2992" s="204" t="s">
        <v>2276</v>
      </c>
      <c r="O2992" s="204" t="s">
        <v>2276</v>
      </c>
      <c r="P2992" s="204" t="s">
        <v>2276</v>
      </c>
      <c r="Q2992" s="204" t="s">
        <v>2276</v>
      </c>
      <c r="R2992" s="204" t="s">
        <v>2276</v>
      </c>
      <c r="S2992" s="204" t="s">
        <v>2276</v>
      </c>
      <c r="T2992" s="204" t="s">
        <v>2276</v>
      </c>
      <c r="U2992" s="204" t="s">
        <v>2276</v>
      </c>
      <c r="V2992" s="204" t="s">
        <v>2276</v>
      </c>
      <c r="W2992" s="204" t="s">
        <v>2276</v>
      </c>
      <c r="X2992" s="204" t="s">
        <v>2276</v>
      </c>
      <c r="Y2992" s="204" t="s">
        <v>2276</v>
      </c>
      <c r="Z2992" s="204" t="s">
        <v>2276</v>
      </c>
      <c r="AA2992" s="204" t="s">
        <v>2276</v>
      </c>
      <c r="AB2992" s="204" t="s">
        <v>2276</v>
      </c>
      <c r="AC2992" s="204"/>
      <c r="AD2992" s="204"/>
    </row>
    <row r="2993" spans="1:30" ht="28" customHeight="1">
      <c r="A2993" s="19" t="s">
        <v>8123</v>
      </c>
      <c r="B2993" s="19" t="s">
        <v>8127</v>
      </c>
      <c r="C2993" s="204" t="s">
        <v>1105</v>
      </c>
      <c r="D2993" s="204" t="s">
        <v>1105</v>
      </c>
      <c r="E2993" s="204" t="s">
        <v>1105</v>
      </c>
      <c r="F2993" s="204" t="s">
        <v>1105</v>
      </c>
      <c r="G2993" s="4" t="s">
        <v>74</v>
      </c>
      <c r="H2993" s="204" t="s">
        <v>523</v>
      </c>
      <c r="I2993" s="204"/>
      <c r="J2993" s="21">
        <f>100*68/24975</f>
        <v>0.2722722722722723</v>
      </c>
      <c r="K2993" s="204" t="s">
        <v>2276</v>
      </c>
      <c r="L2993" s="204" t="s">
        <v>2276</v>
      </c>
      <c r="M2993" s="204" t="s">
        <v>2276</v>
      </c>
      <c r="N2993" s="204" t="s">
        <v>2276</v>
      </c>
      <c r="O2993" s="204" t="s">
        <v>2276</v>
      </c>
      <c r="P2993" s="204" t="s">
        <v>2276</v>
      </c>
      <c r="Q2993" s="204" t="s">
        <v>2276</v>
      </c>
      <c r="R2993" s="204" t="s">
        <v>2276</v>
      </c>
      <c r="S2993" s="204" t="s">
        <v>2276</v>
      </c>
      <c r="T2993" s="204" t="s">
        <v>2276</v>
      </c>
      <c r="U2993" s="204" t="s">
        <v>2276</v>
      </c>
      <c r="V2993" s="204" t="s">
        <v>2276</v>
      </c>
      <c r="W2993" s="204" t="s">
        <v>2276</v>
      </c>
      <c r="X2993" s="204" t="s">
        <v>2276</v>
      </c>
      <c r="Y2993" s="204" t="s">
        <v>2276</v>
      </c>
      <c r="Z2993" s="204" t="s">
        <v>2276</v>
      </c>
      <c r="AA2993" s="204" t="s">
        <v>2276</v>
      </c>
      <c r="AB2993" s="204" t="s">
        <v>2276</v>
      </c>
      <c r="AC2993" s="204"/>
      <c r="AD2993" s="204"/>
    </row>
    <row r="2994" spans="1:30" ht="28" customHeight="1">
      <c r="A2994" s="19" t="s">
        <v>8124</v>
      </c>
      <c r="B2994" s="19" t="s">
        <v>8128</v>
      </c>
      <c r="C2994" s="204" t="s">
        <v>1105</v>
      </c>
      <c r="D2994" s="204" t="s">
        <v>1105</v>
      </c>
      <c r="E2994" s="204" t="s">
        <v>1105</v>
      </c>
      <c r="F2994" s="204" t="s">
        <v>1105</v>
      </c>
      <c r="G2994" s="4" t="s">
        <v>74</v>
      </c>
      <c r="H2994" s="204" t="s">
        <v>523</v>
      </c>
      <c r="I2994" s="204"/>
      <c r="J2994" s="21">
        <f>100*372/270000</f>
        <v>0.13777777777777778</v>
      </c>
      <c r="K2994" s="204" t="s">
        <v>2276</v>
      </c>
      <c r="L2994" s="204" t="s">
        <v>2276</v>
      </c>
      <c r="M2994" s="204" t="s">
        <v>2276</v>
      </c>
      <c r="N2994" s="204" t="s">
        <v>2276</v>
      </c>
      <c r="O2994" s="204" t="s">
        <v>2276</v>
      </c>
      <c r="P2994" s="204" t="s">
        <v>2276</v>
      </c>
      <c r="Q2994" s="204" t="s">
        <v>2276</v>
      </c>
      <c r="R2994" s="204" t="s">
        <v>2276</v>
      </c>
      <c r="S2994" s="204" t="s">
        <v>2276</v>
      </c>
      <c r="T2994" s="204" t="s">
        <v>2276</v>
      </c>
      <c r="U2994" s="204" t="s">
        <v>2276</v>
      </c>
      <c r="V2994" s="204" t="s">
        <v>2276</v>
      </c>
      <c r="W2994" s="204" t="s">
        <v>2276</v>
      </c>
      <c r="X2994" s="204" t="s">
        <v>2276</v>
      </c>
      <c r="Y2994" s="204" t="s">
        <v>2276</v>
      </c>
      <c r="Z2994" s="204" t="s">
        <v>2276</v>
      </c>
      <c r="AA2994" s="204" t="s">
        <v>2276</v>
      </c>
      <c r="AB2994" s="204" t="s">
        <v>2276</v>
      </c>
      <c r="AC2994" s="204"/>
      <c r="AD2994" s="204"/>
    </row>
    <row r="2995" spans="1:30" ht="42" customHeight="1">
      <c r="A2995" s="19" t="s">
        <v>8115</v>
      </c>
      <c r="B2995" s="19" t="s">
        <v>8129</v>
      </c>
      <c r="C2995" s="204" t="s">
        <v>2458</v>
      </c>
      <c r="D2995" s="4" t="s">
        <v>2231</v>
      </c>
      <c r="E2995" s="4" t="s">
        <v>396</v>
      </c>
      <c r="F2995" s="4" t="s">
        <v>160</v>
      </c>
      <c r="G2995" s="4" t="s">
        <v>74</v>
      </c>
      <c r="H2995" s="204" t="s">
        <v>523</v>
      </c>
      <c r="I2995" s="204"/>
      <c r="J2995" s="204" t="s">
        <v>2276</v>
      </c>
      <c r="K2995" s="204" t="s">
        <v>2276</v>
      </c>
      <c r="L2995" s="204" t="s">
        <v>2276</v>
      </c>
      <c r="M2995" s="204" t="s">
        <v>2276</v>
      </c>
      <c r="N2995" s="204" t="s">
        <v>2276</v>
      </c>
      <c r="O2995" s="204" t="s">
        <v>2276</v>
      </c>
      <c r="P2995" s="204" t="s">
        <v>2276</v>
      </c>
      <c r="Q2995" s="204" t="s">
        <v>2276</v>
      </c>
      <c r="R2995" s="204" t="s">
        <v>2276</v>
      </c>
      <c r="S2995" s="204" t="s">
        <v>2276</v>
      </c>
      <c r="T2995" s="204" t="s">
        <v>2276</v>
      </c>
      <c r="U2995" s="204" t="s">
        <v>2276</v>
      </c>
      <c r="V2995" s="204" t="s">
        <v>2276</v>
      </c>
      <c r="W2995" s="204" t="s">
        <v>2276</v>
      </c>
      <c r="X2995" s="204" t="s">
        <v>2276</v>
      </c>
      <c r="Y2995" s="204" t="s">
        <v>2276</v>
      </c>
      <c r="Z2995" s="204" t="s">
        <v>2276</v>
      </c>
      <c r="AA2995" s="204" t="s">
        <v>2276</v>
      </c>
      <c r="AB2995" s="204" t="s">
        <v>2276</v>
      </c>
      <c r="AC2995" s="204"/>
      <c r="AD2995" s="204"/>
    </row>
    <row r="2996" spans="1:30" ht="42" customHeight="1">
      <c r="A2996" s="19" t="s">
        <v>8115</v>
      </c>
      <c r="B2996" s="19" t="s">
        <v>8130</v>
      </c>
      <c r="C2996" s="204" t="s">
        <v>2458</v>
      </c>
      <c r="D2996" s="204" t="s">
        <v>2659</v>
      </c>
      <c r="E2996" s="4" t="s">
        <v>396</v>
      </c>
      <c r="F2996" s="4" t="s">
        <v>28</v>
      </c>
      <c r="G2996" s="4" t="s">
        <v>74</v>
      </c>
      <c r="H2996" s="204" t="s">
        <v>523</v>
      </c>
      <c r="I2996" s="204"/>
      <c r="J2996" s="204" t="s">
        <v>2276</v>
      </c>
      <c r="K2996" s="204" t="s">
        <v>2276</v>
      </c>
      <c r="L2996" s="204" t="s">
        <v>2276</v>
      </c>
      <c r="M2996" s="204" t="s">
        <v>2276</v>
      </c>
      <c r="N2996" s="204" t="s">
        <v>2276</v>
      </c>
      <c r="O2996" s="204" t="s">
        <v>2276</v>
      </c>
      <c r="P2996" s="204" t="s">
        <v>2276</v>
      </c>
      <c r="Q2996" s="204" t="s">
        <v>2276</v>
      </c>
      <c r="R2996" s="204" t="s">
        <v>2276</v>
      </c>
      <c r="S2996" s="204" t="s">
        <v>2276</v>
      </c>
      <c r="T2996" s="204" t="s">
        <v>2276</v>
      </c>
      <c r="U2996" s="204" t="s">
        <v>2276</v>
      </c>
      <c r="V2996" s="204" t="s">
        <v>2276</v>
      </c>
      <c r="W2996" s="204" t="s">
        <v>2276</v>
      </c>
      <c r="X2996" s="204" t="s">
        <v>2276</v>
      </c>
      <c r="Y2996" s="204" t="s">
        <v>2276</v>
      </c>
      <c r="Z2996" s="204" t="s">
        <v>2276</v>
      </c>
      <c r="AA2996" s="204" t="s">
        <v>2276</v>
      </c>
      <c r="AB2996" s="204" t="s">
        <v>2276</v>
      </c>
      <c r="AC2996" s="4" t="s">
        <v>8136</v>
      </c>
      <c r="AD2996" s="204"/>
    </row>
    <row r="2997" spans="1:30" ht="29.5" customHeight="1">
      <c r="A2997" s="19" t="s">
        <v>8115</v>
      </c>
      <c r="B2997" s="19" t="s">
        <v>8131</v>
      </c>
      <c r="C2997" s="204" t="s">
        <v>31</v>
      </c>
      <c r="D2997" s="204" t="s">
        <v>30</v>
      </c>
      <c r="E2997" s="204" t="s">
        <v>1105</v>
      </c>
      <c r="F2997" s="4" t="s">
        <v>2276</v>
      </c>
      <c r="G2997" s="4" t="s">
        <v>74</v>
      </c>
      <c r="H2997" s="204" t="s">
        <v>523</v>
      </c>
      <c r="I2997" s="204"/>
      <c r="J2997" s="204" t="s">
        <v>2276</v>
      </c>
      <c r="K2997" s="204" t="s">
        <v>2276</v>
      </c>
      <c r="L2997" s="204" t="s">
        <v>2276</v>
      </c>
      <c r="M2997" s="204" t="s">
        <v>2276</v>
      </c>
      <c r="N2997" s="204" t="s">
        <v>2276</v>
      </c>
      <c r="O2997" s="204" t="s">
        <v>2276</v>
      </c>
      <c r="P2997" s="204" t="s">
        <v>2276</v>
      </c>
      <c r="Q2997" s="204" t="s">
        <v>2276</v>
      </c>
      <c r="R2997" s="204" t="s">
        <v>2276</v>
      </c>
      <c r="S2997" s="204" t="s">
        <v>2276</v>
      </c>
      <c r="T2997" s="204" t="s">
        <v>2276</v>
      </c>
      <c r="U2997" s="204" t="s">
        <v>2276</v>
      </c>
      <c r="V2997" s="204" t="s">
        <v>2276</v>
      </c>
      <c r="W2997" s="204" t="s">
        <v>2276</v>
      </c>
      <c r="X2997" s="204" t="s">
        <v>2276</v>
      </c>
      <c r="Y2997" s="204" t="s">
        <v>2276</v>
      </c>
      <c r="Z2997" s="204" t="s">
        <v>2276</v>
      </c>
      <c r="AA2997" s="204" t="s">
        <v>2276</v>
      </c>
      <c r="AB2997" s="204" t="s">
        <v>2276</v>
      </c>
      <c r="AC2997" s="204"/>
      <c r="AD2997" s="204"/>
    </row>
    <row r="2998" spans="1:30" ht="29.5" customHeight="1">
      <c r="A2998" s="19" t="s">
        <v>8115</v>
      </c>
      <c r="B2998" s="19" t="s">
        <v>8132</v>
      </c>
      <c r="C2998" s="204" t="s">
        <v>31</v>
      </c>
      <c r="D2998" s="204" t="s">
        <v>30</v>
      </c>
      <c r="E2998" s="204" t="s">
        <v>2653</v>
      </c>
      <c r="F2998" s="4" t="s">
        <v>2276</v>
      </c>
      <c r="G2998" s="4" t="s">
        <v>74</v>
      </c>
      <c r="H2998" s="204" t="s">
        <v>523</v>
      </c>
      <c r="I2998" s="204"/>
      <c r="J2998" s="204" t="s">
        <v>2276</v>
      </c>
      <c r="K2998" s="204" t="s">
        <v>2276</v>
      </c>
      <c r="L2998" s="204" t="s">
        <v>2276</v>
      </c>
      <c r="M2998" s="204" t="s">
        <v>2276</v>
      </c>
      <c r="N2998" s="204" t="s">
        <v>2276</v>
      </c>
      <c r="O2998" s="204" t="s">
        <v>2276</v>
      </c>
      <c r="P2998" s="204" t="s">
        <v>2276</v>
      </c>
      <c r="Q2998" s="204" t="s">
        <v>2276</v>
      </c>
      <c r="R2998" s="204" t="s">
        <v>2276</v>
      </c>
      <c r="S2998" s="204" t="s">
        <v>2276</v>
      </c>
      <c r="T2998" s="204" t="s">
        <v>2276</v>
      </c>
      <c r="U2998" s="204" t="s">
        <v>2276</v>
      </c>
      <c r="V2998" s="204" t="s">
        <v>2276</v>
      </c>
      <c r="W2998" s="204" t="s">
        <v>2276</v>
      </c>
      <c r="X2998" s="204" t="s">
        <v>2276</v>
      </c>
      <c r="Y2998" s="204" t="s">
        <v>2276</v>
      </c>
      <c r="Z2998" s="204" t="s">
        <v>2276</v>
      </c>
      <c r="AA2998" s="204" t="s">
        <v>2276</v>
      </c>
      <c r="AB2998" s="204" t="s">
        <v>2276</v>
      </c>
      <c r="AC2998" s="204"/>
      <c r="AD2998" s="204"/>
    </row>
    <row r="2999" spans="1:30" ht="29.5" customHeight="1">
      <c r="A2999" s="19" t="s">
        <v>8115</v>
      </c>
      <c r="B2999" s="19" t="s">
        <v>8133</v>
      </c>
      <c r="C2999" s="204" t="s">
        <v>24</v>
      </c>
      <c r="D2999" s="204" t="s">
        <v>143</v>
      </c>
      <c r="E2999" s="204" t="s">
        <v>45</v>
      </c>
      <c r="F2999" s="4" t="s">
        <v>74</v>
      </c>
      <c r="G2999" s="4" t="s">
        <v>74</v>
      </c>
      <c r="H2999" s="204" t="s">
        <v>523</v>
      </c>
      <c r="I2999" s="204"/>
      <c r="J2999" s="204" t="s">
        <v>2276</v>
      </c>
      <c r="K2999" s="204" t="s">
        <v>2276</v>
      </c>
      <c r="L2999" s="204" t="s">
        <v>2276</v>
      </c>
      <c r="M2999" s="204" t="s">
        <v>2276</v>
      </c>
      <c r="N2999" s="204" t="s">
        <v>2276</v>
      </c>
      <c r="O2999" s="204" t="s">
        <v>2276</v>
      </c>
      <c r="P2999" s="204" t="s">
        <v>2276</v>
      </c>
      <c r="Q2999" s="204" t="s">
        <v>2276</v>
      </c>
      <c r="R2999" s="204" t="s">
        <v>2276</v>
      </c>
      <c r="S2999" s="204" t="s">
        <v>2276</v>
      </c>
      <c r="T2999" s="204" t="s">
        <v>2276</v>
      </c>
      <c r="U2999" s="204" t="s">
        <v>2276</v>
      </c>
      <c r="V2999" s="204" t="s">
        <v>2276</v>
      </c>
      <c r="W2999" s="204" t="s">
        <v>2276</v>
      </c>
      <c r="X2999" s="204" t="s">
        <v>2276</v>
      </c>
      <c r="Y2999" s="204" t="s">
        <v>2276</v>
      </c>
      <c r="Z2999" s="204" t="s">
        <v>2276</v>
      </c>
      <c r="AA2999" s="204" t="s">
        <v>2276</v>
      </c>
      <c r="AB2999" s="204" t="s">
        <v>2276</v>
      </c>
      <c r="AC2999" s="204"/>
      <c r="AD2999" s="204"/>
    </row>
    <row r="3000" spans="1:30" ht="29.5" customHeight="1">
      <c r="A3000" s="19" t="s">
        <v>8115</v>
      </c>
      <c r="B3000" s="19" t="s">
        <v>8134</v>
      </c>
      <c r="C3000" s="204" t="s">
        <v>2458</v>
      </c>
      <c r="D3000" s="204" t="s">
        <v>25</v>
      </c>
      <c r="E3000" s="204" t="s">
        <v>45</v>
      </c>
      <c r="F3000" s="4" t="s">
        <v>29</v>
      </c>
      <c r="G3000" s="4" t="s">
        <v>74</v>
      </c>
      <c r="H3000" s="204" t="s">
        <v>523</v>
      </c>
      <c r="I3000" s="204"/>
      <c r="J3000" s="204" t="s">
        <v>2276</v>
      </c>
      <c r="K3000" s="204" t="s">
        <v>2276</v>
      </c>
      <c r="L3000" s="204" t="s">
        <v>2276</v>
      </c>
      <c r="M3000" s="204" t="s">
        <v>2276</v>
      </c>
      <c r="N3000" s="204" t="s">
        <v>2276</v>
      </c>
      <c r="O3000" s="204" t="s">
        <v>2276</v>
      </c>
      <c r="P3000" s="204" t="s">
        <v>2276</v>
      </c>
      <c r="Q3000" s="204" t="s">
        <v>2276</v>
      </c>
      <c r="R3000" s="204" t="s">
        <v>2276</v>
      </c>
      <c r="S3000" s="204" t="s">
        <v>2276</v>
      </c>
      <c r="T3000" s="204" t="s">
        <v>2276</v>
      </c>
      <c r="U3000" s="204" t="s">
        <v>2276</v>
      </c>
      <c r="V3000" s="204" t="s">
        <v>2276</v>
      </c>
      <c r="W3000" s="204" t="s">
        <v>2276</v>
      </c>
      <c r="X3000" s="204" t="s">
        <v>2276</v>
      </c>
      <c r="Y3000" s="204" t="s">
        <v>2276</v>
      </c>
      <c r="Z3000" s="204" t="s">
        <v>2276</v>
      </c>
      <c r="AA3000" s="204" t="s">
        <v>2276</v>
      </c>
      <c r="AB3000" s="204" t="s">
        <v>2276</v>
      </c>
      <c r="AC3000" s="204"/>
      <c r="AD3000" s="204"/>
    </row>
    <row r="3001" spans="1:30" ht="29.5" customHeight="1">
      <c r="A3001" s="19" t="s">
        <v>8115</v>
      </c>
      <c r="B3001" s="19" t="s">
        <v>8135</v>
      </c>
      <c r="C3001" s="204" t="s">
        <v>24</v>
      </c>
      <c r="D3001" s="204" t="s">
        <v>2346</v>
      </c>
      <c r="E3001" s="204" t="s">
        <v>1105</v>
      </c>
      <c r="F3001" s="4" t="s">
        <v>28</v>
      </c>
      <c r="G3001" s="4" t="s">
        <v>74</v>
      </c>
      <c r="H3001" s="204" t="s">
        <v>523</v>
      </c>
      <c r="I3001" s="204"/>
      <c r="J3001" s="204" t="s">
        <v>2276</v>
      </c>
      <c r="K3001" s="204" t="s">
        <v>2276</v>
      </c>
      <c r="L3001" s="204" t="s">
        <v>2276</v>
      </c>
      <c r="M3001" s="204" t="s">
        <v>2276</v>
      </c>
      <c r="N3001" s="204" t="s">
        <v>2276</v>
      </c>
      <c r="O3001" s="204" t="s">
        <v>2276</v>
      </c>
      <c r="P3001" s="204" t="s">
        <v>2276</v>
      </c>
      <c r="Q3001" s="204" t="s">
        <v>2276</v>
      </c>
      <c r="R3001" s="204" t="s">
        <v>2276</v>
      </c>
      <c r="S3001" s="204" t="s">
        <v>2276</v>
      </c>
      <c r="T3001" s="204" t="s">
        <v>2276</v>
      </c>
      <c r="U3001" s="204" t="s">
        <v>2276</v>
      </c>
      <c r="V3001" s="204" t="s">
        <v>2276</v>
      </c>
      <c r="W3001" s="204" t="s">
        <v>2276</v>
      </c>
      <c r="X3001" s="204" t="s">
        <v>2276</v>
      </c>
      <c r="Y3001" s="204" t="s">
        <v>2276</v>
      </c>
      <c r="Z3001" s="204" t="s">
        <v>2276</v>
      </c>
      <c r="AA3001" s="204" t="s">
        <v>2276</v>
      </c>
      <c r="AB3001" s="204" t="s">
        <v>2276</v>
      </c>
      <c r="AC3001" s="204"/>
      <c r="AD3001" s="204"/>
    </row>
    <row r="3002" spans="1:30" ht="30" customHeight="1">
      <c r="A3002" s="19" t="s">
        <v>8122</v>
      </c>
      <c r="B3002" s="19" t="s">
        <v>8137</v>
      </c>
      <c r="C3002" s="204" t="s">
        <v>24</v>
      </c>
      <c r="D3002" s="204" t="s">
        <v>2346</v>
      </c>
      <c r="E3002" s="204" t="s">
        <v>3209</v>
      </c>
      <c r="F3002" s="4" t="s">
        <v>74</v>
      </c>
      <c r="G3002" s="4" t="s">
        <v>74</v>
      </c>
      <c r="H3002" s="204" t="s">
        <v>523</v>
      </c>
      <c r="I3002" s="204"/>
      <c r="J3002" s="204" t="s">
        <v>2276</v>
      </c>
      <c r="K3002" s="204" t="s">
        <v>2276</v>
      </c>
      <c r="L3002" s="204" t="s">
        <v>2276</v>
      </c>
      <c r="M3002" s="204" t="s">
        <v>2276</v>
      </c>
      <c r="N3002" s="204" t="s">
        <v>2276</v>
      </c>
      <c r="O3002" s="204" t="s">
        <v>2276</v>
      </c>
      <c r="P3002" s="204" t="s">
        <v>2276</v>
      </c>
      <c r="Q3002" s="204" t="s">
        <v>2276</v>
      </c>
      <c r="R3002" s="204" t="s">
        <v>2276</v>
      </c>
      <c r="S3002" s="204" t="s">
        <v>2276</v>
      </c>
      <c r="T3002" s="204" t="s">
        <v>2276</v>
      </c>
      <c r="U3002" s="204" t="s">
        <v>2276</v>
      </c>
      <c r="V3002" s="204" t="s">
        <v>2276</v>
      </c>
      <c r="W3002" s="204" t="s">
        <v>2276</v>
      </c>
      <c r="X3002" s="204" t="s">
        <v>2276</v>
      </c>
      <c r="Y3002" s="204" t="s">
        <v>2276</v>
      </c>
      <c r="Z3002" s="204" t="s">
        <v>2276</v>
      </c>
      <c r="AA3002" s="204" t="s">
        <v>2276</v>
      </c>
      <c r="AB3002" s="204" t="s">
        <v>2276</v>
      </c>
      <c r="AC3002" s="204"/>
      <c r="AD3002" s="204"/>
    </row>
    <row r="3003" spans="1:30" ht="30" customHeight="1">
      <c r="A3003" s="19" t="s">
        <v>8122</v>
      </c>
      <c r="B3003" s="19" t="s">
        <v>8138</v>
      </c>
      <c r="C3003" s="4" t="s">
        <v>2458</v>
      </c>
      <c r="D3003" s="4" t="s">
        <v>2659</v>
      </c>
      <c r="E3003" s="4" t="s">
        <v>396</v>
      </c>
      <c r="F3003" s="4" t="s">
        <v>28</v>
      </c>
      <c r="G3003" s="4" t="s">
        <v>74</v>
      </c>
      <c r="H3003" s="204" t="s">
        <v>523</v>
      </c>
      <c r="I3003" s="204"/>
      <c r="J3003" s="204" t="s">
        <v>2276</v>
      </c>
      <c r="K3003" s="204" t="s">
        <v>2276</v>
      </c>
      <c r="L3003" s="204" t="s">
        <v>2276</v>
      </c>
      <c r="M3003" s="204" t="s">
        <v>2276</v>
      </c>
      <c r="N3003" s="204" t="s">
        <v>2276</v>
      </c>
      <c r="O3003" s="204" t="s">
        <v>2276</v>
      </c>
      <c r="P3003" s="204" t="s">
        <v>2276</v>
      </c>
      <c r="Q3003" s="204" t="s">
        <v>2276</v>
      </c>
      <c r="R3003" s="204" t="s">
        <v>2276</v>
      </c>
      <c r="S3003" s="204" t="s">
        <v>2276</v>
      </c>
      <c r="T3003" s="204" t="s">
        <v>2276</v>
      </c>
      <c r="U3003" s="204" t="s">
        <v>2276</v>
      </c>
      <c r="V3003" s="204" t="s">
        <v>2276</v>
      </c>
      <c r="W3003" s="204" t="s">
        <v>2276</v>
      </c>
      <c r="X3003" s="204" t="s">
        <v>2276</v>
      </c>
      <c r="Y3003" s="204" t="s">
        <v>2276</v>
      </c>
      <c r="Z3003" s="204" t="s">
        <v>2276</v>
      </c>
      <c r="AA3003" s="204" t="s">
        <v>2276</v>
      </c>
      <c r="AB3003" s="204" t="s">
        <v>2276</v>
      </c>
      <c r="AC3003" s="204"/>
      <c r="AD3003" s="204"/>
    </row>
    <row r="3004" spans="1:30" ht="30" customHeight="1">
      <c r="A3004" s="19" t="s">
        <v>8122</v>
      </c>
      <c r="B3004" s="19" t="s">
        <v>8139</v>
      </c>
      <c r="C3004" s="4" t="s">
        <v>24</v>
      </c>
      <c r="D3004" s="4" t="s">
        <v>2346</v>
      </c>
      <c r="E3004" s="4" t="s">
        <v>396</v>
      </c>
      <c r="F3004" s="4" t="s">
        <v>74</v>
      </c>
      <c r="G3004" s="4" t="s">
        <v>74</v>
      </c>
      <c r="H3004" s="204" t="s">
        <v>523</v>
      </c>
      <c r="I3004" s="204"/>
      <c r="J3004" s="204" t="s">
        <v>2276</v>
      </c>
      <c r="K3004" s="204" t="s">
        <v>2276</v>
      </c>
      <c r="L3004" s="204" t="s">
        <v>2276</v>
      </c>
      <c r="M3004" s="204" t="s">
        <v>2276</v>
      </c>
      <c r="N3004" s="204" t="s">
        <v>2276</v>
      </c>
      <c r="O3004" s="204" t="s">
        <v>2276</v>
      </c>
      <c r="P3004" s="204" t="s">
        <v>2276</v>
      </c>
      <c r="Q3004" s="204" t="s">
        <v>2276</v>
      </c>
      <c r="R3004" s="204" t="s">
        <v>2276</v>
      </c>
      <c r="S3004" s="204" t="s">
        <v>2276</v>
      </c>
      <c r="T3004" s="204" t="s">
        <v>2276</v>
      </c>
      <c r="U3004" s="204" t="s">
        <v>2276</v>
      </c>
      <c r="V3004" s="204" t="s">
        <v>2276</v>
      </c>
      <c r="W3004" s="204" t="s">
        <v>2276</v>
      </c>
      <c r="X3004" s="204" t="s">
        <v>2276</v>
      </c>
      <c r="Y3004" s="204" t="s">
        <v>2276</v>
      </c>
      <c r="Z3004" s="204" t="s">
        <v>2276</v>
      </c>
      <c r="AA3004" s="204" t="s">
        <v>2276</v>
      </c>
      <c r="AB3004" s="204" t="s">
        <v>2276</v>
      </c>
      <c r="AC3004" s="204"/>
      <c r="AD3004" s="204"/>
    </row>
    <row r="3005" spans="1:30" ht="30" customHeight="1">
      <c r="A3005" s="19" t="s">
        <v>8122</v>
      </c>
      <c r="B3005" s="19" t="s">
        <v>8140</v>
      </c>
      <c r="C3005" s="4" t="s">
        <v>24</v>
      </c>
      <c r="D3005" s="4" t="s">
        <v>2346</v>
      </c>
      <c r="E3005" s="4" t="s">
        <v>396</v>
      </c>
      <c r="F3005" s="4" t="s">
        <v>28</v>
      </c>
      <c r="G3005" s="4" t="s">
        <v>74</v>
      </c>
      <c r="H3005" s="204" t="s">
        <v>523</v>
      </c>
      <c r="I3005" s="204"/>
      <c r="J3005" s="204" t="s">
        <v>2276</v>
      </c>
      <c r="K3005" s="204" t="s">
        <v>2276</v>
      </c>
      <c r="L3005" s="204" t="s">
        <v>2276</v>
      </c>
      <c r="M3005" s="204" t="s">
        <v>2276</v>
      </c>
      <c r="N3005" s="204" t="s">
        <v>2276</v>
      </c>
      <c r="O3005" s="204" t="s">
        <v>2276</v>
      </c>
      <c r="P3005" s="204" t="s">
        <v>2276</v>
      </c>
      <c r="Q3005" s="204" t="s">
        <v>2276</v>
      </c>
      <c r="R3005" s="204" t="s">
        <v>2276</v>
      </c>
      <c r="S3005" s="204" t="s">
        <v>2276</v>
      </c>
      <c r="T3005" s="204" t="s">
        <v>2276</v>
      </c>
      <c r="U3005" s="204" t="s">
        <v>2276</v>
      </c>
      <c r="V3005" s="204" t="s">
        <v>2276</v>
      </c>
      <c r="W3005" s="204" t="s">
        <v>2276</v>
      </c>
      <c r="X3005" s="204" t="s">
        <v>2276</v>
      </c>
      <c r="Y3005" s="204" t="s">
        <v>2276</v>
      </c>
      <c r="Z3005" s="204" t="s">
        <v>2276</v>
      </c>
      <c r="AA3005" s="204" t="s">
        <v>2276</v>
      </c>
      <c r="AB3005" s="204" t="s">
        <v>2276</v>
      </c>
      <c r="AC3005" s="204"/>
      <c r="AD3005" s="204"/>
    </row>
    <row r="3006" spans="1:30" ht="30" customHeight="1">
      <c r="A3006" s="19" t="s">
        <v>8122</v>
      </c>
      <c r="B3006" s="19" t="s">
        <v>8141</v>
      </c>
      <c r="C3006" s="4" t="s">
        <v>2458</v>
      </c>
      <c r="D3006" s="4" t="s">
        <v>2231</v>
      </c>
      <c r="E3006" s="4" t="s">
        <v>396</v>
      </c>
      <c r="F3006" s="4" t="s">
        <v>160</v>
      </c>
      <c r="G3006" s="4" t="s">
        <v>74</v>
      </c>
      <c r="H3006" s="204" t="s">
        <v>523</v>
      </c>
      <c r="I3006" s="204"/>
      <c r="J3006" s="204" t="s">
        <v>2276</v>
      </c>
      <c r="K3006" s="204" t="s">
        <v>2276</v>
      </c>
      <c r="L3006" s="204" t="s">
        <v>2276</v>
      </c>
      <c r="M3006" s="204" t="s">
        <v>2276</v>
      </c>
      <c r="N3006" s="204" t="s">
        <v>2276</v>
      </c>
      <c r="O3006" s="204" t="s">
        <v>2276</v>
      </c>
      <c r="P3006" s="204" t="s">
        <v>2276</v>
      </c>
      <c r="Q3006" s="204" t="s">
        <v>2276</v>
      </c>
      <c r="R3006" s="204" t="s">
        <v>2276</v>
      </c>
      <c r="S3006" s="204" t="s">
        <v>2276</v>
      </c>
      <c r="T3006" s="204" t="s">
        <v>2276</v>
      </c>
      <c r="U3006" s="204" t="s">
        <v>2276</v>
      </c>
      <c r="V3006" s="204" t="s">
        <v>2276</v>
      </c>
      <c r="W3006" s="204" t="s">
        <v>2276</v>
      </c>
      <c r="X3006" s="204" t="s">
        <v>2276</v>
      </c>
      <c r="Y3006" s="204" t="s">
        <v>2276</v>
      </c>
      <c r="Z3006" s="204" t="s">
        <v>2276</v>
      </c>
      <c r="AA3006" s="204" t="s">
        <v>2276</v>
      </c>
      <c r="AB3006" s="204" t="s">
        <v>2276</v>
      </c>
      <c r="AC3006" s="204"/>
      <c r="AD3006" s="204"/>
    </row>
    <row r="3007" spans="1:30" ht="46" customHeight="1">
      <c r="A3007" s="19" t="s">
        <v>8123</v>
      </c>
      <c r="B3007" s="19" t="s">
        <v>8142</v>
      </c>
      <c r="C3007" s="4" t="s">
        <v>2458</v>
      </c>
      <c r="D3007" s="4" t="s">
        <v>2659</v>
      </c>
      <c r="E3007" s="4" t="s">
        <v>396</v>
      </c>
      <c r="F3007" s="4" t="s">
        <v>28</v>
      </c>
      <c r="G3007" s="4" t="s">
        <v>74</v>
      </c>
      <c r="H3007" s="204" t="s">
        <v>523</v>
      </c>
      <c r="I3007" s="204"/>
      <c r="J3007" s="204" t="s">
        <v>2276</v>
      </c>
      <c r="K3007" s="204" t="s">
        <v>2276</v>
      </c>
      <c r="L3007" s="204" t="s">
        <v>2276</v>
      </c>
      <c r="M3007" s="204" t="s">
        <v>2276</v>
      </c>
      <c r="N3007" s="204" t="s">
        <v>2276</v>
      </c>
      <c r="O3007" s="204" t="s">
        <v>2276</v>
      </c>
      <c r="P3007" s="204" t="s">
        <v>2276</v>
      </c>
      <c r="Q3007" s="204" t="s">
        <v>2276</v>
      </c>
      <c r="R3007" s="204" t="s">
        <v>2276</v>
      </c>
      <c r="S3007" s="204" t="s">
        <v>2276</v>
      </c>
      <c r="T3007" s="204" t="s">
        <v>2276</v>
      </c>
      <c r="U3007" s="204" t="s">
        <v>2276</v>
      </c>
      <c r="V3007" s="204" t="s">
        <v>2276</v>
      </c>
      <c r="W3007" s="204" t="s">
        <v>2276</v>
      </c>
      <c r="X3007" s="204" t="s">
        <v>2276</v>
      </c>
      <c r="Y3007" s="204" t="s">
        <v>2276</v>
      </c>
      <c r="Z3007" s="204" t="s">
        <v>2276</v>
      </c>
      <c r="AA3007" s="204" t="s">
        <v>2276</v>
      </c>
      <c r="AB3007" s="204" t="s">
        <v>2276</v>
      </c>
      <c r="AC3007" s="204"/>
      <c r="AD3007" s="204"/>
    </row>
    <row r="3008" spans="1:30" ht="42" customHeight="1">
      <c r="A3008" s="19" t="s">
        <v>8123</v>
      </c>
      <c r="B3008" s="19" t="s">
        <v>8143</v>
      </c>
      <c r="C3008" s="204" t="s">
        <v>24</v>
      </c>
      <c r="D3008" s="204" t="s">
        <v>2346</v>
      </c>
      <c r="E3008" s="204" t="s">
        <v>3209</v>
      </c>
      <c r="F3008" s="4" t="s">
        <v>74</v>
      </c>
      <c r="G3008" s="4" t="s">
        <v>74</v>
      </c>
      <c r="H3008" s="204" t="s">
        <v>523</v>
      </c>
      <c r="I3008" s="204"/>
      <c r="J3008" s="204" t="s">
        <v>2276</v>
      </c>
      <c r="K3008" s="204" t="s">
        <v>2276</v>
      </c>
      <c r="L3008" s="204" t="s">
        <v>2276</v>
      </c>
      <c r="M3008" s="204" t="s">
        <v>2276</v>
      </c>
      <c r="N3008" s="204" t="s">
        <v>2276</v>
      </c>
      <c r="O3008" s="204" t="s">
        <v>2276</v>
      </c>
      <c r="P3008" s="204" t="s">
        <v>2276</v>
      </c>
      <c r="Q3008" s="204" t="s">
        <v>2276</v>
      </c>
      <c r="R3008" s="204" t="s">
        <v>2276</v>
      </c>
      <c r="S3008" s="204" t="s">
        <v>2276</v>
      </c>
      <c r="T3008" s="204" t="s">
        <v>2276</v>
      </c>
      <c r="U3008" s="204" t="s">
        <v>2276</v>
      </c>
      <c r="V3008" s="204" t="s">
        <v>2276</v>
      </c>
      <c r="W3008" s="204" t="s">
        <v>2276</v>
      </c>
      <c r="X3008" s="204" t="s">
        <v>2276</v>
      </c>
      <c r="Y3008" s="204" t="s">
        <v>2276</v>
      </c>
      <c r="Z3008" s="204" t="s">
        <v>2276</v>
      </c>
      <c r="AA3008" s="204" t="s">
        <v>2276</v>
      </c>
      <c r="AB3008" s="204" t="s">
        <v>2276</v>
      </c>
      <c r="AC3008" s="204"/>
      <c r="AD3008" s="204"/>
    </row>
    <row r="3009" spans="1:30" ht="42" customHeight="1">
      <c r="A3009" s="19" t="s">
        <v>8123</v>
      </c>
      <c r="B3009" s="19" t="s">
        <v>8144</v>
      </c>
      <c r="C3009" s="204" t="s">
        <v>2656</v>
      </c>
      <c r="D3009" s="204" t="s">
        <v>2276</v>
      </c>
      <c r="E3009" s="204" t="s">
        <v>2276</v>
      </c>
      <c r="F3009" s="204" t="s">
        <v>2276</v>
      </c>
      <c r="G3009" s="4" t="s">
        <v>74</v>
      </c>
      <c r="H3009" s="204" t="s">
        <v>523</v>
      </c>
      <c r="I3009" s="204"/>
      <c r="J3009" s="204" t="s">
        <v>2276</v>
      </c>
      <c r="K3009" s="204" t="s">
        <v>2276</v>
      </c>
      <c r="L3009" s="204" t="s">
        <v>2276</v>
      </c>
      <c r="M3009" s="204" t="s">
        <v>2276</v>
      </c>
      <c r="N3009" s="204" t="s">
        <v>2276</v>
      </c>
      <c r="O3009" s="204" t="s">
        <v>2276</v>
      </c>
      <c r="P3009" s="204" t="s">
        <v>2276</v>
      </c>
      <c r="Q3009" s="204" t="s">
        <v>2276</v>
      </c>
      <c r="R3009" s="204" t="s">
        <v>2276</v>
      </c>
      <c r="S3009" s="204" t="s">
        <v>2276</v>
      </c>
      <c r="T3009" s="204" t="s">
        <v>2276</v>
      </c>
      <c r="U3009" s="204" t="s">
        <v>2276</v>
      </c>
      <c r="V3009" s="204" t="s">
        <v>2276</v>
      </c>
      <c r="W3009" s="204" t="s">
        <v>2276</v>
      </c>
      <c r="X3009" s="204" t="s">
        <v>2276</v>
      </c>
      <c r="Y3009" s="204" t="s">
        <v>2276</v>
      </c>
      <c r="Z3009" s="204" t="s">
        <v>2276</v>
      </c>
      <c r="AA3009" s="204" t="s">
        <v>2276</v>
      </c>
      <c r="AB3009" s="204" t="s">
        <v>2276</v>
      </c>
      <c r="AC3009" s="204"/>
      <c r="AD3009" s="204"/>
    </row>
    <row r="3010" spans="1:30" ht="42" customHeight="1">
      <c r="A3010" s="19" t="s">
        <v>8123</v>
      </c>
      <c r="B3010" s="19" t="s">
        <v>8145</v>
      </c>
      <c r="C3010" s="4" t="s">
        <v>2458</v>
      </c>
      <c r="D3010" s="204" t="s">
        <v>25</v>
      </c>
      <c r="E3010" s="204" t="s">
        <v>45</v>
      </c>
      <c r="F3010" s="4" t="s">
        <v>29</v>
      </c>
      <c r="G3010" s="4" t="s">
        <v>74</v>
      </c>
      <c r="H3010" s="204" t="s">
        <v>523</v>
      </c>
      <c r="I3010" s="204"/>
      <c r="J3010" s="204" t="s">
        <v>2276</v>
      </c>
      <c r="K3010" s="204" t="s">
        <v>2276</v>
      </c>
      <c r="L3010" s="204" t="s">
        <v>2276</v>
      </c>
      <c r="M3010" s="204" t="s">
        <v>2276</v>
      </c>
      <c r="N3010" s="204" t="s">
        <v>2276</v>
      </c>
      <c r="O3010" s="204" t="s">
        <v>2276</v>
      </c>
      <c r="P3010" s="204" t="s">
        <v>2276</v>
      </c>
      <c r="Q3010" s="204" t="s">
        <v>2276</v>
      </c>
      <c r="R3010" s="204" t="s">
        <v>2276</v>
      </c>
      <c r="S3010" s="204" t="s">
        <v>2276</v>
      </c>
      <c r="T3010" s="204" t="s">
        <v>2276</v>
      </c>
      <c r="U3010" s="204" t="s">
        <v>2276</v>
      </c>
      <c r="V3010" s="204" t="s">
        <v>2276</v>
      </c>
      <c r="W3010" s="204" t="s">
        <v>2276</v>
      </c>
      <c r="X3010" s="204" t="s">
        <v>2276</v>
      </c>
      <c r="Y3010" s="204" t="s">
        <v>2276</v>
      </c>
      <c r="Z3010" s="204" t="s">
        <v>2276</v>
      </c>
      <c r="AA3010" s="204" t="s">
        <v>2276</v>
      </c>
      <c r="AB3010" s="204" t="s">
        <v>2276</v>
      </c>
      <c r="AC3010" s="204"/>
      <c r="AD3010" s="204"/>
    </row>
    <row r="3011" spans="1:30" ht="42" customHeight="1">
      <c r="A3011" s="19" t="s">
        <v>8123</v>
      </c>
      <c r="B3011" s="19" t="s">
        <v>8146</v>
      </c>
      <c r="C3011" s="204" t="s">
        <v>24</v>
      </c>
      <c r="D3011" s="204" t="s">
        <v>2346</v>
      </c>
      <c r="E3011" s="4" t="s">
        <v>396</v>
      </c>
      <c r="F3011" s="4" t="s">
        <v>28</v>
      </c>
      <c r="G3011" s="4" t="s">
        <v>74</v>
      </c>
      <c r="H3011" s="204" t="s">
        <v>523</v>
      </c>
      <c r="I3011" s="204"/>
      <c r="J3011" s="204" t="s">
        <v>2276</v>
      </c>
      <c r="K3011" s="204" t="s">
        <v>2276</v>
      </c>
      <c r="L3011" s="204" t="s">
        <v>2276</v>
      </c>
      <c r="M3011" s="204" t="s">
        <v>2276</v>
      </c>
      <c r="N3011" s="204" t="s">
        <v>2276</v>
      </c>
      <c r="O3011" s="204" t="s">
        <v>2276</v>
      </c>
      <c r="P3011" s="204" t="s">
        <v>2276</v>
      </c>
      <c r="Q3011" s="204" t="s">
        <v>2276</v>
      </c>
      <c r="R3011" s="204" t="s">
        <v>2276</v>
      </c>
      <c r="S3011" s="204" t="s">
        <v>2276</v>
      </c>
      <c r="T3011" s="204" t="s">
        <v>2276</v>
      </c>
      <c r="U3011" s="204" t="s">
        <v>2276</v>
      </c>
      <c r="V3011" s="204" t="s">
        <v>2276</v>
      </c>
      <c r="W3011" s="204" t="s">
        <v>2276</v>
      </c>
      <c r="X3011" s="204" t="s">
        <v>2276</v>
      </c>
      <c r="Y3011" s="204" t="s">
        <v>2276</v>
      </c>
      <c r="Z3011" s="204" t="s">
        <v>2276</v>
      </c>
      <c r="AA3011" s="204" t="s">
        <v>2276</v>
      </c>
      <c r="AB3011" s="204" t="s">
        <v>2276</v>
      </c>
      <c r="AC3011" s="204"/>
      <c r="AD3011" s="204"/>
    </row>
    <row r="3012" spans="1:30" ht="41" customHeight="1">
      <c r="A3012" s="19" t="s">
        <v>8123</v>
      </c>
      <c r="B3012" s="19" t="s">
        <v>8147</v>
      </c>
      <c r="C3012" s="204" t="s">
        <v>24</v>
      </c>
      <c r="D3012" s="204" t="s">
        <v>2346</v>
      </c>
      <c r="E3012" s="4" t="s">
        <v>45</v>
      </c>
      <c r="F3012" s="4" t="s">
        <v>28</v>
      </c>
      <c r="G3012" s="4" t="s">
        <v>74</v>
      </c>
      <c r="H3012" s="204" t="s">
        <v>523</v>
      </c>
      <c r="I3012" s="204"/>
      <c r="J3012" s="204" t="s">
        <v>2276</v>
      </c>
      <c r="K3012" s="204" t="s">
        <v>2276</v>
      </c>
      <c r="L3012" s="204" t="s">
        <v>2276</v>
      </c>
      <c r="M3012" s="204" t="s">
        <v>2276</v>
      </c>
      <c r="N3012" s="204" t="s">
        <v>2276</v>
      </c>
      <c r="O3012" s="204" t="s">
        <v>2276</v>
      </c>
      <c r="P3012" s="204" t="s">
        <v>2276</v>
      </c>
      <c r="Q3012" s="204" t="s">
        <v>2276</v>
      </c>
      <c r="R3012" s="204" t="s">
        <v>2276</v>
      </c>
      <c r="S3012" s="204" t="s">
        <v>2276</v>
      </c>
      <c r="T3012" s="204" t="s">
        <v>2276</v>
      </c>
      <c r="U3012" s="204" t="s">
        <v>2276</v>
      </c>
      <c r="V3012" s="204" t="s">
        <v>2276</v>
      </c>
      <c r="W3012" s="204" t="s">
        <v>2276</v>
      </c>
      <c r="X3012" s="204" t="s">
        <v>2276</v>
      </c>
      <c r="Y3012" s="204" t="s">
        <v>2276</v>
      </c>
      <c r="Z3012" s="204" t="s">
        <v>2276</v>
      </c>
      <c r="AA3012" s="204" t="s">
        <v>2276</v>
      </c>
      <c r="AB3012" s="204" t="s">
        <v>2276</v>
      </c>
      <c r="AC3012" s="204"/>
      <c r="AD3012" s="204"/>
    </row>
    <row r="3013" spans="1:30" ht="37" customHeight="1">
      <c r="A3013" s="19" t="s">
        <v>8124</v>
      </c>
      <c r="B3013" s="19" t="s">
        <v>8148</v>
      </c>
      <c r="C3013" s="204" t="s">
        <v>2458</v>
      </c>
      <c r="D3013" s="4" t="s">
        <v>2659</v>
      </c>
      <c r="E3013" s="4" t="s">
        <v>396</v>
      </c>
      <c r="F3013" s="4" t="s">
        <v>28</v>
      </c>
      <c r="G3013" s="4" t="s">
        <v>74</v>
      </c>
      <c r="H3013" s="204" t="s">
        <v>523</v>
      </c>
      <c r="I3013" s="204"/>
      <c r="J3013" s="204" t="s">
        <v>2276</v>
      </c>
      <c r="K3013" s="204" t="s">
        <v>2276</v>
      </c>
      <c r="L3013" s="204" t="s">
        <v>2276</v>
      </c>
      <c r="M3013" s="204" t="s">
        <v>2276</v>
      </c>
      <c r="N3013" s="204" t="s">
        <v>2276</v>
      </c>
      <c r="O3013" s="204" t="s">
        <v>2276</v>
      </c>
      <c r="P3013" s="204" t="s">
        <v>2276</v>
      </c>
      <c r="Q3013" s="204" t="s">
        <v>2276</v>
      </c>
      <c r="R3013" s="204" t="s">
        <v>2276</v>
      </c>
      <c r="S3013" s="204" t="s">
        <v>2276</v>
      </c>
      <c r="T3013" s="204" t="s">
        <v>2276</v>
      </c>
      <c r="U3013" s="204" t="s">
        <v>2276</v>
      </c>
      <c r="V3013" s="204" t="s">
        <v>2276</v>
      </c>
      <c r="W3013" s="204" t="s">
        <v>2276</v>
      </c>
      <c r="X3013" s="204" t="s">
        <v>2276</v>
      </c>
      <c r="Y3013" s="204" t="s">
        <v>2276</v>
      </c>
      <c r="Z3013" s="204" t="s">
        <v>2276</v>
      </c>
      <c r="AA3013" s="204" t="s">
        <v>2276</v>
      </c>
      <c r="AB3013" s="204" t="s">
        <v>2276</v>
      </c>
      <c r="AC3013" s="204"/>
      <c r="AD3013" s="204"/>
    </row>
    <row r="3014" spans="1:30" ht="37" customHeight="1">
      <c r="A3014" s="19" t="s">
        <v>8124</v>
      </c>
      <c r="B3014" s="19" t="s">
        <v>8149</v>
      </c>
      <c r="C3014" s="204" t="s">
        <v>2458</v>
      </c>
      <c r="D3014" s="4" t="s">
        <v>2231</v>
      </c>
      <c r="E3014" s="4" t="s">
        <v>396</v>
      </c>
      <c r="F3014" s="4" t="s">
        <v>160</v>
      </c>
      <c r="G3014" s="4" t="s">
        <v>74</v>
      </c>
      <c r="H3014" s="204" t="s">
        <v>523</v>
      </c>
      <c r="I3014" s="204"/>
      <c r="J3014" s="204" t="s">
        <v>2276</v>
      </c>
      <c r="K3014" s="204" t="s">
        <v>2276</v>
      </c>
      <c r="L3014" s="204" t="s">
        <v>2276</v>
      </c>
      <c r="M3014" s="204" t="s">
        <v>2276</v>
      </c>
      <c r="N3014" s="204" t="s">
        <v>2276</v>
      </c>
      <c r="O3014" s="204" t="s">
        <v>2276</v>
      </c>
      <c r="P3014" s="204" t="s">
        <v>2276</v>
      </c>
      <c r="Q3014" s="204" t="s">
        <v>2276</v>
      </c>
      <c r="R3014" s="204" t="s">
        <v>2276</v>
      </c>
      <c r="S3014" s="204" t="s">
        <v>2276</v>
      </c>
      <c r="T3014" s="204" t="s">
        <v>2276</v>
      </c>
      <c r="U3014" s="204" t="s">
        <v>2276</v>
      </c>
      <c r="V3014" s="204" t="s">
        <v>2276</v>
      </c>
      <c r="W3014" s="204" t="s">
        <v>2276</v>
      </c>
      <c r="X3014" s="204" t="s">
        <v>2276</v>
      </c>
      <c r="Y3014" s="204" t="s">
        <v>2276</v>
      </c>
      <c r="Z3014" s="204" t="s">
        <v>2276</v>
      </c>
      <c r="AA3014" s="204" t="s">
        <v>2276</v>
      </c>
      <c r="AB3014" s="204" t="s">
        <v>2276</v>
      </c>
      <c r="AC3014" s="204"/>
      <c r="AD3014" s="204"/>
    </row>
    <row r="3015" spans="1:30" ht="37" customHeight="1">
      <c r="A3015" s="19" t="s">
        <v>8124</v>
      </c>
      <c r="B3015" s="19" t="s">
        <v>8150</v>
      </c>
      <c r="C3015" s="204" t="s">
        <v>24</v>
      </c>
      <c r="D3015" s="204" t="s">
        <v>2346</v>
      </c>
      <c r="E3015" s="204" t="s">
        <v>2276</v>
      </c>
      <c r="F3015" s="4" t="s">
        <v>74</v>
      </c>
      <c r="G3015" s="4" t="s">
        <v>74</v>
      </c>
      <c r="H3015" s="204" t="s">
        <v>523</v>
      </c>
      <c r="I3015" s="204"/>
      <c r="J3015" s="204" t="s">
        <v>2276</v>
      </c>
      <c r="K3015" s="204" t="s">
        <v>2276</v>
      </c>
      <c r="L3015" s="204" t="s">
        <v>2276</v>
      </c>
      <c r="M3015" s="204" t="s">
        <v>2276</v>
      </c>
      <c r="N3015" s="204" t="s">
        <v>2276</v>
      </c>
      <c r="O3015" s="204" t="s">
        <v>2276</v>
      </c>
      <c r="P3015" s="204" t="s">
        <v>2276</v>
      </c>
      <c r="Q3015" s="204" t="s">
        <v>2276</v>
      </c>
      <c r="R3015" s="204" t="s">
        <v>2276</v>
      </c>
      <c r="S3015" s="204" t="s">
        <v>2276</v>
      </c>
      <c r="T3015" s="204" t="s">
        <v>2276</v>
      </c>
      <c r="U3015" s="204" t="s">
        <v>2276</v>
      </c>
      <c r="V3015" s="204" t="s">
        <v>2276</v>
      </c>
      <c r="W3015" s="204" t="s">
        <v>2276</v>
      </c>
      <c r="X3015" s="204" t="s">
        <v>2276</v>
      </c>
      <c r="Y3015" s="204" t="s">
        <v>2276</v>
      </c>
      <c r="Z3015" s="204" t="s">
        <v>2276</v>
      </c>
      <c r="AA3015" s="204" t="s">
        <v>2276</v>
      </c>
      <c r="AB3015" s="204" t="s">
        <v>2276</v>
      </c>
      <c r="AC3015" s="204"/>
      <c r="AD3015" s="204"/>
    </row>
    <row r="3016" spans="1:30" ht="37" customHeight="1">
      <c r="A3016" s="19" t="s">
        <v>8124</v>
      </c>
      <c r="B3016" s="19" t="s">
        <v>8151</v>
      </c>
      <c r="C3016" s="204" t="s">
        <v>2458</v>
      </c>
      <c r="D3016" s="204" t="s">
        <v>25</v>
      </c>
      <c r="E3016" s="204" t="s">
        <v>45</v>
      </c>
      <c r="F3016" s="4" t="s">
        <v>29</v>
      </c>
      <c r="G3016" s="4" t="s">
        <v>74</v>
      </c>
      <c r="H3016" s="204" t="s">
        <v>523</v>
      </c>
      <c r="I3016" s="204"/>
      <c r="J3016" s="204" t="s">
        <v>2276</v>
      </c>
      <c r="K3016" s="204" t="s">
        <v>2276</v>
      </c>
      <c r="L3016" s="204" t="s">
        <v>2276</v>
      </c>
      <c r="M3016" s="204" t="s">
        <v>2276</v>
      </c>
      <c r="N3016" s="204" t="s">
        <v>2276</v>
      </c>
      <c r="O3016" s="204" t="s">
        <v>2276</v>
      </c>
      <c r="P3016" s="204" t="s">
        <v>2276</v>
      </c>
      <c r="Q3016" s="204" t="s">
        <v>2276</v>
      </c>
      <c r="R3016" s="204" t="s">
        <v>2276</v>
      </c>
      <c r="S3016" s="204" t="s">
        <v>2276</v>
      </c>
      <c r="T3016" s="204" t="s">
        <v>2276</v>
      </c>
      <c r="U3016" s="204" t="s">
        <v>2276</v>
      </c>
      <c r="V3016" s="204" t="s">
        <v>2276</v>
      </c>
      <c r="W3016" s="204" t="s">
        <v>2276</v>
      </c>
      <c r="X3016" s="204" t="s">
        <v>2276</v>
      </c>
      <c r="Y3016" s="204" t="s">
        <v>2276</v>
      </c>
      <c r="Z3016" s="204" t="s">
        <v>2276</v>
      </c>
      <c r="AA3016" s="204" t="s">
        <v>2276</v>
      </c>
      <c r="AB3016" s="204" t="s">
        <v>2276</v>
      </c>
      <c r="AC3016" s="204"/>
      <c r="AD3016" s="204"/>
    </row>
    <row r="3017" spans="1:30" ht="37" customHeight="1">
      <c r="A3017" s="19" t="s">
        <v>8124</v>
      </c>
      <c r="B3017" s="19" t="s">
        <v>8152</v>
      </c>
      <c r="C3017" s="204" t="s">
        <v>24</v>
      </c>
      <c r="D3017" s="204" t="s">
        <v>2346</v>
      </c>
      <c r="E3017" s="4" t="s">
        <v>396</v>
      </c>
      <c r="F3017" s="4" t="s">
        <v>28</v>
      </c>
      <c r="G3017" s="4" t="s">
        <v>74</v>
      </c>
      <c r="H3017" s="204" t="s">
        <v>523</v>
      </c>
      <c r="I3017" s="204"/>
      <c r="J3017" s="204" t="s">
        <v>2276</v>
      </c>
      <c r="K3017" s="204" t="s">
        <v>2276</v>
      </c>
      <c r="L3017" s="204" t="s">
        <v>2276</v>
      </c>
      <c r="M3017" s="204" t="s">
        <v>2276</v>
      </c>
      <c r="N3017" s="204" t="s">
        <v>2276</v>
      </c>
      <c r="O3017" s="204" t="s">
        <v>2276</v>
      </c>
      <c r="P3017" s="204" t="s">
        <v>2276</v>
      </c>
      <c r="Q3017" s="204" t="s">
        <v>2276</v>
      </c>
      <c r="R3017" s="204" t="s">
        <v>2276</v>
      </c>
      <c r="S3017" s="204" t="s">
        <v>2276</v>
      </c>
      <c r="T3017" s="204" t="s">
        <v>2276</v>
      </c>
      <c r="U3017" s="204" t="s">
        <v>2276</v>
      </c>
      <c r="V3017" s="204" t="s">
        <v>2276</v>
      </c>
      <c r="W3017" s="204" t="s">
        <v>2276</v>
      </c>
      <c r="X3017" s="204" t="s">
        <v>2276</v>
      </c>
      <c r="Y3017" s="204" t="s">
        <v>2276</v>
      </c>
      <c r="Z3017" s="204" t="s">
        <v>2276</v>
      </c>
      <c r="AA3017" s="204" t="s">
        <v>2276</v>
      </c>
      <c r="AB3017" s="204" t="s">
        <v>2276</v>
      </c>
      <c r="AC3017" s="204"/>
      <c r="AD3017" s="204"/>
    </row>
    <row r="3018" spans="1:30" ht="37" customHeight="1">
      <c r="A3018" s="19" t="s">
        <v>8124</v>
      </c>
      <c r="B3018" s="19" t="s">
        <v>8153</v>
      </c>
      <c r="C3018" s="204" t="s">
        <v>31</v>
      </c>
      <c r="D3018" s="204" t="s">
        <v>30</v>
      </c>
      <c r="E3018" s="204" t="s">
        <v>2653</v>
      </c>
      <c r="F3018" s="204" t="s">
        <v>2276</v>
      </c>
      <c r="G3018" s="4" t="s">
        <v>74</v>
      </c>
      <c r="H3018" s="204" t="s">
        <v>523</v>
      </c>
      <c r="I3018" s="204"/>
      <c r="J3018" s="204" t="s">
        <v>2276</v>
      </c>
      <c r="K3018" s="204" t="s">
        <v>2276</v>
      </c>
      <c r="L3018" s="204" t="s">
        <v>2276</v>
      </c>
      <c r="M3018" s="204" t="s">
        <v>2276</v>
      </c>
      <c r="N3018" s="204" t="s">
        <v>2276</v>
      </c>
      <c r="O3018" s="204" t="s">
        <v>2276</v>
      </c>
      <c r="P3018" s="204" t="s">
        <v>2276</v>
      </c>
      <c r="Q3018" s="204" t="s">
        <v>2276</v>
      </c>
      <c r="R3018" s="204" t="s">
        <v>2276</v>
      </c>
      <c r="S3018" s="204" t="s">
        <v>2276</v>
      </c>
      <c r="T3018" s="204" t="s">
        <v>2276</v>
      </c>
      <c r="U3018" s="204" t="s">
        <v>2276</v>
      </c>
      <c r="V3018" s="204" t="s">
        <v>2276</v>
      </c>
      <c r="W3018" s="204" t="s">
        <v>2276</v>
      </c>
      <c r="X3018" s="204" t="s">
        <v>2276</v>
      </c>
      <c r="Y3018" s="204" t="s">
        <v>2276</v>
      </c>
      <c r="Z3018" s="204" t="s">
        <v>2276</v>
      </c>
      <c r="AA3018" s="204" t="s">
        <v>2276</v>
      </c>
      <c r="AB3018" s="204" t="s">
        <v>2276</v>
      </c>
      <c r="AC3018" s="204"/>
      <c r="AD3018" s="204"/>
    </row>
    <row r="3019" spans="1:30" ht="37" customHeight="1">
      <c r="A3019" s="19" t="s">
        <v>8124</v>
      </c>
      <c r="B3019" s="19" t="s">
        <v>8154</v>
      </c>
      <c r="C3019" s="204" t="s">
        <v>2656</v>
      </c>
      <c r="D3019" s="204" t="s">
        <v>2276</v>
      </c>
      <c r="E3019" s="204" t="s">
        <v>2276</v>
      </c>
      <c r="F3019" s="204" t="s">
        <v>2276</v>
      </c>
      <c r="G3019" s="4" t="s">
        <v>74</v>
      </c>
      <c r="H3019" s="204" t="s">
        <v>523</v>
      </c>
      <c r="I3019" s="204"/>
      <c r="J3019" s="204" t="s">
        <v>2276</v>
      </c>
      <c r="K3019" s="204" t="s">
        <v>2276</v>
      </c>
      <c r="L3019" s="204" t="s">
        <v>2276</v>
      </c>
      <c r="M3019" s="204" t="s">
        <v>2276</v>
      </c>
      <c r="N3019" s="204" t="s">
        <v>2276</v>
      </c>
      <c r="O3019" s="204" t="s">
        <v>2276</v>
      </c>
      <c r="P3019" s="204" t="s">
        <v>2276</v>
      </c>
      <c r="Q3019" s="204" t="s">
        <v>2276</v>
      </c>
      <c r="R3019" s="204" t="s">
        <v>2276</v>
      </c>
      <c r="S3019" s="204" t="s">
        <v>2276</v>
      </c>
      <c r="T3019" s="204" t="s">
        <v>2276</v>
      </c>
      <c r="U3019" s="204" t="s">
        <v>2276</v>
      </c>
      <c r="V3019" s="204" t="s">
        <v>2276</v>
      </c>
      <c r="W3019" s="204" t="s">
        <v>2276</v>
      </c>
      <c r="X3019" s="204" t="s">
        <v>2276</v>
      </c>
      <c r="Y3019" s="204" t="s">
        <v>2276</v>
      </c>
      <c r="Z3019" s="204" t="s">
        <v>2276</v>
      </c>
      <c r="AA3019" s="204" t="s">
        <v>2276</v>
      </c>
      <c r="AB3019" s="204" t="s">
        <v>2276</v>
      </c>
      <c r="AC3019" s="204"/>
      <c r="AD3019" s="204"/>
    </row>
    <row r="3020" spans="1:30" ht="40" customHeight="1">
      <c r="A3020" s="19" t="s">
        <v>8158</v>
      </c>
      <c r="B3020" s="19" t="s">
        <v>8160</v>
      </c>
      <c r="C3020" s="204" t="s">
        <v>24</v>
      </c>
      <c r="D3020" s="204" t="s">
        <v>1245</v>
      </c>
      <c r="E3020" s="204" t="s">
        <v>116</v>
      </c>
      <c r="F3020" s="4" t="s">
        <v>2662</v>
      </c>
      <c r="G3020" s="4" t="s">
        <v>2662</v>
      </c>
      <c r="H3020" s="204" t="s">
        <v>523</v>
      </c>
      <c r="I3020" s="204"/>
      <c r="J3020" s="204" t="s">
        <v>2276</v>
      </c>
      <c r="K3020" s="21">
        <v>1</v>
      </c>
      <c r="L3020" s="204" t="s">
        <v>2276</v>
      </c>
      <c r="M3020" s="21">
        <v>10</v>
      </c>
      <c r="N3020" s="204" t="s">
        <v>2276</v>
      </c>
      <c r="O3020" s="204" t="s">
        <v>2276</v>
      </c>
      <c r="P3020" s="204" t="s">
        <v>2276</v>
      </c>
      <c r="Q3020" s="204" t="s">
        <v>2276</v>
      </c>
      <c r="R3020" s="204" t="s">
        <v>2276</v>
      </c>
      <c r="S3020" s="204" t="s">
        <v>2276</v>
      </c>
      <c r="T3020" s="204" t="s">
        <v>2276</v>
      </c>
      <c r="U3020" s="204" t="s">
        <v>2276</v>
      </c>
      <c r="V3020" s="204" t="s">
        <v>2276</v>
      </c>
      <c r="W3020" s="204" t="s">
        <v>2276</v>
      </c>
      <c r="X3020" s="204" t="s">
        <v>2276</v>
      </c>
      <c r="Y3020" s="204" t="s">
        <v>2276</v>
      </c>
      <c r="Z3020" s="204" t="s">
        <v>38</v>
      </c>
      <c r="AA3020" s="204" t="s">
        <v>68</v>
      </c>
      <c r="AB3020" s="204" t="s">
        <v>2276</v>
      </c>
      <c r="AC3020" s="4" t="s">
        <v>8165</v>
      </c>
      <c r="AD3020" s="204" t="s">
        <v>8161</v>
      </c>
    </row>
    <row r="3021" spans="1:30" ht="40" customHeight="1">
      <c r="A3021" s="19" t="s">
        <v>8158</v>
      </c>
      <c r="B3021" s="19" t="s">
        <v>8162</v>
      </c>
      <c r="C3021" s="204" t="s">
        <v>2656</v>
      </c>
      <c r="D3021" s="204" t="s">
        <v>2276</v>
      </c>
      <c r="E3021" s="204" t="s">
        <v>2276</v>
      </c>
      <c r="F3021" s="204" t="s">
        <v>2276</v>
      </c>
      <c r="G3021" s="4" t="s">
        <v>2662</v>
      </c>
      <c r="H3021" s="204" t="s">
        <v>523</v>
      </c>
      <c r="I3021" s="204"/>
      <c r="J3021" s="204" t="s">
        <v>2276</v>
      </c>
      <c r="K3021" s="204" t="s">
        <v>2276</v>
      </c>
      <c r="L3021" s="204" t="s">
        <v>2276</v>
      </c>
      <c r="M3021" s="204" t="s">
        <v>2276</v>
      </c>
      <c r="N3021" s="204" t="s">
        <v>2276</v>
      </c>
      <c r="O3021" s="204" t="s">
        <v>2276</v>
      </c>
      <c r="P3021" s="21">
        <v>189.4</v>
      </c>
      <c r="Q3021" s="204" t="s">
        <v>2276</v>
      </c>
      <c r="R3021" s="204" t="s">
        <v>2276</v>
      </c>
      <c r="S3021" s="204" t="s">
        <v>2276</v>
      </c>
      <c r="T3021" s="204" t="s">
        <v>2276</v>
      </c>
      <c r="U3021" s="204" t="s">
        <v>2276</v>
      </c>
      <c r="V3021" s="204" t="s">
        <v>2276</v>
      </c>
      <c r="W3021" s="204" t="s">
        <v>2276</v>
      </c>
      <c r="X3021" s="204" t="s">
        <v>2276</v>
      </c>
      <c r="Y3021" s="204" t="s">
        <v>2276</v>
      </c>
      <c r="Z3021" s="204" t="s">
        <v>2276</v>
      </c>
      <c r="AA3021" s="204" t="s">
        <v>2276</v>
      </c>
      <c r="AB3021" s="204" t="s">
        <v>2276</v>
      </c>
      <c r="AC3021" s="204"/>
      <c r="AD3021" s="204" t="s">
        <v>7894</v>
      </c>
    </row>
    <row r="3022" spans="1:30" ht="32.5" customHeight="1">
      <c r="A3022" s="19" t="s">
        <v>8167</v>
      </c>
      <c r="B3022" s="19" t="s">
        <v>8171</v>
      </c>
      <c r="C3022" s="204" t="s">
        <v>24</v>
      </c>
      <c r="D3022" s="204" t="s">
        <v>1242</v>
      </c>
      <c r="E3022" s="204" t="s">
        <v>116</v>
      </c>
      <c r="F3022" s="4" t="s">
        <v>2662</v>
      </c>
      <c r="G3022" s="4" t="s">
        <v>2662</v>
      </c>
      <c r="H3022" s="204" t="s">
        <v>523</v>
      </c>
      <c r="I3022" s="204"/>
      <c r="J3022" s="204" t="s">
        <v>2276</v>
      </c>
      <c r="K3022" s="204" t="s">
        <v>2276</v>
      </c>
      <c r="L3022" s="204" t="s">
        <v>2276</v>
      </c>
      <c r="M3022" s="204" t="s">
        <v>2276</v>
      </c>
      <c r="N3022" s="204" t="s">
        <v>2276</v>
      </c>
      <c r="O3022" s="204" t="s">
        <v>2276</v>
      </c>
      <c r="P3022" s="204" t="s">
        <v>2276</v>
      </c>
      <c r="Q3022" s="204" t="s">
        <v>2276</v>
      </c>
      <c r="R3022" s="204" t="s">
        <v>2276</v>
      </c>
      <c r="S3022" s="204" t="s">
        <v>2276</v>
      </c>
      <c r="T3022" s="204" t="s">
        <v>2276</v>
      </c>
      <c r="U3022" s="204" t="s">
        <v>2276</v>
      </c>
      <c r="V3022" s="204" t="s">
        <v>2276</v>
      </c>
      <c r="W3022" s="204" t="s">
        <v>2276</v>
      </c>
      <c r="X3022" s="204" t="s">
        <v>2276</v>
      </c>
      <c r="Y3022" s="204" t="s">
        <v>2276</v>
      </c>
      <c r="Z3022" s="204" t="s">
        <v>68</v>
      </c>
      <c r="AA3022" s="204" t="s">
        <v>127</v>
      </c>
      <c r="AB3022" s="204" t="s">
        <v>2655</v>
      </c>
      <c r="AC3022" s="204"/>
      <c r="AD3022" s="204"/>
    </row>
    <row r="3023" spans="1:30" ht="33.5" customHeight="1">
      <c r="A3023" s="19" t="s">
        <v>8167</v>
      </c>
      <c r="B3023" s="19" t="s">
        <v>8172</v>
      </c>
      <c r="C3023" s="204" t="s">
        <v>24</v>
      </c>
      <c r="D3023" s="204" t="s">
        <v>1242</v>
      </c>
      <c r="E3023" s="204" t="s">
        <v>130</v>
      </c>
      <c r="F3023" s="4" t="s">
        <v>28</v>
      </c>
      <c r="G3023" s="204" t="s">
        <v>2276</v>
      </c>
      <c r="H3023" s="204" t="s">
        <v>523</v>
      </c>
      <c r="I3023" s="204"/>
      <c r="J3023" s="204" t="s">
        <v>2276</v>
      </c>
      <c r="K3023" s="204" t="s">
        <v>2276</v>
      </c>
      <c r="L3023" s="204" t="s">
        <v>2276</v>
      </c>
      <c r="M3023" s="204" t="s">
        <v>2276</v>
      </c>
      <c r="N3023" s="204" t="s">
        <v>2276</v>
      </c>
      <c r="O3023" s="204" t="s">
        <v>2276</v>
      </c>
      <c r="P3023" s="204" t="s">
        <v>2276</v>
      </c>
      <c r="Q3023" s="204" t="s">
        <v>2276</v>
      </c>
      <c r="R3023" s="204" t="s">
        <v>2276</v>
      </c>
      <c r="S3023" s="204" t="s">
        <v>2276</v>
      </c>
      <c r="T3023" s="204" t="s">
        <v>2276</v>
      </c>
      <c r="U3023" s="204" t="s">
        <v>2276</v>
      </c>
      <c r="V3023" s="204" t="s">
        <v>2276</v>
      </c>
      <c r="W3023" s="204" t="s">
        <v>2276</v>
      </c>
      <c r="X3023" s="204" t="s">
        <v>2276</v>
      </c>
      <c r="Y3023" s="21">
        <v>1</v>
      </c>
      <c r="Z3023" s="204" t="s">
        <v>127</v>
      </c>
      <c r="AA3023" s="204" t="s">
        <v>399</v>
      </c>
      <c r="AB3023" s="204" t="s">
        <v>76</v>
      </c>
      <c r="AC3023" s="204"/>
      <c r="AD3023" s="204"/>
    </row>
    <row r="3024" spans="1:30" ht="43.5" customHeight="1">
      <c r="A3024" s="19" t="s">
        <v>8167</v>
      </c>
      <c r="B3024" s="19" t="s">
        <v>8173</v>
      </c>
      <c r="C3024" s="204" t="s">
        <v>24</v>
      </c>
      <c r="D3024" s="204" t="s">
        <v>25</v>
      </c>
      <c r="E3024" s="204" t="s">
        <v>45</v>
      </c>
      <c r="F3024" s="204" t="s">
        <v>2276</v>
      </c>
      <c r="G3024" s="4" t="s">
        <v>2662</v>
      </c>
      <c r="H3024" s="204" t="s">
        <v>523</v>
      </c>
      <c r="I3024" s="204"/>
      <c r="J3024" s="204" t="s">
        <v>2276</v>
      </c>
      <c r="K3024" s="204" t="s">
        <v>2276</v>
      </c>
      <c r="L3024" s="204" t="s">
        <v>2276</v>
      </c>
      <c r="M3024" s="204" t="s">
        <v>2276</v>
      </c>
      <c r="N3024" s="204" t="s">
        <v>2276</v>
      </c>
      <c r="O3024" s="204" t="s">
        <v>2276</v>
      </c>
      <c r="P3024" s="204" t="s">
        <v>2276</v>
      </c>
      <c r="Q3024" s="204" t="s">
        <v>2276</v>
      </c>
      <c r="R3024" s="204" t="s">
        <v>2276</v>
      </c>
      <c r="S3024" s="204" t="s">
        <v>2276</v>
      </c>
      <c r="T3024" s="204" t="s">
        <v>2276</v>
      </c>
      <c r="U3024" s="204" t="s">
        <v>2276</v>
      </c>
      <c r="V3024" s="204" t="s">
        <v>2276</v>
      </c>
      <c r="W3024" s="204" t="s">
        <v>2276</v>
      </c>
      <c r="X3024" s="204" t="s">
        <v>2276</v>
      </c>
      <c r="Y3024" s="204" t="s">
        <v>2276</v>
      </c>
      <c r="Z3024" s="204" t="s">
        <v>68</v>
      </c>
      <c r="AA3024" s="204" t="s">
        <v>127</v>
      </c>
      <c r="AB3024" s="204" t="s">
        <v>2276</v>
      </c>
      <c r="AC3024" s="204"/>
      <c r="AD3024" s="204"/>
    </row>
    <row r="3025" spans="1:30" ht="40" customHeight="1">
      <c r="A3025" s="19" t="s">
        <v>8167</v>
      </c>
      <c r="B3025" s="19" t="s">
        <v>8174</v>
      </c>
      <c r="C3025" s="204" t="s">
        <v>24</v>
      </c>
      <c r="D3025" s="204" t="s">
        <v>1245</v>
      </c>
      <c r="E3025" s="204" t="s">
        <v>116</v>
      </c>
      <c r="F3025" s="204" t="s">
        <v>2276</v>
      </c>
      <c r="G3025" s="4" t="s">
        <v>2662</v>
      </c>
      <c r="H3025" s="204" t="s">
        <v>523</v>
      </c>
      <c r="I3025" s="204"/>
      <c r="J3025" s="204" t="s">
        <v>2276</v>
      </c>
      <c r="K3025" s="204" t="s">
        <v>2276</v>
      </c>
      <c r="L3025" s="204" t="s">
        <v>2276</v>
      </c>
      <c r="M3025" s="204" t="s">
        <v>2276</v>
      </c>
      <c r="N3025" s="204" t="s">
        <v>2276</v>
      </c>
      <c r="O3025" s="204" t="s">
        <v>2276</v>
      </c>
      <c r="P3025" s="204" t="s">
        <v>2276</v>
      </c>
      <c r="Q3025" s="204" t="s">
        <v>2276</v>
      </c>
      <c r="R3025" s="204" t="s">
        <v>2276</v>
      </c>
      <c r="S3025" s="204" t="s">
        <v>2276</v>
      </c>
      <c r="T3025" s="204" t="s">
        <v>2276</v>
      </c>
      <c r="U3025" s="204" t="s">
        <v>2276</v>
      </c>
      <c r="V3025" s="204" t="s">
        <v>2276</v>
      </c>
      <c r="W3025" s="204" t="s">
        <v>2276</v>
      </c>
      <c r="X3025" s="204" t="s">
        <v>2276</v>
      </c>
      <c r="Y3025" s="204" t="s">
        <v>2276</v>
      </c>
      <c r="Z3025" s="204" t="s">
        <v>127</v>
      </c>
      <c r="AA3025" s="204" t="s">
        <v>127</v>
      </c>
      <c r="AB3025" s="204" t="s">
        <v>2276</v>
      </c>
      <c r="AC3025" s="204"/>
      <c r="AD3025" s="204"/>
    </row>
    <row r="3026" spans="1:30" ht="35.5" customHeight="1">
      <c r="A3026" s="19" t="s">
        <v>8167</v>
      </c>
      <c r="B3026" s="19" t="s">
        <v>8175</v>
      </c>
      <c r="C3026" s="204" t="s">
        <v>1105</v>
      </c>
      <c r="D3026" s="204" t="s">
        <v>1105</v>
      </c>
      <c r="E3026" s="204" t="s">
        <v>1105</v>
      </c>
      <c r="F3026" s="204" t="s">
        <v>2276</v>
      </c>
      <c r="G3026" s="4" t="s">
        <v>2662</v>
      </c>
      <c r="H3026" s="204" t="s">
        <v>523</v>
      </c>
      <c r="I3026" s="204"/>
      <c r="J3026" s="204" t="s">
        <v>2276</v>
      </c>
      <c r="K3026" s="204" t="s">
        <v>2276</v>
      </c>
      <c r="L3026" s="204" t="s">
        <v>2276</v>
      </c>
      <c r="M3026" s="204" t="s">
        <v>2276</v>
      </c>
      <c r="N3026" s="204" t="s">
        <v>2276</v>
      </c>
      <c r="O3026" s="204" t="s">
        <v>2276</v>
      </c>
      <c r="P3026" s="204" t="s">
        <v>2276</v>
      </c>
      <c r="Q3026" s="204" t="s">
        <v>2276</v>
      </c>
      <c r="R3026" s="204" t="s">
        <v>2276</v>
      </c>
      <c r="S3026" s="204" t="s">
        <v>2276</v>
      </c>
      <c r="T3026" s="204" t="s">
        <v>2276</v>
      </c>
      <c r="U3026" s="204" t="s">
        <v>2276</v>
      </c>
      <c r="V3026" s="204" t="s">
        <v>2276</v>
      </c>
      <c r="W3026" s="204" t="s">
        <v>2276</v>
      </c>
      <c r="X3026" s="204" t="s">
        <v>2276</v>
      </c>
      <c r="Y3026" s="204" t="s">
        <v>2276</v>
      </c>
      <c r="Z3026" s="204" t="s">
        <v>68</v>
      </c>
      <c r="AA3026" s="204" t="s">
        <v>68</v>
      </c>
      <c r="AB3026" s="204" t="s">
        <v>2276</v>
      </c>
      <c r="AC3026" s="204"/>
      <c r="AD3026" s="204"/>
    </row>
    <row r="3027" spans="1:30" ht="35.5" customHeight="1">
      <c r="A3027" s="19" t="s">
        <v>8167</v>
      </c>
      <c r="B3027" s="19" t="s">
        <v>8176</v>
      </c>
      <c r="C3027" s="204" t="s">
        <v>1105</v>
      </c>
      <c r="D3027" s="204" t="s">
        <v>1105</v>
      </c>
      <c r="E3027" s="204" t="s">
        <v>1105</v>
      </c>
      <c r="F3027" s="204" t="s">
        <v>2276</v>
      </c>
      <c r="G3027" s="4" t="s">
        <v>2662</v>
      </c>
      <c r="H3027" s="204" t="s">
        <v>523</v>
      </c>
      <c r="I3027" s="204"/>
      <c r="J3027" s="204" t="s">
        <v>2276</v>
      </c>
      <c r="K3027" s="204" t="s">
        <v>2276</v>
      </c>
      <c r="L3027" s="204" t="s">
        <v>2276</v>
      </c>
      <c r="M3027" s="204" t="s">
        <v>2276</v>
      </c>
      <c r="N3027" s="204" t="s">
        <v>2276</v>
      </c>
      <c r="O3027" s="204" t="s">
        <v>2276</v>
      </c>
      <c r="P3027" s="204" t="s">
        <v>2276</v>
      </c>
      <c r="Q3027" s="204" t="s">
        <v>2276</v>
      </c>
      <c r="R3027" s="204" t="s">
        <v>2276</v>
      </c>
      <c r="S3027" s="204" t="s">
        <v>2276</v>
      </c>
      <c r="T3027" s="204" t="s">
        <v>2276</v>
      </c>
      <c r="U3027" s="204" t="s">
        <v>2276</v>
      </c>
      <c r="V3027" s="204" t="s">
        <v>2276</v>
      </c>
      <c r="W3027" s="204" t="s">
        <v>2276</v>
      </c>
      <c r="X3027" s="204" t="s">
        <v>2276</v>
      </c>
      <c r="Y3027" s="204" t="s">
        <v>2276</v>
      </c>
      <c r="Z3027" s="204" t="s">
        <v>35</v>
      </c>
      <c r="AA3027" s="204" t="s">
        <v>35</v>
      </c>
      <c r="AB3027" s="204" t="s">
        <v>2276</v>
      </c>
      <c r="AC3027" s="204"/>
      <c r="AD3027" s="204"/>
    </row>
    <row r="3028" spans="1:30" ht="35.5" customHeight="1">
      <c r="A3028" s="19" t="s">
        <v>8167</v>
      </c>
      <c r="B3028" s="19" t="s">
        <v>8177</v>
      </c>
      <c r="C3028" s="204" t="s">
        <v>1105</v>
      </c>
      <c r="D3028" s="204" t="s">
        <v>1105</v>
      </c>
      <c r="E3028" s="204" t="s">
        <v>1105</v>
      </c>
      <c r="F3028" s="204" t="s">
        <v>2276</v>
      </c>
      <c r="G3028" s="4" t="s">
        <v>2662</v>
      </c>
      <c r="H3028" s="204" t="s">
        <v>523</v>
      </c>
      <c r="I3028" s="204"/>
      <c r="J3028" s="204" t="s">
        <v>2276</v>
      </c>
      <c r="K3028" s="204" t="s">
        <v>2276</v>
      </c>
      <c r="L3028" s="204" t="s">
        <v>2276</v>
      </c>
      <c r="M3028" s="204" t="s">
        <v>2276</v>
      </c>
      <c r="N3028" s="204" t="s">
        <v>2276</v>
      </c>
      <c r="O3028" s="204" t="s">
        <v>2276</v>
      </c>
      <c r="P3028" s="204" t="s">
        <v>2276</v>
      </c>
      <c r="Q3028" s="204" t="s">
        <v>2276</v>
      </c>
      <c r="R3028" s="204" t="s">
        <v>2276</v>
      </c>
      <c r="S3028" s="204" t="s">
        <v>2276</v>
      </c>
      <c r="T3028" s="204" t="s">
        <v>2276</v>
      </c>
      <c r="U3028" s="204" t="s">
        <v>2276</v>
      </c>
      <c r="V3028" s="204" t="s">
        <v>2276</v>
      </c>
      <c r="W3028" s="204" t="s">
        <v>2276</v>
      </c>
      <c r="X3028" s="204" t="s">
        <v>2276</v>
      </c>
      <c r="Y3028" s="204" t="s">
        <v>2276</v>
      </c>
      <c r="Z3028" s="204" t="s">
        <v>127</v>
      </c>
      <c r="AA3028" s="204" t="s">
        <v>127</v>
      </c>
      <c r="AB3028" s="204" t="s">
        <v>2276</v>
      </c>
      <c r="AC3028" s="204"/>
      <c r="AD3028" s="204"/>
    </row>
    <row r="3029" spans="1:30" ht="35.5" customHeight="1">
      <c r="A3029" s="19" t="s">
        <v>8167</v>
      </c>
      <c r="B3029" s="19" t="s">
        <v>8178</v>
      </c>
      <c r="C3029" s="204" t="s">
        <v>1105</v>
      </c>
      <c r="D3029" s="204" t="s">
        <v>1105</v>
      </c>
      <c r="E3029" s="204" t="s">
        <v>1105</v>
      </c>
      <c r="F3029" s="204" t="s">
        <v>2276</v>
      </c>
      <c r="G3029" s="4" t="s">
        <v>2662</v>
      </c>
      <c r="H3029" s="204" t="s">
        <v>523</v>
      </c>
      <c r="I3029" s="204"/>
      <c r="J3029" s="204" t="s">
        <v>2276</v>
      </c>
      <c r="K3029" s="204" t="s">
        <v>2276</v>
      </c>
      <c r="L3029" s="204" t="s">
        <v>2276</v>
      </c>
      <c r="M3029" s="204" t="s">
        <v>2276</v>
      </c>
      <c r="N3029" s="204" t="s">
        <v>2276</v>
      </c>
      <c r="O3029" s="204" t="s">
        <v>2276</v>
      </c>
      <c r="P3029" s="204" t="s">
        <v>2276</v>
      </c>
      <c r="Q3029" s="204" t="s">
        <v>2276</v>
      </c>
      <c r="R3029" s="204" t="s">
        <v>2276</v>
      </c>
      <c r="S3029" s="204" t="s">
        <v>2276</v>
      </c>
      <c r="T3029" s="204" t="s">
        <v>2276</v>
      </c>
      <c r="U3029" s="204" t="s">
        <v>2276</v>
      </c>
      <c r="V3029" s="204" t="s">
        <v>2276</v>
      </c>
      <c r="W3029" s="204" t="s">
        <v>2276</v>
      </c>
      <c r="X3029" s="204" t="s">
        <v>2276</v>
      </c>
      <c r="Y3029" s="204" t="s">
        <v>2276</v>
      </c>
      <c r="Z3029" s="204" t="s">
        <v>399</v>
      </c>
      <c r="AA3029" s="204" t="s">
        <v>399</v>
      </c>
      <c r="AB3029" s="204" t="s">
        <v>2276</v>
      </c>
      <c r="AC3029" s="204"/>
      <c r="AD3029" s="204"/>
    </row>
    <row r="3030" spans="1:30" ht="35.5" customHeight="1">
      <c r="A3030" s="19" t="s">
        <v>8167</v>
      </c>
      <c r="B3030" s="19" t="s">
        <v>8179</v>
      </c>
      <c r="C3030" s="204" t="s">
        <v>1105</v>
      </c>
      <c r="D3030" s="204" t="s">
        <v>1105</v>
      </c>
      <c r="E3030" s="204" t="s">
        <v>1105</v>
      </c>
      <c r="F3030" s="204" t="s">
        <v>2276</v>
      </c>
      <c r="G3030" s="4" t="s">
        <v>2662</v>
      </c>
      <c r="H3030" s="204" t="s">
        <v>523</v>
      </c>
      <c r="I3030" s="204"/>
      <c r="J3030" s="204" t="s">
        <v>2276</v>
      </c>
      <c r="K3030" s="204" t="s">
        <v>2276</v>
      </c>
      <c r="L3030" s="204" t="s">
        <v>2276</v>
      </c>
      <c r="M3030" s="204" t="s">
        <v>2276</v>
      </c>
      <c r="N3030" s="204" t="s">
        <v>2276</v>
      </c>
      <c r="O3030" s="204" t="s">
        <v>2276</v>
      </c>
      <c r="P3030" s="204" t="s">
        <v>2276</v>
      </c>
      <c r="Q3030" s="204" t="s">
        <v>2276</v>
      </c>
      <c r="R3030" s="204" t="s">
        <v>2276</v>
      </c>
      <c r="S3030" s="204" t="s">
        <v>2276</v>
      </c>
      <c r="T3030" s="204" t="s">
        <v>2276</v>
      </c>
      <c r="U3030" s="204" t="s">
        <v>2276</v>
      </c>
      <c r="V3030" s="204" t="s">
        <v>2276</v>
      </c>
      <c r="W3030" s="204" t="s">
        <v>2276</v>
      </c>
      <c r="X3030" s="204" t="s">
        <v>2276</v>
      </c>
      <c r="Y3030" s="204" t="s">
        <v>2276</v>
      </c>
      <c r="Z3030" s="204" t="s">
        <v>188</v>
      </c>
      <c r="AA3030" s="204" t="s">
        <v>188</v>
      </c>
      <c r="AB3030" s="204" t="s">
        <v>2276</v>
      </c>
      <c r="AC3030" s="204"/>
      <c r="AD3030" s="204"/>
    </row>
    <row r="3031" spans="1:30" ht="35.5" customHeight="1">
      <c r="A3031" s="19" t="s">
        <v>8167</v>
      </c>
      <c r="B3031" s="19" t="s">
        <v>8180</v>
      </c>
      <c r="C3031" s="204" t="s">
        <v>1105</v>
      </c>
      <c r="D3031" s="204" t="s">
        <v>1105</v>
      </c>
      <c r="E3031" s="204" t="s">
        <v>1105</v>
      </c>
      <c r="F3031" s="204" t="s">
        <v>2276</v>
      </c>
      <c r="G3031" s="4" t="s">
        <v>2662</v>
      </c>
      <c r="H3031" s="204" t="s">
        <v>523</v>
      </c>
      <c r="I3031" s="204"/>
      <c r="J3031" s="204" t="s">
        <v>2276</v>
      </c>
      <c r="K3031" s="204" t="s">
        <v>2276</v>
      </c>
      <c r="L3031" s="204" t="s">
        <v>2276</v>
      </c>
      <c r="M3031" s="204" t="s">
        <v>2276</v>
      </c>
      <c r="N3031" s="204" t="s">
        <v>2276</v>
      </c>
      <c r="O3031" s="204" t="s">
        <v>2276</v>
      </c>
      <c r="P3031" s="204" t="s">
        <v>2276</v>
      </c>
      <c r="Q3031" s="204" t="s">
        <v>2276</v>
      </c>
      <c r="R3031" s="204" t="s">
        <v>2276</v>
      </c>
      <c r="S3031" s="204" t="s">
        <v>2276</v>
      </c>
      <c r="T3031" s="204" t="s">
        <v>2276</v>
      </c>
      <c r="U3031" s="204" t="s">
        <v>2276</v>
      </c>
      <c r="V3031" s="204" t="s">
        <v>2276</v>
      </c>
      <c r="W3031" s="204" t="s">
        <v>2276</v>
      </c>
      <c r="X3031" s="204" t="s">
        <v>2276</v>
      </c>
      <c r="Y3031" s="204" t="s">
        <v>2276</v>
      </c>
      <c r="Z3031" s="204" t="s">
        <v>189</v>
      </c>
      <c r="AA3031" s="204" t="s">
        <v>189</v>
      </c>
      <c r="AB3031" s="204" t="s">
        <v>2276</v>
      </c>
      <c r="AC3031" s="204"/>
      <c r="AD3031" s="204"/>
    </row>
    <row r="3032" spans="1:30" ht="41" customHeight="1">
      <c r="A3032" s="19" t="s">
        <v>8168</v>
      </c>
      <c r="B3032" s="19" t="s">
        <v>8181</v>
      </c>
      <c r="C3032" s="204" t="s">
        <v>1105</v>
      </c>
      <c r="D3032" s="204" t="s">
        <v>1105</v>
      </c>
      <c r="E3032" s="204" t="s">
        <v>1105</v>
      </c>
      <c r="F3032" s="204" t="s">
        <v>2276</v>
      </c>
      <c r="G3032" s="4" t="s">
        <v>2662</v>
      </c>
      <c r="H3032" s="204" t="s">
        <v>523</v>
      </c>
      <c r="I3032" s="204"/>
      <c r="J3032" s="204" t="s">
        <v>2276</v>
      </c>
      <c r="K3032" s="204" t="s">
        <v>2276</v>
      </c>
      <c r="L3032" s="204" t="s">
        <v>2276</v>
      </c>
      <c r="M3032" s="204" t="s">
        <v>2276</v>
      </c>
      <c r="N3032" s="204" t="s">
        <v>2276</v>
      </c>
      <c r="O3032" s="204" t="s">
        <v>2276</v>
      </c>
      <c r="P3032" s="204" t="s">
        <v>2276</v>
      </c>
      <c r="Q3032" s="204" t="s">
        <v>2276</v>
      </c>
      <c r="R3032" s="204" t="s">
        <v>2276</v>
      </c>
      <c r="S3032" s="204" t="s">
        <v>2276</v>
      </c>
      <c r="T3032" s="204" t="s">
        <v>2276</v>
      </c>
      <c r="U3032" s="204" t="s">
        <v>2276</v>
      </c>
      <c r="V3032" s="204" t="s">
        <v>2276</v>
      </c>
      <c r="W3032" s="204" t="s">
        <v>2276</v>
      </c>
      <c r="X3032" s="204" t="s">
        <v>2276</v>
      </c>
      <c r="Y3032" s="204" t="s">
        <v>2276</v>
      </c>
      <c r="Z3032" s="204" t="s">
        <v>68</v>
      </c>
      <c r="AA3032" s="204" t="s">
        <v>68</v>
      </c>
      <c r="AB3032" s="204" t="s">
        <v>2276</v>
      </c>
      <c r="AC3032" s="204"/>
      <c r="AD3032" s="204"/>
    </row>
    <row r="3033" spans="1:30" ht="41" customHeight="1">
      <c r="A3033" s="19" t="s">
        <v>8168</v>
      </c>
      <c r="B3033" s="19" t="s">
        <v>8182</v>
      </c>
      <c r="C3033" s="204" t="s">
        <v>1105</v>
      </c>
      <c r="D3033" s="204" t="s">
        <v>1105</v>
      </c>
      <c r="E3033" s="204" t="s">
        <v>1105</v>
      </c>
      <c r="F3033" s="204" t="s">
        <v>2276</v>
      </c>
      <c r="G3033" s="4" t="s">
        <v>2662</v>
      </c>
      <c r="H3033" s="204" t="s">
        <v>523</v>
      </c>
      <c r="I3033" s="204"/>
      <c r="J3033" s="204" t="s">
        <v>2276</v>
      </c>
      <c r="K3033" s="204" t="s">
        <v>2276</v>
      </c>
      <c r="L3033" s="204" t="s">
        <v>2276</v>
      </c>
      <c r="M3033" s="204" t="s">
        <v>2276</v>
      </c>
      <c r="N3033" s="204" t="s">
        <v>2276</v>
      </c>
      <c r="O3033" s="204" t="s">
        <v>2276</v>
      </c>
      <c r="P3033" s="204" t="s">
        <v>2276</v>
      </c>
      <c r="Q3033" s="204" t="s">
        <v>2276</v>
      </c>
      <c r="R3033" s="204" t="s">
        <v>2276</v>
      </c>
      <c r="S3033" s="204" t="s">
        <v>2276</v>
      </c>
      <c r="T3033" s="204" t="s">
        <v>2276</v>
      </c>
      <c r="U3033" s="204" t="s">
        <v>2276</v>
      </c>
      <c r="V3033" s="204" t="s">
        <v>2276</v>
      </c>
      <c r="W3033" s="204" t="s">
        <v>2276</v>
      </c>
      <c r="X3033" s="204" t="s">
        <v>2276</v>
      </c>
      <c r="Y3033" s="204" t="s">
        <v>2276</v>
      </c>
      <c r="Z3033" s="204" t="s">
        <v>35</v>
      </c>
      <c r="AA3033" s="204" t="s">
        <v>35</v>
      </c>
      <c r="AB3033" s="204" t="s">
        <v>2276</v>
      </c>
      <c r="AC3033" s="204"/>
      <c r="AD3033" s="204"/>
    </row>
    <row r="3034" spans="1:30" ht="41" customHeight="1">
      <c r="A3034" s="19" t="s">
        <v>8168</v>
      </c>
      <c r="B3034" s="19" t="s">
        <v>8183</v>
      </c>
      <c r="C3034" s="204" t="s">
        <v>1105</v>
      </c>
      <c r="D3034" s="204" t="s">
        <v>1105</v>
      </c>
      <c r="E3034" s="204" t="s">
        <v>1105</v>
      </c>
      <c r="F3034" s="204" t="s">
        <v>2276</v>
      </c>
      <c r="G3034" s="4" t="s">
        <v>2662</v>
      </c>
      <c r="H3034" s="204" t="s">
        <v>523</v>
      </c>
      <c r="I3034" s="204"/>
      <c r="J3034" s="204" t="s">
        <v>2276</v>
      </c>
      <c r="K3034" s="204" t="s">
        <v>2276</v>
      </c>
      <c r="L3034" s="204" t="s">
        <v>2276</v>
      </c>
      <c r="M3034" s="204" t="s">
        <v>2276</v>
      </c>
      <c r="N3034" s="204" t="s">
        <v>2276</v>
      </c>
      <c r="O3034" s="204" t="s">
        <v>2276</v>
      </c>
      <c r="P3034" s="204" t="s">
        <v>2276</v>
      </c>
      <c r="Q3034" s="204" t="s">
        <v>2276</v>
      </c>
      <c r="R3034" s="204" t="s">
        <v>2276</v>
      </c>
      <c r="S3034" s="204" t="s">
        <v>2276</v>
      </c>
      <c r="T3034" s="204" t="s">
        <v>2276</v>
      </c>
      <c r="U3034" s="204" t="s">
        <v>2276</v>
      </c>
      <c r="V3034" s="204" t="s">
        <v>2276</v>
      </c>
      <c r="W3034" s="204" t="s">
        <v>2276</v>
      </c>
      <c r="X3034" s="204" t="s">
        <v>2276</v>
      </c>
      <c r="Y3034" s="204" t="s">
        <v>2276</v>
      </c>
      <c r="Z3034" s="204" t="s">
        <v>127</v>
      </c>
      <c r="AA3034" s="204" t="s">
        <v>127</v>
      </c>
      <c r="AB3034" s="204" t="s">
        <v>2276</v>
      </c>
      <c r="AC3034" s="204"/>
      <c r="AD3034" s="204"/>
    </row>
    <row r="3035" spans="1:30" ht="41" customHeight="1">
      <c r="A3035" s="19" t="s">
        <v>8168</v>
      </c>
      <c r="B3035" s="19" t="s">
        <v>8184</v>
      </c>
      <c r="C3035" s="204" t="s">
        <v>1105</v>
      </c>
      <c r="D3035" s="204" t="s">
        <v>1105</v>
      </c>
      <c r="E3035" s="204" t="s">
        <v>1105</v>
      </c>
      <c r="F3035" s="204" t="s">
        <v>2276</v>
      </c>
      <c r="G3035" s="4" t="s">
        <v>2662</v>
      </c>
      <c r="H3035" s="204" t="s">
        <v>523</v>
      </c>
      <c r="I3035" s="204"/>
      <c r="J3035" s="204" t="s">
        <v>2276</v>
      </c>
      <c r="K3035" s="204" t="s">
        <v>2276</v>
      </c>
      <c r="L3035" s="204" t="s">
        <v>2276</v>
      </c>
      <c r="M3035" s="204" t="s">
        <v>2276</v>
      </c>
      <c r="N3035" s="204" t="s">
        <v>2276</v>
      </c>
      <c r="O3035" s="204" t="s">
        <v>2276</v>
      </c>
      <c r="P3035" s="204" t="s">
        <v>2276</v>
      </c>
      <c r="Q3035" s="204" t="s">
        <v>2276</v>
      </c>
      <c r="R3035" s="204" t="s">
        <v>2276</v>
      </c>
      <c r="S3035" s="204" t="s">
        <v>2276</v>
      </c>
      <c r="T3035" s="204" t="s">
        <v>2276</v>
      </c>
      <c r="U3035" s="204" t="s">
        <v>2276</v>
      </c>
      <c r="V3035" s="204" t="s">
        <v>2276</v>
      </c>
      <c r="W3035" s="204" t="s">
        <v>2276</v>
      </c>
      <c r="X3035" s="204" t="s">
        <v>2276</v>
      </c>
      <c r="Y3035" s="204" t="s">
        <v>2276</v>
      </c>
      <c r="Z3035" s="204" t="s">
        <v>399</v>
      </c>
      <c r="AA3035" s="204" t="s">
        <v>399</v>
      </c>
      <c r="AB3035" s="204" t="s">
        <v>2276</v>
      </c>
      <c r="AC3035" s="204"/>
      <c r="AD3035" s="204"/>
    </row>
    <row r="3036" spans="1:30" ht="41" customHeight="1">
      <c r="A3036" s="19" t="s">
        <v>8168</v>
      </c>
      <c r="B3036" s="19" t="s">
        <v>8185</v>
      </c>
      <c r="C3036" s="204" t="s">
        <v>1105</v>
      </c>
      <c r="D3036" s="204" t="s">
        <v>1105</v>
      </c>
      <c r="E3036" s="204" t="s">
        <v>1105</v>
      </c>
      <c r="F3036" s="204" t="s">
        <v>2276</v>
      </c>
      <c r="G3036" s="4" t="s">
        <v>2662</v>
      </c>
      <c r="H3036" s="204" t="s">
        <v>523</v>
      </c>
      <c r="I3036" s="204"/>
      <c r="J3036" s="204" t="s">
        <v>2276</v>
      </c>
      <c r="K3036" s="204" t="s">
        <v>2276</v>
      </c>
      <c r="L3036" s="204" t="s">
        <v>2276</v>
      </c>
      <c r="M3036" s="204" t="s">
        <v>2276</v>
      </c>
      <c r="N3036" s="204" t="s">
        <v>2276</v>
      </c>
      <c r="O3036" s="204" t="s">
        <v>2276</v>
      </c>
      <c r="P3036" s="204" t="s">
        <v>2276</v>
      </c>
      <c r="Q3036" s="204" t="s">
        <v>2276</v>
      </c>
      <c r="R3036" s="204" t="s">
        <v>2276</v>
      </c>
      <c r="S3036" s="204" t="s">
        <v>2276</v>
      </c>
      <c r="T3036" s="204" t="s">
        <v>2276</v>
      </c>
      <c r="U3036" s="204" t="s">
        <v>2276</v>
      </c>
      <c r="V3036" s="204" t="s">
        <v>2276</v>
      </c>
      <c r="W3036" s="204" t="s">
        <v>2276</v>
      </c>
      <c r="X3036" s="204" t="s">
        <v>2276</v>
      </c>
      <c r="Y3036" s="204" t="s">
        <v>2276</v>
      </c>
      <c r="Z3036" s="204" t="s">
        <v>188</v>
      </c>
      <c r="AA3036" s="204" t="s">
        <v>188</v>
      </c>
      <c r="AB3036" s="204" t="s">
        <v>2276</v>
      </c>
      <c r="AC3036" s="204"/>
      <c r="AD3036" s="204"/>
    </row>
    <row r="3037" spans="1:30" ht="41" customHeight="1">
      <c r="A3037" s="19" t="s">
        <v>8168</v>
      </c>
      <c r="B3037" s="19" t="s">
        <v>8186</v>
      </c>
      <c r="C3037" s="204" t="s">
        <v>1105</v>
      </c>
      <c r="D3037" s="204" t="s">
        <v>1105</v>
      </c>
      <c r="E3037" s="204" t="s">
        <v>1105</v>
      </c>
      <c r="F3037" s="204" t="s">
        <v>2276</v>
      </c>
      <c r="G3037" s="4" t="s">
        <v>2662</v>
      </c>
      <c r="H3037" s="204" t="s">
        <v>523</v>
      </c>
      <c r="I3037" s="204"/>
      <c r="J3037" s="204" t="s">
        <v>2276</v>
      </c>
      <c r="K3037" s="204" t="s">
        <v>2276</v>
      </c>
      <c r="L3037" s="204" t="s">
        <v>2276</v>
      </c>
      <c r="M3037" s="204" t="s">
        <v>2276</v>
      </c>
      <c r="N3037" s="204" t="s">
        <v>2276</v>
      </c>
      <c r="O3037" s="204" t="s">
        <v>2276</v>
      </c>
      <c r="P3037" s="204" t="s">
        <v>2276</v>
      </c>
      <c r="Q3037" s="204" t="s">
        <v>2276</v>
      </c>
      <c r="R3037" s="204" t="s">
        <v>2276</v>
      </c>
      <c r="S3037" s="204" t="s">
        <v>2276</v>
      </c>
      <c r="T3037" s="204" t="s">
        <v>2276</v>
      </c>
      <c r="U3037" s="204" t="s">
        <v>2276</v>
      </c>
      <c r="V3037" s="204" t="s">
        <v>2276</v>
      </c>
      <c r="W3037" s="204" t="s">
        <v>2276</v>
      </c>
      <c r="X3037" s="204" t="s">
        <v>2276</v>
      </c>
      <c r="Y3037" s="204" t="s">
        <v>2276</v>
      </c>
      <c r="Z3037" s="204" t="s">
        <v>189</v>
      </c>
      <c r="AA3037" s="204" t="s">
        <v>189</v>
      </c>
      <c r="AB3037" s="204" t="s">
        <v>2276</v>
      </c>
      <c r="AC3037" s="204"/>
      <c r="AD3037" s="204"/>
    </row>
    <row r="3038" spans="1:30" ht="36.5" customHeight="1">
      <c r="A3038" s="19" t="s">
        <v>8168</v>
      </c>
      <c r="B3038" s="19" t="s">
        <v>8187</v>
      </c>
      <c r="C3038" s="204" t="s">
        <v>24</v>
      </c>
      <c r="D3038" s="204" t="s">
        <v>1242</v>
      </c>
      <c r="E3038" s="204" t="s">
        <v>116</v>
      </c>
      <c r="F3038" s="4" t="s">
        <v>2662</v>
      </c>
      <c r="G3038" s="4" t="s">
        <v>2662</v>
      </c>
      <c r="H3038" s="204" t="s">
        <v>524</v>
      </c>
      <c r="I3038" s="204"/>
      <c r="J3038" s="21">
        <v>0</v>
      </c>
      <c r="K3038" s="21">
        <v>0</v>
      </c>
      <c r="L3038" s="21">
        <v>0</v>
      </c>
      <c r="M3038" s="21">
        <v>0</v>
      </c>
      <c r="N3038" s="21">
        <v>0</v>
      </c>
      <c r="O3038" s="21">
        <v>0</v>
      </c>
      <c r="P3038" s="21">
        <v>0</v>
      </c>
      <c r="Q3038" s="21">
        <v>0</v>
      </c>
      <c r="R3038" s="21">
        <v>0</v>
      </c>
      <c r="S3038" s="21">
        <v>0</v>
      </c>
      <c r="T3038" s="21">
        <v>0</v>
      </c>
      <c r="U3038" s="21">
        <v>0</v>
      </c>
      <c r="V3038" s="21">
        <v>0</v>
      </c>
      <c r="W3038" s="21">
        <v>0</v>
      </c>
      <c r="X3038" s="21">
        <v>0</v>
      </c>
      <c r="Y3038" s="204" t="s">
        <v>2276</v>
      </c>
      <c r="Z3038" s="204" t="s">
        <v>68</v>
      </c>
      <c r="AA3038" s="204" t="s">
        <v>127</v>
      </c>
      <c r="AB3038" s="204" t="s">
        <v>2655</v>
      </c>
      <c r="AC3038" s="204"/>
      <c r="AD3038" s="204"/>
    </row>
    <row r="3039" spans="1:30" ht="36.5" customHeight="1">
      <c r="A3039" s="19" t="s">
        <v>8191</v>
      </c>
      <c r="B3039" s="19" t="s">
        <v>8194</v>
      </c>
      <c r="C3039" s="204" t="s">
        <v>2658</v>
      </c>
      <c r="D3039" s="204" t="s">
        <v>2276</v>
      </c>
      <c r="E3039" s="204" t="s">
        <v>2276</v>
      </c>
      <c r="F3039" s="4" t="s">
        <v>2276</v>
      </c>
      <c r="G3039" s="4" t="s">
        <v>2662</v>
      </c>
      <c r="H3039" s="204" t="s">
        <v>523</v>
      </c>
      <c r="I3039" s="204"/>
      <c r="J3039" s="204" t="s">
        <v>2276</v>
      </c>
      <c r="K3039" s="204" t="s">
        <v>2276</v>
      </c>
      <c r="L3039" s="204" t="s">
        <v>2276</v>
      </c>
      <c r="M3039" s="204" t="s">
        <v>2276</v>
      </c>
      <c r="N3039" s="21">
        <v>25728.41</v>
      </c>
      <c r="O3039" s="204" t="s">
        <v>2276</v>
      </c>
      <c r="P3039" s="21">
        <f>AVERAGE(25728.41, 18917.21)</f>
        <v>22322.809999999998</v>
      </c>
      <c r="Q3039" s="204" t="s">
        <v>2276</v>
      </c>
      <c r="R3039" s="204" t="s">
        <v>2276</v>
      </c>
      <c r="S3039" s="204" t="s">
        <v>2276</v>
      </c>
      <c r="T3039" s="204">
        <v>22322.809999999998</v>
      </c>
      <c r="U3039" s="204" t="s">
        <v>2276</v>
      </c>
      <c r="V3039" s="204" t="s">
        <v>2276</v>
      </c>
      <c r="W3039" s="204" t="s">
        <v>2276</v>
      </c>
      <c r="X3039" s="21">
        <f>13.4876132930514</f>
        <v>13.4876132930514</v>
      </c>
      <c r="Y3039" s="21">
        <v>12</v>
      </c>
      <c r="Z3039" s="204" t="s">
        <v>2276</v>
      </c>
      <c r="AA3039" s="204" t="s">
        <v>2276</v>
      </c>
      <c r="AB3039" s="204" t="s">
        <v>2276</v>
      </c>
      <c r="AC3039" s="4" t="s">
        <v>8196</v>
      </c>
      <c r="AD3039" s="204"/>
    </row>
    <row r="3040" spans="1:30" ht="33.5" customHeight="1">
      <c r="A3040" s="19" t="s">
        <v>8191</v>
      </c>
      <c r="B3040" s="19" t="s">
        <v>8195</v>
      </c>
      <c r="C3040" s="204" t="s">
        <v>24</v>
      </c>
      <c r="D3040" s="204" t="s">
        <v>1242</v>
      </c>
      <c r="E3040" s="204" t="s">
        <v>137</v>
      </c>
      <c r="F3040" s="4" t="s">
        <v>2662</v>
      </c>
      <c r="G3040" s="4" t="s">
        <v>2662</v>
      </c>
      <c r="H3040" s="204" t="s">
        <v>523</v>
      </c>
      <c r="I3040" s="204"/>
      <c r="J3040" s="204" t="s">
        <v>2276</v>
      </c>
      <c r="K3040" s="204" t="s">
        <v>2276</v>
      </c>
      <c r="L3040" s="204" t="s">
        <v>2276</v>
      </c>
      <c r="M3040" s="204" t="s">
        <v>2276</v>
      </c>
      <c r="N3040" s="204" t="s">
        <v>2276</v>
      </c>
      <c r="O3040" s="204" t="s">
        <v>2276</v>
      </c>
      <c r="P3040" s="204" t="s">
        <v>2276</v>
      </c>
      <c r="Q3040" s="204" t="s">
        <v>2276</v>
      </c>
      <c r="R3040" s="204" t="s">
        <v>2276</v>
      </c>
      <c r="S3040" s="204" t="s">
        <v>2276</v>
      </c>
      <c r="T3040" s="204" t="s">
        <v>2276</v>
      </c>
      <c r="U3040" s="204" t="s">
        <v>2276</v>
      </c>
      <c r="V3040" s="204" t="s">
        <v>2276</v>
      </c>
      <c r="W3040" s="204" t="s">
        <v>2276</v>
      </c>
      <c r="X3040" s="204" t="s">
        <v>2276</v>
      </c>
      <c r="Y3040" s="204" t="s">
        <v>2276</v>
      </c>
      <c r="Z3040" s="204" t="s">
        <v>38</v>
      </c>
      <c r="AA3040" s="204" t="s">
        <v>86</v>
      </c>
      <c r="AB3040" s="204" t="s">
        <v>64</v>
      </c>
      <c r="AC3040" s="204" t="s">
        <v>8199</v>
      </c>
      <c r="AD3040" s="4" t="s">
        <v>8197</v>
      </c>
    </row>
    <row r="3041" spans="1:30" ht="38" customHeight="1">
      <c r="A3041" s="19" t="s">
        <v>8202</v>
      </c>
      <c r="B3041" s="19" t="s">
        <v>8221</v>
      </c>
      <c r="C3041" s="204" t="s">
        <v>24</v>
      </c>
      <c r="D3041" s="204" t="s">
        <v>144</v>
      </c>
      <c r="E3041" s="204" t="s">
        <v>137</v>
      </c>
      <c r="F3041" s="204" t="s">
        <v>74</v>
      </c>
      <c r="G3041" s="4" t="s">
        <v>2276</v>
      </c>
      <c r="H3041" s="204" t="s">
        <v>524</v>
      </c>
      <c r="I3041" s="204"/>
      <c r="J3041" s="21">
        <v>0</v>
      </c>
      <c r="K3041" s="21">
        <v>0</v>
      </c>
      <c r="L3041" s="21">
        <v>0</v>
      </c>
      <c r="M3041" s="21">
        <v>0</v>
      </c>
      <c r="N3041" s="21">
        <v>0</v>
      </c>
      <c r="O3041" s="21">
        <v>0</v>
      </c>
      <c r="P3041" s="21">
        <v>0</v>
      </c>
      <c r="Q3041" s="21">
        <v>0</v>
      </c>
      <c r="R3041" s="21">
        <v>0</v>
      </c>
      <c r="S3041" s="21">
        <v>0</v>
      </c>
      <c r="T3041" s="21">
        <v>0</v>
      </c>
      <c r="U3041" s="21">
        <v>0</v>
      </c>
      <c r="V3041" s="21">
        <v>0</v>
      </c>
      <c r="W3041" s="21">
        <v>0</v>
      </c>
      <c r="X3041" s="21">
        <v>0</v>
      </c>
      <c r="Y3041" s="204" t="s">
        <v>2276</v>
      </c>
      <c r="Z3041" s="204" t="s">
        <v>2276</v>
      </c>
      <c r="AA3041" s="204" t="s">
        <v>2276</v>
      </c>
      <c r="AB3041" s="204" t="s">
        <v>2276</v>
      </c>
      <c r="AC3041" s="4" t="s">
        <v>8228</v>
      </c>
      <c r="AD3041" s="204"/>
    </row>
    <row r="3042" spans="1:30" ht="38" customHeight="1">
      <c r="A3042" s="19" t="s">
        <v>8208</v>
      </c>
      <c r="B3042" s="19" t="s">
        <v>8222</v>
      </c>
      <c r="C3042" s="204" t="s">
        <v>24</v>
      </c>
      <c r="D3042" s="204" t="s">
        <v>144</v>
      </c>
      <c r="E3042" s="204" t="s">
        <v>137</v>
      </c>
      <c r="F3042" s="204" t="s">
        <v>74</v>
      </c>
      <c r="G3042" s="4" t="s">
        <v>2276</v>
      </c>
      <c r="H3042" s="204" t="s">
        <v>524</v>
      </c>
      <c r="I3042" s="204"/>
      <c r="J3042" s="21">
        <v>0</v>
      </c>
      <c r="K3042" s="21">
        <v>0</v>
      </c>
      <c r="L3042" s="21">
        <v>0</v>
      </c>
      <c r="M3042" s="21">
        <v>0</v>
      </c>
      <c r="N3042" s="21">
        <v>0</v>
      </c>
      <c r="O3042" s="21">
        <v>0</v>
      </c>
      <c r="P3042" s="21">
        <v>0</v>
      </c>
      <c r="Q3042" s="21">
        <v>0</v>
      </c>
      <c r="R3042" s="21">
        <v>0</v>
      </c>
      <c r="S3042" s="21">
        <v>0</v>
      </c>
      <c r="T3042" s="21">
        <v>0</v>
      </c>
      <c r="U3042" s="21">
        <v>0</v>
      </c>
      <c r="V3042" s="21">
        <v>0</v>
      </c>
      <c r="W3042" s="21">
        <v>0</v>
      </c>
      <c r="X3042" s="21">
        <v>0</v>
      </c>
      <c r="Y3042" s="204" t="s">
        <v>2276</v>
      </c>
      <c r="Z3042" s="204" t="s">
        <v>2276</v>
      </c>
      <c r="AA3042" s="204" t="s">
        <v>2276</v>
      </c>
      <c r="AB3042" s="204" t="s">
        <v>2276</v>
      </c>
      <c r="AC3042" s="4" t="s">
        <v>8228</v>
      </c>
      <c r="AD3042" s="204"/>
    </row>
    <row r="3043" spans="1:30" ht="38" customHeight="1">
      <c r="A3043" s="19" t="s">
        <v>8209</v>
      </c>
      <c r="B3043" s="19" t="s">
        <v>8223</v>
      </c>
      <c r="C3043" s="204" t="s">
        <v>24</v>
      </c>
      <c r="D3043" s="204" t="s">
        <v>144</v>
      </c>
      <c r="E3043" s="204" t="s">
        <v>137</v>
      </c>
      <c r="F3043" s="204" t="s">
        <v>74</v>
      </c>
      <c r="G3043" s="4" t="s">
        <v>2276</v>
      </c>
      <c r="H3043" s="204" t="s">
        <v>524</v>
      </c>
      <c r="I3043" s="204"/>
      <c r="J3043" s="21">
        <v>0</v>
      </c>
      <c r="K3043" s="21">
        <v>0</v>
      </c>
      <c r="L3043" s="21">
        <v>0</v>
      </c>
      <c r="M3043" s="21">
        <v>0</v>
      </c>
      <c r="N3043" s="21">
        <v>0</v>
      </c>
      <c r="O3043" s="21">
        <v>0</v>
      </c>
      <c r="P3043" s="21">
        <v>0</v>
      </c>
      <c r="Q3043" s="21">
        <v>0</v>
      </c>
      <c r="R3043" s="21">
        <v>0</v>
      </c>
      <c r="S3043" s="21">
        <v>0</v>
      </c>
      <c r="T3043" s="21">
        <v>0</v>
      </c>
      <c r="U3043" s="21">
        <v>0</v>
      </c>
      <c r="V3043" s="21">
        <v>0</v>
      </c>
      <c r="W3043" s="21">
        <v>0</v>
      </c>
      <c r="X3043" s="21">
        <v>0</v>
      </c>
      <c r="Y3043" s="204" t="s">
        <v>2276</v>
      </c>
      <c r="Z3043" s="204" t="s">
        <v>2276</v>
      </c>
      <c r="AA3043" s="204" t="s">
        <v>2276</v>
      </c>
      <c r="AB3043" s="204" t="s">
        <v>2276</v>
      </c>
      <c r="AC3043" s="4" t="s">
        <v>8228</v>
      </c>
      <c r="AD3043" s="204"/>
    </row>
    <row r="3044" spans="1:30" ht="38" customHeight="1">
      <c r="A3044" s="19" t="s">
        <v>8210</v>
      </c>
      <c r="B3044" s="19" t="s">
        <v>8224</v>
      </c>
      <c r="C3044" s="204" t="s">
        <v>24</v>
      </c>
      <c r="D3044" s="204" t="s">
        <v>144</v>
      </c>
      <c r="E3044" s="204" t="s">
        <v>137</v>
      </c>
      <c r="F3044" s="204" t="s">
        <v>74</v>
      </c>
      <c r="G3044" s="4" t="s">
        <v>2276</v>
      </c>
      <c r="H3044" s="204" t="s">
        <v>524</v>
      </c>
      <c r="I3044" s="204"/>
      <c r="J3044" s="21">
        <v>0</v>
      </c>
      <c r="K3044" s="21">
        <v>0</v>
      </c>
      <c r="L3044" s="21">
        <v>0</v>
      </c>
      <c r="M3044" s="21">
        <v>0</v>
      </c>
      <c r="N3044" s="21">
        <v>0</v>
      </c>
      <c r="O3044" s="21">
        <v>0</v>
      </c>
      <c r="P3044" s="21">
        <v>0</v>
      </c>
      <c r="Q3044" s="21">
        <v>0</v>
      </c>
      <c r="R3044" s="21">
        <v>0</v>
      </c>
      <c r="S3044" s="21">
        <v>0</v>
      </c>
      <c r="T3044" s="21">
        <v>0</v>
      </c>
      <c r="U3044" s="21">
        <v>0</v>
      </c>
      <c r="V3044" s="21">
        <v>0</v>
      </c>
      <c r="W3044" s="21">
        <v>0</v>
      </c>
      <c r="X3044" s="21">
        <v>0</v>
      </c>
      <c r="Y3044" s="204" t="s">
        <v>2276</v>
      </c>
      <c r="Z3044" s="204" t="s">
        <v>2276</v>
      </c>
      <c r="AA3044" s="204" t="s">
        <v>2276</v>
      </c>
      <c r="AB3044" s="204" t="s">
        <v>2276</v>
      </c>
      <c r="AC3044" s="4" t="s">
        <v>8228</v>
      </c>
      <c r="AD3044" s="204"/>
    </row>
    <row r="3045" spans="1:30" ht="38" customHeight="1">
      <c r="A3045" s="19" t="s">
        <v>8217</v>
      </c>
      <c r="B3045" s="19" t="s">
        <v>8225</v>
      </c>
      <c r="C3045" s="204" t="s">
        <v>24</v>
      </c>
      <c r="D3045" s="204" t="s">
        <v>144</v>
      </c>
      <c r="E3045" s="204" t="s">
        <v>137</v>
      </c>
      <c r="F3045" s="204" t="s">
        <v>74</v>
      </c>
      <c r="G3045" s="4" t="s">
        <v>2276</v>
      </c>
      <c r="H3045" s="204" t="s">
        <v>524</v>
      </c>
      <c r="I3045" s="204"/>
      <c r="J3045" s="21">
        <v>0</v>
      </c>
      <c r="K3045" s="21">
        <v>0</v>
      </c>
      <c r="L3045" s="21">
        <v>0</v>
      </c>
      <c r="M3045" s="21">
        <v>0</v>
      </c>
      <c r="N3045" s="21">
        <v>0</v>
      </c>
      <c r="O3045" s="21">
        <v>0</v>
      </c>
      <c r="P3045" s="21">
        <v>0</v>
      </c>
      <c r="Q3045" s="21">
        <v>0</v>
      </c>
      <c r="R3045" s="21">
        <v>0</v>
      </c>
      <c r="S3045" s="21">
        <v>0</v>
      </c>
      <c r="T3045" s="21">
        <v>0</v>
      </c>
      <c r="U3045" s="21">
        <v>0</v>
      </c>
      <c r="V3045" s="21">
        <v>0</v>
      </c>
      <c r="W3045" s="21">
        <v>0</v>
      </c>
      <c r="X3045" s="21">
        <v>0</v>
      </c>
      <c r="Y3045" s="204" t="s">
        <v>2276</v>
      </c>
      <c r="Z3045" s="204" t="s">
        <v>2276</v>
      </c>
      <c r="AA3045" s="204" t="s">
        <v>2276</v>
      </c>
      <c r="AB3045" s="204" t="s">
        <v>2276</v>
      </c>
      <c r="AC3045" s="4" t="s">
        <v>8228</v>
      </c>
      <c r="AD3045" s="204"/>
    </row>
    <row r="3046" spans="1:30" ht="38" customHeight="1">
      <c r="A3046" s="19" t="s">
        <v>8218</v>
      </c>
      <c r="B3046" s="19" t="s">
        <v>8226</v>
      </c>
      <c r="C3046" s="204" t="s">
        <v>24</v>
      </c>
      <c r="D3046" s="204" t="s">
        <v>144</v>
      </c>
      <c r="E3046" s="204" t="s">
        <v>137</v>
      </c>
      <c r="F3046" s="204" t="s">
        <v>74</v>
      </c>
      <c r="G3046" s="4" t="s">
        <v>2276</v>
      </c>
      <c r="H3046" s="204" t="s">
        <v>524</v>
      </c>
      <c r="I3046" s="204"/>
      <c r="J3046" s="21">
        <v>0</v>
      </c>
      <c r="K3046" s="21">
        <v>0</v>
      </c>
      <c r="L3046" s="21">
        <v>0</v>
      </c>
      <c r="M3046" s="21">
        <v>0</v>
      </c>
      <c r="N3046" s="21">
        <v>0</v>
      </c>
      <c r="O3046" s="21">
        <v>0</v>
      </c>
      <c r="P3046" s="21">
        <v>0</v>
      </c>
      <c r="Q3046" s="21">
        <v>0</v>
      </c>
      <c r="R3046" s="21">
        <v>0</v>
      </c>
      <c r="S3046" s="21">
        <v>0</v>
      </c>
      <c r="T3046" s="21">
        <v>0</v>
      </c>
      <c r="U3046" s="21">
        <v>0</v>
      </c>
      <c r="V3046" s="21">
        <v>0</v>
      </c>
      <c r="W3046" s="21">
        <v>0</v>
      </c>
      <c r="X3046" s="21">
        <v>0</v>
      </c>
      <c r="Y3046" s="204" t="s">
        <v>2276</v>
      </c>
      <c r="Z3046" s="204" t="s">
        <v>2276</v>
      </c>
      <c r="AA3046" s="204" t="s">
        <v>2276</v>
      </c>
      <c r="AB3046" s="204" t="s">
        <v>2276</v>
      </c>
      <c r="AC3046" s="4" t="s">
        <v>8228</v>
      </c>
      <c r="AD3046" s="204"/>
    </row>
    <row r="3047" spans="1:30" ht="38" customHeight="1">
      <c r="A3047" s="19" t="s">
        <v>8219</v>
      </c>
      <c r="B3047" s="19" t="s">
        <v>8227</v>
      </c>
      <c r="C3047" s="204" t="s">
        <v>24</v>
      </c>
      <c r="D3047" s="204" t="s">
        <v>144</v>
      </c>
      <c r="E3047" s="204" t="s">
        <v>137</v>
      </c>
      <c r="F3047" s="204" t="s">
        <v>74</v>
      </c>
      <c r="G3047" s="4" t="s">
        <v>2276</v>
      </c>
      <c r="H3047" s="204" t="s">
        <v>524</v>
      </c>
      <c r="I3047" s="204"/>
      <c r="J3047" s="21">
        <v>0</v>
      </c>
      <c r="K3047" s="21">
        <v>0</v>
      </c>
      <c r="L3047" s="21">
        <v>0</v>
      </c>
      <c r="M3047" s="21">
        <v>0</v>
      </c>
      <c r="N3047" s="21">
        <v>0</v>
      </c>
      <c r="O3047" s="21">
        <v>0</v>
      </c>
      <c r="P3047" s="21">
        <v>0</v>
      </c>
      <c r="Q3047" s="21">
        <v>0</v>
      </c>
      <c r="R3047" s="21">
        <v>0</v>
      </c>
      <c r="S3047" s="21">
        <v>0</v>
      </c>
      <c r="T3047" s="21">
        <v>0</v>
      </c>
      <c r="U3047" s="21">
        <v>0</v>
      </c>
      <c r="V3047" s="21">
        <v>0</v>
      </c>
      <c r="W3047" s="21">
        <v>0</v>
      </c>
      <c r="X3047" s="21">
        <v>0</v>
      </c>
      <c r="Y3047" s="204" t="s">
        <v>2276</v>
      </c>
      <c r="Z3047" s="204" t="s">
        <v>2276</v>
      </c>
      <c r="AA3047" s="204" t="s">
        <v>2276</v>
      </c>
      <c r="AB3047" s="204" t="s">
        <v>2276</v>
      </c>
      <c r="AC3047" s="4" t="s">
        <v>8228</v>
      </c>
      <c r="AD3047" s="204"/>
    </row>
    <row r="3048" spans="1:30" ht="36.5" customHeight="1">
      <c r="A3048" s="19" t="s">
        <v>8202</v>
      </c>
      <c r="B3048" s="19" t="s">
        <v>8229</v>
      </c>
      <c r="C3048" s="204" t="s">
        <v>1105</v>
      </c>
      <c r="D3048" s="204" t="s">
        <v>2276</v>
      </c>
      <c r="E3048" s="204" t="s">
        <v>1105</v>
      </c>
      <c r="F3048" s="4" t="s">
        <v>2276</v>
      </c>
      <c r="G3048" s="4" t="s">
        <v>2276</v>
      </c>
      <c r="H3048" s="204" t="s">
        <v>523</v>
      </c>
      <c r="I3048" s="204"/>
      <c r="J3048" s="204" t="s">
        <v>2276</v>
      </c>
      <c r="K3048" s="204" t="s">
        <v>2276</v>
      </c>
      <c r="L3048" s="204" t="s">
        <v>2276</v>
      </c>
      <c r="M3048" s="204" t="s">
        <v>2276</v>
      </c>
      <c r="N3048" s="204" t="s">
        <v>2276</v>
      </c>
      <c r="O3048" s="204" t="s">
        <v>2276</v>
      </c>
      <c r="P3048" s="204" t="s">
        <v>2276</v>
      </c>
      <c r="Q3048" s="204" t="s">
        <v>2276</v>
      </c>
      <c r="R3048" s="204" t="s">
        <v>2276</v>
      </c>
      <c r="S3048" s="204" t="s">
        <v>2276</v>
      </c>
      <c r="T3048" s="204" t="s">
        <v>2276</v>
      </c>
      <c r="U3048" s="204" t="s">
        <v>2276</v>
      </c>
      <c r="V3048" s="204" t="s">
        <v>2276</v>
      </c>
      <c r="W3048" s="204" t="s">
        <v>2276</v>
      </c>
      <c r="X3048" s="21">
        <f>SUM(0/2, 1.4/6, 4.1/17.5, 36/37.5, 13.3/70)</f>
        <v>1.6176190476190475</v>
      </c>
      <c r="Y3048" s="204" t="s">
        <v>2276</v>
      </c>
      <c r="Z3048" s="204" t="s">
        <v>2276</v>
      </c>
      <c r="AA3048" s="204" t="s">
        <v>2276</v>
      </c>
      <c r="AB3048" s="204" t="s">
        <v>2276</v>
      </c>
      <c r="AC3048" s="204"/>
      <c r="AD3048" s="204"/>
    </row>
    <row r="3049" spans="1:30" ht="36.5" customHeight="1">
      <c r="A3049" s="19" t="s">
        <v>8208</v>
      </c>
      <c r="B3049" s="19" t="s">
        <v>8230</v>
      </c>
      <c r="C3049" s="204" t="s">
        <v>1105</v>
      </c>
      <c r="D3049" s="204" t="s">
        <v>2276</v>
      </c>
      <c r="E3049" s="204" t="s">
        <v>1105</v>
      </c>
      <c r="F3049" s="4" t="s">
        <v>2276</v>
      </c>
      <c r="G3049" s="4" t="s">
        <v>2276</v>
      </c>
      <c r="H3049" s="204" t="s">
        <v>523</v>
      </c>
      <c r="I3049" s="204"/>
      <c r="J3049" s="204" t="s">
        <v>2276</v>
      </c>
      <c r="K3049" s="204" t="s">
        <v>2276</v>
      </c>
      <c r="L3049" s="204" t="s">
        <v>2276</v>
      </c>
      <c r="M3049" s="204" t="s">
        <v>2276</v>
      </c>
      <c r="N3049" s="204" t="s">
        <v>2276</v>
      </c>
      <c r="O3049" s="204" t="s">
        <v>2276</v>
      </c>
      <c r="P3049" s="204" t="s">
        <v>2276</v>
      </c>
      <c r="Q3049" s="204" t="s">
        <v>2276</v>
      </c>
      <c r="R3049" s="204" t="s">
        <v>2276</v>
      </c>
      <c r="S3049" s="204" t="s">
        <v>2276</v>
      </c>
      <c r="T3049" s="204" t="s">
        <v>2276</v>
      </c>
      <c r="U3049" s="204" t="s">
        <v>2276</v>
      </c>
      <c r="V3049" s="204" t="s">
        <v>2276</v>
      </c>
      <c r="W3049" s="204" t="s">
        <v>2276</v>
      </c>
      <c r="X3049" s="21">
        <f t="shared" ref="X3049" si="6">SUM(0/2, 1.4/6, 4.1/17.5, 36/37.5, 13.3/70)</f>
        <v>1.6176190476190475</v>
      </c>
      <c r="Y3049" s="204" t="s">
        <v>2276</v>
      </c>
      <c r="Z3049" s="204" t="s">
        <v>2276</v>
      </c>
      <c r="AA3049" s="204" t="s">
        <v>2276</v>
      </c>
      <c r="AB3049" s="204" t="s">
        <v>2276</v>
      </c>
      <c r="AC3049" s="204"/>
      <c r="AD3049" s="204"/>
    </row>
    <row r="3050" spans="1:30" ht="36.5" customHeight="1">
      <c r="A3050" s="19" t="s">
        <v>8209</v>
      </c>
      <c r="B3050" s="19" t="s">
        <v>8231</v>
      </c>
      <c r="C3050" s="204" t="s">
        <v>1105</v>
      </c>
      <c r="D3050" s="204" t="s">
        <v>2276</v>
      </c>
      <c r="E3050" s="204" t="s">
        <v>1105</v>
      </c>
      <c r="F3050" s="4" t="s">
        <v>2276</v>
      </c>
      <c r="G3050" s="4" t="s">
        <v>2276</v>
      </c>
      <c r="H3050" s="204" t="s">
        <v>523</v>
      </c>
      <c r="I3050" s="204"/>
      <c r="J3050" s="204" t="s">
        <v>2276</v>
      </c>
      <c r="K3050" s="204" t="s">
        <v>2276</v>
      </c>
      <c r="L3050" s="204" t="s">
        <v>2276</v>
      </c>
      <c r="M3050" s="204" t="s">
        <v>2276</v>
      </c>
      <c r="N3050" s="204" t="s">
        <v>2276</v>
      </c>
      <c r="O3050" s="204" t="s">
        <v>2276</v>
      </c>
      <c r="P3050" s="204" t="s">
        <v>2276</v>
      </c>
      <c r="Q3050" s="204" t="s">
        <v>2276</v>
      </c>
      <c r="R3050" s="204" t="s">
        <v>2276</v>
      </c>
      <c r="S3050" s="204" t="s">
        <v>2276</v>
      </c>
      <c r="T3050" s="204" t="s">
        <v>2276</v>
      </c>
      <c r="U3050" s="204" t="s">
        <v>2276</v>
      </c>
      <c r="V3050" s="204" t="s">
        <v>2276</v>
      </c>
      <c r="W3050" s="204" t="s">
        <v>2276</v>
      </c>
      <c r="X3050" s="21">
        <f>SUM(0.9/2, 4.5/6, 1.4/17.5, 6.4/37.5, 20.4/70)</f>
        <v>1.7420952380952381</v>
      </c>
      <c r="Y3050" s="204" t="s">
        <v>2276</v>
      </c>
      <c r="Z3050" s="204" t="s">
        <v>2276</v>
      </c>
      <c r="AA3050" s="204" t="s">
        <v>2276</v>
      </c>
      <c r="AB3050" s="204" t="s">
        <v>2276</v>
      </c>
      <c r="AC3050" s="204"/>
      <c r="AD3050" s="204"/>
    </row>
    <row r="3051" spans="1:30" ht="36.5" customHeight="1">
      <c r="A3051" s="19" t="s">
        <v>8210</v>
      </c>
      <c r="B3051" s="19" t="s">
        <v>8232</v>
      </c>
      <c r="C3051" s="204" t="s">
        <v>1105</v>
      </c>
      <c r="D3051" s="204" t="s">
        <v>2276</v>
      </c>
      <c r="E3051" s="204" t="s">
        <v>1105</v>
      </c>
      <c r="F3051" s="4" t="s">
        <v>2276</v>
      </c>
      <c r="G3051" s="4" t="s">
        <v>2276</v>
      </c>
      <c r="H3051" s="204" t="s">
        <v>523</v>
      </c>
      <c r="I3051" s="204"/>
      <c r="J3051" s="204" t="s">
        <v>2276</v>
      </c>
      <c r="K3051" s="204" t="s">
        <v>2276</v>
      </c>
      <c r="L3051" s="204" t="s">
        <v>2276</v>
      </c>
      <c r="M3051" s="204" t="s">
        <v>2276</v>
      </c>
      <c r="N3051" s="204" t="s">
        <v>2276</v>
      </c>
      <c r="O3051" s="204" t="s">
        <v>2276</v>
      </c>
      <c r="P3051" s="204" t="s">
        <v>2276</v>
      </c>
      <c r="Q3051" s="204" t="s">
        <v>2276</v>
      </c>
      <c r="R3051" s="204" t="s">
        <v>2276</v>
      </c>
      <c r="S3051" s="204" t="s">
        <v>2276</v>
      </c>
      <c r="T3051" s="204" t="s">
        <v>2276</v>
      </c>
      <c r="U3051" s="204" t="s">
        <v>2276</v>
      </c>
      <c r="V3051" s="204" t="s">
        <v>2276</v>
      </c>
      <c r="W3051" s="204" t="s">
        <v>2276</v>
      </c>
      <c r="X3051" s="21">
        <f>SUM(0/2, 0/6, 0.1/17.5, 3.1/37.5, 7.4/70)</f>
        <v>0.1940952380952381</v>
      </c>
      <c r="Y3051" s="204" t="s">
        <v>2276</v>
      </c>
      <c r="Z3051" s="204" t="s">
        <v>2276</v>
      </c>
      <c r="AA3051" s="204" t="s">
        <v>2276</v>
      </c>
      <c r="AB3051" s="204" t="s">
        <v>2276</v>
      </c>
      <c r="AC3051" s="204"/>
      <c r="AD3051" s="204"/>
    </row>
    <row r="3052" spans="1:30" ht="36.5" customHeight="1">
      <c r="A3052" s="19" t="s">
        <v>8217</v>
      </c>
      <c r="B3052" s="19" t="s">
        <v>8233</v>
      </c>
      <c r="C3052" s="204" t="s">
        <v>1105</v>
      </c>
      <c r="D3052" s="204" t="s">
        <v>2276</v>
      </c>
      <c r="E3052" s="204" t="s">
        <v>1105</v>
      </c>
      <c r="F3052" s="4" t="s">
        <v>2276</v>
      </c>
      <c r="G3052" s="4" t="s">
        <v>2276</v>
      </c>
      <c r="H3052" s="204" t="s">
        <v>523</v>
      </c>
      <c r="I3052" s="204"/>
      <c r="J3052" s="204" t="s">
        <v>2276</v>
      </c>
      <c r="K3052" s="204" t="s">
        <v>2276</v>
      </c>
      <c r="L3052" s="204" t="s">
        <v>2276</v>
      </c>
      <c r="M3052" s="204" t="s">
        <v>2276</v>
      </c>
      <c r="N3052" s="204" t="s">
        <v>2276</v>
      </c>
      <c r="O3052" s="204" t="s">
        <v>2276</v>
      </c>
      <c r="P3052" s="204" t="s">
        <v>2276</v>
      </c>
      <c r="Q3052" s="204" t="s">
        <v>2276</v>
      </c>
      <c r="R3052" s="204" t="s">
        <v>2276</v>
      </c>
      <c r="S3052" s="204" t="s">
        <v>2276</v>
      </c>
      <c r="T3052" s="204" t="s">
        <v>2276</v>
      </c>
      <c r="U3052" s="204" t="s">
        <v>2276</v>
      </c>
      <c r="V3052" s="204" t="s">
        <v>2276</v>
      </c>
      <c r="W3052" s="204" t="s">
        <v>2276</v>
      </c>
      <c r="X3052" s="21">
        <f>SUM(0.6/2, 1.9/6, 7.8/17.5, 9.8/37.5, 5.6/70)</f>
        <v>1.4037142857142859</v>
      </c>
      <c r="Y3052" s="204" t="s">
        <v>2276</v>
      </c>
      <c r="Z3052" s="204" t="s">
        <v>2276</v>
      </c>
      <c r="AA3052" s="204" t="s">
        <v>2276</v>
      </c>
      <c r="AB3052" s="204" t="s">
        <v>2276</v>
      </c>
      <c r="AC3052" s="204"/>
      <c r="AD3052" s="204"/>
    </row>
    <row r="3053" spans="1:30" ht="36.5" customHeight="1">
      <c r="A3053" s="19" t="s">
        <v>8218</v>
      </c>
      <c r="B3053" s="19" t="s">
        <v>8234</v>
      </c>
      <c r="C3053" s="204" t="s">
        <v>1105</v>
      </c>
      <c r="D3053" s="204" t="s">
        <v>2276</v>
      </c>
      <c r="E3053" s="204" t="s">
        <v>1105</v>
      </c>
      <c r="F3053" s="4" t="s">
        <v>2276</v>
      </c>
      <c r="G3053" s="4" t="s">
        <v>2276</v>
      </c>
      <c r="H3053" s="204" t="s">
        <v>523</v>
      </c>
      <c r="I3053" s="204"/>
      <c r="J3053" s="204" t="s">
        <v>2276</v>
      </c>
      <c r="K3053" s="204" t="s">
        <v>2276</v>
      </c>
      <c r="L3053" s="204" t="s">
        <v>2276</v>
      </c>
      <c r="M3053" s="204" t="s">
        <v>2276</v>
      </c>
      <c r="N3053" s="204" t="s">
        <v>2276</v>
      </c>
      <c r="O3053" s="204" t="s">
        <v>2276</v>
      </c>
      <c r="P3053" s="204" t="s">
        <v>2276</v>
      </c>
      <c r="Q3053" s="204" t="s">
        <v>2276</v>
      </c>
      <c r="R3053" s="204" t="s">
        <v>2276</v>
      </c>
      <c r="S3053" s="204" t="s">
        <v>2276</v>
      </c>
      <c r="T3053" s="204" t="s">
        <v>2276</v>
      </c>
      <c r="U3053" s="204" t="s">
        <v>2276</v>
      </c>
      <c r="V3053" s="204" t="s">
        <v>2276</v>
      </c>
      <c r="W3053" s="204" t="s">
        <v>2276</v>
      </c>
      <c r="X3053" s="21">
        <f>SUM(0/2, 1/6, 5.2/17.5, 2.6/37.5, 0.7/70)</f>
        <v>0.54314285714285715</v>
      </c>
      <c r="Y3053" s="204" t="s">
        <v>2276</v>
      </c>
      <c r="Z3053" s="204" t="s">
        <v>2276</v>
      </c>
      <c r="AA3053" s="204" t="s">
        <v>2276</v>
      </c>
      <c r="AB3053" s="204" t="s">
        <v>2276</v>
      </c>
      <c r="AC3053" s="204"/>
      <c r="AD3053" s="204"/>
    </row>
    <row r="3054" spans="1:30" ht="36.5" customHeight="1">
      <c r="A3054" s="19" t="s">
        <v>8219</v>
      </c>
      <c r="B3054" s="19" t="s">
        <v>8235</v>
      </c>
      <c r="C3054" s="204" t="s">
        <v>1105</v>
      </c>
      <c r="D3054" s="204" t="s">
        <v>2276</v>
      </c>
      <c r="E3054" s="204" t="s">
        <v>1105</v>
      </c>
      <c r="F3054" s="4" t="s">
        <v>2276</v>
      </c>
      <c r="G3054" s="4" t="s">
        <v>2276</v>
      </c>
      <c r="H3054" s="204" t="s">
        <v>523</v>
      </c>
      <c r="I3054" s="204"/>
      <c r="J3054" s="204" t="s">
        <v>2276</v>
      </c>
      <c r="K3054" s="204" t="s">
        <v>2276</v>
      </c>
      <c r="L3054" s="204" t="s">
        <v>2276</v>
      </c>
      <c r="M3054" s="204" t="s">
        <v>2276</v>
      </c>
      <c r="N3054" s="204" t="s">
        <v>2276</v>
      </c>
      <c r="O3054" s="204" t="s">
        <v>2276</v>
      </c>
      <c r="P3054" s="204" t="s">
        <v>2276</v>
      </c>
      <c r="Q3054" s="204" t="s">
        <v>2276</v>
      </c>
      <c r="R3054" s="204" t="s">
        <v>2276</v>
      </c>
      <c r="S3054" s="204" t="s">
        <v>2276</v>
      </c>
      <c r="T3054" s="204" t="s">
        <v>2276</v>
      </c>
      <c r="U3054" s="204" t="s">
        <v>2276</v>
      </c>
      <c r="V3054" s="204" t="s">
        <v>2276</v>
      </c>
      <c r="W3054" s="204" t="s">
        <v>2276</v>
      </c>
      <c r="X3054" s="21">
        <f>SUM(0/2, 0.4/6, 1.2/17.5, 7/37.5, 2.1/70)</f>
        <v>0.35190476190476194</v>
      </c>
      <c r="Y3054" s="204" t="s">
        <v>2276</v>
      </c>
      <c r="Z3054" s="204" t="s">
        <v>2276</v>
      </c>
      <c r="AA3054" s="204" t="s">
        <v>2276</v>
      </c>
      <c r="AB3054" s="204" t="s">
        <v>2276</v>
      </c>
      <c r="AC3054" s="204"/>
      <c r="AD3054" s="204"/>
    </row>
    <row r="3055" spans="1:30" ht="30" customHeight="1">
      <c r="A3055" s="19" t="s">
        <v>8236</v>
      </c>
      <c r="B3055" s="19" t="s">
        <v>8243</v>
      </c>
      <c r="C3055" s="204" t="s">
        <v>24</v>
      </c>
      <c r="D3055" s="204" t="s">
        <v>25</v>
      </c>
      <c r="E3055" s="204" t="s">
        <v>116</v>
      </c>
      <c r="F3055" s="4" t="s">
        <v>55</v>
      </c>
      <c r="G3055" s="4" t="s">
        <v>55</v>
      </c>
      <c r="H3055" s="204" t="s">
        <v>523</v>
      </c>
      <c r="I3055" s="204"/>
      <c r="J3055" s="204" t="s">
        <v>2276</v>
      </c>
      <c r="K3055" s="204" t="s">
        <v>2276</v>
      </c>
      <c r="L3055" s="204" t="s">
        <v>2276</v>
      </c>
      <c r="M3055" s="204" t="s">
        <v>2276</v>
      </c>
      <c r="N3055" s="204" t="s">
        <v>2276</v>
      </c>
      <c r="O3055" s="204" t="s">
        <v>2276</v>
      </c>
      <c r="P3055" s="204" t="s">
        <v>2276</v>
      </c>
      <c r="Q3055" s="204" t="s">
        <v>2276</v>
      </c>
      <c r="R3055" s="204" t="s">
        <v>2276</v>
      </c>
      <c r="S3055" s="204" t="s">
        <v>2276</v>
      </c>
      <c r="T3055" s="204" t="s">
        <v>2276</v>
      </c>
      <c r="U3055" s="204" t="s">
        <v>2276</v>
      </c>
      <c r="V3055" s="204" t="s">
        <v>2276</v>
      </c>
      <c r="W3055" s="204" t="s">
        <v>2276</v>
      </c>
      <c r="X3055" s="204" t="s">
        <v>2276</v>
      </c>
      <c r="Y3055" s="204" t="s">
        <v>2276</v>
      </c>
      <c r="Z3055" s="204" t="s">
        <v>86</v>
      </c>
      <c r="AA3055" s="204" t="s">
        <v>86</v>
      </c>
      <c r="AB3055" s="204" t="s">
        <v>2276</v>
      </c>
      <c r="AC3055" s="204"/>
      <c r="AD3055" s="204"/>
    </row>
    <row r="3056" spans="1:30" ht="30" customHeight="1">
      <c r="A3056" s="19" t="s">
        <v>8240</v>
      </c>
      <c r="B3056" s="19" t="s">
        <v>8245</v>
      </c>
      <c r="C3056" s="204" t="s">
        <v>24</v>
      </c>
      <c r="D3056" s="204" t="s">
        <v>25</v>
      </c>
      <c r="E3056" s="204" t="s">
        <v>116</v>
      </c>
      <c r="F3056" s="4" t="s">
        <v>55</v>
      </c>
      <c r="G3056" s="4" t="s">
        <v>55</v>
      </c>
      <c r="H3056" s="204" t="s">
        <v>523</v>
      </c>
      <c r="I3056" s="204"/>
      <c r="J3056" s="204" t="s">
        <v>2276</v>
      </c>
      <c r="K3056" s="204" t="s">
        <v>2276</v>
      </c>
      <c r="L3056" s="204" t="s">
        <v>2276</v>
      </c>
      <c r="M3056" s="204" t="s">
        <v>2276</v>
      </c>
      <c r="N3056" s="204" t="s">
        <v>2276</v>
      </c>
      <c r="O3056" s="204" t="s">
        <v>2276</v>
      </c>
      <c r="P3056" s="204" t="s">
        <v>2276</v>
      </c>
      <c r="Q3056" s="204" t="s">
        <v>2276</v>
      </c>
      <c r="R3056" s="204" t="s">
        <v>2276</v>
      </c>
      <c r="S3056" s="204" t="s">
        <v>2276</v>
      </c>
      <c r="T3056" s="204" t="s">
        <v>2276</v>
      </c>
      <c r="U3056" s="204" t="s">
        <v>2276</v>
      </c>
      <c r="V3056" s="204" t="s">
        <v>2276</v>
      </c>
      <c r="W3056" s="204" t="s">
        <v>2276</v>
      </c>
      <c r="X3056" s="204" t="s">
        <v>2276</v>
      </c>
      <c r="Y3056" s="204" t="s">
        <v>2276</v>
      </c>
      <c r="Z3056" s="204" t="s">
        <v>86</v>
      </c>
      <c r="AA3056" s="204" t="s">
        <v>86</v>
      </c>
      <c r="AB3056" s="204" t="s">
        <v>2276</v>
      </c>
      <c r="AC3056" s="204"/>
      <c r="AD3056" s="204"/>
    </row>
    <row r="3057" spans="1:30" ht="30" customHeight="1">
      <c r="A3057" s="19" t="s">
        <v>8241</v>
      </c>
      <c r="B3057" s="19" t="s">
        <v>8246</v>
      </c>
      <c r="C3057" s="204" t="s">
        <v>24</v>
      </c>
      <c r="D3057" s="204" t="s">
        <v>25</v>
      </c>
      <c r="E3057" s="204" t="s">
        <v>116</v>
      </c>
      <c r="F3057" s="4" t="s">
        <v>55</v>
      </c>
      <c r="G3057" s="4" t="s">
        <v>55</v>
      </c>
      <c r="H3057" s="204" t="s">
        <v>523</v>
      </c>
      <c r="I3057" s="204"/>
      <c r="J3057" s="204" t="s">
        <v>2276</v>
      </c>
      <c r="K3057" s="204" t="s">
        <v>2276</v>
      </c>
      <c r="L3057" s="204" t="s">
        <v>2276</v>
      </c>
      <c r="M3057" s="204" t="s">
        <v>2276</v>
      </c>
      <c r="N3057" s="204" t="s">
        <v>2276</v>
      </c>
      <c r="O3057" s="204" t="s">
        <v>2276</v>
      </c>
      <c r="P3057" s="204" t="s">
        <v>2276</v>
      </c>
      <c r="Q3057" s="204" t="s">
        <v>2276</v>
      </c>
      <c r="R3057" s="204" t="s">
        <v>2276</v>
      </c>
      <c r="S3057" s="204" t="s">
        <v>2276</v>
      </c>
      <c r="T3057" s="204" t="s">
        <v>2276</v>
      </c>
      <c r="U3057" s="204" t="s">
        <v>2276</v>
      </c>
      <c r="V3057" s="204" t="s">
        <v>2276</v>
      </c>
      <c r="W3057" s="204" t="s">
        <v>2276</v>
      </c>
      <c r="X3057" s="204" t="s">
        <v>2276</v>
      </c>
      <c r="Y3057" s="204" t="s">
        <v>2276</v>
      </c>
      <c r="Z3057" s="204" t="s">
        <v>86</v>
      </c>
      <c r="AA3057" s="204" t="s">
        <v>86</v>
      </c>
      <c r="AB3057" s="204" t="s">
        <v>2276</v>
      </c>
      <c r="AC3057" s="204"/>
      <c r="AD3057" s="204"/>
    </row>
    <row r="3058" spans="1:30" ht="30" customHeight="1">
      <c r="A3058" s="19" t="s">
        <v>8242</v>
      </c>
      <c r="B3058" s="19" t="s">
        <v>8247</v>
      </c>
      <c r="C3058" s="204" t="s">
        <v>24</v>
      </c>
      <c r="D3058" s="204" t="s">
        <v>25</v>
      </c>
      <c r="E3058" s="204" t="s">
        <v>116</v>
      </c>
      <c r="F3058" s="4" t="s">
        <v>55</v>
      </c>
      <c r="G3058" s="4" t="s">
        <v>55</v>
      </c>
      <c r="H3058" s="204" t="s">
        <v>523</v>
      </c>
      <c r="I3058" s="204"/>
      <c r="J3058" s="204" t="s">
        <v>2276</v>
      </c>
      <c r="K3058" s="204" t="s">
        <v>2276</v>
      </c>
      <c r="L3058" s="204" t="s">
        <v>2276</v>
      </c>
      <c r="M3058" s="204" t="s">
        <v>2276</v>
      </c>
      <c r="N3058" s="204" t="s">
        <v>2276</v>
      </c>
      <c r="O3058" s="204" t="s">
        <v>2276</v>
      </c>
      <c r="P3058" s="204" t="s">
        <v>2276</v>
      </c>
      <c r="Q3058" s="204" t="s">
        <v>2276</v>
      </c>
      <c r="R3058" s="204" t="s">
        <v>2276</v>
      </c>
      <c r="S3058" s="204" t="s">
        <v>2276</v>
      </c>
      <c r="T3058" s="204" t="s">
        <v>2276</v>
      </c>
      <c r="U3058" s="204" t="s">
        <v>2276</v>
      </c>
      <c r="V3058" s="204" t="s">
        <v>2276</v>
      </c>
      <c r="W3058" s="204" t="s">
        <v>2276</v>
      </c>
      <c r="X3058" s="204" t="s">
        <v>2276</v>
      </c>
      <c r="Y3058" s="204" t="s">
        <v>2276</v>
      </c>
      <c r="Z3058" s="204" t="s">
        <v>86</v>
      </c>
      <c r="AA3058" s="204" t="s">
        <v>86</v>
      </c>
      <c r="AB3058" s="204" t="s">
        <v>2276</v>
      </c>
      <c r="AC3058" s="204"/>
      <c r="AD3058" s="204"/>
    </row>
    <row r="3059" spans="1:30" ht="51" customHeight="1">
      <c r="A3059" s="19" t="s">
        <v>8236</v>
      </c>
      <c r="B3059" s="19" t="s">
        <v>8248</v>
      </c>
      <c r="C3059" s="204" t="s">
        <v>1105</v>
      </c>
      <c r="D3059" s="204" t="s">
        <v>2276</v>
      </c>
      <c r="E3059" s="204" t="s">
        <v>1105</v>
      </c>
      <c r="F3059" s="4" t="s">
        <v>2276</v>
      </c>
      <c r="G3059" s="4" t="s">
        <v>2662</v>
      </c>
      <c r="H3059" s="204" t="s">
        <v>523</v>
      </c>
      <c r="I3059" s="204"/>
      <c r="J3059" s="21">
        <f>58/(22/24)/2680.59</f>
        <v>2.3604030184671013E-2</v>
      </c>
      <c r="K3059" s="204" t="s">
        <v>2276</v>
      </c>
      <c r="L3059" s="204" t="s">
        <v>2276</v>
      </c>
      <c r="M3059" s="204" t="s">
        <v>2276</v>
      </c>
      <c r="N3059" s="204" t="s">
        <v>2276</v>
      </c>
      <c r="O3059" s="204" t="s">
        <v>2276</v>
      </c>
      <c r="P3059" s="21">
        <f>223357/58</f>
        <v>3850.9827586206898</v>
      </c>
      <c r="Q3059" s="204" t="s">
        <v>2276</v>
      </c>
      <c r="R3059" s="204" t="s">
        <v>2276</v>
      </c>
      <c r="S3059" s="204" t="s">
        <v>2276</v>
      </c>
      <c r="T3059" s="204" t="s">
        <v>2276</v>
      </c>
      <c r="U3059" s="204" t="s">
        <v>2276</v>
      </c>
      <c r="V3059" s="204" t="s">
        <v>2276</v>
      </c>
      <c r="W3059" s="204" t="s">
        <v>2276</v>
      </c>
      <c r="X3059" s="204" t="s">
        <v>2276</v>
      </c>
      <c r="Y3059" s="204" t="s">
        <v>2276</v>
      </c>
      <c r="Z3059" s="204" t="s">
        <v>86</v>
      </c>
      <c r="AA3059" s="204" t="s">
        <v>404</v>
      </c>
      <c r="AB3059" s="204" t="s">
        <v>2655</v>
      </c>
      <c r="AC3059" s="4" t="s">
        <v>8255</v>
      </c>
      <c r="AD3059" s="204"/>
    </row>
    <row r="3060" spans="1:30" ht="51" customHeight="1">
      <c r="A3060" s="19" t="s">
        <v>8240</v>
      </c>
      <c r="B3060" s="19" t="s">
        <v>8244</v>
      </c>
      <c r="C3060" s="204" t="s">
        <v>1105</v>
      </c>
      <c r="D3060" s="204" t="s">
        <v>2276</v>
      </c>
      <c r="E3060" s="204" t="s">
        <v>1105</v>
      </c>
      <c r="F3060" s="4" t="s">
        <v>2276</v>
      </c>
      <c r="G3060" s="4" t="s">
        <v>2662</v>
      </c>
      <c r="H3060" s="204" t="s">
        <v>523</v>
      </c>
      <c r="I3060" s="204"/>
      <c r="J3060" s="21">
        <f>171/(22/24)/3832.09</f>
        <v>4.8679820814608886E-2</v>
      </c>
      <c r="K3060" s="204" t="s">
        <v>2276</v>
      </c>
      <c r="L3060" s="204" t="s">
        <v>2276</v>
      </c>
      <c r="M3060" s="204" t="s">
        <v>2276</v>
      </c>
      <c r="N3060" s="204" t="s">
        <v>2276</v>
      </c>
      <c r="O3060" s="204" t="s">
        <v>2276</v>
      </c>
      <c r="P3060" s="21">
        <f>94002/171</f>
        <v>549.71929824561403</v>
      </c>
      <c r="Q3060" s="204" t="s">
        <v>2276</v>
      </c>
      <c r="R3060" s="204" t="s">
        <v>2276</v>
      </c>
      <c r="S3060" s="204" t="s">
        <v>2276</v>
      </c>
      <c r="T3060" s="204" t="s">
        <v>2276</v>
      </c>
      <c r="U3060" s="204" t="s">
        <v>2276</v>
      </c>
      <c r="V3060" s="204" t="s">
        <v>2276</v>
      </c>
      <c r="W3060" s="204" t="s">
        <v>2276</v>
      </c>
      <c r="X3060" s="204" t="s">
        <v>2276</v>
      </c>
      <c r="Y3060" s="204" t="s">
        <v>2276</v>
      </c>
      <c r="Z3060" s="204" t="s">
        <v>86</v>
      </c>
      <c r="AA3060" s="204" t="s">
        <v>404</v>
      </c>
      <c r="AB3060" s="204" t="s">
        <v>2655</v>
      </c>
      <c r="AC3060" s="4" t="s">
        <v>8255</v>
      </c>
      <c r="AD3060" s="204"/>
    </row>
    <row r="3061" spans="1:30" ht="51" customHeight="1">
      <c r="A3061" s="19" t="s">
        <v>8241</v>
      </c>
      <c r="B3061" s="19" t="s">
        <v>8249</v>
      </c>
      <c r="C3061" s="204" t="s">
        <v>1105</v>
      </c>
      <c r="D3061" s="204" t="s">
        <v>2276</v>
      </c>
      <c r="E3061" s="204" t="s">
        <v>1105</v>
      </c>
      <c r="F3061" s="4" t="s">
        <v>2276</v>
      </c>
      <c r="G3061" s="4" t="s">
        <v>2662</v>
      </c>
      <c r="H3061" s="204" t="s">
        <v>523</v>
      </c>
      <c r="I3061" s="204"/>
      <c r="J3061" s="21">
        <f>171/(22/24)/3832.09</f>
        <v>4.8679820814608886E-2</v>
      </c>
      <c r="K3061" s="204" t="s">
        <v>2276</v>
      </c>
      <c r="L3061" s="204" t="s">
        <v>2276</v>
      </c>
      <c r="M3061" s="204" t="s">
        <v>2276</v>
      </c>
      <c r="N3061" s="204" t="s">
        <v>2276</v>
      </c>
      <c r="O3061" s="204" t="s">
        <v>2276</v>
      </c>
      <c r="P3061" s="21">
        <f>94002/171</f>
        <v>549.71929824561403</v>
      </c>
      <c r="Q3061" s="204" t="s">
        <v>2276</v>
      </c>
      <c r="R3061" s="204" t="s">
        <v>2276</v>
      </c>
      <c r="S3061" s="204" t="s">
        <v>2276</v>
      </c>
      <c r="T3061" s="204" t="s">
        <v>2276</v>
      </c>
      <c r="U3061" s="204" t="s">
        <v>2276</v>
      </c>
      <c r="V3061" s="204" t="s">
        <v>2276</v>
      </c>
      <c r="W3061" s="204" t="s">
        <v>2276</v>
      </c>
      <c r="X3061" s="204" t="s">
        <v>2276</v>
      </c>
      <c r="Y3061" s="204" t="s">
        <v>2276</v>
      </c>
      <c r="Z3061" s="204" t="s">
        <v>86</v>
      </c>
      <c r="AA3061" s="204" t="s">
        <v>404</v>
      </c>
      <c r="AB3061" s="204" t="s">
        <v>2655</v>
      </c>
      <c r="AC3061" s="4" t="s">
        <v>8255</v>
      </c>
      <c r="AD3061" s="204"/>
    </row>
    <row r="3062" spans="1:30" ht="51" customHeight="1">
      <c r="A3062" s="19" t="s">
        <v>8242</v>
      </c>
      <c r="B3062" s="19" t="s">
        <v>8250</v>
      </c>
      <c r="C3062" s="204" t="s">
        <v>1105</v>
      </c>
      <c r="D3062" s="204" t="s">
        <v>2276</v>
      </c>
      <c r="E3062" s="204" t="s">
        <v>1105</v>
      </c>
      <c r="F3062" s="4" t="s">
        <v>2276</v>
      </c>
      <c r="G3062" s="4" t="s">
        <v>2662</v>
      </c>
      <c r="H3062" s="204" t="s">
        <v>523</v>
      </c>
      <c r="I3062" s="204"/>
      <c r="J3062" s="21">
        <f>49/(22/24)/276.36</f>
        <v>0.19342359767891681</v>
      </c>
      <c r="K3062" s="204" t="s">
        <v>2276</v>
      </c>
      <c r="L3062" s="204" t="s">
        <v>2276</v>
      </c>
      <c r="M3062" s="204" t="s">
        <v>2276</v>
      </c>
      <c r="N3062" s="204" t="s">
        <v>2276</v>
      </c>
      <c r="O3062" s="204" t="s">
        <v>2276</v>
      </c>
      <c r="P3062" s="21">
        <f>9939/49</f>
        <v>202.83673469387756</v>
      </c>
      <c r="Q3062" s="204" t="s">
        <v>2276</v>
      </c>
      <c r="R3062" s="204" t="s">
        <v>2276</v>
      </c>
      <c r="S3062" s="204" t="s">
        <v>2276</v>
      </c>
      <c r="T3062" s="204" t="s">
        <v>2276</v>
      </c>
      <c r="U3062" s="204" t="s">
        <v>2276</v>
      </c>
      <c r="V3062" s="204" t="s">
        <v>2276</v>
      </c>
      <c r="W3062" s="204" t="s">
        <v>2276</v>
      </c>
      <c r="X3062" s="204" t="s">
        <v>2276</v>
      </c>
      <c r="Y3062" s="204" t="s">
        <v>2276</v>
      </c>
      <c r="Z3062" s="204" t="s">
        <v>86</v>
      </c>
      <c r="AA3062" s="204" t="s">
        <v>404</v>
      </c>
      <c r="AB3062" s="204" t="s">
        <v>2655</v>
      </c>
      <c r="AC3062" s="4" t="s">
        <v>8255</v>
      </c>
      <c r="AD3062" s="204"/>
    </row>
    <row r="3063" spans="1:30" ht="29" customHeight="1">
      <c r="A3063" s="19" t="s">
        <v>8236</v>
      </c>
      <c r="B3063" s="19" t="s">
        <v>8251</v>
      </c>
      <c r="C3063" s="204" t="s">
        <v>2656</v>
      </c>
      <c r="D3063" s="204" t="s">
        <v>2276</v>
      </c>
      <c r="E3063" s="204" t="s">
        <v>1105</v>
      </c>
      <c r="F3063" s="4" t="s">
        <v>2276</v>
      </c>
      <c r="G3063" s="4" t="s">
        <v>2662</v>
      </c>
      <c r="H3063" s="204" t="s">
        <v>523</v>
      </c>
      <c r="I3063" s="204"/>
      <c r="J3063" s="204" t="s">
        <v>2276</v>
      </c>
      <c r="K3063" s="204" t="s">
        <v>2276</v>
      </c>
      <c r="L3063" s="204" t="s">
        <v>2276</v>
      </c>
      <c r="M3063" s="204" t="s">
        <v>2276</v>
      </c>
      <c r="N3063" s="204" t="s">
        <v>2276</v>
      </c>
      <c r="O3063" s="204" t="s">
        <v>2276</v>
      </c>
      <c r="P3063" s="204" t="s">
        <v>2276</v>
      </c>
      <c r="Q3063" s="204" t="s">
        <v>2276</v>
      </c>
      <c r="R3063" s="204" t="s">
        <v>2276</v>
      </c>
      <c r="S3063" s="204" t="s">
        <v>2276</v>
      </c>
      <c r="T3063" s="204" t="s">
        <v>2276</v>
      </c>
      <c r="U3063" s="204" t="s">
        <v>2276</v>
      </c>
      <c r="V3063" s="204" t="s">
        <v>2276</v>
      </c>
      <c r="W3063" s="204" t="s">
        <v>2276</v>
      </c>
      <c r="X3063" s="204" t="s">
        <v>2276</v>
      </c>
      <c r="Y3063" s="204" t="s">
        <v>2276</v>
      </c>
      <c r="Z3063" s="204" t="s">
        <v>34</v>
      </c>
      <c r="AA3063" s="204" t="s">
        <v>404</v>
      </c>
      <c r="AB3063" s="204" t="s">
        <v>2655</v>
      </c>
      <c r="AC3063" s="204"/>
      <c r="AD3063" s="204"/>
    </row>
    <row r="3064" spans="1:30" ht="29" customHeight="1">
      <c r="A3064" s="19" t="s">
        <v>8240</v>
      </c>
      <c r="B3064" s="19" t="s">
        <v>8252</v>
      </c>
      <c r="C3064" s="204" t="s">
        <v>2656</v>
      </c>
      <c r="D3064" s="204" t="s">
        <v>2276</v>
      </c>
      <c r="E3064" s="204" t="s">
        <v>1105</v>
      </c>
      <c r="F3064" s="4" t="s">
        <v>2276</v>
      </c>
      <c r="G3064" s="4" t="s">
        <v>2662</v>
      </c>
      <c r="H3064" s="204" t="s">
        <v>523</v>
      </c>
      <c r="I3064" s="204"/>
      <c r="J3064" s="204" t="s">
        <v>2276</v>
      </c>
      <c r="K3064" s="204" t="s">
        <v>2276</v>
      </c>
      <c r="L3064" s="204" t="s">
        <v>2276</v>
      </c>
      <c r="M3064" s="204" t="s">
        <v>2276</v>
      </c>
      <c r="N3064" s="204" t="s">
        <v>2276</v>
      </c>
      <c r="O3064" s="204" t="s">
        <v>2276</v>
      </c>
      <c r="P3064" s="204" t="s">
        <v>2276</v>
      </c>
      <c r="Q3064" s="204" t="s">
        <v>2276</v>
      </c>
      <c r="R3064" s="204" t="s">
        <v>2276</v>
      </c>
      <c r="S3064" s="204" t="s">
        <v>2276</v>
      </c>
      <c r="T3064" s="204" t="s">
        <v>2276</v>
      </c>
      <c r="U3064" s="204" t="s">
        <v>2276</v>
      </c>
      <c r="V3064" s="204" t="s">
        <v>2276</v>
      </c>
      <c r="W3064" s="204" t="s">
        <v>2276</v>
      </c>
      <c r="X3064" s="204" t="s">
        <v>2276</v>
      </c>
      <c r="Y3064" s="204" t="s">
        <v>2276</v>
      </c>
      <c r="Z3064" s="204" t="s">
        <v>34</v>
      </c>
      <c r="AA3064" s="204" t="s">
        <v>404</v>
      </c>
      <c r="AB3064" s="204" t="s">
        <v>2655</v>
      </c>
      <c r="AC3064" s="204"/>
      <c r="AD3064" s="204"/>
    </row>
    <row r="3065" spans="1:30" ht="29" customHeight="1">
      <c r="A3065" s="19" t="s">
        <v>8241</v>
      </c>
      <c r="B3065" s="19" t="s">
        <v>8253</v>
      </c>
      <c r="C3065" s="204" t="s">
        <v>2656</v>
      </c>
      <c r="D3065" s="204" t="s">
        <v>2276</v>
      </c>
      <c r="E3065" s="204" t="s">
        <v>1105</v>
      </c>
      <c r="F3065" s="4" t="s">
        <v>2276</v>
      </c>
      <c r="G3065" s="4" t="s">
        <v>2662</v>
      </c>
      <c r="H3065" s="204" t="s">
        <v>523</v>
      </c>
      <c r="I3065" s="204"/>
      <c r="J3065" s="204" t="s">
        <v>2276</v>
      </c>
      <c r="K3065" s="204" t="s">
        <v>2276</v>
      </c>
      <c r="L3065" s="204" t="s">
        <v>2276</v>
      </c>
      <c r="M3065" s="204" t="s">
        <v>2276</v>
      </c>
      <c r="N3065" s="204" t="s">
        <v>2276</v>
      </c>
      <c r="O3065" s="204" t="s">
        <v>2276</v>
      </c>
      <c r="P3065" s="204" t="s">
        <v>2276</v>
      </c>
      <c r="Q3065" s="204" t="s">
        <v>2276</v>
      </c>
      <c r="R3065" s="204" t="s">
        <v>2276</v>
      </c>
      <c r="S3065" s="204" t="s">
        <v>2276</v>
      </c>
      <c r="T3065" s="204" t="s">
        <v>2276</v>
      </c>
      <c r="U3065" s="204" t="s">
        <v>2276</v>
      </c>
      <c r="V3065" s="204" t="s">
        <v>2276</v>
      </c>
      <c r="W3065" s="204" t="s">
        <v>2276</v>
      </c>
      <c r="X3065" s="204" t="s">
        <v>2276</v>
      </c>
      <c r="Y3065" s="204" t="s">
        <v>2276</v>
      </c>
      <c r="Z3065" s="204" t="s">
        <v>34</v>
      </c>
      <c r="AA3065" s="204" t="s">
        <v>404</v>
      </c>
      <c r="AB3065" s="204" t="s">
        <v>2655</v>
      </c>
      <c r="AC3065" s="204"/>
      <c r="AD3065" s="204"/>
    </row>
    <row r="3066" spans="1:30" ht="29" customHeight="1">
      <c r="A3066" s="19" t="s">
        <v>8242</v>
      </c>
      <c r="B3066" s="19" t="s">
        <v>8254</v>
      </c>
      <c r="C3066" s="204" t="s">
        <v>2656</v>
      </c>
      <c r="D3066" s="204" t="s">
        <v>2276</v>
      </c>
      <c r="E3066" s="204" t="s">
        <v>1105</v>
      </c>
      <c r="F3066" s="4" t="s">
        <v>2276</v>
      </c>
      <c r="G3066" s="4" t="s">
        <v>2662</v>
      </c>
      <c r="H3066" s="204" t="s">
        <v>523</v>
      </c>
      <c r="I3066" s="204"/>
      <c r="J3066" s="204" t="s">
        <v>2276</v>
      </c>
      <c r="K3066" s="204" t="s">
        <v>2276</v>
      </c>
      <c r="L3066" s="204" t="s">
        <v>2276</v>
      </c>
      <c r="M3066" s="204" t="s">
        <v>2276</v>
      </c>
      <c r="N3066" s="204" t="s">
        <v>2276</v>
      </c>
      <c r="O3066" s="204" t="s">
        <v>2276</v>
      </c>
      <c r="P3066" s="204" t="s">
        <v>2276</v>
      </c>
      <c r="Q3066" s="204" t="s">
        <v>2276</v>
      </c>
      <c r="R3066" s="204" t="s">
        <v>2276</v>
      </c>
      <c r="S3066" s="204" t="s">
        <v>2276</v>
      </c>
      <c r="T3066" s="204" t="s">
        <v>2276</v>
      </c>
      <c r="U3066" s="204" t="s">
        <v>2276</v>
      </c>
      <c r="V3066" s="204" t="s">
        <v>2276</v>
      </c>
      <c r="W3066" s="204" t="s">
        <v>2276</v>
      </c>
      <c r="X3066" s="204" t="s">
        <v>2276</v>
      </c>
      <c r="Y3066" s="204" t="s">
        <v>2276</v>
      </c>
      <c r="Z3066" s="204" t="s">
        <v>34</v>
      </c>
      <c r="AA3066" s="204" t="s">
        <v>404</v>
      </c>
      <c r="AB3066" s="204" t="s">
        <v>2655</v>
      </c>
      <c r="AC3066" s="204"/>
      <c r="AD3066" s="204"/>
    </row>
    <row r="3067" spans="1:30" ht="39" customHeight="1">
      <c r="A3067" s="19" t="s">
        <v>8257</v>
      </c>
      <c r="B3067" s="19" t="s">
        <v>8259</v>
      </c>
      <c r="C3067" s="204" t="s">
        <v>24</v>
      </c>
      <c r="D3067" s="204" t="s">
        <v>1245</v>
      </c>
      <c r="E3067" s="204" t="s">
        <v>116</v>
      </c>
      <c r="F3067" s="4" t="s">
        <v>2662</v>
      </c>
      <c r="G3067" s="4" t="s">
        <v>2662</v>
      </c>
      <c r="H3067" s="204" t="s">
        <v>523</v>
      </c>
      <c r="I3067" s="204"/>
      <c r="J3067" s="204" t="s">
        <v>2276</v>
      </c>
      <c r="K3067" s="204" t="s">
        <v>2276</v>
      </c>
      <c r="L3067" s="204" t="s">
        <v>2276</v>
      </c>
      <c r="M3067" s="204" t="s">
        <v>2276</v>
      </c>
      <c r="N3067" s="204" t="s">
        <v>2276</v>
      </c>
      <c r="O3067" s="204" t="s">
        <v>2276</v>
      </c>
      <c r="P3067" s="204" t="s">
        <v>2276</v>
      </c>
      <c r="Q3067" s="204" t="s">
        <v>2276</v>
      </c>
      <c r="R3067" s="204" t="s">
        <v>2276</v>
      </c>
      <c r="S3067" s="204" t="s">
        <v>2276</v>
      </c>
      <c r="T3067" s="204" t="s">
        <v>2276</v>
      </c>
      <c r="U3067" s="204" t="s">
        <v>2276</v>
      </c>
      <c r="V3067" s="204" t="s">
        <v>2276</v>
      </c>
      <c r="W3067" s="204" t="s">
        <v>2276</v>
      </c>
      <c r="X3067" s="204" t="s">
        <v>2276</v>
      </c>
      <c r="Y3067" s="14">
        <v>0.5</v>
      </c>
      <c r="Z3067" s="204" t="s">
        <v>425</v>
      </c>
      <c r="AA3067" s="204" t="s">
        <v>68</v>
      </c>
      <c r="AB3067" s="204" t="s">
        <v>76</v>
      </c>
      <c r="AC3067" s="4" t="s">
        <v>8267</v>
      </c>
      <c r="AD3067" s="4" t="s">
        <v>8268</v>
      </c>
    </row>
    <row r="3068" spans="1:30" ht="39" customHeight="1">
      <c r="A3068" s="19" t="s">
        <v>8257</v>
      </c>
      <c r="B3068" s="19" t="s">
        <v>8260</v>
      </c>
      <c r="C3068" s="204" t="s">
        <v>24</v>
      </c>
      <c r="D3068" s="204" t="s">
        <v>2341</v>
      </c>
      <c r="E3068" s="204" t="s">
        <v>116</v>
      </c>
      <c r="F3068" s="4" t="s">
        <v>2662</v>
      </c>
      <c r="G3068" s="4" t="s">
        <v>2662</v>
      </c>
      <c r="H3068" s="204" t="s">
        <v>523</v>
      </c>
      <c r="I3068" s="204"/>
      <c r="J3068" s="204" t="s">
        <v>2276</v>
      </c>
      <c r="K3068" s="204" t="s">
        <v>2276</v>
      </c>
      <c r="L3068" s="204" t="s">
        <v>2276</v>
      </c>
      <c r="M3068" s="204" t="s">
        <v>2276</v>
      </c>
      <c r="N3068" s="204" t="s">
        <v>2276</v>
      </c>
      <c r="O3068" s="204" t="s">
        <v>2276</v>
      </c>
      <c r="P3068" s="204" t="s">
        <v>2276</v>
      </c>
      <c r="Q3068" s="204" t="s">
        <v>2276</v>
      </c>
      <c r="R3068" s="204" t="s">
        <v>2276</v>
      </c>
      <c r="S3068" s="204" t="s">
        <v>2276</v>
      </c>
      <c r="T3068" s="204" t="s">
        <v>2276</v>
      </c>
      <c r="U3068" s="204" t="s">
        <v>2276</v>
      </c>
      <c r="V3068" s="204" t="s">
        <v>2276</v>
      </c>
      <c r="W3068" s="204" t="s">
        <v>2276</v>
      </c>
      <c r="X3068" s="204" t="s">
        <v>2276</v>
      </c>
      <c r="Y3068" s="204" t="s">
        <v>2276</v>
      </c>
      <c r="Z3068" s="204" t="s">
        <v>425</v>
      </c>
      <c r="AA3068" s="204" t="s">
        <v>68</v>
      </c>
      <c r="AB3068" s="204" t="s">
        <v>76</v>
      </c>
      <c r="AC3068" s="204"/>
      <c r="AD3068" s="4" t="s">
        <v>8268</v>
      </c>
    </row>
    <row r="3069" spans="1:30" ht="33.5" customHeight="1">
      <c r="A3069" s="19" t="s">
        <v>8257</v>
      </c>
      <c r="B3069" s="19" t="s">
        <v>8261</v>
      </c>
      <c r="C3069" s="204" t="s">
        <v>24</v>
      </c>
      <c r="D3069" s="204" t="s">
        <v>1242</v>
      </c>
      <c r="E3069" s="204" t="s">
        <v>116</v>
      </c>
      <c r="F3069" s="4" t="s">
        <v>2662</v>
      </c>
      <c r="G3069" s="4" t="s">
        <v>2662</v>
      </c>
      <c r="H3069" s="204" t="s">
        <v>523</v>
      </c>
      <c r="J3069" s="38" t="s">
        <v>2276</v>
      </c>
      <c r="K3069" s="38" t="s">
        <v>2276</v>
      </c>
      <c r="L3069" s="38" t="s">
        <v>2276</v>
      </c>
      <c r="M3069" s="38" t="s">
        <v>2276</v>
      </c>
      <c r="N3069" s="38" t="s">
        <v>2276</v>
      </c>
      <c r="O3069" s="38" t="s">
        <v>2276</v>
      </c>
      <c r="P3069" s="38" t="s">
        <v>2276</v>
      </c>
      <c r="Q3069" s="38" t="s">
        <v>2276</v>
      </c>
      <c r="R3069" s="38" t="s">
        <v>2276</v>
      </c>
      <c r="S3069" s="38" t="s">
        <v>2276</v>
      </c>
      <c r="T3069" s="38" t="s">
        <v>2276</v>
      </c>
      <c r="U3069" s="38" t="s">
        <v>2276</v>
      </c>
      <c r="V3069" s="38" t="s">
        <v>2276</v>
      </c>
      <c r="W3069" s="38" t="s">
        <v>2276</v>
      </c>
      <c r="X3069" s="38" t="s">
        <v>2276</v>
      </c>
      <c r="Y3069" s="38" t="s">
        <v>2276</v>
      </c>
      <c r="Z3069" s="38" t="s">
        <v>189</v>
      </c>
      <c r="AA3069" s="38" t="s">
        <v>38</v>
      </c>
      <c r="AB3069" s="38" t="s">
        <v>2655</v>
      </c>
      <c r="AC3069" s="168" t="s">
        <v>8266</v>
      </c>
      <c r="AD3069" s="4" t="s">
        <v>8268</v>
      </c>
    </row>
    <row r="3070" spans="1:30" ht="41" customHeight="1">
      <c r="A3070" s="19" t="s">
        <v>8257</v>
      </c>
      <c r="B3070" s="19" t="s">
        <v>8262</v>
      </c>
      <c r="C3070" s="204" t="s">
        <v>24</v>
      </c>
      <c r="D3070" s="204" t="s">
        <v>2305</v>
      </c>
      <c r="E3070" s="204" t="s">
        <v>116</v>
      </c>
      <c r="F3070" s="4" t="s">
        <v>2662</v>
      </c>
      <c r="G3070" s="4" t="s">
        <v>2662</v>
      </c>
      <c r="H3070" s="204" t="s">
        <v>523</v>
      </c>
      <c r="I3070" s="204"/>
      <c r="J3070" s="204" t="s">
        <v>2276</v>
      </c>
      <c r="K3070" s="204" t="s">
        <v>2276</v>
      </c>
      <c r="L3070" s="204" t="s">
        <v>2276</v>
      </c>
      <c r="M3070" s="204" t="s">
        <v>2276</v>
      </c>
      <c r="N3070" s="204" t="s">
        <v>2276</v>
      </c>
      <c r="O3070" s="204" t="s">
        <v>2276</v>
      </c>
      <c r="P3070" s="204" t="s">
        <v>2276</v>
      </c>
      <c r="Q3070" s="204" t="s">
        <v>2276</v>
      </c>
      <c r="R3070" s="204" t="s">
        <v>2276</v>
      </c>
      <c r="S3070" s="204" t="s">
        <v>2276</v>
      </c>
      <c r="T3070" s="204" t="s">
        <v>2276</v>
      </c>
      <c r="U3070" s="204" t="s">
        <v>2276</v>
      </c>
      <c r="V3070" s="204" t="s">
        <v>2276</v>
      </c>
      <c r="W3070" s="204" t="s">
        <v>2276</v>
      </c>
      <c r="X3070" s="204" t="s">
        <v>2276</v>
      </c>
      <c r="Y3070" s="204" t="s">
        <v>2276</v>
      </c>
      <c r="Z3070" s="204" t="s">
        <v>38</v>
      </c>
      <c r="AA3070" s="204" t="s">
        <v>34</v>
      </c>
      <c r="AB3070" s="204" t="s">
        <v>2655</v>
      </c>
      <c r="AC3070" s="168" t="s">
        <v>8266</v>
      </c>
      <c r="AD3070" s="4" t="s">
        <v>8268</v>
      </c>
    </row>
    <row r="3071" spans="1:30" ht="38" customHeight="1">
      <c r="A3071" s="19" t="s">
        <v>8257</v>
      </c>
      <c r="B3071" s="19" t="s">
        <v>8263</v>
      </c>
      <c r="C3071" s="204" t="s">
        <v>24</v>
      </c>
      <c r="D3071" s="204" t="s">
        <v>3480</v>
      </c>
      <c r="E3071" s="204" t="s">
        <v>116</v>
      </c>
      <c r="F3071" s="4" t="s">
        <v>2662</v>
      </c>
      <c r="G3071" s="4" t="s">
        <v>2662</v>
      </c>
      <c r="H3071" s="204" t="s">
        <v>523</v>
      </c>
      <c r="I3071" s="204"/>
      <c r="J3071" s="204" t="s">
        <v>2276</v>
      </c>
      <c r="K3071" s="204" t="s">
        <v>2276</v>
      </c>
      <c r="L3071" s="204" t="s">
        <v>2276</v>
      </c>
      <c r="M3071" s="204" t="s">
        <v>2276</v>
      </c>
      <c r="N3071" s="204" t="s">
        <v>2276</v>
      </c>
      <c r="O3071" s="204" t="s">
        <v>2276</v>
      </c>
      <c r="P3071" s="204" t="s">
        <v>2276</v>
      </c>
      <c r="Q3071" s="204" t="s">
        <v>2276</v>
      </c>
      <c r="R3071" s="204" t="s">
        <v>2276</v>
      </c>
      <c r="S3071" s="204" t="s">
        <v>2276</v>
      </c>
      <c r="T3071" s="204" t="s">
        <v>2276</v>
      </c>
      <c r="U3071" s="204" t="s">
        <v>2276</v>
      </c>
      <c r="V3071" s="204" t="s">
        <v>2276</v>
      </c>
      <c r="W3071" s="204" t="s">
        <v>2276</v>
      </c>
      <c r="X3071" s="204" t="s">
        <v>2276</v>
      </c>
      <c r="Y3071" s="204" t="s">
        <v>2276</v>
      </c>
      <c r="Z3071" s="204" t="s">
        <v>38</v>
      </c>
      <c r="AA3071" s="204" t="s">
        <v>34</v>
      </c>
      <c r="AB3071" s="204" t="s">
        <v>64</v>
      </c>
      <c r="AC3071" s="4"/>
      <c r="AD3071" s="4" t="s">
        <v>8268</v>
      </c>
    </row>
    <row r="3072" spans="1:30" ht="31" customHeight="1">
      <c r="A3072" s="19" t="s">
        <v>8257</v>
      </c>
      <c r="B3072" s="19" t="s">
        <v>8264</v>
      </c>
      <c r="C3072" s="204" t="s">
        <v>24</v>
      </c>
      <c r="D3072" s="204" t="s">
        <v>1242</v>
      </c>
      <c r="E3072" s="204" t="s">
        <v>116</v>
      </c>
      <c r="F3072" s="4" t="s">
        <v>2662</v>
      </c>
      <c r="G3072" s="4" t="s">
        <v>2662</v>
      </c>
      <c r="H3072" s="204" t="s">
        <v>523</v>
      </c>
      <c r="I3072" s="204"/>
      <c r="J3072" s="204" t="s">
        <v>2276</v>
      </c>
      <c r="K3072" s="204" t="s">
        <v>2276</v>
      </c>
      <c r="L3072" s="204" t="s">
        <v>2276</v>
      </c>
      <c r="M3072" s="204" t="s">
        <v>2276</v>
      </c>
      <c r="N3072" s="204" t="s">
        <v>2276</v>
      </c>
      <c r="O3072" s="204" t="s">
        <v>2276</v>
      </c>
      <c r="P3072" s="204" t="s">
        <v>2276</v>
      </c>
      <c r="Q3072" s="204" t="s">
        <v>2276</v>
      </c>
      <c r="R3072" s="204" t="s">
        <v>2276</v>
      </c>
      <c r="S3072" s="204" t="s">
        <v>2276</v>
      </c>
      <c r="T3072" s="204" t="s">
        <v>2276</v>
      </c>
      <c r="U3072" s="204" t="s">
        <v>2276</v>
      </c>
      <c r="V3072" s="204" t="s">
        <v>2276</v>
      </c>
      <c r="W3072" s="204" t="s">
        <v>2276</v>
      </c>
      <c r="X3072" s="204" t="s">
        <v>2276</v>
      </c>
      <c r="Y3072" s="204" t="s">
        <v>2276</v>
      </c>
      <c r="Z3072" s="204" t="s">
        <v>34</v>
      </c>
      <c r="AA3072" s="204" t="s">
        <v>405</v>
      </c>
      <c r="AB3072" s="204" t="s">
        <v>64</v>
      </c>
      <c r="AC3072" s="4" t="s">
        <v>8265</v>
      </c>
      <c r="AD3072" s="4" t="s">
        <v>8268</v>
      </c>
    </row>
    <row r="3073" spans="1:30" ht="36" customHeight="1">
      <c r="A3073" s="19" t="s">
        <v>8271</v>
      </c>
      <c r="B3073" s="19" t="s">
        <v>8275</v>
      </c>
      <c r="C3073" s="204" t="s">
        <v>24</v>
      </c>
      <c r="D3073" s="204" t="s">
        <v>1245</v>
      </c>
      <c r="E3073" s="204" t="s">
        <v>116</v>
      </c>
      <c r="F3073" s="4" t="s">
        <v>74</v>
      </c>
      <c r="G3073" s="4" t="s">
        <v>74</v>
      </c>
      <c r="H3073" s="204" t="s">
        <v>524</v>
      </c>
      <c r="I3073" s="204">
        <v>1996</v>
      </c>
      <c r="J3073" s="14">
        <v>0</v>
      </c>
      <c r="K3073" s="21">
        <v>0</v>
      </c>
      <c r="L3073" s="21">
        <v>0</v>
      </c>
      <c r="M3073" s="21">
        <v>0</v>
      </c>
      <c r="N3073" s="21">
        <v>0</v>
      </c>
      <c r="O3073" s="21">
        <v>0</v>
      </c>
      <c r="P3073" s="21">
        <v>0</v>
      </c>
      <c r="Q3073" s="21">
        <v>0</v>
      </c>
      <c r="R3073" s="21">
        <v>0</v>
      </c>
      <c r="S3073" s="21">
        <v>0</v>
      </c>
      <c r="T3073" s="21">
        <v>0</v>
      </c>
      <c r="U3073" s="21">
        <v>0</v>
      </c>
      <c r="V3073" s="21">
        <v>0</v>
      </c>
      <c r="W3073" s="21">
        <v>0</v>
      </c>
      <c r="X3073" s="21">
        <v>0</v>
      </c>
      <c r="Y3073" s="204" t="s">
        <v>2276</v>
      </c>
      <c r="Z3073" s="204" t="s">
        <v>2276</v>
      </c>
      <c r="AA3073" s="204" t="s">
        <v>2276</v>
      </c>
      <c r="AB3073" s="204" t="s">
        <v>2276</v>
      </c>
      <c r="AC3073" s="204"/>
      <c r="AD3073" s="204"/>
    </row>
    <row r="3074" spans="1:30" ht="33" customHeight="1">
      <c r="A3074" s="19" t="s">
        <v>8271</v>
      </c>
      <c r="B3074" s="19" t="s">
        <v>8276</v>
      </c>
      <c r="C3074" s="204" t="s">
        <v>2656</v>
      </c>
      <c r="D3074" s="204" t="s">
        <v>2276</v>
      </c>
      <c r="E3074" s="204" t="s">
        <v>1105</v>
      </c>
      <c r="F3074" s="4" t="s">
        <v>2276</v>
      </c>
      <c r="G3074" s="4" t="s">
        <v>74</v>
      </c>
      <c r="H3074" s="204" t="s">
        <v>523</v>
      </c>
      <c r="I3074" s="204"/>
      <c r="J3074" s="204" t="s">
        <v>2276</v>
      </c>
      <c r="K3074" s="204" t="s">
        <v>2276</v>
      </c>
      <c r="L3074" s="204" t="s">
        <v>2276</v>
      </c>
      <c r="M3074" s="204" t="s">
        <v>2276</v>
      </c>
      <c r="N3074" s="204" t="s">
        <v>2276</v>
      </c>
      <c r="O3074" s="204" t="s">
        <v>2276</v>
      </c>
      <c r="P3074" s="204" t="s">
        <v>2276</v>
      </c>
      <c r="Q3074" s="204" t="s">
        <v>2276</v>
      </c>
      <c r="R3074" s="21">
        <v>0.1</v>
      </c>
      <c r="S3074" s="204" t="s">
        <v>2276</v>
      </c>
      <c r="T3074" s="204" t="s">
        <v>2276</v>
      </c>
      <c r="U3074" s="204" t="s">
        <v>2276</v>
      </c>
      <c r="V3074" s="204" t="s">
        <v>2276</v>
      </c>
      <c r="W3074" s="204" t="s">
        <v>2276</v>
      </c>
      <c r="X3074" s="204" t="s">
        <v>2276</v>
      </c>
      <c r="Y3074" s="204" t="s">
        <v>2276</v>
      </c>
      <c r="Z3074" s="204" t="s">
        <v>2276</v>
      </c>
      <c r="AA3074" s="204" t="s">
        <v>2276</v>
      </c>
      <c r="AB3074" s="204" t="s">
        <v>2276</v>
      </c>
      <c r="AC3074" s="204"/>
      <c r="AD3074" s="204"/>
    </row>
    <row r="3075" spans="1:30" ht="40" customHeight="1">
      <c r="A3075" s="19" t="s">
        <v>8271</v>
      </c>
      <c r="B3075" s="19" t="s">
        <v>8280</v>
      </c>
      <c r="C3075" s="204" t="s">
        <v>24</v>
      </c>
      <c r="D3075" s="204" t="s">
        <v>1245</v>
      </c>
      <c r="E3075" s="204" t="s">
        <v>116</v>
      </c>
      <c r="F3075" s="4" t="s">
        <v>74</v>
      </c>
      <c r="G3075" s="4" t="s">
        <v>74</v>
      </c>
      <c r="H3075" s="204" t="s">
        <v>523</v>
      </c>
      <c r="I3075" s="204">
        <v>1950</v>
      </c>
      <c r="J3075" s="204" t="s">
        <v>2276</v>
      </c>
      <c r="K3075" s="204" t="s">
        <v>2276</v>
      </c>
      <c r="L3075" s="204" t="s">
        <v>2276</v>
      </c>
      <c r="M3075" s="204" t="s">
        <v>2276</v>
      </c>
      <c r="N3075" s="204" t="s">
        <v>2276</v>
      </c>
      <c r="O3075" s="204" t="s">
        <v>2276</v>
      </c>
      <c r="P3075" s="204" t="s">
        <v>2276</v>
      </c>
      <c r="Q3075" s="204" t="s">
        <v>2276</v>
      </c>
      <c r="R3075" s="204" t="s">
        <v>2276</v>
      </c>
      <c r="S3075" s="204" t="s">
        <v>2276</v>
      </c>
      <c r="T3075" s="204" t="s">
        <v>2276</v>
      </c>
      <c r="U3075" s="204" t="s">
        <v>2276</v>
      </c>
      <c r="V3075" s="204" t="s">
        <v>2276</v>
      </c>
      <c r="W3075" s="204" t="s">
        <v>2276</v>
      </c>
      <c r="X3075" s="204" t="s">
        <v>2276</v>
      </c>
      <c r="Y3075" s="204" t="s">
        <v>2276</v>
      </c>
      <c r="Z3075" s="204" t="s">
        <v>2276</v>
      </c>
      <c r="AA3075" s="204" t="s">
        <v>189</v>
      </c>
      <c r="AB3075" s="204" t="s">
        <v>38</v>
      </c>
      <c r="AC3075" s="204"/>
      <c r="AD3075" s="204"/>
    </row>
    <row r="3076" spans="1:30" ht="38" customHeight="1">
      <c r="A3076" s="19" t="s">
        <v>8271</v>
      </c>
      <c r="B3076" s="19" t="s">
        <v>8282</v>
      </c>
      <c r="C3076" s="204" t="s">
        <v>24</v>
      </c>
      <c r="D3076" s="204" t="s">
        <v>3480</v>
      </c>
      <c r="E3076" s="204" t="s">
        <v>116</v>
      </c>
      <c r="F3076" s="4" t="s">
        <v>74</v>
      </c>
      <c r="G3076" s="4" t="s">
        <v>74</v>
      </c>
      <c r="H3076" s="204" t="s">
        <v>523</v>
      </c>
      <c r="I3076" s="204">
        <v>1950</v>
      </c>
      <c r="J3076" s="204" t="s">
        <v>2276</v>
      </c>
      <c r="K3076" s="204" t="s">
        <v>2276</v>
      </c>
      <c r="L3076" s="204" t="s">
        <v>2276</v>
      </c>
      <c r="M3076" s="204" t="s">
        <v>2276</v>
      </c>
      <c r="N3076" s="204" t="s">
        <v>2276</v>
      </c>
      <c r="O3076" s="204" t="s">
        <v>2276</v>
      </c>
      <c r="P3076" s="204" t="s">
        <v>2276</v>
      </c>
      <c r="Q3076" s="204" t="s">
        <v>2276</v>
      </c>
      <c r="R3076" s="204" t="s">
        <v>2276</v>
      </c>
      <c r="S3076" s="204" t="s">
        <v>2276</v>
      </c>
      <c r="T3076" s="204" t="s">
        <v>2276</v>
      </c>
      <c r="U3076" s="204" t="s">
        <v>2276</v>
      </c>
      <c r="V3076" s="204" t="s">
        <v>2276</v>
      </c>
      <c r="W3076" s="204" t="s">
        <v>2276</v>
      </c>
      <c r="X3076" s="204" t="s">
        <v>2276</v>
      </c>
      <c r="Y3076" s="204" t="s">
        <v>2276</v>
      </c>
      <c r="Z3076" s="204" t="s">
        <v>2276</v>
      </c>
      <c r="AA3076" s="204" t="s">
        <v>189</v>
      </c>
      <c r="AB3076" s="204" t="s">
        <v>38</v>
      </c>
      <c r="AC3076" s="204"/>
      <c r="AD3076" s="204"/>
    </row>
    <row r="3077" spans="1:30" ht="33.5" customHeight="1">
      <c r="A3077" s="19" t="s">
        <v>8284</v>
      </c>
      <c r="B3077" s="19" t="s">
        <v>8288</v>
      </c>
      <c r="C3077" s="204" t="s">
        <v>24</v>
      </c>
      <c r="D3077" s="204" t="s">
        <v>1242</v>
      </c>
      <c r="E3077" s="204" t="s">
        <v>116</v>
      </c>
      <c r="F3077" s="4" t="s">
        <v>2662</v>
      </c>
      <c r="G3077" s="4" t="s">
        <v>2662</v>
      </c>
      <c r="H3077" s="204" t="s">
        <v>523</v>
      </c>
      <c r="I3077" s="204"/>
      <c r="J3077" s="204" t="s">
        <v>2276</v>
      </c>
      <c r="K3077" s="204" t="s">
        <v>2276</v>
      </c>
      <c r="L3077" s="204" t="s">
        <v>2276</v>
      </c>
      <c r="M3077" s="204" t="s">
        <v>2276</v>
      </c>
      <c r="N3077" s="204" t="s">
        <v>2276</v>
      </c>
      <c r="O3077" s="204" t="s">
        <v>2276</v>
      </c>
      <c r="P3077" s="204" t="s">
        <v>2276</v>
      </c>
      <c r="Q3077" s="204" t="s">
        <v>2276</v>
      </c>
      <c r="R3077" s="204" t="s">
        <v>2276</v>
      </c>
      <c r="S3077" s="204" t="s">
        <v>2276</v>
      </c>
      <c r="T3077" s="204" t="s">
        <v>2276</v>
      </c>
      <c r="U3077" s="204" t="s">
        <v>2276</v>
      </c>
      <c r="V3077" s="204" t="s">
        <v>2276</v>
      </c>
      <c r="W3077" s="204" t="s">
        <v>2276</v>
      </c>
      <c r="X3077" s="204" t="s">
        <v>2276</v>
      </c>
      <c r="Y3077" s="204" t="s">
        <v>2276</v>
      </c>
      <c r="Z3077" s="204" t="s">
        <v>2276</v>
      </c>
      <c r="AA3077" s="204" t="s">
        <v>2276</v>
      </c>
      <c r="AB3077" s="204" t="s">
        <v>2276</v>
      </c>
      <c r="AC3077" s="204"/>
      <c r="AD3077" s="204"/>
    </row>
    <row r="3078" spans="1:30" ht="33.5" customHeight="1">
      <c r="A3078" s="19" t="s">
        <v>8285</v>
      </c>
      <c r="B3078" s="19" t="s">
        <v>8289</v>
      </c>
      <c r="C3078" s="204" t="s">
        <v>24</v>
      </c>
      <c r="D3078" s="204" t="s">
        <v>1242</v>
      </c>
      <c r="E3078" s="204" t="s">
        <v>116</v>
      </c>
      <c r="F3078" s="4" t="s">
        <v>2662</v>
      </c>
      <c r="G3078" s="4" t="s">
        <v>2662</v>
      </c>
      <c r="H3078" s="204" t="s">
        <v>523</v>
      </c>
      <c r="I3078" s="204"/>
      <c r="J3078" s="204" t="s">
        <v>2276</v>
      </c>
      <c r="K3078" s="204" t="s">
        <v>2276</v>
      </c>
      <c r="L3078" s="204" t="s">
        <v>2276</v>
      </c>
      <c r="M3078" s="204" t="s">
        <v>2276</v>
      </c>
      <c r="N3078" s="204" t="s">
        <v>2276</v>
      </c>
      <c r="O3078" s="204" t="s">
        <v>2276</v>
      </c>
      <c r="P3078" s="204" t="s">
        <v>2276</v>
      </c>
      <c r="Q3078" s="204" t="s">
        <v>2276</v>
      </c>
      <c r="R3078" s="204" t="s">
        <v>2276</v>
      </c>
      <c r="S3078" s="204" t="s">
        <v>2276</v>
      </c>
      <c r="T3078" s="204" t="s">
        <v>2276</v>
      </c>
      <c r="U3078" s="204" t="s">
        <v>2276</v>
      </c>
      <c r="V3078" s="204" t="s">
        <v>2276</v>
      </c>
      <c r="W3078" s="204" t="s">
        <v>2276</v>
      </c>
      <c r="X3078" s="204" t="s">
        <v>2276</v>
      </c>
      <c r="Y3078" s="204" t="s">
        <v>2276</v>
      </c>
      <c r="Z3078" s="204" t="s">
        <v>2276</v>
      </c>
      <c r="AA3078" s="204" t="s">
        <v>2276</v>
      </c>
      <c r="AB3078" s="204" t="s">
        <v>2276</v>
      </c>
      <c r="AC3078" s="204"/>
      <c r="AD3078" s="204"/>
    </row>
    <row r="3079" spans="1:30" ht="33.5" customHeight="1">
      <c r="A3079" s="19" t="s">
        <v>8286</v>
      </c>
      <c r="B3079" s="19" t="s">
        <v>8290</v>
      </c>
      <c r="C3079" s="204" t="s">
        <v>24</v>
      </c>
      <c r="D3079" s="204" t="s">
        <v>1242</v>
      </c>
      <c r="E3079" s="204" t="s">
        <v>116</v>
      </c>
      <c r="F3079" s="4" t="s">
        <v>2662</v>
      </c>
      <c r="G3079" s="4" t="s">
        <v>2662</v>
      </c>
      <c r="H3079" s="204" t="s">
        <v>523</v>
      </c>
      <c r="I3079" s="204"/>
      <c r="J3079" s="204" t="s">
        <v>2276</v>
      </c>
      <c r="K3079" s="204" t="s">
        <v>2276</v>
      </c>
      <c r="L3079" s="204" t="s">
        <v>2276</v>
      </c>
      <c r="M3079" s="204" t="s">
        <v>2276</v>
      </c>
      <c r="N3079" s="204" t="s">
        <v>2276</v>
      </c>
      <c r="O3079" s="204" t="s">
        <v>2276</v>
      </c>
      <c r="P3079" s="204" t="s">
        <v>2276</v>
      </c>
      <c r="Q3079" s="204" t="s">
        <v>2276</v>
      </c>
      <c r="R3079" s="204" t="s">
        <v>2276</v>
      </c>
      <c r="S3079" s="204" t="s">
        <v>2276</v>
      </c>
      <c r="T3079" s="204" t="s">
        <v>2276</v>
      </c>
      <c r="U3079" s="204" t="s">
        <v>2276</v>
      </c>
      <c r="V3079" s="204" t="s">
        <v>2276</v>
      </c>
      <c r="W3079" s="204" t="s">
        <v>2276</v>
      </c>
      <c r="X3079" s="204" t="s">
        <v>2276</v>
      </c>
      <c r="Y3079" s="204" t="s">
        <v>2276</v>
      </c>
      <c r="Z3079" s="204" t="s">
        <v>2276</v>
      </c>
      <c r="AA3079" s="204" t="s">
        <v>2276</v>
      </c>
      <c r="AB3079" s="204" t="s">
        <v>2276</v>
      </c>
      <c r="AC3079" s="204"/>
      <c r="AD3079" s="204"/>
    </row>
    <row r="3080" spans="1:30" ht="33.5" customHeight="1">
      <c r="A3080" s="19" t="s">
        <v>8284</v>
      </c>
      <c r="B3080" s="19" t="s">
        <v>8293</v>
      </c>
      <c r="C3080" s="204" t="s">
        <v>24</v>
      </c>
      <c r="D3080" s="204" t="s">
        <v>1242</v>
      </c>
      <c r="E3080" s="204" t="s">
        <v>3209</v>
      </c>
      <c r="F3080" s="4" t="s">
        <v>2662</v>
      </c>
      <c r="G3080" s="4" t="s">
        <v>2662</v>
      </c>
      <c r="H3080" s="204" t="s">
        <v>523</v>
      </c>
      <c r="I3080" s="204"/>
      <c r="J3080" s="204" t="s">
        <v>2276</v>
      </c>
      <c r="K3080" s="204" t="s">
        <v>2276</v>
      </c>
      <c r="L3080" s="204" t="s">
        <v>2276</v>
      </c>
      <c r="M3080" s="204" t="s">
        <v>2276</v>
      </c>
      <c r="N3080" s="204" t="s">
        <v>2276</v>
      </c>
      <c r="O3080" s="204" t="s">
        <v>2276</v>
      </c>
      <c r="P3080" s="204" t="s">
        <v>2276</v>
      </c>
      <c r="Q3080" s="204" t="s">
        <v>2276</v>
      </c>
      <c r="R3080" s="204" t="s">
        <v>2276</v>
      </c>
      <c r="S3080" s="204" t="s">
        <v>2276</v>
      </c>
      <c r="T3080" s="204" t="s">
        <v>2276</v>
      </c>
      <c r="U3080" s="204" t="s">
        <v>2276</v>
      </c>
      <c r="V3080" s="204" t="s">
        <v>2276</v>
      </c>
      <c r="W3080" s="204" t="s">
        <v>2276</v>
      </c>
      <c r="X3080" s="204" t="s">
        <v>2276</v>
      </c>
      <c r="Y3080" s="204" t="s">
        <v>2276</v>
      </c>
      <c r="Z3080" s="204" t="s">
        <v>2276</v>
      </c>
      <c r="AA3080" s="204" t="s">
        <v>2276</v>
      </c>
      <c r="AB3080" s="204" t="s">
        <v>2276</v>
      </c>
      <c r="AC3080" s="204"/>
      <c r="AD3080" s="204"/>
    </row>
    <row r="3081" spans="1:30" ht="33.5" customHeight="1">
      <c r="A3081" s="19" t="s">
        <v>8285</v>
      </c>
      <c r="B3081" s="19" t="s">
        <v>8294</v>
      </c>
      <c r="C3081" s="204" t="s">
        <v>24</v>
      </c>
      <c r="D3081" s="204" t="s">
        <v>1242</v>
      </c>
      <c r="E3081" s="204" t="s">
        <v>3209</v>
      </c>
      <c r="F3081" s="4" t="s">
        <v>2662</v>
      </c>
      <c r="G3081" s="4" t="s">
        <v>2662</v>
      </c>
      <c r="H3081" s="204" t="s">
        <v>523</v>
      </c>
      <c r="I3081" s="204"/>
      <c r="J3081" s="204" t="s">
        <v>2276</v>
      </c>
      <c r="K3081" s="204" t="s">
        <v>2276</v>
      </c>
      <c r="L3081" s="204" t="s">
        <v>2276</v>
      </c>
      <c r="M3081" s="204" t="s">
        <v>2276</v>
      </c>
      <c r="N3081" s="204" t="s">
        <v>2276</v>
      </c>
      <c r="O3081" s="204" t="s">
        <v>2276</v>
      </c>
      <c r="P3081" s="204" t="s">
        <v>2276</v>
      </c>
      <c r="Q3081" s="204" t="s">
        <v>2276</v>
      </c>
      <c r="R3081" s="204" t="s">
        <v>2276</v>
      </c>
      <c r="S3081" s="204" t="s">
        <v>2276</v>
      </c>
      <c r="T3081" s="204" t="s">
        <v>2276</v>
      </c>
      <c r="U3081" s="204" t="s">
        <v>2276</v>
      </c>
      <c r="V3081" s="204" t="s">
        <v>2276</v>
      </c>
      <c r="W3081" s="204" t="s">
        <v>2276</v>
      </c>
      <c r="X3081" s="204" t="s">
        <v>2276</v>
      </c>
      <c r="Y3081" s="204" t="s">
        <v>2276</v>
      </c>
      <c r="Z3081" s="204" t="s">
        <v>2276</v>
      </c>
      <c r="AA3081" s="204" t="s">
        <v>2276</v>
      </c>
      <c r="AB3081" s="204" t="s">
        <v>2276</v>
      </c>
      <c r="AC3081" s="204"/>
      <c r="AD3081" s="204"/>
    </row>
    <row r="3082" spans="1:30" ht="33.5" customHeight="1">
      <c r="A3082" s="19" t="s">
        <v>8286</v>
      </c>
      <c r="B3082" s="19" t="s">
        <v>8291</v>
      </c>
      <c r="C3082" s="204" t="s">
        <v>24</v>
      </c>
      <c r="D3082" s="204" t="s">
        <v>1242</v>
      </c>
      <c r="E3082" s="204" t="s">
        <v>3209</v>
      </c>
      <c r="F3082" s="4" t="s">
        <v>2662</v>
      </c>
      <c r="G3082" s="4" t="s">
        <v>2662</v>
      </c>
      <c r="H3082" s="204" t="s">
        <v>523</v>
      </c>
      <c r="I3082" s="204"/>
      <c r="J3082" s="204" t="s">
        <v>2276</v>
      </c>
      <c r="K3082" s="204" t="s">
        <v>2276</v>
      </c>
      <c r="L3082" s="204" t="s">
        <v>2276</v>
      </c>
      <c r="M3082" s="204" t="s">
        <v>2276</v>
      </c>
      <c r="N3082" s="204" t="s">
        <v>2276</v>
      </c>
      <c r="O3082" s="204" t="s">
        <v>2276</v>
      </c>
      <c r="P3082" s="204" t="s">
        <v>2276</v>
      </c>
      <c r="Q3082" s="204" t="s">
        <v>2276</v>
      </c>
      <c r="R3082" s="204" t="s">
        <v>2276</v>
      </c>
      <c r="S3082" s="204" t="s">
        <v>2276</v>
      </c>
      <c r="T3082" s="204" t="s">
        <v>2276</v>
      </c>
      <c r="U3082" s="204" t="s">
        <v>2276</v>
      </c>
      <c r="V3082" s="204" t="s">
        <v>2276</v>
      </c>
      <c r="W3082" s="204" t="s">
        <v>2276</v>
      </c>
      <c r="X3082" s="204" t="s">
        <v>2276</v>
      </c>
      <c r="Y3082" s="204" t="s">
        <v>2276</v>
      </c>
      <c r="Z3082" s="204" t="s">
        <v>2276</v>
      </c>
      <c r="AA3082" s="204" t="s">
        <v>2276</v>
      </c>
      <c r="AB3082" s="204" t="s">
        <v>2276</v>
      </c>
      <c r="AC3082" s="204"/>
      <c r="AD3082" s="204"/>
    </row>
    <row r="3083" spans="1:30" ht="33.5" customHeight="1">
      <c r="A3083" s="19" t="s">
        <v>8286</v>
      </c>
      <c r="B3083" s="19" t="s">
        <v>8292</v>
      </c>
      <c r="C3083" s="204" t="s">
        <v>24</v>
      </c>
      <c r="D3083" s="204" t="s">
        <v>3480</v>
      </c>
      <c r="E3083" s="204" t="s">
        <v>116</v>
      </c>
      <c r="F3083" s="4" t="s">
        <v>2662</v>
      </c>
      <c r="G3083" s="4" t="s">
        <v>2662</v>
      </c>
      <c r="H3083" s="204" t="s">
        <v>523</v>
      </c>
      <c r="I3083" s="204"/>
      <c r="J3083" s="204" t="s">
        <v>2276</v>
      </c>
      <c r="K3083" s="204" t="s">
        <v>2276</v>
      </c>
      <c r="L3083" s="204" t="s">
        <v>2276</v>
      </c>
      <c r="M3083" s="204" t="s">
        <v>2276</v>
      </c>
      <c r="N3083" s="204" t="s">
        <v>2276</v>
      </c>
      <c r="O3083" s="204" t="s">
        <v>2276</v>
      </c>
      <c r="P3083" s="204" t="s">
        <v>2276</v>
      </c>
      <c r="Q3083" s="204" t="s">
        <v>2276</v>
      </c>
      <c r="R3083" s="204" t="s">
        <v>2276</v>
      </c>
      <c r="S3083" s="204" t="s">
        <v>2276</v>
      </c>
      <c r="T3083" s="204" t="s">
        <v>2276</v>
      </c>
      <c r="U3083" s="204" t="s">
        <v>2276</v>
      </c>
      <c r="V3083" s="204" t="s">
        <v>2276</v>
      </c>
      <c r="W3083" s="204" t="s">
        <v>2276</v>
      </c>
      <c r="X3083" s="204" t="s">
        <v>2276</v>
      </c>
      <c r="Y3083" s="204" t="s">
        <v>2276</v>
      </c>
      <c r="Z3083" s="204" t="s">
        <v>2276</v>
      </c>
      <c r="AA3083" s="204" t="s">
        <v>2276</v>
      </c>
      <c r="AB3083" s="204" t="s">
        <v>2276</v>
      </c>
      <c r="AC3083" s="204"/>
      <c r="AD3083" s="204"/>
    </row>
    <row r="3084" spans="1:30" ht="29.5" customHeight="1">
      <c r="A3084" s="19" t="s">
        <v>8299</v>
      </c>
      <c r="B3084" s="19" t="s">
        <v>8301</v>
      </c>
      <c r="C3084" s="204" t="s">
        <v>24</v>
      </c>
      <c r="D3084" s="204" t="s">
        <v>406</v>
      </c>
      <c r="E3084" s="204" t="s">
        <v>116</v>
      </c>
      <c r="F3084" s="4" t="s">
        <v>2662</v>
      </c>
      <c r="G3084" s="4" t="s">
        <v>2662</v>
      </c>
      <c r="H3084" s="204" t="s">
        <v>523</v>
      </c>
      <c r="I3084" s="204"/>
      <c r="J3084" s="204" t="s">
        <v>2276</v>
      </c>
      <c r="K3084" s="204" t="s">
        <v>2276</v>
      </c>
      <c r="L3084" s="204" t="s">
        <v>2276</v>
      </c>
      <c r="M3084" s="204" t="s">
        <v>2276</v>
      </c>
      <c r="N3084" s="204" t="s">
        <v>2276</v>
      </c>
      <c r="O3084" s="204" t="s">
        <v>2276</v>
      </c>
      <c r="P3084" s="204" t="s">
        <v>2276</v>
      </c>
      <c r="Q3084" s="204" t="s">
        <v>2276</v>
      </c>
      <c r="R3084" s="204" t="s">
        <v>2276</v>
      </c>
      <c r="S3084" s="204" t="s">
        <v>2276</v>
      </c>
      <c r="T3084" s="204" t="s">
        <v>2276</v>
      </c>
      <c r="U3084" s="204" t="s">
        <v>2276</v>
      </c>
      <c r="V3084" s="204" t="s">
        <v>2276</v>
      </c>
      <c r="W3084" s="204" t="s">
        <v>2276</v>
      </c>
      <c r="X3084" s="204" t="s">
        <v>2276</v>
      </c>
      <c r="Y3084" s="204" t="s">
        <v>2276</v>
      </c>
      <c r="Z3084" s="204" t="s">
        <v>2276</v>
      </c>
      <c r="AA3084" s="204" t="s">
        <v>2276</v>
      </c>
      <c r="AB3084" s="204" t="s">
        <v>2276</v>
      </c>
      <c r="AC3084" s="204"/>
      <c r="AD3084" s="204"/>
    </row>
    <row r="3085" spans="1:30" ht="31" customHeight="1">
      <c r="A3085" s="19" t="s">
        <v>8299</v>
      </c>
      <c r="B3085" s="19" t="s">
        <v>8302</v>
      </c>
      <c r="C3085" s="204" t="s">
        <v>24</v>
      </c>
      <c r="D3085" s="204" t="s">
        <v>3480</v>
      </c>
      <c r="E3085" s="204" t="s">
        <v>116</v>
      </c>
      <c r="F3085" s="4" t="s">
        <v>2662</v>
      </c>
      <c r="G3085" s="4" t="s">
        <v>2662</v>
      </c>
      <c r="H3085" s="204" t="s">
        <v>523</v>
      </c>
      <c r="I3085" s="204"/>
      <c r="J3085" s="204" t="s">
        <v>2276</v>
      </c>
      <c r="K3085" s="204" t="s">
        <v>2276</v>
      </c>
      <c r="L3085" s="204" t="s">
        <v>2276</v>
      </c>
      <c r="M3085" s="204" t="s">
        <v>2276</v>
      </c>
      <c r="N3085" s="204" t="s">
        <v>2276</v>
      </c>
      <c r="O3085" s="204" t="s">
        <v>2276</v>
      </c>
      <c r="P3085" s="204" t="s">
        <v>2276</v>
      </c>
      <c r="Q3085" s="204" t="s">
        <v>2276</v>
      </c>
      <c r="R3085" s="204" t="s">
        <v>2276</v>
      </c>
      <c r="S3085" s="204" t="s">
        <v>2276</v>
      </c>
      <c r="T3085" s="204" t="s">
        <v>2276</v>
      </c>
      <c r="U3085" s="204" t="s">
        <v>2276</v>
      </c>
      <c r="V3085" s="204" t="s">
        <v>2276</v>
      </c>
      <c r="W3085" s="204" t="s">
        <v>2276</v>
      </c>
      <c r="X3085" s="204" t="s">
        <v>2276</v>
      </c>
      <c r="Y3085" s="204" t="s">
        <v>2276</v>
      </c>
      <c r="Z3085" s="204" t="s">
        <v>2276</v>
      </c>
      <c r="AA3085" s="204" t="s">
        <v>2276</v>
      </c>
      <c r="AB3085" s="204" t="s">
        <v>2276</v>
      </c>
      <c r="AC3085" s="204"/>
      <c r="AD3085" s="204"/>
    </row>
    <row r="3086" spans="1:30" ht="28" customHeight="1">
      <c r="A3086" s="19" t="s">
        <v>8299</v>
      </c>
      <c r="B3086" s="19" t="s">
        <v>8303</v>
      </c>
      <c r="C3086" s="204" t="s">
        <v>24</v>
      </c>
      <c r="D3086" s="204" t="s">
        <v>1245</v>
      </c>
      <c r="E3086" s="204" t="s">
        <v>116</v>
      </c>
      <c r="F3086" s="4" t="s">
        <v>2662</v>
      </c>
      <c r="G3086" s="4" t="s">
        <v>2662</v>
      </c>
      <c r="H3086" s="204" t="s">
        <v>523</v>
      </c>
      <c r="I3086" s="204"/>
      <c r="J3086" s="204" t="s">
        <v>2276</v>
      </c>
      <c r="K3086" s="204" t="s">
        <v>2276</v>
      </c>
      <c r="L3086" s="204" t="s">
        <v>2276</v>
      </c>
      <c r="M3086" s="204" t="s">
        <v>2276</v>
      </c>
      <c r="N3086" s="204" t="s">
        <v>2276</v>
      </c>
      <c r="O3086" s="204" t="s">
        <v>2276</v>
      </c>
      <c r="P3086" s="204" t="s">
        <v>2276</v>
      </c>
      <c r="Q3086" s="204" t="s">
        <v>2276</v>
      </c>
      <c r="R3086" s="204" t="s">
        <v>2276</v>
      </c>
      <c r="S3086" s="204" t="s">
        <v>2276</v>
      </c>
      <c r="T3086" s="204" t="s">
        <v>2276</v>
      </c>
      <c r="U3086" s="204" t="s">
        <v>2276</v>
      </c>
      <c r="V3086" s="204" t="s">
        <v>2276</v>
      </c>
      <c r="W3086" s="204" t="s">
        <v>2276</v>
      </c>
      <c r="X3086" s="204" t="s">
        <v>2276</v>
      </c>
      <c r="Y3086" s="204" t="s">
        <v>2276</v>
      </c>
      <c r="Z3086" s="204" t="s">
        <v>2276</v>
      </c>
      <c r="AA3086" s="204" t="s">
        <v>2276</v>
      </c>
      <c r="AB3086" s="204" t="s">
        <v>2276</v>
      </c>
      <c r="AC3086" s="204"/>
      <c r="AD3086" s="204"/>
    </row>
    <row r="3087" spans="1:30" ht="35.5" customHeight="1">
      <c r="A3087" s="19" t="s">
        <v>8299</v>
      </c>
      <c r="B3087" s="19" t="s">
        <v>8308</v>
      </c>
      <c r="C3087" s="204" t="s">
        <v>24</v>
      </c>
      <c r="D3087" s="204" t="s">
        <v>2659</v>
      </c>
      <c r="E3087" s="204" t="s">
        <v>2649</v>
      </c>
      <c r="F3087" s="4" t="s">
        <v>74</v>
      </c>
      <c r="G3087" s="4" t="s">
        <v>2276</v>
      </c>
      <c r="H3087" s="204" t="s">
        <v>523</v>
      </c>
      <c r="I3087" s="204"/>
      <c r="J3087" s="204" t="s">
        <v>2276</v>
      </c>
      <c r="K3087" s="204" t="s">
        <v>2276</v>
      </c>
      <c r="L3087" s="204" t="s">
        <v>2276</v>
      </c>
      <c r="M3087" s="204" t="s">
        <v>2276</v>
      </c>
      <c r="N3087" s="204" t="s">
        <v>2276</v>
      </c>
      <c r="O3087" s="204" t="s">
        <v>2276</v>
      </c>
      <c r="P3087" s="204" t="s">
        <v>2276</v>
      </c>
      <c r="Q3087" s="204" t="s">
        <v>2276</v>
      </c>
      <c r="R3087" s="204" t="s">
        <v>2276</v>
      </c>
      <c r="S3087" s="204" t="s">
        <v>2276</v>
      </c>
      <c r="T3087" s="204" t="s">
        <v>2276</v>
      </c>
      <c r="U3087" s="204" t="s">
        <v>2276</v>
      </c>
      <c r="V3087" s="204" t="s">
        <v>2276</v>
      </c>
      <c r="W3087" s="204" t="s">
        <v>2276</v>
      </c>
      <c r="X3087" s="204" t="s">
        <v>2276</v>
      </c>
      <c r="Y3087" s="204" t="s">
        <v>2276</v>
      </c>
      <c r="Z3087" s="204" t="s">
        <v>2276</v>
      </c>
      <c r="AA3087" s="204" t="s">
        <v>2276</v>
      </c>
      <c r="AB3087" s="204" t="s">
        <v>2276</v>
      </c>
      <c r="AC3087" s="204" t="s">
        <v>8312</v>
      </c>
      <c r="AD3087" s="204"/>
    </row>
    <row r="3088" spans="1:30" ht="31" customHeight="1">
      <c r="A3088" s="19" t="s">
        <v>8299</v>
      </c>
      <c r="B3088" s="19" t="s">
        <v>8309</v>
      </c>
      <c r="C3088" s="204" t="s">
        <v>24</v>
      </c>
      <c r="D3088" s="204" t="s">
        <v>61</v>
      </c>
      <c r="E3088" s="204" t="s">
        <v>2649</v>
      </c>
      <c r="F3088" s="4" t="s">
        <v>74</v>
      </c>
      <c r="G3088" s="4" t="s">
        <v>2276</v>
      </c>
      <c r="H3088" s="204" t="s">
        <v>523</v>
      </c>
      <c r="I3088" s="204"/>
      <c r="J3088" s="204" t="s">
        <v>2276</v>
      </c>
      <c r="K3088" s="204" t="s">
        <v>2276</v>
      </c>
      <c r="L3088" s="204" t="s">
        <v>2276</v>
      </c>
      <c r="M3088" s="204" t="s">
        <v>2276</v>
      </c>
      <c r="N3088" s="204" t="s">
        <v>2276</v>
      </c>
      <c r="O3088" s="204" t="s">
        <v>2276</v>
      </c>
      <c r="P3088" s="204" t="s">
        <v>2276</v>
      </c>
      <c r="Q3088" s="204" t="s">
        <v>2276</v>
      </c>
      <c r="R3088" s="204" t="s">
        <v>2276</v>
      </c>
      <c r="S3088" s="204" t="s">
        <v>2276</v>
      </c>
      <c r="T3088" s="204" t="s">
        <v>2276</v>
      </c>
      <c r="U3088" s="204" t="s">
        <v>2276</v>
      </c>
      <c r="V3088" s="204" t="s">
        <v>2276</v>
      </c>
      <c r="W3088" s="204" t="s">
        <v>2276</v>
      </c>
      <c r="X3088" s="204" t="s">
        <v>2276</v>
      </c>
      <c r="Y3088" s="204" t="s">
        <v>2276</v>
      </c>
      <c r="Z3088" s="204" t="s">
        <v>2276</v>
      </c>
      <c r="AA3088" s="204" t="s">
        <v>2276</v>
      </c>
      <c r="AB3088" s="204" t="s">
        <v>2276</v>
      </c>
      <c r="AC3088" s="204"/>
      <c r="AD3088" s="204"/>
    </row>
    <row r="3089" spans="1:30" ht="29">
      <c r="A3089" s="19" t="s">
        <v>8299</v>
      </c>
      <c r="B3089" s="19" t="s">
        <v>8310</v>
      </c>
      <c r="C3089" s="204" t="s">
        <v>24</v>
      </c>
      <c r="D3089" s="204" t="s">
        <v>1242</v>
      </c>
      <c r="E3089" s="204" t="s">
        <v>116</v>
      </c>
      <c r="F3089" s="4" t="s">
        <v>2662</v>
      </c>
      <c r="G3089" s="4" t="s">
        <v>2662</v>
      </c>
      <c r="H3089" s="204" t="s">
        <v>523</v>
      </c>
      <c r="I3089" s="204"/>
      <c r="J3089" s="204" t="s">
        <v>2276</v>
      </c>
      <c r="K3089" s="204" t="s">
        <v>2276</v>
      </c>
      <c r="L3089" s="204" t="s">
        <v>2276</v>
      </c>
      <c r="M3089" s="204" t="s">
        <v>2276</v>
      </c>
      <c r="N3089" s="204" t="s">
        <v>2276</v>
      </c>
      <c r="O3089" s="204" t="s">
        <v>2276</v>
      </c>
      <c r="P3089" s="204" t="s">
        <v>2276</v>
      </c>
      <c r="Q3089" s="204" t="s">
        <v>2276</v>
      </c>
      <c r="R3089" s="204" t="s">
        <v>2276</v>
      </c>
      <c r="S3089" s="204" t="s">
        <v>2276</v>
      </c>
      <c r="T3089" s="204" t="s">
        <v>2276</v>
      </c>
      <c r="U3089" s="204" t="s">
        <v>2276</v>
      </c>
      <c r="V3089" s="204" t="s">
        <v>2276</v>
      </c>
      <c r="W3089" s="204" t="s">
        <v>2276</v>
      </c>
      <c r="X3089" s="204" t="s">
        <v>2276</v>
      </c>
      <c r="Y3089" s="204" t="s">
        <v>2276</v>
      </c>
      <c r="Z3089" s="204" t="s">
        <v>2276</v>
      </c>
      <c r="AA3089" s="204" t="s">
        <v>2276</v>
      </c>
      <c r="AB3089" s="204" t="s">
        <v>2276</v>
      </c>
      <c r="AC3089" s="204"/>
      <c r="AD3089" s="204"/>
    </row>
    <row r="3090" spans="1:30" ht="29">
      <c r="A3090" s="19" t="s">
        <v>8299</v>
      </c>
      <c r="B3090" s="19" t="s">
        <v>8311</v>
      </c>
      <c r="C3090" s="204" t="s">
        <v>24</v>
      </c>
      <c r="D3090" s="204" t="s">
        <v>26</v>
      </c>
      <c r="E3090" s="204" t="s">
        <v>116</v>
      </c>
      <c r="F3090" s="4" t="s">
        <v>2662</v>
      </c>
      <c r="G3090" s="4" t="s">
        <v>2662</v>
      </c>
      <c r="H3090" s="204" t="s">
        <v>523</v>
      </c>
      <c r="I3090" s="204"/>
      <c r="J3090" s="204" t="s">
        <v>2276</v>
      </c>
      <c r="K3090" s="204" t="s">
        <v>2276</v>
      </c>
      <c r="L3090" s="204" t="s">
        <v>2276</v>
      </c>
      <c r="M3090" s="204" t="s">
        <v>2276</v>
      </c>
      <c r="N3090" s="204" t="s">
        <v>2276</v>
      </c>
      <c r="O3090" s="204" t="s">
        <v>2276</v>
      </c>
      <c r="P3090" s="204" t="s">
        <v>2276</v>
      </c>
      <c r="Q3090" s="204" t="s">
        <v>2276</v>
      </c>
      <c r="R3090" s="204" t="s">
        <v>2276</v>
      </c>
      <c r="S3090" s="204" t="s">
        <v>2276</v>
      </c>
      <c r="T3090" s="204" t="s">
        <v>2276</v>
      </c>
      <c r="U3090" s="204" t="s">
        <v>2276</v>
      </c>
      <c r="V3090" s="204" t="s">
        <v>2276</v>
      </c>
      <c r="W3090" s="204" t="s">
        <v>2276</v>
      </c>
      <c r="X3090" s="204" t="s">
        <v>2276</v>
      </c>
      <c r="Y3090" s="204" t="s">
        <v>2276</v>
      </c>
      <c r="Z3090" s="204" t="s">
        <v>2276</v>
      </c>
      <c r="AA3090" s="204" t="s">
        <v>2276</v>
      </c>
      <c r="AB3090" s="204" t="s">
        <v>2276</v>
      </c>
      <c r="AC3090" s="204"/>
      <c r="AD3090" s="204"/>
    </row>
    <row r="3091" spans="1:30" ht="59.5" customHeight="1">
      <c r="A3091" s="19" t="s">
        <v>8314</v>
      </c>
      <c r="B3091" s="19" t="s">
        <v>8325</v>
      </c>
      <c r="C3091" s="204" t="s">
        <v>24</v>
      </c>
      <c r="D3091" s="204" t="s">
        <v>2659</v>
      </c>
      <c r="E3091" s="4" t="s">
        <v>3854</v>
      </c>
      <c r="F3091" s="4" t="s">
        <v>28</v>
      </c>
      <c r="G3091" s="204" t="s">
        <v>2276</v>
      </c>
      <c r="H3091" s="204" t="s">
        <v>523</v>
      </c>
      <c r="I3091" s="204"/>
      <c r="J3091" s="204" t="s">
        <v>2276</v>
      </c>
      <c r="K3091" s="204" t="s">
        <v>2276</v>
      </c>
      <c r="L3091" s="204" t="s">
        <v>2276</v>
      </c>
      <c r="M3091" s="204" t="s">
        <v>2276</v>
      </c>
      <c r="N3091" s="204" t="s">
        <v>2276</v>
      </c>
      <c r="O3091" s="204" t="s">
        <v>2276</v>
      </c>
      <c r="P3091" s="204" t="s">
        <v>2276</v>
      </c>
      <c r="Q3091" s="204" t="s">
        <v>2276</v>
      </c>
      <c r="R3091" s="204" t="s">
        <v>2276</v>
      </c>
      <c r="S3091" s="204" t="s">
        <v>2276</v>
      </c>
      <c r="T3091" s="204" t="s">
        <v>2276</v>
      </c>
      <c r="U3091" s="204" t="s">
        <v>2276</v>
      </c>
      <c r="V3091" s="204" t="s">
        <v>2276</v>
      </c>
      <c r="W3091" s="204" t="s">
        <v>2276</v>
      </c>
      <c r="X3091" s="204" t="s">
        <v>2276</v>
      </c>
      <c r="Y3091" s="204" t="s">
        <v>2276</v>
      </c>
      <c r="Z3091" s="204" t="s">
        <v>189</v>
      </c>
      <c r="AA3091" s="204" t="s">
        <v>86</v>
      </c>
      <c r="AB3091" s="204" t="s">
        <v>64</v>
      </c>
      <c r="AC3091" s="204"/>
      <c r="AD3091" s="204"/>
    </row>
    <row r="3092" spans="1:30" ht="59.5" customHeight="1">
      <c r="A3092" s="19" t="s">
        <v>8314</v>
      </c>
      <c r="B3092" s="19" t="s">
        <v>8326</v>
      </c>
      <c r="C3092" s="204" t="s">
        <v>24</v>
      </c>
      <c r="D3092" s="204" t="s">
        <v>27</v>
      </c>
      <c r="E3092" s="4" t="s">
        <v>3854</v>
      </c>
      <c r="F3092" s="4" t="s">
        <v>28</v>
      </c>
      <c r="G3092" s="204" t="s">
        <v>2276</v>
      </c>
      <c r="H3092" s="204" t="s">
        <v>523</v>
      </c>
      <c r="I3092" s="204"/>
      <c r="J3092" s="204" t="s">
        <v>2276</v>
      </c>
      <c r="K3092" s="204" t="s">
        <v>2276</v>
      </c>
      <c r="L3092" s="204" t="s">
        <v>2276</v>
      </c>
      <c r="M3092" s="204" t="s">
        <v>2276</v>
      </c>
      <c r="N3092" s="204" t="s">
        <v>2276</v>
      </c>
      <c r="O3092" s="204" t="s">
        <v>2276</v>
      </c>
      <c r="P3092" s="204" t="s">
        <v>2276</v>
      </c>
      <c r="Q3092" s="204" t="s">
        <v>2276</v>
      </c>
      <c r="R3092" s="204" t="s">
        <v>2276</v>
      </c>
      <c r="S3092" s="204" t="s">
        <v>2276</v>
      </c>
      <c r="T3092" s="204" t="s">
        <v>2276</v>
      </c>
      <c r="U3092" s="204" t="s">
        <v>2276</v>
      </c>
      <c r="V3092" s="204" t="s">
        <v>2276</v>
      </c>
      <c r="W3092" s="204" t="s">
        <v>2276</v>
      </c>
      <c r="X3092" s="204" t="s">
        <v>2276</v>
      </c>
      <c r="Y3092" s="204" t="s">
        <v>2276</v>
      </c>
      <c r="Z3092" s="204" t="s">
        <v>404</v>
      </c>
      <c r="AA3092" s="204" t="s">
        <v>425</v>
      </c>
      <c r="AB3092" s="204" t="s">
        <v>64</v>
      </c>
      <c r="AC3092" s="204"/>
      <c r="AD3092" s="204"/>
    </row>
    <row r="3093" spans="1:30" ht="59.5" customHeight="1">
      <c r="A3093" s="19" t="s">
        <v>8314</v>
      </c>
      <c r="B3093" s="19" t="s">
        <v>8327</v>
      </c>
      <c r="C3093" s="204" t="s">
        <v>24</v>
      </c>
      <c r="D3093" s="204" t="s">
        <v>2231</v>
      </c>
      <c r="E3093" s="4" t="s">
        <v>3854</v>
      </c>
      <c r="F3093" s="4" t="s">
        <v>2662</v>
      </c>
      <c r="G3093" s="204" t="s">
        <v>2276</v>
      </c>
      <c r="H3093" s="204" t="s">
        <v>523</v>
      </c>
      <c r="I3093" s="204"/>
      <c r="J3093" s="204" t="s">
        <v>2276</v>
      </c>
      <c r="K3093" s="204" t="s">
        <v>2276</v>
      </c>
      <c r="L3093" s="204" t="s">
        <v>2276</v>
      </c>
      <c r="M3093" s="204" t="s">
        <v>2276</v>
      </c>
      <c r="N3093" s="204" t="s">
        <v>2276</v>
      </c>
      <c r="O3093" s="204" t="s">
        <v>2276</v>
      </c>
      <c r="P3093" s="204" t="s">
        <v>2276</v>
      </c>
      <c r="Q3093" s="204" t="s">
        <v>2276</v>
      </c>
      <c r="R3093" s="204" t="s">
        <v>2276</v>
      </c>
      <c r="S3093" s="204" t="s">
        <v>2276</v>
      </c>
      <c r="T3093" s="204" t="s">
        <v>2276</v>
      </c>
      <c r="U3093" s="204" t="s">
        <v>2276</v>
      </c>
      <c r="V3093" s="204" t="s">
        <v>2276</v>
      </c>
      <c r="W3093" s="204" t="s">
        <v>2276</v>
      </c>
      <c r="X3093" s="204" t="s">
        <v>2276</v>
      </c>
      <c r="Y3093" s="204" t="s">
        <v>2276</v>
      </c>
      <c r="Z3093" s="204" t="s">
        <v>404</v>
      </c>
      <c r="AA3093" s="204" t="s">
        <v>425</v>
      </c>
      <c r="AB3093" s="204" t="s">
        <v>64</v>
      </c>
      <c r="AC3093" s="204"/>
      <c r="AD3093" s="204"/>
    </row>
    <row r="3094" spans="1:30" ht="59.5" customHeight="1">
      <c r="A3094" s="19" t="s">
        <v>8314</v>
      </c>
      <c r="B3094" s="19" t="s">
        <v>8328</v>
      </c>
      <c r="C3094" s="204" t="s">
        <v>24</v>
      </c>
      <c r="D3094" s="204" t="s">
        <v>25</v>
      </c>
      <c r="E3094" s="4" t="s">
        <v>3854</v>
      </c>
      <c r="F3094" s="4" t="s">
        <v>2662</v>
      </c>
      <c r="G3094" s="204" t="s">
        <v>2276</v>
      </c>
      <c r="H3094" s="204" t="s">
        <v>523</v>
      </c>
      <c r="I3094" s="204"/>
      <c r="J3094" s="204" t="s">
        <v>2276</v>
      </c>
      <c r="K3094" s="204" t="s">
        <v>2276</v>
      </c>
      <c r="L3094" s="204" t="s">
        <v>2276</v>
      </c>
      <c r="M3094" s="204" t="s">
        <v>2276</v>
      </c>
      <c r="N3094" s="204" t="s">
        <v>2276</v>
      </c>
      <c r="O3094" s="204" t="s">
        <v>2276</v>
      </c>
      <c r="P3094" s="204" t="s">
        <v>2276</v>
      </c>
      <c r="Q3094" s="204" t="s">
        <v>2276</v>
      </c>
      <c r="R3094" s="204" t="s">
        <v>2276</v>
      </c>
      <c r="S3094" s="204" t="s">
        <v>2276</v>
      </c>
      <c r="T3094" s="204" t="s">
        <v>2276</v>
      </c>
      <c r="U3094" s="204" t="s">
        <v>2276</v>
      </c>
      <c r="V3094" s="204" t="s">
        <v>2276</v>
      </c>
      <c r="W3094" s="204" t="s">
        <v>2276</v>
      </c>
      <c r="X3094" s="204" t="s">
        <v>2276</v>
      </c>
      <c r="Y3094" s="204" t="s">
        <v>2276</v>
      </c>
      <c r="Z3094" s="204" t="s">
        <v>404</v>
      </c>
      <c r="AA3094" s="204" t="s">
        <v>68</v>
      </c>
      <c r="AB3094" s="204" t="s">
        <v>64</v>
      </c>
      <c r="AC3094" s="204"/>
      <c r="AD3094" s="204"/>
    </row>
    <row r="3095" spans="1:30" ht="59.5" customHeight="1">
      <c r="A3095" s="19" t="s">
        <v>8314</v>
      </c>
      <c r="B3095" s="19" t="s">
        <v>8329</v>
      </c>
      <c r="C3095" s="204" t="s">
        <v>24</v>
      </c>
      <c r="D3095" s="204" t="s">
        <v>1245</v>
      </c>
      <c r="E3095" s="4" t="s">
        <v>3854</v>
      </c>
      <c r="F3095" s="4" t="s">
        <v>2662</v>
      </c>
      <c r="G3095" s="204" t="s">
        <v>2276</v>
      </c>
      <c r="H3095" s="204" t="s">
        <v>523</v>
      </c>
      <c r="I3095" s="204"/>
      <c r="J3095" s="204" t="s">
        <v>2276</v>
      </c>
      <c r="K3095" s="204" t="s">
        <v>2276</v>
      </c>
      <c r="L3095" s="204" t="s">
        <v>2276</v>
      </c>
      <c r="M3095" s="204" t="s">
        <v>2276</v>
      </c>
      <c r="N3095" s="204" t="s">
        <v>2276</v>
      </c>
      <c r="O3095" s="204" t="s">
        <v>2276</v>
      </c>
      <c r="P3095" s="204" t="s">
        <v>2276</v>
      </c>
      <c r="Q3095" s="204" t="s">
        <v>2276</v>
      </c>
      <c r="R3095" s="204" t="s">
        <v>2276</v>
      </c>
      <c r="S3095" s="204" t="s">
        <v>2276</v>
      </c>
      <c r="T3095" s="204" t="s">
        <v>2276</v>
      </c>
      <c r="U3095" s="204" t="s">
        <v>2276</v>
      </c>
      <c r="V3095" s="204" t="s">
        <v>2276</v>
      </c>
      <c r="W3095" s="204" t="s">
        <v>2276</v>
      </c>
      <c r="X3095" s="204" t="s">
        <v>2276</v>
      </c>
      <c r="Y3095" s="204" t="s">
        <v>2276</v>
      </c>
      <c r="Z3095" s="204" t="s">
        <v>425</v>
      </c>
      <c r="AA3095" s="204" t="s">
        <v>425</v>
      </c>
      <c r="AB3095" s="204" t="s">
        <v>64</v>
      </c>
      <c r="AC3095" s="204"/>
      <c r="AD3095" s="204"/>
    </row>
    <row r="3096" spans="1:30" ht="49" customHeight="1">
      <c r="A3096" s="19" t="s">
        <v>8315</v>
      </c>
      <c r="B3096" s="19" t="s">
        <v>8330</v>
      </c>
      <c r="C3096" s="204" t="s">
        <v>24</v>
      </c>
      <c r="D3096" s="204" t="s">
        <v>2659</v>
      </c>
      <c r="E3096" s="4" t="s">
        <v>3854</v>
      </c>
      <c r="F3096" s="4" t="s">
        <v>28</v>
      </c>
      <c r="G3096" s="204" t="s">
        <v>2276</v>
      </c>
      <c r="H3096" s="204" t="s">
        <v>523</v>
      </c>
      <c r="I3096" s="204"/>
      <c r="J3096" s="204" t="s">
        <v>2276</v>
      </c>
      <c r="K3096" s="204" t="s">
        <v>2276</v>
      </c>
      <c r="L3096" s="204" t="s">
        <v>2276</v>
      </c>
      <c r="M3096" s="204" t="s">
        <v>2276</v>
      </c>
      <c r="N3096" s="204" t="s">
        <v>2276</v>
      </c>
      <c r="O3096" s="204" t="s">
        <v>2276</v>
      </c>
      <c r="P3096" s="204" t="s">
        <v>2276</v>
      </c>
      <c r="Q3096" s="204" t="s">
        <v>2276</v>
      </c>
      <c r="R3096" s="204" t="s">
        <v>2276</v>
      </c>
      <c r="S3096" s="204" t="s">
        <v>2276</v>
      </c>
      <c r="T3096" s="204" t="s">
        <v>2276</v>
      </c>
      <c r="U3096" s="204" t="s">
        <v>2276</v>
      </c>
      <c r="V3096" s="204" t="s">
        <v>2276</v>
      </c>
      <c r="W3096" s="204" t="s">
        <v>2276</v>
      </c>
      <c r="X3096" s="204" t="s">
        <v>2276</v>
      </c>
      <c r="Y3096" s="204" t="s">
        <v>2276</v>
      </c>
      <c r="Z3096" s="204" t="s">
        <v>189</v>
      </c>
      <c r="AA3096" s="204" t="s">
        <v>86</v>
      </c>
      <c r="AB3096" s="204" t="s">
        <v>64</v>
      </c>
      <c r="AC3096" s="204"/>
      <c r="AD3096" s="204"/>
    </row>
    <row r="3097" spans="1:30" ht="49" customHeight="1">
      <c r="A3097" s="19" t="s">
        <v>8315</v>
      </c>
      <c r="B3097" s="19" t="s">
        <v>8331</v>
      </c>
      <c r="C3097" s="204" t="s">
        <v>24</v>
      </c>
      <c r="D3097" s="204" t="s">
        <v>27</v>
      </c>
      <c r="E3097" s="4" t="s">
        <v>3854</v>
      </c>
      <c r="F3097" s="4" t="s">
        <v>28</v>
      </c>
      <c r="G3097" s="204" t="s">
        <v>2276</v>
      </c>
      <c r="H3097" s="204" t="s">
        <v>523</v>
      </c>
      <c r="I3097" s="204"/>
      <c r="J3097" s="204" t="s">
        <v>2276</v>
      </c>
      <c r="K3097" s="204" t="s">
        <v>2276</v>
      </c>
      <c r="L3097" s="204" t="s">
        <v>2276</v>
      </c>
      <c r="M3097" s="204" t="s">
        <v>2276</v>
      </c>
      <c r="N3097" s="204" t="s">
        <v>2276</v>
      </c>
      <c r="O3097" s="204" t="s">
        <v>2276</v>
      </c>
      <c r="P3097" s="204" t="s">
        <v>2276</v>
      </c>
      <c r="Q3097" s="204" t="s">
        <v>2276</v>
      </c>
      <c r="R3097" s="204" t="s">
        <v>2276</v>
      </c>
      <c r="S3097" s="204" t="s">
        <v>2276</v>
      </c>
      <c r="T3097" s="204" t="s">
        <v>2276</v>
      </c>
      <c r="U3097" s="204" t="s">
        <v>2276</v>
      </c>
      <c r="V3097" s="204" t="s">
        <v>2276</v>
      </c>
      <c r="W3097" s="204" t="s">
        <v>2276</v>
      </c>
      <c r="X3097" s="204" t="s">
        <v>2276</v>
      </c>
      <c r="Y3097" s="204" t="s">
        <v>2276</v>
      </c>
      <c r="Z3097" s="204" t="s">
        <v>34</v>
      </c>
      <c r="AA3097" s="204" t="s">
        <v>404</v>
      </c>
      <c r="AB3097" s="204" t="s">
        <v>64</v>
      </c>
      <c r="AC3097" s="204"/>
      <c r="AD3097" s="204"/>
    </row>
    <row r="3098" spans="1:30" ht="49" customHeight="1">
      <c r="A3098" s="19" t="s">
        <v>8315</v>
      </c>
      <c r="B3098" s="19" t="s">
        <v>8332</v>
      </c>
      <c r="C3098" s="204" t="s">
        <v>24</v>
      </c>
      <c r="D3098" s="204" t="s">
        <v>2231</v>
      </c>
      <c r="E3098" s="4" t="s">
        <v>3854</v>
      </c>
      <c r="F3098" s="4" t="s">
        <v>2662</v>
      </c>
      <c r="G3098" s="204" t="s">
        <v>2276</v>
      </c>
      <c r="H3098" s="204" t="s">
        <v>523</v>
      </c>
      <c r="I3098" s="204"/>
      <c r="J3098" s="204" t="s">
        <v>2276</v>
      </c>
      <c r="K3098" s="204" t="s">
        <v>2276</v>
      </c>
      <c r="L3098" s="204" t="s">
        <v>2276</v>
      </c>
      <c r="M3098" s="204" t="s">
        <v>2276</v>
      </c>
      <c r="N3098" s="204" t="s">
        <v>2276</v>
      </c>
      <c r="O3098" s="204" t="s">
        <v>2276</v>
      </c>
      <c r="P3098" s="204" t="s">
        <v>2276</v>
      </c>
      <c r="Q3098" s="204" t="s">
        <v>2276</v>
      </c>
      <c r="R3098" s="204" t="s">
        <v>2276</v>
      </c>
      <c r="S3098" s="204" t="s">
        <v>2276</v>
      </c>
      <c r="T3098" s="204" t="s">
        <v>2276</v>
      </c>
      <c r="U3098" s="204" t="s">
        <v>2276</v>
      </c>
      <c r="V3098" s="204" t="s">
        <v>2276</v>
      </c>
      <c r="W3098" s="204" t="s">
        <v>2276</v>
      </c>
      <c r="X3098" s="204" t="s">
        <v>2276</v>
      </c>
      <c r="Y3098" s="204" t="s">
        <v>2276</v>
      </c>
      <c r="Z3098" s="204" t="s">
        <v>34</v>
      </c>
      <c r="AA3098" s="204" t="s">
        <v>404</v>
      </c>
      <c r="AB3098" s="204" t="s">
        <v>64</v>
      </c>
      <c r="AC3098" s="204"/>
      <c r="AD3098" s="204"/>
    </row>
    <row r="3099" spans="1:30" ht="49" customHeight="1">
      <c r="A3099" s="19" t="s">
        <v>8315</v>
      </c>
      <c r="B3099" s="19" t="s">
        <v>8333</v>
      </c>
      <c r="C3099" s="204" t="s">
        <v>24</v>
      </c>
      <c r="D3099" s="204" t="s">
        <v>25</v>
      </c>
      <c r="E3099" s="4" t="s">
        <v>3854</v>
      </c>
      <c r="F3099" s="4" t="s">
        <v>2662</v>
      </c>
      <c r="G3099" s="204" t="s">
        <v>2276</v>
      </c>
      <c r="H3099" s="204" t="s">
        <v>523</v>
      </c>
      <c r="I3099" s="204"/>
      <c r="J3099" s="204" t="s">
        <v>2276</v>
      </c>
      <c r="K3099" s="204" t="s">
        <v>2276</v>
      </c>
      <c r="L3099" s="204" t="s">
        <v>2276</v>
      </c>
      <c r="M3099" s="204" t="s">
        <v>2276</v>
      </c>
      <c r="N3099" s="204" t="s">
        <v>2276</v>
      </c>
      <c r="O3099" s="204" t="s">
        <v>2276</v>
      </c>
      <c r="P3099" s="204" t="s">
        <v>2276</v>
      </c>
      <c r="Q3099" s="204" t="s">
        <v>2276</v>
      </c>
      <c r="R3099" s="204" t="s">
        <v>2276</v>
      </c>
      <c r="S3099" s="204" t="s">
        <v>2276</v>
      </c>
      <c r="T3099" s="204" t="s">
        <v>2276</v>
      </c>
      <c r="U3099" s="204" t="s">
        <v>2276</v>
      </c>
      <c r="V3099" s="204" t="s">
        <v>2276</v>
      </c>
      <c r="W3099" s="204" t="s">
        <v>2276</v>
      </c>
      <c r="X3099" s="204" t="s">
        <v>2276</v>
      </c>
      <c r="Y3099" s="204" t="s">
        <v>2276</v>
      </c>
      <c r="Z3099" s="204" t="s">
        <v>34</v>
      </c>
      <c r="AA3099" s="204" t="s">
        <v>68</v>
      </c>
      <c r="AB3099" s="204" t="s">
        <v>64</v>
      </c>
      <c r="AC3099" s="204"/>
      <c r="AD3099" s="204"/>
    </row>
    <row r="3100" spans="1:30" ht="49" customHeight="1">
      <c r="A3100" s="19" t="s">
        <v>8315</v>
      </c>
      <c r="B3100" s="19" t="s">
        <v>8334</v>
      </c>
      <c r="C3100" s="204" t="s">
        <v>24</v>
      </c>
      <c r="D3100" s="204" t="s">
        <v>1245</v>
      </c>
      <c r="E3100" s="4" t="s">
        <v>3854</v>
      </c>
      <c r="F3100" s="4" t="s">
        <v>2662</v>
      </c>
      <c r="G3100" s="204" t="s">
        <v>2276</v>
      </c>
      <c r="H3100" s="204" t="s">
        <v>523</v>
      </c>
      <c r="I3100" s="204"/>
      <c r="J3100" s="204" t="s">
        <v>2276</v>
      </c>
      <c r="K3100" s="204" t="s">
        <v>2276</v>
      </c>
      <c r="L3100" s="204" t="s">
        <v>2276</v>
      </c>
      <c r="M3100" s="204" t="s">
        <v>2276</v>
      </c>
      <c r="N3100" s="204" t="s">
        <v>2276</v>
      </c>
      <c r="O3100" s="204" t="s">
        <v>2276</v>
      </c>
      <c r="P3100" s="204" t="s">
        <v>2276</v>
      </c>
      <c r="Q3100" s="204" t="s">
        <v>2276</v>
      </c>
      <c r="R3100" s="204" t="s">
        <v>2276</v>
      </c>
      <c r="S3100" s="204" t="s">
        <v>2276</v>
      </c>
      <c r="T3100" s="204" t="s">
        <v>2276</v>
      </c>
      <c r="U3100" s="204" t="s">
        <v>2276</v>
      </c>
      <c r="V3100" s="204" t="s">
        <v>2276</v>
      </c>
      <c r="W3100" s="204" t="s">
        <v>2276</v>
      </c>
      <c r="X3100" s="204" t="s">
        <v>2276</v>
      </c>
      <c r="Y3100" s="204" t="s">
        <v>2276</v>
      </c>
      <c r="Z3100" s="204" t="s">
        <v>425</v>
      </c>
      <c r="AA3100" s="204" t="s">
        <v>425</v>
      </c>
      <c r="AB3100" s="204" t="s">
        <v>64</v>
      </c>
      <c r="AC3100" s="204"/>
      <c r="AD3100" s="204"/>
    </row>
    <row r="3101" spans="1:30" ht="51.5" customHeight="1">
      <c r="A3101" s="19" t="s">
        <v>8315</v>
      </c>
      <c r="B3101" s="19" t="s">
        <v>8335</v>
      </c>
      <c r="C3101" s="204" t="s">
        <v>24</v>
      </c>
      <c r="D3101" s="204" t="s">
        <v>2231</v>
      </c>
      <c r="E3101" s="4" t="s">
        <v>3854</v>
      </c>
      <c r="F3101" s="4" t="s">
        <v>2662</v>
      </c>
      <c r="G3101" s="204" t="s">
        <v>2276</v>
      </c>
      <c r="H3101" s="204" t="s">
        <v>523</v>
      </c>
      <c r="I3101" s="204"/>
      <c r="J3101" s="204" t="s">
        <v>2276</v>
      </c>
      <c r="K3101" s="204" t="s">
        <v>2276</v>
      </c>
      <c r="L3101" s="204" t="s">
        <v>2276</v>
      </c>
      <c r="M3101" s="204" t="s">
        <v>2276</v>
      </c>
      <c r="N3101" s="204" t="s">
        <v>2276</v>
      </c>
      <c r="O3101" s="204" t="s">
        <v>2276</v>
      </c>
      <c r="P3101" s="204" t="s">
        <v>2276</v>
      </c>
      <c r="Q3101" s="204" t="s">
        <v>2276</v>
      </c>
      <c r="R3101" s="204" t="s">
        <v>2276</v>
      </c>
      <c r="S3101" s="204" t="s">
        <v>2276</v>
      </c>
      <c r="T3101" s="204" t="s">
        <v>2276</v>
      </c>
      <c r="U3101" s="204" t="s">
        <v>2276</v>
      </c>
      <c r="V3101" s="204" t="s">
        <v>2276</v>
      </c>
      <c r="W3101" s="204" t="s">
        <v>2276</v>
      </c>
      <c r="X3101" s="204" t="s">
        <v>2276</v>
      </c>
      <c r="Y3101" s="204" t="s">
        <v>2276</v>
      </c>
      <c r="Z3101" s="204" t="s">
        <v>399</v>
      </c>
      <c r="AA3101" s="204" t="s">
        <v>188</v>
      </c>
      <c r="AB3101" s="204" t="s">
        <v>64</v>
      </c>
      <c r="AC3101" s="204"/>
      <c r="AD3101" s="204"/>
    </row>
    <row r="3102" spans="1:30" ht="51.5" customHeight="1">
      <c r="A3102" s="19" t="s">
        <v>8318</v>
      </c>
      <c r="B3102" s="19" t="s">
        <v>8336</v>
      </c>
      <c r="C3102" s="204" t="s">
        <v>24</v>
      </c>
      <c r="D3102" s="204" t="s">
        <v>2659</v>
      </c>
      <c r="E3102" s="4" t="s">
        <v>3854</v>
      </c>
      <c r="F3102" s="4" t="s">
        <v>28</v>
      </c>
      <c r="G3102" s="204" t="s">
        <v>2276</v>
      </c>
      <c r="H3102" s="204" t="s">
        <v>524</v>
      </c>
      <c r="I3102" s="204"/>
      <c r="J3102" s="21">
        <v>0</v>
      </c>
      <c r="K3102" s="21">
        <v>0</v>
      </c>
      <c r="L3102" s="21">
        <v>0</v>
      </c>
      <c r="M3102" s="21">
        <v>0</v>
      </c>
      <c r="N3102" s="21">
        <v>0</v>
      </c>
      <c r="O3102" s="21">
        <v>0</v>
      </c>
      <c r="P3102" s="21">
        <v>0</v>
      </c>
      <c r="Q3102" s="21">
        <v>0</v>
      </c>
      <c r="R3102" s="21">
        <v>0</v>
      </c>
      <c r="S3102" s="21">
        <v>0</v>
      </c>
      <c r="T3102" s="21">
        <v>0</v>
      </c>
      <c r="U3102" s="21">
        <v>0</v>
      </c>
      <c r="V3102" s="21">
        <v>0</v>
      </c>
      <c r="W3102" s="21">
        <v>0</v>
      </c>
      <c r="X3102" s="21">
        <v>0</v>
      </c>
      <c r="Y3102" s="204" t="s">
        <v>2276</v>
      </c>
      <c r="Z3102" s="204" t="s">
        <v>2276</v>
      </c>
      <c r="AA3102" s="204" t="s">
        <v>2276</v>
      </c>
      <c r="AB3102" s="204" t="s">
        <v>2276</v>
      </c>
      <c r="AC3102" s="204"/>
      <c r="AD3102" s="204"/>
    </row>
    <row r="3103" spans="1:30" ht="51.5" customHeight="1">
      <c r="A3103" s="19" t="s">
        <v>8318</v>
      </c>
      <c r="B3103" s="19" t="s">
        <v>8337</v>
      </c>
      <c r="C3103" s="204" t="s">
        <v>24</v>
      </c>
      <c r="D3103" s="204" t="s">
        <v>27</v>
      </c>
      <c r="E3103" s="4" t="s">
        <v>3854</v>
      </c>
      <c r="F3103" s="4" t="s">
        <v>28</v>
      </c>
      <c r="G3103" s="204" t="s">
        <v>2276</v>
      </c>
      <c r="H3103" s="204" t="s">
        <v>523</v>
      </c>
      <c r="I3103" s="204"/>
      <c r="J3103" s="204" t="s">
        <v>2276</v>
      </c>
      <c r="K3103" s="204" t="s">
        <v>2276</v>
      </c>
      <c r="L3103" s="204" t="s">
        <v>2276</v>
      </c>
      <c r="M3103" s="204" t="s">
        <v>2276</v>
      </c>
      <c r="N3103" s="204" t="s">
        <v>2276</v>
      </c>
      <c r="O3103" s="204" t="s">
        <v>2276</v>
      </c>
      <c r="P3103" s="204" t="s">
        <v>2276</v>
      </c>
      <c r="Q3103" s="204" t="s">
        <v>2276</v>
      </c>
      <c r="R3103" s="204" t="s">
        <v>2276</v>
      </c>
      <c r="S3103" s="204" t="s">
        <v>2276</v>
      </c>
      <c r="T3103" s="204" t="s">
        <v>2276</v>
      </c>
      <c r="U3103" s="204" t="s">
        <v>2276</v>
      </c>
      <c r="V3103" s="204" t="s">
        <v>2276</v>
      </c>
      <c r="W3103" s="204" t="s">
        <v>2276</v>
      </c>
      <c r="X3103" s="204" t="s">
        <v>2276</v>
      </c>
      <c r="Y3103" s="204" t="s">
        <v>2276</v>
      </c>
      <c r="Z3103" s="204" t="s">
        <v>189</v>
      </c>
      <c r="AA3103" s="204" t="s">
        <v>38</v>
      </c>
      <c r="AB3103" s="204" t="s">
        <v>64</v>
      </c>
      <c r="AC3103" s="204"/>
      <c r="AD3103" s="204"/>
    </row>
    <row r="3104" spans="1:30" ht="51.5" customHeight="1">
      <c r="A3104" s="19" t="s">
        <v>8318</v>
      </c>
      <c r="B3104" s="19" t="s">
        <v>8338</v>
      </c>
      <c r="C3104" s="204" t="s">
        <v>24</v>
      </c>
      <c r="D3104" s="204" t="s">
        <v>27</v>
      </c>
      <c r="E3104" s="4" t="s">
        <v>3854</v>
      </c>
      <c r="F3104" s="4" t="s">
        <v>28</v>
      </c>
      <c r="G3104" s="204" t="s">
        <v>2276</v>
      </c>
      <c r="H3104" s="204" t="s">
        <v>523</v>
      </c>
      <c r="I3104" s="204"/>
      <c r="J3104" s="204" t="s">
        <v>2276</v>
      </c>
      <c r="K3104" s="204" t="s">
        <v>2276</v>
      </c>
      <c r="L3104" s="204" t="s">
        <v>2276</v>
      </c>
      <c r="M3104" s="204" t="s">
        <v>2276</v>
      </c>
      <c r="N3104" s="204" t="s">
        <v>2276</v>
      </c>
      <c r="O3104" s="204" t="s">
        <v>2276</v>
      </c>
      <c r="P3104" s="204" t="s">
        <v>2276</v>
      </c>
      <c r="Q3104" s="204" t="s">
        <v>2276</v>
      </c>
      <c r="R3104" s="204" t="s">
        <v>2276</v>
      </c>
      <c r="S3104" s="204" t="s">
        <v>2276</v>
      </c>
      <c r="T3104" s="204" t="s">
        <v>2276</v>
      </c>
      <c r="U3104" s="204" t="s">
        <v>2276</v>
      </c>
      <c r="V3104" s="204" t="s">
        <v>2276</v>
      </c>
      <c r="W3104" s="204" t="s">
        <v>2276</v>
      </c>
      <c r="X3104" s="204" t="s">
        <v>2276</v>
      </c>
      <c r="Y3104" s="204" t="s">
        <v>2276</v>
      </c>
      <c r="Z3104" s="204" t="s">
        <v>68</v>
      </c>
      <c r="AA3104" s="204" t="s">
        <v>35</v>
      </c>
      <c r="AB3104" s="204" t="s">
        <v>64</v>
      </c>
      <c r="AC3104" s="204"/>
      <c r="AD3104" s="204"/>
    </row>
    <row r="3105" spans="1:30" ht="51.5" customHeight="1">
      <c r="A3105" s="19" t="s">
        <v>8318</v>
      </c>
      <c r="B3105" s="19" t="s">
        <v>8339</v>
      </c>
      <c r="C3105" s="204" t="s">
        <v>24</v>
      </c>
      <c r="D3105" s="204" t="s">
        <v>2231</v>
      </c>
      <c r="E3105" s="4" t="s">
        <v>3854</v>
      </c>
      <c r="F3105" s="4" t="s">
        <v>2662</v>
      </c>
      <c r="G3105" s="204" t="s">
        <v>2276</v>
      </c>
      <c r="H3105" s="204" t="s">
        <v>523</v>
      </c>
      <c r="I3105" s="204"/>
      <c r="J3105" s="204" t="s">
        <v>2276</v>
      </c>
      <c r="K3105" s="204" t="s">
        <v>2276</v>
      </c>
      <c r="L3105" s="204" t="s">
        <v>2276</v>
      </c>
      <c r="M3105" s="204" t="s">
        <v>2276</v>
      </c>
      <c r="N3105" s="204" t="s">
        <v>2276</v>
      </c>
      <c r="O3105" s="204" t="s">
        <v>2276</v>
      </c>
      <c r="P3105" s="204" t="s">
        <v>2276</v>
      </c>
      <c r="Q3105" s="204" t="s">
        <v>2276</v>
      </c>
      <c r="R3105" s="204" t="s">
        <v>2276</v>
      </c>
      <c r="S3105" s="204" t="s">
        <v>2276</v>
      </c>
      <c r="T3105" s="204" t="s">
        <v>2276</v>
      </c>
      <c r="U3105" s="204" t="s">
        <v>2276</v>
      </c>
      <c r="V3105" s="204" t="s">
        <v>2276</v>
      </c>
      <c r="W3105" s="204" t="s">
        <v>2276</v>
      </c>
      <c r="X3105" s="204" t="s">
        <v>2276</v>
      </c>
      <c r="Y3105" s="204" t="s">
        <v>2276</v>
      </c>
      <c r="Z3105" s="204" t="s">
        <v>68</v>
      </c>
      <c r="AA3105" s="204" t="s">
        <v>35</v>
      </c>
      <c r="AB3105" s="204" t="s">
        <v>64</v>
      </c>
      <c r="AC3105" s="204"/>
      <c r="AD3105" s="204"/>
    </row>
    <row r="3106" spans="1:30" ht="51.5" customHeight="1">
      <c r="A3106" s="19" t="s">
        <v>8318</v>
      </c>
      <c r="B3106" s="19" t="s">
        <v>8340</v>
      </c>
      <c r="C3106" s="204" t="s">
        <v>24</v>
      </c>
      <c r="D3106" s="204" t="s">
        <v>25</v>
      </c>
      <c r="E3106" s="4" t="s">
        <v>3854</v>
      </c>
      <c r="F3106" s="4" t="s">
        <v>2662</v>
      </c>
      <c r="G3106" s="204" t="s">
        <v>2276</v>
      </c>
      <c r="H3106" s="204" t="s">
        <v>523</v>
      </c>
      <c r="I3106" s="204"/>
      <c r="J3106" s="204" t="s">
        <v>2276</v>
      </c>
      <c r="K3106" s="204" t="s">
        <v>2276</v>
      </c>
      <c r="L3106" s="204" t="s">
        <v>2276</v>
      </c>
      <c r="M3106" s="204" t="s">
        <v>2276</v>
      </c>
      <c r="N3106" s="204" t="s">
        <v>2276</v>
      </c>
      <c r="O3106" s="204" t="s">
        <v>2276</v>
      </c>
      <c r="P3106" s="204" t="s">
        <v>2276</v>
      </c>
      <c r="Q3106" s="204" t="s">
        <v>2276</v>
      </c>
      <c r="R3106" s="204" t="s">
        <v>2276</v>
      </c>
      <c r="S3106" s="204" t="s">
        <v>2276</v>
      </c>
      <c r="T3106" s="204" t="s">
        <v>2276</v>
      </c>
      <c r="U3106" s="204" t="s">
        <v>2276</v>
      </c>
      <c r="V3106" s="204" t="s">
        <v>2276</v>
      </c>
      <c r="W3106" s="204" t="s">
        <v>2276</v>
      </c>
      <c r="X3106" s="204" t="s">
        <v>2276</v>
      </c>
      <c r="Y3106" s="204" t="s">
        <v>2276</v>
      </c>
      <c r="Z3106" s="204" t="s">
        <v>405</v>
      </c>
      <c r="AA3106" s="204" t="s">
        <v>35</v>
      </c>
      <c r="AB3106" s="204" t="s">
        <v>64</v>
      </c>
      <c r="AC3106" s="204"/>
      <c r="AD3106" s="204"/>
    </row>
    <row r="3107" spans="1:30" ht="51.5" customHeight="1">
      <c r="A3107" s="19" t="s">
        <v>8318</v>
      </c>
      <c r="B3107" s="19" t="s">
        <v>8341</v>
      </c>
      <c r="C3107" s="204" t="s">
        <v>24</v>
      </c>
      <c r="D3107" s="204" t="s">
        <v>1245</v>
      </c>
      <c r="E3107" s="4" t="s">
        <v>3854</v>
      </c>
      <c r="F3107" s="4" t="s">
        <v>2662</v>
      </c>
      <c r="G3107" s="204" t="s">
        <v>2276</v>
      </c>
      <c r="H3107" s="204" t="s">
        <v>523</v>
      </c>
      <c r="I3107" s="204"/>
      <c r="J3107" s="204" t="s">
        <v>2276</v>
      </c>
      <c r="K3107" s="204" t="s">
        <v>2276</v>
      </c>
      <c r="L3107" s="204" t="s">
        <v>2276</v>
      </c>
      <c r="M3107" s="204" t="s">
        <v>2276</v>
      </c>
      <c r="N3107" s="204" t="s">
        <v>2276</v>
      </c>
      <c r="O3107" s="204" t="s">
        <v>2276</v>
      </c>
      <c r="P3107" s="204" t="s">
        <v>2276</v>
      </c>
      <c r="Q3107" s="204" t="s">
        <v>2276</v>
      </c>
      <c r="R3107" s="204" t="s">
        <v>2276</v>
      </c>
      <c r="S3107" s="204" t="s">
        <v>2276</v>
      </c>
      <c r="T3107" s="204" t="s">
        <v>2276</v>
      </c>
      <c r="U3107" s="204" t="s">
        <v>2276</v>
      </c>
      <c r="V3107" s="204" t="s">
        <v>2276</v>
      </c>
      <c r="W3107" s="204" t="s">
        <v>2276</v>
      </c>
      <c r="X3107" s="204" t="s">
        <v>2276</v>
      </c>
      <c r="Y3107" s="204" t="s">
        <v>2276</v>
      </c>
      <c r="Z3107" s="204" t="s">
        <v>86</v>
      </c>
      <c r="AA3107" s="204" t="s">
        <v>35</v>
      </c>
      <c r="AB3107" s="204" t="s">
        <v>64</v>
      </c>
      <c r="AC3107" s="204"/>
      <c r="AD3107" s="204"/>
    </row>
    <row r="3108" spans="1:30" ht="51.5" customHeight="1">
      <c r="A3108" s="19" t="s">
        <v>8318</v>
      </c>
      <c r="B3108" s="19" t="s">
        <v>8342</v>
      </c>
      <c r="C3108" s="204" t="s">
        <v>24</v>
      </c>
      <c r="D3108" s="204" t="s">
        <v>3480</v>
      </c>
      <c r="E3108" s="4" t="s">
        <v>3854</v>
      </c>
      <c r="F3108" s="4" t="s">
        <v>74</v>
      </c>
      <c r="G3108" s="204" t="s">
        <v>2276</v>
      </c>
      <c r="H3108" s="204" t="s">
        <v>523</v>
      </c>
      <c r="I3108" s="204"/>
      <c r="J3108" s="204" t="s">
        <v>2276</v>
      </c>
      <c r="K3108" s="204" t="s">
        <v>2276</v>
      </c>
      <c r="L3108" s="204" t="s">
        <v>2276</v>
      </c>
      <c r="M3108" s="204" t="s">
        <v>2276</v>
      </c>
      <c r="N3108" s="204" t="s">
        <v>2276</v>
      </c>
      <c r="O3108" s="204" t="s">
        <v>2276</v>
      </c>
      <c r="P3108" s="204" t="s">
        <v>2276</v>
      </c>
      <c r="Q3108" s="204" t="s">
        <v>2276</v>
      </c>
      <c r="R3108" s="204" t="s">
        <v>2276</v>
      </c>
      <c r="S3108" s="204" t="s">
        <v>2276</v>
      </c>
      <c r="T3108" s="204" t="s">
        <v>2276</v>
      </c>
      <c r="U3108" s="204" t="s">
        <v>2276</v>
      </c>
      <c r="V3108" s="204" t="s">
        <v>2276</v>
      </c>
      <c r="W3108" s="204" t="s">
        <v>2276</v>
      </c>
      <c r="X3108" s="204" t="s">
        <v>2276</v>
      </c>
      <c r="Y3108" s="204" t="s">
        <v>2276</v>
      </c>
      <c r="Z3108" s="204" t="s">
        <v>68</v>
      </c>
      <c r="AA3108" s="204" t="s">
        <v>127</v>
      </c>
      <c r="AB3108" s="204" t="s">
        <v>64</v>
      </c>
      <c r="AC3108" s="204"/>
      <c r="AD3108" s="204"/>
    </row>
    <row r="3109" spans="1:30" ht="51.5" customHeight="1">
      <c r="A3109" s="19" t="s">
        <v>8318</v>
      </c>
      <c r="B3109" s="19" t="s">
        <v>8343</v>
      </c>
      <c r="C3109" s="204" t="s">
        <v>24</v>
      </c>
      <c r="D3109" s="204" t="s">
        <v>26</v>
      </c>
      <c r="E3109" s="4" t="s">
        <v>3854</v>
      </c>
      <c r="F3109" s="4" t="s">
        <v>2662</v>
      </c>
      <c r="G3109" s="204" t="s">
        <v>2276</v>
      </c>
      <c r="H3109" s="204" t="s">
        <v>523</v>
      </c>
      <c r="I3109" s="204"/>
      <c r="J3109" s="204" t="s">
        <v>2276</v>
      </c>
      <c r="K3109" s="204" t="s">
        <v>2276</v>
      </c>
      <c r="L3109" s="204" t="s">
        <v>2276</v>
      </c>
      <c r="M3109" s="204" t="s">
        <v>2276</v>
      </c>
      <c r="N3109" s="204" t="s">
        <v>2276</v>
      </c>
      <c r="O3109" s="204" t="s">
        <v>2276</v>
      </c>
      <c r="P3109" s="204" t="s">
        <v>2276</v>
      </c>
      <c r="Q3109" s="204" t="s">
        <v>2276</v>
      </c>
      <c r="R3109" s="204" t="s">
        <v>2276</v>
      </c>
      <c r="S3109" s="204" t="s">
        <v>2276</v>
      </c>
      <c r="T3109" s="204" t="s">
        <v>2276</v>
      </c>
      <c r="U3109" s="204" t="s">
        <v>2276</v>
      </c>
      <c r="V3109" s="204" t="s">
        <v>2276</v>
      </c>
      <c r="W3109" s="204" t="s">
        <v>2276</v>
      </c>
      <c r="X3109" s="204" t="s">
        <v>2276</v>
      </c>
      <c r="Y3109" s="204" t="s">
        <v>2276</v>
      </c>
      <c r="Z3109" s="204" t="s">
        <v>38</v>
      </c>
      <c r="AA3109" s="204" t="s">
        <v>127</v>
      </c>
      <c r="AB3109" s="204" t="s">
        <v>64</v>
      </c>
      <c r="AC3109" s="204"/>
      <c r="AD3109" s="204"/>
    </row>
    <row r="3110" spans="1:30" ht="54.5" customHeight="1">
      <c r="A3110" s="19" t="s">
        <v>8319</v>
      </c>
      <c r="B3110" s="19" t="s">
        <v>8345</v>
      </c>
      <c r="C3110" s="204" t="s">
        <v>24</v>
      </c>
      <c r="D3110" s="204" t="s">
        <v>2659</v>
      </c>
      <c r="E3110" s="4" t="s">
        <v>3854</v>
      </c>
      <c r="F3110" s="4" t="s">
        <v>28</v>
      </c>
      <c r="G3110" s="204" t="s">
        <v>2276</v>
      </c>
      <c r="H3110" s="204" t="s">
        <v>524</v>
      </c>
      <c r="I3110" s="204"/>
      <c r="J3110" s="21">
        <v>0</v>
      </c>
      <c r="K3110" s="21">
        <v>0</v>
      </c>
      <c r="L3110" s="21">
        <v>0</v>
      </c>
      <c r="M3110" s="21">
        <v>0</v>
      </c>
      <c r="N3110" s="21">
        <v>0</v>
      </c>
      <c r="O3110" s="21">
        <v>0</v>
      </c>
      <c r="P3110" s="21">
        <v>0</v>
      </c>
      <c r="Q3110" s="21">
        <v>0</v>
      </c>
      <c r="R3110" s="21">
        <v>0</v>
      </c>
      <c r="S3110" s="21">
        <v>0</v>
      </c>
      <c r="T3110" s="21">
        <v>0</v>
      </c>
      <c r="U3110" s="21">
        <v>0</v>
      </c>
      <c r="V3110" s="21">
        <v>0</v>
      </c>
      <c r="W3110" s="21">
        <v>0</v>
      </c>
      <c r="X3110" s="21">
        <v>0</v>
      </c>
      <c r="Y3110" s="204" t="s">
        <v>2276</v>
      </c>
      <c r="Z3110" s="204" t="s">
        <v>2276</v>
      </c>
      <c r="AA3110" s="204" t="s">
        <v>2276</v>
      </c>
      <c r="AB3110" s="204" t="s">
        <v>2276</v>
      </c>
      <c r="AC3110" s="204"/>
      <c r="AD3110" s="204"/>
    </row>
    <row r="3111" spans="1:30" ht="54.5" customHeight="1">
      <c r="A3111" s="19" t="s">
        <v>8319</v>
      </c>
      <c r="B3111" s="19" t="s">
        <v>8346</v>
      </c>
      <c r="C3111" s="204" t="s">
        <v>24</v>
      </c>
      <c r="D3111" s="204" t="s">
        <v>27</v>
      </c>
      <c r="E3111" s="4" t="s">
        <v>3854</v>
      </c>
      <c r="F3111" s="4" t="s">
        <v>28</v>
      </c>
      <c r="G3111" s="204" t="s">
        <v>2276</v>
      </c>
      <c r="H3111" s="204" t="s">
        <v>523</v>
      </c>
      <c r="I3111" s="204"/>
      <c r="J3111" s="204" t="s">
        <v>2276</v>
      </c>
      <c r="K3111" s="204" t="s">
        <v>2276</v>
      </c>
      <c r="L3111" s="204" t="s">
        <v>2276</v>
      </c>
      <c r="M3111" s="204" t="s">
        <v>2276</v>
      </c>
      <c r="N3111" s="204" t="s">
        <v>2276</v>
      </c>
      <c r="O3111" s="204" t="s">
        <v>2276</v>
      </c>
      <c r="P3111" s="204" t="s">
        <v>2276</v>
      </c>
      <c r="Q3111" s="204" t="s">
        <v>2276</v>
      </c>
      <c r="R3111" s="204" t="s">
        <v>2276</v>
      </c>
      <c r="S3111" s="204" t="s">
        <v>2276</v>
      </c>
      <c r="T3111" s="204" t="s">
        <v>2276</v>
      </c>
      <c r="U3111" s="204" t="s">
        <v>2276</v>
      </c>
      <c r="V3111" s="204" t="s">
        <v>2276</v>
      </c>
      <c r="W3111" s="204" t="s">
        <v>2276</v>
      </c>
      <c r="X3111" s="204" t="s">
        <v>2276</v>
      </c>
      <c r="Y3111" s="204" t="s">
        <v>2276</v>
      </c>
      <c r="Z3111" s="204" t="s">
        <v>68</v>
      </c>
      <c r="AA3111" s="204" t="s">
        <v>35</v>
      </c>
      <c r="AB3111" s="204" t="s">
        <v>64</v>
      </c>
      <c r="AC3111" s="204"/>
      <c r="AD3111" s="204"/>
    </row>
    <row r="3112" spans="1:30" ht="54.5" customHeight="1">
      <c r="A3112" s="19" t="s">
        <v>8319</v>
      </c>
      <c r="B3112" s="19" t="s">
        <v>8347</v>
      </c>
      <c r="C3112" s="204" t="s">
        <v>24</v>
      </c>
      <c r="D3112" s="204" t="s">
        <v>2231</v>
      </c>
      <c r="E3112" s="4" t="s">
        <v>3854</v>
      </c>
      <c r="F3112" s="4" t="s">
        <v>28</v>
      </c>
      <c r="G3112" s="204" t="s">
        <v>2276</v>
      </c>
      <c r="H3112" s="204" t="s">
        <v>523</v>
      </c>
      <c r="I3112" s="204"/>
      <c r="J3112" s="204" t="s">
        <v>2276</v>
      </c>
      <c r="K3112" s="204" t="s">
        <v>2276</v>
      </c>
      <c r="L3112" s="204" t="s">
        <v>2276</v>
      </c>
      <c r="M3112" s="204" t="s">
        <v>2276</v>
      </c>
      <c r="N3112" s="204" t="s">
        <v>2276</v>
      </c>
      <c r="O3112" s="204" t="s">
        <v>2276</v>
      </c>
      <c r="P3112" s="204" t="s">
        <v>2276</v>
      </c>
      <c r="Q3112" s="204" t="s">
        <v>2276</v>
      </c>
      <c r="R3112" s="204" t="s">
        <v>2276</v>
      </c>
      <c r="S3112" s="204" t="s">
        <v>2276</v>
      </c>
      <c r="T3112" s="204" t="s">
        <v>2276</v>
      </c>
      <c r="U3112" s="204" t="s">
        <v>2276</v>
      </c>
      <c r="V3112" s="204" t="s">
        <v>2276</v>
      </c>
      <c r="W3112" s="204" t="s">
        <v>2276</v>
      </c>
      <c r="X3112" s="204" t="s">
        <v>2276</v>
      </c>
      <c r="Y3112" s="204" t="s">
        <v>2276</v>
      </c>
      <c r="Z3112" s="204" t="s">
        <v>68</v>
      </c>
      <c r="AA3112" s="204" t="s">
        <v>35</v>
      </c>
      <c r="AB3112" s="204" t="s">
        <v>64</v>
      </c>
      <c r="AC3112" s="204"/>
      <c r="AD3112" s="204"/>
    </row>
    <row r="3113" spans="1:30" ht="54.5" customHeight="1">
      <c r="A3113" s="19" t="s">
        <v>8319</v>
      </c>
      <c r="B3113" s="19" t="s">
        <v>8348</v>
      </c>
      <c r="C3113" s="204" t="s">
        <v>24</v>
      </c>
      <c r="D3113" s="204" t="s">
        <v>25</v>
      </c>
      <c r="E3113" s="4" t="s">
        <v>3854</v>
      </c>
      <c r="F3113" s="4" t="s">
        <v>2662</v>
      </c>
      <c r="G3113" s="204" t="s">
        <v>2276</v>
      </c>
      <c r="H3113" s="204" t="s">
        <v>523</v>
      </c>
      <c r="I3113" s="204"/>
      <c r="J3113" s="204" t="s">
        <v>2276</v>
      </c>
      <c r="K3113" s="204" t="s">
        <v>2276</v>
      </c>
      <c r="L3113" s="204" t="s">
        <v>2276</v>
      </c>
      <c r="M3113" s="204" t="s">
        <v>2276</v>
      </c>
      <c r="N3113" s="204" t="s">
        <v>2276</v>
      </c>
      <c r="O3113" s="204" t="s">
        <v>2276</v>
      </c>
      <c r="P3113" s="204" t="s">
        <v>2276</v>
      </c>
      <c r="Q3113" s="204" t="s">
        <v>2276</v>
      </c>
      <c r="R3113" s="204" t="s">
        <v>2276</v>
      </c>
      <c r="S3113" s="204" t="s">
        <v>2276</v>
      </c>
      <c r="T3113" s="204" t="s">
        <v>2276</v>
      </c>
      <c r="U3113" s="204" t="s">
        <v>2276</v>
      </c>
      <c r="V3113" s="204" t="s">
        <v>2276</v>
      </c>
      <c r="W3113" s="204" t="s">
        <v>2276</v>
      </c>
      <c r="X3113" s="204" t="s">
        <v>2276</v>
      </c>
      <c r="Y3113" s="204" t="s">
        <v>2276</v>
      </c>
      <c r="Z3113" s="204" t="s">
        <v>405</v>
      </c>
      <c r="AA3113" s="204" t="s">
        <v>35</v>
      </c>
      <c r="AB3113" s="204" t="s">
        <v>64</v>
      </c>
      <c r="AC3113" s="204"/>
      <c r="AD3113" s="204"/>
    </row>
    <row r="3114" spans="1:30" ht="54.5" customHeight="1">
      <c r="A3114" s="19" t="s">
        <v>8319</v>
      </c>
      <c r="B3114" s="19" t="s">
        <v>8349</v>
      </c>
      <c r="C3114" s="204" t="s">
        <v>24</v>
      </c>
      <c r="D3114" s="204" t="s">
        <v>1245</v>
      </c>
      <c r="E3114" s="4" t="s">
        <v>3854</v>
      </c>
      <c r="F3114" s="4" t="s">
        <v>2662</v>
      </c>
      <c r="G3114" s="204" t="s">
        <v>2276</v>
      </c>
      <c r="H3114" s="204" t="s">
        <v>523</v>
      </c>
      <c r="I3114" s="204"/>
      <c r="J3114" s="204" t="s">
        <v>2276</v>
      </c>
      <c r="K3114" s="204" t="s">
        <v>2276</v>
      </c>
      <c r="L3114" s="204" t="s">
        <v>2276</v>
      </c>
      <c r="M3114" s="204" t="s">
        <v>2276</v>
      </c>
      <c r="N3114" s="204" t="s">
        <v>2276</v>
      </c>
      <c r="O3114" s="204" t="s">
        <v>2276</v>
      </c>
      <c r="P3114" s="204" t="s">
        <v>2276</v>
      </c>
      <c r="Q3114" s="204" t="s">
        <v>2276</v>
      </c>
      <c r="R3114" s="204" t="s">
        <v>2276</v>
      </c>
      <c r="S3114" s="204" t="s">
        <v>2276</v>
      </c>
      <c r="T3114" s="204" t="s">
        <v>2276</v>
      </c>
      <c r="U3114" s="204" t="s">
        <v>2276</v>
      </c>
      <c r="V3114" s="204" t="s">
        <v>2276</v>
      </c>
      <c r="W3114" s="204" t="s">
        <v>2276</v>
      </c>
      <c r="X3114" s="204" t="s">
        <v>2276</v>
      </c>
      <c r="Y3114" s="204" t="s">
        <v>2276</v>
      </c>
      <c r="Z3114" s="204" t="s">
        <v>86</v>
      </c>
      <c r="AA3114" s="204" t="s">
        <v>35</v>
      </c>
      <c r="AB3114" s="204" t="s">
        <v>64</v>
      </c>
      <c r="AC3114" s="204"/>
      <c r="AD3114" s="204"/>
    </row>
    <row r="3115" spans="1:30" ht="54.5" customHeight="1">
      <c r="A3115" s="19" t="s">
        <v>8319</v>
      </c>
      <c r="B3115" s="19" t="s">
        <v>8350</v>
      </c>
      <c r="C3115" s="204" t="s">
        <v>24</v>
      </c>
      <c r="D3115" s="204" t="s">
        <v>3480</v>
      </c>
      <c r="E3115" s="4" t="s">
        <v>3854</v>
      </c>
      <c r="F3115" s="4" t="s">
        <v>2662</v>
      </c>
      <c r="G3115" s="204" t="s">
        <v>2276</v>
      </c>
      <c r="H3115" s="204" t="s">
        <v>523</v>
      </c>
      <c r="I3115" s="204"/>
      <c r="J3115" s="204" t="s">
        <v>2276</v>
      </c>
      <c r="K3115" s="204" t="s">
        <v>2276</v>
      </c>
      <c r="L3115" s="204" t="s">
        <v>2276</v>
      </c>
      <c r="M3115" s="204" t="s">
        <v>2276</v>
      </c>
      <c r="N3115" s="204" t="s">
        <v>2276</v>
      </c>
      <c r="O3115" s="204" t="s">
        <v>2276</v>
      </c>
      <c r="P3115" s="204" t="s">
        <v>2276</v>
      </c>
      <c r="Q3115" s="204" t="s">
        <v>2276</v>
      </c>
      <c r="R3115" s="204" t="s">
        <v>2276</v>
      </c>
      <c r="S3115" s="204" t="s">
        <v>2276</v>
      </c>
      <c r="T3115" s="204" t="s">
        <v>2276</v>
      </c>
      <c r="U3115" s="204" t="s">
        <v>2276</v>
      </c>
      <c r="V3115" s="204" t="s">
        <v>2276</v>
      </c>
      <c r="W3115" s="204" t="s">
        <v>2276</v>
      </c>
      <c r="X3115" s="204" t="s">
        <v>2276</v>
      </c>
      <c r="Y3115" s="204" t="s">
        <v>2276</v>
      </c>
      <c r="Z3115" s="204" t="s">
        <v>68</v>
      </c>
      <c r="AA3115" s="204" t="s">
        <v>127</v>
      </c>
      <c r="AB3115" s="204" t="s">
        <v>64</v>
      </c>
      <c r="AC3115" s="204"/>
      <c r="AD3115" s="204"/>
    </row>
    <row r="3116" spans="1:30" ht="54.5" customHeight="1">
      <c r="A3116" s="19" t="s">
        <v>8319</v>
      </c>
      <c r="B3116" s="19" t="s">
        <v>8351</v>
      </c>
      <c r="C3116" s="204" t="s">
        <v>24</v>
      </c>
      <c r="D3116" s="204" t="s">
        <v>26</v>
      </c>
      <c r="E3116" s="4" t="s">
        <v>3854</v>
      </c>
      <c r="F3116" s="4" t="s">
        <v>74</v>
      </c>
      <c r="G3116" s="204" t="s">
        <v>2276</v>
      </c>
      <c r="H3116" s="204" t="s">
        <v>523</v>
      </c>
      <c r="I3116" s="204"/>
      <c r="J3116" s="204" t="s">
        <v>2276</v>
      </c>
      <c r="K3116" s="204" t="s">
        <v>2276</v>
      </c>
      <c r="L3116" s="204" t="s">
        <v>2276</v>
      </c>
      <c r="M3116" s="204" t="s">
        <v>2276</v>
      </c>
      <c r="N3116" s="204" t="s">
        <v>2276</v>
      </c>
      <c r="O3116" s="204" t="s">
        <v>2276</v>
      </c>
      <c r="P3116" s="204" t="s">
        <v>2276</v>
      </c>
      <c r="Q3116" s="204" t="s">
        <v>2276</v>
      </c>
      <c r="R3116" s="204" t="s">
        <v>2276</v>
      </c>
      <c r="S3116" s="204" t="s">
        <v>2276</v>
      </c>
      <c r="T3116" s="204" t="s">
        <v>2276</v>
      </c>
      <c r="U3116" s="204" t="s">
        <v>2276</v>
      </c>
      <c r="V3116" s="204" t="s">
        <v>2276</v>
      </c>
      <c r="W3116" s="204" t="s">
        <v>2276</v>
      </c>
      <c r="X3116" s="204" t="s">
        <v>2276</v>
      </c>
      <c r="Y3116" s="204" t="s">
        <v>2276</v>
      </c>
      <c r="Z3116" s="204" t="s">
        <v>38</v>
      </c>
      <c r="AA3116" s="204" t="s">
        <v>127</v>
      </c>
      <c r="AB3116" s="204" t="s">
        <v>64</v>
      </c>
      <c r="AC3116" s="204"/>
      <c r="AD3116" s="204"/>
    </row>
    <row r="3117" spans="1:30" ht="50.5" customHeight="1">
      <c r="A3117" s="19" t="s">
        <v>8314</v>
      </c>
      <c r="B3117" s="19" t="s">
        <v>8362</v>
      </c>
      <c r="C3117" s="204" t="s">
        <v>24</v>
      </c>
      <c r="D3117" s="204" t="s">
        <v>1105</v>
      </c>
      <c r="E3117" s="4" t="s">
        <v>3854</v>
      </c>
      <c r="F3117" s="4" t="s">
        <v>28</v>
      </c>
      <c r="G3117" s="4" t="s">
        <v>28</v>
      </c>
      <c r="H3117" s="204" t="s">
        <v>523</v>
      </c>
      <c r="I3117" s="204"/>
      <c r="J3117" s="204" t="s">
        <v>2276</v>
      </c>
      <c r="K3117" s="204" t="s">
        <v>2276</v>
      </c>
      <c r="L3117" s="204" t="s">
        <v>2276</v>
      </c>
      <c r="M3117" s="204" t="s">
        <v>2276</v>
      </c>
      <c r="N3117" s="204" t="s">
        <v>2276</v>
      </c>
      <c r="O3117" s="204" t="s">
        <v>2276</v>
      </c>
      <c r="P3117" s="204" t="s">
        <v>2276</v>
      </c>
      <c r="Q3117" s="204" t="s">
        <v>2276</v>
      </c>
      <c r="R3117" s="204" t="s">
        <v>2276</v>
      </c>
      <c r="S3117" s="204" t="s">
        <v>2276</v>
      </c>
      <c r="T3117" s="204" t="s">
        <v>2276</v>
      </c>
      <c r="U3117" s="204" t="s">
        <v>2276</v>
      </c>
      <c r="V3117" s="21">
        <f>AVERAGE(21, 10.8)</f>
        <v>15.9</v>
      </c>
      <c r="W3117" s="204" t="s">
        <v>2276</v>
      </c>
      <c r="X3117" s="21">
        <f>V3117*('Land use'!P1288/100)</f>
        <v>0.34980000000000006</v>
      </c>
      <c r="Y3117" s="204" t="s">
        <v>2276</v>
      </c>
      <c r="Z3117" s="204" t="s">
        <v>2276</v>
      </c>
      <c r="AA3117" s="204" t="s">
        <v>2276</v>
      </c>
      <c r="AB3117" s="204" t="s">
        <v>2276</v>
      </c>
      <c r="AC3117" s="204"/>
      <c r="AD3117" s="204"/>
    </row>
    <row r="3118" spans="1:30" ht="50.5" customHeight="1">
      <c r="A3118" s="19" t="s">
        <v>8315</v>
      </c>
      <c r="B3118" s="19" t="s">
        <v>8363</v>
      </c>
      <c r="C3118" s="204" t="s">
        <v>24</v>
      </c>
      <c r="D3118" s="204" t="s">
        <v>1105</v>
      </c>
      <c r="E3118" s="4" t="s">
        <v>3854</v>
      </c>
      <c r="F3118" s="4" t="s">
        <v>28</v>
      </c>
      <c r="G3118" s="4" t="s">
        <v>28</v>
      </c>
      <c r="H3118" s="204" t="s">
        <v>523</v>
      </c>
      <c r="I3118" s="204"/>
      <c r="J3118" s="204" t="s">
        <v>2276</v>
      </c>
      <c r="K3118" s="204" t="s">
        <v>2276</v>
      </c>
      <c r="L3118" s="204" t="s">
        <v>2276</v>
      </c>
      <c r="M3118" s="204" t="s">
        <v>2276</v>
      </c>
      <c r="N3118" s="204" t="s">
        <v>2276</v>
      </c>
      <c r="O3118" s="204" t="s">
        <v>2276</v>
      </c>
      <c r="P3118" s="204" t="s">
        <v>2276</v>
      </c>
      <c r="Q3118" s="204" t="s">
        <v>2276</v>
      </c>
      <c r="R3118" s="204" t="s">
        <v>2276</v>
      </c>
      <c r="S3118" s="204" t="s">
        <v>2276</v>
      </c>
      <c r="T3118" s="204" t="s">
        <v>2276</v>
      </c>
      <c r="U3118" s="204" t="s">
        <v>2276</v>
      </c>
      <c r="V3118" s="21">
        <f>AVERAGE(41, 39)</f>
        <v>40</v>
      </c>
      <c r="W3118" s="204" t="s">
        <v>2276</v>
      </c>
      <c r="X3118" s="21">
        <f>V3118*('Land use'!P1289/100)</f>
        <v>0.96</v>
      </c>
      <c r="Y3118" s="204" t="s">
        <v>2276</v>
      </c>
      <c r="Z3118" s="204" t="s">
        <v>2276</v>
      </c>
      <c r="AA3118" s="204" t="s">
        <v>2276</v>
      </c>
      <c r="AB3118" s="204" t="s">
        <v>2276</v>
      </c>
      <c r="AC3118" s="204"/>
      <c r="AD3118" s="204"/>
    </row>
    <row r="3119" spans="1:30" ht="50.5" customHeight="1">
      <c r="A3119" s="19" t="s">
        <v>8318</v>
      </c>
      <c r="B3119" s="19" t="s">
        <v>8344</v>
      </c>
      <c r="C3119" s="204" t="s">
        <v>24</v>
      </c>
      <c r="D3119" s="204" t="s">
        <v>1105</v>
      </c>
      <c r="E3119" s="4" t="s">
        <v>3854</v>
      </c>
      <c r="F3119" s="4" t="s">
        <v>28</v>
      </c>
      <c r="G3119" s="4" t="s">
        <v>28</v>
      </c>
      <c r="H3119" s="204" t="s">
        <v>523</v>
      </c>
      <c r="I3119" s="204"/>
      <c r="J3119" s="204" t="s">
        <v>2276</v>
      </c>
      <c r="K3119" s="204" t="s">
        <v>2276</v>
      </c>
      <c r="L3119" s="204" t="s">
        <v>2276</v>
      </c>
      <c r="M3119" s="204" t="s">
        <v>2276</v>
      </c>
      <c r="N3119" s="204" t="s">
        <v>2276</v>
      </c>
      <c r="O3119" s="204" t="s">
        <v>2276</v>
      </c>
      <c r="P3119" s="204" t="s">
        <v>2276</v>
      </c>
      <c r="Q3119" s="204" t="s">
        <v>2276</v>
      </c>
      <c r="R3119" s="204" t="s">
        <v>2276</v>
      </c>
      <c r="S3119" s="204" t="s">
        <v>2276</v>
      </c>
      <c r="T3119" s="204" t="s">
        <v>2276</v>
      </c>
      <c r="U3119" s="204" t="s">
        <v>2276</v>
      </c>
      <c r="V3119" s="21">
        <f>AVERAGE(0.9, 3.5)</f>
        <v>2.2000000000000002</v>
      </c>
      <c r="W3119" s="204" t="s">
        <v>2276</v>
      </c>
      <c r="X3119" s="21">
        <f>V3119*('Land use'!P1290/100)</f>
        <v>1.0912000000000002</v>
      </c>
      <c r="Y3119" s="204" t="s">
        <v>2276</v>
      </c>
      <c r="Z3119" s="204" t="s">
        <v>2276</v>
      </c>
      <c r="AA3119" s="204" t="s">
        <v>2276</v>
      </c>
      <c r="AB3119" s="204" t="s">
        <v>2276</v>
      </c>
      <c r="AC3119" s="204"/>
      <c r="AD3119" s="4" t="s">
        <v>8374</v>
      </c>
    </row>
    <row r="3120" spans="1:30" ht="50.5" customHeight="1">
      <c r="A3120" s="19" t="s">
        <v>8319</v>
      </c>
      <c r="B3120" s="19" t="s">
        <v>8364</v>
      </c>
      <c r="C3120" s="204" t="s">
        <v>24</v>
      </c>
      <c r="D3120" s="204" t="s">
        <v>1105</v>
      </c>
      <c r="E3120" s="4" t="s">
        <v>3854</v>
      </c>
      <c r="F3120" s="4" t="s">
        <v>28</v>
      </c>
      <c r="G3120" s="4" t="s">
        <v>28</v>
      </c>
      <c r="H3120" s="204" t="s">
        <v>523</v>
      </c>
      <c r="I3120" s="204"/>
      <c r="J3120" s="204" t="s">
        <v>2276</v>
      </c>
      <c r="K3120" s="204" t="s">
        <v>2276</v>
      </c>
      <c r="L3120" s="204" t="s">
        <v>2276</v>
      </c>
      <c r="M3120" s="204" t="s">
        <v>2276</v>
      </c>
      <c r="N3120" s="204" t="s">
        <v>2276</v>
      </c>
      <c r="O3120" s="204" t="s">
        <v>2276</v>
      </c>
      <c r="P3120" s="204" t="s">
        <v>2276</v>
      </c>
      <c r="Q3120" s="204" t="s">
        <v>2276</v>
      </c>
      <c r="R3120" s="204" t="s">
        <v>2276</v>
      </c>
      <c r="S3120" s="204" t="s">
        <v>2276</v>
      </c>
      <c r="T3120" s="204" t="s">
        <v>2276</v>
      </c>
      <c r="U3120" s="204" t="s">
        <v>2276</v>
      </c>
      <c r="V3120" s="21">
        <f>AVERAGE(5.1, 14.9)</f>
        <v>10</v>
      </c>
      <c r="W3120" s="204" t="s">
        <v>2276</v>
      </c>
      <c r="X3120" s="21">
        <f>V3120*('Land use'!P1291/100)</f>
        <v>3.06</v>
      </c>
      <c r="Y3120" s="204" t="s">
        <v>2276</v>
      </c>
      <c r="Z3120" s="204" t="s">
        <v>2276</v>
      </c>
      <c r="AA3120" s="204" t="s">
        <v>2276</v>
      </c>
      <c r="AB3120" s="204" t="s">
        <v>2276</v>
      </c>
      <c r="AC3120" s="204"/>
      <c r="AD3120" s="4" t="s">
        <v>8374</v>
      </c>
    </row>
    <row r="3121" spans="1:30" ht="48" customHeight="1">
      <c r="A3121" s="19" t="s">
        <v>8314</v>
      </c>
      <c r="B3121" s="19" t="s">
        <v>8365</v>
      </c>
      <c r="C3121" s="204" t="s">
        <v>24</v>
      </c>
      <c r="D3121" s="204" t="s">
        <v>1105</v>
      </c>
      <c r="E3121" s="4" t="s">
        <v>3854</v>
      </c>
      <c r="F3121" s="4" t="s">
        <v>2662</v>
      </c>
      <c r="G3121" s="4" t="s">
        <v>2662</v>
      </c>
      <c r="H3121" s="204" t="s">
        <v>523</v>
      </c>
      <c r="I3121" s="204"/>
      <c r="J3121" s="204" t="s">
        <v>2276</v>
      </c>
      <c r="K3121" s="204" t="s">
        <v>2276</v>
      </c>
      <c r="L3121" s="204" t="s">
        <v>2276</v>
      </c>
      <c r="M3121" s="204" t="s">
        <v>2276</v>
      </c>
      <c r="N3121" s="204" t="s">
        <v>2276</v>
      </c>
      <c r="O3121" s="204" t="s">
        <v>2276</v>
      </c>
      <c r="P3121" s="204" t="s">
        <v>2276</v>
      </c>
      <c r="Q3121" s="204" t="s">
        <v>2276</v>
      </c>
      <c r="R3121" s="204" t="s">
        <v>2276</v>
      </c>
      <c r="S3121" s="204" t="s">
        <v>2276</v>
      </c>
      <c r="T3121" s="204" t="s">
        <v>2276</v>
      </c>
      <c r="U3121" s="204" t="s">
        <v>2276</v>
      </c>
      <c r="V3121" s="21">
        <f>AVERAGE(3, 23.6)</f>
        <v>13.3</v>
      </c>
      <c r="W3121" s="204" t="s">
        <v>2276</v>
      </c>
      <c r="X3121" s="21">
        <f>V3121*(71.7/100)</f>
        <v>9.5361000000000011</v>
      </c>
      <c r="Y3121" s="204" t="s">
        <v>2276</v>
      </c>
      <c r="Z3121" s="204" t="s">
        <v>2276</v>
      </c>
      <c r="AA3121" s="204" t="s">
        <v>2276</v>
      </c>
      <c r="AB3121" s="204" t="s">
        <v>2276</v>
      </c>
      <c r="AC3121" s="204"/>
      <c r="AD3121" s="4" t="s">
        <v>8373</v>
      </c>
    </row>
    <row r="3122" spans="1:30" ht="48" customHeight="1">
      <c r="A3122" s="19" t="s">
        <v>8315</v>
      </c>
      <c r="B3122" s="19" t="s">
        <v>8366</v>
      </c>
      <c r="C3122" s="204" t="s">
        <v>24</v>
      </c>
      <c r="D3122" s="204" t="s">
        <v>1105</v>
      </c>
      <c r="E3122" s="4" t="s">
        <v>3854</v>
      </c>
      <c r="F3122" s="4" t="s">
        <v>2662</v>
      </c>
      <c r="G3122" s="4" t="s">
        <v>2662</v>
      </c>
      <c r="H3122" s="204" t="s">
        <v>523</v>
      </c>
      <c r="I3122" s="204"/>
      <c r="J3122" s="204" t="s">
        <v>2276</v>
      </c>
      <c r="K3122" s="204" t="s">
        <v>2276</v>
      </c>
      <c r="L3122" s="204" t="s">
        <v>2276</v>
      </c>
      <c r="M3122" s="204" t="s">
        <v>2276</v>
      </c>
      <c r="N3122" s="204" t="s">
        <v>2276</v>
      </c>
      <c r="O3122" s="204" t="s">
        <v>2276</v>
      </c>
      <c r="P3122" s="204" t="s">
        <v>2276</v>
      </c>
      <c r="Q3122" s="204" t="s">
        <v>2276</v>
      </c>
      <c r="R3122" s="204" t="s">
        <v>2276</v>
      </c>
      <c r="S3122" s="204" t="s">
        <v>2276</v>
      </c>
      <c r="T3122" s="204" t="s">
        <v>2276</v>
      </c>
      <c r="U3122" s="204" t="s">
        <v>2276</v>
      </c>
      <c r="V3122" s="21">
        <f>AVERAGE(14, 33)</f>
        <v>23.5</v>
      </c>
      <c r="W3122" s="204" t="s">
        <v>2276</v>
      </c>
      <c r="X3122" s="21">
        <f>V3122*(80.7/100)</f>
        <v>18.964500000000001</v>
      </c>
      <c r="Y3122" s="204" t="s">
        <v>2276</v>
      </c>
      <c r="Z3122" s="204" t="s">
        <v>2276</v>
      </c>
      <c r="AA3122" s="204" t="s">
        <v>2276</v>
      </c>
      <c r="AB3122" s="204" t="s">
        <v>2276</v>
      </c>
      <c r="AC3122" s="204"/>
      <c r="AD3122" s="4" t="s">
        <v>8373</v>
      </c>
    </row>
    <row r="3123" spans="1:30" ht="48" customHeight="1">
      <c r="A3123" s="19" t="s">
        <v>8318</v>
      </c>
      <c r="B3123" s="19" t="s">
        <v>8367</v>
      </c>
      <c r="C3123" s="204" t="s">
        <v>24</v>
      </c>
      <c r="D3123" s="204" t="s">
        <v>1105</v>
      </c>
      <c r="E3123" s="4" t="s">
        <v>3854</v>
      </c>
      <c r="F3123" s="4" t="s">
        <v>2662</v>
      </c>
      <c r="G3123" s="4" t="s">
        <v>2662</v>
      </c>
      <c r="H3123" s="204" t="s">
        <v>523</v>
      </c>
      <c r="I3123" s="204"/>
      <c r="J3123" s="204" t="s">
        <v>2276</v>
      </c>
      <c r="K3123" s="204" t="s">
        <v>2276</v>
      </c>
      <c r="L3123" s="204" t="s">
        <v>2276</v>
      </c>
      <c r="M3123" s="204" t="s">
        <v>2276</v>
      </c>
      <c r="N3123" s="204" t="s">
        <v>2276</v>
      </c>
      <c r="O3123" s="204" t="s">
        <v>2276</v>
      </c>
      <c r="P3123" s="204" t="s">
        <v>2276</v>
      </c>
      <c r="Q3123" s="204" t="s">
        <v>2276</v>
      </c>
      <c r="R3123" s="204" t="s">
        <v>2276</v>
      </c>
      <c r="S3123" s="204" t="s">
        <v>2276</v>
      </c>
      <c r="T3123" s="204" t="s">
        <v>2276</v>
      </c>
      <c r="U3123" s="204" t="s">
        <v>2276</v>
      </c>
      <c r="V3123" s="21">
        <f>AVERAGE(36.7, 13.7)</f>
        <v>25.200000000000003</v>
      </c>
      <c r="W3123" s="204" t="s">
        <v>2276</v>
      </c>
      <c r="X3123" s="21">
        <f>V3123*(39.6/100)</f>
        <v>9.9792000000000023</v>
      </c>
      <c r="Y3123" s="204" t="s">
        <v>2276</v>
      </c>
      <c r="Z3123" s="204" t="s">
        <v>2276</v>
      </c>
      <c r="AA3123" s="204" t="s">
        <v>2276</v>
      </c>
      <c r="AB3123" s="204" t="s">
        <v>2276</v>
      </c>
      <c r="AC3123" s="204"/>
      <c r="AD3123" s="4" t="s">
        <v>8373</v>
      </c>
    </row>
    <row r="3124" spans="1:30" ht="48" customHeight="1">
      <c r="A3124" s="19" t="s">
        <v>8319</v>
      </c>
      <c r="B3124" s="19" t="s">
        <v>8368</v>
      </c>
      <c r="C3124" s="204" t="s">
        <v>24</v>
      </c>
      <c r="D3124" s="204" t="s">
        <v>1105</v>
      </c>
      <c r="E3124" s="4" t="s">
        <v>3854</v>
      </c>
      <c r="F3124" s="4" t="s">
        <v>2662</v>
      </c>
      <c r="G3124" s="4" t="s">
        <v>2662</v>
      </c>
      <c r="H3124" s="204" t="s">
        <v>523</v>
      </c>
      <c r="I3124" s="204"/>
      <c r="J3124" s="204" t="s">
        <v>2276</v>
      </c>
      <c r="K3124" s="204" t="s">
        <v>2276</v>
      </c>
      <c r="L3124" s="204" t="s">
        <v>2276</v>
      </c>
      <c r="M3124" s="204" t="s">
        <v>2276</v>
      </c>
      <c r="N3124" s="204" t="s">
        <v>2276</v>
      </c>
      <c r="O3124" s="204" t="s">
        <v>2276</v>
      </c>
      <c r="P3124" s="204" t="s">
        <v>2276</v>
      </c>
      <c r="Q3124" s="204" t="s">
        <v>2276</v>
      </c>
      <c r="R3124" s="204" t="s">
        <v>2276</v>
      </c>
      <c r="S3124" s="204" t="s">
        <v>2276</v>
      </c>
      <c r="T3124" s="204" t="s">
        <v>2276</v>
      </c>
      <c r="U3124" s="204" t="s">
        <v>2276</v>
      </c>
      <c r="V3124" s="21">
        <f>AVERAGE(53, 49)</f>
        <v>51</v>
      </c>
      <c r="W3124" s="204" t="s">
        <v>2276</v>
      </c>
      <c r="X3124" s="21">
        <f>V3124*(57.6/100)</f>
        <v>29.376000000000005</v>
      </c>
      <c r="Y3124" s="204" t="s">
        <v>2276</v>
      </c>
      <c r="Z3124" s="204" t="s">
        <v>2276</v>
      </c>
      <c r="AA3124" s="204" t="s">
        <v>2276</v>
      </c>
      <c r="AB3124" s="204" t="s">
        <v>2276</v>
      </c>
      <c r="AC3124" s="204"/>
      <c r="AD3124" s="4" t="s">
        <v>8373</v>
      </c>
    </row>
    <row r="3125" spans="1:30" ht="45" customHeight="1">
      <c r="A3125" s="19" t="s">
        <v>8314</v>
      </c>
      <c r="B3125" s="19" t="s">
        <v>8369</v>
      </c>
      <c r="C3125" s="204" t="s">
        <v>24</v>
      </c>
      <c r="D3125" s="204" t="s">
        <v>1105</v>
      </c>
      <c r="E3125" s="4" t="s">
        <v>3854</v>
      </c>
      <c r="F3125" s="4" t="s">
        <v>2276</v>
      </c>
      <c r="G3125" s="4" t="s">
        <v>2276</v>
      </c>
      <c r="H3125" s="204" t="s">
        <v>523</v>
      </c>
      <c r="I3125" s="204"/>
      <c r="J3125" s="21">
        <f>66.5/2/'Record info'!K1292</f>
        <v>0.38439306358381503</v>
      </c>
      <c r="K3125" s="204" t="s">
        <v>2276</v>
      </c>
      <c r="L3125" s="204" t="s">
        <v>2276</v>
      </c>
      <c r="M3125" s="204" t="s">
        <v>2276</v>
      </c>
      <c r="N3125" s="204" t="s">
        <v>2276</v>
      </c>
      <c r="O3125" s="204" t="s">
        <v>2276</v>
      </c>
      <c r="P3125" s="204" t="s">
        <v>2276</v>
      </c>
      <c r="Q3125" s="204" t="s">
        <v>2276</v>
      </c>
      <c r="R3125" s="204" t="s">
        <v>2276</v>
      </c>
      <c r="S3125" s="204" t="s">
        <v>2276</v>
      </c>
      <c r="T3125" s="204" t="s">
        <v>2276</v>
      </c>
      <c r="U3125" s="204" t="s">
        <v>2276</v>
      </c>
      <c r="V3125" s="204" t="s">
        <v>2276</v>
      </c>
      <c r="W3125" s="204" t="s">
        <v>2276</v>
      </c>
      <c r="X3125" s="204" t="s">
        <v>2276</v>
      </c>
      <c r="Y3125" s="204" t="s">
        <v>2276</v>
      </c>
      <c r="Z3125" s="204" t="s">
        <v>34</v>
      </c>
      <c r="AA3125" s="204" t="s">
        <v>35</v>
      </c>
      <c r="AB3125" s="204" t="s">
        <v>64</v>
      </c>
      <c r="AC3125" s="204"/>
      <c r="AD3125" s="4" t="s">
        <v>8379</v>
      </c>
    </row>
    <row r="3126" spans="1:30" ht="45" customHeight="1">
      <c r="A3126" s="19" t="s">
        <v>8315</v>
      </c>
      <c r="B3126" s="19" t="s">
        <v>8370</v>
      </c>
      <c r="C3126" s="204" t="s">
        <v>24</v>
      </c>
      <c r="D3126" s="204" t="s">
        <v>1105</v>
      </c>
      <c r="E3126" s="4" t="s">
        <v>3854</v>
      </c>
      <c r="F3126" s="4" t="s">
        <v>2276</v>
      </c>
      <c r="G3126" s="4" t="s">
        <v>2276</v>
      </c>
      <c r="H3126" s="204" t="s">
        <v>523</v>
      </c>
      <c r="I3126" s="204"/>
      <c r="J3126" s="21">
        <f>66.5/2/'Record info'!K1292</f>
        <v>0.38439306358381503</v>
      </c>
      <c r="K3126" s="204" t="s">
        <v>2276</v>
      </c>
      <c r="L3126" s="204" t="s">
        <v>2276</v>
      </c>
      <c r="M3126" s="204" t="s">
        <v>2276</v>
      </c>
      <c r="N3126" s="204" t="s">
        <v>2276</v>
      </c>
      <c r="O3126" s="204" t="s">
        <v>2276</v>
      </c>
      <c r="P3126" s="204" t="s">
        <v>2276</v>
      </c>
      <c r="Q3126" s="204" t="s">
        <v>2276</v>
      </c>
      <c r="R3126" s="204" t="s">
        <v>2276</v>
      </c>
      <c r="S3126" s="204" t="s">
        <v>2276</v>
      </c>
      <c r="T3126" s="204" t="s">
        <v>2276</v>
      </c>
      <c r="U3126" s="204" t="s">
        <v>2276</v>
      </c>
      <c r="V3126" s="204" t="s">
        <v>2276</v>
      </c>
      <c r="W3126" s="204" t="s">
        <v>2276</v>
      </c>
      <c r="X3126" s="204" t="s">
        <v>2276</v>
      </c>
      <c r="Y3126" s="204" t="s">
        <v>2276</v>
      </c>
      <c r="Z3126" s="204" t="s">
        <v>34</v>
      </c>
      <c r="AA3126" s="204" t="s">
        <v>35</v>
      </c>
      <c r="AB3126" s="204" t="s">
        <v>64</v>
      </c>
      <c r="AC3126" s="204"/>
      <c r="AD3126" s="4" t="s">
        <v>8379</v>
      </c>
    </row>
    <row r="3127" spans="1:30" ht="45" customHeight="1">
      <c r="A3127" s="19" t="s">
        <v>8318</v>
      </c>
      <c r="B3127" s="19" t="s">
        <v>8371</v>
      </c>
      <c r="C3127" s="204" t="s">
        <v>24</v>
      </c>
      <c r="D3127" s="204" t="s">
        <v>1105</v>
      </c>
      <c r="E3127" s="4" t="s">
        <v>3854</v>
      </c>
      <c r="F3127" s="4" t="s">
        <v>2276</v>
      </c>
      <c r="G3127" s="4" t="s">
        <v>2276</v>
      </c>
      <c r="H3127" s="204" t="s">
        <v>523</v>
      </c>
      <c r="I3127" s="204"/>
      <c r="J3127" s="21">
        <f>233.5/2/'Record info'!K1293</f>
        <v>3.6257763975155277</v>
      </c>
      <c r="K3127" s="204" t="s">
        <v>2276</v>
      </c>
      <c r="L3127" s="204" t="s">
        <v>2276</v>
      </c>
      <c r="M3127" s="204" t="s">
        <v>2276</v>
      </c>
      <c r="N3127" s="204" t="s">
        <v>2276</v>
      </c>
      <c r="O3127" s="204" t="s">
        <v>2276</v>
      </c>
      <c r="P3127" s="204" t="s">
        <v>2276</v>
      </c>
      <c r="Q3127" s="204" t="s">
        <v>2276</v>
      </c>
      <c r="R3127" s="204" t="s">
        <v>2276</v>
      </c>
      <c r="S3127" s="204" t="s">
        <v>2276</v>
      </c>
      <c r="T3127" s="204" t="s">
        <v>2276</v>
      </c>
      <c r="U3127" s="204" t="s">
        <v>2276</v>
      </c>
      <c r="V3127" s="204" t="s">
        <v>2276</v>
      </c>
      <c r="W3127" s="204" t="s">
        <v>2276</v>
      </c>
      <c r="X3127" s="204" t="s">
        <v>2276</v>
      </c>
      <c r="Y3127" s="204" t="s">
        <v>2276</v>
      </c>
      <c r="Z3127" s="204" t="s">
        <v>86</v>
      </c>
      <c r="AA3127" s="204" t="s">
        <v>127</v>
      </c>
      <c r="AB3127" s="204" t="s">
        <v>64</v>
      </c>
      <c r="AC3127" s="204"/>
      <c r="AD3127" s="4" t="s">
        <v>8380</v>
      </c>
    </row>
    <row r="3128" spans="1:30" ht="45" customHeight="1">
      <c r="A3128" s="19" t="s">
        <v>8319</v>
      </c>
      <c r="B3128" s="19" t="s">
        <v>8372</v>
      </c>
      <c r="C3128" s="204" t="s">
        <v>24</v>
      </c>
      <c r="D3128" s="204" t="s">
        <v>1105</v>
      </c>
      <c r="E3128" s="4" t="s">
        <v>3854</v>
      </c>
      <c r="F3128" s="4" t="s">
        <v>2276</v>
      </c>
      <c r="G3128" s="4" t="s">
        <v>2276</v>
      </c>
      <c r="H3128" s="204" t="s">
        <v>523</v>
      </c>
      <c r="I3128" s="204"/>
      <c r="J3128" s="21">
        <f>233.5/2/'Record info'!K1293</f>
        <v>3.6257763975155277</v>
      </c>
      <c r="K3128" s="204" t="s">
        <v>2276</v>
      </c>
      <c r="L3128" s="204" t="s">
        <v>2276</v>
      </c>
      <c r="M3128" s="204" t="s">
        <v>2276</v>
      </c>
      <c r="N3128" s="204" t="s">
        <v>2276</v>
      </c>
      <c r="O3128" s="204" t="s">
        <v>2276</v>
      </c>
      <c r="P3128" s="204" t="s">
        <v>2276</v>
      </c>
      <c r="Q3128" s="204" t="s">
        <v>2276</v>
      </c>
      <c r="R3128" s="204" t="s">
        <v>2276</v>
      </c>
      <c r="S3128" s="204" t="s">
        <v>2276</v>
      </c>
      <c r="T3128" s="204" t="s">
        <v>2276</v>
      </c>
      <c r="U3128" s="204" t="s">
        <v>2276</v>
      </c>
      <c r="V3128" s="204" t="s">
        <v>2276</v>
      </c>
      <c r="W3128" s="204" t="s">
        <v>2276</v>
      </c>
      <c r="X3128" s="204" t="s">
        <v>2276</v>
      </c>
      <c r="Y3128" s="204" t="s">
        <v>2276</v>
      </c>
      <c r="Z3128" s="204" t="s">
        <v>86</v>
      </c>
      <c r="AA3128" s="204" t="s">
        <v>127</v>
      </c>
      <c r="AB3128" s="204" t="s">
        <v>64</v>
      </c>
      <c r="AC3128" s="204"/>
      <c r="AD3128" s="4" t="s">
        <v>8380</v>
      </c>
    </row>
    <row r="3129" spans="1:30" ht="49" customHeight="1">
      <c r="A3129" s="19" t="s">
        <v>8314</v>
      </c>
      <c r="B3129" s="19" t="s">
        <v>8375</v>
      </c>
      <c r="C3129" s="204" t="s">
        <v>2458</v>
      </c>
      <c r="D3129" s="204" t="s">
        <v>1105</v>
      </c>
      <c r="E3129" s="4" t="s">
        <v>3854</v>
      </c>
      <c r="F3129" s="4" t="s">
        <v>2662</v>
      </c>
      <c r="G3129" s="204" t="s">
        <v>74</v>
      </c>
      <c r="H3129" s="204" t="s">
        <v>523</v>
      </c>
      <c r="I3129" s="204"/>
      <c r="J3129" s="204" t="s">
        <v>2276</v>
      </c>
      <c r="K3129" s="204" t="s">
        <v>2276</v>
      </c>
      <c r="L3129" s="204" t="s">
        <v>2276</v>
      </c>
      <c r="M3129" s="204" t="s">
        <v>2276</v>
      </c>
      <c r="N3129" s="204" t="s">
        <v>2276</v>
      </c>
      <c r="O3129" s="204" t="s">
        <v>2276</v>
      </c>
      <c r="P3129" s="204" t="s">
        <v>2276</v>
      </c>
      <c r="Q3129" s="204" t="s">
        <v>2276</v>
      </c>
      <c r="R3129" s="204" t="s">
        <v>2276</v>
      </c>
      <c r="S3129" s="204" t="s">
        <v>2276</v>
      </c>
      <c r="T3129" s="204" t="s">
        <v>2276</v>
      </c>
      <c r="U3129" s="204" t="s">
        <v>2276</v>
      </c>
      <c r="V3129" s="204" t="s">
        <v>2276</v>
      </c>
      <c r="W3129" s="204" t="s">
        <v>2276</v>
      </c>
      <c r="X3129" s="204" t="s">
        <v>2276</v>
      </c>
      <c r="Y3129" s="204" t="s">
        <v>2276</v>
      </c>
      <c r="Z3129" s="204" t="s">
        <v>2276</v>
      </c>
      <c r="AA3129" s="204" t="s">
        <v>2276</v>
      </c>
      <c r="AB3129" s="204" t="s">
        <v>2276</v>
      </c>
      <c r="AC3129" s="204"/>
      <c r="AD3129" s="204"/>
    </row>
    <row r="3130" spans="1:30" ht="49" customHeight="1">
      <c r="A3130" s="19" t="s">
        <v>8315</v>
      </c>
      <c r="B3130" s="19" t="s">
        <v>8376</v>
      </c>
      <c r="C3130" s="204" t="s">
        <v>2458</v>
      </c>
      <c r="D3130" s="204" t="s">
        <v>1105</v>
      </c>
      <c r="E3130" s="4" t="s">
        <v>3854</v>
      </c>
      <c r="F3130" s="4" t="s">
        <v>2662</v>
      </c>
      <c r="G3130" s="204" t="s">
        <v>74</v>
      </c>
      <c r="H3130" s="204" t="s">
        <v>523</v>
      </c>
      <c r="I3130" s="204"/>
      <c r="J3130" s="204" t="s">
        <v>2276</v>
      </c>
      <c r="K3130" s="204" t="s">
        <v>2276</v>
      </c>
      <c r="L3130" s="204" t="s">
        <v>2276</v>
      </c>
      <c r="M3130" s="204" t="s">
        <v>2276</v>
      </c>
      <c r="N3130" s="204" t="s">
        <v>2276</v>
      </c>
      <c r="O3130" s="204" t="s">
        <v>2276</v>
      </c>
      <c r="P3130" s="204" t="s">
        <v>2276</v>
      </c>
      <c r="Q3130" s="204" t="s">
        <v>2276</v>
      </c>
      <c r="R3130" s="204" t="s">
        <v>2276</v>
      </c>
      <c r="S3130" s="204" t="s">
        <v>2276</v>
      </c>
      <c r="T3130" s="204" t="s">
        <v>2276</v>
      </c>
      <c r="U3130" s="204" t="s">
        <v>2276</v>
      </c>
      <c r="V3130" s="204" t="s">
        <v>2276</v>
      </c>
      <c r="W3130" s="204" t="s">
        <v>2276</v>
      </c>
      <c r="X3130" s="204" t="s">
        <v>2276</v>
      </c>
      <c r="Y3130" s="204" t="s">
        <v>2276</v>
      </c>
      <c r="Z3130" s="204" t="s">
        <v>2276</v>
      </c>
      <c r="AA3130" s="204" t="s">
        <v>2276</v>
      </c>
      <c r="AB3130" s="204" t="s">
        <v>2276</v>
      </c>
      <c r="AC3130" s="204"/>
      <c r="AD3130" s="204"/>
    </row>
    <row r="3131" spans="1:30" ht="49" customHeight="1">
      <c r="A3131" s="19" t="s">
        <v>8318</v>
      </c>
      <c r="B3131" s="19" t="s">
        <v>8377</v>
      </c>
      <c r="C3131" s="204" t="s">
        <v>2458</v>
      </c>
      <c r="D3131" s="204" t="s">
        <v>1105</v>
      </c>
      <c r="E3131" s="4" t="s">
        <v>3854</v>
      </c>
      <c r="F3131" s="4" t="s">
        <v>2662</v>
      </c>
      <c r="G3131" s="204" t="s">
        <v>74</v>
      </c>
      <c r="H3131" s="204" t="s">
        <v>523</v>
      </c>
      <c r="I3131" s="204"/>
      <c r="J3131" s="204" t="s">
        <v>2276</v>
      </c>
      <c r="K3131" s="204" t="s">
        <v>2276</v>
      </c>
      <c r="L3131" s="204" t="s">
        <v>2276</v>
      </c>
      <c r="M3131" s="204" t="s">
        <v>2276</v>
      </c>
      <c r="N3131" s="204" t="s">
        <v>2276</v>
      </c>
      <c r="O3131" s="204" t="s">
        <v>2276</v>
      </c>
      <c r="P3131" s="204" t="s">
        <v>2276</v>
      </c>
      <c r="Q3131" s="204" t="s">
        <v>2276</v>
      </c>
      <c r="R3131" s="204" t="s">
        <v>2276</v>
      </c>
      <c r="S3131" s="204" t="s">
        <v>2276</v>
      </c>
      <c r="T3131" s="204" t="s">
        <v>2276</v>
      </c>
      <c r="U3131" s="204" t="s">
        <v>2276</v>
      </c>
      <c r="V3131" s="204" t="s">
        <v>2276</v>
      </c>
      <c r="W3131" s="204" t="s">
        <v>2276</v>
      </c>
      <c r="X3131" s="204" t="s">
        <v>2276</v>
      </c>
      <c r="Y3131" s="204" t="s">
        <v>2276</v>
      </c>
      <c r="Z3131" s="204" t="s">
        <v>2276</v>
      </c>
      <c r="AA3131" s="204" t="s">
        <v>2276</v>
      </c>
      <c r="AB3131" s="204" t="s">
        <v>2276</v>
      </c>
      <c r="AC3131" s="204"/>
      <c r="AD3131" s="204"/>
    </row>
    <row r="3132" spans="1:30" ht="49" customHeight="1">
      <c r="A3132" s="19" t="s">
        <v>8319</v>
      </c>
      <c r="B3132" s="19" t="s">
        <v>8378</v>
      </c>
      <c r="C3132" s="204" t="s">
        <v>2458</v>
      </c>
      <c r="D3132" s="204" t="s">
        <v>1105</v>
      </c>
      <c r="E3132" s="4" t="s">
        <v>3854</v>
      </c>
      <c r="F3132" s="4" t="s">
        <v>2662</v>
      </c>
      <c r="G3132" s="204" t="s">
        <v>74</v>
      </c>
      <c r="H3132" s="204" t="s">
        <v>523</v>
      </c>
      <c r="I3132" s="204"/>
      <c r="J3132" s="204" t="s">
        <v>2276</v>
      </c>
      <c r="K3132" s="204" t="s">
        <v>2276</v>
      </c>
      <c r="L3132" s="204" t="s">
        <v>2276</v>
      </c>
      <c r="M3132" s="204" t="s">
        <v>2276</v>
      </c>
      <c r="N3132" s="204" t="s">
        <v>2276</v>
      </c>
      <c r="O3132" s="204" t="s">
        <v>2276</v>
      </c>
      <c r="P3132" s="204" t="s">
        <v>2276</v>
      </c>
      <c r="Q3132" s="204" t="s">
        <v>2276</v>
      </c>
      <c r="R3132" s="204" t="s">
        <v>2276</v>
      </c>
      <c r="S3132" s="204" t="s">
        <v>2276</v>
      </c>
      <c r="T3132" s="204" t="s">
        <v>2276</v>
      </c>
      <c r="U3132" s="204" t="s">
        <v>2276</v>
      </c>
      <c r="V3132" s="204" t="s">
        <v>2276</v>
      </c>
      <c r="W3132" s="204" t="s">
        <v>2276</v>
      </c>
      <c r="X3132" s="204" t="s">
        <v>2276</v>
      </c>
      <c r="Y3132" s="204" t="s">
        <v>2276</v>
      </c>
      <c r="Z3132" s="204" t="s">
        <v>2276</v>
      </c>
      <c r="AA3132" s="204" t="s">
        <v>2276</v>
      </c>
      <c r="AB3132" s="204" t="s">
        <v>2276</v>
      </c>
      <c r="AC3132" s="204"/>
      <c r="AD3132" s="204"/>
    </row>
    <row r="3133" spans="1:30" ht="36" customHeight="1">
      <c r="A3133" s="19" t="s">
        <v>8355</v>
      </c>
      <c r="B3133" s="19" t="s">
        <v>8386</v>
      </c>
      <c r="C3133" s="204" t="s">
        <v>24</v>
      </c>
      <c r="D3133" s="204" t="s">
        <v>2659</v>
      </c>
      <c r="E3133" s="4" t="s">
        <v>396</v>
      </c>
      <c r="F3133" s="4" t="s">
        <v>28</v>
      </c>
      <c r="G3133" s="204" t="s">
        <v>2276</v>
      </c>
      <c r="H3133" s="204" t="s">
        <v>523</v>
      </c>
      <c r="I3133" s="204"/>
      <c r="J3133" s="204" t="s">
        <v>2276</v>
      </c>
      <c r="K3133" s="204" t="s">
        <v>2276</v>
      </c>
      <c r="L3133" s="204" t="s">
        <v>2276</v>
      </c>
      <c r="M3133" s="204" t="s">
        <v>2276</v>
      </c>
      <c r="N3133" s="204" t="s">
        <v>2276</v>
      </c>
      <c r="O3133" s="204" t="s">
        <v>2276</v>
      </c>
      <c r="P3133" s="204" t="s">
        <v>2276</v>
      </c>
      <c r="Q3133" s="204" t="s">
        <v>2276</v>
      </c>
      <c r="R3133" s="204" t="s">
        <v>2276</v>
      </c>
      <c r="S3133" s="204" t="s">
        <v>2276</v>
      </c>
      <c r="T3133" s="204" t="s">
        <v>2276</v>
      </c>
      <c r="U3133" s="204" t="s">
        <v>2276</v>
      </c>
      <c r="V3133" s="204" t="s">
        <v>2276</v>
      </c>
      <c r="W3133" s="204" t="s">
        <v>2276</v>
      </c>
      <c r="X3133" s="204" t="s">
        <v>2276</v>
      </c>
      <c r="Y3133" s="21">
        <v>1</v>
      </c>
      <c r="Z3133" s="204" t="s">
        <v>68</v>
      </c>
      <c r="AA3133" s="204" t="s">
        <v>35</v>
      </c>
      <c r="AB3133" s="204" t="s">
        <v>2276</v>
      </c>
      <c r="AC3133" s="204"/>
      <c r="AD3133" s="204"/>
    </row>
    <row r="3134" spans="1:30" ht="36" customHeight="1">
      <c r="A3134" s="19" t="s">
        <v>8355</v>
      </c>
      <c r="B3134" s="19" t="s">
        <v>8387</v>
      </c>
      <c r="C3134" s="204" t="s">
        <v>24</v>
      </c>
      <c r="D3134" s="204" t="s">
        <v>2659</v>
      </c>
      <c r="E3134" s="4" t="s">
        <v>396</v>
      </c>
      <c r="F3134" s="4" t="s">
        <v>28</v>
      </c>
      <c r="G3134" s="204" t="s">
        <v>2276</v>
      </c>
      <c r="H3134" s="204" t="s">
        <v>523</v>
      </c>
      <c r="I3134" s="204"/>
      <c r="J3134" s="204" t="s">
        <v>2276</v>
      </c>
      <c r="K3134" s="204" t="s">
        <v>2276</v>
      </c>
      <c r="L3134" s="204" t="s">
        <v>2276</v>
      </c>
      <c r="M3134" s="204" t="s">
        <v>2276</v>
      </c>
      <c r="N3134" s="204" t="s">
        <v>2276</v>
      </c>
      <c r="O3134" s="204" t="s">
        <v>2276</v>
      </c>
      <c r="P3134" s="204" t="s">
        <v>2276</v>
      </c>
      <c r="Q3134" s="204" t="s">
        <v>2276</v>
      </c>
      <c r="R3134" s="204" t="s">
        <v>2276</v>
      </c>
      <c r="S3134" s="204" t="s">
        <v>2276</v>
      </c>
      <c r="T3134" s="204" t="s">
        <v>2276</v>
      </c>
      <c r="U3134" s="204" t="s">
        <v>2276</v>
      </c>
      <c r="V3134" s="204" t="s">
        <v>2276</v>
      </c>
      <c r="W3134" s="204" t="s">
        <v>2276</v>
      </c>
      <c r="X3134" s="204" t="s">
        <v>2276</v>
      </c>
      <c r="Y3134" s="21">
        <v>1</v>
      </c>
      <c r="Z3134" s="204" t="s">
        <v>86</v>
      </c>
      <c r="AA3134" s="204" t="s">
        <v>34</v>
      </c>
      <c r="AB3134" s="204" t="s">
        <v>2276</v>
      </c>
      <c r="AC3134" s="204"/>
      <c r="AD3134" s="204"/>
    </row>
    <row r="3135" spans="1:30" ht="36" customHeight="1">
      <c r="A3135" s="19" t="s">
        <v>8384</v>
      </c>
      <c r="B3135" s="19" t="s">
        <v>8388</v>
      </c>
      <c r="C3135" s="204" t="s">
        <v>24</v>
      </c>
      <c r="D3135" s="204" t="s">
        <v>2659</v>
      </c>
      <c r="E3135" s="4" t="s">
        <v>396</v>
      </c>
      <c r="F3135" s="4" t="s">
        <v>28</v>
      </c>
      <c r="G3135" s="204" t="s">
        <v>2276</v>
      </c>
      <c r="H3135" s="204" t="s">
        <v>523</v>
      </c>
      <c r="I3135" s="204"/>
      <c r="J3135" s="204" t="s">
        <v>2276</v>
      </c>
      <c r="K3135" s="204" t="s">
        <v>2276</v>
      </c>
      <c r="L3135" s="204" t="s">
        <v>2276</v>
      </c>
      <c r="M3135" s="204" t="s">
        <v>2276</v>
      </c>
      <c r="N3135" s="204" t="s">
        <v>2276</v>
      </c>
      <c r="O3135" s="204" t="s">
        <v>2276</v>
      </c>
      <c r="P3135" s="204" t="s">
        <v>2276</v>
      </c>
      <c r="Q3135" s="204" t="s">
        <v>2276</v>
      </c>
      <c r="R3135" s="204" t="s">
        <v>2276</v>
      </c>
      <c r="S3135" s="204" t="s">
        <v>2276</v>
      </c>
      <c r="T3135" s="204" t="s">
        <v>2276</v>
      </c>
      <c r="U3135" s="204" t="s">
        <v>2276</v>
      </c>
      <c r="V3135" s="204" t="s">
        <v>2276</v>
      </c>
      <c r="W3135" s="204" t="s">
        <v>2276</v>
      </c>
      <c r="X3135" s="204" t="s">
        <v>2276</v>
      </c>
      <c r="Y3135" s="21">
        <v>1</v>
      </c>
      <c r="Z3135" s="204" t="s">
        <v>68</v>
      </c>
      <c r="AA3135" s="204" t="s">
        <v>35</v>
      </c>
      <c r="AB3135" s="204" t="s">
        <v>2276</v>
      </c>
      <c r="AC3135" s="204"/>
      <c r="AD3135" s="204"/>
    </row>
    <row r="3136" spans="1:30" ht="36" customHeight="1">
      <c r="A3136" s="19" t="s">
        <v>8384</v>
      </c>
      <c r="B3136" s="19" t="s">
        <v>8389</v>
      </c>
      <c r="C3136" s="204" t="s">
        <v>24</v>
      </c>
      <c r="D3136" s="204" t="s">
        <v>2659</v>
      </c>
      <c r="E3136" s="4" t="s">
        <v>396</v>
      </c>
      <c r="F3136" s="4" t="s">
        <v>28</v>
      </c>
      <c r="G3136" s="204" t="s">
        <v>2276</v>
      </c>
      <c r="H3136" s="204" t="s">
        <v>523</v>
      </c>
      <c r="I3136" s="204"/>
      <c r="J3136" s="204" t="s">
        <v>2276</v>
      </c>
      <c r="K3136" s="204" t="s">
        <v>2276</v>
      </c>
      <c r="L3136" s="204" t="s">
        <v>2276</v>
      </c>
      <c r="M3136" s="204" t="s">
        <v>2276</v>
      </c>
      <c r="N3136" s="204" t="s">
        <v>2276</v>
      </c>
      <c r="O3136" s="204" t="s">
        <v>2276</v>
      </c>
      <c r="P3136" s="204" t="s">
        <v>2276</v>
      </c>
      <c r="Q3136" s="204" t="s">
        <v>2276</v>
      </c>
      <c r="R3136" s="204" t="s">
        <v>2276</v>
      </c>
      <c r="S3136" s="204" t="s">
        <v>2276</v>
      </c>
      <c r="T3136" s="204" t="s">
        <v>2276</v>
      </c>
      <c r="U3136" s="204" t="s">
        <v>2276</v>
      </c>
      <c r="V3136" s="204" t="s">
        <v>2276</v>
      </c>
      <c r="W3136" s="204" t="s">
        <v>2276</v>
      </c>
      <c r="X3136" s="204" t="s">
        <v>2276</v>
      </c>
      <c r="Y3136" s="21">
        <v>1</v>
      </c>
      <c r="Z3136" s="204" t="s">
        <v>86</v>
      </c>
      <c r="AA3136" s="204" t="s">
        <v>34</v>
      </c>
      <c r="AB3136" s="204" t="s">
        <v>2276</v>
      </c>
      <c r="AC3136" s="204"/>
      <c r="AD3136" s="204"/>
    </row>
    <row r="3137" spans="1:30" ht="36" customHeight="1">
      <c r="A3137" s="19" t="s">
        <v>8390</v>
      </c>
      <c r="B3137" s="19" t="s">
        <v>8393</v>
      </c>
      <c r="C3137" s="204" t="s">
        <v>24</v>
      </c>
      <c r="D3137" s="204" t="s">
        <v>2659</v>
      </c>
      <c r="E3137" s="4" t="s">
        <v>396</v>
      </c>
      <c r="F3137" s="4" t="s">
        <v>28</v>
      </c>
      <c r="G3137" s="204" t="s">
        <v>2276</v>
      </c>
      <c r="H3137" s="204" t="s">
        <v>523</v>
      </c>
      <c r="I3137" s="204"/>
      <c r="J3137" s="204" t="s">
        <v>2276</v>
      </c>
      <c r="K3137" s="204" t="s">
        <v>2276</v>
      </c>
      <c r="L3137" s="204" t="s">
        <v>2276</v>
      </c>
      <c r="M3137" s="204" t="s">
        <v>2276</v>
      </c>
      <c r="N3137" s="204" t="s">
        <v>2276</v>
      </c>
      <c r="O3137" s="204" t="s">
        <v>2276</v>
      </c>
      <c r="P3137" s="204" t="s">
        <v>2276</v>
      </c>
      <c r="Q3137" s="204" t="s">
        <v>2276</v>
      </c>
      <c r="R3137" s="204" t="s">
        <v>2276</v>
      </c>
      <c r="S3137" s="204" t="s">
        <v>2276</v>
      </c>
      <c r="T3137" s="204" t="s">
        <v>2276</v>
      </c>
      <c r="U3137" s="204" t="s">
        <v>2276</v>
      </c>
      <c r="V3137" s="204" t="s">
        <v>2276</v>
      </c>
      <c r="W3137" s="204" t="s">
        <v>2276</v>
      </c>
      <c r="X3137" s="204" t="s">
        <v>2276</v>
      </c>
      <c r="Y3137" s="21">
        <v>1</v>
      </c>
      <c r="Z3137" s="204" t="s">
        <v>68</v>
      </c>
      <c r="AA3137" s="204" t="s">
        <v>35</v>
      </c>
      <c r="AB3137" s="204" t="s">
        <v>2276</v>
      </c>
      <c r="AC3137" s="204"/>
      <c r="AD3137" s="204"/>
    </row>
    <row r="3138" spans="1:30" ht="36" customHeight="1">
      <c r="A3138" s="19" t="s">
        <v>8390</v>
      </c>
      <c r="B3138" s="19" t="s">
        <v>8394</v>
      </c>
      <c r="C3138" s="204" t="s">
        <v>24</v>
      </c>
      <c r="D3138" s="204" t="s">
        <v>2659</v>
      </c>
      <c r="E3138" s="4" t="s">
        <v>396</v>
      </c>
      <c r="F3138" s="4" t="s">
        <v>28</v>
      </c>
      <c r="G3138" s="204" t="s">
        <v>2276</v>
      </c>
      <c r="H3138" s="204" t="s">
        <v>523</v>
      </c>
      <c r="I3138" s="204"/>
      <c r="J3138" s="204" t="s">
        <v>2276</v>
      </c>
      <c r="K3138" s="204" t="s">
        <v>2276</v>
      </c>
      <c r="L3138" s="204" t="s">
        <v>2276</v>
      </c>
      <c r="M3138" s="204" t="s">
        <v>2276</v>
      </c>
      <c r="N3138" s="204" t="s">
        <v>2276</v>
      </c>
      <c r="O3138" s="204" t="s">
        <v>2276</v>
      </c>
      <c r="P3138" s="204" t="s">
        <v>2276</v>
      </c>
      <c r="Q3138" s="204" t="s">
        <v>2276</v>
      </c>
      <c r="R3138" s="204" t="s">
        <v>2276</v>
      </c>
      <c r="S3138" s="204" t="s">
        <v>2276</v>
      </c>
      <c r="T3138" s="204" t="s">
        <v>2276</v>
      </c>
      <c r="U3138" s="204" t="s">
        <v>2276</v>
      </c>
      <c r="V3138" s="204" t="s">
        <v>2276</v>
      </c>
      <c r="W3138" s="204" t="s">
        <v>2276</v>
      </c>
      <c r="X3138" s="204" t="s">
        <v>2276</v>
      </c>
      <c r="Y3138" s="21">
        <v>1</v>
      </c>
      <c r="Z3138" s="204" t="s">
        <v>86</v>
      </c>
      <c r="AA3138" s="204" t="s">
        <v>34</v>
      </c>
      <c r="AB3138" s="204" t="s">
        <v>2276</v>
      </c>
      <c r="AC3138" s="204"/>
      <c r="AD3138" s="204"/>
    </row>
    <row r="3139" spans="1:30" ht="36" customHeight="1">
      <c r="A3139" s="19" t="s">
        <v>8390</v>
      </c>
      <c r="B3139" s="19" t="s">
        <v>8395</v>
      </c>
      <c r="C3139" s="204" t="s">
        <v>24</v>
      </c>
      <c r="D3139" s="204" t="s">
        <v>2659</v>
      </c>
      <c r="E3139" s="4" t="s">
        <v>397</v>
      </c>
      <c r="F3139" s="4" t="s">
        <v>28</v>
      </c>
      <c r="G3139" s="204" t="s">
        <v>2276</v>
      </c>
      <c r="H3139" s="204" t="s">
        <v>523</v>
      </c>
      <c r="J3139" s="204" t="s">
        <v>2276</v>
      </c>
      <c r="K3139" s="204" t="s">
        <v>2276</v>
      </c>
      <c r="L3139" s="204" t="s">
        <v>2276</v>
      </c>
      <c r="M3139" s="204" t="s">
        <v>2276</v>
      </c>
      <c r="N3139" s="204" t="s">
        <v>2276</v>
      </c>
      <c r="O3139" s="204" t="s">
        <v>2276</v>
      </c>
      <c r="P3139" s="204" t="s">
        <v>2276</v>
      </c>
      <c r="Q3139" s="204" t="s">
        <v>2276</v>
      </c>
      <c r="R3139" s="204" t="s">
        <v>2276</v>
      </c>
      <c r="S3139" s="204" t="s">
        <v>2276</v>
      </c>
      <c r="T3139" s="204" t="s">
        <v>2276</v>
      </c>
      <c r="U3139" s="204" t="s">
        <v>2276</v>
      </c>
      <c r="V3139" s="204" t="s">
        <v>2276</v>
      </c>
      <c r="W3139" s="204" t="s">
        <v>2276</v>
      </c>
      <c r="X3139" s="204" t="s">
        <v>2276</v>
      </c>
      <c r="Y3139" s="21">
        <v>1</v>
      </c>
      <c r="Z3139" s="204" t="s">
        <v>68</v>
      </c>
      <c r="AA3139" s="204" t="s">
        <v>35</v>
      </c>
      <c r="AB3139" s="204" t="s">
        <v>2276</v>
      </c>
      <c r="AC3139" s="204"/>
      <c r="AD3139" s="204"/>
    </row>
    <row r="3140" spans="1:30" ht="36" customHeight="1">
      <c r="A3140" s="19" t="s">
        <v>8390</v>
      </c>
      <c r="B3140" s="19" t="s">
        <v>8396</v>
      </c>
      <c r="C3140" s="204" t="s">
        <v>24</v>
      </c>
      <c r="D3140" s="204" t="s">
        <v>2659</v>
      </c>
      <c r="E3140" s="4" t="s">
        <v>397</v>
      </c>
      <c r="F3140" s="4" t="s">
        <v>28</v>
      </c>
      <c r="G3140" s="204" t="s">
        <v>2276</v>
      </c>
      <c r="H3140" s="204" t="s">
        <v>524</v>
      </c>
      <c r="I3140" s="204"/>
      <c r="J3140" s="21">
        <v>0</v>
      </c>
      <c r="K3140" s="21">
        <v>0</v>
      </c>
      <c r="L3140" s="21">
        <v>0</v>
      </c>
      <c r="M3140" s="21">
        <v>0</v>
      </c>
      <c r="N3140" s="21">
        <v>0</v>
      </c>
      <c r="O3140" s="21">
        <v>0</v>
      </c>
      <c r="P3140" s="21">
        <v>0</v>
      </c>
      <c r="Q3140" s="21">
        <v>0</v>
      </c>
      <c r="R3140" s="21">
        <v>0</v>
      </c>
      <c r="S3140" s="21">
        <v>0</v>
      </c>
      <c r="T3140" s="21">
        <v>0</v>
      </c>
      <c r="U3140" s="21">
        <v>0</v>
      </c>
      <c r="V3140" s="21">
        <v>0</v>
      </c>
      <c r="W3140" s="21">
        <v>0</v>
      </c>
      <c r="X3140" s="21">
        <v>0</v>
      </c>
      <c r="Y3140" s="204" t="s">
        <v>2276</v>
      </c>
      <c r="Z3140" s="204" t="s">
        <v>86</v>
      </c>
      <c r="AA3140" s="204" t="s">
        <v>34</v>
      </c>
      <c r="AB3140" s="204" t="s">
        <v>2276</v>
      </c>
      <c r="AC3140" s="204"/>
      <c r="AD3140" s="204"/>
    </row>
    <row r="3141" spans="1:30" ht="40" customHeight="1">
      <c r="A3141" s="19" t="s">
        <v>8416</v>
      </c>
      <c r="B3141" s="19" t="s">
        <v>8418</v>
      </c>
      <c r="C3141" s="204" t="s">
        <v>24</v>
      </c>
      <c r="D3141" s="204" t="s">
        <v>2659</v>
      </c>
      <c r="E3141" s="204" t="s">
        <v>84</v>
      </c>
      <c r="F3141" s="4" t="s">
        <v>28</v>
      </c>
      <c r="G3141" s="204" t="s">
        <v>2276</v>
      </c>
      <c r="H3141" s="204" t="s">
        <v>523</v>
      </c>
      <c r="I3141" s="204">
        <v>1980</v>
      </c>
      <c r="J3141" s="204" t="s">
        <v>2276</v>
      </c>
      <c r="K3141" s="204" t="s">
        <v>2276</v>
      </c>
      <c r="L3141" s="204" t="s">
        <v>2276</v>
      </c>
      <c r="M3141" s="204" t="s">
        <v>2276</v>
      </c>
      <c r="N3141" s="204" t="s">
        <v>2276</v>
      </c>
      <c r="O3141" s="204" t="s">
        <v>2276</v>
      </c>
      <c r="P3141" s="204" t="s">
        <v>2276</v>
      </c>
      <c r="Q3141" s="204" t="s">
        <v>2276</v>
      </c>
      <c r="R3141" s="204" t="s">
        <v>2276</v>
      </c>
      <c r="S3141" s="204" t="s">
        <v>2276</v>
      </c>
      <c r="T3141" s="204" t="s">
        <v>2276</v>
      </c>
      <c r="U3141" s="204" t="s">
        <v>2276</v>
      </c>
      <c r="V3141" s="204" t="s">
        <v>2276</v>
      </c>
      <c r="W3141" s="204" t="s">
        <v>2276</v>
      </c>
      <c r="X3141" s="21">
        <f>6000/'Record info'!$K1297</f>
        <v>2.4742778201612404E-2</v>
      </c>
      <c r="Y3141" s="21">
        <v>1</v>
      </c>
      <c r="Z3141" s="204" t="s">
        <v>2276</v>
      </c>
      <c r="AA3141" s="204" t="s">
        <v>2276</v>
      </c>
      <c r="AB3141" s="204" t="s">
        <v>2276</v>
      </c>
      <c r="AC3141" s="204"/>
      <c r="AD3141" s="204"/>
    </row>
    <row r="3142" spans="1:30" ht="47" customHeight="1">
      <c r="A3142" s="19" t="s">
        <v>8416</v>
      </c>
      <c r="B3142" s="19" t="s">
        <v>8419</v>
      </c>
      <c r="C3142" s="204" t="s">
        <v>24</v>
      </c>
      <c r="D3142" s="204" t="s">
        <v>2659</v>
      </c>
      <c r="E3142" s="204" t="s">
        <v>84</v>
      </c>
      <c r="F3142" s="4" t="s">
        <v>28</v>
      </c>
      <c r="G3142" s="204" t="s">
        <v>2276</v>
      </c>
      <c r="H3142" s="204" t="s">
        <v>524</v>
      </c>
      <c r="I3142" s="204">
        <v>1992</v>
      </c>
      <c r="J3142" s="21">
        <v>0</v>
      </c>
      <c r="K3142" s="21">
        <v>0</v>
      </c>
      <c r="L3142" s="21">
        <v>0</v>
      </c>
      <c r="M3142" s="21">
        <v>0</v>
      </c>
      <c r="N3142" s="21">
        <v>0</v>
      </c>
      <c r="O3142" s="21">
        <v>0</v>
      </c>
      <c r="P3142" s="21">
        <v>0</v>
      </c>
      <c r="Q3142" s="21">
        <v>0</v>
      </c>
      <c r="R3142" s="21">
        <v>0</v>
      </c>
      <c r="S3142" s="21">
        <v>0</v>
      </c>
      <c r="T3142" s="21">
        <v>0</v>
      </c>
      <c r="U3142" s="21">
        <v>0</v>
      </c>
      <c r="V3142" s="21">
        <v>0</v>
      </c>
      <c r="W3142" s="21">
        <v>0</v>
      </c>
      <c r="X3142" s="21">
        <v>0</v>
      </c>
      <c r="Y3142" s="204" t="s">
        <v>2276</v>
      </c>
      <c r="Z3142" s="204" t="s">
        <v>2276</v>
      </c>
      <c r="AA3142" s="204" t="s">
        <v>2276</v>
      </c>
      <c r="AB3142" s="204" t="s">
        <v>2276</v>
      </c>
      <c r="AC3142" s="204"/>
      <c r="AD3142" s="204"/>
    </row>
    <row r="3143" spans="1:30" ht="42" customHeight="1">
      <c r="A3143" s="19" t="s">
        <v>8425</v>
      </c>
      <c r="B3143" s="19" t="s">
        <v>8428</v>
      </c>
      <c r="C3143" s="204" t="s">
        <v>24</v>
      </c>
      <c r="D3143" s="204" t="s">
        <v>2659</v>
      </c>
      <c r="E3143" s="204" t="s">
        <v>84</v>
      </c>
      <c r="F3143" s="4" t="s">
        <v>28</v>
      </c>
      <c r="G3143" s="204" t="s">
        <v>2276</v>
      </c>
      <c r="H3143" s="204" t="s">
        <v>523</v>
      </c>
      <c r="I3143" s="204">
        <v>1992</v>
      </c>
      <c r="J3143" s="204" t="s">
        <v>2276</v>
      </c>
      <c r="K3143" s="204" t="s">
        <v>2276</v>
      </c>
      <c r="L3143" s="204" t="s">
        <v>2276</v>
      </c>
      <c r="M3143" s="204" t="s">
        <v>2276</v>
      </c>
      <c r="N3143" s="204" t="s">
        <v>2276</v>
      </c>
      <c r="O3143" s="204" t="s">
        <v>2276</v>
      </c>
      <c r="P3143" s="204" t="s">
        <v>2276</v>
      </c>
      <c r="Q3143" s="204" t="s">
        <v>2276</v>
      </c>
      <c r="R3143" s="204" t="s">
        <v>2276</v>
      </c>
      <c r="S3143" s="204" t="s">
        <v>2276</v>
      </c>
      <c r="T3143" s="204" t="s">
        <v>2276</v>
      </c>
      <c r="U3143" s="204" t="s">
        <v>2276</v>
      </c>
      <c r="V3143" s="204" t="s">
        <v>2276</v>
      </c>
      <c r="W3143" s="204" t="s">
        <v>2276</v>
      </c>
      <c r="X3143" s="21">
        <f>((303000*0.404686)/0.83)/'Record info'!$K$1299</f>
        <v>0.34121248279256949</v>
      </c>
      <c r="Y3143" s="204" t="s">
        <v>2276</v>
      </c>
      <c r="Z3143" s="204" t="s">
        <v>38</v>
      </c>
      <c r="AA3143" s="204" t="s">
        <v>35</v>
      </c>
      <c r="AB3143" s="204" t="s">
        <v>76</v>
      </c>
      <c r="AC3143" s="204"/>
      <c r="AD3143" s="204"/>
    </row>
    <row r="3144" spans="1:30" ht="42" customHeight="1">
      <c r="A3144" s="19" t="s">
        <v>8425</v>
      </c>
      <c r="B3144" s="19" t="s">
        <v>8429</v>
      </c>
      <c r="C3144" s="204" t="s">
        <v>24</v>
      </c>
      <c r="D3144" s="204" t="s">
        <v>2659</v>
      </c>
      <c r="E3144" s="204" t="s">
        <v>84</v>
      </c>
      <c r="F3144" s="4" t="s">
        <v>28</v>
      </c>
      <c r="G3144" s="204" t="s">
        <v>2276</v>
      </c>
      <c r="H3144" s="204" t="s">
        <v>523</v>
      </c>
      <c r="I3144" s="204">
        <v>1993</v>
      </c>
      <c r="J3144" s="204" t="s">
        <v>2276</v>
      </c>
      <c r="K3144" s="204" t="s">
        <v>2276</v>
      </c>
      <c r="L3144" s="204" t="s">
        <v>2276</v>
      </c>
      <c r="M3144" s="204" t="s">
        <v>2276</v>
      </c>
      <c r="N3144" s="204" t="s">
        <v>2276</v>
      </c>
      <c r="O3144" s="204" t="s">
        <v>2276</v>
      </c>
      <c r="P3144" s="204" t="s">
        <v>2276</v>
      </c>
      <c r="Q3144" s="204" t="s">
        <v>2276</v>
      </c>
      <c r="R3144" s="204" t="s">
        <v>2276</v>
      </c>
      <c r="S3144" s="204" t="s">
        <v>2276</v>
      </c>
      <c r="T3144" s="204" t="s">
        <v>2276</v>
      </c>
      <c r="U3144" s="204" t="s">
        <v>2276</v>
      </c>
      <c r="V3144" s="204" t="s">
        <v>2276</v>
      </c>
      <c r="W3144" s="204" t="s">
        <v>2276</v>
      </c>
      <c r="X3144" s="21">
        <f>((306000*0.404686)/0.78)/'Record info'!$K$1299</f>
        <v>0.36667997960420068</v>
      </c>
      <c r="Y3144" s="204" t="s">
        <v>2276</v>
      </c>
      <c r="Z3144" s="204" t="s">
        <v>38</v>
      </c>
      <c r="AA3144" s="204" t="s">
        <v>35</v>
      </c>
      <c r="AB3144" s="204" t="s">
        <v>76</v>
      </c>
      <c r="AC3144" s="204"/>
      <c r="AD3144" s="204"/>
    </row>
    <row r="3145" spans="1:30" ht="35.5" customHeight="1">
      <c r="A3145" s="19" t="s">
        <v>8425</v>
      </c>
      <c r="B3145" s="19" t="s">
        <v>8430</v>
      </c>
      <c r="C3145" s="204" t="s">
        <v>24</v>
      </c>
      <c r="D3145" s="204" t="s">
        <v>2659</v>
      </c>
      <c r="E3145" s="204" t="s">
        <v>84</v>
      </c>
      <c r="F3145" s="4" t="s">
        <v>28</v>
      </c>
      <c r="G3145" s="204" t="s">
        <v>2276</v>
      </c>
      <c r="H3145" s="204" t="s">
        <v>523</v>
      </c>
      <c r="I3145" s="204">
        <v>1994</v>
      </c>
      <c r="J3145" s="204" t="s">
        <v>2276</v>
      </c>
      <c r="K3145" s="204" t="s">
        <v>2276</v>
      </c>
      <c r="L3145" s="204" t="s">
        <v>2276</v>
      </c>
      <c r="M3145" s="204" t="s">
        <v>2276</v>
      </c>
      <c r="N3145" s="204" t="s">
        <v>2276</v>
      </c>
      <c r="O3145" s="204" t="s">
        <v>2276</v>
      </c>
      <c r="P3145" s="204" t="s">
        <v>2276</v>
      </c>
      <c r="Q3145" s="204" t="s">
        <v>2276</v>
      </c>
      <c r="R3145" s="204" t="s">
        <v>2276</v>
      </c>
      <c r="S3145" s="204" t="s">
        <v>2276</v>
      </c>
      <c r="T3145" s="204" t="s">
        <v>2276</v>
      </c>
      <c r="U3145" s="204" t="s">
        <v>2276</v>
      </c>
      <c r="V3145" s="204" t="s">
        <v>2276</v>
      </c>
      <c r="W3145" s="204" t="s">
        <v>2276</v>
      </c>
      <c r="X3145" s="21">
        <f>((293000*0.404686)/0.9)/'Record info'!$K$1299</f>
        <v>0.30428846237742924</v>
      </c>
      <c r="Y3145" s="204" t="s">
        <v>2276</v>
      </c>
      <c r="Z3145" s="204" t="s">
        <v>38</v>
      </c>
      <c r="AA3145" s="204" t="s">
        <v>35</v>
      </c>
      <c r="AB3145" s="204" t="s">
        <v>76</v>
      </c>
      <c r="AC3145" s="204"/>
      <c r="AD3145" s="204"/>
    </row>
    <row r="3146" spans="1:30" ht="35.5" customHeight="1">
      <c r="A3146" s="19" t="s">
        <v>8425</v>
      </c>
      <c r="B3146" s="19" t="s">
        <v>8431</v>
      </c>
      <c r="C3146" s="204" t="s">
        <v>24</v>
      </c>
      <c r="D3146" s="204" t="s">
        <v>2659</v>
      </c>
      <c r="E3146" s="204" t="s">
        <v>84</v>
      </c>
      <c r="F3146" s="4" t="s">
        <v>28</v>
      </c>
      <c r="G3146" s="204" t="s">
        <v>2276</v>
      </c>
      <c r="H3146" s="204" t="s">
        <v>523</v>
      </c>
      <c r="I3146" s="204">
        <v>1995</v>
      </c>
      <c r="J3146" s="204" t="s">
        <v>2276</v>
      </c>
      <c r="K3146" s="204" t="s">
        <v>2276</v>
      </c>
      <c r="L3146" s="204" t="s">
        <v>2276</v>
      </c>
      <c r="M3146" s="204" t="s">
        <v>2276</v>
      </c>
      <c r="N3146" s="204" t="s">
        <v>2276</v>
      </c>
      <c r="O3146" s="204" t="s">
        <v>2276</v>
      </c>
      <c r="P3146" s="204" t="s">
        <v>2276</v>
      </c>
      <c r="Q3146" s="204" t="s">
        <v>2276</v>
      </c>
      <c r="R3146" s="204" t="s">
        <v>2276</v>
      </c>
      <c r="S3146" s="204" t="s">
        <v>2276</v>
      </c>
      <c r="T3146" s="204" t="s">
        <v>2276</v>
      </c>
      <c r="U3146" s="204" t="s">
        <v>2276</v>
      </c>
      <c r="V3146" s="204" t="s">
        <v>2276</v>
      </c>
      <c r="W3146" s="204" t="s">
        <v>2276</v>
      </c>
      <c r="X3146" s="21">
        <f>((268000*0.404686)/0.74)/'Record info'!$K$1299</f>
        <v>0.33850372255989275</v>
      </c>
      <c r="Y3146" s="204" t="s">
        <v>2276</v>
      </c>
      <c r="Z3146" s="204" t="s">
        <v>38</v>
      </c>
      <c r="AA3146" s="204" t="s">
        <v>35</v>
      </c>
      <c r="AB3146" s="204" t="s">
        <v>76</v>
      </c>
      <c r="AC3146" s="204"/>
      <c r="AD3146" s="204"/>
    </row>
    <row r="3147" spans="1:30" ht="35.5" customHeight="1">
      <c r="A3147" s="19" t="s">
        <v>8425</v>
      </c>
      <c r="B3147" s="19" t="s">
        <v>8432</v>
      </c>
      <c r="C3147" s="204" t="s">
        <v>24</v>
      </c>
      <c r="D3147" s="204" t="s">
        <v>2659</v>
      </c>
      <c r="E3147" s="204" t="s">
        <v>84</v>
      </c>
      <c r="F3147" s="4" t="s">
        <v>28</v>
      </c>
      <c r="G3147" s="204" t="s">
        <v>2276</v>
      </c>
      <c r="H3147" s="204" t="s">
        <v>523</v>
      </c>
      <c r="I3147" s="204">
        <v>1996</v>
      </c>
      <c r="J3147" s="204" t="s">
        <v>2276</v>
      </c>
      <c r="K3147" s="204" t="s">
        <v>2276</v>
      </c>
      <c r="L3147" s="204" t="s">
        <v>2276</v>
      </c>
      <c r="M3147" s="204" t="s">
        <v>2276</v>
      </c>
      <c r="N3147" s="204" t="s">
        <v>2276</v>
      </c>
      <c r="O3147" s="204" t="s">
        <v>2276</v>
      </c>
      <c r="P3147" s="204" t="s">
        <v>2276</v>
      </c>
      <c r="Q3147" s="204" t="s">
        <v>2276</v>
      </c>
      <c r="R3147" s="204" t="s">
        <v>2276</v>
      </c>
      <c r="S3147" s="204" t="s">
        <v>2276</v>
      </c>
      <c r="T3147" s="204" t="s">
        <v>2276</v>
      </c>
      <c r="U3147" s="204" t="s">
        <v>2276</v>
      </c>
      <c r="V3147" s="204" t="s">
        <v>2276</v>
      </c>
      <c r="W3147" s="204" t="s">
        <v>2276</v>
      </c>
      <c r="X3147" s="21">
        <f>((211000*0.404686)/0.85)/'Record info'!$K$1299</f>
        <v>0.23201918893986678</v>
      </c>
      <c r="Y3147" s="204" t="s">
        <v>2276</v>
      </c>
      <c r="Z3147" s="204" t="s">
        <v>38</v>
      </c>
      <c r="AA3147" s="204" t="s">
        <v>35</v>
      </c>
      <c r="AB3147" s="204" t="s">
        <v>76</v>
      </c>
      <c r="AC3147" s="204"/>
      <c r="AD3147" s="204"/>
    </row>
    <row r="3148" spans="1:30" ht="36.5" customHeight="1">
      <c r="A3148" s="19" t="s">
        <v>8425</v>
      </c>
      <c r="B3148" s="19" t="s">
        <v>8433</v>
      </c>
      <c r="C3148" s="204" t="s">
        <v>24</v>
      </c>
      <c r="D3148" s="204" t="s">
        <v>2659</v>
      </c>
      <c r="E3148" s="204" t="s">
        <v>84</v>
      </c>
      <c r="F3148" s="4" t="s">
        <v>28</v>
      </c>
      <c r="G3148" s="204" t="s">
        <v>2276</v>
      </c>
      <c r="H3148" s="204" t="s">
        <v>523</v>
      </c>
      <c r="I3148" s="11">
        <v>1980</v>
      </c>
      <c r="J3148" s="204" t="s">
        <v>2276</v>
      </c>
      <c r="K3148" s="204" t="s">
        <v>2276</v>
      </c>
      <c r="L3148" s="204" t="s">
        <v>2276</v>
      </c>
      <c r="M3148" s="204" t="s">
        <v>2276</v>
      </c>
      <c r="N3148" s="204" t="s">
        <v>2276</v>
      </c>
      <c r="O3148" s="204" t="s">
        <v>2276</v>
      </c>
      <c r="P3148" s="204" t="s">
        <v>2276</v>
      </c>
      <c r="Q3148" s="204" t="s">
        <v>2276</v>
      </c>
      <c r="R3148" s="204" t="s">
        <v>2276</v>
      </c>
      <c r="S3148" s="204" t="s">
        <v>2276</v>
      </c>
      <c r="T3148" s="204" t="s">
        <v>2276</v>
      </c>
      <c r="U3148" s="204" t="s">
        <v>2276</v>
      </c>
      <c r="V3148" s="204" t="s">
        <v>2276</v>
      </c>
      <c r="W3148" s="204" t="s">
        <v>2276</v>
      </c>
      <c r="X3148" s="21">
        <f>((425000*0.404686)/AVERAGE(0.83, 0.78, 0.9, 0.74, 0.85))/'Record info'!$K$1299</f>
        <v>0.48443493240392371</v>
      </c>
      <c r="Y3148" s="204" t="s">
        <v>2276</v>
      </c>
      <c r="Z3148" s="204" t="s">
        <v>38</v>
      </c>
      <c r="AA3148" s="204" t="s">
        <v>35</v>
      </c>
      <c r="AB3148" s="204" t="s">
        <v>76</v>
      </c>
      <c r="AC3148" s="204"/>
      <c r="AD3148" s="204"/>
    </row>
    <row r="3149" spans="1:30" ht="39" customHeight="1">
      <c r="A3149" s="19" t="s">
        <v>8421</v>
      </c>
      <c r="B3149" s="19" t="s">
        <v>8422</v>
      </c>
      <c r="C3149" s="204" t="s">
        <v>24</v>
      </c>
      <c r="D3149" s="204" t="s">
        <v>2659</v>
      </c>
      <c r="E3149" s="204" t="s">
        <v>84</v>
      </c>
      <c r="F3149" s="4" t="s">
        <v>28</v>
      </c>
      <c r="G3149" s="204" t="s">
        <v>2276</v>
      </c>
      <c r="H3149" s="204" t="s">
        <v>523</v>
      </c>
      <c r="I3149" s="204">
        <v>1992</v>
      </c>
      <c r="J3149" s="204" t="s">
        <v>2276</v>
      </c>
      <c r="K3149" s="204" t="s">
        <v>2276</v>
      </c>
      <c r="L3149" s="204" t="s">
        <v>2276</v>
      </c>
      <c r="M3149" s="204" t="s">
        <v>2276</v>
      </c>
      <c r="N3149" s="204" t="s">
        <v>2276</v>
      </c>
      <c r="O3149" s="204" t="s">
        <v>2276</v>
      </c>
      <c r="P3149" s="204" t="s">
        <v>2276</v>
      </c>
      <c r="Q3149" s="204" t="s">
        <v>2276</v>
      </c>
      <c r="R3149" s="204" t="s">
        <v>2276</v>
      </c>
      <c r="S3149" s="204" t="s">
        <v>2276</v>
      </c>
      <c r="T3149" s="204" t="s">
        <v>2276</v>
      </c>
      <c r="U3149" s="204" t="s">
        <v>2276</v>
      </c>
      <c r="V3149" s="204" t="s">
        <v>2276</v>
      </c>
      <c r="W3149" s="204" t="s">
        <v>2276</v>
      </c>
      <c r="X3149" s="204" t="s">
        <v>2276</v>
      </c>
      <c r="Y3149" s="204" t="s">
        <v>2276</v>
      </c>
      <c r="Z3149" s="204" t="s">
        <v>68</v>
      </c>
      <c r="AA3149" s="204" t="s">
        <v>68</v>
      </c>
      <c r="AB3149" s="204" t="s">
        <v>2276</v>
      </c>
      <c r="AC3149" s="204"/>
      <c r="AD3149" s="204"/>
    </row>
    <row r="3150" spans="1:30" ht="45.5" customHeight="1">
      <c r="A3150" s="19" t="s">
        <v>8434</v>
      </c>
      <c r="B3150" s="19" t="s">
        <v>8436</v>
      </c>
      <c r="C3150" s="204" t="s">
        <v>24</v>
      </c>
      <c r="D3150" s="204" t="s">
        <v>2659</v>
      </c>
      <c r="E3150" s="204" t="s">
        <v>84</v>
      </c>
      <c r="F3150" s="4" t="s">
        <v>28</v>
      </c>
      <c r="G3150" s="204" t="s">
        <v>2276</v>
      </c>
      <c r="H3150" s="204" t="s">
        <v>523</v>
      </c>
      <c r="I3150" s="204"/>
      <c r="J3150" s="204" t="s">
        <v>2276</v>
      </c>
      <c r="K3150" s="204" t="s">
        <v>2276</v>
      </c>
      <c r="L3150" s="204" t="s">
        <v>2276</v>
      </c>
      <c r="M3150" s="204" t="s">
        <v>2276</v>
      </c>
      <c r="N3150" s="204" t="s">
        <v>2276</v>
      </c>
      <c r="O3150" s="204" t="s">
        <v>2276</v>
      </c>
      <c r="P3150" s="204" t="s">
        <v>2276</v>
      </c>
      <c r="Q3150" s="204" t="s">
        <v>2276</v>
      </c>
      <c r="R3150" s="204" t="s">
        <v>2276</v>
      </c>
      <c r="S3150" s="204" t="s">
        <v>2276</v>
      </c>
      <c r="T3150" s="204" t="s">
        <v>2276</v>
      </c>
      <c r="U3150" s="204" t="s">
        <v>2276</v>
      </c>
      <c r="V3150" s="204" t="s">
        <v>2276</v>
      </c>
      <c r="W3150" s="204" t="s">
        <v>2276</v>
      </c>
      <c r="X3150" s="204" t="s">
        <v>2276</v>
      </c>
      <c r="Y3150" s="204" t="s">
        <v>2276</v>
      </c>
      <c r="Z3150" s="204" t="s">
        <v>2276</v>
      </c>
      <c r="AA3150" s="204" t="s">
        <v>2276</v>
      </c>
      <c r="AB3150" s="204" t="s">
        <v>2276</v>
      </c>
      <c r="AC3150" s="204"/>
      <c r="AD3150" s="204"/>
    </row>
    <row r="3151" spans="1:30" ht="42.5" customHeight="1">
      <c r="A3151" s="19" t="s">
        <v>8439</v>
      </c>
      <c r="B3151" s="19" t="s">
        <v>8440</v>
      </c>
      <c r="C3151" s="204" t="s">
        <v>24</v>
      </c>
      <c r="D3151" s="204" t="s">
        <v>2659</v>
      </c>
      <c r="E3151" s="4" t="s">
        <v>397</v>
      </c>
      <c r="F3151" s="4" t="s">
        <v>28</v>
      </c>
      <c r="G3151" s="204" t="s">
        <v>2276</v>
      </c>
      <c r="H3151" s="204" t="s">
        <v>523</v>
      </c>
      <c r="I3151" s="204"/>
      <c r="J3151" s="204" t="s">
        <v>2276</v>
      </c>
      <c r="K3151" s="204" t="s">
        <v>2276</v>
      </c>
      <c r="L3151" s="204" t="s">
        <v>2276</v>
      </c>
      <c r="M3151" s="204" t="s">
        <v>2276</v>
      </c>
      <c r="N3151" s="204" t="s">
        <v>2276</v>
      </c>
      <c r="O3151" s="204" t="s">
        <v>2276</v>
      </c>
      <c r="P3151" s="204" t="s">
        <v>2276</v>
      </c>
      <c r="Q3151" s="204" t="s">
        <v>2276</v>
      </c>
      <c r="R3151" s="204" t="s">
        <v>2276</v>
      </c>
      <c r="S3151" s="204" t="s">
        <v>2276</v>
      </c>
      <c r="T3151" s="204" t="s">
        <v>2276</v>
      </c>
      <c r="U3151" s="204" t="s">
        <v>2276</v>
      </c>
      <c r="V3151" s="204" t="s">
        <v>2276</v>
      </c>
      <c r="W3151" s="204" t="s">
        <v>2276</v>
      </c>
      <c r="X3151" s="21">
        <f>(0.3*3718000*0.9)/'Record info'!K1301</f>
        <v>3.3462000000000001</v>
      </c>
      <c r="Y3151" s="204" t="s">
        <v>2276</v>
      </c>
      <c r="Z3151" s="204" t="s">
        <v>399</v>
      </c>
      <c r="AA3151" s="204" t="s">
        <v>189</v>
      </c>
      <c r="AB3151" s="204" t="s">
        <v>2276</v>
      </c>
      <c r="AC3151" s="204" t="s">
        <v>8446</v>
      </c>
      <c r="AD3151" s="204"/>
    </row>
    <row r="3152" spans="1:30" ht="45.5" customHeight="1">
      <c r="A3152" s="19" t="s">
        <v>8439</v>
      </c>
      <c r="B3152" s="19" t="s">
        <v>8441</v>
      </c>
      <c r="C3152" s="204" t="s">
        <v>24</v>
      </c>
      <c r="D3152" s="204" t="s">
        <v>2659</v>
      </c>
      <c r="E3152" s="4" t="s">
        <v>397</v>
      </c>
      <c r="F3152" s="4" t="s">
        <v>28</v>
      </c>
      <c r="G3152" s="204" t="s">
        <v>2276</v>
      </c>
      <c r="H3152" s="204" t="s">
        <v>523</v>
      </c>
      <c r="I3152" s="204"/>
      <c r="J3152" s="204" t="s">
        <v>2276</v>
      </c>
      <c r="K3152" s="204" t="s">
        <v>2276</v>
      </c>
      <c r="L3152" s="204" t="s">
        <v>2276</v>
      </c>
      <c r="M3152" s="204" t="s">
        <v>2276</v>
      </c>
      <c r="N3152" s="204" t="s">
        <v>2276</v>
      </c>
      <c r="O3152" s="204" t="s">
        <v>2276</v>
      </c>
      <c r="P3152" s="204" t="s">
        <v>2276</v>
      </c>
      <c r="Q3152" s="204" t="s">
        <v>2276</v>
      </c>
      <c r="R3152" s="204" t="s">
        <v>2276</v>
      </c>
      <c r="S3152" s="204" t="s">
        <v>2276</v>
      </c>
      <c r="T3152" s="204" t="s">
        <v>2276</v>
      </c>
      <c r="U3152" s="204" t="s">
        <v>2276</v>
      </c>
      <c r="V3152" s="204" t="s">
        <v>2276</v>
      </c>
      <c r="W3152" s="204" t="s">
        <v>2276</v>
      </c>
      <c r="X3152" s="21">
        <f>(0.7*3718000*0.9)/'Record info'!K1301</f>
        <v>7.8078000000000003</v>
      </c>
      <c r="Y3152" s="204" t="s">
        <v>2276</v>
      </c>
      <c r="Z3152" s="204" t="s">
        <v>38</v>
      </c>
      <c r="AA3152" s="204" t="s">
        <v>86</v>
      </c>
      <c r="AB3152" s="204" t="s">
        <v>2276</v>
      </c>
      <c r="AC3152" s="204" t="s">
        <v>8446</v>
      </c>
      <c r="AD3152" s="204"/>
    </row>
    <row r="3153" spans="1:30" ht="64" customHeight="1">
      <c r="A3153" s="19" t="s">
        <v>8439</v>
      </c>
      <c r="B3153" s="19" t="s">
        <v>8442</v>
      </c>
      <c r="C3153" s="204" t="s">
        <v>24</v>
      </c>
      <c r="D3153" s="204" t="s">
        <v>1131</v>
      </c>
      <c r="E3153" s="4" t="s">
        <v>396</v>
      </c>
      <c r="F3153" s="4" t="s">
        <v>28</v>
      </c>
      <c r="G3153" s="204" t="s">
        <v>2276</v>
      </c>
      <c r="H3153" s="204" t="s">
        <v>523</v>
      </c>
      <c r="I3153" s="204"/>
      <c r="J3153" s="204" t="s">
        <v>2276</v>
      </c>
      <c r="K3153" s="204" t="s">
        <v>2276</v>
      </c>
      <c r="L3153" s="204" t="s">
        <v>2276</v>
      </c>
      <c r="M3153" s="204" t="s">
        <v>2276</v>
      </c>
      <c r="N3153" s="204" t="s">
        <v>2276</v>
      </c>
      <c r="O3153" s="204" t="s">
        <v>2276</v>
      </c>
      <c r="P3153" s="204" t="s">
        <v>2276</v>
      </c>
      <c r="Q3153" s="204" t="s">
        <v>2276</v>
      </c>
      <c r="R3153" s="204" t="s">
        <v>2276</v>
      </c>
      <c r="S3153" s="204" t="s">
        <v>2276</v>
      </c>
      <c r="T3153" s="204" t="s">
        <v>2276</v>
      </c>
      <c r="U3153" s="204" t="s">
        <v>2276</v>
      </c>
      <c r="V3153" s="204" t="s">
        <v>2276</v>
      </c>
      <c r="W3153" s="204" t="s">
        <v>2276</v>
      </c>
      <c r="X3153" s="21">
        <f>22200/'Record info'!K$1301</f>
        <v>7.3999999999999996E-2</v>
      </c>
      <c r="Y3153" s="204" t="s">
        <v>2276</v>
      </c>
      <c r="Z3153" s="204" t="s">
        <v>68</v>
      </c>
      <c r="AA3153" s="204" t="s">
        <v>127</v>
      </c>
      <c r="AB3153" s="204" t="s">
        <v>2276</v>
      </c>
      <c r="AC3153" s="4" t="s">
        <v>8445</v>
      </c>
      <c r="AD3153" s="204"/>
    </row>
    <row r="3154" spans="1:30" ht="64" customHeight="1">
      <c r="A3154" s="19" t="s">
        <v>8439</v>
      </c>
      <c r="B3154" s="19" t="s">
        <v>8443</v>
      </c>
      <c r="C3154" s="204" t="s">
        <v>24</v>
      </c>
      <c r="D3154" s="204" t="s">
        <v>1131</v>
      </c>
      <c r="E3154" s="4" t="s">
        <v>396</v>
      </c>
      <c r="F3154" s="4" t="s">
        <v>28</v>
      </c>
      <c r="G3154" s="204" t="s">
        <v>2276</v>
      </c>
      <c r="H3154" s="204" t="s">
        <v>523</v>
      </c>
      <c r="I3154" s="204"/>
      <c r="J3154" s="204" t="s">
        <v>2276</v>
      </c>
      <c r="K3154" s="204" t="s">
        <v>2276</v>
      </c>
      <c r="L3154" s="204" t="s">
        <v>2276</v>
      </c>
      <c r="M3154" s="204" t="s">
        <v>2276</v>
      </c>
      <c r="N3154" s="204" t="s">
        <v>2276</v>
      </c>
      <c r="O3154" s="204" t="s">
        <v>2276</v>
      </c>
      <c r="P3154" s="204" t="s">
        <v>2276</v>
      </c>
      <c r="Q3154" s="204" t="s">
        <v>2276</v>
      </c>
      <c r="R3154" s="204" t="s">
        <v>2276</v>
      </c>
      <c r="S3154" s="204" t="s">
        <v>2276</v>
      </c>
      <c r="T3154" s="204" t="s">
        <v>2276</v>
      </c>
      <c r="U3154" s="204" t="s">
        <v>2276</v>
      </c>
      <c r="V3154" s="204" t="s">
        <v>2276</v>
      </c>
      <c r="W3154" s="204" t="s">
        <v>2276</v>
      </c>
      <c r="X3154" s="21">
        <f>148000/'Record info'!K$1301</f>
        <v>0.49333333333333335</v>
      </c>
      <c r="Y3154" s="204" t="s">
        <v>2276</v>
      </c>
      <c r="Z3154" s="204" t="s">
        <v>399</v>
      </c>
      <c r="AA3154" s="204" t="s">
        <v>189</v>
      </c>
      <c r="AB3154" s="204" t="s">
        <v>2276</v>
      </c>
      <c r="AC3154" s="4" t="s">
        <v>8445</v>
      </c>
      <c r="AD3154" s="204"/>
    </row>
    <row r="3155" spans="1:30" ht="64" customHeight="1">
      <c r="A3155" s="19" t="s">
        <v>8439</v>
      </c>
      <c r="B3155" s="19" t="s">
        <v>8444</v>
      </c>
      <c r="C3155" s="204" t="s">
        <v>24</v>
      </c>
      <c r="D3155" s="204" t="s">
        <v>1131</v>
      </c>
      <c r="E3155" s="4" t="s">
        <v>396</v>
      </c>
      <c r="F3155" s="4" t="s">
        <v>28</v>
      </c>
      <c r="G3155" s="204" t="s">
        <v>2276</v>
      </c>
      <c r="H3155" s="204" t="s">
        <v>523</v>
      </c>
      <c r="I3155" s="204"/>
      <c r="J3155" s="204" t="s">
        <v>2276</v>
      </c>
      <c r="K3155" s="204" t="s">
        <v>2276</v>
      </c>
      <c r="L3155" s="204" t="s">
        <v>2276</v>
      </c>
      <c r="M3155" s="204" t="s">
        <v>2276</v>
      </c>
      <c r="N3155" s="204" t="s">
        <v>2276</v>
      </c>
      <c r="O3155" s="204" t="s">
        <v>2276</v>
      </c>
      <c r="P3155" s="204" t="s">
        <v>2276</v>
      </c>
      <c r="Q3155" s="204" t="s">
        <v>2276</v>
      </c>
      <c r="R3155" s="204" t="s">
        <v>2276</v>
      </c>
      <c r="S3155" s="204" t="s">
        <v>2276</v>
      </c>
      <c r="T3155" s="204" t="s">
        <v>2276</v>
      </c>
      <c r="U3155" s="204" t="s">
        <v>2276</v>
      </c>
      <c r="V3155" s="204" t="s">
        <v>2276</v>
      </c>
      <c r="W3155" s="204" t="s">
        <v>2276</v>
      </c>
      <c r="X3155" s="21">
        <f>66600/'Record info'!K$1301</f>
        <v>0.222</v>
      </c>
      <c r="Y3155" s="204" t="s">
        <v>2276</v>
      </c>
      <c r="Z3155" s="204" t="s">
        <v>38</v>
      </c>
      <c r="AA3155" s="204" t="s">
        <v>86</v>
      </c>
      <c r="AB3155" s="204" t="s">
        <v>2276</v>
      </c>
      <c r="AC3155" s="4" t="s">
        <v>8445</v>
      </c>
      <c r="AD3155" s="204"/>
    </row>
    <row r="3156" spans="1:30" ht="53.5" customHeight="1">
      <c r="A3156" s="19" t="s">
        <v>8439</v>
      </c>
      <c r="B3156" s="19" t="s">
        <v>8447</v>
      </c>
      <c r="C3156" s="204" t="s">
        <v>24</v>
      </c>
      <c r="D3156" s="204" t="s">
        <v>2659</v>
      </c>
      <c r="E3156" s="4" t="s">
        <v>396</v>
      </c>
      <c r="F3156" s="4" t="s">
        <v>28</v>
      </c>
      <c r="G3156" s="204" t="s">
        <v>2276</v>
      </c>
      <c r="H3156" s="204" t="s">
        <v>523</v>
      </c>
      <c r="I3156" s="204"/>
      <c r="J3156" s="204" t="s">
        <v>2276</v>
      </c>
      <c r="K3156" s="204" t="s">
        <v>2276</v>
      </c>
      <c r="L3156" s="204" t="s">
        <v>2276</v>
      </c>
      <c r="M3156" s="204" t="s">
        <v>2276</v>
      </c>
      <c r="N3156" s="204" t="s">
        <v>2276</v>
      </c>
      <c r="O3156" s="204" t="s">
        <v>2276</v>
      </c>
      <c r="P3156" s="204" t="s">
        <v>2276</v>
      </c>
      <c r="Q3156" s="204" t="s">
        <v>2276</v>
      </c>
      <c r="R3156" s="204" t="s">
        <v>2276</v>
      </c>
      <c r="S3156" s="204" t="s">
        <v>2276</v>
      </c>
      <c r="T3156" s="204" t="s">
        <v>2276</v>
      </c>
      <c r="U3156" s="204" t="s">
        <v>2276</v>
      </c>
      <c r="V3156" s="204" t="s">
        <v>2276</v>
      </c>
      <c r="W3156" s="204" t="s">
        <v>2276</v>
      </c>
      <c r="X3156" s="204" t="s">
        <v>2276</v>
      </c>
      <c r="Y3156" s="204" t="s">
        <v>2276</v>
      </c>
      <c r="Z3156" s="204" t="s">
        <v>68</v>
      </c>
      <c r="AA3156" s="204" t="s">
        <v>127</v>
      </c>
      <c r="AB3156" s="204" t="s">
        <v>2276</v>
      </c>
      <c r="AC3156" s="4" t="s">
        <v>8450</v>
      </c>
      <c r="AD3156" s="204"/>
    </row>
    <row r="3157" spans="1:30" ht="53.5" customHeight="1">
      <c r="A3157" s="19" t="s">
        <v>8439</v>
      </c>
      <c r="B3157" s="19" t="s">
        <v>8448</v>
      </c>
      <c r="C3157" s="204" t="s">
        <v>24</v>
      </c>
      <c r="D3157" s="204" t="s">
        <v>2659</v>
      </c>
      <c r="E3157" s="4" t="s">
        <v>396</v>
      </c>
      <c r="F3157" s="4" t="s">
        <v>28</v>
      </c>
      <c r="G3157" s="204" t="s">
        <v>2276</v>
      </c>
      <c r="H3157" s="204" t="s">
        <v>523</v>
      </c>
      <c r="I3157" s="204"/>
      <c r="J3157" s="204" t="s">
        <v>2276</v>
      </c>
      <c r="K3157" s="204" t="s">
        <v>2276</v>
      </c>
      <c r="L3157" s="204" t="s">
        <v>2276</v>
      </c>
      <c r="M3157" s="204" t="s">
        <v>2276</v>
      </c>
      <c r="N3157" s="204" t="s">
        <v>2276</v>
      </c>
      <c r="O3157" s="204" t="s">
        <v>2276</v>
      </c>
      <c r="P3157" s="204" t="s">
        <v>2276</v>
      </c>
      <c r="Q3157" s="204" t="s">
        <v>2276</v>
      </c>
      <c r="R3157" s="204" t="s">
        <v>2276</v>
      </c>
      <c r="S3157" s="204" t="s">
        <v>2276</v>
      </c>
      <c r="T3157" s="204" t="s">
        <v>2276</v>
      </c>
      <c r="U3157" s="204" t="s">
        <v>2276</v>
      </c>
      <c r="V3157" s="204" t="s">
        <v>2276</v>
      </c>
      <c r="W3157" s="204" t="s">
        <v>2276</v>
      </c>
      <c r="X3157" s="204" t="s">
        <v>2276</v>
      </c>
      <c r="Y3157" s="204" t="s">
        <v>2276</v>
      </c>
      <c r="Z3157" s="204" t="s">
        <v>399</v>
      </c>
      <c r="AA3157" s="204" t="s">
        <v>189</v>
      </c>
      <c r="AB3157" s="204" t="s">
        <v>2276</v>
      </c>
      <c r="AC3157" s="4" t="s">
        <v>8450</v>
      </c>
      <c r="AD3157" s="204"/>
    </row>
    <row r="3158" spans="1:30" ht="53.5" customHeight="1">
      <c r="A3158" s="19" t="s">
        <v>8439</v>
      </c>
      <c r="B3158" s="19" t="s">
        <v>8449</v>
      </c>
      <c r="C3158" s="204" t="s">
        <v>24</v>
      </c>
      <c r="D3158" s="204" t="s">
        <v>2659</v>
      </c>
      <c r="E3158" s="4" t="s">
        <v>396</v>
      </c>
      <c r="F3158" s="4" t="s">
        <v>28</v>
      </c>
      <c r="G3158" s="204" t="s">
        <v>2276</v>
      </c>
      <c r="H3158" s="204" t="s">
        <v>523</v>
      </c>
      <c r="I3158" s="204"/>
      <c r="J3158" s="204" t="s">
        <v>2276</v>
      </c>
      <c r="K3158" s="204" t="s">
        <v>2276</v>
      </c>
      <c r="L3158" s="204" t="s">
        <v>2276</v>
      </c>
      <c r="M3158" s="204" t="s">
        <v>2276</v>
      </c>
      <c r="N3158" s="204" t="s">
        <v>2276</v>
      </c>
      <c r="O3158" s="204" t="s">
        <v>2276</v>
      </c>
      <c r="P3158" s="204" t="s">
        <v>2276</v>
      </c>
      <c r="Q3158" s="204" t="s">
        <v>2276</v>
      </c>
      <c r="R3158" s="204" t="s">
        <v>2276</v>
      </c>
      <c r="S3158" s="204" t="s">
        <v>2276</v>
      </c>
      <c r="T3158" s="204" t="s">
        <v>2276</v>
      </c>
      <c r="U3158" s="204" t="s">
        <v>2276</v>
      </c>
      <c r="V3158" s="204" t="s">
        <v>2276</v>
      </c>
      <c r="W3158" s="204" t="s">
        <v>2276</v>
      </c>
      <c r="X3158" s="204" t="s">
        <v>2276</v>
      </c>
      <c r="Y3158" s="204" t="s">
        <v>2276</v>
      </c>
      <c r="Z3158" s="204" t="s">
        <v>38</v>
      </c>
      <c r="AA3158" s="204" t="s">
        <v>86</v>
      </c>
      <c r="AB3158" s="204" t="s">
        <v>2276</v>
      </c>
      <c r="AC3158" s="4" t="s">
        <v>8450</v>
      </c>
      <c r="AD3158" s="204"/>
    </row>
    <row r="3159" spans="1:30" ht="42" customHeight="1">
      <c r="A3159" s="19" t="s">
        <v>8451</v>
      </c>
      <c r="B3159" s="19" t="s">
        <v>8454</v>
      </c>
      <c r="C3159" s="204" t="s">
        <v>24</v>
      </c>
      <c r="D3159" s="204" t="s">
        <v>1131</v>
      </c>
      <c r="E3159" s="4" t="s">
        <v>397</v>
      </c>
      <c r="F3159" s="4" t="s">
        <v>28</v>
      </c>
      <c r="G3159" s="204" t="s">
        <v>2276</v>
      </c>
      <c r="H3159" s="204" t="s">
        <v>524</v>
      </c>
      <c r="I3159" s="204"/>
      <c r="J3159" s="21">
        <v>0</v>
      </c>
      <c r="K3159" s="21">
        <v>0</v>
      </c>
      <c r="L3159" s="21">
        <v>0</v>
      </c>
      <c r="M3159" s="21">
        <v>0</v>
      </c>
      <c r="N3159" s="21">
        <v>0</v>
      </c>
      <c r="O3159" s="21">
        <v>0</v>
      </c>
      <c r="P3159" s="21">
        <v>0</v>
      </c>
      <c r="Q3159" s="21">
        <v>0</v>
      </c>
      <c r="R3159" s="21">
        <v>0</v>
      </c>
      <c r="S3159" s="21">
        <v>0</v>
      </c>
      <c r="T3159" s="21">
        <v>0</v>
      </c>
      <c r="U3159" s="21">
        <v>0</v>
      </c>
      <c r="V3159" s="21">
        <v>0</v>
      </c>
      <c r="W3159" s="21">
        <v>0</v>
      </c>
      <c r="X3159" s="21">
        <v>0</v>
      </c>
      <c r="Y3159" s="204" t="s">
        <v>2276</v>
      </c>
      <c r="Z3159" s="204" t="s">
        <v>2276</v>
      </c>
      <c r="AA3159" s="204" t="s">
        <v>2276</v>
      </c>
      <c r="AB3159" s="204" t="s">
        <v>2276</v>
      </c>
      <c r="AC3159" s="204" t="s">
        <v>8469</v>
      </c>
      <c r="AD3159" s="204"/>
    </row>
    <row r="3160" spans="1:30" ht="36" customHeight="1">
      <c r="A3160" s="19" t="s">
        <v>8461</v>
      </c>
      <c r="B3160" s="19" t="s">
        <v>8463</v>
      </c>
      <c r="C3160" s="204" t="s">
        <v>24</v>
      </c>
      <c r="D3160" s="204" t="s">
        <v>2659</v>
      </c>
      <c r="E3160" s="4" t="s">
        <v>396</v>
      </c>
      <c r="F3160" s="4" t="s">
        <v>28</v>
      </c>
      <c r="G3160" s="204" t="s">
        <v>2276</v>
      </c>
      <c r="H3160" s="204" t="s">
        <v>523</v>
      </c>
      <c r="I3160" s="204"/>
      <c r="J3160" s="204" t="s">
        <v>2276</v>
      </c>
      <c r="K3160" s="204" t="s">
        <v>2276</v>
      </c>
      <c r="L3160" s="204" t="s">
        <v>2276</v>
      </c>
      <c r="M3160" s="204" t="s">
        <v>2276</v>
      </c>
      <c r="N3160" s="204" t="s">
        <v>2276</v>
      </c>
      <c r="O3160" s="204" t="s">
        <v>2276</v>
      </c>
      <c r="P3160" s="204" t="s">
        <v>2276</v>
      </c>
      <c r="Q3160" s="204" t="s">
        <v>2276</v>
      </c>
      <c r="R3160" s="204" t="s">
        <v>2276</v>
      </c>
      <c r="S3160" s="204" t="s">
        <v>2276</v>
      </c>
      <c r="T3160" s="204" t="s">
        <v>2276</v>
      </c>
      <c r="U3160" s="204" t="s">
        <v>2276</v>
      </c>
      <c r="V3160" s="204" t="s">
        <v>2276</v>
      </c>
      <c r="W3160" s="204" t="s">
        <v>2276</v>
      </c>
      <c r="X3160" s="21">
        <v>91.99</v>
      </c>
      <c r="Y3160" s="21">
        <v>1</v>
      </c>
      <c r="Z3160" s="204" t="s">
        <v>188</v>
      </c>
      <c r="AA3160" s="204" t="s">
        <v>86</v>
      </c>
      <c r="AB3160" s="204" t="s">
        <v>2276</v>
      </c>
      <c r="AC3160" s="204"/>
      <c r="AD3160" s="204"/>
    </row>
    <row r="3161" spans="1:30" ht="41" customHeight="1">
      <c r="A3161" s="19" t="s">
        <v>8465</v>
      </c>
      <c r="B3161" s="19" t="s">
        <v>8467</v>
      </c>
      <c r="C3161" s="204" t="s">
        <v>24</v>
      </c>
      <c r="D3161" s="204" t="s">
        <v>1131</v>
      </c>
      <c r="E3161" s="4" t="s">
        <v>396</v>
      </c>
      <c r="F3161" s="4" t="s">
        <v>28</v>
      </c>
      <c r="G3161" s="204" t="s">
        <v>2276</v>
      </c>
      <c r="H3161" s="204" t="s">
        <v>523</v>
      </c>
      <c r="I3161" s="204"/>
      <c r="J3161" s="204" t="s">
        <v>2276</v>
      </c>
      <c r="K3161" s="204" t="s">
        <v>2276</v>
      </c>
      <c r="L3161" s="204" t="s">
        <v>2276</v>
      </c>
      <c r="M3161" s="204" t="s">
        <v>2276</v>
      </c>
      <c r="N3161" s="204" t="s">
        <v>2276</v>
      </c>
      <c r="O3161" s="204" t="s">
        <v>2276</v>
      </c>
      <c r="P3161" s="204" t="s">
        <v>2276</v>
      </c>
      <c r="Q3161" s="204" t="s">
        <v>2276</v>
      </c>
      <c r="R3161" s="204" t="s">
        <v>2276</v>
      </c>
      <c r="S3161" s="204" t="s">
        <v>2276</v>
      </c>
      <c r="T3161" s="21">
        <v>2000000</v>
      </c>
      <c r="U3161" s="204" t="s">
        <v>2276</v>
      </c>
      <c r="V3161" s="21">
        <f>100*2/5.4</f>
        <v>37.037037037037038</v>
      </c>
      <c r="W3161" s="204" t="s">
        <v>2276</v>
      </c>
      <c r="X3161" s="21">
        <f>100*2/5.4</f>
        <v>37.037037037037038</v>
      </c>
      <c r="Y3161" s="204" t="s">
        <v>2276</v>
      </c>
      <c r="Z3161" s="204" t="s">
        <v>2276</v>
      </c>
      <c r="AA3161" s="204" t="s">
        <v>2276</v>
      </c>
      <c r="AB3161" s="204" t="s">
        <v>2276</v>
      </c>
      <c r="AC3161" s="204" t="s">
        <v>8469</v>
      </c>
      <c r="AD3161" s="204"/>
    </row>
    <row r="3162" spans="1:30" ht="36.5" customHeight="1">
      <c r="A3162" s="19" t="s">
        <v>8472</v>
      </c>
      <c r="B3162" s="19" t="s">
        <v>8502</v>
      </c>
      <c r="C3162" s="204" t="s">
        <v>24</v>
      </c>
      <c r="D3162" s="204" t="s">
        <v>1131</v>
      </c>
      <c r="E3162" s="4" t="s">
        <v>396</v>
      </c>
      <c r="F3162" s="4" t="s">
        <v>28</v>
      </c>
      <c r="G3162" s="204" t="s">
        <v>2276</v>
      </c>
      <c r="H3162" s="204" t="s">
        <v>523</v>
      </c>
      <c r="I3162" s="204"/>
      <c r="J3162" s="204" t="s">
        <v>2276</v>
      </c>
      <c r="K3162" s="204" t="s">
        <v>2276</v>
      </c>
      <c r="L3162" s="204" t="s">
        <v>2276</v>
      </c>
      <c r="M3162" s="204" t="s">
        <v>2276</v>
      </c>
      <c r="N3162" s="204" t="s">
        <v>2276</v>
      </c>
      <c r="O3162" s="204" t="s">
        <v>2276</v>
      </c>
      <c r="P3162" s="204" t="s">
        <v>2276</v>
      </c>
      <c r="Q3162" s="204" t="s">
        <v>2276</v>
      </c>
      <c r="R3162" s="204" t="s">
        <v>2276</v>
      </c>
      <c r="S3162" s="204" t="s">
        <v>2276</v>
      </c>
      <c r="T3162" s="21">
        <v>174042</v>
      </c>
      <c r="U3162" s="204" t="s">
        <v>2276</v>
      </c>
      <c r="V3162" s="21">
        <v>44.6</v>
      </c>
      <c r="W3162" s="204" t="s">
        <v>2276</v>
      </c>
      <c r="X3162" s="21">
        <v>44.6</v>
      </c>
      <c r="Y3162" s="204" t="s">
        <v>2276</v>
      </c>
      <c r="Z3162" s="204" t="s">
        <v>38</v>
      </c>
      <c r="AA3162" s="204" t="s">
        <v>127</v>
      </c>
      <c r="AB3162" s="204" t="s">
        <v>64</v>
      </c>
      <c r="AC3162" s="204" t="s">
        <v>8469</v>
      </c>
      <c r="AD3162" s="204"/>
    </row>
    <row r="3163" spans="1:30" ht="36.5" customHeight="1">
      <c r="A3163" s="19" t="s">
        <v>8475</v>
      </c>
      <c r="B3163" s="19" t="s">
        <v>8503</v>
      </c>
      <c r="C3163" s="204" t="s">
        <v>24</v>
      </c>
      <c r="D3163" s="204" t="s">
        <v>1131</v>
      </c>
      <c r="E3163" s="4" t="s">
        <v>396</v>
      </c>
      <c r="F3163" s="4" t="s">
        <v>28</v>
      </c>
      <c r="G3163" s="204" t="s">
        <v>2276</v>
      </c>
      <c r="H3163" s="204" t="s">
        <v>523</v>
      </c>
      <c r="I3163" s="204"/>
      <c r="J3163" s="204" t="s">
        <v>2276</v>
      </c>
      <c r="K3163" s="204" t="s">
        <v>2276</v>
      </c>
      <c r="L3163" s="204" t="s">
        <v>2276</v>
      </c>
      <c r="M3163" s="204" t="s">
        <v>2276</v>
      </c>
      <c r="N3163" s="204" t="s">
        <v>2276</v>
      </c>
      <c r="O3163" s="204" t="s">
        <v>2276</v>
      </c>
      <c r="P3163" s="204" t="s">
        <v>2276</v>
      </c>
      <c r="Q3163" s="204" t="s">
        <v>2276</v>
      </c>
      <c r="R3163" s="204" t="s">
        <v>2276</v>
      </c>
      <c r="S3163" s="204" t="s">
        <v>2276</v>
      </c>
      <c r="T3163" s="21">
        <v>185362</v>
      </c>
      <c r="U3163" s="204" t="s">
        <v>2276</v>
      </c>
      <c r="V3163" s="21">
        <v>55.2</v>
      </c>
      <c r="W3163" s="204" t="s">
        <v>2276</v>
      </c>
      <c r="X3163" s="21">
        <v>55.2</v>
      </c>
      <c r="Y3163" s="204" t="s">
        <v>2276</v>
      </c>
      <c r="Z3163" s="204" t="s">
        <v>38</v>
      </c>
      <c r="AA3163" s="204" t="s">
        <v>127</v>
      </c>
      <c r="AB3163" s="204" t="s">
        <v>64</v>
      </c>
      <c r="AC3163" s="204" t="s">
        <v>8469</v>
      </c>
      <c r="AD3163" s="204"/>
    </row>
    <row r="3164" spans="1:30" ht="36.5" customHeight="1">
      <c r="A3164" s="19" t="s">
        <v>8476</v>
      </c>
      <c r="B3164" s="19" t="s">
        <v>8504</v>
      </c>
      <c r="C3164" s="204" t="s">
        <v>24</v>
      </c>
      <c r="D3164" s="204" t="s">
        <v>1131</v>
      </c>
      <c r="E3164" s="4" t="s">
        <v>396</v>
      </c>
      <c r="F3164" s="4" t="s">
        <v>28</v>
      </c>
      <c r="G3164" s="204" t="s">
        <v>2276</v>
      </c>
      <c r="H3164" s="204" t="s">
        <v>523</v>
      </c>
      <c r="I3164" s="204"/>
      <c r="J3164" s="204" t="s">
        <v>2276</v>
      </c>
      <c r="K3164" s="204" t="s">
        <v>2276</v>
      </c>
      <c r="L3164" s="204" t="s">
        <v>2276</v>
      </c>
      <c r="M3164" s="204" t="s">
        <v>2276</v>
      </c>
      <c r="N3164" s="204" t="s">
        <v>2276</v>
      </c>
      <c r="O3164" s="204" t="s">
        <v>2276</v>
      </c>
      <c r="P3164" s="204" t="s">
        <v>2276</v>
      </c>
      <c r="Q3164" s="204" t="s">
        <v>2276</v>
      </c>
      <c r="R3164" s="204" t="s">
        <v>2276</v>
      </c>
      <c r="S3164" s="204" t="s">
        <v>2276</v>
      </c>
      <c r="T3164" s="21">
        <v>208935</v>
      </c>
      <c r="U3164" s="204" t="s">
        <v>2276</v>
      </c>
      <c r="V3164" s="21">
        <v>57.5</v>
      </c>
      <c r="W3164" s="204" t="s">
        <v>2276</v>
      </c>
      <c r="X3164" s="21">
        <v>57.5</v>
      </c>
      <c r="Y3164" s="204" t="s">
        <v>2276</v>
      </c>
      <c r="Z3164" s="204" t="s">
        <v>38</v>
      </c>
      <c r="AA3164" s="204" t="s">
        <v>127</v>
      </c>
      <c r="AB3164" s="204" t="s">
        <v>64</v>
      </c>
      <c r="AC3164" s="204" t="s">
        <v>8469</v>
      </c>
      <c r="AD3164" s="204"/>
    </row>
    <row r="3165" spans="1:30" ht="36.5" customHeight="1">
      <c r="A3165" s="19" t="s">
        <v>8477</v>
      </c>
      <c r="B3165" s="19" t="s">
        <v>8505</v>
      </c>
      <c r="C3165" s="204" t="s">
        <v>24</v>
      </c>
      <c r="D3165" s="204" t="s">
        <v>1131</v>
      </c>
      <c r="E3165" s="4" t="s">
        <v>396</v>
      </c>
      <c r="F3165" s="4" t="s">
        <v>28</v>
      </c>
      <c r="G3165" s="204" t="s">
        <v>2276</v>
      </c>
      <c r="H3165" s="204" t="s">
        <v>523</v>
      </c>
      <c r="I3165" s="204"/>
      <c r="J3165" s="204" t="s">
        <v>2276</v>
      </c>
      <c r="K3165" s="204" t="s">
        <v>2276</v>
      </c>
      <c r="L3165" s="204" t="s">
        <v>2276</v>
      </c>
      <c r="M3165" s="204" t="s">
        <v>2276</v>
      </c>
      <c r="N3165" s="204" t="s">
        <v>2276</v>
      </c>
      <c r="O3165" s="204" t="s">
        <v>2276</v>
      </c>
      <c r="P3165" s="204" t="s">
        <v>2276</v>
      </c>
      <c r="Q3165" s="204" t="s">
        <v>2276</v>
      </c>
      <c r="R3165" s="204" t="s">
        <v>2276</v>
      </c>
      <c r="S3165" s="204" t="s">
        <v>2276</v>
      </c>
      <c r="T3165" s="21">
        <v>199747</v>
      </c>
      <c r="U3165" s="204" t="s">
        <v>2276</v>
      </c>
      <c r="V3165" s="21">
        <v>48.3</v>
      </c>
      <c r="W3165" s="204" t="s">
        <v>2276</v>
      </c>
      <c r="X3165" s="21">
        <v>48.3</v>
      </c>
      <c r="Y3165" s="204" t="s">
        <v>2276</v>
      </c>
      <c r="Z3165" s="204" t="s">
        <v>38</v>
      </c>
      <c r="AA3165" s="204" t="s">
        <v>127</v>
      </c>
      <c r="AB3165" s="204" t="s">
        <v>64</v>
      </c>
      <c r="AC3165" s="204" t="s">
        <v>8469</v>
      </c>
      <c r="AD3165" s="204"/>
    </row>
    <row r="3166" spans="1:30" ht="36.5" customHeight="1">
      <c r="A3166" s="19" t="s">
        <v>8478</v>
      </c>
      <c r="B3166" s="19" t="s">
        <v>8506</v>
      </c>
      <c r="C3166" s="204" t="s">
        <v>24</v>
      </c>
      <c r="D3166" s="204" t="s">
        <v>1131</v>
      </c>
      <c r="E3166" s="4" t="s">
        <v>396</v>
      </c>
      <c r="F3166" s="4" t="s">
        <v>28</v>
      </c>
      <c r="G3166" s="204" t="s">
        <v>2276</v>
      </c>
      <c r="H3166" s="204" t="s">
        <v>523</v>
      </c>
      <c r="I3166" s="204"/>
      <c r="J3166" s="204" t="s">
        <v>2276</v>
      </c>
      <c r="K3166" s="204" t="s">
        <v>2276</v>
      </c>
      <c r="L3166" s="204" t="s">
        <v>2276</v>
      </c>
      <c r="M3166" s="204" t="s">
        <v>2276</v>
      </c>
      <c r="N3166" s="204" t="s">
        <v>2276</v>
      </c>
      <c r="O3166" s="204" t="s">
        <v>2276</v>
      </c>
      <c r="P3166" s="204" t="s">
        <v>2276</v>
      </c>
      <c r="Q3166" s="204" t="s">
        <v>2276</v>
      </c>
      <c r="R3166" s="204" t="s">
        <v>2276</v>
      </c>
      <c r="S3166" s="204" t="s">
        <v>2276</v>
      </c>
      <c r="T3166" s="21">
        <v>187026</v>
      </c>
      <c r="U3166" s="204" t="s">
        <v>2276</v>
      </c>
      <c r="V3166" s="21">
        <v>51.4</v>
      </c>
      <c r="W3166" s="204" t="s">
        <v>2276</v>
      </c>
      <c r="X3166" s="21">
        <v>51.4</v>
      </c>
      <c r="Y3166" s="204" t="s">
        <v>2276</v>
      </c>
      <c r="Z3166" s="204" t="s">
        <v>38</v>
      </c>
      <c r="AA3166" s="204" t="s">
        <v>127</v>
      </c>
      <c r="AB3166" s="204" t="s">
        <v>64</v>
      </c>
      <c r="AC3166" s="204" t="s">
        <v>8469</v>
      </c>
      <c r="AD3166" s="204"/>
    </row>
    <row r="3167" spans="1:30" ht="36.5" customHeight="1">
      <c r="A3167" s="19" t="s">
        <v>8479</v>
      </c>
      <c r="B3167" s="19" t="s">
        <v>8507</v>
      </c>
      <c r="C3167" s="204" t="s">
        <v>24</v>
      </c>
      <c r="D3167" s="204" t="s">
        <v>1131</v>
      </c>
      <c r="E3167" s="4" t="s">
        <v>396</v>
      </c>
      <c r="F3167" s="4" t="s">
        <v>28</v>
      </c>
      <c r="G3167" s="204" t="s">
        <v>2276</v>
      </c>
      <c r="H3167" s="204" t="s">
        <v>523</v>
      </c>
      <c r="I3167" s="204"/>
      <c r="J3167" s="204" t="s">
        <v>2276</v>
      </c>
      <c r="K3167" s="204" t="s">
        <v>2276</v>
      </c>
      <c r="L3167" s="204" t="s">
        <v>2276</v>
      </c>
      <c r="M3167" s="204" t="s">
        <v>2276</v>
      </c>
      <c r="N3167" s="204" t="s">
        <v>2276</v>
      </c>
      <c r="O3167" s="204" t="s">
        <v>2276</v>
      </c>
      <c r="P3167" s="204" t="s">
        <v>2276</v>
      </c>
      <c r="Q3167" s="204" t="s">
        <v>2276</v>
      </c>
      <c r="R3167" s="204" t="s">
        <v>2276</v>
      </c>
      <c r="S3167" s="204" t="s">
        <v>2276</v>
      </c>
      <c r="T3167" s="21">
        <v>216902</v>
      </c>
      <c r="U3167" s="204" t="s">
        <v>2276</v>
      </c>
      <c r="V3167" s="21">
        <v>53</v>
      </c>
      <c r="W3167" s="204" t="s">
        <v>2276</v>
      </c>
      <c r="X3167" s="21">
        <v>53</v>
      </c>
      <c r="Y3167" s="204" t="s">
        <v>2276</v>
      </c>
      <c r="Z3167" s="204" t="s">
        <v>38</v>
      </c>
      <c r="AA3167" s="204" t="s">
        <v>127</v>
      </c>
      <c r="AB3167" s="204" t="s">
        <v>64</v>
      </c>
      <c r="AC3167" s="204" t="s">
        <v>8469</v>
      </c>
      <c r="AD3167" s="204"/>
    </row>
    <row r="3168" spans="1:30" ht="36.5" customHeight="1">
      <c r="A3168" s="19" t="s">
        <v>8480</v>
      </c>
      <c r="B3168" s="19" t="s">
        <v>8508</v>
      </c>
      <c r="C3168" s="204" t="s">
        <v>24</v>
      </c>
      <c r="D3168" s="204" t="s">
        <v>1131</v>
      </c>
      <c r="E3168" s="4" t="s">
        <v>396</v>
      </c>
      <c r="F3168" s="4" t="s">
        <v>28</v>
      </c>
      <c r="G3168" s="204" t="s">
        <v>2276</v>
      </c>
      <c r="H3168" s="204" t="s">
        <v>523</v>
      </c>
      <c r="I3168" s="204"/>
      <c r="J3168" s="204" t="s">
        <v>2276</v>
      </c>
      <c r="K3168" s="204" t="s">
        <v>2276</v>
      </c>
      <c r="L3168" s="204" t="s">
        <v>2276</v>
      </c>
      <c r="M3168" s="204" t="s">
        <v>2276</v>
      </c>
      <c r="N3168" s="204" t="s">
        <v>2276</v>
      </c>
      <c r="O3168" s="204" t="s">
        <v>2276</v>
      </c>
      <c r="P3168" s="204" t="s">
        <v>2276</v>
      </c>
      <c r="Q3168" s="204" t="s">
        <v>2276</v>
      </c>
      <c r="R3168" s="204" t="s">
        <v>2276</v>
      </c>
      <c r="S3168" s="204" t="s">
        <v>2276</v>
      </c>
      <c r="T3168" s="21">
        <v>160723</v>
      </c>
      <c r="U3168" s="204" t="s">
        <v>2276</v>
      </c>
      <c r="V3168" s="21">
        <v>56.9</v>
      </c>
      <c r="W3168" s="204" t="s">
        <v>2276</v>
      </c>
      <c r="X3168" s="21">
        <v>56.9</v>
      </c>
      <c r="Y3168" s="204" t="s">
        <v>2276</v>
      </c>
      <c r="Z3168" s="204" t="s">
        <v>38</v>
      </c>
      <c r="AA3168" s="204" t="s">
        <v>127</v>
      </c>
      <c r="AB3168" s="204" t="s">
        <v>64</v>
      </c>
      <c r="AC3168" s="204" t="s">
        <v>8469</v>
      </c>
      <c r="AD3168" s="204"/>
    </row>
    <row r="3169" spans="1:30" ht="36.5" customHeight="1">
      <c r="A3169" s="19" t="s">
        <v>8481</v>
      </c>
      <c r="B3169" s="19" t="s">
        <v>8509</v>
      </c>
      <c r="C3169" s="204" t="s">
        <v>24</v>
      </c>
      <c r="D3169" s="204" t="s">
        <v>1131</v>
      </c>
      <c r="E3169" s="4" t="s">
        <v>396</v>
      </c>
      <c r="F3169" s="4" t="s">
        <v>28</v>
      </c>
      <c r="G3169" s="204" t="s">
        <v>2276</v>
      </c>
      <c r="H3169" s="204" t="s">
        <v>523</v>
      </c>
      <c r="I3169" s="204"/>
      <c r="J3169" s="204" t="s">
        <v>2276</v>
      </c>
      <c r="K3169" s="204" t="s">
        <v>2276</v>
      </c>
      <c r="L3169" s="204" t="s">
        <v>2276</v>
      </c>
      <c r="M3169" s="204" t="s">
        <v>2276</v>
      </c>
      <c r="N3169" s="204" t="s">
        <v>2276</v>
      </c>
      <c r="O3169" s="204" t="s">
        <v>2276</v>
      </c>
      <c r="P3169" s="204" t="s">
        <v>2276</v>
      </c>
      <c r="Q3169" s="204" t="s">
        <v>2276</v>
      </c>
      <c r="R3169" s="204" t="s">
        <v>2276</v>
      </c>
      <c r="S3169" s="204" t="s">
        <v>2276</v>
      </c>
      <c r="T3169" s="21">
        <v>97806</v>
      </c>
      <c r="U3169" s="204" t="s">
        <v>2276</v>
      </c>
      <c r="V3169" s="21">
        <v>40.1</v>
      </c>
      <c r="W3169" s="204" t="s">
        <v>2276</v>
      </c>
      <c r="X3169" s="21">
        <v>40.1</v>
      </c>
      <c r="Y3169" s="204" t="s">
        <v>2276</v>
      </c>
      <c r="Z3169" s="204" t="s">
        <v>38</v>
      </c>
      <c r="AA3169" s="204" t="s">
        <v>127</v>
      </c>
      <c r="AB3169" s="204" t="s">
        <v>64</v>
      </c>
      <c r="AC3169" s="204" t="s">
        <v>8469</v>
      </c>
      <c r="AD3169" s="204"/>
    </row>
    <row r="3170" spans="1:30" ht="36.5" customHeight="1">
      <c r="A3170" s="19" t="s">
        <v>8483</v>
      </c>
      <c r="B3170" s="19" t="s">
        <v>8510</v>
      </c>
      <c r="C3170" s="204" t="s">
        <v>24</v>
      </c>
      <c r="D3170" s="204" t="s">
        <v>1131</v>
      </c>
      <c r="E3170" s="4" t="s">
        <v>396</v>
      </c>
      <c r="F3170" s="4" t="s">
        <v>28</v>
      </c>
      <c r="G3170" s="204" t="s">
        <v>2276</v>
      </c>
      <c r="H3170" s="204" t="s">
        <v>523</v>
      </c>
      <c r="I3170" s="204"/>
      <c r="J3170" s="204" t="s">
        <v>2276</v>
      </c>
      <c r="K3170" s="204" t="s">
        <v>2276</v>
      </c>
      <c r="L3170" s="204" t="s">
        <v>2276</v>
      </c>
      <c r="M3170" s="204" t="s">
        <v>2276</v>
      </c>
      <c r="N3170" s="204" t="s">
        <v>2276</v>
      </c>
      <c r="O3170" s="204" t="s">
        <v>2276</v>
      </c>
      <c r="P3170" s="204" t="s">
        <v>2276</v>
      </c>
      <c r="Q3170" s="204" t="s">
        <v>2276</v>
      </c>
      <c r="R3170" s="204" t="s">
        <v>2276</v>
      </c>
      <c r="S3170" s="204" t="s">
        <v>2276</v>
      </c>
      <c r="T3170" s="21">
        <v>211841</v>
      </c>
      <c r="U3170" s="204" t="s">
        <v>2276</v>
      </c>
      <c r="V3170" s="21">
        <v>51.1</v>
      </c>
      <c r="W3170" s="204" t="s">
        <v>2276</v>
      </c>
      <c r="X3170" s="21">
        <v>51.1</v>
      </c>
      <c r="Y3170" s="204" t="s">
        <v>2276</v>
      </c>
      <c r="Z3170" s="204" t="s">
        <v>38</v>
      </c>
      <c r="AA3170" s="204" t="s">
        <v>127</v>
      </c>
      <c r="AB3170" s="204" t="s">
        <v>64</v>
      </c>
      <c r="AC3170" s="204" t="s">
        <v>8469</v>
      </c>
      <c r="AD3170" s="204"/>
    </row>
    <row r="3171" spans="1:30" ht="36.5" customHeight="1">
      <c r="A3171" s="19" t="s">
        <v>8484</v>
      </c>
      <c r="B3171" s="19" t="s">
        <v>8511</v>
      </c>
      <c r="C3171" s="204" t="s">
        <v>24</v>
      </c>
      <c r="D3171" s="204" t="s">
        <v>1131</v>
      </c>
      <c r="E3171" s="4" t="s">
        <v>396</v>
      </c>
      <c r="F3171" s="4" t="s">
        <v>28</v>
      </c>
      <c r="G3171" s="204" t="s">
        <v>2276</v>
      </c>
      <c r="H3171" s="204" t="s">
        <v>523</v>
      </c>
      <c r="I3171" s="204"/>
      <c r="J3171" s="204" t="s">
        <v>2276</v>
      </c>
      <c r="K3171" s="204" t="s">
        <v>2276</v>
      </c>
      <c r="L3171" s="204" t="s">
        <v>2276</v>
      </c>
      <c r="M3171" s="204" t="s">
        <v>2276</v>
      </c>
      <c r="N3171" s="204" t="s">
        <v>2276</v>
      </c>
      <c r="O3171" s="204" t="s">
        <v>2276</v>
      </c>
      <c r="P3171" s="204" t="s">
        <v>2276</v>
      </c>
      <c r="Q3171" s="204" t="s">
        <v>2276</v>
      </c>
      <c r="R3171" s="204" t="s">
        <v>2276</v>
      </c>
      <c r="S3171" s="204" t="s">
        <v>2276</v>
      </c>
      <c r="T3171" s="21">
        <v>262421</v>
      </c>
      <c r="U3171" s="204" t="s">
        <v>2276</v>
      </c>
      <c r="V3171" s="21">
        <v>50.1</v>
      </c>
      <c r="W3171" s="204" t="s">
        <v>2276</v>
      </c>
      <c r="X3171" s="21">
        <v>50.1</v>
      </c>
      <c r="Y3171" s="204" t="s">
        <v>2276</v>
      </c>
      <c r="Z3171" s="204" t="s">
        <v>38</v>
      </c>
      <c r="AA3171" s="204" t="s">
        <v>127</v>
      </c>
      <c r="AB3171" s="204" t="s">
        <v>64</v>
      </c>
      <c r="AC3171" s="204" t="s">
        <v>8469</v>
      </c>
      <c r="AD3171" s="204"/>
    </row>
    <row r="3172" spans="1:30" ht="36.5" customHeight="1">
      <c r="A3172" s="19" t="s">
        <v>8487</v>
      </c>
      <c r="B3172" s="19" t="s">
        <v>8512</v>
      </c>
      <c r="C3172" s="204" t="s">
        <v>24</v>
      </c>
      <c r="D3172" s="204" t="s">
        <v>1131</v>
      </c>
      <c r="E3172" s="4" t="s">
        <v>396</v>
      </c>
      <c r="F3172" s="4" t="s">
        <v>28</v>
      </c>
      <c r="G3172" s="204" t="s">
        <v>2276</v>
      </c>
      <c r="H3172" s="204" t="s">
        <v>523</v>
      </c>
      <c r="I3172" s="204"/>
      <c r="J3172" s="204" t="s">
        <v>2276</v>
      </c>
      <c r="K3172" s="204" t="s">
        <v>2276</v>
      </c>
      <c r="L3172" s="204" t="s">
        <v>2276</v>
      </c>
      <c r="M3172" s="204" t="s">
        <v>2276</v>
      </c>
      <c r="N3172" s="204" t="s">
        <v>2276</v>
      </c>
      <c r="O3172" s="204" t="s">
        <v>2276</v>
      </c>
      <c r="P3172" s="204" t="s">
        <v>2276</v>
      </c>
      <c r="Q3172" s="204" t="s">
        <v>2276</v>
      </c>
      <c r="R3172" s="204" t="s">
        <v>2276</v>
      </c>
      <c r="S3172" s="204" t="s">
        <v>2276</v>
      </c>
      <c r="T3172" s="21">
        <v>97408</v>
      </c>
      <c r="U3172" s="204" t="s">
        <v>2276</v>
      </c>
      <c r="V3172" s="21">
        <v>51.6</v>
      </c>
      <c r="W3172" s="204" t="s">
        <v>2276</v>
      </c>
      <c r="X3172" s="21">
        <v>51.6</v>
      </c>
      <c r="Y3172" s="204" t="s">
        <v>2276</v>
      </c>
      <c r="Z3172" s="204" t="s">
        <v>38</v>
      </c>
      <c r="AA3172" s="204" t="s">
        <v>127</v>
      </c>
      <c r="AB3172" s="204" t="s">
        <v>64</v>
      </c>
      <c r="AC3172" s="204" t="s">
        <v>8469</v>
      </c>
      <c r="AD3172" s="204"/>
    </row>
    <row r="3173" spans="1:30" ht="50.5" customHeight="1">
      <c r="A3173" s="19" t="s">
        <v>8472</v>
      </c>
      <c r="B3173" s="19" t="s">
        <v>8513</v>
      </c>
      <c r="C3173" s="204" t="s">
        <v>24</v>
      </c>
      <c r="D3173" s="204" t="s">
        <v>1131</v>
      </c>
      <c r="E3173" s="4" t="s">
        <v>84</v>
      </c>
      <c r="F3173" s="4" t="s">
        <v>28</v>
      </c>
      <c r="G3173" s="204" t="s">
        <v>2276</v>
      </c>
      <c r="H3173" s="204" t="s">
        <v>524</v>
      </c>
      <c r="I3173" s="204"/>
      <c r="J3173" s="21">
        <v>0</v>
      </c>
      <c r="K3173" s="21">
        <v>0</v>
      </c>
      <c r="L3173" s="21">
        <v>0</v>
      </c>
      <c r="M3173" s="21">
        <v>0</v>
      </c>
      <c r="N3173" s="21">
        <v>0</v>
      </c>
      <c r="O3173" s="21">
        <v>0</v>
      </c>
      <c r="P3173" s="21">
        <v>0</v>
      </c>
      <c r="Q3173" s="21">
        <v>0</v>
      </c>
      <c r="R3173" s="21">
        <v>0</v>
      </c>
      <c r="S3173" s="21">
        <v>0</v>
      </c>
      <c r="T3173" s="21">
        <v>0</v>
      </c>
      <c r="U3173" s="21">
        <v>0</v>
      </c>
      <c r="V3173" s="21">
        <v>0</v>
      </c>
      <c r="W3173" s="21">
        <v>0</v>
      </c>
      <c r="X3173" s="21">
        <v>0</v>
      </c>
      <c r="Y3173" s="204" t="s">
        <v>2276</v>
      </c>
      <c r="Z3173" s="204" t="s">
        <v>2276</v>
      </c>
      <c r="AA3173" s="204" t="s">
        <v>2276</v>
      </c>
      <c r="AB3173" s="204" t="s">
        <v>2276</v>
      </c>
      <c r="AC3173" s="4" t="s">
        <v>8524</v>
      </c>
      <c r="AD3173" s="204"/>
    </row>
    <row r="3174" spans="1:30" ht="50.5" customHeight="1">
      <c r="A3174" s="19" t="s">
        <v>8475</v>
      </c>
      <c r="B3174" s="19" t="s">
        <v>8514</v>
      </c>
      <c r="C3174" s="204" t="s">
        <v>24</v>
      </c>
      <c r="D3174" s="204" t="s">
        <v>1131</v>
      </c>
      <c r="E3174" s="4" t="s">
        <v>84</v>
      </c>
      <c r="F3174" s="4" t="s">
        <v>28</v>
      </c>
      <c r="G3174" s="204" t="s">
        <v>2276</v>
      </c>
      <c r="H3174" s="204" t="s">
        <v>524</v>
      </c>
      <c r="I3174" s="204"/>
      <c r="J3174" s="21">
        <v>0</v>
      </c>
      <c r="K3174" s="21">
        <v>0</v>
      </c>
      <c r="L3174" s="21">
        <v>0</v>
      </c>
      <c r="M3174" s="21">
        <v>0</v>
      </c>
      <c r="N3174" s="21">
        <v>0</v>
      </c>
      <c r="O3174" s="21">
        <v>0</v>
      </c>
      <c r="P3174" s="21">
        <v>0</v>
      </c>
      <c r="Q3174" s="21">
        <v>0</v>
      </c>
      <c r="R3174" s="21">
        <v>0</v>
      </c>
      <c r="S3174" s="21">
        <v>0</v>
      </c>
      <c r="T3174" s="21">
        <v>0</v>
      </c>
      <c r="U3174" s="21">
        <v>0</v>
      </c>
      <c r="V3174" s="21">
        <v>0</v>
      </c>
      <c r="W3174" s="21">
        <v>0</v>
      </c>
      <c r="X3174" s="21">
        <v>0</v>
      </c>
      <c r="Y3174" s="204" t="s">
        <v>2276</v>
      </c>
      <c r="Z3174" s="204" t="s">
        <v>2276</v>
      </c>
      <c r="AA3174" s="204" t="s">
        <v>2276</v>
      </c>
      <c r="AB3174" s="204" t="s">
        <v>2276</v>
      </c>
      <c r="AC3174" s="4" t="s">
        <v>8524</v>
      </c>
      <c r="AD3174" s="204"/>
    </row>
    <row r="3175" spans="1:30" ht="50.5" customHeight="1">
      <c r="A3175" s="19" t="s">
        <v>8476</v>
      </c>
      <c r="B3175" s="19" t="s">
        <v>8515</v>
      </c>
      <c r="C3175" s="204" t="s">
        <v>24</v>
      </c>
      <c r="D3175" s="204" t="s">
        <v>1131</v>
      </c>
      <c r="E3175" s="4" t="s">
        <v>84</v>
      </c>
      <c r="F3175" s="4" t="s">
        <v>28</v>
      </c>
      <c r="G3175" s="204" t="s">
        <v>2276</v>
      </c>
      <c r="H3175" s="204" t="s">
        <v>524</v>
      </c>
      <c r="I3175" s="204"/>
      <c r="J3175" s="21">
        <v>0</v>
      </c>
      <c r="K3175" s="21">
        <v>0</v>
      </c>
      <c r="L3175" s="21">
        <v>0</v>
      </c>
      <c r="M3175" s="21">
        <v>0</v>
      </c>
      <c r="N3175" s="21">
        <v>0</v>
      </c>
      <c r="O3175" s="21">
        <v>0</v>
      </c>
      <c r="P3175" s="21">
        <v>0</v>
      </c>
      <c r="Q3175" s="21">
        <v>0</v>
      </c>
      <c r="R3175" s="21">
        <v>0</v>
      </c>
      <c r="S3175" s="21">
        <v>0</v>
      </c>
      <c r="T3175" s="21">
        <v>0</v>
      </c>
      <c r="U3175" s="21">
        <v>0</v>
      </c>
      <c r="V3175" s="21">
        <v>0</v>
      </c>
      <c r="W3175" s="21">
        <v>0</v>
      </c>
      <c r="X3175" s="21">
        <v>0</v>
      </c>
      <c r="Y3175" s="204" t="s">
        <v>2276</v>
      </c>
      <c r="Z3175" s="204" t="s">
        <v>2276</v>
      </c>
      <c r="AA3175" s="204" t="s">
        <v>2276</v>
      </c>
      <c r="AB3175" s="204" t="s">
        <v>2276</v>
      </c>
      <c r="AC3175" s="4" t="s">
        <v>8524</v>
      </c>
      <c r="AD3175" s="204"/>
    </row>
    <row r="3176" spans="1:30" ht="50.5" customHeight="1">
      <c r="A3176" s="19" t="s">
        <v>8477</v>
      </c>
      <c r="B3176" s="19" t="s">
        <v>8516</v>
      </c>
      <c r="C3176" s="204" t="s">
        <v>24</v>
      </c>
      <c r="D3176" s="204" t="s">
        <v>1131</v>
      </c>
      <c r="E3176" s="4" t="s">
        <v>84</v>
      </c>
      <c r="F3176" s="4" t="s">
        <v>28</v>
      </c>
      <c r="G3176" s="204" t="s">
        <v>2276</v>
      </c>
      <c r="H3176" s="204" t="s">
        <v>524</v>
      </c>
      <c r="I3176" s="204"/>
      <c r="J3176" s="21">
        <v>0</v>
      </c>
      <c r="K3176" s="21">
        <v>0</v>
      </c>
      <c r="L3176" s="21">
        <v>0</v>
      </c>
      <c r="M3176" s="21">
        <v>0</v>
      </c>
      <c r="N3176" s="21">
        <v>0</v>
      </c>
      <c r="O3176" s="21">
        <v>0</v>
      </c>
      <c r="P3176" s="21">
        <v>0</v>
      </c>
      <c r="Q3176" s="21">
        <v>0</v>
      </c>
      <c r="R3176" s="21">
        <v>0</v>
      </c>
      <c r="S3176" s="21">
        <v>0</v>
      </c>
      <c r="T3176" s="21">
        <v>0</v>
      </c>
      <c r="U3176" s="21">
        <v>0</v>
      </c>
      <c r="V3176" s="21">
        <v>0</v>
      </c>
      <c r="W3176" s="21">
        <v>0</v>
      </c>
      <c r="X3176" s="21">
        <v>0</v>
      </c>
      <c r="Y3176" s="204" t="s">
        <v>2276</v>
      </c>
      <c r="Z3176" s="204" t="s">
        <v>2276</v>
      </c>
      <c r="AA3176" s="204" t="s">
        <v>2276</v>
      </c>
      <c r="AB3176" s="204" t="s">
        <v>2276</v>
      </c>
      <c r="AC3176" s="4" t="s">
        <v>8524</v>
      </c>
      <c r="AD3176" s="204"/>
    </row>
    <row r="3177" spans="1:30" ht="50.5" customHeight="1">
      <c r="A3177" s="19" t="s">
        <v>8478</v>
      </c>
      <c r="B3177" s="19" t="s">
        <v>8517</v>
      </c>
      <c r="C3177" s="204" t="s">
        <v>24</v>
      </c>
      <c r="D3177" s="204" t="s">
        <v>1131</v>
      </c>
      <c r="E3177" s="4" t="s">
        <v>84</v>
      </c>
      <c r="F3177" s="4" t="s">
        <v>28</v>
      </c>
      <c r="G3177" s="204" t="s">
        <v>2276</v>
      </c>
      <c r="H3177" s="204" t="s">
        <v>524</v>
      </c>
      <c r="I3177" s="204"/>
      <c r="J3177" s="21">
        <v>0</v>
      </c>
      <c r="K3177" s="21">
        <v>0</v>
      </c>
      <c r="L3177" s="21">
        <v>0</v>
      </c>
      <c r="M3177" s="21">
        <v>0</v>
      </c>
      <c r="N3177" s="21">
        <v>0</v>
      </c>
      <c r="O3177" s="21">
        <v>0</v>
      </c>
      <c r="P3177" s="21">
        <v>0</v>
      </c>
      <c r="Q3177" s="21">
        <v>0</v>
      </c>
      <c r="R3177" s="21">
        <v>0</v>
      </c>
      <c r="S3177" s="21">
        <v>0</v>
      </c>
      <c r="T3177" s="21">
        <v>0</v>
      </c>
      <c r="U3177" s="21">
        <v>0</v>
      </c>
      <c r="V3177" s="21">
        <v>0</v>
      </c>
      <c r="W3177" s="21">
        <v>0</v>
      </c>
      <c r="X3177" s="21">
        <v>0</v>
      </c>
      <c r="Y3177" s="204" t="s">
        <v>2276</v>
      </c>
      <c r="Z3177" s="204" t="s">
        <v>2276</v>
      </c>
      <c r="AA3177" s="204" t="s">
        <v>2276</v>
      </c>
      <c r="AB3177" s="204" t="s">
        <v>2276</v>
      </c>
      <c r="AC3177" s="4" t="s">
        <v>8524</v>
      </c>
      <c r="AD3177" s="204"/>
    </row>
    <row r="3178" spans="1:30" ht="50.5" customHeight="1">
      <c r="A3178" s="19" t="s">
        <v>8479</v>
      </c>
      <c r="B3178" s="19" t="s">
        <v>8518</v>
      </c>
      <c r="C3178" s="204" t="s">
        <v>24</v>
      </c>
      <c r="D3178" s="204" t="s">
        <v>1131</v>
      </c>
      <c r="E3178" s="4" t="s">
        <v>84</v>
      </c>
      <c r="F3178" s="4" t="s">
        <v>28</v>
      </c>
      <c r="G3178" s="204" t="s">
        <v>2276</v>
      </c>
      <c r="H3178" s="204" t="s">
        <v>524</v>
      </c>
      <c r="I3178" s="204"/>
      <c r="J3178" s="21">
        <v>0</v>
      </c>
      <c r="K3178" s="21">
        <v>0</v>
      </c>
      <c r="L3178" s="21">
        <v>0</v>
      </c>
      <c r="M3178" s="21">
        <v>0</v>
      </c>
      <c r="N3178" s="21">
        <v>0</v>
      </c>
      <c r="O3178" s="21">
        <v>0</v>
      </c>
      <c r="P3178" s="21">
        <v>0</v>
      </c>
      <c r="Q3178" s="21">
        <v>0</v>
      </c>
      <c r="R3178" s="21">
        <v>0</v>
      </c>
      <c r="S3178" s="21">
        <v>0</v>
      </c>
      <c r="T3178" s="21">
        <v>0</v>
      </c>
      <c r="U3178" s="21">
        <v>0</v>
      </c>
      <c r="V3178" s="21">
        <v>0</v>
      </c>
      <c r="W3178" s="21">
        <v>0</v>
      </c>
      <c r="X3178" s="21">
        <v>0</v>
      </c>
      <c r="Y3178" s="204" t="s">
        <v>2276</v>
      </c>
      <c r="Z3178" s="204" t="s">
        <v>2276</v>
      </c>
      <c r="AA3178" s="204" t="s">
        <v>2276</v>
      </c>
      <c r="AB3178" s="204" t="s">
        <v>2276</v>
      </c>
      <c r="AC3178" s="4" t="s">
        <v>8524</v>
      </c>
      <c r="AD3178" s="204"/>
    </row>
    <row r="3179" spans="1:30" ht="50.5" customHeight="1">
      <c r="A3179" s="19" t="s">
        <v>8480</v>
      </c>
      <c r="B3179" s="19" t="s">
        <v>8519</v>
      </c>
      <c r="C3179" s="204" t="s">
        <v>24</v>
      </c>
      <c r="D3179" s="204" t="s">
        <v>1131</v>
      </c>
      <c r="E3179" s="4" t="s">
        <v>84</v>
      </c>
      <c r="F3179" s="4" t="s">
        <v>28</v>
      </c>
      <c r="G3179" s="204" t="s">
        <v>2276</v>
      </c>
      <c r="H3179" s="204" t="s">
        <v>524</v>
      </c>
      <c r="I3179" s="204"/>
      <c r="J3179" s="21">
        <v>0</v>
      </c>
      <c r="K3179" s="21">
        <v>0</v>
      </c>
      <c r="L3179" s="21">
        <v>0</v>
      </c>
      <c r="M3179" s="21">
        <v>0</v>
      </c>
      <c r="N3179" s="21">
        <v>0</v>
      </c>
      <c r="O3179" s="21">
        <v>0</v>
      </c>
      <c r="P3179" s="21">
        <v>0</v>
      </c>
      <c r="Q3179" s="21">
        <v>0</v>
      </c>
      <c r="R3179" s="21">
        <v>0</v>
      </c>
      <c r="S3179" s="21">
        <v>0</v>
      </c>
      <c r="T3179" s="21">
        <v>0</v>
      </c>
      <c r="U3179" s="21">
        <v>0</v>
      </c>
      <c r="V3179" s="21">
        <v>0</v>
      </c>
      <c r="W3179" s="21">
        <v>0</v>
      </c>
      <c r="X3179" s="21">
        <v>0</v>
      </c>
      <c r="Y3179" s="204" t="s">
        <v>2276</v>
      </c>
      <c r="Z3179" s="204" t="s">
        <v>2276</v>
      </c>
      <c r="AA3179" s="204" t="s">
        <v>2276</v>
      </c>
      <c r="AB3179" s="204" t="s">
        <v>2276</v>
      </c>
      <c r="AC3179" s="4" t="s">
        <v>8524</v>
      </c>
      <c r="AD3179" s="204"/>
    </row>
    <row r="3180" spans="1:30" ht="50.5" customHeight="1">
      <c r="A3180" s="19" t="s">
        <v>8481</v>
      </c>
      <c r="B3180" s="19" t="s">
        <v>8520</v>
      </c>
      <c r="C3180" s="204" t="s">
        <v>24</v>
      </c>
      <c r="D3180" s="204" t="s">
        <v>1131</v>
      </c>
      <c r="E3180" s="4" t="s">
        <v>84</v>
      </c>
      <c r="F3180" s="4" t="s">
        <v>28</v>
      </c>
      <c r="G3180" s="204" t="s">
        <v>2276</v>
      </c>
      <c r="H3180" s="204" t="s">
        <v>524</v>
      </c>
      <c r="I3180" s="204"/>
      <c r="J3180" s="21">
        <v>0</v>
      </c>
      <c r="K3180" s="21">
        <v>0</v>
      </c>
      <c r="L3180" s="21">
        <v>0</v>
      </c>
      <c r="M3180" s="21">
        <v>0</v>
      </c>
      <c r="N3180" s="21">
        <v>0</v>
      </c>
      <c r="O3180" s="21">
        <v>0</v>
      </c>
      <c r="P3180" s="21">
        <v>0</v>
      </c>
      <c r="Q3180" s="21">
        <v>0</v>
      </c>
      <c r="R3180" s="21">
        <v>0</v>
      </c>
      <c r="S3180" s="21">
        <v>0</v>
      </c>
      <c r="T3180" s="21">
        <v>0</v>
      </c>
      <c r="U3180" s="21">
        <v>0</v>
      </c>
      <c r="V3180" s="21">
        <v>0</v>
      </c>
      <c r="W3180" s="21">
        <v>0</v>
      </c>
      <c r="X3180" s="21">
        <v>0</v>
      </c>
      <c r="Y3180" s="204" t="s">
        <v>2276</v>
      </c>
      <c r="Z3180" s="204" t="s">
        <v>2276</v>
      </c>
      <c r="AA3180" s="204" t="s">
        <v>2276</v>
      </c>
      <c r="AB3180" s="204" t="s">
        <v>2276</v>
      </c>
      <c r="AC3180" s="4" t="s">
        <v>8524</v>
      </c>
      <c r="AD3180" s="204"/>
    </row>
    <row r="3181" spans="1:30" ht="50.5" customHeight="1">
      <c r="A3181" s="19" t="s">
        <v>8483</v>
      </c>
      <c r="B3181" s="19" t="s">
        <v>8521</v>
      </c>
      <c r="C3181" s="204" t="s">
        <v>24</v>
      </c>
      <c r="D3181" s="204" t="s">
        <v>1131</v>
      </c>
      <c r="E3181" s="4" t="s">
        <v>84</v>
      </c>
      <c r="F3181" s="4" t="s">
        <v>28</v>
      </c>
      <c r="G3181" s="204" t="s">
        <v>2276</v>
      </c>
      <c r="H3181" s="204" t="s">
        <v>524</v>
      </c>
      <c r="I3181" s="204"/>
      <c r="J3181" s="21">
        <v>0</v>
      </c>
      <c r="K3181" s="21">
        <v>0</v>
      </c>
      <c r="L3181" s="21">
        <v>0</v>
      </c>
      <c r="M3181" s="21">
        <v>0</v>
      </c>
      <c r="N3181" s="21">
        <v>0</v>
      </c>
      <c r="O3181" s="21">
        <v>0</v>
      </c>
      <c r="P3181" s="21">
        <v>0</v>
      </c>
      <c r="Q3181" s="21">
        <v>0</v>
      </c>
      <c r="R3181" s="21">
        <v>0</v>
      </c>
      <c r="S3181" s="21">
        <v>0</v>
      </c>
      <c r="T3181" s="21">
        <v>0</v>
      </c>
      <c r="U3181" s="21">
        <v>0</v>
      </c>
      <c r="V3181" s="21">
        <v>0</v>
      </c>
      <c r="W3181" s="21">
        <v>0</v>
      </c>
      <c r="X3181" s="21">
        <v>0</v>
      </c>
      <c r="Y3181" s="204" t="s">
        <v>2276</v>
      </c>
      <c r="Z3181" s="204" t="s">
        <v>2276</v>
      </c>
      <c r="AA3181" s="204" t="s">
        <v>2276</v>
      </c>
      <c r="AB3181" s="204" t="s">
        <v>2276</v>
      </c>
      <c r="AC3181" s="4" t="s">
        <v>8524</v>
      </c>
      <c r="AD3181" s="204"/>
    </row>
    <row r="3182" spans="1:30" ht="50.5" customHeight="1">
      <c r="A3182" s="19" t="s">
        <v>8484</v>
      </c>
      <c r="B3182" s="19" t="s">
        <v>8522</v>
      </c>
      <c r="C3182" s="204" t="s">
        <v>24</v>
      </c>
      <c r="D3182" s="204" t="s">
        <v>1131</v>
      </c>
      <c r="E3182" s="4" t="s">
        <v>84</v>
      </c>
      <c r="F3182" s="4" t="s">
        <v>28</v>
      </c>
      <c r="G3182" s="204" t="s">
        <v>2276</v>
      </c>
      <c r="H3182" s="204" t="s">
        <v>524</v>
      </c>
      <c r="I3182" s="204"/>
      <c r="J3182" s="21">
        <v>0</v>
      </c>
      <c r="K3182" s="21">
        <v>0</v>
      </c>
      <c r="L3182" s="21">
        <v>0</v>
      </c>
      <c r="M3182" s="21">
        <v>0</v>
      </c>
      <c r="N3182" s="21">
        <v>0</v>
      </c>
      <c r="O3182" s="21">
        <v>0</v>
      </c>
      <c r="P3182" s="21">
        <v>0</v>
      </c>
      <c r="Q3182" s="21">
        <v>0</v>
      </c>
      <c r="R3182" s="21">
        <v>0</v>
      </c>
      <c r="S3182" s="21">
        <v>0</v>
      </c>
      <c r="T3182" s="21">
        <v>0</v>
      </c>
      <c r="U3182" s="21">
        <v>0</v>
      </c>
      <c r="V3182" s="21">
        <v>0</v>
      </c>
      <c r="W3182" s="21">
        <v>0</v>
      </c>
      <c r="X3182" s="21">
        <v>0</v>
      </c>
      <c r="Y3182" s="204" t="s">
        <v>2276</v>
      </c>
      <c r="Z3182" s="204" t="s">
        <v>2276</v>
      </c>
      <c r="AA3182" s="204" t="s">
        <v>2276</v>
      </c>
      <c r="AB3182" s="204" t="s">
        <v>2276</v>
      </c>
      <c r="AC3182" s="4" t="s">
        <v>8524</v>
      </c>
      <c r="AD3182" s="204"/>
    </row>
    <row r="3183" spans="1:30" ht="50.5" customHeight="1">
      <c r="A3183" s="19" t="s">
        <v>8487</v>
      </c>
      <c r="B3183" s="19" t="s">
        <v>8523</v>
      </c>
      <c r="C3183" s="204" t="s">
        <v>24</v>
      </c>
      <c r="D3183" s="204" t="s">
        <v>1131</v>
      </c>
      <c r="E3183" s="4" t="s">
        <v>84</v>
      </c>
      <c r="F3183" s="4" t="s">
        <v>28</v>
      </c>
      <c r="G3183" s="204" t="s">
        <v>2276</v>
      </c>
      <c r="H3183" s="204" t="s">
        <v>524</v>
      </c>
      <c r="I3183" s="204"/>
      <c r="J3183" s="21">
        <v>0</v>
      </c>
      <c r="K3183" s="21">
        <v>0</v>
      </c>
      <c r="L3183" s="21">
        <v>0</v>
      </c>
      <c r="M3183" s="21">
        <v>0</v>
      </c>
      <c r="N3183" s="21">
        <v>0</v>
      </c>
      <c r="O3183" s="21">
        <v>0</v>
      </c>
      <c r="P3183" s="21">
        <v>0</v>
      </c>
      <c r="Q3183" s="21">
        <v>0</v>
      </c>
      <c r="R3183" s="21">
        <v>0</v>
      </c>
      <c r="S3183" s="21">
        <v>0</v>
      </c>
      <c r="T3183" s="21">
        <v>0</v>
      </c>
      <c r="U3183" s="21">
        <v>0</v>
      </c>
      <c r="V3183" s="21">
        <v>0</v>
      </c>
      <c r="W3183" s="21">
        <v>0</v>
      </c>
      <c r="X3183" s="21">
        <v>0</v>
      </c>
      <c r="Y3183" s="204" t="s">
        <v>2276</v>
      </c>
      <c r="Z3183" s="204" t="s">
        <v>2276</v>
      </c>
      <c r="AA3183" s="204" t="s">
        <v>2276</v>
      </c>
      <c r="AB3183" s="204" t="s">
        <v>2276</v>
      </c>
      <c r="AC3183" s="4" t="s">
        <v>8524</v>
      </c>
      <c r="AD3183" s="204"/>
    </row>
    <row r="3184" spans="1:30" ht="36.5" customHeight="1">
      <c r="A3184" s="19" t="s">
        <v>8487</v>
      </c>
      <c r="B3184" s="19" t="s">
        <v>8512</v>
      </c>
      <c r="C3184" s="204" t="s">
        <v>24</v>
      </c>
      <c r="D3184" s="204" t="s">
        <v>1131</v>
      </c>
      <c r="E3184" s="4" t="s">
        <v>396</v>
      </c>
      <c r="F3184" s="4" t="s">
        <v>28</v>
      </c>
      <c r="G3184" s="204" t="s">
        <v>2276</v>
      </c>
      <c r="H3184" s="204" t="s">
        <v>523</v>
      </c>
      <c r="I3184" s="204"/>
      <c r="J3184" s="204" t="s">
        <v>2276</v>
      </c>
      <c r="K3184" s="204" t="s">
        <v>2276</v>
      </c>
      <c r="L3184" s="204" t="s">
        <v>2276</v>
      </c>
      <c r="M3184" s="204" t="s">
        <v>2276</v>
      </c>
      <c r="N3184" s="204" t="s">
        <v>2276</v>
      </c>
      <c r="O3184" s="204" t="s">
        <v>2276</v>
      </c>
      <c r="P3184" s="204" t="s">
        <v>2276</v>
      </c>
      <c r="Q3184" s="204" t="s">
        <v>2276</v>
      </c>
      <c r="R3184" s="204" t="s">
        <v>2276</v>
      </c>
      <c r="S3184" s="204" t="s">
        <v>2276</v>
      </c>
      <c r="T3184" s="21">
        <v>2150000</v>
      </c>
      <c r="U3184" s="204" t="s">
        <v>2276</v>
      </c>
      <c r="V3184" s="21">
        <f>100*T3184/3240000</f>
        <v>66.358024691358025</v>
      </c>
      <c r="W3184" s="204" t="s">
        <v>2276</v>
      </c>
      <c r="X3184" s="21">
        <f>V3184</f>
        <v>66.358024691358025</v>
      </c>
      <c r="Y3184" s="204" t="s">
        <v>2276</v>
      </c>
      <c r="Z3184" s="204" t="s">
        <v>38</v>
      </c>
      <c r="AA3184" s="204" t="s">
        <v>127</v>
      </c>
      <c r="AB3184" s="204" t="s">
        <v>64</v>
      </c>
      <c r="AC3184" s="204" t="s">
        <v>8469</v>
      </c>
      <c r="AD3184" s="204"/>
    </row>
    <row r="3185" spans="1:30" ht="51.5" customHeight="1">
      <c r="A3185" s="19" t="s">
        <v>8487</v>
      </c>
      <c r="B3185" s="19" t="s">
        <v>8523</v>
      </c>
      <c r="C3185" s="204" t="s">
        <v>24</v>
      </c>
      <c r="D3185" s="204" t="s">
        <v>1131</v>
      </c>
      <c r="E3185" s="4" t="s">
        <v>84</v>
      </c>
      <c r="F3185" s="4" t="s">
        <v>28</v>
      </c>
      <c r="G3185" s="204" t="s">
        <v>2276</v>
      </c>
      <c r="H3185" s="204" t="s">
        <v>524</v>
      </c>
      <c r="I3185" s="204"/>
      <c r="J3185" s="21">
        <v>0</v>
      </c>
      <c r="K3185" s="21">
        <v>0</v>
      </c>
      <c r="L3185" s="21">
        <v>0</v>
      </c>
      <c r="M3185" s="21">
        <v>0</v>
      </c>
      <c r="N3185" s="21">
        <v>0</v>
      </c>
      <c r="O3185" s="21">
        <v>0</v>
      </c>
      <c r="P3185" s="21">
        <v>0</v>
      </c>
      <c r="Q3185" s="21">
        <v>0</v>
      </c>
      <c r="R3185" s="21">
        <v>0</v>
      </c>
      <c r="S3185" s="21">
        <v>0</v>
      </c>
      <c r="T3185" s="21">
        <v>0</v>
      </c>
      <c r="U3185" s="21">
        <v>0</v>
      </c>
      <c r="V3185" s="21">
        <v>0</v>
      </c>
      <c r="W3185" s="21">
        <v>0</v>
      </c>
      <c r="X3185" s="21">
        <v>0</v>
      </c>
      <c r="Y3185" s="204" t="s">
        <v>2276</v>
      </c>
      <c r="Z3185" s="204" t="s">
        <v>2276</v>
      </c>
      <c r="AA3185" s="204" t="s">
        <v>2276</v>
      </c>
      <c r="AB3185" s="204" t="s">
        <v>2276</v>
      </c>
      <c r="AC3185" s="4" t="s">
        <v>8524</v>
      </c>
      <c r="AD3185" s="204"/>
    </row>
    <row r="3186" spans="1:30" ht="30" customHeight="1">
      <c r="A3186" s="19" t="s">
        <v>8527</v>
      </c>
      <c r="B3186" s="19" t="s">
        <v>8529</v>
      </c>
      <c r="C3186" s="204" t="s">
        <v>24</v>
      </c>
      <c r="D3186" s="204" t="s">
        <v>2659</v>
      </c>
      <c r="E3186" s="4" t="s">
        <v>397</v>
      </c>
      <c r="F3186" s="4" t="s">
        <v>28</v>
      </c>
      <c r="G3186" s="204" t="s">
        <v>2276</v>
      </c>
      <c r="H3186" s="204" t="s">
        <v>523</v>
      </c>
      <c r="I3186" s="204"/>
      <c r="J3186" s="204" t="s">
        <v>2276</v>
      </c>
      <c r="K3186" s="204" t="s">
        <v>2276</v>
      </c>
      <c r="L3186" s="204" t="s">
        <v>2276</v>
      </c>
      <c r="M3186" s="204" t="s">
        <v>2276</v>
      </c>
      <c r="N3186" s="204" t="s">
        <v>2276</v>
      </c>
      <c r="O3186" s="204" t="s">
        <v>2276</v>
      </c>
      <c r="P3186" s="204" t="s">
        <v>2276</v>
      </c>
      <c r="Q3186" s="204" t="s">
        <v>2276</v>
      </c>
      <c r="R3186" s="204" t="s">
        <v>2276</v>
      </c>
      <c r="S3186" s="204" t="s">
        <v>2276</v>
      </c>
      <c r="T3186" s="204" t="s">
        <v>2276</v>
      </c>
      <c r="U3186" s="204" t="s">
        <v>2276</v>
      </c>
      <c r="V3186" s="204" t="s">
        <v>2276</v>
      </c>
      <c r="W3186" s="204" t="s">
        <v>2276</v>
      </c>
      <c r="X3186" s="204" t="s">
        <v>2276</v>
      </c>
      <c r="Y3186" s="204" t="s">
        <v>2276</v>
      </c>
      <c r="Z3186" s="204" t="s">
        <v>2276</v>
      </c>
      <c r="AA3186" s="204" t="s">
        <v>2276</v>
      </c>
      <c r="AB3186" s="204" t="s">
        <v>2276</v>
      </c>
      <c r="AC3186" s="204"/>
      <c r="AD3186" s="204"/>
    </row>
    <row r="3187" spans="1:30" ht="32.5" customHeight="1">
      <c r="A3187" s="19" t="s">
        <v>8527</v>
      </c>
      <c r="B3187" s="19" t="s">
        <v>8530</v>
      </c>
      <c r="C3187" s="204" t="s">
        <v>24</v>
      </c>
      <c r="D3187" s="204" t="s">
        <v>2659</v>
      </c>
      <c r="E3187" s="4" t="s">
        <v>396</v>
      </c>
      <c r="F3187" s="4" t="s">
        <v>28</v>
      </c>
      <c r="G3187" s="204" t="s">
        <v>2276</v>
      </c>
      <c r="H3187" s="204" t="s">
        <v>523</v>
      </c>
      <c r="I3187" s="204"/>
      <c r="J3187" s="204" t="s">
        <v>2276</v>
      </c>
      <c r="K3187" s="204" t="s">
        <v>2276</v>
      </c>
      <c r="L3187" s="204" t="s">
        <v>2276</v>
      </c>
      <c r="M3187" s="204" t="s">
        <v>2276</v>
      </c>
      <c r="N3187" s="204" t="s">
        <v>2276</v>
      </c>
      <c r="O3187" s="204" t="s">
        <v>2276</v>
      </c>
      <c r="P3187" s="204" t="s">
        <v>2276</v>
      </c>
      <c r="Q3187" s="204" t="s">
        <v>2276</v>
      </c>
      <c r="R3187" s="204" t="s">
        <v>2276</v>
      </c>
      <c r="S3187" s="204" t="s">
        <v>2276</v>
      </c>
      <c r="T3187" s="204" t="s">
        <v>2276</v>
      </c>
      <c r="U3187" s="204" t="s">
        <v>2276</v>
      </c>
      <c r="V3187" s="204" t="s">
        <v>2276</v>
      </c>
      <c r="W3187" s="204" t="s">
        <v>2276</v>
      </c>
      <c r="X3187" s="204" t="s">
        <v>2276</v>
      </c>
      <c r="Y3187" s="204" t="s">
        <v>2276</v>
      </c>
      <c r="Z3187" s="204" t="s">
        <v>2276</v>
      </c>
      <c r="AA3187" s="204" t="s">
        <v>2276</v>
      </c>
      <c r="AB3187" s="204" t="s">
        <v>2276</v>
      </c>
      <c r="AC3187" s="204"/>
      <c r="AD3187" s="204"/>
    </row>
    <row r="3188" spans="1:30" ht="42.5" customHeight="1">
      <c r="A3188" s="19" t="s">
        <v>8537</v>
      </c>
      <c r="B3188" s="19" t="s">
        <v>8538</v>
      </c>
      <c r="C3188" s="204" t="s">
        <v>24</v>
      </c>
      <c r="D3188" s="204" t="s">
        <v>2659</v>
      </c>
      <c r="E3188" s="4" t="s">
        <v>396</v>
      </c>
      <c r="F3188" s="4" t="s">
        <v>28</v>
      </c>
      <c r="G3188" s="204" t="s">
        <v>2276</v>
      </c>
      <c r="H3188" s="204" t="s">
        <v>524</v>
      </c>
      <c r="I3188" s="204"/>
      <c r="J3188" s="21">
        <v>0</v>
      </c>
      <c r="K3188" s="21">
        <v>0</v>
      </c>
      <c r="L3188" s="21">
        <v>0</v>
      </c>
      <c r="M3188" s="21">
        <v>0</v>
      </c>
      <c r="N3188" s="21">
        <v>0</v>
      </c>
      <c r="O3188" s="21">
        <v>0</v>
      </c>
      <c r="P3188" s="21">
        <v>0</v>
      </c>
      <c r="Q3188" s="21">
        <v>0</v>
      </c>
      <c r="R3188" s="21">
        <v>0</v>
      </c>
      <c r="S3188" s="21">
        <v>0</v>
      </c>
      <c r="T3188" s="21">
        <v>0</v>
      </c>
      <c r="U3188" s="21">
        <v>0</v>
      </c>
      <c r="V3188" s="21">
        <v>0</v>
      </c>
      <c r="W3188" s="21">
        <v>0</v>
      </c>
      <c r="X3188" s="21">
        <v>0</v>
      </c>
      <c r="Y3188" s="204" t="s">
        <v>2276</v>
      </c>
      <c r="Z3188" s="204" t="s">
        <v>2276</v>
      </c>
      <c r="AA3188" s="204" t="s">
        <v>2276</v>
      </c>
      <c r="AB3188" s="204" t="s">
        <v>2276</v>
      </c>
      <c r="AC3188" s="204"/>
      <c r="AD3188" s="204"/>
    </row>
    <row r="3189" spans="1:30" ht="37" customHeight="1">
      <c r="A3189" s="19" t="s">
        <v>8537</v>
      </c>
      <c r="B3189" s="55" t="s">
        <v>8539</v>
      </c>
      <c r="C3189" s="38" t="s">
        <v>24</v>
      </c>
      <c r="D3189" s="38" t="s">
        <v>2659</v>
      </c>
      <c r="E3189" s="168" t="s">
        <v>84</v>
      </c>
      <c r="F3189" s="4" t="s">
        <v>28</v>
      </c>
      <c r="G3189" s="204" t="s">
        <v>2276</v>
      </c>
      <c r="H3189" s="204" t="s">
        <v>524</v>
      </c>
      <c r="I3189" s="204"/>
      <c r="J3189" s="21">
        <v>0</v>
      </c>
      <c r="K3189" s="21">
        <v>0</v>
      </c>
      <c r="L3189" s="21">
        <v>0</v>
      </c>
      <c r="M3189" s="21">
        <v>0</v>
      </c>
      <c r="N3189" s="21">
        <v>0</v>
      </c>
      <c r="O3189" s="21">
        <v>0</v>
      </c>
      <c r="P3189" s="21">
        <v>0</v>
      </c>
      <c r="Q3189" s="21">
        <v>0</v>
      </c>
      <c r="R3189" s="21">
        <v>0</v>
      </c>
      <c r="S3189" s="21">
        <v>0</v>
      </c>
      <c r="T3189" s="21">
        <v>0</v>
      </c>
      <c r="U3189" s="21">
        <v>0</v>
      </c>
      <c r="V3189" s="21">
        <v>0</v>
      </c>
      <c r="W3189" s="21">
        <v>0</v>
      </c>
      <c r="X3189" s="21">
        <v>0</v>
      </c>
      <c r="Y3189" s="204" t="s">
        <v>2276</v>
      </c>
      <c r="Z3189" s="204" t="s">
        <v>2276</v>
      </c>
      <c r="AA3189" s="204" t="s">
        <v>2276</v>
      </c>
      <c r="AB3189" s="204" t="s">
        <v>2276</v>
      </c>
      <c r="AC3189" s="38"/>
      <c r="AD3189" s="38"/>
    </row>
    <row r="3190" spans="1:30" ht="35.5" customHeight="1">
      <c r="A3190" s="19" t="s">
        <v>8541</v>
      </c>
      <c r="B3190" s="19" t="s">
        <v>8543</v>
      </c>
      <c r="C3190" s="204" t="s">
        <v>24</v>
      </c>
      <c r="D3190" s="204" t="s">
        <v>2659</v>
      </c>
      <c r="E3190" s="4" t="s">
        <v>84</v>
      </c>
      <c r="F3190" s="4" t="s">
        <v>28</v>
      </c>
      <c r="G3190" s="204" t="s">
        <v>2276</v>
      </c>
      <c r="H3190" s="204" t="s">
        <v>524</v>
      </c>
      <c r="I3190" s="204"/>
      <c r="J3190" s="21">
        <v>0</v>
      </c>
      <c r="K3190" s="21">
        <v>0</v>
      </c>
      <c r="L3190" s="21">
        <v>0</v>
      </c>
      <c r="M3190" s="21">
        <v>0</v>
      </c>
      <c r="N3190" s="21">
        <v>0</v>
      </c>
      <c r="O3190" s="21">
        <v>0</v>
      </c>
      <c r="P3190" s="21">
        <v>0</v>
      </c>
      <c r="Q3190" s="21">
        <v>0</v>
      </c>
      <c r="R3190" s="21">
        <v>0</v>
      </c>
      <c r="S3190" s="21">
        <v>0</v>
      </c>
      <c r="T3190" s="21">
        <v>0</v>
      </c>
      <c r="U3190" s="21">
        <v>0</v>
      </c>
      <c r="V3190" s="21">
        <v>0</v>
      </c>
      <c r="W3190" s="21">
        <v>0</v>
      </c>
      <c r="X3190" s="21">
        <v>0</v>
      </c>
      <c r="Y3190" s="204" t="s">
        <v>2276</v>
      </c>
      <c r="Z3190" s="204" t="s">
        <v>2276</v>
      </c>
      <c r="AA3190" s="204" t="s">
        <v>2276</v>
      </c>
      <c r="AB3190" s="204" t="s">
        <v>2276</v>
      </c>
      <c r="AC3190" s="204"/>
      <c r="AD3190" s="204"/>
    </row>
    <row r="3191" spans="1:30" ht="30" customHeight="1">
      <c r="A3191" s="19" t="s">
        <v>8541</v>
      </c>
      <c r="B3191" s="19" t="s">
        <v>8544</v>
      </c>
      <c r="C3191" s="204" t="s">
        <v>31</v>
      </c>
      <c r="D3191" s="204" t="s">
        <v>2659</v>
      </c>
      <c r="E3191" s="4" t="s">
        <v>84</v>
      </c>
      <c r="F3191" s="4" t="s">
        <v>28</v>
      </c>
      <c r="G3191" s="204" t="s">
        <v>2276</v>
      </c>
      <c r="H3191" s="204" t="s">
        <v>523</v>
      </c>
      <c r="I3191" s="204"/>
      <c r="J3191" s="204" t="s">
        <v>2276</v>
      </c>
      <c r="K3191" s="204" t="s">
        <v>2276</v>
      </c>
      <c r="L3191" s="204" t="s">
        <v>2276</v>
      </c>
      <c r="M3191" s="204" t="s">
        <v>2276</v>
      </c>
      <c r="N3191" s="204" t="s">
        <v>2276</v>
      </c>
      <c r="O3191" s="204" t="s">
        <v>2276</v>
      </c>
      <c r="P3191" s="204" t="s">
        <v>2276</v>
      </c>
      <c r="Q3191" s="204" t="s">
        <v>2276</v>
      </c>
      <c r="R3191" s="204" t="s">
        <v>2276</v>
      </c>
      <c r="S3191" s="204" t="s">
        <v>2276</v>
      </c>
      <c r="T3191" s="204" t="s">
        <v>2276</v>
      </c>
      <c r="U3191" s="204" t="s">
        <v>2276</v>
      </c>
      <c r="V3191" s="204" t="s">
        <v>2276</v>
      </c>
      <c r="W3191" s="204" t="s">
        <v>2276</v>
      </c>
      <c r="X3191" s="204" t="s">
        <v>2276</v>
      </c>
      <c r="Y3191" s="204" t="s">
        <v>2276</v>
      </c>
      <c r="Z3191" s="204" t="s">
        <v>2276</v>
      </c>
      <c r="AA3191" s="204" t="s">
        <v>2276</v>
      </c>
      <c r="AB3191" s="204" t="s">
        <v>2276</v>
      </c>
      <c r="AC3191" s="204"/>
      <c r="AD3191" s="204"/>
    </row>
    <row r="3192" spans="1:30" ht="32.5" customHeight="1">
      <c r="A3192" s="19" t="s">
        <v>8550</v>
      </c>
      <c r="B3192" s="19" t="s">
        <v>8553</v>
      </c>
      <c r="C3192" s="204" t="s">
        <v>24</v>
      </c>
      <c r="D3192" s="204" t="s">
        <v>2659</v>
      </c>
      <c r="E3192" s="4" t="s">
        <v>396</v>
      </c>
      <c r="F3192" s="4" t="s">
        <v>28</v>
      </c>
      <c r="G3192" s="204" t="s">
        <v>2276</v>
      </c>
      <c r="H3192" s="204" t="s">
        <v>523</v>
      </c>
      <c r="I3192" s="204"/>
      <c r="J3192" s="204" t="s">
        <v>2276</v>
      </c>
      <c r="K3192" s="204" t="s">
        <v>2276</v>
      </c>
      <c r="L3192" s="204" t="s">
        <v>2276</v>
      </c>
      <c r="M3192" s="204" t="s">
        <v>2276</v>
      </c>
      <c r="N3192" s="204" t="s">
        <v>2276</v>
      </c>
      <c r="O3192" s="204" t="s">
        <v>2276</v>
      </c>
      <c r="P3192" s="204" t="s">
        <v>2276</v>
      </c>
      <c r="Q3192" s="204" t="s">
        <v>2276</v>
      </c>
      <c r="R3192" s="204" t="s">
        <v>2276</v>
      </c>
      <c r="S3192" s="204" t="s">
        <v>2276</v>
      </c>
      <c r="T3192" s="204" t="s">
        <v>2276</v>
      </c>
      <c r="U3192" s="204" t="s">
        <v>2276</v>
      </c>
      <c r="V3192" s="204" t="s">
        <v>2276</v>
      </c>
      <c r="W3192" s="204" t="s">
        <v>2276</v>
      </c>
      <c r="X3192" s="204" t="s">
        <v>2276</v>
      </c>
      <c r="Y3192" s="204" t="s">
        <v>2276</v>
      </c>
      <c r="Z3192" s="204" t="s">
        <v>2276</v>
      </c>
      <c r="AA3192" s="204" t="s">
        <v>2276</v>
      </c>
      <c r="AB3192" s="204" t="s">
        <v>2276</v>
      </c>
      <c r="AC3192" s="204"/>
      <c r="AD3192" s="204"/>
    </row>
    <row r="3193" spans="1:30" ht="32.5" customHeight="1">
      <c r="A3193" s="19" t="s">
        <v>8556</v>
      </c>
      <c r="B3193" s="19" t="s">
        <v>8565</v>
      </c>
      <c r="C3193" s="204" t="s">
        <v>24</v>
      </c>
      <c r="D3193" s="204" t="s">
        <v>1131</v>
      </c>
      <c r="E3193" s="4" t="s">
        <v>396</v>
      </c>
      <c r="F3193" s="4" t="s">
        <v>28</v>
      </c>
      <c r="G3193" s="204" t="s">
        <v>2276</v>
      </c>
      <c r="H3193" s="204" t="s">
        <v>523</v>
      </c>
      <c r="I3193" s="204"/>
      <c r="J3193" s="204" t="s">
        <v>2276</v>
      </c>
      <c r="K3193" s="204" t="s">
        <v>2276</v>
      </c>
      <c r="L3193" s="204" t="s">
        <v>2276</v>
      </c>
      <c r="M3193" s="204" t="s">
        <v>2276</v>
      </c>
      <c r="N3193" s="204" t="s">
        <v>2276</v>
      </c>
      <c r="O3193" s="204" t="s">
        <v>2276</v>
      </c>
      <c r="P3193" s="204" t="s">
        <v>2276</v>
      </c>
      <c r="Q3193" s="204" t="s">
        <v>2276</v>
      </c>
      <c r="R3193" s="204" t="s">
        <v>2276</v>
      </c>
      <c r="S3193" s="204" t="s">
        <v>2276</v>
      </c>
      <c r="T3193" s="204" t="s">
        <v>2276</v>
      </c>
      <c r="U3193" s="204" t="s">
        <v>2276</v>
      </c>
      <c r="V3193" s="204" t="s">
        <v>2276</v>
      </c>
      <c r="W3193" s="204" t="s">
        <v>2276</v>
      </c>
      <c r="X3193" s="204" t="s">
        <v>2276</v>
      </c>
      <c r="Y3193" s="204" t="s">
        <v>2276</v>
      </c>
      <c r="Z3193" s="204" t="s">
        <v>2276</v>
      </c>
      <c r="AA3193" s="204" t="s">
        <v>2276</v>
      </c>
      <c r="AB3193" s="204" t="s">
        <v>2276</v>
      </c>
      <c r="AC3193" s="204" t="s">
        <v>8567</v>
      </c>
      <c r="AD3193" s="204"/>
    </row>
    <row r="3194" spans="1:30" ht="29">
      <c r="A3194" s="19" t="s">
        <v>8557</v>
      </c>
      <c r="B3194" s="19" t="s">
        <v>8566</v>
      </c>
      <c r="C3194" s="204" t="s">
        <v>24</v>
      </c>
      <c r="D3194" s="204" t="s">
        <v>1131</v>
      </c>
      <c r="E3194" s="4" t="s">
        <v>396</v>
      </c>
      <c r="F3194" s="4" t="s">
        <v>28</v>
      </c>
      <c r="G3194" s="204" t="s">
        <v>2276</v>
      </c>
      <c r="H3194" s="204" t="s">
        <v>523</v>
      </c>
      <c r="I3194" s="204"/>
      <c r="J3194" s="204" t="s">
        <v>2276</v>
      </c>
      <c r="K3194" s="204" t="s">
        <v>2276</v>
      </c>
      <c r="L3194" s="204" t="s">
        <v>2276</v>
      </c>
      <c r="M3194" s="204" t="s">
        <v>2276</v>
      </c>
      <c r="N3194" s="204" t="s">
        <v>2276</v>
      </c>
      <c r="O3194" s="204" t="s">
        <v>2276</v>
      </c>
      <c r="P3194" s="204" t="s">
        <v>2276</v>
      </c>
      <c r="Q3194" s="204" t="s">
        <v>2276</v>
      </c>
      <c r="R3194" s="204" t="s">
        <v>2276</v>
      </c>
      <c r="S3194" s="204" t="s">
        <v>2276</v>
      </c>
      <c r="T3194" s="204" t="s">
        <v>2276</v>
      </c>
      <c r="U3194" s="204" t="s">
        <v>2276</v>
      </c>
      <c r="V3194" s="204" t="s">
        <v>2276</v>
      </c>
      <c r="W3194" s="204" t="s">
        <v>2276</v>
      </c>
      <c r="X3194" s="204" t="s">
        <v>2276</v>
      </c>
      <c r="Y3194" s="204" t="s">
        <v>2276</v>
      </c>
      <c r="Z3194" s="204" t="s">
        <v>2276</v>
      </c>
      <c r="AA3194" s="204" t="s">
        <v>2276</v>
      </c>
      <c r="AB3194" s="204" t="s">
        <v>2276</v>
      </c>
      <c r="AC3194" s="204" t="s">
        <v>8567</v>
      </c>
      <c r="AD3194" s="204"/>
    </row>
    <row r="3195" spans="1:30" ht="46" customHeight="1">
      <c r="A3195" s="19" t="s">
        <v>8571</v>
      </c>
      <c r="B3195" s="19" t="s">
        <v>8573</v>
      </c>
      <c r="C3195" s="204" t="s">
        <v>24</v>
      </c>
      <c r="D3195" s="204" t="s">
        <v>2659</v>
      </c>
      <c r="E3195" s="4" t="s">
        <v>396</v>
      </c>
      <c r="F3195" s="4" t="s">
        <v>28</v>
      </c>
      <c r="G3195" s="204" t="s">
        <v>2276</v>
      </c>
      <c r="H3195" s="204" t="s">
        <v>523</v>
      </c>
      <c r="I3195" s="204"/>
      <c r="J3195" s="204" t="s">
        <v>2276</v>
      </c>
      <c r="K3195" s="204" t="s">
        <v>2276</v>
      </c>
      <c r="L3195" s="204" t="s">
        <v>2276</v>
      </c>
      <c r="M3195" s="204" t="s">
        <v>2276</v>
      </c>
      <c r="N3195" s="204" t="s">
        <v>2276</v>
      </c>
      <c r="O3195" s="204" t="s">
        <v>2276</v>
      </c>
      <c r="P3195" s="204" t="s">
        <v>2276</v>
      </c>
      <c r="Q3195" s="204" t="s">
        <v>2276</v>
      </c>
      <c r="R3195" s="204" t="s">
        <v>2276</v>
      </c>
      <c r="S3195" s="204" t="s">
        <v>2276</v>
      </c>
      <c r="T3195" s="204" t="s">
        <v>2276</v>
      </c>
      <c r="U3195" s="204" t="s">
        <v>2276</v>
      </c>
      <c r="V3195" s="204" t="s">
        <v>2276</v>
      </c>
      <c r="W3195" s="204" t="s">
        <v>2276</v>
      </c>
      <c r="X3195" s="204" t="s">
        <v>2276</v>
      </c>
      <c r="Y3195" s="204" t="s">
        <v>2276</v>
      </c>
      <c r="Z3195" s="204" t="s">
        <v>2276</v>
      </c>
      <c r="AA3195" s="204" t="s">
        <v>2276</v>
      </c>
      <c r="AB3195" s="204" t="s">
        <v>2276</v>
      </c>
      <c r="AC3195" s="4" t="s">
        <v>8575</v>
      </c>
      <c r="AD3195" s="204"/>
    </row>
    <row r="3196" spans="1:30" ht="46" customHeight="1">
      <c r="A3196" s="19" t="s">
        <v>8572</v>
      </c>
      <c r="B3196" s="204" t="s">
        <v>8574</v>
      </c>
      <c r="C3196" s="204" t="s">
        <v>24</v>
      </c>
      <c r="D3196" s="204" t="s">
        <v>2659</v>
      </c>
      <c r="E3196" s="4" t="s">
        <v>396</v>
      </c>
      <c r="F3196" s="4" t="s">
        <v>28</v>
      </c>
      <c r="G3196" s="204" t="s">
        <v>2276</v>
      </c>
      <c r="H3196" s="204" t="s">
        <v>523</v>
      </c>
      <c r="I3196" s="204"/>
      <c r="J3196" s="204" t="s">
        <v>2276</v>
      </c>
      <c r="K3196" s="204" t="s">
        <v>2276</v>
      </c>
      <c r="L3196" s="204" t="s">
        <v>2276</v>
      </c>
      <c r="M3196" s="204" t="s">
        <v>2276</v>
      </c>
      <c r="N3196" s="204" t="s">
        <v>2276</v>
      </c>
      <c r="O3196" s="204" t="s">
        <v>2276</v>
      </c>
      <c r="P3196" s="204" t="s">
        <v>2276</v>
      </c>
      <c r="Q3196" s="204" t="s">
        <v>2276</v>
      </c>
      <c r="R3196" s="204" t="s">
        <v>2276</v>
      </c>
      <c r="S3196" s="204" t="s">
        <v>2276</v>
      </c>
      <c r="T3196" s="204" t="s">
        <v>2276</v>
      </c>
      <c r="U3196" s="204" t="s">
        <v>2276</v>
      </c>
      <c r="V3196" s="204" t="s">
        <v>2276</v>
      </c>
      <c r="W3196" s="204" t="s">
        <v>2276</v>
      </c>
      <c r="X3196" s="204" t="s">
        <v>2276</v>
      </c>
      <c r="Y3196" s="204" t="s">
        <v>2276</v>
      </c>
      <c r="Z3196" s="204" t="s">
        <v>2276</v>
      </c>
      <c r="AA3196" s="204" t="s">
        <v>2276</v>
      </c>
      <c r="AB3196" s="204" t="s">
        <v>2276</v>
      </c>
      <c r="AC3196" s="4" t="s">
        <v>8575</v>
      </c>
      <c r="AD3196" s="204"/>
    </row>
    <row r="3197" spans="1:30" ht="31" customHeight="1">
      <c r="A3197" s="19" t="s">
        <v>8577</v>
      </c>
      <c r="B3197" s="19" t="s">
        <v>8586</v>
      </c>
      <c r="C3197" s="204" t="s">
        <v>2658</v>
      </c>
      <c r="D3197" s="204" t="s">
        <v>2276</v>
      </c>
      <c r="E3197" s="204" t="s">
        <v>45</v>
      </c>
      <c r="F3197" s="4" t="s">
        <v>2662</v>
      </c>
      <c r="G3197" s="204" t="s">
        <v>2276</v>
      </c>
      <c r="H3197" s="204" t="s">
        <v>523</v>
      </c>
      <c r="I3197" s="204"/>
      <c r="J3197" s="204" t="s">
        <v>2276</v>
      </c>
      <c r="K3197" s="204" t="s">
        <v>2276</v>
      </c>
      <c r="L3197" s="204" t="s">
        <v>2276</v>
      </c>
      <c r="M3197" s="204" t="s">
        <v>2276</v>
      </c>
      <c r="N3197" s="204" t="s">
        <v>2276</v>
      </c>
      <c r="O3197" s="204" t="s">
        <v>2276</v>
      </c>
      <c r="P3197" s="204" t="s">
        <v>2276</v>
      </c>
      <c r="Q3197" s="204" t="s">
        <v>2276</v>
      </c>
      <c r="R3197" s="204" t="s">
        <v>2276</v>
      </c>
      <c r="S3197" s="204" t="s">
        <v>2276</v>
      </c>
      <c r="T3197" s="204" t="s">
        <v>2276</v>
      </c>
      <c r="U3197" s="204" t="s">
        <v>2276</v>
      </c>
      <c r="V3197" s="204" t="s">
        <v>2276</v>
      </c>
      <c r="W3197" s="204" t="s">
        <v>2276</v>
      </c>
      <c r="X3197" s="204" t="s">
        <v>2276</v>
      </c>
      <c r="Y3197" s="204" t="s">
        <v>2276</v>
      </c>
      <c r="Z3197" s="204" t="s">
        <v>405</v>
      </c>
      <c r="AA3197" s="204" t="s">
        <v>35</v>
      </c>
      <c r="AB3197" s="204" t="s">
        <v>2276</v>
      </c>
      <c r="AC3197" s="204"/>
      <c r="AD3197" s="204"/>
    </row>
    <row r="3198" spans="1:30" ht="31" customHeight="1">
      <c r="A3198" s="19" t="s">
        <v>8583</v>
      </c>
      <c r="B3198" s="19" t="s">
        <v>8587</v>
      </c>
      <c r="C3198" s="204" t="s">
        <v>2658</v>
      </c>
      <c r="D3198" s="204" t="s">
        <v>2276</v>
      </c>
      <c r="E3198" s="204" t="s">
        <v>45</v>
      </c>
      <c r="F3198" s="4" t="s">
        <v>2662</v>
      </c>
      <c r="G3198" s="204" t="s">
        <v>2276</v>
      </c>
      <c r="H3198" s="204" t="s">
        <v>523</v>
      </c>
      <c r="I3198" s="204"/>
      <c r="J3198" s="204" t="s">
        <v>2276</v>
      </c>
      <c r="K3198" s="204" t="s">
        <v>2276</v>
      </c>
      <c r="L3198" s="204" t="s">
        <v>2276</v>
      </c>
      <c r="M3198" s="204" t="s">
        <v>2276</v>
      </c>
      <c r="N3198" s="204" t="s">
        <v>2276</v>
      </c>
      <c r="O3198" s="204" t="s">
        <v>2276</v>
      </c>
      <c r="P3198" s="204" t="s">
        <v>2276</v>
      </c>
      <c r="Q3198" s="204" t="s">
        <v>2276</v>
      </c>
      <c r="R3198" s="204" t="s">
        <v>2276</v>
      </c>
      <c r="S3198" s="204" t="s">
        <v>2276</v>
      </c>
      <c r="T3198" s="21">
        <v>66000</v>
      </c>
      <c r="U3198" s="204" t="s">
        <v>2276</v>
      </c>
      <c r="V3198" s="204" t="s">
        <v>2276</v>
      </c>
      <c r="W3198" s="204" t="s">
        <v>2276</v>
      </c>
      <c r="X3198" s="204" t="s">
        <v>2276</v>
      </c>
      <c r="Y3198" s="204" t="s">
        <v>2276</v>
      </c>
      <c r="Z3198" s="204" t="s">
        <v>405</v>
      </c>
      <c r="AA3198" s="204" t="s">
        <v>35</v>
      </c>
      <c r="AB3198" s="204" t="s">
        <v>2276</v>
      </c>
      <c r="AC3198" s="204"/>
      <c r="AD3198" s="204"/>
    </row>
    <row r="3199" spans="1:30" ht="31" customHeight="1">
      <c r="A3199" s="19" t="s">
        <v>8584</v>
      </c>
      <c r="B3199" s="19" t="s">
        <v>8588</v>
      </c>
      <c r="C3199" s="204" t="s">
        <v>2658</v>
      </c>
      <c r="D3199" s="204" t="s">
        <v>2276</v>
      </c>
      <c r="E3199" s="204" t="s">
        <v>45</v>
      </c>
      <c r="F3199" s="4" t="s">
        <v>2662</v>
      </c>
      <c r="G3199" s="204" t="s">
        <v>2276</v>
      </c>
      <c r="H3199" s="204" t="s">
        <v>523</v>
      </c>
      <c r="I3199" s="204"/>
      <c r="J3199" s="204" t="s">
        <v>2276</v>
      </c>
      <c r="K3199" s="204" t="s">
        <v>2276</v>
      </c>
      <c r="L3199" s="204" t="s">
        <v>2276</v>
      </c>
      <c r="M3199" s="204" t="s">
        <v>2276</v>
      </c>
      <c r="N3199" s="204" t="s">
        <v>2276</v>
      </c>
      <c r="O3199" s="204" t="s">
        <v>2276</v>
      </c>
      <c r="P3199" s="204" t="s">
        <v>2276</v>
      </c>
      <c r="Q3199" s="204" t="s">
        <v>2276</v>
      </c>
      <c r="R3199" s="204" t="s">
        <v>2276</v>
      </c>
      <c r="S3199" s="204" t="s">
        <v>2276</v>
      </c>
      <c r="T3199" s="21">
        <v>12400</v>
      </c>
      <c r="U3199" s="204" t="s">
        <v>2276</v>
      </c>
      <c r="V3199" s="204" t="s">
        <v>2276</v>
      </c>
      <c r="W3199" s="204" t="s">
        <v>2276</v>
      </c>
      <c r="X3199" s="204" t="s">
        <v>2276</v>
      </c>
      <c r="Y3199" s="204" t="s">
        <v>2276</v>
      </c>
      <c r="Z3199" s="204" t="s">
        <v>405</v>
      </c>
      <c r="AA3199" s="204" t="s">
        <v>35</v>
      </c>
      <c r="AB3199" s="204" t="s">
        <v>2276</v>
      </c>
      <c r="AC3199" s="204"/>
      <c r="AD3199" s="204"/>
    </row>
    <row r="3200" spans="1:30" ht="31" customHeight="1">
      <c r="A3200" s="55" t="s">
        <v>8585</v>
      </c>
      <c r="B3200" s="55" t="s">
        <v>8589</v>
      </c>
      <c r="C3200" s="38" t="s">
        <v>2658</v>
      </c>
      <c r="D3200" s="38" t="s">
        <v>2276</v>
      </c>
      <c r="E3200" s="38" t="s">
        <v>45</v>
      </c>
      <c r="F3200" s="168" t="s">
        <v>2662</v>
      </c>
      <c r="G3200" s="38" t="s">
        <v>2276</v>
      </c>
      <c r="H3200" s="38" t="s">
        <v>523</v>
      </c>
      <c r="I3200" s="38"/>
      <c r="J3200" s="38" t="s">
        <v>2276</v>
      </c>
      <c r="K3200" s="38" t="s">
        <v>2276</v>
      </c>
      <c r="L3200" s="38" t="s">
        <v>2276</v>
      </c>
      <c r="M3200" s="38" t="s">
        <v>2276</v>
      </c>
      <c r="N3200" s="38" t="s">
        <v>2276</v>
      </c>
      <c r="O3200" s="38" t="s">
        <v>2276</v>
      </c>
      <c r="P3200" s="38" t="s">
        <v>2276</v>
      </c>
      <c r="Q3200" s="38" t="s">
        <v>2276</v>
      </c>
      <c r="R3200" s="38" t="s">
        <v>2276</v>
      </c>
      <c r="S3200" s="38" t="s">
        <v>2276</v>
      </c>
      <c r="T3200" s="73">
        <v>32000</v>
      </c>
      <c r="U3200" s="38" t="s">
        <v>2276</v>
      </c>
      <c r="V3200" s="38" t="s">
        <v>2276</v>
      </c>
      <c r="W3200" s="38" t="s">
        <v>2276</v>
      </c>
      <c r="X3200" s="38" t="s">
        <v>2276</v>
      </c>
      <c r="Y3200" s="38" t="s">
        <v>2276</v>
      </c>
      <c r="Z3200" s="38" t="s">
        <v>405</v>
      </c>
      <c r="AA3200" s="38" t="s">
        <v>35</v>
      </c>
      <c r="AB3200" s="38" t="s">
        <v>2276</v>
      </c>
      <c r="AC3200" s="204"/>
      <c r="AD3200" s="204"/>
    </row>
    <row r="3201" spans="1:30" ht="35.5" customHeight="1">
      <c r="A3201" s="19" t="s">
        <v>8598</v>
      </c>
      <c r="B3201" s="19" t="s">
        <v>8603</v>
      </c>
      <c r="C3201" s="204" t="s">
        <v>24</v>
      </c>
      <c r="D3201" s="204" t="s">
        <v>2659</v>
      </c>
      <c r="E3201" s="204" t="s">
        <v>84</v>
      </c>
      <c r="F3201" s="4" t="s">
        <v>28</v>
      </c>
      <c r="G3201" s="4" t="s">
        <v>28</v>
      </c>
      <c r="H3201" s="204" t="s">
        <v>523</v>
      </c>
      <c r="I3201" s="204"/>
      <c r="J3201" s="204" t="s">
        <v>2276</v>
      </c>
      <c r="K3201" s="204" t="s">
        <v>2276</v>
      </c>
      <c r="L3201" s="204" t="s">
        <v>2276</v>
      </c>
      <c r="M3201" s="204" t="s">
        <v>2276</v>
      </c>
      <c r="N3201" s="204" t="s">
        <v>2276</v>
      </c>
      <c r="O3201" s="204" t="s">
        <v>2276</v>
      </c>
      <c r="P3201" s="204" t="s">
        <v>2276</v>
      </c>
      <c r="Q3201" s="204" t="s">
        <v>2276</v>
      </c>
      <c r="R3201" s="204" t="s">
        <v>2276</v>
      </c>
      <c r="S3201" s="204" t="s">
        <v>2276</v>
      </c>
      <c r="T3201" s="21">
        <f>'Land use'!P1335*'Record info'!K1335*V3201/100</f>
        <v>1272.18</v>
      </c>
      <c r="U3201" s="204" t="s">
        <v>2276</v>
      </c>
      <c r="V3201" s="21">
        <v>27.3</v>
      </c>
      <c r="W3201" s="204" t="s">
        <v>2276</v>
      </c>
      <c r="X3201" s="21">
        <f>V3201*(4660/8600)</f>
        <v>14.792790697674418</v>
      </c>
      <c r="Y3201" s="204" t="s">
        <v>2276</v>
      </c>
      <c r="Z3201" s="204" t="s">
        <v>35</v>
      </c>
      <c r="AA3201" s="204" t="s">
        <v>127</v>
      </c>
      <c r="AB3201" s="204" t="s">
        <v>64</v>
      </c>
      <c r="AC3201" s="204"/>
      <c r="AD3201" s="204"/>
    </row>
    <row r="3202" spans="1:30" ht="50" customHeight="1">
      <c r="A3202" s="19" t="s">
        <v>8598</v>
      </c>
      <c r="B3202" s="19" t="s">
        <v>8604</v>
      </c>
      <c r="C3202" s="204" t="s">
        <v>24</v>
      </c>
      <c r="D3202" s="204" t="s">
        <v>2659</v>
      </c>
      <c r="E3202" s="204" t="s">
        <v>84</v>
      </c>
      <c r="F3202" s="4" t="s">
        <v>28</v>
      </c>
      <c r="G3202" s="4" t="s">
        <v>28</v>
      </c>
      <c r="H3202" s="204" t="s">
        <v>523</v>
      </c>
      <c r="I3202" s="204"/>
      <c r="J3202" s="204" t="s">
        <v>2276</v>
      </c>
      <c r="K3202" s="204" t="s">
        <v>2276</v>
      </c>
      <c r="L3202" s="204" t="s">
        <v>2276</v>
      </c>
      <c r="M3202" s="204" t="s">
        <v>2276</v>
      </c>
      <c r="N3202" s="204" t="s">
        <v>2276</v>
      </c>
      <c r="O3202" s="204" t="s">
        <v>2276</v>
      </c>
      <c r="P3202" s="204" t="s">
        <v>2276</v>
      </c>
      <c r="Q3202" s="204" t="s">
        <v>2276</v>
      </c>
      <c r="R3202" s="204" t="s">
        <v>2276</v>
      </c>
      <c r="S3202" s="204" t="s">
        <v>2276</v>
      </c>
      <c r="T3202" s="204" t="s">
        <v>2276</v>
      </c>
      <c r="U3202" s="204" t="s">
        <v>2276</v>
      </c>
      <c r="V3202" s="204" t="s">
        <v>2276</v>
      </c>
      <c r="W3202" s="204" t="s">
        <v>2276</v>
      </c>
      <c r="X3202" s="204" t="s">
        <v>2276</v>
      </c>
      <c r="Y3202" s="204" t="s">
        <v>2276</v>
      </c>
      <c r="Z3202" s="204" t="s">
        <v>34</v>
      </c>
      <c r="AA3202" s="204" t="s">
        <v>404</v>
      </c>
      <c r="AB3202" s="204" t="s">
        <v>64</v>
      </c>
      <c r="AC3202" s="204"/>
      <c r="AD3202" s="204"/>
    </row>
    <row r="3203" spans="1:30" ht="46.5" customHeight="1">
      <c r="A3203" s="19" t="s">
        <v>8608</v>
      </c>
      <c r="B3203" s="19" t="s">
        <v>8610</v>
      </c>
      <c r="C3203" s="204" t="s">
        <v>24</v>
      </c>
      <c r="D3203" s="204" t="s">
        <v>2659</v>
      </c>
      <c r="E3203" s="204" t="s">
        <v>2276</v>
      </c>
      <c r="F3203" s="4" t="s">
        <v>28</v>
      </c>
      <c r="G3203" s="204" t="s">
        <v>2276</v>
      </c>
      <c r="H3203" s="204" t="s">
        <v>523</v>
      </c>
      <c r="I3203" s="204"/>
      <c r="J3203" s="204" t="s">
        <v>2276</v>
      </c>
      <c r="K3203" s="204" t="s">
        <v>2276</v>
      </c>
      <c r="L3203" s="204" t="s">
        <v>2276</v>
      </c>
      <c r="M3203" s="204" t="s">
        <v>2276</v>
      </c>
      <c r="N3203" s="204" t="s">
        <v>2276</v>
      </c>
      <c r="O3203" s="204" t="s">
        <v>2276</v>
      </c>
      <c r="P3203" s="204" t="s">
        <v>2276</v>
      </c>
      <c r="Q3203" s="204" t="s">
        <v>2276</v>
      </c>
      <c r="R3203" s="204" t="s">
        <v>2276</v>
      </c>
      <c r="S3203" s="204" t="s">
        <v>2276</v>
      </c>
      <c r="T3203" s="204" t="s">
        <v>2276</v>
      </c>
      <c r="U3203" s="21">
        <v>20.8</v>
      </c>
      <c r="V3203" s="204" t="s">
        <v>2276</v>
      </c>
      <c r="W3203" s="204" t="s">
        <v>2276</v>
      </c>
      <c r="X3203" s="204" t="s">
        <v>2276</v>
      </c>
      <c r="Y3203" s="204" t="s">
        <v>2276</v>
      </c>
      <c r="Z3203" s="204" t="s">
        <v>86</v>
      </c>
      <c r="AA3203" s="204" t="s">
        <v>35</v>
      </c>
      <c r="AB3203" s="204" t="s">
        <v>2276</v>
      </c>
      <c r="AC3203" s="204"/>
      <c r="AD3203" s="204"/>
    </row>
    <row r="3204" spans="1:30" ht="46.5" customHeight="1">
      <c r="A3204" s="26" t="s">
        <v>8611</v>
      </c>
      <c r="B3204" s="26" t="s">
        <v>8623</v>
      </c>
      <c r="C3204" s="204" t="s">
        <v>24</v>
      </c>
      <c r="D3204" s="204" t="s">
        <v>2659</v>
      </c>
      <c r="E3204" s="204" t="s">
        <v>2276</v>
      </c>
      <c r="F3204" s="4" t="s">
        <v>28</v>
      </c>
      <c r="G3204" s="204" t="s">
        <v>2276</v>
      </c>
      <c r="H3204" s="204" t="s">
        <v>523</v>
      </c>
      <c r="I3204" s="204"/>
      <c r="J3204" s="204" t="s">
        <v>2276</v>
      </c>
      <c r="K3204" s="204" t="s">
        <v>2276</v>
      </c>
      <c r="L3204" s="204" t="s">
        <v>2276</v>
      </c>
      <c r="M3204" s="204" t="s">
        <v>2276</v>
      </c>
      <c r="N3204" s="204" t="s">
        <v>2276</v>
      </c>
      <c r="O3204" s="204" t="s">
        <v>2276</v>
      </c>
      <c r="P3204" s="204" t="s">
        <v>2276</v>
      </c>
      <c r="Q3204" s="204" t="s">
        <v>2276</v>
      </c>
      <c r="R3204" s="204" t="s">
        <v>2276</v>
      </c>
      <c r="S3204" s="204" t="s">
        <v>2276</v>
      </c>
      <c r="T3204" s="204" t="s">
        <v>2276</v>
      </c>
      <c r="U3204" s="204" t="s">
        <v>2276</v>
      </c>
      <c r="V3204" s="204" t="s">
        <v>2276</v>
      </c>
      <c r="W3204" s="204" t="s">
        <v>2276</v>
      </c>
      <c r="X3204" s="204" t="s">
        <v>2276</v>
      </c>
      <c r="Y3204" s="204" t="s">
        <v>2276</v>
      </c>
      <c r="Z3204" s="204" t="s">
        <v>86</v>
      </c>
      <c r="AA3204" s="204" t="s">
        <v>68</v>
      </c>
      <c r="AB3204" s="204" t="s">
        <v>2276</v>
      </c>
      <c r="AC3204" s="204"/>
      <c r="AD3204" s="204"/>
    </row>
    <row r="3205" spans="1:30" ht="46.5" customHeight="1">
      <c r="A3205" s="26" t="s">
        <v>8612</v>
      </c>
      <c r="B3205" s="26" t="s">
        <v>8624</v>
      </c>
      <c r="C3205" s="204" t="s">
        <v>24</v>
      </c>
      <c r="D3205" s="204" t="s">
        <v>2659</v>
      </c>
      <c r="E3205" s="204" t="s">
        <v>2276</v>
      </c>
      <c r="F3205" s="4" t="s">
        <v>28</v>
      </c>
      <c r="G3205" s="204" t="s">
        <v>2276</v>
      </c>
      <c r="H3205" s="204" t="s">
        <v>523</v>
      </c>
      <c r="I3205" s="204"/>
      <c r="J3205" s="204" t="s">
        <v>2276</v>
      </c>
      <c r="K3205" s="204" t="s">
        <v>2276</v>
      </c>
      <c r="L3205" s="204" t="s">
        <v>2276</v>
      </c>
      <c r="M3205" s="204" t="s">
        <v>2276</v>
      </c>
      <c r="N3205" s="204" t="s">
        <v>2276</v>
      </c>
      <c r="O3205" s="204" t="s">
        <v>2276</v>
      </c>
      <c r="P3205" s="204" t="s">
        <v>2276</v>
      </c>
      <c r="Q3205" s="204" t="s">
        <v>2276</v>
      </c>
      <c r="R3205" s="204" t="s">
        <v>2276</v>
      </c>
      <c r="S3205" s="204" t="s">
        <v>2276</v>
      </c>
      <c r="T3205" s="204" t="s">
        <v>2276</v>
      </c>
      <c r="U3205" s="204" t="s">
        <v>2276</v>
      </c>
      <c r="V3205" s="204" t="s">
        <v>2276</v>
      </c>
      <c r="W3205" s="204" t="s">
        <v>2276</v>
      </c>
      <c r="X3205" s="204" t="s">
        <v>2276</v>
      </c>
      <c r="Y3205" s="204" t="s">
        <v>2276</v>
      </c>
      <c r="Z3205" s="204" t="s">
        <v>86</v>
      </c>
      <c r="AA3205" s="204" t="s">
        <v>68</v>
      </c>
      <c r="AB3205" s="204" t="s">
        <v>2276</v>
      </c>
      <c r="AC3205" s="204"/>
      <c r="AD3205" s="204"/>
    </row>
    <row r="3206" spans="1:30" ht="46.5" customHeight="1">
      <c r="A3206" s="26" t="s">
        <v>8613</v>
      </c>
      <c r="B3206" s="26" t="s">
        <v>8625</v>
      </c>
      <c r="C3206" s="204" t="s">
        <v>24</v>
      </c>
      <c r="D3206" s="204" t="s">
        <v>2659</v>
      </c>
      <c r="E3206" s="204" t="s">
        <v>2276</v>
      </c>
      <c r="F3206" s="4" t="s">
        <v>28</v>
      </c>
      <c r="G3206" s="204" t="s">
        <v>2276</v>
      </c>
      <c r="H3206" s="204" t="s">
        <v>523</v>
      </c>
      <c r="I3206" s="204"/>
      <c r="J3206" s="204" t="s">
        <v>2276</v>
      </c>
      <c r="K3206" s="204" t="s">
        <v>2276</v>
      </c>
      <c r="L3206" s="204" t="s">
        <v>2276</v>
      </c>
      <c r="M3206" s="204" t="s">
        <v>2276</v>
      </c>
      <c r="N3206" s="204" t="s">
        <v>2276</v>
      </c>
      <c r="O3206" s="204" t="s">
        <v>2276</v>
      </c>
      <c r="P3206" s="204" t="s">
        <v>2276</v>
      </c>
      <c r="Q3206" s="204" t="s">
        <v>2276</v>
      </c>
      <c r="R3206" s="204" t="s">
        <v>2276</v>
      </c>
      <c r="S3206" s="204" t="s">
        <v>2276</v>
      </c>
      <c r="T3206" s="204" t="s">
        <v>2276</v>
      </c>
      <c r="U3206" s="204" t="s">
        <v>2276</v>
      </c>
      <c r="V3206" s="204" t="s">
        <v>2276</v>
      </c>
      <c r="W3206" s="204" t="s">
        <v>2276</v>
      </c>
      <c r="X3206" s="204" t="s">
        <v>2276</v>
      </c>
      <c r="Y3206" s="204" t="s">
        <v>2276</v>
      </c>
      <c r="Z3206" s="204" t="s">
        <v>86</v>
      </c>
      <c r="AA3206" s="204" t="s">
        <v>68</v>
      </c>
      <c r="AB3206" s="204" t="s">
        <v>2276</v>
      </c>
      <c r="AC3206" s="204"/>
      <c r="AD3206" s="204"/>
    </row>
    <row r="3207" spans="1:30" ht="46.5" customHeight="1">
      <c r="A3207" s="26" t="s">
        <v>8614</v>
      </c>
      <c r="B3207" s="26" t="s">
        <v>8626</v>
      </c>
      <c r="C3207" s="204" t="s">
        <v>24</v>
      </c>
      <c r="D3207" s="204" t="s">
        <v>2659</v>
      </c>
      <c r="E3207" s="204" t="s">
        <v>2276</v>
      </c>
      <c r="F3207" s="4" t="s">
        <v>28</v>
      </c>
      <c r="G3207" s="204" t="s">
        <v>2276</v>
      </c>
      <c r="H3207" s="204" t="s">
        <v>523</v>
      </c>
      <c r="I3207" s="204"/>
      <c r="J3207" s="204" t="s">
        <v>2276</v>
      </c>
      <c r="K3207" s="204" t="s">
        <v>2276</v>
      </c>
      <c r="L3207" s="204" t="s">
        <v>2276</v>
      </c>
      <c r="M3207" s="204" t="s">
        <v>2276</v>
      </c>
      <c r="N3207" s="204" t="s">
        <v>2276</v>
      </c>
      <c r="O3207" s="204" t="s">
        <v>2276</v>
      </c>
      <c r="P3207" s="204" t="s">
        <v>2276</v>
      </c>
      <c r="Q3207" s="204" t="s">
        <v>2276</v>
      </c>
      <c r="R3207" s="204" t="s">
        <v>2276</v>
      </c>
      <c r="S3207" s="204" t="s">
        <v>2276</v>
      </c>
      <c r="T3207" s="204" t="s">
        <v>2276</v>
      </c>
      <c r="U3207" s="204" t="s">
        <v>2276</v>
      </c>
      <c r="V3207" s="204" t="s">
        <v>2276</v>
      </c>
      <c r="W3207" s="204" t="s">
        <v>2276</v>
      </c>
      <c r="X3207" s="204" t="s">
        <v>2276</v>
      </c>
      <c r="Y3207" s="204" t="s">
        <v>2276</v>
      </c>
      <c r="Z3207" s="204" t="s">
        <v>86</v>
      </c>
      <c r="AA3207" s="204" t="s">
        <v>68</v>
      </c>
      <c r="AB3207" s="204" t="s">
        <v>2276</v>
      </c>
      <c r="AC3207" s="204"/>
      <c r="AD3207" s="204"/>
    </row>
    <row r="3208" spans="1:30" ht="46.5" customHeight="1">
      <c r="A3208" s="26" t="s">
        <v>8615</v>
      </c>
      <c r="B3208" s="26" t="s">
        <v>8627</v>
      </c>
      <c r="C3208" s="204" t="s">
        <v>24</v>
      </c>
      <c r="D3208" s="204" t="s">
        <v>2659</v>
      </c>
      <c r="E3208" s="204" t="s">
        <v>2276</v>
      </c>
      <c r="F3208" s="4" t="s">
        <v>28</v>
      </c>
      <c r="G3208" s="204" t="s">
        <v>2276</v>
      </c>
      <c r="H3208" s="204" t="s">
        <v>523</v>
      </c>
      <c r="I3208" s="204"/>
      <c r="J3208" s="204" t="s">
        <v>2276</v>
      </c>
      <c r="K3208" s="204" t="s">
        <v>2276</v>
      </c>
      <c r="L3208" s="204" t="s">
        <v>2276</v>
      </c>
      <c r="M3208" s="204" t="s">
        <v>2276</v>
      </c>
      <c r="N3208" s="204" t="s">
        <v>2276</v>
      </c>
      <c r="O3208" s="204" t="s">
        <v>2276</v>
      </c>
      <c r="P3208" s="204" t="s">
        <v>2276</v>
      </c>
      <c r="Q3208" s="204" t="s">
        <v>2276</v>
      </c>
      <c r="R3208" s="204" t="s">
        <v>2276</v>
      </c>
      <c r="S3208" s="204" t="s">
        <v>2276</v>
      </c>
      <c r="T3208" s="204" t="s">
        <v>2276</v>
      </c>
      <c r="U3208" s="204" t="s">
        <v>2276</v>
      </c>
      <c r="V3208" s="204" t="s">
        <v>2276</v>
      </c>
      <c r="W3208" s="204" t="s">
        <v>2276</v>
      </c>
      <c r="X3208" s="204" t="s">
        <v>2276</v>
      </c>
      <c r="Y3208" s="204" t="s">
        <v>2276</v>
      </c>
      <c r="Z3208" s="204" t="s">
        <v>34</v>
      </c>
      <c r="AA3208" s="204" t="s">
        <v>34</v>
      </c>
      <c r="AB3208" s="204" t="s">
        <v>2276</v>
      </c>
      <c r="AC3208" s="204"/>
      <c r="AD3208" s="204"/>
    </row>
    <row r="3209" spans="1:30" ht="46.5" customHeight="1">
      <c r="A3209" s="26" t="s">
        <v>8616</v>
      </c>
      <c r="B3209" s="26" t="s">
        <v>8628</v>
      </c>
      <c r="C3209" s="204" t="s">
        <v>24</v>
      </c>
      <c r="D3209" s="204" t="s">
        <v>2659</v>
      </c>
      <c r="E3209" s="204" t="s">
        <v>2276</v>
      </c>
      <c r="F3209" s="4" t="s">
        <v>28</v>
      </c>
      <c r="G3209" s="204" t="s">
        <v>2276</v>
      </c>
      <c r="H3209" s="204" t="s">
        <v>523</v>
      </c>
      <c r="I3209" s="204"/>
      <c r="J3209" s="204" t="s">
        <v>2276</v>
      </c>
      <c r="K3209" s="204" t="s">
        <v>2276</v>
      </c>
      <c r="L3209" s="204" t="s">
        <v>2276</v>
      </c>
      <c r="M3209" s="204" t="s">
        <v>2276</v>
      </c>
      <c r="N3209" s="204" t="s">
        <v>2276</v>
      </c>
      <c r="O3209" s="204" t="s">
        <v>2276</v>
      </c>
      <c r="P3209" s="204" t="s">
        <v>2276</v>
      </c>
      <c r="Q3209" s="204" t="s">
        <v>2276</v>
      </c>
      <c r="R3209" s="204" t="s">
        <v>2276</v>
      </c>
      <c r="S3209" s="204" t="s">
        <v>2276</v>
      </c>
      <c r="T3209" s="204" t="s">
        <v>2276</v>
      </c>
      <c r="U3209" s="204" t="s">
        <v>2276</v>
      </c>
      <c r="V3209" s="204" t="s">
        <v>2276</v>
      </c>
      <c r="W3209" s="204" t="s">
        <v>2276</v>
      </c>
      <c r="X3209" s="204" t="s">
        <v>2276</v>
      </c>
      <c r="Y3209" s="204" t="s">
        <v>2276</v>
      </c>
      <c r="Z3209" s="204" t="s">
        <v>34</v>
      </c>
      <c r="AA3209" s="204" t="s">
        <v>34</v>
      </c>
      <c r="AB3209" s="204" t="s">
        <v>2276</v>
      </c>
      <c r="AC3209" s="204"/>
      <c r="AD3209" s="204"/>
    </row>
    <row r="3210" spans="1:30" ht="40" customHeight="1">
      <c r="A3210" s="26" t="s">
        <v>8615</v>
      </c>
      <c r="B3210" s="26" t="s">
        <v>8629</v>
      </c>
      <c r="C3210" s="204" t="s">
        <v>24</v>
      </c>
      <c r="D3210" s="204" t="s">
        <v>2659</v>
      </c>
      <c r="E3210" s="204" t="s">
        <v>2276</v>
      </c>
      <c r="F3210" s="4" t="s">
        <v>28</v>
      </c>
      <c r="G3210" s="204" t="s">
        <v>2276</v>
      </c>
      <c r="H3210" s="204" t="s">
        <v>523</v>
      </c>
      <c r="I3210" s="204"/>
      <c r="J3210" s="204" t="s">
        <v>2276</v>
      </c>
      <c r="K3210" s="204" t="s">
        <v>2276</v>
      </c>
      <c r="L3210" s="204" t="s">
        <v>2276</v>
      </c>
      <c r="M3210" s="204" t="s">
        <v>2276</v>
      </c>
      <c r="N3210" s="204" t="s">
        <v>2276</v>
      </c>
      <c r="O3210" s="204" t="s">
        <v>2276</v>
      </c>
      <c r="P3210" s="204" t="s">
        <v>2276</v>
      </c>
      <c r="Q3210" s="204" t="s">
        <v>2276</v>
      </c>
      <c r="R3210" s="204" t="s">
        <v>2276</v>
      </c>
      <c r="S3210" s="204" t="s">
        <v>2276</v>
      </c>
      <c r="T3210" s="204" t="s">
        <v>2276</v>
      </c>
      <c r="U3210" s="204" t="s">
        <v>2276</v>
      </c>
      <c r="V3210" s="204" t="s">
        <v>2276</v>
      </c>
      <c r="W3210" s="204" t="s">
        <v>2276</v>
      </c>
      <c r="X3210" s="204" t="s">
        <v>2276</v>
      </c>
      <c r="Y3210" s="204" t="s">
        <v>2276</v>
      </c>
      <c r="Z3210" s="204" t="s">
        <v>68</v>
      </c>
      <c r="AA3210" s="204" t="s">
        <v>35</v>
      </c>
      <c r="AB3210" s="204" t="s">
        <v>2276</v>
      </c>
      <c r="AC3210" s="204"/>
      <c r="AD3210" s="204"/>
    </row>
    <row r="3211" spans="1:30" ht="42" customHeight="1">
      <c r="A3211" s="26" t="s">
        <v>8616</v>
      </c>
      <c r="B3211" s="26" t="s">
        <v>8630</v>
      </c>
      <c r="C3211" s="204" t="s">
        <v>24</v>
      </c>
      <c r="D3211" s="204" t="s">
        <v>2659</v>
      </c>
      <c r="E3211" s="204" t="s">
        <v>2276</v>
      </c>
      <c r="F3211" s="4" t="s">
        <v>28</v>
      </c>
      <c r="G3211" s="204" t="s">
        <v>2276</v>
      </c>
      <c r="H3211" s="204" t="s">
        <v>523</v>
      </c>
      <c r="I3211" s="204"/>
      <c r="J3211" s="204" t="s">
        <v>2276</v>
      </c>
      <c r="K3211" s="204" t="s">
        <v>2276</v>
      </c>
      <c r="L3211" s="204" t="s">
        <v>2276</v>
      </c>
      <c r="M3211" s="204" t="s">
        <v>2276</v>
      </c>
      <c r="N3211" s="204" t="s">
        <v>2276</v>
      </c>
      <c r="O3211" s="204" t="s">
        <v>2276</v>
      </c>
      <c r="P3211" s="204" t="s">
        <v>2276</v>
      </c>
      <c r="Q3211" s="204" t="s">
        <v>2276</v>
      </c>
      <c r="R3211" s="204" t="s">
        <v>2276</v>
      </c>
      <c r="S3211" s="204" t="s">
        <v>2276</v>
      </c>
      <c r="T3211" s="204" t="s">
        <v>2276</v>
      </c>
      <c r="U3211" s="204" t="s">
        <v>2276</v>
      </c>
      <c r="V3211" s="204" t="s">
        <v>2276</v>
      </c>
      <c r="W3211" s="204" t="s">
        <v>2276</v>
      </c>
      <c r="X3211" s="204" t="s">
        <v>2276</v>
      </c>
      <c r="Y3211" s="204" t="s">
        <v>2276</v>
      </c>
      <c r="Z3211" s="204" t="s">
        <v>68</v>
      </c>
      <c r="AA3211" s="204" t="s">
        <v>35</v>
      </c>
      <c r="AB3211" s="204" t="s">
        <v>2276</v>
      </c>
      <c r="AC3211" s="204"/>
      <c r="AD3211" s="204"/>
    </row>
    <row r="3212" spans="1:30" ht="29" customHeight="1">
      <c r="A3212" s="26" t="s">
        <v>8633</v>
      </c>
      <c r="B3212" s="26" t="s">
        <v>8638</v>
      </c>
      <c r="C3212" s="204" t="s">
        <v>24</v>
      </c>
      <c r="D3212" s="204" t="s">
        <v>2659</v>
      </c>
      <c r="E3212" s="204" t="s">
        <v>2276</v>
      </c>
      <c r="F3212" s="4" t="s">
        <v>28</v>
      </c>
      <c r="G3212" s="204" t="s">
        <v>2276</v>
      </c>
      <c r="H3212" s="204" t="s">
        <v>523</v>
      </c>
      <c r="I3212" s="204"/>
      <c r="J3212" s="204" t="s">
        <v>2276</v>
      </c>
      <c r="K3212" s="204" t="s">
        <v>2276</v>
      </c>
      <c r="L3212" s="204" t="s">
        <v>2276</v>
      </c>
      <c r="M3212" s="204" t="s">
        <v>2276</v>
      </c>
      <c r="N3212" s="204" t="s">
        <v>2276</v>
      </c>
      <c r="O3212" s="204" t="s">
        <v>2276</v>
      </c>
      <c r="P3212" s="204" t="s">
        <v>2276</v>
      </c>
      <c r="Q3212" s="204" t="s">
        <v>2276</v>
      </c>
      <c r="R3212" s="204" t="s">
        <v>2276</v>
      </c>
      <c r="S3212" s="204" t="s">
        <v>2276</v>
      </c>
      <c r="T3212" s="204" t="s">
        <v>2276</v>
      </c>
      <c r="U3212" s="204" t="s">
        <v>2276</v>
      </c>
      <c r="V3212" s="204" t="s">
        <v>2276</v>
      </c>
      <c r="W3212" s="204" t="s">
        <v>2276</v>
      </c>
      <c r="X3212" s="204" t="s">
        <v>2276</v>
      </c>
      <c r="Y3212" s="204" t="s">
        <v>2276</v>
      </c>
      <c r="Z3212" s="204" t="s">
        <v>2276</v>
      </c>
      <c r="AA3212" s="204" t="s">
        <v>2276</v>
      </c>
      <c r="AB3212" s="204" t="s">
        <v>2276</v>
      </c>
      <c r="AC3212" s="204"/>
      <c r="AD3212" s="204"/>
    </row>
    <row r="3213" spans="1:30" ht="29" customHeight="1">
      <c r="A3213" s="26" t="s">
        <v>8637</v>
      </c>
      <c r="B3213" s="26" t="s">
        <v>8639</v>
      </c>
      <c r="C3213" s="204" t="s">
        <v>24</v>
      </c>
      <c r="D3213" s="204" t="s">
        <v>2659</v>
      </c>
      <c r="E3213" s="204" t="s">
        <v>84</v>
      </c>
      <c r="F3213" s="4" t="s">
        <v>28</v>
      </c>
      <c r="G3213" s="204" t="s">
        <v>2276</v>
      </c>
      <c r="H3213" s="204" t="s">
        <v>523</v>
      </c>
      <c r="I3213" s="204"/>
      <c r="J3213" s="204" t="s">
        <v>2276</v>
      </c>
      <c r="K3213" s="204" t="s">
        <v>2276</v>
      </c>
      <c r="L3213" s="204" t="s">
        <v>2276</v>
      </c>
      <c r="M3213" s="204" t="s">
        <v>2276</v>
      </c>
      <c r="N3213" s="204" t="s">
        <v>2276</v>
      </c>
      <c r="O3213" s="204" t="s">
        <v>2276</v>
      </c>
      <c r="P3213" s="204" t="s">
        <v>2276</v>
      </c>
      <c r="Q3213" s="204" t="s">
        <v>2276</v>
      </c>
      <c r="R3213" s="204" t="s">
        <v>2276</v>
      </c>
      <c r="S3213" s="204" t="s">
        <v>2276</v>
      </c>
      <c r="T3213" s="204" t="s">
        <v>2276</v>
      </c>
      <c r="U3213" s="204" t="s">
        <v>2276</v>
      </c>
      <c r="V3213" s="204" t="s">
        <v>2276</v>
      </c>
      <c r="W3213" s="204" t="s">
        <v>2276</v>
      </c>
      <c r="X3213" s="204" t="s">
        <v>2276</v>
      </c>
      <c r="Y3213" s="204" t="s">
        <v>2276</v>
      </c>
      <c r="Z3213" s="204" t="s">
        <v>2276</v>
      </c>
      <c r="AA3213" s="204" t="s">
        <v>2276</v>
      </c>
      <c r="AB3213" s="204" t="s">
        <v>2276</v>
      </c>
      <c r="AC3213" s="204"/>
      <c r="AD3213" s="204"/>
    </row>
    <row r="3214" spans="1:30" ht="29" customHeight="1">
      <c r="A3214" s="26" t="s">
        <v>8636</v>
      </c>
      <c r="B3214" s="26" t="s">
        <v>8640</v>
      </c>
      <c r="C3214" s="204" t="s">
        <v>24</v>
      </c>
      <c r="D3214" s="204" t="s">
        <v>2659</v>
      </c>
      <c r="E3214" s="204" t="s">
        <v>84</v>
      </c>
      <c r="F3214" s="4" t="s">
        <v>28</v>
      </c>
      <c r="G3214" s="204" t="s">
        <v>2276</v>
      </c>
      <c r="H3214" s="204" t="s">
        <v>523</v>
      </c>
      <c r="I3214" s="204"/>
      <c r="J3214" s="204" t="s">
        <v>2276</v>
      </c>
      <c r="K3214" s="204" t="s">
        <v>2276</v>
      </c>
      <c r="L3214" s="204" t="s">
        <v>2276</v>
      </c>
      <c r="M3214" s="204" t="s">
        <v>2276</v>
      </c>
      <c r="N3214" s="204" t="s">
        <v>2276</v>
      </c>
      <c r="O3214" s="204" t="s">
        <v>2276</v>
      </c>
      <c r="P3214" s="204" t="s">
        <v>2276</v>
      </c>
      <c r="Q3214" s="204" t="s">
        <v>2276</v>
      </c>
      <c r="R3214" s="204" t="s">
        <v>2276</v>
      </c>
      <c r="S3214" s="204" t="s">
        <v>2276</v>
      </c>
      <c r="T3214" s="204" t="s">
        <v>2276</v>
      </c>
      <c r="U3214" s="204" t="s">
        <v>2276</v>
      </c>
      <c r="V3214" s="204" t="s">
        <v>2276</v>
      </c>
      <c r="W3214" s="204" t="s">
        <v>2276</v>
      </c>
      <c r="X3214" s="204" t="s">
        <v>2276</v>
      </c>
      <c r="Y3214" s="204" t="s">
        <v>2276</v>
      </c>
      <c r="Z3214" s="204" t="s">
        <v>2276</v>
      </c>
      <c r="AA3214" s="204" t="s">
        <v>2276</v>
      </c>
      <c r="AB3214" s="204" t="s">
        <v>2276</v>
      </c>
      <c r="AC3214" s="204"/>
      <c r="AD3214" s="204"/>
    </row>
    <row r="3215" spans="1:30" ht="33.5" customHeight="1">
      <c r="A3215" s="26" t="s">
        <v>8644</v>
      </c>
      <c r="B3215" s="26" t="s">
        <v>8645</v>
      </c>
      <c r="C3215" s="204" t="s">
        <v>24</v>
      </c>
      <c r="D3215" s="204" t="s">
        <v>2659</v>
      </c>
      <c r="E3215" s="204" t="s">
        <v>2276</v>
      </c>
      <c r="F3215" s="4" t="s">
        <v>28</v>
      </c>
      <c r="G3215" s="204" t="s">
        <v>2276</v>
      </c>
      <c r="H3215" s="204" t="s">
        <v>523</v>
      </c>
      <c r="I3215" s="204"/>
      <c r="J3215" s="204" t="s">
        <v>2276</v>
      </c>
      <c r="K3215" s="204" t="s">
        <v>2276</v>
      </c>
      <c r="L3215" s="204" t="s">
        <v>2276</v>
      </c>
      <c r="M3215" s="204" t="s">
        <v>2276</v>
      </c>
      <c r="N3215" s="204" t="s">
        <v>2276</v>
      </c>
      <c r="O3215" s="204" t="s">
        <v>2276</v>
      </c>
      <c r="P3215" s="204" t="s">
        <v>2276</v>
      </c>
      <c r="Q3215" s="204" t="s">
        <v>2276</v>
      </c>
      <c r="R3215" s="204" t="s">
        <v>2276</v>
      </c>
      <c r="S3215" s="204" t="s">
        <v>2276</v>
      </c>
      <c r="T3215" s="21">
        <f>0.25*130000000</f>
        <v>32500000</v>
      </c>
      <c r="U3215" s="21">
        <f>20.5</f>
        <v>20.5</v>
      </c>
      <c r="V3215" s="204" t="s">
        <v>2276</v>
      </c>
      <c r="W3215" s="21">
        <f>$T3215/'Record info'!$K1346</f>
        <v>3.3864749400854435</v>
      </c>
      <c r="X3215" s="204" t="s">
        <v>2276</v>
      </c>
      <c r="Y3215" s="204" t="s">
        <v>2276</v>
      </c>
      <c r="Z3215" s="204" t="s">
        <v>2276</v>
      </c>
      <c r="AA3215" s="204" t="s">
        <v>2276</v>
      </c>
      <c r="AB3215" s="204" t="s">
        <v>2276</v>
      </c>
      <c r="AC3215" s="204"/>
      <c r="AD3215" s="204"/>
    </row>
    <row r="3216" spans="1:30" ht="52.5" customHeight="1">
      <c r="A3216" s="26" t="s">
        <v>8648</v>
      </c>
      <c r="B3216" s="26" t="s">
        <v>8651</v>
      </c>
      <c r="C3216" s="204" t="s">
        <v>24</v>
      </c>
      <c r="D3216" s="204" t="s">
        <v>2659</v>
      </c>
      <c r="E3216" s="4" t="s">
        <v>3854</v>
      </c>
      <c r="F3216" s="4" t="s">
        <v>28</v>
      </c>
      <c r="G3216" s="204" t="s">
        <v>2276</v>
      </c>
      <c r="H3216" s="204" t="s">
        <v>524</v>
      </c>
      <c r="I3216" s="204"/>
      <c r="J3216" s="21">
        <v>0</v>
      </c>
      <c r="K3216" s="21">
        <v>0</v>
      </c>
      <c r="L3216" s="21">
        <v>0</v>
      </c>
      <c r="M3216" s="21">
        <v>0</v>
      </c>
      <c r="N3216" s="21">
        <v>0</v>
      </c>
      <c r="O3216" s="21">
        <v>0</v>
      </c>
      <c r="P3216" s="21">
        <v>0</v>
      </c>
      <c r="Q3216" s="21">
        <v>0</v>
      </c>
      <c r="R3216" s="21">
        <v>0</v>
      </c>
      <c r="S3216" s="21">
        <v>0</v>
      </c>
      <c r="T3216" s="21">
        <v>0</v>
      </c>
      <c r="U3216" s="21">
        <v>0</v>
      </c>
      <c r="V3216" s="21">
        <v>0</v>
      </c>
      <c r="W3216" s="21">
        <v>0</v>
      </c>
      <c r="X3216" s="204" t="s">
        <v>2276</v>
      </c>
      <c r="Y3216" s="204" t="s">
        <v>2276</v>
      </c>
      <c r="Z3216" s="204" t="s">
        <v>2276</v>
      </c>
      <c r="AA3216" s="204" t="s">
        <v>2276</v>
      </c>
      <c r="AB3216" s="204" t="s">
        <v>2276</v>
      </c>
      <c r="AC3216" s="4" t="s">
        <v>8652</v>
      </c>
      <c r="AD3216" s="204"/>
    </row>
    <row r="3217" spans="1:30" ht="52.5" customHeight="1">
      <c r="A3217" s="26" t="s">
        <v>8648</v>
      </c>
      <c r="B3217" s="26" t="s">
        <v>8653</v>
      </c>
      <c r="C3217" s="204" t="s">
        <v>24</v>
      </c>
      <c r="D3217" s="204" t="s">
        <v>2659</v>
      </c>
      <c r="E3217" s="4" t="s">
        <v>3854</v>
      </c>
      <c r="F3217" s="4" t="s">
        <v>28</v>
      </c>
      <c r="G3217" s="204" t="s">
        <v>2276</v>
      </c>
      <c r="H3217" s="204" t="s">
        <v>524</v>
      </c>
      <c r="I3217" s="204"/>
      <c r="J3217" s="21">
        <v>0</v>
      </c>
      <c r="K3217" s="21">
        <v>0</v>
      </c>
      <c r="L3217" s="21">
        <v>0</v>
      </c>
      <c r="M3217" s="21">
        <v>0</v>
      </c>
      <c r="N3217" s="21">
        <v>0</v>
      </c>
      <c r="O3217" s="21">
        <v>0</v>
      </c>
      <c r="P3217" s="21">
        <v>0</v>
      </c>
      <c r="Q3217" s="21">
        <v>0</v>
      </c>
      <c r="R3217" s="21">
        <v>0</v>
      </c>
      <c r="S3217" s="21">
        <v>0</v>
      </c>
      <c r="T3217" s="21">
        <v>0</v>
      </c>
      <c r="U3217" s="21">
        <v>0</v>
      </c>
      <c r="V3217" s="21">
        <v>0</v>
      </c>
      <c r="W3217" s="21">
        <v>0</v>
      </c>
      <c r="X3217" s="204" t="s">
        <v>2276</v>
      </c>
      <c r="Y3217" s="204" t="s">
        <v>2276</v>
      </c>
      <c r="Z3217" s="204" t="s">
        <v>2276</v>
      </c>
      <c r="AA3217" s="204" t="s">
        <v>2276</v>
      </c>
      <c r="AB3217" s="204" t="s">
        <v>2276</v>
      </c>
      <c r="AC3217" s="4" t="s">
        <v>8652</v>
      </c>
      <c r="AD3217" s="204"/>
    </row>
    <row r="3218" spans="1:30" ht="41" customHeight="1">
      <c r="A3218" s="26" t="s">
        <v>8655</v>
      </c>
      <c r="B3218" s="26" t="s">
        <v>8659</v>
      </c>
      <c r="C3218" s="204" t="s">
        <v>24</v>
      </c>
      <c r="D3218" s="204" t="s">
        <v>2659</v>
      </c>
      <c r="E3218" s="4" t="s">
        <v>396</v>
      </c>
      <c r="F3218" s="4" t="s">
        <v>28</v>
      </c>
      <c r="G3218" s="204" t="s">
        <v>2276</v>
      </c>
      <c r="H3218" s="204" t="s">
        <v>523</v>
      </c>
      <c r="I3218" s="204"/>
      <c r="J3218" s="204" t="s">
        <v>2276</v>
      </c>
      <c r="K3218" s="204" t="s">
        <v>2276</v>
      </c>
      <c r="L3218" s="21">
        <v>1E-4</v>
      </c>
      <c r="M3218" s="204" t="s">
        <v>2276</v>
      </c>
      <c r="N3218" s="21">
        <v>1.4999999999999999E-2</v>
      </c>
      <c r="O3218" s="204" t="s">
        <v>2276</v>
      </c>
      <c r="P3218" s="204" t="s">
        <v>2276</v>
      </c>
      <c r="Q3218" s="204" t="s">
        <v>2276</v>
      </c>
      <c r="R3218" s="204" t="s">
        <v>2276</v>
      </c>
      <c r="S3218" s="204" t="s">
        <v>2276</v>
      </c>
      <c r="T3218" s="204" t="s">
        <v>2276</v>
      </c>
      <c r="U3218" s="204" t="s">
        <v>2276</v>
      </c>
      <c r="V3218" s="204" t="s">
        <v>2276</v>
      </c>
      <c r="W3218" s="204" t="s">
        <v>2276</v>
      </c>
      <c r="X3218" s="204" t="s">
        <v>2276</v>
      </c>
      <c r="Y3218" s="204" t="s">
        <v>2276</v>
      </c>
      <c r="Z3218" s="204" t="s">
        <v>34</v>
      </c>
      <c r="AA3218" s="204" t="s">
        <v>34</v>
      </c>
      <c r="AB3218" s="204" t="s">
        <v>2276</v>
      </c>
      <c r="AC3218" s="204"/>
      <c r="AD3218" s="204"/>
    </row>
    <row r="3219" spans="1:30" ht="38" customHeight="1">
      <c r="A3219" s="26" t="s">
        <v>8656</v>
      </c>
      <c r="B3219" s="26" t="s">
        <v>8660</v>
      </c>
      <c r="C3219" s="204" t="s">
        <v>24</v>
      </c>
      <c r="D3219" s="204" t="s">
        <v>2659</v>
      </c>
      <c r="E3219" s="4" t="s">
        <v>396</v>
      </c>
      <c r="F3219" s="4" t="s">
        <v>28</v>
      </c>
      <c r="G3219" s="204" t="s">
        <v>2276</v>
      </c>
      <c r="H3219" s="204" t="s">
        <v>523</v>
      </c>
      <c r="I3219" s="204"/>
      <c r="J3219" s="204" t="s">
        <v>2276</v>
      </c>
      <c r="K3219" s="204" t="s">
        <v>2276</v>
      </c>
      <c r="L3219" s="21">
        <v>1E-4</v>
      </c>
      <c r="M3219" s="204" t="s">
        <v>2276</v>
      </c>
      <c r="N3219" s="21">
        <v>1.4999999999999999E-2</v>
      </c>
      <c r="O3219" s="204" t="s">
        <v>2276</v>
      </c>
      <c r="P3219" s="204" t="s">
        <v>2276</v>
      </c>
      <c r="Q3219" s="204" t="s">
        <v>2276</v>
      </c>
      <c r="R3219" s="204" t="s">
        <v>2276</v>
      </c>
      <c r="S3219" s="204" t="s">
        <v>2276</v>
      </c>
      <c r="T3219" s="204" t="s">
        <v>2276</v>
      </c>
      <c r="U3219" s="204" t="s">
        <v>2276</v>
      </c>
      <c r="V3219" s="204" t="s">
        <v>2276</v>
      </c>
      <c r="W3219" s="204" t="s">
        <v>2276</v>
      </c>
      <c r="X3219" s="204" t="s">
        <v>2276</v>
      </c>
      <c r="Y3219" s="204" t="s">
        <v>2276</v>
      </c>
      <c r="Z3219" s="204" t="s">
        <v>34</v>
      </c>
      <c r="AA3219" s="204" t="s">
        <v>34</v>
      </c>
      <c r="AB3219" s="204" t="s">
        <v>2276</v>
      </c>
      <c r="AC3219" s="204"/>
      <c r="AD3219" s="204"/>
    </row>
    <row r="3220" spans="1:30" ht="33.5" customHeight="1">
      <c r="A3220" s="26" t="s">
        <v>8655</v>
      </c>
      <c r="B3220" s="26" t="s">
        <v>8661</v>
      </c>
      <c r="C3220" s="204" t="s">
        <v>24</v>
      </c>
      <c r="D3220" s="204" t="s">
        <v>2659</v>
      </c>
      <c r="E3220" s="4" t="s">
        <v>396</v>
      </c>
      <c r="F3220" s="4" t="s">
        <v>28</v>
      </c>
      <c r="G3220" s="204" t="s">
        <v>2276</v>
      </c>
      <c r="H3220" s="204" t="s">
        <v>523</v>
      </c>
      <c r="I3220" s="204"/>
      <c r="J3220" s="204" t="s">
        <v>2276</v>
      </c>
      <c r="K3220" s="204" t="s">
        <v>2276</v>
      </c>
      <c r="L3220" s="204" t="s">
        <v>2276</v>
      </c>
      <c r="M3220" s="204" t="s">
        <v>2276</v>
      </c>
      <c r="N3220" s="204" t="s">
        <v>2276</v>
      </c>
      <c r="O3220" s="204" t="s">
        <v>2276</v>
      </c>
      <c r="P3220" s="204" t="s">
        <v>2276</v>
      </c>
      <c r="Q3220" s="204" t="s">
        <v>2276</v>
      </c>
      <c r="R3220" s="204" t="s">
        <v>2276</v>
      </c>
      <c r="S3220" s="204" t="s">
        <v>2276</v>
      </c>
      <c r="T3220" s="204" t="s">
        <v>2276</v>
      </c>
      <c r="U3220" s="204" t="s">
        <v>2276</v>
      </c>
      <c r="V3220" s="204" t="s">
        <v>2276</v>
      </c>
      <c r="W3220" s="204" t="s">
        <v>2276</v>
      </c>
      <c r="X3220" s="204" t="s">
        <v>2276</v>
      </c>
      <c r="Y3220" s="204" t="s">
        <v>2276</v>
      </c>
      <c r="Z3220" s="204" t="s">
        <v>68</v>
      </c>
      <c r="AA3220" s="204" t="s">
        <v>68</v>
      </c>
      <c r="AB3220" s="204" t="s">
        <v>2276</v>
      </c>
      <c r="AC3220" s="204"/>
      <c r="AD3220" s="204"/>
    </row>
    <row r="3221" spans="1:30" ht="51" customHeight="1">
      <c r="A3221" s="26" t="s">
        <v>8656</v>
      </c>
      <c r="B3221" s="26" t="s">
        <v>8662</v>
      </c>
      <c r="C3221" s="204" t="s">
        <v>24</v>
      </c>
      <c r="D3221" s="204" t="s">
        <v>2659</v>
      </c>
      <c r="E3221" s="4" t="s">
        <v>396</v>
      </c>
      <c r="F3221" s="4" t="s">
        <v>28</v>
      </c>
      <c r="G3221" s="204" t="s">
        <v>2276</v>
      </c>
      <c r="H3221" s="204" t="s">
        <v>523</v>
      </c>
      <c r="I3221" s="204"/>
      <c r="J3221" s="204" t="s">
        <v>2276</v>
      </c>
      <c r="K3221" s="204" t="s">
        <v>2276</v>
      </c>
      <c r="L3221" s="204" t="s">
        <v>2276</v>
      </c>
      <c r="M3221" s="204" t="s">
        <v>2276</v>
      </c>
      <c r="N3221" s="204" t="s">
        <v>2276</v>
      </c>
      <c r="O3221" s="204" t="s">
        <v>2276</v>
      </c>
      <c r="P3221" s="204" t="s">
        <v>2276</v>
      </c>
      <c r="Q3221" s="204" t="s">
        <v>2276</v>
      </c>
      <c r="R3221" s="204" t="s">
        <v>2276</v>
      </c>
      <c r="S3221" s="204" t="s">
        <v>2276</v>
      </c>
      <c r="T3221" s="204" t="s">
        <v>2276</v>
      </c>
      <c r="U3221" s="204" t="s">
        <v>2276</v>
      </c>
      <c r="V3221" s="204" t="s">
        <v>2276</v>
      </c>
      <c r="W3221" s="204" t="s">
        <v>2276</v>
      </c>
      <c r="X3221" s="204" t="s">
        <v>2276</v>
      </c>
      <c r="Y3221" s="204" t="s">
        <v>2276</v>
      </c>
      <c r="Z3221" s="204" t="s">
        <v>68</v>
      </c>
      <c r="AA3221" s="204" t="s">
        <v>68</v>
      </c>
      <c r="AB3221" s="204" t="s">
        <v>2276</v>
      </c>
      <c r="AC3221" s="204"/>
      <c r="AD3221" s="204"/>
    </row>
    <row r="3222" spans="1:30" ht="51" customHeight="1">
      <c r="A3222" s="26" t="s">
        <v>8664</v>
      </c>
      <c r="B3222" s="26" t="s">
        <v>8666</v>
      </c>
      <c r="C3222" s="204" t="s">
        <v>24</v>
      </c>
      <c r="D3222" s="204" t="s">
        <v>2659</v>
      </c>
      <c r="E3222" s="204" t="s">
        <v>84</v>
      </c>
      <c r="F3222" s="4" t="s">
        <v>28</v>
      </c>
      <c r="G3222" s="204" t="s">
        <v>2276</v>
      </c>
      <c r="H3222" s="204" t="s">
        <v>523</v>
      </c>
      <c r="I3222" s="204"/>
      <c r="J3222" s="204" t="s">
        <v>2276</v>
      </c>
      <c r="K3222" s="204" t="s">
        <v>2276</v>
      </c>
      <c r="L3222" s="204" t="s">
        <v>2276</v>
      </c>
      <c r="M3222" s="204" t="s">
        <v>2276</v>
      </c>
      <c r="N3222" s="204" t="s">
        <v>2276</v>
      </c>
      <c r="O3222" s="204" t="s">
        <v>2276</v>
      </c>
      <c r="P3222" s="204" t="s">
        <v>2276</v>
      </c>
      <c r="Q3222" s="204" t="s">
        <v>2276</v>
      </c>
      <c r="R3222" s="204" t="s">
        <v>2276</v>
      </c>
      <c r="S3222" s="204" t="s">
        <v>2276</v>
      </c>
      <c r="T3222" s="204" t="s">
        <v>2276</v>
      </c>
      <c r="U3222" s="204" t="s">
        <v>2276</v>
      </c>
      <c r="V3222" s="204" t="s">
        <v>2276</v>
      </c>
      <c r="W3222" s="204" t="s">
        <v>2276</v>
      </c>
      <c r="X3222" s="204" t="s">
        <v>2276</v>
      </c>
      <c r="Y3222" s="204" t="s">
        <v>2276</v>
      </c>
      <c r="Z3222" s="204" t="s">
        <v>425</v>
      </c>
      <c r="AA3222" s="204" t="s">
        <v>35</v>
      </c>
      <c r="AB3222" s="204" t="s">
        <v>2276</v>
      </c>
      <c r="AC3222" s="204"/>
      <c r="AD3222" s="204"/>
    </row>
    <row r="3223" spans="1:30" ht="31" customHeight="1">
      <c r="A3223" s="26" t="s">
        <v>8669</v>
      </c>
      <c r="B3223" s="26" t="s">
        <v>8677</v>
      </c>
      <c r="C3223" s="204" t="s">
        <v>24</v>
      </c>
      <c r="D3223" s="204" t="s">
        <v>2659</v>
      </c>
      <c r="E3223" s="204" t="s">
        <v>2276</v>
      </c>
      <c r="F3223" s="4" t="s">
        <v>28</v>
      </c>
      <c r="G3223" s="204" t="s">
        <v>2276</v>
      </c>
      <c r="H3223" s="204" t="s">
        <v>523</v>
      </c>
      <c r="I3223" s="204"/>
      <c r="J3223" s="204" t="s">
        <v>2276</v>
      </c>
      <c r="K3223" s="204" t="s">
        <v>2276</v>
      </c>
      <c r="L3223" s="204" t="s">
        <v>2276</v>
      </c>
      <c r="M3223" s="204" t="s">
        <v>2276</v>
      </c>
      <c r="N3223" s="204" t="s">
        <v>2276</v>
      </c>
      <c r="O3223" s="204" t="s">
        <v>2276</v>
      </c>
      <c r="P3223" s="204" t="s">
        <v>2276</v>
      </c>
      <c r="Q3223" s="204" t="s">
        <v>2276</v>
      </c>
      <c r="R3223" s="204" t="s">
        <v>2276</v>
      </c>
      <c r="S3223" s="21">
        <f>$U3223*'Record info'!$K1352</f>
        <v>583423.74999999988</v>
      </c>
      <c r="T3223" s="204" t="s">
        <v>2276</v>
      </c>
      <c r="U3223" s="21">
        <v>23</v>
      </c>
      <c r="V3223" s="204" t="s">
        <v>2276</v>
      </c>
      <c r="W3223" s="204" t="s">
        <v>2276</v>
      </c>
      <c r="X3223" s="204" t="s">
        <v>2276</v>
      </c>
      <c r="Y3223" s="204" t="s">
        <v>2276</v>
      </c>
      <c r="Z3223" s="204" t="s">
        <v>2276</v>
      </c>
      <c r="AA3223" s="204" t="s">
        <v>2276</v>
      </c>
      <c r="AB3223" s="204" t="s">
        <v>2276</v>
      </c>
      <c r="AC3223" s="204"/>
      <c r="AD3223" s="204"/>
    </row>
    <row r="3224" spans="1:30" ht="31" customHeight="1">
      <c r="A3224" s="26" t="s">
        <v>8670</v>
      </c>
      <c r="B3224" s="26" t="s">
        <v>8678</v>
      </c>
      <c r="C3224" s="204" t="s">
        <v>24</v>
      </c>
      <c r="D3224" s="204" t="s">
        <v>2659</v>
      </c>
      <c r="E3224" s="204" t="s">
        <v>2276</v>
      </c>
      <c r="F3224" s="4" t="s">
        <v>28</v>
      </c>
      <c r="G3224" s="204" t="s">
        <v>2276</v>
      </c>
      <c r="H3224" s="204" t="s">
        <v>523</v>
      </c>
      <c r="I3224" s="204"/>
      <c r="J3224" s="204" t="s">
        <v>2276</v>
      </c>
      <c r="K3224" s="204" t="s">
        <v>2276</v>
      </c>
      <c r="L3224" s="204" t="s">
        <v>2276</v>
      </c>
      <c r="M3224" s="204" t="s">
        <v>2276</v>
      </c>
      <c r="N3224" s="204" t="s">
        <v>2276</v>
      </c>
      <c r="O3224" s="204" t="s">
        <v>2276</v>
      </c>
      <c r="P3224" s="204" t="s">
        <v>2276</v>
      </c>
      <c r="Q3224" s="204" t="s">
        <v>2276</v>
      </c>
      <c r="R3224" s="204" t="s">
        <v>2276</v>
      </c>
      <c r="S3224" s="21">
        <f>$U3224*'Record info'!$K1353</f>
        <v>233162.50000000003</v>
      </c>
      <c r="T3224" s="204" t="s">
        <v>2276</v>
      </c>
      <c r="U3224" s="21">
        <v>23</v>
      </c>
      <c r="V3224" s="204" t="s">
        <v>2276</v>
      </c>
      <c r="W3224" s="204" t="s">
        <v>2276</v>
      </c>
      <c r="X3224" s="204" t="s">
        <v>2276</v>
      </c>
      <c r="Y3224" s="204" t="s">
        <v>2276</v>
      </c>
      <c r="Z3224" s="204" t="s">
        <v>2276</v>
      </c>
      <c r="AA3224" s="204" t="s">
        <v>2276</v>
      </c>
      <c r="AB3224" s="204" t="s">
        <v>2276</v>
      </c>
      <c r="AC3224" s="204"/>
      <c r="AD3224" s="204"/>
    </row>
    <row r="3225" spans="1:30" ht="31" customHeight="1">
      <c r="A3225" s="26" t="s">
        <v>8671</v>
      </c>
      <c r="B3225" s="26" t="s">
        <v>8679</v>
      </c>
      <c r="C3225" s="204" t="s">
        <v>24</v>
      </c>
      <c r="D3225" s="204" t="s">
        <v>2659</v>
      </c>
      <c r="E3225" s="204" t="s">
        <v>2276</v>
      </c>
      <c r="F3225" s="4" t="s">
        <v>28</v>
      </c>
      <c r="G3225" s="204" t="s">
        <v>2276</v>
      </c>
      <c r="H3225" s="204" t="s">
        <v>523</v>
      </c>
      <c r="I3225" s="204"/>
      <c r="J3225" s="204" t="s">
        <v>2276</v>
      </c>
      <c r="K3225" s="204" t="s">
        <v>2276</v>
      </c>
      <c r="L3225" s="204" t="s">
        <v>2276</v>
      </c>
      <c r="M3225" s="204" t="s">
        <v>2276</v>
      </c>
      <c r="N3225" s="204" t="s">
        <v>2276</v>
      </c>
      <c r="O3225" s="204" t="s">
        <v>2276</v>
      </c>
      <c r="P3225" s="204" t="s">
        <v>2276</v>
      </c>
      <c r="Q3225" s="204" t="s">
        <v>2276</v>
      </c>
      <c r="R3225" s="204" t="s">
        <v>2276</v>
      </c>
      <c r="S3225" s="21">
        <f>$U3225*'Record info'!$K1354</f>
        <v>1339519.9999999998</v>
      </c>
      <c r="T3225" s="204" t="s">
        <v>2276</v>
      </c>
      <c r="U3225" s="21">
        <v>23</v>
      </c>
      <c r="V3225" s="204" t="s">
        <v>2276</v>
      </c>
      <c r="W3225" s="204" t="s">
        <v>2276</v>
      </c>
      <c r="X3225" s="204" t="s">
        <v>2276</v>
      </c>
      <c r="Y3225" s="204" t="s">
        <v>2276</v>
      </c>
      <c r="Z3225" s="204" t="s">
        <v>2276</v>
      </c>
      <c r="AA3225" s="204" t="s">
        <v>2276</v>
      </c>
      <c r="AB3225" s="204" t="s">
        <v>2276</v>
      </c>
      <c r="AC3225" s="204"/>
      <c r="AD3225" s="204"/>
    </row>
    <row r="3226" spans="1:30" ht="36.5" customHeight="1">
      <c r="A3226" s="26" t="s">
        <v>8673</v>
      </c>
      <c r="B3226" s="26" t="s">
        <v>8681</v>
      </c>
      <c r="C3226" s="204" t="s">
        <v>24</v>
      </c>
      <c r="D3226" s="204" t="s">
        <v>2659</v>
      </c>
      <c r="E3226" s="204" t="s">
        <v>2276</v>
      </c>
      <c r="F3226" s="4" t="s">
        <v>28</v>
      </c>
      <c r="G3226" s="204" t="s">
        <v>2276</v>
      </c>
      <c r="H3226" s="204" t="s">
        <v>523</v>
      </c>
      <c r="I3226" s="204"/>
      <c r="J3226" s="204" t="s">
        <v>2276</v>
      </c>
      <c r="K3226" s="204" t="s">
        <v>2276</v>
      </c>
      <c r="L3226" s="204" t="s">
        <v>2276</v>
      </c>
      <c r="M3226" s="204" t="s">
        <v>2276</v>
      </c>
      <c r="N3226" s="204" t="s">
        <v>2276</v>
      </c>
      <c r="O3226" s="204" t="s">
        <v>2276</v>
      </c>
      <c r="P3226" s="204" t="s">
        <v>2276</v>
      </c>
      <c r="Q3226" s="204" t="s">
        <v>2276</v>
      </c>
      <c r="R3226" s="204" t="s">
        <v>2276</v>
      </c>
      <c r="S3226" s="21">
        <f>$U3226*'Record info'!$K1355</f>
        <v>1603382.3478963082</v>
      </c>
      <c r="T3226" s="204" t="s">
        <v>2276</v>
      </c>
      <c r="U3226" s="21">
        <v>48</v>
      </c>
      <c r="V3226" s="204" t="s">
        <v>2276</v>
      </c>
      <c r="W3226" s="204" t="s">
        <v>2276</v>
      </c>
      <c r="X3226" s="204" t="s">
        <v>2276</v>
      </c>
      <c r="Y3226" s="204" t="s">
        <v>2276</v>
      </c>
      <c r="Z3226" s="204" t="s">
        <v>2276</v>
      </c>
      <c r="AA3226" s="204" t="s">
        <v>2276</v>
      </c>
      <c r="AB3226" s="204" t="s">
        <v>2276</v>
      </c>
      <c r="AC3226" s="204"/>
      <c r="AD3226" s="204"/>
    </row>
    <row r="3227" spans="1:30" ht="41.5" customHeight="1">
      <c r="A3227" s="26" t="s">
        <v>8674</v>
      </c>
      <c r="B3227" s="26" t="s">
        <v>8682</v>
      </c>
      <c r="C3227" s="204" t="s">
        <v>24</v>
      </c>
      <c r="D3227" s="204" t="s">
        <v>2659</v>
      </c>
      <c r="E3227" s="204" t="s">
        <v>2276</v>
      </c>
      <c r="F3227" s="4" t="s">
        <v>28</v>
      </c>
      <c r="G3227" s="204" t="s">
        <v>2276</v>
      </c>
      <c r="H3227" s="204" t="s">
        <v>523</v>
      </c>
      <c r="I3227" s="204"/>
      <c r="J3227" s="204" t="s">
        <v>2276</v>
      </c>
      <c r="K3227" s="204" t="s">
        <v>2276</v>
      </c>
      <c r="L3227" s="204" t="s">
        <v>2276</v>
      </c>
      <c r="M3227" s="204" t="s">
        <v>2276</v>
      </c>
      <c r="N3227" s="204" t="s">
        <v>2276</v>
      </c>
      <c r="O3227" s="204" t="s">
        <v>2276</v>
      </c>
      <c r="P3227" s="204" t="s">
        <v>2276</v>
      </c>
      <c r="Q3227" s="204" t="s">
        <v>2276</v>
      </c>
      <c r="R3227" s="204" t="s">
        <v>2276</v>
      </c>
      <c r="S3227" s="21">
        <f>$U3227*'Record info'!$K1356</f>
        <v>1112595.5639809396</v>
      </c>
      <c r="T3227" s="204" t="s">
        <v>2276</v>
      </c>
      <c r="U3227" s="21">
        <v>95</v>
      </c>
      <c r="V3227" s="204" t="s">
        <v>2276</v>
      </c>
      <c r="W3227" s="204" t="s">
        <v>2276</v>
      </c>
      <c r="X3227" s="204" t="s">
        <v>2276</v>
      </c>
      <c r="Y3227" s="204" t="s">
        <v>2276</v>
      </c>
      <c r="Z3227" s="204" t="s">
        <v>2276</v>
      </c>
      <c r="AA3227" s="204" t="s">
        <v>2276</v>
      </c>
      <c r="AB3227" s="204" t="s">
        <v>2276</v>
      </c>
      <c r="AC3227" s="204"/>
      <c r="AD3227" s="204"/>
    </row>
    <row r="3228" spans="1:30" ht="63.5" customHeight="1">
      <c r="A3228" s="26" t="s">
        <v>8683</v>
      </c>
      <c r="B3228" s="26" t="s">
        <v>8684</v>
      </c>
      <c r="C3228" s="204" t="s">
        <v>2458</v>
      </c>
      <c r="D3228" s="204" t="s">
        <v>1105</v>
      </c>
      <c r="E3228" s="204" t="s">
        <v>1105</v>
      </c>
      <c r="F3228" s="204" t="s">
        <v>1105</v>
      </c>
      <c r="G3228" s="204" t="s">
        <v>55</v>
      </c>
      <c r="H3228" s="204" t="s">
        <v>523</v>
      </c>
      <c r="I3228" s="204"/>
      <c r="J3228" s="204" t="s">
        <v>2276</v>
      </c>
      <c r="K3228" s="204" t="s">
        <v>2276</v>
      </c>
      <c r="L3228" s="204" t="s">
        <v>2276</v>
      </c>
      <c r="M3228" s="204" t="s">
        <v>2276</v>
      </c>
      <c r="N3228" s="204" t="s">
        <v>2276</v>
      </c>
      <c r="O3228" s="204" t="s">
        <v>2276</v>
      </c>
      <c r="P3228" s="204" t="s">
        <v>2276</v>
      </c>
      <c r="Q3228" s="204" t="s">
        <v>2276</v>
      </c>
      <c r="R3228" s="204" t="s">
        <v>2276</v>
      </c>
      <c r="S3228" s="204" t="s">
        <v>2276</v>
      </c>
      <c r="T3228" s="204" t="s">
        <v>2276</v>
      </c>
      <c r="U3228" s="204" t="s">
        <v>2276</v>
      </c>
      <c r="V3228" s="204" t="s">
        <v>2276</v>
      </c>
      <c r="W3228" s="204" t="s">
        <v>2276</v>
      </c>
      <c r="X3228" s="204" t="s">
        <v>2276</v>
      </c>
      <c r="Y3228" s="204" t="s">
        <v>2276</v>
      </c>
      <c r="Z3228" s="204" t="s">
        <v>189</v>
      </c>
      <c r="AA3228" s="204" t="s">
        <v>86</v>
      </c>
      <c r="AB3228" s="204" t="s">
        <v>2276</v>
      </c>
      <c r="AC3228" s="4" t="s">
        <v>8693</v>
      </c>
      <c r="AD3228" s="204"/>
    </row>
    <row r="3229" spans="1:30" ht="63.5" customHeight="1">
      <c r="A3229" s="26" t="s">
        <v>8683</v>
      </c>
      <c r="B3229" s="26" t="s">
        <v>8685</v>
      </c>
      <c r="C3229" s="204" t="s">
        <v>2458</v>
      </c>
      <c r="D3229" s="204" t="s">
        <v>1105</v>
      </c>
      <c r="E3229" s="204" t="s">
        <v>1105</v>
      </c>
      <c r="F3229" s="204" t="s">
        <v>1105</v>
      </c>
      <c r="G3229" s="204" t="s">
        <v>55</v>
      </c>
      <c r="H3229" s="204" t="s">
        <v>523</v>
      </c>
      <c r="I3229" s="204"/>
      <c r="J3229" s="204" t="s">
        <v>2276</v>
      </c>
      <c r="K3229" s="204" t="s">
        <v>2276</v>
      </c>
      <c r="L3229" s="204" t="s">
        <v>2276</v>
      </c>
      <c r="M3229" s="204" t="s">
        <v>2276</v>
      </c>
      <c r="N3229" s="204" t="s">
        <v>2276</v>
      </c>
      <c r="O3229" s="204" t="s">
        <v>2276</v>
      </c>
      <c r="P3229" s="204" t="s">
        <v>2276</v>
      </c>
      <c r="Q3229" s="204" t="s">
        <v>2276</v>
      </c>
      <c r="R3229" s="204" t="s">
        <v>2276</v>
      </c>
      <c r="S3229" s="204" t="s">
        <v>2276</v>
      </c>
      <c r="T3229" s="204" t="s">
        <v>2276</v>
      </c>
      <c r="U3229" s="204" t="s">
        <v>2276</v>
      </c>
      <c r="V3229" s="204" t="s">
        <v>2276</v>
      </c>
      <c r="W3229" s="204" t="s">
        <v>2276</v>
      </c>
      <c r="X3229" s="204" t="s">
        <v>2276</v>
      </c>
      <c r="Y3229" s="204" t="s">
        <v>2276</v>
      </c>
      <c r="Z3229" s="204" t="s">
        <v>405</v>
      </c>
      <c r="AA3229" s="204" t="s">
        <v>68</v>
      </c>
      <c r="AB3229" s="204" t="s">
        <v>2276</v>
      </c>
      <c r="AC3229" s="4" t="s">
        <v>8693</v>
      </c>
      <c r="AD3229" s="204"/>
    </row>
    <row r="3230" spans="1:30" ht="63.5" customHeight="1">
      <c r="A3230" s="26" t="s">
        <v>8683</v>
      </c>
      <c r="B3230" s="26" t="s">
        <v>8686</v>
      </c>
      <c r="C3230" s="204" t="s">
        <v>2458</v>
      </c>
      <c r="D3230" s="204" t="s">
        <v>2659</v>
      </c>
      <c r="E3230" s="204" t="s">
        <v>2276</v>
      </c>
      <c r="F3230" s="4" t="s">
        <v>28</v>
      </c>
      <c r="G3230" s="204" t="s">
        <v>55</v>
      </c>
      <c r="H3230" s="204" t="s">
        <v>523</v>
      </c>
      <c r="I3230" s="204"/>
      <c r="J3230" s="204" t="s">
        <v>2276</v>
      </c>
      <c r="K3230" s="204" t="s">
        <v>2276</v>
      </c>
      <c r="L3230" s="204" t="s">
        <v>2276</v>
      </c>
      <c r="M3230" s="204" t="s">
        <v>2276</v>
      </c>
      <c r="N3230" s="204" t="s">
        <v>2276</v>
      </c>
      <c r="O3230" s="204" t="s">
        <v>2276</v>
      </c>
      <c r="P3230" s="204" t="s">
        <v>2276</v>
      </c>
      <c r="Q3230" s="204" t="s">
        <v>2276</v>
      </c>
      <c r="R3230" s="204" t="s">
        <v>2276</v>
      </c>
      <c r="S3230" s="204" t="s">
        <v>2276</v>
      </c>
      <c r="T3230" s="204" t="s">
        <v>2276</v>
      </c>
      <c r="U3230" s="204" t="s">
        <v>2276</v>
      </c>
      <c r="V3230" s="204" t="s">
        <v>2276</v>
      </c>
      <c r="W3230" s="204" t="s">
        <v>2276</v>
      </c>
      <c r="X3230" s="204" t="s">
        <v>2276</v>
      </c>
      <c r="Y3230" s="204" t="s">
        <v>2276</v>
      </c>
      <c r="Z3230" s="204" t="s">
        <v>189</v>
      </c>
      <c r="AA3230" s="204" t="s">
        <v>86</v>
      </c>
      <c r="AB3230" s="204" t="s">
        <v>2276</v>
      </c>
      <c r="AC3230" s="4" t="s">
        <v>8693</v>
      </c>
      <c r="AD3230" s="204"/>
    </row>
    <row r="3231" spans="1:30" ht="63.5" customHeight="1">
      <c r="A3231" s="26" t="s">
        <v>8683</v>
      </c>
      <c r="B3231" s="26" t="s">
        <v>8687</v>
      </c>
      <c r="C3231" s="204" t="s">
        <v>2458</v>
      </c>
      <c r="D3231" s="204" t="s">
        <v>2659</v>
      </c>
      <c r="E3231" s="204" t="s">
        <v>2276</v>
      </c>
      <c r="F3231" s="4" t="s">
        <v>28</v>
      </c>
      <c r="G3231" s="204" t="s">
        <v>55</v>
      </c>
      <c r="H3231" s="204" t="s">
        <v>523</v>
      </c>
      <c r="I3231" s="204"/>
      <c r="J3231" s="204" t="s">
        <v>2276</v>
      </c>
      <c r="K3231" s="204" t="s">
        <v>2276</v>
      </c>
      <c r="L3231" s="204" t="s">
        <v>2276</v>
      </c>
      <c r="M3231" s="204" t="s">
        <v>2276</v>
      </c>
      <c r="N3231" s="204" t="s">
        <v>2276</v>
      </c>
      <c r="O3231" s="204" t="s">
        <v>2276</v>
      </c>
      <c r="P3231" s="204" t="s">
        <v>2276</v>
      </c>
      <c r="Q3231" s="204" t="s">
        <v>2276</v>
      </c>
      <c r="R3231" s="204" t="s">
        <v>2276</v>
      </c>
      <c r="S3231" s="204" t="s">
        <v>2276</v>
      </c>
      <c r="T3231" s="204" t="s">
        <v>2276</v>
      </c>
      <c r="U3231" s="204" t="s">
        <v>2276</v>
      </c>
      <c r="V3231" s="204" t="s">
        <v>2276</v>
      </c>
      <c r="W3231" s="204" t="s">
        <v>2276</v>
      </c>
      <c r="X3231" s="204" t="s">
        <v>2276</v>
      </c>
      <c r="Y3231" s="204" t="s">
        <v>2276</v>
      </c>
      <c r="Z3231" s="204" t="s">
        <v>405</v>
      </c>
      <c r="AA3231" s="204" t="s">
        <v>68</v>
      </c>
      <c r="AB3231" s="204" t="s">
        <v>2276</v>
      </c>
      <c r="AC3231" s="4" t="s">
        <v>8693</v>
      </c>
      <c r="AD3231" s="204"/>
    </row>
    <row r="3232" spans="1:30" ht="63.5" customHeight="1">
      <c r="A3232" s="26" t="s">
        <v>8683</v>
      </c>
      <c r="B3232" s="26" t="s">
        <v>8690</v>
      </c>
      <c r="C3232" s="204" t="s">
        <v>2458</v>
      </c>
      <c r="D3232" s="204" t="s">
        <v>25</v>
      </c>
      <c r="E3232" s="204" t="s">
        <v>45</v>
      </c>
      <c r="F3232" s="204" t="s">
        <v>55</v>
      </c>
      <c r="G3232" s="204" t="s">
        <v>55</v>
      </c>
      <c r="H3232" s="204" t="s">
        <v>523</v>
      </c>
      <c r="I3232" s="204"/>
      <c r="J3232" s="204" t="s">
        <v>2276</v>
      </c>
      <c r="K3232" s="204" t="s">
        <v>2276</v>
      </c>
      <c r="L3232" s="204" t="s">
        <v>2276</v>
      </c>
      <c r="M3232" s="204" t="s">
        <v>2276</v>
      </c>
      <c r="N3232" s="204" t="s">
        <v>2276</v>
      </c>
      <c r="O3232" s="204" t="s">
        <v>2276</v>
      </c>
      <c r="P3232" s="204" t="s">
        <v>2276</v>
      </c>
      <c r="Q3232" s="204" t="s">
        <v>2276</v>
      </c>
      <c r="R3232" s="204" t="s">
        <v>2276</v>
      </c>
      <c r="S3232" s="204" t="s">
        <v>2276</v>
      </c>
      <c r="T3232" s="204" t="s">
        <v>2276</v>
      </c>
      <c r="U3232" s="204" t="s">
        <v>2276</v>
      </c>
      <c r="V3232" s="204" t="s">
        <v>2276</v>
      </c>
      <c r="W3232" s="204" t="s">
        <v>2276</v>
      </c>
      <c r="X3232" s="204" t="s">
        <v>2276</v>
      </c>
      <c r="Y3232" s="204" t="s">
        <v>2276</v>
      </c>
      <c r="Z3232" s="204" t="s">
        <v>189</v>
      </c>
      <c r="AA3232" s="204" t="s">
        <v>86</v>
      </c>
      <c r="AB3232" s="204" t="s">
        <v>2276</v>
      </c>
      <c r="AC3232" s="4" t="s">
        <v>8693</v>
      </c>
      <c r="AD3232" s="204"/>
    </row>
    <row r="3233" spans="1:30" ht="63.5" customHeight="1">
      <c r="A3233" s="26" t="s">
        <v>8683</v>
      </c>
      <c r="B3233" s="26" t="s">
        <v>8691</v>
      </c>
      <c r="C3233" s="204" t="s">
        <v>2458</v>
      </c>
      <c r="D3233" s="204" t="s">
        <v>25</v>
      </c>
      <c r="E3233" s="204" t="s">
        <v>45</v>
      </c>
      <c r="F3233" s="204" t="s">
        <v>55</v>
      </c>
      <c r="G3233" s="204" t="s">
        <v>55</v>
      </c>
      <c r="H3233" s="204" t="s">
        <v>523</v>
      </c>
      <c r="I3233" s="204"/>
      <c r="J3233" s="204" t="s">
        <v>2276</v>
      </c>
      <c r="K3233" s="204" t="s">
        <v>2276</v>
      </c>
      <c r="L3233" s="204" t="s">
        <v>2276</v>
      </c>
      <c r="M3233" s="204" t="s">
        <v>2276</v>
      </c>
      <c r="N3233" s="204" t="s">
        <v>2276</v>
      </c>
      <c r="O3233" s="204" t="s">
        <v>2276</v>
      </c>
      <c r="P3233" s="204" t="s">
        <v>2276</v>
      </c>
      <c r="Q3233" s="204" t="s">
        <v>2276</v>
      </c>
      <c r="R3233" s="204" t="s">
        <v>2276</v>
      </c>
      <c r="S3233" s="204" t="s">
        <v>2276</v>
      </c>
      <c r="T3233" s="204" t="s">
        <v>2276</v>
      </c>
      <c r="U3233" s="204" t="s">
        <v>2276</v>
      </c>
      <c r="V3233" s="204" t="s">
        <v>2276</v>
      </c>
      <c r="W3233" s="204" t="s">
        <v>2276</v>
      </c>
      <c r="X3233" s="204" t="s">
        <v>2276</v>
      </c>
      <c r="Y3233" s="204" t="s">
        <v>2276</v>
      </c>
      <c r="Z3233" s="204" t="s">
        <v>405</v>
      </c>
      <c r="AA3233" s="204" t="s">
        <v>68</v>
      </c>
      <c r="AB3233" s="204" t="s">
        <v>2276</v>
      </c>
      <c r="AC3233" s="4" t="s">
        <v>8693</v>
      </c>
      <c r="AD3233" s="204"/>
    </row>
    <row r="3234" spans="1:30" ht="55" customHeight="1">
      <c r="A3234" s="26" t="s">
        <v>8683</v>
      </c>
      <c r="B3234" s="26" t="s">
        <v>8692</v>
      </c>
      <c r="C3234" s="204" t="s">
        <v>31</v>
      </c>
      <c r="D3234" s="204" t="s">
        <v>30</v>
      </c>
      <c r="E3234" s="204" t="s">
        <v>2653</v>
      </c>
      <c r="F3234" s="204" t="s">
        <v>2276</v>
      </c>
      <c r="G3234" s="204" t="s">
        <v>55</v>
      </c>
      <c r="H3234" s="204" t="s">
        <v>523</v>
      </c>
      <c r="I3234" s="204"/>
      <c r="J3234" s="204" t="s">
        <v>2276</v>
      </c>
      <c r="K3234" s="204" t="s">
        <v>2276</v>
      </c>
      <c r="L3234" s="204" t="s">
        <v>2276</v>
      </c>
      <c r="M3234" s="204" t="s">
        <v>2276</v>
      </c>
      <c r="N3234" s="204" t="s">
        <v>2276</v>
      </c>
      <c r="O3234" s="204" t="s">
        <v>2276</v>
      </c>
      <c r="P3234" s="204" t="s">
        <v>2276</v>
      </c>
      <c r="Q3234" s="204" t="s">
        <v>2276</v>
      </c>
      <c r="R3234" s="204" t="s">
        <v>2276</v>
      </c>
      <c r="S3234" s="204" t="s">
        <v>2276</v>
      </c>
      <c r="T3234" s="204" t="s">
        <v>2276</v>
      </c>
      <c r="U3234" s="204" t="s">
        <v>2276</v>
      </c>
      <c r="V3234" s="204" t="s">
        <v>2276</v>
      </c>
      <c r="W3234" s="204" t="s">
        <v>2276</v>
      </c>
      <c r="X3234" s="204" t="s">
        <v>2276</v>
      </c>
      <c r="Y3234" s="204" t="s">
        <v>2276</v>
      </c>
      <c r="Z3234" s="204" t="s">
        <v>2276</v>
      </c>
      <c r="AA3234" s="204" t="s">
        <v>2276</v>
      </c>
      <c r="AB3234" s="204" t="s">
        <v>2276</v>
      </c>
      <c r="AC3234" s="204"/>
      <c r="AD3234" s="204"/>
    </row>
    <row r="3235" spans="1:30" ht="47" customHeight="1">
      <c r="A3235" s="26" t="s">
        <v>8694</v>
      </c>
      <c r="B3235" s="235" t="s">
        <v>8696</v>
      </c>
      <c r="C3235" s="204" t="s">
        <v>2458</v>
      </c>
      <c r="D3235" s="204" t="s">
        <v>2276</v>
      </c>
      <c r="E3235" s="204" t="s">
        <v>2276</v>
      </c>
      <c r="F3235" s="204" t="s">
        <v>2276</v>
      </c>
      <c r="G3235" s="204" t="s">
        <v>55</v>
      </c>
      <c r="H3235" s="204" t="s">
        <v>523</v>
      </c>
      <c r="I3235" s="204"/>
      <c r="J3235" s="161">
        <f>(799+54)/30/'Record info'!K$1358</f>
        <v>1.1240782031616512E-4</v>
      </c>
      <c r="K3235" s="204" t="s">
        <v>2276</v>
      </c>
      <c r="L3235" s="204" t="s">
        <v>2276</v>
      </c>
      <c r="M3235" s="204" t="s">
        <v>2276</v>
      </c>
      <c r="N3235" s="204" t="s">
        <v>2276</v>
      </c>
      <c r="O3235" s="204" t="s">
        <v>2276</v>
      </c>
      <c r="P3235" s="21">
        <f>(2422232.7 + 921739.15) / (799 + 54)</f>
        <v>3920.2483587338807</v>
      </c>
      <c r="Q3235" s="204" t="s">
        <v>2276</v>
      </c>
      <c r="R3235" s="204" t="s">
        <v>2276</v>
      </c>
      <c r="S3235" s="204" t="s">
        <v>2276</v>
      </c>
      <c r="T3235" s="21">
        <f>(2422232.7 + 921739.15)/30</f>
        <v>111465.72833333333</v>
      </c>
      <c r="U3235" s="204" t="s">
        <v>2276</v>
      </c>
      <c r="V3235" s="204" t="s">
        <v>2276</v>
      </c>
      <c r="W3235" s="204" t="s">
        <v>2276</v>
      </c>
      <c r="X3235" s="21">
        <f>T3235/'Record info'!K$1358</f>
        <v>0.44066657310329921</v>
      </c>
      <c r="Y3235" s="204" t="s">
        <v>2276</v>
      </c>
      <c r="Z3235" s="204" t="s">
        <v>2276</v>
      </c>
      <c r="AA3235" s="204" t="s">
        <v>2276</v>
      </c>
      <c r="AB3235" s="204" t="s">
        <v>2276</v>
      </c>
      <c r="AC3235" s="4" t="s">
        <v>8704</v>
      </c>
      <c r="AD3235" s="204"/>
    </row>
    <row r="3236" spans="1:30" ht="47" customHeight="1">
      <c r="A3236" s="26" t="s">
        <v>8694</v>
      </c>
      <c r="B3236" s="235" t="s">
        <v>8697</v>
      </c>
      <c r="C3236" s="204" t="s">
        <v>2656</v>
      </c>
      <c r="D3236" s="204" t="s">
        <v>2276</v>
      </c>
      <c r="E3236" s="204" t="s">
        <v>2276</v>
      </c>
      <c r="F3236" s="204" t="s">
        <v>2276</v>
      </c>
      <c r="G3236" s="204" t="s">
        <v>55</v>
      </c>
      <c r="H3236" s="204" t="s">
        <v>523</v>
      </c>
      <c r="I3236" s="204"/>
      <c r="J3236" s="161">
        <f>(221)/30/'Record info'!K$1358</f>
        <v>2.9123245357412063E-5</v>
      </c>
      <c r="K3236" s="204" t="s">
        <v>2276</v>
      </c>
      <c r="L3236" s="204" t="s">
        <v>2276</v>
      </c>
      <c r="M3236" s="204" t="s">
        <v>2276</v>
      </c>
      <c r="N3236" s="204" t="s">
        <v>2276</v>
      </c>
      <c r="O3236" s="204" t="s">
        <v>2276</v>
      </c>
      <c r="P3236" s="21">
        <f>1405536.2/221</f>
        <v>6359.8923076923074</v>
      </c>
      <c r="Q3236" s="204" t="s">
        <v>2276</v>
      </c>
      <c r="R3236" s="204" t="s">
        <v>2276</v>
      </c>
      <c r="S3236" s="204" t="s">
        <v>2276</v>
      </c>
      <c r="T3236" s="21">
        <f>1405536.2/30</f>
        <v>46851.206666666665</v>
      </c>
      <c r="U3236" s="204" t="s">
        <v>2276</v>
      </c>
      <c r="V3236" s="204" t="s">
        <v>2276</v>
      </c>
      <c r="W3236" s="204" t="s">
        <v>2276</v>
      </c>
      <c r="X3236" s="21">
        <f>T3236/'Record info'!K$1358</f>
        <v>0.18522070412364069</v>
      </c>
      <c r="Y3236" s="204" t="s">
        <v>2276</v>
      </c>
      <c r="Z3236" s="204" t="s">
        <v>2276</v>
      </c>
      <c r="AA3236" s="204" t="s">
        <v>2276</v>
      </c>
      <c r="AB3236" s="204" t="s">
        <v>2276</v>
      </c>
      <c r="AC3236" s="4" t="s">
        <v>8704</v>
      </c>
      <c r="AD3236" s="204"/>
    </row>
    <row r="3237" spans="1:30" ht="47" customHeight="1">
      <c r="A3237" s="26" t="s">
        <v>8694</v>
      </c>
      <c r="B3237" s="235" t="s">
        <v>8698</v>
      </c>
      <c r="C3237" s="204" t="s">
        <v>31</v>
      </c>
      <c r="D3237" s="204" t="s">
        <v>2276</v>
      </c>
      <c r="E3237" s="204" t="s">
        <v>2653</v>
      </c>
      <c r="F3237" s="204" t="s">
        <v>2276</v>
      </c>
      <c r="G3237" s="204" t="s">
        <v>55</v>
      </c>
      <c r="H3237" s="204" t="s">
        <v>523</v>
      </c>
      <c r="I3237" s="204"/>
      <c r="J3237" s="161">
        <f>(471+363)/30/'Record info'!K$1358</f>
        <v>1.0990401189177222E-4</v>
      </c>
      <c r="K3237" s="204" t="s">
        <v>2276</v>
      </c>
      <c r="L3237" s="204" t="s">
        <v>2276</v>
      </c>
      <c r="M3237" s="204" t="s">
        <v>2276</v>
      </c>
      <c r="N3237" s="204" t="s">
        <v>2276</v>
      </c>
      <c r="O3237" s="204" t="s">
        <v>2276</v>
      </c>
      <c r="P3237" s="21">
        <f>(1702032.7 + 1955319.1) / (471 + 363)</f>
        <v>4385.3139088729013</v>
      </c>
      <c r="Q3237" s="204" t="s">
        <v>2276</v>
      </c>
      <c r="R3237" s="204" t="s">
        <v>2276</v>
      </c>
      <c r="S3237" s="204" t="s">
        <v>2276</v>
      </c>
      <c r="T3237" s="21">
        <f>(1702032.7 + 1955319.1)/30</f>
        <v>121911.72666666665</v>
      </c>
      <c r="U3237" s="204" t="s">
        <v>2276</v>
      </c>
      <c r="V3237" s="204" t="s">
        <v>2276</v>
      </c>
      <c r="W3237" s="204" t="s">
        <v>2276</v>
      </c>
      <c r="X3237" s="21">
        <f>T3237/'Record info'!K$1358</f>
        <v>0.48196359198992145</v>
      </c>
      <c r="Y3237" s="204" t="s">
        <v>2276</v>
      </c>
      <c r="Z3237" s="204" t="s">
        <v>2276</v>
      </c>
      <c r="AA3237" s="204" t="s">
        <v>2276</v>
      </c>
      <c r="AB3237" s="204" t="s">
        <v>2276</v>
      </c>
      <c r="AC3237" s="4" t="s">
        <v>8704</v>
      </c>
      <c r="AD3237" s="204"/>
    </row>
    <row r="3238" spans="1:30" ht="47" customHeight="1">
      <c r="A3238" s="26" t="s">
        <v>8694</v>
      </c>
      <c r="B3238" s="235" t="s">
        <v>8699</v>
      </c>
      <c r="C3238" s="204" t="s">
        <v>2458</v>
      </c>
      <c r="D3238" s="204" t="s">
        <v>2659</v>
      </c>
      <c r="E3238" s="204" t="s">
        <v>2276</v>
      </c>
      <c r="F3238" s="4" t="s">
        <v>28</v>
      </c>
      <c r="G3238" s="204" t="s">
        <v>55</v>
      </c>
      <c r="H3238" s="204" t="s">
        <v>523</v>
      </c>
      <c r="I3238" s="204"/>
      <c r="J3238" s="161">
        <f>(277/2)/30/'Record info'!K$1358</f>
        <v>1.825144561991661E-5</v>
      </c>
      <c r="K3238" s="204" t="s">
        <v>2276</v>
      </c>
      <c r="L3238" s="204" t="s">
        <v>2276</v>
      </c>
      <c r="M3238" s="204" t="s">
        <v>2276</v>
      </c>
      <c r="N3238" s="204" t="s">
        <v>2276</v>
      </c>
      <c r="O3238" s="204" t="s">
        <v>2276</v>
      </c>
      <c r="P3238" s="21">
        <f>1198237.1/2/(277/2)</f>
        <v>4325.7657039711194</v>
      </c>
      <c r="Q3238" s="204" t="s">
        <v>2276</v>
      </c>
      <c r="R3238" s="204" t="s">
        <v>2276</v>
      </c>
      <c r="S3238" s="204" t="s">
        <v>2276</v>
      </c>
      <c r="T3238" s="21">
        <f>1198237.1/2/30</f>
        <v>19970.618333333336</v>
      </c>
      <c r="U3238" s="204" t="s">
        <v>2276</v>
      </c>
      <c r="V3238" s="204" t="s">
        <v>2276</v>
      </c>
      <c r="W3238" s="204" t="s">
        <v>2276</v>
      </c>
      <c r="X3238" s="21">
        <f>T3238/'Record info'!K$1358</f>
        <v>7.8951477510529181E-2</v>
      </c>
      <c r="Y3238" s="204" t="s">
        <v>2276</v>
      </c>
      <c r="Z3238" s="204" t="s">
        <v>38</v>
      </c>
      <c r="AA3238" s="204" t="s">
        <v>86</v>
      </c>
      <c r="AB3238" s="204" t="s">
        <v>64</v>
      </c>
      <c r="AC3238" s="4" t="s">
        <v>8704</v>
      </c>
      <c r="AD3238" s="204"/>
    </row>
    <row r="3239" spans="1:30" ht="47" customHeight="1">
      <c r="A3239" s="26" t="s">
        <v>8694</v>
      </c>
      <c r="B3239" s="235" t="s">
        <v>8700</v>
      </c>
      <c r="C3239" s="204" t="s">
        <v>2458</v>
      </c>
      <c r="D3239" s="204" t="s">
        <v>25</v>
      </c>
      <c r="E3239" s="204" t="s">
        <v>45</v>
      </c>
      <c r="F3239" s="4" t="s">
        <v>29</v>
      </c>
      <c r="G3239" s="204" t="s">
        <v>55</v>
      </c>
      <c r="H3239" s="204" t="s">
        <v>523</v>
      </c>
      <c r="I3239" s="204"/>
      <c r="J3239" s="161">
        <f>(277/2)/30/'Record info'!K$1358</f>
        <v>1.825144561991661E-5</v>
      </c>
      <c r="K3239" s="204" t="s">
        <v>2276</v>
      </c>
      <c r="L3239" s="204" t="s">
        <v>2276</v>
      </c>
      <c r="M3239" s="204" t="s">
        <v>2276</v>
      </c>
      <c r="N3239" s="204" t="s">
        <v>2276</v>
      </c>
      <c r="O3239" s="204" t="s">
        <v>2276</v>
      </c>
      <c r="P3239" s="21">
        <f>1198237.1/2/(277/2)</f>
        <v>4325.7657039711194</v>
      </c>
      <c r="Q3239" s="204" t="s">
        <v>2276</v>
      </c>
      <c r="R3239" s="204" t="s">
        <v>2276</v>
      </c>
      <c r="S3239" s="204" t="s">
        <v>2276</v>
      </c>
      <c r="T3239" s="21">
        <f>1198237.1/2/30</f>
        <v>19970.618333333336</v>
      </c>
      <c r="U3239" s="204" t="s">
        <v>2276</v>
      </c>
      <c r="V3239" s="204" t="s">
        <v>2276</v>
      </c>
      <c r="W3239" s="204" t="s">
        <v>2276</v>
      </c>
      <c r="X3239" s="21">
        <f>T3239/'Record info'!K$1358</f>
        <v>7.8951477510529181E-2</v>
      </c>
      <c r="Y3239" s="204" t="s">
        <v>2276</v>
      </c>
      <c r="Z3239" s="204" t="s">
        <v>38</v>
      </c>
      <c r="AA3239" s="204" t="s">
        <v>86</v>
      </c>
      <c r="AB3239" s="204" t="s">
        <v>64</v>
      </c>
      <c r="AC3239" s="4" t="s">
        <v>8704</v>
      </c>
      <c r="AD3239" s="204"/>
    </row>
    <row r="3240" spans="1:30" ht="47" customHeight="1">
      <c r="A3240" s="26" t="s">
        <v>8694</v>
      </c>
      <c r="B3240" s="235" t="s">
        <v>8701</v>
      </c>
      <c r="C3240" s="204" t="s">
        <v>24</v>
      </c>
      <c r="D3240" s="204" t="s">
        <v>2346</v>
      </c>
      <c r="E3240" s="204" t="s">
        <v>2276</v>
      </c>
      <c r="F3240" s="4" t="s">
        <v>2276</v>
      </c>
      <c r="G3240" s="204" t="s">
        <v>55</v>
      </c>
      <c r="H3240" s="204" t="s">
        <v>523</v>
      </c>
      <c r="I3240" s="204"/>
      <c r="J3240" s="161">
        <f>(173)/30/'Record info'!K$1358</f>
        <v>2.2797834601051073E-5</v>
      </c>
      <c r="K3240" s="204" t="s">
        <v>2276</v>
      </c>
      <c r="L3240" s="204" t="s">
        <v>2276</v>
      </c>
      <c r="M3240" s="204" t="s">
        <v>2276</v>
      </c>
      <c r="N3240" s="204" t="s">
        <v>2276</v>
      </c>
      <c r="O3240" s="204" t="s">
        <v>2276</v>
      </c>
      <c r="P3240" s="21">
        <f>671793.5/173</f>
        <v>3883.1994219653179</v>
      </c>
      <c r="Q3240" s="204" t="s">
        <v>2276</v>
      </c>
      <c r="R3240" s="204" t="s">
        <v>2276</v>
      </c>
      <c r="S3240" s="204" t="s">
        <v>2276</v>
      </c>
      <c r="T3240" s="21">
        <f>671793.5/30</f>
        <v>22393.116666666665</v>
      </c>
      <c r="U3240" s="204" t="s">
        <v>2276</v>
      </c>
      <c r="V3240" s="204" t="s">
        <v>2276</v>
      </c>
      <c r="W3240" s="204" t="s">
        <v>2276</v>
      </c>
      <c r="X3240" s="21">
        <f>T3240/'Record info'!K$1358</f>
        <v>8.8528538144862445E-2</v>
      </c>
      <c r="Y3240" s="204" t="s">
        <v>2276</v>
      </c>
      <c r="Z3240" s="204" t="s">
        <v>2276</v>
      </c>
      <c r="AA3240" s="204" t="s">
        <v>2276</v>
      </c>
      <c r="AB3240" s="204" t="s">
        <v>2276</v>
      </c>
      <c r="AC3240" s="4" t="s">
        <v>8704</v>
      </c>
      <c r="AD3240" s="204"/>
    </row>
    <row r="3241" spans="1:30" ht="47" customHeight="1">
      <c r="A3241" s="26" t="s">
        <v>8694</v>
      </c>
      <c r="B3241" s="235" t="s">
        <v>8702</v>
      </c>
      <c r="C3241" s="204" t="s">
        <v>2458</v>
      </c>
      <c r="D3241" s="204" t="s">
        <v>2994</v>
      </c>
      <c r="E3241" s="204" t="s">
        <v>2276</v>
      </c>
      <c r="F3241" s="4" t="s">
        <v>2276</v>
      </c>
      <c r="G3241" s="204" t="s">
        <v>55</v>
      </c>
      <c r="H3241" s="204" t="s">
        <v>523</v>
      </c>
      <c r="I3241" s="204"/>
      <c r="J3241" s="161">
        <f>(99)/30/'Record info'!K$1358</f>
        <v>1.3046159684994543E-5</v>
      </c>
      <c r="K3241" s="204" t="s">
        <v>2276</v>
      </c>
      <c r="L3241" s="204" t="s">
        <v>2276</v>
      </c>
      <c r="M3241" s="204" t="s">
        <v>2276</v>
      </c>
      <c r="N3241" s="204" t="s">
        <v>2276</v>
      </c>
      <c r="O3241" s="204" t="s">
        <v>2276</v>
      </c>
      <c r="P3241" s="21">
        <f>151324.76/99</f>
        <v>1528.5329292929293</v>
      </c>
      <c r="Q3241" s="204" t="s">
        <v>2276</v>
      </c>
      <c r="R3241" s="204" t="s">
        <v>2276</v>
      </c>
      <c r="S3241" s="204" t="s">
        <v>2276</v>
      </c>
      <c r="T3241" s="21">
        <f>151324.76/30</f>
        <v>5044.1586666666672</v>
      </c>
      <c r="U3241" s="204" t="s">
        <v>2276</v>
      </c>
      <c r="V3241" s="204" t="s">
        <v>2276</v>
      </c>
      <c r="W3241" s="204" t="s">
        <v>2276</v>
      </c>
      <c r="X3241" s="21">
        <f>T3241/'Record info'!K$1358</f>
        <v>1.9941484679328034E-2</v>
      </c>
      <c r="Y3241" s="204" t="s">
        <v>2276</v>
      </c>
      <c r="Z3241" s="204" t="s">
        <v>2276</v>
      </c>
      <c r="AA3241" s="204" t="s">
        <v>2276</v>
      </c>
      <c r="AB3241" s="204" t="s">
        <v>2276</v>
      </c>
      <c r="AC3241" s="4" t="s">
        <v>8704</v>
      </c>
      <c r="AD3241" s="204"/>
    </row>
    <row r="3242" spans="1:30" ht="47" customHeight="1">
      <c r="A3242" s="26" t="s">
        <v>8694</v>
      </c>
      <c r="B3242" s="235" t="s">
        <v>8703</v>
      </c>
      <c r="C3242" s="204" t="s">
        <v>2458</v>
      </c>
      <c r="D3242" s="204" t="s">
        <v>406</v>
      </c>
      <c r="E3242" s="204" t="s">
        <v>2276</v>
      </c>
      <c r="F3242" s="4" t="s">
        <v>2276</v>
      </c>
      <c r="G3242" s="204" t="s">
        <v>55</v>
      </c>
      <c r="H3242" s="204" t="s">
        <v>523</v>
      </c>
      <c r="I3242" s="204"/>
      <c r="J3242" s="161">
        <f>(154)/30/'Record info'!K$1358</f>
        <v>2.0294026176658181E-5</v>
      </c>
      <c r="K3242" s="204" t="s">
        <v>2276</v>
      </c>
      <c r="L3242" s="204" t="s">
        <v>2276</v>
      </c>
      <c r="M3242" s="204" t="s">
        <v>2276</v>
      </c>
      <c r="N3242" s="204" t="s">
        <v>2276</v>
      </c>
      <c r="O3242" s="204" t="s">
        <v>2276</v>
      </c>
      <c r="P3242" s="21">
        <f>22974.26/154</f>
        <v>149.18350649350648</v>
      </c>
      <c r="Q3242" s="204" t="s">
        <v>2276</v>
      </c>
      <c r="R3242" s="204" t="s">
        <v>2276</v>
      </c>
      <c r="S3242" s="204" t="s">
        <v>2276</v>
      </c>
      <c r="T3242" s="21">
        <f>22974.26/30</f>
        <v>765.80866666666657</v>
      </c>
      <c r="U3242" s="204" t="s">
        <v>2276</v>
      </c>
      <c r="V3242" s="204" t="s">
        <v>2276</v>
      </c>
      <c r="W3242" s="204" t="s">
        <v>2276</v>
      </c>
      <c r="X3242" s="21">
        <f>T3242/'Record info'!K$1358</f>
        <v>3.0275339859048762E-3</v>
      </c>
      <c r="Y3242" s="204" t="s">
        <v>2276</v>
      </c>
      <c r="Z3242" s="204" t="s">
        <v>2276</v>
      </c>
      <c r="AA3242" s="204" t="s">
        <v>2276</v>
      </c>
      <c r="AB3242" s="204" t="s">
        <v>2276</v>
      </c>
      <c r="AC3242" s="4" t="s">
        <v>8704</v>
      </c>
      <c r="AD3242" s="204"/>
    </row>
    <row r="3243" spans="1:30" ht="43.5" customHeight="1">
      <c r="A3243" s="26" t="s">
        <v>8707</v>
      </c>
      <c r="B3243" s="26" t="s">
        <v>8709</v>
      </c>
      <c r="C3243" s="204" t="s">
        <v>24</v>
      </c>
      <c r="D3243" s="204" t="s">
        <v>2659</v>
      </c>
      <c r="E3243" s="4" t="s">
        <v>396</v>
      </c>
      <c r="F3243" s="4" t="s">
        <v>28</v>
      </c>
      <c r="G3243" s="4" t="s">
        <v>28</v>
      </c>
      <c r="H3243" s="204" t="s">
        <v>523</v>
      </c>
      <c r="I3243" s="204"/>
      <c r="J3243" s="21">
        <f>100*35/(35*0.9)</f>
        <v>111.11111111111111</v>
      </c>
      <c r="K3243" s="204" t="s">
        <v>2276</v>
      </c>
      <c r="L3243" s="204" t="s">
        <v>2276</v>
      </c>
      <c r="M3243" s="204" t="s">
        <v>2276</v>
      </c>
      <c r="N3243" s="204" t="s">
        <v>2276</v>
      </c>
      <c r="O3243" s="21">
        <v>0.9</v>
      </c>
      <c r="P3243" s="204" t="s">
        <v>2276</v>
      </c>
      <c r="Q3243" s="204" t="s">
        <v>2276</v>
      </c>
      <c r="R3243" s="204" t="s">
        <v>2276</v>
      </c>
      <c r="S3243" s="21">
        <f>35*0.9</f>
        <v>31.5</v>
      </c>
      <c r="T3243" s="204" t="s">
        <v>2276</v>
      </c>
      <c r="U3243" s="21">
        <v>100</v>
      </c>
      <c r="V3243" s="204" t="s">
        <v>2276</v>
      </c>
      <c r="W3243" s="21">
        <v>100</v>
      </c>
      <c r="X3243" s="204" t="s">
        <v>2276</v>
      </c>
      <c r="Y3243" s="21">
        <v>1</v>
      </c>
      <c r="Z3243" s="204" t="s">
        <v>188</v>
      </c>
      <c r="AA3243" s="204" t="s">
        <v>188</v>
      </c>
      <c r="AB3243" s="204" t="s">
        <v>2276</v>
      </c>
      <c r="AC3243" s="204" t="s">
        <v>8713</v>
      </c>
      <c r="AD3243" s="204"/>
    </row>
    <row r="3244" spans="1:30" ht="43.5" customHeight="1">
      <c r="A3244" s="26" t="s">
        <v>8707</v>
      </c>
      <c r="B3244" s="26" t="s">
        <v>8710</v>
      </c>
      <c r="C3244" s="204" t="s">
        <v>24</v>
      </c>
      <c r="D3244" s="204" t="s">
        <v>2659</v>
      </c>
      <c r="E3244" s="4" t="s">
        <v>396</v>
      </c>
      <c r="F3244" s="4" t="s">
        <v>28</v>
      </c>
      <c r="G3244" s="4" t="s">
        <v>28</v>
      </c>
      <c r="H3244" s="204" t="s">
        <v>523</v>
      </c>
      <c r="I3244" s="204"/>
      <c r="J3244" s="21">
        <f>100*35*0.22/(35*0.9)</f>
        <v>24.444444444444443</v>
      </c>
      <c r="K3244" s="204" t="s">
        <v>2276</v>
      </c>
      <c r="L3244" s="204" t="s">
        <v>2276</v>
      </c>
      <c r="M3244" s="204" t="s">
        <v>2276</v>
      </c>
      <c r="N3244" s="204" t="s">
        <v>2276</v>
      </c>
      <c r="O3244" s="21">
        <v>0.9</v>
      </c>
      <c r="P3244" s="204" t="s">
        <v>2276</v>
      </c>
      <c r="Q3244" s="204" t="s">
        <v>2276</v>
      </c>
      <c r="R3244" s="204" t="s">
        <v>2276</v>
      </c>
      <c r="S3244" s="21">
        <f>35*0.9*0.22</f>
        <v>6.93</v>
      </c>
      <c r="T3244" s="204" t="s">
        <v>2276</v>
      </c>
      <c r="U3244" s="21">
        <v>22</v>
      </c>
      <c r="V3244" s="204" t="s">
        <v>2276</v>
      </c>
      <c r="W3244" s="21">
        <v>22</v>
      </c>
      <c r="X3244" s="204" t="s">
        <v>2276</v>
      </c>
      <c r="Y3244" s="204" t="s">
        <v>2276</v>
      </c>
      <c r="Z3244" s="204" t="s">
        <v>86</v>
      </c>
      <c r="AA3244" s="204" t="s">
        <v>86</v>
      </c>
      <c r="AB3244" s="204" t="s">
        <v>2276</v>
      </c>
      <c r="AC3244" s="204" t="s">
        <v>8713</v>
      </c>
      <c r="AD3244" s="204"/>
    </row>
    <row r="3245" spans="1:30" ht="43.5" customHeight="1">
      <c r="A3245" s="26" t="s">
        <v>8707</v>
      </c>
      <c r="B3245" s="26" t="s">
        <v>8711</v>
      </c>
      <c r="C3245" s="204" t="s">
        <v>24</v>
      </c>
      <c r="D3245" s="204" t="s">
        <v>2659</v>
      </c>
      <c r="E3245" s="4" t="s">
        <v>396</v>
      </c>
      <c r="F3245" s="4" t="s">
        <v>28</v>
      </c>
      <c r="G3245" s="4" t="s">
        <v>28</v>
      </c>
      <c r="H3245" s="204" t="s">
        <v>523</v>
      </c>
      <c r="I3245" s="204"/>
      <c r="J3245" s="21">
        <f>100*35*0.05/(35*0.9)</f>
        <v>5.5555555555555554</v>
      </c>
      <c r="K3245" s="204" t="s">
        <v>2276</v>
      </c>
      <c r="L3245" s="204" t="s">
        <v>2276</v>
      </c>
      <c r="M3245" s="204" t="s">
        <v>2276</v>
      </c>
      <c r="N3245" s="204" t="s">
        <v>2276</v>
      </c>
      <c r="O3245" s="21">
        <v>0.9</v>
      </c>
      <c r="P3245" s="204" t="s">
        <v>2276</v>
      </c>
      <c r="Q3245" s="204" t="s">
        <v>2276</v>
      </c>
      <c r="R3245" s="204" t="s">
        <v>2276</v>
      </c>
      <c r="S3245" s="21">
        <f>3.5*0.9*0.01</f>
        <v>3.15E-2</v>
      </c>
      <c r="T3245" s="204" t="s">
        <v>2276</v>
      </c>
      <c r="U3245" s="21">
        <v>1</v>
      </c>
      <c r="V3245" s="204" t="s">
        <v>2276</v>
      </c>
      <c r="W3245" s="21">
        <v>1</v>
      </c>
      <c r="X3245" s="204" t="s">
        <v>2276</v>
      </c>
      <c r="Y3245" s="204" t="s">
        <v>2276</v>
      </c>
      <c r="Z3245" s="204" t="s">
        <v>425</v>
      </c>
      <c r="AA3245" s="204" t="s">
        <v>425</v>
      </c>
      <c r="AB3245" s="204" t="s">
        <v>2276</v>
      </c>
      <c r="AC3245" s="204" t="s">
        <v>8713</v>
      </c>
      <c r="AD3245" s="204"/>
    </row>
    <row r="3246" spans="1:30" ht="49" customHeight="1">
      <c r="A3246" s="26" t="s">
        <v>8717</v>
      </c>
      <c r="B3246" s="26" t="s">
        <v>8718</v>
      </c>
      <c r="C3246" s="204" t="s">
        <v>24</v>
      </c>
      <c r="D3246" s="204" t="s">
        <v>2659</v>
      </c>
      <c r="E3246" s="4" t="s">
        <v>396</v>
      </c>
      <c r="F3246" s="4" t="s">
        <v>28</v>
      </c>
      <c r="G3246" s="4" t="s">
        <v>28</v>
      </c>
      <c r="H3246" s="204" t="s">
        <v>523</v>
      </c>
      <c r="I3246" s="204"/>
      <c r="J3246" s="204" t="s">
        <v>2276</v>
      </c>
      <c r="K3246" s="21">
        <f>0.5*150/(100^2)</f>
        <v>7.4999999999999997E-3</v>
      </c>
      <c r="L3246" s="204" t="s">
        <v>2276</v>
      </c>
      <c r="M3246" s="21">
        <f>2280/(100^2)</f>
        <v>0.22800000000000001</v>
      </c>
      <c r="N3246" s="204" t="s">
        <v>2276</v>
      </c>
      <c r="O3246" s="21">
        <f>0.5*790/(100^2)</f>
        <v>3.95E-2</v>
      </c>
      <c r="P3246" s="204" t="s">
        <v>2276</v>
      </c>
      <c r="Q3246" s="204" t="s">
        <v>2276</v>
      </c>
      <c r="R3246" s="204" t="s">
        <v>2276</v>
      </c>
      <c r="S3246" s="204" t="s">
        <v>2276</v>
      </c>
      <c r="T3246" s="204" t="s">
        <v>2276</v>
      </c>
      <c r="U3246" s="204" t="s">
        <v>2276</v>
      </c>
      <c r="V3246" s="204" t="s">
        <v>2276</v>
      </c>
      <c r="W3246" s="204" t="s">
        <v>2276</v>
      </c>
      <c r="X3246" s="204" t="s">
        <v>2276</v>
      </c>
      <c r="Y3246" s="204" t="s">
        <v>2276</v>
      </c>
      <c r="Z3246" s="204" t="s">
        <v>34</v>
      </c>
      <c r="AA3246" s="204" t="s">
        <v>34</v>
      </c>
      <c r="AB3246" s="204" t="s">
        <v>2276</v>
      </c>
      <c r="AC3246" s="4" t="s">
        <v>8727</v>
      </c>
      <c r="AD3246" s="204" t="s">
        <v>8729</v>
      </c>
    </row>
    <row r="3247" spans="1:30" ht="48" customHeight="1">
      <c r="A3247" s="26" t="s">
        <v>8717</v>
      </c>
      <c r="B3247" s="26" t="s">
        <v>8719</v>
      </c>
      <c r="C3247" s="204" t="s">
        <v>24</v>
      </c>
      <c r="D3247" s="204" t="s">
        <v>2659</v>
      </c>
      <c r="E3247" s="4" t="s">
        <v>397</v>
      </c>
      <c r="F3247" s="4" t="s">
        <v>28</v>
      </c>
      <c r="G3247" s="4" t="s">
        <v>28</v>
      </c>
      <c r="H3247" s="204" t="s">
        <v>523</v>
      </c>
      <c r="I3247" s="204"/>
      <c r="J3247" s="204" t="s">
        <v>2276</v>
      </c>
      <c r="K3247" s="21">
        <f>0.1*150/(100^2)</f>
        <v>1.5E-3</v>
      </c>
      <c r="L3247" s="204" t="s">
        <v>2276</v>
      </c>
      <c r="M3247" s="21">
        <f>0.1*2280/(100^2)</f>
        <v>2.2800000000000001E-2</v>
      </c>
      <c r="N3247" s="204" t="s">
        <v>2276</v>
      </c>
      <c r="O3247" s="21">
        <f>0.1*790/(100^2)</f>
        <v>7.9000000000000008E-3</v>
      </c>
      <c r="P3247" s="204" t="s">
        <v>2276</v>
      </c>
      <c r="Q3247" s="204" t="s">
        <v>2276</v>
      </c>
      <c r="R3247" s="204" t="s">
        <v>2276</v>
      </c>
      <c r="S3247" s="204" t="s">
        <v>2276</v>
      </c>
      <c r="T3247" s="204" t="s">
        <v>2276</v>
      </c>
      <c r="U3247" s="204" t="s">
        <v>2276</v>
      </c>
      <c r="V3247" s="204" t="s">
        <v>2276</v>
      </c>
      <c r="W3247" s="204" t="s">
        <v>2276</v>
      </c>
      <c r="X3247" s="204" t="s">
        <v>2276</v>
      </c>
      <c r="Y3247" s="204" t="s">
        <v>2276</v>
      </c>
      <c r="Z3247" s="204" t="s">
        <v>34</v>
      </c>
      <c r="AA3247" s="204" t="s">
        <v>34</v>
      </c>
      <c r="AB3247" s="204" t="s">
        <v>2276</v>
      </c>
      <c r="AC3247" s="4" t="s">
        <v>8728</v>
      </c>
      <c r="AD3247" s="204" t="s">
        <v>8729</v>
      </c>
    </row>
    <row r="3248" spans="1:30" ht="46" customHeight="1">
      <c r="A3248" s="26" t="s">
        <v>8717</v>
      </c>
      <c r="B3248" s="26" t="s">
        <v>8720</v>
      </c>
      <c r="C3248" s="204" t="s">
        <v>24</v>
      </c>
      <c r="D3248" s="204" t="s">
        <v>2659</v>
      </c>
      <c r="E3248" s="4" t="s">
        <v>396</v>
      </c>
      <c r="F3248" s="4" t="s">
        <v>28</v>
      </c>
      <c r="G3248" s="4" t="s">
        <v>28</v>
      </c>
      <c r="H3248" s="204" t="s">
        <v>523</v>
      </c>
      <c r="I3248" s="204"/>
      <c r="J3248" s="21" t="s">
        <v>2276</v>
      </c>
      <c r="K3248" s="21">
        <v>7.4999999999999997E-3</v>
      </c>
      <c r="L3248" s="21" t="s">
        <v>2276</v>
      </c>
      <c r="M3248" s="21">
        <v>0.22800000000000001</v>
      </c>
      <c r="N3248" s="21" t="s">
        <v>2276</v>
      </c>
      <c r="O3248" s="21">
        <v>3.95E-2</v>
      </c>
      <c r="P3248" s="21" t="s">
        <v>2276</v>
      </c>
      <c r="Q3248" s="21" t="s">
        <v>2276</v>
      </c>
      <c r="R3248" s="21" t="s">
        <v>2276</v>
      </c>
      <c r="S3248" s="21" t="s">
        <v>2276</v>
      </c>
      <c r="T3248" s="21" t="s">
        <v>2276</v>
      </c>
      <c r="U3248" s="204" t="s">
        <v>2276</v>
      </c>
      <c r="V3248" s="204" t="s">
        <v>2276</v>
      </c>
      <c r="W3248" s="204" t="s">
        <v>2276</v>
      </c>
      <c r="X3248" s="204" t="s">
        <v>2276</v>
      </c>
      <c r="Y3248" s="204" t="s">
        <v>2276</v>
      </c>
      <c r="Z3248" s="204" t="s">
        <v>425</v>
      </c>
      <c r="AA3248" s="204" t="s">
        <v>68</v>
      </c>
      <c r="AB3248" s="204" t="s">
        <v>76</v>
      </c>
      <c r="AC3248" s="4" t="s">
        <v>8727</v>
      </c>
      <c r="AD3248" s="204" t="s">
        <v>8729</v>
      </c>
    </row>
    <row r="3249" spans="1:30" ht="43.5" customHeight="1">
      <c r="A3249" s="26" t="s">
        <v>8717</v>
      </c>
      <c r="B3249" s="26" t="s">
        <v>8721</v>
      </c>
      <c r="C3249" s="204" t="s">
        <v>24</v>
      </c>
      <c r="D3249" s="204" t="s">
        <v>2659</v>
      </c>
      <c r="E3249" s="4" t="s">
        <v>397</v>
      </c>
      <c r="F3249" s="4" t="s">
        <v>28</v>
      </c>
      <c r="G3249" s="4" t="s">
        <v>28</v>
      </c>
      <c r="H3249" s="204" t="s">
        <v>523</v>
      </c>
      <c r="I3249" s="38"/>
      <c r="J3249" s="21" t="s">
        <v>2276</v>
      </c>
      <c r="K3249" s="21">
        <v>1.5E-3</v>
      </c>
      <c r="L3249" s="21" t="s">
        <v>2276</v>
      </c>
      <c r="M3249" s="21">
        <v>2.2800000000000001E-2</v>
      </c>
      <c r="N3249" s="21" t="s">
        <v>2276</v>
      </c>
      <c r="O3249" s="21">
        <v>7.9000000000000008E-3</v>
      </c>
      <c r="P3249" s="21" t="s">
        <v>2276</v>
      </c>
      <c r="Q3249" s="21" t="s">
        <v>2276</v>
      </c>
      <c r="R3249" s="21" t="s">
        <v>2276</v>
      </c>
      <c r="S3249" s="21" t="s">
        <v>2276</v>
      </c>
      <c r="T3249" s="21" t="s">
        <v>2276</v>
      </c>
      <c r="U3249" s="204" t="s">
        <v>2276</v>
      </c>
      <c r="V3249" s="204" t="s">
        <v>2276</v>
      </c>
      <c r="W3249" s="204" t="s">
        <v>2276</v>
      </c>
      <c r="X3249" s="204" t="s">
        <v>2276</v>
      </c>
      <c r="Y3249" s="204" t="s">
        <v>2276</v>
      </c>
      <c r="Z3249" s="204" t="s">
        <v>425</v>
      </c>
      <c r="AA3249" s="204" t="s">
        <v>68</v>
      </c>
      <c r="AB3249" s="204" t="s">
        <v>76</v>
      </c>
      <c r="AC3249" s="4" t="s">
        <v>8728</v>
      </c>
      <c r="AD3249" s="204" t="s">
        <v>8729</v>
      </c>
    </row>
    <row r="3250" spans="1:30" ht="43.5" customHeight="1">
      <c r="A3250" s="26" t="s">
        <v>8717</v>
      </c>
      <c r="B3250" s="26" t="s">
        <v>8722</v>
      </c>
      <c r="C3250" s="204" t="s">
        <v>24</v>
      </c>
      <c r="D3250" s="204" t="s">
        <v>2659</v>
      </c>
      <c r="E3250" s="4" t="s">
        <v>1105</v>
      </c>
      <c r="F3250" s="4" t="s">
        <v>28</v>
      </c>
      <c r="G3250" s="4" t="s">
        <v>28</v>
      </c>
      <c r="H3250" s="204" t="s">
        <v>523</v>
      </c>
      <c r="I3250" s="204"/>
      <c r="J3250" s="21" t="s">
        <v>2276</v>
      </c>
      <c r="K3250" s="21">
        <f>AVERAGE(K3248:K3249)</f>
        <v>4.4999999999999997E-3</v>
      </c>
      <c r="L3250" s="21" t="s">
        <v>2276</v>
      </c>
      <c r="M3250" s="21">
        <f>AVERAGE(M3248:M3249)</f>
        <v>0.12540000000000001</v>
      </c>
      <c r="N3250" s="21" t="s">
        <v>2276</v>
      </c>
      <c r="O3250" s="21">
        <f>AVERAGE(O3248:O3249)</f>
        <v>2.3699999999999999E-2</v>
      </c>
      <c r="P3250" s="21" t="s">
        <v>2276</v>
      </c>
      <c r="Q3250" s="21" t="s">
        <v>2276</v>
      </c>
      <c r="R3250" s="21" t="s">
        <v>2276</v>
      </c>
      <c r="S3250" s="21" t="s">
        <v>2276</v>
      </c>
      <c r="T3250" s="21" t="s">
        <v>2276</v>
      </c>
      <c r="U3250" s="204" t="s">
        <v>2276</v>
      </c>
      <c r="V3250" s="204" t="s">
        <v>2276</v>
      </c>
      <c r="W3250" s="204" t="s">
        <v>2276</v>
      </c>
      <c r="X3250" s="204" t="s">
        <v>2276</v>
      </c>
      <c r="Y3250" s="204" t="s">
        <v>2276</v>
      </c>
      <c r="Z3250" s="204" t="s">
        <v>34</v>
      </c>
      <c r="AA3250" s="204" t="s">
        <v>34</v>
      </c>
      <c r="AB3250" s="204" t="s">
        <v>2276</v>
      </c>
      <c r="AC3250" s="204"/>
      <c r="AD3250" s="204"/>
    </row>
    <row r="3251" spans="1:30" ht="43.5" customHeight="1">
      <c r="A3251" s="26" t="s">
        <v>8717</v>
      </c>
      <c r="B3251" s="26" t="s">
        <v>8723</v>
      </c>
      <c r="C3251" s="204" t="s">
        <v>24</v>
      </c>
      <c r="D3251" s="204" t="s">
        <v>2659</v>
      </c>
      <c r="E3251" s="4" t="s">
        <v>1105</v>
      </c>
      <c r="F3251" s="4" t="s">
        <v>28</v>
      </c>
      <c r="G3251" s="4" t="s">
        <v>28</v>
      </c>
      <c r="H3251" s="204" t="s">
        <v>523</v>
      </c>
      <c r="I3251" s="204"/>
      <c r="J3251" s="21" t="s">
        <v>2276</v>
      </c>
      <c r="K3251" s="21">
        <v>4.4999999999999997E-3</v>
      </c>
      <c r="L3251" s="21" t="s">
        <v>2276</v>
      </c>
      <c r="M3251" s="21">
        <v>0.12540000000000001</v>
      </c>
      <c r="N3251" s="21" t="s">
        <v>2276</v>
      </c>
      <c r="O3251" s="21">
        <v>2.3699999999999999E-2</v>
      </c>
      <c r="P3251" s="21" t="s">
        <v>2276</v>
      </c>
      <c r="Q3251" s="21" t="s">
        <v>2276</v>
      </c>
      <c r="R3251" s="21" t="s">
        <v>2276</v>
      </c>
      <c r="S3251" s="21" t="s">
        <v>2276</v>
      </c>
      <c r="T3251" s="21" t="s">
        <v>2276</v>
      </c>
      <c r="U3251" s="204" t="s">
        <v>2276</v>
      </c>
      <c r="V3251" s="204" t="s">
        <v>2276</v>
      </c>
      <c r="W3251" s="204" t="s">
        <v>2276</v>
      </c>
      <c r="X3251" s="204" t="s">
        <v>2276</v>
      </c>
      <c r="Y3251" s="204" t="s">
        <v>2276</v>
      </c>
      <c r="Z3251" s="204" t="s">
        <v>425</v>
      </c>
      <c r="AA3251" s="204" t="s">
        <v>68</v>
      </c>
      <c r="AB3251" s="204" t="s">
        <v>76</v>
      </c>
      <c r="AC3251" s="204"/>
      <c r="AD3251" s="204"/>
    </row>
    <row r="3252" spans="1:30" ht="41" customHeight="1">
      <c r="A3252" s="26" t="s">
        <v>8731</v>
      </c>
      <c r="B3252" s="26" t="s">
        <v>8733</v>
      </c>
      <c r="C3252" s="204" t="s">
        <v>24</v>
      </c>
      <c r="D3252" s="204" t="s">
        <v>2659</v>
      </c>
      <c r="E3252" s="204" t="s">
        <v>84</v>
      </c>
      <c r="F3252" s="4" t="s">
        <v>28</v>
      </c>
      <c r="G3252" s="4" t="s">
        <v>28</v>
      </c>
      <c r="H3252" s="204" t="s">
        <v>523</v>
      </c>
      <c r="I3252" s="204"/>
      <c r="J3252" s="21">
        <f>15069*('Land use'!P1361/SUM('Land use'!O1361:P1361))/'Record info'!K1361</f>
        <v>9.0014863760510849E-2</v>
      </c>
      <c r="K3252" s="21" t="s">
        <v>2276</v>
      </c>
      <c r="L3252" s="21">
        <f>1*0.404686</f>
        <v>0.40468599999999999</v>
      </c>
      <c r="M3252" s="21" t="s">
        <v>2276</v>
      </c>
      <c r="N3252" s="21" t="s">
        <v>2276</v>
      </c>
      <c r="O3252" s="21" t="s">
        <v>2276</v>
      </c>
      <c r="P3252" s="21" t="s">
        <v>2276</v>
      </c>
      <c r="Q3252" s="21" t="s">
        <v>2276</v>
      </c>
      <c r="R3252" s="21" t="s">
        <v>2276</v>
      </c>
      <c r="S3252" s="21" t="s">
        <v>2276</v>
      </c>
      <c r="T3252" s="21" t="s">
        <v>2276</v>
      </c>
      <c r="U3252" s="21" t="s">
        <v>2276</v>
      </c>
      <c r="V3252" s="21" t="s">
        <v>2276</v>
      </c>
      <c r="W3252" s="21" t="s">
        <v>2276</v>
      </c>
      <c r="X3252" s="21" t="s">
        <v>2276</v>
      </c>
      <c r="Y3252" s="21" t="s">
        <v>2276</v>
      </c>
      <c r="Z3252" s="204" t="s">
        <v>189</v>
      </c>
      <c r="AA3252" s="204" t="s">
        <v>34</v>
      </c>
      <c r="AB3252" s="204" t="s">
        <v>2655</v>
      </c>
      <c r="AC3252" s="19" t="s">
        <v>8744</v>
      </c>
      <c r="AD3252" s="19" t="s">
        <v>8745</v>
      </c>
    </row>
    <row r="3253" spans="1:30" ht="39" customHeight="1">
      <c r="A3253" s="26" t="s">
        <v>8731</v>
      </c>
      <c r="B3253" s="26" t="s">
        <v>8734</v>
      </c>
      <c r="C3253" s="204" t="s">
        <v>24</v>
      </c>
      <c r="D3253" s="204" t="s">
        <v>25</v>
      </c>
      <c r="E3253" s="204" t="s">
        <v>45</v>
      </c>
      <c r="F3253" s="4" t="s">
        <v>55</v>
      </c>
      <c r="G3253" s="4" t="s">
        <v>55</v>
      </c>
      <c r="H3253" s="204" t="s">
        <v>523</v>
      </c>
      <c r="I3253" s="204"/>
      <c r="J3253" s="21">
        <f>15069*('Land use'!O1361/SUM('Land use'!O1361:P1361))/'Record info'!K1361</f>
        <v>7.8936406154515599E-3</v>
      </c>
      <c r="K3253" s="21" t="s">
        <v>2276</v>
      </c>
      <c r="L3253" s="21">
        <f>1*0.404686</f>
        <v>0.40468599999999999</v>
      </c>
      <c r="M3253" s="21" t="s">
        <v>2276</v>
      </c>
      <c r="N3253" s="21" t="s">
        <v>2276</v>
      </c>
      <c r="O3253" s="21" t="s">
        <v>2276</v>
      </c>
      <c r="P3253" s="21" t="s">
        <v>2276</v>
      </c>
      <c r="Q3253" s="21" t="s">
        <v>2276</v>
      </c>
      <c r="R3253" s="21" t="s">
        <v>2276</v>
      </c>
      <c r="S3253" s="21" t="s">
        <v>2276</v>
      </c>
      <c r="T3253" s="21" t="s">
        <v>2276</v>
      </c>
      <c r="U3253" s="21" t="s">
        <v>2276</v>
      </c>
      <c r="V3253" s="21" t="s">
        <v>2276</v>
      </c>
      <c r="W3253" s="21" t="s">
        <v>2276</v>
      </c>
      <c r="X3253" s="21" t="s">
        <v>2276</v>
      </c>
      <c r="Y3253" s="21" t="s">
        <v>2276</v>
      </c>
      <c r="Z3253" s="204" t="s">
        <v>189</v>
      </c>
      <c r="AA3253" s="204" t="s">
        <v>34</v>
      </c>
      <c r="AB3253" s="204" t="s">
        <v>2655</v>
      </c>
      <c r="AC3253" s="19" t="s">
        <v>8744</v>
      </c>
      <c r="AD3253" s="19" t="s">
        <v>8745</v>
      </c>
    </row>
    <row r="3254" spans="1:30" ht="66.5" customHeight="1">
      <c r="A3254" s="26" t="s">
        <v>8736</v>
      </c>
      <c r="B3254" s="26" t="s">
        <v>8738</v>
      </c>
      <c r="C3254" s="204" t="s">
        <v>24</v>
      </c>
      <c r="D3254" s="204" t="s">
        <v>2276</v>
      </c>
      <c r="E3254" s="4" t="s">
        <v>1105</v>
      </c>
      <c r="F3254" s="4" t="s">
        <v>2662</v>
      </c>
      <c r="G3254" s="4" t="s">
        <v>2662</v>
      </c>
      <c r="H3254" s="204" t="s">
        <v>523</v>
      </c>
      <c r="I3254" s="204"/>
      <c r="J3254" s="21" t="s">
        <v>2276</v>
      </c>
      <c r="K3254" s="21" t="s">
        <v>2276</v>
      </c>
      <c r="L3254" s="21" t="s">
        <v>2276</v>
      </c>
      <c r="M3254" s="21" t="s">
        <v>2276</v>
      </c>
      <c r="N3254" s="21" t="s">
        <v>2276</v>
      </c>
      <c r="O3254" s="21" t="s">
        <v>2276</v>
      </c>
      <c r="P3254" s="21" t="s">
        <v>2276</v>
      </c>
      <c r="Q3254" s="21" t="s">
        <v>2276</v>
      </c>
      <c r="R3254" s="21" t="s">
        <v>2276</v>
      </c>
      <c r="S3254" s="21" t="s">
        <v>2276</v>
      </c>
      <c r="T3254" s="21">
        <f>461600/0.404686</f>
        <v>1140637.4324785143</v>
      </c>
      <c r="U3254" s="21" t="s">
        <v>2276</v>
      </c>
      <c r="V3254" s="21" t="s">
        <v>2276</v>
      </c>
      <c r="W3254" s="21" t="s">
        <v>2276</v>
      </c>
      <c r="X3254" s="21">
        <f>T3254/'Record info'!K1362</f>
        <v>5.3525923626396725</v>
      </c>
      <c r="Y3254" s="21" t="s">
        <v>2276</v>
      </c>
      <c r="Z3254" s="21" t="s">
        <v>2276</v>
      </c>
      <c r="AA3254" s="21" t="s">
        <v>2276</v>
      </c>
      <c r="AB3254" s="21" t="s">
        <v>2276</v>
      </c>
      <c r="AC3254" s="4" t="s">
        <v>8746</v>
      </c>
      <c r="AD3254" s="204"/>
    </row>
    <row r="3255" spans="1:30" ht="66.5" customHeight="1">
      <c r="A3255" s="26" t="s">
        <v>8737</v>
      </c>
      <c r="B3255" s="26" t="s">
        <v>8740</v>
      </c>
      <c r="C3255" s="204" t="s">
        <v>24</v>
      </c>
      <c r="D3255" s="204" t="s">
        <v>2276</v>
      </c>
      <c r="E3255" s="4" t="s">
        <v>1105</v>
      </c>
      <c r="F3255" s="4" t="s">
        <v>2662</v>
      </c>
      <c r="G3255" s="4" t="s">
        <v>2662</v>
      </c>
      <c r="H3255" s="204" t="s">
        <v>523</v>
      </c>
      <c r="I3255" s="204"/>
      <c r="J3255" s="21" t="s">
        <v>2276</v>
      </c>
      <c r="K3255" s="21" t="s">
        <v>2276</v>
      </c>
      <c r="L3255" s="21" t="s">
        <v>2276</v>
      </c>
      <c r="M3255" s="21" t="s">
        <v>2276</v>
      </c>
      <c r="N3255" s="21" t="s">
        <v>2276</v>
      </c>
      <c r="O3255" s="21" t="s">
        <v>2276</v>
      </c>
      <c r="P3255" s="21" t="s">
        <v>2276</v>
      </c>
      <c r="Q3255" s="21" t="s">
        <v>2276</v>
      </c>
      <c r="R3255" s="21" t="s">
        <v>2276</v>
      </c>
      <c r="S3255" s="21" t="s">
        <v>2276</v>
      </c>
      <c r="T3255" s="21">
        <f>299600/0.404686</f>
        <v>740327.068393767</v>
      </c>
      <c r="U3255" s="21" t="s">
        <v>2276</v>
      </c>
      <c r="V3255" s="21" t="s">
        <v>2276</v>
      </c>
      <c r="W3255" s="21" t="s">
        <v>2276</v>
      </c>
      <c r="X3255" s="21">
        <f>T3255/'Record info'!K1363</f>
        <v>4.0893688494272826</v>
      </c>
      <c r="Y3255" s="21" t="s">
        <v>2276</v>
      </c>
      <c r="Z3255" s="21" t="s">
        <v>2276</v>
      </c>
      <c r="AA3255" s="21" t="s">
        <v>2276</v>
      </c>
      <c r="AB3255" s="21" t="s">
        <v>2276</v>
      </c>
      <c r="AC3255" s="4" t="s">
        <v>8746</v>
      </c>
      <c r="AD3255" s="204"/>
    </row>
    <row r="3256" spans="1:30" ht="66.5" customHeight="1">
      <c r="A3256" s="26" t="s">
        <v>8736</v>
      </c>
      <c r="B3256" s="26" t="s">
        <v>8739</v>
      </c>
      <c r="C3256" s="204" t="s">
        <v>24</v>
      </c>
      <c r="D3256" s="204" t="s">
        <v>2804</v>
      </c>
      <c r="E3256" s="204" t="s">
        <v>45</v>
      </c>
      <c r="F3256" s="4" t="s">
        <v>2662</v>
      </c>
      <c r="G3256" s="4" t="s">
        <v>2662</v>
      </c>
      <c r="H3256" s="204" t="s">
        <v>523</v>
      </c>
      <c r="I3256" s="204"/>
      <c r="J3256" s="21" t="s">
        <v>2276</v>
      </c>
      <c r="K3256" s="21" t="s">
        <v>2276</v>
      </c>
      <c r="L3256" s="21" t="s">
        <v>2276</v>
      </c>
      <c r="M3256" s="21" t="s">
        <v>2276</v>
      </c>
      <c r="N3256" s="21" t="s">
        <v>2276</v>
      </c>
      <c r="O3256" s="21" t="s">
        <v>2276</v>
      </c>
      <c r="P3256" s="21" t="s">
        <v>2276</v>
      </c>
      <c r="Q3256" s="21" t="s">
        <v>2276</v>
      </c>
      <c r="R3256" s="21" t="s">
        <v>2276</v>
      </c>
      <c r="S3256" s="21" t="s">
        <v>2276</v>
      </c>
      <c r="T3256" s="21" t="s">
        <v>2276</v>
      </c>
      <c r="U3256" s="21" t="s">
        <v>2276</v>
      </c>
      <c r="V3256" s="21" t="s">
        <v>2276</v>
      </c>
      <c r="W3256" s="21" t="s">
        <v>2276</v>
      </c>
      <c r="X3256" s="21" t="s">
        <v>2276</v>
      </c>
      <c r="Y3256" s="21" t="s">
        <v>2276</v>
      </c>
      <c r="Z3256" s="21" t="s">
        <v>2276</v>
      </c>
      <c r="AA3256" s="21" t="s">
        <v>2276</v>
      </c>
      <c r="AB3256" s="21" t="s">
        <v>2276</v>
      </c>
      <c r="AC3256" s="4" t="s">
        <v>8746</v>
      </c>
      <c r="AD3256" s="204"/>
    </row>
    <row r="3257" spans="1:30" ht="66.5" customHeight="1">
      <c r="A3257" s="26" t="s">
        <v>8737</v>
      </c>
      <c r="B3257" s="26" t="s">
        <v>8741</v>
      </c>
      <c r="C3257" s="204" t="s">
        <v>24</v>
      </c>
      <c r="D3257" s="204" t="s">
        <v>2804</v>
      </c>
      <c r="E3257" s="204" t="s">
        <v>45</v>
      </c>
      <c r="F3257" s="4" t="s">
        <v>2662</v>
      </c>
      <c r="G3257" s="4" t="s">
        <v>2662</v>
      </c>
      <c r="H3257" s="204" t="s">
        <v>523</v>
      </c>
      <c r="I3257" s="204"/>
      <c r="J3257" s="21" t="s">
        <v>2276</v>
      </c>
      <c r="K3257" s="21" t="s">
        <v>2276</v>
      </c>
      <c r="L3257" s="21" t="s">
        <v>2276</v>
      </c>
      <c r="M3257" s="21" t="s">
        <v>2276</v>
      </c>
      <c r="N3257" s="21" t="s">
        <v>2276</v>
      </c>
      <c r="O3257" s="21" t="s">
        <v>2276</v>
      </c>
      <c r="P3257" s="21" t="s">
        <v>2276</v>
      </c>
      <c r="Q3257" s="21" t="s">
        <v>2276</v>
      </c>
      <c r="R3257" s="21" t="s">
        <v>2276</v>
      </c>
      <c r="S3257" s="21" t="s">
        <v>2276</v>
      </c>
      <c r="T3257" s="21" t="s">
        <v>2276</v>
      </c>
      <c r="U3257" s="21" t="s">
        <v>2276</v>
      </c>
      <c r="V3257" s="21" t="s">
        <v>2276</v>
      </c>
      <c r="W3257" s="21" t="s">
        <v>2276</v>
      </c>
      <c r="X3257" s="21" t="s">
        <v>2276</v>
      </c>
      <c r="Y3257" s="21" t="s">
        <v>2276</v>
      </c>
      <c r="Z3257" s="21" t="s">
        <v>2276</v>
      </c>
      <c r="AA3257" s="21" t="s">
        <v>2276</v>
      </c>
      <c r="AB3257" s="21" t="s">
        <v>2276</v>
      </c>
      <c r="AC3257" s="4" t="s">
        <v>8746</v>
      </c>
      <c r="AD3257" s="204"/>
    </row>
    <row r="3258" spans="1:30" ht="66.5" customHeight="1">
      <c r="A3258" s="26" t="s">
        <v>8736</v>
      </c>
      <c r="B3258" s="26" t="s">
        <v>8742</v>
      </c>
      <c r="C3258" s="204" t="s">
        <v>24</v>
      </c>
      <c r="D3258" s="204" t="s">
        <v>144</v>
      </c>
      <c r="E3258" s="204" t="s">
        <v>137</v>
      </c>
      <c r="F3258" s="4" t="s">
        <v>2662</v>
      </c>
      <c r="G3258" s="4" t="s">
        <v>2662</v>
      </c>
      <c r="H3258" s="204" t="s">
        <v>523</v>
      </c>
      <c r="I3258" s="204"/>
      <c r="J3258" s="21" t="s">
        <v>2276</v>
      </c>
      <c r="K3258" s="21" t="s">
        <v>2276</v>
      </c>
      <c r="L3258" s="21" t="s">
        <v>2276</v>
      </c>
      <c r="M3258" s="21" t="s">
        <v>2276</v>
      </c>
      <c r="N3258" s="21" t="s">
        <v>2276</v>
      </c>
      <c r="O3258" s="21" t="s">
        <v>2276</v>
      </c>
      <c r="P3258" s="21" t="s">
        <v>2276</v>
      </c>
      <c r="Q3258" s="21" t="s">
        <v>2276</v>
      </c>
      <c r="R3258" s="21" t="s">
        <v>2276</v>
      </c>
      <c r="S3258" s="21" t="s">
        <v>2276</v>
      </c>
      <c r="T3258" s="21" t="s">
        <v>2276</v>
      </c>
      <c r="U3258" s="21" t="s">
        <v>2276</v>
      </c>
      <c r="V3258" s="21" t="s">
        <v>2276</v>
      </c>
      <c r="W3258" s="21" t="s">
        <v>2276</v>
      </c>
      <c r="X3258" s="21" t="s">
        <v>2276</v>
      </c>
      <c r="Y3258" s="21" t="s">
        <v>2276</v>
      </c>
      <c r="Z3258" s="21" t="s">
        <v>2276</v>
      </c>
      <c r="AA3258" s="21" t="s">
        <v>2276</v>
      </c>
      <c r="AB3258" s="21" t="s">
        <v>2276</v>
      </c>
      <c r="AC3258" s="4" t="s">
        <v>8746</v>
      </c>
      <c r="AD3258" s="204"/>
    </row>
    <row r="3259" spans="1:30" ht="66.5" customHeight="1">
      <c r="A3259" s="26" t="s">
        <v>8737</v>
      </c>
      <c r="B3259" s="26" t="s">
        <v>8743</v>
      </c>
      <c r="C3259" s="204" t="s">
        <v>24</v>
      </c>
      <c r="D3259" s="204" t="s">
        <v>144</v>
      </c>
      <c r="E3259" s="204" t="s">
        <v>137</v>
      </c>
      <c r="F3259" s="4" t="s">
        <v>2662</v>
      </c>
      <c r="G3259" s="4" t="s">
        <v>2662</v>
      </c>
      <c r="H3259" s="204" t="s">
        <v>523</v>
      </c>
      <c r="I3259" s="204"/>
      <c r="J3259" s="21" t="s">
        <v>2276</v>
      </c>
      <c r="K3259" s="21" t="s">
        <v>2276</v>
      </c>
      <c r="L3259" s="21" t="s">
        <v>2276</v>
      </c>
      <c r="M3259" s="21" t="s">
        <v>2276</v>
      </c>
      <c r="N3259" s="21" t="s">
        <v>2276</v>
      </c>
      <c r="O3259" s="21" t="s">
        <v>2276</v>
      </c>
      <c r="P3259" s="21" t="s">
        <v>2276</v>
      </c>
      <c r="Q3259" s="21" t="s">
        <v>2276</v>
      </c>
      <c r="R3259" s="21" t="s">
        <v>2276</v>
      </c>
      <c r="S3259" s="21" t="s">
        <v>2276</v>
      </c>
      <c r="T3259" s="21" t="s">
        <v>2276</v>
      </c>
      <c r="U3259" s="21" t="s">
        <v>2276</v>
      </c>
      <c r="V3259" s="21" t="s">
        <v>2276</v>
      </c>
      <c r="W3259" s="21" t="s">
        <v>2276</v>
      </c>
      <c r="X3259" s="21" t="s">
        <v>2276</v>
      </c>
      <c r="Y3259" s="21" t="s">
        <v>2276</v>
      </c>
      <c r="Z3259" s="21" t="s">
        <v>2276</v>
      </c>
      <c r="AA3259" s="21" t="s">
        <v>2276</v>
      </c>
      <c r="AB3259" s="21" t="s">
        <v>2276</v>
      </c>
      <c r="AC3259" s="4" t="s">
        <v>8746</v>
      </c>
      <c r="AD3259" s="204"/>
    </row>
    <row r="3260" spans="1:30" ht="48" customHeight="1">
      <c r="A3260" s="26" t="s">
        <v>8748</v>
      </c>
      <c r="B3260" s="26" t="s">
        <v>8751</v>
      </c>
      <c r="C3260" s="204" t="s">
        <v>24</v>
      </c>
      <c r="D3260" s="204" t="s">
        <v>25</v>
      </c>
      <c r="E3260" s="204" t="s">
        <v>45</v>
      </c>
      <c r="F3260" s="4" t="s">
        <v>2662</v>
      </c>
      <c r="G3260" s="4" t="s">
        <v>2662</v>
      </c>
      <c r="H3260" s="204" t="s">
        <v>523</v>
      </c>
      <c r="I3260" s="204"/>
      <c r="J3260" s="21" t="s">
        <v>2276</v>
      </c>
      <c r="K3260" s="21" t="s">
        <v>2276</v>
      </c>
      <c r="L3260" s="21" t="s">
        <v>2276</v>
      </c>
      <c r="M3260" s="21" t="s">
        <v>2276</v>
      </c>
      <c r="N3260" s="21" t="s">
        <v>2276</v>
      </c>
      <c r="O3260" s="21" t="s">
        <v>2276</v>
      </c>
      <c r="P3260" s="21" t="s">
        <v>2276</v>
      </c>
      <c r="Q3260" s="21" t="s">
        <v>2276</v>
      </c>
      <c r="R3260" s="21" t="s">
        <v>2276</v>
      </c>
      <c r="S3260" s="21" t="s">
        <v>2276</v>
      </c>
      <c r="T3260" s="21">
        <v>673400</v>
      </c>
      <c r="U3260" s="21" t="s">
        <v>2276</v>
      </c>
      <c r="V3260" s="21" t="s">
        <v>2276</v>
      </c>
      <c r="W3260" s="21" t="s">
        <v>2276</v>
      </c>
      <c r="X3260" s="21">
        <f>T3260/'Record info'!K$1364</f>
        <v>13.522088353413654</v>
      </c>
      <c r="Y3260" s="21" t="s">
        <v>2276</v>
      </c>
      <c r="Z3260" s="204" t="s">
        <v>189</v>
      </c>
      <c r="AA3260" s="204" t="s">
        <v>86</v>
      </c>
      <c r="AB3260" s="21" t="s">
        <v>2276</v>
      </c>
      <c r="AC3260" s="204" t="s">
        <v>8770</v>
      </c>
      <c r="AD3260" s="204"/>
    </row>
    <row r="3261" spans="1:30" ht="54.5" customHeight="1">
      <c r="A3261" s="26" t="s">
        <v>8748</v>
      </c>
      <c r="B3261" s="26" t="s">
        <v>8752</v>
      </c>
      <c r="C3261" s="204" t="s">
        <v>24</v>
      </c>
      <c r="D3261" s="204" t="s">
        <v>25</v>
      </c>
      <c r="E3261" s="204" t="s">
        <v>45</v>
      </c>
      <c r="F3261" s="4" t="s">
        <v>2662</v>
      </c>
      <c r="G3261" s="4" t="s">
        <v>2662</v>
      </c>
      <c r="H3261" s="204" t="s">
        <v>523</v>
      </c>
      <c r="I3261" s="204"/>
      <c r="J3261" s="21" t="s">
        <v>2276</v>
      </c>
      <c r="K3261" s="21" t="s">
        <v>2276</v>
      </c>
      <c r="L3261" s="21" t="s">
        <v>2276</v>
      </c>
      <c r="M3261" s="21" t="s">
        <v>2276</v>
      </c>
      <c r="N3261" s="21" t="s">
        <v>2276</v>
      </c>
      <c r="O3261" s="21" t="s">
        <v>2276</v>
      </c>
      <c r="P3261" s="21" t="s">
        <v>2276</v>
      </c>
      <c r="Q3261" s="21" t="s">
        <v>2276</v>
      </c>
      <c r="R3261" s="21" t="s">
        <v>2276</v>
      </c>
      <c r="S3261" s="21" t="s">
        <v>2276</v>
      </c>
      <c r="T3261" s="21">
        <v>60000</v>
      </c>
      <c r="U3261" s="21" t="s">
        <v>2276</v>
      </c>
      <c r="V3261" s="21" t="s">
        <v>2276</v>
      </c>
      <c r="W3261" s="21" t="s">
        <v>2276</v>
      </c>
      <c r="X3261" s="21">
        <f>T3261/'Record info'!K$1364</f>
        <v>1.2048192771084338</v>
      </c>
      <c r="Y3261" s="21" t="s">
        <v>2276</v>
      </c>
      <c r="Z3261" s="204" t="s">
        <v>405</v>
      </c>
      <c r="AA3261" s="204" t="s">
        <v>35</v>
      </c>
      <c r="AB3261" s="21" t="s">
        <v>2276</v>
      </c>
      <c r="AC3261" s="204" t="s">
        <v>8770</v>
      </c>
      <c r="AD3261" s="204"/>
    </row>
    <row r="3262" spans="1:30" ht="33.5" customHeight="1">
      <c r="A3262" s="26" t="s">
        <v>8748</v>
      </c>
      <c r="B3262" s="26" t="s">
        <v>8753</v>
      </c>
      <c r="C3262" s="204" t="s">
        <v>24</v>
      </c>
      <c r="D3262" s="204" t="s">
        <v>2659</v>
      </c>
      <c r="E3262" s="204" t="s">
        <v>84</v>
      </c>
      <c r="F3262" s="4" t="s">
        <v>28</v>
      </c>
      <c r="G3262" s="4" t="s">
        <v>28</v>
      </c>
      <c r="H3262" s="204" t="s">
        <v>523</v>
      </c>
      <c r="I3262" s="204"/>
      <c r="J3262" s="21" t="s">
        <v>2276</v>
      </c>
      <c r="K3262" s="21" t="s">
        <v>2276</v>
      </c>
      <c r="L3262" s="21" t="s">
        <v>2276</v>
      </c>
      <c r="M3262" s="21" t="s">
        <v>2276</v>
      </c>
      <c r="N3262" s="21" t="s">
        <v>2276</v>
      </c>
      <c r="O3262" s="21" t="s">
        <v>2276</v>
      </c>
      <c r="P3262" s="21" t="s">
        <v>2276</v>
      </c>
      <c r="Q3262" s="21" t="s">
        <v>2276</v>
      </c>
      <c r="R3262" s="21" t="s">
        <v>2276</v>
      </c>
      <c r="S3262" s="21" t="s">
        <v>2276</v>
      </c>
      <c r="T3262" s="21" t="s">
        <v>2276</v>
      </c>
      <c r="U3262" s="21" t="s">
        <v>2276</v>
      </c>
      <c r="V3262" s="21" t="s">
        <v>2276</v>
      </c>
      <c r="W3262" s="21" t="s">
        <v>2276</v>
      </c>
      <c r="X3262" s="21" t="s">
        <v>2276</v>
      </c>
      <c r="Y3262" s="21" t="s">
        <v>2276</v>
      </c>
      <c r="Z3262" s="204" t="s">
        <v>189</v>
      </c>
      <c r="AA3262" s="204" t="s">
        <v>86</v>
      </c>
      <c r="AB3262" s="21" t="s">
        <v>2276</v>
      </c>
      <c r="AC3262" s="204"/>
      <c r="AD3262" s="204"/>
    </row>
    <row r="3263" spans="1:30" ht="33.5" customHeight="1">
      <c r="A3263" s="26" t="s">
        <v>8748</v>
      </c>
      <c r="B3263" s="26" t="s">
        <v>8754</v>
      </c>
      <c r="C3263" s="204" t="s">
        <v>24</v>
      </c>
      <c r="D3263" s="204" t="s">
        <v>2659</v>
      </c>
      <c r="E3263" s="204" t="s">
        <v>84</v>
      </c>
      <c r="F3263" s="4" t="s">
        <v>28</v>
      </c>
      <c r="G3263" s="4" t="s">
        <v>28</v>
      </c>
      <c r="H3263" s="204" t="s">
        <v>523</v>
      </c>
      <c r="I3263" s="204"/>
      <c r="J3263" s="21" t="s">
        <v>2276</v>
      </c>
      <c r="K3263" s="21" t="s">
        <v>2276</v>
      </c>
      <c r="L3263" s="21" t="s">
        <v>2276</v>
      </c>
      <c r="M3263" s="21" t="s">
        <v>2276</v>
      </c>
      <c r="N3263" s="21" t="s">
        <v>2276</v>
      </c>
      <c r="O3263" s="21" t="s">
        <v>2276</v>
      </c>
      <c r="P3263" s="21" t="s">
        <v>2276</v>
      </c>
      <c r="Q3263" s="21" t="s">
        <v>2276</v>
      </c>
      <c r="R3263" s="21" t="s">
        <v>2276</v>
      </c>
      <c r="S3263" s="21" t="s">
        <v>2276</v>
      </c>
      <c r="T3263" s="21" t="s">
        <v>2276</v>
      </c>
      <c r="U3263" s="21" t="s">
        <v>2276</v>
      </c>
      <c r="V3263" s="21" t="s">
        <v>2276</v>
      </c>
      <c r="W3263" s="21" t="s">
        <v>2276</v>
      </c>
      <c r="X3263" s="21" t="s">
        <v>2276</v>
      </c>
      <c r="Y3263" s="21" t="s">
        <v>2276</v>
      </c>
      <c r="Z3263" s="204" t="s">
        <v>405</v>
      </c>
      <c r="AA3263" s="204" t="s">
        <v>35</v>
      </c>
      <c r="AB3263" s="21" t="s">
        <v>2276</v>
      </c>
      <c r="AC3263" s="204"/>
      <c r="AD3263" s="204"/>
    </row>
    <row r="3264" spans="1:30" ht="31" customHeight="1">
      <c r="A3264" s="26" t="s">
        <v>8755</v>
      </c>
      <c r="B3264" s="26" t="s">
        <v>8759</v>
      </c>
      <c r="C3264" s="204" t="s">
        <v>24</v>
      </c>
      <c r="D3264" s="204" t="s">
        <v>25</v>
      </c>
      <c r="E3264" s="204" t="s">
        <v>45</v>
      </c>
      <c r="F3264" s="4" t="s">
        <v>55</v>
      </c>
      <c r="G3264" s="4" t="s">
        <v>55</v>
      </c>
      <c r="H3264" s="204" t="s">
        <v>523</v>
      </c>
      <c r="I3264" s="204"/>
      <c r="J3264" s="21" t="s">
        <v>2276</v>
      </c>
      <c r="K3264" s="21" t="s">
        <v>2276</v>
      </c>
      <c r="L3264" s="21" t="s">
        <v>2276</v>
      </c>
      <c r="M3264" s="21" t="s">
        <v>2276</v>
      </c>
      <c r="N3264" s="21" t="s">
        <v>2276</v>
      </c>
      <c r="O3264" s="21" t="s">
        <v>2276</v>
      </c>
      <c r="P3264" s="21" t="s">
        <v>2276</v>
      </c>
      <c r="Q3264" s="21" t="s">
        <v>2276</v>
      </c>
      <c r="R3264" s="21" t="s">
        <v>2276</v>
      </c>
      <c r="S3264" s="21" t="s">
        <v>2276</v>
      </c>
      <c r="T3264" s="21" t="s">
        <v>2276</v>
      </c>
      <c r="U3264" s="21" t="s">
        <v>2276</v>
      </c>
      <c r="V3264" s="21" t="s">
        <v>2276</v>
      </c>
      <c r="W3264" s="21" t="s">
        <v>2276</v>
      </c>
      <c r="X3264" s="21" t="s">
        <v>2276</v>
      </c>
      <c r="Y3264" s="21" t="s">
        <v>2276</v>
      </c>
      <c r="Z3264" s="204" t="s">
        <v>189</v>
      </c>
      <c r="AA3264" s="204" t="s">
        <v>86</v>
      </c>
      <c r="AB3264" s="21" t="s">
        <v>2276</v>
      </c>
      <c r="AC3264" s="74" t="s">
        <v>8763</v>
      </c>
      <c r="AD3264" s="204"/>
    </row>
    <row r="3265" spans="1:30" ht="31" customHeight="1">
      <c r="A3265" s="26" t="s">
        <v>8755</v>
      </c>
      <c r="B3265" s="26" t="s">
        <v>8760</v>
      </c>
      <c r="C3265" s="204" t="s">
        <v>24</v>
      </c>
      <c r="D3265" s="204" t="s">
        <v>25</v>
      </c>
      <c r="E3265" s="204" t="s">
        <v>45</v>
      </c>
      <c r="F3265" s="4" t="s">
        <v>55</v>
      </c>
      <c r="G3265" s="4" t="s">
        <v>55</v>
      </c>
      <c r="H3265" s="204" t="s">
        <v>523</v>
      </c>
      <c r="I3265" s="204"/>
      <c r="J3265" s="21" t="s">
        <v>2276</v>
      </c>
      <c r="K3265" s="21" t="s">
        <v>2276</v>
      </c>
      <c r="L3265" s="21" t="s">
        <v>2276</v>
      </c>
      <c r="M3265" s="21" t="s">
        <v>2276</v>
      </c>
      <c r="N3265" s="21" t="s">
        <v>2276</v>
      </c>
      <c r="O3265" s="21" t="s">
        <v>2276</v>
      </c>
      <c r="P3265" s="21" t="s">
        <v>2276</v>
      </c>
      <c r="Q3265" s="21" t="s">
        <v>2276</v>
      </c>
      <c r="R3265" s="21" t="s">
        <v>2276</v>
      </c>
      <c r="S3265" s="21" t="s">
        <v>2276</v>
      </c>
      <c r="T3265" s="21" t="s">
        <v>2276</v>
      </c>
      <c r="U3265" s="21" t="s">
        <v>2276</v>
      </c>
      <c r="V3265" s="21" t="s">
        <v>2276</v>
      </c>
      <c r="W3265" s="21" t="s">
        <v>2276</v>
      </c>
      <c r="X3265" s="21" t="s">
        <v>2276</v>
      </c>
      <c r="Y3265" s="21" t="s">
        <v>2276</v>
      </c>
      <c r="Z3265" s="204" t="s">
        <v>405</v>
      </c>
      <c r="AA3265" s="204" t="s">
        <v>35</v>
      </c>
      <c r="AB3265" s="21" t="s">
        <v>2276</v>
      </c>
      <c r="AC3265" s="74" t="s">
        <v>8763</v>
      </c>
      <c r="AD3265" s="204"/>
    </row>
    <row r="3266" spans="1:30" ht="31" customHeight="1">
      <c r="A3266" s="26" t="s">
        <v>8755</v>
      </c>
      <c r="B3266" s="26" t="s">
        <v>8761</v>
      </c>
      <c r="C3266" s="204" t="s">
        <v>24</v>
      </c>
      <c r="D3266" s="204" t="s">
        <v>2659</v>
      </c>
      <c r="E3266" s="204" t="s">
        <v>84</v>
      </c>
      <c r="F3266" s="4" t="s">
        <v>28</v>
      </c>
      <c r="G3266" s="4" t="s">
        <v>28</v>
      </c>
      <c r="H3266" s="204" t="s">
        <v>523</v>
      </c>
      <c r="I3266" s="204"/>
      <c r="J3266" s="21" t="s">
        <v>2276</v>
      </c>
      <c r="K3266" s="21" t="s">
        <v>2276</v>
      </c>
      <c r="L3266" s="21" t="s">
        <v>2276</v>
      </c>
      <c r="M3266" s="21" t="s">
        <v>2276</v>
      </c>
      <c r="N3266" s="21" t="s">
        <v>2276</v>
      </c>
      <c r="O3266" s="21" t="s">
        <v>2276</v>
      </c>
      <c r="P3266" s="21" t="s">
        <v>2276</v>
      </c>
      <c r="Q3266" s="21" t="s">
        <v>2276</v>
      </c>
      <c r="R3266" s="21" t="s">
        <v>2276</v>
      </c>
      <c r="S3266" s="21" t="s">
        <v>2276</v>
      </c>
      <c r="T3266" s="21" t="s">
        <v>2276</v>
      </c>
      <c r="U3266" s="21" t="s">
        <v>2276</v>
      </c>
      <c r="V3266" s="21" t="s">
        <v>2276</v>
      </c>
      <c r="W3266" s="21" t="s">
        <v>2276</v>
      </c>
      <c r="X3266" s="21" t="s">
        <v>2276</v>
      </c>
      <c r="Y3266" s="21" t="s">
        <v>2276</v>
      </c>
      <c r="Z3266" s="204" t="s">
        <v>189</v>
      </c>
      <c r="AA3266" s="204" t="s">
        <v>86</v>
      </c>
      <c r="AB3266" s="21" t="s">
        <v>2276</v>
      </c>
      <c r="AC3266" s="74" t="s">
        <v>8763</v>
      </c>
      <c r="AD3266" s="204"/>
    </row>
    <row r="3267" spans="1:30" ht="31" customHeight="1">
      <c r="A3267" s="26" t="s">
        <v>8755</v>
      </c>
      <c r="B3267" s="26" t="s">
        <v>8762</v>
      </c>
      <c r="C3267" s="204" t="s">
        <v>24</v>
      </c>
      <c r="D3267" s="204" t="s">
        <v>2659</v>
      </c>
      <c r="E3267" s="204" t="s">
        <v>84</v>
      </c>
      <c r="F3267" s="4" t="s">
        <v>28</v>
      </c>
      <c r="G3267" s="4" t="s">
        <v>28</v>
      </c>
      <c r="H3267" s="204" t="s">
        <v>523</v>
      </c>
      <c r="I3267" s="204"/>
      <c r="J3267" s="21" t="s">
        <v>2276</v>
      </c>
      <c r="K3267" s="21" t="s">
        <v>2276</v>
      </c>
      <c r="L3267" s="21" t="s">
        <v>2276</v>
      </c>
      <c r="M3267" s="21" t="s">
        <v>2276</v>
      </c>
      <c r="N3267" s="21" t="s">
        <v>2276</v>
      </c>
      <c r="O3267" s="21" t="s">
        <v>2276</v>
      </c>
      <c r="P3267" s="21" t="s">
        <v>2276</v>
      </c>
      <c r="Q3267" s="21" t="s">
        <v>2276</v>
      </c>
      <c r="R3267" s="21" t="s">
        <v>2276</v>
      </c>
      <c r="S3267" s="21" t="s">
        <v>2276</v>
      </c>
      <c r="T3267" s="21" t="s">
        <v>2276</v>
      </c>
      <c r="U3267" s="21" t="s">
        <v>2276</v>
      </c>
      <c r="V3267" s="21" t="s">
        <v>2276</v>
      </c>
      <c r="W3267" s="21" t="s">
        <v>2276</v>
      </c>
      <c r="X3267" s="21" t="s">
        <v>2276</v>
      </c>
      <c r="Y3267" s="21" t="s">
        <v>2276</v>
      </c>
      <c r="Z3267" s="204" t="s">
        <v>405</v>
      </c>
      <c r="AA3267" s="204" t="s">
        <v>35</v>
      </c>
      <c r="AB3267" s="21" t="s">
        <v>2276</v>
      </c>
      <c r="AC3267" s="74" t="s">
        <v>8763</v>
      </c>
      <c r="AD3267" s="204"/>
    </row>
    <row r="3268" spans="1:30" ht="34.5" customHeight="1">
      <c r="A3268" s="26" t="s">
        <v>8756</v>
      </c>
      <c r="B3268" s="26" t="s">
        <v>8764</v>
      </c>
      <c r="C3268" s="204" t="s">
        <v>24</v>
      </c>
      <c r="D3268" s="204" t="s">
        <v>25</v>
      </c>
      <c r="E3268" s="204" t="s">
        <v>45</v>
      </c>
      <c r="F3268" s="4" t="s">
        <v>55</v>
      </c>
      <c r="G3268" s="4" t="s">
        <v>55</v>
      </c>
      <c r="H3268" s="204" t="s">
        <v>523</v>
      </c>
      <c r="I3268" s="204"/>
      <c r="J3268" s="21" t="s">
        <v>2276</v>
      </c>
      <c r="K3268" s="21" t="s">
        <v>2276</v>
      </c>
      <c r="L3268" s="21" t="s">
        <v>2276</v>
      </c>
      <c r="M3268" s="21" t="s">
        <v>2276</v>
      </c>
      <c r="N3268" s="21" t="s">
        <v>2276</v>
      </c>
      <c r="O3268" s="21" t="s">
        <v>2276</v>
      </c>
      <c r="P3268" s="21" t="s">
        <v>2276</v>
      </c>
      <c r="Q3268" s="21" t="s">
        <v>2276</v>
      </c>
      <c r="R3268" s="21" t="s">
        <v>2276</v>
      </c>
      <c r="S3268" s="21" t="s">
        <v>2276</v>
      </c>
      <c r="T3268" s="21" t="s">
        <v>2276</v>
      </c>
      <c r="U3268" s="21" t="s">
        <v>2276</v>
      </c>
      <c r="V3268" s="21" t="s">
        <v>2276</v>
      </c>
      <c r="W3268" s="21" t="s">
        <v>2276</v>
      </c>
      <c r="X3268" s="21" t="s">
        <v>2276</v>
      </c>
      <c r="Y3268" s="21" t="s">
        <v>2276</v>
      </c>
      <c r="Z3268" s="204" t="s">
        <v>189</v>
      </c>
      <c r="AA3268" s="204" t="s">
        <v>86</v>
      </c>
      <c r="AB3268" s="21" t="s">
        <v>2276</v>
      </c>
      <c r="AC3268" s="74" t="s">
        <v>8763</v>
      </c>
      <c r="AD3268" s="204"/>
    </row>
    <row r="3269" spans="1:30" ht="34.5" customHeight="1">
      <c r="A3269" s="26" t="s">
        <v>8756</v>
      </c>
      <c r="B3269" s="26" t="s">
        <v>8765</v>
      </c>
      <c r="C3269" s="204" t="s">
        <v>24</v>
      </c>
      <c r="D3269" s="204" t="s">
        <v>25</v>
      </c>
      <c r="E3269" s="204" t="s">
        <v>45</v>
      </c>
      <c r="F3269" s="4" t="s">
        <v>55</v>
      </c>
      <c r="G3269" s="4" t="s">
        <v>55</v>
      </c>
      <c r="H3269" s="204" t="s">
        <v>523</v>
      </c>
      <c r="I3269" s="204"/>
      <c r="J3269" s="21" t="s">
        <v>2276</v>
      </c>
      <c r="K3269" s="21" t="s">
        <v>2276</v>
      </c>
      <c r="L3269" s="21" t="s">
        <v>2276</v>
      </c>
      <c r="M3269" s="21" t="s">
        <v>2276</v>
      </c>
      <c r="N3269" s="21" t="s">
        <v>2276</v>
      </c>
      <c r="O3269" s="21" t="s">
        <v>2276</v>
      </c>
      <c r="P3269" s="21" t="s">
        <v>2276</v>
      </c>
      <c r="Q3269" s="21" t="s">
        <v>2276</v>
      </c>
      <c r="R3269" s="21" t="s">
        <v>2276</v>
      </c>
      <c r="S3269" s="21" t="s">
        <v>2276</v>
      </c>
      <c r="T3269" s="21" t="s">
        <v>2276</v>
      </c>
      <c r="U3269" s="21" t="s">
        <v>2276</v>
      </c>
      <c r="V3269" s="21" t="s">
        <v>2276</v>
      </c>
      <c r="W3269" s="21" t="s">
        <v>2276</v>
      </c>
      <c r="X3269" s="21" t="s">
        <v>2276</v>
      </c>
      <c r="Y3269" s="21" t="s">
        <v>2276</v>
      </c>
      <c r="Z3269" s="204" t="s">
        <v>405</v>
      </c>
      <c r="AA3269" s="204" t="s">
        <v>35</v>
      </c>
      <c r="AB3269" s="21" t="s">
        <v>2276</v>
      </c>
      <c r="AC3269" s="74" t="s">
        <v>8763</v>
      </c>
      <c r="AD3269" s="204"/>
    </row>
    <row r="3270" spans="1:30" ht="34.5" customHeight="1">
      <c r="A3270" s="26" t="s">
        <v>8756</v>
      </c>
      <c r="B3270" s="26" t="s">
        <v>8766</v>
      </c>
      <c r="C3270" s="204" t="s">
        <v>24</v>
      </c>
      <c r="D3270" s="204" t="s">
        <v>2659</v>
      </c>
      <c r="E3270" s="204" t="s">
        <v>84</v>
      </c>
      <c r="F3270" s="4" t="s">
        <v>28</v>
      </c>
      <c r="G3270" s="4" t="s">
        <v>28</v>
      </c>
      <c r="H3270" s="204" t="s">
        <v>523</v>
      </c>
      <c r="I3270" s="204"/>
      <c r="J3270" s="21" t="s">
        <v>2276</v>
      </c>
      <c r="K3270" s="21" t="s">
        <v>2276</v>
      </c>
      <c r="L3270" s="21" t="s">
        <v>2276</v>
      </c>
      <c r="M3270" s="21" t="s">
        <v>2276</v>
      </c>
      <c r="N3270" s="21" t="s">
        <v>2276</v>
      </c>
      <c r="O3270" s="21" t="s">
        <v>2276</v>
      </c>
      <c r="P3270" s="21" t="s">
        <v>2276</v>
      </c>
      <c r="Q3270" s="21" t="s">
        <v>2276</v>
      </c>
      <c r="R3270" s="21" t="s">
        <v>2276</v>
      </c>
      <c r="S3270" s="21" t="s">
        <v>2276</v>
      </c>
      <c r="T3270" s="21" t="s">
        <v>2276</v>
      </c>
      <c r="U3270" s="21" t="s">
        <v>2276</v>
      </c>
      <c r="V3270" s="21" t="s">
        <v>2276</v>
      </c>
      <c r="W3270" s="21" t="s">
        <v>2276</v>
      </c>
      <c r="X3270" s="21" t="s">
        <v>2276</v>
      </c>
      <c r="Y3270" s="21" t="s">
        <v>2276</v>
      </c>
      <c r="Z3270" s="204" t="s">
        <v>189</v>
      </c>
      <c r="AA3270" s="204" t="s">
        <v>86</v>
      </c>
      <c r="AB3270" s="21" t="s">
        <v>2276</v>
      </c>
      <c r="AC3270" s="74" t="s">
        <v>8763</v>
      </c>
      <c r="AD3270" s="204"/>
    </row>
    <row r="3271" spans="1:30" ht="34.5" customHeight="1">
      <c r="A3271" s="26" t="s">
        <v>8756</v>
      </c>
      <c r="B3271" s="26" t="s">
        <v>8767</v>
      </c>
      <c r="C3271" s="204" t="s">
        <v>24</v>
      </c>
      <c r="D3271" s="204" t="s">
        <v>2659</v>
      </c>
      <c r="E3271" s="204" t="s">
        <v>84</v>
      </c>
      <c r="F3271" s="4" t="s">
        <v>28</v>
      </c>
      <c r="G3271" s="4" t="s">
        <v>28</v>
      </c>
      <c r="H3271" s="204" t="s">
        <v>523</v>
      </c>
      <c r="I3271" s="204"/>
      <c r="J3271" s="21" t="s">
        <v>2276</v>
      </c>
      <c r="K3271" s="21" t="s">
        <v>2276</v>
      </c>
      <c r="L3271" s="21" t="s">
        <v>2276</v>
      </c>
      <c r="M3271" s="21" t="s">
        <v>2276</v>
      </c>
      <c r="N3271" s="21" t="s">
        <v>2276</v>
      </c>
      <c r="O3271" s="21" t="s">
        <v>2276</v>
      </c>
      <c r="P3271" s="21" t="s">
        <v>2276</v>
      </c>
      <c r="Q3271" s="21" t="s">
        <v>2276</v>
      </c>
      <c r="R3271" s="21" t="s">
        <v>2276</v>
      </c>
      <c r="S3271" s="21" t="s">
        <v>2276</v>
      </c>
      <c r="T3271" s="21" t="s">
        <v>2276</v>
      </c>
      <c r="U3271" s="21" t="s">
        <v>2276</v>
      </c>
      <c r="V3271" s="21" t="s">
        <v>2276</v>
      </c>
      <c r="W3271" s="21" t="s">
        <v>2276</v>
      </c>
      <c r="X3271" s="21" t="s">
        <v>2276</v>
      </c>
      <c r="Y3271" s="21" t="s">
        <v>2276</v>
      </c>
      <c r="Z3271" s="204" t="s">
        <v>405</v>
      </c>
      <c r="AA3271" s="204" t="s">
        <v>35</v>
      </c>
      <c r="AB3271" s="21" t="s">
        <v>2276</v>
      </c>
      <c r="AC3271" s="74" t="s">
        <v>8763</v>
      </c>
      <c r="AD3271" s="204"/>
    </row>
    <row r="3272" spans="1:30" ht="44.5" customHeight="1">
      <c r="A3272" s="5" t="s">
        <v>8772</v>
      </c>
      <c r="B3272" s="5" t="s">
        <v>8804</v>
      </c>
      <c r="C3272" s="204" t="s">
        <v>24</v>
      </c>
      <c r="D3272" s="204" t="s">
        <v>2659</v>
      </c>
      <c r="E3272" s="4" t="s">
        <v>396</v>
      </c>
      <c r="F3272" s="4" t="s">
        <v>28</v>
      </c>
      <c r="G3272" s="4" t="s">
        <v>28</v>
      </c>
      <c r="H3272" s="204" t="s">
        <v>523</v>
      </c>
      <c r="I3272" s="204"/>
      <c r="J3272" s="21" t="s">
        <v>2276</v>
      </c>
      <c r="K3272" s="21" t="s">
        <v>2276</v>
      </c>
      <c r="L3272" s="21" t="s">
        <v>2276</v>
      </c>
      <c r="M3272" s="21" t="s">
        <v>2276</v>
      </c>
      <c r="N3272" s="21" t="s">
        <v>2276</v>
      </c>
      <c r="O3272" s="21" t="s">
        <v>2276</v>
      </c>
      <c r="P3272" s="21" t="s">
        <v>2276</v>
      </c>
      <c r="Q3272" s="21" t="s">
        <v>2276</v>
      </c>
      <c r="R3272" s="21" t="s">
        <v>2276</v>
      </c>
      <c r="S3272" s="21" t="s">
        <v>2276</v>
      </c>
      <c r="T3272" s="21">
        <v>710</v>
      </c>
      <c r="U3272" s="21" t="s">
        <v>2276</v>
      </c>
      <c r="V3272" s="21">
        <v>60</v>
      </c>
      <c r="W3272" s="21" t="s">
        <v>2276</v>
      </c>
      <c r="X3272" s="21" t="s">
        <v>2276</v>
      </c>
      <c r="Y3272" s="21" t="s">
        <v>2276</v>
      </c>
      <c r="Z3272" s="204" t="s">
        <v>425</v>
      </c>
      <c r="AA3272" s="204" t="s">
        <v>68</v>
      </c>
      <c r="AB3272" s="21" t="s">
        <v>2276</v>
      </c>
      <c r="AC3272" s="204"/>
      <c r="AD3272" s="204"/>
    </row>
    <row r="3273" spans="1:30" ht="44.5" customHeight="1">
      <c r="A3273" s="11" t="s">
        <v>8773</v>
      </c>
      <c r="B3273" s="11" t="s">
        <v>8773</v>
      </c>
      <c r="C3273" s="204" t="s">
        <v>24</v>
      </c>
      <c r="D3273" s="204" t="s">
        <v>2659</v>
      </c>
      <c r="E3273" s="4" t="s">
        <v>396</v>
      </c>
      <c r="F3273" s="4" t="s">
        <v>28</v>
      </c>
      <c r="G3273" s="4" t="s">
        <v>28</v>
      </c>
      <c r="H3273" s="204" t="s">
        <v>523</v>
      </c>
      <c r="I3273" s="204"/>
      <c r="J3273" s="21" t="s">
        <v>2276</v>
      </c>
      <c r="K3273" s="21" t="s">
        <v>2276</v>
      </c>
      <c r="L3273" s="21" t="s">
        <v>2276</v>
      </c>
      <c r="M3273" s="21" t="s">
        <v>2276</v>
      </c>
      <c r="N3273" s="21" t="s">
        <v>2276</v>
      </c>
      <c r="O3273" s="21" t="s">
        <v>2276</v>
      </c>
      <c r="P3273" s="21" t="s">
        <v>2276</v>
      </c>
      <c r="Q3273" s="21" t="s">
        <v>2276</v>
      </c>
      <c r="R3273" s="21" t="s">
        <v>2276</v>
      </c>
      <c r="S3273" s="21" t="s">
        <v>2276</v>
      </c>
      <c r="T3273" s="21">
        <v>49930.5</v>
      </c>
      <c r="U3273" s="21" t="s">
        <v>2276</v>
      </c>
      <c r="V3273" s="21">
        <v>60</v>
      </c>
      <c r="W3273" s="21" t="s">
        <v>2276</v>
      </c>
      <c r="X3273" s="21" t="s">
        <v>2276</v>
      </c>
      <c r="Y3273" s="21" t="s">
        <v>2276</v>
      </c>
      <c r="Z3273" s="204" t="s">
        <v>425</v>
      </c>
      <c r="AA3273" s="204" t="s">
        <v>68</v>
      </c>
      <c r="AB3273" s="21" t="s">
        <v>2276</v>
      </c>
      <c r="AC3273" s="204"/>
      <c r="AD3273" s="204"/>
    </row>
    <row r="3274" spans="1:30" ht="44.5" customHeight="1">
      <c r="A3274" s="11" t="s">
        <v>8774</v>
      </c>
      <c r="B3274" s="11" t="s">
        <v>8774</v>
      </c>
      <c r="C3274" s="204" t="s">
        <v>24</v>
      </c>
      <c r="D3274" s="204" t="s">
        <v>2659</v>
      </c>
      <c r="E3274" s="4" t="s">
        <v>396</v>
      </c>
      <c r="F3274" s="4" t="s">
        <v>28</v>
      </c>
      <c r="G3274" s="4" t="s">
        <v>28</v>
      </c>
      <c r="H3274" s="204" t="s">
        <v>523</v>
      </c>
      <c r="I3274" s="204"/>
      <c r="J3274" s="21" t="s">
        <v>2276</v>
      </c>
      <c r="K3274" s="21" t="s">
        <v>2276</v>
      </c>
      <c r="L3274" s="21" t="s">
        <v>2276</v>
      </c>
      <c r="M3274" s="21" t="s">
        <v>2276</v>
      </c>
      <c r="N3274" s="21" t="s">
        <v>2276</v>
      </c>
      <c r="O3274" s="21" t="s">
        <v>2276</v>
      </c>
      <c r="P3274" s="21" t="s">
        <v>2276</v>
      </c>
      <c r="Q3274" s="21" t="s">
        <v>2276</v>
      </c>
      <c r="R3274" s="21" t="s">
        <v>2276</v>
      </c>
      <c r="S3274" s="21" t="s">
        <v>2276</v>
      </c>
      <c r="T3274" s="21">
        <v>33345</v>
      </c>
      <c r="U3274" s="21" t="s">
        <v>2276</v>
      </c>
      <c r="V3274" s="21">
        <v>60</v>
      </c>
      <c r="W3274" s="21" t="s">
        <v>2276</v>
      </c>
      <c r="X3274" s="21" t="s">
        <v>2276</v>
      </c>
      <c r="Y3274" s="21" t="s">
        <v>2276</v>
      </c>
      <c r="Z3274" s="204" t="s">
        <v>425</v>
      </c>
      <c r="AA3274" s="204" t="s">
        <v>68</v>
      </c>
      <c r="AB3274" s="21" t="s">
        <v>2276</v>
      </c>
      <c r="AC3274" s="204"/>
      <c r="AD3274" s="204"/>
    </row>
    <row r="3275" spans="1:30" ht="44.5" customHeight="1">
      <c r="A3275" s="11" t="s">
        <v>8775</v>
      </c>
      <c r="B3275" s="11" t="s">
        <v>8775</v>
      </c>
      <c r="C3275" s="204" t="s">
        <v>24</v>
      </c>
      <c r="D3275" s="204" t="s">
        <v>2659</v>
      </c>
      <c r="E3275" s="4" t="s">
        <v>396</v>
      </c>
      <c r="F3275" s="4" t="s">
        <v>28</v>
      </c>
      <c r="G3275" s="4" t="s">
        <v>28</v>
      </c>
      <c r="H3275" s="204" t="s">
        <v>523</v>
      </c>
      <c r="I3275" s="204"/>
      <c r="J3275" s="21" t="s">
        <v>2276</v>
      </c>
      <c r="K3275" s="21" t="s">
        <v>2276</v>
      </c>
      <c r="L3275" s="21" t="s">
        <v>2276</v>
      </c>
      <c r="M3275" s="21" t="s">
        <v>2276</v>
      </c>
      <c r="N3275" s="21" t="s">
        <v>2276</v>
      </c>
      <c r="O3275" s="21" t="s">
        <v>2276</v>
      </c>
      <c r="P3275" s="21" t="s">
        <v>2276</v>
      </c>
      <c r="Q3275" s="21" t="s">
        <v>2276</v>
      </c>
      <c r="R3275" s="21" t="s">
        <v>2276</v>
      </c>
      <c r="S3275" s="21" t="s">
        <v>2276</v>
      </c>
      <c r="T3275" s="21">
        <v>78493</v>
      </c>
      <c r="U3275" s="21" t="s">
        <v>2276</v>
      </c>
      <c r="V3275" s="21">
        <v>60</v>
      </c>
      <c r="W3275" s="21" t="s">
        <v>2276</v>
      </c>
      <c r="X3275" s="21" t="s">
        <v>2276</v>
      </c>
      <c r="Y3275" s="21" t="s">
        <v>2276</v>
      </c>
      <c r="Z3275" s="204" t="s">
        <v>425</v>
      </c>
      <c r="AA3275" s="204" t="s">
        <v>68</v>
      </c>
      <c r="AB3275" s="21" t="s">
        <v>2276</v>
      </c>
      <c r="AC3275" s="204"/>
      <c r="AD3275" s="204"/>
    </row>
    <row r="3276" spans="1:30" ht="44.5" customHeight="1">
      <c r="A3276" s="11" t="s">
        <v>8776</v>
      </c>
      <c r="B3276" s="11" t="s">
        <v>8776</v>
      </c>
      <c r="C3276" s="204" t="s">
        <v>24</v>
      </c>
      <c r="D3276" s="204" t="s">
        <v>2659</v>
      </c>
      <c r="E3276" s="4" t="s">
        <v>396</v>
      </c>
      <c r="F3276" s="4" t="s">
        <v>28</v>
      </c>
      <c r="G3276" s="4" t="s">
        <v>28</v>
      </c>
      <c r="H3276" s="204" t="s">
        <v>523</v>
      </c>
      <c r="I3276" s="204"/>
      <c r="J3276" s="21" t="s">
        <v>2276</v>
      </c>
      <c r="K3276" s="21" t="s">
        <v>2276</v>
      </c>
      <c r="L3276" s="21" t="s">
        <v>2276</v>
      </c>
      <c r="M3276" s="21" t="s">
        <v>2276</v>
      </c>
      <c r="N3276" s="21" t="s">
        <v>2276</v>
      </c>
      <c r="O3276" s="21" t="s">
        <v>2276</v>
      </c>
      <c r="P3276" s="21" t="s">
        <v>2276</v>
      </c>
      <c r="Q3276" s="21" t="s">
        <v>2276</v>
      </c>
      <c r="R3276" s="21" t="s">
        <v>2276</v>
      </c>
      <c r="S3276" s="21" t="s">
        <v>2276</v>
      </c>
      <c r="T3276" s="21">
        <v>97383.25</v>
      </c>
      <c r="U3276" s="21" t="s">
        <v>2276</v>
      </c>
      <c r="V3276" s="21">
        <v>60</v>
      </c>
      <c r="W3276" s="21" t="s">
        <v>2276</v>
      </c>
      <c r="X3276" s="21" t="s">
        <v>2276</v>
      </c>
      <c r="Y3276" s="21" t="s">
        <v>2276</v>
      </c>
      <c r="Z3276" s="204" t="s">
        <v>425</v>
      </c>
      <c r="AA3276" s="204" t="s">
        <v>68</v>
      </c>
      <c r="AB3276" s="21" t="s">
        <v>2276</v>
      </c>
      <c r="AC3276" s="204"/>
      <c r="AD3276" s="204"/>
    </row>
    <row r="3277" spans="1:30" ht="44.5" customHeight="1">
      <c r="A3277" s="11" t="s">
        <v>8777</v>
      </c>
      <c r="B3277" s="11" t="s">
        <v>8777</v>
      </c>
      <c r="C3277" s="204" t="s">
        <v>24</v>
      </c>
      <c r="D3277" s="204" t="s">
        <v>2659</v>
      </c>
      <c r="E3277" s="4" t="s">
        <v>396</v>
      </c>
      <c r="F3277" s="4" t="s">
        <v>28</v>
      </c>
      <c r="G3277" s="4" t="s">
        <v>28</v>
      </c>
      <c r="H3277" s="204" t="s">
        <v>523</v>
      </c>
      <c r="I3277" s="204"/>
      <c r="J3277" s="21" t="s">
        <v>2276</v>
      </c>
      <c r="K3277" s="21" t="s">
        <v>2276</v>
      </c>
      <c r="L3277" s="21" t="s">
        <v>2276</v>
      </c>
      <c r="M3277" s="21" t="s">
        <v>2276</v>
      </c>
      <c r="N3277" s="21" t="s">
        <v>2276</v>
      </c>
      <c r="O3277" s="21" t="s">
        <v>2276</v>
      </c>
      <c r="P3277" s="21" t="s">
        <v>2276</v>
      </c>
      <c r="Q3277" s="21" t="s">
        <v>2276</v>
      </c>
      <c r="R3277" s="21" t="s">
        <v>2276</v>
      </c>
      <c r="S3277" s="21" t="s">
        <v>2276</v>
      </c>
      <c r="T3277" s="21">
        <v>16522.75</v>
      </c>
      <c r="U3277" s="21" t="s">
        <v>2276</v>
      </c>
      <c r="V3277" s="21">
        <v>60</v>
      </c>
      <c r="W3277" s="21" t="s">
        <v>2276</v>
      </c>
      <c r="X3277" s="21" t="s">
        <v>2276</v>
      </c>
      <c r="Y3277" s="21" t="s">
        <v>2276</v>
      </c>
      <c r="Z3277" s="204" t="s">
        <v>425</v>
      </c>
      <c r="AA3277" s="204" t="s">
        <v>68</v>
      </c>
      <c r="AB3277" s="21" t="s">
        <v>2276</v>
      </c>
      <c r="AC3277" s="204"/>
      <c r="AD3277" s="204"/>
    </row>
    <row r="3278" spans="1:30" ht="44.5" customHeight="1">
      <c r="A3278" s="11" t="s">
        <v>8778</v>
      </c>
      <c r="B3278" s="11" t="s">
        <v>8778</v>
      </c>
      <c r="C3278" s="204" t="s">
        <v>24</v>
      </c>
      <c r="D3278" s="204" t="s">
        <v>2659</v>
      </c>
      <c r="E3278" s="4" t="s">
        <v>396</v>
      </c>
      <c r="F3278" s="4" t="s">
        <v>28</v>
      </c>
      <c r="G3278" s="4" t="s">
        <v>28</v>
      </c>
      <c r="H3278" s="204" t="s">
        <v>523</v>
      </c>
      <c r="I3278" s="204"/>
      <c r="J3278" s="21" t="s">
        <v>2276</v>
      </c>
      <c r="K3278" s="21" t="s">
        <v>2276</v>
      </c>
      <c r="L3278" s="21" t="s">
        <v>2276</v>
      </c>
      <c r="M3278" s="21" t="s">
        <v>2276</v>
      </c>
      <c r="N3278" s="21" t="s">
        <v>2276</v>
      </c>
      <c r="O3278" s="21" t="s">
        <v>2276</v>
      </c>
      <c r="P3278" s="21" t="s">
        <v>2276</v>
      </c>
      <c r="Q3278" s="21" t="s">
        <v>2276</v>
      </c>
      <c r="R3278" s="21" t="s">
        <v>2276</v>
      </c>
      <c r="S3278" s="21" t="s">
        <v>2276</v>
      </c>
      <c r="T3278" s="21">
        <v>63629.5</v>
      </c>
      <c r="U3278" s="21" t="s">
        <v>2276</v>
      </c>
      <c r="V3278" s="21">
        <v>60</v>
      </c>
      <c r="W3278" s="21" t="s">
        <v>2276</v>
      </c>
      <c r="X3278" s="21" t="s">
        <v>2276</v>
      </c>
      <c r="Y3278" s="21" t="s">
        <v>2276</v>
      </c>
      <c r="Z3278" s="204" t="s">
        <v>425</v>
      </c>
      <c r="AA3278" s="204" t="s">
        <v>68</v>
      </c>
      <c r="AB3278" s="21" t="s">
        <v>2276</v>
      </c>
      <c r="AC3278" s="204"/>
      <c r="AD3278" s="204"/>
    </row>
    <row r="3279" spans="1:30" ht="44.5" customHeight="1">
      <c r="A3279" s="11" t="s">
        <v>8779</v>
      </c>
      <c r="B3279" s="11" t="s">
        <v>8779</v>
      </c>
      <c r="C3279" s="204" t="s">
        <v>24</v>
      </c>
      <c r="D3279" s="204" t="s">
        <v>2659</v>
      </c>
      <c r="E3279" s="4" t="s">
        <v>396</v>
      </c>
      <c r="F3279" s="4" t="s">
        <v>28</v>
      </c>
      <c r="G3279" s="4" t="s">
        <v>28</v>
      </c>
      <c r="H3279" s="204" t="s">
        <v>523</v>
      </c>
      <c r="I3279" s="204"/>
      <c r="J3279" s="21" t="s">
        <v>2276</v>
      </c>
      <c r="K3279" s="21" t="s">
        <v>2276</v>
      </c>
      <c r="L3279" s="21" t="s">
        <v>2276</v>
      </c>
      <c r="M3279" s="21" t="s">
        <v>2276</v>
      </c>
      <c r="N3279" s="21" t="s">
        <v>2276</v>
      </c>
      <c r="O3279" s="21" t="s">
        <v>2276</v>
      </c>
      <c r="P3279" s="21" t="s">
        <v>2276</v>
      </c>
      <c r="Q3279" s="21" t="s">
        <v>2276</v>
      </c>
      <c r="R3279" s="21" t="s">
        <v>2276</v>
      </c>
      <c r="S3279" s="21" t="s">
        <v>2276</v>
      </c>
      <c r="T3279" s="21">
        <v>1084.75</v>
      </c>
      <c r="U3279" s="21" t="s">
        <v>2276</v>
      </c>
      <c r="V3279" s="21">
        <v>60</v>
      </c>
      <c r="W3279" s="21" t="s">
        <v>2276</v>
      </c>
      <c r="X3279" s="21" t="s">
        <v>2276</v>
      </c>
      <c r="Y3279" s="21" t="s">
        <v>2276</v>
      </c>
      <c r="Z3279" s="204" t="s">
        <v>425</v>
      </c>
      <c r="AA3279" s="204" t="s">
        <v>68</v>
      </c>
      <c r="AB3279" s="21" t="s">
        <v>2276</v>
      </c>
      <c r="AC3279" s="204"/>
      <c r="AD3279" s="204"/>
    </row>
    <row r="3280" spans="1:30" ht="44.5" customHeight="1">
      <c r="A3280" s="11" t="s">
        <v>8780</v>
      </c>
      <c r="B3280" s="11" t="s">
        <v>8780</v>
      </c>
      <c r="C3280" s="204" t="s">
        <v>24</v>
      </c>
      <c r="D3280" s="204" t="s">
        <v>2659</v>
      </c>
      <c r="E3280" s="4" t="s">
        <v>396</v>
      </c>
      <c r="F3280" s="4" t="s">
        <v>28</v>
      </c>
      <c r="G3280" s="4" t="s">
        <v>28</v>
      </c>
      <c r="H3280" s="204" t="s">
        <v>523</v>
      </c>
      <c r="I3280" s="204"/>
      <c r="J3280" s="21" t="s">
        <v>2276</v>
      </c>
      <c r="K3280" s="21" t="s">
        <v>2276</v>
      </c>
      <c r="L3280" s="21" t="s">
        <v>2276</v>
      </c>
      <c r="M3280" s="21" t="s">
        <v>2276</v>
      </c>
      <c r="N3280" s="21" t="s">
        <v>2276</v>
      </c>
      <c r="O3280" s="21" t="s">
        <v>2276</v>
      </c>
      <c r="P3280" s="21" t="s">
        <v>2276</v>
      </c>
      <c r="Q3280" s="21" t="s">
        <v>2276</v>
      </c>
      <c r="R3280" s="21" t="s">
        <v>2276</v>
      </c>
      <c r="S3280" s="21" t="s">
        <v>2276</v>
      </c>
      <c r="T3280" s="21">
        <v>4972.5</v>
      </c>
      <c r="U3280" s="21" t="s">
        <v>2276</v>
      </c>
      <c r="V3280" s="21">
        <v>60</v>
      </c>
      <c r="W3280" s="21" t="s">
        <v>2276</v>
      </c>
      <c r="X3280" s="21" t="s">
        <v>2276</v>
      </c>
      <c r="Y3280" s="21" t="s">
        <v>2276</v>
      </c>
      <c r="Z3280" s="204" t="s">
        <v>425</v>
      </c>
      <c r="AA3280" s="204" t="s">
        <v>68</v>
      </c>
      <c r="AB3280" s="21" t="s">
        <v>2276</v>
      </c>
      <c r="AC3280" s="204"/>
      <c r="AD3280" s="204"/>
    </row>
    <row r="3281" spans="1:30" ht="44.5" customHeight="1">
      <c r="A3281" s="11" t="s">
        <v>8781</v>
      </c>
      <c r="B3281" s="11" t="s">
        <v>8781</v>
      </c>
      <c r="C3281" s="204" t="s">
        <v>24</v>
      </c>
      <c r="D3281" s="204" t="s">
        <v>2659</v>
      </c>
      <c r="E3281" s="4" t="s">
        <v>396</v>
      </c>
      <c r="F3281" s="4" t="s">
        <v>28</v>
      </c>
      <c r="G3281" s="4" t="s">
        <v>28</v>
      </c>
      <c r="H3281" s="204" t="s">
        <v>524</v>
      </c>
      <c r="I3281" s="204"/>
      <c r="J3281" s="21">
        <v>0</v>
      </c>
      <c r="K3281" s="21">
        <v>0</v>
      </c>
      <c r="L3281" s="21">
        <v>0</v>
      </c>
      <c r="M3281" s="21">
        <v>0</v>
      </c>
      <c r="N3281" s="21">
        <v>0</v>
      </c>
      <c r="O3281" s="21">
        <v>0</v>
      </c>
      <c r="P3281" s="21">
        <v>0</v>
      </c>
      <c r="Q3281" s="21">
        <v>0</v>
      </c>
      <c r="R3281" s="21">
        <v>0</v>
      </c>
      <c r="S3281" s="21">
        <v>0</v>
      </c>
      <c r="T3281" s="21">
        <v>0</v>
      </c>
      <c r="U3281" s="21">
        <v>0</v>
      </c>
      <c r="V3281" s="21">
        <v>0</v>
      </c>
      <c r="W3281" s="21">
        <v>0</v>
      </c>
      <c r="X3281" s="21">
        <v>0</v>
      </c>
      <c r="Y3281" s="21" t="s">
        <v>2276</v>
      </c>
      <c r="Z3281" s="204" t="s">
        <v>425</v>
      </c>
      <c r="AA3281" s="204" t="s">
        <v>68</v>
      </c>
      <c r="AB3281" s="21" t="s">
        <v>2276</v>
      </c>
      <c r="AC3281" s="204"/>
      <c r="AD3281" s="204"/>
    </row>
    <row r="3282" spans="1:30" ht="44.5" customHeight="1">
      <c r="A3282" s="11" t="s">
        <v>8782</v>
      </c>
      <c r="B3282" s="11" t="s">
        <v>8782</v>
      </c>
      <c r="C3282" s="204" t="s">
        <v>24</v>
      </c>
      <c r="D3282" s="204" t="s">
        <v>2659</v>
      </c>
      <c r="E3282" s="4" t="s">
        <v>396</v>
      </c>
      <c r="F3282" s="4" t="s">
        <v>28</v>
      </c>
      <c r="G3282" s="4" t="s">
        <v>28</v>
      </c>
      <c r="H3282" s="204" t="s">
        <v>523</v>
      </c>
      <c r="I3282" s="204"/>
      <c r="J3282" s="21" t="s">
        <v>2276</v>
      </c>
      <c r="K3282" s="21" t="s">
        <v>2276</v>
      </c>
      <c r="L3282" s="21" t="s">
        <v>2276</v>
      </c>
      <c r="M3282" s="21" t="s">
        <v>2276</v>
      </c>
      <c r="N3282" s="21" t="s">
        <v>2276</v>
      </c>
      <c r="O3282" s="21" t="s">
        <v>2276</v>
      </c>
      <c r="P3282" s="21" t="s">
        <v>2276</v>
      </c>
      <c r="Q3282" s="21" t="s">
        <v>2276</v>
      </c>
      <c r="R3282" s="21" t="s">
        <v>2276</v>
      </c>
      <c r="S3282" s="21" t="s">
        <v>2276</v>
      </c>
      <c r="T3282" s="21">
        <v>3681.75</v>
      </c>
      <c r="U3282" s="21" t="s">
        <v>2276</v>
      </c>
      <c r="V3282" s="21">
        <v>60</v>
      </c>
      <c r="W3282" s="21" t="s">
        <v>2276</v>
      </c>
      <c r="X3282" s="21" t="s">
        <v>2276</v>
      </c>
      <c r="Y3282" s="21" t="s">
        <v>2276</v>
      </c>
      <c r="Z3282" s="204" t="s">
        <v>425</v>
      </c>
      <c r="AA3282" s="204" t="s">
        <v>68</v>
      </c>
      <c r="AB3282" s="21" t="s">
        <v>2276</v>
      </c>
      <c r="AC3282" s="204"/>
      <c r="AD3282" s="204"/>
    </row>
    <row r="3283" spans="1:30" ht="44.5" customHeight="1">
      <c r="A3283" s="11" t="s">
        <v>8783</v>
      </c>
      <c r="B3283" s="11" t="s">
        <v>8783</v>
      </c>
      <c r="C3283" s="204" t="s">
        <v>24</v>
      </c>
      <c r="D3283" s="204" t="s">
        <v>2659</v>
      </c>
      <c r="E3283" s="4" t="s">
        <v>396</v>
      </c>
      <c r="F3283" s="4" t="s">
        <v>28</v>
      </c>
      <c r="G3283" s="4" t="s">
        <v>28</v>
      </c>
      <c r="H3283" s="204" t="s">
        <v>524</v>
      </c>
      <c r="I3283" s="204"/>
      <c r="J3283" s="21">
        <v>0</v>
      </c>
      <c r="K3283" s="21">
        <v>0</v>
      </c>
      <c r="L3283" s="21">
        <v>0</v>
      </c>
      <c r="M3283" s="21">
        <v>0</v>
      </c>
      <c r="N3283" s="21">
        <v>0</v>
      </c>
      <c r="O3283" s="21">
        <v>0</v>
      </c>
      <c r="P3283" s="21">
        <v>0</v>
      </c>
      <c r="Q3283" s="21">
        <v>0</v>
      </c>
      <c r="R3283" s="21">
        <v>0</v>
      </c>
      <c r="S3283" s="21">
        <v>0</v>
      </c>
      <c r="T3283" s="21">
        <v>0</v>
      </c>
      <c r="U3283" s="21">
        <v>0</v>
      </c>
      <c r="V3283" s="21">
        <v>0</v>
      </c>
      <c r="W3283" s="21">
        <v>0</v>
      </c>
      <c r="X3283" s="21">
        <v>0</v>
      </c>
      <c r="Y3283" s="21" t="s">
        <v>2276</v>
      </c>
      <c r="Z3283" s="204" t="s">
        <v>425</v>
      </c>
      <c r="AA3283" s="204" t="s">
        <v>68</v>
      </c>
      <c r="AB3283" s="21" t="s">
        <v>2276</v>
      </c>
      <c r="AC3283" s="204"/>
      <c r="AD3283" s="204"/>
    </row>
    <row r="3284" spans="1:30" ht="44.5" customHeight="1">
      <c r="A3284" s="11" t="s">
        <v>8784</v>
      </c>
      <c r="B3284" s="11" t="s">
        <v>8784</v>
      </c>
      <c r="C3284" s="204" t="s">
        <v>24</v>
      </c>
      <c r="D3284" s="204" t="s">
        <v>2659</v>
      </c>
      <c r="E3284" s="4" t="s">
        <v>396</v>
      </c>
      <c r="F3284" s="4" t="s">
        <v>28</v>
      </c>
      <c r="G3284" s="4" t="s">
        <v>28</v>
      </c>
      <c r="H3284" s="204" t="s">
        <v>523</v>
      </c>
      <c r="I3284" s="204"/>
      <c r="J3284" s="21" t="s">
        <v>2276</v>
      </c>
      <c r="K3284" s="21" t="s">
        <v>2276</v>
      </c>
      <c r="L3284" s="21" t="s">
        <v>2276</v>
      </c>
      <c r="M3284" s="21" t="s">
        <v>2276</v>
      </c>
      <c r="N3284" s="21" t="s">
        <v>2276</v>
      </c>
      <c r="O3284" s="21" t="s">
        <v>2276</v>
      </c>
      <c r="P3284" s="21" t="s">
        <v>2276</v>
      </c>
      <c r="Q3284" s="21" t="s">
        <v>2276</v>
      </c>
      <c r="R3284" s="21" t="s">
        <v>2276</v>
      </c>
      <c r="S3284" s="21" t="s">
        <v>2276</v>
      </c>
      <c r="T3284" s="21">
        <v>167.5</v>
      </c>
      <c r="U3284" s="21" t="s">
        <v>2276</v>
      </c>
      <c r="V3284" s="21">
        <v>60</v>
      </c>
      <c r="W3284" s="21" t="s">
        <v>2276</v>
      </c>
      <c r="X3284" s="21" t="s">
        <v>2276</v>
      </c>
      <c r="Y3284" s="21" t="s">
        <v>2276</v>
      </c>
      <c r="Z3284" s="204" t="s">
        <v>425</v>
      </c>
      <c r="AA3284" s="204" t="s">
        <v>68</v>
      </c>
      <c r="AB3284" s="21" t="s">
        <v>2276</v>
      </c>
      <c r="AC3284" s="204"/>
      <c r="AD3284" s="204"/>
    </row>
    <row r="3285" spans="1:30" ht="44.5" customHeight="1">
      <c r="A3285" s="11" t="s">
        <v>8785</v>
      </c>
      <c r="B3285" s="11" t="s">
        <v>8785</v>
      </c>
      <c r="C3285" s="204" t="s">
        <v>24</v>
      </c>
      <c r="D3285" s="204" t="s">
        <v>2659</v>
      </c>
      <c r="E3285" s="4" t="s">
        <v>396</v>
      </c>
      <c r="F3285" s="4" t="s">
        <v>28</v>
      </c>
      <c r="G3285" s="4" t="s">
        <v>28</v>
      </c>
      <c r="H3285" s="204" t="s">
        <v>523</v>
      </c>
      <c r="I3285" s="204"/>
      <c r="J3285" s="21" t="s">
        <v>2276</v>
      </c>
      <c r="K3285" s="21" t="s">
        <v>2276</v>
      </c>
      <c r="L3285" s="21" t="s">
        <v>2276</v>
      </c>
      <c r="M3285" s="21" t="s">
        <v>2276</v>
      </c>
      <c r="N3285" s="21" t="s">
        <v>2276</v>
      </c>
      <c r="O3285" s="21" t="s">
        <v>2276</v>
      </c>
      <c r="P3285" s="21" t="s">
        <v>2276</v>
      </c>
      <c r="Q3285" s="21" t="s">
        <v>2276</v>
      </c>
      <c r="R3285" s="21" t="s">
        <v>2276</v>
      </c>
      <c r="S3285" s="21" t="s">
        <v>2276</v>
      </c>
      <c r="T3285" s="21">
        <v>1890.75</v>
      </c>
      <c r="U3285" s="21" t="s">
        <v>2276</v>
      </c>
      <c r="V3285" s="21">
        <v>60</v>
      </c>
      <c r="W3285" s="21" t="s">
        <v>2276</v>
      </c>
      <c r="X3285" s="21" t="s">
        <v>2276</v>
      </c>
      <c r="Y3285" s="21" t="s">
        <v>2276</v>
      </c>
      <c r="Z3285" s="204" t="s">
        <v>425</v>
      </c>
      <c r="AA3285" s="204" t="s">
        <v>68</v>
      </c>
      <c r="AB3285" s="21" t="s">
        <v>2276</v>
      </c>
      <c r="AC3285" s="204"/>
      <c r="AD3285" s="204"/>
    </row>
    <row r="3286" spans="1:30" ht="44.5" customHeight="1">
      <c r="A3286" s="11" t="s">
        <v>8799</v>
      </c>
      <c r="B3286" s="11" t="s">
        <v>8799</v>
      </c>
      <c r="C3286" s="204" t="s">
        <v>24</v>
      </c>
      <c r="D3286" s="204" t="s">
        <v>2659</v>
      </c>
      <c r="E3286" s="4" t="s">
        <v>396</v>
      </c>
      <c r="F3286" s="4" t="s">
        <v>28</v>
      </c>
      <c r="G3286" s="4" t="s">
        <v>28</v>
      </c>
      <c r="H3286" s="204" t="s">
        <v>523</v>
      </c>
      <c r="I3286" s="204"/>
      <c r="J3286" s="21" t="s">
        <v>2276</v>
      </c>
      <c r="K3286" s="21" t="s">
        <v>2276</v>
      </c>
      <c r="L3286" s="21" t="s">
        <v>2276</v>
      </c>
      <c r="M3286" s="21" t="s">
        <v>2276</v>
      </c>
      <c r="N3286" s="21" t="s">
        <v>2276</v>
      </c>
      <c r="O3286" s="21" t="s">
        <v>2276</v>
      </c>
      <c r="P3286" s="21" t="s">
        <v>2276</v>
      </c>
      <c r="Q3286" s="21" t="s">
        <v>2276</v>
      </c>
      <c r="R3286" s="21" t="s">
        <v>2276</v>
      </c>
      <c r="S3286" s="21" t="s">
        <v>2276</v>
      </c>
      <c r="T3286" s="21">
        <v>13</v>
      </c>
      <c r="U3286" s="21" t="s">
        <v>2276</v>
      </c>
      <c r="V3286" s="21">
        <v>60</v>
      </c>
      <c r="W3286" s="21" t="s">
        <v>2276</v>
      </c>
      <c r="X3286" s="21" t="s">
        <v>2276</v>
      </c>
      <c r="Y3286" s="21" t="s">
        <v>2276</v>
      </c>
      <c r="Z3286" s="204" t="s">
        <v>425</v>
      </c>
      <c r="AA3286" s="204" t="s">
        <v>68</v>
      </c>
      <c r="AB3286" s="21" t="s">
        <v>2276</v>
      </c>
      <c r="AC3286" s="204"/>
      <c r="AD3286" s="204"/>
    </row>
    <row r="3287" spans="1:30" ht="33.5" customHeight="1">
      <c r="A3287" s="11" t="s">
        <v>8806</v>
      </c>
      <c r="B3287" s="11" t="s">
        <v>8817</v>
      </c>
      <c r="C3287" s="204" t="s">
        <v>24</v>
      </c>
      <c r="D3287" s="204" t="s">
        <v>2659</v>
      </c>
      <c r="E3287" s="204" t="s">
        <v>2276</v>
      </c>
      <c r="F3287" s="4" t="s">
        <v>28</v>
      </c>
      <c r="G3287" s="204" t="s">
        <v>2276</v>
      </c>
      <c r="H3287" s="204" t="s">
        <v>523</v>
      </c>
      <c r="I3287" s="204"/>
      <c r="J3287" s="21" t="s">
        <v>2276</v>
      </c>
      <c r="K3287" s="21" t="s">
        <v>2276</v>
      </c>
      <c r="L3287" s="21" t="s">
        <v>2276</v>
      </c>
      <c r="M3287" s="21" t="s">
        <v>2276</v>
      </c>
      <c r="N3287" s="21" t="s">
        <v>2276</v>
      </c>
      <c r="O3287" s="21" t="s">
        <v>2276</v>
      </c>
      <c r="P3287" s="21" t="s">
        <v>2276</v>
      </c>
      <c r="Q3287" s="21" t="s">
        <v>2276</v>
      </c>
      <c r="R3287" s="21" t="s">
        <v>2276</v>
      </c>
      <c r="S3287" s="21" t="s">
        <v>2276</v>
      </c>
      <c r="T3287" s="21" t="s">
        <v>2276</v>
      </c>
      <c r="U3287" s="21" t="s">
        <v>2276</v>
      </c>
      <c r="V3287" s="21" t="s">
        <v>2276</v>
      </c>
      <c r="W3287" s="21" t="s">
        <v>2276</v>
      </c>
      <c r="X3287" s="21" t="s">
        <v>2276</v>
      </c>
      <c r="Y3287" s="21" t="s">
        <v>2276</v>
      </c>
      <c r="Z3287" s="204" t="s">
        <v>189</v>
      </c>
      <c r="AA3287" s="204" t="s">
        <v>38</v>
      </c>
      <c r="AB3287" s="204" t="s">
        <v>2655</v>
      </c>
      <c r="AC3287" s="204"/>
      <c r="AD3287" s="204"/>
    </row>
    <row r="3288" spans="1:30" ht="33.5" customHeight="1">
      <c r="A3288" s="11" t="s">
        <v>8811</v>
      </c>
      <c r="B3288" s="11" t="s">
        <v>8818</v>
      </c>
      <c r="C3288" s="204" t="s">
        <v>24</v>
      </c>
      <c r="D3288" s="204" t="s">
        <v>2659</v>
      </c>
      <c r="E3288" s="204" t="s">
        <v>2276</v>
      </c>
      <c r="F3288" s="4" t="s">
        <v>28</v>
      </c>
      <c r="G3288" s="204" t="s">
        <v>2276</v>
      </c>
      <c r="H3288" s="204" t="s">
        <v>523</v>
      </c>
      <c r="I3288" s="204"/>
      <c r="J3288" s="21" t="s">
        <v>2276</v>
      </c>
      <c r="K3288" s="21" t="s">
        <v>2276</v>
      </c>
      <c r="L3288" s="21" t="s">
        <v>2276</v>
      </c>
      <c r="M3288" s="21" t="s">
        <v>2276</v>
      </c>
      <c r="N3288" s="21" t="s">
        <v>2276</v>
      </c>
      <c r="O3288" s="21" t="s">
        <v>2276</v>
      </c>
      <c r="P3288" s="21" t="s">
        <v>2276</v>
      </c>
      <c r="Q3288" s="21" t="s">
        <v>2276</v>
      </c>
      <c r="R3288" s="21" t="s">
        <v>2276</v>
      </c>
      <c r="S3288" s="21" t="s">
        <v>2276</v>
      </c>
      <c r="T3288" s="21" t="s">
        <v>2276</v>
      </c>
      <c r="U3288" s="21" t="s">
        <v>2276</v>
      </c>
      <c r="V3288" s="21" t="s">
        <v>2276</v>
      </c>
      <c r="W3288" s="21" t="s">
        <v>2276</v>
      </c>
      <c r="X3288" s="21" t="s">
        <v>2276</v>
      </c>
      <c r="Y3288" s="21" t="s">
        <v>2276</v>
      </c>
      <c r="Z3288" s="204" t="s">
        <v>189</v>
      </c>
      <c r="AA3288" s="204" t="s">
        <v>38</v>
      </c>
      <c r="AB3288" s="204" t="s">
        <v>2655</v>
      </c>
      <c r="AC3288" s="204"/>
      <c r="AD3288" s="204"/>
    </row>
    <row r="3289" spans="1:30" ht="33.5" customHeight="1">
      <c r="A3289" s="11" t="s">
        <v>8813</v>
      </c>
      <c r="B3289" s="11" t="s">
        <v>8819</v>
      </c>
      <c r="C3289" s="204" t="s">
        <v>24</v>
      </c>
      <c r="D3289" s="204" t="s">
        <v>2659</v>
      </c>
      <c r="E3289" s="204" t="s">
        <v>2276</v>
      </c>
      <c r="F3289" s="4" t="s">
        <v>28</v>
      </c>
      <c r="G3289" s="204" t="s">
        <v>2276</v>
      </c>
      <c r="H3289" s="204" t="s">
        <v>523</v>
      </c>
      <c r="I3289" s="204"/>
      <c r="J3289" s="21" t="s">
        <v>2276</v>
      </c>
      <c r="K3289" s="21" t="s">
        <v>2276</v>
      </c>
      <c r="L3289" s="21" t="s">
        <v>2276</v>
      </c>
      <c r="M3289" s="21" t="s">
        <v>2276</v>
      </c>
      <c r="N3289" s="21" t="s">
        <v>2276</v>
      </c>
      <c r="O3289" s="21" t="s">
        <v>2276</v>
      </c>
      <c r="P3289" s="21" t="s">
        <v>2276</v>
      </c>
      <c r="Q3289" s="21" t="s">
        <v>2276</v>
      </c>
      <c r="R3289" s="21" t="s">
        <v>2276</v>
      </c>
      <c r="S3289" s="21" t="s">
        <v>2276</v>
      </c>
      <c r="T3289" s="21" t="s">
        <v>2276</v>
      </c>
      <c r="U3289" s="21" t="s">
        <v>2276</v>
      </c>
      <c r="V3289" s="21" t="s">
        <v>2276</v>
      </c>
      <c r="W3289" s="21" t="s">
        <v>2276</v>
      </c>
      <c r="X3289" s="21" t="s">
        <v>2276</v>
      </c>
      <c r="Y3289" s="21" t="s">
        <v>2276</v>
      </c>
      <c r="Z3289" s="204" t="s">
        <v>189</v>
      </c>
      <c r="AA3289" s="204" t="s">
        <v>38</v>
      </c>
      <c r="AB3289" s="204" t="s">
        <v>2655</v>
      </c>
      <c r="AC3289" s="204"/>
      <c r="AD3289" s="204"/>
    </row>
    <row r="3290" spans="1:30" ht="33.5" customHeight="1">
      <c r="A3290" s="11" t="s">
        <v>8814</v>
      </c>
      <c r="B3290" s="11" t="s">
        <v>8820</v>
      </c>
      <c r="C3290" s="204" t="s">
        <v>24</v>
      </c>
      <c r="D3290" s="204" t="s">
        <v>2659</v>
      </c>
      <c r="E3290" s="204" t="s">
        <v>2276</v>
      </c>
      <c r="F3290" s="4" t="s">
        <v>28</v>
      </c>
      <c r="G3290" s="204" t="s">
        <v>2276</v>
      </c>
      <c r="H3290" s="204" t="s">
        <v>523</v>
      </c>
      <c r="I3290" s="204"/>
      <c r="J3290" s="21" t="s">
        <v>2276</v>
      </c>
      <c r="K3290" s="21" t="s">
        <v>2276</v>
      </c>
      <c r="L3290" s="21" t="s">
        <v>2276</v>
      </c>
      <c r="M3290" s="21" t="s">
        <v>2276</v>
      </c>
      <c r="N3290" s="21" t="s">
        <v>2276</v>
      </c>
      <c r="O3290" s="21" t="s">
        <v>2276</v>
      </c>
      <c r="P3290" s="21" t="s">
        <v>2276</v>
      </c>
      <c r="Q3290" s="21" t="s">
        <v>2276</v>
      </c>
      <c r="R3290" s="21" t="s">
        <v>2276</v>
      </c>
      <c r="S3290" s="21" t="s">
        <v>2276</v>
      </c>
      <c r="T3290" s="21" t="s">
        <v>2276</v>
      </c>
      <c r="U3290" s="21" t="s">
        <v>2276</v>
      </c>
      <c r="V3290" s="21" t="s">
        <v>2276</v>
      </c>
      <c r="W3290" s="21" t="s">
        <v>2276</v>
      </c>
      <c r="X3290" s="21" t="s">
        <v>2276</v>
      </c>
      <c r="Y3290" s="21" t="s">
        <v>2276</v>
      </c>
      <c r="Z3290" s="204" t="s">
        <v>189</v>
      </c>
      <c r="AA3290" s="204" t="s">
        <v>38</v>
      </c>
      <c r="AB3290" s="204" t="s">
        <v>2655</v>
      </c>
      <c r="AC3290" s="204"/>
      <c r="AD3290" s="204"/>
    </row>
    <row r="3291" spans="1:30" ht="33.5" customHeight="1">
      <c r="A3291" s="11" t="s">
        <v>8815</v>
      </c>
      <c r="B3291" s="11" t="s">
        <v>8821</v>
      </c>
      <c r="C3291" s="204" t="s">
        <v>24</v>
      </c>
      <c r="D3291" s="204" t="s">
        <v>2659</v>
      </c>
      <c r="E3291" s="204" t="s">
        <v>2276</v>
      </c>
      <c r="F3291" s="4" t="s">
        <v>28</v>
      </c>
      <c r="G3291" s="204" t="s">
        <v>2276</v>
      </c>
      <c r="H3291" s="204" t="s">
        <v>523</v>
      </c>
      <c r="I3291" s="204"/>
      <c r="J3291" s="21" t="s">
        <v>2276</v>
      </c>
      <c r="K3291" s="21" t="s">
        <v>2276</v>
      </c>
      <c r="L3291" s="21" t="s">
        <v>2276</v>
      </c>
      <c r="M3291" s="21" t="s">
        <v>2276</v>
      </c>
      <c r="N3291" s="21" t="s">
        <v>2276</v>
      </c>
      <c r="O3291" s="21" t="s">
        <v>2276</v>
      </c>
      <c r="P3291" s="21" t="s">
        <v>2276</v>
      </c>
      <c r="Q3291" s="21" t="s">
        <v>2276</v>
      </c>
      <c r="R3291" s="21" t="s">
        <v>2276</v>
      </c>
      <c r="S3291" s="21" t="s">
        <v>2276</v>
      </c>
      <c r="T3291" s="21" t="s">
        <v>2276</v>
      </c>
      <c r="U3291" s="21" t="s">
        <v>2276</v>
      </c>
      <c r="V3291" s="21" t="s">
        <v>2276</v>
      </c>
      <c r="W3291" s="21" t="s">
        <v>2276</v>
      </c>
      <c r="X3291" s="21" t="s">
        <v>2276</v>
      </c>
      <c r="Y3291" s="21" t="s">
        <v>2276</v>
      </c>
      <c r="Z3291" s="204" t="s">
        <v>189</v>
      </c>
      <c r="AA3291" s="204" t="s">
        <v>38</v>
      </c>
      <c r="AB3291" s="204" t="s">
        <v>2655</v>
      </c>
      <c r="AC3291" s="204"/>
      <c r="AD3291" s="204"/>
    </row>
    <row r="3292" spans="1:30" ht="37" customHeight="1">
      <c r="A3292" s="11" t="s">
        <v>8806</v>
      </c>
      <c r="B3292" s="11" t="s">
        <v>8822</v>
      </c>
      <c r="C3292" s="204" t="s">
        <v>2458</v>
      </c>
      <c r="D3292" s="204" t="s">
        <v>2659</v>
      </c>
      <c r="E3292" s="204" t="s">
        <v>2276</v>
      </c>
      <c r="F3292" s="4" t="s">
        <v>28</v>
      </c>
      <c r="G3292" s="204" t="s">
        <v>2276</v>
      </c>
      <c r="H3292" s="204" t="s">
        <v>523</v>
      </c>
      <c r="I3292" s="204">
        <v>2006</v>
      </c>
      <c r="J3292" s="21" t="s">
        <v>2276</v>
      </c>
      <c r="K3292" s="21" t="s">
        <v>2276</v>
      </c>
      <c r="L3292" s="21" t="s">
        <v>2276</v>
      </c>
      <c r="M3292" s="21" t="s">
        <v>2276</v>
      </c>
      <c r="N3292" s="21" t="s">
        <v>2276</v>
      </c>
      <c r="O3292" s="21" t="s">
        <v>2276</v>
      </c>
      <c r="P3292" s="21" t="s">
        <v>2276</v>
      </c>
      <c r="Q3292" s="21" t="s">
        <v>2276</v>
      </c>
      <c r="R3292" s="21" t="s">
        <v>2276</v>
      </c>
      <c r="S3292" s="21" t="s">
        <v>2276</v>
      </c>
      <c r="T3292" s="21" t="s">
        <v>2276</v>
      </c>
      <c r="U3292" s="21" t="s">
        <v>2276</v>
      </c>
      <c r="V3292" s="21" t="s">
        <v>2276</v>
      </c>
      <c r="W3292" s="21" t="s">
        <v>2276</v>
      </c>
      <c r="X3292" s="21" t="s">
        <v>2276</v>
      </c>
      <c r="Y3292" s="21" t="s">
        <v>2276</v>
      </c>
      <c r="Z3292" s="4" t="s">
        <v>38</v>
      </c>
      <c r="AA3292" s="4" t="s">
        <v>86</v>
      </c>
      <c r="AB3292" s="4" t="s">
        <v>76</v>
      </c>
      <c r="AC3292" s="4" t="s">
        <v>8828</v>
      </c>
      <c r="AD3292" s="204"/>
    </row>
    <row r="3293" spans="1:30" ht="37" customHeight="1">
      <c r="A3293" s="11" t="s">
        <v>8811</v>
      </c>
      <c r="B3293" s="11" t="s">
        <v>8823</v>
      </c>
      <c r="C3293" s="204" t="s">
        <v>2458</v>
      </c>
      <c r="D3293" s="204" t="s">
        <v>2659</v>
      </c>
      <c r="E3293" s="204" t="s">
        <v>2276</v>
      </c>
      <c r="F3293" s="4" t="s">
        <v>28</v>
      </c>
      <c r="G3293" s="204" t="s">
        <v>2276</v>
      </c>
      <c r="H3293" s="204" t="s">
        <v>523</v>
      </c>
      <c r="I3293" s="204">
        <v>2006</v>
      </c>
      <c r="J3293" s="21" t="s">
        <v>2276</v>
      </c>
      <c r="K3293" s="21" t="s">
        <v>2276</v>
      </c>
      <c r="L3293" s="21" t="s">
        <v>2276</v>
      </c>
      <c r="M3293" s="21" t="s">
        <v>2276</v>
      </c>
      <c r="N3293" s="21" t="s">
        <v>2276</v>
      </c>
      <c r="O3293" s="21" t="s">
        <v>2276</v>
      </c>
      <c r="P3293" s="21" t="s">
        <v>2276</v>
      </c>
      <c r="Q3293" s="21" t="s">
        <v>2276</v>
      </c>
      <c r="R3293" s="21" t="s">
        <v>2276</v>
      </c>
      <c r="S3293" s="21" t="s">
        <v>2276</v>
      </c>
      <c r="T3293" s="21" t="s">
        <v>2276</v>
      </c>
      <c r="U3293" s="21" t="s">
        <v>2276</v>
      </c>
      <c r="V3293" s="21" t="s">
        <v>2276</v>
      </c>
      <c r="W3293" s="21" t="s">
        <v>2276</v>
      </c>
      <c r="X3293" s="21" t="s">
        <v>2276</v>
      </c>
      <c r="Y3293" s="21" t="s">
        <v>2276</v>
      </c>
      <c r="Z3293" s="4" t="s">
        <v>38</v>
      </c>
      <c r="AA3293" s="4" t="s">
        <v>86</v>
      </c>
      <c r="AB3293" s="4" t="s">
        <v>76</v>
      </c>
      <c r="AC3293" s="4" t="s">
        <v>8828</v>
      </c>
      <c r="AD3293" s="204"/>
    </row>
    <row r="3294" spans="1:30" ht="37" customHeight="1">
      <c r="A3294" s="11" t="s">
        <v>8812</v>
      </c>
      <c r="B3294" s="11" t="s">
        <v>8827</v>
      </c>
      <c r="C3294" s="204" t="s">
        <v>2458</v>
      </c>
      <c r="D3294" s="204" t="s">
        <v>2659</v>
      </c>
      <c r="E3294" s="204" t="s">
        <v>2276</v>
      </c>
      <c r="F3294" s="4" t="s">
        <v>28</v>
      </c>
      <c r="G3294" s="204" t="s">
        <v>74</v>
      </c>
      <c r="H3294" s="204" t="s">
        <v>523</v>
      </c>
      <c r="I3294" s="204">
        <v>2006</v>
      </c>
      <c r="J3294" s="21" t="s">
        <v>2276</v>
      </c>
      <c r="K3294" s="21" t="s">
        <v>2276</v>
      </c>
      <c r="L3294" s="21" t="s">
        <v>2276</v>
      </c>
      <c r="M3294" s="21" t="s">
        <v>2276</v>
      </c>
      <c r="N3294" s="21" t="s">
        <v>2276</v>
      </c>
      <c r="O3294" s="21" t="s">
        <v>2276</v>
      </c>
      <c r="P3294" s="21" t="s">
        <v>2276</v>
      </c>
      <c r="Q3294" s="21" t="s">
        <v>2276</v>
      </c>
      <c r="R3294" s="21" t="s">
        <v>2276</v>
      </c>
      <c r="S3294" s="21" t="s">
        <v>2276</v>
      </c>
      <c r="T3294" s="21" t="s">
        <v>2276</v>
      </c>
      <c r="U3294" s="21" t="s">
        <v>2276</v>
      </c>
      <c r="V3294" s="21" t="s">
        <v>2276</v>
      </c>
      <c r="W3294" s="21" t="s">
        <v>2276</v>
      </c>
      <c r="X3294" s="21" t="s">
        <v>2276</v>
      </c>
      <c r="Y3294" s="21" t="s">
        <v>2276</v>
      </c>
      <c r="Z3294" s="4" t="s">
        <v>38</v>
      </c>
      <c r="AA3294" s="4" t="s">
        <v>86</v>
      </c>
      <c r="AB3294" s="4" t="s">
        <v>76</v>
      </c>
      <c r="AC3294" s="4" t="s">
        <v>8828</v>
      </c>
      <c r="AD3294" s="204"/>
    </row>
    <row r="3295" spans="1:30" ht="37" customHeight="1">
      <c r="A3295" s="11" t="s">
        <v>8813</v>
      </c>
      <c r="B3295" s="11" t="s">
        <v>8824</v>
      </c>
      <c r="C3295" s="204" t="s">
        <v>2458</v>
      </c>
      <c r="D3295" s="204" t="s">
        <v>2659</v>
      </c>
      <c r="E3295" s="204" t="s">
        <v>2276</v>
      </c>
      <c r="F3295" s="4" t="s">
        <v>28</v>
      </c>
      <c r="G3295" s="204" t="s">
        <v>2276</v>
      </c>
      <c r="H3295" s="204" t="s">
        <v>523</v>
      </c>
      <c r="I3295" s="204">
        <v>2006</v>
      </c>
      <c r="J3295" s="21" t="s">
        <v>2276</v>
      </c>
      <c r="K3295" s="21" t="s">
        <v>2276</v>
      </c>
      <c r="L3295" s="21" t="s">
        <v>2276</v>
      </c>
      <c r="M3295" s="21" t="s">
        <v>2276</v>
      </c>
      <c r="N3295" s="21" t="s">
        <v>2276</v>
      </c>
      <c r="O3295" s="21" t="s">
        <v>2276</v>
      </c>
      <c r="P3295" s="21" t="s">
        <v>2276</v>
      </c>
      <c r="Q3295" s="21" t="s">
        <v>2276</v>
      </c>
      <c r="R3295" s="21" t="s">
        <v>2276</v>
      </c>
      <c r="S3295" s="21" t="s">
        <v>2276</v>
      </c>
      <c r="T3295" s="21" t="s">
        <v>2276</v>
      </c>
      <c r="U3295" s="21" t="s">
        <v>2276</v>
      </c>
      <c r="V3295" s="21" t="s">
        <v>2276</v>
      </c>
      <c r="W3295" s="21" t="s">
        <v>2276</v>
      </c>
      <c r="X3295" s="21" t="s">
        <v>2276</v>
      </c>
      <c r="Y3295" s="21" t="s">
        <v>2276</v>
      </c>
      <c r="Z3295" s="4" t="s">
        <v>38</v>
      </c>
      <c r="AA3295" s="4" t="s">
        <v>86</v>
      </c>
      <c r="AB3295" s="4" t="s">
        <v>76</v>
      </c>
      <c r="AC3295" s="4" t="s">
        <v>8828</v>
      </c>
      <c r="AD3295" s="204"/>
    </row>
    <row r="3296" spans="1:30" ht="37" customHeight="1">
      <c r="A3296" s="11" t="s">
        <v>8814</v>
      </c>
      <c r="B3296" s="11" t="s">
        <v>8825</v>
      </c>
      <c r="C3296" s="204" t="s">
        <v>2458</v>
      </c>
      <c r="D3296" s="204" t="s">
        <v>2659</v>
      </c>
      <c r="E3296" s="204" t="s">
        <v>2276</v>
      </c>
      <c r="F3296" s="4" t="s">
        <v>28</v>
      </c>
      <c r="G3296" s="204" t="s">
        <v>2276</v>
      </c>
      <c r="H3296" s="204" t="s">
        <v>523</v>
      </c>
      <c r="I3296" s="204">
        <v>2006</v>
      </c>
      <c r="J3296" s="21" t="s">
        <v>2276</v>
      </c>
      <c r="K3296" s="21" t="s">
        <v>2276</v>
      </c>
      <c r="L3296" s="21" t="s">
        <v>2276</v>
      </c>
      <c r="M3296" s="21" t="s">
        <v>2276</v>
      </c>
      <c r="N3296" s="21" t="s">
        <v>2276</v>
      </c>
      <c r="O3296" s="21" t="s">
        <v>2276</v>
      </c>
      <c r="P3296" s="21" t="s">
        <v>2276</v>
      </c>
      <c r="Q3296" s="21" t="s">
        <v>2276</v>
      </c>
      <c r="R3296" s="21" t="s">
        <v>2276</v>
      </c>
      <c r="S3296" s="21" t="s">
        <v>2276</v>
      </c>
      <c r="T3296" s="21" t="s">
        <v>2276</v>
      </c>
      <c r="U3296" s="21" t="s">
        <v>2276</v>
      </c>
      <c r="V3296" s="21" t="s">
        <v>2276</v>
      </c>
      <c r="W3296" s="21" t="s">
        <v>2276</v>
      </c>
      <c r="X3296" s="21" t="s">
        <v>2276</v>
      </c>
      <c r="Y3296" s="21" t="s">
        <v>2276</v>
      </c>
      <c r="Z3296" s="4" t="s">
        <v>38</v>
      </c>
      <c r="AA3296" s="4" t="s">
        <v>86</v>
      </c>
      <c r="AB3296" s="4" t="s">
        <v>76</v>
      </c>
      <c r="AC3296" s="4" t="s">
        <v>8828</v>
      </c>
      <c r="AD3296" s="204"/>
    </row>
    <row r="3297" spans="1:30" ht="37" customHeight="1">
      <c r="A3297" s="11" t="s">
        <v>8815</v>
      </c>
      <c r="B3297" s="11" t="s">
        <v>8826</v>
      </c>
      <c r="C3297" s="204" t="s">
        <v>2458</v>
      </c>
      <c r="D3297" s="204" t="s">
        <v>2659</v>
      </c>
      <c r="E3297" s="204" t="s">
        <v>2276</v>
      </c>
      <c r="F3297" s="4" t="s">
        <v>28</v>
      </c>
      <c r="G3297" s="204" t="s">
        <v>2276</v>
      </c>
      <c r="H3297" s="204" t="s">
        <v>523</v>
      </c>
      <c r="I3297" s="204">
        <v>2006</v>
      </c>
      <c r="J3297" s="21" t="s">
        <v>2276</v>
      </c>
      <c r="K3297" s="21" t="s">
        <v>2276</v>
      </c>
      <c r="L3297" s="21" t="s">
        <v>2276</v>
      </c>
      <c r="M3297" s="21" t="s">
        <v>2276</v>
      </c>
      <c r="N3297" s="21" t="s">
        <v>2276</v>
      </c>
      <c r="O3297" s="21" t="s">
        <v>2276</v>
      </c>
      <c r="P3297" s="21" t="s">
        <v>2276</v>
      </c>
      <c r="Q3297" s="21" t="s">
        <v>2276</v>
      </c>
      <c r="R3297" s="21" t="s">
        <v>2276</v>
      </c>
      <c r="S3297" s="21" t="s">
        <v>2276</v>
      </c>
      <c r="T3297" s="21" t="s">
        <v>2276</v>
      </c>
      <c r="U3297" s="21" t="s">
        <v>2276</v>
      </c>
      <c r="V3297" s="21" t="s">
        <v>2276</v>
      </c>
      <c r="W3297" s="21" t="s">
        <v>2276</v>
      </c>
      <c r="X3297" s="21" t="s">
        <v>2276</v>
      </c>
      <c r="Y3297" s="21" t="s">
        <v>2276</v>
      </c>
      <c r="Z3297" s="4" t="s">
        <v>38</v>
      </c>
      <c r="AA3297" s="4" t="s">
        <v>86</v>
      </c>
      <c r="AB3297" s="4" t="s">
        <v>76</v>
      </c>
      <c r="AC3297" s="4" t="s">
        <v>8828</v>
      </c>
      <c r="AD3297" s="204"/>
    </row>
    <row r="3298" spans="1:30" ht="55.5" customHeight="1">
      <c r="A3298" s="11" t="s">
        <v>8831</v>
      </c>
      <c r="B3298" s="11" t="s">
        <v>8832</v>
      </c>
      <c r="C3298" s="204" t="s">
        <v>24</v>
      </c>
      <c r="D3298" s="204" t="s">
        <v>2659</v>
      </c>
      <c r="E3298" s="4" t="s">
        <v>397</v>
      </c>
      <c r="F3298" s="4" t="s">
        <v>28</v>
      </c>
      <c r="G3298" s="204" t="s">
        <v>2276</v>
      </c>
      <c r="H3298" s="204" t="s">
        <v>524</v>
      </c>
      <c r="I3298" s="204"/>
      <c r="J3298" s="21">
        <v>0</v>
      </c>
      <c r="K3298" s="21">
        <v>0</v>
      </c>
      <c r="L3298" s="21">
        <v>0</v>
      </c>
      <c r="M3298" s="21">
        <v>0</v>
      </c>
      <c r="N3298" s="21">
        <v>0</v>
      </c>
      <c r="O3298" s="21">
        <v>0</v>
      </c>
      <c r="P3298" s="21">
        <v>0</v>
      </c>
      <c r="Q3298" s="21">
        <v>0</v>
      </c>
      <c r="R3298" s="21">
        <v>0</v>
      </c>
      <c r="S3298" s="21">
        <v>0</v>
      </c>
      <c r="T3298" s="21">
        <v>0</v>
      </c>
      <c r="U3298" s="21">
        <v>0</v>
      </c>
      <c r="V3298" s="21">
        <v>0</v>
      </c>
      <c r="W3298" s="21">
        <v>0</v>
      </c>
      <c r="X3298" s="21">
        <v>0</v>
      </c>
      <c r="Y3298" s="21" t="s">
        <v>2276</v>
      </c>
      <c r="Z3298" s="204" t="s">
        <v>399</v>
      </c>
      <c r="AA3298" s="204" t="s">
        <v>405</v>
      </c>
      <c r="AB3298" s="204" t="s">
        <v>2276</v>
      </c>
      <c r="AC3298" s="4" t="s">
        <v>8836</v>
      </c>
      <c r="AD3298" s="204"/>
    </row>
    <row r="3299" spans="1:30" ht="55.5" customHeight="1">
      <c r="A3299" s="11" t="s">
        <v>8831</v>
      </c>
      <c r="B3299" s="11" t="s">
        <v>8833</v>
      </c>
      <c r="C3299" s="204" t="s">
        <v>24</v>
      </c>
      <c r="D3299" s="204" t="s">
        <v>2659</v>
      </c>
      <c r="E3299" s="4" t="s">
        <v>3854</v>
      </c>
      <c r="F3299" s="4" t="s">
        <v>28</v>
      </c>
      <c r="G3299" s="204" t="s">
        <v>2276</v>
      </c>
      <c r="H3299" s="204" t="s">
        <v>524</v>
      </c>
      <c r="I3299" s="204"/>
      <c r="J3299" s="21">
        <v>0</v>
      </c>
      <c r="K3299" s="21">
        <v>0</v>
      </c>
      <c r="L3299" s="21">
        <v>0</v>
      </c>
      <c r="M3299" s="21">
        <v>0</v>
      </c>
      <c r="N3299" s="21">
        <v>0</v>
      </c>
      <c r="O3299" s="21">
        <v>0</v>
      </c>
      <c r="P3299" s="21">
        <v>0</v>
      </c>
      <c r="Q3299" s="21">
        <v>0</v>
      </c>
      <c r="R3299" s="21">
        <v>0</v>
      </c>
      <c r="S3299" s="21">
        <v>0</v>
      </c>
      <c r="T3299" s="21">
        <v>0</v>
      </c>
      <c r="U3299" s="21">
        <v>0</v>
      </c>
      <c r="V3299" s="21">
        <v>0</v>
      </c>
      <c r="W3299" s="21">
        <v>0</v>
      </c>
      <c r="X3299" s="21">
        <v>0</v>
      </c>
      <c r="Y3299" s="21" t="s">
        <v>2276</v>
      </c>
      <c r="Z3299" s="204" t="s">
        <v>399</v>
      </c>
      <c r="AA3299" s="204" t="s">
        <v>405</v>
      </c>
      <c r="AB3299" s="204" t="s">
        <v>2276</v>
      </c>
      <c r="AC3299" s="4" t="s">
        <v>8836</v>
      </c>
      <c r="AD3299" s="204"/>
    </row>
    <row r="3300" spans="1:30" ht="54.5" customHeight="1">
      <c r="A3300" s="11" t="s">
        <v>8831</v>
      </c>
      <c r="B3300" s="11" t="s">
        <v>8834</v>
      </c>
      <c r="C3300" s="204" t="s">
        <v>24</v>
      </c>
      <c r="D3300" s="204" t="s">
        <v>2659</v>
      </c>
      <c r="E3300" s="4" t="s">
        <v>397</v>
      </c>
      <c r="F3300" s="4" t="s">
        <v>28</v>
      </c>
      <c r="G3300" s="204" t="s">
        <v>2276</v>
      </c>
      <c r="H3300" s="204" t="s">
        <v>523</v>
      </c>
      <c r="I3300" s="204"/>
      <c r="J3300" s="21" t="s">
        <v>2276</v>
      </c>
      <c r="K3300" s="21" t="s">
        <v>2276</v>
      </c>
      <c r="L3300" s="21" t="s">
        <v>2276</v>
      </c>
      <c r="M3300" s="21" t="s">
        <v>2276</v>
      </c>
      <c r="N3300" s="21" t="s">
        <v>2276</v>
      </c>
      <c r="O3300" s="21" t="s">
        <v>2276</v>
      </c>
      <c r="P3300" s="21" t="s">
        <v>2276</v>
      </c>
      <c r="Q3300" s="21" t="s">
        <v>2276</v>
      </c>
      <c r="R3300" s="21" t="s">
        <v>2276</v>
      </c>
      <c r="S3300" s="21" t="s">
        <v>2276</v>
      </c>
      <c r="T3300" s="21" t="s">
        <v>2276</v>
      </c>
      <c r="U3300" s="21" t="s">
        <v>2276</v>
      </c>
      <c r="V3300" s="21" t="s">
        <v>2276</v>
      </c>
      <c r="W3300" s="21" t="s">
        <v>2276</v>
      </c>
      <c r="X3300" s="21" t="s">
        <v>2276</v>
      </c>
      <c r="Y3300" s="21" t="s">
        <v>2276</v>
      </c>
      <c r="Z3300" s="204" t="s">
        <v>35</v>
      </c>
      <c r="AA3300" s="204" t="s">
        <v>127</v>
      </c>
      <c r="AB3300" s="204" t="s">
        <v>2276</v>
      </c>
      <c r="AC3300" s="4"/>
      <c r="AD3300" s="4" t="s">
        <v>8837</v>
      </c>
    </row>
    <row r="3301" spans="1:30" ht="56.5" customHeight="1">
      <c r="A3301" s="11" t="s">
        <v>8831</v>
      </c>
      <c r="B3301" s="11" t="s">
        <v>8835</v>
      </c>
      <c r="C3301" s="204" t="s">
        <v>24</v>
      </c>
      <c r="D3301" s="204" t="s">
        <v>2659</v>
      </c>
      <c r="E3301" s="4" t="s">
        <v>3854</v>
      </c>
      <c r="F3301" s="4" t="s">
        <v>28</v>
      </c>
      <c r="G3301" s="204" t="s">
        <v>2276</v>
      </c>
      <c r="H3301" s="204" t="s">
        <v>524</v>
      </c>
      <c r="I3301" s="204"/>
      <c r="J3301" s="21">
        <v>0</v>
      </c>
      <c r="K3301" s="21">
        <v>0</v>
      </c>
      <c r="L3301" s="21">
        <v>0</v>
      </c>
      <c r="M3301" s="21">
        <v>0</v>
      </c>
      <c r="N3301" s="21">
        <v>0</v>
      </c>
      <c r="O3301" s="21">
        <v>0</v>
      </c>
      <c r="P3301" s="21">
        <v>0</v>
      </c>
      <c r="Q3301" s="21">
        <v>0</v>
      </c>
      <c r="R3301" s="21">
        <v>0</v>
      </c>
      <c r="S3301" s="21">
        <v>0</v>
      </c>
      <c r="T3301" s="21">
        <v>0</v>
      </c>
      <c r="U3301" s="21">
        <v>0</v>
      </c>
      <c r="V3301" s="21">
        <v>0</v>
      </c>
      <c r="W3301" s="21">
        <v>0</v>
      </c>
      <c r="X3301" s="21">
        <v>0</v>
      </c>
      <c r="Y3301" s="21">
        <v>0</v>
      </c>
      <c r="Z3301" s="204" t="s">
        <v>35</v>
      </c>
      <c r="AA3301" s="204" t="s">
        <v>127</v>
      </c>
      <c r="AB3301" s="204" t="s">
        <v>2276</v>
      </c>
      <c r="AC3301" s="4"/>
      <c r="AD3301" s="4" t="s">
        <v>8837</v>
      </c>
    </row>
    <row r="3302" spans="1:30" ht="51.5" customHeight="1">
      <c r="A3302" s="19" t="s">
        <v>8838</v>
      </c>
      <c r="B3302" s="19" t="s">
        <v>8841</v>
      </c>
      <c r="C3302" s="4" t="s">
        <v>24</v>
      </c>
      <c r="D3302" s="4" t="s">
        <v>1131</v>
      </c>
      <c r="E3302" s="4" t="s">
        <v>396</v>
      </c>
      <c r="F3302" s="4" t="s">
        <v>28</v>
      </c>
      <c r="G3302" s="204" t="s">
        <v>2276</v>
      </c>
      <c r="H3302" s="204" t="s">
        <v>523</v>
      </c>
      <c r="I3302" s="204"/>
      <c r="J3302" s="21" t="s">
        <v>2276</v>
      </c>
      <c r="K3302" s="21" t="s">
        <v>2276</v>
      </c>
      <c r="L3302" s="21" t="s">
        <v>2276</v>
      </c>
      <c r="M3302" s="21" t="s">
        <v>2276</v>
      </c>
      <c r="N3302" s="21" t="s">
        <v>2276</v>
      </c>
      <c r="O3302" s="21" t="s">
        <v>2276</v>
      </c>
      <c r="P3302" s="21" t="s">
        <v>2276</v>
      </c>
      <c r="Q3302" s="21" t="s">
        <v>2276</v>
      </c>
      <c r="R3302" s="21" t="s">
        <v>2276</v>
      </c>
      <c r="S3302" s="21" t="s">
        <v>2276</v>
      </c>
      <c r="T3302" s="21" t="s">
        <v>2276</v>
      </c>
      <c r="U3302" s="21" t="s">
        <v>2276</v>
      </c>
      <c r="V3302" s="21" t="s">
        <v>2276</v>
      </c>
      <c r="W3302" s="21" t="s">
        <v>2276</v>
      </c>
      <c r="X3302" s="21" t="s">
        <v>2276</v>
      </c>
      <c r="Y3302" s="21" t="s">
        <v>2276</v>
      </c>
      <c r="Z3302" s="21" t="s">
        <v>2276</v>
      </c>
      <c r="AA3302" s="21" t="s">
        <v>2276</v>
      </c>
      <c r="AB3302" s="21" t="s">
        <v>2276</v>
      </c>
      <c r="AC3302" s="19" t="s">
        <v>8842</v>
      </c>
      <c r="AD3302" s="204"/>
    </row>
    <row r="3303" spans="1:30" ht="34.5" customHeight="1">
      <c r="A3303" s="11" t="s">
        <v>8844</v>
      </c>
      <c r="B3303" s="11" t="s">
        <v>8846</v>
      </c>
      <c r="C3303" s="4" t="s">
        <v>24</v>
      </c>
      <c r="D3303" s="204" t="s">
        <v>27</v>
      </c>
      <c r="E3303" s="204" t="s">
        <v>130</v>
      </c>
      <c r="F3303" s="4" t="s">
        <v>74</v>
      </c>
      <c r="G3303" s="204" t="s">
        <v>2276</v>
      </c>
      <c r="H3303" s="204" t="s">
        <v>523</v>
      </c>
      <c r="I3303" s="204"/>
      <c r="J3303" s="21" t="s">
        <v>2276</v>
      </c>
      <c r="K3303" s="21" t="s">
        <v>2276</v>
      </c>
      <c r="L3303" s="21" t="s">
        <v>2276</v>
      </c>
      <c r="M3303" s="21" t="s">
        <v>2276</v>
      </c>
      <c r="N3303" s="21" t="s">
        <v>2276</v>
      </c>
      <c r="O3303" s="21" t="s">
        <v>2276</v>
      </c>
      <c r="P3303" s="21" t="s">
        <v>2276</v>
      </c>
      <c r="Q3303" s="21" t="s">
        <v>2276</v>
      </c>
      <c r="R3303" s="21" t="s">
        <v>2276</v>
      </c>
      <c r="S3303" s="21" t="s">
        <v>2276</v>
      </c>
      <c r="T3303" s="21" t="s">
        <v>2276</v>
      </c>
      <c r="U3303" s="21" t="s">
        <v>2276</v>
      </c>
      <c r="V3303" s="21" t="s">
        <v>2276</v>
      </c>
      <c r="W3303" s="21" t="s">
        <v>2276</v>
      </c>
      <c r="X3303" s="21" t="s">
        <v>2276</v>
      </c>
      <c r="Y3303" s="21" t="s">
        <v>2276</v>
      </c>
      <c r="Z3303" s="21" t="s">
        <v>2276</v>
      </c>
      <c r="AA3303" s="21" t="s">
        <v>2276</v>
      </c>
      <c r="AB3303" s="21" t="s">
        <v>2276</v>
      </c>
      <c r="AC3303" s="204"/>
      <c r="AD3303" s="204"/>
    </row>
    <row r="3304" spans="1:30" ht="36" customHeight="1">
      <c r="A3304" s="11" t="s">
        <v>8844</v>
      </c>
      <c r="B3304" s="11" t="s">
        <v>8848</v>
      </c>
      <c r="C3304" s="4" t="s">
        <v>24</v>
      </c>
      <c r="D3304" s="204" t="s">
        <v>1105</v>
      </c>
      <c r="E3304" s="204" t="s">
        <v>84</v>
      </c>
      <c r="F3304" s="4" t="s">
        <v>28</v>
      </c>
      <c r="G3304" s="204" t="s">
        <v>2276</v>
      </c>
      <c r="H3304" s="204" t="s">
        <v>524</v>
      </c>
      <c r="I3304" s="204"/>
      <c r="J3304" s="21">
        <v>0</v>
      </c>
      <c r="K3304" s="21">
        <v>0</v>
      </c>
      <c r="L3304" s="21">
        <v>0</v>
      </c>
      <c r="M3304" s="21">
        <v>0</v>
      </c>
      <c r="N3304" s="21">
        <v>0</v>
      </c>
      <c r="O3304" s="21">
        <v>0</v>
      </c>
      <c r="P3304" s="21">
        <v>0</v>
      </c>
      <c r="Q3304" s="21">
        <v>0</v>
      </c>
      <c r="R3304" s="21">
        <v>0</v>
      </c>
      <c r="S3304" s="21">
        <v>0</v>
      </c>
      <c r="T3304" s="21">
        <v>0</v>
      </c>
      <c r="U3304" s="21">
        <v>0</v>
      </c>
      <c r="V3304" s="21">
        <v>0</v>
      </c>
      <c r="W3304" s="21">
        <v>0</v>
      </c>
      <c r="X3304" s="21">
        <v>0</v>
      </c>
      <c r="Y3304" s="21" t="s">
        <v>2276</v>
      </c>
      <c r="Z3304" s="21" t="s">
        <v>2276</v>
      </c>
      <c r="AA3304" s="21" t="s">
        <v>2276</v>
      </c>
      <c r="AB3304" s="21" t="s">
        <v>2276</v>
      </c>
      <c r="AC3304" s="4" t="s">
        <v>8847</v>
      </c>
      <c r="AD3304" s="204"/>
    </row>
    <row r="3305" spans="1:30" ht="37" customHeight="1">
      <c r="A3305" s="11" t="s">
        <v>8844</v>
      </c>
      <c r="B3305" s="11" t="s">
        <v>8849</v>
      </c>
      <c r="C3305" s="4" t="s">
        <v>24</v>
      </c>
      <c r="D3305" s="204" t="s">
        <v>1105</v>
      </c>
      <c r="E3305" s="204" t="s">
        <v>2649</v>
      </c>
      <c r="F3305" s="4" t="s">
        <v>2663</v>
      </c>
      <c r="G3305" s="204" t="s">
        <v>2276</v>
      </c>
      <c r="H3305" s="204" t="s">
        <v>524</v>
      </c>
      <c r="I3305" s="204"/>
      <c r="J3305" s="21">
        <v>0</v>
      </c>
      <c r="K3305" s="21">
        <v>0</v>
      </c>
      <c r="L3305" s="21">
        <v>0</v>
      </c>
      <c r="M3305" s="21">
        <v>0</v>
      </c>
      <c r="N3305" s="21">
        <v>0</v>
      </c>
      <c r="O3305" s="21">
        <v>0</v>
      </c>
      <c r="P3305" s="21">
        <v>0</v>
      </c>
      <c r="Q3305" s="21">
        <v>0</v>
      </c>
      <c r="R3305" s="21">
        <v>0</v>
      </c>
      <c r="S3305" s="21">
        <v>0</v>
      </c>
      <c r="T3305" s="21">
        <v>0</v>
      </c>
      <c r="U3305" s="21">
        <v>0</v>
      </c>
      <c r="V3305" s="21">
        <v>0</v>
      </c>
      <c r="W3305" s="21">
        <v>0</v>
      </c>
      <c r="X3305" s="21">
        <v>0</v>
      </c>
      <c r="Y3305" s="21" t="s">
        <v>2276</v>
      </c>
      <c r="Z3305" s="21" t="s">
        <v>2276</v>
      </c>
      <c r="AA3305" s="21" t="s">
        <v>2276</v>
      </c>
      <c r="AB3305" s="21" t="s">
        <v>2276</v>
      </c>
      <c r="AC3305" s="204"/>
      <c r="AD3305" s="204"/>
    </row>
    <row r="3306" spans="1:30" ht="52" customHeight="1">
      <c r="A3306" s="11" t="s">
        <v>8853</v>
      </c>
      <c r="B3306" s="11" t="s">
        <v>8864</v>
      </c>
      <c r="C3306" s="4" t="s">
        <v>24</v>
      </c>
      <c r="D3306" s="204" t="s">
        <v>27</v>
      </c>
      <c r="E3306" s="4" t="s">
        <v>130</v>
      </c>
      <c r="F3306" s="4" t="s">
        <v>28</v>
      </c>
      <c r="G3306" s="204" t="s">
        <v>2276</v>
      </c>
      <c r="H3306" s="204" t="s">
        <v>523</v>
      </c>
      <c r="I3306" s="204"/>
      <c r="J3306" s="21" t="s">
        <v>2276</v>
      </c>
      <c r="K3306" s="21" t="s">
        <v>2276</v>
      </c>
      <c r="L3306" s="21" t="s">
        <v>2276</v>
      </c>
      <c r="M3306" s="21" t="s">
        <v>2276</v>
      </c>
      <c r="N3306" s="21" t="s">
        <v>2276</v>
      </c>
      <c r="O3306" s="21" t="s">
        <v>2276</v>
      </c>
      <c r="P3306" s="21" t="s">
        <v>2276</v>
      </c>
      <c r="Q3306" s="21" t="s">
        <v>2276</v>
      </c>
      <c r="R3306" s="21" t="s">
        <v>2276</v>
      </c>
      <c r="S3306" s="21" t="s">
        <v>2276</v>
      </c>
      <c r="T3306" s="21" t="s">
        <v>2276</v>
      </c>
      <c r="U3306" s="21" t="s">
        <v>2276</v>
      </c>
      <c r="V3306" s="21" t="s">
        <v>2276</v>
      </c>
      <c r="W3306" s="21" t="s">
        <v>2276</v>
      </c>
      <c r="X3306" s="21" t="s">
        <v>2276</v>
      </c>
      <c r="Y3306" s="21" t="s">
        <v>2276</v>
      </c>
      <c r="Z3306" s="21" t="s">
        <v>2276</v>
      </c>
      <c r="AA3306" s="21" t="s">
        <v>2276</v>
      </c>
      <c r="AB3306" s="21" t="s">
        <v>2276</v>
      </c>
      <c r="AC3306" s="204"/>
      <c r="AD3306" s="204"/>
    </row>
    <row r="3307" spans="1:30" ht="44.5" customHeight="1">
      <c r="A3307" s="11" t="s">
        <v>8853</v>
      </c>
      <c r="B3307" s="11" t="s">
        <v>8865</v>
      </c>
      <c r="C3307" s="4" t="s">
        <v>24</v>
      </c>
      <c r="D3307" s="204" t="s">
        <v>27</v>
      </c>
      <c r="E3307" s="4" t="s">
        <v>397</v>
      </c>
      <c r="F3307" s="4" t="s">
        <v>28</v>
      </c>
      <c r="G3307" s="204" t="s">
        <v>2276</v>
      </c>
      <c r="H3307" s="204" t="s">
        <v>524</v>
      </c>
      <c r="I3307" s="204"/>
      <c r="J3307" s="21">
        <v>0</v>
      </c>
      <c r="K3307" s="21">
        <v>0</v>
      </c>
      <c r="L3307" s="21">
        <v>0</v>
      </c>
      <c r="M3307" s="21">
        <v>0</v>
      </c>
      <c r="N3307" s="21">
        <v>0</v>
      </c>
      <c r="O3307" s="21">
        <v>0</v>
      </c>
      <c r="P3307" s="21">
        <v>0</v>
      </c>
      <c r="Q3307" s="21">
        <v>0</v>
      </c>
      <c r="R3307" s="21">
        <v>0</v>
      </c>
      <c r="S3307" s="21">
        <v>0</v>
      </c>
      <c r="T3307" s="21">
        <v>0</v>
      </c>
      <c r="U3307" s="21">
        <v>0</v>
      </c>
      <c r="V3307" s="21">
        <v>0</v>
      </c>
      <c r="W3307" s="21">
        <v>0</v>
      </c>
      <c r="X3307" s="21">
        <v>0</v>
      </c>
      <c r="Y3307" s="21" t="s">
        <v>2276</v>
      </c>
      <c r="Z3307" s="21" t="s">
        <v>2276</v>
      </c>
      <c r="AA3307" s="21" t="s">
        <v>2276</v>
      </c>
      <c r="AB3307" s="21" t="s">
        <v>2276</v>
      </c>
      <c r="AC3307" s="204"/>
      <c r="AD3307" s="204"/>
    </row>
    <row r="3308" spans="1:30" ht="56.5" customHeight="1">
      <c r="A3308" s="11" t="s">
        <v>8853</v>
      </c>
      <c r="B3308" s="11" t="s">
        <v>8866</v>
      </c>
      <c r="C3308" s="4" t="s">
        <v>24</v>
      </c>
      <c r="D3308" s="204" t="s">
        <v>27</v>
      </c>
      <c r="E3308" s="4" t="s">
        <v>3854</v>
      </c>
      <c r="F3308" s="4" t="s">
        <v>28</v>
      </c>
      <c r="G3308" s="204" t="s">
        <v>2276</v>
      </c>
      <c r="H3308" s="204" t="s">
        <v>524</v>
      </c>
      <c r="I3308" s="204"/>
      <c r="J3308" s="21">
        <v>0</v>
      </c>
      <c r="K3308" s="21">
        <v>0</v>
      </c>
      <c r="L3308" s="21">
        <v>0</v>
      </c>
      <c r="M3308" s="21">
        <v>0</v>
      </c>
      <c r="N3308" s="21">
        <v>0</v>
      </c>
      <c r="O3308" s="21">
        <v>0</v>
      </c>
      <c r="P3308" s="21">
        <v>0</v>
      </c>
      <c r="Q3308" s="21">
        <v>0</v>
      </c>
      <c r="R3308" s="21">
        <v>0</v>
      </c>
      <c r="S3308" s="21">
        <v>0</v>
      </c>
      <c r="T3308" s="21">
        <v>0</v>
      </c>
      <c r="U3308" s="21">
        <v>0</v>
      </c>
      <c r="V3308" s="21">
        <v>0</v>
      </c>
      <c r="W3308" s="21">
        <v>0</v>
      </c>
      <c r="X3308" s="21">
        <v>0</v>
      </c>
      <c r="Y3308" s="21" t="s">
        <v>2276</v>
      </c>
      <c r="Z3308" s="21" t="s">
        <v>2276</v>
      </c>
      <c r="AA3308" s="21" t="s">
        <v>2276</v>
      </c>
      <c r="AB3308" s="21" t="s">
        <v>2276</v>
      </c>
      <c r="AC3308" s="204"/>
      <c r="AD3308" s="204"/>
    </row>
    <row r="3309" spans="1:30" ht="29" customHeight="1">
      <c r="A3309" s="11" t="s">
        <v>8861</v>
      </c>
      <c r="B3309" s="11" t="s">
        <v>8867</v>
      </c>
      <c r="C3309" s="4" t="s">
        <v>24</v>
      </c>
      <c r="D3309" s="204" t="s">
        <v>27</v>
      </c>
      <c r="E3309" s="4" t="s">
        <v>130</v>
      </c>
      <c r="F3309" s="4" t="s">
        <v>28</v>
      </c>
      <c r="G3309" s="204" t="s">
        <v>2276</v>
      </c>
      <c r="H3309" s="204" t="s">
        <v>523</v>
      </c>
      <c r="I3309" s="204"/>
      <c r="J3309" s="21" t="s">
        <v>2276</v>
      </c>
      <c r="K3309" s="21" t="s">
        <v>2276</v>
      </c>
      <c r="L3309" s="21" t="s">
        <v>2276</v>
      </c>
      <c r="M3309" s="21" t="s">
        <v>2276</v>
      </c>
      <c r="N3309" s="21" t="s">
        <v>2276</v>
      </c>
      <c r="O3309" s="21" t="s">
        <v>2276</v>
      </c>
      <c r="P3309" s="21" t="s">
        <v>2276</v>
      </c>
      <c r="Q3309" s="21" t="s">
        <v>2276</v>
      </c>
      <c r="R3309" s="21" t="s">
        <v>2276</v>
      </c>
      <c r="S3309" s="21" t="s">
        <v>2276</v>
      </c>
      <c r="T3309" s="21" t="s">
        <v>2276</v>
      </c>
      <c r="U3309" s="21" t="s">
        <v>2276</v>
      </c>
      <c r="V3309" s="21" t="s">
        <v>2276</v>
      </c>
      <c r="W3309" s="21" t="s">
        <v>2276</v>
      </c>
      <c r="X3309" s="21" t="s">
        <v>2276</v>
      </c>
      <c r="Y3309" s="21" t="s">
        <v>2276</v>
      </c>
      <c r="Z3309" s="21" t="s">
        <v>2276</v>
      </c>
      <c r="AA3309" s="21" t="s">
        <v>2276</v>
      </c>
      <c r="AB3309" s="21" t="s">
        <v>2276</v>
      </c>
      <c r="AC3309" s="204"/>
      <c r="AD3309" s="204"/>
    </row>
    <row r="3310" spans="1:30" ht="29" customHeight="1">
      <c r="A3310" s="11" t="s">
        <v>8861</v>
      </c>
      <c r="B3310" s="11" t="s">
        <v>8868</v>
      </c>
      <c r="C3310" s="4" t="s">
        <v>24</v>
      </c>
      <c r="D3310" s="204" t="s">
        <v>27</v>
      </c>
      <c r="E3310" s="4" t="s">
        <v>397</v>
      </c>
      <c r="F3310" s="4" t="s">
        <v>28</v>
      </c>
      <c r="G3310" s="204" t="s">
        <v>2276</v>
      </c>
      <c r="H3310" s="204" t="s">
        <v>524</v>
      </c>
      <c r="I3310" s="204"/>
      <c r="J3310" s="21">
        <v>0</v>
      </c>
      <c r="K3310" s="21">
        <v>0</v>
      </c>
      <c r="L3310" s="21">
        <v>0</v>
      </c>
      <c r="M3310" s="21">
        <v>0</v>
      </c>
      <c r="N3310" s="21">
        <v>0</v>
      </c>
      <c r="O3310" s="21">
        <v>0</v>
      </c>
      <c r="P3310" s="21">
        <v>0</v>
      </c>
      <c r="Q3310" s="21">
        <v>0</v>
      </c>
      <c r="R3310" s="21">
        <v>0</v>
      </c>
      <c r="S3310" s="21">
        <v>0</v>
      </c>
      <c r="T3310" s="21">
        <v>0</v>
      </c>
      <c r="U3310" s="21">
        <v>0</v>
      </c>
      <c r="V3310" s="21">
        <v>0</v>
      </c>
      <c r="W3310" s="21">
        <v>0</v>
      </c>
      <c r="X3310" s="21">
        <v>0</v>
      </c>
      <c r="Y3310" s="21" t="s">
        <v>2276</v>
      </c>
      <c r="Z3310" s="21" t="s">
        <v>2276</v>
      </c>
      <c r="AA3310" s="21" t="s">
        <v>2276</v>
      </c>
      <c r="AB3310" s="21" t="s">
        <v>2276</v>
      </c>
      <c r="AC3310" s="204"/>
      <c r="AD3310" s="204"/>
    </row>
    <row r="3311" spans="1:30" ht="29" customHeight="1">
      <c r="A3311" s="11" t="s">
        <v>8861</v>
      </c>
      <c r="B3311" s="11" t="s">
        <v>8869</v>
      </c>
      <c r="C3311" s="4" t="s">
        <v>24</v>
      </c>
      <c r="D3311" s="204" t="s">
        <v>27</v>
      </c>
      <c r="E3311" s="4" t="s">
        <v>3854</v>
      </c>
      <c r="F3311" s="4" t="s">
        <v>28</v>
      </c>
      <c r="G3311" s="204" t="s">
        <v>2276</v>
      </c>
      <c r="H3311" s="204" t="s">
        <v>524</v>
      </c>
      <c r="I3311" s="204"/>
      <c r="J3311" s="21">
        <v>0</v>
      </c>
      <c r="K3311" s="21">
        <v>0</v>
      </c>
      <c r="L3311" s="21">
        <v>0</v>
      </c>
      <c r="M3311" s="21">
        <v>0</v>
      </c>
      <c r="N3311" s="21">
        <v>0</v>
      </c>
      <c r="O3311" s="21">
        <v>0</v>
      </c>
      <c r="P3311" s="21">
        <v>0</v>
      </c>
      <c r="Q3311" s="21">
        <v>0</v>
      </c>
      <c r="R3311" s="21">
        <v>0</v>
      </c>
      <c r="S3311" s="21">
        <v>0</v>
      </c>
      <c r="T3311" s="21">
        <v>0</v>
      </c>
      <c r="U3311" s="21">
        <v>0</v>
      </c>
      <c r="V3311" s="21">
        <v>0</v>
      </c>
      <c r="W3311" s="21">
        <v>0</v>
      </c>
      <c r="X3311" s="21">
        <v>0</v>
      </c>
      <c r="Y3311" s="21" t="s">
        <v>2276</v>
      </c>
      <c r="Z3311" s="21" t="s">
        <v>2276</v>
      </c>
      <c r="AA3311" s="21" t="s">
        <v>2276</v>
      </c>
      <c r="AB3311" s="21" t="s">
        <v>2276</v>
      </c>
      <c r="AC3311" s="204"/>
      <c r="AD3311" s="204"/>
    </row>
    <row r="3312" spans="1:30" ht="29" customHeight="1">
      <c r="A3312" s="11" t="s">
        <v>8862</v>
      </c>
      <c r="B3312" s="11" t="s">
        <v>8870</v>
      </c>
      <c r="C3312" s="4" t="s">
        <v>24</v>
      </c>
      <c r="D3312" s="204" t="s">
        <v>27</v>
      </c>
      <c r="E3312" s="4" t="s">
        <v>130</v>
      </c>
      <c r="F3312" s="4" t="s">
        <v>28</v>
      </c>
      <c r="G3312" s="204" t="s">
        <v>2276</v>
      </c>
      <c r="H3312" s="204" t="s">
        <v>523</v>
      </c>
      <c r="I3312" s="204"/>
      <c r="J3312" s="21" t="s">
        <v>2276</v>
      </c>
      <c r="K3312" s="21" t="s">
        <v>2276</v>
      </c>
      <c r="L3312" s="21" t="s">
        <v>2276</v>
      </c>
      <c r="M3312" s="21" t="s">
        <v>2276</v>
      </c>
      <c r="N3312" s="21" t="s">
        <v>2276</v>
      </c>
      <c r="O3312" s="21" t="s">
        <v>2276</v>
      </c>
      <c r="P3312" s="21" t="s">
        <v>2276</v>
      </c>
      <c r="Q3312" s="21" t="s">
        <v>2276</v>
      </c>
      <c r="R3312" s="21" t="s">
        <v>2276</v>
      </c>
      <c r="S3312" s="21" t="s">
        <v>2276</v>
      </c>
      <c r="T3312" s="21" t="s">
        <v>2276</v>
      </c>
      <c r="U3312" s="21" t="s">
        <v>2276</v>
      </c>
      <c r="V3312" s="21" t="s">
        <v>2276</v>
      </c>
      <c r="W3312" s="21" t="s">
        <v>2276</v>
      </c>
      <c r="X3312" s="21" t="s">
        <v>2276</v>
      </c>
      <c r="Y3312" s="21" t="s">
        <v>2276</v>
      </c>
      <c r="Z3312" s="21" t="s">
        <v>2276</v>
      </c>
      <c r="AA3312" s="21" t="s">
        <v>2276</v>
      </c>
      <c r="AB3312" s="21" t="s">
        <v>2276</v>
      </c>
      <c r="AC3312" s="204"/>
      <c r="AD3312" s="204"/>
    </row>
    <row r="3313" spans="1:30" ht="29" customHeight="1">
      <c r="A3313" s="11" t="s">
        <v>8862</v>
      </c>
      <c r="B3313" s="11" t="s">
        <v>8871</v>
      </c>
      <c r="C3313" s="4" t="s">
        <v>24</v>
      </c>
      <c r="D3313" s="204" t="s">
        <v>27</v>
      </c>
      <c r="E3313" s="4" t="s">
        <v>397</v>
      </c>
      <c r="F3313" s="4" t="s">
        <v>28</v>
      </c>
      <c r="G3313" s="204" t="s">
        <v>2276</v>
      </c>
      <c r="H3313" s="204" t="s">
        <v>524</v>
      </c>
      <c r="I3313" s="204"/>
      <c r="J3313" s="21">
        <v>0</v>
      </c>
      <c r="K3313" s="21">
        <v>0</v>
      </c>
      <c r="L3313" s="21">
        <v>0</v>
      </c>
      <c r="M3313" s="21">
        <v>0</v>
      </c>
      <c r="N3313" s="21">
        <v>0</v>
      </c>
      <c r="O3313" s="21">
        <v>0</v>
      </c>
      <c r="P3313" s="21">
        <v>0</v>
      </c>
      <c r="Q3313" s="21">
        <v>0</v>
      </c>
      <c r="R3313" s="21">
        <v>0</v>
      </c>
      <c r="S3313" s="21">
        <v>0</v>
      </c>
      <c r="T3313" s="21">
        <v>0</v>
      </c>
      <c r="U3313" s="21">
        <v>0</v>
      </c>
      <c r="V3313" s="21">
        <v>0</v>
      </c>
      <c r="W3313" s="21">
        <v>0</v>
      </c>
      <c r="X3313" s="21">
        <v>0</v>
      </c>
      <c r="Y3313" s="21" t="s">
        <v>2276</v>
      </c>
      <c r="Z3313" s="21" t="s">
        <v>2276</v>
      </c>
      <c r="AA3313" s="21" t="s">
        <v>2276</v>
      </c>
      <c r="AB3313" s="21" t="s">
        <v>2276</v>
      </c>
      <c r="AC3313" s="204"/>
      <c r="AD3313" s="204"/>
    </row>
    <row r="3314" spans="1:30" ht="29" customHeight="1">
      <c r="A3314" s="11" t="s">
        <v>8862</v>
      </c>
      <c r="B3314" s="11" t="s">
        <v>8872</v>
      </c>
      <c r="C3314" s="4" t="s">
        <v>24</v>
      </c>
      <c r="D3314" s="204" t="s">
        <v>27</v>
      </c>
      <c r="E3314" s="4" t="s">
        <v>3854</v>
      </c>
      <c r="F3314" s="4" t="s">
        <v>28</v>
      </c>
      <c r="G3314" s="204" t="s">
        <v>2276</v>
      </c>
      <c r="H3314" s="204" t="s">
        <v>524</v>
      </c>
      <c r="I3314" s="204"/>
      <c r="J3314" s="21">
        <v>0</v>
      </c>
      <c r="K3314" s="21">
        <v>0</v>
      </c>
      <c r="L3314" s="21">
        <v>0</v>
      </c>
      <c r="M3314" s="21">
        <v>0</v>
      </c>
      <c r="N3314" s="21">
        <v>0</v>
      </c>
      <c r="O3314" s="21">
        <v>0</v>
      </c>
      <c r="P3314" s="21">
        <v>0</v>
      </c>
      <c r="Q3314" s="21">
        <v>0</v>
      </c>
      <c r="R3314" s="21">
        <v>0</v>
      </c>
      <c r="S3314" s="21">
        <v>0</v>
      </c>
      <c r="T3314" s="21">
        <v>0</v>
      </c>
      <c r="U3314" s="21">
        <v>0</v>
      </c>
      <c r="V3314" s="21">
        <v>0</v>
      </c>
      <c r="W3314" s="21">
        <v>0</v>
      </c>
      <c r="X3314" s="21">
        <v>0</v>
      </c>
      <c r="Y3314" s="21" t="s">
        <v>2276</v>
      </c>
      <c r="Z3314" s="21" t="s">
        <v>2276</v>
      </c>
      <c r="AA3314" s="21" t="s">
        <v>2276</v>
      </c>
      <c r="AB3314" s="21" t="s">
        <v>2276</v>
      </c>
      <c r="AC3314" s="204"/>
      <c r="AD3314" s="204"/>
    </row>
    <row r="3315" spans="1:30" ht="29" customHeight="1">
      <c r="A3315" s="11" t="s">
        <v>8863</v>
      </c>
      <c r="B3315" s="11" t="s">
        <v>8873</v>
      </c>
      <c r="C3315" s="4" t="s">
        <v>24</v>
      </c>
      <c r="D3315" s="204" t="s">
        <v>27</v>
      </c>
      <c r="E3315" s="4" t="s">
        <v>130</v>
      </c>
      <c r="F3315" s="4" t="s">
        <v>28</v>
      </c>
      <c r="G3315" s="204" t="s">
        <v>2276</v>
      </c>
      <c r="H3315" s="204" t="s">
        <v>523</v>
      </c>
      <c r="I3315" s="204"/>
      <c r="J3315" s="21" t="s">
        <v>2276</v>
      </c>
      <c r="K3315" s="21" t="s">
        <v>2276</v>
      </c>
      <c r="L3315" s="21" t="s">
        <v>2276</v>
      </c>
      <c r="M3315" s="21" t="s">
        <v>2276</v>
      </c>
      <c r="N3315" s="21" t="s">
        <v>2276</v>
      </c>
      <c r="O3315" s="21" t="s">
        <v>2276</v>
      </c>
      <c r="P3315" s="21" t="s">
        <v>2276</v>
      </c>
      <c r="Q3315" s="21" t="s">
        <v>2276</v>
      </c>
      <c r="R3315" s="21" t="s">
        <v>2276</v>
      </c>
      <c r="S3315" s="21" t="s">
        <v>2276</v>
      </c>
      <c r="T3315" s="21" t="s">
        <v>2276</v>
      </c>
      <c r="U3315" s="21" t="s">
        <v>2276</v>
      </c>
      <c r="V3315" s="21" t="s">
        <v>2276</v>
      </c>
      <c r="W3315" s="21" t="s">
        <v>2276</v>
      </c>
      <c r="X3315" s="21" t="s">
        <v>2276</v>
      </c>
      <c r="Y3315" s="21" t="s">
        <v>2276</v>
      </c>
      <c r="Z3315" s="21" t="s">
        <v>2276</v>
      </c>
      <c r="AA3315" s="21" t="s">
        <v>2276</v>
      </c>
      <c r="AB3315" s="21" t="s">
        <v>2276</v>
      </c>
      <c r="AC3315" s="204"/>
      <c r="AD3315" s="204"/>
    </row>
    <row r="3316" spans="1:30" ht="29" customHeight="1">
      <c r="A3316" s="11" t="s">
        <v>8863</v>
      </c>
      <c r="B3316" s="11" t="s">
        <v>8874</v>
      </c>
      <c r="C3316" s="4" t="s">
        <v>24</v>
      </c>
      <c r="D3316" s="204" t="s">
        <v>27</v>
      </c>
      <c r="E3316" s="4" t="s">
        <v>397</v>
      </c>
      <c r="F3316" s="4" t="s">
        <v>28</v>
      </c>
      <c r="G3316" s="204" t="s">
        <v>2276</v>
      </c>
      <c r="H3316" s="204" t="s">
        <v>524</v>
      </c>
      <c r="I3316" s="204"/>
      <c r="J3316" s="21">
        <v>0</v>
      </c>
      <c r="K3316" s="21">
        <v>0</v>
      </c>
      <c r="L3316" s="21">
        <v>0</v>
      </c>
      <c r="M3316" s="21">
        <v>0</v>
      </c>
      <c r="N3316" s="21">
        <v>0</v>
      </c>
      <c r="O3316" s="21">
        <v>0</v>
      </c>
      <c r="P3316" s="21">
        <v>0</v>
      </c>
      <c r="Q3316" s="21">
        <v>0</v>
      </c>
      <c r="R3316" s="21">
        <v>0</v>
      </c>
      <c r="S3316" s="21">
        <v>0</v>
      </c>
      <c r="T3316" s="21">
        <v>0</v>
      </c>
      <c r="U3316" s="21">
        <v>0</v>
      </c>
      <c r="V3316" s="21">
        <v>0</v>
      </c>
      <c r="W3316" s="21">
        <v>0</v>
      </c>
      <c r="X3316" s="21">
        <v>0</v>
      </c>
      <c r="Y3316" s="21" t="s">
        <v>2276</v>
      </c>
      <c r="Z3316" s="21" t="s">
        <v>2276</v>
      </c>
      <c r="AA3316" s="21" t="s">
        <v>2276</v>
      </c>
      <c r="AB3316" s="21" t="s">
        <v>2276</v>
      </c>
      <c r="AC3316" s="204"/>
      <c r="AD3316" s="204"/>
    </row>
    <row r="3317" spans="1:30" ht="29" customHeight="1">
      <c r="A3317" s="11" t="s">
        <v>8863</v>
      </c>
      <c r="B3317" s="11" t="s">
        <v>8875</v>
      </c>
      <c r="C3317" s="4" t="s">
        <v>24</v>
      </c>
      <c r="D3317" s="204" t="s">
        <v>27</v>
      </c>
      <c r="E3317" s="4" t="s">
        <v>3854</v>
      </c>
      <c r="F3317" s="4" t="s">
        <v>28</v>
      </c>
      <c r="G3317" s="204" t="s">
        <v>2276</v>
      </c>
      <c r="H3317" s="204" t="s">
        <v>524</v>
      </c>
      <c r="I3317" s="204"/>
      <c r="J3317" s="21">
        <v>0</v>
      </c>
      <c r="K3317" s="21">
        <v>0</v>
      </c>
      <c r="L3317" s="21">
        <v>0</v>
      </c>
      <c r="M3317" s="21">
        <v>0</v>
      </c>
      <c r="N3317" s="21">
        <v>0</v>
      </c>
      <c r="O3317" s="21">
        <v>0</v>
      </c>
      <c r="P3317" s="21">
        <v>0</v>
      </c>
      <c r="Q3317" s="21">
        <v>0</v>
      </c>
      <c r="R3317" s="21">
        <v>0</v>
      </c>
      <c r="S3317" s="21">
        <v>0</v>
      </c>
      <c r="T3317" s="21">
        <v>0</v>
      </c>
      <c r="U3317" s="21">
        <v>0</v>
      </c>
      <c r="V3317" s="21">
        <v>0</v>
      </c>
      <c r="W3317" s="21">
        <v>0</v>
      </c>
      <c r="X3317" s="21">
        <v>0</v>
      </c>
      <c r="Y3317" s="21" t="s">
        <v>2276</v>
      </c>
      <c r="Z3317" s="21" t="s">
        <v>2276</v>
      </c>
      <c r="AA3317" s="21" t="s">
        <v>2276</v>
      </c>
      <c r="AB3317" s="21" t="s">
        <v>2276</v>
      </c>
      <c r="AC3317" s="204"/>
      <c r="AD3317" s="204"/>
    </row>
    <row r="3318" spans="1:30" ht="38" customHeight="1">
      <c r="A3318" s="11" t="s">
        <v>8877</v>
      </c>
      <c r="B3318" s="11" t="s">
        <v>8880</v>
      </c>
      <c r="C3318" s="4" t="s">
        <v>1105</v>
      </c>
      <c r="D3318" s="204" t="s">
        <v>2276</v>
      </c>
      <c r="E3318" s="204" t="s">
        <v>2276</v>
      </c>
      <c r="F3318" s="204" t="s">
        <v>2276</v>
      </c>
      <c r="G3318" s="204" t="s">
        <v>74</v>
      </c>
      <c r="H3318" s="204" t="s">
        <v>523</v>
      </c>
      <c r="I3318" s="204">
        <v>1997</v>
      </c>
      <c r="J3318" s="21" t="s">
        <v>2276</v>
      </c>
      <c r="K3318" s="21" t="s">
        <v>2276</v>
      </c>
      <c r="L3318" s="21" t="s">
        <v>2276</v>
      </c>
      <c r="M3318" s="21" t="s">
        <v>2276</v>
      </c>
      <c r="N3318" s="21" t="s">
        <v>2276</v>
      </c>
      <c r="O3318" s="21" t="s">
        <v>2276</v>
      </c>
      <c r="P3318" s="21" t="s">
        <v>2276</v>
      </c>
      <c r="Q3318" s="21" t="s">
        <v>2276</v>
      </c>
      <c r="R3318" s="21" t="s">
        <v>2276</v>
      </c>
      <c r="S3318" s="21" t="s">
        <v>2276</v>
      </c>
      <c r="T3318" s="21">
        <v>2800</v>
      </c>
      <c r="U3318" s="21" t="s">
        <v>2276</v>
      </c>
      <c r="V3318" s="21" t="s">
        <v>2276</v>
      </c>
      <c r="W3318" s="21" t="s">
        <v>2276</v>
      </c>
      <c r="X3318" s="21" t="s">
        <v>2276</v>
      </c>
      <c r="Y3318" s="21" t="s">
        <v>2276</v>
      </c>
      <c r="Z3318" s="21" t="s">
        <v>2276</v>
      </c>
      <c r="AA3318" s="21" t="s">
        <v>2276</v>
      </c>
      <c r="AB3318" s="21" t="s">
        <v>2276</v>
      </c>
      <c r="AC3318" s="204"/>
      <c r="AD3318" s="204"/>
    </row>
    <row r="3319" spans="1:30" ht="38" customHeight="1">
      <c r="A3319" s="11" t="s">
        <v>8877</v>
      </c>
      <c r="B3319" s="11" t="s">
        <v>8881</v>
      </c>
      <c r="C3319" s="4" t="s">
        <v>1105</v>
      </c>
      <c r="D3319" s="204" t="s">
        <v>2276</v>
      </c>
      <c r="E3319" s="204" t="s">
        <v>2276</v>
      </c>
      <c r="F3319" s="204" t="s">
        <v>2276</v>
      </c>
      <c r="G3319" s="204" t="s">
        <v>74</v>
      </c>
      <c r="H3319" s="204" t="s">
        <v>523</v>
      </c>
      <c r="I3319" s="204">
        <v>2002</v>
      </c>
      <c r="J3319" s="21" t="s">
        <v>2276</v>
      </c>
      <c r="K3319" s="21" t="s">
        <v>2276</v>
      </c>
      <c r="L3319" s="21" t="s">
        <v>2276</v>
      </c>
      <c r="M3319" s="21" t="s">
        <v>2276</v>
      </c>
      <c r="N3319" s="21" t="s">
        <v>2276</v>
      </c>
      <c r="O3319" s="21" t="s">
        <v>2276</v>
      </c>
      <c r="P3319" s="21" t="s">
        <v>2276</v>
      </c>
      <c r="Q3319" s="21" t="s">
        <v>2276</v>
      </c>
      <c r="R3319" s="21" t="s">
        <v>2276</v>
      </c>
      <c r="S3319" s="21" t="s">
        <v>2276</v>
      </c>
      <c r="T3319" s="21">
        <v>14500</v>
      </c>
      <c r="U3319" s="21" t="s">
        <v>2276</v>
      </c>
      <c r="V3319" s="21" t="s">
        <v>2276</v>
      </c>
      <c r="W3319" s="21" t="s">
        <v>2276</v>
      </c>
      <c r="X3319" s="21" t="s">
        <v>2276</v>
      </c>
      <c r="Y3319" s="21" t="s">
        <v>2276</v>
      </c>
      <c r="Z3319" s="21" t="s">
        <v>2276</v>
      </c>
      <c r="AA3319" s="21" t="s">
        <v>2276</v>
      </c>
      <c r="AB3319" s="21" t="s">
        <v>2276</v>
      </c>
      <c r="AC3319" s="204"/>
      <c r="AD3319" s="204"/>
    </row>
    <row r="3320" spans="1:30" ht="38" customHeight="1">
      <c r="A3320" s="11" t="s">
        <v>8877</v>
      </c>
      <c r="B3320" s="11" t="s">
        <v>8882</v>
      </c>
      <c r="C3320" s="204" t="s">
        <v>2458</v>
      </c>
      <c r="D3320" s="204" t="s">
        <v>2231</v>
      </c>
      <c r="E3320" s="204" t="s">
        <v>84</v>
      </c>
      <c r="F3320" s="204" t="s">
        <v>74</v>
      </c>
      <c r="G3320" s="204" t="s">
        <v>74</v>
      </c>
      <c r="H3320" s="204" t="s">
        <v>523</v>
      </c>
      <c r="I3320" s="204"/>
      <c r="J3320" s="21" t="s">
        <v>2276</v>
      </c>
      <c r="K3320" s="21" t="s">
        <v>2276</v>
      </c>
      <c r="L3320" s="21" t="s">
        <v>2276</v>
      </c>
      <c r="M3320" s="21" t="s">
        <v>2276</v>
      </c>
      <c r="N3320" s="21" t="s">
        <v>2276</v>
      </c>
      <c r="O3320" s="21" t="s">
        <v>2276</v>
      </c>
      <c r="P3320" s="204">
        <v>202</v>
      </c>
      <c r="Q3320" s="21" t="s">
        <v>2276</v>
      </c>
      <c r="R3320" s="21" t="s">
        <v>2276</v>
      </c>
      <c r="S3320" s="21" t="s">
        <v>2276</v>
      </c>
      <c r="T3320" s="21" t="s">
        <v>2276</v>
      </c>
      <c r="U3320" s="21" t="s">
        <v>2276</v>
      </c>
      <c r="V3320" s="21" t="s">
        <v>2276</v>
      </c>
      <c r="W3320" s="21" t="s">
        <v>2276</v>
      </c>
      <c r="X3320" s="21" t="s">
        <v>2276</v>
      </c>
      <c r="Y3320" s="21" t="s">
        <v>2276</v>
      </c>
      <c r="Z3320" s="21" t="s">
        <v>2276</v>
      </c>
      <c r="AA3320" s="21" t="s">
        <v>2276</v>
      </c>
      <c r="AB3320" s="21" t="s">
        <v>2276</v>
      </c>
      <c r="AC3320" s="204"/>
      <c r="AD3320" s="204"/>
    </row>
    <row r="3321" spans="1:30" s="203" customFormat="1" ht="38" customHeight="1">
      <c r="A3321" s="11" t="s">
        <v>8877</v>
      </c>
      <c r="B3321" s="11" t="s">
        <v>8883</v>
      </c>
      <c r="C3321" s="204" t="s">
        <v>2458</v>
      </c>
      <c r="D3321" s="204" t="s">
        <v>2231</v>
      </c>
      <c r="E3321" s="4" t="s">
        <v>396</v>
      </c>
      <c r="F3321" s="204" t="s">
        <v>74</v>
      </c>
      <c r="G3321" s="204" t="s">
        <v>74</v>
      </c>
      <c r="H3321" s="204" t="s">
        <v>523</v>
      </c>
      <c r="I3321" s="204"/>
      <c r="J3321" s="21" t="s">
        <v>2276</v>
      </c>
      <c r="K3321" s="21" t="s">
        <v>2276</v>
      </c>
      <c r="L3321" s="21" t="s">
        <v>2276</v>
      </c>
      <c r="M3321" s="21" t="s">
        <v>2276</v>
      </c>
      <c r="N3321" s="21" t="s">
        <v>2276</v>
      </c>
      <c r="O3321" s="21" t="s">
        <v>2276</v>
      </c>
      <c r="P3321" s="204">
        <v>294.125</v>
      </c>
      <c r="Q3321" s="21" t="s">
        <v>2276</v>
      </c>
      <c r="R3321" s="21" t="s">
        <v>2276</v>
      </c>
      <c r="S3321" s="21" t="s">
        <v>2276</v>
      </c>
      <c r="T3321" s="21" t="s">
        <v>2276</v>
      </c>
      <c r="U3321" s="21" t="s">
        <v>2276</v>
      </c>
      <c r="V3321" s="21" t="s">
        <v>2276</v>
      </c>
      <c r="W3321" s="21" t="s">
        <v>2276</v>
      </c>
      <c r="X3321" s="21" t="s">
        <v>2276</v>
      </c>
      <c r="Y3321" s="21" t="s">
        <v>2276</v>
      </c>
      <c r="Z3321" s="21" t="s">
        <v>2276</v>
      </c>
      <c r="AA3321" s="21" t="s">
        <v>2276</v>
      </c>
      <c r="AB3321" s="21" t="s">
        <v>2276</v>
      </c>
      <c r="AC3321" s="204"/>
      <c r="AD3321" s="204"/>
    </row>
    <row r="3322" spans="1:30" ht="38" customHeight="1">
      <c r="A3322" s="11" t="s">
        <v>8877</v>
      </c>
      <c r="B3322" s="11" t="s">
        <v>8884</v>
      </c>
      <c r="C3322" s="204" t="s">
        <v>2458</v>
      </c>
      <c r="D3322" s="204" t="s">
        <v>27</v>
      </c>
      <c r="E3322" s="204" t="s">
        <v>130</v>
      </c>
      <c r="F3322" s="204" t="s">
        <v>160</v>
      </c>
      <c r="G3322" s="204" t="s">
        <v>74</v>
      </c>
      <c r="H3322" s="204" t="s">
        <v>523</v>
      </c>
      <c r="I3322" s="204"/>
      <c r="J3322" s="21" t="s">
        <v>2276</v>
      </c>
      <c r="K3322" s="21" t="s">
        <v>2276</v>
      </c>
      <c r="L3322" s="21" t="s">
        <v>2276</v>
      </c>
      <c r="M3322" s="21" t="s">
        <v>2276</v>
      </c>
      <c r="N3322" s="21" t="s">
        <v>2276</v>
      </c>
      <c r="O3322" s="21" t="s">
        <v>2276</v>
      </c>
      <c r="P3322" s="204">
        <v>242.1</v>
      </c>
      <c r="Q3322" s="21" t="s">
        <v>2276</v>
      </c>
      <c r="R3322" s="21" t="s">
        <v>2276</v>
      </c>
      <c r="S3322" s="21" t="s">
        <v>2276</v>
      </c>
      <c r="T3322" s="21" t="s">
        <v>2276</v>
      </c>
      <c r="U3322" s="21" t="s">
        <v>2276</v>
      </c>
      <c r="V3322" s="21" t="s">
        <v>2276</v>
      </c>
      <c r="W3322" s="21" t="s">
        <v>2276</v>
      </c>
      <c r="X3322" s="21" t="s">
        <v>2276</v>
      </c>
      <c r="Y3322" s="21" t="s">
        <v>2276</v>
      </c>
      <c r="Z3322" s="21" t="s">
        <v>2276</v>
      </c>
      <c r="AA3322" s="21" t="s">
        <v>2276</v>
      </c>
      <c r="AB3322" s="21" t="s">
        <v>2276</v>
      </c>
      <c r="AC3322" s="204"/>
      <c r="AD3322" s="204"/>
    </row>
    <row r="3323" spans="1:30" ht="38" customHeight="1">
      <c r="A3323" s="11" t="s">
        <v>8877</v>
      </c>
      <c r="B3323" s="11" t="s">
        <v>8885</v>
      </c>
      <c r="C3323" s="204" t="s">
        <v>2458</v>
      </c>
      <c r="D3323" s="204" t="s">
        <v>2994</v>
      </c>
      <c r="E3323" s="204" t="s">
        <v>2652</v>
      </c>
      <c r="F3323" s="204" t="s">
        <v>2276</v>
      </c>
      <c r="G3323" s="204" t="s">
        <v>74</v>
      </c>
      <c r="H3323" s="204" t="s">
        <v>523</v>
      </c>
      <c r="I3323" s="204"/>
      <c r="J3323" s="21" t="s">
        <v>2276</v>
      </c>
      <c r="K3323" s="21" t="s">
        <v>2276</v>
      </c>
      <c r="L3323" s="21" t="s">
        <v>2276</v>
      </c>
      <c r="M3323" s="21" t="s">
        <v>2276</v>
      </c>
      <c r="N3323" s="21" t="s">
        <v>2276</v>
      </c>
      <c r="O3323" s="21" t="s">
        <v>2276</v>
      </c>
      <c r="P3323" s="204">
        <v>189.16666666666666</v>
      </c>
      <c r="Q3323" s="21" t="s">
        <v>2276</v>
      </c>
      <c r="R3323" s="21" t="s">
        <v>2276</v>
      </c>
      <c r="S3323" s="21" t="s">
        <v>2276</v>
      </c>
      <c r="T3323" s="21" t="s">
        <v>2276</v>
      </c>
      <c r="U3323" s="21" t="s">
        <v>2276</v>
      </c>
      <c r="V3323" s="21" t="s">
        <v>2276</v>
      </c>
      <c r="W3323" s="21" t="s">
        <v>2276</v>
      </c>
      <c r="X3323" s="21" t="s">
        <v>2276</v>
      </c>
      <c r="Y3323" s="21" t="s">
        <v>2276</v>
      </c>
      <c r="Z3323" s="21" t="s">
        <v>2276</v>
      </c>
      <c r="AA3323" s="21" t="s">
        <v>2276</v>
      </c>
      <c r="AB3323" s="21" t="s">
        <v>2276</v>
      </c>
      <c r="AC3323" s="204"/>
      <c r="AD3323" s="204"/>
    </row>
    <row r="3324" spans="1:30" s="203" customFormat="1" ht="38" customHeight="1">
      <c r="A3324" s="11" t="s">
        <v>8877</v>
      </c>
      <c r="B3324" s="11" t="s">
        <v>8886</v>
      </c>
      <c r="C3324" s="204" t="s">
        <v>2458</v>
      </c>
      <c r="D3324" s="204" t="s">
        <v>2994</v>
      </c>
      <c r="E3324" s="204" t="s">
        <v>116</v>
      </c>
      <c r="F3324" s="204" t="s">
        <v>2276</v>
      </c>
      <c r="G3324" s="204" t="s">
        <v>74</v>
      </c>
      <c r="H3324" s="204" t="s">
        <v>523</v>
      </c>
      <c r="I3324" s="204"/>
      <c r="J3324" s="21" t="s">
        <v>2276</v>
      </c>
      <c r="K3324" s="21" t="s">
        <v>2276</v>
      </c>
      <c r="L3324" s="21" t="s">
        <v>2276</v>
      </c>
      <c r="M3324" s="21" t="s">
        <v>2276</v>
      </c>
      <c r="N3324" s="21" t="s">
        <v>2276</v>
      </c>
      <c r="O3324" s="21" t="s">
        <v>2276</v>
      </c>
      <c r="P3324" s="204">
        <v>1257.5</v>
      </c>
      <c r="Q3324" s="21" t="s">
        <v>2276</v>
      </c>
      <c r="R3324" s="21" t="s">
        <v>2276</v>
      </c>
      <c r="S3324" s="21" t="s">
        <v>2276</v>
      </c>
      <c r="T3324" s="21" t="s">
        <v>2276</v>
      </c>
      <c r="U3324" s="21" t="s">
        <v>2276</v>
      </c>
      <c r="V3324" s="21" t="s">
        <v>2276</v>
      </c>
      <c r="W3324" s="21" t="s">
        <v>2276</v>
      </c>
      <c r="X3324" s="21" t="s">
        <v>2276</v>
      </c>
      <c r="Y3324" s="21" t="s">
        <v>2276</v>
      </c>
      <c r="Z3324" s="21" t="s">
        <v>2276</v>
      </c>
      <c r="AA3324" s="21" t="s">
        <v>2276</v>
      </c>
      <c r="AB3324" s="21" t="s">
        <v>2276</v>
      </c>
      <c r="AC3324" s="204"/>
      <c r="AD3324" s="204"/>
    </row>
    <row r="3325" spans="1:30" ht="38" customHeight="1">
      <c r="A3325" s="11" t="s">
        <v>8877</v>
      </c>
      <c r="B3325" s="11" t="s">
        <v>8887</v>
      </c>
      <c r="C3325" s="204" t="s">
        <v>2458</v>
      </c>
      <c r="D3325" s="204" t="s">
        <v>1245</v>
      </c>
      <c r="E3325" s="204" t="s">
        <v>116</v>
      </c>
      <c r="F3325" s="204" t="s">
        <v>74</v>
      </c>
      <c r="G3325" s="204" t="s">
        <v>74</v>
      </c>
      <c r="H3325" s="204" t="s">
        <v>523</v>
      </c>
      <c r="I3325" s="204"/>
      <c r="J3325" s="21" t="s">
        <v>2276</v>
      </c>
      <c r="K3325" s="21" t="s">
        <v>2276</v>
      </c>
      <c r="L3325" s="21" t="s">
        <v>2276</v>
      </c>
      <c r="M3325" s="21" t="s">
        <v>2276</v>
      </c>
      <c r="N3325" s="21" t="s">
        <v>2276</v>
      </c>
      <c r="O3325" s="21" t="s">
        <v>2276</v>
      </c>
      <c r="P3325" s="21" t="s">
        <v>2276</v>
      </c>
      <c r="Q3325" s="21" t="s">
        <v>2276</v>
      </c>
      <c r="R3325" s="21" t="s">
        <v>2276</v>
      </c>
      <c r="S3325" s="21" t="s">
        <v>2276</v>
      </c>
      <c r="T3325" s="21" t="s">
        <v>2276</v>
      </c>
      <c r="U3325" s="21" t="s">
        <v>2276</v>
      </c>
      <c r="V3325" s="21" t="s">
        <v>2276</v>
      </c>
      <c r="W3325" s="21" t="s">
        <v>2276</v>
      </c>
      <c r="X3325" s="21" t="s">
        <v>2276</v>
      </c>
      <c r="Y3325" s="21" t="s">
        <v>2276</v>
      </c>
      <c r="Z3325" s="21" t="s">
        <v>2276</v>
      </c>
      <c r="AA3325" s="21" t="s">
        <v>2276</v>
      </c>
      <c r="AB3325" s="21" t="s">
        <v>2276</v>
      </c>
      <c r="AC3325" s="204"/>
      <c r="AD3325" s="204"/>
    </row>
    <row r="3326" spans="1:30" ht="38" customHeight="1">
      <c r="A3326" s="11" t="s">
        <v>8877</v>
      </c>
      <c r="B3326" s="11" t="s">
        <v>8888</v>
      </c>
      <c r="C3326" s="204" t="s">
        <v>31</v>
      </c>
      <c r="D3326" s="204" t="s">
        <v>30</v>
      </c>
      <c r="E3326" s="204" t="s">
        <v>2653</v>
      </c>
      <c r="F3326" s="204" t="s">
        <v>2276</v>
      </c>
      <c r="G3326" s="204" t="s">
        <v>74</v>
      </c>
      <c r="H3326" s="204" t="s">
        <v>523</v>
      </c>
      <c r="I3326" s="204"/>
      <c r="J3326" s="21" t="s">
        <v>2276</v>
      </c>
      <c r="K3326" s="21" t="s">
        <v>2276</v>
      </c>
      <c r="L3326" s="21" t="s">
        <v>2276</v>
      </c>
      <c r="M3326" s="21" t="s">
        <v>2276</v>
      </c>
      <c r="N3326" s="21" t="s">
        <v>2276</v>
      </c>
      <c r="O3326" s="21" t="s">
        <v>2276</v>
      </c>
      <c r="P3326" s="204">
        <v>17</v>
      </c>
      <c r="Q3326" s="21" t="s">
        <v>2276</v>
      </c>
      <c r="R3326" s="21" t="s">
        <v>2276</v>
      </c>
      <c r="S3326" s="21" t="s">
        <v>2276</v>
      </c>
      <c r="T3326" s="21" t="s">
        <v>2276</v>
      </c>
      <c r="U3326" s="21" t="s">
        <v>2276</v>
      </c>
      <c r="V3326" s="21" t="s">
        <v>2276</v>
      </c>
      <c r="W3326" s="21" t="s">
        <v>2276</v>
      </c>
      <c r="X3326" s="21" t="s">
        <v>2276</v>
      </c>
      <c r="Y3326" s="21" t="s">
        <v>2276</v>
      </c>
      <c r="Z3326" s="21" t="s">
        <v>2276</v>
      </c>
      <c r="AA3326" s="21" t="s">
        <v>2276</v>
      </c>
      <c r="AB3326" s="21" t="s">
        <v>2276</v>
      </c>
      <c r="AC3326" s="204"/>
      <c r="AD3326" s="204"/>
    </row>
    <row r="3327" spans="1:30" ht="38" customHeight="1">
      <c r="A3327" s="11" t="s">
        <v>8877</v>
      </c>
      <c r="B3327" s="11" t="s">
        <v>8889</v>
      </c>
      <c r="C3327" s="204" t="s">
        <v>2656</v>
      </c>
      <c r="D3327" s="204" t="s">
        <v>2276</v>
      </c>
      <c r="E3327" s="204" t="s">
        <v>2276</v>
      </c>
      <c r="F3327" s="204" t="s">
        <v>2276</v>
      </c>
      <c r="G3327" s="204" t="s">
        <v>74</v>
      </c>
      <c r="H3327" s="204" t="s">
        <v>523</v>
      </c>
      <c r="I3327" s="204"/>
      <c r="J3327" s="21" t="s">
        <v>2276</v>
      </c>
      <c r="K3327" s="21" t="s">
        <v>2276</v>
      </c>
      <c r="L3327" s="21" t="s">
        <v>2276</v>
      </c>
      <c r="M3327" s="21" t="s">
        <v>2276</v>
      </c>
      <c r="N3327" s="21" t="s">
        <v>2276</v>
      </c>
      <c r="O3327" s="21" t="s">
        <v>2276</v>
      </c>
      <c r="P3327" s="21" t="s">
        <v>2276</v>
      </c>
      <c r="Q3327" s="21" t="s">
        <v>2276</v>
      </c>
      <c r="R3327" s="21" t="s">
        <v>2276</v>
      </c>
      <c r="S3327" s="21" t="s">
        <v>2276</v>
      </c>
      <c r="T3327" s="21" t="s">
        <v>2276</v>
      </c>
      <c r="U3327" s="21" t="s">
        <v>2276</v>
      </c>
      <c r="V3327" s="21" t="s">
        <v>2276</v>
      </c>
      <c r="W3327" s="21" t="s">
        <v>2276</v>
      </c>
      <c r="X3327" s="21" t="s">
        <v>2276</v>
      </c>
      <c r="Y3327" s="21" t="s">
        <v>2276</v>
      </c>
      <c r="Z3327" s="21" t="s">
        <v>2276</v>
      </c>
      <c r="AA3327" s="21" t="s">
        <v>2276</v>
      </c>
      <c r="AB3327" s="21" t="s">
        <v>2276</v>
      </c>
      <c r="AC3327" s="204"/>
      <c r="AD3327" s="204"/>
    </row>
    <row r="3328" spans="1:30" ht="38" customHeight="1">
      <c r="A3328" s="11" t="s">
        <v>8877</v>
      </c>
      <c r="B3328" s="11" t="s">
        <v>8890</v>
      </c>
      <c r="C3328" s="204" t="s">
        <v>24</v>
      </c>
      <c r="D3328" s="204" t="s">
        <v>2346</v>
      </c>
      <c r="E3328" s="204" t="s">
        <v>2276</v>
      </c>
      <c r="F3328" s="204" t="s">
        <v>2276</v>
      </c>
      <c r="G3328" s="204" t="s">
        <v>74</v>
      </c>
      <c r="H3328" s="204" t="s">
        <v>523</v>
      </c>
      <c r="I3328" s="204"/>
      <c r="J3328" s="21" t="s">
        <v>2276</v>
      </c>
      <c r="K3328" s="21" t="s">
        <v>2276</v>
      </c>
      <c r="L3328" s="21" t="s">
        <v>2276</v>
      </c>
      <c r="M3328" s="21" t="s">
        <v>2276</v>
      </c>
      <c r="N3328" s="21" t="s">
        <v>2276</v>
      </c>
      <c r="O3328" s="21" t="s">
        <v>2276</v>
      </c>
      <c r="P3328" s="204">
        <v>1000</v>
      </c>
      <c r="Q3328" s="21" t="s">
        <v>2276</v>
      </c>
      <c r="R3328" s="21" t="s">
        <v>2276</v>
      </c>
      <c r="S3328" s="21" t="s">
        <v>2276</v>
      </c>
      <c r="T3328" s="21" t="s">
        <v>2276</v>
      </c>
      <c r="U3328" s="21" t="s">
        <v>2276</v>
      </c>
      <c r="V3328" s="21" t="s">
        <v>2276</v>
      </c>
      <c r="W3328" s="21" t="s">
        <v>2276</v>
      </c>
      <c r="X3328" s="21" t="s">
        <v>2276</v>
      </c>
      <c r="Y3328" s="21" t="s">
        <v>2276</v>
      </c>
      <c r="Z3328" s="21" t="s">
        <v>2276</v>
      </c>
      <c r="AA3328" s="21" t="s">
        <v>2276</v>
      </c>
      <c r="AB3328" s="21" t="s">
        <v>2276</v>
      </c>
      <c r="AC3328" s="204"/>
      <c r="AD3328" s="204"/>
    </row>
    <row r="3329" spans="1:30" ht="32.5" customHeight="1">
      <c r="A3329" s="11" t="s">
        <v>8894</v>
      </c>
      <c r="B3329" s="11" t="s">
        <v>8897</v>
      </c>
      <c r="C3329" s="204" t="s">
        <v>24</v>
      </c>
      <c r="D3329" s="204" t="s">
        <v>27</v>
      </c>
      <c r="E3329" s="204" t="s">
        <v>130</v>
      </c>
      <c r="F3329" s="4" t="s">
        <v>160</v>
      </c>
      <c r="G3329" s="204" t="s">
        <v>160</v>
      </c>
      <c r="H3329" s="204" t="s">
        <v>523</v>
      </c>
      <c r="I3329" s="204"/>
      <c r="J3329" s="21" t="s">
        <v>2276</v>
      </c>
      <c r="K3329" s="21" t="s">
        <v>2276</v>
      </c>
      <c r="L3329" s="21" t="s">
        <v>2276</v>
      </c>
      <c r="M3329" s="21" t="s">
        <v>2276</v>
      </c>
      <c r="N3329" s="21" t="s">
        <v>2276</v>
      </c>
      <c r="O3329" s="21" t="s">
        <v>2276</v>
      </c>
      <c r="P3329" s="21" t="s">
        <v>2276</v>
      </c>
      <c r="Q3329" s="21" t="s">
        <v>2276</v>
      </c>
      <c r="R3329" s="21" t="s">
        <v>2276</v>
      </c>
      <c r="S3329" s="21" t="s">
        <v>2276</v>
      </c>
      <c r="T3329" s="21" t="s">
        <v>2276</v>
      </c>
      <c r="U3329" s="21" t="s">
        <v>2276</v>
      </c>
      <c r="V3329" s="21" t="s">
        <v>2276</v>
      </c>
      <c r="W3329" s="21" t="s">
        <v>2276</v>
      </c>
      <c r="X3329" s="21" t="s">
        <v>2276</v>
      </c>
      <c r="Y3329" s="21" t="s">
        <v>2276</v>
      </c>
      <c r="Z3329" s="21" t="s">
        <v>2276</v>
      </c>
      <c r="AA3329" s="21" t="s">
        <v>2276</v>
      </c>
      <c r="AB3329" s="21" t="s">
        <v>2276</v>
      </c>
      <c r="AC3329" s="74" t="s">
        <v>8902</v>
      </c>
      <c r="AD3329" s="204"/>
    </row>
    <row r="3330" spans="1:30" ht="32.5" customHeight="1">
      <c r="A3330" s="11" t="s">
        <v>8894</v>
      </c>
      <c r="B3330" s="204" t="s">
        <v>8898</v>
      </c>
      <c r="C3330" s="204" t="s">
        <v>24</v>
      </c>
      <c r="D3330" s="204" t="s">
        <v>25</v>
      </c>
      <c r="E3330" s="204" t="s">
        <v>45</v>
      </c>
      <c r="F3330" s="4" t="s">
        <v>29</v>
      </c>
      <c r="G3330" s="4" t="s">
        <v>29</v>
      </c>
      <c r="H3330" s="204" t="s">
        <v>523</v>
      </c>
      <c r="I3330" s="204"/>
      <c r="J3330" s="21" t="s">
        <v>2276</v>
      </c>
      <c r="K3330" s="21" t="s">
        <v>2276</v>
      </c>
      <c r="L3330" s="21" t="s">
        <v>2276</v>
      </c>
      <c r="M3330" s="21" t="s">
        <v>2276</v>
      </c>
      <c r="N3330" s="21" t="s">
        <v>2276</v>
      </c>
      <c r="O3330" s="21" t="s">
        <v>2276</v>
      </c>
      <c r="P3330" s="21" t="s">
        <v>2276</v>
      </c>
      <c r="Q3330" s="21" t="s">
        <v>2276</v>
      </c>
      <c r="R3330" s="21" t="s">
        <v>2276</v>
      </c>
      <c r="S3330" s="21" t="s">
        <v>2276</v>
      </c>
      <c r="T3330" s="21" t="s">
        <v>2276</v>
      </c>
      <c r="U3330" s="21" t="s">
        <v>2276</v>
      </c>
      <c r="V3330" s="21" t="s">
        <v>2276</v>
      </c>
      <c r="W3330" s="21" t="s">
        <v>2276</v>
      </c>
      <c r="X3330" s="21" t="s">
        <v>2276</v>
      </c>
      <c r="Y3330" s="21" t="s">
        <v>2276</v>
      </c>
      <c r="Z3330" s="21" t="s">
        <v>2276</v>
      </c>
      <c r="AA3330" s="21" t="s">
        <v>2276</v>
      </c>
      <c r="AB3330" s="21" t="s">
        <v>2276</v>
      </c>
      <c r="AC3330" s="74" t="s">
        <v>8902</v>
      </c>
      <c r="AD3330" s="204"/>
    </row>
    <row r="3331" spans="1:30" ht="32.5" customHeight="1">
      <c r="A3331" s="11" t="s">
        <v>8894</v>
      </c>
      <c r="B3331" s="204" t="s">
        <v>8899</v>
      </c>
      <c r="C3331" s="204" t="s">
        <v>24</v>
      </c>
      <c r="D3331" s="204" t="s">
        <v>26</v>
      </c>
      <c r="E3331" s="204" t="s">
        <v>45</v>
      </c>
      <c r="F3331" s="4" t="s">
        <v>29</v>
      </c>
      <c r="G3331" s="4" t="s">
        <v>29</v>
      </c>
      <c r="H3331" s="204" t="s">
        <v>523</v>
      </c>
      <c r="I3331" s="204"/>
      <c r="J3331" s="21" t="s">
        <v>2276</v>
      </c>
      <c r="K3331" s="21" t="s">
        <v>2276</v>
      </c>
      <c r="L3331" s="21" t="s">
        <v>2276</v>
      </c>
      <c r="M3331" s="21" t="s">
        <v>2276</v>
      </c>
      <c r="N3331" s="21" t="s">
        <v>2276</v>
      </c>
      <c r="O3331" s="21" t="s">
        <v>2276</v>
      </c>
      <c r="P3331" s="21" t="s">
        <v>2276</v>
      </c>
      <c r="Q3331" s="21" t="s">
        <v>2276</v>
      </c>
      <c r="R3331" s="21" t="s">
        <v>2276</v>
      </c>
      <c r="S3331" s="21" t="s">
        <v>2276</v>
      </c>
      <c r="T3331" s="21" t="s">
        <v>2276</v>
      </c>
      <c r="U3331" s="21" t="s">
        <v>2276</v>
      </c>
      <c r="V3331" s="21" t="s">
        <v>2276</v>
      </c>
      <c r="W3331" s="21" t="s">
        <v>2276</v>
      </c>
      <c r="X3331" s="21" t="s">
        <v>2276</v>
      </c>
      <c r="Y3331" s="21" t="s">
        <v>2276</v>
      </c>
      <c r="Z3331" s="21" t="s">
        <v>2276</v>
      </c>
      <c r="AA3331" s="21" t="s">
        <v>2276</v>
      </c>
      <c r="AB3331" s="21" t="s">
        <v>2276</v>
      </c>
      <c r="AC3331" s="74" t="s">
        <v>8902</v>
      </c>
      <c r="AD3331" s="204"/>
    </row>
    <row r="3332" spans="1:30" ht="38" customHeight="1">
      <c r="A3332" s="11" t="s">
        <v>8894</v>
      </c>
      <c r="B3332" s="204" t="s">
        <v>8900</v>
      </c>
      <c r="C3332" s="204" t="s">
        <v>24</v>
      </c>
      <c r="D3332" s="204" t="s">
        <v>2231</v>
      </c>
      <c r="E3332" s="204" t="s">
        <v>45</v>
      </c>
      <c r="F3332" s="4" t="s">
        <v>29</v>
      </c>
      <c r="G3332" s="4" t="s">
        <v>29</v>
      </c>
      <c r="H3332" s="204" t="s">
        <v>523</v>
      </c>
      <c r="I3332" s="204"/>
      <c r="J3332" s="21" t="s">
        <v>2276</v>
      </c>
      <c r="K3332" s="21" t="s">
        <v>2276</v>
      </c>
      <c r="L3332" s="21" t="s">
        <v>2276</v>
      </c>
      <c r="M3332" s="21" t="s">
        <v>2276</v>
      </c>
      <c r="N3332" s="21" t="s">
        <v>2276</v>
      </c>
      <c r="O3332" s="21" t="s">
        <v>2276</v>
      </c>
      <c r="P3332" s="21" t="s">
        <v>2276</v>
      </c>
      <c r="Q3332" s="21" t="s">
        <v>2276</v>
      </c>
      <c r="R3332" s="21" t="s">
        <v>2276</v>
      </c>
      <c r="S3332" s="21" t="s">
        <v>2276</v>
      </c>
      <c r="T3332" s="21" t="s">
        <v>2276</v>
      </c>
      <c r="U3332" s="21" t="s">
        <v>2276</v>
      </c>
      <c r="V3332" s="21" t="s">
        <v>2276</v>
      </c>
      <c r="W3332" s="21" t="s">
        <v>2276</v>
      </c>
      <c r="X3332" s="21" t="s">
        <v>2276</v>
      </c>
      <c r="Y3332" s="21" t="s">
        <v>2276</v>
      </c>
      <c r="Z3332" s="21" t="s">
        <v>2276</v>
      </c>
      <c r="AA3332" s="21" t="s">
        <v>2276</v>
      </c>
      <c r="AB3332" s="21" t="s">
        <v>2276</v>
      </c>
      <c r="AC3332" s="74" t="s">
        <v>8902</v>
      </c>
      <c r="AD3332" s="204"/>
    </row>
    <row r="3333" spans="1:30" ht="33" customHeight="1">
      <c r="A3333" s="11" t="s">
        <v>8894</v>
      </c>
      <c r="B3333" s="11" t="s">
        <v>8901</v>
      </c>
      <c r="C3333" s="204" t="s">
        <v>2458</v>
      </c>
      <c r="D3333" s="204" t="s">
        <v>27</v>
      </c>
      <c r="E3333" s="204" t="s">
        <v>130</v>
      </c>
      <c r="F3333" s="4" t="s">
        <v>160</v>
      </c>
      <c r="G3333" s="4" t="s">
        <v>2276</v>
      </c>
      <c r="H3333" s="204" t="s">
        <v>523</v>
      </c>
      <c r="I3333" s="204"/>
      <c r="J3333" s="21" t="s">
        <v>2276</v>
      </c>
      <c r="K3333" s="21" t="s">
        <v>2276</v>
      </c>
      <c r="L3333" s="21" t="s">
        <v>2276</v>
      </c>
      <c r="M3333" s="21" t="s">
        <v>2276</v>
      </c>
      <c r="N3333" s="21" t="s">
        <v>2276</v>
      </c>
      <c r="O3333" s="21" t="s">
        <v>2276</v>
      </c>
      <c r="P3333" s="21" t="s">
        <v>2276</v>
      </c>
      <c r="Q3333" s="21" t="s">
        <v>2276</v>
      </c>
      <c r="R3333" s="21" t="s">
        <v>2276</v>
      </c>
      <c r="S3333" s="21" t="s">
        <v>2276</v>
      </c>
      <c r="T3333" s="21" t="s">
        <v>2276</v>
      </c>
      <c r="U3333" s="21" t="s">
        <v>2276</v>
      </c>
      <c r="V3333" s="21" t="s">
        <v>2276</v>
      </c>
      <c r="W3333" s="21" t="s">
        <v>2276</v>
      </c>
      <c r="X3333" s="21" t="s">
        <v>2276</v>
      </c>
      <c r="Y3333" s="21" t="s">
        <v>2276</v>
      </c>
      <c r="Z3333" s="21" t="s">
        <v>2276</v>
      </c>
      <c r="AA3333" s="21" t="s">
        <v>2276</v>
      </c>
      <c r="AB3333" s="21" t="s">
        <v>2276</v>
      </c>
      <c r="AC3333" s="204" t="s">
        <v>8907</v>
      </c>
      <c r="AD3333" s="204"/>
    </row>
    <row r="3334" spans="1:30" ht="33" customHeight="1">
      <c r="A3334" s="11" t="s">
        <v>8894</v>
      </c>
      <c r="B3334" s="204" t="s">
        <v>8903</v>
      </c>
      <c r="C3334" s="204" t="s">
        <v>2458</v>
      </c>
      <c r="D3334" s="204" t="s">
        <v>25</v>
      </c>
      <c r="E3334" s="204" t="s">
        <v>45</v>
      </c>
      <c r="F3334" s="4" t="s">
        <v>29</v>
      </c>
      <c r="G3334" s="4" t="s">
        <v>2276</v>
      </c>
      <c r="H3334" s="204" t="s">
        <v>523</v>
      </c>
      <c r="I3334" s="204"/>
      <c r="J3334" s="21" t="s">
        <v>2276</v>
      </c>
      <c r="K3334" s="21" t="s">
        <v>2276</v>
      </c>
      <c r="L3334" s="21" t="s">
        <v>2276</v>
      </c>
      <c r="M3334" s="21" t="s">
        <v>2276</v>
      </c>
      <c r="N3334" s="21" t="s">
        <v>2276</v>
      </c>
      <c r="O3334" s="21" t="s">
        <v>2276</v>
      </c>
      <c r="P3334" s="21" t="s">
        <v>2276</v>
      </c>
      <c r="Q3334" s="21" t="s">
        <v>2276</v>
      </c>
      <c r="R3334" s="21" t="s">
        <v>2276</v>
      </c>
      <c r="S3334" s="21" t="s">
        <v>2276</v>
      </c>
      <c r="T3334" s="21" t="s">
        <v>2276</v>
      </c>
      <c r="U3334" s="21" t="s">
        <v>2276</v>
      </c>
      <c r="V3334" s="21" t="s">
        <v>2276</v>
      </c>
      <c r="W3334" s="21" t="s">
        <v>2276</v>
      </c>
      <c r="X3334" s="21" t="s">
        <v>2276</v>
      </c>
      <c r="Y3334" s="21" t="s">
        <v>2276</v>
      </c>
      <c r="Z3334" s="21" t="s">
        <v>2276</v>
      </c>
      <c r="AA3334" s="21" t="s">
        <v>2276</v>
      </c>
      <c r="AB3334" s="21" t="s">
        <v>2276</v>
      </c>
      <c r="AC3334" s="204" t="s">
        <v>8907</v>
      </c>
      <c r="AD3334" s="204"/>
    </row>
    <row r="3335" spans="1:30" ht="33" customHeight="1">
      <c r="A3335" s="11" t="s">
        <v>8894</v>
      </c>
      <c r="B3335" s="204" t="s">
        <v>8904</v>
      </c>
      <c r="C3335" s="204" t="s">
        <v>2458</v>
      </c>
      <c r="D3335" s="204" t="s">
        <v>26</v>
      </c>
      <c r="E3335" s="204" t="s">
        <v>45</v>
      </c>
      <c r="F3335" s="4" t="s">
        <v>29</v>
      </c>
      <c r="G3335" s="4" t="s">
        <v>2276</v>
      </c>
      <c r="H3335" s="204" t="s">
        <v>523</v>
      </c>
      <c r="I3335" s="204"/>
      <c r="J3335" s="21" t="s">
        <v>2276</v>
      </c>
      <c r="K3335" s="21" t="s">
        <v>2276</v>
      </c>
      <c r="L3335" s="21" t="s">
        <v>2276</v>
      </c>
      <c r="M3335" s="21" t="s">
        <v>2276</v>
      </c>
      <c r="N3335" s="21" t="s">
        <v>2276</v>
      </c>
      <c r="O3335" s="21" t="s">
        <v>2276</v>
      </c>
      <c r="P3335" s="21" t="s">
        <v>2276</v>
      </c>
      <c r="Q3335" s="21" t="s">
        <v>2276</v>
      </c>
      <c r="R3335" s="21" t="s">
        <v>2276</v>
      </c>
      <c r="S3335" s="21" t="s">
        <v>2276</v>
      </c>
      <c r="T3335" s="21" t="s">
        <v>2276</v>
      </c>
      <c r="U3335" s="21" t="s">
        <v>2276</v>
      </c>
      <c r="V3335" s="21" t="s">
        <v>2276</v>
      </c>
      <c r="W3335" s="21" t="s">
        <v>2276</v>
      </c>
      <c r="X3335" s="21" t="s">
        <v>2276</v>
      </c>
      <c r="Y3335" s="21" t="s">
        <v>2276</v>
      </c>
      <c r="Z3335" s="21" t="s">
        <v>2276</v>
      </c>
      <c r="AA3335" s="21" t="s">
        <v>2276</v>
      </c>
      <c r="AB3335" s="21" t="s">
        <v>2276</v>
      </c>
      <c r="AC3335" s="204" t="s">
        <v>8907</v>
      </c>
      <c r="AD3335" s="204"/>
    </row>
    <row r="3336" spans="1:30" ht="33" customHeight="1">
      <c r="A3336" s="11" t="s">
        <v>8894</v>
      </c>
      <c r="B3336" s="204" t="s">
        <v>8905</v>
      </c>
      <c r="C3336" s="204" t="s">
        <v>2458</v>
      </c>
      <c r="D3336" s="204" t="s">
        <v>2231</v>
      </c>
      <c r="E3336" s="204" t="s">
        <v>45</v>
      </c>
      <c r="F3336" s="4" t="s">
        <v>29</v>
      </c>
      <c r="G3336" s="4" t="s">
        <v>2276</v>
      </c>
      <c r="H3336" s="204" t="s">
        <v>523</v>
      </c>
      <c r="I3336" s="204"/>
      <c r="J3336" s="21" t="s">
        <v>2276</v>
      </c>
      <c r="K3336" s="21" t="s">
        <v>2276</v>
      </c>
      <c r="L3336" s="21" t="s">
        <v>2276</v>
      </c>
      <c r="M3336" s="21" t="s">
        <v>2276</v>
      </c>
      <c r="N3336" s="21" t="s">
        <v>2276</v>
      </c>
      <c r="O3336" s="21" t="s">
        <v>2276</v>
      </c>
      <c r="P3336" s="21" t="s">
        <v>2276</v>
      </c>
      <c r="Q3336" s="21" t="s">
        <v>2276</v>
      </c>
      <c r="R3336" s="21" t="s">
        <v>2276</v>
      </c>
      <c r="S3336" s="21" t="s">
        <v>2276</v>
      </c>
      <c r="T3336" s="21" t="s">
        <v>2276</v>
      </c>
      <c r="U3336" s="21" t="s">
        <v>2276</v>
      </c>
      <c r="V3336" s="21" t="s">
        <v>2276</v>
      </c>
      <c r="W3336" s="21" t="s">
        <v>2276</v>
      </c>
      <c r="X3336" s="21" t="s">
        <v>2276</v>
      </c>
      <c r="Y3336" s="21" t="s">
        <v>2276</v>
      </c>
      <c r="Z3336" s="21" t="s">
        <v>2276</v>
      </c>
      <c r="AA3336" s="21" t="s">
        <v>2276</v>
      </c>
      <c r="AB3336" s="21" t="s">
        <v>2276</v>
      </c>
      <c r="AC3336" s="204" t="s">
        <v>8907</v>
      </c>
      <c r="AD3336" s="204"/>
    </row>
    <row r="3337" spans="1:30" ht="44.5" customHeight="1">
      <c r="A3337" s="11" t="s">
        <v>8894</v>
      </c>
      <c r="B3337" s="204" t="s">
        <v>8906</v>
      </c>
      <c r="C3337" s="204" t="s">
        <v>24</v>
      </c>
      <c r="D3337" s="204" t="s">
        <v>1105</v>
      </c>
      <c r="E3337" s="4" t="s">
        <v>3855</v>
      </c>
      <c r="F3337" s="4" t="s">
        <v>2276</v>
      </c>
      <c r="G3337" s="4" t="s">
        <v>2276</v>
      </c>
      <c r="H3337" s="204" t="s">
        <v>524</v>
      </c>
      <c r="I3337" s="204"/>
      <c r="J3337" s="21">
        <v>0</v>
      </c>
      <c r="K3337" s="21">
        <v>0</v>
      </c>
      <c r="L3337" s="21">
        <v>0</v>
      </c>
      <c r="M3337" s="21">
        <v>0</v>
      </c>
      <c r="N3337" s="21">
        <v>0</v>
      </c>
      <c r="O3337" s="21">
        <v>0</v>
      </c>
      <c r="P3337" s="21">
        <v>0</v>
      </c>
      <c r="Q3337" s="21">
        <v>0</v>
      </c>
      <c r="R3337" s="21">
        <v>0</v>
      </c>
      <c r="S3337" s="21">
        <v>0</v>
      </c>
      <c r="T3337" s="21">
        <v>0</v>
      </c>
      <c r="U3337" s="21">
        <v>0</v>
      </c>
      <c r="V3337" s="21">
        <v>0</v>
      </c>
      <c r="W3337" s="21">
        <v>0</v>
      </c>
      <c r="X3337" s="21">
        <v>0</v>
      </c>
      <c r="Y3337" s="21" t="s">
        <v>2276</v>
      </c>
      <c r="Z3337" s="21" t="s">
        <v>2276</v>
      </c>
      <c r="AA3337" s="21" t="s">
        <v>2276</v>
      </c>
      <c r="AB3337" s="21" t="s">
        <v>2276</v>
      </c>
      <c r="AC3337" s="19" t="s">
        <v>8908</v>
      </c>
      <c r="AD3337" s="204"/>
    </row>
    <row r="3338" spans="1:30" ht="28" customHeight="1">
      <c r="A3338" s="11" t="s">
        <v>8896</v>
      </c>
      <c r="B3338" s="11" t="s">
        <v>8909</v>
      </c>
      <c r="C3338" s="204" t="s">
        <v>24</v>
      </c>
      <c r="D3338" s="204" t="s">
        <v>27</v>
      </c>
      <c r="E3338" s="204" t="s">
        <v>130</v>
      </c>
      <c r="F3338" s="4" t="s">
        <v>160</v>
      </c>
      <c r="G3338" s="204" t="s">
        <v>160</v>
      </c>
      <c r="H3338" s="204" t="s">
        <v>523</v>
      </c>
      <c r="I3338" s="204"/>
      <c r="J3338" s="21" t="s">
        <v>2276</v>
      </c>
      <c r="K3338" s="21" t="s">
        <v>2276</v>
      </c>
      <c r="L3338" s="21" t="s">
        <v>2276</v>
      </c>
      <c r="M3338" s="21" t="s">
        <v>2276</v>
      </c>
      <c r="N3338" s="21" t="s">
        <v>2276</v>
      </c>
      <c r="O3338" s="21" t="s">
        <v>2276</v>
      </c>
      <c r="P3338" s="21" t="s">
        <v>2276</v>
      </c>
      <c r="Q3338" s="21" t="s">
        <v>2276</v>
      </c>
      <c r="R3338" s="21" t="s">
        <v>2276</v>
      </c>
      <c r="S3338" s="21" t="s">
        <v>2276</v>
      </c>
      <c r="T3338" s="21" t="s">
        <v>2276</v>
      </c>
      <c r="U3338" s="21" t="s">
        <v>2276</v>
      </c>
      <c r="V3338" s="21" t="s">
        <v>2276</v>
      </c>
      <c r="W3338" s="21" t="s">
        <v>2276</v>
      </c>
      <c r="X3338" s="21" t="s">
        <v>2276</v>
      </c>
      <c r="Y3338" s="21" t="s">
        <v>2276</v>
      </c>
      <c r="Z3338" s="21" t="s">
        <v>2276</v>
      </c>
      <c r="AA3338" s="21" t="s">
        <v>2276</v>
      </c>
      <c r="AB3338" s="21" t="s">
        <v>2276</v>
      </c>
      <c r="AC3338" s="74" t="s">
        <v>8902</v>
      </c>
      <c r="AD3338" s="204"/>
    </row>
    <row r="3339" spans="1:30" ht="28" customHeight="1">
      <c r="A3339" s="11" t="s">
        <v>8896</v>
      </c>
      <c r="B3339" s="11" t="s">
        <v>8910</v>
      </c>
      <c r="C3339" s="204" t="s">
        <v>24</v>
      </c>
      <c r="D3339" s="204" t="s">
        <v>25</v>
      </c>
      <c r="E3339" s="204" t="s">
        <v>45</v>
      </c>
      <c r="F3339" s="4" t="s">
        <v>29</v>
      </c>
      <c r="G3339" s="4" t="s">
        <v>29</v>
      </c>
      <c r="H3339" s="204" t="s">
        <v>523</v>
      </c>
      <c r="I3339" s="204"/>
      <c r="J3339" s="21" t="s">
        <v>2276</v>
      </c>
      <c r="K3339" s="21" t="s">
        <v>2276</v>
      </c>
      <c r="L3339" s="21" t="s">
        <v>2276</v>
      </c>
      <c r="M3339" s="21" t="s">
        <v>2276</v>
      </c>
      <c r="N3339" s="21" t="s">
        <v>2276</v>
      </c>
      <c r="O3339" s="21" t="s">
        <v>2276</v>
      </c>
      <c r="P3339" s="21" t="s">
        <v>2276</v>
      </c>
      <c r="Q3339" s="21" t="s">
        <v>2276</v>
      </c>
      <c r="R3339" s="21" t="s">
        <v>2276</v>
      </c>
      <c r="S3339" s="21" t="s">
        <v>2276</v>
      </c>
      <c r="T3339" s="21" t="s">
        <v>2276</v>
      </c>
      <c r="U3339" s="21" t="s">
        <v>2276</v>
      </c>
      <c r="V3339" s="21" t="s">
        <v>2276</v>
      </c>
      <c r="W3339" s="21" t="s">
        <v>2276</v>
      </c>
      <c r="X3339" s="21" t="s">
        <v>2276</v>
      </c>
      <c r="Y3339" s="21" t="s">
        <v>2276</v>
      </c>
      <c r="Z3339" s="21" t="s">
        <v>2276</v>
      </c>
      <c r="AA3339" s="21" t="s">
        <v>2276</v>
      </c>
      <c r="AB3339" s="21" t="s">
        <v>2276</v>
      </c>
      <c r="AC3339" s="74" t="s">
        <v>8902</v>
      </c>
      <c r="AD3339" s="204"/>
    </row>
    <row r="3340" spans="1:30" ht="28" customHeight="1">
      <c r="A3340" s="11" t="s">
        <v>8896</v>
      </c>
      <c r="B3340" s="11" t="s">
        <v>8911</v>
      </c>
      <c r="C3340" s="204" t="s">
        <v>24</v>
      </c>
      <c r="D3340" s="204" t="s">
        <v>26</v>
      </c>
      <c r="E3340" s="204" t="s">
        <v>45</v>
      </c>
      <c r="F3340" s="4" t="s">
        <v>29</v>
      </c>
      <c r="G3340" s="4" t="s">
        <v>29</v>
      </c>
      <c r="H3340" s="204" t="s">
        <v>523</v>
      </c>
      <c r="I3340" s="204"/>
      <c r="J3340" s="21" t="s">
        <v>2276</v>
      </c>
      <c r="K3340" s="21" t="s">
        <v>2276</v>
      </c>
      <c r="L3340" s="21" t="s">
        <v>2276</v>
      </c>
      <c r="M3340" s="21" t="s">
        <v>2276</v>
      </c>
      <c r="N3340" s="21" t="s">
        <v>2276</v>
      </c>
      <c r="O3340" s="21" t="s">
        <v>2276</v>
      </c>
      <c r="P3340" s="21" t="s">
        <v>2276</v>
      </c>
      <c r="Q3340" s="21" t="s">
        <v>2276</v>
      </c>
      <c r="R3340" s="21" t="s">
        <v>2276</v>
      </c>
      <c r="S3340" s="21" t="s">
        <v>2276</v>
      </c>
      <c r="T3340" s="21" t="s">
        <v>2276</v>
      </c>
      <c r="U3340" s="21" t="s">
        <v>2276</v>
      </c>
      <c r="V3340" s="21" t="s">
        <v>2276</v>
      </c>
      <c r="W3340" s="21" t="s">
        <v>2276</v>
      </c>
      <c r="X3340" s="21" t="s">
        <v>2276</v>
      </c>
      <c r="Y3340" s="21" t="s">
        <v>2276</v>
      </c>
      <c r="Z3340" s="21" t="s">
        <v>2276</v>
      </c>
      <c r="AA3340" s="21" t="s">
        <v>2276</v>
      </c>
      <c r="AB3340" s="21" t="s">
        <v>2276</v>
      </c>
      <c r="AC3340" s="74" t="s">
        <v>8902</v>
      </c>
      <c r="AD3340" s="204"/>
    </row>
    <row r="3341" spans="1:30" ht="28" customHeight="1">
      <c r="A3341" s="11" t="s">
        <v>8896</v>
      </c>
      <c r="B3341" s="11" t="s">
        <v>8912</v>
      </c>
      <c r="C3341" s="204" t="s">
        <v>24</v>
      </c>
      <c r="D3341" s="204" t="s">
        <v>2231</v>
      </c>
      <c r="E3341" s="204" t="s">
        <v>45</v>
      </c>
      <c r="F3341" s="4" t="s">
        <v>29</v>
      </c>
      <c r="G3341" s="4" t="s">
        <v>29</v>
      </c>
      <c r="H3341" s="204" t="s">
        <v>523</v>
      </c>
      <c r="I3341" s="204"/>
      <c r="J3341" s="21" t="s">
        <v>2276</v>
      </c>
      <c r="K3341" s="21" t="s">
        <v>2276</v>
      </c>
      <c r="L3341" s="21" t="s">
        <v>2276</v>
      </c>
      <c r="M3341" s="21" t="s">
        <v>2276</v>
      </c>
      <c r="N3341" s="21" t="s">
        <v>2276</v>
      </c>
      <c r="O3341" s="21" t="s">
        <v>2276</v>
      </c>
      <c r="P3341" s="21" t="s">
        <v>2276</v>
      </c>
      <c r="Q3341" s="21" t="s">
        <v>2276</v>
      </c>
      <c r="R3341" s="21" t="s">
        <v>2276</v>
      </c>
      <c r="S3341" s="21" t="s">
        <v>2276</v>
      </c>
      <c r="T3341" s="21" t="s">
        <v>2276</v>
      </c>
      <c r="U3341" s="21" t="s">
        <v>2276</v>
      </c>
      <c r="V3341" s="21" t="s">
        <v>2276</v>
      </c>
      <c r="W3341" s="21" t="s">
        <v>2276</v>
      </c>
      <c r="X3341" s="21" t="s">
        <v>2276</v>
      </c>
      <c r="Y3341" s="21" t="s">
        <v>2276</v>
      </c>
      <c r="Z3341" s="21" t="s">
        <v>2276</v>
      </c>
      <c r="AA3341" s="21" t="s">
        <v>2276</v>
      </c>
      <c r="AB3341" s="21" t="s">
        <v>2276</v>
      </c>
      <c r="AC3341" s="74" t="s">
        <v>8902</v>
      </c>
      <c r="AD3341" s="204"/>
    </row>
    <row r="3342" spans="1:30" ht="28" customHeight="1">
      <c r="A3342" s="11" t="s">
        <v>8896</v>
      </c>
      <c r="B3342" s="11" t="s">
        <v>8913</v>
      </c>
      <c r="C3342" s="204" t="s">
        <v>2458</v>
      </c>
      <c r="D3342" s="204" t="s">
        <v>27</v>
      </c>
      <c r="E3342" s="204" t="s">
        <v>130</v>
      </c>
      <c r="F3342" s="4" t="s">
        <v>160</v>
      </c>
      <c r="G3342" s="4" t="s">
        <v>2276</v>
      </c>
      <c r="H3342" s="204" t="s">
        <v>523</v>
      </c>
      <c r="I3342" s="204"/>
      <c r="J3342" s="21" t="s">
        <v>2276</v>
      </c>
      <c r="K3342" s="21" t="s">
        <v>2276</v>
      </c>
      <c r="L3342" s="21" t="s">
        <v>2276</v>
      </c>
      <c r="M3342" s="21" t="s">
        <v>2276</v>
      </c>
      <c r="N3342" s="21" t="s">
        <v>2276</v>
      </c>
      <c r="O3342" s="21" t="s">
        <v>2276</v>
      </c>
      <c r="P3342" s="21" t="s">
        <v>2276</v>
      </c>
      <c r="Q3342" s="21" t="s">
        <v>2276</v>
      </c>
      <c r="R3342" s="21" t="s">
        <v>2276</v>
      </c>
      <c r="S3342" s="21" t="s">
        <v>2276</v>
      </c>
      <c r="T3342" s="21" t="s">
        <v>2276</v>
      </c>
      <c r="U3342" s="21" t="s">
        <v>2276</v>
      </c>
      <c r="V3342" s="21" t="s">
        <v>2276</v>
      </c>
      <c r="W3342" s="21" t="s">
        <v>2276</v>
      </c>
      <c r="X3342" s="21" t="s">
        <v>2276</v>
      </c>
      <c r="Y3342" s="21" t="s">
        <v>2276</v>
      </c>
      <c r="Z3342" s="21" t="s">
        <v>2276</v>
      </c>
      <c r="AA3342" s="21" t="s">
        <v>2276</v>
      </c>
      <c r="AB3342" s="21" t="s">
        <v>2276</v>
      </c>
      <c r="AC3342" s="204" t="s">
        <v>8907</v>
      </c>
      <c r="AD3342" s="204"/>
    </row>
    <row r="3343" spans="1:30" ht="28" customHeight="1">
      <c r="A3343" s="11" t="s">
        <v>8896</v>
      </c>
      <c r="B3343" s="11" t="s">
        <v>8914</v>
      </c>
      <c r="C3343" s="204" t="s">
        <v>2458</v>
      </c>
      <c r="D3343" s="204" t="s">
        <v>25</v>
      </c>
      <c r="E3343" s="204" t="s">
        <v>45</v>
      </c>
      <c r="F3343" s="4" t="s">
        <v>29</v>
      </c>
      <c r="G3343" s="4" t="s">
        <v>2276</v>
      </c>
      <c r="H3343" s="204" t="s">
        <v>523</v>
      </c>
      <c r="I3343" s="204"/>
      <c r="J3343" s="21" t="s">
        <v>2276</v>
      </c>
      <c r="K3343" s="21" t="s">
        <v>2276</v>
      </c>
      <c r="L3343" s="21" t="s">
        <v>2276</v>
      </c>
      <c r="M3343" s="21" t="s">
        <v>2276</v>
      </c>
      <c r="N3343" s="21" t="s">
        <v>2276</v>
      </c>
      <c r="O3343" s="21" t="s">
        <v>2276</v>
      </c>
      <c r="P3343" s="21" t="s">
        <v>2276</v>
      </c>
      <c r="Q3343" s="21" t="s">
        <v>2276</v>
      </c>
      <c r="R3343" s="21" t="s">
        <v>2276</v>
      </c>
      <c r="S3343" s="21" t="s">
        <v>2276</v>
      </c>
      <c r="T3343" s="21" t="s">
        <v>2276</v>
      </c>
      <c r="U3343" s="21" t="s">
        <v>2276</v>
      </c>
      <c r="V3343" s="21" t="s">
        <v>2276</v>
      </c>
      <c r="W3343" s="21" t="s">
        <v>2276</v>
      </c>
      <c r="X3343" s="21" t="s">
        <v>2276</v>
      </c>
      <c r="Y3343" s="21" t="s">
        <v>2276</v>
      </c>
      <c r="Z3343" s="21" t="s">
        <v>2276</v>
      </c>
      <c r="AA3343" s="21" t="s">
        <v>2276</v>
      </c>
      <c r="AB3343" s="21" t="s">
        <v>2276</v>
      </c>
      <c r="AC3343" s="204" t="s">
        <v>8907</v>
      </c>
      <c r="AD3343" s="204"/>
    </row>
    <row r="3344" spans="1:30" ht="28" customHeight="1">
      <c r="A3344" s="11" t="s">
        <v>8896</v>
      </c>
      <c r="B3344" s="11" t="s">
        <v>8915</v>
      </c>
      <c r="C3344" s="204" t="s">
        <v>2458</v>
      </c>
      <c r="D3344" s="204" t="s">
        <v>26</v>
      </c>
      <c r="E3344" s="204" t="s">
        <v>45</v>
      </c>
      <c r="F3344" s="4" t="s">
        <v>29</v>
      </c>
      <c r="G3344" s="4" t="s">
        <v>2276</v>
      </c>
      <c r="H3344" s="204" t="s">
        <v>523</v>
      </c>
      <c r="I3344" s="204"/>
      <c r="J3344" s="21" t="s">
        <v>2276</v>
      </c>
      <c r="K3344" s="21" t="s">
        <v>2276</v>
      </c>
      <c r="L3344" s="21" t="s">
        <v>2276</v>
      </c>
      <c r="M3344" s="21" t="s">
        <v>2276</v>
      </c>
      <c r="N3344" s="21" t="s">
        <v>2276</v>
      </c>
      <c r="O3344" s="21" t="s">
        <v>2276</v>
      </c>
      <c r="P3344" s="21" t="s">
        <v>2276</v>
      </c>
      <c r="Q3344" s="21" t="s">
        <v>2276</v>
      </c>
      <c r="R3344" s="21" t="s">
        <v>2276</v>
      </c>
      <c r="S3344" s="21" t="s">
        <v>2276</v>
      </c>
      <c r="T3344" s="21" t="s">
        <v>2276</v>
      </c>
      <c r="U3344" s="21" t="s">
        <v>2276</v>
      </c>
      <c r="V3344" s="21" t="s">
        <v>2276</v>
      </c>
      <c r="W3344" s="21" t="s">
        <v>2276</v>
      </c>
      <c r="X3344" s="21" t="s">
        <v>2276</v>
      </c>
      <c r="Y3344" s="21" t="s">
        <v>2276</v>
      </c>
      <c r="Z3344" s="21" t="s">
        <v>2276</v>
      </c>
      <c r="AA3344" s="21" t="s">
        <v>2276</v>
      </c>
      <c r="AB3344" s="21" t="s">
        <v>2276</v>
      </c>
      <c r="AC3344" s="204" t="s">
        <v>8907</v>
      </c>
      <c r="AD3344" s="204"/>
    </row>
    <row r="3345" spans="1:30" ht="28" customHeight="1">
      <c r="A3345" s="11" t="s">
        <v>8896</v>
      </c>
      <c r="B3345" s="11" t="s">
        <v>8916</v>
      </c>
      <c r="C3345" s="204" t="s">
        <v>2458</v>
      </c>
      <c r="D3345" s="204" t="s">
        <v>2231</v>
      </c>
      <c r="E3345" s="204" t="s">
        <v>45</v>
      </c>
      <c r="F3345" s="4" t="s">
        <v>29</v>
      </c>
      <c r="G3345" s="4" t="s">
        <v>2276</v>
      </c>
      <c r="H3345" s="204" t="s">
        <v>523</v>
      </c>
      <c r="I3345" s="204"/>
      <c r="J3345" s="21" t="s">
        <v>2276</v>
      </c>
      <c r="K3345" s="21" t="s">
        <v>2276</v>
      </c>
      <c r="L3345" s="21" t="s">
        <v>2276</v>
      </c>
      <c r="M3345" s="21" t="s">
        <v>2276</v>
      </c>
      <c r="N3345" s="21" t="s">
        <v>2276</v>
      </c>
      <c r="O3345" s="21" t="s">
        <v>2276</v>
      </c>
      <c r="P3345" s="21" t="s">
        <v>2276</v>
      </c>
      <c r="Q3345" s="21" t="s">
        <v>2276</v>
      </c>
      <c r="R3345" s="21" t="s">
        <v>2276</v>
      </c>
      <c r="S3345" s="21" t="s">
        <v>2276</v>
      </c>
      <c r="T3345" s="21" t="s">
        <v>2276</v>
      </c>
      <c r="U3345" s="21" t="s">
        <v>2276</v>
      </c>
      <c r="V3345" s="21" t="s">
        <v>2276</v>
      </c>
      <c r="W3345" s="21" t="s">
        <v>2276</v>
      </c>
      <c r="X3345" s="21" t="s">
        <v>2276</v>
      </c>
      <c r="Y3345" s="21" t="s">
        <v>2276</v>
      </c>
      <c r="Z3345" s="21" t="s">
        <v>2276</v>
      </c>
      <c r="AA3345" s="21" t="s">
        <v>2276</v>
      </c>
      <c r="AB3345" s="21" t="s">
        <v>2276</v>
      </c>
      <c r="AC3345" s="204" t="s">
        <v>8907</v>
      </c>
      <c r="AD3345" s="204"/>
    </row>
    <row r="3346" spans="1:30" ht="32.5" customHeight="1">
      <c r="A3346" s="11" t="s">
        <v>8896</v>
      </c>
      <c r="B3346" s="11" t="s">
        <v>8917</v>
      </c>
      <c r="C3346" s="204" t="s">
        <v>24</v>
      </c>
      <c r="D3346" s="204" t="s">
        <v>1105</v>
      </c>
      <c r="E3346" s="4" t="s">
        <v>3855</v>
      </c>
      <c r="F3346" s="4" t="s">
        <v>2276</v>
      </c>
      <c r="G3346" s="4" t="s">
        <v>2276</v>
      </c>
      <c r="H3346" s="204" t="s">
        <v>524</v>
      </c>
      <c r="I3346" s="204"/>
      <c r="J3346" s="21">
        <v>0</v>
      </c>
      <c r="K3346" s="21">
        <v>0</v>
      </c>
      <c r="L3346" s="21">
        <v>0</v>
      </c>
      <c r="M3346" s="21">
        <v>0</v>
      </c>
      <c r="N3346" s="21">
        <v>0</v>
      </c>
      <c r="O3346" s="21">
        <v>0</v>
      </c>
      <c r="P3346" s="21">
        <v>0</v>
      </c>
      <c r="Q3346" s="21">
        <v>0</v>
      </c>
      <c r="R3346" s="21">
        <v>0</v>
      </c>
      <c r="S3346" s="21">
        <v>0</v>
      </c>
      <c r="T3346" s="21">
        <v>0</v>
      </c>
      <c r="U3346" s="21">
        <v>0</v>
      </c>
      <c r="V3346" s="21">
        <v>0</v>
      </c>
      <c r="W3346" s="21">
        <v>0</v>
      </c>
      <c r="X3346" s="21">
        <v>0</v>
      </c>
      <c r="Y3346" s="21" t="s">
        <v>2276</v>
      </c>
      <c r="Z3346" s="21" t="s">
        <v>2276</v>
      </c>
      <c r="AA3346" s="21" t="s">
        <v>2276</v>
      </c>
      <c r="AB3346" s="21" t="s">
        <v>2276</v>
      </c>
      <c r="AC3346" s="19" t="s">
        <v>8908</v>
      </c>
      <c r="AD3346" s="204"/>
    </row>
    <row r="3347" spans="1:30" ht="42" customHeight="1">
      <c r="A3347" s="11" t="s">
        <v>8922</v>
      </c>
      <c r="B3347" s="11" t="s">
        <v>8924</v>
      </c>
      <c r="C3347" s="204" t="s">
        <v>24</v>
      </c>
      <c r="D3347" s="204" t="s">
        <v>143</v>
      </c>
      <c r="E3347" s="204" t="s">
        <v>84</v>
      </c>
      <c r="F3347" s="4" t="s">
        <v>74</v>
      </c>
      <c r="G3347" s="4" t="s">
        <v>74</v>
      </c>
      <c r="H3347" s="204" t="s">
        <v>523</v>
      </c>
      <c r="I3347" s="204"/>
      <c r="J3347" s="21" t="s">
        <v>2276</v>
      </c>
      <c r="K3347" s="21" t="s">
        <v>2276</v>
      </c>
      <c r="L3347" s="21" t="s">
        <v>2276</v>
      </c>
      <c r="M3347" s="21" t="s">
        <v>2276</v>
      </c>
      <c r="N3347" s="21" t="s">
        <v>2276</v>
      </c>
      <c r="O3347" s="21" t="s">
        <v>2276</v>
      </c>
      <c r="P3347" s="21" t="s">
        <v>2276</v>
      </c>
      <c r="Q3347" s="21" t="s">
        <v>2276</v>
      </c>
      <c r="R3347" s="21" t="s">
        <v>2276</v>
      </c>
      <c r="S3347" s="21" t="s">
        <v>2276</v>
      </c>
      <c r="T3347" s="21" t="s">
        <v>2276</v>
      </c>
      <c r="U3347" s="21" t="s">
        <v>2276</v>
      </c>
      <c r="V3347" s="21" t="s">
        <v>2276</v>
      </c>
      <c r="W3347" s="21" t="s">
        <v>2276</v>
      </c>
      <c r="X3347" s="21" t="s">
        <v>2276</v>
      </c>
      <c r="Y3347" s="21" t="s">
        <v>2276</v>
      </c>
      <c r="Z3347" s="21" t="s">
        <v>2276</v>
      </c>
      <c r="AA3347" s="21" t="s">
        <v>2276</v>
      </c>
      <c r="AB3347" s="21" t="s">
        <v>2276</v>
      </c>
      <c r="AC3347" s="204"/>
      <c r="AD3347" s="204"/>
    </row>
    <row r="3348" spans="1:30" ht="42" customHeight="1">
      <c r="A3348" s="11" t="s">
        <v>8922</v>
      </c>
      <c r="B3348" s="11" t="s">
        <v>8925</v>
      </c>
      <c r="C3348" s="204" t="s">
        <v>24</v>
      </c>
      <c r="D3348" s="204" t="s">
        <v>1245</v>
      </c>
      <c r="E3348" s="204" t="s">
        <v>116</v>
      </c>
      <c r="F3348" s="4" t="s">
        <v>74</v>
      </c>
      <c r="G3348" s="4" t="s">
        <v>74</v>
      </c>
      <c r="H3348" s="204" t="s">
        <v>523</v>
      </c>
      <c r="I3348" s="204"/>
      <c r="J3348" s="21" t="s">
        <v>2276</v>
      </c>
      <c r="K3348" s="21" t="s">
        <v>2276</v>
      </c>
      <c r="L3348" s="21" t="s">
        <v>2276</v>
      </c>
      <c r="M3348" s="21" t="s">
        <v>2276</v>
      </c>
      <c r="N3348" s="21" t="s">
        <v>2276</v>
      </c>
      <c r="O3348" s="21" t="s">
        <v>2276</v>
      </c>
      <c r="P3348" s="21" t="s">
        <v>2276</v>
      </c>
      <c r="Q3348" s="21" t="s">
        <v>2276</v>
      </c>
      <c r="R3348" s="21" t="s">
        <v>2276</v>
      </c>
      <c r="S3348" s="21" t="s">
        <v>2276</v>
      </c>
      <c r="T3348" s="21" t="s">
        <v>2276</v>
      </c>
      <c r="U3348" s="21" t="s">
        <v>2276</v>
      </c>
      <c r="V3348" s="21" t="s">
        <v>2276</v>
      </c>
      <c r="W3348" s="21" t="s">
        <v>2276</v>
      </c>
      <c r="X3348" s="21" t="s">
        <v>2276</v>
      </c>
      <c r="Y3348" s="21" t="s">
        <v>2276</v>
      </c>
      <c r="Z3348" s="21" t="s">
        <v>2276</v>
      </c>
      <c r="AA3348" s="21" t="s">
        <v>2276</v>
      </c>
      <c r="AB3348" s="21" t="s">
        <v>2276</v>
      </c>
      <c r="AC3348" s="204"/>
      <c r="AD3348" s="204"/>
    </row>
    <row r="3349" spans="1:30" ht="42" customHeight="1">
      <c r="A3349" s="11" t="s">
        <v>8922</v>
      </c>
      <c r="B3349" s="11" t="s">
        <v>8926</v>
      </c>
      <c r="C3349" s="204" t="s">
        <v>24</v>
      </c>
      <c r="D3349" s="204" t="s">
        <v>2305</v>
      </c>
      <c r="E3349" s="204" t="s">
        <v>116</v>
      </c>
      <c r="F3349" s="4" t="s">
        <v>74</v>
      </c>
      <c r="G3349" s="4" t="s">
        <v>74</v>
      </c>
      <c r="H3349" s="204" t="s">
        <v>523</v>
      </c>
      <c r="I3349" s="204"/>
      <c r="J3349" s="21" t="s">
        <v>2276</v>
      </c>
      <c r="K3349" s="21" t="s">
        <v>2276</v>
      </c>
      <c r="L3349" s="21" t="s">
        <v>2276</v>
      </c>
      <c r="M3349" s="21" t="s">
        <v>2276</v>
      </c>
      <c r="N3349" s="21" t="s">
        <v>2276</v>
      </c>
      <c r="O3349" s="21" t="s">
        <v>2276</v>
      </c>
      <c r="P3349" s="21" t="s">
        <v>2276</v>
      </c>
      <c r="Q3349" s="21" t="s">
        <v>2276</v>
      </c>
      <c r="R3349" s="21" t="s">
        <v>2276</v>
      </c>
      <c r="S3349" s="21" t="s">
        <v>2276</v>
      </c>
      <c r="T3349" s="21" t="s">
        <v>2276</v>
      </c>
      <c r="U3349" s="21" t="s">
        <v>2276</v>
      </c>
      <c r="V3349" s="21" t="s">
        <v>2276</v>
      </c>
      <c r="W3349" s="21" t="s">
        <v>2276</v>
      </c>
      <c r="X3349" s="21" t="s">
        <v>2276</v>
      </c>
      <c r="Y3349" s="21" t="s">
        <v>2276</v>
      </c>
      <c r="Z3349" s="21" t="s">
        <v>2276</v>
      </c>
      <c r="AA3349" s="21" t="s">
        <v>2276</v>
      </c>
      <c r="AB3349" s="21" t="s">
        <v>2276</v>
      </c>
      <c r="AC3349" s="204"/>
      <c r="AD3349" s="204"/>
    </row>
    <row r="3350" spans="1:30" ht="42" customHeight="1">
      <c r="A3350" s="11" t="s">
        <v>8922</v>
      </c>
      <c r="B3350" s="11" t="s">
        <v>8927</v>
      </c>
      <c r="C3350" s="204" t="s">
        <v>24</v>
      </c>
      <c r="D3350" s="204" t="s">
        <v>3480</v>
      </c>
      <c r="E3350" s="204" t="s">
        <v>116</v>
      </c>
      <c r="F3350" s="4" t="s">
        <v>74</v>
      </c>
      <c r="G3350" s="4" t="s">
        <v>74</v>
      </c>
      <c r="H3350" s="204" t="s">
        <v>523</v>
      </c>
      <c r="I3350" s="204"/>
      <c r="J3350" s="21" t="s">
        <v>2276</v>
      </c>
      <c r="K3350" s="21" t="s">
        <v>2276</v>
      </c>
      <c r="L3350" s="21" t="s">
        <v>2276</v>
      </c>
      <c r="M3350" s="21" t="s">
        <v>2276</v>
      </c>
      <c r="N3350" s="21" t="s">
        <v>2276</v>
      </c>
      <c r="O3350" s="21" t="s">
        <v>2276</v>
      </c>
      <c r="P3350" s="21" t="s">
        <v>2276</v>
      </c>
      <c r="Q3350" s="21" t="s">
        <v>2276</v>
      </c>
      <c r="R3350" s="21" t="s">
        <v>2276</v>
      </c>
      <c r="S3350" s="21" t="s">
        <v>2276</v>
      </c>
      <c r="T3350" s="21" t="s">
        <v>2276</v>
      </c>
      <c r="U3350" s="21" t="s">
        <v>2276</v>
      </c>
      <c r="V3350" s="21" t="s">
        <v>2276</v>
      </c>
      <c r="W3350" s="21" t="s">
        <v>2276</v>
      </c>
      <c r="X3350" s="21" t="s">
        <v>2276</v>
      </c>
      <c r="Y3350" s="21" t="s">
        <v>2276</v>
      </c>
      <c r="Z3350" s="21" t="s">
        <v>2276</v>
      </c>
      <c r="AA3350" s="21" t="s">
        <v>2276</v>
      </c>
      <c r="AB3350" s="21" t="s">
        <v>2276</v>
      </c>
      <c r="AC3350" s="204"/>
      <c r="AD3350" s="204"/>
    </row>
    <row r="3351" spans="1:30" ht="37" customHeight="1">
      <c r="A3351" s="11" t="s">
        <v>8922</v>
      </c>
      <c r="B3351" s="11" t="s">
        <v>8928</v>
      </c>
      <c r="C3351" s="204" t="s">
        <v>2458</v>
      </c>
      <c r="D3351" s="204" t="s">
        <v>143</v>
      </c>
      <c r="E3351" s="204" t="s">
        <v>84</v>
      </c>
      <c r="F3351" s="4" t="s">
        <v>74</v>
      </c>
      <c r="G3351" s="4" t="s">
        <v>74</v>
      </c>
      <c r="H3351" s="204" t="s">
        <v>523</v>
      </c>
      <c r="I3351" s="204"/>
      <c r="J3351" s="21" t="s">
        <v>2276</v>
      </c>
      <c r="K3351" s="21" t="s">
        <v>2276</v>
      </c>
      <c r="L3351" s="21" t="s">
        <v>2276</v>
      </c>
      <c r="M3351" s="21" t="s">
        <v>2276</v>
      </c>
      <c r="N3351" s="21" t="s">
        <v>2276</v>
      </c>
      <c r="O3351" s="21" t="s">
        <v>2276</v>
      </c>
      <c r="P3351" s="21" t="s">
        <v>2276</v>
      </c>
      <c r="Q3351" s="21" t="s">
        <v>2276</v>
      </c>
      <c r="R3351" s="21" t="s">
        <v>2276</v>
      </c>
      <c r="S3351" s="21" t="s">
        <v>2276</v>
      </c>
      <c r="T3351" s="21" t="s">
        <v>2276</v>
      </c>
      <c r="U3351" s="21" t="s">
        <v>2276</v>
      </c>
      <c r="V3351" s="21" t="s">
        <v>2276</v>
      </c>
      <c r="W3351" s="21" t="s">
        <v>2276</v>
      </c>
      <c r="X3351" s="21" t="s">
        <v>2276</v>
      </c>
      <c r="Y3351" s="21" t="s">
        <v>2276</v>
      </c>
      <c r="Z3351" s="21" t="s">
        <v>2276</v>
      </c>
      <c r="AA3351" s="21" t="s">
        <v>2276</v>
      </c>
      <c r="AB3351" s="21" t="s">
        <v>2276</v>
      </c>
      <c r="AC3351" s="204"/>
      <c r="AD3351" s="204"/>
    </row>
    <row r="3352" spans="1:30" ht="37" customHeight="1">
      <c r="A3352" s="11" t="s">
        <v>8922</v>
      </c>
      <c r="B3352" s="11" t="s">
        <v>8929</v>
      </c>
      <c r="C3352" s="204" t="s">
        <v>2458</v>
      </c>
      <c r="D3352" s="204" t="s">
        <v>1245</v>
      </c>
      <c r="E3352" s="204" t="s">
        <v>116</v>
      </c>
      <c r="F3352" s="4" t="s">
        <v>74</v>
      </c>
      <c r="G3352" s="4" t="s">
        <v>74</v>
      </c>
      <c r="H3352" s="204" t="s">
        <v>523</v>
      </c>
      <c r="I3352" s="204"/>
      <c r="J3352" s="21" t="s">
        <v>2276</v>
      </c>
      <c r="K3352" s="21" t="s">
        <v>2276</v>
      </c>
      <c r="L3352" s="21" t="s">
        <v>2276</v>
      </c>
      <c r="M3352" s="21" t="s">
        <v>2276</v>
      </c>
      <c r="N3352" s="21" t="s">
        <v>2276</v>
      </c>
      <c r="O3352" s="21" t="s">
        <v>2276</v>
      </c>
      <c r="P3352" s="21" t="s">
        <v>2276</v>
      </c>
      <c r="Q3352" s="21" t="s">
        <v>2276</v>
      </c>
      <c r="R3352" s="21" t="s">
        <v>2276</v>
      </c>
      <c r="S3352" s="21" t="s">
        <v>2276</v>
      </c>
      <c r="T3352" s="21" t="s">
        <v>2276</v>
      </c>
      <c r="U3352" s="21" t="s">
        <v>2276</v>
      </c>
      <c r="V3352" s="21" t="s">
        <v>2276</v>
      </c>
      <c r="W3352" s="21" t="s">
        <v>2276</v>
      </c>
      <c r="X3352" s="21" t="s">
        <v>2276</v>
      </c>
      <c r="Y3352" s="21" t="s">
        <v>2276</v>
      </c>
      <c r="Z3352" s="21" t="s">
        <v>2276</v>
      </c>
      <c r="AA3352" s="21" t="s">
        <v>2276</v>
      </c>
      <c r="AB3352" s="21" t="s">
        <v>2276</v>
      </c>
      <c r="AC3352" s="204"/>
      <c r="AD3352" s="204"/>
    </row>
    <row r="3353" spans="1:30" ht="37" customHeight="1">
      <c r="A3353" s="11" t="s">
        <v>8922</v>
      </c>
      <c r="B3353" s="11" t="s">
        <v>8930</v>
      </c>
      <c r="C3353" s="204" t="s">
        <v>2458</v>
      </c>
      <c r="D3353" s="204" t="s">
        <v>2305</v>
      </c>
      <c r="E3353" s="204" t="s">
        <v>116</v>
      </c>
      <c r="F3353" s="4" t="s">
        <v>74</v>
      </c>
      <c r="G3353" s="4" t="s">
        <v>74</v>
      </c>
      <c r="H3353" s="204" t="s">
        <v>523</v>
      </c>
      <c r="I3353" s="204"/>
      <c r="J3353" s="21" t="s">
        <v>2276</v>
      </c>
      <c r="K3353" s="21" t="s">
        <v>2276</v>
      </c>
      <c r="L3353" s="21" t="s">
        <v>2276</v>
      </c>
      <c r="M3353" s="21" t="s">
        <v>2276</v>
      </c>
      <c r="N3353" s="21" t="s">
        <v>2276</v>
      </c>
      <c r="O3353" s="21" t="s">
        <v>2276</v>
      </c>
      <c r="P3353" s="21" t="s">
        <v>2276</v>
      </c>
      <c r="Q3353" s="21" t="s">
        <v>2276</v>
      </c>
      <c r="R3353" s="21" t="s">
        <v>2276</v>
      </c>
      <c r="S3353" s="21" t="s">
        <v>2276</v>
      </c>
      <c r="T3353" s="21" t="s">
        <v>2276</v>
      </c>
      <c r="U3353" s="21" t="s">
        <v>2276</v>
      </c>
      <c r="V3353" s="21" t="s">
        <v>2276</v>
      </c>
      <c r="W3353" s="21" t="s">
        <v>2276</v>
      </c>
      <c r="X3353" s="21" t="s">
        <v>2276</v>
      </c>
      <c r="Y3353" s="21" t="s">
        <v>2276</v>
      </c>
      <c r="Z3353" s="21" t="s">
        <v>2276</v>
      </c>
      <c r="AA3353" s="21" t="s">
        <v>2276</v>
      </c>
      <c r="AB3353" s="21" t="s">
        <v>2276</v>
      </c>
      <c r="AC3353" s="204"/>
      <c r="AD3353" s="204"/>
    </row>
    <row r="3354" spans="1:30" ht="37" customHeight="1">
      <c r="A3354" s="11" t="s">
        <v>8922</v>
      </c>
      <c r="B3354" s="11" t="s">
        <v>8931</v>
      </c>
      <c r="C3354" s="204" t="s">
        <v>2458</v>
      </c>
      <c r="D3354" s="204" t="s">
        <v>3480</v>
      </c>
      <c r="E3354" s="204" t="s">
        <v>116</v>
      </c>
      <c r="F3354" s="4" t="s">
        <v>74</v>
      </c>
      <c r="G3354" s="4" t="s">
        <v>74</v>
      </c>
      <c r="H3354" s="204" t="s">
        <v>523</v>
      </c>
      <c r="I3354" s="204"/>
      <c r="J3354" s="21" t="s">
        <v>2276</v>
      </c>
      <c r="K3354" s="21" t="s">
        <v>2276</v>
      </c>
      <c r="L3354" s="21" t="s">
        <v>2276</v>
      </c>
      <c r="M3354" s="21" t="s">
        <v>2276</v>
      </c>
      <c r="N3354" s="21" t="s">
        <v>2276</v>
      </c>
      <c r="O3354" s="21" t="s">
        <v>2276</v>
      </c>
      <c r="P3354" s="21" t="s">
        <v>2276</v>
      </c>
      <c r="Q3354" s="21" t="s">
        <v>2276</v>
      </c>
      <c r="R3354" s="21" t="s">
        <v>2276</v>
      </c>
      <c r="S3354" s="21" t="s">
        <v>2276</v>
      </c>
      <c r="T3354" s="21" t="s">
        <v>2276</v>
      </c>
      <c r="U3354" s="21" t="s">
        <v>2276</v>
      </c>
      <c r="V3354" s="21" t="s">
        <v>2276</v>
      </c>
      <c r="W3354" s="21" t="s">
        <v>2276</v>
      </c>
      <c r="X3354" s="21" t="s">
        <v>2276</v>
      </c>
      <c r="Y3354" s="21" t="s">
        <v>2276</v>
      </c>
      <c r="Z3354" s="21" t="s">
        <v>2276</v>
      </c>
      <c r="AA3354" s="21" t="s">
        <v>2276</v>
      </c>
      <c r="AB3354" s="21" t="s">
        <v>2276</v>
      </c>
      <c r="AC3354" s="204"/>
      <c r="AD3354" s="204"/>
    </row>
    <row r="3355" spans="1:30" ht="42.5" customHeight="1">
      <c r="A3355" s="11" t="s">
        <v>8922</v>
      </c>
      <c r="B3355" s="11" t="s">
        <v>8935</v>
      </c>
      <c r="C3355" s="204" t="s">
        <v>31</v>
      </c>
      <c r="D3355" s="204" t="s">
        <v>30</v>
      </c>
      <c r="E3355" s="204" t="s">
        <v>1105</v>
      </c>
      <c r="F3355" s="204" t="s">
        <v>2276</v>
      </c>
      <c r="G3355" s="4" t="s">
        <v>74</v>
      </c>
      <c r="H3355" s="204" t="s">
        <v>523</v>
      </c>
      <c r="I3355" s="204"/>
      <c r="J3355" s="21" t="s">
        <v>2276</v>
      </c>
      <c r="K3355" s="21" t="s">
        <v>2276</v>
      </c>
      <c r="L3355" s="21" t="s">
        <v>2276</v>
      </c>
      <c r="M3355" s="21" t="s">
        <v>2276</v>
      </c>
      <c r="N3355" s="21" t="s">
        <v>2276</v>
      </c>
      <c r="O3355" s="21" t="s">
        <v>2276</v>
      </c>
      <c r="P3355" s="21" t="s">
        <v>2276</v>
      </c>
      <c r="Q3355" s="21" t="s">
        <v>2276</v>
      </c>
      <c r="R3355" s="21" t="s">
        <v>2276</v>
      </c>
      <c r="S3355" s="21" t="s">
        <v>2276</v>
      </c>
      <c r="T3355" s="21" t="s">
        <v>2276</v>
      </c>
      <c r="U3355" s="21" t="s">
        <v>2276</v>
      </c>
      <c r="V3355" s="21" t="s">
        <v>2276</v>
      </c>
      <c r="W3355" s="21" t="s">
        <v>2276</v>
      </c>
      <c r="X3355" s="21" t="s">
        <v>2276</v>
      </c>
      <c r="Y3355" s="21" t="s">
        <v>2276</v>
      </c>
      <c r="Z3355" s="21" t="s">
        <v>2276</v>
      </c>
      <c r="AA3355" s="21" t="s">
        <v>2276</v>
      </c>
      <c r="AB3355" s="21" t="s">
        <v>2276</v>
      </c>
      <c r="AC3355" s="204"/>
      <c r="AD3355" s="204"/>
    </row>
    <row r="3356" spans="1:30" ht="40" customHeight="1">
      <c r="A3356" s="11" t="s">
        <v>8922</v>
      </c>
      <c r="B3356" s="11" t="s">
        <v>8936</v>
      </c>
      <c r="C3356" s="204" t="s">
        <v>2458</v>
      </c>
      <c r="D3356" s="204" t="s">
        <v>1105</v>
      </c>
      <c r="E3356" s="204" t="s">
        <v>1105</v>
      </c>
      <c r="F3356" s="204" t="s">
        <v>2276</v>
      </c>
      <c r="G3356" s="4" t="s">
        <v>74</v>
      </c>
      <c r="H3356" s="204" t="s">
        <v>523</v>
      </c>
      <c r="I3356" s="204"/>
      <c r="J3356" s="21">
        <f>10/'Record info'!K1398</f>
        <v>1.0883524520580744E-2</v>
      </c>
      <c r="K3356" s="21" t="s">
        <v>2276</v>
      </c>
      <c r="L3356" s="21" t="s">
        <v>2276</v>
      </c>
      <c r="M3356" s="21" t="s">
        <v>2276</v>
      </c>
      <c r="N3356" s="21" t="s">
        <v>2276</v>
      </c>
      <c r="O3356" s="21" t="s">
        <v>2276</v>
      </c>
      <c r="P3356" s="21">
        <v>160</v>
      </c>
      <c r="Q3356" s="21" t="s">
        <v>2276</v>
      </c>
      <c r="R3356" s="21" t="s">
        <v>2276</v>
      </c>
      <c r="S3356" s="21" t="s">
        <v>2276</v>
      </c>
      <c r="T3356" s="21" t="s">
        <v>2276</v>
      </c>
      <c r="U3356" s="21" t="s">
        <v>2276</v>
      </c>
      <c r="V3356" s="21">
        <f>1600/'Record info'!K1398</f>
        <v>1.741363923292919</v>
      </c>
      <c r="W3356" s="21" t="s">
        <v>2276</v>
      </c>
      <c r="X3356" s="21" t="s">
        <v>2276</v>
      </c>
      <c r="Y3356" s="21" t="s">
        <v>2276</v>
      </c>
      <c r="Z3356" s="21" t="s">
        <v>2276</v>
      </c>
      <c r="AA3356" s="21" t="s">
        <v>2276</v>
      </c>
      <c r="AB3356" s="21" t="s">
        <v>2276</v>
      </c>
      <c r="AC3356" s="204"/>
      <c r="AD3356" s="204"/>
    </row>
    <row r="3357" spans="1:30" ht="42" customHeight="1">
      <c r="A3357" s="11" t="s">
        <v>8941</v>
      </c>
      <c r="B3357" s="11" t="s">
        <v>8945</v>
      </c>
      <c r="C3357" s="204" t="s">
        <v>31</v>
      </c>
      <c r="D3357" s="204" t="s">
        <v>30</v>
      </c>
      <c r="E3357" s="204" t="s">
        <v>1105</v>
      </c>
      <c r="F3357" s="4" t="s">
        <v>2276</v>
      </c>
      <c r="G3357" s="4" t="s">
        <v>2276</v>
      </c>
      <c r="H3357" s="204" t="s">
        <v>523</v>
      </c>
      <c r="I3357" s="204"/>
      <c r="J3357" s="21" t="s">
        <v>2276</v>
      </c>
      <c r="K3357" s="21" t="s">
        <v>2276</v>
      </c>
      <c r="L3357" s="21" t="s">
        <v>2276</v>
      </c>
      <c r="M3357" s="21" t="s">
        <v>2276</v>
      </c>
      <c r="N3357" s="21" t="s">
        <v>2276</v>
      </c>
      <c r="O3357" s="21" t="s">
        <v>2276</v>
      </c>
      <c r="P3357" s="21" t="s">
        <v>2276</v>
      </c>
      <c r="Q3357" s="21" t="s">
        <v>2276</v>
      </c>
      <c r="R3357" s="21" t="s">
        <v>2276</v>
      </c>
      <c r="S3357" s="21" t="s">
        <v>2276</v>
      </c>
      <c r="T3357" s="21" t="s">
        <v>2276</v>
      </c>
      <c r="U3357" s="21" t="s">
        <v>2276</v>
      </c>
      <c r="V3357" s="21" t="s">
        <v>2276</v>
      </c>
      <c r="W3357" s="21" t="s">
        <v>2276</v>
      </c>
      <c r="X3357" s="21" t="s">
        <v>2276</v>
      </c>
      <c r="Y3357" s="21" t="s">
        <v>2276</v>
      </c>
      <c r="Z3357" s="21" t="s">
        <v>2276</v>
      </c>
      <c r="AA3357" s="21" t="s">
        <v>2276</v>
      </c>
      <c r="AB3357" s="21" t="s">
        <v>2276</v>
      </c>
      <c r="AC3357" s="204"/>
      <c r="AD3357" s="204"/>
    </row>
    <row r="3358" spans="1:30" ht="42" customHeight="1">
      <c r="A3358" s="11" t="s">
        <v>8941</v>
      </c>
      <c r="B3358" s="11" t="s">
        <v>8946</v>
      </c>
      <c r="C3358" s="204" t="s">
        <v>31</v>
      </c>
      <c r="D3358" s="204" t="s">
        <v>30</v>
      </c>
      <c r="E3358" s="204" t="s">
        <v>2653</v>
      </c>
      <c r="F3358" s="4" t="s">
        <v>2276</v>
      </c>
      <c r="G3358" s="4" t="s">
        <v>2276</v>
      </c>
      <c r="H3358" s="204" t="s">
        <v>523</v>
      </c>
      <c r="I3358" s="204"/>
      <c r="J3358" s="21" t="s">
        <v>2276</v>
      </c>
      <c r="K3358" s="21" t="s">
        <v>2276</v>
      </c>
      <c r="L3358" s="21" t="s">
        <v>2276</v>
      </c>
      <c r="M3358" s="21" t="s">
        <v>2276</v>
      </c>
      <c r="N3358" s="21" t="s">
        <v>2276</v>
      </c>
      <c r="O3358" s="21" t="s">
        <v>2276</v>
      </c>
      <c r="P3358" s="21" t="s">
        <v>2276</v>
      </c>
      <c r="Q3358" s="21" t="s">
        <v>2276</v>
      </c>
      <c r="R3358" s="21" t="s">
        <v>2276</v>
      </c>
      <c r="S3358" s="21" t="s">
        <v>2276</v>
      </c>
      <c r="T3358" s="21" t="s">
        <v>2276</v>
      </c>
      <c r="U3358" s="21" t="s">
        <v>2276</v>
      </c>
      <c r="V3358" s="21" t="s">
        <v>2276</v>
      </c>
      <c r="W3358" s="21" t="s">
        <v>2276</v>
      </c>
      <c r="X3358" s="21" t="s">
        <v>2276</v>
      </c>
      <c r="Y3358" s="21" t="s">
        <v>2276</v>
      </c>
      <c r="Z3358" s="21" t="s">
        <v>2276</v>
      </c>
      <c r="AA3358" s="21" t="s">
        <v>2276</v>
      </c>
      <c r="AB3358" s="21" t="s">
        <v>2276</v>
      </c>
      <c r="AC3358" s="204"/>
      <c r="AD3358" s="204"/>
    </row>
    <row r="3359" spans="1:30" ht="42" customHeight="1">
      <c r="A3359" s="11" t="s">
        <v>8941</v>
      </c>
      <c r="B3359" s="11" t="s">
        <v>8947</v>
      </c>
      <c r="C3359" s="204" t="s">
        <v>2458</v>
      </c>
      <c r="D3359" s="204" t="s">
        <v>1245</v>
      </c>
      <c r="E3359" s="204" t="s">
        <v>116</v>
      </c>
      <c r="F3359" s="4" t="s">
        <v>2662</v>
      </c>
      <c r="G3359" s="4" t="s">
        <v>2276</v>
      </c>
      <c r="H3359" s="204" t="s">
        <v>523</v>
      </c>
      <c r="I3359" s="204"/>
      <c r="J3359" s="21" t="s">
        <v>2276</v>
      </c>
      <c r="K3359" s="21" t="s">
        <v>2276</v>
      </c>
      <c r="L3359" s="21" t="s">
        <v>2276</v>
      </c>
      <c r="M3359" s="21" t="s">
        <v>2276</v>
      </c>
      <c r="N3359" s="21" t="s">
        <v>2276</v>
      </c>
      <c r="O3359" s="21" t="s">
        <v>2276</v>
      </c>
      <c r="P3359" s="21" t="s">
        <v>2276</v>
      </c>
      <c r="Q3359" s="21" t="s">
        <v>2276</v>
      </c>
      <c r="R3359" s="21" t="s">
        <v>2276</v>
      </c>
      <c r="S3359" s="21" t="s">
        <v>2276</v>
      </c>
      <c r="T3359" s="21" t="s">
        <v>2276</v>
      </c>
      <c r="U3359" s="21" t="s">
        <v>2276</v>
      </c>
      <c r="V3359" s="21" t="s">
        <v>2276</v>
      </c>
      <c r="W3359" s="21" t="s">
        <v>2276</v>
      </c>
      <c r="X3359" s="21" t="s">
        <v>2276</v>
      </c>
      <c r="Y3359" s="21" t="s">
        <v>2276</v>
      </c>
      <c r="Z3359" s="21" t="s">
        <v>2276</v>
      </c>
      <c r="AA3359" s="21" t="s">
        <v>2276</v>
      </c>
      <c r="AB3359" s="21" t="s">
        <v>2276</v>
      </c>
      <c r="AC3359" s="204"/>
      <c r="AD3359" s="204"/>
    </row>
    <row r="3360" spans="1:30" ht="42" customHeight="1">
      <c r="A3360" s="11" t="s">
        <v>8941</v>
      </c>
      <c r="B3360" s="11" t="s">
        <v>8948</v>
      </c>
      <c r="C3360" s="204" t="s">
        <v>2458</v>
      </c>
      <c r="D3360" s="204" t="s">
        <v>3480</v>
      </c>
      <c r="E3360" s="204" t="s">
        <v>116</v>
      </c>
      <c r="F3360" s="4" t="s">
        <v>2662</v>
      </c>
      <c r="G3360" s="4" t="s">
        <v>2276</v>
      </c>
      <c r="H3360" s="204" t="s">
        <v>523</v>
      </c>
      <c r="I3360" s="204"/>
      <c r="J3360" s="21" t="s">
        <v>2276</v>
      </c>
      <c r="K3360" s="21" t="s">
        <v>2276</v>
      </c>
      <c r="L3360" s="21" t="s">
        <v>2276</v>
      </c>
      <c r="M3360" s="21" t="s">
        <v>2276</v>
      </c>
      <c r="N3360" s="21" t="s">
        <v>2276</v>
      </c>
      <c r="O3360" s="21" t="s">
        <v>2276</v>
      </c>
      <c r="P3360" s="21" t="s">
        <v>2276</v>
      </c>
      <c r="Q3360" s="21" t="s">
        <v>2276</v>
      </c>
      <c r="R3360" s="21" t="s">
        <v>2276</v>
      </c>
      <c r="S3360" s="21" t="s">
        <v>2276</v>
      </c>
      <c r="T3360" s="21" t="s">
        <v>2276</v>
      </c>
      <c r="U3360" s="21" t="s">
        <v>2276</v>
      </c>
      <c r="V3360" s="21" t="s">
        <v>2276</v>
      </c>
      <c r="W3360" s="21" t="s">
        <v>2276</v>
      </c>
      <c r="X3360" s="21" t="s">
        <v>2276</v>
      </c>
      <c r="Y3360" s="21" t="s">
        <v>2276</v>
      </c>
      <c r="Z3360" s="21" t="s">
        <v>2276</v>
      </c>
      <c r="AA3360" s="21" t="s">
        <v>2276</v>
      </c>
      <c r="AB3360" s="21" t="s">
        <v>2276</v>
      </c>
      <c r="AC3360" s="204"/>
      <c r="AD3360" s="204"/>
    </row>
    <row r="3361" spans="1:30" ht="42" customHeight="1">
      <c r="A3361" s="11" t="s">
        <v>8941</v>
      </c>
      <c r="B3361" s="11" t="s">
        <v>8949</v>
      </c>
      <c r="C3361" s="204" t="s">
        <v>2458</v>
      </c>
      <c r="D3361" s="204" t="s">
        <v>2231</v>
      </c>
      <c r="E3361" s="4" t="s">
        <v>397</v>
      </c>
      <c r="F3361" s="4" t="s">
        <v>2662</v>
      </c>
      <c r="G3361" s="4" t="s">
        <v>2276</v>
      </c>
      <c r="H3361" s="204" t="s">
        <v>523</v>
      </c>
      <c r="I3361" s="204"/>
      <c r="J3361" s="21" t="s">
        <v>2276</v>
      </c>
      <c r="K3361" s="21" t="s">
        <v>2276</v>
      </c>
      <c r="L3361" s="21" t="s">
        <v>2276</v>
      </c>
      <c r="M3361" s="21" t="s">
        <v>2276</v>
      </c>
      <c r="N3361" s="21" t="s">
        <v>2276</v>
      </c>
      <c r="O3361" s="21" t="s">
        <v>2276</v>
      </c>
      <c r="P3361" s="21" t="s">
        <v>2276</v>
      </c>
      <c r="Q3361" s="21" t="s">
        <v>2276</v>
      </c>
      <c r="R3361" s="21" t="s">
        <v>2276</v>
      </c>
      <c r="S3361" s="21" t="s">
        <v>2276</v>
      </c>
      <c r="T3361" s="21" t="s">
        <v>2276</v>
      </c>
      <c r="U3361" s="21" t="s">
        <v>2276</v>
      </c>
      <c r="V3361" s="21" t="s">
        <v>2276</v>
      </c>
      <c r="W3361" s="21" t="s">
        <v>2276</v>
      </c>
      <c r="X3361" s="21" t="s">
        <v>2276</v>
      </c>
      <c r="Y3361" s="21" t="s">
        <v>2276</v>
      </c>
      <c r="Z3361" s="21" t="s">
        <v>2276</v>
      </c>
      <c r="AA3361" s="21" t="s">
        <v>2276</v>
      </c>
      <c r="AB3361" s="21" t="s">
        <v>2276</v>
      </c>
      <c r="AC3361" s="204"/>
      <c r="AD3361" s="204"/>
    </row>
    <row r="3362" spans="1:30" ht="42" customHeight="1">
      <c r="A3362" s="11" t="s">
        <v>8941</v>
      </c>
      <c r="B3362" s="11" t="s">
        <v>8950</v>
      </c>
      <c r="C3362" s="204" t="s">
        <v>24</v>
      </c>
      <c r="D3362" s="204" t="s">
        <v>1245</v>
      </c>
      <c r="E3362" s="204" t="s">
        <v>116</v>
      </c>
      <c r="F3362" s="4" t="s">
        <v>2662</v>
      </c>
      <c r="G3362" s="4" t="s">
        <v>2662</v>
      </c>
      <c r="H3362" s="204" t="s">
        <v>523</v>
      </c>
      <c r="I3362" s="204"/>
      <c r="J3362" s="21" t="s">
        <v>2276</v>
      </c>
      <c r="K3362" s="21" t="s">
        <v>2276</v>
      </c>
      <c r="L3362" s="21" t="s">
        <v>2276</v>
      </c>
      <c r="M3362" s="21" t="s">
        <v>2276</v>
      </c>
      <c r="N3362" s="21" t="s">
        <v>2276</v>
      </c>
      <c r="O3362" s="21" t="s">
        <v>2276</v>
      </c>
      <c r="P3362" s="21" t="s">
        <v>2276</v>
      </c>
      <c r="Q3362" s="21" t="s">
        <v>2276</v>
      </c>
      <c r="R3362" s="21" t="s">
        <v>2276</v>
      </c>
      <c r="S3362" s="21" t="s">
        <v>2276</v>
      </c>
      <c r="T3362" s="21" t="s">
        <v>2276</v>
      </c>
      <c r="U3362" s="21" t="s">
        <v>2276</v>
      </c>
      <c r="V3362" s="21" t="s">
        <v>2276</v>
      </c>
      <c r="W3362" s="21" t="s">
        <v>2276</v>
      </c>
      <c r="X3362" s="21" t="s">
        <v>2276</v>
      </c>
      <c r="Y3362" s="21" t="s">
        <v>2276</v>
      </c>
      <c r="Z3362" s="21" t="s">
        <v>2276</v>
      </c>
      <c r="AA3362" s="21" t="s">
        <v>2276</v>
      </c>
      <c r="AB3362" s="21" t="s">
        <v>2276</v>
      </c>
      <c r="AC3362" s="204"/>
      <c r="AD3362" s="204"/>
    </row>
    <row r="3363" spans="1:30" ht="42" customHeight="1">
      <c r="A3363" s="11" t="s">
        <v>8941</v>
      </c>
      <c r="B3363" s="11" t="s">
        <v>8951</v>
      </c>
      <c r="C3363" s="204" t="s">
        <v>24</v>
      </c>
      <c r="D3363" s="204" t="s">
        <v>3480</v>
      </c>
      <c r="E3363" s="204" t="s">
        <v>116</v>
      </c>
      <c r="F3363" s="4" t="s">
        <v>2662</v>
      </c>
      <c r="G3363" s="4" t="s">
        <v>2662</v>
      </c>
      <c r="H3363" s="204" t="s">
        <v>523</v>
      </c>
      <c r="I3363" s="204"/>
      <c r="J3363" s="21" t="s">
        <v>2276</v>
      </c>
      <c r="K3363" s="21" t="s">
        <v>2276</v>
      </c>
      <c r="L3363" s="21" t="s">
        <v>2276</v>
      </c>
      <c r="M3363" s="21" t="s">
        <v>2276</v>
      </c>
      <c r="N3363" s="21" t="s">
        <v>2276</v>
      </c>
      <c r="O3363" s="21" t="s">
        <v>2276</v>
      </c>
      <c r="P3363" s="21" t="s">
        <v>2276</v>
      </c>
      <c r="Q3363" s="21" t="s">
        <v>2276</v>
      </c>
      <c r="R3363" s="21" t="s">
        <v>2276</v>
      </c>
      <c r="S3363" s="21" t="s">
        <v>2276</v>
      </c>
      <c r="T3363" s="21" t="s">
        <v>2276</v>
      </c>
      <c r="U3363" s="21" t="s">
        <v>2276</v>
      </c>
      <c r="V3363" s="21" t="s">
        <v>2276</v>
      </c>
      <c r="W3363" s="21" t="s">
        <v>2276</v>
      </c>
      <c r="X3363" s="21" t="s">
        <v>2276</v>
      </c>
      <c r="Y3363" s="21" t="s">
        <v>2276</v>
      </c>
      <c r="Z3363" s="21" t="s">
        <v>2276</v>
      </c>
      <c r="AA3363" s="21" t="s">
        <v>2276</v>
      </c>
      <c r="AB3363" s="21" t="s">
        <v>2276</v>
      </c>
      <c r="AC3363" s="204"/>
      <c r="AD3363" s="204"/>
    </row>
    <row r="3364" spans="1:30" ht="42" customHeight="1">
      <c r="A3364" s="11" t="s">
        <v>8941</v>
      </c>
      <c r="B3364" s="11" t="s">
        <v>8952</v>
      </c>
      <c r="C3364" s="204" t="s">
        <v>24</v>
      </c>
      <c r="D3364" s="204" t="s">
        <v>2231</v>
      </c>
      <c r="E3364" s="4" t="s">
        <v>397</v>
      </c>
      <c r="F3364" s="4" t="s">
        <v>2662</v>
      </c>
      <c r="G3364" s="4" t="s">
        <v>2662</v>
      </c>
      <c r="H3364" s="204" t="s">
        <v>523</v>
      </c>
      <c r="I3364" s="204"/>
      <c r="J3364" s="21" t="s">
        <v>2276</v>
      </c>
      <c r="K3364" s="21" t="s">
        <v>2276</v>
      </c>
      <c r="L3364" s="21" t="s">
        <v>2276</v>
      </c>
      <c r="M3364" s="21" t="s">
        <v>2276</v>
      </c>
      <c r="N3364" s="21" t="s">
        <v>2276</v>
      </c>
      <c r="O3364" s="21" t="s">
        <v>2276</v>
      </c>
      <c r="P3364" s="21" t="s">
        <v>2276</v>
      </c>
      <c r="Q3364" s="21" t="s">
        <v>2276</v>
      </c>
      <c r="R3364" s="21" t="s">
        <v>2276</v>
      </c>
      <c r="S3364" s="21" t="s">
        <v>2276</v>
      </c>
      <c r="T3364" s="21" t="s">
        <v>2276</v>
      </c>
      <c r="U3364" s="21" t="s">
        <v>2276</v>
      </c>
      <c r="V3364" s="21" t="s">
        <v>2276</v>
      </c>
      <c r="W3364" s="21" t="s">
        <v>2276</v>
      </c>
      <c r="X3364" s="21" t="s">
        <v>2276</v>
      </c>
      <c r="Y3364" s="21" t="s">
        <v>2276</v>
      </c>
      <c r="Z3364" s="21" t="s">
        <v>2276</v>
      </c>
      <c r="AA3364" s="21" t="s">
        <v>2276</v>
      </c>
      <c r="AB3364" s="21" t="s">
        <v>2276</v>
      </c>
      <c r="AC3364" s="204"/>
      <c r="AD3364" s="204"/>
    </row>
    <row r="3365" spans="1:30" ht="42" customHeight="1">
      <c r="A3365" s="11" t="s">
        <v>8941</v>
      </c>
      <c r="B3365" s="11" t="s">
        <v>8953</v>
      </c>
      <c r="C3365" s="204" t="s">
        <v>2458</v>
      </c>
      <c r="D3365" s="204" t="s">
        <v>2231</v>
      </c>
      <c r="E3365" s="204" t="s">
        <v>45</v>
      </c>
      <c r="F3365" s="4" t="s">
        <v>2662</v>
      </c>
      <c r="G3365" s="4" t="s">
        <v>2276</v>
      </c>
      <c r="H3365" s="204" t="s">
        <v>523</v>
      </c>
      <c r="I3365" s="204"/>
      <c r="J3365" s="21" t="s">
        <v>2276</v>
      </c>
      <c r="K3365" s="21" t="s">
        <v>2276</v>
      </c>
      <c r="L3365" s="21" t="s">
        <v>2276</v>
      </c>
      <c r="M3365" s="21" t="s">
        <v>2276</v>
      </c>
      <c r="N3365" s="21" t="s">
        <v>2276</v>
      </c>
      <c r="O3365" s="21" t="s">
        <v>2276</v>
      </c>
      <c r="P3365" s="21" t="s">
        <v>2276</v>
      </c>
      <c r="Q3365" s="21" t="s">
        <v>2276</v>
      </c>
      <c r="R3365" s="21" t="s">
        <v>2276</v>
      </c>
      <c r="S3365" s="21" t="s">
        <v>2276</v>
      </c>
      <c r="T3365" s="21" t="s">
        <v>2276</v>
      </c>
      <c r="U3365" s="21" t="s">
        <v>2276</v>
      </c>
      <c r="V3365" s="21" t="s">
        <v>2276</v>
      </c>
      <c r="W3365" s="21" t="s">
        <v>2276</v>
      </c>
      <c r="X3365" s="21" t="s">
        <v>2276</v>
      </c>
      <c r="Y3365" s="21" t="s">
        <v>2276</v>
      </c>
      <c r="Z3365" s="21" t="s">
        <v>2276</v>
      </c>
      <c r="AA3365" s="21" t="s">
        <v>2276</v>
      </c>
      <c r="AB3365" s="21" t="s">
        <v>2276</v>
      </c>
      <c r="AC3365" s="204"/>
      <c r="AD3365" s="204"/>
    </row>
    <row r="3366" spans="1:30" ht="42" customHeight="1">
      <c r="A3366" s="11" t="s">
        <v>8941</v>
      </c>
      <c r="B3366" s="11" t="s">
        <v>8954</v>
      </c>
      <c r="C3366" s="204" t="s">
        <v>24</v>
      </c>
      <c r="D3366" s="204" t="s">
        <v>2231</v>
      </c>
      <c r="E3366" s="204" t="s">
        <v>45</v>
      </c>
      <c r="F3366" s="4" t="s">
        <v>2662</v>
      </c>
      <c r="G3366" s="4" t="s">
        <v>2662</v>
      </c>
      <c r="H3366" s="204" t="s">
        <v>523</v>
      </c>
      <c r="I3366" s="204"/>
      <c r="J3366" s="21" t="s">
        <v>2276</v>
      </c>
      <c r="K3366" s="21" t="s">
        <v>2276</v>
      </c>
      <c r="L3366" s="21" t="s">
        <v>2276</v>
      </c>
      <c r="M3366" s="21" t="s">
        <v>2276</v>
      </c>
      <c r="N3366" s="21" t="s">
        <v>2276</v>
      </c>
      <c r="O3366" s="21" t="s">
        <v>2276</v>
      </c>
      <c r="P3366" s="21" t="s">
        <v>2276</v>
      </c>
      <c r="Q3366" s="21" t="s">
        <v>2276</v>
      </c>
      <c r="R3366" s="21" t="s">
        <v>2276</v>
      </c>
      <c r="S3366" s="21" t="s">
        <v>2276</v>
      </c>
      <c r="T3366" s="21" t="s">
        <v>2276</v>
      </c>
      <c r="U3366" s="21" t="s">
        <v>2276</v>
      </c>
      <c r="V3366" s="21" t="s">
        <v>2276</v>
      </c>
      <c r="W3366" s="21" t="s">
        <v>2276</v>
      </c>
      <c r="X3366" s="21" t="s">
        <v>2276</v>
      </c>
      <c r="Y3366" s="21" t="s">
        <v>2276</v>
      </c>
      <c r="Z3366" s="21" t="s">
        <v>2276</v>
      </c>
      <c r="AA3366" s="21" t="s">
        <v>2276</v>
      </c>
      <c r="AB3366" s="21" t="s">
        <v>2276</v>
      </c>
      <c r="AC3366" s="204"/>
      <c r="AD3366" s="204"/>
    </row>
    <row r="3367" spans="1:30" ht="40" customHeight="1">
      <c r="A3367" s="11" t="s">
        <v>8943</v>
      </c>
      <c r="B3367" s="11" t="s">
        <v>8955</v>
      </c>
      <c r="C3367" s="204" t="s">
        <v>2458</v>
      </c>
      <c r="D3367" s="204" t="s">
        <v>2276</v>
      </c>
      <c r="E3367" s="204" t="s">
        <v>2276</v>
      </c>
      <c r="F3367" s="204" t="s">
        <v>2276</v>
      </c>
      <c r="G3367" s="204" t="s">
        <v>28</v>
      </c>
      <c r="H3367" s="204" t="s">
        <v>523</v>
      </c>
      <c r="I3367" s="204"/>
      <c r="J3367" s="21" t="s">
        <v>2276</v>
      </c>
      <c r="K3367" s="21" t="s">
        <v>2276</v>
      </c>
      <c r="L3367" s="21" t="s">
        <v>2276</v>
      </c>
      <c r="M3367" s="21" t="s">
        <v>2276</v>
      </c>
      <c r="N3367" s="21" t="s">
        <v>2276</v>
      </c>
      <c r="O3367" s="21" t="s">
        <v>2276</v>
      </c>
      <c r="P3367" s="21" t="s">
        <v>2276</v>
      </c>
      <c r="Q3367" s="21" t="s">
        <v>2276</v>
      </c>
      <c r="R3367" s="21" t="s">
        <v>2276</v>
      </c>
      <c r="S3367" s="21" t="s">
        <v>2276</v>
      </c>
      <c r="T3367" s="21">
        <f>AVERAGE(950905, 1152413, 713770, 1320325)*0.95</f>
        <v>982635.58749999991</v>
      </c>
      <c r="U3367" s="21" t="s">
        <v>2276</v>
      </c>
      <c r="V3367" s="21" t="s">
        <v>2276</v>
      </c>
      <c r="W3367" s="21" t="s">
        <v>2276</v>
      </c>
      <c r="X3367" s="21">
        <f>T3367/'Record info'!K1400</f>
        <v>2.5146973374757198</v>
      </c>
      <c r="Y3367" s="21" t="s">
        <v>2276</v>
      </c>
      <c r="Z3367" s="21" t="s">
        <v>2276</v>
      </c>
      <c r="AA3367" s="21" t="s">
        <v>2276</v>
      </c>
      <c r="AB3367" s="21" t="s">
        <v>2276</v>
      </c>
      <c r="AC3367" s="204" t="s">
        <v>8958</v>
      </c>
      <c r="AD3367" s="204"/>
    </row>
    <row r="3368" spans="1:30" ht="34.5" customHeight="1">
      <c r="A3368" s="11" t="s">
        <v>8943</v>
      </c>
      <c r="B3368" s="11" t="s">
        <v>8956</v>
      </c>
      <c r="C3368" s="204" t="s">
        <v>2656</v>
      </c>
      <c r="D3368" s="204" t="s">
        <v>2276</v>
      </c>
      <c r="E3368" s="204" t="s">
        <v>2276</v>
      </c>
      <c r="F3368" s="204" t="s">
        <v>2276</v>
      </c>
      <c r="G3368" s="204" t="s">
        <v>28</v>
      </c>
      <c r="H3368" s="204" t="s">
        <v>523</v>
      </c>
      <c r="I3368" s="204"/>
      <c r="J3368" s="21" t="s">
        <v>2276</v>
      </c>
      <c r="K3368" s="21" t="s">
        <v>2276</v>
      </c>
      <c r="L3368" s="21" t="s">
        <v>2276</v>
      </c>
      <c r="M3368" s="21" t="s">
        <v>2276</v>
      </c>
      <c r="N3368" s="21" t="s">
        <v>2276</v>
      </c>
      <c r="O3368" s="21" t="s">
        <v>2276</v>
      </c>
      <c r="P3368" s="21" t="s">
        <v>2276</v>
      </c>
      <c r="Q3368" s="21" t="s">
        <v>2276</v>
      </c>
      <c r="R3368" s="21" t="s">
        <v>2276</v>
      </c>
      <c r="S3368" s="21" t="s">
        <v>2276</v>
      </c>
      <c r="T3368" s="21">
        <f>AVERAGE(950905, 1152413, 713770, 1320325)*0.05</f>
        <v>51717.662500000006</v>
      </c>
      <c r="U3368" s="21" t="s">
        <v>2276</v>
      </c>
      <c r="V3368" s="21" t="s">
        <v>2276</v>
      </c>
      <c r="W3368" s="21" t="s">
        <v>2276</v>
      </c>
      <c r="X3368" s="21">
        <f>T3368/'Record info'!K1400</f>
        <v>0.13235249144609054</v>
      </c>
      <c r="Y3368" s="21" t="s">
        <v>2276</v>
      </c>
      <c r="Z3368" s="21" t="s">
        <v>2276</v>
      </c>
      <c r="AA3368" s="21" t="s">
        <v>2276</v>
      </c>
      <c r="AB3368" s="21" t="s">
        <v>2276</v>
      </c>
      <c r="AC3368" s="204" t="s">
        <v>8958</v>
      </c>
      <c r="AD3368" s="204"/>
    </row>
    <row r="3369" spans="1:30" ht="32" customHeight="1">
      <c r="A3369" s="11" t="s">
        <v>8962</v>
      </c>
      <c r="B3369" s="11" t="s">
        <v>8966</v>
      </c>
      <c r="C3369" s="204" t="s">
        <v>24</v>
      </c>
      <c r="D3369" s="204" t="s">
        <v>143</v>
      </c>
      <c r="E3369" s="4" t="s">
        <v>397</v>
      </c>
      <c r="F3369" s="4" t="s">
        <v>74</v>
      </c>
      <c r="G3369" s="4" t="s">
        <v>74</v>
      </c>
      <c r="H3369" s="204" t="s">
        <v>523</v>
      </c>
      <c r="I3369" s="204"/>
      <c r="J3369" s="21" t="s">
        <v>2276</v>
      </c>
      <c r="K3369" s="21" t="s">
        <v>2276</v>
      </c>
      <c r="L3369" s="21" t="s">
        <v>2276</v>
      </c>
      <c r="M3369" s="21" t="s">
        <v>2276</v>
      </c>
      <c r="N3369" s="21" t="s">
        <v>2276</v>
      </c>
      <c r="O3369" s="21" t="s">
        <v>2276</v>
      </c>
      <c r="P3369" s="21" t="s">
        <v>2276</v>
      </c>
      <c r="Q3369" s="21" t="s">
        <v>2276</v>
      </c>
      <c r="R3369" s="21" t="s">
        <v>2276</v>
      </c>
      <c r="S3369" s="21" t="s">
        <v>2276</v>
      </c>
      <c r="T3369" s="21" t="s">
        <v>2276</v>
      </c>
      <c r="U3369" s="21" t="s">
        <v>2276</v>
      </c>
      <c r="V3369" s="21" t="s">
        <v>2276</v>
      </c>
      <c r="W3369" s="21" t="s">
        <v>2276</v>
      </c>
      <c r="X3369" s="21" t="s">
        <v>2276</v>
      </c>
      <c r="Y3369" s="21" t="s">
        <v>2276</v>
      </c>
      <c r="Z3369" s="21" t="s">
        <v>2276</v>
      </c>
      <c r="AA3369" s="21" t="s">
        <v>2276</v>
      </c>
      <c r="AB3369" s="21" t="s">
        <v>2276</v>
      </c>
      <c r="AC3369" s="204"/>
      <c r="AD3369" s="204"/>
    </row>
    <row r="3370" spans="1:30" ht="32" customHeight="1">
      <c r="A3370" s="11" t="s">
        <v>8962</v>
      </c>
      <c r="B3370" s="11" t="s">
        <v>8967</v>
      </c>
      <c r="C3370" s="204" t="s">
        <v>24</v>
      </c>
      <c r="D3370" s="204" t="s">
        <v>143</v>
      </c>
      <c r="E3370" s="204" t="s">
        <v>45</v>
      </c>
      <c r="F3370" s="4" t="s">
        <v>74</v>
      </c>
      <c r="G3370" s="4" t="s">
        <v>74</v>
      </c>
      <c r="H3370" s="204" t="s">
        <v>523</v>
      </c>
      <c r="I3370" s="204"/>
      <c r="J3370" s="21" t="s">
        <v>2276</v>
      </c>
      <c r="K3370" s="21" t="s">
        <v>2276</v>
      </c>
      <c r="L3370" s="21" t="s">
        <v>2276</v>
      </c>
      <c r="M3370" s="21" t="s">
        <v>2276</v>
      </c>
      <c r="N3370" s="21" t="s">
        <v>2276</v>
      </c>
      <c r="O3370" s="21" t="s">
        <v>2276</v>
      </c>
      <c r="P3370" s="21" t="s">
        <v>2276</v>
      </c>
      <c r="Q3370" s="21" t="s">
        <v>2276</v>
      </c>
      <c r="R3370" s="21" t="s">
        <v>2276</v>
      </c>
      <c r="S3370" s="21" t="s">
        <v>2276</v>
      </c>
      <c r="T3370" s="21" t="s">
        <v>2276</v>
      </c>
      <c r="U3370" s="21" t="s">
        <v>2276</v>
      </c>
      <c r="V3370" s="21" t="s">
        <v>2276</v>
      </c>
      <c r="W3370" s="21" t="s">
        <v>2276</v>
      </c>
      <c r="X3370" s="21" t="s">
        <v>2276</v>
      </c>
      <c r="Y3370" s="21" t="s">
        <v>2276</v>
      </c>
      <c r="Z3370" s="21" t="s">
        <v>2276</v>
      </c>
      <c r="AA3370" s="21" t="s">
        <v>2276</v>
      </c>
      <c r="AB3370" s="21" t="s">
        <v>2276</v>
      </c>
      <c r="AC3370" s="204"/>
      <c r="AD3370" s="204"/>
    </row>
    <row r="3371" spans="1:30" ht="38" customHeight="1">
      <c r="A3371" s="19" t="s">
        <v>8969</v>
      </c>
      <c r="B3371" s="19" t="s">
        <v>8972</v>
      </c>
      <c r="C3371" s="4" t="s">
        <v>24</v>
      </c>
      <c r="D3371" s="4" t="s">
        <v>27</v>
      </c>
      <c r="E3371" s="4" t="s">
        <v>397</v>
      </c>
      <c r="F3371" s="4" t="s">
        <v>28</v>
      </c>
      <c r="G3371" s="4" t="s">
        <v>2276</v>
      </c>
      <c r="H3371" s="4" t="s">
        <v>523</v>
      </c>
      <c r="I3371" s="204"/>
      <c r="J3371" s="21" t="s">
        <v>2276</v>
      </c>
      <c r="K3371" s="21" t="s">
        <v>2276</v>
      </c>
      <c r="L3371" s="21" t="s">
        <v>2276</v>
      </c>
      <c r="M3371" s="21" t="s">
        <v>2276</v>
      </c>
      <c r="N3371" s="21" t="s">
        <v>2276</v>
      </c>
      <c r="O3371" s="21" t="s">
        <v>2276</v>
      </c>
      <c r="P3371" s="21" t="s">
        <v>2276</v>
      </c>
      <c r="Q3371" s="21" t="s">
        <v>2276</v>
      </c>
      <c r="R3371" s="21" t="s">
        <v>2276</v>
      </c>
      <c r="S3371" s="21" t="s">
        <v>2276</v>
      </c>
      <c r="T3371" s="21" t="s">
        <v>2276</v>
      </c>
      <c r="U3371" s="21" t="s">
        <v>2276</v>
      </c>
      <c r="V3371" s="21" t="s">
        <v>2276</v>
      </c>
      <c r="W3371" s="21" t="s">
        <v>2276</v>
      </c>
      <c r="X3371" s="21" t="s">
        <v>2276</v>
      </c>
      <c r="Y3371" s="21" t="s">
        <v>2276</v>
      </c>
      <c r="Z3371" s="21" t="s">
        <v>2276</v>
      </c>
      <c r="AA3371" s="21" t="s">
        <v>2276</v>
      </c>
      <c r="AB3371" s="21" t="s">
        <v>2276</v>
      </c>
      <c r="AC3371" s="204"/>
      <c r="AD3371" s="204"/>
    </row>
    <row r="3372" spans="1:30" ht="39.5" customHeight="1">
      <c r="A3372" s="19" t="s">
        <v>8969</v>
      </c>
      <c r="B3372" s="19" t="s">
        <v>8973</v>
      </c>
      <c r="C3372" s="4" t="s">
        <v>24</v>
      </c>
      <c r="D3372" s="4" t="s">
        <v>27</v>
      </c>
      <c r="E3372" s="4" t="s">
        <v>396</v>
      </c>
      <c r="F3372" s="4" t="s">
        <v>28</v>
      </c>
      <c r="G3372" s="4" t="s">
        <v>2276</v>
      </c>
      <c r="H3372" s="4" t="s">
        <v>523</v>
      </c>
      <c r="I3372" s="204"/>
      <c r="J3372" s="21" t="s">
        <v>2276</v>
      </c>
      <c r="K3372" s="21" t="s">
        <v>2276</v>
      </c>
      <c r="L3372" s="21" t="s">
        <v>2276</v>
      </c>
      <c r="M3372" s="21" t="s">
        <v>2276</v>
      </c>
      <c r="N3372" s="21" t="s">
        <v>2276</v>
      </c>
      <c r="O3372" s="21" t="s">
        <v>2276</v>
      </c>
      <c r="P3372" s="21" t="s">
        <v>2276</v>
      </c>
      <c r="Q3372" s="21" t="s">
        <v>2276</v>
      </c>
      <c r="R3372" s="21" t="s">
        <v>2276</v>
      </c>
      <c r="S3372" s="21" t="s">
        <v>2276</v>
      </c>
      <c r="T3372" s="21" t="s">
        <v>2276</v>
      </c>
      <c r="U3372" s="21" t="s">
        <v>2276</v>
      </c>
      <c r="V3372" s="21" t="s">
        <v>2276</v>
      </c>
      <c r="W3372" s="21" t="s">
        <v>2276</v>
      </c>
      <c r="X3372" s="21" t="s">
        <v>2276</v>
      </c>
      <c r="Y3372" s="21" t="s">
        <v>2276</v>
      </c>
      <c r="Z3372" s="21" t="s">
        <v>2276</v>
      </c>
      <c r="AA3372" s="21" t="s">
        <v>2276</v>
      </c>
      <c r="AB3372" s="21" t="s">
        <v>2276</v>
      </c>
      <c r="AC3372" s="204"/>
      <c r="AD3372" s="204"/>
    </row>
    <row r="3373" spans="1:30" ht="32" customHeight="1">
      <c r="A3373" s="19" t="s">
        <v>8969</v>
      </c>
      <c r="B3373" s="19" t="s">
        <v>8974</v>
      </c>
      <c r="C3373" s="4" t="s">
        <v>24</v>
      </c>
      <c r="D3373" s="4" t="s">
        <v>27</v>
      </c>
      <c r="E3373" s="4" t="s">
        <v>130</v>
      </c>
      <c r="F3373" s="4" t="s">
        <v>160</v>
      </c>
      <c r="G3373" s="4" t="s">
        <v>2276</v>
      </c>
      <c r="H3373" s="4" t="s">
        <v>523</v>
      </c>
      <c r="I3373" s="204"/>
      <c r="J3373" s="21" t="s">
        <v>2276</v>
      </c>
      <c r="K3373" s="21" t="s">
        <v>2276</v>
      </c>
      <c r="L3373" s="21" t="s">
        <v>2276</v>
      </c>
      <c r="M3373" s="21" t="s">
        <v>2276</v>
      </c>
      <c r="N3373" s="21" t="s">
        <v>2276</v>
      </c>
      <c r="O3373" s="21" t="s">
        <v>2276</v>
      </c>
      <c r="P3373" s="21" t="s">
        <v>2276</v>
      </c>
      <c r="Q3373" s="21" t="s">
        <v>2276</v>
      </c>
      <c r="R3373" s="21" t="s">
        <v>2276</v>
      </c>
      <c r="S3373" s="21" t="s">
        <v>2276</v>
      </c>
      <c r="T3373" s="21" t="s">
        <v>2276</v>
      </c>
      <c r="U3373" s="21" t="s">
        <v>2276</v>
      </c>
      <c r="V3373" s="21" t="s">
        <v>2276</v>
      </c>
      <c r="W3373" s="21" t="s">
        <v>2276</v>
      </c>
      <c r="X3373" s="21" t="s">
        <v>2276</v>
      </c>
      <c r="Y3373" s="21" t="s">
        <v>2276</v>
      </c>
      <c r="Z3373" s="21" t="s">
        <v>2276</v>
      </c>
      <c r="AA3373" s="21" t="s">
        <v>2276</v>
      </c>
      <c r="AB3373" s="21" t="s">
        <v>2276</v>
      </c>
      <c r="AC3373" s="204"/>
      <c r="AD3373" s="204"/>
    </row>
    <row r="3374" spans="1:30" ht="39" customHeight="1">
      <c r="A3374" s="19" t="s">
        <v>8969</v>
      </c>
      <c r="B3374" s="19" t="s">
        <v>8975</v>
      </c>
      <c r="C3374" s="4" t="s">
        <v>24</v>
      </c>
      <c r="D3374" s="4" t="s">
        <v>25</v>
      </c>
      <c r="E3374" s="4" t="s">
        <v>45</v>
      </c>
      <c r="F3374" s="4" t="s">
        <v>29</v>
      </c>
      <c r="G3374" s="4" t="s">
        <v>2276</v>
      </c>
      <c r="H3374" s="4" t="s">
        <v>523</v>
      </c>
      <c r="I3374" s="204"/>
      <c r="J3374" s="21" t="s">
        <v>2276</v>
      </c>
      <c r="K3374" s="21" t="s">
        <v>2276</v>
      </c>
      <c r="L3374" s="21" t="s">
        <v>2276</v>
      </c>
      <c r="M3374" s="21" t="s">
        <v>2276</v>
      </c>
      <c r="N3374" s="21" t="s">
        <v>2276</v>
      </c>
      <c r="O3374" s="21" t="s">
        <v>2276</v>
      </c>
      <c r="P3374" s="21" t="s">
        <v>2276</v>
      </c>
      <c r="Q3374" s="21" t="s">
        <v>2276</v>
      </c>
      <c r="R3374" s="21" t="s">
        <v>2276</v>
      </c>
      <c r="S3374" s="21" t="s">
        <v>2276</v>
      </c>
      <c r="T3374" s="21" t="s">
        <v>2276</v>
      </c>
      <c r="U3374" s="21" t="s">
        <v>2276</v>
      </c>
      <c r="V3374" s="21" t="s">
        <v>2276</v>
      </c>
      <c r="W3374" s="21" t="s">
        <v>2276</v>
      </c>
      <c r="X3374" s="21" t="s">
        <v>2276</v>
      </c>
      <c r="Y3374" s="21" t="s">
        <v>2276</v>
      </c>
      <c r="Z3374" s="21" t="s">
        <v>2276</v>
      </c>
      <c r="AA3374" s="21" t="s">
        <v>2276</v>
      </c>
      <c r="AB3374" s="21" t="s">
        <v>2276</v>
      </c>
      <c r="AC3374" s="204"/>
      <c r="AD3374" s="204"/>
    </row>
    <row r="3375" spans="1:30" ht="35.5" customHeight="1">
      <c r="A3375" s="19" t="s">
        <v>8976</v>
      </c>
      <c r="B3375" s="19" t="s">
        <v>8979</v>
      </c>
      <c r="C3375" s="4" t="s">
        <v>24</v>
      </c>
      <c r="D3375" s="4" t="s">
        <v>2276</v>
      </c>
      <c r="E3375" s="4" t="s">
        <v>45</v>
      </c>
      <c r="F3375" s="4" t="s">
        <v>55</v>
      </c>
      <c r="G3375" s="4" t="s">
        <v>2276</v>
      </c>
      <c r="H3375" s="4" t="s">
        <v>523</v>
      </c>
      <c r="I3375" s="204"/>
      <c r="J3375" s="21" t="s">
        <v>2276</v>
      </c>
      <c r="K3375" s="21" t="s">
        <v>2276</v>
      </c>
      <c r="L3375" s="21" t="s">
        <v>2276</v>
      </c>
      <c r="M3375" s="21" t="s">
        <v>2276</v>
      </c>
      <c r="N3375" s="21" t="s">
        <v>2276</v>
      </c>
      <c r="O3375" s="21" t="s">
        <v>2276</v>
      </c>
      <c r="P3375" s="21" t="s">
        <v>2276</v>
      </c>
      <c r="Q3375" s="21" t="s">
        <v>2276</v>
      </c>
      <c r="R3375" s="21" t="s">
        <v>2276</v>
      </c>
      <c r="S3375" s="21" t="s">
        <v>2276</v>
      </c>
      <c r="T3375" s="21" t="s">
        <v>2276</v>
      </c>
      <c r="U3375" s="21" t="s">
        <v>2276</v>
      </c>
      <c r="V3375" s="21" t="s">
        <v>2276</v>
      </c>
      <c r="W3375" s="21" t="s">
        <v>2276</v>
      </c>
      <c r="X3375" s="21" t="s">
        <v>2276</v>
      </c>
      <c r="Y3375" s="21" t="s">
        <v>2276</v>
      </c>
      <c r="Z3375" s="21" t="s">
        <v>2276</v>
      </c>
      <c r="AA3375" s="21" t="s">
        <v>2276</v>
      </c>
      <c r="AB3375" s="21" t="s">
        <v>2276</v>
      </c>
      <c r="AC3375" s="204"/>
      <c r="AD3375" s="204"/>
    </row>
    <row r="3376" spans="1:30" ht="35.5" customHeight="1">
      <c r="A3376" s="19" t="s">
        <v>8976</v>
      </c>
      <c r="B3376" s="19" t="s">
        <v>8980</v>
      </c>
      <c r="C3376" s="204" t="s">
        <v>2458</v>
      </c>
      <c r="D3376" s="4" t="s">
        <v>2276</v>
      </c>
      <c r="E3376" s="4" t="s">
        <v>45</v>
      </c>
      <c r="F3376" s="4" t="s">
        <v>55</v>
      </c>
      <c r="G3376" s="4" t="s">
        <v>160</v>
      </c>
      <c r="H3376" s="4" t="s">
        <v>523</v>
      </c>
      <c r="I3376" s="204"/>
      <c r="J3376" s="21" t="s">
        <v>2276</v>
      </c>
      <c r="K3376" s="21" t="s">
        <v>2276</v>
      </c>
      <c r="L3376" s="21" t="s">
        <v>2276</v>
      </c>
      <c r="M3376" s="21" t="s">
        <v>2276</v>
      </c>
      <c r="N3376" s="21" t="s">
        <v>2276</v>
      </c>
      <c r="O3376" s="21" t="s">
        <v>2276</v>
      </c>
      <c r="P3376" s="21" t="s">
        <v>2276</v>
      </c>
      <c r="Q3376" s="21" t="s">
        <v>2276</v>
      </c>
      <c r="R3376" s="21" t="s">
        <v>2276</v>
      </c>
      <c r="S3376" s="21" t="s">
        <v>2276</v>
      </c>
      <c r="T3376" s="21" t="s">
        <v>2276</v>
      </c>
      <c r="U3376" s="21" t="s">
        <v>2276</v>
      </c>
      <c r="V3376" s="21" t="s">
        <v>2276</v>
      </c>
      <c r="W3376" s="21" t="s">
        <v>2276</v>
      </c>
      <c r="X3376" s="21" t="s">
        <v>2276</v>
      </c>
      <c r="Y3376" s="21" t="s">
        <v>2276</v>
      </c>
      <c r="Z3376" s="21" t="s">
        <v>2276</v>
      </c>
      <c r="AA3376" s="21" t="s">
        <v>2276</v>
      </c>
      <c r="AB3376" s="21" t="s">
        <v>2276</v>
      </c>
      <c r="AC3376" s="204"/>
      <c r="AD3376" s="204"/>
    </row>
    <row r="3377" spans="1:30" ht="42" customHeight="1">
      <c r="A3377" s="19" t="s">
        <v>8984</v>
      </c>
      <c r="B3377" s="19" t="s">
        <v>8989</v>
      </c>
      <c r="C3377" s="4" t="s">
        <v>24</v>
      </c>
      <c r="D3377" s="204" t="s">
        <v>1245</v>
      </c>
      <c r="E3377" s="204" t="s">
        <v>116</v>
      </c>
      <c r="F3377" s="4" t="s">
        <v>2662</v>
      </c>
      <c r="G3377" s="4" t="s">
        <v>2662</v>
      </c>
      <c r="H3377" s="4" t="s">
        <v>523</v>
      </c>
      <c r="I3377" s="204">
        <v>2007</v>
      </c>
      <c r="J3377" s="21" t="s">
        <v>2276</v>
      </c>
      <c r="K3377" s="21" t="s">
        <v>2276</v>
      </c>
      <c r="L3377" s="21" t="s">
        <v>2276</v>
      </c>
      <c r="M3377" s="21" t="s">
        <v>2276</v>
      </c>
      <c r="N3377" s="21" t="s">
        <v>2276</v>
      </c>
      <c r="O3377" s="21" t="s">
        <v>2276</v>
      </c>
      <c r="P3377" s="21" t="s">
        <v>2276</v>
      </c>
      <c r="Q3377" s="21" t="s">
        <v>2276</v>
      </c>
      <c r="R3377" s="21" t="s">
        <v>2276</v>
      </c>
      <c r="S3377" s="21" t="s">
        <v>2276</v>
      </c>
      <c r="T3377" s="21">
        <f>'Record info'!K1404*'Reported burning'!X3377</f>
        <v>110450.3345</v>
      </c>
      <c r="U3377" s="21" t="s">
        <v>2276</v>
      </c>
      <c r="V3377" s="21">
        <f>(42.5+35.2*2+0.6*3+4.9*4)/4</f>
        <v>33.575000000000003</v>
      </c>
      <c r="W3377" s="21" t="s">
        <v>2276</v>
      </c>
      <c r="X3377" s="21">
        <f>(42.5+35.2*2+0.6*3+4.9*4)/4</f>
        <v>33.575000000000003</v>
      </c>
      <c r="Y3377" s="21" t="s">
        <v>2276</v>
      </c>
      <c r="Z3377" s="21" t="s">
        <v>2276</v>
      </c>
      <c r="AA3377" s="21" t="s">
        <v>2276</v>
      </c>
      <c r="AB3377" s="21" t="s">
        <v>2276</v>
      </c>
      <c r="AC3377" s="204"/>
      <c r="AD3377" s="204"/>
    </row>
    <row r="3378" spans="1:30" ht="39" customHeight="1">
      <c r="A3378" s="11" t="s">
        <v>8993</v>
      </c>
      <c r="B3378" s="11" t="s">
        <v>9011</v>
      </c>
      <c r="C3378" s="4" t="s">
        <v>24</v>
      </c>
      <c r="D3378" s="204" t="s">
        <v>2659</v>
      </c>
      <c r="E3378" s="204" t="s">
        <v>1105</v>
      </c>
      <c r="F3378" s="4" t="s">
        <v>28</v>
      </c>
      <c r="G3378" s="204" t="s">
        <v>28</v>
      </c>
      <c r="H3378" s="4" t="s">
        <v>523</v>
      </c>
      <c r="I3378" s="204"/>
      <c r="J3378" s="21" t="s">
        <v>2276</v>
      </c>
      <c r="K3378" s="21" t="s">
        <v>2276</v>
      </c>
      <c r="L3378" s="21" t="s">
        <v>2276</v>
      </c>
      <c r="M3378" s="21" t="s">
        <v>2276</v>
      </c>
      <c r="N3378" s="21" t="s">
        <v>2276</v>
      </c>
      <c r="O3378" s="21" t="s">
        <v>2276</v>
      </c>
      <c r="P3378" s="21" t="s">
        <v>2276</v>
      </c>
      <c r="Q3378" s="21" t="s">
        <v>2276</v>
      </c>
      <c r="R3378" s="21" t="s">
        <v>2276</v>
      </c>
      <c r="S3378" s="21" t="s">
        <v>2276</v>
      </c>
      <c r="T3378" s="21">
        <f>'Record info'!K$1406*X3378</f>
        <v>132753.78</v>
      </c>
      <c r="U3378" s="21" t="s">
        <v>2276</v>
      </c>
      <c r="V3378" s="21">
        <f>62*0.111</f>
        <v>6.8819999999999997</v>
      </c>
      <c r="W3378" s="21" t="s">
        <v>2276</v>
      </c>
      <c r="X3378" s="21">
        <f>V3378</f>
        <v>6.8819999999999997</v>
      </c>
      <c r="Y3378" s="21" t="s">
        <v>2276</v>
      </c>
      <c r="Z3378" s="204" t="s">
        <v>86</v>
      </c>
      <c r="AA3378" s="204" t="s">
        <v>86</v>
      </c>
      <c r="AB3378" s="21" t="s">
        <v>2276</v>
      </c>
      <c r="AC3378" s="21"/>
      <c r="AD3378" s="21"/>
    </row>
    <row r="3379" spans="1:30" ht="39" customHeight="1">
      <c r="A3379" s="11" t="s">
        <v>8993</v>
      </c>
      <c r="B3379" s="11" t="s">
        <v>9020</v>
      </c>
      <c r="C3379" s="4" t="s">
        <v>24</v>
      </c>
      <c r="D3379" s="204" t="s">
        <v>2659</v>
      </c>
      <c r="E3379" s="204" t="s">
        <v>1105</v>
      </c>
      <c r="F3379" s="4" t="s">
        <v>28</v>
      </c>
      <c r="G3379" s="204" t="s">
        <v>28</v>
      </c>
      <c r="H3379" s="4" t="s">
        <v>523</v>
      </c>
      <c r="I3379" s="204"/>
      <c r="J3379" s="21" t="s">
        <v>2276</v>
      </c>
      <c r="K3379" s="21" t="s">
        <v>2276</v>
      </c>
      <c r="L3379" s="21" t="s">
        <v>2276</v>
      </c>
      <c r="M3379" s="21" t="s">
        <v>2276</v>
      </c>
      <c r="N3379" s="21" t="s">
        <v>2276</v>
      </c>
      <c r="O3379" s="21" t="s">
        <v>2276</v>
      </c>
      <c r="P3379" s="21" t="s">
        <v>2276</v>
      </c>
      <c r="Q3379" s="21" t="s">
        <v>2276</v>
      </c>
      <c r="R3379" s="21" t="s">
        <v>2276</v>
      </c>
      <c r="S3379" s="21" t="s">
        <v>2276</v>
      </c>
      <c r="T3379" s="21">
        <f>'Record info'!K$1406*X3379</f>
        <v>66974.880000000005</v>
      </c>
      <c r="U3379" s="21" t="s">
        <v>2276</v>
      </c>
      <c r="V3379" s="21">
        <f>62*0.056</f>
        <v>3.472</v>
      </c>
      <c r="W3379" s="21" t="s">
        <v>2276</v>
      </c>
      <c r="X3379" s="21">
        <f t="shared" ref="X3379:X3389" si="7">V3379</f>
        <v>3.472</v>
      </c>
      <c r="Y3379" s="21" t="s">
        <v>2276</v>
      </c>
      <c r="Z3379" s="204" t="s">
        <v>34</v>
      </c>
      <c r="AA3379" s="204" t="s">
        <v>34</v>
      </c>
      <c r="AB3379" s="21" t="s">
        <v>2276</v>
      </c>
      <c r="AC3379" s="21"/>
      <c r="AD3379" s="21"/>
    </row>
    <row r="3380" spans="1:30" ht="39" customHeight="1">
      <c r="A3380" s="11" t="s">
        <v>8993</v>
      </c>
      <c r="B3380" s="11" t="s">
        <v>9021</v>
      </c>
      <c r="C3380" s="4" t="s">
        <v>24</v>
      </c>
      <c r="D3380" s="204" t="s">
        <v>2659</v>
      </c>
      <c r="E3380" s="204" t="s">
        <v>1105</v>
      </c>
      <c r="F3380" s="4" t="s">
        <v>28</v>
      </c>
      <c r="G3380" s="204" t="s">
        <v>28</v>
      </c>
      <c r="H3380" s="4" t="s">
        <v>523</v>
      </c>
      <c r="I3380" s="204"/>
      <c r="J3380" s="21" t="s">
        <v>2276</v>
      </c>
      <c r="K3380" s="21" t="s">
        <v>2276</v>
      </c>
      <c r="L3380" s="21" t="s">
        <v>2276</v>
      </c>
      <c r="M3380" s="21" t="s">
        <v>2276</v>
      </c>
      <c r="N3380" s="21" t="s">
        <v>2276</v>
      </c>
      <c r="O3380" s="21" t="s">
        <v>2276</v>
      </c>
      <c r="P3380" s="21" t="s">
        <v>2276</v>
      </c>
      <c r="Q3380" s="21" t="s">
        <v>2276</v>
      </c>
      <c r="R3380" s="21" t="s">
        <v>2276</v>
      </c>
      <c r="S3380" s="21" t="s">
        <v>2276</v>
      </c>
      <c r="T3380" s="21">
        <f>'Record info'!K$1406*X3380</f>
        <v>106442.22</v>
      </c>
      <c r="U3380" s="21" t="s">
        <v>2276</v>
      </c>
      <c r="V3380" s="21">
        <f>62*0.089</f>
        <v>5.5179999999999998</v>
      </c>
      <c r="W3380" s="21" t="s">
        <v>2276</v>
      </c>
      <c r="X3380" s="21">
        <f t="shared" si="7"/>
        <v>5.5179999999999998</v>
      </c>
      <c r="Y3380" s="21" t="s">
        <v>2276</v>
      </c>
      <c r="Z3380" s="204" t="s">
        <v>404</v>
      </c>
      <c r="AA3380" s="204" t="s">
        <v>404</v>
      </c>
      <c r="AB3380" s="21" t="s">
        <v>2276</v>
      </c>
      <c r="AC3380" s="21"/>
      <c r="AD3380" s="21"/>
    </row>
    <row r="3381" spans="1:30" ht="39" customHeight="1">
      <c r="A3381" s="11" t="s">
        <v>8993</v>
      </c>
      <c r="B3381" s="11" t="s">
        <v>9022</v>
      </c>
      <c r="C3381" s="4" t="s">
        <v>24</v>
      </c>
      <c r="D3381" s="204" t="s">
        <v>2659</v>
      </c>
      <c r="E3381" s="204" t="s">
        <v>1105</v>
      </c>
      <c r="F3381" s="4" t="s">
        <v>28</v>
      </c>
      <c r="G3381" s="204" t="s">
        <v>28</v>
      </c>
      <c r="H3381" s="4" t="s">
        <v>523</v>
      </c>
      <c r="I3381" s="204"/>
      <c r="J3381" s="21" t="s">
        <v>2276</v>
      </c>
      <c r="K3381" s="21" t="s">
        <v>2276</v>
      </c>
      <c r="L3381" s="21" t="s">
        <v>2276</v>
      </c>
      <c r="M3381" s="21" t="s">
        <v>2276</v>
      </c>
      <c r="N3381" s="21" t="s">
        <v>2276</v>
      </c>
      <c r="O3381" s="21" t="s">
        <v>2276</v>
      </c>
      <c r="P3381" s="21" t="s">
        <v>2276</v>
      </c>
      <c r="Q3381" s="21" t="s">
        <v>2276</v>
      </c>
      <c r="R3381" s="21" t="s">
        <v>2276</v>
      </c>
      <c r="S3381" s="21" t="s">
        <v>2276</v>
      </c>
      <c r="T3381" s="21">
        <f>'Record info'!K$1406*X3381</f>
        <v>34683.42</v>
      </c>
      <c r="U3381" s="21" t="s">
        <v>2276</v>
      </c>
      <c r="V3381" s="21">
        <f>62*0.029</f>
        <v>1.798</v>
      </c>
      <c r="W3381" s="21" t="s">
        <v>2276</v>
      </c>
      <c r="X3381" s="21">
        <f t="shared" si="7"/>
        <v>1.798</v>
      </c>
      <c r="Y3381" s="21" t="s">
        <v>2276</v>
      </c>
      <c r="Z3381" s="204" t="s">
        <v>405</v>
      </c>
      <c r="AA3381" s="204" t="s">
        <v>405</v>
      </c>
      <c r="AB3381" s="21" t="s">
        <v>2276</v>
      </c>
      <c r="AC3381" s="21"/>
      <c r="AD3381" s="21"/>
    </row>
    <row r="3382" spans="1:30" ht="39" customHeight="1">
      <c r="A3382" s="11" t="s">
        <v>8993</v>
      </c>
      <c r="B3382" s="11" t="s">
        <v>9023</v>
      </c>
      <c r="C3382" s="4" t="s">
        <v>24</v>
      </c>
      <c r="D3382" s="204" t="s">
        <v>2659</v>
      </c>
      <c r="E3382" s="204" t="s">
        <v>1105</v>
      </c>
      <c r="F3382" s="4" t="s">
        <v>28</v>
      </c>
      <c r="G3382" s="204" t="s">
        <v>28</v>
      </c>
      <c r="H3382" s="4" t="s">
        <v>523</v>
      </c>
      <c r="I3382" s="204"/>
      <c r="J3382" s="21" t="s">
        <v>2276</v>
      </c>
      <c r="K3382" s="21" t="s">
        <v>2276</v>
      </c>
      <c r="L3382" s="21" t="s">
        <v>2276</v>
      </c>
      <c r="M3382" s="21" t="s">
        <v>2276</v>
      </c>
      <c r="N3382" s="21" t="s">
        <v>2276</v>
      </c>
      <c r="O3382" s="21" t="s">
        <v>2276</v>
      </c>
      <c r="P3382" s="21" t="s">
        <v>2276</v>
      </c>
      <c r="Q3382" s="21" t="s">
        <v>2276</v>
      </c>
      <c r="R3382" s="21" t="s">
        <v>2276</v>
      </c>
      <c r="S3382" s="21" t="s">
        <v>2276</v>
      </c>
      <c r="T3382" s="21">
        <f>'Record info'!K$1406*X3382</f>
        <v>15547.739999999998</v>
      </c>
      <c r="U3382" s="21" t="s">
        <v>2276</v>
      </c>
      <c r="V3382" s="21">
        <f>62*0.013</f>
        <v>0.80599999999999994</v>
      </c>
      <c r="W3382" s="21" t="s">
        <v>2276</v>
      </c>
      <c r="X3382" s="21">
        <f t="shared" si="7"/>
        <v>0.80599999999999994</v>
      </c>
      <c r="Y3382" s="21" t="s">
        <v>2276</v>
      </c>
      <c r="Z3382" s="204" t="s">
        <v>425</v>
      </c>
      <c r="AA3382" s="204" t="s">
        <v>425</v>
      </c>
      <c r="AB3382" s="21" t="s">
        <v>2276</v>
      </c>
      <c r="AC3382" s="21"/>
      <c r="AD3382" s="21"/>
    </row>
    <row r="3383" spans="1:30" ht="39" customHeight="1">
      <c r="A3383" s="11" t="s">
        <v>8993</v>
      </c>
      <c r="B3383" s="11" t="s">
        <v>9024</v>
      </c>
      <c r="C3383" s="4" t="s">
        <v>24</v>
      </c>
      <c r="D3383" s="204" t="s">
        <v>2659</v>
      </c>
      <c r="E3383" s="204" t="s">
        <v>1105</v>
      </c>
      <c r="F3383" s="4" t="s">
        <v>28</v>
      </c>
      <c r="G3383" s="204" t="s">
        <v>28</v>
      </c>
      <c r="H3383" s="4" t="s">
        <v>523</v>
      </c>
      <c r="I3383" s="204"/>
      <c r="J3383" s="21" t="s">
        <v>2276</v>
      </c>
      <c r="K3383" s="21" t="s">
        <v>2276</v>
      </c>
      <c r="L3383" s="21" t="s">
        <v>2276</v>
      </c>
      <c r="M3383" s="21" t="s">
        <v>2276</v>
      </c>
      <c r="N3383" s="21" t="s">
        <v>2276</v>
      </c>
      <c r="O3383" s="21" t="s">
        <v>2276</v>
      </c>
      <c r="P3383" s="21" t="s">
        <v>2276</v>
      </c>
      <c r="Q3383" s="21" t="s">
        <v>2276</v>
      </c>
      <c r="R3383" s="21" t="s">
        <v>2276</v>
      </c>
      <c r="S3383" s="21" t="s">
        <v>2276</v>
      </c>
      <c r="T3383" s="21">
        <f>'Record info'!K$1406*X3383</f>
        <v>47839.199999999997</v>
      </c>
      <c r="U3383" s="21" t="s">
        <v>2276</v>
      </c>
      <c r="V3383" s="21">
        <f>62*0.04</f>
        <v>2.48</v>
      </c>
      <c r="W3383" s="21" t="s">
        <v>2276</v>
      </c>
      <c r="X3383" s="21">
        <f t="shared" si="7"/>
        <v>2.48</v>
      </c>
      <c r="Y3383" s="21" t="s">
        <v>2276</v>
      </c>
      <c r="Z3383" s="204" t="s">
        <v>68</v>
      </c>
      <c r="AA3383" s="204" t="s">
        <v>68</v>
      </c>
      <c r="AB3383" s="21" t="s">
        <v>2276</v>
      </c>
      <c r="AC3383" s="21"/>
      <c r="AD3383" s="21"/>
    </row>
    <row r="3384" spans="1:30" ht="39" customHeight="1">
      <c r="A3384" s="11" t="s">
        <v>8993</v>
      </c>
      <c r="B3384" s="11" t="s">
        <v>9025</v>
      </c>
      <c r="C3384" s="4" t="s">
        <v>24</v>
      </c>
      <c r="D3384" s="204" t="s">
        <v>2659</v>
      </c>
      <c r="E3384" s="204" t="s">
        <v>1105</v>
      </c>
      <c r="F3384" s="4" t="s">
        <v>28</v>
      </c>
      <c r="G3384" s="204" t="s">
        <v>28</v>
      </c>
      <c r="H3384" s="4" t="s">
        <v>523</v>
      </c>
      <c r="I3384" s="204"/>
      <c r="J3384" s="21" t="s">
        <v>2276</v>
      </c>
      <c r="K3384" s="21" t="s">
        <v>2276</v>
      </c>
      <c r="L3384" s="21" t="s">
        <v>2276</v>
      </c>
      <c r="M3384" s="21" t="s">
        <v>2276</v>
      </c>
      <c r="N3384" s="21" t="s">
        <v>2276</v>
      </c>
      <c r="O3384" s="21" t="s">
        <v>2276</v>
      </c>
      <c r="P3384" s="21" t="s">
        <v>2276</v>
      </c>
      <c r="Q3384" s="21" t="s">
        <v>2276</v>
      </c>
      <c r="R3384" s="21" t="s">
        <v>2276</v>
      </c>
      <c r="S3384" s="21" t="s">
        <v>2276</v>
      </c>
      <c r="T3384" s="21">
        <f>'Record info'!K$1406*X3384</f>
        <v>93286.44</v>
      </c>
      <c r="U3384" s="21" t="s">
        <v>2276</v>
      </c>
      <c r="V3384" s="21">
        <f>62*0.078</f>
        <v>4.8360000000000003</v>
      </c>
      <c r="W3384" s="21" t="s">
        <v>2276</v>
      </c>
      <c r="X3384" s="21">
        <f t="shared" si="7"/>
        <v>4.8360000000000003</v>
      </c>
      <c r="Y3384" s="21" t="s">
        <v>2276</v>
      </c>
      <c r="Z3384" s="204" t="s">
        <v>35</v>
      </c>
      <c r="AA3384" s="204" t="s">
        <v>35</v>
      </c>
      <c r="AB3384" s="21" t="s">
        <v>2276</v>
      </c>
      <c r="AC3384" s="21"/>
      <c r="AD3384" s="21"/>
    </row>
    <row r="3385" spans="1:30" ht="39" customHeight="1">
      <c r="A3385" s="11" t="s">
        <v>8993</v>
      </c>
      <c r="B3385" s="11" t="s">
        <v>9026</v>
      </c>
      <c r="C3385" s="4" t="s">
        <v>24</v>
      </c>
      <c r="D3385" s="204" t="s">
        <v>2659</v>
      </c>
      <c r="E3385" s="204" t="s">
        <v>1105</v>
      </c>
      <c r="F3385" s="4" t="s">
        <v>28</v>
      </c>
      <c r="G3385" s="204" t="s">
        <v>28</v>
      </c>
      <c r="H3385" s="4" t="s">
        <v>523</v>
      </c>
      <c r="I3385" s="204"/>
      <c r="J3385" s="21" t="s">
        <v>2276</v>
      </c>
      <c r="K3385" s="21" t="s">
        <v>2276</v>
      </c>
      <c r="L3385" s="21" t="s">
        <v>2276</v>
      </c>
      <c r="M3385" s="21" t="s">
        <v>2276</v>
      </c>
      <c r="N3385" s="21" t="s">
        <v>2276</v>
      </c>
      <c r="O3385" s="21" t="s">
        <v>2276</v>
      </c>
      <c r="P3385" s="21" t="s">
        <v>2276</v>
      </c>
      <c r="Q3385" s="21" t="s">
        <v>2276</v>
      </c>
      <c r="R3385" s="21" t="s">
        <v>2276</v>
      </c>
      <c r="S3385" s="21" t="s">
        <v>2276</v>
      </c>
      <c r="T3385" s="21">
        <f>'Record info'!K$1406*X3385</f>
        <v>223648.25999999998</v>
      </c>
      <c r="U3385" s="21" t="s">
        <v>2276</v>
      </c>
      <c r="V3385" s="21">
        <f>62*0.187</f>
        <v>11.593999999999999</v>
      </c>
      <c r="W3385" s="21" t="s">
        <v>2276</v>
      </c>
      <c r="X3385" s="21">
        <f t="shared" si="7"/>
        <v>11.593999999999999</v>
      </c>
      <c r="Y3385" s="21" t="s">
        <v>2276</v>
      </c>
      <c r="Z3385" s="204" t="s">
        <v>127</v>
      </c>
      <c r="AA3385" s="204" t="s">
        <v>127</v>
      </c>
      <c r="AB3385" s="21" t="s">
        <v>2276</v>
      </c>
      <c r="AC3385" s="21"/>
      <c r="AD3385" s="21"/>
    </row>
    <row r="3386" spans="1:30" ht="39" customHeight="1">
      <c r="A3386" s="11" t="s">
        <v>8993</v>
      </c>
      <c r="B3386" s="11" t="s">
        <v>9027</v>
      </c>
      <c r="C3386" s="168" t="s">
        <v>24</v>
      </c>
      <c r="D3386" s="38" t="s">
        <v>2659</v>
      </c>
      <c r="E3386" s="38" t="s">
        <v>1105</v>
      </c>
      <c r="F3386" s="168" t="s">
        <v>28</v>
      </c>
      <c r="G3386" s="38" t="s">
        <v>28</v>
      </c>
      <c r="H3386" s="168" t="s">
        <v>523</v>
      </c>
      <c r="I3386" s="204"/>
      <c r="J3386" s="21" t="s">
        <v>2276</v>
      </c>
      <c r="K3386" s="21" t="s">
        <v>2276</v>
      </c>
      <c r="L3386" s="21" t="s">
        <v>2276</v>
      </c>
      <c r="M3386" s="21" t="s">
        <v>2276</v>
      </c>
      <c r="N3386" s="21" t="s">
        <v>2276</v>
      </c>
      <c r="O3386" s="21" t="s">
        <v>2276</v>
      </c>
      <c r="P3386" s="21" t="s">
        <v>2276</v>
      </c>
      <c r="Q3386" s="21" t="s">
        <v>2276</v>
      </c>
      <c r="R3386" s="21" t="s">
        <v>2276</v>
      </c>
      <c r="S3386" s="21" t="s">
        <v>2276</v>
      </c>
      <c r="T3386" s="21">
        <f>'Record info'!K$1406*X3386</f>
        <v>180592.98</v>
      </c>
      <c r="U3386" s="21" t="s">
        <v>2276</v>
      </c>
      <c r="V3386" s="21">
        <f>62*0.151</f>
        <v>9.3620000000000001</v>
      </c>
      <c r="W3386" s="21" t="s">
        <v>2276</v>
      </c>
      <c r="X3386" s="21">
        <f t="shared" si="7"/>
        <v>9.3620000000000001</v>
      </c>
      <c r="Y3386" s="21" t="s">
        <v>2276</v>
      </c>
      <c r="Z3386" s="204" t="s">
        <v>399</v>
      </c>
      <c r="AA3386" s="204" t="s">
        <v>399</v>
      </c>
      <c r="AB3386" s="21" t="s">
        <v>2276</v>
      </c>
      <c r="AC3386" s="21"/>
      <c r="AD3386" s="21"/>
    </row>
    <row r="3387" spans="1:30" ht="38" customHeight="1">
      <c r="A3387" s="11" t="s">
        <v>8993</v>
      </c>
      <c r="B3387" s="11" t="s">
        <v>9028</v>
      </c>
      <c r="C3387" s="168" t="s">
        <v>24</v>
      </c>
      <c r="D3387" s="38" t="s">
        <v>2659</v>
      </c>
      <c r="E3387" s="38" t="s">
        <v>1105</v>
      </c>
      <c r="F3387" s="168" t="s">
        <v>28</v>
      </c>
      <c r="G3387" s="38" t="s">
        <v>28</v>
      </c>
      <c r="H3387" s="168" t="s">
        <v>523</v>
      </c>
      <c r="I3387" s="204"/>
      <c r="J3387" s="21" t="s">
        <v>2276</v>
      </c>
      <c r="K3387" s="21" t="s">
        <v>2276</v>
      </c>
      <c r="L3387" s="21" t="s">
        <v>2276</v>
      </c>
      <c r="M3387" s="21" t="s">
        <v>2276</v>
      </c>
      <c r="N3387" s="21" t="s">
        <v>2276</v>
      </c>
      <c r="O3387" s="21" t="s">
        <v>2276</v>
      </c>
      <c r="P3387" s="21" t="s">
        <v>2276</v>
      </c>
      <c r="Q3387" s="21" t="s">
        <v>2276</v>
      </c>
      <c r="R3387" s="21" t="s">
        <v>2276</v>
      </c>
      <c r="S3387" s="21" t="s">
        <v>2276</v>
      </c>
      <c r="T3387" s="21">
        <f>'Record info'!K$1406*X3387</f>
        <v>52623.119999999995</v>
      </c>
      <c r="U3387" s="21" t="s">
        <v>2276</v>
      </c>
      <c r="V3387" s="21">
        <f>62*0.044</f>
        <v>2.7279999999999998</v>
      </c>
      <c r="W3387" s="21" t="s">
        <v>2276</v>
      </c>
      <c r="X3387" s="21">
        <f t="shared" si="7"/>
        <v>2.7279999999999998</v>
      </c>
      <c r="Y3387" s="21" t="s">
        <v>2276</v>
      </c>
      <c r="Z3387" s="204" t="s">
        <v>188</v>
      </c>
      <c r="AA3387" s="204" t="s">
        <v>188</v>
      </c>
      <c r="AB3387" s="21" t="s">
        <v>2276</v>
      </c>
      <c r="AC3387" s="204"/>
      <c r="AD3387" s="204"/>
    </row>
    <row r="3388" spans="1:30" ht="42.5" customHeight="1">
      <c r="A3388" s="11" t="s">
        <v>8993</v>
      </c>
      <c r="B3388" s="11" t="s">
        <v>9029</v>
      </c>
      <c r="C3388" s="168" t="s">
        <v>24</v>
      </c>
      <c r="D3388" s="38" t="s">
        <v>2659</v>
      </c>
      <c r="E3388" s="38" t="s">
        <v>1105</v>
      </c>
      <c r="F3388" s="168" t="s">
        <v>28</v>
      </c>
      <c r="G3388" s="38" t="s">
        <v>28</v>
      </c>
      <c r="H3388" s="168" t="s">
        <v>523</v>
      </c>
      <c r="I3388" s="204"/>
      <c r="J3388" s="21" t="s">
        <v>2276</v>
      </c>
      <c r="K3388" s="21" t="s">
        <v>2276</v>
      </c>
      <c r="L3388" s="21" t="s">
        <v>2276</v>
      </c>
      <c r="M3388" s="21" t="s">
        <v>2276</v>
      </c>
      <c r="N3388" s="21" t="s">
        <v>2276</v>
      </c>
      <c r="O3388" s="21" t="s">
        <v>2276</v>
      </c>
      <c r="P3388" s="21" t="s">
        <v>2276</v>
      </c>
      <c r="Q3388" s="21" t="s">
        <v>2276</v>
      </c>
      <c r="R3388" s="21" t="s">
        <v>2276</v>
      </c>
      <c r="S3388" s="21" t="s">
        <v>2276</v>
      </c>
      <c r="T3388" s="21">
        <f>'Record info'!K$1406*X3388</f>
        <v>56211.060000000005</v>
      </c>
      <c r="U3388" s="21" t="s">
        <v>2276</v>
      </c>
      <c r="V3388" s="21">
        <f>62*0.047</f>
        <v>2.9140000000000001</v>
      </c>
      <c r="W3388" s="21" t="s">
        <v>2276</v>
      </c>
      <c r="X3388" s="21">
        <f t="shared" si="7"/>
        <v>2.9140000000000001</v>
      </c>
      <c r="Y3388" s="21" t="s">
        <v>2276</v>
      </c>
      <c r="Z3388" s="204" t="s">
        <v>189</v>
      </c>
      <c r="AA3388" s="204" t="s">
        <v>189</v>
      </c>
      <c r="AB3388" s="21" t="s">
        <v>2276</v>
      </c>
      <c r="AC3388" s="204"/>
      <c r="AD3388" s="204"/>
    </row>
    <row r="3389" spans="1:30" ht="46" customHeight="1">
      <c r="A3389" s="11" t="s">
        <v>8993</v>
      </c>
      <c r="B3389" s="11" t="s">
        <v>9030</v>
      </c>
      <c r="C3389" s="168" t="s">
        <v>24</v>
      </c>
      <c r="D3389" s="38" t="s">
        <v>2659</v>
      </c>
      <c r="E3389" s="38" t="s">
        <v>1105</v>
      </c>
      <c r="F3389" s="168" t="s">
        <v>28</v>
      </c>
      <c r="G3389" s="38" t="s">
        <v>28</v>
      </c>
      <c r="H3389" s="168" t="s">
        <v>523</v>
      </c>
      <c r="I3389" s="204"/>
      <c r="J3389" s="21" t="s">
        <v>2276</v>
      </c>
      <c r="K3389" s="21" t="s">
        <v>2276</v>
      </c>
      <c r="L3389" s="21" t="s">
        <v>2276</v>
      </c>
      <c r="M3389" s="21" t="s">
        <v>2276</v>
      </c>
      <c r="N3389" s="21" t="s">
        <v>2276</v>
      </c>
      <c r="O3389" s="21" t="s">
        <v>2276</v>
      </c>
      <c r="P3389" s="21" t="s">
        <v>2276</v>
      </c>
      <c r="Q3389" s="21" t="s">
        <v>2276</v>
      </c>
      <c r="R3389" s="21" t="s">
        <v>2276</v>
      </c>
      <c r="S3389" s="21" t="s">
        <v>2276</v>
      </c>
      <c r="T3389" s="21">
        <f>'Record info'!K$1406*X3389</f>
        <v>186572.88</v>
      </c>
      <c r="U3389" s="21" t="s">
        <v>2276</v>
      </c>
      <c r="V3389" s="21">
        <f>62*0.156</f>
        <v>9.6720000000000006</v>
      </c>
      <c r="W3389" s="21" t="s">
        <v>2276</v>
      </c>
      <c r="X3389" s="21">
        <f t="shared" si="7"/>
        <v>9.6720000000000006</v>
      </c>
      <c r="Y3389" s="21" t="s">
        <v>2276</v>
      </c>
      <c r="Z3389" s="204" t="s">
        <v>38</v>
      </c>
      <c r="AA3389" s="204" t="s">
        <v>38</v>
      </c>
      <c r="AB3389" s="21" t="s">
        <v>2276</v>
      </c>
      <c r="AC3389" s="204"/>
      <c r="AD3389" s="204"/>
    </row>
    <row r="3390" spans="1:30" ht="46" customHeight="1">
      <c r="A3390" s="11" t="s">
        <v>9002</v>
      </c>
      <c r="B3390" s="11" t="s">
        <v>9012</v>
      </c>
      <c r="C3390" s="4" t="s">
        <v>24</v>
      </c>
      <c r="D3390" s="204" t="s">
        <v>2659</v>
      </c>
      <c r="E3390" s="204" t="s">
        <v>1105</v>
      </c>
      <c r="F3390" s="4" t="s">
        <v>28</v>
      </c>
      <c r="G3390" s="204" t="s">
        <v>28</v>
      </c>
      <c r="H3390" s="4" t="s">
        <v>523</v>
      </c>
      <c r="I3390" s="204"/>
      <c r="J3390" s="21" t="s">
        <v>2276</v>
      </c>
      <c r="K3390" s="21" t="s">
        <v>2276</v>
      </c>
      <c r="L3390" s="21" t="s">
        <v>2276</v>
      </c>
      <c r="M3390" s="21" t="s">
        <v>2276</v>
      </c>
      <c r="N3390" s="21" t="s">
        <v>2276</v>
      </c>
      <c r="O3390" s="21" t="s">
        <v>2276</v>
      </c>
      <c r="P3390" s="21" t="s">
        <v>2276</v>
      </c>
      <c r="Q3390" s="21" t="s">
        <v>2276</v>
      </c>
      <c r="R3390" s="21" t="s">
        <v>2276</v>
      </c>
      <c r="S3390" s="21" t="s">
        <v>2276</v>
      </c>
      <c r="T3390" s="21">
        <f>'Record info'!K$1406*X3390</f>
        <v>97009.41</v>
      </c>
      <c r="U3390" s="21" t="s">
        <v>2276</v>
      </c>
      <c r="V3390" s="21">
        <f>47*0.107</f>
        <v>5.0289999999999999</v>
      </c>
      <c r="W3390" s="21" t="s">
        <v>2276</v>
      </c>
      <c r="X3390" s="21">
        <f>V3390</f>
        <v>5.0289999999999999</v>
      </c>
      <c r="Y3390" s="21" t="s">
        <v>2276</v>
      </c>
      <c r="Z3390" s="204" t="s">
        <v>86</v>
      </c>
      <c r="AA3390" s="204" t="s">
        <v>86</v>
      </c>
      <c r="AB3390" s="21" t="s">
        <v>2276</v>
      </c>
      <c r="AC3390" s="21"/>
      <c r="AD3390" s="21"/>
    </row>
    <row r="3391" spans="1:30" ht="46" customHeight="1">
      <c r="A3391" s="11" t="s">
        <v>9002</v>
      </c>
      <c r="B3391" s="11" t="s">
        <v>9031</v>
      </c>
      <c r="C3391" s="4" t="s">
        <v>24</v>
      </c>
      <c r="D3391" s="204" t="s">
        <v>2659</v>
      </c>
      <c r="E3391" s="204" t="s">
        <v>1105</v>
      </c>
      <c r="F3391" s="4" t="s">
        <v>28</v>
      </c>
      <c r="G3391" s="204" t="s">
        <v>28</v>
      </c>
      <c r="H3391" s="4" t="s">
        <v>523</v>
      </c>
      <c r="I3391" s="204"/>
      <c r="J3391" s="21" t="s">
        <v>2276</v>
      </c>
      <c r="K3391" s="21" t="s">
        <v>2276</v>
      </c>
      <c r="L3391" s="21" t="s">
        <v>2276</v>
      </c>
      <c r="M3391" s="21" t="s">
        <v>2276</v>
      </c>
      <c r="N3391" s="21" t="s">
        <v>2276</v>
      </c>
      <c r="O3391" s="21" t="s">
        <v>2276</v>
      </c>
      <c r="P3391" s="21" t="s">
        <v>2276</v>
      </c>
      <c r="Q3391" s="21" t="s">
        <v>2276</v>
      </c>
      <c r="R3391" s="21" t="s">
        <v>2276</v>
      </c>
      <c r="S3391" s="21" t="s">
        <v>2276</v>
      </c>
      <c r="T3391" s="21">
        <f>'Record info'!K$1406*X3391</f>
        <v>74343.66</v>
      </c>
      <c r="U3391" s="21" t="s">
        <v>2276</v>
      </c>
      <c r="V3391" s="21">
        <f>47*0.082</f>
        <v>3.8540000000000001</v>
      </c>
      <c r="W3391" s="21" t="s">
        <v>2276</v>
      </c>
      <c r="X3391" s="21">
        <f t="shared" ref="X3391:X3401" si="8">V3391</f>
        <v>3.8540000000000001</v>
      </c>
      <c r="Y3391" s="21" t="s">
        <v>2276</v>
      </c>
      <c r="Z3391" s="204" t="s">
        <v>34</v>
      </c>
      <c r="AA3391" s="204" t="s">
        <v>34</v>
      </c>
      <c r="AB3391" s="21" t="s">
        <v>2276</v>
      </c>
      <c r="AC3391" s="21"/>
      <c r="AD3391" s="21"/>
    </row>
    <row r="3392" spans="1:30" ht="46" customHeight="1">
      <c r="A3392" s="11" t="s">
        <v>9002</v>
      </c>
      <c r="B3392" s="11" t="s">
        <v>9032</v>
      </c>
      <c r="C3392" s="4" t="s">
        <v>24</v>
      </c>
      <c r="D3392" s="204" t="s">
        <v>2659</v>
      </c>
      <c r="E3392" s="204" t="s">
        <v>1105</v>
      </c>
      <c r="F3392" s="4" t="s">
        <v>28</v>
      </c>
      <c r="G3392" s="204" t="s">
        <v>28</v>
      </c>
      <c r="H3392" s="4" t="s">
        <v>523</v>
      </c>
      <c r="I3392" s="204"/>
      <c r="J3392" s="21" t="s">
        <v>2276</v>
      </c>
      <c r="K3392" s="21" t="s">
        <v>2276</v>
      </c>
      <c r="L3392" s="21" t="s">
        <v>2276</v>
      </c>
      <c r="M3392" s="21" t="s">
        <v>2276</v>
      </c>
      <c r="N3392" s="21" t="s">
        <v>2276</v>
      </c>
      <c r="O3392" s="21" t="s">
        <v>2276</v>
      </c>
      <c r="P3392" s="21" t="s">
        <v>2276</v>
      </c>
      <c r="Q3392" s="21" t="s">
        <v>2276</v>
      </c>
      <c r="R3392" s="21" t="s">
        <v>2276</v>
      </c>
      <c r="S3392" s="21" t="s">
        <v>2276</v>
      </c>
      <c r="T3392" s="21">
        <f>'Record info'!K$1406*X3392</f>
        <v>16319.34</v>
      </c>
      <c r="U3392" s="21" t="s">
        <v>2276</v>
      </c>
      <c r="V3392" s="21">
        <f>47*0.018</f>
        <v>0.84599999999999997</v>
      </c>
      <c r="W3392" s="21" t="s">
        <v>2276</v>
      </c>
      <c r="X3392" s="21">
        <f t="shared" si="8"/>
        <v>0.84599999999999997</v>
      </c>
      <c r="Y3392" s="21" t="s">
        <v>2276</v>
      </c>
      <c r="Z3392" s="204" t="s">
        <v>404</v>
      </c>
      <c r="AA3392" s="204" t="s">
        <v>404</v>
      </c>
      <c r="AB3392" s="21" t="s">
        <v>2276</v>
      </c>
      <c r="AC3392" s="21"/>
      <c r="AD3392" s="21"/>
    </row>
    <row r="3393" spans="1:30" ht="46" customHeight="1">
      <c r="A3393" s="11" t="s">
        <v>9002</v>
      </c>
      <c r="B3393" s="11" t="s">
        <v>9033</v>
      </c>
      <c r="C3393" s="4" t="s">
        <v>24</v>
      </c>
      <c r="D3393" s="204" t="s">
        <v>2659</v>
      </c>
      <c r="E3393" s="204" t="s">
        <v>1105</v>
      </c>
      <c r="F3393" s="4" t="s">
        <v>28</v>
      </c>
      <c r="G3393" s="204" t="s">
        <v>28</v>
      </c>
      <c r="H3393" s="4" t="s">
        <v>524</v>
      </c>
      <c r="I3393" s="204"/>
      <c r="J3393" s="21">
        <v>0</v>
      </c>
      <c r="K3393" s="21">
        <v>0</v>
      </c>
      <c r="L3393" s="21">
        <v>0</v>
      </c>
      <c r="M3393" s="21">
        <v>0</v>
      </c>
      <c r="N3393" s="21">
        <v>0</v>
      </c>
      <c r="O3393" s="21">
        <v>0</v>
      </c>
      <c r="P3393" s="21">
        <v>0</v>
      </c>
      <c r="Q3393" s="21">
        <v>0</v>
      </c>
      <c r="R3393" s="21">
        <v>0</v>
      </c>
      <c r="S3393" s="21">
        <v>0</v>
      </c>
      <c r="T3393" s="21">
        <v>0</v>
      </c>
      <c r="U3393" s="21">
        <v>0</v>
      </c>
      <c r="V3393" s="21">
        <v>0</v>
      </c>
      <c r="W3393" s="21">
        <v>0</v>
      </c>
      <c r="X3393" s="21">
        <f t="shared" si="8"/>
        <v>0</v>
      </c>
      <c r="Y3393" s="21" t="s">
        <v>2276</v>
      </c>
      <c r="Z3393" s="204" t="s">
        <v>405</v>
      </c>
      <c r="AA3393" s="204" t="s">
        <v>405</v>
      </c>
      <c r="AB3393" s="21" t="s">
        <v>2276</v>
      </c>
      <c r="AC3393" s="21"/>
      <c r="AD3393" s="21"/>
    </row>
    <row r="3394" spans="1:30" ht="46" customHeight="1">
      <c r="A3394" s="11" t="s">
        <v>9002</v>
      </c>
      <c r="B3394" s="11" t="s">
        <v>9034</v>
      </c>
      <c r="C3394" s="4" t="s">
        <v>24</v>
      </c>
      <c r="D3394" s="204" t="s">
        <v>2659</v>
      </c>
      <c r="E3394" s="204" t="s">
        <v>1105</v>
      </c>
      <c r="F3394" s="4" t="s">
        <v>28</v>
      </c>
      <c r="G3394" s="204" t="s">
        <v>28</v>
      </c>
      <c r="H3394" s="4" t="s">
        <v>524</v>
      </c>
      <c r="I3394" s="204"/>
      <c r="J3394" s="21">
        <v>0</v>
      </c>
      <c r="K3394" s="21">
        <v>0</v>
      </c>
      <c r="L3394" s="21">
        <v>0</v>
      </c>
      <c r="M3394" s="21">
        <v>0</v>
      </c>
      <c r="N3394" s="21">
        <v>0</v>
      </c>
      <c r="O3394" s="21">
        <v>0</v>
      </c>
      <c r="P3394" s="21">
        <v>0</v>
      </c>
      <c r="Q3394" s="21">
        <v>0</v>
      </c>
      <c r="R3394" s="21">
        <v>0</v>
      </c>
      <c r="S3394" s="21">
        <v>0</v>
      </c>
      <c r="T3394" s="21">
        <v>0</v>
      </c>
      <c r="U3394" s="21">
        <v>0</v>
      </c>
      <c r="V3394" s="21">
        <v>0</v>
      </c>
      <c r="W3394" s="21">
        <v>0</v>
      </c>
      <c r="X3394" s="21">
        <f t="shared" si="8"/>
        <v>0</v>
      </c>
      <c r="Y3394" s="21" t="s">
        <v>2276</v>
      </c>
      <c r="Z3394" s="204" t="s">
        <v>425</v>
      </c>
      <c r="AA3394" s="204" t="s">
        <v>425</v>
      </c>
      <c r="AB3394" s="21" t="s">
        <v>2276</v>
      </c>
      <c r="AC3394" s="21"/>
      <c r="AD3394" s="21"/>
    </row>
    <row r="3395" spans="1:30" ht="46" customHeight="1">
      <c r="A3395" s="11" t="s">
        <v>9002</v>
      </c>
      <c r="B3395" s="11" t="s">
        <v>9035</v>
      </c>
      <c r="C3395" s="4" t="s">
        <v>24</v>
      </c>
      <c r="D3395" s="204" t="s">
        <v>2659</v>
      </c>
      <c r="E3395" s="204" t="s">
        <v>1105</v>
      </c>
      <c r="F3395" s="4" t="s">
        <v>28</v>
      </c>
      <c r="G3395" s="204" t="s">
        <v>28</v>
      </c>
      <c r="H3395" s="4" t="s">
        <v>523</v>
      </c>
      <c r="I3395" s="204"/>
      <c r="J3395" s="21" t="s">
        <v>2276</v>
      </c>
      <c r="K3395" s="21" t="s">
        <v>2276</v>
      </c>
      <c r="L3395" s="21" t="s">
        <v>2276</v>
      </c>
      <c r="M3395" s="21" t="s">
        <v>2276</v>
      </c>
      <c r="N3395" s="21" t="s">
        <v>2276</v>
      </c>
      <c r="O3395" s="21" t="s">
        <v>2276</v>
      </c>
      <c r="P3395" s="21" t="s">
        <v>2276</v>
      </c>
      <c r="Q3395" s="21" t="s">
        <v>2276</v>
      </c>
      <c r="R3395" s="21" t="s">
        <v>2276</v>
      </c>
      <c r="S3395" s="21" t="s">
        <v>2276</v>
      </c>
      <c r="T3395" s="21">
        <f>'Record info'!K$1406*X3395</f>
        <v>906.63</v>
      </c>
      <c r="U3395" s="21" t="s">
        <v>2276</v>
      </c>
      <c r="V3395" s="21">
        <f>47*0.001</f>
        <v>4.7E-2</v>
      </c>
      <c r="W3395" s="21" t="s">
        <v>2276</v>
      </c>
      <c r="X3395" s="21">
        <f t="shared" si="8"/>
        <v>4.7E-2</v>
      </c>
      <c r="Y3395" s="21" t="s">
        <v>2276</v>
      </c>
      <c r="Z3395" s="204" t="s">
        <v>68</v>
      </c>
      <c r="AA3395" s="204" t="s">
        <v>68</v>
      </c>
      <c r="AB3395" s="21" t="s">
        <v>2276</v>
      </c>
      <c r="AC3395" s="21"/>
      <c r="AD3395" s="21"/>
    </row>
    <row r="3396" spans="1:30" ht="46" customHeight="1">
      <c r="A3396" s="11" t="s">
        <v>9002</v>
      </c>
      <c r="B3396" s="11" t="s">
        <v>9036</v>
      </c>
      <c r="C3396" s="4" t="s">
        <v>24</v>
      </c>
      <c r="D3396" s="204" t="s">
        <v>2659</v>
      </c>
      <c r="E3396" s="204" t="s">
        <v>1105</v>
      </c>
      <c r="F3396" s="4" t="s">
        <v>28</v>
      </c>
      <c r="G3396" s="204" t="s">
        <v>28</v>
      </c>
      <c r="H3396" s="4" t="s">
        <v>523</v>
      </c>
      <c r="I3396" s="204"/>
      <c r="J3396" s="21" t="s">
        <v>2276</v>
      </c>
      <c r="K3396" s="21" t="s">
        <v>2276</v>
      </c>
      <c r="L3396" s="21" t="s">
        <v>2276</v>
      </c>
      <c r="M3396" s="21" t="s">
        <v>2276</v>
      </c>
      <c r="N3396" s="21" t="s">
        <v>2276</v>
      </c>
      <c r="O3396" s="21" t="s">
        <v>2276</v>
      </c>
      <c r="P3396" s="21" t="s">
        <v>2276</v>
      </c>
      <c r="Q3396" s="21" t="s">
        <v>2276</v>
      </c>
      <c r="R3396" s="21" t="s">
        <v>2276</v>
      </c>
      <c r="S3396" s="21" t="s">
        <v>2276</v>
      </c>
      <c r="T3396" s="21">
        <f>'Record info'!K$1406*X3396</f>
        <v>44424.869999999995</v>
      </c>
      <c r="U3396" s="21" t="s">
        <v>2276</v>
      </c>
      <c r="V3396" s="21">
        <f>47*0.049</f>
        <v>2.3029999999999999</v>
      </c>
      <c r="W3396" s="21" t="s">
        <v>2276</v>
      </c>
      <c r="X3396" s="21">
        <f t="shared" si="8"/>
        <v>2.3029999999999999</v>
      </c>
      <c r="Y3396" s="21" t="s">
        <v>2276</v>
      </c>
      <c r="Z3396" s="204" t="s">
        <v>35</v>
      </c>
      <c r="AA3396" s="204" t="s">
        <v>35</v>
      </c>
      <c r="AB3396" s="21" t="s">
        <v>2276</v>
      </c>
      <c r="AC3396" s="21"/>
      <c r="AD3396" s="21"/>
    </row>
    <row r="3397" spans="1:30" ht="46" customHeight="1">
      <c r="A3397" s="11" t="s">
        <v>9002</v>
      </c>
      <c r="B3397" s="11" t="s">
        <v>9037</v>
      </c>
      <c r="C3397" s="4" t="s">
        <v>24</v>
      </c>
      <c r="D3397" s="204" t="s">
        <v>2659</v>
      </c>
      <c r="E3397" s="204" t="s">
        <v>1105</v>
      </c>
      <c r="F3397" s="4" t="s">
        <v>28</v>
      </c>
      <c r="G3397" s="204" t="s">
        <v>28</v>
      </c>
      <c r="H3397" s="4" t="s">
        <v>523</v>
      </c>
      <c r="I3397" s="204"/>
      <c r="J3397" s="21" t="s">
        <v>2276</v>
      </c>
      <c r="K3397" s="21" t="s">
        <v>2276</v>
      </c>
      <c r="L3397" s="21" t="s">
        <v>2276</v>
      </c>
      <c r="M3397" s="21" t="s">
        <v>2276</v>
      </c>
      <c r="N3397" s="21" t="s">
        <v>2276</v>
      </c>
      <c r="O3397" s="21" t="s">
        <v>2276</v>
      </c>
      <c r="P3397" s="21" t="s">
        <v>2276</v>
      </c>
      <c r="Q3397" s="21" t="s">
        <v>2276</v>
      </c>
      <c r="R3397" s="21" t="s">
        <v>2276</v>
      </c>
      <c r="S3397" s="21" t="s">
        <v>2276</v>
      </c>
      <c r="T3397" s="21">
        <f>'Record info'!K$1406*X3397</f>
        <v>44424.869999999995</v>
      </c>
      <c r="U3397" s="21" t="s">
        <v>2276</v>
      </c>
      <c r="V3397" s="21">
        <f>47*0.34</f>
        <v>15.98</v>
      </c>
      <c r="W3397" s="21" t="s">
        <v>2276</v>
      </c>
      <c r="X3397" s="21">
        <f>V3396</f>
        <v>2.3029999999999999</v>
      </c>
      <c r="Y3397" s="21" t="s">
        <v>2276</v>
      </c>
      <c r="Z3397" s="204" t="s">
        <v>127</v>
      </c>
      <c r="AA3397" s="204" t="s">
        <v>127</v>
      </c>
      <c r="AB3397" s="21" t="s">
        <v>2276</v>
      </c>
      <c r="AC3397" s="21"/>
      <c r="AD3397" s="21"/>
    </row>
    <row r="3398" spans="1:30" ht="46" customHeight="1">
      <c r="A3398" s="11" t="s">
        <v>9002</v>
      </c>
      <c r="B3398" s="11" t="s">
        <v>9038</v>
      </c>
      <c r="C3398" s="4" t="s">
        <v>24</v>
      </c>
      <c r="D3398" s="204" t="s">
        <v>2659</v>
      </c>
      <c r="E3398" s="204" t="s">
        <v>1105</v>
      </c>
      <c r="F3398" s="4" t="s">
        <v>28</v>
      </c>
      <c r="G3398" s="204" t="s">
        <v>28</v>
      </c>
      <c r="H3398" s="4" t="s">
        <v>523</v>
      </c>
      <c r="I3398" s="204"/>
      <c r="J3398" s="21" t="s">
        <v>2276</v>
      </c>
      <c r="K3398" s="21" t="s">
        <v>2276</v>
      </c>
      <c r="L3398" s="21" t="s">
        <v>2276</v>
      </c>
      <c r="M3398" s="21" t="s">
        <v>2276</v>
      </c>
      <c r="N3398" s="21" t="s">
        <v>2276</v>
      </c>
      <c r="O3398" s="21" t="s">
        <v>2276</v>
      </c>
      <c r="P3398" s="21" t="s">
        <v>2276</v>
      </c>
      <c r="Q3398" s="21" t="s">
        <v>2276</v>
      </c>
      <c r="R3398" s="21" t="s">
        <v>2276</v>
      </c>
      <c r="S3398" s="21" t="s">
        <v>2276</v>
      </c>
      <c r="T3398" s="21">
        <f>'Record info'!K$1406*X3398</f>
        <v>308254.2</v>
      </c>
      <c r="U3398" s="21" t="s">
        <v>2276</v>
      </c>
      <c r="V3398" s="21">
        <f>47*0.261</f>
        <v>12.267000000000001</v>
      </c>
      <c r="W3398" s="21" t="s">
        <v>2276</v>
      </c>
      <c r="X3398" s="21">
        <f>V3397</f>
        <v>15.98</v>
      </c>
      <c r="Y3398" s="21" t="s">
        <v>2276</v>
      </c>
      <c r="Z3398" s="204" t="s">
        <v>399</v>
      </c>
      <c r="AA3398" s="204" t="s">
        <v>399</v>
      </c>
      <c r="AB3398" s="21" t="s">
        <v>2276</v>
      </c>
      <c r="AC3398" s="21"/>
      <c r="AD3398" s="21"/>
    </row>
    <row r="3399" spans="1:30" ht="46" customHeight="1">
      <c r="A3399" s="11" t="s">
        <v>9002</v>
      </c>
      <c r="B3399" s="11" t="s">
        <v>9039</v>
      </c>
      <c r="C3399" s="4" t="s">
        <v>24</v>
      </c>
      <c r="D3399" s="204" t="s">
        <v>2659</v>
      </c>
      <c r="E3399" s="204" t="s">
        <v>1105</v>
      </c>
      <c r="F3399" s="4" t="s">
        <v>28</v>
      </c>
      <c r="G3399" s="204" t="s">
        <v>28</v>
      </c>
      <c r="H3399" s="4" t="s">
        <v>523</v>
      </c>
      <c r="I3399" s="204"/>
      <c r="J3399" s="21" t="s">
        <v>2276</v>
      </c>
      <c r="K3399" s="21" t="s">
        <v>2276</v>
      </c>
      <c r="L3399" s="21" t="s">
        <v>2276</v>
      </c>
      <c r="M3399" s="21" t="s">
        <v>2276</v>
      </c>
      <c r="N3399" s="21" t="s">
        <v>2276</v>
      </c>
      <c r="O3399" s="21" t="s">
        <v>2276</v>
      </c>
      <c r="P3399" s="21" t="s">
        <v>2276</v>
      </c>
      <c r="Q3399" s="21" t="s">
        <v>2276</v>
      </c>
      <c r="R3399" s="21" t="s">
        <v>2276</v>
      </c>
      <c r="S3399" s="21" t="s">
        <v>2276</v>
      </c>
      <c r="T3399" s="21">
        <f>'Record info'!K$1406*X3399</f>
        <v>236630.43000000002</v>
      </c>
      <c r="U3399" s="21" t="s">
        <v>2276</v>
      </c>
      <c r="V3399" s="21">
        <f>47*0.004</f>
        <v>0.188</v>
      </c>
      <c r="W3399" s="21" t="s">
        <v>2276</v>
      </c>
      <c r="X3399" s="21">
        <f>V3398</f>
        <v>12.267000000000001</v>
      </c>
      <c r="Y3399" s="21" t="s">
        <v>2276</v>
      </c>
      <c r="Z3399" s="204" t="s">
        <v>188</v>
      </c>
      <c r="AA3399" s="204" t="s">
        <v>188</v>
      </c>
      <c r="AB3399" s="21" t="s">
        <v>2276</v>
      </c>
      <c r="AC3399" s="204"/>
      <c r="AD3399" s="204"/>
    </row>
    <row r="3400" spans="1:30" ht="46" customHeight="1">
      <c r="A3400" s="11" t="s">
        <v>9002</v>
      </c>
      <c r="B3400" s="11" t="s">
        <v>9040</v>
      </c>
      <c r="C3400" s="4" t="s">
        <v>24</v>
      </c>
      <c r="D3400" s="204" t="s">
        <v>2659</v>
      </c>
      <c r="E3400" s="204" t="s">
        <v>1105</v>
      </c>
      <c r="F3400" s="4" t="s">
        <v>28</v>
      </c>
      <c r="G3400" s="204" t="s">
        <v>28</v>
      </c>
      <c r="H3400" s="4" t="s">
        <v>523</v>
      </c>
      <c r="I3400" s="204"/>
      <c r="J3400" s="21" t="s">
        <v>2276</v>
      </c>
      <c r="K3400" s="21" t="s">
        <v>2276</v>
      </c>
      <c r="L3400" s="21" t="s">
        <v>2276</v>
      </c>
      <c r="M3400" s="21" t="s">
        <v>2276</v>
      </c>
      <c r="N3400" s="21" t="s">
        <v>2276</v>
      </c>
      <c r="O3400" s="21" t="s">
        <v>2276</v>
      </c>
      <c r="P3400" s="21" t="s">
        <v>2276</v>
      </c>
      <c r="Q3400" s="21" t="s">
        <v>2276</v>
      </c>
      <c r="R3400" s="21" t="s">
        <v>2276</v>
      </c>
      <c r="S3400" s="21" t="s">
        <v>2276</v>
      </c>
      <c r="T3400" s="21">
        <f>'Record info'!K$1406*X3400</f>
        <v>3626.52</v>
      </c>
      <c r="U3400" s="21" t="s">
        <v>2276</v>
      </c>
      <c r="V3400" s="21">
        <f>47*0.009</f>
        <v>0.42299999999999999</v>
      </c>
      <c r="W3400" s="21" t="s">
        <v>2276</v>
      </c>
      <c r="X3400" s="21">
        <f>V3399</f>
        <v>0.188</v>
      </c>
      <c r="Y3400" s="21" t="s">
        <v>2276</v>
      </c>
      <c r="Z3400" s="204" t="s">
        <v>189</v>
      </c>
      <c r="AA3400" s="204" t="s">
        <v>189</v>
      </c>
      <c r="AB3400" s="21" t="s">
        <v>2276</v>
      </c>
      <c r="AC3400" s="204"/>
      <c r="AD3400" s="204"/>
    </row>
    <row r="3401" spans="1:30" ht="46" customHeight="1">
      <c r="A3401" s="11" t="s">
        <v>9002</v>
      </c>
      <c r="B3401" s="11" t="s">
        <v>9041</v>
      </c>
      <c r="C3401" s="4" t="s">
        <v>24</v>
      </c>
      <c r="D3401" s="204" t="s">
        <v>2659</v>
      </c>
      <c r="E3401" s="204" t="s">
        <v>1105</v>
      </c>
      <c r="F3401" s="4" t="s">
        <v>28</v>
      </c>
      <c r="G3401" s="204" t="s">
        <v>28</v>
      </c>
      <c r="H3401" s="4" t="s">
        <v>523</v>
      </c>
      <c r="I3401" s="204"/>
      <c r="J3401" s="21" t="s">
        <v>2276</v>
      </c>
      <c r="K3401" s="21" t="s">
        <v>2276</v>
      </c>
      <c r="L3401" s="21" t="s">
        <v>2276</v>
      </c>
      <c r="M3401" s="21" t="s">
        <v>2276</v>
      </c>
      <c r="N3401" s="21" t="s">
        <v>2276</v>
      </c>
      <c r="O3401" s="21" t="s">
        <v>2276</v>
      </c>
      <c r="P3401" s="21" t="s">
        <v>2276</v>
      </c>
      <c r="Q3401" s="21" t="s">
        <v>2276</v>
      </c>
      <c r="R3401" s="21" t="s">
        <v>2276</v>
      </c>
      <c r="S3401" s="21" t="s">
        <v>2276</v>
      </c>
      <c r="T3401" s="21">
        <f>'Record info'!K$1406*X3401</f>
        <v>8159.67</v>
      </c>
      <c r="U3401" s="21" t="s">
        <v>2276</v>
      </c>
      <c r="V3401" s="21">
        <f>47*0.129</f>
        <v>6.0630000000000006</v>
      </c>
      <c r="W3401" s="21" t="s">
        <v>2276</v>
      </c>
      <c r="X3401" s="21">
        <f>V3400</f>
        <v>0.42299999999999999</v>
      </c>
      <c r="Y3401" s="21" t="s">
        <v>2276</v>
      </c>
      <c r="Z3401" s="204" t="s">
        <v>38</v>
      </c>
      <c r="AA3401" s="204" t="s">
        <v>38</v>
      </c>
      <c r="AB3401" s="21" t="s">
        <v>2276</v>
      </c>
      <c r="AC3401" s="204"/>
      <c r="AD3401" s="204"/>
    </row>
    <row r="3402" spans="1:30" ht="37" customHeight="1">
      <c r="A3402" s="11" t="s">
        <v>9009</v>
      </c>
      <c r="B3402" s="11" t="s">
        <v>9013</v>
      </c>
      <c r="C3402" s="4" t="s">
        <v>24</v>
      </c>
      <c r="D3402" s="204" t="s">
        <v>2659</v>
      </c>
      <c r="E3402" s="204" t="s">
        <v>1105</v>
      </c>
      <c r="F3402" s="4" t="s">
        <v>28</v>
      </c>
      <c r="G3402" s="204" t="s">
        <v>28</v>
      </c>
      <c r="H3402" s="4" t="s">
        <v>523</v>
      </c>
      <c r="I3402" s="204"/>
      <c r="J3402" s="21" t="s">
        <v>2276</v>
      </c>
      <c r="K3402" s="21" t="s">
        <v>2276</v>
      </c>
      <c r="L3402" s="21" t="s">
        <v>2276</v>
      </c>
      <c r="M3402" s="21" t="s">
        <v>2276</v>
      </c>
      <c r="N3402" s="21" t="s">
        <v>2276</v>
      </c>
      <c r="O3402" s="21" t="s">
        <v>2276</v>
      </c>
      <c r="P3402" s="21" t="s">
        <v>2276</v>
      </c>
      <c r="Q3402" s="21" t="s">
        <v>2276</v>
      </c>
      <c r="R3402" s="21" t="s">
        <v>2276</v>
      </c>
      <c r="S3402" s="21" t="s">
        <v>2276</v>
      </c>
      <c r="T3402" s="21">
        <f>'Record info'!K$1408*X3402</f>
        <v>198408.08</v>
      </c>
      <c r="U3402" s="21" t="s">
        <v>2276</v>
      </c>
      <c r="V3402" s="21">
        <f t="shared" ref="V3402" si="9">26*0.284</f>
        <v>7.3839999999999995</v>
      </c>
      <c r="W3402" s="21" t="s">
        <v>2276</v>
      </c>
      <c r="X3402" s="21">
        <f>V3402</f>
        <v>7.3839999999999995</v>
      </c>
      <c r="Y3402" s="21" t="s">
        <v>2276</v>
      </c>
      <c r="Z3402" s="204" t="s">
        <v>86</v>
      </c>
      <c r="AA3402" s="204" t="s">
        <v>86</v>
      </c>
      <c r="AB3402" s="21" t="s">
        <v>2276</v>
      </c>
      <c r="AC3402" s="204"/>
      <c r="AD3402" s="204"/>
    </row>
    <row r="3403" spans="1:30" ht="37" customHeight="1">
      <c r="A3403" s="11" t="s">
        <v>9009</v>
      </c>
      <c r="B3403" s="11" t="s">
        <v>9042</v>
      </c>
      <c r="C3403" s="4" t="s">
        <v>24</v>
      </c>
      <c r="D3403" s="204" t="s">
        <v>2659</v>
      </c>
      <c r="E3403" s="204" t="s">
        <v>1105</v>
      </c>
      <c r="F3403" s="4" t="s">
        <v>28</v>
      </c>
      <c r="G3403" s="204" t="s">
        <v>28</v>
      </c>
      <c r="H3403" s="4" t="s">
        <v>523</v>
      </c>
      <c r="I3403" s="204"/>
      <c r="J3403" s="21" t="s">
        <v>2276</v>
      </c>
      <c r="K3403" s="21" t="s">
        <v>2276</v>
      </c>
      <c r="L3403" s="21" t="s">
        <v>2276</v>
      </c>
      <c r="M3403" s="21" t="s">
        <v>2276</v>
      </c>
      <c r="N3403" s="21" t="s">
        <v>2276</v>
      </c>
      <c r="O3403" s="21" t="s">
        <v>2276</v>
      </c>
      <c r="P3403" s="21" t="s">
        <v>2276</v>
      </c>
      <c r="Q3403" s="21" t="s">
        <v>2276</v>
      </c>
      <c r="R3403" s="21" t="s">
        <v>2276</v>
      </c>
      <c r="S3403" s="21" t="s">
        <v>2276</v>
      </c>
      <c r="T3403" s="21">
        <f>'Record info'!K$1408*X3403</f>
        <v>74752.34</v>
      </c>
      <c r="U3403" s="21" t="s">
        <v>2276</v>
      </c>
      <c r="V3403" s="21">
        <f>26*0.107</f>
        <v>2.782</v>
      </c>
      <c r="W3403" s="21" t="s">
        <v>2276</v>
      </c>
      <c r="X3403" s="21">
        <f t="shared" ref="X3403:X3413" si="10">V3403</f>
        <v>2.782</v>
      </c>
      <c r="Y3403" s="21" t="s">
        <v>2276</v>
      </c>
      <c r="Z3403" s="204" t="s">
        <v>34</v>
      </c>
      <c r="AA3403" s="204" t="s">
        <v>34</v>
      </c>
      <c r="AB3403" s="21" t="s">
        <v>2276</v>
      </c>
      <c r="AC3403" s="204"/>
      <c r="AD3403" s="204"/>
    </row>
    <row r="3404" spans="1:30" ht="37" customHeight="1">
      <c r="A3404" s="11" t="s">
        <v>9009</v>
      </c>
      <c r="B3404" s="11" t="s">
        <v>9043</v>
      </c>
      <c r="C3404" s="4" t="s">
        <v>24</v>
      </c>
      <c r="D3404" s="204" t="s">
        <v>2659</v>
      </c>
      <c r="E3404" s="204" t="s">
        <v>1105</v>
      </c>
      <c r="F3404" s="4" t="s">
        <v>28</v>
      </c>
      <c r="G3404" s="204" t="s">
        <v>28</v>
      </c>
      <c r="H3404" s="4" t="s">
        <v>523</v>
      </c>
      <c r="I3404" s="204"/>
      <c r="J3404" s="21" t="s">
        <v>2276</v>
      </c>
      <c r="K3404" s="21" t="s">
        <v>2276</v>
      </c>
      <c r="L3404" s="21" t="s">
        <v>2276</v>
      </c>
      <c r="M3404" s="21" t="s">
        <v>2276</v>
      </c>
      <c r="N3404" s="21" t="s">
        <v>2276</v>
      </c>
      <c r="O3404" s="21" t="s">
        <v>2276</v>
      </c>
      <c r="P3404" s="21" t="s">
        <v>2276</v>
      </c>
      <c r="Q3404" s="21" t="s">
        <v>2276</v>
      </c>
      <c r="R3404" s="21" t="s">
        <v>2276</v>
      </c>
      <c r="S3404" s="21" t="s">
        <v>2276</v>
      </c>
      <c r="T3404" s="21">
        <f>'Record info'!K$1408*X3404</f>
        <v>15369.64</v>
      </c>
      <c r="U3404" s="21" t="s">
        <v>2276</v>
      </c>
      <c r="V3404" s="21">
        <f>26*0.022</f>
        <v>0.57199999999999995</v>
      </c>
      <c r="W3404" s="21" t="s">
        <v>2276</v>
      </c>
      <c r="X3404" s="21">
        <f t="shared" si="10"/>
        <v>0.57199999999999995</v>
      </c>
      <c r="Y3404" s="21" t="s">
        <v>2276</v>
      </c>
      <c r="Z3404" s="204" t="s">
        <v>404</v>
      </c>
      <c r="AA3404" s="204" t="s">
        <v>404</v>
      </c>
      <c r="AB3404" s="21" t="s">
        <v>2276</v>
      </c>
      <c r="AC3404" s="204"/>
      <c r="AD3404" s="204"/>
    </row>
    <row r="3405" spans="1:30" ht="37" customHeight="1">
      <c r="A3405" s="11" t="s">
        <v>9009</v>
      </c>
      <c r="B3405" s="11" t="s">
        <v>9044</v>
      </c>
      <c r="C3405" s="4" t="s">
        <v>24</v>
      </c>
      <c r="D3405" s="204" t="s">
        <v>2659</v>
      </c>
      <c r="E3405" s="204" t="s">
        <v>1105</v>
      </c>
      <c r="F3405" s="4" t="s">
        <v>28</v>
      </c>
      <c r="G3405" s="204" t="s">
        <v>28</v>
      </c>
      <c r="H3405" s="4" t="s">
        <v>524</v>
      </c>
      <c r="I3405" s="204"/>
      <c r="J3405" s="21">
        <v>0</v>
      </c>
      <c r="K3405" s="21">
        <v>0</v>
      </c>
      <c r="L3405" s="21">
        <v>0</v>
      </c>
      <c r="M3405" s="21">
        <v>0</v>
      </c>
      <c r="N3405" s="21">
        <v>0</v>
      </c>
      <c r="O3405" s="21">
        <v>0</v>
      </c>
      <c r="P3405" s="21">
        <v>0</v>
      </c>
      <c r="Q3405" s="21">
        <v>0</v>
      </c>
      <c r="R3405" s="21">
        <v>0</v>
      </c>
      <c r="S3405" s="21">
        <v>0</v>
      </c>
      <c r="T3405" s="21">
        <v>0</v>
      </c>
      <c r="U3405" s="21">
        <v>0</v>
      </c>
      <c r="V3405" s="21">
        <v>0</v>
      </c>
      <c r="W3405" s="21">
        <v>0</v>
      </c>
      <c r="X3405" s="21">
        <v>0</v>
      </c>
      <c r="Y3405" s="21" t="s">
        <v>2276</v>
      </c>
      <c r="Z3405" s="204" t="s">
        <v>405</v>
      </c>
      <c r="AA3405" s="204" t="s">
        <v>405</v>
      </c>
      <c r="AB3405" s="21" t="s">
        <v>2276</v>
      </c>
      <c r="AC3405" s="204"/>
      <c r="AD3405" s="204"/>
    </row>
    <row r="3406" spans="1:30" ht="37" customHeight="1">
      <c r="A3406" s="11" t="s">
        <v>9009</v>
      </c>
      <c r="B3406" s="11" t="s">
        <v>9045</v>
      </c>
      <c r="C3406" s="4" t="s">
        <v>24</v>
      </c>
      <c r="D3406" s="204" t="s">
        <v>2659</v>
      </c>
      <c r="E3406" s="204" t="s">
        <v>1105</v>
      </c>
      <c r="F3406" s="4" t="s">
        <v>28</v>
      </c>
      <c r="G3406" s="204" t="s">
        <v>28</v>
      </c>
      <c r="H3406" s="4" t="s">
        <v>524</v>
      </c>
      <c r="I3406" s="204"/>
      <c r="J3406" s="21">
        <v>0</v>
      </c>
      <c r="K3406" s="21">
        <v>0</v>
      </c>
      <c r="L3406" s="21">
        <v>0</v>
      </c>
      <c r="M3406" s="21">
        <v>0</v>
      </c>
      <c r="N3406" s="21">
        <v>0</v>
      </c>
      <c r="O3406" s="21">
        <v>0</v>
      </c>
      <c r="P3406" s="21">
        <v>0</v>
      </c>
      <c r="Q3406" s="21">
        <v>0</v>
      </c>
      <c r="R3406" s="21">
        <v>0</v>
      </c>
      <c r="S3406" s="21">
        <v>0</v>
      </c>
      <c r="T3406" s="21">
        <v>0</v>
      </c>
      <c r="U3406" s="21">
        <v>0</v>
      </c>
      <c r="V3406" s="21">
        <v>0</v>
      </c>
      <c r="W3406" s="21">
        <v>0</v>
      </c>
      <c r="X3406" s="21">
        <v>0</v>
      </c>
      <c r="Y3406" s="21" t="s">
        <v>2276</v>
      </c>
      <c r="Z3406" s="204" t="s">
        <v>425</v>
      </c>
      <c r="AA3406" s="204" t="s">
        <v>425</v>
      </c>
      <c r="AB3406" s="21" t="s">
        <v>2276</v>
      </c>
      <c r="AC3406" s="204"/>
      <c r="AD3406" s="204"/>
    </row>
    <row r="3407" spans="1:30" ht="37" customHeight="1">
      <c r="A3407" s="11" t="s">
        <v>9009</v>
      </c>
      <c r="B3407" s="11" t="s">
        <v>9046</v>
      </c>
      <c r="C3407" s="4" t="s">
        <v>24</v>
      </c>
      <c r="D3407" s="204" t="s">
        <v>2659</v>
      </c>
      <c r="E3407" s="204" t="s">
        <v>1105</v>
      </c>
      <c r="F3407" s="4" t="s">
        <v>28</v>
      </c>
      <c r="G3407" s="204" t="s">
        <v>28</v>
      </c>
      <c r="H3407" s="4" t="s">
        <v>524</v>
      </c>
      <c r="I3407" s="204"/>
      <c r="J3407" s="21">
        <v>0</v>
      </c>
      <c r="K3407" s="21">
        <v>0</v>
      </c>
      <c r="L3407" s="21">
        <v>0</v>
      </c>
      <c r="M3407" s="21">
        <v>0</v>
      </c>
      <c r="N3407" s="21">
        <v>0</v>
      </c>
      <c r="O3407" s="21">
        <v>0</v>
      </c>
      <c r="P3407" s="21">
        <v>0</v>
      </c>
      <c r="Q3407" s="21">
        <v>0</v>
      </c>
      <c r="R3407" s="21">
        <v>0</v>
      </c>
      <c r="S3407" s="21">
        <v>0</v>
      </c>
      <c r="T3407" s="21">
        <v>0</v>
      </c>
      <c r="U3407" s="21">
        <v>0</v>
      </c>
      <c r="V3407" s="21">
        <v>0</v>
      </c>
      <c r="W3407" s="21">
        <v>0</v>
      </c>
      <c r="X3407" s="21">
        <v>0</v>
      </c>
      <c r="Y3407" s="21" t="s">
        <v>2276</v>
      </c>
      <c r="Z3407" s="204" t="s">
        <v>68</v>
      </c>
      <c r="AA3407" s="204" t="s">
        <v>68</v>
      </c>
      <c r="AB3407" s="21" t="s">
        <v>2276</v>
      </c>
      <c r="AC3407" s="204"/>
      <c r="AD3407" s="204"/>
    </row>
    <row r="3408" spans="1:30" ht="37" customHeight="1">
      <c r="A3408" s="11" t="s">
        <v>9009</v>
      </c>
      <c r="B3408" s="11" t="s">
        <v>9047</v>
      </c>
      <c r="C3408" s="4" t="s">
        <v>24</v>
      </c>
      <c r="D3408" s="204" t="s">
        <v>2659</v>
      </c>
      <c r="E3408" s="204" t="s">
        <v>1105</v>
      </c>
      <c r="F3408" s="4" t="s">
        <v>28</v>
      </c>
      <c r="G3408" s="204" t="s">
        <v>28</v>
      </c>
      <c r="H3408" s="4" t="s">
        <v>523</v>
      </c>
      <c r="I3408" s="204"/>
      <c r="J3408" s="21" t="s">
        <v>2276</v>
      </c>
      <c r="K3408" s="21" t="s">
        <v>2276</v>
      </c>
      <c r="L3408" s="21" t="s">
        <v>2276</v>
      </c>
      <c r="M3408" s="21" t="s">
        <v>2276</v>
      </c>
      <c r="N3408" s="21" t="s">
        <v>2276</v>
      </c>
      <c r="O3408" s="21" t="s">
        <v>2276</v>
      </c>
      <c r="P3408" s="21" t="s">
        <v>2276</v>
      </c>
      <c r="Q3408" s="21" t="s">
        <v>2276</v>
      </c>
      <c r="R3408" s="21" t="s">
        <v>2276</v>
      </c>
      <c r="S3408" s="21" t="s">
        <v>2276</v>
      </c>
      <c r="T3408" s="21">
        <f>'Record info'!K$1408*X3408</f>
        <v>13273.78</v>
      </c>
      <c r="U3408" s="21" t="s">
        <v>2276</v>
      </c>
      <c r="V3408" s="21">
        <f>26*0.019</f>
        <v>0.49399999999999999</v>
      </c>
      <c r="W3408" s="21" t="s">
        <v>2276</v>
      </c>
      <c r="X3408" s="21">
        <f t="shared" si="10"/>
        <v>0.49399999999999999</v>
      </c>
      <c r="Y3408" s="21" t="s">
        <v>2276</v>
      </c>
      <c r="Z3408" s="204" t="s">
        <v>35</v>
      </c>
      <c r="AA3408" s="204" t="s">
        <v>35</v>
      </c>
      <c r="AB3408" s="21" t="s">
        <v>2276</v>
      </c>
      <c r="AC3408" s="204"/>
      <c r="AD3408" s="204"/>
    </row>
    <row r="3409" spans="1:30" ht="37" customHeight="1">
      <c r="A3409" s="11" t="s">
        <v>9009</v>
      </c>
      <c r="B3409" s="11" t="s">
        <v>9048</v>
      </c>
      <c r="C3409" s="4" t="s">
        <v>24</v>
      </c>
      <c r="D3409" s="204" t="s">
        <v>2659</v>
      </c>
      <c r="E3409" s="204" t="s">
        <v>1105</v>
      </c>
      <c r="F3409" s="4" t="s">
        <v>28</v>
      </c>
      <c r="G3409" s="204" t="s">
        <v>28</v>
      </c>
      <c r="H3409" s="4" t="s">
        <v>523</v>
      </c>
      <c r="I3409" s="204"/>
      <c r="J3409" s="21" t="s">
        <v>2276</v>
      </c>
      <c r="K3409" s="21" t="s">
        <v>2276</v>
      </c>
      <c r="L3409" s="21" t="s">
        <v>2276</v>
      </c>
      <c r="M3409" s="21" t="s">
        <v>2276</v>
      </c>
      <c r="N3409" s="21" t="s">
        <v>2276</v>
      </c>
      <c r="O3409" s="21" t="s">
        <v>2276</v>
      </c>
      <c r="P3409" s="21" t="s">
        <v>2276</v>
      </c>
      <c r="Q3409" s="21" t="s">
        <v>2276</v>
      </c>
      <c r="R3409" s="21" t="s">
        <v>2276</v>
      </c>
      <c r="S3409" s="21" t="s">
        <v>2276</v>
      </c>
      <c r="T3409" s="21">
        <f>'Record info'!K$1408*X3409</f>
        <v>113176.43999999999</v>
      </c>
      <c r="U3409" s="21" t="s">
        <v>2276</v>
      </c>
      <c r="V3409" s="21">
        <f>26*0.162</f>
        <v>4.2119999999999997</v>
      </c>
      <c r="W3409" s="21" t="s">
        <v>2276</v>
      </c>
      <c r="X3409" s="21">
        <f t="shared" si="10"/>
        <v>4.2119999999999997</v>
      </c>
      <c r="Y3409" s="21" t="s">
        <v>2276</v>
      </c>
      <c r="Z3409" s="204" t="s">
        <v>127</v>
      </c>
      <c r="AA3409" s="204" t="s">
        <v>127</v>
      </c>
      <c r="AB3409" s="21" t="s">
        <v>2276</v>
      </c>
      <c r="AC3409" s="204"/>
      <c r="AD3409" s="204"/>
    </row>
    <row r="3410" spans="1:30" ht="37" customHeight="1">
      <c r="A3410" s="11" t="s">
        <v>9009</v>
      </c>
      <c r="B3410" s="11" t="s">
        <v>9049</v>
      </c>
      <c r="C3410" s="4" t="s">
        <v>24</v>
      </c>
      <c r="D3410" s="204" t="s">
        <v>2659</v>
      </c>
      <c r="E3410" s="204" t="s">
        <v>1105</v>
      </c>
      <c r="F3410" s="4" t="s">
        <v>28</v>
      </c>
      <c r="G3410" s="204" t="s">
        <v>28</v>
      </c>
      <c r="H3410" s="4" t="s">
        <v>523</v>
      </c>
      <c r="I3410" s="204"/>
      <c r="J3410" s="21" t="s">
        <v>2276</v>
      </c>
      <c r="K3410" s="21" t="s">
        <v>2276</v>
      </c>
      <c r="L3410" s="21" t="s">
        <v>2276</v>
      </c>
      <c r="M3410" s="21" t="s">
        <v>2276</v>
      </c>
      <c r="N3410" s="21" t="s">
        <v>2276</v>
      </c>
      <c r="O3410" s="21" t="s">
        <v>2276</v>
      </c>
      <c r="P3410" s="21" t="s">
        <v>2276</v>
      </c>
      <c r="Q3410" s="21" t="s">
        <v>2276</v>
      </c>
      <c r="R3410" s="21" t="s">
        <v>2276</v>
      </c>
      <c r="S3410" s="21" t="s">
        <v>2276</v>
      </c>
      <c r="T3410" s="21">
        <f>'Record info'!K$1408*X3410</f>
        <v>114573.68000000001</v>
      </c>
      <c r="U3410" s="21" t="s">
        <v>2276</v>
      </c>
      <c r="V3410" s="21">
        <f>26*0.164</f>
        <v>4.2640000000000002</v>
      </c>
      <c r="W3410" s="21" t="s">
        <v>2276</v>
      </c>
      <c r="X3410" s="21">
        <f t="shared" si="10"/>
        <v>4.2640000000000002</v>
      </c>
      <c r="Y3410" s="21" t="s">
        <v>2276</v>
      </c>
      <c r="Z3410" s="204" t="s">
        <v>399</v>
      </c>
      <c r="AA3410" s="204" t="s">
        <v>399</v>
      </c>
      <c r="AB3410" s="21" t="s">
        <v>2276</v>
      </c>
      <c r="AC3410" s="204"/>
      <c r="AD3410" s="204"/>
    </row>
    <row r="3411" spans="1:30" ht="37" customHeight="1">
      <c r="A3411" s="11" t="s">
        <v>9009</v>
      </c>
      <c r="B3411" s="11" t="s">
        <v>9050</v>
      </c>
      <c r="C3411" s="4" t="s">
        <v>24</v>
      </c>
      <c r="D3411" s="204" t="s">
        <v>2659</v>
      </c>
      <c r="E3411" s="204" t="s">
        <v>1105</v>
      </c>
      <c r="F3411" s="4" t="s">
        <v>28</v>
      </c>
      <c r="G3411" s="204" t="s">
        <v>28</v>
      </c>
      <c r="H3411" s="4" t="s">
        <v>523</v>
      </c>
      <c r="I3411" s="204"/>
      <c r="J3411" s="21" t="s">
        <v>2276</v>
      </c>
      <c r="K3411" s="21" t="s">
        <v>2276</v>
      </c>
      <c r="L3411" s="21" t="s">
        <v>2276</v>
      </c>
      <c r="M3411" s="21" t="s">
        <v>2276</v>
      </c>
      <c r="N3411" s="21" t="s">
        <v>2276</v>
      </c>
      <c r="O3411" s="21" t="s">
        <v>2276</v>
      </c>
      <c r="P3411" s="21" t="s">
        <v>2276</v>
      </c>
      <c r="Q3411" s="21" t="s">
        <v>2276</v>
      </c>
      <c r="R3411" s="21" t="s">
        <v>2276</v>
      </c>
      <c r="S3411" s="21" t="s">
        <v>2276</v>
      </c>
      <c r="T3411" s="21">
        <f>'Record info'!K$1408*X3411</f>
        <v>4191.72</v>
      </c>
      <c r="U3411" s="21" t="s">
        <v>2276</v>
      </c>
      <c r="V3411" s="21">
        <f>26*0.006</f>
        <v>0.156</v>
      </c>
      <c r="W3411" s="21" t="s">
        <v>2276</v>
      </c>
      <c r="X3411" s="21">
        <f t="shared" si="10"/>
        <v>0.156</v>
      </c>
      <c r="Y3411" s="21" t="s">
        <v>2276</v>
      </c>
      <c r="Z3411" s="204" t="s">
        <v>188</v>
      </c>
      <c r="AA3411" s="204" t="s">
        <v>188</v>
      </c>
      <c r="AB3411" s="21" t="s">
        <v>2276</v>
      </c>
      <c r="AC3411" s="204"/>
      <c r="AD3411" s="204"/>
    </row>
    <row r="3412" spans="1:30" ht="37" customHeight="1">
      <c r="A3412" s="11" t="s">
        <v>9009</v>
      </c>
      <c r="B3412" s="11" t="s">
        <v>9051</v>
      </c>
      <c r="C3412" s="4" t="s">
        <v>24</v>
      </c>
      <c r="D3412" s="204" t="s">
        <v>2659</v>
      </c>
      <c r="E3412" s="204" t="s">
        <v>1105</v>
      </c>
      <c r="F3412" s="4" t="s">
        <v>28</v>
      </c>
      <c r="G3412" s="204" t="s">
        <v>28</v>
      </c>
      <c r="H3412" s="4" t="s">
        <v>523</v>
      </c>
      <c r="I3412" s="204"/>
      <c r="J3412" s="21" t="s">
        <v>2276</v>
      </c>
      <c r="K3412" s="21" t="s">
        <v>2276</v>
      </c>
      <c r="L3412" s="21" t="s">
        <v>2276</v>
      </c>
      <c r="M3412" s="21" t="s">
        <v>2276</v>
      </c>
      <c r="N3412" s="21" t="s">
        <v>2276</v>
      </c>
      <c r="O3412" s="21" t="s">
        <v>2276</v>
      </c>
      <c r="P3412" s="21" t="s">
        <v>2276</v>
      </c>
      <c r="Q3412" s="21" t="s">
        <v>2276</v>
      </c>
      <c r="R3412" s="21" t="s">
        <v>2276</v>
      </c>
      <c r="S3412" s="21" t="s">
        <v>2276</v>
      </c>
      <c r="T3412" s="21">
        <f>'Record info'!K$1408*X3412</f>
        <v>6287.58</v>
      </c>
      <c r="U3412" s="21" t="s">
        <v>2276</v>
      </c>
      <c r="V3412" s="21">
        <f>26*0.009</f>
        <v>0.23399999999999999</v>
      </c>
      <c r="W3412" s="21" t="s">
        <v>2276</v>
      </c>
      <c r="X3412" s="21">
        <f t="shared" si="10"/>
        <v>0.23399999999999999</v>
      </c>
      <c r="Y3412" s="21" t="s">
        <v>2276</v>
      </c>
      <c r="Z3412" s="204" t="s">
        <v>189</v>
      </c>
      <c r="AA3412" s="204" t="s">
        <v>189</v>
      </c>
      <c r="AB3412" s="21" t="s">
        <v>2276</v>
      </c>
      <c r="AC3412" s="204"/>
      <c r="AD3412" s="204"/>
    </row>
    <row r="3413" spans="1:30" ht="38" customHeight="1">
      <c r="A3413" s="11" t="s">
        <v>9009</v>
      </c>
      <c r="B3413" s="11" t="s">
        <v>9052</v>
      </c>
      <c r="C3413" s="4" t="s">
        <v>24</v>
      </c>
      <c r="D3413" s="204" t="s">
        <v>2659</v>
      </c>
      <c r="E3413" s="204" t="s">
        <v>1105</v>
      </c>
      <c r="F3413" s="4" t="s">
        <v>28</v>
      </c>
      <c r="G3413" s="204" t="s">
        <v>28</v>
      </c>
      <c r="H3413" s="4" t="s">
        <v>523</v>
      </c>
      <c r="I3413" s="204"/>
      <c r="J3413" s="21" t="s">
        <v>2276</v>
      </c>
      <c r="K3413" s="21" t="s">
        <v>2276</v>
      </c>
      <c r="L3413" s="21" t="s">
        <v>2276</v>
      </c>
      <c r="M3413" s="21" t="s">
        <v>2276</v>
      </c>
      <c r="N3413" s="21" t="s">
        <v>2276</v>
      </c>
      <c r="O3413" s="21" t="s">
        <v>2276</v>
      </c>
      <c r="P3413" s="21" t="s">
        <v>2276</v>
      </c>
      <c r="Q3413" s="21" t="s">
        <v>2276</v>
      </c>
      <c r="R3413" s="21" t="s">
        <v>2276</v>
      </c>
      <c r="S3413" s="21" t="s">
        <v>2276</v>
      </c>
      <c r="T3413" s="21">
        <f>'Record info'!K$1408*X3413</f>
        <v>90121.98</v>
      </c>
      <c r="U3413" s="21" t="s">
        <v>2276</v>
      </c>
      <c r="V3413" s="21">
        <f>26*0.129</f>
        <v>3.3540000000000001</v>
      </c>
      <c r="W3413" s="21" t="s">
        <v>2276</v>
      </c>
      <c r="X3413" s="21">
        <f t="shared" si="10"/>
        <v>3.3540000000000001</v>
      </c>
      <c r="Y3413" s="21" t="s">
        <v>2276</v>
      </c>
      <c r="Z3413" s="204" t="s">
        <v>38</v>
      </c>
      <c r="AA3413" s="204" t="s">
        <v>38</v>
      </c>
      <c r="AB3413" s="21" t="s">
        <v>2276</v>
      </c>
      <c r="AC3413" s="204"/>
      <c r="AD3413" s="204"/>
    </row>
    <row r="3414" spans="1:30" ht="38" customHeight="1">
      <c r="A3414" s="11" t="s">
        <v>9003</v>
      </c>
      <c r="B3414" s="11" t="s">
        <v>9014</v>
      </c>
      <c r="C3414" s="4" t="s">
        <v>24</v>
      </c>
      <c r="D3414" s="204" t="s">
        <v>2659</v>
      </c>
      <c r="E3414" s="204" t="s">
        <v>1105</v>
      </c>
      <c r="F3414" s="4" t="s">
        <v>28</v>
      </c>
      <c r="G3414" s="204" t="s">
        <v>28</v>
      </c>
      <c r="H3414" s="4" t="s">
        <v>523</v>
      </c>
      <c r="I3414" s="204"/>
      <c r="J3414" s="21" t="s">
        <v>2276</v>
      </c>
      <c r="K3414" s="21" t="s">
        <v>2276</v>
      </c>
      <c r="L3414" s="21" t="s">
        <v>2276</v>
      </c>
      <c r="M3414" s="21" t="s">
        <v>2276</v>
      </c>
      <c r="N3414" s="21" t="s">
        <v>2276</v>
      </c>
      <c r="O3414" s="21" t="s">
        <v>2276</v>
      </c>
      <c r="P3414" s="21" t="s">
        <v>2276</v>
      </c>
      <c r="Q3414" s="21" t="s">
        <v>2276</v>
      </c>
      <c r="R3414" s="21" t="s">
        <v>2276</v>
      </c>
      <c r="S3414" s="21" t="s">
        <v>2276</v>
      </c>
      <c r="T3414" s="21">
        <f>'Record info'!K$1409*X3414</f>
        <v>59313.919999999998</v>
      </c>
      <c r="U3414" s="21" t="s">
        <v>2276</v>
      </c>
      <c r="V3414" s="21">
        <f>16*0.149</f>
        <v>2.3839999999999999</v>
      </c>
      <c r="W3414" s="21" t="s">
        <v>2276</v>
      </c>
      <c r="X3414" s="21">
        <f>V3414</f>
        <v>2.3839999999999999</v>
      </c>
      <c r="Y3414" s="21" t="s">
        <v>2276</v>
      </c>
      <c r="Z3414" s="204" t="s">
        <v>86</v>
      </c>
      <c r="AA3414" s="204" t="s">
        <v>86</v>
      </c>
      <c r="AB3414" s="21" t="s">
        <v>2276</v>
      </c>
      <c r="AC3414" s="204"/>
      <c r="AD3414" s="204"/>
    </row>
    <row r="3415" spans="1:30" ht="38" customHeight="1">
      <c r="A3415" s="11" t="s">
        <v>9003</v>
      </c>
      <c r="B3415" s="11" t="s">
        <v>9053</v>
      </c>
      <c r="C3415" s="4" t="s">
        <v>24</v>
      </c>
      <c r="D3415" s="204" t="s">
        <v>2659</v>
      </c>
      <c r="E3415" s="204" t="s">
        <v>1105</v>
      </c>
      <c r="F3415" s="4" t="s">
        <v>28</v>
      </c>
      <c r="G3415" s="204" t="s">
        <v>28</v>
      </c>
      <c r="H3415" s="4" t="s">
        <v>523</v>
      </c>
      <c r="I3415" s="204"/>
      <c r="J3415" s="21" t="s">
        <v>2276</v>
      </c>
      <c r="K3415" s="21" t="s">
        <v>2276</v>
      </c>
      <c r="L3415" s="21" t="s">
        <v>2276</v>
      </c>
      <c r="M3415" s="21" t="s">
        <v>2276</v>
      </c>
      <c r="N3415" s="21" t="s">
        <v>2276</v>
      </c>
      <c r="O3415" s="21" t="s">
        <v>2276</v>
      </c>
      <c r="P3415" s="21" t="s">
        <v>2276</v>
      </c>
      <c r="Q3415" s="21" t="s">
        <v>2276</v>
      </c>
      <c r="R3415" s="21" t="s">
        <v>2276</v>
      </c>
      <c r="S3415" s="21" t="s">
        <v>2276</v>
      </c>
      <c r="T3415" s="21">
        <f>'Record info'!K$1409*X3415</f>
        <v>27865.600000000002</v>
      </c>
      <c r="U3415" s="21" t="s">
        <v>2276</v>
      </c>
      <c r="V3415" s="21">
        <f>16*0.07</f>
        <v>1.1200000000000001</v>
      </c>
      <c r="W3415" s="21" t="s">
        <v>2276</v>
      </c>
      <c r="X3415" s="21">
        <f t="shared" ref="X3415:X3425" si="11">V3415</f>
        <v>1.1200000000000001</v>
      </c>
      <c r="Y3415" s="21" t="s">
        <v>2276</v>
      </c>
      <c r="Z3415" s="204" t="s">
        <v>34</v>
      </c>
      <c r="AA3415" s="204" t="s">
        <v>34</v>
      </c>
      <c r="AB3415" s="21" t="s">
        <v>2276</v>
      </c>
      <c r="AC3415" s="204"/>
      <c r="AD3415" s="204"/>
    </row>
    <row r="3416" spans="1:30" ht="38" customHeight="1">
      <c r="A3416" s="11" t="s">
        <v>9003</v>
      </c>
      <c r="B3416" s="11" t="s">
        <v>9054</v>
      </c>
      <c r="C3416" s="4" t="s">
        <v>24</v>
      </c>
      <c r="D3416" s="204" t="s">
        <v>2659</v>
      </c>
      <c r="E3416" s="204" t="s">
        <v>1105</v>
      </c>
      <c r="F3416" s="4" t="s">
        <v>28</v>
      </c>
      <c r="G3416" s="204" t="s">
        <v>28</v>
      </c>
      <c r="H3416" s="4" t="s">
        <v>523</v>
      </c>
      <c r="I3416" s="204"/>
      <c r="J3416" s="21" t="s">
        <v>2276</v>
      </c>
      <c r="K3416" s="21" t="s">
        <v>2276</v>
      </c>
      <c r="L3416" s="21" t="s">
        <v>2276</v>
      </c>
      <c r="M3416" s="21" t="s">
        <v>2276</v>
      </c>
      <c r="N3416" s="21" t="s">
        <v>2276</v>
      </c>
      <c r="O3416" s="21" t="s">
        <v>2276</v>
      </c>
      <c r="P3416" s="21" t="s">
        <v>2276</v>
      </c>
      <c r="Q3416" s="21" t="s">
        <v>2276</v>
      </c>
      <c r="R3416" s="21" t="s">
        <v>2276</v>
      </c>
      <c r="S3416" s="21" t="s">
        <v>2276</v>
      </c>
      <c r="T3416" s="21">
        <f>'Record info'!K$1409*X3416</f>
        <v>2388.48</v>
      </c>
      <c r="U3416" s="21" t="s">
        <v>2276</v>
      </c>
      <c r="V3416" s="21">
        <f>16*0.006</f>
        <v>9.6000000000000002E-2</v>
      </c>
      <c r="W3416" s="21" t="s">
        <v>2276</v>
      </c>
      <c r="X3416" s="21">
        <f t="shared" si="11"/>
        <v>9.6000000000000002E-2</v>
      </c>
      <c r="Y3416" s="21" t="s">
        <v>2276</v>
      </c>
      <c r="Z3416" s="204" t="s">
        <v>404</v>
      </c>
      <c r="AA3416" s="204" t="s">
        <v>404</v>
      </c>
      <c r="AB3416" s="21" t="s">
        <v>2276</v>
      </c>
      <c r="AC3416" s="204"/>
      <c r="AD3416" s="204"/>
    </row>
    <row r="3417" spans="1:30" ht="38" customHeight="1">
      <c r="A3417" s="11" t="s">
        <v>9003</v>
      </c>
      <c r="B3417" s="11" t="s">
        <v>9055</v>
      </c>
      <c r="C3417" s="4" t="s">
        <v>24</v>
      </c>
      <c r="D3417" s="204" t="s">
        <v>2659</v>
      </c>
      <c r="E3417" s="204" t="s">
        <v>1105</v>
      </c>
      <c r="F3417" s="4" t="s">
        <v>28</v>
      </c>
      <c r="G3417" s="204" t="s">
        <v>28</v>
      </c>
      <c r="H3417" s="4" t="s">
        <v>524</v>
      </c>
      <c r="I3417" s="204"/>
      <c r="J3417" s="21">
        <v>0</v>
      </c>
      <c r="K3417" s="21">
        <v>0</v>
      </c>
      <c r="L3417" s="21">
        <v>0</v>
      </c>
      <c r="M3417" s="21">
        <v>0</v>
      </c>
      <c r="N3417" s="21">
        <v>0</v>
      </c>
      <c r="O3417" s="21">
        <v>0</v>
      </c>
      <c r="P3417" s="21">
        <v>0</v>
      </c>
      <c r="Q3417" s="21">
        <v>0</v>
      </c>
      <c r="R3417" s="21">
        <v>0</v>
      </c>
      <c r="S3417" s="21">
        <v>0</v>
      </c>
      <c r="T3417" s="21">
        <v>0</v>
      </c>
      <c r="U3417" s="21">
        <v>0</v>
      </c>
      <c r="V3417" s="21">
        <v>0</v>
      </c>
      <c r="W3417" s="21">
        <v>0</v>
      </c>
      <c r="X3417" s="21">
        <v>0</v>
      </c>
      <c r="Y3417" s="21" t="s">
        <v>2276</v>
      </c>
      <c r="Z3417" s="204" t="s">
        <v>405</v>
      </c>
      <c r="AA3417" s="204" t="s">
        <v>405</v>
      </c>
      <c r="AB3417" s="21" t="s">
        <v>2276</v>
      </c>
      <c r="AC3417" s="204"/>
      <c r="AD3417" s="204"/>
    </row>
    <row r="3418" spans="1:30" ht="38" customHeight="1">
      <c r="A3418" s="11" t="s">
        <v>9003</v>
      </c>
      <c r="B3418" s="11" t="s">
        <v>9056</v>
      </c>
      <c r="C3418" s="4" t="s">
        <v>24</v>
      </c>
      <c r="D3418" s="204" t="s">
        <v>2659</v>
      </c>
      <c r="E3418" s="204" t="s">
        <v>1105</v>
      </c>
      <c r="F3418" s="4" t="s">
        <v>28</v>
      </c>
      <c r="G3418" s="204" t="s">
        <v>28</v>
      </c>
      <c r="H3418" s="4" t="s">
        <v>524</v>
      </c>
      <c r="I3418" s="204"/>
      <c r="J3418" s="21">
        <v>0</v>
      </c>
      <c r="K3418" s="21">
        <v>0</v>
      </c>
      <c r="L3418" s="21">
        <v>0</v>
      </c>
      <c r="M3418" s="21">
        <v>0</v>
      </c>
      <c r="N3418" s="21">
        <v>0</v>
      </c>
      <c r="O3418" s="21">
        <v>0</v>
      </c>
      <c r="P3418" s="21">
        <v>0</v>
      </c>
      <c r="Q3418" s="21">
        <v>0</v>
      </c>
      <c r="R3418" s="21">
        <v>0</v>
      </c>
      <c r="S3418" s="21">
        <v>0</v>
      </c>
      <c r="T3418" s="21">
        <v>0</v>
      </c>
      <c r="U3418" s="21">
        <v>0</v>
      </c>
      <c r="V3418" s="21">
        <v>0</v>
      </c>
      <c r="W3418" s="21">
        <v>0</v>
      </c>
      <c r="X3418" s="21">
        <v>0</v>
      </c>
      <c r="Y3418" s="21" t="s">
        <v>2276</v>
      </c>
      <c r="Z3418" s="204" t="s">
        <v>425</v>
      </c>
      <c r="AA3418" s="204" t="s">
        <v>425</v>
      </c>
      <c r="AB3418" s="21" t="s">
        <v>2276</v>
      </c>
      <c r="AC3418" s="204"/>
      <c r="AD3418" s="204"/>
    </row>
    <row r="3419" spans="1:30" ht="38" customHeight="1">
      <c r="A3419" s="11" t="s">
        <v>9003</v>
      </c>
      <c r="B3419" s="11" t="s">
        <v>9057</v>
      </c>
      <c r="C3419" s="4" t="s">
        <v>24</v>
      </c>
      <c r="D3419" s="204" t="s">
        <v>2659</v>
      </c>
      <c r="E3419" s="204" t="s">
        <v>1105</v>
      </c>
      <c r="F3419" s="4" t="s">
        <v>28</v>
      </c>
      <c r="G3419" s="204" t="s">
        <v>28</v>
      </c>
      <c r="H3419" s="4" t="s">
        <v>523</v>
      </c>
      <c r="I3419" s="204"/>
      <c r="J3419" s="21" t="s">
        <v>2276</v>
      </c>
      <c r="K3419" s="21" t="s">
        <v>2276</v>
      </c>
      <c r="L3419" s="21" t="s">
        <v>2276</v>
      </c>
      <c r="M3419" s="21" t="s">
        <v>2276</v>
      </c>
      <c r="N3419" s="21" t="s">
        <v>2276</v>
      </c>
      <c r="O3419" s="21" t="s">
        <v>2276</v>
      </c>
      <c r="P3419" s="21" t="s">
        <v>2276</v>
      </c>
      <c r="Q3419" s="21" t="s">
        <v>2276</v>
      </c>
      <c r="R3419" s="21" t="s">
        <v>2276</v>
      </c>
      <c r="S3419" s="21" t="s">
        <v>2276</v>
      </c>
      <c r="T3419" s="21">
        <f>'Record info'!K$1409*X3419</f>
        <v>2388.48</v>
      </c>
      <c r="U3419" s="21" t="s">
        <v>2276</v>
      </c>
      <c r="V3419" s="21">
        <f>16*0.006</f>
        <v>9.6000000000000002E-2</v>
      </c>
      <c r="W3419" s="21" t="s">
        <v>2276</v>
      </c>
      <c r="X3419" s="21">
        <f t="shared" si="11"/>
        <v>9.6000000000000002E-2</v>
      </c>
      <c r="Y3419" s="21" t="s">
        <v>2276</v>
      </c>
      <c r="Z3419" s="204" t="s">
        <v>68</v>
      </c>
      <c r="AA3419" s="204" t="s">
        <v>68</v>
      </c>
      <c r="AB3419" s="21" t="s">
        <v>2276</v>
      </c>
      <c r="AC3419" s="204"/>
      <c r="AD3419" s="204"/>
    </row>
    <row r="3420" spans="1:30" ht="38" customHeight="1">
      <c r="A3420" s="11" t="s">
        <v>9003</v>
      </c>
      <c r="B3420" s="11" t="s">
        <v>9058</v>
      </c>
      <c r="C3420" s="4" t="s">
        <v>24</v>
      </c>
      <c r="D3420" s="204" t="s">
        <v>2659</v>
      </c>
      <c r="E3420" s="204" t="s">
        <v>1105</v>
      </c>
      <c r="F3420" s="4" t="s">
        <v>28</v>
      </c>
      <c r="G3420" s="204" t="s">
        <v>28</v>
      </c>
      <c r="H3420" s="4" t="s">
        <v>523</v>
      </c>
      <c r="I3420" s="204"/>
      <c r="J3420" s="21" t="s">
        <v>2276</v>
      </c>
      <c r="K3420" s="21" t="s">
        <v>2276</v>
      </c>
      <c r="L3420" s="21" t="s">
        <v>2276</v>
      </c>
      <c r="M3420" s="21" t="s">
        <v>2276</v>
      </c>
      <c r="N3420" s="21" t="s">
        <v>2276</v>
      </c>
      <c r="O3420" s="21" t="s">
        <v>2276</v>
      </c>
      <c r="P3420" s="21" t="s">
        <v>2276</v>
      </c>
      <c r="Q3420" s="21" t="s">
        <v>2276</v>
      </c>
      <c r="R3420" s="21" t="s">
        <v>2276</v>
      </c>
      <c r="S3420" s="21" t="s">
        <v>2276</v>
      </c>
      <c r="T3420" s="21">
        <f>'Record info'!K$1409*X3420</f>
        <v>9155.84</v>
      </c>
      <c r="U3420" s="21" t="s">
        <v>2276</v>
      </c>
      <c r="V3420" s="21">
        <f>16*0.023</f>
        <v>0.36799999999999999</v>
      </c>
      <c r="W3420" s="21" t="s">
        <v>2276</v>
      </c>
      <c r="X3420" s="21">
        <f t="shared" ref="X3420:X3425" si="12">V3420</f>
        <v>0.36799999999999999</v>
      </c>
      <c r="Y3420" s="21" t="s">
        <v>2276</v>
      </c>
      <c r="Z3420" s="204" t="s">
        <v>35</v>
      </c>
      <c r="AA3420" s="204" t="s">
        <v>35</v>
      </c>
      <c r="AB3420" s="21" t="s">
        <v>2276</v>
      </c>
      <c r="AC3420" s="204"/>
      <c r="AD3420" s="204"/>
    </row>
    <row r="3421" spans="1:30" ht="38" customHeight="1">
      <c r="A3421" s="11" t="s">
        <v>9003</v>
      </c>
      <c r="B3421" s="11" t="s">
        <v>9059</v>
      </c>
      <c r="C3421" s="4" t="s">
        <v>24</v>
      </c>
      <c r="D3421" s="204" t="s">
        <v>2659</v>
      </c>
      <c r="E3421" s="204" t="s">
        <v>1105</v>
      </c>
      <c r="F3421" s="4" t="s">
        <v>28</v>
      </c>
      <c r="G3421" s="204" t="s">
        <v>28</v>
      </c>
      <c r="H3421" s="4" t="s">
        <v>523</v>
      </c>
      <c r="I3421" s="204"/>
      <c r="J3421" s="21" t="s">
        <v>2276</v>
      </c>
      <c r="K3421" s="21" t="s">
        <v>2276</v>
      </c>
      <c r="L3421" s="21" t="s">
        <v>2276</v>
      </c>
      <c r="M3421" s="21" t="s">
        <v>2276</v>
      </c>
      <c r="N3421" s="21" t="s">
        <v>2276</v>
      </c>
      <c r="O3421" s="21" t="s">
        <v>2276</v>
      </c>
      <c r="P3421" s="21" t="s">
        <v>2276</v>
      </c>
      <c r="Q3421" s="21" t="s">
        <v>2276</v>
      </c>
      <c r="R3421" s="21" t="s">
        <v>2276</v>
      </c>
      <c r="S3421" s="21" t="s">
        <v>2276</v>
      </c>
      <c r="T3421" s="21">
        <f>'Record info'!K$1409*X3421</f>
        <v>91160.320000000007</v>
      </c>
      <c r="U3421" s="21" t="s">
        <v>2276</v>
      </c>
      <c r="V3421" s="21">
        <f>16*0.229</f>
        <v>3.6640000000000001</v>
      </c>
      <c r="W3421" s="21" t="s">
        <v>2276</v>
      </c>
      <c r="X3421" s="21">
        <f t="shared" si="12"/>
        <v>3.6640000000000001</v>
      </c>
      <c r="Y3421" s="21" t="s">
        <v>2276</v>
      </c>
      <c r="Z3421" s="204" t="s">
        <v>127</v>
      </c>
      <c r="AA3421" s="204" t="s">
        <v>127</v>
      </c>
      <c r="AB3421" s="21" t="s">
        <v>2276</v>
      </c>
      <c r="AC3421" s="204"/>
      <c r="AD3421" s="204"/>
    </row>
    <row r="3422" spans="1:30" ht="38" customHeight="1">
      <c r="A3422" s="11" t="s">
        <v>9003</v>
      </c>
      <c r="B3422" s="11" t="s">
        <v>9060</v>
      </c>
      <c r="C3422" s="4" t="s">
        <v>24</v>
      </c>
      <c r="D3422" s="204" t="s">
        <v>2659</v>
      </c>
      <c r="E3422" s="204" t="s">
        <v>1105</v>
      </c>
      <c r="F3422" s="4" t="s">
        <v>28</v>
      </c>
      <c r="G3422" s="204" t="s">
        <v>28</v>
      </c>
      <c r="H3422" s="4" t="s">
        <v>523</v>
      </c>
      <c r="I3422" s="204"/>
      <c r="J3422" s="21" t="s">
        <v>2276</v>
      </c>
      <c r="K3422" s="21" t="s">
        <v>2276</v>
      </c>
      <c r="L3422" s="21" t="s">
        <v>2276</v>
      </c>
      <c r="M3422" s="21" t="s">
        <v>2276</v>
      </c>
      <c r="N3422" s="21" t="s">
        <v>2276</v>
      </c>
      <c r="O3422" s="21" t="s">
        <v>2276</v>
      </c>
      <c r="P3422" s="21" t="s">
        <v>2276</v>
      </c>
      <c r="Q3422" s="21" t="s">
        <v>2276</v>
      </c>
      <c r="R3422" s="21" t="s">
        <v>2276</v>
      </c>
      <c r="S3422" s="21" t="s">
        <v>2276</v>
      </c>
      <c r="T3422" s="21">
        <f>'Record info'!K$1409*X3422</f>
        <v>58517.759999999995</v>
      </c>
      <c r="U3422" s="21" t="s">
        <v>2276</v>
      </c>
      <c r="V3422" s="21">
        <f>16*0.147</f>
        <v>2.3519999999999999</v>
      </c>
      <c r="W3422" s="21" t="s">
        <v>2276</v>
      </c>
      <c r="X3422" s="21">
        <f t="shared" si="12"/>
        <v>2.3519999999999999</v>
      </c>
      <c r="Y3422" s="21" t="s">
        <v>2276</v>
      </c>
      <c r="Z3422" s="204" t="s">
        <v>399</v>
      </c>
      <c r="AA3422" s="204" t="s">
        <v>399</v>
      </c>
      <c r="AB3422" s="21" t="s">
        <v>2276</v>
      </c>
      <c r="AC3422" s="204"/>
      <c r="AD3422" s="204"/>
    </row>
    <row r="3423" spans="1:30" ht="38" customHeight="1">
      <c r="A3423" s="11" t="s">
        <v>9003</v>
      </c>
      <c r="B3423" s="11" t="s">
        <v>9061</v>
      </c>
      <c r="C3423" s="4" t="s">
        <v>24</v>
      </c>
      <c r="D3423" s="204" t="s">
        <v>2659</v>
      </c>
      <c r="E3423" s="204" t="s">
        <v>1105</v>
      </c>
      <c r="F3423" s="4" t="s">
        <v>28</v>
      </c>
      <c r="G3423" s="204" t="s">
        <v>28</v>
      </c>
      <c r="H3423" s="4" t="s">
        <v>523</v>
      </c>
      <c r="I3423" s="204"/>
      <c r="J3423" s="21" t="s">
        <v>2276</v>
      </c>
      <c r="K3423" s="21" t="s">
        <v>2276</v>
      </c>
      <c r="L3423" s="21" t="s">
        <v>2276</v>
      </c>
      <c r="M3423" s="21" t="s">
        <v>2276</v>
      </c>
      <c r="N3423" s="21" t="s">
        <v>2276</v>
      </c>
      <c r="O3423" s="21" t="s">
        <v>2276</v>
      </c>
      <c r="P3423" s="21" t="s">
        <v>2276</v>
      </c>
      <c r="Q3423" s="21" t="s">
        <v>2276</v>
      </c>
      <c r="R3423" s="21" t="s">
        <v>2276</v>
      </c>
      <c r="S3423" s="21" t="s">
        <v>2276</v>
      </c>
      <c r="T3423" s="21">
        <f>'Record info'!K$1409*X3423</f>
        <v>1592.32</v>
      </c>
      <c r="U3423" s="21" t="s">
        <v>2276</v>
      </c>
      <c r="V3423" s="21">
        <f>16*0.004</f>
        <v>6.4000000000000001E-2</v>
      </c>
      <c r="W3423" s="21" t="s">
        <v>2276</v>
      </c>
      <c r="X3423" s="21">
        <f t="shared" si="12"/>
        <v>6.4000000000000001E-2</v>
      </c>
      <c r="Y3423" s="21" t="s">
        <v>2276</v>
      </c>
      <c r="Z3423" s="204" t="s">
        <v>188</v>
      </c>
      <c r="AA3423" s="204" t="s">
        <v>188</v>
      </c>
      <c r="AB3423" s="21" t="s">
        <v>2276</v>
      </c>
      <c r="AC3423" s="204"/>
      <c r="AD3423" s="204"/>
    </row>
    <row r="3424" spans="1:30" ht="38" customHeight="1">
      <c r="A3424" s="11" t="s">
        <v>9003</v>
      </c>
      <c r="B3424" s="11" t="s">
        <v>9062</v>
      </c>
      <c r="C3424" s="4" t="s">
        <v>24</v>
      </c>
      <c r="D3424" s="204" t="s">
        <v>2659</v>
      </c>
      <c r="E3424" s="204" t="s">
        <v>1105</v>
      </c>
      <c r="F3424" s="4" t="s">
        <v>28</v>
      </c>
      <c r="G3424" s="204" t="s">
        <v>28</v>
      </c>
      <c r="H3424" s="4" t="s">
        <v>523</v>
      </c>
      <c r="I3424" s="204"/>
      <c r="J3424" s="21" t="s">
        <v>2276</v>
      </c>
      <c r="K3424" s="21" t="s">
        <v>2276</v>
      </c>
      <c r="L3424" s="21" t="s">
        <v>2276</v>
      </c>
      <c r="M3424" s="21" t="s">
        <v>2276</v>
      </c>
      <c r="N3424" s="21" t="s">
        <v>2276</v>
      </c>
      <c r="O3424" s="21" t="s">
        <v>2276</v>
      </c>
      <c r="P3424" s="21" t="s">
        <v>2276</v>
      </c>
      <c r="Q3424" s="21" t="s">
        <v>2276</v>
      </c>
      <c r="R3424" s="21" t="s">
        <v>2276</v>
      </c>
      <c r="S3424" s="21" t="s">
        <v>2276</v>
      </c>
      <c r="T3424" s="21">
        <f>'Record info'!K$1409*X3424</f>
        <v>18709.759999999998</v>
      </c>
      <c r="U3424" s="21" t="s">
        <v>2276</v>
      </c>
      <c r="V3424" s="21">
        <f>16*0.047</f>
        <v>0.752</v>
      </c>
      <c r="W3424" s="21" t="s">
        <v>2276</v>
      </c>
      <c r="X3424" s="21">
        <f t="shared" si="12"/>
        <v>0.752</v>
      </c>
      <c r="Y3424" s="21" t="s">
        <v>2276</v>
      </c>
      <c r="Z3424" s="204" t="s">
        <v>189</v>
      </c>
      <c r="AA3424" s="204" t="s">
        <v>189</v>
      </c>
      <c r="AB3424" s="21" t="s">
        <v>2276</v>
      </c>
      <c r="AC3424" s="204"/>
      <c r="AD3424" s="204"/>
    </row>
    <row r="3425" spans="1:30" ht="39" customHeight="1">
      <c r="A3425" s="11" t="s">
        <v>9003</v>
      </c>
      <c r="B3425" s="11" t="s">
        <v>9063</v>
      </c>
      <c r="C3425" s="4" t="s">
        <v>24</v>
      </c>
      <c r="D3425" s="204" t="s">
        <v>2659</v>
      </c>
      <c r="E3425" s="204" t="s">
        <v>1105</v>
      </c>
      <c r="F3425" s="4" t="s">
        <v>28</v>
      </c>
      <c r="G3425" s="204" t="s">
        <v>28</v>
      </c>
      <c r="H3425" s="4" t="s">
        <v>523</v>
      </c>
      <c r="I3425" s="204"/>
      <c r="J3425" s="21" t="s">
        <v>2276</v>
      </c>
      <c r="K3425" s="21" t="s">
        <v>2276</v>
      </c>
      <c r="L3425" s="21" t="s">
        <v>2276</v>
      </c>
      <c r="M3425" s="21" t="s">
        <v>2276</v>
      </c>
      <c r="N3425" s="21" t="s">
        <v>2276</v>
      </c>
      <c r="O3425" s="21" t="s">
        <v>2276</v>
      </c>
      <c r="P3425" s="21" t="s">
        <v>2276</v>
      </c>
      <c r="Q3425" s="21" t="s">
        <v>2276</v>
      </c>
      <c r="R3425" s="21" t="s">
        <v>2276</v>
      </c>
      <c r="S3425" s="21" t="s">
        <v>2276</v>
      </c>
      <c r="T3425" s="21">
        <f>'Record info'!K$1409*X3425</f>
        <v>127385.60000000001</v>
      </c>
      <c r="U3425" s="21" t="s">
        <v>2276</v>
      </c>
      <c r="V3425" s="21">
        <f>16*0.32</f>
        <v>5.12</v>
      </c>
      <c r="W3425" s="21" t="s">
        <v>2276</v>
      </c>
      <c r="X3425" s="21">
        <f t="shared" si="12"/>
        <v>5.12</v>
      </c>
      <c r="Y3425" s="21" t="s">
        <v>2276</v>
      </c>
      <c r="Z3425" s="204" t="s">
        <v>38</v>
      </c>
      <c r="AA3425" s="204" t="s">
        <v>38</v>
      </c>
      <c r="AB3425" s="21" t="s">
        <v>2276</v>
      </c>
      <c r="AC3425" s="204"/>
      <c r="AD3425" s="204"/>
    </row>
    <row r="3426" spans="1:30" ht="39" customHeight="1">
      <c r="A3426" s="11" t="s">
        <v>9004</v>
      </c>
      <c r="B3426" s="11" t="s">
        <v>9015</v>
      </c>
      <c r="C3426" s="4" t="s">
        <v>24</v>
      </c>
      <c r="D3426" s="204" t="s">
        <v>2659</v>
      </c>
      <c r="E3426" s="204" t="s">
        <v>1105</v>
      </c>
      <c r="F3426" s="4" t="s">
        <v>28</v>
      </c>
      <c r="G3426" s="204" t="s">
        <v>28</v>
      </c>
      <c r="H3426" s="4" t="s">
        <v>523</v>
      </c>
      <c r="I3426" s="204"/>
      <c r="J3426" s="21" t="s">
        <v>2276</v>
      </c>
      <c r="K3426" s="21" t="s">
        <v>2276</v>
      </c>
      <c r="L3426" s="21" t="s">
        <v>2276</v>
      </c>
      <c r="M3426" s="21" t="s">
        <v>2276</v>
      </c>
      <c r="N3426" s="21" t="s">
        <v>2276</v>
      </c>
      <c r="O3426" s="21" t="s">
        <v>2276</v>
      </c>
      <c r="P3426" s="21" t="s">
        <v>2276</v>
      </c>
      <c r="Q3426" s="21" t="s">
        <v>2276</v>
      </c>
      <c r="R3426" s="21" t="s">
        <v>2276</v>
      </c>
      <c r="S3426" s="21" t="s">
        <v>2276</v>
      </c>
      <c r="T3426" s="21">
        <f>'Record info'!K$1406*X3426</f>
        <v>160685.70000000001</v>
      </c>
      <c r="U3426" s="21" t="s">
        <v>2276</v>
      </c>
      <c r="V3426" s="21">
        <f>70*0.119</f>
        <v>8.33</v>
      </c>
      <c r="W3426" s="21" t="s">
        <v>2276</v>
      </c>
      <c r="X3426" s="21">
        <f>V3426</f>
        <v>8.33</v>
      </c>
      <c r="Y3426" s="21" t="s">
        <v>2276</v>
      </c>
      <c r="Z3426" s="204" t="s">
        <v>86</v>
      </c>
      <c r="AA3426" s="204" t="s">
        <v>86</v>
      </c>
      <c r="AB3426" s="21" t="s">
        <v>2276</v>
      </c>
      <c r="AC3426" s="21"/>
      <c r="AD3426" s="21"/>
    </row>
    <row r="3427" spans="1:30" ht="39" customHeight="1">
      <c r="A3427" s="11" t="s">
        <v>9004</v>
      </c>
      <c r="B3427" s="11" t="s">
        <v>9064</v>
      </c>
      <c r="C3427" s="4" t="s">
        <v>24</v>
      </c>
      <c r="D3427" s="204" t="s">
        <v>2659</v>
      </c>
      <c r="E3427" s="204" t="s">
        <v>1105</v>
      </c>
      <c r="F3427" s="4" t="s">
        <v>28</v>
      </c>
      <c r="G3427" s="204" t="s">
        <v>28</v>
      </c>
      <c r="H3427" s="4" t="s">
        <v>523</v>
      </c>
      <c r="I3427" s="204"/>
      <c r="J3427" s="21" t="s">
        <v>2276</v>
      </c>
      <c r="K3427" s="21" t="s">
        <v>2276</v>
      </c>
      <c r="L3427" s="21" t="s">
        <v>2276</v>
      </c>
      <c r="M3427" s="21" t="s">
        <v>2276</v>
      </c>
      <c r="N3427" s="21" t="s">
        <v>2276</v>
      </c>
      <c r="O3427" s="21" t="s">
        <v>2276</v>
      </c>
      <c r="P3427" s="21" t="s">
        <v>2276</v>
      </c>
      <c r="Q3427" s="21" t="s">
        <v>2276</v>
      </c>
      <c r="R3427" s="21" t="s">
        <v>2276</v>
      </c>
      <c r="S3427" s="21" t="s">
        <v>2276</v>
      </c>
      <c r="T3427" s="21">
        <f>'Record info'!K$1406*X3427</f>
        <v>175539</v>
      </c>
      <c r="U3427" s="21" t="s">
        <v>2276</v>
      </c>
      <c r="V3427" s="21">
        <f>70*0.13</f>
        <v>9.1</v>
      </c>
      <c r="W3427" s="21" t="s">
        <v>2276</v>
      </c>
      <c r="X3427" s="21">
        <f t="shared" ref="X3427:X3437" si="13">V3427</f>
        <v>9.1</v>
      </c>
      <c r="Y3427" s="21" t="s">
        <v>2276</v>
      </c>
      <c r="Z3427" s="204" t="s">
        <v>34</v>
      </c>
      <c r="AA3427" s="204" t="s">
        <v>34</v>
      </c>
      <c r="AB3427" s="21" t="s">
        <v>2276</v>
      </c>
      <c r="AC3427" s="21"/>
      <c r="AD3427" s="21"/>
    </row>
    <row r="3428" spans="1:30" ht="39" customHeight="1">
      <c r="A3428" s="11" t="s">
        <v>9004</v>
      </c>
      <c r="B3428" s="11" t="s">
        <v>9065</v>
      </c>
      <c r="C3428" s="4" t="s">
        <v>24</v>
      </c>
      <c r="D3428" s="204" t="s">
        <v>2659</v>
      </c>
      <c r="E3428" s="204" t="s">
        <v>1105</v>
      </c>
      <c r="F3428" s="4" t="s">
        <v>28</v>
      </c>
      <c r="G3428" s="204" t="s">
        <v>28</v>
      </c>
      <c r="H3428" s="4" t="s">
        <v>523</v>
      </c>
      <c r="I3428" s="204"/>
      <c r="J3428" s="21" t="s">
        <v>2276</v>
      </c>
      <c r="K3428" s="21" t="s">
        <v>2276</v>
      </c>
      <c r="L3428" s="21" t="s">
        <v>2276</v>
      </c>
      <c r="M3428" s="21" t="s">
        <v>2276</v>
      </c>
      <c r="N3428" s="21" t="s">
        <v>2276</v>
      </c>
      <c r="O3428" s="21" t="s">
        <v>2276</v>
      </c>
      <c r="P3428" s="21" t="s">
        <v>2276</v>
      </c>
      <c r="Q3428" s="21" t="s">
        <v>2276</v>
      </c>
      <c r="R3428" s="21" t="s">
        <v>2276</v>
      </c>
      <c r="S3428" s="21" t="s">
        <v>2276</v>
      </c>
      <c r="T3428" s="21">
        <f>'Record info'!K$1406*X3428</f>
        <v>136380.30000000002</v>
      </c>
      <c r="U3428" s="21" t="s">
        <v>2276</v>
      </c>
      <c r="V3428" s="21">
        <f>70*0.101</f>
        <v>7.07</v>
      </c>
      <c r="W3428" s="21" t="s">
        <v>2276</v>
      </c>
      <c r="X3428" s="21">
        <f t="shared" si="13"/>
        <v>7.07</v>
      </c>
      <c r="Y3428" s="21" t="s">
        <v>2276</v>
      </c>
      <c r="Z3428" s="204" t="s">
        <v>404</v>
      </c>
      <c r="AA3428" s="204" t="s">
        <v>404</v>
      </c>
      <c r="AB3428" s="21" t="s">
        <v>2276</v>
      </c>
      <c r="AC3428" s="21"/>
      <c r="AD3428" s="21"/>
    </row>
    <row r="3429" spans="1:30" ht="39" customHeight="1">
      <c r="A3429" s="11" t="s">
        <v>9004</v>
      </c>
      <c r="B3429" s="11" t="s">
        <v>9066</v>
      </c>
      <c r="C3429" s="4" t="s">
        <v>24</v>
      </c>
      <c r="D3429" s="204" t="s">
        <v>2659</v>
      </c>
      <c r="E3429" s="204" t="s">
        <v>1105</v>
      </c>
      <c r="F3429" s="4" t="s">
        <v>28</v>
      </c>
      <c r="G3429" s="204" t="s">
        <v>28</v>
      </c>
      <c r="H3429" s="4" t="s">
        <v>523</v>
      </c>
      <c r="I3429" s="204"/>
      <c r="J3429" s="21" t="s">
        <v>2276</v>
      </c>
      <c r="K3429" s="21" t="s">
        <v>2276</v>
      </c>
      <c r="L3429" s="21" t="s">
        <v>2276</v>
      </c>
      <c r="M3429" s="21" t="s">
        <v>2276</v>
      </c>
      <c r="N3429" s="21" t="s">
        <v>2276</v>
      </c>
      <c r="O3429" s="21" t="s">
        <v>2276</v>
      </c>
      <c r="P3429" s="21" t="s">
        <v>2276</v>
      </c>
      <c r="Q3429" s="21" t="s">
        <v>2276</v>
      </c>
      <c r="R3429" s="21" t="s">
        <v>2276</v>
      </c>
      <c r="S3429" s="21" t="s">
        <v>2276</v>
      </c>
      <c r="T3429" s="21">
        <f>'Record info'!K$1406*X3429</f>
        <v>24305.4</v>
      </c>
      <c r="U3429" s="21" t="s">
        <v>2276</v>
      </c>
      <c r="V3429" s="21">
        <f>70*0.018</f>
        <v>1.26</v>
      </c>
      <c r="W3429" s="21" t="s">
        <v>2276</v>
      </c>
      <c r="X3429" s="21">
        <f t="shared" si="13"/>
        <v>1.26</v>
      </c>
      <c r="Y3429" s="21" t="s">
        <v>2276</v>
      </c>
      <c r="Z3429" s="204" t="s">
        <v>405</v>
      </c>
      <c r="AA3429" s="204" t="s">
        <v>405</v>
      </c>
      <c r="AB3429" s="21" t="s">
        <v>2276</v>
      </c>
      <c r="AC3429" s="21"/>
      <c r="AD3429" s="21"/>
    </row>
    <row r="3430" spans="1:30" ht="39" customHeight="1">
      <c r="A3430" s="11" t="s">
        <v>9004</v>
      </c>
      <c r="B3430" s="11" t="s">
        <v>9067</v>
      </c>
      <c r="C3430" s="4" t="s">
        <v>24</v>
      </c>
      <c r="D3430" s="204" t="s">
        <v>2659</v>
      </c>
      <c r="E3430" s="204" t="s">
        <v>1105</v>
      </c>
      <c r="F3430" s="4" t="s">
        <v>28</v>
      </c>
      <c r="G3430" s="204" t="s">
        <v>28</v>
      </c>
      <c r="H3430" s="4" t="s">
        <v>523</v>
      </c>
      <c r="I3430" s="204"/>
      <c r="J3430" s="21" t="s">
        <v>2276</v>
      </c>
      <c r="K3430" s="21" t="s">
        <v>2276</v>
      </c>
      <c r="L3430" s="21" t="s">
        <v>2276</v>
      </c>
      <c r="M3430" s="21" t="s">
        <v>2276</v>
      </c>
      <c r="N3430" s="21" t="s">
        <v>2276</v>
      </c>
      <c r="O3430" s="21" t="s">
        <v>2276</v>
      </c>
      <c r="P3430" s="21" t="s">
        <v>2276</v>
      </c>
      <c r="Q3430" s="21" t="s">
        <v>2276</v>
      </c>
      <c r="R3430" s="21" t="s">
        <v>2276</v>
      </c>
      <c r="S3430" s="21" t="s">
        <v>2276</v>
      </c>
      <c r="T3430" s="21">
        <f>'Record info'!K$1406*X3430</f>
        <v>52661.7</v>
      </c>
      <c r="U3430" s="21" t="s">
        <v>2276</v>
      </c>
      <c r="V3430" s="21">
        <f>70*0.039</f>
        <v>2.73</v>
      </c>
      <c r="W3430" s="21" t="s">
        <v>2276</v>
      </c>
      <c r="X3430" s="21">
        <f t="shared" si="13"/>
        <v>2.73</v>
      </c>
      <c r="Y3430" s="21" t="s">
        <v>2276</v>
      </c>
      <c r="Z3430" s="204" t="s">
        <v>425</v>
      </c>
      <c r="AA3430" s="204" t="s">
        <v>425</v>
      </c>
      <c r="AB3430" s="21" t="s">
        <v>2276</v>
      </c>
      <c r="AC3430" s="21"/>
      <c r="AD3430" s="21"/>
    </row>
    <row r="3431" spans="1:30" ht="39" customHeight="1">
      <c r="A3431" s="11" t="s">
        <v>9004</v>
      </c>
      <c r="B3431" s="11" t="s">
        <v>9068</v>
      </c>
      <c r="C3431" s="4" t="s">
        <v>24</v>
      </c>
      <c r="D3431" s="204" t="s">
        <v>2659</v>
      </c>
      <c r="E3431" s="204" t="s">
        <v>1105</v>
      </c>
      <c r="F3431" s="4" t="s">
        <v>28</v>
      </c>
      <c r="G3431" s="204" t="s">
        <v>28</v>
      </c>
      <c r="H3431" s="4" t="s">
        <v>523</v>
      </c>
      <c r="I3431" s="204"/>
      <c r="J3431" s="21" t="s">
        <v>2276</v>
      </c>
      <c r="K3431" s="21" t="s">
        <v>2276</v>
      </c>
      <c r="L3431" s="21" t="s">
        <v>2276</v>
      </c>
      <c r="M3431" s="21" t="s">
        <v>2276</v>
      </c>
      <c r="N3431" s="21" t="s">
        <v>2276</v>
      </c>
      <c r="O3431" s="21" t="s">
        <v>2276</v>
      </c>
      <c r="P3431" s="21" t="s">
        <v>2276</v>
      </c>
      <c r="Q3431" s="21" t="s">
        <v>2276</v>
      </c>
      <c r="R3431" s="21" t="s">
        <v>2276</v>
      </c>
      <c r="S3431" s="21" t="s">
        <v>2276</v>
      </c>
      <c r="T3431" s="21">
        <f>'Record info'!K$1406*X3431</f>
        <v>37808.400000000001</v>
      </c>
      <c r="U3431" s="21" t="s">
        <v>2276</v>
      </c>
      <c r="V3431" s="21">
        <f>70*0.028</f>
        <v>1.96</v>
      </c>
      <c r="W3431" s="21" t="s">
        <v>2276</v>
      </c>
      <c r="X3431" s="21">
        <f t="shared" si="13"/>
        <v>1.96</v>
      </c>
      <c r="Y3431" s="21" t="s">
        <v>2276</v>
      </c>
      <c r="Z3431" s="204" t="s">
        <v>68</v>
      </c>
      <c r="AA3431" s="204" t="s">
        <v>68</v>
      </c>
      <c r="AB3431" s="21" t="s">
        <v>2276</v>
      </c>
      <c r="AC3431" s="21"/>
      <c r="AD3431" s="21"/>
    </row>
    <row r="3432" spans="1:30" ht="39" customHeight="1">
      <c r="A3432" s="11" t="s">
        <v>9004</v>
      </c>
      <c r="B3432" s="11" t="s">
        <v>9069</v>
      </c>
      <c r="C3432" s="4" t="s">
        <v>24</v>
      </c>
      <c r="D3432" s="204" t="s">
        <v>2659</v>
      </c>
      <c r="E3432" s="204" t="s">
        <v>1105</v>
      </c>
      <c r="F3432" s="4" t="s">
        <v>28</v>
      </c>
      <c r="G3432" s="204" t="s">
        <v>28</v>
      </c>
      <c r="H3432" s="4" t="s">
        <v>523</v>
      </c>
      <c r="I3432" s="204"/>
      <c r="J3432" s="21" t="s">
        <v>2276</v>
      </c>
      <c r="K3432" s="21" t="s">
        <v>2276</v>
      </c>
      <c r="L3432" s="21" t="s">
        <v>2276</v>
      </c>
      <c r="M3432" s="21" t="s">
        <v>2276</v>
      </c>
      <c r="N3432" s="21" t="s">
        <v>2276</v>
      </c>
      <c r="O3432" s="21" t="s">
        <v>2276</v>
      </c>
      <c r="P3432" s="21" t="s">
        <v>2276</v>
      </c>
      <c r="Q3432" s="21" t="s">
        <v>2276</v>
      </c>
      <c r="R3432" s="21" t="s">
        <v>2276</v>
      </c>
      <c r="S3432" s="21" t="s">
        <v>2276</v>
      </c>
      <c r="T3432" s="21">
        <f>'Record info'!K$1406*X3432</f>
        <v>35107.799999999996</v>
      </c>
      <c r="U3432" s="21" t="s">
        <v>2276</v>
      </c>
      <c r="V3432" s="21">
        <f>70*0.026</f>
        <v>1.8199999999999998</v>
      </c>
      <c r="W3432" s="21" t="s">
        <v>2276</v>
      </c>
      <c r="X3432" s="21">
        <f t="shared" si="13"/>
        <v>1.8199999999999998</v>
      </c>
      <c r="Y3432" s="21" t="s">
        <v>2276</v>
      </c>
      <c r="Z3432" s="204" t="s">
        <v>35</v>
      </c>
      <c r="AA3432" s="204" t="s">
        <v>35</v>
      </c>
      <c r="AB3432" s="21" t="s">
        <v>2276</v>
      </c>
      <c r="AC3432" s="21"/>
      <c r="AD3432" s="21"/>
    </row>
    <row r="3433" spans="1:30" ht="39" customHeight="1">
      <c r="A3433" s="11" t="s">
        <v>9004</v>
      </c>
      <c r="B3433" s="11" t="s">
        <v>9070</v>
      </c>
      <c r="C3433" s="4" t="s">
        <v>24</v>
      </c>
      <c r="D3433" s="204" t="s">
        <v>2659</v>
      </c>
      <c r="E3433" s="204" t="s">
        <v>1105</v>
      </c>
      <c r="F3433" s="4" t="s">
        <v>28</v>
      </c>
      <c r="G3433" s="204" t="s">
        <v>28</v>
      </c>
      <c r="H3433" s="4" t="s">
        <v>523</v>
      </c>
      <c r="I3433" s="204"/>
      <c r="J3433" s="21" t="s">
        <v>2276</v>
      </c>
      <c r="K3433" s="21" t="s">
        <v>2276</v>
      </c>
      <c r="L3433" s="21" t="s">
        <v>2276</v>
      </c>
      <c r="M3433" s="21" t="s">
        <v>2276</v>
      </c>
      <c r="N3433" s="21" t="s">
        <v>2276</v>
      </c>
      <c r="O3433" s="21" t="s">
        <v>2276</v>
      </c>
      <c r="P3433" s="21" t="s">
        <v>2276</v>
      </c>
      <c r="Q3433" s="21" t="s">
        <v>2276</v>
      </c>
      <c r="R3433" s="21" t="s">
        <v>2276</v>
      </c>
      <c r="S3433" s="21" t="s">
        <v>2276</v>
      </c>
      <c r="T3433" s="21">
        <f>'Record info'!K$1406*X3433</f>
        <v>253856.4</v>
      </c>
      <c r="U3433" s="21" t="s">
        <v>2276</v>
      </c>
      <c r="V3433" s="21">
        <f>70*0.188</f>
        <v>13.16</v>
      </c>
      <c r="W3433" s="21" t="s">
        <v>2276</v>
      </c>
      <c r="X3433" s="21">
        <f t="shared" si="13"/>
        <v>13.16</v>
      </c>
      <c r="Y3433" s="21" t="s">
        <v>2276</v>
      </c>
      <c r="Z3433" s="204" t="s">
        <v>127</v>
      </c>
      <c r="AA3433" s="204" t="s">
        <v>127</v>
      </c>
      <c r="AB3433" s="21" t="s">
        <v>2276</v>
      </c>
      <c r="AC3433" s="21"/>
      <c r="AD3433" s="21"/>
    </row>
    <row r="3434" spans="1:30" ht="39" customHeight="1">
      <c r="A3434" s="11" t="s">
        <v>9004</v>
      </c>
      <c r="B3434" s="11" t="s">
        <v>9071</v>
      </c>
      <c r="C3434" s="168" t="s">
        <v>24</v>
      </c>
      <c r="D3434" s="38" t="s">
        <v>2659</v>
      </c>
      <c r="E3434" s="38" t="s">
        <v>1105</v>
      </c>
      <c r="F3434" s="168" t="s">
        <v>28</v>
      </c>
      <c r="G3434" s="38" t="s">
        <v>28</v>
      </c>
      <c r="H3434" s="168" t="s">
        <v>523</v>
      </c>
      <c r="I3434" s="204"/>
      <c r="J3434" s="21" t="s">
        <v>2276</v>
      </c>
      <c r="K3434" s="21" t="s">
        <v>2276</v>
      </c>
      <c r="L3434" s="21" t="s">
        <v>2276</v>
      </c>
      <c r="M3434" s="21" t="s">
        <v>2276</v>
      </c>
      <c r="N3434" s="21" t="s">
        <v>2276</v>
      </c>
      <c r="O3434" s="21" t="s">
        <v>2276</v>
      </c>
      <c r="P3434" s="21" t="s">
        <v>2276</v>
      </c>
      <c r="Q3434" s="21" t="s">
        <v>2276</v>
      </c>
      <c r="R3434" s="21" t="s">
        <v>2276</v>
      </c>
      <c r="S3434" s="21" t="s">
        <v>2276</v>
      </c>
      <c r="T3434" s="21">
        <f>'Record info'!K$1406*X3434</f>
        <v>324072</v>
      </c>
      <c r="U3434" s="21" t="s">
        <v>2276</v>
      </c>
      <c r="V3434" s="21">
        <f>70*0.24</f>
        <v>16.8</v>
      </c>
      <c r="W3434" s="21" t="s">
        <v>2276</v>
      </c>
      <c r="X3434" s="21">
        <f t="shared" si="13"/>
        <v>16.8</v>
      </c>
      <c r="Y3434" s="21" t="s">
        <v>2276</v>
      </c>
      <c r="Z3434" s="204" t="s">
        <v>399</v>
      </c>
      <c r="AA3434" s="204" t="s">
        <v>399</v>
      </c>
      <c r="AB3434" s="21" t="s">
        <v>2276</v>
      </c>
      <c r="AC3434" s="21"/>
      <c r="AD3434" s="21"/>
    </row>
    <row r="3435" spans="1:30" ht="39" customHeight="1">
      <c r="A3435" s="11" t="s">
        <v>9004</v>
      </c>
      <c r="B3435" s="11" t="s">
        <v>9072</v>
      </c>
      <c r="C3435" s="168" t="s">
        <v>24</v>
      </c>
      <c r="D3435" s="38" t="s">
        <v>2659</v>
      </c>
      <c r="E3435" s="38" t="s">
        <v>1105</v>
      </c>
      <c r="F3435" s="168" t="s">
        <v>28</v>
      </c>
      <c r="G3435" s="38" t="s">
        <v>28</v>
      </c>
      <c r="H3435" s="168" t="s">
        <v>523</v>
      </c>
      <c r="I3435" s="204"/>
      <c r="J3435" s="21" t="s">
        <v>2276</v>
      </c>
      <c r="K3435" s="21" t="s">
        <v>2276</v>
      </c>
      <c r="L3435" s="21" t="s">
        <v>2276</v>
      </c>
      <c r="M3435" s="21" t="s">
        <v>2276</v>
      </c>
      <c r="N3435" s="21" t="s">
        <v>2276</v>
      </c>
      <c r="O3435" s="21" t="s">
        <v>2276</v>
      </c>
      <c r="P3435" s="21" t="s">
        <v>2276</v>
      </c>
      <c r="Q3435" s="21" t="s">
        <v>2276</v>
      </c>
      <c r="R3435" s="21" t="s">
        <v>2276</v>
      </c>
      <c r="S3435" s="21" t="s">
        <v>2276</v>
      </c>
      <c r="T3435" s="21">
        <f>'Record info'!K$1406*X3435</f>
        <v>48610.8</v>
      </c>
      <c r="U3435" s="21" t="s">
        <v>2276</v>
      </c>
      <c r="V3435" s="21">
        <f>70*0.036</f>
        <v>2.52</v>
      </c>
      <c r="W3435" s="21" t="s">
        <v>2276</v>
      </c>
      <c r="X3435" s="21">
        <f t="shared" si="13"/>
        <v>2.52</v>
      </c>
      <c r="Y3435" s="21" t="s">
        <v>2276</v>
      </c>
      <c r="Z3435" s="204" t="s">
        <v>188</v>
      </c>
      <c r="AA3435" s="204" t="s">
        <v>188</v>
      </c>
      <c r="AB3435" s="21" t="s">
        <v>2276</v>
      </c>
      <c r="AC3435" s="204"/>
      <c r="AD3435" s="204"/>
    </row>
    <row r="3436" spans="1:30" ht="39" customHeight="1">
      <c r="A3436" s="11" t="s">
        <v>9004</v>
      </c>
      <c r="B3436" s="11" t="s">
        <v>9073</v>
      </c>
      <c r="C3436" s="4" t="s">
        <v>24</v>
      </c>
      <c r="D3436" s="204" t="s">
        <v>2659</v>
      </c>
      <c r="E3436" s="204" t="s">
        <v>1105</v>
      </c>
      <c r="F3436" s="4" t="s">
        <v>28</v>
      </c>
      <c r="G3436" s="204" t="s">
        <v>28</v>
      </c>
      <c r="H3436" s="4" t="s">
        <v>523</v>
      </c>
      <c r="I3436" s="204"/>
      <c r="J3436" s="21" t="s">
        <v>2276</v>
      </c>
      <c r="K3436" s="21" t="s">
        <v>2276</v>
      </c>
      <c r="L3436" s="21" t="s">
        <v>2276</v>
      </c>
      <c r="M3436" s="21" t="s">
        <v>2276</v>
      </c>
      <c r="N3436" s="21" t="s">
        <v>2276</v>
      </c>
      <c r="O3436" s="21" t="s">
        <v>2276</v>
      </c>
      <c r="P3436" s="21" t="s">
        <v>2276</v>
      </c>
      <c r="Q3436" s="21" t="s">
        <v>2276</v>
      </c>
      <c r="R3436" s="21" t="s">
        <v>2276</v>
      </c>
      <c r="S3436" s="21" t="s">
        <v>2276</v>
      </c>
      <c r="T3436" s="21">
        <f>'Record info'!K$1406*X3436</f>
        <v>22955.100000000002</v>
      </c>
      <c r="U3436" s="21" t="s">
        <v>2276</v>
      </c>
      <c r="V3436" s="21">
        <f>70*0.017</f>
        <v>1.1900000000000002</v>
      </c>
      <c r="W3436" s="21" t="s">
        <v>2276</v>
      </c>
      <c r="X3436" s="21">
        <f t="shared" si="13"/>
        <v>1.1900000000000002</v>
      </c>
      <c r="Y3436" s="21" t="s">
        <v>2276</v>
      </c>
      <c r="Z3436" s="204" t="s">
        <v>189</v>
      </c>
      <c r="AA3436" s="204" t="s">
        <v>189</v>
      </c>
      <c r="AB3436" s="21" t="s">
        <v>2276</v>
      </c>
      <c r="AC3436" s="204"/>
      <c r="AD3436" s="204"/>
    </row>
    <row r="3437" spans="1:30" ht="41" customHeight="1">
      <c r="A3437" s="11" t="s">
        <v>9004</v>
      </c>
      <c r="B3437" s="11" t="s">
        <v>9074</v>
      </c>
      <c r="C3437" s="4" t="s">
        <v>24</v>
      </c>
      <c r="D3437" s="204" t="s">
        <v>2659</v>
      </c>
      <c r="E3437" s="204" t="s">
        <v>1105</v>
      </c>
      <c r="F3437" s="4" t="s">
        <v>28</v>
      </c>
      <c r="G3437" s="204" t="s">
        <v>28</v>
      </c>
      <c r="H3437" s="4" t="s">
        <v>523</v>
      </c>
      <c r="I3437" s="204"/>
      <c r="J3437" s="21" t="s">
        <v>2276</v>
      </c>
      <c r="K3437" s="21" t="s">
        <v>2276</v>
      </c>
      <c r="L3437" s="21" t="s">
        <v>2276</v>
      </c>
      <c r="M3437" s="21" t="s">
        <v>2276</v>
      </c>
      <c r="N3437" s="21" t="s">
        <v>2276</v>
      </c>
      <c r="O3437" s="21" t="s">
        <v>2276</v>
      </c>
      <c r="P3437" s="21" t="s">
        <v>2276</v>
      </c>
      <c r="Q3437" s="21" t="s">
        <v>2276</v>
      </c>
      <c r="R3437" s="21" t="s">
        <v>2276</v>
      </c>
      <c r="S3437" s="21" t="s">
        <v>2276</v>
      </c>
      <c r="T3437" s="21">
        <f>'Record info'!K$1406*X3437</f>
        <v>75616.800000000003</v>
      </c>
      <c r="U3437" s="21" t="s">
        <v>2276</v>
      </c>
      <c r="V3437" s="21">
        <f>70*0.056</f>
        <v>3.92</v>
      </c>
      <c r="W3437" s="21" t="s">
        <v>2276</v>
      </c>
      <c r="X3437" s="21">
        <f t="shared" si="13"/>
        <v>3.92</v>
      </c>
      <c r="Y3437" s="21" t="s">
        <v>2276</v>
      </c>
      <c r="Z3437" s="204" t="s">
        <v>38</v>
      </c>
      <c r="AA3437" s="204" t="s">
        <v>38</v>
      </c>
      <c r="AB3437" s="21" t="s">
        <v>2276</v>
      </c>
      <c r="AC3437" s="204"/>
      <c r="AD3437" s="204"/>
    </row>
    <row r="3438" spans="1:30" ht="41" customHeight="1">
      <c r="A3438" s="11" t="s">
        <v>9005</v>
      </c>
      <c r="B3438" s="11" t="s">
        <v>9016</v>
      </c>
      <c r="C3438" s="4" t="s">
        <v>24</v>
      </c>
      <c r="D3438" s="204" t="s">
        <v>2659</v>
      </c>
      <c r="E3438" s="204" t="s">
        <v>1105</v>
      </c>
      <c r="F3438" s="4" t="s">
        <v>28</v>
      </c>
      <c r="G3438" s="204" t="s">
        <v>28</v>
      </c>
      <c r="H3438" s="4" t="s">
        <v>523</v>
      </c>
      <c r="I3438" s="204"/>
      <c r="J3438" s="21" t="s">
        <v>2276</v>
      </c>
      <c r="K3438" s="21" t="s">
        <v>2276</v>
      </c>
      <c r="L3438" s="21" t="s">
        <v>2276</v>
      </c>
      <c r="M3438" s="21" t="s">
        <v>2276</v>
      </c>
      <c r="N3438" s="21" t="s">
        <v>2276</v>
      </c>
      <c r="O3438" s="21" t="s">
        <v>2276</v>
      </c>
      <c r="P3438" s="21" t="s">
        <v>2276</v>
      </c>
      <c r="Q3438" s="21" t="s">
        <v>2276</v>
      </c>
      <c r="R3438" s="21" t="s">
        <v>2276</v>
      </c>
      <c r="S3438" s="21" t="s">
        <v>2276</v>
      </c>
      <c r="T3438" s="21">
        <f>'Record info'!K$1406*X3438</f>
        <v>139428.12000000002</v>
      </c>
      <c r="U3438" s="21" t="s">
        <v>2276</v>
      </c>
      <c r="V3438" s="21">
        <f>52*0.139</f>
        <v>7.2280000000000006</v>
      </c>
      <c r="W3438" s="21" t="s">
        <v>2276</v>
      </c>
      <c r="X3438" s="21">
        <f>V3438</f>
        <v>7.2280000000000006</v>
      </c>
      <c r="Y3438" s="21" t="s">
        <v>2276</v>
      </c>
      <c r="Z3438" s="204" t="s">
        <v>86</v>
      </c>
      <c r="AA3438" s="204" t="s">
        <v>86</v>
      </c>
      <c r="AB3438" s="21" t="s">
        <v>2276</v>
      </c>
      <c r="AC3438" s="21"/>
      <c r="AD3438" s="21"/>
    </row>
    <row r="3439" spans="1:30" ht="41" customHeight="1">
      <c r="A3439" s="11" t="s">
        <v>9005</v>
      </c>
      <c r="B3439" s="11" t="s">
        <v>9075</v>
      </c>
      <c r="C3439" s="4" t="s">
        <v>24</v>
      </c>
      <c r="D3439" s="204" t="s">
        <v>2659</v>
      </c>
      <c r="E3439" s="204" t="s">
        <v>1105</v>
      </c>
      <c r="F3439" s="4" t="s">
        <v>28</v>
      </c>
      <c r="G3439" s="204" t="s">
        <v>28</v>
      </c>
      <c r="H3439" s="4" t="s">
        <v>523</v>
      </c>
      <c r="I3439" s="204"/>
      <c r="J3439" s="21" t="s">
        <v>2276</v>
      </c>
      <c r="K3439" s="21" t="s">
        <v>2276</v>
      </c>
      <c r="L3439" s="21" t="s">
        <v>2276</v>
      </c>
      <c r="M3439" s="21" t="s">
        <v>2276</v>
      </c>
      <c r="N3439" s="21" t="s">
        <v>2276</v>
      </c>
      <c r="O3439" s="21" t="s">
        <v>2276</v>
      </c>
      <c r="P3439" s="21" t="s">
        <v>2276</v>
      </c>
      <c r="Q3439" s="21" t="s">
        <v>2276</v>
      </c>
      <c r="R3439" s="21" t="s">
        <v>2276</v>
      </c>
      <c r="S3439" s="21" t="s">
        <v>2276</v>
      </c>
      <c r="T3439" s="21">
        <f>'Record info'!K$1406*X3439</f>
        <v>72221.759999999995</v>
      </c>
      <c r="U3439" s="21" t="s">
        <v>2276</v>
      </c>
      <c r="V3439" s="21">
        <f>52*0.072</f>
        <v>3.7439999999999998</v>
      </c>
      <c r="W3439" s="21" t="s">
        <v>2276</v>
      </c>
      <c r="X3439" s="21">
        <f t="shared" ref="X3439:X3449" si="14">V3439</f>
        <v>3.7439999999999998</v>
      </c>
      <c r="Y3439" s="21" t="s">
        <v>2276</v>
      </c>
      <c r="Z3439" s="204" t="s">
        <v>34</v>
      </c>
      <c r="AA3439" s="204" t="s">
        <v>34</v>
      </c>
      <c r="AB3439" s="21" t="s">
        <v>2276</v>
      </c>
      <c r="AC3439" s="21"/>
      <c r="AD3439" s="21"/>
    </row>
    <row r="3440" spans="1:30" ht="41" customHeight="1">
      <c r="A3440" s="11" t="s">
        <v>9005</v>
      </c>
      <c r="B3440" s="11" t="s">
        <v>9076</v>
      </c>
      <c r="C3440" s="4" t="s">
        <v>24</v>
      </c>
      <c r="D3440" s="204" t="s">
        <v>2659</v>
      </c>
      <c r="E3440" s="204" t="s">
        <v>1105</v>
      </c>
      <c r="F3440" s="4" t="s">
        <v>28</v>
      </c>
      <c r="G3440" s="204" t="s">
        <v>28</v>
      </c>
      <c r="H3440" s="4" t="s">
        <v>523</v>
      </c>
      <c r="I3440" s="204"/>
      <c r="J3440" s="21" t="s">
        <v>2276</v>
      </c>
      <c r="K3440" s="21" t="s">
        <v>2276</v>
      </c>
      <c r="L3440" s="21" t="s">
        <v>2276</v>
      </c>
      <c r="M3440" s="21" t="s">
        <v>2276</v>
      </c>
      <c r="N3440" s="21" t="s">
        <v>2276</v>
      </c>
      <c r="O3440" s="21" t="s">
        <v>2276</v>
      </c>
      <c r="P3440" s="21" t="s">
        <v>2276</v>
      </c>
      <c r="Q3440" s="21" t="s">
        <v>2276</v>
      </c>
      <c r="R3440" s="21" t="s">
        <v>2276</v>
      </c>
      <c r="S3440" s="21" t="s">
        <v>2276</v>
      </c>
      <c r="T3440" s="21">
        <f>'Record info'!K$1406*X3440</f>
        <v>70215.600000000006</v>
      </c>
      <c r="U3440" s="21" t="s">
        <v>2276</v>
      </c>
      <c r="V3440" s="21">
        <f>52*0.07</f>
        <v>3.6400000000000006</v>
      </c>
      <c r="W3440" s="21" t="s">
        <v>2276</v>
      </c>
      <c r="X3440" s="21">
        <f t="shared" si="14"/>
        <v>3.6400000000000006</v>
      </c>
      <c r="Y3440" s="21" t="s">
        <v>2276</v>
      </c>
      <c r="Z3440" s="204" t="s">
        <v>404</v>
      </c>
      <c r="AA3440" s="204" t="s">
        <v>404</v>
      </c>
      <c r="AB3440" s="21" t="s">
        <v>2276</v>
      </c>
      <c r="AC3440" s="21"/>
      <c r="AD3440" s="21"/>
    </row>
    <row r="3441" spans="1:30" ht="41" customHeight="1">
      <c r="A3441" s="11" t="s">
        <v>9005</v>
      </c>
      <c r="B3441" s="11" t="s">
        <v>9077</v>
      </c>
      <c r="C3441" s="4" t="s">
        <v>24</v>
      </c>
      <c r="D3441" s="204" t="s">
        <v>2659</v>
      </c>
      <c r="E3441" s="204" t="s">
        <v>1105</v>
      </c>
      <c r="F3441" s="4" t="s">
        <v>28</v>
      </c>
      <c r="G3441" s="204" t="s">
        <v>28</v>
      </c>
      <c r="H3441" s="4" t="s">
        <v>523</v>
      </c>
      <c r="I3441" s="204"/>
      <c r="J3441" s="21" t="s">
        <v>2276</v>
      </c>
      <c r="K3441" s="21" t="s">
        <v>2276</v>
      </c>
      <c r="L3441" s="21" t="s">
        <v>2276</v>
      </c>
      <c r="M3441" s="21" t="s">
        <v>2276</v>
      </c>
      <c r="N3441" s="21" t="s">
        <v>2276</v>
      </c>
      <c r="O3441" s="21" t="s">
        <v>2276</v>
      </c>
      <c r="P3441" s="21" t="s">
        <v>2276</v>
      </c>
      <c r="Q3441" s="21" t="s">
        <v>2276</v>
      </c>
      <c r="R3441" s="21" t="s">
        <v>2276</v>
      </c>
      <c r="S3441" s="21" t="s">
        <v>2276</v>
      </c>
      <c r="T3441" s="21">
        <f>'Record info'!K$1406*X3441</f>
        <v>40123.200000000004</v>
      </c>
      <c r="U3441" s="21" t="s">
        <v>2276</v>
      </c>
      <c r="V3441" s="21">
        <f>52*0.04</f>
        <v>2.08</v>
      </c>
      <c r="W3441" s="21" t="s">
        <v>2276</v>
      </c>
      <c r="X3441" s="21">
        <f t="shared" si="14"/>
        <v>2.08</v>
      </c>
      <c r="Y3441" s="21" t="s">
        <v>2276</v>
      </c>
      <c r="Z3441" s="204" t="s">
        <v>405</v>
      </c>
      <c r="AA3441" s="204" t="s">
        <v>405</v>
      </c>
      <c r="AB3441" s="21" t="s">
        <v>2276</v>
      </c>
      <c r="AC3441" s="21"/>
      <c r="AD3441" s="21"/>
    </row>
    <row r="3442" spans="1:30" ht="41" customHeight="1">
      <c r="A3442" s="11" t="s">
        <v>9005</v>
      </c>
      <c r="B3442" s="11" t="s">
        <v>9078</v>
      </c>
      <c r="C3442" s="4" t="s">
        <v>24</v>
      </c>
      <c r="D3442" s="204" t="s">
        <v>2659</v>
      </c>
      <c r="E3442" s="204" t="s">
        <v>1105</v>
      </c>
      <c r="F3442" s="4" t="s">
        <v>28</v>
      </c>
      <c r="G3442" s="204" t="s">
        <v>28</v>
      </c>
      <c r="H3442" s="4" t="s">
        <v>523</v>
      </c>
      <c r="I3442" s="204"/>
      <c r="J3442" s="21" t="s">
        <v>2276</v>
      </c>
      <c r="K3442" s="21" t="s">
        <v>2276</v>
      </c>
      <c r="L3442" s="21" t="s">
        <v>2276</v>
      </c>
      <c r="M3442" s="21" t="s">
        <v>2276</v>
      </c>
      <c r="N3442" s="21" t="s">
        <v>2276</v>
      </c>
      <c r="O3442" s="21" t="s">
        <v>2276</v>
      </c>
      <c r="P3442" s="21" t="s">
        <v>2276</v>
      </c>
      <c r="Q3442" s="21" t="s">
        <v>2276</v>
      </c>
      <c r="R3442" s="21" t="s">
        <v>2276</v>
      </c>
      <c r="S3442" s="21" t="s">
        <v>2276</v>
      </c>
      <c r="T3442" s="21">
        <f>'Record info'!K$1406*X3442</f>
        <v>44135.519999999997</v>
      </c>
      <c r="U3442" s="21" t="s">
        <v>2276</v>
      </c>
      <c r="V3442" s="21">
        <f>52*0.044</f>
        <v>2.2879999999999998</v>
      </c>
      <c r="W3442" s="21" t="s">
        <v>2276</v>
      </c>
      <c r="X3442" s="21">
        <f t="shared" si="14"/>
        <v>2.2879999999999998</v>
      </c>
      <c r="Y3442" s="21" t="s">
        <v>2276</v>
      </c>
      <c r="Z3442" s="204" t="s">
        <v>425</v>
      </c>
      <c r="AA3442" s="204" t="s">
        <v>425</v>
      </c>
      <c r="AB3442" s="21" t="s">
        <v>2276</v>
      </c>
      <c r="AC3442" s="21"/>
      <c r="AD3442" s="21"/>
    </row>
    <row r="3443" spans="1:30" ht="41" customHeight="1">
      <c r="A3443" s="11" t="s">
        <v>9005</v>
      </c>
      <c r="B3443" s="11" t="s">
        <v>9079</v>
      </c>
      <c r="C3443" s="4" t="s">
        <v>24</v>
      </c>
      <c r="D3443" s="204" t="s">
        <v>2659</v>
      </c>
      <c r="E3443" s="204" t="s">
        <v>1105</v>
      </c>
      <c r="F3443" s="4" t="s">
        <v>28</v>
      </c>
      <c r="G3443" s="204" t="s">
        <v>28</v>
      </c>
      <c r="H3443" s="4" t="s">
        <v>523</v>
      </c>
      <c r="I3443" s="204"/>
      <c r="J3443" s="21" t="s">
        <v>2276</v>
      </c>
      <c r="K3443" s="21" t="s">
        <v>2276</v>
      </c>
      <c r="L3443" s="21" t="s">
        <v>2276</v>
      </c>
      <c r="M3443" s="21" t="s">
        <v>2276</v>
      </c>
      <c r="N3443" s="21" t="s">
        <v>2276</v>
      </c>
      <c r="O3443" s="21" t="s">
        <v>2276</v>
      </c>
      <c r="P3443" s="21" t="s">
        <v>2276</v>
      </c>
      <c r="Q3443" s="21" t="s">
        <v>2276</v>
      </c>
      <c r="R3443" s="21" t="s">
        <v>2276</v>
      </c>
      <c r="S3443" s="21" t="s">
        <v>2276</v>
      </c>
      <c r="T3443" s="21">
        <f>'Record info'!K$1406*X3443</f>
        <v>65200.2</v>
      </c>
      <c r="U3443" s="21" t="s">
        <v>2276</v>
      </c>
      <c r="V3443" s="21">
        <f>52*0.065</f>
        <v>3.38</v>
      </c>
      <c r="W3443" s="21" t="s">
        <v>2276</v>
      </c>
      <c r="X3443" s="21">
        <f t="shared" si="14"/>
        <v>3.38</v>
      </c>
      <c r="Y3443" s="21" t="s">
        <v>2276</v>
      </c>
      <c r="Z3443" s="204" t="s">
        <v>68</v>
      </c>
      <c r="AA3443" s="204" t="s">
        <v>68</v>
      </c>
      <c r="AB3443" s="21" t="s">
        <v>2276</v>
      </c>
      <c r="AC3443" s="21"/>
      <c r="AD3443" s="21"/>
    </row>
    <row r="3444" spans="1:30" ht="41" customHeight="1">
      <c r="A3444" s="11" t="s">
        <v>9005</v>
      </c>
      <c r="B3444" s="11" t="s">
        <v>9080</v>
      </c>
      <c r="C3444" s="4" t="s">
        <v>24</v>
      </c>
      <c r="D3444" s="204" t="s">
        <v>2659</v>
      </c>
      <c r="E3444" s="204" t="s">
        <v>1105</v>
      </c>
      <c r="F3444" s="4" t="s">
        <v>28</v>
      </c>
      <c r="G3444" s="204" t="s">
        <v>28</v>
      </c>
      <c r="H3444" s="4" t="s">
        <v>523</v>
      </c>
      <c r="I3444" s="204"/>
      <c r="J3444" s="21" t="s">
        <v>2276</v>
      </c>
      <c r="K3444" s="21" t="s">
        <v>2276</v>
      </c>
      <c r="L3444" s="21" t="s">
        <v>2276</v>
      </c>
      <c r="M3444" s="21" t="s">
        <v>2276</v>
      </c>
      <c r="N3444" s="21" t="s">
        <v>2276</v>
      </c>
      <c r="O3444" s="21" t="s">
        <v>2276</v>
      </c>
      <c r="P3444" s="21" t="s">
        <v>2276</v>
      </c>
      <c r="Q3444" s="21" t="s">
        <v>2276</v>
      </c>
      <c r="R3444" s="21" t="s">
        <v>2276</v>
      </c>
      <c r="S3444" s="21" t="s">
        <v>2276</v>
      </c>
      <c r="T3444" s="21">
        <f>'Record info'!K$1406*X3444</f>
        <v>100308</v>
      </c>
      <c r="U3444" s="21" t="s">
        <v>2276</v>
      </c>
      <c r="V3444" s="21">
        <f>52*0.1</f>
        <v>5.2</v>
      </c>
      <c r="W3444" s="21" t="s">
        <v>2276</v>
      </c>
      <c r="X3444" s="21">
        <f t="shared" si="14"/>
        <v>5.2</v>
      </c>
      <c r="Y3444" s="21" t="s">
        <v>2276</v>
      </c>
      <c r="Z3444" s="204" t="s">
        <v>35</v>
      </c>
      <c r="AA3444" s="204" t="s">
        <v>35</v>
      </c>
      <c r="AB3444" s="21" t="s">
        <v>2276</v>
      </c>
      <c r="AC3444" s="21"/>
      <c r="AD3444" s="21"/>
    </row>
    <row r="3445" spans="1:30" ht="41" customHeight="1">
      <c r="A3445" s="11" t="s">
        <v>9005</v>
      </c>
      <c r="B3445" s="11" t="s">
        <v>9081</v>
      </c>
      <c r="C3445" s="4" t="s">
        <v>24</v>
      </c>
      <c r="D3445" s="204" t="s">
        <v>2659</v>
      </c>
      <c r="E3445" s="204" t="s">
        <v>1105</v>
      </c>
      <c r="F3445" s="4" t="s">
        <v>28</v>
      </c>
      <c r="G3445" s="204" t="s">
        <v>28</v>
      </c>
      <c r="H3445" s="4" t="s">
        <v>523</v>
      </c>
      <c r="I3445" s="204"/>
      <c r="J3445" s="21" t="s">
        <v>2276</v>
      </c>
      <c r="K3445" s="21" t="s">
        <v>2276</v>
      </c>
      <c r="L3445" s="21" t="s">
        <v>2276</v>
      </c>
      <c r="M3445" s="21" t="s">
        <v>2276</v>
      </c>
      <c r="N3445" s="21" t="s">
        <v>2276</v>
      </c>
      <c r="O3445" s="21" t="s">
        <v>2276</v>
      </c>
      <c r="P3445" s="21" t="s">
        <v>2276</v>
      </c>
      <c r="Q3445" s="21" t="s">
        <v>2276</v>
      </c>
      <c r="R3445" s="21" t="s">
        <v>2276</v>
      </c>
      <c r="S3445" s="21" t="s">
        <v>2276</v>
      </c>
      <c r="T3445" s="21">
        <f>'Record info'!K$1406*X3445</f>
        <v>129397.32</v>
      </c>
      <c r="U3445" s="21" t="s">
        <v>2276</v>
      </c>
      <c r="V3445" s="21">
        <f>52*0.129</f>
        <v>6.7080000000000002</v>
      </c>
      <c r="W3445" s="21" t="s">
        <v>2276</v>
      </c>
      <c r="X3445" s="21">
        <f t="shared" si="14"/>
        <v>6.7080000000000002</v>
      </c>
      <c r="Y3445" s="21" t="s">
        <v>2276</v>
      </c>
      <c r="Z3445" s="204" t="s">
        <v>127</v>
      </c>
      <c r="AA3445" s="204" t="s">
        <v>127</v>
      </c>
      <c r="AB3445" s="21" t="s">
        <v>2276</v>
      </c>
      <c r="AC3445" s="21"/>
      <c r="AD3445" s="21"/>
    </row>
    <row r="3446" spans="1:30" ht="41" customHeight="1">
      <c r="A3446" s="11" t="s">
        <v>9005</v>
      </c>
      <c r="B3446" s="11" t="s">
        <v>9082</v>
      </c>
      <c r="C3446" s="168" t="s">
        <v>24</v>
      </c>
      <c r="D3446" s="38" t="s">
        <v>2659</v>
      </c>
      <c r="E3446" s="38" t="s">
        <v>1105</v>
      </c>
      <c r="F3446" s="168" t="s">
        <v>28</v>
      </c>
      <c r="G3446" s="38" t="s">
        <v>28</v>
      </c>
      <c r="H3446" s="168" t="s">
        <v>523</v>
      </c>
      <c r="I3446" s="204"/>
      <c r="J3446" s="21" t="s">
        <v>2276</v>
      </c>
      <c r="K3446" s="21" t="s">
        <v>2276</v>
      </c>
      <c r="L3446" s="21" t="s">
        <v>2276</v>
      </c>
      <c r="M3446" s="21" t="s">
        <v>2276</v>
      </c>
      <c r="N3446" s="21" t="s">
        <v>2276</v>
      </c>
      <c r="O3446" s="21" t="s">
        <v>2276</v>
      </c>
      <c r="P3446" s="21" t="s">
        <v>2276</v>
      </c>
      <c r="Q3446" s="21" t="s">
        <v>2276</v>
      </c>
      <c r="R3446" s="21" t="s">
        <v>2276</v>
      </c>
      <c r="S3446" s="21" t="s">
        <v>2276</v>
      </c>
      <c r="T3446" s="21">
        <f>'Record info'!K$1406*X3446</f>
        <v>78240.240000000005</v>
      </c>
      <c r="U3446" s="21" t="s">
        <v>2276</v>
      </c>
      <c r="V3446" s="21">
        <f>52*0.078</f>
        <v>4.056</v>
      </c>
      <c r="W3446" s="21" t="s">
        <v>2276</v>
      </c>
      <c r="X3446" s="21">
        <f t="shared" si="14"/>
        <v>4.056</v>
      </c>
      <c r="Y3446" s="21" t="s">
        <v>2276</v>
      </c>
      <c r="Z3446" s="204" t="s">
        <v>399</v>
      </c>
      <c r="AA3446" s="204" t="s">
        <v>399</v>
      </c>
      <c r="AB3446" s="21" t="s">
        <v>2276</v>
      </c>
      <c r="AC3446" s="21"/>
      <c r="AD3446" s="21"/>
    </row>
    <row r="3447" spans="1:30" ht="41" customHeight="1">
      <c r="A3447" s="11" t="s">
        <v>9005</v>
      </c>
      <c r="B3447" s="11" t="s">
        <v>9083</v>
      </c>
      <c r="C3447" s="168" t="s">
        <v>24</v>
      </c>
      <c r="D3447" s="38" t="s">
        <v>2659</v>
      </c>
      <c r="E3447" s="38" t="s">
        <v>1105</v>
      </c>
      <c r="F3447" s="168" t="s">
        <v>28</v>
      </c>
      <c r="G3447" s="38" t="s">
        <v>28</v>
      </c>
      <c r="H3447" s="168" t="s">
        <v>523</v>
      </c>
      <c r="I3447" s="204"/>
      <c r="J3447" s="21" t="s">
        <v>2276</v>
      </c>
      <c r="K3447" s="21" t="s">
        <v>2276</v>
      </c>
      <c r="L3447" s="21" t="s">
        <v>2276</v>
      </c>
      <c r="M3447" s="21" t="s">
        <v>2276</v>
      </c>
      <c r="N3447" s="21" t="s">
        <v>2276</v>
      </c>
      <c r="O3447" s="21" t="s">
        <v>2276</v>
      </c>
      <c r="P3447" s="21" t="s">
        <v>2276</v>
      </c>
      <c r="Q3447" s="21" t="s">
        <v>2276</v>
      </c>
      <c r="R3447" s="21" t="s">
        <v>2276</v>
      </c>
      <c r="S3447" s="21" t="s">
        <v>2276</v>
      </c>
      <c r="T3447" s="21">
        <f>'Record info'!K$1406*X3447</f>
        <v>91280.28</v>
      </c>
      <c r="U3447" s="21" t="s">
        <v>2276</v>
      </c>
      <c r="V3447" s="21">
        <f>52*0.091</f>
        <v>4.7320000000000002</v>
      </c>
      <c r="W3447" s="21" t="s">
        <v>2276</v>
      </c>
      <c r="X3447" s="21">
        <f t="shared" si="14"/>
        <v>4.7320000000000002</v>
      </c>
      <c r="Y3447" s="21" t="s">
        <v>2276</v>
      </c>
      <c r="Z3447" s="204" t="s">
        <v>188</v>
      </c>
      <c r="AA3447" s="204" t="s">
        <v>188</v>
      </c>
      <c r="AB3447" s="21" t="s">
        <v>2276</v>
      </c>
      <c r="AC3447" s="204"/>
      <c r="AD3447" s="204"/>
    </row>
    <row r="3448" spans="1:30" ht="41" customHeight="1">
      <c r="A3448" s="11" t="s">
        <v>9005</v>
      </c>
      <c r="B3448" s="11" t="s">
        <v>9084</v>
      </c>
      <c r="C3448" s="4" t="s">
        <v>24</v>
      </c>
      <c r="D3448" s="204" t="s">
        <v>2659</v>
      </c>
      <c r="E3448" s="204" t="s">
        <v>1105</v>
      </c>
      <c r="F3448" s="4" t="s">
        <v>28</v>
      </c>
      <c r="G3448" s="204" t="s">
        <v>28</v>
      </c>
      <c r="H3448" s="4" t="s">
        <v>523</v>
      </c>
      <c r="I3448" s="204"/>
      <c r="J3448" s="21" t="s">
        <v>2276</v>
      </c>
      <c r="K3448" s="21" t="s">
        <v>2276</v>
      </c>
      <c r="L3448" s="21" t="s">
        <v>2276</v>
      </c>
      <c r="M3448" s="21" t="s">
        <v>2276</v>
      </c>
      <c r="N3448" s="21" t="s">
        <v>2276</v>
      </c>
      <c r="O3448" s="21" t="s">
        <v>2276</v>
      </c>
      <c r="P3448" s="21" t="s">
        <v>2276</v>
      </c>
      <c r="Q3448" s="21" t="s">
        <v>2276</v>
      </c>
      <c r="R3448" s="21" t="s">
        <v>2276</v>
      </c>
      <c r="S3448" s="21" t="s">
        <v>2276</v>
      </c>
      <c r="T3448" s="21">
        <f>'Record info'!K$1406*X3448</f>
        <v>55169.399999999994</v>
      </c>
      <c r="U3448" s="21" t="s">
        <v>2276</v>
      </c>
      <c r="V3448" s="21">
        <f>52*0.055</f>
        <v>2.86</v>
      </c>
      <c r="W3448" s="21" t="s">
        <v>2276</v>
      </c>
      <c r="X3448" s="21">
        <f t="shared" si="14"/>
        <v>2.86</v>
      </c>
      <c r="Y3448" s="21" t="s">
        <v>2276</v>
      </c>
      <c r="Z3448" s="204" t="s">
        <v>189</v>
      </c>
      <c r="AA3448" s="204" t="s">
        <v>189</v>
      </c>
      <c r="AB3448" s="21" t="s">
        <v>2276</v>
      </c>
      <c r="AC3448" s="204"/>
      <c r="AD3448" s="204"/>
    </row>
    <row r="3449" spans="1:30" ht="40" customHeight="1">
      <c r="A3449" s="11" t="s">
        <v>9005</v>
      </c>
      <c r="B3449" s="11" t="s">
        <v>9085</v>
      </c>
      <c r="C3449" s="4" t="s">
        <v>24</v>
      </c>
      <c r="D3449" s="204" t="s">
        <v>2659</v>
      </c>
      <c r="E3449" s="204" t="s">
        <v>1105</v>
      </c>
      <c r="F3449" s="4" t="s">
        <v>28</v>
      </c>
      <c r="G3449" s="204" t="s">
        <v>28</v>
      </c>
      <c r="H3449" s="4" t="s">
        <v>523</v>
      </c>
      <c r="I3449" s="204"/>
      <c r="J3449" s="21" t="s">
        <v>2276</v>
      </c>
      <c r="K3449" s="21" t="s">
        <v>2276</v>
      </c>
      <c r="L3449" s="21" t="s">
        <v>2276</v>
      </c>
      <c r="M3449" s="21" t="s">
        <v>2276</v>
      </c>
      <c r="N3449" s="21" t="s">
        <v>2276</v>
      </c>
      <c r="O3449" s="21" t="s">
        <v>2276</v>
      </c>
      <c r="P3449" s="21" t="s">
        <v>2276</v>
      </c>
      <c r="Q3449" s="21" t="s">
        <v>2276</v>
      </c>
      <c r="R3449" s="21" t="s">
        <v>2276</v>
      </c>
      <c r="S3449" s="21" t="s">
        <v>2276</v>
      </c>
      <c r="T3449" s="21">
        <f>'Record info'!K$1406*X3449</f>
        <v>117360.36000000002</v>
      </c>
      <c r="U3449" s="21" t="s">
        <v>2276</v>
      </c>
      <c r="V3449" s="21">
        <f>52*0.117</f>
        <v>6.0840000000000005</v>
      </c>
      <c r="W3449" s="21" t="s">
        <v>2276</v>
      </c>
      <c r="X3449" s="21">
        <f t="shared" si="14"/>
        <v>6.0840000000000005</v>
      </c>
      <c r="Y3449" s="21" t="s">
        <v>2276</v>
      </c>
      <c r="Z3449" s="204" t="s">
        <v>38</v>
      </c>
      <c r="AA3449" s="204" t="s">
        <v>38</v>
      </c>
      <c r="AB3449" s="21" t="s">
        <v>2276</v>
      </c>
      <c r="AC3449" s="204"/>
      <c r="AD3449" s="204"/>
    </row>
    <row r="3450" spans="1:30" ht="40" customHeight="1">
      <c r="A3450" s="11" t="s">
        <v>9006</v>
      </c>
      <c r="B3450" s="11" t="s">
        <v>9017</v>
      </c>
      <c r="C3450" s="4" t="s">
        <v>24</v>
      </c>
      <c r="D3450" s="204" t="s">
        <v>2659</v>
      </c>
      <c r="E3450" s="204" t="s">
        <v>1105</v>
      </c>
      <c r="F3450" s="4" t="s">
        <v>28</v>
      </c>
      <c r="G3450" s="204" t="s">
        <v>28</v>
      </c>
      <c r="H3450" s="4" t="s">
        <v>523</v>
      </c>
      <c r="I3450" s="204"/>
      <c r="J3450" s="21" t="s">
        <v>2276</v>
      </c>
      <c r="K3450" s="21" t="s">
        <v>2276</v>
      </c>
      <c r="L3450" s="21" t="s">
        <v>2276</v>
      </c>
      <c r="M3450" s="21" t="s">
        <v>2276</v>
      </c>
      <c r="N3450" s="21" t="s">
        <v>2276</v>
      </c>
      <c r="O3450" s="21" t="s">
        <v>2276</v>
      </c>
      <c r="P3450" s="21" t="s">
        <v>2276</v>
      </c>
      <c r="Q3450" s="21" t="s">
        <v>2276</v>
      </c>
      <c r="R3450" s="21" t="s">
        <v>2276</v>
      </c>
      <c r="S3450" s="21" t="s">
        <v>2276</v>
      </c>
      <c r="T3450" s="21">
        <f>'Record info'!K$1406*X3450</f>
        <v>265160.33999999997</v>
      </c>
      <c r="U3450" s="21" t="s">
        <v>2276</v>
      </c>
      <c r="V3450" s="21">
        <f>79*0.174</f>
        <v>13.745999999999999</v>
      </c>
      <c r="W3450" s="21" t="s">
        <v>2276</v>
      </c>
      <c r="X3450" s="21">
        <f>V3450</f>
        <v>13.745999999999999</v>
      </c>
      <c r="Y3450" s="21" t="s">
        <v>2276</v>
      </c>
      <c r="Z3450" s="204" t="s">
        <v>86</v>
      </c>
      <c r="AA3450" s="204" t="s">
        <v>86</v>
      </c>
      <c r="AB3450" s="21" t="s">
        <v>2276</v>
      </c>
      <c r="AC3450" s="21"/>
      <c r="AD3450" s="21"/>
    </row>
    <row r="3451" spans="1:30" ht="40" customHeight="1">
      <c r="A3451" s="11" t="s">
        <v>9006</v>
      </c>
      <c r="B3451" s="11" t="s">
        <v>9086</v>
      </c>
      <c r="C3451" s="4" t="s">
        <v>24</v>
      </c>
      <c r="D3451" s="204" t="s">
        <v>2659</v>
      </c>
      <c r="E3451" s="204" t="s">
        <v>1105</v>
      </c>
      <c r="F3451" s="4" t="s">
        <v>28</v>
      </c>
      <c r="G3451" s="204" t="s">
        <v>28</v>
      </c>
      <c r="H3451" s="4" t="s">
        <v>523</v>
      </c>
      <c r="I3451" s="204"/>
      <c r="J3451" s="21" t="s">
        <v>2276</v>
      </c>
      <c r="K3451" s="21" t="s">
        <v>2276</v>
      </c>
      <c r="L3451" s="21" t="s">
        <v>2276</v>
      </c>
      <c r="M3451" s="21" t="s">
        <v>2276</v>
      </c>
      <c r="N3451" s="21" t="s">
        <v>2276</v>
      </c>
      <c r="O3451" s="21" t="s">
        <v>2276</v>
      </c>
      <c r="P3451" s="21" t="s">
        <v>2276</v>
      </c>
      <c r="Q3451" s="21" t="s">
        <v>2276</v>
      </c>
      <c r="R3451" s="21" t="s">
        <v>2276</v>
      </c>
      <c r="S3451" s="21" t="s">
        <v>2276</v>
      </c>
      <c r="T3451" s="21">
        <f>'Record info'!K$1406*X3451</f>
        <v>141723.63</v>
      </c>
      <c r="U3451" s="21" t="s">
        <v>2276</v>
      </c>
      <c r="V3451" s="21">
        <f>79*0.093</f>
        <v>7.3469999999999995</v>
      </c>
      <c r="W3451" s="21" t="s">
        <v>2276</v>
      </c>
      <c r="X3451" s="21">
        <f t="shared" ref="X3451:X3461" si="15">V3451</f>
        <v>7.3469999999999995</v>
      </c>
      <c r="Y3451" s="21" t="s">
        <v>2276</v>
      </c>
      <c r="Z3451" s="204" t="s">
        <v>34</v>
      </c>
      <c r="AA3451" s="204" t="s">
        <v>34</v>
      </c>
      <c r="AB3451" s="21" t="s">
        <v>2276</v>
      </c>
      <c r="AC3451" s="21"/>
      <c r="AD3451" s="21"/>
    </row>
    <row r="3452" spans="1:30" ht="40" customHeight="1">
      <c r="A3452" s="11" t="s">
        <v>9006</v>
      </c>
      <c r="B3452" s="11" t="s">
        <v>9087</v>
      </c>
      <c r="C3452" s="4" t="s">
        <v>24</v>
      </c>
      <c r="D3452" s="204" t="s">
        <v>2659</v>
      </c>
      <c r="E3452" s="204" t="s">
        <v>1105</v>
      </c>
      <c r="F3452" s="4" t="s">
        <v>28</v>
      </c>
      <c r="G3452" s="204" t="s">
        <v>28</v>
      </c>
      <c r="H3452" s="4" t="s">
        <v>523</v>
      </c>
      <c r="I3452" s="204"/>
      <c r="J3452" s="21" t="s">
        <v>2276</v>
      </c>
      <c r="K3452" s="21" t="s">
        <v>2276</v>
      </c>
      <c r="L3452" s="21" t="s">
        <v>2276</v>
      </c>
      <c r="M3452" s="21" t="s">
        <v>2276</v>
      </c>
      <c r="N3452" s="21" t="s">
        <v>2276</v>
      </c>
      <c r="O3452" s="21" t="s">
        <v>2276</v>
      </c>
      <c r="P3452" s="21" t="s">
        <v>2276</v>
      </c>
      <c r="Q3452" s="21" t="s">
        <v>2276</v>
      </c>
      <c r="R3452" s="21" t="s">
        <v>2276</v>
      </c>
      <c r="S3452" s="21" t="s">
        <v>2276</v>
      </c>
      <c r="T3452" s="21">
        <f>'Record info'!K$1406*X3452</f>
        <v>41145.57</v>
      </c>
      <c r="U3452" s="21" t="s">
        <v>2276</v>
      </c>
      <c r="V3452" s="21">
        <f>79*0.027</f>
        <v>2.133</v>
      </c>
      <c r="W3452" s="21" t="s">
        <v>2276</v>
      </c>
      <c r="X3452" s="21">
        <f t="shared" si="15"/>
        <v>2.133</v>
      </c>
      <c r="Y3452" s="21" t="s">
        <v>2276</v>
      </c>
      <c r="Z3452" s="204" t="s">
        <v>404</v>
      </c>
      <c r="AA3452" s="204" t="s">
        <v>404</v>
      </c>
      <c r="AB3452" s="21" t="s">
        <v>2276</v>
      </c>
      <c r="AC3452" s="21"/>
      <c r="AD3452" s="21"/>
    </row>
    <row r="3453" spans="1:30" ht="40" customHeight="1">
      <c r="A3453" s="11" t="s">
        <v>9006</v>
      </c>
      <c r="B3453" s="11" t="s">
        <v>9088</v>
      </c>
      <c r="C3453" s="4" t="s">
        <v>24</v>
      </c>
      <c r="D3453" s="204" t="s">
        <v>2659</v>
      </c>
      <c r="E3453" s="204" t="s">
        <v>1105</v>
      </c>
      <c r="F3453" s="4" t="s">
        <v>28</v>
      </c>
      <c r="G3453" s="204" t="s">
        <v>28</v>
      </c>
      <c r="H3453" s="4" t="s">
        <v>523</v>
      </c>
      <c r="I3453" s="204"/>
      <c r="J3453" s="21" t="s">
        <v>2276</v>
      </c>
      <c r="K3453" s="21" t="s">
        <v>2276</v>
      </c>
      <c r="L3453" s="21" t="s">
        <v>2276</v>
      </c>
      <c r="M3453" s="21" t="s">
        <v>2276</v>
      </c>
      <c r="N3453" s="21" t="s">
        <v>2276</v>
      </c>
      <c r="O3453" s="21" t="s">
        <v>2276</v>
      </c>
      <c r="P3453" s="21" t="s">
        <v>2276</v>
      </c>
      <c r="Q3453" s="21" t="s">
        <v>2276</v>
      </c>
      <c r="R3453" s="21" t="s">
        <v>2276</v>
      </c>
      <c r="S3453" s="21" t="s">
        <v>2276</v>
      </c>
      <c r="T3453" s="21">
        <f>'Record info'!K$1406*X3453</f>
        <v>9143.4600000000009</v>
      </c>
      <c r="U3453" s="21" t="s">
        <v>2276</v>
      </c>
      <c r="V3453" s="21">
        <f>79*0.006</f>
        <v>0.47400000000000003</v>
      </c>
      <c r="W3453" s="21" t="s">
        <v>2276</v>
      </c>
      <c r="X3453" s="21">
        <f t="shared" si="15"/>
        <v>0.47400000000000003</v>
      </c>
      <c r="Y3453" s="21" t="s">
        <v>2276</v>
      </c>
      <c r="Z3453" s="204" t="s">
        <v>405</v>
      </c>
      <c r="AA3453" s="204" t="s">
        <v>405</v>
      </c>
      <c r="AB3453" s="21" t="s">
        <v>2276</v>
      </c>
      <c r="AC3453" s="21"/>
      <c r="AD3453" s="21"/>
    </row>
    <row r="3454" spans="1:30" ht="40" customHeight="1">
      <c r="A3454" s="11" t="s">
        <v>9006</v>
      </c>
      <c r="B3454" s="11" t="s">
        <v>9089</v>
      </c>
      <c r="C3454" s="4" t="s">
        <v>24</v>
      </c>
      <c r="D3454" s="204" t="s">
        <v>2659</v>
      </c>
      <c r="E3454" s="204" t="s">
        <v>1105</v>
      </c>
      <c r="F3454" s="4" t="s">
        <v>28</v>
      </c>
      <c r="G3454" s="204" t="s">
        <v>28</v>
      </c>
      <c r="H3454" s="4" t="s">
        <v>523</v>
      </c>
      <c r="I3454" s="204"/>
      <c r="J3454" s="21" t="s">
        <v>2276</v>
      </c>
      <c r="K3454" s="21" t="s">
        <v>2276</v>
      </c>
      <c r="L3454" s="21" t="s">
        <v>2276</v>
      </c>
      <c r="M3454" s="21" t="s">
        <v>2276</v>
      </c>
      <c r="N3454" s="21" t="s">
        <v>2276</v>
      </c>
      <c r="O3454" s="21" t="s">
        <v>2276</v>
      </c>
      <c r="P3454" s="21" t="s">
        <v>2276</v>
      </c>
      <c r="Q3454" s="21" t="s">
        <v>2276</v>
      </c>
      <c r="R3454" s="21" t="s">
        <v>2276</v>
      </c>
      <c r="S3454" s="21" t="s">
        <v>2276</v>
      </c>
      <c r="T3454" s="21">
        <f>'Record info'!K$1406*X3454</f>
        <v>15239.1</v>
      </c>
      <c r="U3454" s="21" t="s">
        <v>2276</v>
      </c>
      <c r="V3454" s="21">
        <f>79*0.01</f>
        <v>0.79</v>
      </c>
      <c r="W3454" s="21" t="s">
        <v>2276</v>
      </c>
      <c r="X3454" s="21">
        <f t="shared" si="15"/>
        <v>0.79</v>
      </c>
      <c r="Y3454" s="21" t="s">
        <v>2276</v>
      </c>
      <c r="Z3454" s="204" t="s">
        <v>425</v>
      </c>
      <c r="AA3454" s="204" t="s">
        <v>425</v>
      </c>
      <c r="AB3454" s="21" t="s">
        <v>2276</v>
      </c>
      <c r="AC3454" s="21"/>
      <c r="AD3454" s="21"/>
    </row>
    <row r="3455" spans="1:30" ht="40" customHeight="1">
      <c r="A3455" s="11" t="s">
        <v>9006</v>
      </c>
      <c r="B3455" s="11" t="s">
        <v>9090</v>
      </c>
      <c r="C3455" s="4" t="s">
        <v>24</v>
      </c>
      <c r="D3455" s="204" t="s">
        <v>2659</v>
      </c>
      <c r="E3455" s="204" t="s">
        <v>1105</v>
      </c>
      <c r="F3455" s="4" t="s">
        <v>28</v>
      </c>
      <c r="G3455" s="204" t="s">
        <v>28</v>
      </c>
      <c r="H3455" s="4" t="s">
        <v>523</v>
      </c>
      <c r="I3455" s="204"/>
      <c r="J3455" s="21" t="s">
        <v>2276</v>
      </c>
      <c r="K3455" s="21" t="s">
        <v>2276</v>
      </c>
      <c r="L3455" s="21" t="s">
        <v>2276</v>
      </c>
      <c r="M3455" s="21" t="s">
        <v>2276</v>
      </c>
      <c r="N3455" s="21" t="s">
        <v>2276</v>
      </c>
      <c r="O3455" s="21" t="s">
        <v>2276</v>
      </c>
      <c r="P3455" s="21" t="s">
        <v>2276</v>
      </c>
      <c r="Q3455" s="21" t="s">
        <v>2276</v>
      </c>
      <c r="R3455" s="21" t="s">
        <v>2276</v>
      </c>
      <c r="S3455" s="21" t="s">
        <v>2276</v>
      </c>
      <c r="T3455" s="21">
        <f>'Record info'!K$1406*X3455</f>
        <v>27430.379999999997</v>
      </c>
      <c r="U3455" s="21" t="s">
        <v>2276</v>
      </c>
      <c r="V3455" s="21">
        <f>79*0.018</f>
        <v>1.4219999999999999</v>
      </c>
      <c r="W3455" s="21" t="s">
        <v>2276</v>
      </c>
      <c r="X3455" s="21">
        <f t="shared" si="15"/>
        <v>1.4219999999999999</v>
      </c>
      <c r="Y3455" s="21" t="s">
        <v>2276</v>
      </c>
      <c r="Z3455" s="204" t="s">
        <v>68</v>
      </c>
      <c r="AA3455" s="204" t="s">
        <v>68</v>
      </c>
      <c r="AB3455" s="21" t="s">
        <v>2276</v>
      </c>
      <c r="AC3455" s="21"/>
      <c r="AD3455" s="21"/>
    </row>
    <row r="3456" spans="1:30" ht="40" customHeight="1">
      <c r="A3456" s="11" t="s">
        <v>9006</v>
      </c>
      <c r="B3456" s="11" t="s">
        <v>9091</v>
      </c>
      <c r="C3456" s="4" t="s">
        <v>24</v>
      </c>
      <c r="D3456" s="204" t="s">
        <v>2659</v>
      </c>
      <c r="E3456" s="204" t="s">
        <v>1105</v>
      </c>
      <c r="F3456" s="4" t="s">
        <v>28</v>
      </c>
      <c r="G3456" s="204" t="s">
        <v>28</v>
      </c>
      <c r="H3456" s="4" t="s">
        <v>523</v>
      </c>
      <c r="I3456" s="204"/>
      <c r="J3456" s="21" t="s">
        <v>2276</v>
      </c>
      <c r="K3456" s="21" t="s">
        <v>2276</v>
      </c>
      <c r="L3456" s="21" t="s">
        <v>2276</v>
      </c>
      <c r="M3456" s="21" t="s">
        <v>2276</v>
      </c>
      <c r="N3456" s="21" t="s">
        <v>2276</v>
      </c>
      <c r="O3456" s="21" t="s">
        <v>2276</v>
      </c>
      <c r="P3456" s="21" t="s">
        <v>2276</v>
      </c>
      <c r="Q3456" s="21" t="s">
        <v>2276</v>
      </c>
      <c r="R3456" s="21" t="s">
        <v>2276</v>
      </c>
      <c r="S3456" s="21" t="s">
        <v>2276</v>
      </c>
      <c r="T3456" s="21">
        <f>'Record info'!K$1406*X3456</f>
        <v>64004.22</v>
      </c>
      <c r="U3456" s="21" t="s">
        <v>2276</v>
      </c>
      <c r="V3456" s="21">
        <f>79*0.042</f>
        <v>3.3180000000000001</v>
      </c>
      <c r="W3456" s="21" t="s">
        <v>2276</v>
      </c>
      <c r="X3456" s="21">
        <f t="shared" si="15"/>
        <v>3.3180000000000001</v>
      </c>
      <c r="Y3456" s="21" t="s">
        <v>2276</v>
      </c>
      <c r="Z3456" s="204" t="s">
        <v>35</v>
      </c>
      <c r="AA3456" s="204" t="s">
        <v>35</v>
      </c>
      <c r="AB3456" s="21" t="s">
        <v>2276</v>
      </c>
      <c r="AC3456" s="21"/>
      <c r="AD3456" s="21"/>
    </row>
    <row r="3457" spans="1:30" ht="40" customHeight="1">
      <c r="A3457" s="11" t="s">
        <v>9006</v>
      </c>
      <c r="B3457" s="11" t="s">
        <v>9092</v>
      </c>
      <c r="C3457" s="4" t="s">
        <v>24</v>
      </c>
      <c r="D3457" s="204" t="s">
        <v>2659</v>
      </c>
      <c r="E3457" s="204" t="s">
        <v>1105</v>
      </c>
      <c r="F3457" s="4" t="s">
        <v>28</v>
      </c>
      <c r="G3457" s="204" t="s">
        <v>28</v>
      </c>
      <c r="H3457" s="4" t="s">
        <v>523</v>
      </c>
      <c r="I3457" s="204"/>
      <c r="J3457" s="21" t="s">
        <v>2276</v>
      </c>
      <c r="K3457" s="21" t="s">
        <v>2276</v>
      </c>
      <c r="L3457" s="21" t="s">
        <v>2276</v>
      </c>
      <c r="M3457" s="21" t="s">
        <v>2276</v>
      </c>
      <c r="N3457" s="21" t="s">
        <v>2276</v>
      </c>
      <c r="O3457" s="21" t="s">
        <v>2276</v>
      </c>
      <c r="P3457" s="21" t="s">
        <v>2276</v>
      </c>
      <c r="Q3457" s="21" t="s">
        <v>2276</v>
      </c>
      <c r="R3457" s="21" t="s">
        <v>2276</v>
      </c>
      <c r="S3457" s="21" t="s">
        <v>2276</v>
      </c>
      <c r="T3457" s="21">
        <f>'Record info'!K$1406*X3457</f>
        <v>292590.72000000003</v>
      </c>
      <c r="U3457" s="21" t="s">
        <v>2276</v>
      </c>
      <c r="V3457" s="21">
        <f>79*0.192</f>
        <v>15.168000000000001</v>
      </c>
      <c r="W3457" s="21" t="s">
        <v>2276</v>
      </c>
      <c r="X3457" s="21">
        <f t="shared" si="15"/>
        <v>15.168000000000001</v>
      </c>
      <c r="Y3457" s="21" t="s">
        <v>2276</v>
      </c>
      <c r="Z3457" s="204" t="s">
        <v>127</v>
      </c>
      <c r="AA3457" s="204" t="s">
        <v>127</v>
      </c>
      <c r="AB3457" s="21" t="s">
        <v>2276</v>
      </c>
      <c r="AC3457" s="21"/>
      <c r="AD3457" s="21"/>
    </row>
    <row r="3458" spans="1:30" ht="40" customHeight="1">
      <c r="A3458" s="11" t="s">
        <v>9006</v>
      </c>
      <c r="B3458" s="11" t="s">
        <v>9093</v>
      </c>
      <c r="C3458" s="168" t="s">
        <v>24</v>
      </c>
      <c r="D3458" s="38" t="s">
        <v>2659</v>
      </c>
      <c r="E3458" s="38" t="s">
        <v>1105</v>
      </c>
      <c r="F3458" s="168" t="s">
        <v>28</v>
      </c>
      <c r="G3458" s="38" t="s">
        <v>28</v>
      </c>
      <c r="H3458" s="168" t="s">
        <v>523</v>
      </c>
      <c r="I3458" s="204"/>
      <c r="J3458" s="21" t="s">
        <v>2276</v>
      </c>
      <c r="K3458" s="21" t="s">
        <v>2276</v>
      </c>
      <c r="L3458" s="21" t="s">
        <v>2276</v>
      </c>
      <c r="M3458" s="21" t="s">
        <v>2276</v>
      </c>
      <c r="N3458" s="21" t="s">
        <v>2276</v>
      </c>
      <c r="O3458" s="21" t="s">
        <v>2276</v>
      </c>
      <c r="P3458" s="21" t="s">
        <v>2276</v>
      </c>
      <c r="Q3458" s="21" t="s">
        <v>2276</v>
      </c>
      <c r="R3458" s="21" t="s">
        <v>2276</v>
      </c>
      <c r="S3458" s="21" t="s">
        <v>2276</v>
      </c>
      <c r="T3458" s="21">
        <f>'Record info'!K$1406*X3458</f>
        <v>321545.01</v>
      </c>
      <c r="U3458" s="21" t="s">
        <v>2276</v>
      </c>
      <c r="V3458" s="21">
        <f>79*0.211</f>
        <v>16.669</v>
      </c>
      <c r="W3458" s="21" t="s">
        <v>2276</v>
      </c>
      <c r="X3458" s="21">
        <f t="shared" si="15"/>
        <v>16.669</v>
      </c>
      <c r="Y3458" s="21" t="s">
        <v>2276</v>
      </c>
      <c r="Z3458" s="204" t="s">
        <v>399</v>
      </c>
      <c r="AA3458" s="204" t="s">
        <v>399</v>
      </c>
      <c r="AB3458" s="21" t="s">
        <v>2276</v>
      </c>
      <c r="AC3458" s="21"/>
      <c r="AD3458" s="21"/>
    </row>
    <row r="3459" spans="1:30" ht="40" customHeight="1">
      <c r="A3459" s="11" t="s">
        <v>9006</v>
      </c>
      <c r="B3459" s="11" t="s">
        <v>9094</v>
      </c>
      <c r="C3459" s="168" t="s">
        <v>24</v>
      </c>
      <c r="D3459" s="38" t="s">
        <v>2659</v>
      </c>
      <c r="E3459" s="38" t="s">
        <v>1105</v>
      </c>
      <c r="F3459" s="168" t="s">
        <v>28</v>
      </c>
      <c r="G3459" s="38" t="s">
        <v>28</v>
      </c>
      <c r="H3459" s="168" t="s">
        <v>523</v>
      </c>
      <c r="I3459" s="204"/>
      <c r="J3459" s="21" t="s">
        <v>2276</v>
      </c>
      <c r="K3459" s="21" t="s">
        <v>2276</v>
      </c>
      <c r="L3459" s="21" t="s">
        <v>2276</v>
      </c>
      <c r="M3459" s="21" t="s">
        <v>2276</v>
      </c>
      <c r="N3459" s="21" t="s">
        <v>2276</v>
      </c>
      <c r="O3459" s="21" t="s">
        <v>2276</v>
      </c>
      <c r="P3459" s="21" t="s">
        <v>2276</v>
      </c>
      <c r="Q3459" s="21" t="s">
        <v>2276</v>
      </c>
      <c r="R3459" s="21" t="s">
        <v>2276</v>
      </c>
      <c r="S3459" s="21" t="s">
        <v>2276</v>
      </c>
      <c r="T3459" s="21">
        <f>'Record info'!K$1406*X3459</f>
        <v>83815.049999999988</v>
      </c>
      <c r="U3459" s="21" t="s">
        <v>2276</v>
      </c>
      <c r="V3459" s="21">
        <f>79*0.055</f>
        <v>4.3449999999999998</v>
      </c>
      <c r="W3459" s="21" t="s">
        <v>2276</v>
      </c>
      <c r="X3459" s="21">
        <f t="shared" si="15"/>
        <v>4.3449999999999998</v>
      </c>
      <c r="Y3459" s="21" t="s">
        <v>2276</v>
      </c>
      <c r="Z3459" s="204" t="s">
        <v>188</v>
      </c>
      <c r="AA3459" s="204" t="s">
        <v>188</v>
      </c>
      <c r="AB3459" s="21" t="s">
        <v>2276</v>
      </c>
      <c r="AC3459" s="204"/>
      <c r="AD3459" s="204"/>
    </row>
    <row r="3460" spans="1:30" ht="40" customHeight="1">
      <c r="A3460" s="11" t="s">
        <v>9006</v>
      </c>
      <c r="B3460" s="11" t="s">
        <v>9095</v>
      </c>
      <c r="C3460" s="4" t="s">
        <v>24</v>
      </c>
      <c r="D3460" s="204" t="s">
        <v>2659</v>
      </c>
      <c r="E3460" s="204" t="s">
        <v>1105</v>
      </c>
      <c r="F3460" s="4" t="s">
        <v>28</v>
      </c>
      <c r="G3460" s="204" t="s">
        <v>28</v>
      </c>
      <c r="H3460" s="4" t="s">
        <v>523</v>
      </c>
      <c r="I3460" s="204"/>
      <c r="J3460" s="21" t="s">
        <v>2276</v>
      </c>
      <c r="K3460" s="21" t="s">
        <v>2276</v>
      </c>
      <c r="L3460" s="21" t="s">
        <v>2276</v>
      </c>
      <c r="M3460" s="21" t="s">
        <v>2276</v>
      </c>
      <c r="N3460" s="21" t="s">
        <v>2276</v>
      </c>
      <c r="O3460" s="21" t="s">
        <v>2276</v>
      </c>
      <c r="P3460" s="21" t="s">
        <v>2276</v>
      </c>
      <c r="Q3460" s="21" t="s">
        <v>2276</v>
      </c>
      <c r="R3460" s="21" t="s">
        <v>2276</v>
      </c>
      <c r="S3460" s="21" t="s">
        <v>2276</v>
      </c>
      <c r="T3460" s="21">
        <f>'Record info'!K$1406*X3460</f>
        <v>85338.96</v>
      </c>
      <c r="U3460" s="21" t="s">
        <v>2276</v>
      </c>
      <c r="V3460" s="21">
        <f>79*0.056</f>
        <v>4.4240000000000004</v>
      </c>
      <c r="W3460" s="21" t="s">
        <v>2276</v>
      </c>
      <c r="X3460" s="21">
        <f t="shared" si="15"/>
        <v>4.4240000000000004</v>
      </c>
      <c r="Y3460" s="21" t="s">
        <v>2276</v>
      </c>
      <c r="Z3460" s="204" t="s">
        <v>189</v>
      </c>
      <c r="AA3460" s="204" t="s">
        <v>189</v>
      </c>
      <c r="AB3460" s="21" t="s">
        <v>2276</v>
      </c>
      <c r="AC3460" s="204"/>
      <c r="AD3460" s="204"/>
    </row>
    <row r="3461" spans="1:30" ht="38" customHeight="1">
      <c r="A3461" s="11" t="s">
        <v>9006</v>
      </c>
      <c r="B3461" s="11" t="s">
        <v>9096</v>
      </c>
      <c r="C3461" s="4" t="s">
        <v>24</v>
      </c>
      <c r="D3461" s="204" t="s">
        <v>2659</v>
      </c>
      <c r="E3461" s="204" t="s">
        <v>1105</v>
      </c>
      <c r="F3461" s="4" t="s">
        <v>28</v>
      </c>
      <c r="G3461" s="204" t="s">
        <v>28</v>
      </c>
      <c r="H3461" s="4" t="s">
        <v>523</v>
      </c>
      <c r="I3461" s="204"/>
      <c r="J3461" s="21" t="s">
        <v>2276</v>
      </c>
      <c r="K3461" s="21" t="s">
        <v>2276</v>
      </c>
      <c r="L3461" s="21" t="s">
        <v>2276</v>
      </c>
      <c r="M3461" s="21" t="s">
        <v>2276</v>
      </c>
      <c r="N3461" s="21" t="s">
        <v>2276</v>
      </c>
      <c r="O3461" s="21" t="s">
        <v>2276</v>
      </c>
      <c r="P3461" s="21" t="s">
        <v>2276</v>
      </c>
      <c r="Q3461" s="21" t="s">
        <v>2276</v>
      </c>
      <c r="R3461" s="21" t="s">
        <v>2276</v>
      </c>
      <c r="S3461" s="21" t="s">
        <v>2276</v>
      </c>
      <c r="T3461" s="21">
        <f>'Record info'!K$1406*X3461</f>
        <v>178297.47</v>
      </c>
      <c r="U3461" s="21" t="s">
        <v>2276</v>
      </c>
      <c r="V3461" s="21">
        <f>79*0.117</f>
        <v>9.2430000000000003</v>
      </c>
      <c r="W3461" s="21" t="s">
        <v>2276</v>
      </c>
      <c r="X3461" s="21">
        <f t="shared" si="15"/>
        <v>9.2430000000000003</v>
      </c>
      <c r="Y3461" s="21" t="s">
        <v>2276</v>
      </c>
      <c r="Z3461" s="204" t="s">
        <v>38</v>
      </c>
      <c r="AA3461" s="204" t="s">
        <v>38</v>
      </c>
      <c r="AB3461" s="21" t="s">
        <v>2276</v>
      </c>
      <c r="AC3461" s="204"/>
      <c r="AD3461" s="204"/>
    </row>
    <row r="3462" spans="1:30" ht="38" customHeight="1">
      <c r="A3462" s="11" t="s">
        <v>9007</v>
      </c>
      <c r="B3462" s="11" t="s">
        <v>9018</v>
      </c>
      <c r="C3462" s="4" t="s">
        <v>24</v>
      </c>
      <c r="D3462" s="204" t="s">
        <v>2659</v>
      </c>
      <c r="E3462" s="204" t="s">
        <v>1105</v>
      </c>
      <c r="F3462" s="4" t="s">
        <v>28</v>
      </c>
      <c r="G3462" s="204" t="s">
        <v>28</v>
      </c>
      <c r="H3462" s="4" t="s">
        <v>523</v>
      </c>
      <c r="I3462" s="204"/>
      <c r="J3462" s="21" t="s">
        <v>2276</v>
      </c>
      <c r="K3462" s="21" t="s">
        <v>2276</v>
      </c>
      <c r="L3462" s="21" t="s">
        <v>2276</v>
      </c>
      <c r="M3462" s="21" t="s">
        <v>2276</v>
      </c>
      <c r="N3462" s="21" t="s">
        <v>2276</v>
      </c>
      <c r="O3462" s="21" t="s">
        <v>2276</v>
      </c>
      <c r="P3462" s="21" t="s">
        <v>2276</v>
      </c>
      <c r="Q3462" s="21" t="s">
        <v>2276</v>
      </c>
      <c r="R3462" s="21" t="s">
        <v>2276</v>
      </c>
      <c r="S3462" s="21" t="s">
        <v>2276</v>
      </c>
      <c r="T3462" s="21">
        <f>'Record info'!K$1406*X3462</f>
        <v>11979.09</v>
      </c>
      <c r="U3462" s="21" t="s">
        <v>2276</v>
      </c>
      <c r="V3462" s="21">
        <f>27*0.023</f>
        <v>0.621</v>
      </c>
      <c r="W3462" s="21" t="s">
        <v>2276</v>
      </c>
      <c r="X3462" s="21">
        <f>V3462</f>
        <v>0.621</v>
      </c>
      <c r="Y3462" s="21" t="s">
        <v>2276</v>
      </c>
      <c r="Z3462" s="204" t="s">
        <v>86</v>
      </c>
      <c r="AA3462" s="204" t="s">
        <v>86</v>
      </c>
      <c r="AB3462" s="21" t="s">
        <v>2276</v>
      </c>
      <c r="AC3462" s="21"/>
      <c r="AD3462" s="21"/>
    </row>
    <row r="3463" spans="1:30" ht="38" customHeight="1">
      <c r="A3463" s="11" t="s">
        <v>9007</v>
      </c>
      <c r="B3463" s="11" t="s">
        <v>9097</v>
      </c>
      <c r="C3463" s="4" t="s">
        <v>24</v>
      </c>
      <c r="D3463" s="204" t="s">
        <v>2659</v>
      </c>
      <c r="E3463" s="204" t="s">
        <v>1105</v>
      </c>
      <c r="F3463" s="4" t="s">
        <v>28</v>
      </c>
      <c r="G3463" s="204" t="s">
        <v>28</v>
      </c>
      <c r="H3463" s="4" t="s">
        <v>523</v>
      </c>
      <c r="I3463" s="204"/>
      <c r="J3463" s="21" t="s">
        <v>2276</v>
      </c>
      <c r="K3463" s="21" t="s">
        <v>2276</v>
      </c>
      <c r="L3463" s="21" t="s">
        <v>2276</v>
      </c>
      <c r="M3463" s="21" t="s">
        <v>2276</v>
      </c>
      <c r="N3463" s="21" t="s">
        <v>2276</v>
      </c>
      <c r="O3463" s="21" t="s">
        <v>2276</v>
      </c>
      <c r="P3463" s="21" t="s">
        <v>2276</v>
      </c>
      <c r="Q3463" s="21" t="s">
        <v>2276</v>
      </c>
      <c r="R3463" s="21" t="s">
        <v>2276</v>
      </c>
      <c r="S3463" s="21" t="s">
        <v>2276</v>
      </c>
      <c r="T3463" s="21">
        <f>'Record info'!K$1406*X3463</f>
        <v>13020.75</v>
      </c>
      <c r="U3463" s="21" t="s">
        <v>2276</v>
      </c>
      <c r="V3463" s="21">
        <f>27*0.025</f>
        <v>0.67500000000000004</v>
      </c>
      <c r="W3463" s="21" t="s">
        <v>2276</v>
      </c>
      <c r="X3463" s="21">
        <f t="shared" ref="X3463:X3473" si="16">V3463</f>
        <v>0.67500000000000004</v>
      </c>
      <c r="Y3463" s="21" t="s">
        <v>2276</v>
      </c>
      <c r="Z3463" s="204" t="s">
        <v>34</v>
      </c>
      <c r="AA3463" s="204" t="s">
        <v>34</v>
      </c>
      <c r="AB3463" s="21" t="s">
        <v>2276</v>
      </c>
      <c r="AC3463" s="21"/>
      <c r="AD3463" s="21"/>
    </row>
    <row r="3464" spans="1:30" ht="38" customHeight="1">
      <c r="A3464" s="11" t="s">
        <v>9007</v>
      </c>
      <c r="B3464" s="11" t="s">
        <v>9098</v>
      </c>
      <c r="C3464" s="4" t="s">
        <v>24</v>
      </c>
      <c r="D3464" s="204" t="s">
        <v>2659</v>
      </c>
      <c r="E3464" s="204" t="s">
        <v>1105</v>
      </c>
      <c r="F3464" s="4" t="s">
        <v>28</v>
      </c>
      <c r="G3464" s="204" t="s">
        <v>28</v>
      </c>
      <c r="H3464" s="4" t="s">
        <v>523</v>
      </c>
      <c r="I3464" s="204"/>
      <c r="J3464" s="21" t="s">
        <v>2276</v>
      </c>
      <c r="K3464" s="21" t="s">
        <v>2276</v>
      </c>
      <c r="L3464" s="21" t="s">
        <v>2276</v>
      </c>
      <c r="M3464" s="21" t="s">
        <v>2276</v>
      </c>
      <c r="N3464" s="21" t="s">
        <v>2276</v>
      </c>
      <c r="O3464" s="21" t="s">
        <v>2276</v>
      </c>
      <c r="P3464" s="21" t="s">
        <v>2276</v>
      </c>
      <c r="Q3464" s="21" t="s">
        <v>2276</v>
      </c>
      <c r="R3464" s="21" t="s">
        <v>2276</v>
      </c>
      <c r="S3464" s="21" t="s">
        <v>2276</v>
      </c>
      <c r="T3464" s="21">
        <f>'Record info'!K$1406*X3464</f>
        <v>45312.209999999992</v>
      </c>
      <c r="U3464" s="21" t="s">
        <v>2276</v>
      </c>
      <c r="V3464" s="21">
        <f>27*0.087</f>
        <v>2.3489999999999998</v>
      </c>
      <c r="W3464" s="21" t="s">
        <v>2276</v>
      </c>
      <c r="X3464" s="21">
        <f t="shared" si="16"/>
        <v>2.3489999999999998</v>
      </c>
      <c r="Y3464" s="21" t="s">
        <v>2276</v>
      </c>
      <c r="Z3464" s="204" t="s">
        <v>404</v>
      </c>
      <c r="AA3464" s="204" t="s">
        <v>404</v>
      </c>
      <c r="AB3464" s="21" t="s">
        <v>2276</v>
      </c>
      <c r="AC3464" s="21"/>
      <c r="AD3464" s="21"/>
    </row>
    <row r="3465" spans="1:30" ht="38" customHeight="1">
      <c r="A3465" s="11" t="s">
        <v>9007</v>
      </c>
      <c r="B3465" s="11" t="s">
        <v>9099</v>
      </c>
      <c r="C3465" s="4" t="s">
        <v>24</v>
      </c>
      <c r="D3465" s="204" t="s">
        <v>2659</v>
      </c>
      <c r="E3465" s="204" t="s">
        <v>1105</v>
      </c>
      <c r="F3465" s="4" t="s">
        <v>28</v>
      </c>
      <c r="G3465" s="204" t="s">
        <v>28</v>
      </c>
      <c r="H3465" s="4" t="s">
        <v>523</v>
      </c>
      <c r="I3465" s="204"/>
      <c r="J3465" s="21" t="s">
        <v>2276</v>
      </c>
      <c r="K3465" s="21" t="s">
        <v>2276</v>
      </c>
      <c r="L3465" s="21" t="s">
        <v>2276</v>
      </c>
      <c r="M3465" s="21" t="s">
        <v>2276</v>
      </c>
      <c r="N3465" s="21" t="s">
        <v>2276</v>
      </c>
      <c r="O3465" s="21" t="s">
        <v>2276</v>
      </c>
      <c r="P3465" s="21" t="s">
        <v>2276</v>
      </c>
      <c r="Q3465" s="21" t="s">
        <v>2276</v>
      </c>
      <c r="R3465" s="21" t="s">
        <v>2276</v>
      </c>
      <c r="S3465" s="21" t="s">
        <v>2276</v>
      </c>
      <c r="T3465" s="21">
        <f>'Record info'!K$1406*X3465</f>
        <v>82811.97</v>
      </c>
      <c r="U3465" s="21" t="s">
        <v>2276</v>
      </c>
      <c r="V3465" s="21">
        <f>27*0.159</f>
        <v>4.2930000000000001</v>
      </c>
      <c r="W3465" s="21" t="s">
        <v>2276</v>
      </c>
      <c r="X3465" s="21">
        <f t="shared" si="16"/>
        <v>4.2930000000000001</v>
      </c>
      <c r="Y3465" s="21" t="s">
        <v>2276</v>
      </c>
      <c r="Z3465" s="204" t="s">
        <v>405</v>
      </c>
      <c r="AA3465" s="204" t="s">
        <v>405</v>
      </c>
      <c r="AB3465" s="21" t="s">
        <v>2276</v>
      </c>
      <c r="AC3465" s="21"/>
      <c r="AD3465" s="21"/>
    </row>
    <row r="3466" spans="1:30" ht="38" customHeight="1">
      <c r="A3466" s="11" t="s">
        <v>9007</v>
      </c>
      <c r="B3466" s="11" t="s">
        <v>9100</v>
      </c>
      <c r="C3466" s="4" t="s">
        <v>24</v>
      </c>
      <c r="D3466" s="204" t="s">
        <v>2659</v>
      </c>
      <c r="E3466" s="204" t="s">
        <v>1105</v>
      </c>
      <c r="F3466" s="4" t="s">
        <v>28</v>
      </c>
      <c r="G3466" s="204" t="s">
        <v>28</v>
      </c>
      <c r="H3466" s="4" t="s">
        <v>523</v>
      </c>
      <c r="I3466" s="204"/>
      <c r="J3466" s="21" t="s">
        <v>2276</v>
      </c>
      <c r="K3466" s="21" t="s">
        <v>2276</v>
      </c>
      <c r="L3466" s="21" t="s">
        <v>2276</v>
      </c>
      <c r="M3466" s="21" t="s">
        <v>2276</v>
      </c>
      <c r="N3466" s="21" t="s">
        <v>2276</v>
      </c>
      <c r="O3466" s="21" t="s">
        <v>2276</v>
      </c>
      <c r="P3466" s="21" t="s">
        <v>2276</v>
      </c>
      <c r="Q3466" s="21" t="s">
        <v>2276</v>
      </c>
      <c r="R3466" s="21" t="s">
        <v>2276</v>
      </c>
      <c r="S3466" s="21" t="s">
        <v>2276</v>
      </c>
      <c r="T3466" s="21">
        <f>'Record info'!K$1406*X3466</f>
        <v>67707.900000000009</v>
      </c>
      <c r="U3466" s="21" t="s">
        <v>2276</v>
      </c>
      <c r="V3466" s="21">
        <f>27*0.13</f>
        <v>3.5100000000000002</v>
      </c>
      <c r="W3466" s="21" t="s">
        <v>2276</v>
      </c>
      <c r="X3466" s="21">
        <f t="shared" si="16"/>
        <v>3.5100000000000002</v>
      </c>
      <c r="Y3466" s="21" t="s">
        <v>2276</v>
      </c>
      <c r="Z3466" s="204" t="s">
        <v>425</v>
      </c>
      <c r="AA3466" s="204" t="s">
        <v>425</v>
      </c>
      <c r="AB3466" s="21" t="s">
        <v>2276</v>
      </c>
      <c r="AC3466" s="21"/>
      <c r="AD3466" s="21"/>
    </row>
    <row r="3467" spans="1:30" ht="38" customHeight="1">
      <c r="A3467" s="11" t="s">
        <v>9007</v>
      </c>
      <c r="B3467" s="11" t="s">
        <v>9101</v>
      </c>
      <c r="C3467" s="4" t="s">
        <v>24</v>
      </c>
      <c r="D3467" s="204" t="s">
        <v>2659</v>
      </c>
      <c r="E3467" s="204" t="s">
        <v>1105</v>
      </c>
      <c r="F3467" s="4" t="s">
        <v>28</v>
      </c>
      <c r="G3467" s="204" t="s">
        <v>28</v>
      </c>
      <c r="H3467" s="4" t="s">
        <v>523</v>
      </c>
      <c r="I3467" s="204"/>
      <c r="J3467" s="21" t="s">
        <v>2276</v>
      </c>
      <c r="K3467" s="21" t="s">
        <v>2276</v>
      </c>
      <c r="L3467" s="21" t="s">
        <v>2276</v>
      </c>
      <c r="M3467" s="21" t="s">
        <v>2276</v>
      </c>
      <c r="N3467" s="21" t="s">
        <v>2276</v>
      </c>
      <c r="O3467" s="21" t="s">
        <v>2276</v>
      </c>
      <c r="P3467" s="21" t="s">
        <v>2276</v>
      </c>
      <c r="Q3467" s="21" t="s">
        <v>2276</v>
      </c>
      <c r="R3467" s="21" t="s">
        <v>2276</v>
      </c>
      <c r="S3467" s="21" t="s">
        <v>2276</v>
      </c>
      <c r="T3467" s="21">
        <f>'Record info'!K$1406*X3467</f>
        <v>12499.92</v>
      </c>
      <c r="U3467" s="21" t="s">
        <v>2276</v>
      </c>
      <c r="V3467" s="21">
        <f>27*0.024</f>
        <v>0.64800000000000002</v>
      </c>
      <c r="W3467" s="21" t="s">
        <v>2276</v>
      </c>
      <c r="X3467" s="21">
        <f t="shared" si="16"/>
        <v>0.64800000000000002</v>
      </c>
      <c r="Y3467" s="21" t="s">
        <v>2276</v>
      </c>
      <c r="Z3467" s="204" t="s">
        <v>68</v>
      </c>
      <c r="AA3467" s="204" t="s">
        <v>68</v>
      </c>
      <c r="AB3467" s="21" t="s">
        <v>2276</v>
      </c>
      <c r="AC3467" s="21"/>
      <c r="AD3467" s="21"/>
    </row>
    <row r="3468" spans="1:30" ht="38" customHeight="1">
      <c r="A3468" s="11" t="s">
        <v>9007</v>
      </c>
      <c r="B3468" s="11" t="s">
        <v>9102</v>
      </c>
      <c r="C3468" s="4" t="s">
        <v>24</v>
      </c>
      <c r="D3468" s="204" t="s">
        <v>2659</v>
      </c>
      <c r="E3468" s="204" t="s">
        <v>1105</v>
      </c>
      <c r="F3468" s="4" t="s">
        <v>28</v>
      </c>
      <c r="G3468" s="204" t="s">
        <v>28</v>
      </c>
      <c r="H3468" s="4" t="s">
        <v>524</v>
      </c>
      <c r="I3468" s="204"/>
      <c r="J3468" s="21">
        <v>0</v>
      </c>
      <c r="K3468" s="21">
        <v>0</v>
      </c>
      <c r="L3468" s="21">
        <v>0</v>
      </c>
      <c r="M3468" s="21">
        <v>0</v>
      </c>
      <c r="N3468" s="21">
        <v>0</v>
      </c>
      <c r="O3468" s="21">
        <v>0</v>
      </c>
      <c r="P3468" s="21">
        <v>0</v>
      </c>
      <c r="Q3468" s="21">
        <v>0</v>
      </c>
      <c r="R3468" s="21">
        <v>0</v>
      </c>
      <c r="S3468" s="21">
        <v>0</v>
      </c>
      <c r="T3468" s="21">
        <v>0</v>
      </c>
      <c r="U3468" s="21">
        <v>0</v>
      </c>
      <c r="V3468" s="21">
        <v>0</v>
      </c>
      <c r="W3468" s="21">
        <v>0</v>
      </c>
      <c r="X3468" s="21">
        <v>0</v>
      </c>
      <c r="Y3468" s="21" t="s">
        <v>2276</v>
      </c>
      <c r="Z3468" s="204" t="s">
        <v>35</v>
      </c>
      <c r="AA3468" s="204" t="s">
        <v>35</v>
      </c>
      <c r="AB3468" s="21" t="s">
        <v>2276</v>
      </c>
      <c r="AC3468" s="21"/>
      <c r="AD3468" s="21"/>
    </row>
    <row r="3469" spans="1:30" ht="38" customHeight="1">
      <c r="A3469" s="11" t="s">
        <v>9007</v>
      </c>
      <c r="B3469" s="11" t="s">
        <v>9103</v>
      </c>
      <c r="C3469" s="4" t="s">
        <v>24</v>
      </c>
      <c r="D3469" s="204" t="s">
        <v>2659</v>
      </c>
      <c r="E3469" s="204" t="s">
        <v>1105</v>
      </c>
      <c r="F3469" s="4" t="s">
        <v>28</v>
      </c>
      <c r="G3469" s="204" t="s">
        <v>28</v>
      </c>
      <c r="H3469" s="4" t="s">
        <v>524</v>
      </c>
      <c r="I3469" s="204"/>
      <c r="J3469" s="21">
        <v>0</v>
      </c>
      <c r="K3469" s="21">
        <v>0</v>
      </c>
      <c r="L3469" s="21">
        <v>0</v>
      </c>
      <c r="M3469" s="21">
        <v>0</v>
      </c>
      <c r="N3469" s="21">
        <v>0</v>
      </c>
      <c r="O3469" s="21">
        <v>0</v>
      </c>
      <c r="P3469" s="21">
        <v>0</v>
      </c>
      <c r="Q3469" s="21">
        <v>0</v>
      </c>
      <c r="R3469" s="21">
        <v>0</v>
      </c>
      <c r="S3469" s="21">
        <v>0</v>
      </c>
      <c r="T3469" s="21">
        <v>0</v>
      </c>
      <c r="U3469" s="21">
        <v>0</v>
      </c>
      <c r="V3469" s="21">
        <v>0</v>
      </c>
      <c r="W3469" s="21">
        <v>0</v>
      </c>
      <c r="X3469" s="21">
        <v>0</v>
      </c>
      <c r="Y3469" s="21" t="s">
        <v>2276</v>
      </c>
      <c r="Z3469" s="204" t="s">
        <v>127</v>
      </c>
      <c r="AA3469" s="204" t="s">
        <v>127</v>
      </c>
      <c r="AB3469" s="21" t="s">
        <v>2276</v>
      </c>
      <c r="AC3469" s="21"/>
      <c r="AD3469" s="21"/>
    </row>
    <row r="3470" spans="1:30" ht="38" customHeight="1">
      <c r="A3470" s="11" t="s">
        <v>9007</v>
      </c>
      <c r="B3470" s="11" t="s">
        <v>9104</v>
      </c>
      <c r="C3470" s="168" t="s">
        <v>24</v>
      </c>
      <c r="D3470" s="38" t="s">
        <v>2659</v>
      </c>
      <c r="E3470" s="38" t="s">
        <v>1105</v>
      </c>
      <c r="F3470" s="168" t="s">
        <v>28</v>
      </c>
      <c r="G3470" s="38" t="s">
        <v>28</v>
      </c>
      <c r="H3470" s="168" t="s">
        <v>523</v>
      </c>
      <c r="I3470" s="204"/>
      <c r="J3470" s="21" t="s">
        <v>2276</v>
      </c>
      <c r="K3470" s="21" t="s">
        <v>2276</v>
      </c>
      <c r="L3470" s="21" t="s">
        <v>2276</v>
      </c>
      <c r="M3470" s="21" t="s">
        <v>2276</v>
      </c>
      <c r="N3470" s="21" t="s">
        <v>2276</v>
      </c>
      <c r="O3470" s="21" t="s">
        <v>2276</v>
      </c>
      <c r="P3470" s="21" t="s">
        <v>2276</v>
      </c>
      <c r="Q3470" s="21" t="s">
        <v>2276</v>
      </c>
      <c r="R3470" s="21" t="s">
        <v>2276</v>
      </c>
      <c r="S3470" s="21" t="s">
        <v>2276</v>
      </c>
      <c r="T3470" s="21">
        <f>'Record info'!K$1406*X3470</f>
        <v>10416.6</v>
      </c>
      <c r="U3470" s="21" t="s">
        <v>2276</v>
      </c>
      <c r="V3470" s="21">
        <f>27*0.02</f>
        <v>0.54</v>
      </c>
      <c r="W3470" s="21" t="s">
        <v>2276</v>
      </c>
      <c r="X3470" s="21">
        <f t="shared" si="16"/>
        <v>0.54</v>
      </c>
      <c r="Y3470" s="21" t="s">
        <v>2276</v>
      </c>
      <c r="Z3470" s="204" t="s">
        <v>399</v>
      </c>
      <c r="AA3470" s="204" t="s">
        <v>399</v>
      </c>
      <c r="AB3470" s="21" t="s">
        <v>2276</v>
      </c>
      <c r="AC3470" s="21"/>
      <c r="AD3470" s="21"/>
    </row>
    <row r="3471" spans="1:30" ht="38" customHeight="1">
      <c r="A3471" s="11" t="s">
        <v>9007</v>
      </c>
      <c r="B3471" s="11" t="s">
        <v>9105</v>
      </c>
      <c r="C3471" s="168" t="s">
        <v>24</v>
      </c>
      <c r="D3471" s="38" t="s">
        <v>2659</v>
      </c>
      <c r="E3471" s="38" t="s">
        <v>1105</v>
      </c>
      <c r="F3471" s="168" t="s">
        <v>28</v>
      </c>
      <c r="G3471" s="38" t="s">
        <v>28</v>
      </c>
      <c r="H3471" s="168" t="s">
        <v>523</v>
      </c>
      <c r="I3471" s="204"/>
      <c r="J3471" s="21" t="s">
        <v>2276</v>
      </c>
      <c r="K3471" s="21" t="s">
        <v>2276</v>
      </c>
      <c r="L3471" s="21" t="s">
        <v>2276</v>
      </c>
      <c r="M3471" s="21" t="s">
        <v>2276</v>
      </c>
      <c r="N3471" s="21" t="s">
        <v>2276</v>
      </c>
      <c r="O3471" s="21" t="s">
        <v>2276</v>
      </c>
      <c r="P3471" s="21" t="s">
        <v>2276</v>
      </c>
      <c r="Q3471" s="21" t="s">
        <v>2276</v>
      </c>
      <c r="R3471" s="21" t="s">
        <v>2276</v>
      </c>
      <c r="S3471" s="21" t="s">
        <v>2276</v>
      </c>
      <c r="T3471" s="21">
        <f>'Record info'!K$1406*X3471</f>
        <v>53645.489999999991</v>
      </c>
      <c r="U3471" s="21" t="s">
        <v>2276</v>
      </c>
      <c r="V3471" s="21">
        <f>27*0.103</f>
        <v>2.7809999999999997</v>
      </c>
      <c r="W3471" s="21" t="s">
        <v>2276</v>
      </c>
      <c r="X3471" s="21">
        <f t="shared" si="16"/>
        <v>2.7809999999999997</v>
      </c>
      <c r="Y3471" s="21" t="s">
        <v>2276</v>
      </c>
      <c r="Z3471" s="204" t="s">
        <v>188</v>
      </c>
      <c r="AA3471" s="204" t="s">
        <v>188</v>
      </c>
      <c r="AB3471" s="21" t="s">
        <v>2276</v>
      </c>
      <c r="AC3471" s="204"/>
      <c r="AD3471" s="204"/>
    </row>
    <row r="3472" spans="1:30" ht="38" customHeight="1">
      <c r="A3472" s="11" t="s">
        <v>9007</v>
      </c>
      <c r="B3472" s="11" t="s">
        <v>9106</v>
      </c>
      <c r="C3472" s="4" t="s">
        <v>24</v>
      </c>
      <c r="D3472" s="204" t="s">
        <v>2659</v>
      </c>
      <c r="E3472" s="204" t="s">
        <v>1105</v>
      </c>
      <c r="F3472" s="4" t="s">
        <v>28</v>
      </c>
      <c r="G3472" s="204" t="s">
        <v>28</v>
      </c>
      <c r="H3472" s="4" t="s">
        <v>523</v>
      </c>
      <c r="I3472" s="204"/>
      <c r="J3472" s="21" t="s">
        <v>2276</v>
      </c>
      <c r="K3472" s="21" t="s">
        <v>2276</v>
      </c>
      <c r="L3472" s="21" t="s">
        <v>2276</v>
      </c>
      <c r="M3472" s="21" t="s">
        <v>2276</v>
      </c>
      <c r="N3472" s="21" t="s">
        <v>2276</v>
      </c>
      <c r="O3472" s="21" t="s">
        <v>2276</v>
      </c>
      <c r="P3472" s="21" t="s">
        <v>2276</v>
      </c>
      <c r="Q3472" s="21" t="s">
        <v>2276</v>
      </c>
      <c r="R3472" s="21" t="s">
        <v>2276</v>
      </c>
      <c r="S3472" s="21" t="s">
        <v>2276</v>
      </c>
      <c r="T3472" s="21">
        <f>'Record info'!K$1406*X3472</f>
        <v>103645.17</v>
      </c>
      <c r="U3472" s="21" t="s">
        <v>2276</v>
      </c>
      <c r="V3472" s="21">
        <f>27*0.199</f>
        <v>5.3730000000000002</v>
      </c>
      <c r="W3472" s="21" t="s">
        <v>2276</v>
      </c>
      <c r="X3472" s="21">
        <f t="shared" si="16"/>
        <v>5.3730000000000002</v>
      </c>
      <c r="Y3472" s="21" t="s">
        <v>2276</v>
      </c>
      <c r="Z3472" s="204" t="s">
        <v>189</v>
      </c>
      <c r="AA3472" s="204" t="s">
        <v>189</v>
      </c>
      <c r="AB3472" s="21" t="s">
        <v>2276</v>
      </c>
      <c r="AC3472" s="204"/>
      <c r="AD3472" s="204"/>
    </row>
    <row r="3473" spans="1:30" ht="41.5" customHeight="1">
      <c r="A3473" s="11" t="s">
        <v>9007</v>
      </c>
      <c r="B3473" s="11" t="s">
        <v>9107</v>
      </c>
      <c r="C3473" s="4" t="s">
        <v>24</v>
      </c>
      <c r="D3473" s="204" t="s">
        <v>2659</v>
      </c>
      <c r="E3473" s="204" t="s">
        <v>1105</v>
      </c>
      <c r="F3473" s="4" t="s">
        <v>28</v>
      </c>
      <c r="G3473" s="204" t="s">
        <v>28</v>
      </c>
      <c r="H3473" s="4" t="s">
        <v>523</v>
      </c>
      <c r="I3473" s="204"/>
      <c r="J3473" s="21" t="s">
        <v>2276</v>
      </c>
      <c r="K3473" s="21" t="s">
        <v>2276</v>
      </c>
      <c r="L3473" s="21" t="s">
        <v>2276</v>
      </c>
      <c r="M3473" s="21" t="s">
        <v>2276</v>
      </c>
      <c r="N3473" s="21" t="s">
        <v>2276</v>
      </c>
      <c r="O3473" s="21" t="s">
        <v>2276</v>
      </c>
      <c r="P3473" s="21" t="s">
        <v>2276</v>
      </c>
      <c r="Q3473" s="21" t="s">
        <v>2276</v>
      </c>
      <c r="R3473" s="21" t="s">
        <v>2276</v>
      </c>
      <c r="S3473" s="21" t="s">
        <v>2276</v>
      </c>
      <c r="T3473" s="21">
        <f>'Record info'!K$1406*X3473</f>
        <v>119270.06999999999</v>
      </c>
      <c r="U3473" s="21" t="s">
        <v>2276</v>
      </c>
      <c r="V3473" s="21">
        <f>27*0.229</f>
        <v>6.1829999999999998</v>
      </c>
      <c r="W3473" s="21" t="s">
        <v>2276</v>
      </c>
      <c r="X3473" s="21">
        <f t="shared" si="16"/>
        <v>6.1829999999999998</v>
      </c>
      <c r="Y3473" s="21" t="s">
        <v>2276</v>
      </c>
      <c r="Z3473" s="204" t="s">
        <v>38</v>
      </c>
      <c r="AA3473" s="204" t="s">
        <v>38</v>
      </c>
      <c r="AB3473" s="21" t="s">
        <v>2276</v>
      </c>
      <c r="AC3473" s="204"/>
      <c r="AD3473" s="204"/>
    </row>
    <row r="3474" spans="1:30" ht="41.5" customHeight="1">
      <c r="A3474" s="11" t="s">
        <v>9008</v>
      </c>
      <c r="B3474" s="11" t="s">
        <v>9019</v>
      </c>
      <c r="C3474" s="4" t="s">
        <v>24</v>
      </c>
      <c r="D3474" s="204" t="s">
        <v>2659</v>
      </c>
      <c r="E3474" s="204" t="s">
        <v>1105</v>
      </c>
      <c r="F3474" s="4" t="s">
        <v>28</v>
      </c>
      <c r="G3474" s="204" t="s">
        <v>28</v>
      </c>
      <c r="H3474" s="4" t="s">
        <v>523</v>
      </c>
      <c r="I3474" s="204"/>
      <c r="J3474" s="21" t="s">
        <v>2276</v>
      </c>
      <c r="K3474" s="21" t="s">
        <v>2276</v>
      </c>
      <c r="L3474" s="21" t="s">
        <v>2276</v>
      </c>
      <c r="M3474" s="21" t="s">
        <v>2276</v>
      </c>
      <c r="N3474" s="21" t="s">
        <v>2276</v>
      </c>
      <c r="O3474" s="21" t="s">
        <v>2276</v>
      </c>
      <c r="P3474" s="21" t="s">
        <v>2276</v>
      </c>
      <c r="Q3474" s="21" t="s">
        <v>2276</v>
      </c>
      <c r="R3474" s="21" t="s">
        <v>2276</v>
      </c>
      <c r="S3474" s="21" t="s">
        <v>2276</v>
      </c>
      <c r="T3474" s="21">
        <f>'Record info'!K$1406*X3474</f>
        <v>63078.3</v>
      </c>
      <c r="U3474" s="21" t="s">
        <v>2276</v>
      </c>
      <c r="V3474" s="21">
        <f>30*0.109</f>
        <v>3.27</v>
      </c>
      <c r="W3474" s="21" t="s">
        <v>2276</v>
      </c>
      <c r="X3474" s="21">
        <f>V3474</f>
        <v>3.27</v>
      </c>
      <c r="Y3474" s="21" t="s">
        <v>2276</v>
      </c>
      <c r="Z3474" s="204" t="s">
        <v>86</v>
      </c>
      <c r="AA3474" s="204" t="s">
        <v>86</v>
      </c>
      <c r="AB3474" s="21" t="s">
        <v>2276</v>
      </c>
      <c r="AC3474" s="21"/>
      <c r="AD3474" s="21"/>
    </row>
    <row r="3475" spans="1:30" ht="41.5" customHeight="1">
      <c r="A3475" s="11" t="s">
        <v>9008</v>
      </c>
      <c r="B3475" s="11" t="s">
        <v>9108</v>
      </c>
      <c r="C3475" s="4" t="s">
        <v>24</v>
      </c>
      <c r="D3475" s="204" t="s">
        <v>2659</v>
      </c>
      <c r="E3475" s="204" t="s">
        <v>1105</v>
      </c>
      <c r="F3475" s="4" t="s">
        <v>28</v>
      </c>
      <c r="G3475" s="204" t="s">
        <v>28</v>
      </c>
      <c r="H3475" s="4" t="s">
        <v>523</v>
      </c>
      <c r="I3475" s="204"/>
      <c r="J3475" s="21" t="s">
        <v>2276</v>
      </c>
      <c r="K3475" s="21" t="s">
        <v>2276</v>
      </c>
      <c r="L3475" s="21" t="s">
        <v>2276</v>
      </c>
      <c r="M3475" s="21" t="s">
        <v>2276</v>
      </c>
      <c r="N3475" s="21" t="s">
        <v>2276</v>
      </c>
      <c r="O3475" s="21" t="s">
        <v>2276</v>
      </c>
      <c r="P3475" s="21" t="s">
        <v>2276</v>
      </c>
      <c r="Q3475" s="21" t="s">
        <v>2276</v>
      </c>
      <c r="R3475" s="21" t="s">
        <v>2276</v>
      </c>
      <c r="S3475" s="21" t="s">
        <v>2276</v>
      </c>
      <c r="T3475" s="21">
        <f>'Record info'!K$1406*X3475</f>
        <v>7523.0999999999995</v>
      </c>
      <c r="U3475" s="21" t="s">
        <v>2276</v>
      </c>
      <c r="V3475" s="21">
        <f>30*0.013</f>
        <v>0.38999999999999996</v>
      </c>
      <c r="W3475" s="21" t="s">
        <v>2276</v>
      </c>
      <c r="X3475" s="21">
        <f t="shared" ref="X3475:X3485" si="17">V3475</f>
        <v>0.38999999999999996</v>
      </c>
      <c r="Y3475" s="21" t="s">
        <v>2276</v>
      </c>
      <c r="Z3475" s="204" t="s">
        <v>34</v>
      </c>
      <c r="AA3475" s="204" t="s">
        <v>34</v>
      </c>
      <c r="AB3475" s="21" t="s">
        <v>2276</v>
      </c>
      <c r="AC3475" s="21"/>
      <c r="AD3475" s="21"/>
    </row>
    <row r="3476" spans="1:30" ht="41.5" customHeight="1">
      <c r="A3476" s="11" t="s">
        <v>9008</v>
      </c>
      <c r="B3476" s="11" t="s">
        <v>9109</v>
      </c>
      <c r="C3476" s="4" t="s">
        <v>24</v>
      </c>
      <c r="D3476" s="204" t="s">
        <v>2659</v>
      </c>
      <c r="E3476" s="204" t="s">
        <v>1105</v>
      </c>
      <c r="F3476" s="4" t="s">
        <v>28</v>
      </c>
      <c r="G3476" s="204" t="s">
        <v>28</v>
      </c>
      <c r="H3476" s="4" t="s">
        <v>523</v>
      </c>
      <c r="I3476" s="204"/>
      <c r="J3476" s="21" t="s">
        <v>2276</v>
      </c>
      <c r="K3476" s="21" t="s">
        <v>2276</v>
      </c>
      <c r="L3476" s="21" t="s">
        <v>2276</v>
      </c>
      <c r="M3476" s="21" t="s">
        <v>2276</v>
      </c>
      <c r="N3476" s="21" t="s">
        <v>2276</v>
      </c>
      <c r="O3476" s="21" t="s">
        <v>2276</v>
      </c>
      <c r="P3476" s="21" t="s">
        <v>2276</v>
      </c>
      <c r="Q3476" s="21" t="s">
        <v>2276</v>
      </c>
      <c r="R3476" s="21" t="s">
        <v>2276</v>
      </c>
      <c r="S3476" s="21" t="s">
        <v>2276</v>
      </c>
      <c r="T3476" s="21">
        <f>'Record info'!K$1406*X3476</f>
        <v>6944.4</v>
      </c>
      <c r="U3476" s="21" t="s">
        <v>2276</v>
      </c>
      <c r="V3476" s="21">
        <f>30*0.012</f>
        <v>0.36</v>
      </c>
      <c r="W3476" s="21" t="s">
        <v>2276</v>
      </c>
      <c r="X3476" s="21">
        <f t="shared" si="17"/>
        <v>0.36</v>
      </c>
      <c r="Y3476" s="21" t="s">
        <v>2276</v>
      </c>
      <c r="Z3476" s="204" t="s">
        <v>404</v>
      </c>
      <c r="AA3476" s="204" t="s">
        <v>404</v>
      </c>
      <c r="AB3476" s="21" t="s">
        <v>2276</v>
      </c>
      <c r="AC3476" s="21"/>
      <c r="AD3476" s="21"/>
    </row>
    <row r="3477" spans="1:30" ht="41.5" customHeight="1">
      <c r="A3477" s="11" t="s">
        <v>9008</v>
      </c>
      <c r="B3477" s="11" t="s">
        <v>9110</v>
      </c>
      <c r="C3477" s="4" t="s">
        <v>24</v>
      </c>
      <c r="D3477" s="204" t="s">
        <v>2659</v>
      </c>
      <c r="E3477" s="204" t="s">
        <v>1105</v>
      </c>
      <c r="F3477" s="4" t="s">
        <v>28</v>
      </c>
      <c r="G3477" s="204" t="s">
        <v>28</v>
      </c>
      <c r="H3477" s="4" t="s">
        <v>523</v>
      </c>
      <c r="I3477" s="204"/>
      <c r="J3477" s="21" t="s">
        <v>2276</v>
      </c>
      <c r="K3477" s="21" t="s">
        <v>2276</v>
      </c>
      <c r="L3477" s="21" t="s">
        <v>2276</v>
      </c>
      <c r="M3477" s="21" t="s">
        <v>2276</v>
      </c>
      <c r="N3477" s="21" t="s">
        <v>2276</v>
      </c>
      <c r="O3477" s="21" t="s">
        <v>2276</v>
      </c>
      <c r="P3477" s="21" t="s">
        <v>2276</v>
      </c>
      <c r="Q3477" s="21" t="s">
        <v>2276</v>
      </c>
      <c r="R3477" s="21" t="s">
        <v>2276</v>
      </c>
      <c r="S3477" s="21" t="s">
        <v>2276</v>
      </c>
      <c r="T3477" s="21">
        <f>'Record info'!K$1406*X3477</f>
        <v>22569.3</v>
      </c>
      <c r="U3477" s="21" t="s">
        <v>2276</v>
      </c>
      <c r="V3477" s="21">
        <f>30*0.039</f>
        <v>1.17</v>
      </c>
      <c r="W3477" s="21" t="s">
        <v>2276</v>
      </c>
      <c r="X3477" s="21">
        <f t="shared" si="17"/>
        <v>1.17</v>
      </c>
      <c r="Y3477" s="21" t="s">
        <v>2276</v>
      </c>
      <c r="Z3477" s="204" t="s">
        <v>405</v>
      </c>
      <c r="AA3477" s="204" t="s">
        <v>405</v>
      </c>
      <c r="AB3477" s="21" t="s">
        <v>2276</v>
      </c>
      <c r="AC3477" s="21"/>
      <c r="AD3477" s="21"/>
    </row>
    <row r="3478" spans="1:30" ht="41.5" customHeight="1">
      <c r="A3478" s="11" t="s">
        <v>9008</v>
      </c>
      <c r="B3478" s="11" t="s">
        <v>9111</v>
      </c>
      <c r="C3478" s="4" t="s">
        <v>24</v>
      </c>
      <c r="D3478" s="204" t="s">
        <v>2659</v>
      </c>
      <c r="E3478" s="204" t="s">
        <v>1105</v>
      </c>
      <c r="F3478" s="4" t="s">
        <v>28</v>
      </c>
      <c r="G3478" s="204" t="s">
        <v>28</v>
      </c>
      <c r="H3478" s="4" t="s">
        <v>523</v>
      </c>
      <c r="I3478" s="204"/>
      <c r="J3478" s="21" t="s">
        <v>2276</v>
      </c>
      <c r="K3478" s="21" t="s">
        <v>2276</v>
      </c>
      <c r="L3478" s="21" t="s">
        <v>2276</v>
      </c>
      <c r="M3478" s="21" t="s">
        <v>2276</v>
      </c>
      <c r="N3478" s="21" t="s">
        <v>2276</v>
      </c>
      <c r="O3478" s="21" t="s">
        <v>2276</v>
      </c>
      <c r="P3478" s="21" t="s">
        <v>2276</v>
      </c>
      <c r="Q3478" s="21" t="s">
        <v>2276</v>
      </c>
      <c r="R3478" s="21" t="s">
        <v>2276</v>
      </c>
      <c r="S3478" s="21" t="s">
        <v>2276</v>
      </c>
      <c r="T3478" s="21">
        <f>'Record info'!K$1406*X3478</f>
        <v>28935</v>
      </c>
      <c r="U3478" s="21" t="s">
        <v>2276</v>
      </c>
      <c r="V3478" s="21">
        <f>30*0.05</f>
        <v>1.5</v>
      </c>
      <c r="W3478" s="21" t="s">
        <v>2276</v>
      </c>
      <c r="X3478" s="21">
        <f t="shared" si="17"/>
        <v>1.5</v>
      </c>
      <c r="Y3478" s="21" t="s">
        <v>2276</v>
      </c>
      <c r="Z3478" s="204" t="s">
        <v>425</v>
      </c>
      <c r="AA3478" s="204" t="s">
        <v>425</v>
      </c>
      <c r="AB3478" s="21" t="s">
        <v>2276</v>
      </c>
      <c r="AC3478" s="21"/>
      <c r="AD3478" s="21"/>
    </row>
    <row r="3479" spans="1:30" ht="41.5" customHeight="1">
      <c r="A3479" s="11" t="s">
        <v>9008</v>
      </c>
      <c r="B3479" s="11" t="s">
        <v>9112</v>
      </c>
      <c r="C3479" s="4" t="s">
        <v>24</v>
      </c>
      <c r="D3479" s="204" t="s">
        <v>2659</v>
      </c>
      <c r="E3479" s="204" t="s">
        <v>1105</v>
      </c>
      <c r="F3479" s="4" t="s">
        <v>28</v>
      </c>
      <c r="G3479" s="204" t="s">
        <v>28</v>
      </c>
      <c r="H3479" s="4" t="s">
        <v>523</v>
      </c>
      <c r="I3479" s="204"/>
      <c r="J3479" s="21" t="s">
        <v>2276</v>
      </c>
      <c r="K3479" s="21" t="s">
        <v>2276</v>
      </c>
      <c r="L3479" s="21" t="s">
        <v>2276</v>
      </c>
      <c r="M3479" s="21" t="s">
        <v>2276</v>
      </c>
      <c r="N3479" s="21" t="s">
        <v>2276</v>
      </c>
      <c r="O3479" s="21" t="s">
        <v>2276</v>
      </c>
      <c r="P3479" s="21" t="s">
        <v>2276</v>
      </c>
      <c r="Q3479" s="21" t="s">
        <v>2276</v>
      </c>
      <c r="R3479" s="21" t="s">
        <v>2276</v>
      </c>
      <c r="S3479" s="21" t="s">
        <v>2276</v>
      </c>
      <c r="T3479" s="21">
        <f>'Record info'!K$1406*X3479</f>
        <v>7523.0999999999995</v>
      </c>
      <c r="U3479" s="21" t="s">
        <v>2276</v>
      </c>
      <c r="V3479" s="21">
        <f>30*0.013</f>
        <v>0.38999999999999996</v>
      </c>
      <c r="W3479" s="21" t="s">
        <v>2276</v>
      </c>
      <c r="X3479" s="21">
        <f t="shared" si="17"/>
        <v>0.38999999999999996</v>
      </c>
      <c r="Y3479" s="21" t="s">
        <v>2276</v>
      </c>
      <c r="Z3479" s="204" t="s">
        <v>68</v>
      </c>
      <c r="AA3479" s="204" t="s">
        <v>68</v>
      </c>
      <c r="AB3479" s="21" t="s">
        <v>2276</v>
      </c>
      <c r="AC3479" s="21"/>
      <c r="AD3479" s="21"/>
    </row>
    <row r="3480" spans="1:30" ht="41.5" customHeight="1">
      <c r="A3480" s="11" t="s">
        <v>9008</v>
      </c>
      <c r="B3480" s="11" t="s">
        <v>9113</v>
      </c>
      <c r="C3480" s="4" t="s">
        <v>24</v>
      </c>
      <c r="D3480" s="204" t="s">
        <v>2659</v>
      </c>
      <c r="E3480" s="204" t="s">
        <v>1105</v>
      </c>
      <c r="F3480" s="4" t="s">
        <v>28</v>
      </c>
      <c r="G3480" s="204" t="s">
        <v>28</v>
      </c>
      <c r="H3480" s="4" t="s">
        <v>523</v>
      </c>
      <c r="I3480" s="204"/>
      <c r="J3480" s="21" t="s">
        <v>2276</v>
      </c>
      <c r="K3480" s="21" t="s">
        <v>2276</v>
      </c>
      <c r="L3480" s="21" t="s">
        <v>2276</v>
      </c>
      <c r="M3480" s="21" t="s">
        <v>2276</v>
      </c>
      <c r="N3480" s="21" t="s">
        <v>2276</v>
      </c>
      <c r="O3480" s="21" t="s">
        <v>2276</v>
      </c>
      <c r="P3480" s="21" t="s">
        <v>2276</v>
      </c>
      <c r="Q3480" s="21" t="s">
        <v>2276</v>
      </c>
      <c r="R3480" s="21" t="s">
        <v>2276</v>
      </c>
      <c r="S3480" s="21" t="s">
        <v>2276</v>
      </c>
      <c r="T3480" s="21">
        <f>'Record info'!K$1406*X3480</f>
        <v>10995.3</v>
      </c>
      <c r="U3480" s="21" t="s">
        <v>2276</v>
      </c>
      <c r="V3480" s="21">
        <f>30*0.019</f>
        <v>0.56999999999999995</v>
      </c>
      <c r="W3480" s="21" t="s">
        <v>2276</v>
      </c>
      <c r="X3480" s="21">
        <f t="shared" si="17"/>
        <v>0.56999999999999995</v>
      </c>
      <c r="Y3480" s="21" t="s">
        <v>2276</v>
      </c>
      <c r="Z3480" s="204" t="s">
        <v>35</v>
      </c>
      <c r="AA3480" s="204" t="s">
        <v>35</v>
      </c>
      <c r="AB3480" s="21" t="s">
        <v>2276</v>
      </c>
      <c r="AC3480" s="21"/>
      <c r="AD3480" s="21"/>
    </row>
    <row r="3481" spans="1:30" ht="41.5" customHeight="1">
      <c r="A3481" s="11" t="s">
        <v>9008</v>
      </c>
      <c r="B3481" s="11" t="s">
        <v>9114</v>
      </c>
      <c r="C3481" s="4" t="s">
        <v>24</v>
      </c>
      <c r="D3481" s="204" t="s">
        <v>2659</v>
      </c>
      <c r="E3481" s="204" t="s">
        <v>1105</v>
      </c>
      <c r="F3481" s="4" t="s">
        <v>28</v>
      </c>
      <c r="G3481" s="204" t="s">
        <v>28</v>
      </c>
      <c r="H3481" s="4" t="s">
        <v>523</v>
      </c>
      <c r="I3481" s="204"/>
      <c r="J3481" s="21" t="s">
        <v>2276</v>
      </c>
      <c r="K3481" s="21" t="s">
        <v>2276</v>
      </c>
      <c r="L3481" s="21" t="s">
        <v>2276</v>
      </c>
      <c r="M3481" s="21" t="s">
        <v>2276</v>
      </c>
      <c r="N3481" s="21" t="s">
        <v>2276</v>
      </c>
      <c r="O3481" s="21" t="s">
        <v>2276</v>
      </c>
      <c r="P3481" s="21" t="s">
        <v>2276</v>
      </c>
      <c r="Q3481" s="21" t="s">
        <v>2276</v>
      </c>
      <c r="R3481" s="21" t="s">
        <v>2276</v>
      </c>
      <c r="S3481" s="21" t="s">
        <v>2276</v>
      </c>
      <c r="T3481" s="21">
        <f>'Record info'!K$1406*X3481</f>
        <v>10995.3</v>
      </c>
      <c r="U3481" s="21" t="s">
        <v>2276</v>
      </c>
      <c r="V3481" s="21">
        <f>30*0.019</f>
        <v>0.56999999999999995</v>
      </c>
      <c r="W3481" s="21" t="s">
        <v>2276</v>
      </c>
      <c r="X3481" s="21">
        <f t="shared" si="17"/>
        <v>0.56999999999999995</v>
      </c>
      <c r="Y3481" s="21" t="s">
        <v>2276</v>
      </c>
      <c r="Z3481" s="204" t="s">
        <v>127</v>
      </c>
      <c r="AA3481" s="204" t="s">
        <v>127</v>
      </c>
      <c r="AB3481" s="21" t="s">
        <v>2276</v>
      </c>
      <c r="AC3481" s="21"/>
      <c r="AD3481" s="21"/>
    </row>
    <row r="3482" spans="1:30" ht="41.5" customHeight="1">
      <c r="A3482" s="11" t="s">
        <v>9008</v>
      </c>
      <c r="B3482" s="11" t="s">
        <v>9115</v>
      </c>
      <c r="C3482" s="4" t="s">
        <v>24</v>
      </c>
      <c r="D3482" s="204" t="s">
        <v>2659</v>
      </c>
      <c r="E3482" s="204" t="s">
        <v>1105</v>
      </c>
      <c r="F3482" s="4" t="s">
        <v>28</v>
      </c>
      <c r="G3482" s="204" t="s">
        <v>28</v>
      </c>
      <c r="H3482" s="4" t="s">
        <v>523</v>
      </c>
      <c r="I3482" s="204"/>
      <c r="J3482" s="21" t="s">
        <v>2276</v>
      </c>
      <c r="K3482" s="21" t="s">
        <v>2276</v>
      </c>
      <c r="L3482" s="21" t="s">
        <v>2276</v>
      </c>
      <c r="M3482" s="21" t="s">
        <v>2276</v>
      </c>
      <c r="N3482" s="21" t="s">
        <v>2276</v>
      </c>
      <c r="O3482" s="21" t="s">
        <v>2276</v>
      </c>
      <c r="P3482" s="21" t="s">
        <v>2276</v>
      </c>
      <c r="Q3482" s="21" t="s">
        <v>2276</v>
      </c>
      <c r="R3482" s="21" t="s">
        <v>2276</v>
      </c>
      <c r="S3482" s="21" t="s">
        <v>2276</v>
      </c>
      <c r="T3482" s="21">
        <f>'Record info'!K$1406*X3482</f>
        <v>45717.3</v>
      </c>
      <c r="U3482" s="21" t="s">
        <v>2276</v>
      </c>
      <c r="V3482" s="21">
        <f>30*0.079</f>
        <v>2.37</v>
      </c>
      <c r="W3482" s="21" t="s">
        <v>2276</v>
      </c>
      <c r="X3482" s="21">
        <f t="shared" si="17"/>
        <v>2.37</v>
      </c>
      <c r="Y3482" s="21" t="s">
        <v>2276</v>
      </c>
      <c r="Z3482" s="204" t="s">
        <v>399</v>
      </c>
      <c r="AA3482" s="204" t="s">
        <v>399</v>
      </c>
      <c r="AB3482" s="21" t="s">
        <v>2276</v>
      </c>
      <c r="AC3482" s="21"/>
      <c r="AD3482" s="21"/>
    </row>
    <row r="3483" spans="1:30" ht="41.5" customHeight="1">
      <c r="A3483" s="11" t="s">
        <v>9008</v>
      </c>
      <c r="B3483" s="11" t="s">
        <v>9116</v>
      </c>
      <c r="C3483" s="4" t="s">
        <v>24</v>
      </c>
      <c r="D3483" s="204" t="s">
        <v>2659</v>
      </c>
      <c r="E3483" s="204" t="s">
        <v>1105</v>
      </c>
      <c r="F3483" s="4" t="s">
        <v>28</v>
      </c>
      <c r="G3483" s="204" t="s">
        <v>28</v>
      </c>
      <c r="H3483" s="4" t="s">
        <v>523</v>
      </c>
      <c r="I3483" s="204"/>
      <c r="J3483" s="21" t="s">
        <v>2276</v>
      </c>
      <c r="K3483" s="21" t="s">
        <v>2276</v>
      </c>
      <c r="L3483" s="21" t="s">
        <v>2276</v>
      </c>
      <c r="M3483" s="21" t="s">
        <v>2276</v>
      </c>
      <c r="N3483" s="21" t="s">
        <v>2276</v>
      </c>
      <c r="O3483" s="21" t="s">
        <v>2276</v>
      </c>
      <c r="P3483" s="21" t="s">
        <v>2276</v>
      </c>
      <c r="Q3483" s="21" t="s">
        <v>2276</v>
      </c>
      <c r="R3483" s="21" t="s">
        <v>2276</v>
      </c>
      <c r="S3483" s="21" t="s">
        <v>2276</v>
      </c>
      <c r="T3483" s="21">
        <f>'Record info'!K$1406*X3483</f>
        <v>105902.1</v>
      </c>
      <c r="U3483" s="21" t="s">
        <v>2276</v>
      </c>
      <c r="V3483" s="21">
        <f>30*0.183</f>
        <v>5.49</v>
      </c>
      <c r="W3483" s="21" t="s">
        <v>2276</v>
      </c>
      <c r="X3483" s="21">
        <f t="shared" si="17"/>
        <v>5.49</v>
      </c>
      <c r="Y3483" s="21" t="s">
        <v>2276</v>
      </c>
      <c r="Z3483" s="204" t="s">
        <v>188</v>
      </c>
      <c r="AA3483" s="204" t="s">
        <v>188</v>
      </c>
      <c r="AB3483" s="21" t="s">
        <v>2276</v>
      </c>
      <c r="AC3483" s="204"/>
      <c r="AD3483" s="204"/>
    </row>
    <row r="3484" spans="1:30" ht="41.5" customHeight="1">
      <c r="A3484" s="11" t="s">
        <v>9008</v>
      </c>
      <c r="B3484" s="11" t="s">
        <v>9117</v>
      </c>
      <c r="C3484" s="4" t="s">
        <v>24</v>
      </c>
      <c r="D3484" s="204" t="s">
        <v>2659</v>
      </c>
      <c r="E3484" s="204" t="s">
        <v>1105</v>
      </c>
      <c r="F3484" s="4" t="s">
        <v>28</v>
      </c>
      <c r="G3484" s="204" t="s">
        <v>28</v>
      </c>
      <c r="H3484" s="4" t="s">
        <v>523</v>
      </c>
      <c r="I3484" s="204"/>
      <c r="J3484" s="21" t="s">
        <v>2276</v>
      </c>
      <c r="K3484" s="21" t="s">
        <v>2276</v>
      </c>
      <c r="L3484" s="21" t="s">
        <v>2276</v>
      </c>
      <c r="M3484" s="21" t="s">
        <v>2276</v>
      </c>
      <c r="N3484" s="21" t="s">
        <v>2276</v>
      </c>
      <c r="O3484" s="21" t="s">
        <v>2276</v>
      </c>
      <c r="P3484" s="21" t="s">
        <v>2276</v>
      </c>
      <c r="Q3484" s="21" t="s">
        <v>2276</v>
      </c>
      <c r="R3484" s="21" t="s">
        <v>2276</v>
      </c>
      <c r="S3484" s="21" t="s">
        <v>2276</v>
      </c>
      <c r="T3484" s="21">
        <f>'Record info'!K$1406*X3484</f>
        <v>121527</v>
      </c>
      <c r="U3484" s="21" t="s">
        <v>2276</v>
      </c>
      <c r="V3484" s="21">
        <f>30*0.21</f>
        <v>6.3</v>
      </c>
      <c r="W3484" s="21" t="s">
        <v>2276</v>
      </c>
      <c r="X3484" s="21">
        <f t="shared" si="17"/>
        <v>6.3</v>
      </c>
      <c r="Y3484" s="21" t="s">
        <v>2276</v>
      </c>
      <c r="Z3484" s="204" t="s">
        <v>189</v>
      </c>
      <c r="AA3484" s="204" t="s">
        <v>189</v>
      </c>
      <c r="AB3484" s="21" t="s">
        <v>2276</v>
      </c>
      <c r="AC3484" s="204"/>
      <c r="AD3484" s="204"/>
    </row>
    <row r="3485" spans="1:30" ht="41.5" customHeight="1">
      <c r="A3485" s="11" t="s">
        <v>9008</v>
      </c>
      <c r="B3485" s="11" t="s">
        <v>9118</v>
      </c>
      <c r="C3485" s="4" t="s">
        <v>24</v>
      </c>
      <c r="D3485" s="204" t="s">
        <v>2659</v>
      </c>
      <c r="E3485" s="204" t="s">
        <v>1105</v>
      </c>
      <c r="F3485" s="4" t="s">
        <v>28</v>
      </c>
      <c r="G3485" s="204" t="s">
        <v>28</v>
      </c>
      <c r="H3485" s="4" t="s">
        <v>523</v>
      </c>
      <c r="I3485" s="204"/>
      <c r="J3485" s="21" t="s">
        <v>2276</v>
      </c>
      <c r="K3485" s="21" t="s">
        <v>2276</v>
      </c>
      <c r="L3485" s="21" t="s">
        <v>2276</v>
      </c>
      <c r="M3485" s="21" t="s">
        <v>2276</v>
      </c>
      <c r="N3485" s="21" t="s">
        <v>2276</v>
      </c>
      <c r="O3485" s="21" t="s">
        <v>2276</v>
      </c>
      <c r="P3485" s="21" t="s">
        <v>2276</v>
      </c>
      <c r="Q3485" s="21" t="s">
        <v>2276</v>
      </c>
      <c r="R3485" s="21" t="s">
        <v>2276</v>
      </c>
      <c r="S3485" s="21" t="s">
        <v>2276</v>
      </c>
      <c r="T3485" s="21">
        <f>'Record info'!K$1406*X3485</f>
        <v>146989.79999999999</v>
      </c>
      <c r="U3485" s="21" t="s">
        <v>2276</v>
      </c>
      <c r="V3485" s="21">
        <f>30*0.254</f>
        <v>7.62</v>
      </c>
      <c r="W3485" s="21" t="s">
        <v>2276</v>
      </c>
      <c r="X3485" s="21">
        <f t="shared" si="17"/>
        <v>7.62</v>
      </c>
      <c r="Y3485" s="21" t="s">
        <v>2276</v>
      </c>
      <c r="Z3485" s="204" t="s">
        <v>38</v>
      </c>
      <c r="AA3485" s="204" t="s">
        <v>38</v>
      </c>
      <c r="AB3485" s="21" t="s">
        <v>2276</v>
      </c>
      <c r="AC3485" s="204"/>
      <c r="AD3485" s="204"/>
    </row>
    <row r="3486" spans="1:30" ht="53.5" customHeight="1">
      <c r="A3486" s="11" t="s">
        <v>9120</v>
      </c>
      <c r="B3486" s="11" t="s">
        <v>9123</v>
      </c>
      <c r="C3486" s="204" t="s">
        <v>31</v>
      </c>
      <c r="D3486" s="204" t="s">
        <v>30</v>
      </c>
      <c r="E3486" s="204" t="s">
        <v>2653</v>
      </c>
      <c r="F3486" s="4" t="s">
        <v>2276</v>
      </c>
      <c r="G3486" s="204" t="s">
        <v>2663</v>
      </c>
      <c r="H3486" s="4" t="s">
        <v>523</v>
      </c>
      <c r="I3486" s="204"/>
      <c r="J3486" s="21" t="s">
        <v>2276</v>
      </c>
      <c r="K3486" s="21" t="s">
        <v>2276</v>
      </c>
      <c r="L3486" s="21" t="s">
        <v>2276</v>
      </c>
      <c r="M3486" s="21" t="s">
        <v>2276</v>
      </c>
      <c r="N3486" s="21" t="s">
        <v>2276</v>
      </c>
      <c r="O3486" s="21" t="s">
        <v>2276</v>
      </c>
      <c r="P3486" s="21" t="s">
        <v>2276</v>
      </c>
      <c r="Q3486" s="21" t="s">
        <v>2276</v>
      </c>
      <c r="R3486" s="21" t="s">
        <v>2276</v>
      </c>
      <c r="S3486" s="21" t="s">
        <v>2276</v>
      </c>
      <c r="T3486" s="21">
        <v>30000</v>
      </c>
      <c r="U3486" s="21" t="s">
        <v>2276</v>
      </c>
      <c r="V3486" s="21" t="s">
        <v>2276</v>
      </c>
      <c r="W3486" s="21" t="s">
        <v>2276</v>
      </c>
      <c r="X3486" s="21" t="s">
        <v>2276</v>
      </c>
      <c r="Y3486" s="21" t="s">
        <v>2276</v>
      </c>
      <c r="Z3486" s="178" t="s">
        <v>34</v>
      </c>
      <c r="AA3486" s="204" t="s">
        <v>34</v>
      </c>
      <c r="AB3486" s="21" t="s">
        <v>2276</v>
      </c>
      <c r="AC3486" s="204" t="s">
        <v>9125</v>
      </c>
      <c r="AD3486" s="204"/>
    </row>
    <row r="3487" spans="1:30" ht="56.5" customHeight="1">
      <c r="A3487" s="11" t="s">
        <v>9120</v>
      </c>
      <c r="B3487" s="11" t="s">
        <v>9124</v>
      </c>
      <c r="C3487" s="204" t="s">
        <v>2658</v>
      </c>
      <c r="D3487" s="204" t="s">
        <v>2276</v>
      </c>
      <c r="E3487" s="204" t="s">
        <v>2276</v>
      </c>
      <c r="F3487" s="4" t="s">
        <v>2276</v>
      </c>
      <c r="G3487" s="204" t="s">
        <v>2663</v>
      </c>
      <c r="H3487" s="4" t="s">
        <v>523</v>
      </c>
      <c r="I3487" s="204"/>
      <c r="J3487" s="21" t="s">
        <v>2276</v>
      </c>
      <c r="K3487" s="21" t="s">
        <v>2276</v>
      </c>
      <c r="L3487" s="21" t="s">
        <v>2276</v>
      </c>
      <c r="M3487" s="21" t="s">
        <v>2276</v>
      </c>
      <c r="N3487" s="21" t="s">
        <v>2276</v>
      </c>
      <c r="O3487" s="21" t="s">
        <v>2276</v>
      </c>
      <c r="P3487" s="21" t="s">
        <v>2276</v>
      </c>
      <c r="Q3487" s="21" t="s">
        <v>2276</v>
      </c>
      <c r="R3487" s="21" t="s">
        <v>2276</v>
      </c>
      <c r="S3487" s="21" t="s">
        <v>2276</v>
      </c>
      <c r="T3487" s="21">
        <v>200000</v>
      </c>
      <c r="U3487" s="21" t="s">
        <v>2276</v>
      </c>
      <c r="V3487" s="21" t="s">
        <v>2276</v>
      </c>
      <c r="W3487" s="21" t="s">
        <v>2276</v>
      </c>
      <c r="X3487" s="21" t="s">
        <v>2276</v>
      </c>
      <c r="Y3487" s="21" t="s">
        <v>2276</v>
      </c>
      <c r="Z3487" s="178" t="s">
        <v>68</v>
      </c>
      <c r="AA3487" s="204" t="s">
        <v>68</v>
      </c>
      <c r="AB3487" s="21" t="s">
        <v>2276</v>
      </c>
      <c r="AC3487" s="204"/>
      <c r="AD3487" s="204"/>
    </row>
    <row r="3488" spans="1:30" ht="66.5" customHeight="1">
      <c r="A3488" s="11" t="s">
        <v>9121</v>
      </c>
      <c r="B3488" s="11" t="s">
        <v>9126</v>
      </c>
      <c r="C3488" s="204" t="s">
        <v>2658</v>
      </c>
      <c r="D3488" s="204" t="s">
        <v>2276</v>
      </c>
      <c r="E3488" s="204" t="s">
        <v>2649</v>
      </c>
      <c r="F3488" s="4" t="s">
        <v>2276</v>
      </c>
      <c r="G3488" s="204" t="s">
        <v>2663</v>
      </c>
      <c r="H3488" s="4" t="s">
        <v>523</v>
      </c>
      <c r="I3488" s="204"/>
      <c r="J3488" s="21" t="s">
        <v>2276</v>
      </c>
      <c r="K3488" s="21" t="s">
        <v>2276</v>
      </c>
      <c r="L3488" s="21" t="s">
        <v>2276</v>
      </c>
      <c r="M3488" s="21" t="s">
        <v>2276</v>
      </c>
      <c r="N3488" s="21" t="s">
        <v>2276</v>
      </c>
      <c r="O3488" s="21" t="s">
        <v>2276</v>
      </c>
      <c r="P3488" s="21" t="s">
        <v>2276</v>
      </c>
      <c r="Q3488" s="21" t="s">
        <v>2276</v>
      </c>
      <c r="R3488" s="21" t="s">
        <v>2276</v>
      </c>
      <c r="S3488" s="21" t="s">
        <v>2276</v>
      </c>
      <c r="T3488" s="21">
        <v>350000</v>
      </c>
      <c r="U3488" s="21" t="s">
        <v>2276</v>
      </c>
      <c r="V3488" s="21" t="s">
        <v>2276</v>
      </c>
      <c r="W3488" s="21" t="s">
        <v>2276</v>
      </c>
      <c r="X3488" s="21" t="s">
        <v>2276</v>
      </c>
      <c r="Y3488" s="21" t="s">
        <v>2276</v>
      </c>
      <c r="Z3488" s="178" t="s">
        <v>127</v>
      </c>
      <c r="AA3488" s="204" t="s">
        <v>188</v>
      </c>
      <c r="AB3488" s="21" t="s">
        <v>2276</v>
      </c>
      <c r="AC3488" s="204"/>
      <c r="AD3488" s="4" t="s">
        <v>9128</v>
      </c>
    </row>
    <row r="3489" spans="1:30" ht="59.5" customHeight="1">
      <c r="A3489" s="11" t="s">
        <v>9121</v>
      </c>
      <c r="B3489" s="11" t="s">
        <v>9127</v>
      </c>
      <c r="C3489" s="204" t="s">
        <v>2658</v>
      </c>
      <c r="D3489" s="204" t="s">
        <v>2276</v>
      </c>
      <c r="E3489" s="204" t="s">
        <v>2276</v>
      </c>
      <c r="F3489" s="204" t="s">
        <v>2276</v>
      </c>
      <c r="G3489" s="204" t="s">
        <v>2663</v>
      </c>
      <c r="H3489" s="4" t="s">
        <v>523</v>
      </c>
      <c r="I3489" s="204"/>
      <c r="J3489" s="21" t="s">
        <v>2276</v>
      </c>
      <c r="K3489" s="21" t="s">
        <v>2276</v>
      </c>
      <c r="L3489" s="21" t="s">
        <v>2276</v>
      </c>
      <c r="M3489" s="21" t="s">
        <v>2276</v>
      </c>
      <c r="N3489" s="21" t="s">
        <v>2276</v>
      </c>
      <c r="O3489" s="21" t="s">
        <v>2276</v>
      </c>
      <c r="P3489" s="21" t="s">
        <v>2276</v>
      </c>
      <c r="Q3489" s="21" t="s">
        <v>2276</v>
      </c>
      <c r="R3489" s="21" t="s">
        <v>2276</v>
      </c>
      <c r="S3489" s="21" t="s">
        <v>2276</v>
      </c>
      <c r="T3489" s="21">
        <v>250000</v>
      </c>
      <c r="U3489" s="21" t="s">
        <v>2276</v>
      </c>
      <c r="V3489" s="21" t="s">
        <v>2276</v>
      </c>
      <c r="W3489" s="21" t="s">
        <v>2276</v>
      </c>
      <c r="X3489" s="21" t="s">
        <v>2276</v>
      </c>
      <c r="Y3489" s="21" t="s">
        <v>2276</v>
      </c>
      <c r="Z3489" s="178" t="s">
        <v>127</v>
      </c>
      <c r="AA3489" s="204" t="s">
        <v>188</v>
      </c>
      <c r="AB3489" s="21" t="s">
        <v>2276</v>
      </c>
      <c r="AC3489" s="204"/>
      <c r="AD3489" s="4" t="s">
        <v>9128</v>
      </c>
    </row>
    <row r="3490" spans="1:30" ht="48" customHeight="1">
      <c r="A3490" s="11" t="s">
        <v>9135</v>
      </c>
      <c r="B3490" s="11" t="s">
        <v>9137</v>
      </c>
      <c r="C3490" s="204" t="s">
        <v>1105</v>
      </c>
      <c r="D3490" s="204" t="s">
        <v>2276</v>
      </c>
      <c r="E3490" s="204" t="s">
        <v>2276</v>
      </c>
      <c r="F3490" s="204" t="s">
        <v>2276</v>
      </c>
      <c r="G3490" s="4" t="s">
        <v>2662</v>
      </c>
      <c r="H3490" s="4" t="s">
        <v>523</v>
      </c>
      <c r="I3490" s="204"/>
      <c r="J3490" s="177" t="s">
        <v>2276</v>
      </c>
      <c r="K3490" s="21" t="s">
        <v>2276</v>
      </c>
      <c r="L3490" s="21" t="s">
        <v>2276</v>
      </c>
      <c r="M3490" s="21" t="s">
        <v>2276</v>
      </c>
      <c r="N3490" s="21" t="s">
        <v>2276</v>
      </c>
      <c r="O3490" s="21" t="s">
        <v>2276</v>
      </c>
      <c r="P3490" s="21" t="s">
        <v>2276</v>
      </c>
      <c r="Q3490" s="21" t="s">
        <v>2276</v>
      </c>
      <c r="R3490" s="21" t="s">
        <v>2276</v>
      </c>
      <c r="S3490" s="21" t="s">
        <v>2276</v>
      </c>
      <c r="T3490" s="21">
        <v>40700</v>
      </c>
      <c r="U3490" s="21" t="s">
        <v>2276</v>
      </c>
      <c r="V3490" s="21" t="s">
        <v>2276</v>
      </c>
      <c r="W3490" s="21" t="s">
        <v>2276</v>
      </c>
      <c r="X3490" s="21">
        <f>T3490/'Record info'!K1417</f>
        <v>0.45722631017244286</v>
      </c>
      <c r="Y3490" s="21" t="s">
        <v>2276</v>
      </c>
      <c r="Z3490" s="21" t="s">
        <v>2276</v>
      </c>
      <c r="AA3490" s="21" t="s">
        <v>2276</v>
      </c>
      <c r="AB3490" s="21" t="s">
        <v>2276</v>
      </c>
      <c r="AC3490" s="204"/>
      <c r="AD3490" s="204"/>
    </row>
    <row r="3491" spans="1:30" ht="51" customHeight="1">
      <c r="A3491" s="11" t="s">
        <v>9135</v>
      </c>
      <c r="B3491" s="11" t="s">
        <v>9138</v>
      </c>
      <c r="C3491" s="204" t="s">
        <v>1105</v>
      </c>
      <c r="D3491" s="204" t="s">
        <v>2276</v>
      </c>
      <c r="E3491" s="204" t="s">
        <v>2276</v>
      </c>
      <c r="F3491" s="204" t="s">
        <v>2276</v>
      </c>
      <c r="G3491" s="204" t="s">
        <v>74</v>
      </c>
      <c r="H3491" s="4" t="s">
        <v>523</v>
      </c>
      <c r="I3491" s="204"/>
      <c r="J3491" s="177" t="s">
        <v>2276</v>
      </c>
      <c r="K3491" s="21" t="s">
        <v>2276</v>
      </c>
      <c r="L3491" s="21" t="s">
        <v>2276</v>
      </c>
      <c r="M3491" s="21" t="s">
        <v>2276</v>
      </c>
      <c r="N3491" s="21" t="s">
        <v>2276</v>
      </c>
      <c r="O3491" s="21" t="s">
        <v>2276</v>
      </c>
      <c r="P3491" s="21" t="s">
        <v>2276</v>
      </c>
      <c r="Q3491" s="21" t="s">
        <v>2276</v>
      </c>
      <c r="R3491" s="21" t="s">
        <v>2276</v>
      </c>
      <c r="S3491" s="21" t="s">
        <v>2276</v>
      </c>
      <c r="T3491" s="21">
        <f>23700-T3492</f>
        <v>14694</v>
      </c>
      <c r="U3491" s="21" t="s">
        <v>2276</v>
      </c>
      <c r="V3491" s="21" t="s">
        <v>2276</v>
      </c>
      <c r="W3491" s="21" t="s">
        <v>2276</v>
      </c>
      <c r="X3491" s="21">
        <f>T3491/'Record info'!K1417</f>
        <v>0.16507330225242936</v>
      </c>
      <c r="Y3491" s="21" t="s">
        <v>2276</v>
      </c>
      <c r="Z3491" s="21" t="s">
        <v>2276</v>
      </c>
      <c r="AA3491" s="21" t="s">
        <v>2276</v>
      </c>
      <c r="AB3491" s="21" t="s">
        <v>2276</v>
      </c>
      <c r="AC3491" s="204"/>
      <c r="AD3491" s="204"/>
    </row>
    <row r="3492" spans="1:30" ht="42.5" customHeight="1">
      <c r="A3492" s="11" t="s">
        <v>9135</v>
      </c>
      <c r="B3492" s="11" t="s">
        <v>9139</v>
      </c>
      <c r="C3492" s="204" t="s">
        <v>1105</v>
      </c>
      <c r="D3492" s="204" t="s">
        <v>2276</v>
      </c>
      <c r="E3492" s="204" t="s">
        <v>2649</v>
      </c>
      <c r="F3492" s="204" t="s">
        <v>2276</v>
      </c>
      <c r="G3492" s="204" t="s">
        <v>2663</v>
      </c>
      <c r="H3492" s="4" t="s">
        <v>523</v>
      </c>
      <c r="I3492" s="204"/>
      <c r="J3492" s="177" t="s">
        <v>2276</v>
      </c>
      <c r="K3492" s="177" t="s">
        <v>2276</v>
      </c>
      <c r="L3492" s="177" t="s">
        <v>2276</v>
      </c>
      <c r="M3492" s="177" t="s">
        <v>2276</v>
      </c>
      <c r="N3492" s="177" t="s">
        <v>2276</v>
      </c>
      <c r="O3492" s="177" t="s">
        <v>2276</v>
      </c>
      <c r="P3492" s="177" t="s">
        <v>2276</v>
      </c>
      <c r="Q3492" s="177" t="s">
        <v>2276</v>
      </c>
      <c r="R3492" s="177" t="s">
        <v>2276</v>
      </c>
      <c r="S3492" s="177" t="s">
        <v>2276</v>
      </c>
      <c r="T3492" s="21">
        <f>23700*0.38</f>
        <v>9006</v>
      </c>
      <c r="U3492" s="21" t="s">
        <v>2276</v>
      </c>
      <c r="V3492" s="21">
        <v>0.72499999999999998</v>
      </c>
      <c r="W3492" s="21" t="s">
        <v>2276</v>
      </c>
      <c r="X3492" s="21">
        <f>T3492/'Record info'!K1417</f>
        <v>0.10117395944503735</v>
      </c>
      <c r="Y3492" s="21" t="s">
        <v>2276</v>
      </c>
      <c r="Z3492" s="21" t="s">
        <v>2276</v>
      </c>
      <c r="AA3492" s="21" t="s">
        <v>2276</v>
      </c>
      <c r="AB3492" s="21" t="s">
        <v>2276</v>
      </c>
      <c r="AC3492" s="204"/>
      <c r="AD3492" s="204"/>
    </row>
    <row r="3493" spans="1:30" ht="43.5" customHeight="1">
      <c r="A3493" s="11" t="s">
        <v>9135</v>
      </c>
      <c r="B3493" s="11" t="s">
        <v>9140</v>
      </c>
      <c r="C3493" s="204" t="s">
        <v>24</v>
      </c>
      <c r="D3493" s="204" t="s">
        <v>2346</v>
      </c>
      <c r="E3493" s="204" t="s">
        <v>2276</v>
      </c>
      <c r="F3493" s="204" t="s">
        <v>1105</v>
      </c>
      <c r="G3493" s="204" t="s">
        <v>74</v>
      </c>
      <c r="H3493" s="4" t="s">
        <v>523</v>
      </c>
      <c r="I3493" s="204"/>
      <c r="J3493" s="177" t="s">
        <v>2276</v>
      </c>
      <c r="K3493" s="21" t="s">
        <v>2276</v>
      </c>
      <c r="L3493" s="21" t="s">
        <v>2276</v>
      </c>
      <c r="M3493" s="21" t="s">
        <v>2276</v>
      </c>
      <c r="N3493" s="21" t="s">
        <v>2276</v>
      </c>
      <c r="O3493" s="21" t="s">
        <v>2276</v>
      </c>
      <c r="P3493" s="21" t="s">
        <v>2276</v>
      </c>
      <c r="Q3493" s="21" t="s">
        <v>2276</v>
      </c>
      <c r="R3493" s="21" t="s">
        <v>2276</v>
      </c>
      <c r="S3493" s="21" t="s">
        <v>2276</v>
      </c>
      <c r="T3493" s="21" t="s">
        <v>2276</v>
      </c>
      <c r="U3493" s="21" t="s">
        <v>2276</v>
      </c>
      <c r="V3493" s="21" t="s">
        <v>2276</v>
      </c>
      <c r="W3493" s="21" t="s">
        <v>2276</v>
      </c>
      <c r="X3493" s="21" t="s">
        <v>2276</v>
      </c>
      <c r="Y3493" s="21" t="s">
        <v>2276</v>
      </c>
      <c r="Z3493" s="21" t="s">
        <v>2276</v>
      </c>
      <c r="AA3493" s="21" t="s">
        <v>2276</v>
      </c>
      <c r="AB3493" s="21" t="s">
        <v>2276</v>
      </c>
      <c r="AC3493" s="204" t="s">
        <v>9145</v>
      </c>
      <c r="AD3493" s="204"/>
    </row>
    <row r="3494" spans="1:30" ht="42.5" customHeight="1">
      <c r="A3494" s="11" t="s">
        <v>9135</v>
      </c>
      <c r="B3494" s="11" t="s">
        <v>9142</v>
      </c>
      <c r="C3494" s="204" t="s">
        <v>24</v>
      </c>
      <c r="D3494" s="204" t="s">
        <v>2276</v>
      </c>
      <c r="E3494" s="204" t="s">
        <v>2276</v>
      </c>
      <c r="F3494" s="204" t="s">
        <v>1105</v>
      </c>
      <c r="G3494" s="204" t="s">
        <v>74</v>
      </c>
      <c r="H3494" s="4" t="s">
        <v>523</v>
      </c>
      <c r="I3494" s="204"/>
      <c r="J3494" s="177" t="s">
        <v>2276</v>
      </c>
      <c r="K3494" s="21" t="s">
        <v>2276</v>
      </c>
      <c r="L3494" s="21" t="s">
        <v>2276</v>
      </c>
      <c r="M3494" s="21" t="s">
        <v>2276</v>
      </c>
      <c r="N3494" s="21" t="s">
        <v>2276</v>
      </c>
      <c r="O3494" s="21" t="s">
        <v>2276</v>
      </c>
      <c r="P3494" s="21" t="s">
        <v>2276</v>
      </c>
      <c r="Q3494" s="21" t="s">
        <v>2276</v>
      </c>
      <c r="R3494" s="21" t="s">
        <v>2276</v>
      </c>
      <c r="S3494" s="21" t="s">
        <v>2276</v>
      </c>
      <c r="T3494" s="21" t="s">
        <v>2276</v>
      </c>
      <c r="U3494" s="21" t="s">
        <v>2276</v>
      </c>
      <c r="V3494" s="21" t="s">
        <v>2276</v>
      </c>
      <c r="W3494" s="21" t="s">
        <v>2276</v>
      </c>
      <c r="X3494" s="21" t="s">
        <v>2276</v>
      </c>
      <c r="Y3494" s="21" t="s">
        <v>2276</v>
      </c>
      <c r="Z3494" s="21" t="s">
        <v>2276</v>
      </c>
      <c r="AA3494" s="21" t="s">
        <v>2276</v>
      </c>
      <c r="AB3494" s="21" t="s">
        <v>2276</v>
      </c>
      <c r="AC3494" s="204" t="s">
        <v>9145</v>
      </c>
      <c r="AD3494" s="204"/>
    </row>
    <row r="3495" spans="1:30" ht="42.5" customHeight="1">
      <c r="A3495" s="11" t="s">
        <v>9135</v>
      </c>
      <c r="B3495" s="11" t="s">
        <v>9143</v>
      </c>
      <c r="C3495" s="204" t="s">
        <v>2656</v>
      </c>
      <c r="D3495" s="204" t="s">
        <v>2276</v>
      </c>
      <c r="E3495" s="204" t="s">
        <v>2276</v>
      </c>
      <c r="F3495" s="204" t="s">
        <v>1105</v>
      </c>
      <c r="G3495" s="204" t="s">
        <v>74</v>
      </c>
      <c r="H3495" s="4" t="s">
        <v>523</v>
      </c>
      <c r="I3495" s="204"/>
      <c r="J3495" s="177" t="s">
        <v>2276</v>
      </c>
      <c r="K3495" s="21" t="s">
        <v>2276</v>
      </c>
      <c r="L3495" s="21" t="s">
        <v>2276</v>
      </c>
      <c r="M3495" s="21" t="s">
        <v>2276</v>
      </c>
      <c r="N3495" s="21" t="s">
        <v>2276</v>
      </c>
      <c r="O3495" s="21" t="s">
        <v>2276</v>
      </c>
      <c r="P3495" s="21" t="s">
        <v>2276</v>
      </c>
      <c r="Q3495" s="21" t="s">
        <v>2276</v>
      </c>
      <c r="R3495" s="21" t="s">
        <v>2276</v>
      </c>
      <c r="S3495" s="21" t="s">
        <v>2276</v>
      </c>
      <c r="T3495" s="21" t="s">
        <v>2276</v>
      </c>
      <c r="U3495" s="21" t="s">
        <v>2276</v>
      </c>
      <c r="V3495" s="21" t="s">
        <v>2276</v>
      </c>
      <c r="W3495" s="21" t="s">
        <v>2276</v>
      </c>
      <c r="X3495" s="21" t="s">
        <v>2276</v>
      </c>
      <c r="Y3495" s="21" t="s">
        <v>2276</v>
      </c>
      <c r="Z3495" s="21" t="s">
        <v>2276</v>
      </c>
      <c r="AA3495" s="21" t="s">
        <v>2276</v>
      </c>
      <c r="AB3495" s="21" t="s">
        <v>2276</v>
      </c>
      <c r="AC3495" s="204" t="s">
        <v>9145</v>
      </c>
      <c r="AD3495" s="204"/>
    </row>
    <row r="3496" spans="1:30" ht="42.5" customHeight="1">
      <c r="A3496" s="11" t="s">
        <v>9135</v>
      </c>
      <c r="B3496" s="11" t="s">
        <v>9144</v>
      </c>
      <c r="C3496" s="204" t="s">
        <v>31</v>
      </c>
      <c r="D3496" s="204" t="s">
        <v>30</v>
      </c>
      <c r="E3496" s="204" t="s">
        <v>2276</v>
      </c>
      <c r="F3496" s="204" t="s">
        <v>1105</v>
      </c>
      <c r="G3496" s="204" t="s">
        <v>74</v>
      </c>
      <c r="H3496" s="4" t="s">
        <v>523</v>
      </c>
      <c r="I3496" s="204"/>
      <c r="J3496" s="177" t="s">
        <v>2276</v>
      </c>
      <c r="K3496" s="21" t="s">
        <v>2276</v>
      </c>
      <c r="L3496" s="21" t="s">
        <v>2276</v>
      </c>
      <c r="M3496" s="21" t="s">
        <v>2276</v>
      </c>
      <c r="N3496" s="21" t="s">
        <v>2276</v>
      </c>
      <c r="O3496" s="21" t="s">
        <v>2276</v>
      </c>
      <c r="P3496" s="21" t="s">
        <v>2276</v>
      </c>
      <c r="Q3496" s="21" t="s">
        <v>2276</v>
      </c>
      <c r="R3496" s="21" t="s">
        <v>2276</v>
      </c>
      <c r="S3496" s="21" t="s">
        <v>2276</v>
      </c>
      <c r="T3496" s="21" t="s">
        <v>2276</v>
      </c>
      <c r="U3496" s="21" t="s">
        <v>2276</v>
      </c>
      <c r="V3496" s="21" t="s">
        <v>2276</v>
      </c>
      <c r="W3496" s="21" t="s">
        <v>2276</v>
      </c>
      <c r="X3496" s="21" t="s">
        <v>2276</v>
      </c>
      <c r="Y3496" s="21" t="s">
        <v>2276</v>
      </c>
      <c r="Z3496" s="21" t="s">
        <v>2276</v>
      </c>
      <c r="AA3496" s="21" t="s">
        <v>2276</v>
      </c>
      <c r="AB3496" s="21" t="s">
        <v>2276</v>
      </c>
      <c r="AC3496" s="204" t="s">
        <v>9145</v>
      </c>
      <c r="AD3496" s="204"/>
    </row>
    <row r="3497" spans="1:30" ht="93.5" customHeight="1">
      <c r="A3497" s="11" t="s">
        <v>9148</v>
      </c>
      <c r="B3497" s="11" t="s">
        <v>9181</v>
      </c>
      <c r="C3497" s="204" t="s">
        <v>2458</v>
      </c>
      <c r="D3497" s="204" t="s">
        <v>2276</v>
      </c>
      <c r="E3497" s="204" t="s">
        <v>1105</v>
      </c>
      <c r="F3497" s="4" t="s">
        <v>2276</v>
      </c>
      <c r="G3497" s="4" t="s">
        <v>2662</v>
      </c>
      <c r="H3497" s="4" t="s">
        <v>523</v>
      </c>
      <c r="I3497" s="204"/>
      <c r="J3497" s="21">
        <f>(T3497/P3497)/(('Record info'!K$1418*(100-'Land use'!O$1418-'Land use'!P$1418)/100))</f>
        <v>8.8182095583833452E-3</v>
      </c>
      <c r="K3497" s="177" t="s">
        <v>2276</v>
      </c>
      <c r="L3497" s="177" t="s">
        <v>2276</v>
      </c>
      <c r="M3497" s="177" t="s">
        <v>2276</v>
      </c>
      <c r="N3497" s="177" t="s">
        <v>2276</v>
      </c>
      <c r="O3497" s="177" t="s">
        <v>2276</v>
      </c>
      <c r="P3497" s="177">
        <v>11.57</v>
      </c>
      <c r="Q3497" s="177" t="s">
        <v>2276</v>
      </c>
      <c r="R3497" s="177" t="s">
        <v>2276</v>
      </c>
      <c r="S3497" s="177" t="s">
        <v>2276</v>
      </c>
      <c r="T3497" s="21">
        <v>41591.279999999999</v>
      </c>
      <c r="U3497" s="21" t="s">
        <v>2276</v>
      </c>
      <c r="V3497" s="21" t="s">
        <v>2276</v>
      </c>
      <c r="W3497" s="21" t="s">
        <v>2276</v>
      </c>
      <c r="X3497" s="21">
        <f>T3497/'Record info'!K1418</f>
        <v>5.5007498988231748E-2</v>
      </c>
      <c r="Y3497" s="21" t="s">
        <v>2276</v>
      </c>
      <c r="Z3497" s="21" t="s">
        <v>2276</v>
      </c>
      <c r="AA3497" s="21" t="s">
        <v>2276</v>
      </c>
      <c r="AB3497" s="21" t="s">
        <v>2276</v>
      </c>
      <c r="AC3497" s="4" t="s">
        <v>9184</v>
      </c>
      <c r="AD3497" s="4" t="s">
        <v>9241</v>
      </c>
    </row>
    <row r="3498" spans="1:30" ht="93.5" customHeight="1">
      <c r="A3498" s="11" t="s">
        <v>9185</v>
      </c>
      <c r="B3498" s="11" t="s">
        <v>9187</v>
      </c>
      <c r="C3498" s="204" t="s">
        <v>2458</v>
      </c>
      <c r="D3498" s="204" t="s">
        <v>2276</v>
      </c>
      <c r="E3498" s="204" t="s">
        <v>1105</v>
      </c>
      <c r="F3498" s="4" t="s">
        <v>2276</v>
      </c>
      <c r="G3498" s="4" t="s">
        <v>2662</v>
      </c>
      <c r="H3498" s="4" t="s">
        <v>523</v>
      </c>
      <c r="I3498" s="204"/>
      <c r="J3498" s="21">
        <f>(5946.4)/(('Record info'!K$1418*(100-'Land use'!O$1418-'Land use'!P$1418)/100))</f>
        <v>1.4586987398534533E-2</v>
      </c>
      <c r="K3498" s="177" t="s">
        <v>2276</v>
      </c>
      <c r="L3498" s="177" t="s">
        <v>2276</v>
      </c>
      <c r="M3498" s="177" t="s">
        <v>2276</v>
      </c>
      <c r="N3498" s="177" t="s">
        <v>2276</v>
      </c>
      <c r="O3498" s="177" t="s">
        <v>2276</v>
      </c>
      <c r="P3498" s="177">
        <v>8.4700000000000006</v>
      </c>
      <c r="Q3498" s="177" t="s">
        <v>2276</v>
      </c>
      <c r="R3498" s="177" t="s">
        <v>2276</v>
      </c>
      <c r="S3498" s="177" t="s">
        <v>2276</v>
      </c>
      <c r="T3498" s="21">
        <v>51243.817999999999</v>
      </c>
      <c r="U3498" s="21" t="s">
        <v>2276</v>
      </c>
      <c r="V3498" s="21" t="s">
        <v>2276</v>
      </c>
      <c r="W3498" s="21" t="s">
        <v>2276</v>
      </c>
      <c r="X3498" s="21">
        <f>T3498/'Record info'!K1418</f>
        <v>6.7773683973855373E-2</v>
      </c>
      <c r="Y3498" s="21" t="s">
        <v>2276</v>
      </c>
      <c r="Z3498" s="21" t="s">
        <v>2276</v>
      </c>
      <c r="AA3498" s="21" t="s">
        <v>2276</v>
      </c>
      <c r="AB3498" s="21" t="s">
        <v>2276</v>
      </c>
      <c r="AC3498" s="4" t="s">
        <v>9184</v>
      </c>
      <c r="AD3498" s="4" t="s">
        <v>9241</v>
      </c>
    </row>
    <row r="3499" spans="1:30" ht="93.5" customHeight="1">
      <c r="A3499" s="11" t="s">
        <v>9186</v>
      </c>
      <c r="B3499" s="11" t="s">
        <v>9188</v>
      </c>
      <c r="C3499" s="204" t="s">
        <v>2458</v>
      </c>
      <c r="D3499" s="204" t="s">
        <v>2276</v>
      </c>
      <c r="E3499" s="204" t="s">
        <v>1105</v>
      </c>
      <c r="F3499" s="4" t="s">
        <v>2276</v>
      </c>
      <c r="G3499" s="4" t="s">
        <v>2662</v>
      </c>
      <c r="H3499" s="4" t="s">
        <v>523</v>
      </c>
      <c r="I3499" s="204"/>
      <c r="J3499" s="21">
        <f>(6114.67)/(('Record info'!K$1418*(100-'Land use'!O$1418-'Land use'!P$1418)/100))</f>
        <v>1.4999766957520038E-2</v>
      </c>
      <c r="K3499" s="177" t="s">
        <v>2276</v>
      </c>
      <c r="L3499" s="177" t="s">
        <v>2276</v>
      </c>
      <c r="M3499" s="177" t="s">
        <v>2276</v>
      </c>
      <c r="N3499" s="177" t="s">
        <v>2276</v>
      </c>
      <c r="O3499" s="177" t="s">
        <v>2276</v>
      </c>
      <c r="P3499" s="177">
        <v>14.8</v>
      </c>
      <c r="Q3499" s="177" t="s">
        <v>2276</v>
      </c>
      <c r="R3499" s="177" t="s">
        <v>2276</v>
      </c>
      <c r="S3499" s="177" t="s">
        <v>2276</v>
      </c>
      <c r="T3499" s="21">
        <v>96706.96</v>
      </c>
      <c r="U3499" s="21" t="s">
        <v>2276</v>
      </c>
      <c r="V3499" s="21" t="s">
        <v>2276</v>
      </c>
      <c r="W3499" s="21" t="s">
        <v>2276</v>
      </c>
      <c r="X3499" s="21">
        <f>T3499/'Record info'!K1418</f>
        <v>0.12790200263985549</v>
      </c>
      <c r="Y3499" s="21" t="s">
        <v>2276</v>
      </c>
      <c r="Z3499" s="21" t="s">
        <v>2276</v>
      </c>
      <c r="AA3499" s="21" t="s">
        <v>2276</v>
      </c>
      <c r="AB3499" s="21" t="s">
        <v>2276</v>
      </c>
      <c r="AC3499" s="4" t="s">
        <v>9184</v>
      </c>
      <c r="AD3499" s="4" t="s">
        <v>9241</v>
      </c>
    </row>
    <row r="3500" spans="1:30" ht="93.5" customHeight="1">
      <c r="A3500" s="11" t="s">
        <v>9164</v>
      </c>
      <c r="B3500" s="11" t="s">
        <v>9204</v>
      </c>
      <c r="C3500" s="204" t="s">
        <v>2458</v>
      </c>
      <c r="D3500" s="204" t="s">
        <v>2276</v>
      </c>
      <c r="E3500" s="204" t="s">
        <v>1105</v>
      </c>
      <c r="F3500" s="4" t="s">
        <v>2276</v>
      </c>
      <c r="G3500" s="4" t="s">
        <v>2662</v>
      </c>
      <c r="H3500" s="4" t="s">
        <v>524</v>
      </c>
      <c r="I3500" s="204"/>
      <c r="J3500" s="21">
        <v>0</v>
      </c>
      <c r="K3500" s="21">
        <v>0</v>
      </c>
      <c r="L3500" s="21">
        <v>0</v>
      </c>
      <c r="M3500" s="21">
        <v>0</v>
      </c>
      <c r="N3500" s="21">
        <v>0</v>
      </c>
      <c r="O3500" s="21">
        <v>0</v>
      </c>
      <c r="P3500" s="21">
        <v>0</v>
      </c>
      <c r="Q3500" s="21">
        <v>0</v>
      </c>
      <c r="R3500" s="21">
        <v>0</v>
      </c>
      <c r="S3500" s="21">
        <v>0</v>
      </c>
      <c r="T3500" s="21">
        <v>0</v>
      </c>
      <c r="U3500" s="21">
        <v>0</v>
      </c>
      <c r="V3500" s="21">
        <v>0</v>
      </c>
      <c r="W3500" s="21">
        <v>0</v>
      </c>
      <c r="X3500" s="21">
        <v>0</v>
      </c>
      <c r="Y3500" s="21" t="s">
        <v>2276</v>
      </c>
      <c r="Z3500" s="21" t="s">
        <v>2276</v>
      </c>
      <c r="AA3500" s="21" t="s">
        <v>2276</v>
      </c>
      <c r="AB3500" s="21" t="s">
        <v>2276</v>
      </c>
      <c r="AC3500" s="4" t="s">
        <v>9184</v>
      </c>
      <c r="AD3500" s="4" t="s">
        <v>9241</v>
      </c>
    </row>
    <row r="3501" spans="1:30" ht="93.5" customHeight="1">
      <c r="A3501" s="11" t="s">
        <v>9165</v>
      </c>
      <c r="B3501" s="11" t="s">
        <v>9205</v>
      </c>
      <c r="C3501" s="204" t="s">
        <v>2458</v>
      </c>
      <c r="D3501" s="204" t="s">
        <v>2276</v>
      </c>
      <c r="E3501" s="204" t="s">
        <v>1105</v>
      </c>
      <c r="F3501" s="4" t="s">
        <v>2276</v>
      </c>
      <c r="G3501" s="4" t="s">
        <v>2662</v>
      </c>
      <c r="H3501" s="4" t="s">
        <v>524</v>
      </c>
      <c r="I3501" s="204"/>
      <c r="J3501" s="21">
        <v>0</v>
      </c>
      <c r="K3501" s="21">
        <v>0</v>
      </c>
      <c r="L3501" s="21">
        <v>0</v>
      </c>
      <c r="M3501" s="21">
        <v>0</v>
      </c>
      <c r="N3501" s="21">
        <v>0</v>
      </c>
      <c r="O3501" s="21">
        <v>0</v>
      </c>
      <c r="P3501" s="21">
        <v>0</v>
      </c>
      <c r="Q3501" s="21">
        <v>0</v>
      </c>
      <c r="R3501" s="21">
        <v>0</v>
      </c>
      <c r="S3501" s="21">
        <v>0</v>
      </c>
      <c r="T3501" s="21">
        <v>0</v>
      </c>
      <c r="U3501" s="21">
        <v>0</v>
      </c>
      <c r="V3501" s="21">
        <v>0</v>
      </c>
      <c r="W3501" s="21">
        <v>0</v>
      </c>
      <c r="X3501" s="21">
        <v>0</v>
      </c>
      <c r="Y3501" s="21" t="s">
        <v>2276</v>
      </c>
      <c r="Z3501" s="21" t="s">
        <v>2276</v>
      </c>
      <c r="AA3501" s="21" t="s">
        <v>2276</v>
      </c>
      <c r="AB3501" s="21" t="s">
        <v>2276</v>
      </c>
      <c r="AC3501" s="4" t="s">
        <v>9184</v>
      </c>
      <c r="AD3501" s="4" t="s">
        <v>9241</v>
      </c>
    </row>
    <row r="3502" spans="1:30" ht="93.5" customHeight="1">
      <c r="A3502" s="11" t="s">
        <v>9166</v>
      </c>
      <c r="B3502" s="11" t="s">
        <v>9206</v>
      </c>
      <c r="C3502" s="204" t="s">
        <v>2458</v>
      </c>
      <c r="D3502" s="204" t="s">
        <v>2276</v>
      </c>
      <c r="E3502" s="204" t="s">
        <v>1105</v>
      </c>
      <c r="F3502" s="4" t="s">
        <v>2276</v>
      </c>
      <c r="G3502" s="4" t="s">
        <v>2662</v>
      </c>
      <c r="H3502" s="4" t="s">
        <v>524</v>
      </c>
      <c r="I3502" s="204"/>
      <c r="J3502" s="21">
        <v>0</v>
      </c>
      <c r="K3502" s="21">
        <v>0</v>
      </c>
      <c r="L3502" s="21">
        <v>0</v>
      </c>
      <c r="M3502" s="21">
        <v>0</v>
      </c>
      <c r="N3502" s="21">
        <v>0</v>
      </c>
      <c r="O3502" s="21">
        <v>0</v>
      </c>
      <c r="P3502" s="21">
        <v>0</v>
      </c>
      <c r="Q3502" s="21">
        <v>0</v>
      </c>
      <c r="R3502" s="21">
        <v>0</v>
      </c>
      <c r="S3502" s="21">
        <v>0</v>
      </c>
      <c r="T3502" s="21">
        <v>0</v>
      </c>
      <c r="U3502" s="21">
        <v>0</v>
      </c>
      <c r="V3502" s="21">
        <v>0</v>
      </c>
      <c r="W3502" s="21">
        <v>0</v>
      </c>
      <c r="X3502" s="21">
        <v>0</v>
      </c>
      <c r="Y3502" s="21" t="s">
        <v>2276</v>
      </c>
      <c r="Z3502" s="21" t="s">
        <v>2276</v>
      </c>
      <c r="AA3502" s="21" t="s">
        <v>2276</v>
      </c>
      <c r="AB3502" s="21" t="s">
        <v>2276</v>
      </c>
      <c r="AC3502" s="4" t="s">
        <v>9184</v>
      </c>
      <c r="AD3502" s="4" t="s">
        <v>9241</v>
      </c>
    </row>
    <row r="3503" spans="1:30" ht="93.5" customHeight="1">
      <c r="A3503" s="11" t="s">
        <v>9167</v>
      </c>
      <c r="B3503" s="11" t="s">
        <v>9207</v>
      </c>
      <c r="C3503" s="204" t="s">
        <v>2458</v>
      </c>
      <c r="D3503" s="204" t="s">
        <v>2276</v>
      </c>
      <c r="E3503" s="204" t="s">
        <v>1105</v>
      </c>
      <c r="F3503" s="4" t="s">
        <v>2276</v>
      </c>
      <c r="G3503" s="4" t="s">
        <v>2662</v>
      </c>
      <c r="H3503" s="4" t="s">
        <v>523</v>
      </c>
      <c r="I3503" s="204"/>
      <c r="J3503" s="177">
        <v>2.0285675519645847E-4</v>
      </c>
      <c r="K3503" s="177" t="s">
        <v>2276</v>
      </c>
      <c r="L3503" s="177" t="s">
        <v>2276</v>
      </c>
      <c r="M3503" s="177" t="s">
        <v>2276</v>
      </c>
      <c r="N3503" s="177" t="s">
        <v>2276</v>
      </c>
      <c r="O3503" s="177" t="s">
        <v>2276</v>
      </c>
      <c r="P3503" s="21">
        <v>1.3245357010239305</v>
      </c>
      <c r="Q3503" s="177" t="s">
        <v>2276</v>
      </c>
      <c r="R3503" s="177" t="s">
        <v>2276</v>
      </c>
      <c r="S3503" s="177" t="s">
        <v>2276</v>
      </c>
      <c r="T3503" s="21">
        <v>16.680000000000003</v>
      </c>
      <c r="U3503" s="177" t="s">
        <v>2276</v>
      </c>
      <c r="V3503" s="177" t="s">
        <v>2276</v>
      </c>
      <c r="W3503" s="177" t="s">
        <v>2276</v>
      </c>
      <c r="X3503" s="177" t="s">
        <v>2276</v>
      </c>
      <c r="Y3503" s="177" t="s">
        <v>2276</v>
      </c>
      <c r="Z3503" s="177" t="s">
        <v>2276</v>
      </c>
      <c r="AA3503" s="177" t="s">
        <v>2276</v>
      </c>
      <c r="AB3503" s="177" t="s">
        <v>2276</v>
      </c>
      <c r="AC3503" s="4" t="s">
        <v>9184</v>
      </c>
      <c r="AD3503" s="4" t="s">
        <v>9241</v>
      </c>
    </row>
    <row r="3504" spans="1:30" ht="93.5" customHeight="1">
      <c r="A3504" s="11" t="s">
        <v>9168</v>
      </c>
      <c r="B3504" s="11" t="s">
        <v>9208</v>
      </c>
      <c r="C3504" s="204" t="s">
        <v>2458</v>
      </c>
      <c r="D3504" s="204" t="s">
        <v>2276</v>
      </c>
      <c r="E3504" s="204" t="s">
        <v>1105</v>
      </c>
      <c r="F3504" s="4" t="s">
        <v>2276</v>
      </c>
      <c r="G3504" s="4" t="s">
        <v>2662</v>
      </c>
      <c r="H3504" s="4" t="s">
        <v>523</v>
      </c>
      <c r="I3504" s="204"/>
      <c r="J3504" s="177">
        <v>1.1171376305346571E-3</v>
      </c>
      <c r="K3504" s="177" t="s">
        <v>2276</v>
      </c>
      <c r="L3504" s="177" t="s">
        <v>2276</v>
      </c>
      <c r="M3504" s="177" t="s">
        <v>2276</v>
      </c>
      <c r="N3504" s="177" t="s">
        <v>2276</v>
      </c>
      <c r="O3504" s="177" t="s">
        <v>2276</v>
      </c>
      <c r="P3504" s="21">
        <v>18.177654221418891</v>
      </c>
      <c r="Q3504" s="177" t="s">
        <v>2276</v>
      </c>
      <c r="R3504" s="177" t="s">
        <v>2276</v>
      </c>
      <c r="S3504" s="177" t="s">
        <v>2276</v>
      </c>
      <c r="T3504" s="21">
        <v>740.98041666666677</v>
      </c>
      <c r="U3504" s="177" t="s">
        <v>2276</v>
      </c>
      <c r="V3504" s="177" t="s">
        <v>2276</v>
      </c>
      <c r="W3504" s="177" t="s">
        <v>2276</v>
      </c>
      <c r="X3504" s="177" t="s">
        <v>2276</v>
      </c>
      <c r="Y3504" s="177" t="s">
        <v>2276</v>
      </c>
      <c r="Z3504" s="177" t="s">
        <v>2276</v>
      </c>
      <c r="AA3504" s="177" t="s">
        <v>2276</v>
      </c>
      <c r="AB3504" s="177" t="s">
        <v>2276</v>
      </c>
      <c r="AC3504" s="4" t="s">
        <v>9184</v>
      </c>
      <c r="AD3504" s="4" t="s">
        <v>9241</v>
      </c>
    </row>
    <row r="3505" spans="1:30" ht="93.5" customHeight="1">
      <c r="A3505" s="11" t="s">
        <v>9169</v>
      </c>
      <c r="B3505" s="11" t="s">
        <v>9209</v>
      </c>
      <c r="C3505" s="204" t="s">
        <v>2458</v>
      </c>
      <c r="D3505" s="204" t="s">
        <v>2276</v>
      </c>
      <c r="E3505" s="204" t="s">
        <v>1105</v>
      </c>
      <c r="F3505" s="4" t="s">
        <v>2276</v>
      </c>
      <c r="G3505" s="4" t="s">
        <v>2662</v>
      </c>
      <c r="H3505" s="4" t="s">
        <v>523</v>
      </c>
      <c r="I3505" s="204"/>
      <c r="J3505" s="177">
        <v>5.5554369636681901E-2</v>
      </c>
      <c r="K3505" s="177" t="s">
        <v>2276</v>
      </c>
      <c r="L3505" s="177" t="s">
        <v>2276</v>
      </c>
      <c r="M3505" s="177" t="s">
        <v>2276</v>
      </c>
      <c r="N3505" s="177" t="s">
        <v>2276</v>
      </c>
      <c r="O3505" s="177" t="s">
        <v>2276</v>
      </c>
      <c r="P3505" s="21">
        <v>10.499276691012254</v>
      </c>
      <c r="Q3505" s="177" t="s">
        <v>2276</v>
      </c>
      <c r="R3505" s="177" t="s">
        <v>2276</v>
      </c>
      <c r="S3505" s="177" t="s">
        <v>2276</v>
      </c>
      <c r="T3505" s="21">
        <v>8696.9858333333323</v>
      </c>
      <c r="U3505" s="177" t="s">
        <v>2276</v>
      </c>
      <c r="V3505" s="177" t="s">
        <v>2276</v>
      </c>
      <c r="W3505" s="177" t="s">
        <v>2276</v>
      </c>
      <c r="X3505" s="177" t="s">
        <v>2276</v>
      </c>
      <c r="Y3505" s="177" t="s">
        <v>2276</v>
      </c>
      <c r="Z3505" s="177" t="s">
        <v>2276</v>
      </c>
      <c r="AA3505" s="177" t="s">
        <v>2276</v>
      </c>
      <c r="AB3505" s="177" t="s">
        <v>2276</v>
      </c>
      <c r="AC3505" s="4" t="s">
        <v>9184</v>
      </c>
      <c r="AD3505" s="4" t="s">
        <v>9241</v>
      </c>
    </row>
    <row r="3506" spans="1:30" ht="93.5" customHeight="1">
      <c r="A3506" s="11" t="s">
        <v>9170</v>
      </c>
      <c r="B3506" s="11" t="s">
        <v>9210</v>
      </c>
      <c r="C3506" s="204" t="s">
        <v>2458</v>
      </c>
      <c r="D3506" s="204" t="s">
        <v>2276</v>
      </c>
      <c r="E3506" s="204" t="s">
        <v>1105</v>
      </c>
      <c r="F3506" s="4" t="s">
        <v>2276</v>
      </c>
      <c r="G3506" s="4" t="s">
        <v>2662</v>
      </c>
      <c r="H3506" s="4" t="s">
        <v>523</v>
      </c>
      <c r="I3506" s="204"/>
      <c r="J3506" s="177">
        <v>2.7876063104590013E-2</v>
      </c>
      <c r="K3506" s="177" t="s">
        <v>2276</v>
      </c>
      <c r="L3506" s="177" t="s">
        <v>2276</v>
      </c>
      <c r="M3506" s="177" t="s">
        <v>2276</v>
      </c>
      <c r="N3506" s="177" t="s">
        <v>2276</v>
      </c>
      <c r="O3506" s="177" t="s">
        <v>2276</v>
      </c>
      <c r="P3506" s="21">
        <v>9.4764085932472373</v>
      </c>
      <c r="Q3506" s="177" t="s">
        <v>2276</v>
      </c>
      <c r="R3506" s="177" t="s">
        <v>2276</v>
      </c>
      <c r="S3506" s="177" t="s">
        <v>2276</v>
      </c>
      <c r="T3506" s="21">
        <v>3993.9150000000004</v>
      </c>
      <c r="U3506" s="177" t="s">
        <v>2276</v>
      </c>
      <c r="V3506" s="177" t="s">
        <v>2276</v>
      </c>
      <c r="W3506" s="177" t="s">
        <v>2276</v>
      </c>
      <c r="X3506" s="177" t="s">
        <v>2276</v>
      </c>
      <c r="Y3506" s="177" t="s">
        <v>2276</v>
      </c>
      <c r="Z3506" s="177" t="s">
        <v>2276</v>
      </c>
      <c r="AA3506" s="177" t="s">
        <v>2276</v>
      </c>
      <c r="AB3506" s="177" t="s">
        <v>2276</v>
      </c>
      <c r="AC3506" s="4" t="s">
        <v>9184</v>
      </c>
      <c r="AD3506" s="4" t="s">
        <v>9241</v>
      </c>
    </row>
    <row r="3507" spans="1:30" ht="93.5" customHeight="1">
      <c r="A3507" s="11" t="s">
        <v>9171</v>
      </c>
      <c r="B3507" s="11" t="s">
        <v>9211</v>
      </c>
      <c r="C3507" s="204" t="s">
        <v>2458</v>
      </c>
      <c r="D3507" s="204" t="s">
        <v>2276</v>
      </c>
      <c r="E3507" s="204" t="s">
        <v>1105</v>
      </c>
      <c r="F3507" s="4" t="s">
        <v>2276</v>
      </c>
      <c r="G3507" s="4" t="s">
        <v>2662</v>
      </c>
      <c r="H3507" s="4" t="s">
        <v>523</v>
      </c>
      <c r="I3507" s="204"/>
      <c r="J3507" s="177">
        <v>1.6107788694290189E-2</v>
      </c>
      <c r="K3507" s="177" t="s">
        <v>2276</v>
      </c>
      <c r="L3507" s="177" t="s">
        <v>2276</v>
      </c>
      <c r="M3507" s="177" t="s">
        <v>2276</v>
      </c>
      <c r="N3507" s="177" t="s">
        <v>2276</v>
      </c>
      <c r="O3507" s="177" t="s">
        <v>2276</v>
      </c>
      <c r="P3507" s="21">
        <v>23.052898499498635</v>
      </c>
      <c r="Q3507" s="177" t="s">
        <v>2276</v>
      </c>
      <c r="R3507" s="177" t="s">
        <v>2276</v>
      </c>
      <c r="S3507" s="177" t="s">
        <v>2276</v>
      </c>
      <c r="T3507" s="21">
        <v>6093.1358333333337</v>
      </c>
      <c r="U3507" s="177" t="s">
        <v>2276</v>
      </c>
      <c r="V3507" s="177" t="s">
        <v>2276</v>
      </c>
      <c r="W3507" s="177" t="s">
        <v>2276</v>
      </c>
      <c r="X3507" s="177" t="s">
        <v>2276</v>
      </c>
      <c r="Y3507" s="177" t="s">
        <v>2276</v>
      </c>
      <c r="Z3507" s="177" t="s">
        <v>2276</v>
      </c>
      <c r="AA3507" s="177" t="s">
        <v>2276</v>
      </c>
      <c r="AB3507" s="177" t="s">
        <v>2276</v>
      </c>
      <c r="AC3507" s="4" t="s">
        <v>9184</v>
      </c>
      <c r="AD3507" s="4" t="s">
        <v>9241</v>
      </c>
    </row>
    <row r="3508" spans="1:30" ht="93.5" customHeight="1">
      <c r="A3508" s="11" t="s">
        <v>9172</v>
      </c>
      <c r="B3508" s="11" t="s">
        <v>9212</v>
      </c>
      <c r="C3508" s="204" t="s">
        <v>2458</v>
      </c>
      <c r="D3508" s="204" t="s">
        <v>2276</v>
      </c>
      <c r="E3508" s="204" t="s">
        <v>1105</v>
      </c>
      <c r="F3508" s="4" t="s">
        <v>2276</v>
      </c>
      <c r="G3508" s="4" t="s">
        <v>2662</v>
      </c>
      <c r="H3508" s="4" t="s">
        <v>523</v>
      </c>
      <c r="I3508" s="204"/>
      <c r="J3508" s="177">
        <v>1.23241935430633E-2</v>
      </c>
      <c r="K3508" s="177" t="s">
        <v>2276</v>
      </c>
      <c r="L3508" s="177" t="s">
        <v>2276</v>
      </c>
      <c r="M3508" s="177" t="s">
        <v>2276</v>
      </c>
      <c r="N3508" s="177" t="s">
        <v>2276</v>
      </c>
      <c r="O3508" s="177" t="s">
        <v>2276</v>
      </c>
      <c r="P3508" s="21">
        <v>13.818700816290672</v>
      </c>
      <c r="Q3508" s="177" t="s">
        <v>2276</v>
      </c>
      <c r="R3508" s="177" t="s">
        <v>2276</v>
      </c>
      <c r="S3508" s="177" t="s">
        <v>2276</v>
      </c>
      <c r="T3508" s="21">
        <v>4945.1245833333342</v>
      </c>
      <c r="U3508" s="177" t="s">
        <v>2276</v>
      </c>
      <c r="V3508" s="177" t="s">
        <v>2276</v>
      </c>
      <c r="W3508" s="177" t="s">
        <v>2276</v>
      </c>
      <c r="X3508" s="177" t="s">
        <v>2276</v>
      </c>
      <c r="Y3508" s="177" t="s">
        <v>2276</v>
      </c>
      <c r="Z3508" s="177" t="s">
        <v>2276</v>
      </c>
      <c r="AA3508" s="177" t="s">
        <v>2276</v>
      </c>
      <c r="AB3508" s="177" t="s">
        <v>2276</v>
      </c>
      <c r="AC3508" s="4" t="s">
        <v>9184</v>
      </c>
      <c r="AD3508" s="4" t="s">
        <v>9241</v>
      </c>
    </row>
    <row r="3509" spans="1:30" ht="93.5" customHeight="1">
      <c r="A3509" s="11" t="s">
        <v>9173</v>
      </c>
      <c r="B3509" s="11" t="s">
        <v>9213</v>
      </c>
      <c r="C3509" s="204" t="s">
        <v>2458</v>
      </c>
      <c r="D3509" s="204" t="s">
        <v>2276</v>
      </c>
      <c r="E3509" s="204" t="s">
        <v>1105</v>
      </c>
      <c r="F3509" s="4" t="s">
        <v>2276</v>
      </c>
      <c r="G3509" s="4" t="s">
        <v>2662</v>
      </c>
      <c r="H3509" s="4" t="s">
        <v>524</v>
      </c>
      <c r="I3509" s="204"/>
      <c r="J3509" s="177">
        <v>0</v>
      </c>
      <c r="K3509" s="21">
        <v>0</v>
      </c>
      <c r="L3509" s="21">
        <v>0</v>
      </c>
      <c r="M3509" s="21">
        <v>0</v>
      </c>
      <c r="N3509" s="21">
        <v>0</v>
      </c>
      <c r="O3509" s="21">
        <v>0</v>
      </c>
      <c r="P3509" s="204">
        <v>0</v>
      </c>
      <c r="Q3509" s="21">
        <v>0</v>
      </c>
      <c r="R3509" s="21">
        <v>0</v>
      </c>
      <c r="S3509" s="21">
        <v>0</v>
      </c>
      <c r="T3509" s="21">
        <v>0</v>
      </c>
      <c r="U3509" s="21">
        <v>0</v>
      </c>
      <c r="V3509" s="21">
        <v>0</v>
      </c>
      <c r="W3509" s="21">
        <v>0</v>
      </c>
      <c r="X3509" s="21">
        <v>0</v>
      </c>
      <c r="Y3509" s="177" t="s">
        <v>2276</v>
      </c>
      <c r="Z3509" s="177" t="s">
        <v>2276</v>
      </c>
      <c r="AA3509" s="177" t="s">
        <v>2276</v>
      </c>
      <c r="AB3509" s="177" t="s">
        <v>2276</v>
      </c>
      <c r="AC3509" s="4" t="s">
        <v>9184</v>
      </c>
      <c r="AD3509" s="4" t="s">
        <v>9241</v>
      </c>
    </row>
    <row r="3510" spans="1:30" ht="93.5" customHeight="1">
      <c r="A3510" s="11" t="s">
        <v>9174</v>
      </c>
      <c r="B3510" s="11" t="s">
        <v>9214</v>
      </c>
      <c r="C3510" s="204" t="s">
        <v>2458</v>
      </c>
      <c r="D3510" s="204" t="s">
        <v>2276</v>
      </c>
      <c r="E3510" s="204" t="s">
        <v>1105</v>
      </c>
      <c r="F3510" s="4" t="s">
        <v>2276</v>
      </c>
      <c r="G3510" s="4" t="s">
        <v>2662</v>
      </c>
      <c r="H3510" s="4" t="s">
        <v>523</v>
      </c>
      <c r="I3510" s="204"/>
      <c r="J3510" s="177">
        <v>7.4673227236830717E-2</v>
      </c>
      <c r="K3510" s="177" t="s">
        <v>2276</v>
      </c>
      <c r="L3510" s="177" t="s">
        <v>2276</v>
      </c>
      <c r="M3510" s="177" t="s">
        <v>2276</v>
      </c>
      <c r="N3510" s="177" t="s">
        <v>2276</v>
      </c>
      <c r="O3510" s="177" t="s">
        <v>2276</v>
      </c>
      <c r="P3510" s="21">
        <v>5.8981327260473284</v>
      </c>
      <c r="Q3510" s="177" t="s">
        <v>2276</v>
      </c>
      <c r="R3510" s="177" t="s">
        <v>2276</v>
      </c>
      <c r="S3510" s="177" t="s">
        <v>2276</v>
      </c>
      <c r="T3510" s="21">
        <v>10888.055416666666</v>
      </c>
      <c r="U3510" s="177" t="s">
        <v>2276</v>
      </c>
      <c r="V3510" s="177" t="s">
        <v>2276</v>
      </c>
      <c r="W3510" s="177" t="s">
        <v>2276</v>
      </c>
      <c r="X3510" s="177" t="s">
        <v>2276</v>
      </c>
      <c r="Y3510" s="177" t="s">
        <v>2276</v>
      </c>
      <c r="Z3510" s="177" t="s">
        <v>2276</v>
      </c>
      <c r="AA3510" s="177" t="s">
        <v>2276</v>
      </c>
      <c r="AB3510" s="177" t="s">
        <v>2276</v>
      </c>
      <c r="AC3510" s="4" t="s">
        <v>9184</v>
      </c>
      <c r="AD3510" s="4" t="s">
        <v>9241</v>
      </c>
    </row>
    <row r="3511" spans="1:30" ht="93.5" customHeight="1">
      <c r="A3511" s="11" t="s">
        <v>9175</v>
      </c>
      <c r="B3511" s="11" t="s">
        <v>9215</v>
      </c>
      <c r="C3511" s="204" t="s">
        <v>2458</v>
      </c>
      <c r="D3511" s="204" t="s">
        <v>2276</v>
      </c>
      <c r="E3511" s="204" t="s">
        <v>1105</v>
      </c>
      <c r="F3511" s="4" t="s">
        <v>2276</v>
      </c>
      <c r="G3511" s="4" t="s">
        <v>2662</v>
      </c>
      <c r="H3511" s="4" t="s">
        <v>523</v>
      </c>
      <c r="I3511" s="204"/>
      <c r="J3511" s="177">
        <v>2.100717180186942E-2</v>
      </c>
      <c r="K3511" s="177" t="s">
        <v>2276</v>
      </c>
      <c r="L3511" s="177" t="s">
        <v>2276</v>
      </c>
      <c r="M3511" s="177" t="s">
        <v>2276</v>
      </c>
      <c r="N3511" s="177" t="s">
        <v>2276</v>
      </c>
      <c r="O3511" s="177" t="s">
        <v>2276</v>
      </c>
      <c r="P3511" s="21">
        <v>12.829639954136971</v>
      </c>
      <c r="Q3511" s="177" t="s">
        <v>2276</v>
      </c>
      <c r="R3511" s="177" t="s">
        <v>2276</v>
      </c>
      <c r="S3511" s="177" t="s">
        <v>2276</v>
      </c>
      <c r="T3511" s="21">
        <v>6352.9495833333322</v>
      </c>
      <c r="U3511" s="177" t="s">
        <v>2276</v>
      </c>
      <c r="V3511" s="177" t="s">
        <v>2276</v>
      </c>
      <c r="W3511" s="177" t="s">
        <v>2276</v>
      </c>
      <c r="X3511" s="177" t="s">
        <v>2276</v>
      </c>
      <c r="Y3511" s="177" t="s">
        <v>2276</v>
      </c>
      <c r="Z3511" s="177" t="s">
        <v>2276</v>
      </c>
      <c r="AA3511" s="177" t="s">
        <v>2276</v>
      </c>
      <c r="AB3511" s="177" t="s">
        <v>2276</v>
      </c>
      <c r="AC3511" s="4" t="s">
        <v>9184</v>
      </c>
      <c r="AD3511" s="4" t="s">
        <v>9241</v>
      </c>
    </row>
    <row r="3512" spans="1:30" ht="93.5" customHeight="1">
      <c r="A3512" s="11" t="s">
        <v>9176</v>
      </c>
      <c r="B3512" s="11" t="s">
        <v>9216</v>
      </c>
      <c r="C3512" s="204" t="s">
        <v>2458</v>
      </c>
      <c r="D3512" s="204" t="s">
        <v>2276</v>
      </c>
      <c r="E3512" s="204" t="s">
        <v>1105</v>
      </c>
      <c r="F3512" s="4" t="s">
        <v>2276</v>
      </c>
      <c r="G3512" s="4" t="s">
        <v>2662</v>
      </c>
      <c r="H3512" s="4" t="s">
        <v>523</v>
      </c>
      <c r="I3512" s="204"/>
      <c r="J3512" s="177">
        <v>6.1145174855530534E-3</v>
      </c>
      <c r="K3512" s="177" t="s">
        <v>2276</v>
      </c>
      <c r="L3512" s="177" t="s">
        <v>2276</v>
      </c>
      <c r="M3512" s="177" t="s">
        <v>2276</v>
      </c>
      <c r="N3512" s="177" t="s">
        <v>2276</v>
      </c>
      <c r="O3512" s="177" t="s">
        <v>2276</v>
      </c>
      <c r="P3512" s="21">
        <v>6.8406474775289121</v>
      </c>
      <c r="Q3512" s="177" t="s">
        <v>2276</v>
      </c>
      <c r="R3512" s="177" t="s">
        <v>2276</v>
      </c>
      <c r="S3512" s="177" t="s">
        <v>2276</v>
      </c>
      <c r="T3512" s="21">
        <v>1158.8437500000002</v>
      </c>
      <c r="U3512" s="177" t="s">
        <v>2276</v>
      </c>
      <c r="V3512" s="177" t="s">
        <v>2276</v>
      </c>
      <c r="W3512" s="177" t="s">
        <v>2276</v>
      </c>
      <c r="X3512" s="177" t="s">
        <v>2276</v>
      </c>
      <c r="Y3512" s="177" t="s">
        <v>2276</v>
      </c>
      <c r="Z3512" s="177" t="s">
        <v>2276</v>
      </c>
      <c r="AA3512" s="177" t="s">
        <v>2276</v>
      </c>
      <c r="AB3512" s="177" t="s">
        <v>2276</v>
      </c>
      <c r="AC3512" s="4" t="s">
        <v>9184</v>
      </c>
      <c r="AD3512" s="4" t="s">
        <v>9241</v>
      </c>
    </row>
    <row r="3513" spans="1:30" ht="93.5" customHeight="1">
      <c r="A3513" s="11" t="s">
        <v>9177</v>
      </c>
      <c r="B3513" s="11" t="s">
        <v>9217</v>
      </c>
      <c r="C3513" s="204" t="s">
        <v>2458</v>
      </c>
      <c r="D3513" s="204" t="s">
        <v>2276</v>
      </c>
      <c r="E3513" s="204" t="s">
        <v>1105</v>
      </c>
      <c r="F3513" s="4" t="s">
        <v>2276</v>
      </c>
      <c r="G3513" s="4" t="s">
        <v>2662</v>
      </c>
      <c r="H3513" s="4" t="s">
        <v>523</v>
      </c>
      <c r="I3513" s="204"/>
      <c r="J3513" s="177">
        <v>6.7563951621534843E-3</v>
      </c>
      <c r="K3513" s="177" t="s">
        <v>2276</v>
      </c>
      <c r="L3513" s="177" t="s">
        <v>2276</v>
      </c>
      <c r="M3513" s="177" t="s">
        <v>2276</v>
      </c>
      <c r="N3513" s="177" t="s">
        <v>2276</v>
      </c>
      <c r="O3513" s="177" t="s">
        <v>2276</v>
      </c>
      <c r="P3513" s="21">
        <v>12.750870263836982</v>
      </c>
      <c r="Q3513" s="177" t="s">
        <v>2276</v>
      </c>
      <c r="R3513" s="177" t="s">
        <v>2276</v>
      </c>
      <c r="S3513" s="177" t="s">
        <v>2276</v>
      </c>
      <c r="T3513" s="21">
        <v>5597.1874999999991</v>
      </c>
      <c r="U3513" s="177" t="s">
        <v>2276</v>
      </c>
      <c r="V3513" s="177" t="s">
        <v>2276</v>
      </c>
      <c r="W3513" s="177" t="s">
        <v>2276</v>
      </c>
      <c r="X3513" s="177" t="s">
        <v>2276</v>
      </c>
      <c r="Y3513" s="177" t="s">
        <v>2276</v>
      </c>
      <c r="Z3513" s="177" t="s">
        <v>2276</v>
      </c>
      <c r="AA3513" s="177" t="s">
        <v>2276</v>
      </c>
      <c r="AB3513" s="177" t="s">
        <v>2276</v>
      </c>
      <c r="AC3513" s="4" t="s">
        <v>9184</v>
      </c>
      <c r="AD3513" s="4" t="s">
        <v>9241</v>
      </c>
    </row>
    <row r="3514" spans="1:30" ht="93.5" customHeight="1">
      <c r="A3514" s="11" t="s">
        <v>9178</v>
      </c>
      <c r="B3514" s="11" t="s">
        <v>9218</v>
      </c>
      <c r="C3514" s="204" t="s">
        <v>2458</v>
      </c>
      <c r="D3514" s="204" t="s">
        <v>2276</v>
      </c>
      <c r="E3514" s="204" t="s">
        <v>1105</v>
      </c>
      <c r="F3514" s="4" t="s">
        <v>2276</v>
      </c>
      <c r="G3514" s="4" t="s">
        <v>2662</v>
      </c>
      <c r="H3514" s="4" t="s">
        <v>523</v>
      </c>
      <c r="I3514" s="204"/>
      <c r="J3514" s="177">
        <v>6.1293486115412412E-4</v>
      </c>
      <c r="K3514" s="177" t="s">
        <v>2276</v>
      </c>
      <c r="L3514" s="177" t="s">
        <v>2276</v>
      </c>
      <c r="M3514" s="177" t="s">
        <v>2276</v>
      </c>
      <c r="N3514" s="177" t="s">
        <v>2276</v>
      </c>
      <c r="O3514" s="177" t="s">
        <v>2276</v>
      </c>
      <c r="P3514" s="21">
        <v>53.747562203343733</v>
      </c>
      <c r="Q3514" s="177" t="s">
        <v>2276</v>
      </c>
      <c r="R3514" s="177" t="s">
        <v>2276</v>
      </c>
      <c r="S3514" s="177" t="s">
        <v>2276</v>
      </c>
      <c r="T3514" s="21">
        <v>3019.1504166666668</v>
      </c>
      <c r="U3514" s="177" t="s">
        <v>2276</v>
      </c>
      <c r="V3514" s="177" t="s">
        <v>2276</v>
      </c>
      <c r="W3514" s="177" t="s">
        <v>2276</v>
      </c>
      <c r="X3514" s="177" t="s">
        <v>2276</v>
      </c>
      <c r="Y3514" s="177" t="s">
        <v>2276</v>
      </c>
      <c r="Z3514" s="177" t="s">
        <v>2276</v>
      </c>
      <c r="AA3514" s="177" t="s">
        <v>2276</v>
      </c>
      <c r="AB3514" s="177" t="s">
        <v>2276</v>
      </c>
      <c r="AC3514" s="4" t="s">
        <v>9184</v>
      </c>
      <c r="AD3514" s="4" t="s">
        <v>9241</v>
      </c>
    </row>
    <row r="3515" spans="1:30" s="203" customFormat="1" ht="93.5" customHeight="1">
      <c r="A3515" s="11" t="s">
        <v>9178</v>
      </c>
      <c r="B3515" s="11" t="s">
        <v>9237</v>
      </c>
      <c r="C3515" s="204" t="s">
        <v>2458</v>
      </c>
      <c r="D3515" s="204" t="s">
        <v>2276</v>
      </c>
      <c r="E3515" s="204" t="s">
        <v>1105</v>
      </c>
      <c r="F3515" s="4" t="s">
        <v>2276</v>
      </c>
      <c r="G3515" s="4" t="s">
        <v>2662</v>
      </c>
      <c r="H3515" s="4" t="s">
        <v>523</v>
      </c>
      <c r="I3515" s="204"/>
      <c r="J3515" s="177">
        <v>1.6787473483350981E-4</v>
      </c>
      <c r="K3515" s="177" t="s">
        <v>2276</v>
      </c>
      <c r="L3515" s="177" t="s">
        <v>2276</v>
      </c>
      <c r="M3515" s="177" t="s">
        <v>2276</v>
      </c>
      <c r="N3515" s="177" t="s">
        <v>2276</v>
      </c>
      <c r="O3515" s="177" t="s">
        <v>2276</v>
      </c>
      <c r="P3515" s="21">
        <v>48.87515129333309</v>
      </c>
      <c r="Q3515" s="177" t="s">
        <v>2276</v>
      </c>
      <c r="R3515" s="177" t="s">
        <v>2276</v>
      </c>
      <c r="S3515" s="177" t="s">
        <v>2276</v>
      </c>
      <c r="T3515" s="21">
        <v>1393.6225000000002</v>
      </c>
      <c r="U3515" s="177" t="s">
        <v>2276</v>
      </c>
      <c r="V3515" s="177" t="s">
        <v>2276</v>
      </c>
      <c r="W3515" s="177" t="s">
        <v>2276</v>
      </c>
      <c r="X3515" s="177" t="s">
        <v>2276</v>
      </c>
      <c r="Y3515" s="177" t="s">
        <v>2276</v>
      </c>
      <c r="Z3515" s="177" t="s">
        <v>2276</v>
      </c>
      <c r="AA3515" s="177" t="s">
        <v>2276</v>
      </c>
      <c r="AB3515" s="177" t="s">
        <v>2276</v>
      </c>
      <c r="AC3515" s="4" t="s">
        <v>9184</v>
      </c>
      <c r="AD3515" s="4" t="s">
        <v>9241</v>
      </c>
    </row>
    <row r="3516" spans="1:30" ht="93.5" customHeight="1">
      <c r="A3516" s="11" t="s">
        <v>9189</v>
      </c>
      <c r="B3516" s="11" t="s">
        <v>9219</v>
      </c>
      <c r="C3516" s="204" t="s">
        <v>2458</v>
      </c>
      <c r="D3516" s="204" t="s">
        <v>2276</v>
      </c>
      <c r="E3516" s="204" t="s">
        <v>1105</v>
      </c>
      <c r="F3516" s="4" t="s">
        <v>2276</v>
      </c>
      <c r="G3516" s="4" t="s">
        <v>2662</v>
      </c>
      <c r="H3516" s="4" t="s">
        <v>523</v>
      </c>
      <c r="I3516" s="204"/>
      <c r="J3516" s="177">
        <v>3.8522399293558463E-4</v>
      </c>
      <c r="K3516" s="177" t="s">
        <v>2276</v>
      </c>
      <c r="L3516" s="177" t="s">
        <v>2276</v>
      </c>
      <c r="M3516" s="177" t="s">
        <v>2276</v>
      </c>
      <c r="N3516" s="177" t="s">
        <v>2276</v>
      </c>
      <c r="O3516" s="177" t="s">
        <v>2276</v>
      </c>
      <c r="P3516" s="21">
        <v>0.77412071610011779</v>
      </c>
      <c r="Q3516" s="177" t="s">
        <v>2276</v>
      </c>
      <c r="R3516" s="177" t="s">
        <v>2276</v>
      </c>
      <c r="S3516" s="177" t="s">
        <v>2276</v>
      </c>
      <c r="T3516" s="21">
        <v>6.5</v>
      </c>
      <c r="U3516" s="177" t="s">
        <v>2276</v>
      </c>
      <c r="V3516" s="177" t="s">
        <v>2276</v>
      </c>
      <c r="W3516" s="177" t="s">
        <v>2276</v>
      </c>
      <c r="X3516" s="177" t="s">
        <v>2276</v>
      </c>
      <c r="Y3516" s="177" t="s">
        <v>2276</v>
      </c>
      <c r="Z3516" s="177" t="s">
        <v>2276</v>
      </c>
      <c r="AA3516" s="177" t="s">
        <v>2276</v>
      </c>
      <c r="AB3516" s="177" t="s">
        <v>2276</v>
      </c>
      <c r="AC3516" s="4" t="s">
        <v>9184</v>
      </c>
      <c r="AD3516" s="4" t="s">
        <v>9241</v>
      </c>
    </row>
    <row r="3517" spans="1:30" ht="93.5" customHeight="1">
      <c r="A3517" s="11" t="s">
        <v>9190</v>
      </c>
      <c r="B3517" s="11" t="s">
        <v>9220</v>
      </c>
      <c r="C3517" s="204" t="s">
        <v>2458</v>
      </c>
      <c r="D3517" s="204" t="s">
        <v>2276</v>
      </c>
      <c r="E3517" s="204" t="s">
        <v>1105</v>
      </c>
      <c r="F3517" s="4" t="s">
        <v>2276</v>
      </c>
      <c r="G3517" s="4" t="s">
        <v>2662</v>
      </c>
      <c r="H3517" s="4" t="s">
        <v>523</v>
      </c>
      <c r="I3517" s="204"/>
      <c r="J3517" s="177">
        <v>7.9745770483697978E-5</v>
      </c>
      <c r="K3517" s="177" t="s">
        <v>2276</v>
      </c>
      <c r="L3517" s="177" t="s">
        <v>2276</v>
      </c>
      <c r="M3517" s="177" t="s">
        <v>2276</v>
      </c>
      <c r="N3517" s="177" t="s">
        <v>2276</v>
      </c>
      <c r="O3517" s="177" t="s">
        <v>2276</v>
      </c>
      <c r="P3517" s="21">
        <v>0.98988382452352075</v>
      </c>
      <c r="Q3517" s="177" t="s">
        <v>2276</v>
      </c>
      <c r="R3517" s="177" t="s">
        <v>2276</v>
      </c>
      <c r="S3517" s="177" t="s">
        <v>2276</v>
      </c>
      <c r="T3517" s="21">
        <v>3.3333333333333335</v>
      </c>
      <c r="U3517" s="177" t="s">
        <v>2276</v>
      </c>
      <c r="V3517" s="177" t="s">
        <v>2276</v>
      </c>
      <c r="W3517" s="177" t="s">
        <v>2276</v>
      </c>
      <c r="X3517" s="177" t="s">
        <v>2276</v>
      </c>
      <c r="Y3517" s="177" t="s">
        <v>2276</v>
      </c>
      <c r="Z3517" s="177" t="s">
        <v>2276</v>
      </c>
      <c r="AA3517" s="177" t="s">
        <v>2276</v>
      </c>
      <c r="AB3517" s="177" t="s">
        <v>2276</v>
      </c>
      <c r="AC3517" s="4" t="s">
        <v>9184</v>
      </c>
      <c r="AD3517" s="4" t="s">
        <v>9241</v>
      </c>
    </row>
    <row r="3518" spans="1:30" ht="93.5" customHeight="1">
      <c r="A3518" s="11" t="s">
        <v>9191</v>
      </c>
      <c r="B3518" s="11" t="s">
        <v>9221</v>
      </c>
      <c r="C3518" s="204" t="s">
        <v>2458</v>
      </c>
      <c r="D3518" s="204" t="s">
        <v>2276</v>
      </c>
      <c r="E3518" s="204" t="s">
        <v>1105</v>
      </c>
      <c r="F3518" s="4" t="s">
        <v>2276</v>
      </c>
      <c r="G3518" s="4" t="s">
        <v>2662</v>
      </c>
      <c r="H3518" s="4" t="s">
        <v>523</v>
      </c>
      <c r="I3518" s="204"/>
      <c r="J3518" s="177">
        <v>4.3633790324563999E-5</v>
      </c>
      <c r="K3518" s="177" t="s">
        <v>2276</v>
      </c>
      <c r="L3518" s="177" t="s">
        <v>2276</v>
      </c>
      <c r="M3518" s="177" t="s">
        <v>2276</v>
      </c>
      <c r="N3518" s="177" t="s">
        <v>2276</v>
      </c>
      <c r="O3518" s="177" t="s">
        <v>2276</v>
      </c>
      <c r="P3518" s="21">
        <v>5.0688441192192145E-2</v>
      </c>
      <c r="Q3518" s="177" t="s">
        <v>2276</v>
      </c>
      <c r="R3518" s="177" t="s">
        <v>2276</v>
      </c>
      <c r="S3518" s="177" t="s">
        <v>2276</v>
      </c>
      <c r="T3518" s="21">
        <v>5.5</v>
      </c>
      <c r="U3518" s="177" t="s">
        <v>2276</v>
      </c>
      <c r="V3518" s="177" t="s">
        <v>2276</v>
      </c>
      <c r="W3518" s="177" t="s">
        <v>2276</v>
      </c>
      <c r="X3518" s="177" t="s">
        <v>2276</v>
      </c>
      <c r="Y3518" s="177" t="s">
        <v>2276</v>
      </c>
      <c r="Z3518" s="177" t="s">
        <v>2276</v>
      </c>
      <c r="AA3518" s="177" t="s">
        <v>2276</v>
      </c>
      <c r="AB3518" s="177" t="s">
        <v>2276</v>
      </c>
      <c r="AC3518" s="4" t="s">
        <v>9184</v>
      </c>
      <c r="AD3518" s="4" t="s">
        <v>9241</v>
      </c>
    </row>
    <row r="3519" spans="1:30" ht="93.5" customHeight="1">
      <c r="A3519" s="11" t="s">
        <v>9192</v>
      </c>
      <c r="B3519" s="11" t="s">
        <v>9222</v>
      </c>
      <c r="C3519" s="204" t="s">
        <v>2458</v>
      </c>
      <c r="D3519" s="204" t="s">
        <v>2276</v>
      </c>
      <c r="E3519" s="204" t="s">
        <v>1105</v>
      </c>
      <c r="F3519" s="4" t="s">
        <v>2276</v>
      </c>
      <c r="G3519" s="4" t="s">
        <v>2662</v>
      </c>
      <c r="H3519" s="4" t="s">
        <v>523</v>
      </c>
      <c r="I3519" s="204"/>
      <c r="J3519" s="177">
        <v>1.8556404819610462E-4</v>
      </c>
      <c r="K3519" s="177" t="s">
        <v>2276</v>
      </c>
      <c r="L3519" s="177" t="s">
        <v>2276</v>
      </c>
      <c r="M3519" s="177" t="s">
        <v>2276</v>
      </c>
      <c r="N3519" s="177" t="s">
        <v>2276</v>
      </c>
      <c r="O3519" s="177" t="s">
        <v>2276</v>
      </c>
      <c r="P3519" s="21">
        <v>2.6389760380487663</v>
      </c>
      <c r="Q3519" s="177" t="s">
        <v>2276</v>
      </c>
      <c r="R3519" s="177" t="s">
        <v>2276</v>
      </c>
      <c r="S3519" s="177" t="s">
        <v>2276</v>
      </c>
      <c r="T3519" s="21">
        <v>13.95</v>
      </c>
      <c r="U3519" s="177" t="s">
        <v>2276</v>
      </c>
      <c r="V3519" s="177" t="s">
        <v>2276</v>
      </c>
      <c r="W3519" s="177" t="s">
        <v>2276</v>
      </c>
      <c r="X3519" s="177" t="s">
        <v>2276</v>
      </c>
      <c r="Y3519" s="177" t="s">
        <v>2276</v>
      </c>
      <c r="Z3519" s="177" t="s">
        <v>2276</v>
      </c>
      <c r="AA3519" s="177" t="s">
        <v>2276</v>
      </c>
      <c r="AB3519" s="177" t="s">
        <v>2276</v>
      </c>
      <c r="AC3519" s="4" t="s">
        <v>9184</v>
      </c>
      <c r="AD3519" s="4" t="s">
        <v>9241</v>
      </c>
    </row>
    <row r="3520" spans="1:30" ht="93.5" customHeight="1">
      <c r="A3520" s="11" t="s">
        <v>9193</v>
      </c>
      <c r="B3520" s="11" t="s">
        <v>9223</v>
      </c>
      <c r="C3520" s="204" t="s">
        <v>2458</v>
      </c>
      <c r="D3520" s="204" t="s">
        <v>2276</v>
      </c>
      <c r="E3520" s="204" t="s">
        <v>1105</v>
      </c>
      <c r="F3520" s="4" t="s">
        <v>2276</v>
      </c>
      <c r="G3520" s="4" t="s">
        <v>2662</v>
      </c>
      <c r="H3520" s="4" t="s">
        <v>523</v>
      </c>
      <c r="I3520" s="204"/>
      <c r="J3520" s="177">
        <v>1.4810287851867549E-3</v>
      </c>
      <c r="K3520" s="177" t="s">
        <v>2276</v>
      </c>
      <c r="L3520" s="177" t="s">
        <v>2276</v>
      </c>
      <c r="M3520" s="177" t="s">
        <v>2276</v>
      </c>
      <c r="N3520" s="177" t="s">
        <v>2276</v>
      </c>
      <c r="O3520" s="177" t="s">
        <v>2276</v>
      </c>
      <c r="P3520" s="21">
        <v>17.389585107460128</v>
      </c>
      <c r="Q3520" s="177" t="s">
        <v>2276</v>
      </c>
      <c r="R3520" s="177" t="s">
        <v>2276</v>
      </c>
      <c r="S3520" s="177" t="s">
        <v>2276</v>
      </c>
      <c r="T3520" s="21">
        <v>60.1</v>
      </c>
      <c r="U3520" s="177" t="s">
        <v>2276</v>
      </c>
      <c r="V3520" s="177" t="s">
        <v>2276</v>
      </c>
      <c r="W3520" s="177" t="s">
        <v>2276</v>
      </c>
      <c r="X3520" s="177" t="s">
        <v>2276</v>
      </c>
      <c r="Y3520" s="177" t="s">
        <v>2276</v>
      </c>
      <c r="Z3520" s="177" t="s">
        <v>2276</v>
      </c>
      <c r="AA3520" s="177" t="s">
        <v>2276</v>
      </c>
      <c r="AB3520" s="177" t="s">
        <v>2276</v>
      </c>
      <c r="AC3520" s="4" t="s">
        <v>9184</v>
      </c>
      <c r="AD3520" s="4" t="s">
        <v>9241</v>
      </c>
    </row>
    <row r="3521" spans="1:30" ht="93.5" customHeight="1">
      <c r="A3521" s="11" t="s">
        <v>9194</v>
      </c>
      <c r="B3521" s="11" t="s">
        <v>9224</v>
      </c>
      <c r="C3521" s="204" t="s">
        <v>2458</v>
      </c>
      <c r="D3521" s="204" t="s">
        <v>2276</v>
      </c>
      <c r="E3521" s="204" t="s">
        <v>1105</v>
      </c>
      <c r="F3521" s="4" t="s">
        <v>2276</v>
      </c>
      <c r="G3521" s="4" t="s">
        <v>2662</v>
      </c>
      <c r="H3521" s="4" t="s">
        <v>523</v>
      </c>
      <c r="I3521" s="204"/>
      <c r="J3521" s="177">
        <v>5.4409280255670565E-2</v>
      </c>
      <c r="K3521" s="177" t="s">
        <v>2276</v>
      </c>
      <c r="L3521" s="177" t="s">
        <v>2276</v>
      </c>
      <c r="M3521" s="177" t="s">
        <v>2276</v>
      </c>
      <c r="N3521" s="177" t="s">
        <v>2276</v>
      </c>
      <c r="O3521" s="177" t="s">
        <v>2276</v>
      </c>
      <c r="P3521" s="21">
        <v>7.5970595679209199</v>
      </c>
      <c r="Q3521" s="177" t="s">
        <v>2276</v>
      </c>
      <c r="R3521" s="177" t="s">
        <v>2276</v>
      </c>
      <c r="S3521" s="177" t="s">
        <v>2276</v>
      </c>
      <c r="T3521" s="21">
        <v>892.1</v>
      </c>
      <c r="U3521" s="177" t="s">
        <v>2276</v>
      </c>
      <c r="V3521" s="177" t="s">
        <v>2276</v>
      </c>
      <c r="W3521" s="177" t="s">
        <v>2276</v>
      </c>
      <c r="X3521" s="177" t="s">
        <v>2276</v>
      </c>
      <c r="Y3521" s="177" t="s">
        <v>2276</v>
      </c>
      <c r="Z3521" s="177" t="s">
        <v>2276</v>
      </c>
      <c r="AA3521" s="177" t="s">
        <v>2276</v>
      </c>
      <c r="AB3521" s="177" t="s">
        <v>2276</v>
      </c>
      <c r="AC3521" s="4" t="s">
        <v>9184</v>
      </c>
      <c r="AD3521" s="4" t="s">
        <v>9241</v>
      </c>
    </row>
    <row r="3522" spans="1:30" ht="93.5" customHeight="1">
      <c r="A3522" s="11" t="s">
        <v>9195</v>
      </c>
      <c r="B3522" s="11" t="s">
        <v>9225</v>
      </c>
      <c r="C3522" s="204" t="s">
        <v>2458</v>
      </c>
      <c r="D3522" s="204" t="s">
        <v>2276</v>
      </c>
      <c r="E3522" s="204" t="s">
        <v>1105</v>
      </c>
      <c r="F3522" s="4" t="s">
        <v>2276</v>
      </c>
      <c r="G3522" s="4" t="s">
        <v>2662</v>
      </c>
      <c r="H3522" s="4" t="s">
        <v>523</v>
      </c>
      <c r="I3522" s="204"/>
      <c r="J3522" s="177">
        <v>2.985781990521327E-2</v>
      </c>
      <c r="K3522" s="177" t="s">
        <v>2276</v>
      </c>
      <c r="L3522" s="177" t="s">
        <v>2276</v>
      </c>
      <c r="M3522" s="177" t="s">
        <v>2276</v>
      </c>
      <c r="N3522" s="177" t="s">
        <v>2276</v>
      </c>
      <c r="O3522" s="177" t="s">
        <v>2276</v>
      </c>
      <c r="P3522" s="21">
        <v>15.798626898885079</v>
      </c>
      <c r="Q3522" s="177" t="s">
        <v>2276</v>
      </c>
      <c r="R3522" s="177" t="s">
        <v>2276</v>
      </c>
      <c r="S3522" s="177" t="s">
        <v>2276</v>
      </c>
      <c r="T3522" s="21">
        <v>459.9</v>
      </c>
      <c r="U3522" s="177" t="s">
        <v>2276</v>
      </c>
      <c r="V3522" s="177" t="s">
        <v>2276</v>
      </c>
      <c r="W3522" s="177" t="s">
        <v>2276</v>
      </c>
      <c r="X3522" s="177" t="s">
        <v>2276</v>
      </c>
      <c r="Y3522" s="177" t="s">
        <v>2276</v>
      </c>
      <c r="Z3522" s="177" t="s">
        <v>2276</v>
      </c>
      <c r="AA3522" s="177" t="s">
        <v>2276</v>
      </c>
      <c r="AB3522" s="177" t="s">
        <v>2276</v>
      </c>
      <c r="AC3522" s="4" t="s">
        <v>9184</v>
      </c>
      <c r="AD3522" s="4" t="s">
        <v>9241</v>
      </c>
    </row>
    <row r="3523" spans="1:30" ht="93.5" customHeight="1">
      <c r="A3523" s="11" t="s">
        <v>9196</v>
      </c>
      <c r="B3523" s="11" t="s">
        <v>9226</v>
      </c>
      <c r="C3523" s="204" t="s">
        <v>2458</v>
      </c>
      <c r="D3523" s="204" t="s">
        <v>2276</v>
      </c>
      <c r="E3523" s="204" t="s">
        <v>1105</v>
      </c>
      <c r="F3523" s="4" t="s">
        <v>2276</v>
      </c>
      <c r="G3523" s="4" t="s">
        <v>2662</v>
      </c>
      <c r="H3523" s="4" t="s">
        <v>523</v>
      </c>
      <c r="I3523" s="204"/>
      <c r="J3523" s="177">
        <v>1.499664368096662E-2</v>
      </c>
      <c r="K3523" s="177" t="s">
        <v>2276</v>
      </c>
      <c r="L3523" s="177" t="s">
        <v>2276</v>
      </c>
      <c r="M3523" s="177" t="s">
        <v>2276</v>
      </c>
      <c r="N3523" s="177" t="s">
        <v>2276</v>
      </c>
      <c r="O3523" s="177" t="s">
        <v>2276</v>
      </c>
      <c r="P3523" s="21">
        <v>46.306103585833718</v>
      </c>
      <c r="Q3523" s="177" t="s">
        <v>2276</v>
      </c>
      <c r="R3523" s="177" t="s">
        <v>2276</v>
      </c>
      <c r="S3523" s="177" t="s">
        <v>2276</v>
      </c>
      <c r="T3523" s="21">
        <v>245.75</v>
      </c>
      <c r="U3523" s="177" t="s">
        <v>2276</v>
      </c>
      <c r="V3523" s="177" t="s">
        <v>2276</v>
      </c>
      <c r="W3523" s="177" t="s">
        <v>2276</v>
      </c>
      <c r="X3523" s="177" t="s">
        <v>2276</v>
      </c>
      <c r="Y3523" s="177" t="s">
        <v>2276</v>
      </c>
      <c r="Z3523" s="177" t="s">
        <v>2276</v>
      </c>
      <c r="AA3523" s="177" t="s">
        <v>2276</v>
      </c>
      <c r="AB3523" s="177" t="s">
        <v>2276</v>
      </c>
      <c r="AC3523" s="4" t="s">
        <v>9184</v>
      </c>
      <c r="AD3523" s="4" t="s">
        <v>9241</v>
      </c>
    </row>
    <row r="3524" spans="1:30" ht="93.5" customHeight="1">
      <c r="A3524" s="11" t="s">
        <v>9197</v>
      </c>
      <c r="B3524" s="11" t="s">
        <v>9227</v>
      </c>
      <c r="C3524" s="204" t="s">
        <v>2458</v>
      </c>
      <c r="D3524" s="204" t="s">
        <v>2276</v>
      </c>
      <c r="E3524" s="204" t="s">
        <v>1105</v>
      </c>
      <c r="F3524" s="4" t="s">
        <v>2276</v>
      </c>
      <c r="G3524" s="4" t="s">
        <v>2662</v>
      </c>
      <c r="H3524" s="4" t="s">
        <v>523</v>
      </c>
      <c r="I3524" s="204"/>
      <c r="J3524" s="177">
        <v>1.7956106561570633E-2</v>
      </c>
      <c r="K3524" s="177" t="s">
        <v>2276</v>
      </c>
      <c r="L3524" s="177" t="s">
        <v>2276</v>
      </c>
      <c r="M3524" s="177" t="s">
        <v>2276</v>
      </c>
      <c r="N3524" s="177" t="s">
        <v>2276</v>
      </c>
      <c r="O3524" s="177" t="s">
        <v>2276</v>
      </c>
      <c r="P3524" s="21">
        <v>31.697454903807746</v>
      </c>
      <c r="Q3524" s="177" t="s">
        <v>2276</v>
      </c>
      <c r="R3524" s="177" t="s">
        <v>2276</v>
      </c>
      <c r="S3524" s="177" t="s">
        <v>2276</v>
      </c>
      <c r="T3524" s="21">
        <v>544</v>
      </c>
      <c r="U3524" s="177" t="s">
        <v>2276</v>
      </c>
      <c r="V3524" s="177" t="s">
        <v>2276</v>
      </c>
      <c r="W3524" s="177" t="s">
        <v>2276</v>
      </c>
      <c r="X3524" s="177" t="s">
        <v>2276</v>
      </c>
      <c r="Y3524" s="177" t="s">
        <v>2276</v>
      </c>
      <c r="Z3524" s="177" t="s">
        <v>2276</v>
      </c>
      <c r="AA3524" s="177" t="s">
        <v>2276</v>
      </c>
      <c r="AB3524" s="177" t="s">
        <v>2276</v>
      </c>
      <c r="AC3524" s="4" t="s">
        <v>9184</v>
      </c>
      <c r="AD3524" s="4" t="s">
        <v>9241</v>
      </c>
    </row>
    <row r="3525" spans="1:30" ht="93.5" customHeight="1">
      <c r="A3525" s="11" t="s">
        <v>9198</v>
      </c>
      <c r="B3525" s="11" t="s">
        <v>9228</v>
      </c>
      <c r="C3525" s="204" t="s">
        <v>2458</v>
      </c>
      <c r="D3525" s="204" t="s">
        <v>2276</v>
      </c>
      <c r="E3525" s="204" t="s">
        <v>1105</v>
      </c>
      <c r="F3525" s="4" t="s">
        <v>2276</v>
      </c>
      <c r="G3525" s="4" t="s">
        <v>2662</v>
      </c>
      <c r="H3525" s="4" t="s">
        <v>523</v>
      </c>
      <c r="I3525" s="204"/>
      <c r="J3525" s="177">
        <v>3.9040862010092194E-2</v>
      </c>
      <c r="K3525" s="177" t="s">
        <v>2276</v>
      </c>
      <c r="L3525" s="177" t="s">
        <v>2276</v>
      </c>
      <c r="M3525" s="177" t="s">
        <v>2276</v>
      </c>
      <c r="N3525" s="177" t="s">
        <v>2276</v>
      </c>
      <c r="O3525" s="177" t="s">
        <v>2276</v>
      </c>
      <c r="P3525" s="21">
        <v>0.16805286773763461</v>
      </c>
      <c r="Q3525" s="177" t="s">
        <v>2276</v>
      </c>
      <c r="R3525" s="177" t="s">
        <v>2276</v>
      </c>
      <c r="S3525" s="177" t="s">
        <v>2276</v>
      </c>
      <c r="T3525" s="21">
        <v>514.5</v>
      </c>
      <c r="U3525" s="177" t="s">
        <v>2276</v>
      </c>
      <c r="V3525" s="177" t="s">
        <v>2276</v>
      </c>
      <c r="W3525" s="177" t="s">
        <v>2276</v>
      </c>
      <c r="X3525" s="177" t="s">
        <v>2276</v>
      </c>
      <c r="Y3525" s="177" t="s">
        <v>2276</v>
      </c>
      <c r="Z3525" s="177" t="s">
        <v>2276</v>
      </c>
      <c r="AA3525" s="177" t="s">
        <v>2276</v>
      </c>
      <c r="AB3525" s="177" t="s">
        <v>2276</v>
      </c>
      <c r="AC3525" s="4" t="s">
        <v>9184</v>
      </c>
      <c r="AD3525" s="4" t="s">
        <v>9241</v>
      </c>
    </row>
    <row r="3526" spans="1:30" ht="93.5" customHeight="1">
      <c r="A3526" s="11" t="s">
        <v>9199</v>
      </c>
      <c r="B3526" s="11" t="s">
        <v>9229</v>
      </c>
      <c r="C3526" s="204" t="s">
        <v>2458</v>
      </c>
      <c r="D3526" s="204" t="s">
        <v>2276</v>
      </c>
      <c r="E3526" s="204" t="s">
        <v>1105</v>
      </c>
      <c r="F3526" s="4" t="s">
        <v>2276</v>
      </c>
      <c r="G3526" s="4" t="s">
        <v>2662</v>
      </c>
      <c r="H3526" s="4" t="s">
        <v>523</v>
      </c>
      <c r="I3526" s="204"/>
      <c r="J3526" s="177">
        <v>0.10325572829026128</v>
      </c>
      <c r="K3526" s="177" t="s">
        <v>2276</v>
      </c>
      <c r="L3526" s="177" t="s">
        <v>2276</v>
      </c>
      <c r="M3526" s="177" t="s">
        <v>2276</v>
      </c>
      <c r="N3526" s="177" t="s">
        <v>2276</v>
      </c>
      <c r="O3526" s="177" t="s">
        <v>2276</v>
      </c>
      <c r="P3526" s="21">
        <v>8.0801886053710454</v>
      </c>
      <c r="Q3526" s="177" t="s">
        <v>2276</v>
      </c>
      <c r="R3526" s="177" t="s">
        <v>2276</v>
      </c>
      <c r="S3526" s="177" t="s">
        <v>2276</v>
      </c>
      <c r="T3526" s="21">
        <v>2466.8000000000002</v>
      </c>
      <c r="U3526" s="177" t="s">
        <v>2276</v>
      </c>
      <c r="V3526" s="177" t="s">
        <v>2276</v>
      </c>
      <c r="W3526" s="177" t="s">
        <v>2276</v>
      </c>
      <c r="X3526" s="177" t="s">
        <v>2276</v>
      </c>
      <c r="Y3526" s="177" t="s">
        <v>2276</v>
      </c>
      <c r="Z3526" s="177" t="s">
        <v>2276</v>
      </c>
      <c r="AA3526" s="177" t="s">
        <v>2276</v>
      </c>
      <c r="AB3526" s="177" t="s">
        <v>2276</v>
      </c>
      <c r="AC3526" s="4" t="s">
        <v>9184</v>
      </c>
      <c r="AD3526" s="4" t="s">
        <v>9241</v>
      </c>
    </row>
    <row r="3527" spans="1:30" ht="93.5" customHeight="1">
      <c r="A3527" s="11" t="s">
        <v>9200</v>
      </c>
      <c r="B3527" s="11" t="s">
        <v>9230</v>
      </c>
      <c r="C3527" s="204" t="s">
        <v>2458</v>
      </c>
      <c r="D3527" s="204" t="s">
        <v>2276</v>
      </c>
      <c r="E3527" s="204" t="s">
        <v>1105</v>
      </c>
      <c r="F3527" s="4" t="s">
        <v>2276</v>
      </c>
      <c r="G3527" s="4" t="s">
        <v>2662</v>
      </c>
      <c r="H3527" s="4" t="s">
        <v>523</v>
      </c>
      <c r="I3527" s="204"/>
      <c r="J3527" s="177">
        <v>3.5013174299595197E-2</v>
      </c>
      <c r="K3527" s="177" t="s">
        <v>2276</v>
      </c>
      <c r="L3527" s="177" t="s">
        <v>2276</v>
      </c>
      <c r="M3527" s="177" t="s">
        <v>2276</v>
      </c>
      <c r="N3527" s="177" t="s">
        <v>2276</v>
      </c>
      <c r="O3527" s="177" t="s">
        <v>2276</v>
      </c>
      <c r="P3527" s="21">
        <v>7.6285672408248839</v>
      </c>
      <c r="Q3527" s="177" t="s">
        <v>2276</v>
      </c>
      <c r="R3527" s="177" t="s">
        <v>2276</v>
      </c>
      <c r="S3527" s="177" t="s">
        <v>2276</v>
      </c>
      <c r="T3527" s="21">
        <v>1114.9000000000001</v>
      </c>
      <c r="U3527" s="177" t="s">
        <v>2276</v>
      </c>
      <c r="V3527" s="177" t="s">
        <v>2276</v>
      </c>
      <c r="W3527" s="177" t="s">
        <v>2276</v>
      </c>
      <c r="X3527" s="177" t="s">
        <v>2276</v>
      </c>
      <c r="Y3527" s="177" t="s">
        <v>2276</v>
      </c>
      <c r="Z3527" s="177" t="s">
        <v>2276</v>
      </c>
      <c r="AA3527" s="177" t="s">
        <v>2276</v>
      </c>
      <c r="AB3527" s="177" t="s">
        <v>2276</v>
      </c>
      <c r="AC3527" s="4" t="s">
        <v>9184</v>
      </c>
      <c r="AD3527" s="4" t="s">
        <v>9241</v>
      </c>
    </row>
    <row r="3528" spans="1:30" ht="93.5" customHeight="1">
      <c r="A3528" s="11" t="s">
        <v>9201</v>
      </c>
      <c r="B3528" s="11" t="s">
        <v>9231</v>
      </c>
      <c r="C3528" s="204" t="s">
        <v>2458</v>
      </c>
      <c r="D3528" s="204" t="s">
        <v>2276</v>
      </c>
      <c r="E3528" s="204" t="s">
        <v>1105</v>
      </c>
      <c r="F3528" s="4" t="s">
        <v>2276</v>
      </c>
      <c r="G3528" s="4" t="s">
        <v>2662</v>
      </c>
      <c r="H3528" s="4" t="s">
        <v>523</v>
      </c>
      <c r="I3528" s="204"/>
      <c r="J3528" s="177">
        <v>5.7407960064027779E-3</v>
      </c>
      <c r="K3528" s="177" t="s">
        <v>2276</v>
      </c>
      <c r="L3528" s="177" t="s">
        <v>2276</v>
      </c>
      <c r="M3528" s="177" t="s">
        <v>2276</v>
      </c>
      <c r="N3528" s="177" t="s">
        <v>2276</v>
      </c>
      <c r="O3528" s="177" t="s">
        <v>2276</v>
      </c>
      <c r="P3528" s="21">
        <v>2.706527218474879</v>
      </c>
      <c r="Q3528" s="177" t="s">
        <v>2276</v>
      </c>
      <c r="R3528" s="177" t="s">
        <v>2276</v>
      </c>
      <c r="S3528" s="177" t="s">
        <v>2276</v>
      </c>
      <c r="T3528" s="21">
        <v>105.8</v>
      </c>
      <c r="U3528" s="177" t="s">
        <v>2276</v>
      </c>
      <c r="V3528" s="177" t="s">
        <v>2276</v>
      </c>
      <c r="W3528" s="177" t="s">
        <v>2276</v>
      </c>
      <c r="X3528" s="177" t="s">
        <v>2276</v>
      </c>
      <c r="Y3528" s="177" t="s">
        <v>2276</v>
      </c>
      <c r="Z3528" s="177" t="s">
        <v>2276</v>
      </c>
      <c r="AA3528" s="177" t="s">
        <v>2276</v>
      </c>
      <c r="AB3528" s="177" t="s">
        <v>2276</v>
      </c>
      <c r="AC3528" s="4" t="s">
        <v>9184</v>
      </c>
      <c r="AD3528" s="4" t="s">
        <v>9241</v>
      </c>
    </row>
    <row r="3529" spans="1:30" ht="93.5" customHeight="1">
      <c r="A3529" s="11" t="s">
        <v>9202</v>
      </c>
      <c r="B3529" s="11" t="s">
        <v>9232</v>
      </c>
      <c r="C3529" s="204" t="s">
        <v>2458</v>
      </c>
      <c r="D3529" s="204" t="s">
        <v>2276</v>
      </c>
      <c r="E3529" s="204" t="s">
        <v>1105</v>
      </c>
      <c r="F3529" s="4" t="s">
        <v>2276</v>
      </c>
      <c r="G3529" s="4" t="s">
        <v>2662</v>
      </c>
      <c r="H3529" s="4" t="s">
        <v>523</v>
      </c>
      <c r="I3529" s="204"/>
      <c r="J3529" s="177">
        <v>4.4757901843420411E-3</v>
      </c>
      <c r="K3529" s="177" t="s">
        <v>2276</v>
      </c>
      <c r="L3529" s="177" t="s">
        <v>2276</v>
      </c>
      <c r="M3529" s="177" t="s">
        <v>2276</v>
      </c>
      <c r="N3529" s="177" t="s">
        <v>2276</v>
      </c>
      <c r="O3529" s="177" t="s">
        <v>2276</v>
      </c>
      <c r="P3529" s="237">
        <v>4.9693078799392776</v>
      </c>
      <c r="Q3529" s="177" t="s">
        <v>2276</v>
      </c>
      <c r="R3529" s="177" t="s">
        <v>2276</v>
      </c>
      <c r="S3529" s="177" t="s">
        <v>2276</v>
      </c>
      <c r="T3529" s="21">
        <v>217.45</v>
      </c>
      <c r="U3529" s="177" t="s">
        <v>2276</v>
      </c>
      <c r="V3529" s="177" t="s">
        <v>2276</v>
      </c>
      <c r="W3529" s="177" t="s">
        <v>2276</v>
      </c>
      <c r="X3529" s="177" t="s">
        <v>2276</v>
      </c>
      <c r="Y3529" s="177" t="s">
        <v>2276</v>
      </c>
      <c r="Z3529" s="177" t="s">
        <v>2276</v>
      </c>
      <c r="AA3529" s="177" t="s">
        <v>2276</v>
      </c>
      <c r="AB3529" s="177" t="s">
        <v>2276</v>
      </c>
      <c r="AC3529" s="4" t="s">
        <v>9184</v>
      </c>
      <c r="AD3529" s="4" t="s">
        <v>9241</v>
      </c>
    </row>
    <row r="3530" spans="1:30" ht="93.5" customHeight="1">
      <c r="A3530" s="11" t="s">
        <v>9203</v>
      </c>
      <c r="B3530" s="11" t="s">
        <v>9233</v>
      </c>
      <c r="C3530" s="204" t="s">
        <v>2458</v>
      </c>
      <c r="D3530" s="204" t="s">
        <v>2276</v>
      </c>
      <c r="E3530" s="204" t="s">
        <v>1105</v>
      </c>
      <c r="F3530" s="4" t="s">
        <v>2276</v>
      </c>
      <c r="G3530" s="4" t="s">
        <v>2662</v>
      </c>
      <c r="H3530" s="4" t="s">
        <v>523</v>
      </c>
      <c r="I3530" s="204"/>
      <c r="J3530" s="177">
        <v>2.5577356988010442E-4</v>
      </c>
      <c r="K3530" s="177" t="s">
        <v>2276</v>
      </c>
      <c r="L3530" s="177" t="s">
        <v>2276</v>
      </c>
      <c r="M3530" s="177" t="s">
        <v>2276</v>
      </c>
      <c r="N3530" s="177" t="s">
        <v>2276</v>
      </c>
      <c r="O3530" s="177" t="s">
        <v>2276</v>
      </c>
      <c r="P3530" s="237">
        <v>27.88952323723397</v>
      </c>
      <c r="Q3530" s="177" t="s">
        <v>2276</v>
      </c>
      <c r="R3530" s="177" t="s">
        <v>2276</v>
      </c>
      <c r="S3530" s="177" t="s">
        <v>2276</v>
      </c>
      <c r="T3530" s="21">
        <v>27.75</v>
      </c>
      <c r="U3530" s="177" t="s">
        <v>2276</v>
      </c>
      <c r="V3530" s="177" t="s">
        <v>2276</v>
      </c>
      <c r="W3530" s="177" t="s">
        <v>2276</v>
      </c>
      <c r="X3530" s="177" t="s">
        <v>2276</v>
      </c>
      <c r="Y3530" s="177" t="s">
        <v>2276</v>
      </c>
      <c r="Z3530" s="177" t="s">
        <v>2276</v>
      </c>
      <c r="AA3530" s="177" t="s">
        <v>2276</v>
      </c>
      <c r="AB3530" s="177" t="s">
        <v>2276</v>
      </c>
      <c r="AC3530" s="4" t="s">
        <v>9184</v>
      </c>
      <c r="AD3530" s="4" t="s">
        <v>9241</v>
      </c>
    </row>
    <row r="3531" spans="1:30" ht="93.5" customHeight="1">
      <c r="A3531" s="11" t="s">
        <v>9235</v>
      </c>
      <c r="B3531" s="11" t="s">
        <v>9236</v>
      </c>
      <c r="C3531" s="204" t="s">
        <v>2458</v>
      </c>
      <c r="D3531" s="204" t="s">
        <v>2276</v>
      </c>
      <c r="E3531" s="204" t="s">
        <v>1105</v>
      </c>
      <c r="F3531" s="4" t="s">
        <v>2276</v>
      </c>
      <c r="G3531" s="4" t="s">
        <v>2662</v>
      </c>
      <c r="H3531" s="4" t="s">
        <v>523</v>
      </c>
      <c r="I3531" s="204"/>
      <c r="J3531" s="177">
        <v>1.5344947619303189E-4</v>
      </c>
      <c r="K3531" s="177" t="s">
        <v>2276</v>
      </c>
      <c r="L3531" s="177" t="s">
        <v>2276</v>
      </c>
      <c r="M3531" s="177" t="s">
        <v>2276</v>
      </c>
      <c r="N3531" s="177" t="s">
        <v>2276</v>
      </c>
      <c r="O3531" s="177" t="s">
        <v>2276</v>
      </c>
      <c r="P3531" s="237">
        <v>98.490033871107983</v>
      </c>
      <c r="Q3531" s="177" t="s">
        <v>2276</v>
      </c>
      <c r="R3531" s="177" t="s">
        <v>2276</v>
      </c>
      <c r="S3531" s="177" t="s">
        <v>2276</v>
      </c>
      <c r="T3531" s="21">
        <v>20.3</v>
      </c>
      <c r="U3531" s="177" t="s">
        <v>2276</v>
      </c>
      <c r="V3531" s="177" t="s">
        <v>2276</v>
      </c>
      <c r="W3531" s="177" t="s">
        <v>2276</v>
      </c>
      <c r="X3531" s="177" t="s">
        <v>2276</v>
      </c>
      <c r="Y3531" s="177" t="s">
        <v>2276</v>
      </c>
      <c r="Z3531" s="177" t="s">
        <v>2276</v>
      </c>
      <c r="AA3531" s="177" t="s">
        <v>2276</v>
      </c>
      <c r="AB3531" s="177" t="s">
        <v>2276</v>
      </c>
      <c r="AC3531" s="4" t="s">
        <v>9184</v>
      </c>
      <c r="AD3531" s="4" t="s">
        <v>9241</v>
      </c>
    </row>
    <row r="3532" spans="1:30" ht="43.5" customHeight="1">
      <c r="A3532" s="11" t="s">
        <v>9199</v>
      </c>
      <c r="B3532" s="11" t="s">
        <v>9239</v>
      </c>
      <c r="C3532" s="204" t="s">
        <v>24</v>
      </c>
      <c r="D3532" s="204" t="s">
        <v>2346</v>
      </c>
      <c r="E3532" s="204" t="s">
        <v>2276</v>
      </c>
      <c r="F3532" s="4" t="s">
        <v>2663</v>
      </c>
      <c r="G3532" s="4" t="s">
        <v>2663</v>
      </c>
      <c r="H3532" s="4" t="s">
        <v>523</v>
      </c>
      <c r="I3532" s="204"/>
      <c r="J3532" s="21" t="s">
        <v>2276</v>
      </c>
      <c r="K3532" s="21" t="s">
        <v>2276</v>
      </c>
      <c r="L3532" s="21" t="s">
        <v>2276</v>
      </c>
      <c r="M3532" s="21" t="s">
        <v>2276</v>
      </c>
      <c r="N3532" s="21" t="s">
        <v>2276</v>
      </c>
      <c r="O3532" s="21" t="s">
        <v>2276</v>
      </c>
      <c r="P3532" s="21" t="s">
        <v>2276</v>
      </c>
      <c r="Q3532" s="21" t="s">
        <v>2276</v>
      </c>
      <c r="R3532" s="21" t="s">
        <v>2276</v>
      </c>
      <c r="S3532" s="21" t="s">
        <v>2276</v>
      </c>
      <c r="T3532" s="21" t="s">
        <v>2276</v>
      </c>
      <c r="U3532" s="21" t="s">
        <v>2276</v>
      </c>
      <c r="V3532" s="21" t="s">
        <v>2276</v>
      </c>
      <c r="W3532" s="21" t="s">
        <v>2276</v>
      </c>
      <c r="X3532" s="21" t="s">
        <v>2276</v>
      </c>
      <c r="Y3532" s="21" t="s">
        <v>2276</v>
      </c>
      <c r="Z3532" s="21" t="s">
        <v>2276</v>
      </c>
      <c r="AA3532" s="21" t="s">
        <v>2276</v>
      </c>
      <c r="AB3532" s="21" t="s">
        <v>2276</v>
      </c>
      <c r="AC3532" s="4" t="s">
        <v>9244</v>
      </c>
      <c r="AD3532" s="4"/>
    </row>
    <row r="3533" spans="1:30" ht="43.5" customHeight="1">
      <c r="A3533" s="11" t="s">
        <v>9200</v>
      </c>
      <c r="B3533" s="11" t="s">
        <v>9240</v>
      </c>
      <c r="C3533" s="204" t="s">
        <v>24</v>
      </c>
      <c r="D3533" s="204" t="s">
        <v>2346</v>
      </c>
      <c r="E3533" s="204" t="s">
        <v>2276</v>
      </c>
      <c r="F3533" s="4" t="s">
        <v>2663</v>
      </c>
      <c r="G3533" s="4" t="s">
        <v>2663</v>
      </c>
      <c r="H3533" s="4" t="s">
        <v>523</v>
      </c>
      <c r="I3533" s="204"/>
      <c r="J3533" s="21" t="s">
        <v>2276</v>
      </c>
      <c r="K3533" s="21" t="s">
        <v>2276</v>
      </c>
      <c r="L3533" s="21" t="s">
        <v>2276</v>
      </c>
      <c r="M3533" s="21" t="s">
        <v>2276</v>
      </c>
      <c r="N3533" s="21" t="s">
        <v>2276</v>
      </c>
      <c r="O3533" s="21" t="s">
        <v>2276</v>
      </c>
      <c r="P3533" s="21" t="s">
        <v>2276</v>
      </c>
      <c r="Q3533" s="21" t="s">
        <v>2276</v>
      </c>
      <c r="R3533" s="21" t="s">
        <v>2276</v>
      </c>
      <c r="S3533" s="21" t="s">
        <v>2276</v>
      </c>
      <c r="T3533" s="21" t="s">
        <v>2276</v>
      </c>
      <c r="U3533" s="21" t="s">
        <v>2276</v>
      </c>
      <c r="V3533" s="21" t="s">
        <v>2276</v>
      </c>
      <c r="W3533" s="21" t="s">
        <v>2276</v>
      </c>
      <c r="X3533" s="21" t="s">
        <v>2276</v>
      </c>
      <c r="Y3533" s="21" t="s">
        <v>2276</v>
      </c>
      <c r="Z3533" s="21" t="s">
        <v>2276</v>
      </c>
      <c r="AA3533" s="21" t="s">
        <v>2276</v>
      </c>
      <c r="AB3533" s="21" t="s">
        <v>2276</v>
      </c>
      <c r="AC3533" s="4" t="s">
        <v>9244</v>
      </c>
      <c r="AD3533" s="4"/>
    </row>
    <row r="3534" spans="1:30" ht="52" customHeight="1">
      <c r="A3534" s="11" t="s">
        <v>9235</v>
      </c>
      <c r="B3534" s="11" t="s">
        <v>9242</v>
      </c>
      <c r="C3534" s="204" t="s">
        <v>31</v>
      </c>
      <c r="D3534" s="204" t="s">
        <v>30</v>
      </c>
      <c r="E3534" s="204" t="s">
        <v>2652</v>
      </c>
      <c r="F3534" s="204" t="s">
        <v>2276</v>
      </c>
      <c r="G3534" s="4" t="s">
        <v>2662</v>
      </c>
      <c r="H3534" s="4" t="s">
        <v>523</v>
      </c>
      <c r="I3534" s="204"/>
      <c r="J3534" s="21" t="s">
        <v>2276</v>
      </c>
      <c r="K3534" s="21" t="s">
        <v>2276</v>
      </c>
      <c r="L3534" s="21" t="s">
        <v>2276</v>
      </c>
      <c r="M3534" s="21" t="s">
        <v>2276</v>
      </c>
      <c r="N3534" s="21" t="s">
        <v>2276</v>
      </c>
      <c r="O3534" s="21" t="s">
        <v>2276</v>
      </c>
      <c r="P3534" s="21" t="s">
        <v>2276</v>
      </c>
      <c r="Q3534" s="21" t="s">
        <v>2276</v>
      </c>
      <c r="R3534" s="21" t="s">
        <v>2276</v>
      </c>
      <c r="S3534" s="21" t="s">
        <v>2276</v>
      </c>
      <c r="T3534" s="21" t="s">
        <v>2276</v>
      </c>
      <c r="U3534" s="21" t="s">
        <v>2276</v>
      </c>
      <c r="V3534" s="21" t="s">
        <v>2276</v>
      </c>
      <c r="W3534" s="21" t="s">
        <v>2276</v>
      </c>
      <c r="X3534" s="21" t="s">
        <v>2276</v>
      </c>
      <c r="Y3534" s="21" t="s">
        <v>2276</v>
      </c>
      <c r="Z3534" s="21" t="s">
        <v>2276</v>
      </c>
      <c r="AA3534" s="21" t="s">
        <v>2276</v>
      </c>
      <c r="AB3534" s="21" t="s">
        <v>2276</v>
      </c>
      <c r="AC3534" s="4" t="s">
        <v>9245</v>
      </c>
      <c r="AD3534" s="204"/>
    </row>
    <row r="3535" spans="1:30" ht="44.5" customHeight="1">
      <c r="A3535" s="11" t="s">
        <v>9195</v>
      </c>
      <c r="B3535" s="11" t="s">
        <v>9243</v>
      </c>
      <c r="C3535" s="204" t="s">
        <v>31</v>
      </c>
      <c r="D3535" s="204" t="s">
        <v>30</v>
      </c>
      <c r="E3535" s="204" t="s">
        <v>2653</v>
      </c>
      <c r="F3535" s="204" t="s">
        <v>2276</v>
      </c>
      <c r="G3535" s="4" t="s">
        <v>2662</v>
      </c>
      <c r="H3535" s="4" t="s">
        <v>523</v>
      </c>
      <c r="I3535" s="204"/>
      <c r="J3535" s="21" t="s">
        <v>2276</v>
      </c>
      <c r="K3535" s="21" t="s">
        <v>2276</v>
      </c>
      <c r="L3535" s="21" t="s">
        <v>2276</v>
      </c>
      <c r="M3535" s="21" t="s">
        <v>2276</v>
      </c>
      <c r="N3535" s="21" t="s">
        <v>2276</v>
      </c>
      <c r="O3535" s="21" t="s">
        <v>2276</v>
      </c>
      <c r="P3535" s="21" t="s">
        <v>2276</v>
      </c>
      <c r="Q3535" s="21" t="s">
        <v>2276</v>
      </c>
      <c r="R3535" s="21" t="s">
        <v>2276</v>
      </c>
      <c r="S3535" s="21" t="s">
        <v>2276</v>
      </c>
      <c r="T3535" s="21" t="s">
        <v>2276</v>
      </c>
      <c r="U3535" s="21" t="s">
        <v>2276</v>
      </c>
      <c r="V3535" s="21" t="s">
        <v>2276</v>
      </c>
      <c r="W3535" s="21" t="s">
        <v>2276</v>
      </c>
      <c r="X3535" s="21" t="s">
        <v>2276</v>
      </c>
      <c r="Y3535" s="21" t="s">
        <v>2276</v>
      </c>
      <c r="Z3535" s="21" t="s">
        <v>2276</v>
      </c>
      <c r="AA3535" s="21" t="s">
        <v>2276</v>
      </c>
      <c r="AB3535" s="21" t="s">
        <v>2276</v>
      </c>
      <c r="AC3535" s="4" t="s">
        <v>9246</v>
      </c>
      <c r="AD3535" s="204"/>
    </row>
    <row r="3536" spans="1:30" ht="39" customHeight="1">
      <c r="A3536" s="11" t="s">
        <v>9175</v>
      </c>
      <c r="B3536" s="11" t="s">
        <v>9247</v>
      </c>
      <c r="C3536" s="204" t="s">
        <v>24</v>
      </c>
      <c r="D3536" s="204" t="s">
        <v>2659</v>
      </c>
      <c r="E3536" s="4" t="s">
        <v>396</v>
      </c>
      <c r="F3536" s="4" t="s">
        <v>28</v>
      </c>
      <c r="G3536" s="4" t="s">
        <v>28</v>
      </c>
      <c r="H3536" s="4" t="s">
        <v>523</v>
      </c>
      <c r="I3536" s="204"/>
      <c r="J3536" s="21" t="s">
        <v>2276</v>
      </c>
      <c r="K3536" s="21" t="s">
        <v>2276</v>
      </c>
      <c r="L3536" s="21" t="s">
        <v>2276</v>
      </c>
      <c r="M3536" s="21" t="s">
        <v>2276</v>
      </c>
      <c r="N3536" s="21" t="s">
        <v>2276</v>
      </c>
      <c r="O3536" s="21" t="s">
        <v>2276</v>
      </c>
      <c r="P3536" s="21" t="s">
        <v>2276</v>
      </c>
      <c r="Q3536" s="21" t="s">
        <v>2276</v>
      </c>
      <c r="R3536" s="21" t="s">
        <v>2276</v>
      </c>
      <c r="S3536" s="21" t="s">
        <v>2276</v>
      </c>
      <c r="T3536" s="21" t="s">
        <v>2276</v>
      </c>
      <c r="U3536" s="21" t="s">
        <v>2276</v>
      </c>
      <c r="V3536" s="21" t="s">
        <v>2276</v>
      </c>
      <c r="W3536" s="21" t="s">
        <v>2276</v>
      </c>
      <c r="X3536" s="21" t="s">
        <v>2276</v>
      </c>
      <c r="Y3536" s="21" t="s">
        <v>2276</v>
      </c>
      <c r="Z3536" s="21" t="s">
        <v>2276</v>
      </c>
      <c r="AA3536" s="21" t="s">
        <v>2276</v>
      </c>
      <c r="AB3536" s="21" t="s">
        <v>2276</v>
      </c>
      <c r="AC3536" s="4" t="s">
        <v>9249</v>
      </c>
      <c r="AD3536" s="4"/>
    </row>
    <row r="3537" spans="1:30" ht="39" customHeight="1">
      <c r="A3537" s="11" t="s">
        <v>9200</v>
      </c>
      <c r="B3537" s="11" t="s">
        <v>9248</v>
      </c>
      <c r="C3537" s="204" t="s">
        <v>24</v>
      </c>
      <c r="D3537" s="204" t="s">
        <v>2659</v>
      </c>
      <c r="E3537" s="4" t="s">
        <v>396</v>
      </c>
      <c r="F3537" s="4" t="s">
        <v>28</v>
      </c>
      <c r="G3537" s="4" t="s">
        <v>28</v>
      </c>
      <c r="H3537" s="4" t="s">
        <v>523</v>
      </c>
      <c r="I3537" s="204"/>
      <c r="J3537" s="21" t="s">
        <v>2276</v>
      </c>
      <c r="K3537" s="21" t="s">
        <v>2276</v>
      </c>
      <c r="L3537" s="21" t="s">
        <v>2276</v>
      </c>
      <c r="M3537" s="21" t="s">
        <v>2276</v>
      </c>
      <c r="N3537" s="21" t="s">
        <v>2276</v>
      </c>
      <c r="O3537" s="21" t="s">
        <v>2276</v>
      </c>
      <c r="P3537" s="21" t="s">
        <v>2276</v>
      </c>
      <c r="Q3537" s="21" t="s">
        <v>2276</v>
      </c>
      <c r="R3537" s="21" t="s">
        <v>2276</v>
      </c>
      <c r="S3537" s="21" t="s">
        <v>2276</v>
      </c>
      <c r="T3537" s="21" t="s">
        <v>2276</v>
      </c>
      <c r="U3537" s="21" t="s">
        <v>2276</v>
      </c>
      <c r="V3537" s="21" t="s">
        <v>2276</v>
      </c>
      <c r="W3537" s="21" t="s">
        <v>2276</v>
      </c>
      <c r="X3537" s="21" t="s">
        <v>2276</v>
      </c>
      <c r="Y3537" s="21" t="s">
        <v>2276</v>
      </c>
      <c r="Z3537" s="21" t="s">
        <v>2276</v>
      </c>
      <c r="AA3537" s="21" t="s">
        <v>2276</v>
      </c>
      <c r="AB3537" s="21" t="s">
        <v>2276</v>
      </c>
      <c r="AC3537" s="4" t="s">
        <v>9249</v>
      </c>
      <c r="AD3537" s="4"/>
    </row>
    <row r="3538" spans="1:30" ht="47.5" customHeight="1">
      <c r="A3538" s="11" t="s">
        <v>9194</v>
      </c>
      <c r="B3538" s="11" t="s">
        <v>9250</v>
      </c>
      <c r="C3538" s="204" t="s">
        <v>31</v>
      </c>
      <c r="D3538" s="204" t="s">
        <v>30</v>
      </c>
      <c r="E3538" s="204" t="s">
        <v>2653</v>
      </c>
      <c r="F3538" s="204" t="s">
        <v>2276</v>
      </c>
      <c r="G3538" s="4" t="s">
        <v>2662</v>
      </c>
      <c r="H3538" s="4" t="s">
        <v>523</v>
      </c>
      <c r="I3538" s="204"/>
      <c r="J3538" s="21" t="s">
        <v>2276</v>
      </c>
      <c r="K3538" s="21" t="s">
        <v>2276</v>
      </c>
      <c r="L3538" s="21" t="s">
        <v>2276</v>
      </c>
      <c r="M3538" s="21" t="s">
        <v>2276</v>
      </c>
      <c r="N3538" s="21" t="s">
        <v>2276</v>
      </c>
      <c r="O3538" s="21" t="s">
        <v>2276</v>
      </c>
      <c r="P3538" s="21" t="s">
        <v>2276</v>
      </c>
      <c r="Q3538" s="21" t="s">
        <v>2276</v>
      </c>
      <c r="R3538" s="21" t="s">
        <v>2276</v>
      </c>
      <c r="S3538" s="21" t="s">
        <v>2276</v>
      </c>
      <c r="T3538" s="21" t="s">
        <v>2276</v>
      </c>
      <c r="U3538" s="21" t="s">
        <v>2276</v>
      </c>
      <c r="V3538" s="21" t="s">
        <v>2276</v>
      </c>
      <c r="W3538" s="21" t="s">
        <v>2276</v>
      </c>
      <c r="X3538" s="21" t="s">
        <v>2276</v>
      </c>
      <c r="Y3538" s="21" t="s">
        <v>2276</v>
      </c>
      <c r="Z3538" s="21" t="s">
        <v>2276</v>
      </c>
      <c r="AA3538" s="21" t="s">
        <v>2276</v>
      </c>
      <c r="AB3538" s="21" t="s">
        <v>2276</v>
      </c>
      <c r="AC3538" s="4" t="s">
        <v>9246</v>
      </c>
      <c r="AD3538" s="204"/>
    </row>
    <row r="3539" spans="1:30" ht="42.5" customHeight="1">
      <c r="A3539" s="11" t="s">
        <v>9257</v>
      </c>
      <c r="B3539" s="11" t="s">
        <v>9263</v>
      </c>
      <c r="C3539" s="204" t="s">
        <v>2658</v>
      </c>
      <c r="D3539" s="204" t="s">
        <v>2276</v>
      </c>
      <c r="E3539" s="204" t="s">
        <v>137</v>
      </c>
      <c r="F3539" s="204" t="s">
        <v>2276</v>
      </c>
      <c r="G3539" s="204" t="s">
        <v>74</v>
      </c>
      <c r="H3539" s="4" t="s">
        <v>523</v>
      </c>
      <c r="I3539" s="204"/>
      <c r="J3539" s="21" t="s">
        <v>2276</v>
      </c>
      <c r="K3539" s="21" t="s">
        <v>2276</v>
      </c>
      <c r="L3539" s="21" t="s">
        <v>2276</v>
      </c>
      <c r="M3539" s="21" t="s">
        <v>2276</v>
      </c>
      <c r="N3539" s="21" t="s">
        <v>2276</v>
      </c>
      <c r="O3539" s="21" t="s">
        <v>2276</v>
      </c>
      <c r="P3539" s="21" t="s">
        <v>2276</v>
      </c>
      <c r="Q3539" s="21" t="s">
        <v>2276</v>
      </c>
      <c r="R3539" s="21" t="s">
        <v>2276</v>
      </c>
      <c r="S3539" s="21" t="s">
        <v>2276</v>
      </c>
      <c r="T3539" s="21" t="s">
        <v>2276</v>
      </c>
      <c r="U3539" s="21" t="s">
        <v>2276</v>
      </c>
      <c r="V3539" s="21" t="s">
        <v>2276</v>
      </c>
      <c r="W3539" s="21" t="s">
        <v>2276</v>
      </c>
      <c r="X3539" s="21" t="s">
        <v>2276</v>
      </c>
      <c r="Y3539" s="21" t="s">
        <v>2276</v>
      </c>
      <c r="Z3539" s="21" t="s">
        <v>2276</v>
      </c>
      <c r="AA3539" s="21" t="s">
        <v>2276</v>
      </c>
      <c r="AB3539" s="21" t="s">
        <v>2276</v>
      </c>
      <c r="AC3539" s="204"/>
      <c r="AD3539" s="204"/>
    </row>
    <row r="3540" spans="1:30" ht="42.5" customHeight="1">
      <c r="A3540" s="11" t="s">
        <v>9258</v>
      </c>
      <c r="B3540" s="11" t="s">
        <v>9264</v>
      </c>
      <c r="C3540" s="204" t="s">
        <v>24</v>
      </c>
      <c r="D3540" s="204" t="s">
        <v>2659</v>
      </c>
      <c r="E3540" s="4" t="s">
        <v>396</v>
      </c>
      <c r="F3540" s="4" t="s">
        <v>28</v>
      </c>
      <c r="G3540" s="4" t="s">
        <v>28</v>
      </c>
      <c r="H3540" s="4" t="s">
        <v>523</v>
      </c>
      <c r="I3540" s="204"/>
      <c r="J3540" s="21" t="s">
        <v>2276</v>
      </c>
      <c r="K3540" s="21" t="s">
        <v>2276</v>
      </c>
      <c r="L3540" s="21" t="s">
        <v>2276</v>
      </c>
      <c r="M3540" s="21" t="s">
        <v>2276</v>
      </c>
      <c r="N3540" s="21" t="s">
        <v>2276</v>
      </c>
      <c r="O3540" s="21" t="s">
        <v>2276</v>
      </c>
      <c r="P3540" s="21" t="s">
        <v>2276</v>
      </c>
      <c r="Q3540" s="21" t="s">
        <v>2276</v>
      </c>
      <c r="R3540" s="21" t="s">
        <v>2276</v>
      </c>
      <c r="S3540" s="21" t="s">
        <v>2276</v>
      </c>
      <c r="T3540" s="21" t="s">
        <v>2276</v>
      </c>
      <c r="U3540" s="21" t="s">
        <v>2276</v>
      </c>
      <c r="V3540" s="21">
        <v>50</v>
      </c>
      <c r="W3540" s="21" t="s">
        <v>2276</v>
      </c>
      <c r="X3540" s="21">
        <v>50</v>
      </c>
      <c r="Y3540" s="21">
        <v>1</v>
      </c>
      <c r="Z3540" s="21" t="s">
        <v>2276</v>
      </c>
      <c r="AA3540" s="21" t="s">
        <v>2276</v>
      </c>
      <c r="AB3540" s="21" t="s">
        <v>2276</v>
      </c>
      <c r="AC3540" s="204"/>
      <c r="AD3540" s="204"/>
    </row>
    <row r="3541" spans="1:30" ht="42.5" customHeight="1">
      <c r="A3541" s="11" t="s">
        <v>9265</v>
      </c>
      <c r="B3541" s="11" t="s">
        <v>9269</v>
      </c>
      <c r="C3541" s="204" t="s">
        <v>2658</v>
      </c>
      <c r="D3541" s="204" t="s">
        <v>2276</v>
      </c>
      <c r="E3541" s="204" t="s">
        <v>2649</v>
      </c>
      <c r="F3541" s="204" t="s">
        <v>2276</v>
      </c>
      <c r="G3541" s="4" t="s">
        <v>2663</v>
      </c>
      <c r="H3541" s="4" t="s">
        <v>523</v>
      </c>
      <c r="I3541" s="204">
        <v>1983</v>
      </c>
      <c r="J3541" s="21" t="s">
        <v>2276</v>
      </c>
      <c r="K3541" s="21" t="s">
        <v>2276</v>
      </c>
      <c r="L3541" s="21" t="s">
        <v>2276</v>
      </c>
      <c r="M3541" s="21" t="s">
        <v>2276</v>
      </c>
      <c r="N3541" s="21" t="s">
        <v>2276</v>
      </c>
      <c r="O3541" s="21" t="s">
        <v>2276</v>
      </c>
      <c r="P3541" s="21" t="s">
        <v>2276</v>
      </c>
      <c r="Q3541" s="21" t="s">
        <v>2276</v>
      </c>
      <c r="R3541" s="21" t="s">
        <v>2276</v>
      </c>
      <c r="S3541" s="21" t="s">
        <v>2276</v>
      </c>
      <c r="T3541" s="21">
        <v>23000</v>
      </c>
      <c r="U3541" s="21" t="s">
        <v>2276</v>
      </c>
      <c r="V3541" s="21">
        <f>100*23000/418000</f>
        <v>5.5023923444976077</v>
      </c>
      <c r="W3541" s="21" t="s">
        <v>2276</v>
      </c>
      <c r="X3541" s="21" t="s">
        <v>2276</v>
      </c>
      <c r="Y3541" s="21" t="s">
        <v>2276</v>
      </c>
      <c r="Z3541" s="204" t="s">
        <v>188</v>
      </c>
      <c r="AA3541" s="204" t="s">
        <v>188</v>
      </c>
      <c r="AB3541" s="21" t="s">
        <v>2276</v>
      </c>
      <c r="AC3541" s="19" t="s">
        <v>9270</v>
      </c>
      <c r="AD3541" s="204"/>
    </row>
    <row r="3542" spans="1:30" ht="43.5" customHeight="1">
      <c r="A3542" s="11" t="s">
        <v>9276</v>
      </c>
      <c r="B3542" s="11" t="s">
        <v>9277</v>
      </c>
      <c r="C3542" s="204" t="s">
        <v>2658</v>
      </c>
      <c r="D3542" s="204" t="s">
        <v>2276</v>
      </c>
      <c r="E3542" s="204" t="s">
        <v>2649</v>
      </c>
      <c r="F3542" s="204" t="s">
        <v>2276</v>
      </c>
      <c r="G3542" s="4" t="s">
        <v>2663</v>
      </c>
      <c r="H3542" s="4" t="s">
        <v>523</v>
      </c>
      <c r="I3542" s="204"/>
      <c r="J3542" s="21" t="s">
        <v>2276</v>
      </c>
      <c r="K3542" s="21" t="s">
        <v>2276</v>
      </c>
      <c r="L3542" s="21" t="s">
        <v>2276</v>
      </c>
      <c r="M3542" s="21" t="s">
        <v>2276</v>
      </c>
      <c r="N3542" s="21" t="s">
        <v>2276</v>
      </c>
      <c r="O3542" s="21" t="s">
        <v>2276</v>
      </c>
      <c r="P3542" s="21" t="s">
        <v>2276</v>
      </c>
      <c r="Q3542" s="21" t="s">
        <v>2276</v>
      </c>
      <c r="R3542" s="21" t="s">
        <v>2276</v>
      </c>
      <c r="S3542" s="21" t="s">
        <v>2276</v>
      </c>
      <c r="T3542" s="21">
        <f>'Record info'!K1456*'Reported burning'!V3542</f>
        <v>56875</v>
      </c>
      <c r="U3542" s="21" t="s">
        <v>2276</v>
      </c>
      <c r="V3542" s="21">
        <v>3.5</v>
      </c>
      <c r="W3542" s="21" t="s">
        <v>2276</v>
      </c>
      <c r="X3542" s="21">
        <v>3.5</v>
      </c>
      <c r="Y3542" s="21" t="s">
        <v>2276</v>
      </c>
      <c r="Z3542" s="21" t="s">
        <v>2276</v>
      </c>
      <c r="AA3542" s="21" t="s">
        <v>2276</v>
      </c>
      <c r="AB3542" s="21" t="s">
        <v>2276</v>
      </c>
      <c r="AC3542" s="204"/>
      <c r="AD3542" s="204"/>
    </row>
    <row r="3543" spans="1:30" ht="98" customHeight="1">
      <c r="A3543" s="11" t="s">
        <v>9279</v>
      </c>
      <c r="B3543" s="11" t="s">
        <v>9280</v>
      </c>
      <c r="C3543" s="204" t="s">
        <v>2458</v>
      </c>
      <c r="D3543" s="204" t="s">
        <v>2276</v>
      </c>
      <c r="E3543" s="204" t="s">
        <v>2276</v>
      </c>
      <c r="F3543" s="204" t="s">
        <v>2276</v>
      </c>
      <c r="G3543" s="204" t="s">
        <v>2276</v>
      </c>
      <c r="H3543" s="4" t="s">
        <v>523</v>
      </c>
      <c r="I3543" s="204"/>
      <c r="J3543" s="21" t="s">
        <v>2276</v>
      </c>
      <c r="K3543" s="21" t="s">
        <v>2276</v>
      </c>
      <c r="L3543" s="21" t="s">
        <v>2276</v>
      </c>
      <c r="M3543" s="21" t="s">
        <v>2276</v>
      </c>
      <c r="N3543" s="21" t="s">
        <v>2276</v>
      </c>
      <c r="O3543" s="21" t="s">
        <v>2276</v>
      </c>
      <c r="P3543" s="21" t="s">
        <v>2276</v>
      </c>
      <c r="Q3543" s="21" t="s">
        <v>2276</v>
      </c>
      <c r="R3543" s="21" t="s">
        <v>2276</v>
      </c>
      <c r="S3543" s="21" t="s">
        <v>2276</v>
      </c>
      <c r="T3543" s="21">
        <v>37735</v>
      </c>
      <c r="U3543" s="21" t="s">
        <v>2276</v>
      </c>
      <c r="V3543" s="21" t="s">
        <v>2276</v>
      </c>
      <c r="W3543" s="21" t="s">
        <v>2276</v>
      </c>
      <c r="X3543" s="21">
        <f>T3543/'Record info'!K1457</f>
        <v>0.4192777777777778</v>
      </c>
      <c r="Y3543" s="21" t="s">
        <v>2276</v>
      </c>
      <c r="Z3543" s="21" t="s">
        <v>2276</v>
      </c>
      <c r="AA3543" s="21" t="s">
        <v>2276</v>
      </c>
      <c r="AB3543" s="21" t="s">
        <v>2276</v>
      </c>
      <c r="AC3543" s="4" t="s">
        <v>9184</v>
      </c>
      <c r="AD3543" s="204"/>
    </row>
    <row r="3544" spans="1:30" ht="98" customHeight="1">
      <c r="A3544" s="11" t="s">
        <v>9279</v>
      </c>
      <c r="B3544" s="11" t="s">
        <v>9283</v>
      </c>
      <c r="C3544" s="204" t="s">
        <v>2458</v>
      </c>
      <c r="D3544" s="204" t="s">
        <v>2276</v>
      </c>
      <c r="E3544" s="204" t="s">
        <v>2649</v>
      </c>
      <c r="F3544" s="204" t="s">
        <v>2276</v>
      </c>
      <c r="G3544" s="4" t="s">
        <v>2663</v>
      </c>
      <c r="H3544" s="4" t="s">
        <v>523</v>
      </c>
      <c r="I3544" s="204">
        <v>2016</v>
      </c>
      <c r="J3544" s="21" t="s">
        <v>2276</v>
      </c>
      <c r="K3544" s="21" t="s">
        <v>2276</v>
      </c>
      <c r="L3544" s="21" t="s">
        <v>2276</v>
      </c>
      <c r="M3544" s="21" t="s">
        <v>2276</v>
      </c>
      <c r="N3544" s="21" t="s">
        <v>2276</v>
      </c>
      <c r="O3544" s="21" t="s">
        <v>2276</v>
      </c>
      <c r="P3544" s="21" t="s">
        <v>2276</v>
      </c>
      <c r="Q3544" s="21" t="s">
        <v>2276</v>
      </c>
      <c r="R3544" s="21" t="s">
        <v>2276</v>
      </c>
      <c r="S3544" s="21" t="s">
        <v>2276</v>
      </c>
      <c r="T3544" s="21">
        <f>5132*(100)*0.44</f>
        <v>225808</v>
      </c>
      <c r="U3544" s="21" t="s">
        <v>2276</v>
      </c>
      <c r="V3544" s="21">
        <f>T3544/('Record info'!K$1457*'Land use'!N1457/100)</f>
        <v>17.92126984126984</v>
      </c>
      <c r="W3544" s="21" t="s">
        <v>2276</v>
      </c>
      <c r="X3544" s="21">
        <f>T3544/'Record info'!K$1457</f>
        <v>2.508977777777778</v>
      </c>
      <c r="Y3544" s="21" t="s">
        <v>2276</v>
      </c>
      <c r="Z3544" s="204" t="s">
        <v>127</v>
      </c>
      <c r="AA3544" s="204" t="s">
        <v>188</v>
      </c>
      <c r="AB3544" s="21" t="s">
        <v>2276</v>
      </c>
      <c r="AC3544" s="4" t="s">
        <v>9184</v>
      </c>
      <c r="AD3544" s="204"/>
    </row>
    <row r="3545" spans="1:30" ht="98" customHeight="1">
      <c r="A3545" s="11" t="s">
        <v>9279</v>
      </c>
      <c r="B3545" s="11" t="s">
        <v>9284</v>
      </c>
      <c r="C3545" s="204" t="s">
        <v>2458</v>
      </c>
      <c r="D3545" s="204" t="s">
        <v>2276</v>
      </c>
      <c r="E3545" s="204" t="s">
        <v>2276</v>
      </c>
      <c r="F3545" s="204" t="s">
        <v>2276</v>
      </c>
      <c r="G3545" s="4" t="s">
        <v>74</v>
      </c>
      <c r="H3545" s="4" t="s">
        <v>523</v>
      </c>
      <c r="I3545" s="204">
        <v>2016</v>
      </c>
      <c r="J3545" s="21" t="s">
        <v>2276</v>
      </c>
      <c r="K3545" s="21" t="s">
        <v>2276</v>
      </c>
      <c r="L3545" s="21" t="s">
        <v>2276</v>
      </c>
      <c r="M3545" s="21" t="s">
        <v>2276</v>
      </c>
      <c r="N3545" s="21" t="s">
        <v>2276</v>
      </c>
      <c r="O3545" s="21" t="s">
        <v>2276</v>
      </c>
      <c r="P3545" s="21" t="s">
        <v>2276</v>
      </c>
      <c r="Q3545" s="21" t="s">
        <v>2276</v>
      </c>
      <c r="R3545" s="21" t="s">
        <v>2276</v>
      </c>
      <c r="S3545" s="21" t="s">
        <v>2276</v>
      </c>
      <c r="T3545" s="21">
        <f>(5132*100*0.11)</f>
        <v>56452</v>
      </c>
      <c r="U3545" s="21" t="s">
        <v>2276</v>
      </c>
      <c r="V3545" s="21">
        <f>T3545/('Record info'!K$1457*14/100)</f>
        <v>4.48031746031746</v>
      </c>
      <c r="W3545" s="21" t="s">
        <v>2276</v>
      </c>
      <c r="X3545" s="21">
        <f>T3545/'Record info'!K$1457</f>
        <v>0.62724444444444449</v>
      </c>
      <c r="Y3545" s="21" t="s">
        <v>2276</v>
      </c>
      <c r="Z3545" s="204" t="s">
        <v>127</v>
      </c>
      <c r="AA3545" s="204" t="s">
        <v>188</v>
      </c>
      <c r="AB3545" s="21" t="s">
        <v>2276</v>
      </c>
      <c r="AC3545" s="4" t="s">
        <v>9184</v>
      </c>
      <c r="AD3545" s="204"/>
    </row>
    <row r="3546" spans="1:30" ht="98" customHeight="1">
      <c r="A3546" s="11" t="s">
        <v>9279</v>
      </c>
      <c r="B3546" s="11" t="s">
        <v>9285</v>
      </c>
      <c r="C3546" s="204" t="s">
        <v>2458</v>
      </c>
      <c r="D3546" s="204" t="s">
        <v>2276</v>
      </c>
      <c r="E3546" s="4" t="s">
        <v>396</v>
      </c>
      <c r="F3546" s="204" t="s">
        <v>2276</v>
      </c>
      <c r="G3546" s="4" t="s">
        <v>2662</v>
      </c>
      <c r="H3546" s="4" t="s">
        <v>523</v>
      </c>
      <c r="I3546" s="204">
        <v>2016</v>
      </c>
      <c r="J3546" s="21" t="s">
        <v>2276</v>
      </c>
      <c r="K3546" s="21" t="s">
        <v>2276</v>
      </c>
      <c r="L3546" s="21" t="s">
        <v>2276</v>
      </c>
      <c r="M3546" s="21" t="s">
        <v>2276</v>
      </c>
      <c r="N3546" s="21" t="s">
        <v>2276</v>
      </c>
      <c r="O3546" s="21" t="s">
        <v>2276</v>
      </c>
      <c r="P3546" s="21" t="s">
        <v>2276</v>
      </c>
      <c r="Q3546" s="21" t="s">
        <v>2276</v>
      </c>
      <c r="R3546" s="21" t="s">
        <v>2276</v>
      </c>
      <c r="S3546" s="21" t="s">
        <v>2276</v>
      </c>
      <c r="T3546" s="21">
        <f>(5132*100)-SUM(T3544,T3545,T3547,T3548)</f>
        <v>169356</v>
      </c>
      <c r="U3546" s="21" t="s">
        <v>2276</v>
      </c>
      <c r="V3546" s="21" t="s">
        <v>2276</v>
      </c>
      <c r="W3546" s="21" t="s">
        <v>2276</v>
      </c>
      <c r="X3546" s="21">
        <f>T3546/'Record info'!K$1457</f>
        <v>1.8817333333333333</v>
      </c>
      <c r="Y3546" s="21" t="s">
        <v>2276</v>
      </c>
      <c r="Z3546" s="204" t="s">
        <v>127</v>
      </c>
      <c r="AA3546" s="204" t="s">
        <v>188</v>
      </c>
      <c r="AB3546" s="21" t="s">
        <v>2276</v>
      </c>
      <c r="AC3546" s="4" t="s">
        <v>9184</v>
      </c>
      <c r="AD3546" s="204"/>
    </row>
    <row r="3547" spans="1:30" ht="98" customHeight="1">
      <c r="A3547" s="11" t="s">
        <v>9279</v>
      </c>
      <c r="B3547" s="11" t="s">
        <v>9286</v>
      </c>
      <c r="C3547" s="204" t="s">
        <v>2458</v>
      </c>
      <c r="D3547" s="204" t="s">
        <v>2276</v>
      </c>
      <c r="E3547" s="204" t="s">
        <v>2276</v>
      </c>
      <c r="F3547" s="204" t="s">
        <v>2276</v>
      </c>
      <c r="G3547" s="204" t="s">
        <v>55</v>
      </c>
      <c r="H3547" s="4" t="s">
        <v>523</v>
      </c>
      <c r="I3547" s="204">
        <v>2016</v>
      </c>
      <c r="J3547" s="21" t="s">
        <v>2276</v>
      </c>
      <c r="K3547" s="21" t="s">
        <v>2276</v>
      </c>
      <c r="L3547" s="21" t="s">
        <v>2276</v>
      </c>
      <c r="M3547" s="21" t="s">
        <v>2276</v>
      </c>
      <c r="N3547" s="21" t="s">
        <v>2276</v>
      </c>
      <c r="O3547" s="21" t="s">
        <v>2276</v>
      </c>
      <c r="P3547" s="21" t="s">
        <v>2276</v>
      </c>
      <c r="Q3547" s="21" t="s">
        <v>2276</v>
      </c>
      <c r="R3547" s="21" t="s">
        <v>2276</v>
      </c>
      <c r="S3547" s="21" t="s">
        <v>2276</v>
      </c>
      <c r="T3547" s="21">
        <f>5132*100*0.1</f>
        <v>51320</v>
      </c>
      <c r="U3547" s="21" t="s">
        <v>2276</v>
      </c>
      <c r="V3547" s="21">
        <f>T3547/('Record info'!K$1457*'Land use'!O1457/100)</f>
        <v>4.7518518518518515</v>
      </c>
      <c r="W3547" s="21" t="s">
        <v>2276</v>
      </c>
      <c r="X3547" s="21">
        <f>T3547/'Record info'!K$1457</f>
        <v>0.57022222222222219</v>
      </c>
      <c r="Y3547" s="21" t="s">
        <v>2276</v>
      </c>
      <c r="Z3547" s="204" t="s">
        <v>127</v>
      </c>
      <c r="AA3547" s="204" t="s">
        <v>188</v>
      </c>
      <c r="AB3547" s="21" t="s">
        <v>2276</v>
      </c>
      <c r="AC3547" s="4" t="s">
        <v>9184</v>
      </c>
      <c r="AD3547" s="204"/>
    </row>
    <row r="3548" spans="1:30" ht="98" customHeight="1">
      <c r="A3548" s="11" t="s">
        <v>9279</v>
      </c>
      <c r="B3548" s="11" t="s">
        <v>9287</v>
      </c>
      <c r="C3548" s="204" t="s">
        <v>2458</v>
      </c>
      <c r="D3548" s="204" t="s">
        <v>2276</v>
      </c>
      <c r="E3548" s="204" t="s">
        <v>2276</v>
      </c>
      <c r="F3548" s="204" t="s">
        <v>2276</v>
      </c>
      <c r="G3548" s="204" t="s">
        <v>28</v>
      </c>
      <c r="H3548" s="4" t="s">
        <v>523</v>
      </c>
      <c r="I3548" s="204">
        <v>2016</v>
      </c>
      <c r="J3548" s="21" t="s">
        <v>2276</v>
      </c>
      <c r="K3548" s="21" t="s">
        <v>2276</v>
      </c>
      <c r="L3548" s="21" t="s">
        <v>2276</v>
      </c>
      <c r="M3548" s="21" t="s">
        <v>2276</v>
      </c>
      <c r="N3548" s="21" t="s">
        <v>2276</v>
      </c>
      <c r="O3548" s="21" t="s">
        <v>2276</v>
      </c>
      <c r="P3548" s="21" t="s">
        <v>2276</v>
      </c>
      <c r="Q3548" s="21" t="s">
        <v>2276</v>
      </c>
      <c r="R3548" s="21" t="s">
        <v>2276</v>
      </c>
      <c r="S3548" s="21" t="s">
        <v>2276</v>
      </c>
      <c r="T3548" s="21">
        <f>5132*100*0.02</f>
        <v>10264</v>
      </c>
      <c r="U3548" s="21" t="s">
        <v>2276</v>
      </c>
      <c r="V3548" s="21">
        <f>T3548/('Record info'!K$1457*'Land use'!P1457/100)</f>
        <v>1.1404444444444444</v>
      </c>
      <c r="W3548" s="21" t="s">
        <v>2276</v>
      </c>
      <c r="X3548" s="21">
        <f>T3548/'Record info'!K$1457</f>
        <v>0.11404444444444445</v>
      </c>
      <c r="Y3548" s="21" t="s">
        <v>2276</v>
      </c>
      <c r="Z3548" s="204" t="s">
        <v>127</v>
      </c>
      <c r="AA3548" s="204" t="s">
        <v>188</v>
      </c>
      <c r="AB3548" s="21" t="s">
        <v>2276</v>
      </c>
      <c r="AC3548" s="4" t="s">
        <v>9184</v>
      </c>
      <c r="AD3548" s="204"/>
    </row>
    <row r="3549" spans="1:30" ht="41" customHeight="1">
      <c r="A3549" s="11" t="s">
        <v>9293</v>
      </c>
      <c r="B3549" s="11" t="s">
        <v>9297</v>
      </c>
      <c r="C3549" s="204" t="s">
        <v>1105</v>
      </c>
      <c r="D3549" s="204" t="s">
        <v>2276</v>
      </c>
      <c r="E3549" s="204" t="s">
        <v>2276</v>
      </c>
      <c r="F3549" s="204" t="s">
        <v>2276</v>
      </c>
      <c r="G3549" s="204" t="s">
        <v>74</v>
      </c>
      <c r="H3549" s="4" t="s">
        <v>523</v>
      </c>
      <c r="I3549" s="11">
        <v>2000</v>
      </c>
      <c r="J3549" s="21" t="s">
        <v>2276</v>
      </c>
      <c r="K3549" s="21" t="s">
        <v>2276</v>
      </c>
      <c r="L3549" s="21" t="s">
        <v>2276</v>
      </c>
      <c r="M3549" s="21" t="s">
        <v>2276</v>
      </c>
      <c r="N3549" s="21" t="s">
        <v>2276</v>
      </c>
      <c r="O3549" s="21" t="s">
        <v>2276</v>
      </c>
      <c r="P3549" s="21" t="s">
        <v>2276</v>
      </c>
      <c r="Q3549" s="21" t="s">
        <v>2276</v>
      </c>
      <c r="R3549" s="21" t="s">
        <v>2276</v>
      </c>
      <c r="S3549" s="21" t="s">
        <v>2276</v>
      </c>
      <c r="T3549" s="21" t="s">
        <v>2276</v>
      </c>
      <c r="U3549" s="21" t="s">
        <v>2276</v>
      </c>
      <c r="V3549" s="21" t="s">
        <v>2276</v>
      </c>
      <c r="W3549" s="21" t="s">
        <v>2276</v>
      </c>
      <c r="X3549" s="21" t="s">
        <v>2276</v>
      </c>
      <c r="Y3549" s="21" t="s">
        <v>2276</v>
      </c>
      <c r="Z3549" s="21" t="s">
        <v>2276</v>
      </c>
      <c r="AA3549" s="21" t="s">
        <v>2276</v>
      </c>
      <c r="AB3549" s="21" t="s">
        <v>2276</v>
      </c>
      <c r="AC3549" s="204"/>
      <c r="AD3549" s="204"/>
    </row>
    <row r="3550" spans="1:30" ht="36.5" customHeight="1">
      <c r="A3550" s="11" t="s">
        <v>9293</v>
      </c>
      <c r="B3550" s="11" t="s">
        <v>9298</v>
      </c>
      <c r="C3550" s="204" t="s">
        <v>1105</v>
      </c>
      <c r="D3550" s="204" t="s">
        <v>2276</v>
      </c>
      <c r="E3550" s="204" t="s">
        <v>2276</v>
      </c>
      <c r="F3550" s="204" t="s">
        <v>2276</v>
      </c>
      <c r="G3550" s="204" t="s">
        <v>74</v>
      </c>
      <c r="H3550" s="4" t="s">
        <v>523</v>
      </c>
      <c r="I3550" s="11">
        <v>2019</v>
      </c>
      <c r="J3550" s="21" t="s">
        <v>2276</v>
      </c>
      <c r="K3550" s="21" t="s">
        <v>2276</v>
      </c>
      <c r="L3550" s="21" t="s">
        <v>2276</v>
      </c>
      <c r="M3550" s="21" t="s">
        <v>2276</v>
      </c>
      <c r="N3550" s="21">
        <v>510000</v>
      </c>
      <c r="O3550" s="21" t="s">
        <v>2276</v>
      </c>
      <c r="P3550" s="21" t="s">
        <v>2276</v>
      </c>
      <c r="Q3550" s="21" t="s">
        <v>2276</v>
      </c>
      <c r="R3550" s="21" t="s">
        <v>2276</v>
      </c>
      <c r="S3550" s="21" t="s">
        <v>2276</v>
      </c>
      <c r="T3550" s="21">
        <v>5800000</v>
      </c>
      <c r="U3550" s="21" t="s">
        <v>2276</v>
      </c>
      <c r="V3550" s="21">
        <v>21</v>
      </c>
      <c r="W3550" s="21" t="s">
        <v>2276</v>
      </c>
      <c r="X3550" s="21">
        <f>T3550/'Record info'!K1459</f>
        <v>5.6387651493203341</v>
      </c>
      <c r="Y3550" s="21" t="s">
        <v>2276</v>
      </c>
      <c r="Z3550" s="204" t="s">
        <v>425</v>
      </c>
      <c r="AA3550" s="204" t="s">
        <v>399</v>
      </c>
      <c r="AB3550" s="21" t="s">
        <v>2276</v>
      </c>
      <c r="AC3550" s="204"/>
      <c r="AD3550" s="204"/>
    </row>
    <row r="3551" spans="1:30" ht="48" customHeight="1">
      <c r="A3551" s="11" t="s">
        <v>9302</v>
      </c>
      <c r="B3551" s="11" t="s">
        <v>9304</v>
      </c>
      <c r="C3551" s="204" t="s">
        <v>24</v>
      </c>
      <c r="D3551" s="204" t="s">
        <v>1242</v>
      </c>
      <c r="E3551" s="204" t="s">
        <v>2649</v>
      </c>
      <c r="F3551" s="204" t="s">
        <v>74</v>
      </c>
      <c r="G3551" s="204" t="s">
        <v>74</v>
      </c>
      <c r="H3551" s="4" t="s">
        <v>523</v>
      </c>
      <c r="I3551" s="204"/>
      <c r="J3551" s="21" t="s">
        <v>2276</v>
      </c>
      <c r="K3551" s="21" t="s">
        <v>2276</v>
      </c>
      <c r="L3551" s="21" t="s">
        <v>2276</v>
      </c>
      <c r="M3551" s="21" t="s">
        <v>2276</v>
      </c>
      <c r="N3551" s="21" t="s">
        <v>2276</v>
      </c>
      <c r="O3551" s="21" t="s">
        <v>2276</v>
      </c>
      <c r="P3551" s="21" t="s">
        <v>2276</v>
      </c>
      <c r="Q3551" s="21" t="s">
        <v>2276</v>
      </c>
      <c r="R3551" s="21" t="s">
        <v>2276</v>
      </c>
      <c r="S3551" s="21" t="s">
        <v>2276</v>
      </c>
      <c r="T3551" s="21" t="s">
        <v>2276</v>
      </c>
      <c r="U3551" s="21" t="s">
        <v>2276</v>
      </c>
      <c r="V3551" s="21" t="s">
        <v>2276</v>
      </c>
      <c r="W3551" s="21" t="s">
        <v>2276</v>
      </c>
      <c r="X3551" s="21" t="s">
        <v>2276</v>
      </c>
      <c r="Y3551" s="21" t="s">
        <v>2276</v>
      </c>
      <c r="Z3551" s="21" t="s">
        <v>2276</v>
      </c>
      <c r="AA3551" s="21" t="s">
        <v>2276</v>
      </c>
      <c r="AB3551" s="21" t="s">
        <v>2276</v>
      </c>
      <c r="AC3551" s="204"/>
      <c r="AD3551" s="204"/>
    </row>
    <row r="3552" spans="1:30" ht="48" customHeight="1">
      <c r="A3552" s="11" t="s">
        <v>9303</v>
      </c>
      <c r="B3552" s="11" t="s">
        <v>9305</v>
      </c>
      <c r="C3552" s="204" t="s">
        <v>24</v>
      </c>
      <c r="D3552" s="204" t="s">
        <v>1242</v>
      </c>
      <c r="E3552" s="204" t="s">
        <v>2649</v>
      </c>
      <c r="F3552" s="204" t="s">
        <v>74</v>
      </c>
      <c r="G3552" s="204" t="s">
        <v>74</v>
      </c>
      <c r="H3552" s="4" t="s">
        <v>523</v>
      </c>
      <c r="I3552" s="204"/>
      <c r="J3552" s="21" t="s">
        <v>2276</v>
      </c>
      <c r="K3552" s="21" t="s">
        <v>2276</v>
      </c>
      <c r="L3552" s="21" t="s">
        <v>2276</v>
      </c>
      <c r="M3552" s="21" t="s">
        <v>2276</v>
      </c>
      <c r="N3552" s="21" t="s">
        <v>2276</v>
      </c>
      <c r="O3552" s="21" t="s">
        <v>2276</v>
      </c>
      <c r="P3552" s="21" t="s">
        <v>2276</v>
      </c>
      <c r="Q3552" s="21" t="s">
        <v>2276</v>
      </c>
      <c r="R3552" s="21" t="s">
        <v>2276</v>
      </c>
      <c r="S3552" s="21" t="s">
        <v>2276</v>
      </c>
      <c r="T3552" s="21" t="s">
        <v>2276</v>
      </c>
      <c r="U3552" s="21" t="s">
        <v>2276</v>
      </c>
      <c r="V3552" s="21" t="s">
        <v>2276</v>
      </c>
      <c r="W3552" s="21" t="s">
        <v>2276</v>
      </c>
      <c r="X3552" s="21" t="s">
        <v>2276</v>
      </c>
      <c r="Y3552" s="21" t="s">
        <v>2276</v>
      </c>
      <c r="Z3552" s="21" t="s">
        <v>2276</v>
      </c>
      <c r="AA3552" s="21" t="s">
        <v>2276</v>
      </c>
      <c r="AB3552" s="21" t="s">
        <v>2276</v>
      </c>
      <c r="AC3552" s="204"/>
      <c r="AD3552" s="204"/>
    </row>
    <row r="3553" spans="1:30" ht="54" customHeight="1">
      <c r="A3553" s="11" t="s">
        <v>9302</v>
      </c>
      <c r="B3553" s="11" t="s">
        <v>9306</v>
      </c>
      <c r="C3553" s="204" t="s">
        <v>24</v>
      </c>
      <c r="D3553" s="204" t="s">
        <v>1242</v>
      </c>
      <c r="E3553" s="204" t="s">
        <v>3209</v>
      </c>
      <c r="F3553" s="204" t="s">
        <v>74</v>
      </c>
      <c r="G3553" s="204" t="s">
        <v>74</v>
      </c>
      <c r="H3553" s="4" t="s">
        <v>523</v>
      </c>
      <c r="I3553" s="204"/>
      <c r="J3553" s="21" t="s">
        <v>2276</v>
      </c>
      <c r="K3553" s="21" t="s">
        <v>2276</v>
      </c>
      <c r="L3553" s="21" t="s">
        <v>2276</v>
      </c>
      <c r="M3553" s="21" t="s">
        <v>2276</v>
      </c>
      <c r="N3553" s="21" t="s">
        <v>2276</v>
      </c>
      <c r="O3553" s="21" t="s">
        <v>2276</v>
      </c>
      <c r="P3553" s="21" t="s">
        <v>2276</v>
      </c>
      <c r="Q3553" s="21" t="s">
        <v>2276</v>
      </c>
      <c r="R3553" s="21" t="s">
        <v>2276</v>
      </c>
      <c r="S3553" s="21" t="s">
        <v>2276</v>
      </c>
      <c r="T3553" s="21" t="s">
        <v>2276</v>
      </c>
      <c r="U3553" s="21" t="s">
        <v>2276</v>
      </c>
      <c r="V3553" s="21" t="s">
        <v>2276</v>
      </c>
      <c r="W3553" s="21" t="s">
        <v>2276</v>
      </c>
      <c r="X3553" s="21" t="s">
        <v>2276</v>
      </c>
      <c r="Y3553" s="21" t="s">
        <v>2276</v>
      </c>
      <c r="Z3553" s="21" t="s">
        <v>2276</v>
      </c>
      <c r="AA3553" s="21" t="s">
        <v>2276</v>
      </c>
      <c r="AB3553" s="21" t="s">
        <v>2276</v>
      </c>
      <c r="AC3553" s="204"/>
      <c r="AD3553" s="204"/>
    </row>
    <row r="3554" spans="1:30" ht="47" customHeight="1">
      <c r="A3554" s="11" t="s">
        <v>9303</v>
      </c>
      <c r="B3554" s="11" t="s">
        <v>9307</v>
      </c>
      <c r="C3554" s="204" t="s">
        <v>24</v>
      </c>
      <c r="D3554" s="204" t="s">
        <v>1242</v>
      </c>
      <c r="E3554" s="204" t="s">
        <v>3209</v>
      </c>
      <c r="F3554" s="204" t="s">
        <v>74</v>
      </c>
      <c r="G3554" s="204" t="s">
        <v>74</v>
      </c>
      <c r="H3554" s="4" t="s">
        <v>523</v>
      </c>
      <c r="I3554" s="204"/>
      <c r="J3554" s="21" t="s">
        <v>2276</v>
      </c>
      <c r="K3554" s="21" t="s">
        <v>2276</v>
      </c>
      <c r="L3554" s="21" t="s">
        <v>2276</v>
      </c>
      <c r="M3554" s="21" t="s">
        <v>2276</v>
      </c>
      <c r="N3554" s="21" t="s">
        <v>2276</v>
      </c>
      <c r="O3554" s="21" t="s">
        <v>2276</v>
      </c>
      <c r="P3554" s="21" t="s">
        <v>2276</v>
      </c>
      <c r="Q3554" s="21" t="s">
        <v>2276</v>
      </c>
      <c r="R3554" s="21" t="s">
        <v>2276</v>
      </c>
      <c r="S3554" s="21" t="s">
        <v>2276</v>
      </c>
      <c r="T3554" s="21" t="s">
        <v>2276</v>
      </c>
      <c r="U3554" s="21" t="s">
        <v>2276</v>
      </c>
      <c r="V3554" s="21" t="s">
        <v>2276</v>
      </c>
      <c r="W3554" s="21" t="s">
        <v>2276</v>
      </c>
      <c r="X3554" s="21" t="s">
        <v>2276</v>
      </c>
      <c r="Y3554" s="21" t="s">
        <v>2276</v>
      </c>
      <c r="Z3554" s="21" t="s">
        <v>2276</v>
      </c>
      <c r="AA3554" s="21" t="s">
        <v>2276</v>
      </c>
      <c r="AB3554" s="21" t="s">
        <v>2276</v>
      </c>
      <c r="AC3554" s="204"/>
      <c r="AD3554" s="204"/>
    </row>
    <row r="3555" spans="1:30" ht="36" customHeight="1">
      <c r="A3555" s="33" t="s">
        <v>9314</v>
      </c>
      <c r="B3555" s="33" t="s">
        <v>9316</v>
      </c>
      <c r="C3555" s="204" t="s">
        <v>24</v>
      </c>
      <c r="D3555" s="204" t="s">
        <v>1242</v>
      </c>
      <c r="E3555" s="204" t="s">
        <v>3209</v>
      </c>
      <c r="F3555" s="205" t="s">
        <v>2662</v>
      </c>
      <c r="G3555" s="205" t="s">
        <v>2662</v>
      </c>
      <c r="H3555" s="4" t="s">
        <v>523</v>
      </c>
      <c r="J3555" s="21" t="s">
        <v>2276</v>
      </c>
      <c r="K3555" s="21" t="s">
        <v>2276</v>
      </c>
      <c r="L3555" s="21" t="s">
        <v>2276</v>
      </c>
      <c r="M3555" s="21" t="s">
        <v>2276</v>
      </c>
      <c r="N3555" s="21" t="s">
        <v>2276</v>
      </c>
      <c r="O3555" s="21" t="s">
        <v>2276</v>
      </c>
      <c r="P3555" s="21" t="s">
        <v>2276</v>
      </c>
      <c r="Q3555" s="21" t="s">
        <v>2276</v>
      </c>
      <c r="R3555" s="21" t="s">
        <v>2276</v>
      </c>
      <c r="S3555" s="21">
        <f>1300*100</f>
        <v>130000</v>
      </c>
      <c r="T3555" s="21" t="s">
        <v>2276</v>
      </c>
      <c r="U3555" s="14">
        <v>1.7</v>
      </c>
      <c r="V3555" s="21" t="s">
        <v>2276</v>
      </c>
      <c r="W3555" s="21" t="s">
        <v>2276</v>
      </c>
      <c r="X3555" s="21" t="s">
        <v>2276</v>
      </c>
      <c r="Y3555" s="21" t="s">
        <v>2276</v>
      </c>
      <c r="Z3555" s="21" t="s">
        <v>2276</v>
      </c>
      <c r="AA3555" s="21" t="s">
        <v>2276</v>
      </c>
      <c r="AB3555" s="21" t="s">
        <v>2276</v>
      </c>
      <c r="AC3555" s="74" t="s">
        <v>9317</v>
      </c>
      <c r="AD3555" s="204"/>
    </row>
    <row r="3556" spans="1:30" ht="34.5" customHeight="1"/>
  </sheetData>
  <autoFilter ref="A1:A2911" xr:uid="{D405E82D-CEF6-4829-BDC0-0DC5C7DCFB8A}"/>
  <phoneticPr fontId="6" type="noConversion"/>
  <conditionalFormatting sqref="AC238:AD238 AD241">
    <cfRule type="duplicateValues" dxfId="304" priority="197"/>
    <cfRule type="duplicateValues" dxfId="303" priority="198"/>
  </conditionalFormatting>
  <conditionalFormatting sqref="AD231 AD233">
    <cfRule type="duplicateValues" dxfId="302" priority="195"/>
    <cfRule type="duplicateValues" dxfId="301" priority="196"/>
  </conditionalFormatting>
  <conditionalFormatting sqref="AD237">
    <cfRule type="duplicateValues" dxfId="300" priority="191"/>
    <cfRule type="duplicateValues" dxfId="299" priority="192"/>
  </conditionalFormatting>
  <conditionalFormatting sqref="AC239:AD239">
    <cfRule type="duplicateValues" dxfId="298" priority="189"/>
    <cfRule type="duplicateValues" dxfId="297" priority="190"/>
  </conditionalFormatting>
  <conditionalFormatting sqref="AC240">
    <cfRule type="duplicateValues" dxfId="296" priority="179"/>
    <cfRule type="duplicateValues" dxfId="295" priority="180"/>
  </conditionalFormatting>
  <conditionalFormatting sqref="AC241">
    <cfRule type="duplicateValues" dxfId="294" priority="177"/>
    <cfRule type="duplicateValues" dxfId="293" priority="178"/>
  </conditionalFormatting>
  <conditionalFormatting sqref="AC242">
    <cfRule type="duplicateValues" dxfId="292" priority="175"/>
    <cfRule type="duplicateValues" dxfId="291" priority="176"/>
  </conditionalFormatting>
  <conditionalFormatting sqref="AD235:AD236">
    <cfRule type="duplicateValues" dxfId="290" priority="173"/>
    <cfRule type="duplicateValues" dxfId="289" priority="174"/>
  </conditionalFormatting>
  <conditionalFormatting sqref="AD240">
    <cfRule type="duplicateValues" dxfId="288" priority="171"/>
    <cfRule type="duplicateValues" dxfId="287" priority="172"/>
  </conditionalFormatting>
  <conditionalFormatting sqref="AD242">
    <cfRule type="duplicateValues" dxfId="286" priority="169"/>
    <cfRule type="duplicateValues" dxfId="285" priority="170"/>
  </conditionalFormatting>
  <conditionalFormatting sqref="A525 A515:A522">
    <cfRule type="duplicateValues" dxfId="284" priority="168"/>
  </conditionalFormatting>
  <conditionalFormatting sqref="A523">
    <cfRule type="duplicateValues" dxfId="283" priority="166"/>
  </conditionalFormatting>
  <conditionalFormatting sqref="A524">
    <cfRule type="duplicateValues" dxfId="282" priority="165"/>
  </conditionalFormatting>
  <conditionalFormatting sqref="A526">
    <cfRule type="duplicateValues" dxfId="281" priority="164"/>
  </conditionalFormatting>
  <conditionalFormatting sqref="B526">
    <cfRule type="duplicateValues" dxfId="280" priority="163"/>
  </conditionalFormatting>
  <conditionalFormatting sqref="A527">
    <cfRule type="duplicateValues" dxfId="279" priority="162"/>
  </conditionalFormatting>
  <conditionalFormatting sqref="B527">
    <cfRule type="duplicateValues" dxfId="278" priority="161"/>
  </conditionalFormatting>
  <conditionalFormatting sqref="A592:A594 A528:A531 A533:A538 A589:A590 A596:A598">
    <cfRule type="duplicateValues" dxfId="277" priority="199"/>
  </conditionalFormatting>
  <conditionalFormatting sqref="B592:B594 B528:B531 B533:B537 B589:B590 B596:B598">
    <cfRule type="duplicateValues" dxfId="276" priority="202"/>
  </conditionalFormatting>
  <conditionalFormatting sqref="A591">
    <cfRule type="duplicateValues" dxfId="275" priority="157"/>
  </conditionalFormatting>
  <conditionalFormatting sqref="B591">
    <cfRule type="duplicateValues" dxfId="274" priority="158"/>
  </conditionalFormatting>
  <conditionalFormatting sqref="AD234">
    <cfRule type="duplicateValues" dxfId="273" priority="155"/>
    <cfRule type="duplicateValues" dxfId="272" priority="156"/>
  </conditionalFormatting>
  <conditionalFormatting sqref="AD232">
    <cfRule type="duplicateValues" dxfId="271" priority="153"/>
    <cfRule type="duplicateValues" dxfId="270" priority="154"/>
  </conditionalFormatting>
  <conditionalFormatting sqref="B515:B525">
    <cfRule type="duplicateValues" dxfId="269" priority="205"/>
  </conditionalFormatting>
  <conditionalFormatting sqref="B538">
    <cfRule type="duplicateValues" dxfId="268" priority="212"/>
  </conditionalFormatting>
  <conditionalFormatting sqref="A538">
    <cfRule type="duplicateValues" dxfId="267" priority="213"/>
  </conditionalFormatting>
  <conditionalFormatting sqref="A539">
    <cfRule type="duplicateValues" dxfId="266" priority="220"/>
  </conditionalFormatting>
  <conditionalFormatting sqref="B539">
    <cfRule type="duplicateValues" dxfId="265" priority="221"/>
  </conditionalFormatting>
  <conditionalFormatting sqref="A540">
    <cfRule type="duplicateValues" dxfId="264" priority="228"/>
  </conditionalFormatting>
  <conditionalFormatting sqref="B540">
    <cfRule type="duplicateValues" dxfId="263" priority="229"/>
  </conditionalFormatting>
  <conditionalFormatting sqref="A541">
    <cfRule type="duplicateValues" dxfId="262" priority="236"/>
  </conditionalFormatting>
  <conditionalFormatting sqref="B541">
    <cfRule type="duplicateValues" dxfId="261" priority="237"/>
  </conditionalFormatting>
  <conditionalFormatting sqref="A542">
    <cfRule type="duplicateValues" dxfId="260" priority="244"/>
  </conditionalFormatting>
  <conditionalFormatting sqref="B542">
    <cfRule type="duplicateValues" dxfId="259" priority="245"/>
  </conditionalFormatting>
  <conditionalFormatting sqref="A543">
    <cfRule type="duplicateValues" dxfId="258" priority="252"/>
  </conditionalFormatting>
  <conditionalFormatting sqref="B543">
    <cfRule type="duplicateValues" dxfId="257" priority="253"/>
  </conditionalFormatting>
  <conditionalFormatting sqref="A544">
    <cfRule type="duplicateValues" dxfId="256" priority="260"/>
  </conditionalFormatting>
  <conditionalFormatting sqref="B544">
    <cfRule type="duplicateValues" dxfId="255" priority="261"/>
  </conditionalFormatting>
  <conditionalFormatting sqref="A545">
    <cfRule type="duplicateValues" dxfId="254" priority="268"/>
  </conditionalFormatting>
  <conditionalFormatting sqref="B545">
    <cfRule type="duplicateValues" dxfId="253" priority="269"/>
  </conditionalFormatting>
  <conditionalFormatting sqref="A546">
    <cfRule type="duplicateValues" dxfId="252" priority="276"/>
  </conditionalFormatting>
  <conditionalFormatting sqref="B546">
    <cfRule type="duplicateValues" dxfId="251" priority="277"/>
  </conditionalFormatting>
  <conditionalFormatting sqref="A547">
    <cfRule type="duplicateValues" dxfId="250" priority="284"/>
  </conditionalFormatting>
  <conditionalFormatting sqref="B547">
    <cfRule type="duplicateValues" dxfId="249" priority="285"/>
  </conditionalFormatting>
  <conditionalFormatting sqref="A548">
    <cfRule type="duplicateValues" dxfId="248" priority="292"/>
  </conditionalFormatting>
  <conditionalFormatting sqref="B548">
    <cfRule type="duplicateValues" dxfId="247" priority="293"/>
  </conditionalFormatting>
  <conditionalFormatting sqref="A549">
    <cfRule type="duplicateValues" dxfId="246" priority="300"/>
  </conditionalFormatting>
  <conditionalFormatting sqref="B549">
    <cfRule type="duplicateValues" dxfId="245" priority="301"/>
  </conditionalFormatting>
  <conditionalFormatting sqref="A550">
    <cfRule type="duplicateValues" dxfId="244" priority="308"/>
  </conditionalFormatting>
  <conditionalFormatting sqref="B550">
    <cfRule type="duplicateValues" dxfId="243" priority="309"/>
  </conditionalFormatting>
  <conditionalFormatting sqref="A551">
    <cfRule type="duplicateValues" dxfId="242" priority="316"/>
  </conditionalFormatting>
  <conditionalFormatting sqref="B551">
    <cfRule type="duplicateValues" dxfId="241" priority="317"/>
  </conditionalFormatting>
  <conditionalFormatting sqref="A552">
    <cfRule type="duplicateValues" dxfId="240" priority="324"/>
  </conditionalFormatting>
  <conditionalFormatting sqref="B552">
    <cfRule type="duplicateValues" dxfId="239" priority="325"/>
  </conditionalFormatting>
  <conditionalFormatting sqref="A553">
    <cfRule type="duplicateValues" dxfId="238" priority="332"/>
  </conditionalFormatting>
  <conditionalFormatting sqref="B553">
    <cfRule type="duplicateValues" dxfId="237" priority="333"/>
  </conditionalFormatting>
  <conditionalFormatting sqref="A554">
    <cfRule type="duplicateValues" dxfId="236" priority="340"/>
  </conditionalFormatting>
  <conditionalFormatting sqref="B554">
    <cfRule type="duplicateValues" dxfId="235" priority="341"/>
  </conditionalFormatting>
  <conditionalFormatting sqref="A555">
    <cfRule type="duplicateValues" dxfId="234" priority="348"/>
  </conditionalFormatting>
  <conditionalFormatting sqref="B555">
    <cfRule type="duplicateValues" dxfId="233" priority="349"/>
  </conditionalFormatting>
  <conditionalFormatting sqref="A556">
    <cfRule type="duplicateValues" dxfId="232" priority="356"/>
  </conditionalFormatting>
  <conditionalFormatting sqref="B556">
    <cfRule type="duplicateValues" dxfId="231" priority="357"/>
  </conditionalFormatting>
  <conditionalFormatting sqref="A557">
    <cfRule type="duplicateValues" dxfId="230" priority="364"/>
  </conditionalFormatting>
  <conditionalFormatting sqref="B557">
    <cfRule type="duplicateValues" dxfId="229" priority="365"/>
  </conditionalFormatting>
  <conditionalFormatting sqref="A558">
    <cfRule type="duplicateValues" dxfId="228" priority="372"/>
  </conditionalFormatting>
  <conditionalFormatting sqref="B558">
    <cfRule type="duplicateValues" dxfId="227" priority="373"/>
  </conditionalFormatting>
  <conditionalFormatting sqref="A559">
    <cfRule type="duplicateValues" dxfId="226" priority="380"/>
  </conditionalFormatting>
  <conditionalFormatting sqref="B559">
    <cfRule type="duplicateValues" dxfId="225" priority="381"/>
  </conditionalFormatting>
  <conditionalFormatting sqref="A560">
    <cfRule type="duplicateValues" dxfId="224" priority="388"/>
  </conditionalFormatting>
  <conditionalFormatting sqref="B560">
    <cfRule type="duplicateValues" dxfId="223" priority="389"/>
  </conditionalFormatting>
  <conditionalFormatting sqref="A561">
    <cfRule type="duplicateValues" dxfId="222" priority="396"/>
  </conditionalFormatting>
  <conditionalFormatting sqref="B561">
    <cfRule type="duplicateValues" dxfId="221" priority="397"/>
  </conditionalFormatting>
  <conditionalFormatting sqref="A562">
    <cfRule type="duplicateValues" dxfId="220" priority="404"/>
  </conditionalFormatting>
  <conditionalFormatting sqref="B562">
    <cfRule type="duplicateValues" dxfId="219" priority="405"/>
  </conditionalFormatting>
  <conditionalFormatting sqref="B563">
    <cfRule type="duplicateValues" dxfId="218" priority="414"/>
  </conditionalFormatting>
  <conditionalFormatting sqref="B564">
    <cfRule type="duplicateValues" dxfId="217" priority="421"/>
  </conditionalFormatting>
  <conditionalFormatting sqref="A564">
    <cfRule type="duplicateValues" dxfId="216" priority="422"/>
  </conditionalFormatting>
  <conditionalFormatting sqref="A563:A564">
    <cfRule type="duplicateValues" dxfId="215" priority="423"/>
  </conditionalFormatting>
  <conditionalFormatting sqref="A565">
    <cfRule type="duplicateValues" dxfId="214" priority="430"/>
  </conditionalFormatting>
  <conditionalFormatting sqref="B565">
    <cfRule type="duplicateValues" dxfId="213" priority="431"/>
  </conditionalFormatting>
  <conditionalFormatting sqref="A566">
    <cfRule type="duplicateValues" dxfId="212" priority="438"/>
  </conditionalFormatting>
  <conditionalFormatting sqref="B566">
    <cfRule type="duplicateValues" dxfId="211" priority="439"/>
  </conditionalFormatting>
  <conditionalFormatting sqref="A567">
    <cfRule type="duplicateValues" dxfId="210" priority="446"/>
  </conditionalFormatting>
  <conditionalFormatting sqref="B567">
    <cfRule type="duplicateValues" dxfId="209" priority="447"/>
  </conditionalFormatting>
  <conditionalFormatting sqref="A568">
    <cfRule type="duplicateValues" dxfId="208" priority="454"/>
  </conditionalFormatting>
  <conditionalFormatting sqref="B568">
    <cfRule type="duplicateValues" dxfId="207" priority="455"/>
  </conditionalFormatting>
  <conditionalFormatting sqref="A569">
    <cfRule type="duplicateValues" dxfId="206" priority="462"/>
  </conditionalFormatting>
  <conditionalFormatting sqref="B569">
    <cfRule type="duplicateValues" dxfId="205" priority="463"/>
  </conditionalFormatting>
  <conditionalFormatting sqref="A570">
    <cfRule type="duplicateValues" dxfId="204" priority="470"/>
  </conditionalFormatting>
  <conditionalFormatting sqref="B570">
    <cfRule type="duplicateValues" dxfId="203" priority="471"/>
  </conditionalFormatting>
  <conditionalFormatting sqref="A571">
    <cfRule type="duplicateValues" dxfId="202" priority="478"/>
  </conditionalFormatting>
  <conditionalFormatting sqref="B571">
    <cfRule type="duplicateValues" dxfId="201" priority="479"/>
  </conditionalFormatting>
  <conditionalFormatting sqref="A572">
    <cfRule type="duplicateValues" dxfId="200" priority="486"/>
  </conditionalFormatting>
  <conditionalFormatting sqref="B572">
    <cfRule type="duplicateValues" dxfId="199" priority="487"/>
  </conditionalFormatting>
  <conditionalFormatting sqref="A573">
    <cfRule type="duplicateValues" dxfId="198" priority="494"/>
  </conditionalFormatting>
  <conditionalFormatting sqref="B573">
    <cfRule type="duplicateValues" dxfId="197" priority="495"/>
  </conditionalFormatting>
  <conditionalFormatting sqref="A574">
    <cfRule type="duplicateValues" dxfId="196" priority="502"/>
  </conditionalFormatting>
  <conditionalFormatting sqref="B574">
    <cfRule type="duplicateValues" dxfId="195" priority="503"/>
  </conditionalFormatting>
  <conditionalFormatting sqref="A575">
    <cfRule type="duplicateValues" dxfId="194" priority="510"/>
  </conditionalFormatting>
  <conditionalFormatting sqref="B575">
    <cfRule type="duplicateValues" dxfId="193" priority="511"/>
  </conditionalFormatting>
  <conditionalFormatting sqref="A576">
    <cfRule type="duplicateValues" dxfId="192" priority="518"/>
  </conditionalFormatting>
  <conditionalFormatting sqref="B576">
    <cfRule type="duplicateValues" dxfId="191" priority="519"/>
  </conditionalFormatting>
  <conditionalFormatting sqref="A577">
    <cfRule type="duplicateValues" dxfId="190" priority="526"/>
  </conditionalFormatting>
  <conditionalFormatting sqref="B577">
    <cfRule type="duplicateValues" dxfId="189" priority="527"/>
  </conditionalFormatting>
  <conditionalFormatting sqref="A578">
    <cfRule type="duplicateValues" dxfId="188" priority="534"/>
  </conditionalFormatting>
  <conditionalFormatting sqref="B578">
    <cfRule type="duplicateValues" dxfId="187" priority="535"/>
  </conditionalFormatting>
  <conditionalFormatting sqref="A579">
    <cfRule type="duplicateValues" dxfId="186" priority="542"/>
  </conditionalFormatting>
  <conditionalFormatting sqref="B579">
    <cfRule type="duplicateValues" dxfId="185" priority="543"/>
  </conditionalFormatting>
  <conditionalFormatting sqref="A580">
    <cfRule type="duplicateValues" dxfId="184" priority="550"/>
  </conditionalFormatting>
  <conditionalFormatting sqref="B580">
    <cfRule type="duplicateValues" dxfId="183" priority="551"/>
  </conditionalFormatting>
  <conditionalFormatting sqref="A581">
    <cfRule type="duplicateValues" dxfId="182" priority="558"/>
  </conditionalFormatting>
  <conditionalFormatting sqref="B581">
    <cfRule type="duplicateValues" dxfId="181" priority="559"/>
  </conditionalFormatting>
  <conditionalFormatting sqref="A582">
    <cfRule type="duplicateValues" dxfId="180" priority="566"/>
  </conditionalFormatting>
  <conditionalFormatting sqref="B582">
    <cfRule type="duplicateValues" dxfId="179" priority="567"/>
  </conditionalFormatting>
  <conditionalFormatting sqref="A583">
    <cfRule type="duplicateValues" dxfId="178" priority="574"/>
  </conditionalFormatting>
  <conditionalFormatting sqref="B583">
    <cfRule type="duplicateValues" dxfId="177" priority="575"/>
  </conditionalFormatting>
  <conditionalFormatting sqref="A584">
    <cfRule type="duplicateValues" dxfId="176" priority="582"/>
  </conditionalFormatting>
  <conditionalFormatting sqref="B584">
    <cfRule type="duplicateValues" dxfId="175" priority="583"/>
  </conditionalFormatting>
  <conditionalFormatting sqref="A585">
    <cfRule type="duplicateValues" dxfId="174" priority="590"/>
  </conditionalFormatting>
  <conditionalFormatting sqref="B585">
    <cfRule type="duplicateValues" dxfId="173" priority="591"/>
  </conditionalFormatting>
  <conditionalFormatting sqref="A586">
    <cfRule type="duplicateValues" dxfId="172" priority="598"/>
  </conditionalFormatting>
  <conditionalFormatting sqref="B586">
    <cfRule type="duplicateValues" dxfId="171" priority="599"/>
  </conditionalFormatting>
  <conditionalFormatting sqref="A587">
    <cfRule type="duplicateValues" dxfId="170" priority="606"/>
  </conditionalFormatting>
  <conditionalFormatting sqref="B587">
    <cfRule type="duplicateValues" dxfId="169" priority="607"/>
  </conditionalFormatting>
  <conditionalFormatting sqref="A588">
    <cfRule type="duplicateValues" dxfId="168" priority="614"/>
  </conditionalFormatting>
  <conditionalFormatting sqref="B588">
    <cfRule type="duplicateValues" dxfId="167" priority="615"/>
  </conditionalFormatting>
  <conditionalFormatting sqref="A595">
    <cfRule type="duplicateValues" dxfId="166" priority="1"/>
  </conditionalFormatting>
  <conditionalFormatting sqref="B595">
    <cfRule type="duplicateValues" dxfId="165" priority="2"/>
  </conditionalFormatting>
  <dataValidations xWindow="1031" yWindow="845" count="16">
    <dataValidation type="decimal" allowBlank="1" showInputMessage="1" showErrorMessage="1" prompt="Float" sqref="S671:W674 Y274:Y282 Y671:Y673 Y593 J157:J442 J505:J524 K531:N531 K529:N529 K1240:L1242 J2:J150 J622:J651 J654:J669 Y654 Y676:Y677 J676:J788 Y891:Y895 Y679:Y682 K676:P682 K593:P593 K506:P506 K274:P282 J671:P674 K654:P654 AB891:AB894 Y950 J890:J895 Y971 Y978 J971 J978 J1091:W1091 J1111:W1112 J1123:W1124 Y1129 Y1133 Y1135 Y1137 Y1131 Y1145 J1129:J1138 K1154:S1159 Y1172:AB1178 Y1179:Y1186 Y1187:AB1207 J1152:J1195 Y1224:AB1225 Y1227:AB1227 Y1245:Y1250 Y1277 Y1279 J1326:W1329 J1350:W1357 J1364:W1366 J1372:W1372 J1407:W1407 J1469:W1469 K150:W150 J1489:W1497 J1502:W1502 J1517:W1519 J1528:W1528 J1561:W1561 J1565:W1568 J1570:W1570 J1572:W1572 J1574:W1584 J1592:W1592 J1594:W1594 Y1605 Y1597 Y1603 Y1608 Y1612:Y1622 Y1627:Y1629 J1649:W1649 J1668:W1668 J1665:J1666 J1672:W1674 Y603:Y618 Y1849:Y1850 J526:J589 J591:J620 J1849:S1850 J1922:W1937 J1972:W1975 J1990:W1990 J1995:W1998 J2030:W2031 J2027:W2028 J2033:W2034 Z2041:AA2049 AB2041:AB2058 J2177:J2179 K2053:M2053 K2057:S2058 U2057:V2057 W2056:W2058 T2058:V2058 K2054:W2055 Y2041:Y2058 J2189:J2201 J2072:W2074 K2056:V2056 J2040:J2058 J2089:W2090 J2123:W2126 J2129:W2129 J2132:W2132 J2313 J452:J499 K2041:W2052 O2053:W2053 U1849:W1850 K603:W618 J1627:W1629 J1612:W1622 J1608:W1608 J1603:W1603 J1597:W1597 J1605:W1605 J1279:W1280 J1277:W1277 J1243:W1250 J1227:W1227 J1224:W1225 J1196:W1207 K1160:W1195 J1145:W1145 K1131:W1131 K1137:W1137 K1135:W1135 K1133:W1133 K1129:W1129 L978:W978 L971:W971 J950:W950 K891:W895 S654:W654 S676:W682 S593:W593 S274:W282 S506:W506 Y506 P2163:P2171 J2163:J2171 P2173:P2175 J2173:J2175 P2177:P2179 J2309:J2310 J2910:Y2910 J2513:X2514 J2528:X2528 J2523:X2523 J2546:X2547 J2555:X2562 J2642:W2644 T2638:T2817 U2804:W2806 J2804:S2806 J2786:S2788 J2768:S2770 J2750:S2752 J2732:S2734 J2714:S2716 J2696:S2698 J2678:S2680 J2660:S2662 U2660:W2662 U2678:W2680 U2696:W2698 U2714:W2716 U2732:W2734 U2750:W2752 U2768:W2770 U2786:W2788 J2878:Y2878 J2895:Y2895 J2905:Y2905 J2469 J2494:J2495 J2491:J2492 Y2472 K2459:R2462 L2463:O2473 Q2463:R2473 P2464:P2473 S2462:W2473 W2459:W2460 X2464:X2473 Y2462:Y2466 Y2468 Y2470 J2473 J2471 X2462 J2500:J2502 S2459:S2460 U2459:U2460 J2922:W2923 J2932:W2933 J2958 J2968:W2968 J2970:W2970 J2983:X2983 K2990:X2990 J2990:J2994 J3038:X3038 J3041:X3047 J3059:J3062 P3059:P3062 J3073:X3073 J3102:X3102 J3110:X3110 J3125:J3128 J2459:J2467 J2439:W2439 J2436:W2436 J2433:W2433 J2430:W2430 J2427:W2427 J2442:W2442 J2447:X2447 K2454:X2455 J2454:J2456 J3140:X3140 J3142:X3142 J3159:X3159 J3173:X3183 J3185:X3185 J3188:X3190 J3216:W3217 J3235:J3245 K3250:T3251 K3252:Y3253 Y3254:AB3255 K3254:S3255 U3254:W3255 U3260:W3261 AB3260:AB3286 K3256:AB3259 K3260:S3261 K3262:X3271 J3282:S3282 K3286:S3286 U3272:U3280 U3282 W3284:X3286 W3282:X3282 W3272:X3280 K3272:S3280 J3284:S3285 J3248:J3280 Y3260:Y3300 U3284:U3297 V3287:X3297 K3287:T3297 J3286:J3297 J3300:X3300 J3302:X3303 Y3302:AB3305 Y3307:AB3308 J3306:AB3306 Y3310:AB3311 Y3313:AB3314 Y3316:AB3317 J3309:AB3309 J3312:AB3312 J3315:AB3315 U3318:AB3319 J3318:S3319 Q3328:AB3328 J3320:O3327 K3328:O3328 P3327:AB3327 P3325:AB3325 Q3320:AB3324 Q3326:AB3326 Q3356:U3356 K3329:AB3355 W3356:AB3356 K3356:O3356 U3367:W3368 K3357:AB3366 Y3367:AB3368 K3367:S3368 K3369:AB3375 T3376 V3376 AC3378:AD3386 X3376:AA3376 AB3376:AB3489 Z3377:AA3377 AC3390:AD3398 W3408:W3416 K3393:T3394 K3376:S3392 U3408:U3416 V3393:V3394 J3328:J3404 K3395:S3404 W3376:W3404 U3376:U3404 J3408:S3416 AC3426:AD3434 AC3438:AD3446 AC3450:AD3458 AC3462:AD3470 K3468:T3469 X3486:X3489 K3419:S3467 V3468:V3469 X3468:X3469 AC3474:AD3482 K3493:T3496 K3470:S3492 V3486:V3491 V3493:V3499 X3493:X3496 W3419:W3499 U3419:U3499 Y3377:Y3539 K3497:S3499 J3419:J3499 K3503:O3508 Q3510:X3531 Q3503:S3508 U3503:X3508 K3510:O3531 K3532:X3540 Z3490:AB3540 U3541:U3554 W3541:Y3541 Y3544:Y3555 W3542:W3555 Y3542:AA3543 V3543:V3549 Z3549:AA3549 AB3541:AB3555 K3541:S3549 X3549 K3550:M3550 O3550:S3550 T3549 V3551:V3555 X3551:X3555 J3503:J1048576 K3551:T3555 Z3551:AA3555" xr:uid="{A31F19C7-1415-4EDA-80C2-FBCDB9D5E515}">
      <formula1>0</formula1>
      <formula2>9999</formula2>
    </dataValidation>
    <dataValidation type="decimal" allowBlank="1" showInputMessage="1" showErrorMessage="1" prompt="Float_x000a_" sqref="J621:N621 K655:P669 K283:P386 Y522 K390:P390 K394:P442 P452:P471 O453:O471 N452:N471 J503:P503 K505:P505 K507:P524 Y787 O526:P589 K526:N528 K530:N530 K532:N589 K591:P592 N683:P768 K622:N651 S628:S630 K2:P149 O772:P786 Y155:Y156 Y789:Y814 Q860:S863 Y887:Y895 AB869:AB894 N772:N895 O845:P886 J789:J895 K683:M895 AB845:AB862 Y816:Y882 N957:N960 L957:L960 N962 N964:N967 N969 L969 L964:L967 L962 K971 K978 N1660 R1130 R1136 P1136 L1127:L1128 L1130 L1136 L1134 L1132 N1132 R1134 N1130 N1136 N1134 P1134 R1127:R1128 P1132 P1130 P1128 N1128 O619:P651 P1138 N1138 R1138 L1138 K1152:K1153 K1219:R1225 K1227:R1227 L1297:M1297 K1417 M1417 Q1503:Q1508 L1660 P1660 Q231:R231 K151:P273 J151:J156 K594:P602 K619:N620 O1837:O1838 P1837:P1839 N2053 P2087:P2088 P2109:P2110 R2109:R2110 L2109:L2110 R2112:R2113 P2112:P2113 O2130:O2131 Q482:R482 K452:M499 N473:P499 Q484:R484 Q487:R488 Q490:R490 Q492:R492 Q494:R494 Q498:R498 V2374 Q845:W859 U860:W860 T861:W862 Q864:W886 O887:W895 V863:W863 S155:W156 O787:W844 S522:W522 S634:W649 Y634:Y649 T2329 J2329:J2382 T2316 J2316:J2320 X2316 V2316 P2316 P2329 P2338 P2347 P2356 P2365 P2374 V2347 V2329 V2365 V2338 V2356 P2510 O2516:P2516 O2524:O2525 N2839:N2840 N2837 T2843:T2844 X2843:X2844 P2837:P2844 K2456:R2456 P2494:P2495 P2491:P2492 P2463 R2501:R2502 N2500 L2500 P2500:P2502 K2912:K2914 M2914 O2912:O2914 R2956 R2958 Q2980:Q2981 K2980:K2981 M2980:M2981 M3020 K3020 P3021 N3039 P3039 R3074 N3218:N3219 L3218:L3219 X3235:X3242 T3235:T3242 P3235:P3242 P3248:R3249 M3246:M3249 L3248:L3249 K3246:K3249 N3248:N3249 O3243:O3249 P3356 P3503:P3515 Q3509:X3509 J3500:X3502 K3509:O3509 P3517:P3531 N3550 K3556:R1048576" xr:uid="{527C52A9-DE02-4C4B-B7CB-B9D5B3B133F3}">
      <formula1>0</formula1>
      <formula2>999999999</formula2>
    </dataValidation>
    <dataValidation type="decimal" allowBlank="1" showInputMessage="1" showErrorMessage="1" prompt="Float_x000a__x000a_" sqref="Q390:T390 U244:W244 U241:W242 S655:T669 S631:S633 U114:U137 U14 U139:U147 S151:T154 S283:T386 S394:T442 T619:T633 S452:T471 U489 U481 U483 U485 U487 Q503:T503 Q505:T505 S507:T521 S523:T524 S157:T273 S591:T592 U631 S683:T768 Q504:R504 S148:S149 T773:T786 S772:S786 T860 T863 T974 T1154:T1159 S1219:T1225 S1227:T1227 T1474:T1475 Q232:R389 Q151:R230 T1510 T1660 P1665:P1666 T1665:T1666 T2374 S526:T589 S2:T137 Q2:R149 T139:T149 Q506:R602 S594:T602 S619:S627 Q619:R786 T1809:T1810 T1813:T1822 T1849:T1851 T2057 Q483:R483 S473:T499 Q499:R502 Q485:R486 Q489:R489 Q491:R491 Q493:R493 Q495:R497 Q391:R481 T2177:T2179 X2177:X2178 P2187:P2188 T2211:T2216 U157:W159 X2163:X2170 T2163:T2175 T2338 T2347 T2356 T2365 X2545 T2545 S2550 X2563:X2637 T2564:T2637 T2818:T2836 T2491:T2492 T2494:T2495 T2497:T2502 S2456:T2456 S2461 T2459:T2461 T3161:T3172 T3184 T3198:T3201 S3223:S3227 S3243:S3245 S3248:T3249 T3254:T3255 T3260:T3261 T3272:T3280 U3283:X3283 J3281:X3281 J3283:S3283 T3282:T3286 J3298:X3299 J3301:Y3301 J3304:X3305 J3307:X3308 J3316:X3317 J3310:X3311 J3313:X3314 T3318:T3319 T3367:T3368 T3377:T3392 T3408:T3416 T3395:T3404 T3419:T3467 T3470:T3492 P3524:P3525 P3512:P3513 T3497:T3499 P3519:P3520 T3541:T3548 T3550 S3556:T1048576" xr:uid="{E87CC64E-AFD0-4CFE-8752-EBEEA36DDE6A}">
      <formula1>0</formula1>
      <formula2>9999999</formula2>
    </dataValidation>
    <dataValidation type="decimal" allowBlank="1" showInputMessage="1" showErrorMessage="1" prompt="Preferably an integer, but a float acceptible if reported as a mean. 1 = Fire returns each year." sqref="Y627:Y633 Y619:Y625 Y231:Y273 Y157:Y228 Y678 Y2:Y13 Y283:Y442 Y455:Y463 Y465:Y467 Y488 Y490 Y473:Y486 Y498 Y492 Y503 Y505 Y507:Y514 Y516:Y518 Y521 Y523:Y526 Y528 Y530 Y532:Y533 Y535:Y589 Y591 Y594:Y599 Y113:Y154 Y674 Y655:Y669 Y788 Y683:Y786 Y815 Y883:Y886 Y926:Y927 Y452:Y453 Y1053 Y1055 Y1070:Y1077 Y1160 Y1162:Y1171 Z1224:AB1225 Y1219:Y1225 Y1227:AB1227 Y1242 Y1367 Y1501 Y1499 Y1520:Y1524 Y1560 Y1571 Y1632:Y1634 Y601:Y602 Y1693:Y1702 Y1855:Y1857 Y1895 Y1905 Y2130:Y2131 Y2458 Y2469 Y2467 Y2473 Y2471 Y2925:Y2931 Y2969 Y2986 Y3023 Y3039 Y3067 Y2389:Y2400 Y3133:Y3139 Y2456 Y3141 Y3160 Y3243 P3525 Y3540 Y3556:Y1048576" xr:uid="{DB0CF41C-C919-4286-B69F-EBFA0046E5D7}">
      <formula1>0</formula1>
      <formula2>50</formula2>
    </dataValidation>
    <dataValidation type="decimal" allowBlank="1" showInputMessage="1" showErrorMessage="1" prompt="Float between 0-100" sqref="U683:W768 Y670 V1128 U245:W273 U523:W589 S387:W389 U2:U13 S590:W590 S139:S147 S138:U138 Y229:Y230 U243:W243 S391:T393 U283:W386 S472:V472 U390:W442 U503:W503 Y468:Y472 Y464 U452:V471 S525:T525 U473:U480 U482 U484 U486 U488 Y493:Y497 Y491 Y489 Y487 U505:W505 U507:W521 Y519:Y520 Y515 Y590 U591:W592 Y527 Y529 Y531 Y534 U160:W240 Y592 S769:W771 U151:W154 Y626 Y600 U632:U633 U655:W669 S675:W675 Y675 T772 Y650:Y653 V1813:V1822 N769:P771 J590:P590 J525:P525 N472:P472 K391:P393 K387:P389 J652:P653 J670:P670 J675:P675 V2003:V2005 U772:W786 U863 X2171:X2175 Y454 V619:W633 V1138 U1219:W1225 V1130 V1132 V1134 V1136 U1227:W1227 V473:V499 V1409:V1410 W452:W499 W1560 V2:W149 V1665:V1666 Y14:Y112 U15:U113 U594:W602 U148:U149 V2130:V2131 U619:U630 U490:U499 V1809:V1810 S650:W653 S670:W670 V2172:V2173 U2383:U2388 V2507 X2515 V2515 W2550 X2459:X2461 X2497:X2500 V2501:V2502 U2461 W2461 U2456:W2456 V2935 V3117:V3124 W2449 V2459:V2461 X3141 X3143:X3148 X3161:X3162 V3161:V3172 V3184 V3201 U3203 U3215 U3223:U3227 W3243:W3245 U3243:U3245 V3282 V3272:V3280 V3284:V3286 V3356 X3367:X3368 J3405:U3407 V3378:V3392 W3417:W3418 V3470:V3485 W3405:W3407 X3470:X3485 J3417:U3418 V3395:V3467 X3378:X3467 P3514:P3515 P3521:P3523 X3542 V3541:V3542 V3550 U3555:U1048576 V3556:W1048576" xr:uid="{5DC5E345-33BD-4912-A4A5-6D7F04404B6C}">
      <formula1>0</formula1>
      <formula2>100</formula2>
    </dataValidation>
    <dataValidation allowBlank="1" showInputMessage="1" showErrorMessage="1" prompt="The same as Case study ID in Record Info" sqref="A805:A822 B851:B852 B861:B862 A845:A863 A869:B874 B957:B970 H971 H978 B987:B991 A885:A1055 B1122:B1124 B1201:B1207 B1303:B1311 A1315:B1318 B1331:B1342 A1322:A1349 B1379:B1380 B1433:B1441 B1515:B1516 B1571:B1572 B1582:B1590 B1599:B1602 A1551:A1612 A1614:A1617 A1619:A1629 A1631:A1635 A1:A788 B1451:B1465 A1070:A1311 A1660:A1687 B1739:B1808 B1826:B1833 B1886:B1894 A1723:A1913 B1938:B1939 B1955:B1966 B1972:B1979 B1983:B1985 B1995:B1998 A1938:A1999 B2003:B2034 B2050:B2053 B2091:B2097 B2127:B2129 B2136:B2141 A1358:A1519 A2003:A2181 A2450:A2554 B2503:B2506 B2157:B2162 A2189:A2400 B2145:B2148 B2510:B2514 F2524:F2525 B2531:B2536 B2545:B2547 A2443:A2444 A2727 A2745 A2818:A2838 F2555:F2836 G2528:G2836 A2912:A2924 B2955:B2958 B2953 B2963:B2965 B2968:B2970 B2973:B2974 A2933:A2990 A3020:A3040 B3055:B3066 B3077:B3083 B3091:B3116 B3133:B3140 A2403:A2424 B2454:B2455 B3143:B3148 A3055:A3161 A3188:A3194 B3193:B3194 A3196 A3201:A3203 A3215:A3222 B3246:B3251 B3264:B3271 A3228:A3271 B3309:B3311 B3338:B3346 B3369:B3374 A3298:A3377 B3488:B3489 A3486:A3497 B3539:B3540 A3533:A3542 B3549:B3554 A3549:A1048576" xr:uid="{387E2297-561A-4F14-BD1D-F9A1DE5748D9}"/>
    <dataValidation allowBlank="1" showInputMessage="1" showErrorMessage="1" prompt="Case study ID + .1, .2 etc for each direct fire creation PCB associated with the case study" sqref="B805:B822 B845:B850 B853:B860 B863 B885:B956 B971:B986 B992:B1055 B1:B788 B1208:B1302 B1322:B1330 B1343:B1349 B1358:B1378 B1381:B1432 B1442:B1450 B1466:B1514 B1517:B1519 B1551:B1570 B1573:B1581 B1591:B1598 B1603:B1612 B1614:B1617 B1619:B1629 B1631:B1635 B1125:B1200 B1660:B1687 B1723:B1738 B1809:B1825 B1834:B1885 B1895:B1913 B1940:B1954 B1967:B1971 B1980:B1982 B1986:B1994 B1999:B2002 B2035:B2049 B2054:B2090 B2098:B2126 B2130:B2135 B1070:B1121 B2149:B2156 B2163:B2315 B2142:B2144 B2507:B2509 B2515:B2530 B2537:B2544 B2548:B2554 B2727 B2745 B2818:B2838 B2845:B2924 B2933:B2952 B2954 B2959:B2962 B2966:B2967 B2971:B2972 B2975:B2990 B3020:B3041 B3048 B3067:B3076 B3084:B3090 B3117:B3132 B2456:B2502 B2383:B2453 B3141:B3142 B3149:B3161 B3188:B3192 B3195:B3196 B3201:B3203 B3215:B3222 B3228:B3245 B3252:B3263 B3298:B3308 B3312:B3337 B3347:B3368 B3375:B3377 B3486:B3487 B3490:B3499 B3532:B3538 B3541:B3542 B3555:B1048576" xr:uid="{541A34AB-F85A-479B-8A8B-BFF4F6715F99}"/>
    <dataValidation type="textLength" allowBlank="1" showInputMessage="1" showErrorMessage="1" sqref="J504:P504 S504:W504 Y504" xr:uid="{B64E2CAF-51AB-4E71-8254-0196FCA4F53F}">
      <formula1>3</formula1>
      <formula2>12</formula2>
    </dataValidation>
    <dataValidation allowBlank="1" showInputMessage="1" showErrorMessage="1" prompt="One of: Seasonal + (Consistent, Backloaded, Frontloaded) or Uniform" sqref="J443:P451 Y443:Y451 Y499:Y502 O452 J500:P502 S443:W451 S500:W502" xr:uid="{36164FA2-CD0D-4BDA-B828-253511BDEEFD}"/>
    <dataValidation allowBlank="1" showInputMessage="1" showErrorMessage="1" prompt="Study ID + letter denoting case study: 1a, 1b, 1c etc." sqref="A789:B804 A1056:B1069 A1312:B1314 A1319:B1321 A1636:B1659 A1693:A1697 A1703:A1707 A1713:A1722 A1914:B1937 A2000:A2002 A2401:A2402 A2555:B2726 A2728:B2744 A2746:B2817 A2839:B2844 A2845:A2911 A2925:B2932 A3041:A3054 B3042:B3047 B3049:B3054 A2445:A2449 A3204:B3211 A3223:B3227 A3272:B3297 A3378:B3485 A3500:B3531" xr:uid="{92873730-7446-4072-8117-21B15C75E604}"/>
    <dataValidation type="whole" allowBlank="1" showInputMessage="1" showErrorMessage="1" prompt="Integer: leave blank if all study years" sqref="H526 I1377:I1410 I1:I942 I1412:I1730 AC2135 AC2132 AD2130:AD2132 I944:I1372 P1455 P1460 P1465 I1732:I2148 I2229:I2234 I2152 I2292:I2297 I2250:I2255 I2236:I2241 I2243:I2248 I2257:I2262 I2264:I2269 I2271:I2276 I2278:I2283 I2285:I2290 I2299:I2304 I2155:I2227 AC2562 T2563 AD2555:AD2567 I2313:I2495 I2497:I1048576" xr:uid="{5EBC4806-BBE0-4ADE-AAB6-13628BA7F06B}">
      <formula1>1900</formula1>
      <formula2>2020</formula2>
    </dataValidation>
    <dataValidation allowBlank="1" showInputMessage="1" showErrorMessage="1" prompt="The same as Case study ID in Record Info_x000a_" sqref="A823:B844 A864:B868 A875:B884 A1350:B1357 A1520:B1528 A1688:A1692 A1698:A1702 A1708:A1712 A2182 A2185 A2383:A2386 A2187:A2188 B2316:B2382 A2991:B3019 A2425:A2442 A3162:B3187 A3197:B3200 A3212:B3214 A3498:A3499 A3543:B3548" xr:uid="{E657FD02-34C7-4230-B768-7D9280E4EC66}"/>
    <dataValidation allowBlank="1" showInputMessage="1" showErrorMessage="1" prompt="Case study ID +.1, .2 etc for each relevant PCB" sqref="B1692:B1697 B1702:B1707 B1712:B1722" xr:uid="{8076716F-EEFE-4FAB-B5BC-E97F3D4768CE}"/>
    <dataValidation type="whole" allowBlank="1" showInputMessage="1" showErrorMessage="1" sqref="I2153:I2154 I2149:I2151" xr:uid="{D38A5485-C08D-4FF7-B7C9-63747EC55BB4}">
      <formula1>1900</formula1>
      <formula2>2020</formula2>
    </dataValidation>
    <dataValidation type="decimal" allowBlank="1" showInputMessage="1" showErrorMessage="1" sqref="X2149:X2162 X2179:X2187 X2202:X2204 X2211:X2213 V2214:V2216 X2309:X2310 X2313 X1:X2144 V2509 X2507:X2509 X2548 X2638:X2836 X2456 X2491:X2492 X2494:X2495 X2463 X2935 X2952:X2955 X2958 X3039 X3048:X3054 X3117:X3124 X3151:X3155 X3160 X3163:X3172 X3184 X3201 W3215 X3254:X3255 X3260:X3261 V3377 X3377 X3490:X3492 V3492 P3524 X3497:X3499 X3543:X3548 X3550 X3556:X1048576" xr:uid="{587A3FE1-607A-450B-8FA6-4B088290225A}">
      <formula1>0</formula1>
      <formula2>100</formula2>
    </dataValidation>
    <dataValidation type="decimal" allowBlank="1" showInputMessage="1" showErrorMessage="1" prompt="Float_x000a__x000a_" sqref="T3215" xr:uid="{26B86C97-6FB5-4D63-B9A2-A33FE3DF3273}">
      <formula1>0</formula1>
      <formula2>999999999</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1031" yWindow="845" count="22">
        <x14:dataValidation type="list" allowBlank="1" showInputMessage="1" showErrorMessage="1" xr:uid="{ECCA9A90-D197-45A3-A1EA-F193DA92835E}">
          <x14:formula1>
            <xm:f>'IGNORE Lookups'!$J$3:$J$7</xm:f>
          </x14:formula1>
          <xm:sqref>AB1125:AB1128 AB863:AB868 AB895 AB899:AB900 AB906:AB907 AB913:AB914 AB939:AB941 AB922:AB935 AB937 AB946:AB949 AB951:AB984 AB1052:AB1055 AB1070:AB1080 AB1094:AB1110 AB1113:AB1115 AB1122 AB611:AB617 AB1139:AB1145 AB1147:AB1148 AB1160 AB1162:AB1171 AB1179:AB1186 AB1208:AB1223 AB1229:AB1242 AB1256 AB1259 AB1262:AB1264 AB1267:AB1276 AB1375:AB1376 AB1381:AB1391 AB1393:AB1406 AB1412:AB1422 AB1476:AB1477 AB1482:AB1488 AB1501 AB1499 AB1510 AB1539 AB1550 AB1560 AB1564 AB1571 AB1591 AB1598:AB1602 AB1604 AB1606 AB1660:AB1666 AB769:AB844 AB619:AB767 AB1693:AB1725 Y1726:AB1730 R2114:W2122 AB1809:AB1822 AB1834:AB1836 AB1838 AB1847:AB1848 AB1865 AB1856:AB1857 AB1987:AB1988 Z2111:AA2111 Q2112:Q2122 S2112:W2113 J2127:W2128 J2114:P2122 Z2116:AA2126 W2130:W2131 Y2112:Y2129 Z2129:AA2132 J2133:W2140 P2130:U2131 J2130:N2131 Z2134:AB2134 AB2107:AB2133 Y2148:Y2151 AB1:AB609 AB2177:AB2178 AB2135:AB2148 J2148:X2148 Z2148:AA2148 Z2151:AA2152 J1723:W1730 Y1723:AA1725 AB2171:AB2175 Z2136:AA2144 Y2146:AA2146 Y2132:Y2145 J2142:W2144 J2149:W2151 J2145:X2146 J2147:Y2147 AB2500 AB2503:AB2506 AB2517 AB2519 AB2563:AB2842 AB2925:AB2931 AB2937:AB2951 AB2986 AB3022:AB3038 AB3040 AB3059:AB3072 AB3091:AB3101 AB3103:AB3109 AB3111:AB3116 AB3125:AB3128 AB3143:AB3148 AB3162:AB3172 AB3184 AB3201:AB3202 AB3238:AB3239 AB3248:AB3249 AB3251:AB3253 AB3287:AB3301 P3528 AB3556:AB1048576</xm:sqref>
        </x14:dataValidation>
        <x14:dataValidation type="list" allowBlank="1" showInputMessage="1" showErrorMessage="1" prompt="Presence or absence" xr:uid="{51AE9654-4FD4-4F67-B9F6-46106A866744}">
          <x14:formula1>
            <xm:f>'IGNORE Lookups'!$H$2:$H$3</xm:f>
          </x14:formula1>
          <xm:sqref>F526 H972:H977 H527:H970 H1:H525 H2295 H979:H2148 H2223 H2225 H2230 H2232 H2237 H2239 H2244 H2246 H2251 H2253 H2258 H2260 H2265 H2267 H2272 H2274 H2279 H2281 H2286 H2288 H2300 H2302 H2293 H2423:H2424 H2406 H2409:H2411 H2413:H2414 H2454:H2455 H2427 H2430 H2433 H2436 H2439 H2442 H2447 H2459:H1048576</xm:sqref>
        </x14:dataValidation>
        <x14:dataValidation type="list" allowBlank="1" showInputMessage="1" showErrorMessage="1" xr:uid="{7B5A3D93-0494-4CE3-A78C-28D2979F8317}">
          <x14:formula1>
            <xm:f>'IGNORE Lookups'!$G$3:$G$10</xm:f>
          </x14:formula1>
          <xm:sqref>G938 F945:G945 F2091:F2111 G946 F1:F287 F1131 F1133 F1135 F1137 G1139:G1140 F1139:F1141 G1150:G1152 F1143:F1153 F1160:F1179 G1200:G1218 F1181:F1218 Y1226:AB1226 F1219:G1237 Y1228:AB1228 Y1256:Y1259 F1240:G1243 Y1243:AB1244 Y1229:Y1241 Y1251:Y1252 Z1245:AB1252 Y1253:AB1255 Y1260:AB1261 Z1257:AB1258 Y1262:Y1276 Z1265:AB1266 Y1278:AB1278 Y1281:Y1292 Z1277:AB1277 F1245:F1278 Y1280:AB1280 Z1279:AB1279 Y1293:AA1297 AB1281:AB1297 Y1298:AB1299 G1293:G1298 J1293:K1299 Y1300:Y1307 L1293:M1296 Y1308:AA1329 G1300:G1344 G1346:G1347 Z1346:AA1357 J1498:W1501 AB1300:AB1357 Z1330:AA1342 G1350:G1357 Y1330:Y1357 F1280:F1357 F1364:F1366 G1408:G1410 F1373:F1392 F1395:F1404 F1407:F1408 F1411:F1450 F1469:F1471 Z1499:AA1499 Y1500:AA1500 Z1501:AA1501 Y1498:AA1498 J1503:P1508 F1482:F1509 Y1503:AB1509 Y1510 J1510:S1510 J1520:W1527 F1511:F1514 Y1511:AB1519 Y1525:AB1528 Y1529:Y1559 Z1520:AB1524 Z1540:AB1549 Z1551:AB1559 Z1529:AB1538 J1560:V1560 Y1564 Y1561:AB1563 F1529:F1568 F1570 J1571:W1571 Y1565:AB1570 Z1571:AA1571 Y1572:AB1590 F1574:F1592 Y1592:AB1595 Y1591 Y1606 F1595 G1596 Z1605:AB1605 Y1596 Z1596:AB1597 Z1603:AB1603 Y1598:Y1602 Y1604 Y1607:AB1607 F1597:F1606 Y1609:AB1629 Z1608:AB1608 G1607:G1634 Y1630:Y1631 Z1630:AB1634 Y1635:AB1659 P1661:W1661 F1608:F1659 U1660:W1660 K1660:K1661 M1660:M1661 O1660:O1661 Q1660:S1660 J1661 L1661 N1661 K1665:O1666 Q1665:S1666 Y1660:Y1676 Z1671:AA1674 N1229:W1242 Z1667:AA1669 G603:G618 J1229:J1242 K1229:M1239 M1240:M1242 G661:G669 F946:F1127 F670:F944 F1129 G288:G291 G148 G388:G389 G392 G444 G446 G448 G450 G452:G453 G455 G468:G471 F527:F660 J1667:T1680 AB1667:AB1681 U1665:U1680 Y1677:AA1681 Y1682:AB1692 F1661:F1697 F1713:F1714 G1688:G1714 Y1703:Y1722 F1723:F1730 G1739:G1743 G1745:G1753 G1755:G1763 G1765:G1773 G1775:G1783 G1785:G1793 G1795:G1803 G1805:G1850 Y1823:AB1833 Y1847:Y1848 J1837:N1838 J1839:O1839 Y1845:AA1846 AB1837 Y1834:Y1844 AB1839:AB1846 Y1851:Y1854 J1851:S1853 Y1889:AA1889 Z1852:Z1853 AA1850:AB1853 Z1849:AB1849 Z1850 T1852:T1853 Y1890:Y1904 Z1896:AA1896 Y1858:Y1888 AB1858 Z1862:AB1862 AB1863:AB1864 AB1854:AB1855 Z1866:AA1867 Z1882:AA1885 Z1869:AA1872 Z1878:AA1878 Z1880:AA1880 AB1860 Z1892:AA1894 AB1866:AB1971 Z1900:AA1904 Y1906:AA1971 G1852:G1951 F1732:F1951 F1955:F1962 Y1972:AB1985 G1972:G1975 Y1986:Y1988 AB1986 F1967:F2002 J2003:U2005 W2003:W2026 J2006:V2026 Y1989:AB2049 F2006:F2049 AB2050:AB2058 J2053:M2053 F2377:F2379 F2053 G2054:G2055 J2057:S2058 U2057:V2057 W2057:W2058 T2058:V2058 J2054:W2055 Y2050:Y2058 F2114:F2148 F2070:G2077 G2109:G2115 F292:F525 O2053:W2053 J2050:W2052 J2047:W2048 J2035:W2042 J2044:W2045 J2032:W2032 J2029:W2029 J1999:W2002 J1991:W1994 J1976:W1989 J1938:W1971 J1854:W1921 U1851:W1853 Q1837:W1839 J1840:W1848 J1823:W1836 J1693:W1722 J1683:W1687 V1667:W1680 W1665:W1666 J1662:W1664 J1609:W1659 J1604:W1604 J1598:W1602 J1606:W1607 J1593:W1593 J1595:W1596 J1585:W1591 J1573:W1573 J1569:W1569 J1562:W1564 J1529:W1559 U1510:W1510 J1509:W1509 J1511:W1516 R1503:W1508 J1330:W1349 J1300:W1325 L1298:W1299 N1293:W1297 J1281:W1292 J1278:W1278 J1251:W1276 J1228:W1228 J1226:W1226 J1208:W1223 Y1208:Y1223 F2203 F2205 F2306:G2308 F2322:F2328 G2326:G2328 G2322 G2324 F2341:F2343 F2332:F2334 G2336:G2337 G2334 G2343 G2345:G2346 G2352 F2350:F2352 G2354:G2355 F2359:F2361 G2361 G2363:G2364 G2370 F2368:F2370 G2372:G2373 G2381:G2382 G2379 G2503:G2504 F2519:G2519 F2512:F2516 G2512:G2517 G2523:G2527 G2520 F2520:F2523 F2526:F2554 F2467:F2509 F2459 F2461 F2837:G2923 G2924:G2936 F2925:F2934 F2975:G2977 F2986 F2995:F2998 F3000:F3003 F3005:F3007 F3010:F3014 F3016:F3017 F3020:G3020 G3021:G3022 F3022:F3023 F3038:F3040 G3024:G3090 G3117:G3128 G3201:G3202 F3048:F3227 F3230:F3231 G3243:G3253 F3238:F3253 F3262:G3263 F3266:G3267 G3270:G3286 F3270:F3317 G3330:G3337 F3329:F3354 G3339:G3366 F3357:F3366 G3370 F3369:G3369 G3376:G3377 F3370:F3488 G3532:G3533 F3497:F3533 F3536:G3537 F3540:G3540 G3541:G3542 G3544:G3546 F3556:F1048576</xm:sqref>
        </x14:dataValidation>
        <x14:dataValidation type="list" allowBlank="1" showInputMessage="1" showErrorMessage="1" xr:uid="{B0B206BA-211E-4F88-A8DF-B013E07BBF3B}">
          <x14:formula1>
            <xm:f>'IGNORE Lookups'!$I$2:$I$14</xm:f>
          </x14:formula1>
          <xm:sqref>Z937:AA937 Z939:AA941 Z946:AA949 Z951:AA985 Z1052:AA1055 Z1070:AA1080 Z1094:AA1110 Z1113:AA1115 Z1122:AA1122 Z611:AA617 Z1139:AA1145 Z1147:AA1148 Z1160:AA1160 Z1162:AA1171 Z1179:AA1186 Z1208:AA1223 Z1229:AA1242 Z1256:AA1256 Z1259:AA1259 Z1262:AA1264 Z1267:AA1276 Z1281:AA1292 Z1300:AA1307 Z1343:AA1345 Z1367:AA1372 Z1375:AA1376 Z1381:AA1391 Z1393:AA1406 Z1412:AA1422 Z1476:AA1477 Z1482:AA1488 Z1510:AA1510 Z1539:AA1539 Z1550:AA1550 Z1560:AA1560 Z1564:AA1564 Z1591:AA1591 Z1598:AA1602 Z1604:AA1604 Z1606:AA1606 Z1660:AA1666 Z1670:AA1670 Z1675:AA1676 Z1125:AA1128 AB768 Z619:AA935 Z1693:AA1722 Z1732:AA1733 Z1809:AA1822 Z1834:AA1844 Z1851 Z1847:AA1848 Z1873:AA1877 Z1863:AA1865 Z1886:AA1888 Z1868:AA1868 AB1861 Z1881:AA1881 Z1879:AA1879 Z1854:AA1861 AB1859 Z1897:AA1899 Z1890:AA1891 Z1895:AA1895 Z1905:AA1905 Z1986:AA1988 Z2050:AA2058 Z2086:AA2088 Z2107:AA2110 Z2112:AA2115 Z2127:AA2128 Z2133:AA2133 Z2135:AA2135 Z1:AA609 Z2147:AA2147 AA2153:AA2154 Z2187:AA2188 Z2211:AA2220 Z2145:AA2145 Z2459:AA2462 W2501:X2502 V2496:X2496 P2511:P2512 J2503:AA2506 J2507:U2509 Y2507:AB2509 W2507:W2509 V2508 J2510:O2512 Q2510:AB2512 X2516:AB2516 J2515:U2515 W2515:W2522 J2516:N2516 Q2516:V2516 Y2513:AB2515 F2517 X2520:X2522 AB2518 G2521:G2522 J2517:V2522 X2517:AA2519 Y2520:AB2523 P2524:Y2525 Z2524:AB2527 J2524:N2527 O2526:Y2527 J2548:W2548 J2529:S2545 T2529:T2544 U2529:W2545 X2529:X2544 J2549:AB2549 Y2528:AB2548 T2550:V2550 J2550:R2550 X2550:AB2550 J2551:AB2554 U2563:W2637 J2563:S2637 J2638:W2641 T2807:T2817 T2771:W2785 T2789:W2803 T2656:W2659 J2645:W2655 T2663:W2677 T2681:W2695 T2699:W2713 T2717:W2731 T2735:W2749 T2753:W2767 Z2563:AA2842 Y2555:Y2838 Z2555:AB2562 Z2491:AA2496 J2493:Y2493 Y2494:Y2502 U2497:W2500 Q2494:S2495 K2494:O2495 I2496:T2496 U2494:U2496 V2494:W2495 Z2500:AA2500 J2497:S2499 K2500:K2502 L2501:O2502 M2500 O2500 Q2500:Q2502 R2500:S2500 S2501:S2502 U2501:U2502 Z2912:AA2919 Z2925:AA2931 Z2937:AA2951 Z2969:AA2969 Z2971:AA2972 Z2982:AA2989 Z3020:AA3020 Z3022:AA3038 Z3040:AA3040 Z3055:AA3072 AA3075:AB3076 Z3091:AA3101 Z3103:AA3109 Z3111:AA3116 Z3117:AB3124 Z3125:AA3128 Z2457:AA2457 Z2401:AA2424 Z3133:AA3140 Z3143:AA3149 Z3151:AA3158 Z3160:AA3160 Z3162:AA3172 Z3184:AA3184 Z3197:AA3211 Z3218:AA3222 Z3228:AA3233 Z3238:AA3239 Z3243:AA3253 Z3260:AA3301 Z3378:AA3489 P3526:P3527 Z3541:AA3541 Z3544:AA3548 Z3550:AA3550 Z3556:AA1048576</xm:sqref>
        </x14:dataValidation>
        <x14:dataValidation type="list" allowBlank="1" showInputMessage="1" showErrorMessage="1" xr:uid="{02AF6C79-A4FD-4BC9-BA9A-EA4BBBABA122}">
          <x14:formula1>
            <xm:f>'IGNORE Lookups'!$G$3:$G$11</xm:f>
          </x14:formula1>
          <xm:sqref>AB896:AB898 AB908:AB912 AB915:AB921 AB901:AB905 Y928:Y949 Z943:AD943 AD944 G939:G944 G619:G660 I943 Z938:AB938 Z936:AB936 Z944:AB945 Z942:AB942 Z950:AB950 T972:T973 M962 M964:M967 M969 M957:M960 J957:K960 J962:K962 J964:K967 J969:K969 Y951:Y970 Y972:Y977 U972:W977 T975:T977 J972:S977 Z986:AB1051 G947:G1138 Y1054 Y1056:AB1069 Y1078:Y1080 Y1081:AB1092 Z1093:AB1093 J1113:W1122 Z1111:AB1112 Y1136:AB1136 Z1123:AB1124 Z1116:AB1121 Z1137:AB1137 Y1130:AB1130 K1130 K1132 K1134 K1136 K1138 M1130 M1132 M1134 M1136 M1138 O1130 O1132 O1134 O1136 O1138 Q1130 Q1134 Q1136 Q1138 S1127:U1128 Y1132:AB1132 Y1134:AB1134 Y1138:AB1138 Q1127:Q1128 G1417:G1465 V1127 M1127:M1128 S1130:U1130 Q1132:U1132 S1134:U1134 S1136:U1136 S1138:U1138 Y1480:Y1488 Z1129:AB1129 Z1131:AB1131 Z1133:AB1133 Z1135:AB1135 G670:G937 G1141 G1153 F1180:G1180 G1160:G1179 G1181:G1199 G1219:G1237 G1262:G1278 G1280:G1292 G1299 G1345 G1348:G1349 G1358:G1363 G1367:G1372 Y1093:Y1128 Y1489:AB1497 AB985 AB1500 Y1502:AB1502 AB1498 G1474:G1512 F1569 F1571:F1573 G1560:G1594 G1635:G1659 Y979:Y1052 P1127 O1127:O1128 N1127 J1127:K1128 F288:F291 G149:G387 G390:G391 G454 G393:G443 G445 G447 G449 G451 G456:G467 G1:G147 Y896:Y925 G1661:G1687 G1715:G1722 G1732:G1733 G1851 F2050:F2052 F2054:F2055 G1999:G2053 F2059:F2063 G2056:G2058 G472:G602 J979:W1090 J1125:W1126 J1480:W1488 W1138 W1134 W1132 W1130 W1127:W1128 W1136 J1092:W1110 O969:W969 O964:W967 O962:W962 O957:W960 J963:W963 J968:W968 J970:W970 J961:W961 J951:W956 J896:W949 G2467:G2502 F2510:F2511 G2505:G2511 F2518:G2518 G2459 G2461 F2947:F2951 F2956:F2974 G2947:G2974 F2978:G2985 G2986 F2987:G2990 F2999 F3004:G3004 G2991:G3003 F3008 F3015 G3005:G3019 F3041:F3047 G3129:G3132 F3232:F3233 G3228:G3242 F3254:G3261 F3264:G3265 F3268:G3269 F3325 F3320:F3322 G3287:G3329 G3338 F3355:F3356 G3367:G3368 G3378:G3531 G3534:G3535 G3538:G3539 F3551:F3555 G3547:G1048576</xm:sqref>
        </x14:dataValidation>
        <x14:dataValidation type="list" allowBlank="1" showInputMessage="1" showErrorMessage="1" prompt="One of: Human Deliberate, Human Accidental, Human Escaped, Lightning, Other Natural, Unknown" xr:uid="{343137CA-AF82-4E65-8843-5C96DC32839D}">
          <x14:formula1>
            <xm:f>'IGNORE Lookups'!$E$3:$E$9</xm:f>
          </x14:formula1>
          <xm:sqref>F1134 F1136 F1138 F1130 F1154:G1159 F1660:G1660 F1517:G1519 D1698:D1712 F2003:F2005 D2053 D2057:D2058 F1132 D2003:D2005 D1660 D1517 C2375:C2382 C1:C2148 C2153:C2154 C2163:C2176 D2171:E2175 C2178:E2186 C2190:C2191 C2193:C2194 C2196:C2197 C2207 C2201:E2201 C2199:C2200 C2314:C2328 C2226 C2229:C2230 C2233 C2236:C2237 C2240 C2243:C2244 C2247 C2250:C2251 C2254 C2257:C2258 C2261 C2264:C2265 C2268 C2271:C2272 C2275 C2278:C2279 C2282 C2285:C2286 C2289 C2299:C2300 C2303 C2292:C2293 C2296 D2211:E2221 C2209:C2223 C2330:C2337 C2339:C2346 C2348:C2355 C2357:C2364 C2366:C2373 D3026:E3037 E3048:E3054 E3059:E3066 E3074 C2459:C1048576</xm:sqref>
        </x14:dataValidation>
        <x14:dataValidation type="list" allowBlank="1" showInputMessage="1" showErrorMessage="1" xr:uid="{8DAC2CCB-0CED-4342-96A9-57BE810E69E7}">
          <x14:formula1>
            <xm:f>'IGNORE Lookups'!$C$23:$C$43</xm:f>
          </x14:formula1>
          <xm:sqref>F1238:G1239 F2112:F2113 F2078:G2086 D526 F661:F669 F1128 G2116:G2148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B1F454AF-A4C8-4075-A432-118E4FA20089}">
          <x14:formula1>
            <xm:f>'IGNORE Lookups'!$F$3:$F$27</xm:f>
          </x14:formula1>
          <xm:sqref>Z1149:AB1149 Y1227:AB1227 Y1224:AB1225 Y1179:Y1186 J1162:W1171 Y1172:AB1178 J1160:W1160 Y1161:AB1161 Y1150:AB1159 J1154:S1159 Y1146:Y1149 G1143:G1149 Y1139:Y1144 Z1146:AB1146 F1142:G1142 J1139:W1144 J1146:W1153 U1154:W1159 J1192:W1196 J1179:W1190 J1201:W1207 Y1187:AB1207</xm:sqref>
        </x14:dataValidation>
        <x14:dataValidation type="list" allowBlank="1" showInputMessage="1" showErrorMessage="1" xr:uid="{BFAD2F1A-2C46-445C-AF79-D660247AA46E}">
          <x14:formula1>
            <xm:f>'IGNORE Lookups'!$F$3:$F$27</xm:f>
          </x14:formula1>
          <xm:sqref>F1367:F1372 G1245:G1261 Y1373:Y1376 Z1373:AB1374 F1358:F1363 Y1381:Y1406 G1364:G1366 Y1358:AB1372 F1244:G1244 Z1392:AB1392 F1405:F1406 F1393:F1394 G1373:G1407 F1409:F1410 J1409:U1410 Y1407:AB1411 G1411:G1416 Y1412:Y1422 I1411:V1411 M1412:M1416 N1412:V1417 Y1476:Y1479 K1412:K1416 AC1427 AC1425 AC1434 AC1436 AC1443 AC1445 G1466:G1473 F1472:F1481 S2109:W2110 Z1478:AB1481 M1476:T1479 U1466:W1479 J1466:L1479 F1510 F1520:G1528 G1513:G1516 F1515:F1516 D527:D1516 F1593:F1594 G1529:G1559 F1607 F1596 G1595 G1597:G1606 D1518:D1659 W1409:W1465 D1:D525 F1451:F1468 K1418:K1465 L1412:L1465 J1412:J1465 V1456:V1459 T1461:T1473 P1456:P1459 Y1423:AB1475 I1731:W1731 Y1731:AB1731 V1461:V1464 D1661:D1697 F1731 F1715:F1722 F1698:F1712 G1723:G1731 F1952:G1954 Y1732:Y1733 Y1734:AA1808 AB1732:AB1808 G1744 G1734:G1738 G1754 G1764 G1774 G1784 G1794 G1804 Y1809:Y1822 R2111:W2111 V1811:V1812 J1809:S1822 U1809:U1822 T1811:T1812 F1963:F1966 G1955:G1971 G1976:G1998 D1713:D2002 D2006:D2052 G2091:G2108 D2054:D2056 F2056:F2058 G2059:G2069 F2064:F2069 Y2059:AB2077 Y2078:Y2088 Z2078:AA2085 J2078:O2088 P2078:Q2086 Q2087:Q2088 Y2089:AA2106 AB2078:AB2106 F1279:G1279 F2087:G2090 J2112:O2113 Y2107:Y2111 D2059:D2148 J2109:K2110 Q2109:Q2111 J2111:P2111 M2109:O2110 P1466:P1475 V1418:V1454 Q1418:U1460 P1418:P1454 M1418:O1475 Q1461:S1475 P1461:P1464 U1461:U1465 D2379:D2380 J2091:W2108 R2078:W2088 J2075:W2077 J2059:W2071 W1809:W1822 J1732:W1808 J1408:W1408 J1358:W1363 J1367:W1371 I1373:W1376 J1377:W1406 Y1377:AB1380 D2163:E2170 D2203 D2205 D2207:D2210 D2223 D2225:D2227 D2230 D2232:D2234 D2237 D2239:D2241 D2244 D2246:D2248 D2251 D2253:D2255 D2258 D2260:D2262 D2265 D2267:D2269 D2272 D2274:D2276 D2279 D2281:D2283 D2286 D2288:D2290 D2300 D2302:D2304 D2293 D2295:D2297 D2314:D2315 D2306:D2308 D2321:D2328 D2334:D2335 D2343:D2344 D2352:D2353 D2361:D2362 D2370:D2371 F2465:G2465 E2460:G2460 E2462:G2462 E2464:G2464 F2463:G2463 E2466:G2466 F2936:F2946 E2935:E2946 G2937:G2946 E2991:F2994 E3021:F3021 F3024:F3037 G3023 D2459:D3025 D3038:D3227 D3230:D3234 E3318:F3319 F3326 F3323:F3324 E3327:F3328 D3236:D3355 E3367:F3368 G3371:G3375 E3489:F3489 E3487 F3490:F3496 E3493:E3496 E3490:E3491 E3545 E3543:G3543 F3545:F3550 E3547:E3550 D3357:D1048576</xm:sqref>
        </x14:dataValidation>
        <x14:dataValidation type="list" allowBlank="1" showInputMessage="1" showErrorMessage="1" xr:uid="{E7E1388F-F109-4C0B-99B0-F55B7CCE3C66}">
          <x14:formula1>
            <xm:f>'IGNORE Lookups'!$F$29:$F$44</xm:f>
          </x14:formula1>
          <xm:sqref>Z610:AB610 AD610 Z618:AB618</xm:sqref>
        </x14:dataValidation>
        <x14:dataValidation type="list" allowBlank="1" showInputMessage="1" showErrorMessage="1" xr:uid="{C2CC65EE-8692-40EF-8A6F-53476BF50EAC}">
          <x14:formula1>
            <xm:f>'IGNORE Lookups'!$C$23:$C$45</xm:f>
          </x14:formula1>
          <xm:sqref>C2374:D2374 E1:E2148 E2192:E2197 E2203:E2205 E2208:E2210 G2209:G2213 C2309:C2310 F2209:F2221 D2309:E2312 G2217:G2221 E2226:E2308 C2329:D2329 F2335:F2337 D2336:D2337 C2338:D2338 D2345:D2346 F2344:F2346 C2347:D2347 F2353:F2355 D2354:D2355 C2356:D2356 D2363:D2364 F2380:F2382 F2362:F2364 C2365:D2365 F2371:F2373 E2321:E2382 D2372:D2373 D2381:D2382 E2459 E2461 E2463 E2465 F2924 E2467:E2934 F2952:F2955 E2947:E2990 F3009 F3018:F3019 E2995:E3020 E3022:E3025 E3038:E3047 E3055:E3058 E3067:E3073 E2413:E2424 E2445:E2446 F3228:F3229 D3228:D3229 F3234:F3237 D3235 E3075:E3317 P3326 E3320:E3326 P3328 P3320:P3324 D3356 E3329:E3366 E3488 E3369:E3486 E3492 F3534:F3535 F3538:F3539 F3541:F3542 E3497:E3542 E3544:F3544 E3546 E3551:E1048576</xm:sqref>
        </x14:dataValidation>
        <x14:dataValidation type="list" allowBlank="1" showInputMessage="1" showErrorMessage="1" xr:uid="{9FC67834-7655-485E-AE27-45BF2D0B581B}">
          <x14:formula1>
            <xm:f>'C:\Users\Oli\Documents\PhD\Model development\Data\Collaborators\Current Contributor Versions\[Fire Database Ben v2.xlsx]IGNORE Lookups'!#REF!</xm:f>
          </x14:formula1>
          <xm:sqref>G2214:G2216 Y2152:Y2221 AB2149:AB2170 D2149:E2162 J2152:U2162 J2172:S2172 Q2163:S2171 T2180:T2187 K2163:O2171 V2152:V2171 K2173:O2175 X2176 D2176:E2177 T2176 J2176:P2176 AB2176 J2180:J2188 U2163:U2201 Q2173:S2187 V2174:V2201 Q2188:T2188 P2180:P2186 Z2155:AA2186 E2187:E2191 X2188:X2197 Q2189:S2201 P2189:P2197 W2152:W2201 T2189:T2197 K2177:O2201 E2198:E2200 D2187:D2200 D2202:E2202 K2202:W2204 D2204 D2206:G2206 F2149:F2202 F2204 J2202:J2211 G2149:G2205 E2207 F2207:G2208 K2205:X2210 Z2189:AA2210 V2211:V2213 K2211:M2216 O2211:S2216 P2217:P2219 K2313:W2313 D2222 D2224 E2222:E2225 I2235 I2228 D2231 D2235:D2236 D2238 I2242 D2294 D2242:D2243 D2245 Y2309:AB2310 I2256 I2249 D2249:D2250 D2252 AC2309 D2256:D2257 D2259 I2263 D2228:D2229 D2266 D2263:D2264 I2270 K2309:W2310 D2270:D2271 D2273 D2305 I2277 D2277:D2278 D2280 I2284 D2287 D2330:D2333 D2284:D2285 I2291 I2305:I2308 D2291:D2292 D2301 D2298:D2299 C2313:D2313 I2298 J2214:J2219 J2221:T2221 T2217:T2219 X2214:X2219 Q2217:S2220 K2217:O2220 Z2221:AB2221 X2221 AB2179:AB2220 W2211:W2221 V2217:V2221 U2211:U2221 F2222:G2305 F2329:G2331 G2332:G2333 G2325 G2323 J2315 D2316:D2320 F2309:G2321 E2313:E2320 R2315:T2315 V2315 N2315:P2315 J2321:J2328 X2315 Y2315:AB2328 P2317:P2328 T2317:T2328 V2317:V2328 K2315:M2316 N2316:O2316 G2380 W2315:W2329 D2339:D2342 F2338:G2340 G2341:G2342 G2335 G2344 D2348:D2351 F2347:G2349 G2350:G2351 G2353 D2357:D2360 F2356:G2358 G2359:G2360 G2362 D2366:D2369 F2365:G2367 G2368:G2369 G2371 D2375:D2378 F2374:G2376 G2377:G2378 P2330:P2337 X2329:AB2329 P2339:P2346 P2348:P2355 P2357:P2364 P2366:P2373 AB2356:AB2364 R2316:S2382 AB2374:AB2382 K2317:O2382 U2315:U2329 U2338 W2338:AB2338 U2347 W2347:AB2347 U2356 W2356:AA2356 U2365 W2365:AB2365 U2374:U2382 X2317:X2328 T2330:AB2337 T2339:AB2346 T2348:AB2355 T2357:AA2364 T2366:AB2373 W2374:AA2374 R2383:T2388 T2375:T2382 V2375:AA2382 V2383:Y2388 R2389:X2400 E2401:E2424 Q2315:Q2422 P2375:P2422 R2401:Y2422 Z2391:AA2400 J2383:O2422 Y2423:Y2446 X2425:X2446 J2440:W2441 J2437:W2438 J2434:W2435 J2431:W2432 J2428:W2429 J2425:W2426 E2443:E2446 J2443:W2446 X2448:Y2451 U2450:W2451 U2448:W2448 U2449:V2449 J2448:T2451 E2450:E2453 Y2453:Y2455 Y2447:AB2447 Z2425:AA2444 Z2450:AA2451 J2452:Y2452 J2453:X2453 G2383:G2458</xm:sqref>
        </x14:dataValidation>
        <x14:dataValidation type="list" allowBlank="1" showInputMessage="1" showErrorMessage="1" prompt="One of: Human Deliberate, Human Accidental, Human Escaped, Lightning, Other Natural, Unknown" xr:uid="{F2716C1D-1E54-48E6-9CAA-9B2AC832171A}">
          <x14:formula1>
            <xm:f>'C:\Users\Admin\Documents\[fire db.xlsx]IGNORE Lookups'!#REF!</xm:f>
          </x14:formula1>
          <xm:sqref>C2149:C2150</xm:sqref>
        </x14:dataValidation>
        <x14:dataValidation type="list" allowBlank="1" showInputMessage="1" showErrorMessage="1" prompt="One of: Human Deliberate, Human Accidental, Human Escaped, Lightning, Other Natural, Unknown" xr:uid="{DB483B4C-DBE8-4714-8BA2-4D194945374B}">
          <x14:formula1>
            <xm:f>'C:\Users\Oli\Documents\PhD\Model development\Data\Collaborators\Current Contributor Versions\[Fire Database Ben v2.xlsx]IGNORE Lookups'!#REF!</xm:f>
          </x14:formula1>
          <xm:sqref>C2151:C2152 C2155:C2162 C2177 C2187:C2189 C2192 C2198 C2195 C2208 C2202:C2206 C2224:C2225 C2238:C2239 C2234:C2235 C2227:C2228 C2231:C2232 C2241:C2242 C2245:C2246 C2248:C2249 C2252:C2253 C2255:C2256 C2259:C2260 C2262:C2263 C2266:C2267 C2269:C2270 C2273:C2274 C2276:C2277 C2280:C2281 C2283:C2284 C2287:C2288 C2301:C2302 C2290:C2291 C2294:C2295 C2297:C2298 C2304:C2308 C2311:C2312</xm:sqref>
        </x14:dataValidation>
        <x14:dataValidation type="list" allowBlank="1" showInputMessage="1" showErrorMessage="1" xr:uid="{9AD2F698-CEAA-4D04-8834-4EE9DC0C83E7}">
          <x14:formula1>
            <xm:f>'C:\Users\Oli\Documents\PhD\Model development\Data\Collaborators\Current Contributor Versions\[Adam''s fire data.xlsx]IGNORE Lookups'!#REF!</xm:f>
          </x14:formula1>
          <xm:sqref>Z2501:AB2502 Z2383:AA2390 AB2491:AB2499 Z2497:AA2499 Y2459:Y2461 Z2463:AA2477 E2383:E2400 J2423:X2424 E2425:E2442 AB2383:AB2446 E2447:E2449 Z2445:AA2446 Z2448:AA2449 D2383:D2458 J2457:Y2457 F2383:F2458 E2454:E2458 Z2452:AA2456 J2458:X2458 AB2448:AB2477 Z2458:AA2458</xm:sqref>
        </x14:dataValidation>
        <x14:dataValidation type="list" allowBlank="1" showInputMessage="1" showErrorMessage="1" xr:uid="{13B3BBFC-2A9E-4E8C-8C13-03D4064A27F2}">
          <x14:formula1>
            <xm:f>'C:\Users\Admin\Documents\[fire db.xlsx]IGNORE Lookups'!#REF!</xm:f>
          </x14:formula1>
          <xm:sqref>Z2149:AA2150 Z2153:Z2154</xm:sqref>
        </x14:dataValidation>
        <x14:dataValidation type="list" allowBlank="1" showInputMessage="1" showErrorMessage="1" prompt="Presence or absence" xr:uid="{5D974E94-707B-4312-8CA9-F46CA02262F4}">
          <x14:formula1>
            <xm:f>'C:\Users\Oli\Documents\PhD\Model development\Data\Collaborators\Current Contributor Versions\[Fire Database Ben v2.xlsx]IGNORE Lookups'!#REF!</xm:f>
          </x14:formula1>
          <xm:sqref>H2149:H2222 H2224 H2238 H2233:H2236 H2226:H2229 H2231 H2240:H2243 H2245 H2247:H2250 H2252 H2254:H2257 H2259 H2261:H2264 H2266 H2268:H2271 H2273 H2275:H2278 H2280 H2282:H2285 H2287 H2301 H2289:H2292 H2296:H2299 H2294 H2303:H2382</xm:sqref>
        </x14:dataValidation>
        <x14:dataValidation type="list" allowBlank="1" showInputMessage="1" showErrorMessage="1" prompt="One of: Traditional , Private, Centrally-allocated, Insecure, Mixed. _x000a_" xr:uid="{CBE3DE13-7502-417D-9673-2FBA42D7390A}">
          <x14:formula1>
            <xm:f>'IGNORE Lookups'!$A$23:$A$28</xm:f>
          </x14:formula1>
          <xm:sqref>U2807:W2836 J2656:S2659 J2807:S2836 J2789:S2803 J2771:S2785 J2753:S2767 J2735:S2749 J2717:S2731 J2699:S2713 J2681:S2695 J2663:S2677 Q2837:X2838 N2841:N2877 J2838:O2838 O2837 J2837:M2837 Q2839:Y2842 Y2843:AB2844 Q2843:S2844 O2839:O2877 U2843:W2844 J2839:M2877 J2879:Y2894 J2896:Y2904 J2906:Y2909 J2911:AB2911 P2845:Y2877 Z2845:AB2910 J2912:J2921 K2915:K2921 L2912:L2921 M2912:M2913 M2915:M2921 N2912:N2921 O2915:O2921 Y2916:Y2917 Y2914 Y2912 P2912:X2921 Z2920:AA2924 X2922:X2934 AB2912:AB2924 Y2919:Y2924 J2924:W2931 F2935 Y2932:AB2935 V2934 J2934:U2935 J2936:AB2936 W2934:W2935 J2937:Y2951 J2952:Q2957 K2958:Q2958 R2952:R2955 R2957:W2957 Y2952:AB2958 X2956:X2957 S2952:W2956 S2958:W2958 J2959:AB2967 X2968:AB2968 AB2969 J2969:X2969 X2970:AB2970 J2971:Y2972 AB2971:AB2985 J2973:AA2981 J2984:X2986 J2982:X2982 Y2982:Y2985 AB2987:AB3021 J2987:Y2989 Y2990:AA2990 K2991:AA2994 J2995:AA3019 L3020:L3037 N3020:Y3020 J3020:J3037 K3021:K3037 M3021:O3021 Q3021:AA3021 Y3024:Y3038 Y3022 M3022:X3037 O3039:O3040 Z3039:AB3039 Q3039:W3039 J3039:M3039 J3040:N3040 P3040:Y3040 Y3041:AB3054 J3048:W3054 AB3055:AB3058 J3055:Y3058 K3059:O3062 Q3059:Y3062 Y3063:Y3066 Y3068:Y3102 S3074:X3074 J3074:Q3074 J3063:X3073 Z3073:Z3090 AA3073:AB3074 AA3077:AB3090 G3091:G3116 J3103:Y3109 J3075:X3102 Z3102:AB3102 J3111:Y3116 J3110:AB3110 X3125:X3139 J3117:U3124 J3129:V3139 K3125:V3128 Y3117:Y3132 Y3140 W3117:W3139 Z3129:AA3132 J3141:W3141 Y3142:Y3159 Z3141:AA3142 AB3129:AB3142 J3143:W3148 AB3149:AB3161 J3149:X3150 Z3150:AA3150 J3151:W3158 Z3159:AA3159 X3156:X3158 J3160:W3160 U3161:U3172 W3161:W3172 Y3161:AA3161 J3161:S3172 U3198:Y3200 Y3162:Y3190 Z3173:AB3183 U3184 W3184 J3184:S3184 J3186:X3187 Z3185:AB3190 J3191:AB3196 T3197:Y3197 AB3197:AB3200 G3133:G3200 J3197:S3201 J3215:S3215 U3201:U3214 V3202:V3215 W3201:W3214 G3203:G3227 AB3203:AD3203 Z3223:AA3227 J3202:T3214 Z3212:AA3217 O3218:W3222 V3223:W3227 O3223:R3227 U3228:W3242 L3220:L3247 M3218:M3245 N3220:N3247 Y3201:Y3242 X3202:X3234 J3218:K3234 O3228:S3234 K3235:K3245 O3235:O3242 Q3235:S3242 T3223:T3234 Z3234:AA3237 AB3204:AB3237 Z3240:AB3242 V3243:V3251 X3243:X3251 Y3244:Y3251 AB3243:AB3247 P3243:R3245 T3243:T3247 J3246:J3247 P3246:S3247 U3246:U3251 W3246:W3251 AB3250</xm:sqref>
        </x14:dataValidation>
        <x14:dataValidation type="list" allowBlank="1" showInputMessage="1" showErrorMessage="1" xr:uid="{19F948F5-D120-4A52-87AF-FA65EE1B55BA}">
          <x14:formula1>
            <xm:f>'IGNORE Lookups'!$E$29:$E$42</xm:f>
          </x14:formula1>
          <xm:sqref>J2474:Y2490 Z2478:AB2490 J2472:K2472 J2470:K2470 J2468:K2468 K2463:K2467 K2469 K2471 K2473 K2491:O2492 Q2491:S2492 U2491:W2492 Y2491:Y2492</xm:sqref>
        </x14:dataValidation>
        <x14:dataValidation type="list" allowBlank="1" showInputMessage="1" showErrorMessage="1" xr:uid="{F5B93A66-9382-4432-AE08-52DC17F411CF}">
          <x14:formula1>
            <xm:f>'IGNORE Lookups'!$H$29:$H$35</xm:f>
          </x14:formula1>
          <xm:sqref>Y2918 Y2915 Y2913</xm:sqref>
        </x14:dataValidation>
        <x14:dataValidation type="list" allowBlank="1" showInputMessage="1" showErrorMessage="1" prompt="Presence or absence" xr:uid="{CB63D46B-FFCC-48E1-834B-85DD51686E7C}">
          <x14:formula1>
            <xm:f>'C:\Users\Oli\Documents\PhD\Model development\Data\Collaborators\Current Contributor Versions\[Adam''s fire data.xlsx]IGNORE Lookups'!#REF!</xm:f>
          </x14:formula1>
          <xm:sqref>H2383:H2405 H2407:H2408 H2412 H2415:H2422 H2425:H2426 H2428:H2429 H2431:H2432 H2434:H2435 H2437:H2438 H2440:H2441 H2443:H2446 H2448:H2453 H2456:H2458</xm:sqref>
        </x14:dataValidation>
        <x14:dataValidation type="list" allowBlank="1" showInputMessage="1" showErrorMessage="1" prompt="One of: Human Deliberate, Human Accidental, Human Escaped, Lightning, Other Natural, Unknown" xr:uid="{9F7C95DC-217D-4415-94A9-5974DDD51371}">
          <x14:formula1>
            <xm:f>'C:\Users\Oli\Documents\PhD\Model development\Data\Collaborators\Current Contributor Versions\[Adam''s fire data.xlsx]IGNORE Lookups'!#REF!</xm:f>
          </x14:formula1>
          <xm:sqref>C2383:C2458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A145-8E7A-4456-B100-3F7263D11D7D}">
  <dimension ref="A1:AD3946"/>
  <sheetViews>
    <sheetView topLeftCell="X1" zoomScale="53" zoomScaleNormal="53" workbookViewId="0">
      <pane ySplit="1" topLeftCell="A3548" activePane="bottomLeft" state="frozen"/>
      <selection pane="bottomLeft" activeCell="AA3554" sqref="AA3554:AB3555"/>
    </sheetView>
  </sheetViews>
  <sheetFormatPr defaultRowHeight="14.5"/>
  <cols>
    <col min="1" max="1" width="18.36328125" customWidth="1"/>
    <col min="2" max="2" width="20.54296875" customWidth="1"/>
    <col min="3" max="3" width="20.453125" customWidth="1"/>
    <col min="4" max="4" width="27" customWidth="1"/>
    <col min="5" max="5" width="26.90625" customWidth="1"/>
    <col min="6" max="7" width="25.7265625" customWidth="1"/>
    <col min="8" max="9" width="21" customWidth="1"/>
    <col min="10" max="10" width="23.90625" style="14" customWidth="1"/>
    <col min="11" max="11" width="23" style="100" customWidth="1"/>
    <col min="12" max="12" width="21.81640625" style="14" customWidth="1"/>
    <col min="13" max="13" width="19.36328125" style="14" customWidth="1"/>
    <col min="14" max="18" width="18.6328125" style="14" customWidth="1"/>
    <col min="19" max="19" width="19.90625" style="14" customWidth="1"/>
    <col min="20" max="21" width="21.81640625" style="14" customWidth="1"/>
    <col min="22" max="22" width="23" style="14" customWidth="1"/>
    <col min="23" max="23" width="21.1796875" style="14" customWidth="1"/>
    <col min="24" max="24" width="22.54296875" customWidth="1"/>
    <col min="25" max="25" width="23.26953125" customWidth="1"/>
    <col min="26" max="26" width="29.26953125" customWidth="1"/>
    <col min="27" max="27" width="41.6328125" customWidth="1"/>
    <col min="28" max="28" width="48" customWidth="1"/>
  </cols>
  <sheetData>
    <row r="1" spans="1:28" ht="72.5" customHeight="1" thickBot="1">
      <c r="A1" s="83" t="s">
        <v>2264</v>
      </c>
      <c r="B1" s="15" t="s">
        <v>5054</v>
      </c>
      <c r="C1" s="2" t="s">
        <v>7</v>
      </c>
      <c r="D1" s="2" t="s">
        <v>8</v>
      </c>
      <c r="E1" s="2" t="s">
        <v>2285</v>
      </c>
      <c r="F1" s="15" t="s">
        <v>2440</v>
      </c>
      <c r="G1" s="15" t="s">
        <v>2450</v>
      </c>
      <c r="H1" s="15" t="s">
        <v>522</v>
      </c>
      <c r="I1" s="2" t="s">
        <v>168</v>
      </c>
      <c r="J1" s="71" t="s">
        <v>2363</v>
      </c>
      <c r="K1" s="107" t="s">
        <v>1250</v>
      </c>
      <c r="L1" s="71" t="s">
        <v>2357</v>
      </c>
      <c r="M1" s="71" t="s">
        <v>1249</v>
      </c>
      <c r="N1" s="71" t="s">
        <v>2356</v>
      </c>
      <c r="O1" s="71" t="s">
        <v>1248</v>
      </c>
      <c r="P1" s="71" t="s">
        <v>2358</v>
      </c>
      <c r="Q1" s="71" t="s">
        <v>2438</v>
      </c>
      <c r="R1" s="71" t="s">
        <v>2439</v>
      </c>
      <c r="S1" s="71" t="s">
        <v>1228</v>
      </c>
      <c r="T1" s="71" t="s">
        <v>2360</v>
      </c>
      <c r="U1" s="71" t="s">
        <v>1465</v>
      </c>
      <c r="V1" s="71" t="s">
        <v>2361</v>
      </c>
      <c r="W1" s="71" t="s">
        <v>36</v>
      </c>
      <c r="X1" s="2" t="s">
        <v>9</v>
      </c>
      <c r="Y1" s="2" t="s">
        <v>10</v>
      </c>
      <c r="Z1" s="17" t="s">
        <v>37</v>
      </c>
      <c r="AA1" s="17" t="s">
        <v>0</v>
      </c>
      <c r="AB1" s="16" t="s">
        <v>117</v>
      </c>
    </row>
    <row r="2" spans="1:28" ht="33" customHeight="1">
      <c r="A2" s="6" t="str">
        <f>'Reported burning'!A2</f>
        <v>1a</v>
      </c>
      <c r="B2" s="6" t="str">
        <f>'Reported burning'!B2</f>
        <v>1a.1</v>
      </c>
      <c r="C2" s="6" t="str">
        <f>'Reported burning'!C2</f>
        <v>Human, deliberate</v>
      </c>
      <c r="D2" s="6" t="str">
        <f>'Reported burning'!D2</f>
        <v>Pasture renewal</v>
      </c>
      <c r="E2" s="6" t="str">
        <f>'Reported burning'!E2</f>
        <v>Cattle, Extensive</v>
      </c>
      <c r="F2" s="6" t="str">
        <f>'Reported burning'!F2</f>
        <v>Pasture</v>
      </c>
      <c r="G2" s="6">
        <f>'Reported burning'!G2</f>
        <v>0</v>
      </c>
      <c r="H2" s="6" t="str">
        <f>'Reported burning'!H2</f>
        <v>Presence</v>
      </c>
      <c r="I2" s="32"/>
      <c r="J2" s="102" t="s">
        <v>2276</v>
      </c>
      <c r="K2" s="108" t="s">
        <v>2276</v>
      </c>
      <c r="L2" s="102" t="s">
        <v>2276</v>
      </c>
      <c r="M2" s="102" t="s">
        <v>2276</v>
      </c>
      <c r="N2" s="102" t="s">
        <v>2276</v>
      </c>
      <c r="O2" s="102" t="s">
        <v>2276</v>
      </c>
      <c r="P2" s="102" t="s">
        <v>2276</v>
      </c>
      <c r="Q2" s="102" t="s">
        <v>2276</v>
      </c>
      <c r="R2" s="102" t="s">
        <v>2276</v>
      </c>
      <c r="S2" s="102" t="s">
        <v>2276</v>
      </c>
      <c r="T2" s="102" t="s">
        <v>2276</v>
      </c>
      <c r="U2" s="102" t="s">
        <v>2276</v>
      </c>
      <c r="V2" s="102" t="s">
        <v>2276</v>
      </c>
      <c r="W2" s="102" t="s">
        <v>2276</v>
      </c>
      <c r="X2" s="32" t="s">
        <v>34</v>
      </c>
      <c r="Y2" s="32" t="s">
        <v>35</v>
      </c>
      <c r="Z2" s="32" t="s">
        <v>64</v>
      </c>
      <c r="AA2" s="32"/>
      <c r="AB2" s="32"/>
    </row>
    <row r="3" spans="1:28" ht="55.5" customHeight="1">
      <c r="A3" s="6" t="str">
        <f>'Reported burning'!A3</f>
        <v>1a</v>
      </c>
      <c r="B3" s="6" t="str">
        <f>'Reported burning'!B3</f>
        <v>1a.2</v>
      </c>
      <c r="C3" s="6" t="str">
        <f>'Reported burning'!C3</f>
        <v>Human, deliberate</v>
      </c>
      <c r="D3" s="6" t="str">
        <f>'Reported burning'!D3</f>
        <v>Pest management</v>
      </c>
      <c r="E3" s="6" t="str">
        <f>'Reported burning'!E3</f>
        <v>Cattle, Extensive</v>
      </c>
      <c r="F3" s="6" t="str">
        <f>'Reported burning'!F3</f>
        <v>Pasture</v>
      </c>
      <c r="G3" s="6">
        <f>'Reported burning'!G3</f>
        <v>0</v>
      </c>
      <c r="H3" s="6" t="str">
        <f>'Reported burning'!H3</f>
        <v>Presence</v>
      </c>
      <c r="I3" s="3"/>
      <c r="J3" s="77" t="s">
        <v>2276</v>
      </c>
      <c r="K3" s="109" t="s">
        <v>2276</v>
      </c>
      <c r="L3" s="77" t="s">
        <v>2276</v>
      </c>
      <c r="M3" s="77" t="s">
        <v>2276</v>
      </c>
      <c r="N3" s="77" t="s">
        <v>2276</v>
      </c>
      <c r="O3" s="77" t="s">
        <v>2276</v>
      </c>
      <c r="P3" s="77" t="s">
        <v>2276</v>
      </c>
      <c r="Q3" s="102" t="s">
        <v>2276</v>
      </c>
      <c r="R3" s="102" t="s">
        <v>2276</v>
      </c>
      <c r="S3" s="77" t="s">
        <v>2276</v>
      </c>
      <c r="T3" s="77" t="s">
        <v>2276</v>
      </c>
      <c r="U3" s="77" t="s">
        <v>2276</v>
      </c>
      <c r="V3" s="77" t="s">
        <v>2276</v>
      </c>
      <c r="W3" s="77" t="s">
        <v>2276</v>
      </c>
      <c r="X3" s="3" t="s">
        <v>38</v>
      </c>
      <c r="Y3" s="3" t="s">
        <v>34</v>
      </c>
      <c r="Z3" s="3" t="s">
        <v>64</v>
      </c>
      <c r="AA3" s="4" t="s">
        <v>39</v>
      </c>
      <c r="AB3" s="3"/>
    </row>
    <row r="4" spans="1:28" ht="43.5" customHeight="1">
      <c r="A4" s="6" t="str">
        <f>'Reported burning'!A4</f>
        <v>1a</v>
      </c>
      <c r="B4" s="6" t="str">
        <f>'Reported burning'!B4</f>
        <v>1a.3</v>
      </c>
      <c r="C4" s="6" t="str">
        <f>'Reported burning'!C4</f>
        <v>Human, deliberate</v>
      </c>
      <c r="D4" s="6" t="str">
        <f>'Reported burning'!D4</f>
        <v>Crop field preparation</v>
      </c>
      <c r="E4" s="6" t="str">
        <f>'Reported burning'!E4</f>
        <v>Cropping, Swidden</v>
      </c>
      <c r="F4" s="6" t="str">
        <f>'Reported burning'!F4</f>
        <v>Secondary Vegetation</v>
      </c>
      <c r="G4" s="6">
        <f>'Reported burning'!G4</f>
        <v>0</v>
      </c>
      <c r="H4" s="6" t="str">
        <f>'Reported burning'!H4</f>
        <v>Presence</v>
      </c>
      <c r="I4" s="22"/>
      <c r="J4" s="77" t="s">
        <v>2276</v>
      </c>
      <c r="K4" s="109" t="s">
        <v>2276</v>
      </c>
      <c r="L4" s="77" t="s">
        <v>2276</v>
      </c>
      <c r="M4" s="77" t="s">
        <v>2276</v>
      </c>
      <c r="N4" s="77" t="s">
        <v>2276</v>
      </c>
      <c r="O4" s="77" t="s">
        <v>2276</v>
      </c>
      <c r="P4" s="77" t="s">
        <v>2276</v>
      </c>
      <c r="Q4" s="102" t="s">
        <v>2276</v>
      </c>
      <c r="R4" s="102" t="s">
        <v>2276</v>
      </c>
      <c r="S4" s="77" t="s">
        <v>2276</v>
      </c>
      <c r="T4" s="77" t="s">
        <v>2276</v>
      </c>
      <c r="U4" s="77" t="s">
        <v>2276</v>
      </c>
      <c r="V4" s="77" t="s">
        <v>2276</v>
      </c>
      <c r="W4" s="77" t="s">
        <v>2276</v>
      </c>
      <c r="X4" s="22" t="s">
        <v>68</v>
      </c>
      <c r="Y4" s="22" t="s">
        <v>35</v>
      </c>
      <c r="Z4" s="22" t="s">
        <v>64</v>
      </c>
      <c r="AA4" s="22"/>
      <c r="AB4" s="22"/>
    </row>
    <row r="5" spans="1:28" ht="44.5" customHeight="1">
      <c r="A5" s="6" t="str">
        <f>'Reported burning'!A5</f>
        <v>1a</v>
      </c>
      <c r="B5" s="6" t="str">
        <f>'Reported burning'!B5</f>
        <v>1a.4</v>
      </c>
      <c r="C5" s="6" t="str">
        <f>'Reported burning'!C5</f>
        <v>Human, escaped</v>
      </c>
      <c r="D5" s="6" t="str">
        <f>'Reported burning'!D5</f>
        <v>Pasture renewal</v>
      </c>
      <c r="E5" s="6" t="str">
        <f>'Reported burning'!E5</f>
        <v>Cattle, Extensive</v>
      </c>
      <c r="F5" s="6" t="str">
        <f>'Reported burning'!F5</f>
        <v>Mixed</v>
      </c>
      <c r="G5" s="6">
        <f>'Reported burning'!G5</f>
        <v>0</v>
      </c>
      <c r="H5" s="6" t="str">
        <f>'Reported burning'!H5</f>
        <v>Presence</v>
      </c>
      <c r="I5" s="3"/>
      <c r="J5" s="77" t="s">
        <v>2276</v>
      </c>
      <c r="K5" s="109" t="s">
        <v>2276</v>
      </c>
      <c r="L5" s="77" t="s">
        <v>2276</v>
      </c>
      <c r="M5" s="77" t="s">
        <v>2276</v>
      </c>
      <c r="N5" s="77" t="s">
        <v>2276</v>
      </c>
      <c r="O5" s="77" t="s">
        <v>2276</v>
      </c>
      <c r="P5" s="77" t="s">
        <v>2276</v>
      </c>
      <c r="Q5" s="102" t="s">
        <v>2276</v>
      </c>
      <c r="R5" s="102" t="s">
        <v>2276</v>
      </c>
      <c r="S5" s="77" t="s">
        <v>2276</v>
      </c>
      <c r="T5" s="77" t="s">
        <v>2276</v>
      </c>
      <c r="U5" s="77" t="s">
        <v>2276</v>
      </c>
      <c r="V5" s="77" t="s">
        <v>2276</v>
      </c>
      <c r="W5" s="77" t="s">
        <v>2276</v>
      </c>
      <c r="X5" s="3" t="s">
        <v>34</v>
      </c>
      <c r="Y5" s="3" t="s">
        <v>35</v>
      </c>
      <c r="Z5" s="3" t="s">
        <v>64</v>
      </c>
      <c r="AA5" s="3"/>
      <c r="AB5" s="3"/>
    </row>
    <row r="6" spans="1:28" ht="41.5" customHeight="1">
      <c r="A6" s="6" t="str">
        <f>'Reported burning'!A6</f>
        <v>1a</v>
      </c>
      <c r="B6" s="6" t="str">
        <f>'Reported burning'!B6</f>
        <v>1a.5</v>
      </c>
      <c r="C6" s="6" t="str">
        <f>'Reported burning'!C6</f>
        <v>Human, deliberate</v>
      </c>
      <c r="D6" s="6" t="str">
        <f>'Reported burning'!D6</f>
        <v>Arson</v>
      </c>
      <c r="E6" s="6" t="str">
        <f>'Reported burning'!E6</f>
        <v>ND</v>
      </c>
      <c r="F6" s="6" t="str">
        <f>'Reported burning'!F6</f>
        <v>Mixed</v>
      </c>
      <c r="G6" s="6">
        <f>'Reported burning'!G6</f>
        <v>0</v>
      </c>
      <c r="H6" s="6" t="str">
        <f>'Reported burning'!H6</f>
        <v>Presence</v>
      </c>
      <c r="I6" s="3"/>
      <c r="J6" s="77" t="s">
        <v>2276</v>
      </c>
      <c r="K6" s="109" t="s">
        <v>2276</v>
      </c>
      <c r="L6" s="77" t="s">
        <v>2276</v>
      </c>
      <c r="M6" s="77" t="s">
        <v>2276</v>
      </c>
      <c r="N6" s="77" t="s">
        <v>2276</v>
      </c>
      <c r="O6" s="77" t="s">
        <v>2276</v>
      </c>
      <c r="P6" s="77" t="s">
        <v>2276</v>
      </c>
      <c r="Q6" s="102" t="s">
        <v>2276</v>
      </c>
      <c r="R6" s="102" t="s">
        <v>2276</v>
      </c>
      <c r="S6" s="77" t="s">
        <v>2276</v>
      </c>
      <c r="T6" s="77" t="s">
        <v>2276</v>
      </c>
      <c r="U6" s="77" t="s">
        <v>2276</v>
      </c>
      <c r="V6" s="77" t="s">
        <v>2276</v>
      </c>
      <c r="W6" s="77" t="s">
        <v>2276</v>
      </c>
      <c r="X6" s="3" t="s">
        <v>34</v>
      </c>
      <c r="Y6" s="3" t="s">
        <v>35</v>
      </c>
      <c r="Z6" s="3" t="s">
        <v>64</v>
      </c>
      <c r="AA6" s="3"/>
      <c r="AB6" s="3"/>
    </row>
    <row r="7" spans="1:28" ht="61" customHeight="1">
      <c r="A7" s="6" t="str">
        <f>'Reported burning'!A7</f>
        <v>1a</v>
      </c>
      <c r="B7" s="6" t="str">
        <f>'Reported burning'!B7</f>
        <v>1a.6</v>
      </c>
      <c r="C7" s="6" t="str">
        <f>'Reported burning'!C7</f>
        <v>Human, deliberate</v>
      </c>
      <c r="D7" s="6" t="str">
        <f>'Reported burning'!D7</f>
        <v>Forest management</v>
      </c>
      <c r="E7" s="6" t="str">
        <f>'Reported burning'!E7</f>
        <v>Forestry, Traditional</v>
      </c>
      <c r="F7" s="6" t="str">
        <f>'Reported burning'!F7</f>
        <v>Shrubland (Mixed forest &amp; grassland)</v>
      </c>
      <c r="G7" s="6">
        <f>'Reported burning'!G7</f>
        <v>0</v>
      </c>
      <c r="H7" s="6" t="str">
        <f>'Reported burning'!H7</f>
        <v>Presence</v>
      </c>
      <c r="I7" s="3"/>
      <c r="J7" s="21" t="s">
        <v>2276</v>
      </c>
      <c r="K7" s="103" t="s">
        <v>2276</v>
      </c>
      <c r="L7" s="21" t="s">
        <v>2276</v>
      </c>
      <c r="M7" s="21" t="s">
        <v>2276</v>
      </c>
      <c r="N7" s="21" t="s">
        <v>2276</v>
      </c>
      <c r="O7" s="21" t="s">
        <v>2276</v>
      </c>
      <c r="P7" s="21" t="s">
        <v>2276</v>
      </c>
      <c r="Q7" s="102" t="s">
        <v>2276</v>
      </c>
      <c r="R7" s="102" t="s">
        <v>2276</v>
      </c>
      <c r="S7" s="21" t="s">
        <v>2276</v>
      </c>
      <c r="T7" s="21" t="s">
        <v>2276</v>
      </c>
      <c r="U7" s="21" t="s">
        <v>2276</v>
      </c>
      <c r="V7" s="21" t="s">
        <v>2276</v>
      </c>
      <c r="W7" s="21" t="s">
        <v>2276</v>
      </c>
      <c r="X7" s="3" t="s">
        <v>38</v>
      </c>
      <c r="Y7" s="3" t="s">
        <v>35</v>
      </c>
      <c r="Z7" s="3" t="s">
        <v>64</v>
      </c>
      <c r="AA7" s="4" t="s">
        <v>63</v>
      </c>
      <c r="AB7" s="3"/>
    </row>
    <row r="8" spans="1:28" ht="49.5" customHeight="1">
      <c r="A8" s="6" t="str">
        <f>'Reported burning'!A8</f>
        <v>1b</v>
      </c>
      <c r="B8" s="6" t="str">
        <f>'Reported burning'!B8</f>
        <v>1b.1</v>
      </c>
      <c r="C8" s="6" t="str">
        <f>'Reported burning'!C8</f>
        <v>Human, deliberate</v>
      </c>
      <c r="D8" s="6" t="str">
        <f>'Reported burning'!D8</f>
        <v>Pasture renewal</v>
      </c>
      <c r="E8" s="6" t="str">
        <f>'Reported burning'!E8</f>
        <v>Cattle, Extensive</v>
      </c>
      <c r="F8" s="6" t="str">
        <f>'Reported burning'!F8</f>
        <v>Pasture</v>
      </c>
      <c r="G8" s="6">
        <f>'Reported burning'!G8</f>
        <v>0</v>
      </c>
      <c r="H8" s="6" t="str">
        <f>'Reported burning'!H8</f>
        <v>Presence</v>
      </c>
      <c r="I8" s="11"/>
      <c r="J8" s="21" t="s">
        <v>2276</v>
      </c>
      <c r="K8" s="103" t="s">
        <v>2276</v>
      </c>
      <c r="L8" s="21" t="s">
        <v>2276</v>
      </c>
      <c r="M8" s="21" t="s">
        <v>2276</v>
      </c>
      <c r="N8" s="21" t="s">
        <v>2276</v>
      </c>
      <c r="O8" s="21" t="s">
        <v>2276</v>
      </c>
      <c r="P8" s="21" t="s">
        <v>2276</v>
      </c>
      <c r="Q8" s="102" t="s">
        <v>2276</v>
      </c>
      <c r="R8" s="102" t="s">
        <v>2276</v>
      </c>
      <c r="S8" s="21" t="s">
        <v>2276</v>
      </c>
      <c r="T8" s="21" t="s">
        <v>2276</v>
      </c>
      <c r="U8" s="21" t="s">
        <v>2276</v>
      </c>
      <c r="V8" s="21" t="s">
        <v>2276</v>
      </c>
      <c r="W8" s="21" t="s">
        <v>2276</v>
      </c>
      <c r="X8" s="3" t="s">
        <v>34</v>
      </c>
      <c r="Y8" s="3" t="s">
        <v>35</v>
      </c>
      <c r="Z8" s="3" t="s">
        <v>64</v>
      </c>
      <c r="AA8" s="18" t="s">
        <v>48</v>
      </c>
      <c r="AB8" s="3"/>
    </row>
    <row r="9" spans="1:28" ht="48" customHeight="1">
      <c r="A9" s="6" t="str">
        <f>'Reported burning'!A9</f>
        <v>1c</v>
      </c>
      <c r="B9" s="6" t="str">
        <f>'Reported burning'!B9</f>
        <v>1c.1</v>
      </c>
      <c r="C9" s="6" t="str">
        <f>'Reported burning'!C9</f>
        <v>Human, deliberate</v>
      </c>
      <c r="D9" s="6" t="str">
        <f>'Reported burning'!D9</f>
        <v>Crop field preparation</v>
      </c>
      <c r="E9" s="6" t="str">
        <f>'Reported burning'!E9</f>
        <v>Cropping, Monoculture, Subsistence-oriented</v>
      </c>
      <c r="F9" s="6" t="str">
        <f>'Reported burning'!F9</f>
        <v>Cropland</v>
      </c>
      <c r="G9" s="6">
        <f>'Reported burning'!G9</f>
        <v>0</v>
      </c>
      <c r="H9" s="6" t="str">
        <f>'Reported burning'!H9</f>
        <v>Presence</v>
      </c>
      <c r="I9" s="11"/>
      <c r="J9" s="21" t="s">
        <v>2276</v>
      </c>
      <c r="K9" s="103" t="s">
        <v>2276</v>
      </c>
      <c r="L9" s="21" t="s">
        <v>2276</v>
      </c>
      <c r="M9" s="21" t="s">
        <v>2276</v>
      </c>
      <c r="N9" s="21" t="s">
        <v>2276</v>
      </c>
      <c r="O9" s="21" t="s">
        <v>2276</v>
      </c>
      <c r="P9" s="21" t="s">
        <v>2276</v>
      </c>
      <c r="Q9" s="102" t="s">
        <v>2276</v>
      </c>
      <c r="R9" s="102" t="s">
        <v>2276</v>
      </c>
      <c r="S9" s="21" t="s">
        <v>2276</v>
      </c>
      <c r="T9" s="21" t="s">
        <v>2276</v>
      </c>
      <c r="U9" s="21" t="s">
        <v>2276</v>
      </c>
      <c r="V9" s="21" t="s">
        <v>2276</v>
      </c>
      <c r="W9" s="21" t="s">
        <v>2276</v>
      </c>
      <c r="X9" s="3" t="s">
        <v>68</v>
      </c>
      <c r="Y9" s="3" t="s">
        <v>35</v>
      </c>
      <c r="Z9" s="3" t="s">
        <v>64</v>
      </c>
      <c r="AA9" s="4" t="s">
        <v>50</v>
      </c>
      <c r="AB9" s="3"/>
    </row>
    <row r="10" spans="1:28" ht="49.5" customHeight="1">
      <c r="A10" s="6" t="str">
        <f>'Reported burning'!A10</f>
        <v>1d</v>
      </c>
      <c r="B10" s="6" t="str">
        <f>'Reported burning'!B10</f>
        <v>1d.1</v>
      </c>
      <c r="C10" s="6" t="str">
        <f>'Reported burning'!C10</f>
        <v>Human, deliberate</v>
      </c>
      <c r="D10" s="6" t="str">
        <f>'Reported burning'!D10</f>
        <v>Pasture renewal</v>
      </c>
      <c r="E10" s="6" t="str">
        <f>'Reported burning'!E10</f>
        <v>Cattle, Extensive</v>
      </c>
      <c r="F10" s="6" t="str">
        <f>'Reported burning'!F10</f>
        <v>Pasture</v>
      </c>
      <c r="G10" s="6">
        <f>'Reported burning'!G10</f>
        <v>0</v>
      </c>
      <c r="H10" s="6" t="str">
        <f>'Reported burning'!H10</f>
        <v>Presence</v>
      </c>
      <c r="I10" s="11"/>
      <c r="J10" s="21" t="s">
        <v>2276</v>
      </c>
      <c r="K10" s="103" t="s">
        <v>2276</v>
      </c>
      <c r="L10" s="21" t="s">
        <v>2276</v>
      </c>
      <c r="M10" s="21" t="s">
        <v>2276</v>
      </c>
      <c r="N10" s="21" t="s">
        <v>2276</v>
      </c>
      <c r="O10" s="21" t="s">
        <v>2276</v>
      </c>
      <c r="P10" s="21" t="s">
        <v>2276</v>
      </c>
      <c r="Q10" s="102" t="s">
        <v>2276</v>
      </c>
      <c r="R10" s="102" t="s">
        <v>2276</v>
      </c>
      <c r="S10" s="21" t="s">
        <v>2276</v>
      </c>
      <c r="T10" s="21" t="s">
        <v>2276</v>
      </c>
      <c r="U10" s="21" t="s">
        <v>2276</v>
      </c>
      <c r="V10" s="21" t="s">
        <v>2276</v>
      </c>
      <c r="W10" s="21" t="s">
        <v>2276</v>
      </c>
      <c r="X10" s="3" t="s">
        <v>34</v>
      </c>
      <c r="Y10" s="3" t="s">
        <v>35</v>
      </c>
      <c r="Z10" s="3" t="s">
        <v>64</v>
      </c>
      <c r="AA10" s="4" t="s">
        <v>49</v>
      </c>
      <c r="AB10" s="3"/>
    </row>
    <row r="11" spans="1:28" ht="60.5" customHeight="1">
      <c r="A11" s="6" t="str">
        <f>'Reported burning'!A11</f>
        <v>1e</v>
      </c>
      <c r="B11" s="6" t="str">
        <f>'Reported burning'!B11</f>
        <v>1e.1</v>
      </c>
      <c r="C11" s="6" t="str">
        <f>'Reported burning'!C11</f>
        <v>Human, deliberate</v>
      </c>
      <c r="D11" s="6" t="str">
        <f>'Reported burning'!D11</f>
        <v>Pasture renewal</v>
      </c>
      <c r="E11" s="6" t="str">
        <f>'Reported burning'!E11</f>
        <v>Cattle, Extensive</v>
      </c>
      <c r="F11" s="6" t="str">
        <f>'Reported burning'!F11</f>
        <v>Pasture</v>
      </c>
      <c r="G11" s="6">
        <f>'Reported burning'!G11</f>
        <v>0</v>
      </c>
      <c r="H11" s="6" t="str">
        <f>'Reported burning'!H11</f>
        <v>Presence</v>
      </c>
      <c r="I11" s="3"/>
      <c r="J11" s="21" t="s">
        <v>2276</v>
      </c>
      <c r="K11" s="103" t="s">
        <v>2276</v>
      </c>
      <c r="L11" s="21" t="s">
        <v>2276</v>
      </c>
      <c r="M11" s="21" t="s">
        <v>2276</v>
      </c>
      <c r="N11" s="21" t="s">
        <v>2276</v>
      </c>
      <c r="O11" s="21" t="s">
        <v>2276</v>
      </c>
      <c r="P11" s="21" t="s">
        <v>2276</v>
      </c>
      <c r="Q11" s="102" t="s">
        <v>2276</v>
      </c>
      <c r="R11" s="102" t="s">
        <v>2276</v>
      </c>
      <c r="S11" s="21" t="s">
        <v>2276</v>
      </c>
      <c r="T11" s="21" t="s">
        <v>2276</v>
      </c>
      <c r="U11" s="21" t="s">
        <v>2276</v>
      </c>
      <c r="V11" s="21" t="s">
        <v>2276</v>
      </c>
      <c r="W11" s="21" t="s">
        <v>2276</v>
      </c>
      <c r="X11" s="3" t="s">
        <v>34</v>
      </c>
      <c r="Y11" s="3" t="s">
        <v>35</v>
      </c>
      <c r="Z11" s="3" t="s">
        <v>64</v>
      </c>
      <c r="AA11" s="4" t="s">
        <v>56</v>
      </c>
      <c r="AB11" s="3"/>
    </row>
    <row r="12" spans="1:28" ht="53.5" customHeight="1">
      <c r="A12" s="6" t="str">
        <f>'Reported burning'!A12</f>
        <v>1e</v>
      </c>
      <c r="B12" s="6" t="str">
        <f>'Reported burning'!B12</f>
        <v>1e.2</v>
      </c>
      <c r="C12" s="6" t="str">
        <f>'Reported burning'!C12</f>
        <v>Human, deliberate</v>
      </c>
      <c r="D12" s="6" t="str">
        <f>'Reported burning'!D12</f>
        <v>Conservation</v>
      </c>
      <c r="E12" s="6" t="str">
        <f>'Reported burning'!E12</f>
        <v>Biodiversity conservation</v>
      </c>
      <c r="F12" s="6" t="str">
        <f>'Reported burning'!F12</f>
        <v>Grassland</v>
      </c>
      <c r="G12" s="6">
        <f>'Reported burning'!G12</f>
        <v>0</v>
      </c>
      <c r="H12" s="6" t="str">
        <f>'Reported burning'!H12</f>
        <v>Presence</v>
      </c>
      <c r="I12" s="3"/>
      <c r="J12" s="21" t="s">
        <v>2276</v>
      </c>
      <c r="K12" s="103" t="s">
        <v>2276</v>
      </c>
      <c r="L12" s="21" t="s">
        <v>2276</v>
      </c>
      <c r="M12" s="21" t="s">
        <v>2276</v>
      </c>
      <c r="N12" s="21" t="s">
        <v>2276</v>
      </c>
      <c r="O12" s="21" t="s">
        <v>2276</v>
      </c>
      <c r="P12" s="21" t="s">
        <v>2276</v>
      </c>
      <c r="Q12" s="102" t="s">
        <v>2276</v>
      </c>
      <c r="R12" s="102" t="s">
        <v>2276</v>
      </c>
      <c r="S12" s="21" t="s">
        <v>2276</v>
      </c>
      <c r="T12" s="21" t="s">
        <v>2276</v>
      </c>
      <c r="U12" s="21" t="s">
        <v>2276</v>
      </c>
      <c r="V12" s="21" t="s">
        <v>2276</v>
      </c>
      <c r="W12" s="21" t="s">
        <v>2276</v>
      </c>
      <c r="X12" s="3" t="s">
        <v>34</v>
      </c>
      <c r="Y12" s="3" t="s">
        <v>35</v>
      </c>
      <c r="Z12" s="3" t="s">
        <v>64</v>
      </c>
      <c r="AA12" s="19" t="s">
        <v>52</v>
      </c>
      <c r="AB12" s="3"/>
    </row>
    <row r="13" spans="1:28" ht="62.5" customHeight="1">
      <c r="A13" s="6" t="str">
        <f>'Reported burning'!A13</f>
        <v>1f</v>
      </c>
      <c r="B13" s="6" t="str">
        <f>'Reported burning'!B13</f>
        <v>1f.1</v>
      </c>
      <c r="C13" s="6" t="str">
        <f>'Reported burning'!C13</f>
        <v>Human, deliberate</v>
      </c>
      <c r="D13" s="6" t="str">
        <f>'Reported burning'!D13</f>
        <v>Crop field preparation</v>
      </c>
      <c r="E13" s="6" t="str">
        <f>'Reported burning'!E13</f>
        <v>Cropping, Swidden</v>
      </c>
      <c r="F13" s="6" t="str">
        <f>'Reported burning'!F13</f>
        <v>Secondary Vegetation</v>
      </c>
      <c r="G13" s="6">
        <f>'Reported burning'!G13</f>
        <v>0</v>
      </c>
      <c r="H13" s="6" t="str">
        <f>'Reported burning'!H13</f>
        <v>Presence</v>
      </c>
      <c r="I13" s="20"/>
      <c r="J13" s="72" t="s">
        <v>2276</v>
      </c>
      <c r="K13" s="110" t="s">
        <v>2276</v>
      </c>
      <c r="L13" s="72" t="s">
        <v>2276</v>
      </c>
      <c r="M13" s="72" t="s">
        <v>2276</v>
      </c>
      <c r="N13" s="72" t="s">
        <v>2276</v>
      </c>
      <c r="O13" s="72" t="s">
        <v>2276</v>
      </c>
      <c r="P13" s="72" t="s">
        <v>2276</v>
      </c>
      <c r="Q13" s="102" t="s">
        <v>2276</v>
      </c>
      <c r="R13" s="102" t="s">
        <v>2276</v>
      </c>
      <c r="S13" s="72" t="s">
        <v>2276</v>
      </c>
      <c r="T13" s="72" t="s">
        <v>2276</v>
      </c>
      <c r="U13" s="72" t="s">
        <v>2276</v>
      </c>
      <c r="V13" s="72" t="s">
        <v>2276</v>
      </c>
      <c r="W13" s="72" t="s">
        <v>2276</v>
      </c>
      <c r="X13" s="8" t="s">
        <v>75</v>
      </c>
      <c r="Y13" s="8" t="s">
        <v>35</v>
      </c>
      <c r="Z13" s="8" t="s">
        <v>76</v>
      </c>
      <c r="AA13" s="9" t="s">
        <v>77</v>
      </c>
      <c r="AB13" s="3"/>
    </row>
    <row r="14" spans="1:28" ht="122.5" customHeight="1">
      <c r="A14" s="6" t="str">
        <f>'Reported burning'!A14</f>
        <v>2a</v>
      </c>
      <c r="B14" s="6" t="str">
        <f>'Reported burning'!B14</f>
        <v>2a.1</v>
      </c>
      <c r="C14" s="6" t="str">
        <f>'Reported burning'!C14</f>
        <v>Human, deliberate</v>
      </c>
      <c r="D14" s="6" t="str">
        <f>'Reported burning'!D14</f>
        <v>Crop residue burning</v>
      </c>
      <c r="E14" s="6" t="str">
        <f>'Reported burning'!E14</f>
        <v>Cropping, Monoculture, Market-oriented</v>
      </c>
      <c r="F14" s="6" t="str">
        <f>'Reported burning'!F14</f>
        <v>Cropland</v>
      </c>
      <c r="G14" s="6" t="str">
        <f>'Reported burning'!G14</f>
        <v>ND</v>
      </c>
      <c r="H14" s="6" t="str">
        <f>'Reported burning'!H14</f>
        <v>Presence</v>
      </c>
      <c r="I14" s="11"/>
      <c r="J14" s="21" t="s">
        <v>2276</v>
      </c>
      <c r="K14" s="103" t="s">
        <v>2276</v>
      </c>
      <c r="L14" s="21" t="s">
        <v>2276</v>
      </c>
      <c r="M14" s="21" t="s">
        <v>2377</v>
      </c>
      <c r="N14" s="21" t="s">
        <v>2276</v>
      </c>
      <c r="O14" s="21" t="s">
        <v>2276</v>
      </c>
      <c r="P14" s="21" t="s">
        <v>2276</v>
      </c>
      <c r="Q14" s="21" t="s">
        <v>2375</v>
      </c>
      <c r="R14" s="21" t="s">
        <v>2276</v>
      </c>
      <c r="S14" s="87" t="s">
        <v>2391</v>
      </c>
      <c r="T14" s="87" t="s">
        <v>2276</v>
      </c>
      <c r="U14" s="87" t="s">
        <v>2276</v>
      </c>
      <c r="V14" s="87" t="s">
        <v>2276</v>
      </c>
      <c r="W14" s="21" t="s">
        <v>2375</v>
      </c>
      <c r="X14" s="3" t="s">
        <v>75</v>
      </c>
      <c r="Y14" s="3" t="s">
        <v>35</v>
      </c>
      <c r="Z14" s="3" t="s">
        <v>64</v>
      </c>
      <c r="AA14" s="4" t="s">
        <v>5053</v>
      </c>
      <c r="AB14" s="4" t="s">
        <v>5048</v>
      </c>
    </row>
    <row r="15" spans="1:28" ht="124.5" customHeight="1">
      <c r="A15" s="6" t="str">
        <f>'Reported burning'!A15</f>
        <v>2a</v>
      </c>
      <c r="B15" s="6" t="str">
        <f>'Reported burning'!B15</f>
        <v>2a.2</v>
      </c>
      <c r="C15" s="6" t="str">
        <f>'Reported burning'!C15</f>
        <v>Human, deliberate</v>
      </c>
      <c r="D15" s="6" t="str">
        <f>'Reported burning'!D15</f>
        <v>Crop residue burning</v>
      </c>
      <c r="E15" s="6" t="str">
        <f>'Reported burning'!E15</f>
        <v>Cropping, Monoculture, Subsistence-oriented</v>
      </c>
      <c r="F15" s="6" t="str">
        <f>'Reported burning'!F15</f>
        <v>Cropland</v>
      </c>
      <c r="G15" s="6" t="str">
        <f>'Reported burning'!G15</f>
        <v>ND</v>
      </c>
      <c r="H15" s="6" t="str">
        <f>'Reported burning'!H15</f>
        <v>Presence</v>
      </c>
      <c r="I15" s="23"/>
      <c r="J15" s="77" t="s">
        <v>2276</v>
      </c>
      <c r="K15" s="109" t="s">
        <v>2276</v>
      </c>
      <c r="L15" s="77" t="s">
        <v>2276</v>
      </c>
      <c r="M15" s="21" t="s">
        <v>2376</v>
      </c>
      <c r="N15" s="77" t="s">
        <v>2276</v>
      </c>
      <c r="O15" s="77" t="s">
        <v>2276</v>
      </c>
      <c r="P15" s="77" t="s">
        <v>2276</v>
      </c>
      <c r="Q15" s="21" t="s">
        <v>2375</v>
      </c>
      <c r="R15" s="21" t="s">
        <v>2276</v>
      </c>
      <c r="S15" s="87" t="s">
        <v>2389</v>
      </c>
      <c r="T15" s="87" t="s">
        <v>2276</v>
      </c>
      <c r="U15" s="87" t="s">
        <v>2276</v>
      </c>
      <c r="V15" s="87" t="s">
        <v>2276</v>
      </c>
      <c r="W15" s="21" t="s">
        <v>2375</v>
      </c>
      <c r="X15" s="3" t="s">
        <v>75</v>
      </c>
      <c r="Y15" s="3" t="s">
        <v>35</v>
      </c>
      <c r="Z15" s="3" t="s">
        <v>64</v>
      </c>
      <c r="AA15" s="4" t="s">
        <v>5053</v>
      </c>
      <c r="AB15" s="4" t="s">
        <v>5049</v>
      </c>
    </row>
    <row r="16" spans="1:28" ht="122.5" customHeight="1">
      <c r="A16" s="6" t="str">
        <f>'Reported burning'!A16</f>
        <v>2aa</v>
      </c>
      <c r="B16" s="6" t="str">
        <f>'Reported burning'!B16</f>
        <v>2aa.1</v>
      </c>
      <c r="C16" s="6" t="str">
        <f>'Reported burning'!C16</f>
        <v>Human, deliberate</v>
      </c>
      <c r="D16" s="6" t="str">
        <f>'Reported burning'!D16</f>
        <v>Crop residue burning</v>
      </c>
      <c r="E16" s="6" t="str">
        <f>'Reported burning'!E16</f>
        <v>Cropping, Monoculture, Market-oriented</v>
      </c>
      <c r="F16" s="6" t="str">
        <f>'Reported burning'!F16</f>
        <v>Cropland</v>
      </c>
      <c r="G16" s="6" t="str">
        <f>'Reported burning'!G16</f>
        <v>ND</v>
      </c>
      <c r="H16" s="6" t="str">
        <f>'Reported burning'!H16</f>
        <v>Presence</v>
      </c>
      <c r="I16" s="11"/>
      <c r="J16" s="21" t="s">
        <v>2276</v>
      </c>
      <c r="K16" s="103" t="s">
        <v>2276</v>
      </c>
      <c r="L16" s="21" t="s">
        <v>2276</v>
      </c>
      <c r="M16" s="21" t="s">
        <v>2276</v>
      </c>
      <c r="N16" s="21" t="s">
        <v>2276</v>
      </c>
      <c r="O16" s="21" t="s">
        <v>2276</v>
      </c>
      <c r="P16" s="21" t="s">
        <v>2276</v>
      </c>
      <c r="Q16" s="21" t="s">
        <v>2375</v>
      </c>
      <c r="R16" s="21" t="s">
        <v>2276</v>
      </c>
      <c r="S16" s="87" t="s">
        <v>2389</v>
      </c>
      <c r="T16" s="87" t="s">
        <v>2276</v>
      </c>
      <c r="U16" s="87" t="s">
        <v>2276</v>
      </c>
      <c r="V16" s="87" t="s">
        <v>2276</v>
      </c>
      <c r="W16" s="21" t="s">
        <v>2375</v>
      </c>
      <c r="X16" s="3" t="s">
        <v>75</v>
      </c>
      <c r="Y16" s="3" t="s">
        <v>35</v>
      </c>
      <c r="Z16" s="3" t="s">
        <v>64</v>
      </c>
      <c r="AA16" s="4" t="s">
        <v>5053</v>
      </c>
      <c r="AB16" s="4" t="s">
        <v>5050</v>
      </c>
    </row>
    <row r="17" spans="1:28" ht="114.5" customHeight="1">
      <c r="A17" s="6" t="str">
        <f>'Reported burning'!A17</f>
        <v>2ab</v>
      </c>
      <c r="B17" s="6" t="str">
        <f>'Reported burning'!B17</f>
        <v>2ab.1</v>
      </c>
      <c r="C17" s="6" t="str">
        <f>'Reported burning'!C17</f>
        <v>Human, deliberate</v>
      </c>
      <c r="D17" s="6" t="str">
        <f>'Reported burning'!D17</f>
        <v>Crop residue burning</v>
      </c>
      <c r="E17" s="6" t="str">
        <f>'Reported burning'!E17</f>
        <v>Cropping, Monoculture, Market-oriented</v>
      </c>
      <c r="F17" s="6" t="str">
        <f>'Reported burning'!F17</f>
        <v>Cropland</v>
      </c>
      <c r="G17" s="6" t="str">
        <f>'Reported burning'!G17</f>
        <v>ND</v>
      </c>
      <c r="H17" s="6" t="str">
        <f>'Reported burning'!H17</f>
        <v>Presence</v>
      </c>
      <c r="I17" s="11"/>
      <c r="J17" s="21" t="s">
        <v>2276</v>
      </c>
      <c r="K17" s="103" t="s">
        <v>2276</v>
      </c>
      <c r="L17" s="21" t="s">
        <v>2276</v>
      </c>
      <c r="M17" s="21" t="s">
        <v>2276</v>
      </c>
      <c r="N17" s="21" t="s">
        <v>2276</v>
      </c>
      <c r="O17" s="21" t="s">
        <v>2276</v>
      </c>
      <c r="P17" s="21" t="s">
        <v>2276</v>
      </c>
      <c r="Q17" s="21" t="s">
        <v>2375</v>
      </c>
      <c r="R17" s="21" t="s">
        <v>2276</v>
      </c>
      <c r="S17" s="87" t="s">
        <v>2389</v>
      </c>
      <c r="T17" s="87" t="s">
        <v>2276</v>
      </c>
      <c r="U17" s="87" t="s">
        <v>2276</v>
      </c>
      <c r="V17" s="87" t="s">
        <v>2276</v>
      </c>
      <c r="W17" s="21" t="s">
        <v>2375</v>
      </c>
      <c r="X17" s="3" t="s">
        <v>75</v>
      </c>
      <c r="Y17" s="3" t="s">
        <v>35</v>
      </c>
      <c r="Z17" s="3" t="s">
        <v>64</v>
      </c>
      <c r="AA17" s="4" t="s">
        <v>5053</v>
      </c>
      <c r="AB17" s="4" t="s">
        <v>5050</v>
      </c>
    </row>
    <row r="18" spans="1:28" ht="111.5" customHeight="1">
      <c r="A18" s="6" t="str">
        <f>'Reported burning'!A18</f>
        <v>2ac</v>
      </c>
      <c r="B18" s="6" t="str">
        <f>'Reported burning'!B18</f>
        <v>2ac.1</v>
      </c>
      <c r="C18" s="6" t="str">
        <f>'Reported burning'!C18</f>
        <v>Human, deliberate</v>
      </c>
      <c r="D18" s="6" t="str">
        <f>'Reported burning'!D18</f>
        <v>Crop residue burning</v>
      </c>
      <c r="E18" s="6" t="str">
        <f>'Reported burning'!E18</f>
        <v>Cropping, Monoculture, Market-oriented</v>
      </c>
      <c r="F18" s="6" t="str">
        <f>'Reported burning'!F18</f>
        <v>Cropland</v>
      </c>
      <c r="G18" s="6" t="str">
        <f>'Reported burning'!G18</f>
        <v>ND</v>
      </c>
      <c r="H18" s="6" t="str">
        <f>'Reported burning'!H18</f>
        <v>Presence</v>
      </c>
      <c r="I18" s="11"/>
      <c r="J18" s="21" t="s">
        <v>2276</v>
      </c>
      <c r="K18" s="103" t="s">
        <v>2276</v>
      </c>
      <c r="L18" s="21" t="s">
        <v>2276</v>
      </c>
      <c r="M18" s="21" t="s">
        <v>2276</v>
      </c>
      <c r="N18" s="21" t="s">
        <v>2276</v>
      </c>
      <c r="O18" s="21" t="s">
        <v>2276</v>
      </c>
      <c r="P18" s="21" t="s">
        <v>2276</v>
      </c>
      <c r="Q18" s="21" t="s">
        <v>2375</v>
      </c>
      <c r="R18" s="21" t="s">
        <v>2276</v>
      </c>
      <c r="S18" s="87" t="s">
        <v>2391</v>
      </c>
      <c r="T18" s="87" t="s">
        <v>2276</v>
      </c>
      <c r="U18" s="87" t="s">
        <v>2276</v>
      </c>
      <c r="V18" s="87" t="s">
        <v>2276</v>
      </c>
      <c r="W18" s="21" t="s">
        <v>2375</v>
      </c>
      <c r="X18" s="3" t="s">
        <v>75</v>
      </c>
      <c r="Y18" s="3" t="s">
        <v>35</v>
      </c>
      <c r="Z18" s="3" t="s">
        <v>64</v>
      </c>
      <c r="AA18" s="4" t="s">
        <v>5053</v>
      </c>
      <c r="AB18" s="4" t="s">
        <v>5050</v>
      </c>
    </row>
    <row r="19" spans="1:28" ht="115" customHeight="1">
      <c r="A19" s="6" t="str">
        <f>'Reported burning'!A19</f>
        <v>2ad</v>
      </c>
      <c r="B19" s="6" t="str">
        <f>'Reported burning'!B19</f>
        <v>2ad.1</v>
      </c>
      <c r="C19" s="6" t="str">
        <f>'Reported burning'!C19</f>
        <v>Human, deliberate</v>
      </c>
      <c r="D19" s="6" t="str">
        <f>'Reported burning'!D19</f>
        <v>Crop residue burning</v>
      </c>
      <c r="E19" s="6" t="str">
        <f>'Reported burning'!E19</f>
        <v>Cropping, Monoculture, Market-oriented</v>
      </c>
      <c r="F19" s="6" t="str">
        <f>'Reported burning'!F19</f>
        <v>Cropland</v>
      </c>
      <c r="G19" s="6" t="str">
        <f>'Reported burning'!G19</f>
        <v>ND</v>
      </c>
      <c r="H19" s="6" t="str">
        <f>'Reported burning'!H19</f>
        <v>Presence</v>
      </c>
      <c r="I19" s="11"/>
      <c r="J19" s="21" t="s">
        <v>2276</v>
      </c>
      <c r="K19" s="103" t="s">
        <v>2276</v>
      </c>
      <c r="L19" s="21" t="s">
        <v>2276</v>
      </c>
      <c r="M19" s="21" t="s">
        <v>2276</v>
      </c>
      <c r="N19" s="21" t="s">
        <v>2276</v>
      </c>
      <c r="O19" s="21" t="s">
        <v>2276</v>
      </c>
      <c r="P19" s="21" t="s">
        <v>2276</v>
      </c>
      <c r="Q19" s="21" t="s">
        <v>2375</v>
      </c>
      <c r="R19" s="21" t="s">
        <v>2276</v>
      </c>
      <c r="S19" s="87" t="s">
        <v>2390</v>
      </c>
      <c r="T19" s="87" t="s">
        <v>2276</v>
      </c>
      <c r="U19" s="87" t="s">
        <v>2276</v>
      </c>
      <c r="V19" s="87" t="s">
        <v>2276</v>
      </c>
      <c r="W19" s="21" t="s">
        <v>2375</v>
      </c>
      <c r="X19" s="3" t="s">
        <v>75</v>
      </c>
      <c r="Y19" s="3" t="s">
        <v>35</v>
      </c>
      <c r="Z19" s="3" t="s">
        <v>64</v>
      </c>
      <c r="AA19" s="4" t="s">
        <v>5053</v>
      </c>
      <c r="AB19" s="4" t="s">
        <v>5050</v>
      </c>
    </row>
    <row r="20" spans="1:28" ht="76.5" customHeight="1">
      <c r="A20" s="6" t="str">
        <f>'Reported burning'!A20</f>
        <v>2ae</v>
      </c>
      <c r="B20" s="6" t="str">
        <f>'Reported burning'!B20</f>
        <v>2ae.1</v>
      </c>
      <c r="C20" s="6" t="str">
        <f>'Reported burning'!C20</f>
        <v>Human, deliberate</v>
      </c>
      <c r="D20" s="6" t="str">
        <f>'Reported burning'!D20</f>
        <v>Crop residue burning</v>
      </c>
      <c r="E20" s="6" t="str">
        <f>'Reported burning'!E20</f>
        <v>Cropping, Monoculture, Market-oriented</v>
      </c>
      <c r="F20" s="6" t="str">
        <f>'Reported burning'!F20</f>
        <v>Cropland</v>
      </c>
      <c r="G20" s="6" t="str">
        <f>'Reported burning'!G20</f>
        <v>ND</v>
      </c>
      <c r="H20" s="6" t="str">
        <f>'Reported burning'!H20</f>
        <v>Presence</v>
      </c>
      <c r="I20" s="11"/>
      <c r="J20" s="21" t="s">
        <v>2276</v>
      </c>
      <c r="K20" s="103" t="s">
        <v>2276</v>
      </c>
      <c r="L20" s="21" t="s">
        <v>2276</v>
      </c>
      <c r="M20" s="21" t="s">
        <v>2276</v>
      </c>
      <c r="N20" s="21" t="s">
        <v>2276</v>
      </c>
      <c r="O20" s="21" t="s">
        <v>2276</v>
      </c>
      <c r="P20" s="21" t="s">
        <v>2276</v>
      </c>
      <c r="Q20" s="21" t="s">
        <v>2375</v>
      </c>
      <c r="R20" s="21" t="s">
        <v>2276</v>
      </c>
      <c r="S20" s="87" t="s">
        <v>2391</v>
      </c>
      <c r="T20" s="87" t="s">
        <v>2276</v>
      </c>
      <c r="U20" s="87" t="s">
        <v>2276</v>
      </c>
      <c r="V20" s="87" t="s">
        <v>2276</v>
      </c>
      <c r="W20" s="21" t="s">
        <v>2375</v>
      </c>
      <c r="X20" s="3" t="s">
        <v>75</v>
      </c>
      <c r="Y20" s="3" t="s">
        <v>35</v>
      </c>
      <c r="Z20" s="3" t="s">
        <v>64</v>
      </c>
      <c r="AA20" s="4" t="s">
        <v>5053</v>
      </c>
      <c r="AB20" s="4" t="s">
        <v>5050</v>
      </c>
    </row>
    <row r="21" spans="1:28" ht="78" customHeight="1">
      <c r="A21" s="6" t="str">
        <f>'Reported burning'!A21</f>
        <v>2af</v>
      </c>
      <c r="B21" s="6" t="str">
        <f>'Reported burning'!B21</f>
        <v>2af.1</v>
      </c>
      <c r="C21" s="6" t="str">
        <f>'Reported burning'!C21</f>
        <v>Human, deliberate</v>
      </c>
      <c r="D21" s="6" t="str">
        <f>'Reported burning'!D21</f>
        <v>Crop residue burning</v>
      </c>
      <c r="E21" s="6" t="str">
        <f>'Reported burning'!E21</f>
        <v>Cropping, Monoculture, Market-oriented</v>
      </c>
      <c r="F21" s="6" t="str">
        <f>'Reported burning'!F21</f>
        <v>Cropland</v>
      </c>
      <c r="G21" s="6" t="str">
        <f>'Reported burning'!G21</f>
        <v>ND</v>
      </c>
      <c r="H21" s="6" t="str">
        <f>'Reported burning'!H21</f>
        <v>Presence</v>
      </c>
      <c r="I21" s="11"/>
      <c r="J21" s="21" t="s">
        <v>2276</v>
      </c>
      <c r="K21" s="103" t="s">
        <v>2276</v>
      </c>
      <c r="L21" s="21" t="s">
        <v>2276</v>
      </c>
      <c r="M21" s="21" t="s">
        <v>2276</v>
      </c>
      <c r="N21" s="21" t="s">
        <v>2276</v>
      </c>
      <c r="O21" s="21" t="s">
        <v>2276</v>
      </c>
      <c r="P21" s="21" t="s">
        <v>2276</v>
      </c>
      <c r="Q21" s="21" t="s">
        <v>2375</v>
      </c>
      <c r="R21" s="21" t="s">
        <v>2276</v>
      </c>
      <c r="S21" s="87" t="s">
        <v>2392</v>
      </c>
      <c r="T21" s="87" t="s">
        <v>2276</v>
      </c>
      <c r="U21" s="87" t="s">
        <v>2276</v>
      </c>
      <c r="V21" s="87" t="s">
        <v>2276</v>
      </c>
      <c r="W21" s="21" t="s">
        <v>2375</v>
      </c>
      <c r="X21" s="3" t="s">
        <v>75</v>
      </c>
      <c r="Y21" s="3" t="s">
        <v>35</v>
      </c>
      <c r="Z21" s="3" t="s">
        <v>64</v>
      </c>
      <c r="AA21" s="4" t="s">
        <v>5053</v>
      </c>
      <c r="AB21" s="4" t="s">
        <v>5050</v>
      </c>
    </row>
    <row r="22" spans="1:28" ht="70.5" customHeight="1">
      <c r="A22" s="6" t="str">
        <f>'Reported burning'!A22</f>
        <v>2ag</v>
      </c>
      <c r="B22" s="6" t="str">
        <f>'Reported burning'!B22</f>
        <v>2ag.1</v>
      </c>
      <c r="C22" s="6" t="str">
        <f>'Reported burning'!C22</f>
        <v>Human, deliberate</v>
      </c>
      <c r="D22" s="6" t="str">
        <f>'Reported burning'!D22</f>
        <v>Crop residue burning</v>
      </c>
      <c r="E22" s="6" t="str">
        <f>'Reported burning'!E22</f>
        <v>Cropping, Monoculture, Market-oriented</v>
      </c>
      <c r="F22" s="6" t="str">
        <f>'Reported burning'!F22</f>
        <v>Cropland</v>
      </c>
      <c r="G22" s="6" t="str">
        <f>'Reported burning'!G22</f>
        <v>ND</v>
      </c>
      <c r="H22" s="6" t="str">
        <f>'Reported burning'!H22</f>
        <v>Presence</v>
      </c>
      <c r="I22" s="11"/>
      <c r="J22" s="21" t="s">
        <v>2276</v>
      </c>
      <c r="K22" s="103" t="s">
        <v>2276</v>
      </c>
      <c r="L22" s="21" t="s">
        <v>2276</v>
      </c>
      <c r="M22" s="21" t="s">
        <v>2276</v>
      </c>
      <c r="N22" s="21" t="s">
        <v>2276</v>
      </c>
      <c r="O22" s="21" t="s">
        <v>2276</v>
      </c>
      <c r="P22" s="21" t="s">
        <v>2276</v>
      </c>
      <c r="Q22" s="21" t="s">
        <v>2375</v>
      </c>
      <c r="R22" s="21" t="s">
        <v>2276</v>
      </c>
      <c r="S22" s="87" t="s">
        <v>2391</v>
      </c>
      <c r="T22" s="87" t="s">
        <v>2276</v>
      </c>
      <c r="U22" s="87" t="s">
        <v>2276</v>
      </c>
      <c r="V22" s="87" t="s">
        <v>2276</v>
      </c>
      <c r="W22" s="21" t="s">
        <v>2375</v>
      </c>
      <c r="X22" s="3" t="s">
        <v>75</v>
      </c>
      <c r="Y22" s="3" t="s">
        <v>35</v>
      </c>
      <c r="Z22" s="3" t="s">
        <v>64</v>
      </c>
      <c r="AA22" s="4" t="s">
        <v>5053</v>
      </c>
      <c r="AB22" s="4" t="s">
        <v>5050</v>
      </c>
    </row>
    <row r="23" spans="1:28" ht="89" customHeight="1">
      <c r="A23" s="6" t="str">
        <f>'Reported burning'!A23</f>
        <v>2ah</v>
      </c>
      <c r="B23" s="6" t="str">
        <f>'Reported burning'!B23</f>
        <v>2ah.1</v>
      </c>
      <c r="C23" s="6" t="str">
        <f>'Reported burning'!C23</f>
        <v>Human, deliberate</v>
      </c>
      <c r="D23" s="6" t="str">
        <f>'Reported burning'!D23</f>
        <v>Crop residue burning</v>
      </c>
      <c r="E23" s="6" t="str">
        <f>'Reported burning'!E23</f>
        <v>Cropping, Monoculture, Market-oriented</v>
      </c>
      <c r="F23" s="6" t="str">
        <f>'Reported burning'!F23</f>
        <v>Cropland</v>
      </c>
      <c r="G23" s="6" t="str">
        <f>'Reported burning'!G23</f>
        <v>ND</v>
      </c>
      <c r="H23" s="6" t="str">
        <f>'Reported burning'!H23</f>
        <v>Presence</v>
      </c>
      <c r="I23" s="11"/>
      <c r="J23" s="21" t="s">
        <v>2276</v>
      </c>
      <c r="K23" s="103" t="s">
        <v>2276</v>
      </c>
      <c r="L23" s="21" t="s">
        <v>2276</v>
      </c>
      <c r="M23" s="21" t="s">
        <v>2276</v>
      </c>
      <c r="N23" s="21" t="s">
        <v>2276</v>
      </c>
      <c r="O23" s="21" t="s">
        <v>2276</v>
      </c>
      <c r="P23" s="21" t="s">
        <v>2276</v>
      </c>
      <c r="Q23" s="21" t="s">
        <v>2375</v>
      </c>
      <c r="R23" s="21" t="s">
        <v>2276</v>
      </c>
      <c r="S23" s="87" t="s">
        <v>2391</v>
      </c>
      <c r="T23" s="87" t="s">
        <v>2276</v>
      </c>
      <c r="U23" s="87" t="s">
        <v>2276</v>
      </c>
      <c r="V23" s="87" t="s">
        <v>2276</v>
      </c>
      <c r="W23" s="21" t="s">
        <v>2375</v>
      </c>
      <c r="X23" s="3" t="s">
        <v>75</v>
      </c>
      <c r="Y23" s="3" t="s">
        <v>35</v>
      </c>
      <c r="Z23" s="3" t="s">
        <v>64</v>
      </c>
      <c r="AA23" s="4" t="s">
        <v>5053</v>
      </c>
      <c r="AB23" s="4" t="s">
        <v>5050</v>
      </c>
    </row>
    <row r="24" spans="1:28" ht="88.5" customHeight="1">
      <c r="A24" s="6" t="str">
        <f>'Reported burning'!A24</f>
        <v>2ai</v>
      </c>
      <c r="B24" s="6" t="str">
        <f>'Reported burning'!B24</f>
        <v>2ai.1</v>
      </c>
      <c r="C24" s="6" t="str">
        <f>'Reported burning'!C24</f>
        <v>Human, deliberate</v>
      </c>
      <c r="D24" s="6" t="str">
        <f>'Reported burning'!D24</f>
        <v>Crop residue burning</v>
      </c>
      <c r="E24" s="6" t="str">
        <f>'Reported burning'!E24</f>
        <v>Cropping, Monoculture, Market-oriented</v>
      </c>
      <c r="F24" s="6" t="str">
        <f>'Reported burning'!F24</f>
        <v>Cropland</v>
      </c>
      <c r="G24" s="6" t="str">
        <f>'Reported burning'!G24</f>
        <v>ND</v>
      </c>
      <c r="H24" s="6" t="str">
        <f>'Reported burning'!H24</f>
        <v>Presence</v>
      </c>
      <c r="I24" s="11"/>
      <c r="J24" s="21" t="s">
        <v>2276</v>
      </c>
      <c r="K24" s="103" t="s">
        <v>2276</v>
      </c>
      <c r="L24" s="21" t="s">
        <v>2276</v>
      </c>
      <c r="M24" s="21" t="s">
        <v>2276</v>
      </c>
      <c r="N24" s="21" t="s">
        <v>2276</v>
      </c>
      <c r="O24" s="21" t="s">
        <v>2276</v>
      </c>
      <c r="P24" s="21" t="s">
        <v>2276</v>
      </c>
      <c r="Q24" s="21" t="s">
        <v>2375</v>
      </c>
      <c r="R24" s="21" t="s">
        <v>2276</v>
      </c>
      <c r="S24" s="87" t="s">
        <v>2391</v>
      </c>
      <c r="T24" s="87" t="s">
        <v>2276</v>
      </c>
      <c r="U24" s="87" t="s">
        <v>2276</v>
      </c>
      <c r="V24" s="87" t="s">
        <v>2276</v>
      </c>
      <c r="W24" s="21" t="s">
        <v>2375</v>
      </c>
      <c r="X24" s="3" t="s">
        <v>75</v>
      </c>
      <c r="Y24" s="3" t="s">
        <v>35</v>
      </c>
      <c r="Z24" s="3" t="s">
        <v>64</v>
      </c>
      <c r="AA24" s="4" t="s">
        <v>5053</v>
      </c>
      <c r="AB24" s="4" t="s">
        <v>5050</v>
      </c>
    </row>
    <row r="25" spans="1:28" ht="87" customHeight="1">
      <c r="A25" s="6" t="str">
        <f>'Reported burning'!A25</f>
        <v>2aj</v>
      </c>
      <c r="B25" s="6" t="str">
        <f>'Reported burning'!B25</f>
        <v>2aj.1</v>
      </c>
      <c r="C25" s="6" t="str">
        <f>'Reported burning'!C25</f>
        <v>Human, deliberate</v>
      </c>
      <c r="D25" s="6" t="str">
        <f>'Reported burning'!D25</f>
        <v>Crop residue burning</v>
      </c>
      <c r="E25" s="6" t="str">
        <f>'Reported burning'!E25</f>
        <v>Cropping, Monoculture, Market-oriented</v>
      </c>
      <c r="F25" s="6" t="str">
        <f>'Reported burning'!F25</f>
        <v>Cropland</v>
      </c>
      <c r="G25" s="6" t="str">
        <f>'Reported burning'!G25</f>
        <v>ND</v>
      </c>
      <c r="H25" s="6" t="str">
        <f>'Reported burning'!H25</f>
        <v>Presence</v>
      </c>
      <c r="I25" s="11"/>
      <c r="J25" s="21" t="s">
        <v>2276</v>
      </c>
      <c r="K25" s="103" t="s">
        <v>2276</v>
      </c>
      <c r="L25" s="21" t="s">
        <v>2276</v>
      </c>
      <c r="M25" s="21" t="s">
        <v>2276</v>
      </c>
      <c r="N25" s="21" t="s">
        <v>2276</v>
      </c>
      <c r="O25" s="21" t="s">
        <v>2276</v>
      </c>
      <c r="P25" s="21" t="s">
        <v>2276</v>
      </c>
      <c r="Q25" s="21" t="s">
        <v>2375</v>
      </c>
      <c r="R25" s="21" t="s">
        <v>2276</v>
      </c>
      <c r="S25" s="87" t="s">
        <v>2527</v>
      </c>
      <c r="T25" s="87" t="s">
        <v>2276</v>
      </c>
      <c r="U25" s="87" t="s">
        <v>2276</v>
      </c>
      <c r="V25" s="87" t="s">
        <v>2276</v>
      </c>
      <c r="W25" s="21" t="s">
        <v>2375</v>
      </c>
      <c r="X25" s="3" t="s">
        <v>75</v>
      </c>
      <c r="Y25" s="3" t="s">
        <v>35</v>
      </c>
      <c r="Z25" s="3" t="s">
        <v>64</v>
      </c>
      <c r="AA25" s="4" t="s">
        <v>5053</v>
      </c>
      <c r="AB25" s="4" t="s">
        <v>5050</v>
      </c>
    </row>
    <row r="26" spans="1:28" ht="152" customHeight="1">
      <c r="A26" s="6" t="str">
        <f>'Reported burning'!A26</f>
        <v>2ak</v>
      </c>
      <c r="B26" s="6" t="str">
        <f>'Reported burning'!B26</f>
        <v>2ak.1</v>
      </c>
      <c r="C26" s="6" t="str">
        <f>'Reported burning'!C26</f>
        <v>Human, deliberate</v>
      </c>
      <c r="D26" s="6" t="str">
        <f>'Reported burning'!D26</f>
        <v>Crop residue burning</v>
      </c>
      <c r="E26" s="6" t="str">
        <f>'Reported burning'!E26</f>
        <v>Cropping, Monoculture, Market-oriented</v>
      </c>
      <c r="F26" s="6" t="str">
        <f>'Reported burning'!F26</f>
        <v>Cropland</v>
      </c>
      <c r="G26" s="6" t="str">
        <f>'Reported burning'!G26</f>
        <v>ND</v>
      </c>
      <c r="H26" s="6" t="str">
        <f>'Reported burning'!H26</f>
        <v>Presence</v>
      </c>
      <c r="I26" s="11"/>
      <c r="J26" s="21" t="s">
        <v>2276</v>
      </c>
      <c r="K26" s="103" t="s">
        <v>2276</v>
      </c>
      <c r="L26" s="21" t="s">
        <v>2276</v>
      </c>
      <c r="M26" s="21" t="s">
        <v>2276</v>
      </c>
      <c r="N26" s="21" t="s">
        <v>2276</v>
      </c>
      <c r="O26" s="21" t="s">
        <v>2276</v>
      </c>
      <c r="P26" s="21" t="s">
        <v>2276</v>
      </c>
      <c r="Q26" s="21" t="s">
        <v>2375</v>
      </c>
      <c r="R26" s="21" t="s">
        <v>2276</v>
      </c>
      <c r="S26" s="87" t="s">
        <v>2392</v>
      </c>
      <c r="T26" s="87" t="s">
        <v>2276</v>
      </c>
      <c r="U26" s="87" t="s">
        <v>2276</v>
      </c>
      <c r="V26" s="87" t="s">
        <v>2276</v>
      </c>
      <c r="W26" s="21" t="s">
        <v>2375</v>
      </c>
      <c r="X26" s="3" t="s">
        <v>75</v>
      </c>
      <c r="Y26" s="3" t="s">
        <v>35</v>
      </c>
      <c r="Z26" s="3" t="s">
        <v>64</v>
      </c>
      <c r="AA26" s="4" t="s">
        <v>5053</v>
      </c>
      <c r="AB26" s="4" t="s">
        <v>5050</v>
      </c>
    </row>
    <row r="27" spans="1:28" ht="140" customHeight="1">
      <c r="A27" s="6" t="str">
        <f>'Reported burning'!A27</f>
        <v>2al</v>
      </c>
      <c r="B27" s="6" t="str">
        <f>'Reported burning'!B27</f>
        <v>2al.1</v>
      </c>
      <c r="C27" s="6" t="str">
        <f>'Reported burning'!C27</f>
        <v>Human, deliberate</v>
      </c>
      <c r="D27" s="6" t="str">
        <f>'Reported burning'!D27</f>
        <v>Crop residue burning</v>
      </c>
      <c r="E27" s="6" t="str">
        <f>'Reported burning'!E27</f>
        <v>Cropping, Monoculture, Market-oriented</v>
      </c>
      <c r="F27" s="6" t="str">
        <f>'Reported burning'!F27</f>
        <v>Cropland</v>
      </c>
      <c r="G27" s="6" t="str">
        <f>'Reported burning'!G27</f>
        <v>ND</v>
      </c>
      <c r="H27" s="6" t="str">
        <f>'Reported burning'!H27</f>
        <v>Presence</v>
      </c>
      <c r="I27" s="11"/>
      <c r="J27" s="21" t="s">
        <v>2276</v>
      </c>
      <c r="K27" s="103" t="s">
        <v>2276</v>
      </c>
      <c r="L27" s="21" t="s">
        <v>2276</v>
      </c>
      <c r="M27" s="21" t="s">
        <v>2276</v>
      </c>
      <c r="N27" s="21" t="s">
        <v>2276</v>
      </c>
      <c r="O27" s="21" t="s">
        <v>2276</v>
      </c>
      <c r="P27" s="21" t="s">
        <v>2276</v>
      </c>
      <c r="Q27" s="21" t="s">
        <v>2375</v>
      </c>
      <c r="R27" s="21" t="s">
        <v>2276</v>
      </c>
      <c r="S27" s="87" t="s">
        <v>2391</v>
      </c>
      <c r="T27" s="87" t="s">
        <v>2276</v>
      </c>
      <c r="U27" s="87" t="s">
        <v>2276</v>
      </c>
      <c r="V27" s="87" t="s">
        <v>2276</v>
      </c>
      <c r="W27" s="21" t="s">
        <v>2375</v>
      </c>
      <c r="X27" s="3" t="s">
        <v>75</v>
      </c>
      <c r="Y27" s="3" t="s">
        <v>35</v>
      </c>
      <c r="Z27" s="3" t="s">
        <v>64</v>
      </c>
      <c r="AA27" s="4" t="s">
        <v>5053</v>
      </c>
      <c r="AB27" s="4" t="s">
        <v>5050</v>
      </c>
    </row>
    <row r="28" spans="1:28" ht="43" customHeight="1">
      <c r="A28" s="6" t="str">
        <f>'Reported burning'!A28</f>
        <v>2am</v>
      </c>
      <c r="B28" s="6" t="str">
        <f>'Reported burning'!B28</f>
        <v>2am.1</v>
      </c>
      <c r="C28" s="6" t="str">
        <f>'Reported burning'!C28</f>
        <v>Human, deliberate</v>
      </c>
      <c r="D28" s="6" t="str">
        <f>'Reported burning'!D28</f>
        <v>Crop residue burning</v>
      </c>
      <c r="E28" s="6" t="str">
        <f>'Reported burning'!E28</f>
        <v>Cropping, Monoculture, Market-oriented</v>
      </c>
      <c r="F28" s="6" t="str">
        <f>'Reported burning'!F28</f>
        <v>Cropland</v>
      </c>
      <c r="G28" s="6" t="str">
        <f>'Reported burning'!G28</f>
        <v>ND</v>
      </c>
      <c r="H28" s="6" t="str">
        <f>'Reported burning'!H28</f>
        <v>Presence</v>
      </c>
      <c r="I28" s="11"/>
      <c r="J28" s="21" t="s">
        <v>2276</v>
      </c>
      <c r="K28" s="103" t="s">
        <v>2276</v>
      </c>
      <c r="L28" s="21" t="s">
        <v>2276</v>
      </c>
      <c r="M28" s="21" t="s">
        <v>2276</v>
      </c>
      <c r="N28" s="21" t="s">
        <v>2276</v>
      </c>
      <c r="O28" s="21" t="s">
        <v>2276</v>
      </c>
      <c r="P28" s="21" t="s">
        <v>2276</v>
      </c>
      <c r="Q28" s="21" t="s">
        <v>2375</v>
      </c>
      <c r="R28" s="21" t="s">
        <v>2276</v>
      </c>
      <c r="S28" s="87" t="s">
        <v>2392</v>
      </c>
      <c r="T28" s="87" t="s">
        <v>2276</v>
      </c>
      <c r="U28" s="87" t="s">
        <v>2276</v>
      </c>
      <c r="V28" s="87" t="s">
        <v>2276</v>
      </c>
      <c r="W28" s="21" t="s">
        <v>2375</v>
      </c>
      <c r="X28" s="3" t="s">
        <v>75</v>
      </c>
      <c r="Y28" s="3" t="s">
        <v>35</v>
      </c>
      <c r="Z28" s="3" t="s">
        <v>64</v>
      </c>
      <c r="AA28" s="4" t="s">
        <v>5053</v>
      </c>
      <c r="AB28" s="4" t="s">
        <v>5050</v>
      </c>
    </row>
    <row r="29" spans="1:28" ht="56" customHeight="1">
      <c r="A29" s="6" t="str">
        <f>'Reported burning'!A29</f>
        <v>2an</v>
      </c>
      <c r="B29" s="6" t="str">
        <f>'Reported burning'!B29</f>
        <v>2an.1</v>
      </c>
      <c r="C29" s="6" t="str">
        <f>'Reported burning'!C29</f>
        <v>Human, deliberate</v>
      </c>
      <c r="D29" s="6" t="str">
        <f>'Reported burning'!D29</f>
        <v>Crop residue burning</v>
      </c>
      <c r="E29" s="6" t="str">
        <f>'Reported burning'!E29</f>
        <v>Cropping, Monoculture, Market-oriented</v>
      </c>
      <c r="F29" s="6" t="str">
        <f>'Reported burning'!F29</f>
        <v>Cropland</v>
      </c>
      <c r="G29" s="6" t="str">
        <f>'Reported burning'!G29</f>
        <v>ND</v>
      </c>
      <c r="H29" s="6" t="str">
        <f>'Reported burning'!H29</f>
        <v>Presence</v>
      </c>
      <c r="I29" s="11"/>
      <c r="J29" s="21" t="s">
        <v>2276</v>
      </c>
      <c r="K29" s="103" t="s">
        <v>2276</v>
      </c>
      <c r="L29" s="21" t="s">
        <v>2276</v>
      </c>
      <c r="M29" s="21" t="s">
        <v>2276</v>
      </c>
      <c r="N29" s="21" t="s">
        <v>2276</v>
      </c>
      <c r="O29" s="21" t="s">
        <v>2276</v>
      </c>
      <c r="P29" s="21" t="s">
        <v>2276</v>
      </c>
      <c r="Q29" s="21" t="s">
        <v>2375</v>
      </c>
      <c r="R29" s="21" t="s">
        <v>2276</v>
      </c>
      <c r="S29" s="87" t="s">
        <v>2392</v>
      </c>
      <c r="T29" s="87" t="s">
        <v>2276</v>
      </c>
      <c r="U29" s="87" t="s">
        <v>2276</v>
      </c>
      <c r="V29" s="87" t="s">
        <v>2276</v>
      </c>
      <c r="W29" s="21" t="s">
        <v>2375</v>
      </c>
      <c r="X29" s="3" t="s">
        <v>75</v>
      </c>
      <c r="Y29" s="3" t="s">
        <v>35</v>
      </c>
      <c r="Z29" s="3" t="s">
        <v>64</v>
      </c>
      <c r="AA29" s="4" t="s">
        <v>5053</v>
      </c>
      <c r="AB29" s="4" t="s">
        <v>5050</v>
      </c>
    </row>
    <row r="30" spans="1:28" ht="55" customHeight="1">
      <c r="A30" s="6" t="str">
        <f>'Reported burning'!A30</f>
        <v>2ao</v>
      </c>
      <c r="B30" s="6" t="str">
        <f>'Reported burning'!B30</f>
        <v>2ao.1</v>
      </c>
      <c r="C30" s="6" t="str">
        <f>'Reported burning'!C30</f>
        <v>Human, deliberate</v>
      </c>
      <c r="D30" s="6" t="str">
        <f>'Reported burning'!D30</f>
        <v>Crop residue burning</v>
      </c>
      <c r="E30" s="6" t="str">
        <f>'Reported burning'!E30</f>
        <v>Cropping, Monoculture, Market-oriented</v>
      </c>
      <c r="F30" s="6" t="str">
        <f>'Reported burning'!F30</f>
        <v>Cropland</v>
      </c>
      <c r="G30" s="6" t="str">
        <f>'Reported burning'!G30</f>
        <v>ND</v>
      </c>
      <c r="H30" s="6" t="str">
        <f>'Reported burning'!H30</f>
        <v>Presence</v>
      </c>
      <c r="I30" s="11"/>
      <c r="J30" s="21" t="s">
        <v>2276</v>
      </c>
      <c r="K30" s="103" t="s">
        <v>2276</v>
      </c>
      <c r="L30" s="21" t="s">
        <v>2276</v>
      </c>
      <c r="M30" s="21" t="s">
        <v>2276</v>
      </c>
      <c r="N30" s="21" t="s">
        <v>2276</v>
      </c>
      <c r="O30" s="21" t="s">
        <v>2276</v>
      </c>
      <c r="P30" s="21" t="s">
        <v>2276</v>
      </c>
      <c r="Q30" s="21" t="s">
        <v>2375</v>
      </c>
      <c r="R30" s="21" t="s">
        <v>2276</v>
      </c>
      <c r="S30" s="87" t="s">
        <v>2391</v>
      </c>
      <c r="T30" s="87" t="s">
        <v>2276</v>
      </c>
      <c r="U30" s="87" t="s">
        <v>2276</v>
      </c>
      <c r="V30" s="87" t="s">
        <v>2276</v>
      </c>
      <c r="W30" s="21" t="s">
        <v>2375</v>
      </c>
      <c r="X30" s="3" t="s">
        <v>75</v>
      </c>
      <c r="Y30" s="3" t="s">
        <v>35</v>
      </c>
      <c r="Z30" s="3" t="s">
        <v>64</v>
      </c>
      <c r="AA30" s="4" t="s">
        <v>5053</v>
      </c>
      <c r="AB30" s="4" t="s">
        <v>5050</v>
      </c>
    </row>
    <row r="31" spans="1:28" ht="63.5" customHeight="1">
      <c r="A31" s="6" t="str">
        <f>'Reported burning'!A31</f>
        <v>2ap</v>
      </c>
      <c r="B31" s="6" t="str">
        <f>'Reported burning'!B31</f>
        <v>2ap.1</v>
      </c>
      <c r="C31" s="6" t="str">
        <f>'Reported burning'!C31</f>
        <v>Human, deliberate</v>
      </c>
      <c r="D31" s="6" t="str">
        <f>'Reported burning'!D31</f>
        <v>Crop residue burning</v>
      </c>
      <c r="E31" s="6" t="str">
        <f>'Reported burning'!E31</f>
        <v>Cropping, Monoculture, Market-oriented</v>
      </c>
      <c r="F31" s="6" t="str">
        <f>'Reported burning'!F31</f>
        <v>Cropland</v>
      </c>
      <c r="G31" s="6" t="str">
        <f>'Reported burning'!G31</f>
        <v>ND</v>
      </c>
      <c r="H31" s="6" t="str">
        <f>'Reported burning'!H31</f>
        <v>Presence</v>
      </c>
      <c r="I31" s="11"/>
      <c r="J31" s="21" t="s">
        <v>2276</v>
      </c>
      <c r="K31" s="103" t="s">
        <v>2276</v>
      </c>
      <c r="L31" s="21" t="s">
        <v>2276</v>
      </c>
      <c r="M31" s="21" t="s">
        <v>2276</v>
      </c>
      <c r="N31" s="21" t="s">
        <v>2276</v>
      </c>
      <c r="O31" s="21" t="s">
        <v>2276</v>
      </c>
      <c r="P31" s="21" t="s">
        <v>2276</v>
      </c>
      <c r="Q31" s="21" t="s">
        <v>2375</v>
      </c>
      <c r="R31" s="21" t="s">
        <v>2276</v>
      </c>
      <c r="S31" s="87" t="s">
        <v>2392</v>
      </c>
      <c r="T31" s="87" t="s">
        <v>2276</v>
      </c>
      <c r="U31" s="87" t="s">
        <v>2276</v>
      </c>
      <c r="V31" s="87" t="s">
        <v>2276</v>
      </c>
      <c r="W31" s="21" t="s">
        <v>2375</v>
      </c>
      <c r="X31" s="3" t="s">
        <v>75</v>
      </c>
      <c r="Y31" s="3" t="s">
        <v>35</v>
      </c>
      <c r="Z31" s="3" t="s">
        <v>64</v>
      </c>
      <c r="AA31" s="4" t="s">
        <v>5053</v>
      </c>
      <c r="AB31" s="4" t="s">
        <v>5050</v>
      </c>
    </row>
    <row r="32" spans="1:28" ht="72.5">
      <c r="A32" s="6" t="str">
        <f>'Reported burning'!A32</f>
        <v>2aq</v>
      </c>
      <c r="B32" s="6" t="str">
        <f>'Reported burning'!B32</f>
        <v>2aq.1</v>
      </c>
      <c r="C32" s="6" t="str">
        <f>'Reported burning'!C32</f>
        <v>Human, deliberate</v>
      </c>
      <c r="D32" s="6" t="str">
        <f>'Reported burning'!D32</f>
        <v>Crop residue burning</v>
      </c>
      <c r="E32" s="6" t="str">
        <f>'Reported burning'!E32</f>
        <v>Cropping, Monoculture, Market-oriented</v>
      </c>
      <c r="F32" s="6" t="str">
        <f>'Reported burning'!F32</f>
        <v>Cropland</v>
      </c>
      <c r="G32" s="6" t="str">
        <f>'Reported burning'!G32</f>
        <v>ND</v>
      </c>
      <c r="H32" s="6" t="str">
        <f>'Reported burning'!H32</f>
        <v>Presence</v>
      </c>
      <c r="I32" s="11"/>
      <c r="J32" s="21" t="s">
        <v>2276</v>
      </c>
      <c r="K32" s="103" t="s">
        <v>2276</v>
      </c>
      <c r="L32" s="21" t="s">
        <v>2276</v>
      </c>
      <c r="M32" s="21" t="s">
        <v>2276</v>
      </c>
      <c r="N32" s="21" t="s">
        <v>2276</v>
      </c>
      <c r="O32" s="21" t="s">
        <v>2276</v>
      </c>
      <c r="P32" s="21" t="s">
        <v>2276</v>
      </c>
      <c r="Q32" s="21" t="s">
        <v>2375</v>
      </c>
      <c r="R32" s="21" t="s">
        <v>2276</v>
      </c>
      <c r="S32" s="87" t="s">
        <v>2392</v>
      </c>
      <c r="T32" s="87" t="s">
        <v>2276</v>
      </c>
      <c r="U32" s="87" t="s">
        <v>2276</v>
      </c>
      <c r="V32" s="87" t="s">
        <v>2276</v>
      </c>
      <c r="W32" s="21" t="s">
        <v>2375</v>
      </c>
      <c r="X32" s="3" t="s">
        <v>75</v>
      </c>
      <c r="Y32" s="3" t="s">
        <v>35</v>
      </c>
      <c r="Z32" s="3" t="s">
        <v>64</v>
      </c>
      <c r="AA32" s="4" t="s">
        <v>5053</v>
      </c>
      <c r="AB32" s="4" t="s">
        <v>5050</v>
      </c>
    </row>
    <row r="33" spans="1:28" ht="72.5">
      <c r="A33" s="6" t="str">
        <f>'Reported burning'!A33</f>
        <v>2ar</v>
      </c>
      <c r="B33" s="6" t="str">
        <f>'Reported burning'!B33</f>
        <v>2ar.1</v>
      </c>
      <c r="C33" s="6" t="str">
        <f>'Reported burning'!C33</f>
        <v>Human, deliberate</v>
      </c>
      <c r="D33" s="6" t="str">
        <f>'Reported burning'!D33</f>
        <v>Crop residue burning</v>
      </c>
      <c r="E33" s="6" t="str">
        <f>'Reported burning'!E33</f>
        <v>Cropping, Monoculture, Market-oriented</v>
      </c>
      <c r="F33" s="6" t="str">
        <f>'Reported burning'!F33</f>
        <v>Cropland</v>
      </c>
      <c r="G33" s="6" t="str">
        <f>'Reported burning'!G33</f>
        <v>ND</v>
      </c>
      <c r="H33" s="6" t="str">
        <f>'Reported burning'!H33</f>
        <v>Presence</v>
      </c>
      <c r="I33" s="11"/>
      <c r="J33" s="21" t="s">
        <v>2276</v>
      </c>
      <c r="K33" s="103" t="s">
        <v>2276</v>
      </c>
      <c r="L33" s="21" t="s">
        <v>2276</v>
      </c>
      <c r="M33" s="21" t="s">
        <v>2276</v>
      </c>
      <c r="N33" s="21" t="s">
        <v>2276</v>
      </c>
      <c r="O33" s="21" t="s">
        <v>2276</v>
      </c>
      <c r="P33" s="21" t="s">
        <v>2276</v>
      </c>
      <c r="Q33" s="21" t="s">
        <v>2375</v>
      </c>
      <c r="R33" s="21" t="s">
        <v>2276</v>
      </c>
      <c r="S33" s="87" t="s">
        <v>2392</v>
      </c>
      <c r="T33" s="87" t="s">
        <v>2276</v>
      </c>
      <c r="U33" s="87" t="s">
        <v>2276</v>
      </c>
      <c r="V33" s="87" t="s">
        <v>2276</v>
      </c>
      <c r="W33" s="21" t="s">
        <v>2375</v>
      </c>
      <c r="X33" s="3" t="s">
        <v>75</v>
      </c>
      <c r="Y33" s="3" t="s">
        <v>35</v>
      </c>
      <c r="Z33" s="3" t="s">
        <v>64</v>
      </c>
      <c r="AA33" s="4" t="s">
        <v>5053</v>
      </c>
      <c r="AB33" s="4" t="s">
        <v>5050</v>
      </c>
    </row>
    <row r="34" spans="1:28" ht="72.5">
      <c r="A34" s="6" t="str">
        <f>'Reported burning'!A34</f>
        <v>2as</v>
      </c>
      <c r="B34" s="6" t="str">
        <f>'Reported burning'!B34</f>
        <v>2as.1</v>
      </c>
      <c r="C34" s="6" t="str">
        <f>'Reported burning'!C34</f>
        <v>Human, deliberate</v>
      </c>
      <c r="D34" s="6" t="str">
        <f>'Reported burning'!D34</f>
        <v>Crop residue burning</v>
      </c>
      <c r="E34" s="6" t="str">
        <f>'Reported burning'!E34</f>
        <v>Cropping, Monoculture, Market-oriented</v>
      </c>
      <c r="F34" s="6" t="str">
        <f>'Reported burning'!F34</f>
        <v>Cropland</v>
      </c>
      <c r="G34" s="6" t="str">
        <f>'Reported burning'!G34</f>
        <v>ND</v>
      </c>
      <c r="H34" s="6" t="str">
        <f>'Reported burning'!H34</f>
        <v>Presence</v>
      </c>
      <c r="I34" s="11"/>
      <c r="J34" s="21" t="s">
        <v>2276</v>
      </c>
      <c r="K34" s="103" t="s">
        <v>2276</v>
      </c>
      <c r="L34" s="21" t="s">
        <v>2276</v>
      </c>
      <c r="M34" s="21" t="s">
        <v>2276</v>
      </c>
      <c r="N34" s="21" t="s">
        <v>2276</v>
      </c>
      <c r="O34" s="21" t="s">
        <v>2276</v>
      </c>
      <c r="P34" s="21" t="s">
        <v>2276</v>
      </c>
      <c r="Q34" s="21" t="s">
        <v>2375</v>
      </c>
      <c r="R34" s="21" t="s">
        <v>2276</v>
      </c>
      <c r="S34" s="87" t="s">
        <v>2392</v>
      </c>
      <c r="T34" s="87" t="s">
        <v>2276</v>
      </c>
      <c r="U34" s="87" t="s">
        <v>2276</v>
      </c>
      <c r="V34" s="87" t="s">
        <v>2276</v>
      </c>
      <c r="W34" s="21" t="s">
        <v>2375</v>
      </c>
      <c r="X34" s="3" t="s">
        <v>75</v>
      </c>
      <c r="Y34" s="3" t="s">
        <v>35</v>
      </c>
      <c r="Z34" s="3" t="s">
        <v>64</v>
      </c>
      <c r="AA34" s="4" t="s">
        <v>5053</v>
      </c>
      <c r="AB34" s="4" t="s">
        <v>5050</v>
      </c>
    </row>
    <row r="35" spans="1:28" ht="72.5">
      <c r="A35" s="6" t="str">
        <f>'Reported burning'!A35</f>
        <v>2at</v>
      </c>
      <c r="B35" s="6" t="str">
        <f>'Reported burning'!B35</f>
        <v>2at.1</v>
      </c>
      <c r="C35" s="6" t="str">
        <f>'Reported burning'!C35</f>
        <v>Human, deliberate</v>
      </c>
      <c r="D35" s="6" t="str">
        <f>'Reported burning'!D35</f>
        <v>Crop residue burning</v>
      </c>
      <c r="E35" s="6" t="str">
        <f>'Reported burning'!E35</f>
        <v>Cropping, Monoculture, Market-oriented</v>
      </c>
      <c r="F35" s="6" t="str">
        <f>'Reported burning'!F35</f>
        <v>Cropland</v>
      </c>
      <c r="G35" s="6" t="str">
        <f>'Reported burning'!G35</f>
        <v>ND</v>
      </c>
      <c r="H35" s="6" t="str">
        <f>'Reported burning'!H35</f>
        <v>Presence</v>
      </c>
      <c r="I35" s="11"/>
      <c r="J35" s="21" t="s">
        <v>2276</v>
      </c>
      <c r="K35" s="103" t="s">
        <v>2276</v>
      </c>
      <c r="L35" s="21" t="s">
        <v>2276</v>
      </c>
      <c r="M35" s="21" t="s">
        <v>2276</v>
      </c>
      <c r="N35" s="21" t="s">
        <v>2276</v>
      </c>
      <c r="O35" s="21" t="s">
        <v>2276</v>
      </c>
      <c r="P35" s="21" t="s">
        <v>2276</v>
      </c>
      <c r="Q35" s="21" t="s">
        <v>2375</v>
      </c>
      <c r="R35" s="21" t="s">
        <v>2276</v>
      </c>
      <c r="S35" s="87" t="s">
        <v>2392</v>
      </c>
      <c r="T35" s="87" t="s">
        <v>2276</v>
      </c>
      <c r="U35" s="87" t="s">
        <v>2276</v>
      </c>
      <c r="V35" s="87" t="s">
        <v>2276</v>
      </c>
      <c r="W35" s="21" t="s">
        <v>2375</v>
      </c>
      <c r="X35" s="3" t="s">
        <v>75</v>
      </c>
      <c r="Y35" s="3" t="s">
        <v>35</v>
      </c>
      <c r="Z35" s="3" t="s">
        <v>64</v>
      </c>
      <c r="AA35" s="4" t="s">
        <v>5053</v>
      </c>
      <c r="AB35" s="4" t="s">
        <v>5050</v>
      </c>
    </row>
    <row r="36" spans="1:28" ht="72.5">
      <c r="A36" s="6" t="str">
        <f>'Reported burning'!A36</f>
        <v>2au</v>
      </c>
      <c r="B36" s="6" t="str">
        <f>'Reported burning'!B36</f>
        <v>2au.1</v>
      </c>
      <c r="C36" s="6" t="str">
        <f>'Reported burning'!C36</f>
        <v>Human, deliberate</v>
      </c>
      <c r="D36" s="6" t="str">
        <f>'Reported burning'!D36</f>
        <v>Crop residue burning</v>
      </c>
      <c r="E36" s="6" t="str">
        <f>'Reported burning'!E36</f>
        <v>Cropping, Monoculture, Market-oriented</v>
      </c>
      <c r="F36" s="6" t="str">
        <f>'Reported burning'!F36</f>
        <v>Cropland</v>
      </c>
      <c r="G36" s="6" t="str">
        <f>'Reported burning'!G36</f>
        <v>ND</v>
      </c>
      <c r="H36" s="6" t="str">
        <f>'Reported burning'!H36</f>
        <v>Presence</v>
      </c>
      <c r="I36" s="11"/>
      <c r="J36" s="21" t="s">
        <v>2276</v>
      </c>
      <c r="K36" s="103" t="s">
        <v>2276</v>
      </c>
      <c r="L36" s="21" t="s">
        <v>2276</v>
      </c>
      <c r="M36" s="21" t="s">
        <v>2276</v>
      </c>
      <c r="N36" s="21" t="s">
        <v>2276</v>
      </c>
      <c r="O36" s="21" t="s">
        <v>2276</v>
      </c>
      <c r="P36" s="21" t="s">
        <v>2276</v>
      </c>
      <c r="Q36" s="21" t="s">
        <v>2375</v>
      </c>
      <c r="R36" s="21" t="s">
        <v>2276</v>
      </c>
      <c r="S36" s="87" t="s">
        <v>2391</v>
      </c>
      <c r="T36" s="87" t="s">
        <v>2276</v>
      </c>
      <c r="U36" s="87" t="s">
        <v>2276</v>
      </c>
      <c r="V36" s="87" t="s">
        <v>2276</v>
      </c>
      <c r="W36" s="21" t="s">
        <v>2375</v>
      </c>
      <c r="X36" s="3" t="s">
        <v>75</v>
      </c>
      <c r="Y36" s="3" t="s">
        <v>35</v>
      </c>
      <c r="Z36" s="3" t="s">
        <v>64</v>
      </c>
      <c r="AA36" s="4" t="s">
        <v>5053</v>
      </c>
      <c r="AB36" s="4" t="s">
        <v>5050</v>
      </c>
    </row>
    <row r="37" spans="1:28" ht="72.5">
      <c r="A37" s="6" t="str">
        <f>'Reported burning'!A37</f>
        <v>2av</v>
      </c>
      <c r="B37" s="6" t="str">
        <f>'Reported burning'!B37</f>
        <v>2av.1</v>
      </c>
      <c r="C37" s="6" t="str">
        <f>'Reported burning'!C37</f>
        <v>Human, deliberate</v>
      </c>
      <c r="D37" s="6" t="str">
        <f>'Reported burning'!D37</f>
        <v>Crop residue burning</v>
      </c>
      <c r="E37" s="6" t="str">
        <f>'Reported burning'!E37</f>
        <v>Cropping, Monoculture, Market-oriented</v>
      </c>
      <c r="F37" s="6" t="str">
        <f>'Reported burning'!F37</f>
        <v>Cropland</v>
      </c>
      <c r="G37" s="6" t="str">
        <f>'Reported burning'!G37</f>
        <v>ND</v>
      </c>
      <c r="H37" s="6" t="str">
        <f>'Reported burning'!H37</f>
        <v>Presence</v>
      </c>
      <c r="I37" s="11"/>
      <c r="J37" s="21" t="s">
        <v>2276</v>
      </c>
      <c r="K37" s="103" t="s">
        <v>2276</v>
      </c>
      <c r="L37" s="21" t="s">
        <v>2276</v>
      </c>
      <c r="M37" s="21" t="s">
        <v>2276</v>
      </c>
      <c r="N37" s="21" t="s">
        <v>2276</v>
      </c>
      <c r="O37" s="21" t="s">
        <v>2276</v>
      </c>
      <c r="P37" s="21" t="s">
        <v>2276</v>
      </c>
      <c r="Q37" s="21" t="s">
        <v>2375</v>
      </c>
      <c r="R37" s="21" t="s">
        <v>2276</v>
      </c>
      <c r="S37" s="87" t="s">
        <v>2392</v>
      </c>
      <c r="T37" s="87" t="s">
        <v>2276</v>
      </c>
      <c r="U37" s="87" t="s">
        <v>2276</v>
      </c>
      <c r="V37" s="87" t="s">
        <v>2276</v>
      </c>
      <c r="W37" s="21" t="s">
        <v>2375</v>
      </c>
      <c r="X37" s="3" t="s">
        <v>75</v>
      </c>
      <c r="Y37" s="3" t="s">
        <v>35</v>
      </c>
      <c r="Z37" s="3" t="s">
        <v>64</v>
      </c>
      <c r="AA37" s="4" t="s">
        <v>5053</v>
      </c>
      <c r="AB37" s="4" t="s">
        <v>5050</v>
      </c>
    </row>
    <row r="38" spans="1:28" ht="125.5" customHeight="1">
      <c r="A38" s="6" t="str">
        <f>'Reported burning'!A38</f>
        <v>2aw</v>
      </c>
      <c r="B38" s="6" t="str">
        <f>'Reported burning'!B38</f>
        <v>2aw.1</v>
      </c>
      <c r="C38" s="6" t="str">
        <f>'Reported burning'!C38</f>
        <v>Human, deliberate</v>
      </c>
      <c r="D38" s="6" t="str">
        <f>'Reported burning'!D38</f>
        <v>Crop residue burning</v>
      </c>
      <c r="E38" s="6" t="str">
        <f>'Reported burning'!E38</f>
        <v>Cropping, Monoculture, Market-oriented</v>
      </c>
      <c r="F38" s="6" t="str">
        <f>'Reported burning'!F38</f>
        <v>Cropland</v>
      </c>
      <c r="G38" s="6" t="str">
        <f>'Reported burning'!G38</f>
        <v>ND</v>
      </c>
      <c r="H38" s="6" t="str">
        <f>'Reported burning'!H38</f>
        <v>Presence</v>
      </c>
      <c r="I38" s="11"/>
      <c r="J38" s="21" t="s">
        <v>2276</v>
      </c>
      <c r="K38" s="103" t="s">
        <v>2276</v>
      </c>
      <c r="L38" s="21" t="s">
        <v>2276</v>
      </c>
      <c r="M38" s="21" t="s">
        <v>2276</v>
      </c>
      <c r="N38" s="21" t="s">
        <v>2276</v>
      </c>
      <c r="O38" s="21" t="s">
        <v>2276</v>
      </c>
      <c r="P38" s="21" t="s">
        <v>2276</v>
      </c>
      <c r="Q38" s="21" t="s">
        <v>2375</v>
      </c>
      <c r="R38" s="21" t="s">
        <v>2276</v>
      </c>
      <c r="S38" s="87" t="s">
        <v>2392</v>
      </c>
      <c r="T38" s="87" t="s">
        <v>2276</v>
      </c>
      <c r="U38" s="87" t="s">
        <v>2276</v>
      </c>
      <c r="V38" s="87" t="s">
        <v>2276</v>
      </c>
      <c r="W38" s="21" t="s">
        <v>2375</v>
      </c>
      <c r="X38" s="3" t="s">
        <v>75</v>
      </c>
      <c r="Y38" s="3" t="s">
        <v>35</v>
      </c>
      <c r="Z38" s="3" t="s">
        <v>64</v>
      </c>
      <c r="AA38" s="4" t="s">
        <v>5053</v>
      </c>
      <c r="AB38" s="4" t="s">
        <v>5050</v>
      </c>
    </row>
    <row r="39" spans="1:28" ht="127" customHeight="1">
      <c r="A39" s="6" t="str">
        <f>'Reported burning'!A39</f>
        <v>2ax</v>
      </c>
      <c r="B39" s="6" t="str">
        <f>'Reported burning'!B39</f>
        <v>2ax.1</v>
      </c>
      <c r="C39" s="6" t="str">
        <f>'Reported burning'!C39</f>
        <v>Human, deliberate</v>
      </c>
      <c r="D39" s="6" t="str">
        <f>'Reported burning'!D39</f>
        <v>Crop residue burning</v>
      </c>
      <c r="E39" s="6" t="str">
        <f>'Reported burning'!E39</f>
        <v>Cropping, Monoculture, Market-oriented</v>
      </c>
      <c r="F39" s="6" t="str">
        <f>'Reported burning'!F39</f>
        <v>Cropland</v>
      </c>
      <c r="G39" s="6" t="str">
        <f>'Reported burning'!G39</f>
        <v>ND</v>
      </c>
      <c r="H39" s="6" t="str">
        <f>'Reported burning'!H39</f>
        <v>Presence</v>
      </c>
      <c r="I39" s="11"/>
      <c r="J39" s="21" t="s">
        <v>2276</v>
      </c>
      <c r="K39" s="103" t="s">
        <v>2276</v>
      </c>
      <c r="L39" s="21" t="s">
        <v>2276</v>
      </c>
      <c r="M39" s="21" t="s">
        <v>2276</v>
      </c>
      <c r="N39" s="21" t="s">
        <v>2276</v>
      </c>
      <c r="O39" s="21" t="s">
        <v>2276</v>
      </c>
      <c r="P39" s="21" t="s">
        <v>2276</v>
      </c>
      <c r="Q39" s="21" t="s">
        <v>2375</v>
      </c>
      <c r="R39" s="21" t="s">
        <v>2276</v>
      </c>
      <c r="S39" s="87" t="s">
        <v>2392</v>
      </c>
      <c r="T39" s="87" t="s">
        <v>2276</v>
      </c>
      <c r="U39" s="87" t="s">
        <v>2276</v>
      </c>
      <c r="V39" s="87" t="s">
        <v>2276</v>
      </c>
      <c r="W39" s="21" t="s">
        <v>2375</v>
      </c>
      <c r="X39" s="3" t="s">
        <v>75</v>
      </c>
      <c r="Y39" s="3" t="s">
        <v>35</v>
      </c>
      <c r="Z39" s="3" t="s">
        <v>64</v>
      </c>
      <c r="AA39" s="4" t="s">
        <v>5053</v>
      </c>
      <c r="AB39" s="4" t="s">
        <v>5050</v>
      </c>
    </row>
    <row r="40" spans="1:28" ht="124" customHeight="1">
      <c r="A40" s="6" t="str">
        <f>'Reported burning'!A40</f>
        <v>2ay</v>
      </c>
      <c r="B40" s="6" t="str">
        <f>'Reported burning'!B40</f>
        <v>2ay.1</v>
      </c>
      <c r="C40" s="6" t="str">
        <f>'Reported burning'!C40</f>
        <v>Human, deliberate</v>
      </c>
      <c r="D40" s="6" t="str">
        <f>'Reported burning'!D40</f>
        <v>Crop residue burning</v>
      </c>
      <c r="E40" s="6" t="str">
        <f>'Reported burning'!E40</f>
        <v>Cropping, Monoculture, Market-oriented</v>
      </c>
      <c r="F40" s="6" t="str">
        <f>'Reported burning'!F40</f>
        <v>Cropland</v>
      </c>
      <c r="G40" s="6" t="str">
        <f>'Reported burning'!G40</f>
        <v>ND</v>
      </c>
      <c r="H40" s="6" t="str">
        <f>'Reported burning'!H40</f>
        <v>Presence</v>
      </c>
      <c r="I40" s="11"/>
      <c r="J40" s="21" t="s">
        <v>2276</v>
      </c>
      <c r="K40" s="103" t="s">
        <v>2276</v>
      </c>
      <c r="L40" s="21" t="s">
        <v>2276</v>
      </c>
      <c r="M40" s="21" t="s">
        <v>2276</v>
      </c>
      <c r="N40" s="21" t="s">
        <v>2276</v>
      </c>
      <c r="O40" s="21" t="s">
        <v>2276</v>
      </c>
      <c r="P40" s="21" t="s">
        <v>2276</v>
      </c>
      <c r="Q40" s="21" t="s">
        <v>2375</v>
      </c>
      <c r="R40" s="21" t="s">
        <v>2276</v>
      </c>
      <c r="S40" s="87" t="s">
        <v>2392</v>
      </c>
      <c r="T40" s="87" t="s">
        <v>2276</v>
      </c>
      <c r="U40" s="87" t="s">
        <v>2276</v>
      </c>
      <c r="V40" s="87" t="s">
        <v>2276</v>
      </c>
      <c r="W40" s="21" t="s">
        <v>2375</v>
      </c>
      <c r="X40" s="3" t="s">
        <v>75</v>
      </c>
      <c r="Y40" s="3" t="s">
        <v>35</v>
      </c>
      <c r="Z40" s="3" t="s">
        <v>64</v>
      </c>
      <c r="AA40" s="4" t="s">
        <v>5053</v>
      </c>
      <c r="AB40" s="4" t="s">
        <v>5050</v>
      </c>
    </row>
    <row r="41" spans="1:28" ht="64" customHeight="1">
      <c r="A41" s="6" t="str">
        <f>'Reported burning'!A41</f>
        <v>2az</v>
      </c>
      <c r="B41" s="6" t="str">
        <f>'Reported burning'!B41</f>
        <v>2az.1</v>
      </c>
      <c r="C41" s="6" t="str">
        <f>'Reported burning'!C41</f>
        <v>Human, deliberate</v>
      </c>
      <c r="D41" s="6" t="str">
        <f>'Reported burning'!D41</f>
        <v>Crop residue burning</v>
      </c>
      <c r="E41" s="6" t="str">
        <f>'Reported burning'!E41</f>
        <v>Cropping, Monoculture, Market-oriented</v>
      </c>
      <c r="F41" s="6" t="str">
        <f>'Reported burning'!F41</f>
        <v>Cropland</v>
      </c>
      <c r="G41" s="6" t="str">
        <f>'Reported burning'!G41</f>
        <v>ND</v>
      </c>
      <c r="H41" s="6" t="str">
        <f>'Reported burning'!H41</f>
        <v>Presence</v>
      </c>
      <c r="I41" s="11"/>
      <c r="J41" s="21" t="s">
        <v>2276</v>
      </c>
      <c r="K41" s="103" t="s">
        <v>2276</v>
      </c>
      <c r="L41" s="21" t="s">
        <v>2276</v>
      </c>
      <c r="M41" s="21" t="s">
        <v>2276</v>
      </c>
      <c r="N41" s="21" t="s">
        <v>2276</v>
      </c>
      <c r="O41" s="21" t="s">
        <v>2276</v>
      </c>
      <c r="P41" s="21" t="s">
        <v>2276</v>
      </c>
      <c r="Q41" s="21" t="s">
        <v>2375</v>
      </c>
      <c r="R41" s="21" t="s">
        <v>2276</v>
      </c>
      <c r="S41" s="87" t="s">
        <v>2391</v>
      </c>
      <c r="T41" s="87" t="s">
        <v>2276</v>
      </c>
      <c r="U41" s="87" t="s">
        <v>2276</v>
      </c>
      <c r="V41" s="87" t="s">
        <v>2276</v>
      </c>
      <c r="W41" s="21" t="s">
        <v>2375</v>
      </c>
      <c r="X41" s="3" t="s">
        <v>75</v>
      </c>
      <c r="Y41" s="3" t="s">
        <v>35</v>
      </c>
      <c r="Z41" s="3" t="s">
        <v>64</v>
      </c>
      <c r="AA41" s="4" t="s">
        <v>5053</v>
      </c>
      <c r="AB41" s="4" t="s">
        <v>5050</v>
      </c>
    </row>
    <row r="42" spans="1:28" ht="78" customHeight="1">
      <c r="A42" s="6" t="str">
        <f>'Reported burning'!A42</f>
        <v>2aaa</v>
      </c>
      <c r="B42" s="6" t="str">
        <f>'Reported burning'!B42</f>
        <v>2aaa.1</v>
      </c>
      <c r="C42" s="6" t="str">
        <f>'Reported burning'!C42</f>
        <v>Human, deliberate</v>
      </c>
      <c r="D42" s="6" t="str">
        <f>'Reported burning'!D42</f>
        <v>Crop residue burning</v>
      </c>
      <c r="E42" s="6" t="str">
        <f>'Reported burning'!E42</f>
        <v>Cropping, Monoculture, Market-oriented</v>
      </c>
      <c r="F42" s="6" t="str">
        <f>'Reported burning'!F42</f>
        <v>Cropland</v>
      </c>
      <c r="G42" s="6" t="str">
        <f>'Reported burning'!G42</f>
        <v>ND</v>
      </c>
      <c r="H42" s="6" t="str">
        <f>'Reported burning'!H42</f>
        <v>Presence</v>
      </c>
      <c r="I42" s="11"/>
      <c r="J42" s="21" t="s">
        <v>2276</v>
      </c>
      <c r="K42" s="103" t="s">
        <v>2276</v>
      </c>
      <c r="L42" s="21" t="s">
        <v>2276</v>
      </c>
      <c r="M42" s="21" t="s">
        <v>2276</v>
      </c>
      <c r="N42" s="21" t="s">
        <v>2276</v>
      </c>
      <c r="O42" s="21" t="s">
        <v>2276</v>
      </c>
      <c r="P42" s="21" t="s">
        <v>2276</v>
      </c>
      <c r="Q42" s="21" t="s">
        <v>2375</v>
      </c>
      <c r="R42" s="21" t="s">
        <v>2276</v>
      </c>
      <c r="S42" s="87" t="s">
        <v>2392</v>
      </c>
      <c r="T42" s="87" t="s">
        <v>2276</v>
      </c>
      <c r="U42" s="87" t="s">
        <v>2276</v>
      </c>
      <c r="V42" s="87" t="s">
        <v>2276</v>
      </c>
      <c r="W42" s="21" t="s">
        <v>2375</v>
      </c>
      <c r="X42" s="3" t="s">
        <v>75</v>
      </c>
      <c r="Y42" s="3" t="s">
        <v>35</v>
      </c>
      <c r="Z42" s="3" t="s">
        <v>64</v>
      </c>
      <c r="AA42" s="4" t="s">
        <v>5053</v>
      </c>
      <c r="AB42" s="4" t="s">
        <v>5050</v>
      </c>
    </row>
    <row r="43" spans="1:28" ht="67" customHeight="1">
      <c r="A43" s="6" t="str">
        <f>'Reported burning'!A43</f>
        <v>2aab</v>
      </c>
      <c r="B43" s="6" t="str">
        <f>'Reported burning'!B43</f>
        <v>2aab.1</v>
      </c>
      <c r="C43" s="6" t="str">
        <f>'Reported burning'!C43</f>
        <v>Human, deliberate</v>
      </c>
      <c r="D43" s="6" t="str">
        <f>'Reported burning'!D43</f>
        <v>Crop residue burning</v>
      </c>
      <c r="E43" s="6" t="str">
        <f>'Reported burning'!E43</f>
        <v>Cropping, Monoculture, Market-oriented</v>
      </c>
      <c r="F43" s="6" t="str">
        <f>'Reported burning'!F43</f>
        <v>Cropland</v>
      </c>
      <c r="G43" s="6" t="str">
        <f>'Reported burning'!G43</f>
        <v>ND</v>
      </c>
      <c r="H43" s="6" t="str">
        <f>'Reported burning'!H43</f>
        <v>Presence</v>
      </c>
      <c r="I43" s="11"/>
      <c r="J43" s="21" t="s">
        <v>2276</v>
      </c>
      <c r="K43" s="103" t="s">
        <v>2276</v>
      </c>
      <c r="L43" s="21" t="s">
        <v>2276</v>
      </c>
      <c r="M43" s="21" t="s">
        <v>2276</v>
      </c>
      <c r="N43" s="21" t="s">
        <v>2276</v>
      </c>
      <c r="O43" s="21" t="s">
        <v>2276</v>
      </c>
      <c r="P43" s="21" t="s">
        <v>2276</v>
      </c>
      <c r="Q43" s="21" t="s">
        <v>2375</v>
      </c>
      <c r="R43" s="21" t="s">
        <v>2276</v>
      </c>
      <c r="S43" s="87" t="s">
        <v>2392</v>
      </c>
      <c r="T43" s="87" t="s">
        <v>2276</v>
      </c>
      <c r="U43" s="87" t="s">
        <v>2276</v>
      </c>
      <c r="V43" s="87" t="s">
        <v>2276</v>
      </c>
      <c r="W43" s="21" t="s">
        <v>2375</v>
      </c>
      <c r="X43" s="3" t="s">
        <v>75</v>
      </c>
      <c r="Y43" s="3" t="s">
        <v>35</v>
      </c>
      <c r="Z43" s="3" t="s">
        <v>64</v>
      </c>
      <c r="AA43" s="4" t="s">
        <v>5053</v>
      </c>
      <c r="AB43" s="4" t="s">
        <v>5050</v>
      </c>
    </row>
    <row r="44" spans="1:28" ht="72" customHeight="1">
      <c r="A44" s="6" t="str">
        <f>'Reported burning'!A44</f>
        <v>2aac</v>
      </c>
      <c r="B44" s="6" t="str">
        <f>'Reported burning'!B44</f>
        <v>2aac.1</v>
      </c>
      <c r="C44" s="6" t="str">
        <f>'Reported burning'!C44</f>
        <v>Human, deliberate</v>
      </c>
      <c r="D44" s="6" t="str">
        <f>'Reported burning'!D44</f>
        <v>Crop residue burning</v>
      </c>
      <c r="E44" s="6" t="str">
        <f>'Reported burning'!E44</f>
        <v>Cropping, Monoculture, Market-oriented</v>
      </c>
      <c r="F44" s="6" t="str">
        <f>'Reported burning'!F44</f>
        <v>Cropland</v>
      </c>
      <c r="G44" s="6" t="str">
        <f>'Reported burning'!G44</f>
        <v>ND</v>
      </c>
      <c r="H44" s="6" t="str">
        <f>'Reported burning'!H44</f>
        <v>Presence</v>
      </c>
      <c r="I44" s="11"/>
      <c r="J44" s="21" t="s">
        <v>2276</v>
      </c>
      <c r="K44" s="103" t="s">
        <v>2276</v>
      </c>
      <c r="L44" s="21" t="s">
        <v>2276</v>
      </c>
      <c r="M44" s="21" t="s">
        <v>2276</v>
      </c>
      <c r="N44" s="21" t="s">
        <v>2276</v>
      </c>
      <c r="O44" s="21" t="s">
        <v>2276</v>
      </c>
      <c r="P44" s="21" t="s">
        <v>2276</v>
      </c>
      <c r="Q44" s="21" t="s">
        <v>2375</v>
      </c>
      <c r="R44" s="21" t="s">
        <v>2276</v>
      </c>
      <c r="S44" s="87" t="s">
        <v>2392</v>
      </c>
      <c r="T44" s="87" t="s">
        <v>2276</v>
      </c>
      <c r="U44" s="87" t="s">
        <v>2276</v>
      </c>
      <c r="V44" s="87" t="s">
        <v>2276</v>
      </c>
      <c r="W44" s="21" t="s">
        <v>2375</v>
      </c>
      <c r="X44" s="3" t="s">
        <v>75</v>
      </c>
      <c r="Y44" s="3" t="s">
        <v>35</v>
      </c>
      <c r="Z44" s="3" t="s">
        <v>64</v>
      </c>
      <c r="AA44" s="4" t="s">
        <v>5053</v>
      </c>
      <c r="AB44" s="4" t="s">
        <v>5050</v>
      </c>
    </row>
    <row r="45" spans="1:28" ht="72" customHeight="1">
      <c r="A45" s="6" t="str">
        <f>'Reported burning'!A45</f>
        <v>2aad</v>
      </c>
      <c r="B45" s="6" t="str">
        <f>'Reported burning'!B45</f>
        <v>2aad.1</v>
      </c>
      <c r="C45" s="6" t="str">
        <f>'Reported burning'!C45</f>
        <v>Human, deliberate</v>
      </c>
      <c r="D45" s="6" t="str">
        <f>'Reported burning'!D45</f>
        <v>Crop residue burning</v>
      </c>
      <c r="E45" s="6" t="str">
        <f>'Reported burning'!E45</f>
        <v>Cropping, Monoculture, Market-oriented</v>
      </c>
      <c r="F45" s="6" t="str">
        <f>'Reported burning'!F45</f>
        <v>Cropland</v>
      </c>
      <c r="G45" s="6" t="str">
        <f>'Reported burning'!G45</f>
        <v>ND</v>
      </c>
      <c r="H45" s="6" t="str">
        <f>'Reported burning'!H45</f>
        <v>Presence</v>
      </c>
      <c r="I45" s="11"/>
      <c r="J45" s="21" t="s">
        <v>2276</v>
      </c>
      <c r="K45" s="103" t="s">
        <v>2276</v>
      </c>
      <c r="L45" s="21" t="s">
        <v>2276</v>
      </c>
      <c r="M45" s="21" t="s">
        <v>2276</v>
      </c>
      <c r="N45" s="21" t="s">
        <v>2276</v>
      </c>
      <c r="O45" s="21" t="s">
        <v>2276</v>
      </c>
      <c r="P45" s="21" t="s">
        <v>2276</v>
      </c>
      <c r="Q45" s="21" t="s">
        <v>2375</v>
      </c>
      <c r="R45" s="21" t="s">
        <v>2276</v>
      </c>
      <c r="S45" s="87" t="s">
        <v>2391</v>
      </c>
      <c r="T45" s="87" t="s">
        <v>2276</v>
      </c>
      <c r="U45" s="87" t="s">
        <v>2276</v>
      </c>
      <c r="V45" s="87" t="s">
        <v>2276</v>
      </c>
      <c r="W45" s="21" t="s">
        <v>2375</v>
      </c>
      <c r="X45" s="3" t="s">
        <v>75</v>
      </c>
      <c r="Y45" s="3" t="s">
        <v>35</v>
      </c>
      <c r="Z45" s="3" t="s">
        <v>64</v>
      </c>
      <c r="AA45" s="4" t="s">
        <v>5053</v>
      </c>
      <c r="AB45" s="4" t="s">
        <v>5050</v>
      </c>
    </row>
    <row r="46" spans="1:28" ht="121" customHeight="1">
      <c r="A46" s="6" t="str">
        <f>'Reported burning'!A46</f>
        <v>2b</v>
      </c>
      <c r="B46" s="6" t="str">
        <f>'Reported burning'!B46</f>
        <v>2b.1</v>
      </c>
      <c r="C46" s="6" t="str">
        <f>'Reported burning'!C46</f>
        <v>Human, deliberate</v>
      </c>
      <c r="D46" s="6" t="str">
        <f>'Reported burning'!D46</f>
        <v>Crop residue burning</v>
      </c>
      <c r="E46" s="6" t="str">
        <f>'Reported burning'!E46</f>
        <v>Cropping, Monoculture, Market-oriented</v>
      </c>
      <c r="F46" s="6" t="str">
        <f>'Reported burning'!F46</f>
        <v>Cropland</v>
      </c>
      <c r="G46" s="6" t="str">
        <f>'Reported burning'!G46</f>
        <v>ND</v>
      </c>
      <c r="H46" s="6" t="str">
        <f>'Reported burning'!H46</f>
        <v>Presence</v>
      </c>
      <c r="I46" s="23"/>
      <c r="J46" s="77" t="s">
        <v>2276</v>
      </c>
      <c r="K46" s="109" t="s">
        <v>2276</v>
      </c>
      <c r="L46" s="77" t="s">
        <v>2276</v>
      </c>
      <c r="M46" s="21" t="s">
        <v>2377</v>
      </c>
      <c r="N46" s="77" t="s">
        <v>2276</v>
      </c>
      <c r="O46" s="77" t="s">
        <v>2276</v>
      </c>
      <c r="P46" s="77" t="s">
        <v>2276</v>
      </c>
      <c r="Q46" s="21" t="s">
        <v>2362</v>
      </c>
      <c r="R46" s="21" t="s">
        <v>2276</v>
      </c>
      <c r="S46" s="87" t="s">
        <v>2376</v>
      </c>
      <c r="T46" s="87" t="s">
        <v>2276</v>
      </c>
      <c r="U46" s="87" t="s">
        <v>2276</v>
      </c>
      <c r="V46" s="87" t="s">
        <v>2276</v>
      </c>
      <c r="W46" s="21" t="s">
        <v>2375</v>
      </c>
      <c r="X46" s="22" t="s">
        <v>75</v>
      </c>
      <c r="Y46" s="22" t="s">
        <v>35</v>
      </c>
      <c r="Z46" s="3" t="s">
        <v>64</v>
      </c>
      <c r="AA46" s="4" t="s">
        <v>5053</v>
      </c>
      <c r="AB46" s="4" t="s">
        <v>5051</v>
      </c>
    </row>
    <row r="47" spans="1:28" ht="116.5" customHeight="1">
      <c r="A47" s="6" t="str">
        <f>'Reported burning'!A47</f>
        <v>2b</v>
      </c>
      <c r="B47" s="6" t="str">
        <f>'Reported burning'!B47</f>
        <v>2b.2</v>
      </c>
      <c r="C47" s="6" t="str">
        <f>'Reported burning'!C47</f>
        <v>Human, deliberate</v>
      </c>
      <c r="D47" s="6" t="str">
        <f>'Reported burning'!D47</f>
        <v>Crop residue burning</v>
      </c>
      <c r="E47" s="6" t="str">
        <f>'Reported burning'!E47</f>
        <v>Cropping, Monoculture, Subsistence-oriented</v>
      </c>
      <c r="F47" s="6" t="str">
        <f>'Reported burning'!F47</f>
        <v>Cropland</v>
      </c>
      <c r="G47" s="6" t="str">
        <f>'Reported burning'!G47</f>
        <v>ND</v>
      </c>
      <c r="H47" s="6" t="str">
        <f>'Reported burning'!H47</f>
        <v>Presence</v>
      </c>
      <c r="I47" s="23"/>
      <c r="J47" s="77" t="s">
        <v>2276</v>
      </c>
      <c r="K47" s="109" t="s">
        <v>2276</v>
      </c>
      <c r="L47" s="77" t="s">
        <v>2276</v>
      </c>
      <c r="M47" s="21" t="s">
        <v>2376</v>
      </c>
      <c r="N47" s="77" t="s">
        <v>2276</v>
      </c>
      <c r="O47" s="77" t="s">
        <v>2276</v>
      </c>
      <c r="P47" s="77" t="s">
        <v>2276</v>
      </c>
      <c r="Q47" s="21" t="s">
        <v>2362</v>
      </c>
      <c r="R47" s="21" t="s">
        <v>2276</v>
      </c>
      <c r="S47" s="87" t="s">
        <v>2527</v>
      </c>
      <c r="T47" s="87" t="s">
        <v>2276</v>
      </c>
      <c r="U47" s="87" t="s">
        <v>2276</v>
      </c>
      <c r="V47" s="87" t="s">
        <v>2276</v>
      </c>
      <c r="W47" s="21" t="s">
        <v>2375</v>
      </c>
      <c r="X47" s="3" t="s">
        <v>75</v>
      </c>
      <c r="Y47" s="3" t="s">
        <v>35</v>
      </c>
      <c r="Z47" s="3" t="s">
        <v>64</v>
      </c>
      <c r="AA47" s="4" t="s">
        <v>5053</v>
      </c>
      <c r="AB47" s="4" t="s">
        <v>5052</v>
      </c>
    </row>
    <row r="48" spans="1:28" ht="69.5" customHeight="1">
      <c r="A48" s="6" t="str">
        <f>'Reported burning'!A48</f>
        <v>2ba</v>
      </c>
      <c r="B48" s="6" t="str">
        <f>'Reported burning'!B48</f>
        <v>2ba.1</v>
      </c>
      <c r="C48" s="6" t="str">
        <f>'Reported burning'!C48</f>
        <v>Human, deliberate</v>
      </c>
      <c r="D48" s="6" t="str">
        <f>'Reported burning'!D48</f>
        <v>Crop residue burning</v>
      </c>
      <c r="E48" s="6" t="str">
        <f>'Reported burning'!E48</f>
        <v>Cropping, Monoculture, Market-oriented</v>
      </c>
      <c r="F48" s="6" t="str">
        <f>'Reported burning'!F48</f>
        <v>Cropland</v>
      </c>
      <c r="G48" s="6" t="str">
        <f>'Reported burning'!G48</f>
        <v>ND</v>
      </c>
      <c r="H48" s="6" t="str">
        <f>'Reported burning'!H48</f>
        <v>Presence</v>
      </c>
      <c r="I48" s="23"/>
      <c r="J48" s="77" t="s">
        <v>2276</v>
      </c>
      <c r="K48" s="109" t="s">
        <v>2276</v>
      </c>
      <c r="L48" s="77" t="s">
        <v>2276</v>
      </c>
      <c r="M48" s="21" t="s">
        <v>2276</v>
      </c>
      <c r="N48" s="77" t="s">
        <v>2276</v>
      </c>
      <c r="O48" s="77" t="s">
        <v>2276</v>
      </c>
      <c r="P48" s="77" t="s">
        <v>2276</v>
      </c>
      <c r="Q48" s="21" t="s">
        <v>2362</v>
      </c>
      <c r="R48" s="21" t="s">
        <v>2276</v>
      </c>
      <c r="S48" s="87" t="s">
        <v>2527</v>
      </c>
      <c r="T48" s="87" t="s">
        <v>2276</v>
      </c>
      <c r="U48" s="87" t="s">
        <v>2276</v>
      </c>
      <c r="V48" s="87" t="s">
        <v>2276</v>
      </c>
      <c r="W48" s="21" t="s">
        <v>2375</v>
      </c>
      <c r="X48" s="3" t="s">
        <v>75</v>
      </c>
      <c r="Y48" s="3" t="s">
        <v>35</v>
      </c>
      <c r="Z48" s="3" t="s">
        <v>64</v>
      </c>
      <c r="AA48" s="4" t="s">
        <v>5053</v>
      </c>
      <c r="AB48" s="4" t="s">
        <v>2261</v>
      </c>
    </row>
    <row r="49" spans="1:28" ht="69.5" customHeight="1">
      <c r="A49" s="6" t="str">
        <f>'Reported burning'!A49</f>
        <v>2bb</v>
      </c>
      <c r="B49" s="6" t="str">
        <f>'Reported burning'!B49</f>
        <v>2bb.1</v>
      </c>
      <c r="C49" s="6" t="str">
        <f>'Reported burning'!C49</f>
        <v>Human, deliberate</v>
      </c>
      <c r="D49" s="6" t="str">
        <f>'Reported burning'!D49</f>
        <v>Crop residue burning</v>
      </c>
      <c r="E49" s="6" t="str">
        <f>'Reported burning'!E49</f>
        <v>Cropping, Monoculture, Market-oriented</v>
      </c>
      <c r="F49" s="6" t="str">
        <f>'Reported burning'!F49</f>
        <v>Cropland</v>
      </c>
      <c r="G49" s="6" t="str">
        <f>'Reported burning'!G49</f>
        <v>ND</v>
      </c>
      <c r="H49" s="6" t="str">
        <f>'Reported burning'!H49</f>
        <v>Presence</v>
      </c>
      <c r="I49" s="23"/>
      <c r="J49" s="77" t="s">
        <v>2276</v>
      </c>
      <c r="K49" s="109" t="s">
        <v>2276</v>
      </c>
      <c r="L49" s="77" t="s">
        <v>2276</v>
      </c>
      <c r="M49" s="21" t="s">
        <v>2276</v>
      </c>
      <c r="N49" s="77" t="s">
        <v>2276</v>
      </c>
      <c r="O49" s="77" t="s">
        <v>2276</v>
      </c>
      <c r="P49" s="77" t="s">
        <v>2276</v>
      </c>
      <c r="Q49" s="21" t="s">
        <v>2362</v>
      </c>
      <c r="R49" s="21" t="s">
        <v>2276</v>
      </c>
      <c r="S49" s="87" t="s">
        <v>2376</v>
      </c>
      <c r="T49" s="87" t="s">
        <v>2276</v>
      </c>
      <c r="U49" s="87" t="s">
        <v>2276</v>
      </c>
      <c r="V49" s="87" t="s">
        <v>2276</v>
      </c>
      <c r="W49" s="21" t="s">
        <v>2375</v>
      </c>
      <c r="X49" s="3" t="s">
        <v>75</v>
      </c>
      <c r="Y49" s="3" t="s">
        <v>35</v>
      </c>
      <c r="Z49" s="3" t="s">
        <v>64</v>
      </c>
      <c r="AA49" s="4" t="s">
        <v>5053</v>
      </c>
      <c r="AB49" s="4" t="s">
        <v>2261</v>
      </c>
    </row>
    <row r="50" spans="1:28" ht="69.5" customHeight="1">
      <c r="A50" s="6" t="str">
        <f>'Reported burning'!A50</f>
        <v>2bc</v>
      </c>
      <c r="B50" s="6" t="str">
        <f>'Reported burning'!B50</f>
        <v>2bc.1</v>
      </c>
      <c r="C50" s="6" t="str">
        <f>'Reported burning'!C50</f>
        <v>Human, deliberate</v>
      </c>
      <c r="D50" s="6" t="str">
        <f>'Reported burning'!D50</f>
        <v>Crop residue burning</v>
      </c>
      <c r="E50" s="6" t="str">
        <f>'Reported burning'!E50</f>
        <v>Cropping, Monoculture, Market-oriented</v>
      </c>
      <c r="F50" s="6" t="str">
        <f>'Reported burning'!F50</f>
        <v>Cropland</v>
      </c>
      <c r="G50" s="6" t="str">
        <f>'Reported burning'!G50</f>
        <v>ND</v>
      </c>
      <c r="H50" s="6" t="str">
        <f>'Reported burning'!H50</f>
        <v>Presence</v>
      </c>
      <c r="I50" s="23"/>
      <c r="J50" s="77" t="s">
        <v>2276</v>
      </c>
      <c r="K50" s="109" t="s">
        <v>2276</v>
      </c>
      <c r="L50" s="77" t="s">
        <v>2276</v>
      </c>
      <c r="M50" s="21" t="s">
        <v>2276</v>
      </c>
      <c r="N50" s="77" t="s">
        <v>2276</v>
      </c>
      <c r="O50" s="77" t="s">
        <v>2276</v>
      </c>
      <c r="P50" s="77" t="s">
        <v>2276</v>
      </c>
      <c r="Q50" s="21" t="s">
        <v>2362</v>
      </c>
      <c r="R50" s="21" t="s">
        <v>2276</v>
      </c>
      <c r="S50" s="87" t="s">
        <v>2389</v>
      </c>
      <c r="T50" s="87" t="s">
        <v>2276</v>
      </c>
      <c r="U50" s="87" t="s">
        <v>2276</v>
      </c>
      <c r="V50" s="87" t="s">
        <v>2276</v>
      </c>
      <c r="W50" s="21" t="s">
        <v>2375</v>
      </c>
      <c r="X50" s="3" t="s">
        <v>75</v>
      </c>
      <c r="Y50" s="3" t="s">
        <v>35</v>
      </c>
      <c r="Z50" s="3" t="s">
        <v>64</v>
      </c>
      <c r="AA50" s="4" t="s">
        <v>5053</v>
      </c>
      <c r="AB50" s="4" t="s">
        <v>2261</v>
      </c>
    </row>
    <row r="51" spans="1:28" ht="69.5" customHeight="1">
      <c r="A51" s="6" t="str">
        <f>'Reported burning'!A51</f>
        <v>2bd</v>
      </c>
      <c r="B51" s="6" t="str">
        <f>'Reported burning'!B51</f>
        <v>2bd.1</v>
      </c>
      <c r="C51" s="6" t="str">
        <f>'Reported burning'!C51</f>
        <v>Human, deliberate</v>
      </c>
      <c r="D51" s="6" t="str">
        <f>'Reported burning'!D51</f>
        <v>Crop residue burning</v>
      </c>
      <c r="E51" s="6" t="str">
        <f>'Reported burning'!E51</f>
        <v>Cropping, Monoculture, Market-oriented</v>
      </c>
      <c r="F51" s="6" t="str">
        <f>'Reported burning'!F51</f>
        <v>Cropland</v>
      </c>
      <c r="G51" s="6" t="str">
        <f>'Reported burning'!G51</f>
        <v>ND</v>
      </c>
      <c r="H51" s="6" t="str">
        <f>'Reported burning'!H51</f>
        <v>Presence</v>
      </c>
      <c r="I51" s="23"/>
      <c r="J51" s="77" t="s">
        <v>2276</v>
      </c>
      <c r="K51" s="109" t="s">
        <v>2276</v>
      </c>
      <c r="L51" s="77" t="s">
        <v>2276</v>
      </c>
      <c r="M51" s="21" t="s">
        <v>2276</v>
      </c>
      <c r="N51" s="77" t="s">
        <v>2276</v>
      </c>
      <c r="O51" s="77" t="s">
        <v>2276</v>
      </c>
      <c r="P51" s="77" t="s">
        <v>2276</v>
      </c>
      <c r="Q51" s="21" t="s">
        <v>2362</v>
      </c>
      <c r="R51" s="21" t="s">
        <v>2276</v>
      </c>
      <c r="S51" s="87" t="s">
        <v>2527</v>
      </c>
      <c r="T51" s="87" t="s">
        <v>2276</v>
      </c>
      <c r="U51" s="87" t="s">
        <v>2276</v>
      </c>
      <c r="V51" s="87" t="s">
        <v>2276</v>
      </c>
      <c r="W51" s="21" t="s">
        <v>2375</v>
      </c>
      <c r="X51" s="3" t="s">
        <v>75</v>
      </c>
      <c r="Y51" s="3" t="s">
        <v>35</v>
      </c>
      <c r="Z51" s="3" t="s">
        <v>64</v>
      </c>
      <c r="AA51" s="4" t="s">
        <v>5053</v>
      </c>
      <c r="AB51" s="4" t="s">
        <v>2261</v>
      </c>
    </row>
    <row r="52" spans="1:28" ht="69.5" customHeight="1">
      <c r="A52" s="6" t="str">
        <f>'Reported burning'!A52</f>
        <v>2be</v>
      </c>
      <c r="B52" s="6" t="str">
        <f>'Reported burning'!B52</f>
        <v>2be.1</v>
      </c>
      <c r="C52" s="6" t="str">
        <f>'Reported burning'!C52</f>
        <v>Human, deliberate</v>
      </c>
      <c r="D52" s="6" t="str">
        <f>'Reported burning'!D52</f>
        <v>Crop residue burning</v>
      </c>
      <c r="E52" s="6" t="str">
        <f>'Reported burning'!E52</f>
        <v>Cropping, Monoculture, Market-oriented</v>
      </c>
      <c r="F52" s="6" t="str">
        <f>'Reported burning'!F52</f>
        <v>Cropland</v>
      </c>
      <c r="G52" s="6" t="str">
        <f>'Reported burning'!G52</f>
        <v>ND</v>
      </c>
      <c r="H52" s="6" t="str">
        <f>'Reported burning'!H52</f>
        <v>Presence</v>
      </c>
      <c r="I52" s="23"/>
      <c r="J52" s="77" t="s">
        <v>2276</v>
      </c>
      <c r="K52" s="109" t="s">
        <v>2276</v>
      </c>
      <c r="L52" s="77" t="s">
        <v>2276</v>
      </c>
      <c r="M52" s="21" t="s">
        <v>2276</v>
      </c>
      <c r="N52" s="77" t="s">
        <v>2276</v>
      </c>
      <c r="O52" s="77" t="s">
        <v>2276</v>
      </c>
      <c r="P52" s="77" t="s">
        <v>2276</v>
      </c>
      <c r="Q52" s="21" t="s">
        <v>2362</v>
      </c>
      <c r="R52" s="21" t="s">
        <v>2276</v>
      </c>
      <c r="S52" s="87" t="s">
        <v>2527</v>
      </c>
      <c r="T52" s="87" t="s">
        <v>2276</v>
      </c>
      <c r="U52" s="87" t="s">
        <v>2276</v>
      </c>
      <c r="V52" s="87" t="s">
        <v>2276</v>
      </c>
      <c r="W52" s="21" t="s">
        <v>2375</v>
      </c>
      <c r="X52" s="3" t="s">
        <v>75</v>
      </c>
      <c r="Y52" s="3" t="s">
        <v>35</v>
      </c>
      <c r="Z52" s="3" t="s">
        <v>64</v>
      </c>
      <c r="AA52" s="4" t="s">
        <v>5053</v>
      </c>
      <c r="AB52" s="4" t="s">
        <v>2261</v>
      </c>
    </row>
    <row r="53" spans="1:28" ht="69.5" customHeight="1">
      <c r="A53" s="6" t="str">
        <f>'Reported burning'!A53</f>
        <v>2bf</v>
      </c>
      <c r="B53" s="6" t="str">
        <f>'Reported burning'!B53</f>
        <v>2bf.1</v>
      </c>
      <c r="C53" s="6" t="str">
        <f>'Reported burning'!C53</f>
        <v>Human, deliberate</v>
      </c>
      <c r="D53" s="6" t="str">
        <f>'Reported burning'!D53</f>
        <v>Crop residue burning</v>
      </c>
      <c r="E53" s="6" t="str">
        <f>'Reported burning'!E53</f>
        <v>Cropping, Monoculture, Market-oriented</v>
      </c>
      <c r="F53" s="6" t="str">
        <f>'Reported burning'!F53</f>
        <v>Cropland</v>
      </c>
      <c r="G53" s="6" t="str">
        <f>'Reported burning'!G53</f>
        <v>ND</v>
      </c>
      <c r="H53" s="6" t="str">
        <f>'Reported burning'!H53</f>
        <v>Presence</v>
      </c>
      <c r="I53" s="23"/>
      <c r="J53" s="77" t="s">
        <v>2276</v>
      </c>
      <c r="K53" s="109" t="s">
        <v>2276</v>
      </c>
      <c r="L53" s="77" t="s">
        <v>2276</v>
      </c>
      <c r="M53" s="21" t="s">
        <v>2276</v>
      </c>
      <c r="N53" s="77" t="s">
        <v>2276</v>
      </c>
      <c r="O53" s="77" t="s">
        <v>2276</v>
      </c>
      <c r="P53" s="77" t="s">
        <v>2276</v>
      </c>
      <c r="Q53" s="21" t="s">
        <v>2362</v>
      </c>
      <c r="R53" s="21" t="s">
        <v>2276</v>
      </c>
      <c r="S53" s="87" t="s">
        <v>2374</v>
      </c>
      <c r="T53" s="87" t="s">
        <v>2276</v>
      </c>
      <c r="U53" s="87" t="s">
        <v>2276</v>
      </c>
      <c r="V53" s="87" t="s">
        <v>2276</v>
      </c>
      <c r="W53" s="21" t="s">
        <v>2375</v>
      </c>
      <c r="X53" s="3" t="s">
        <v>75</v>
      </c>
      <c r="Y53" s="3" t="s">
        <v>35</v>
      </c>
      <c r="Z53" s="3" t="s">
        <v>64</v>
      </c>
      <c r="AA53" s="4" t="s">
        <v>5053</v>
      </c>
      <c r="AB53" s="4" t="s">
        <v>2261</v>
      </c>
    </row>
    <row r="54" spans="1:28" ht="69.5" customHeight="1">
      <c r="A54" s="6" t="str">
        <f>'Reported burning'!A54</f>
        <v>2bg</v>
      </c>
      <c r="B54" s="6" t="str">
        <f>'Reported burning'!B54</f>
        <v>2bg.1</v>
      </c>
      <c r="C54" s="6" t="str">
        <f>'Reported burning'!C54</f>
        <v>Human, deliberate</v>
      </c>
      <c r="D54" s="6" t="str">
        <f>'Reported burning'!D54</f>
        <v>Crop residue burning</v>
      </c>
      <c r="E54" s="6" t="str">
        <f>'Reported burning'!E54</f>
        <v>Cropping, Monoculture, Market-oriented</v>
      </c>
      <c r="F54" s="6" t="str">
        <f>'Reported burning'!F54</f>
        <v>Cropland</v>
      </c>
      <c r="G54" s="6" t="str">
        <f>'Reported burning'!G54</f>
        <v>ND</v>
      </c>
      <c r="H54" s="6" t="str">
        <f>'Reported burning'!H54</f>
        <v>Presence</v>
      </c>
      <c r="I54" s="23"/>
      <c r="J54" s="77" t="s">
        <v>2276</v>
      </c>
      <c r="K54" s="109" t="s">
        <v>2276</v>
      </c>
      <c r="L54" s="77" t="s">
        <v>2276</v>
      </c>
      <c r="M54" s="21" t="s">
        <v>2276</v>
      </c>
      <c r="N54" s="77" t="s">
        <v>2276</v>
      </c>
      <c r="O54" s="77" t="s">
        <v>2276</v>
      </c>
      <c r="P54" s="77" t="s">
        <v>2276</v>
      </c>
      <c r="Q54" s="21" t="s">
        <v>2362</v>
      </c>
      <c r="R54" s="21" t="s">
        <v>2276</v>
      </c>
      <c r="S54" s="87" t="s">
        <v>2389</v>
      </c>
      <c r="T54" s="87" t="s">
        <v>2276</v>
      </c>
      <c r="U54" s="87" t="s">
        <v>2276</v>
      </c>
      <c r="V54" s="87" t="s">
        <v>2276</v>
      </c>
      <c r="W54" s="21" t="s">
        <v>2375</v>
      </c>
      <c r="X54" s="3" t="s">
        <v>75</v>
      </c>
      <c r="Y54" s="3" t="s">
        <v>35</v>
      </c>
      <c r="Z54" s="3" t="s">
        <v>64</v>
      </c>
      <c r="AA54" s="4" t="s">
        <v>5053</v>
      </c>
      <c r="AB54" s="4" t="s">
        <v>2261</v>
      </c>
    </row>
    <row r="55" spans="1:28" ht="69.5" customHeight="1">
      <c r="A55" s="6" t="str">
        <f>'Reported burning'!A55</f>
        <v>2bh</v>
      </c>
      <c r="B55" s="6" t="str">
        <f>'Reported burning'!B55</f>
        <v>2bh.1</v>
      </c>
      <c r="C55" s="6" t="str">
        <f>'Reported burning'!C55</f>
        <v>Human, deliberate</v>
      </c>
      <c r="D55" s="6" t="str">
        <f>'Reported burning'!D55</f>
        <v>Crop residue burning</v>
      </c>
      <c r="E55" s="6" t="str">
        <f>'Reported burning'!E55</f>
        <v>Cropping, Monoculture, Market-oriented</v>
      </c>
      <c r="F55" s="6" t="str">
        <f>'Reported burning'!F55</f>
        <v>Cropland</v>
      </c>
      <c r="G55" s="6" t="str">
        <f>'Reported burning'!G55</f>
        <v>ND</v>
      </c>
      <c r="H55" s="6" t="str">
        <f>'Reported burning'!H55</f>
        <v>Presence</v>
      </c>
      <c r="I55" s="23"/>
      <c r="J55" s="77" t="s">
        <v>2276</v>
      </c>
      <c r="K55" s="109" t="s">
        <v>2276</v>
      </c>
      <c r="L55" s="77" t="s">
        <v>2276</v>
      </c>
      <c r="M55" s="21" t="s">
        <v>2276</v>
      </c>
      <c r="N55" s="77" t="s">
        <v>2276</v>
      </c>
      <c r="O55" s="77" t="s">
        <v>2276</v>
      </c>
      <c r="P55" s="77" t="s">
        <v>2276</v>
      </c>
      <c r="Q55" s="21" t="s">
        <v>2362</v>
      </c>
      <c r="R55" s="21" t="s">
        <v>2276</v>
      </c>
      <c r="S55" s="87" t="s">
        <v>2376</v>
      </c>
      <c r="T55" s="87" t="s">
        <v>2276</v>
      </c>
      <c r="U55" s="87" t="s">
        <v>2276</v>
      </c>
      <c r="V55" s="87" t="s">
        <v>2276</v>
      </c>
      <c r="W55" s="21" t="s">
        <v>2375</v>
      </c>
      <c r="X55" s="3" t="s">
        <v>75</v>
      </c>
      <c r="Y55" s="3" t="s">
        <v>35</v>
      </c>
      <c r="Z55" s="3" t="s">
        <v>64</v>
      </c>
      <c r="AA55" s="4" t="s">
        <v>5053</v>
      </c>
      <c r="AB55" s="4" t="s">
        <v>2261</v>
      </c>
    </row>
    <row r="56" spans="1:28" ht="69.5" customHeight="1">
      <c r="A56" s="6" t="str">
        <f>'Reported burning'!A56</f>
        <v>2bi</v>
      </c>
      <c r="B56" s="6" t="str">
        <f>'Reported burning'!B56</f>
        <v>2bi.1</v>
      </c>
      <c r="C56" s="6" t="str">
        <f>'Reported burning'!C56</f>
        <v>Human, deliberate</v>
      </c>
      <c r="D56" s="6" t="str">
        <f>'Reported burning'!D56</f>
        <v>Crop residue burning</v>
      </c>
      <c r="E56" s="6" t="str">
        <f>'Reported burning'!E56</f>
        <v>Cropping, Monoculture, Market-oriented</v>
      </c>
      <c r="F56" s="6" t="str">
        <f>'Reported burning'!F56</f>
        <v>Cropland</v>
      </c>
      <c r="G56" s="6" t="str">
        <f>'Reported burning'!G56</f>
        <v>ND</v>
      </c>
      <c r="H56" s="6" t="str">
        <f>'Reported burning'!H56</f>
        <v>Presence</v>
      </c>
      <c r="I56" s="23"/>
      <c r="J56" s="77" t="s">
        <v>2276</v>
      </c>
      <c r="K56" s="109" t="s">
        <v>2276</v>
      </c>
      <c r="L56" s="77" t="s">
        <v>2276</v>
      </c>
      <c r="M56" s="21" t="s">
        <v>2276</v>
      </c>
      <c r="N56" s="77" t="s">
        <v>2276</v>
      </c>
      <c r="O56" s="77" t="s">
        <v>2276</v>
      </c>
      <c r="P56" s="77" t="s">
        <v>2276</v>
      </c>
      <c r="Q56" s="21" t="s">
        <v>2362</v>
      </c>
      <c r="R56" s="21" t="s">
        <v>2276</v>
      </c>
      <c r="S56" s="87" t="s">
        <v>2376</v>
      </c>
      <c r="T56" s="87" t="s">
        <v>2276</v>
      </c>
      <c r="U56" s="87" t="s">
        <v>2276</v>
      </c>
      <c r="V56" s="87" t="s">
        <v>2276</v>
      </c>
      <c r="W56" s="21" t="s">
        <v>2375</v>
      </c>
      <c r="X56" s="3" t="s">
        <v>75</v>
      </c>
      <c r="Y56" s="3" t="s">
        <v>35</v>
      </c>
      <c r="Z56" s="3" t="s">
        <v>64</v>
      </c>
      <c r="AA56" s="4" t="s">
        <v>5053</v>
      </c>
      <c r="AB56" s="4" t="s">
        <v>2261</v>
      </c>
    </row>
    <row r="57" spans="1:28" ht="69.5" customHeight="1">
      <c r="A57" s="6" t="str">
        <f>'Reported burning'!A57</f>
        <v>2bj</v>
      </c>
      <c r="B57" s="6" t="str">
        <f>'Reported burning'!B57</f>
        <v>2bj.1</v>
      </c>
      <c r="C57" s="6" t="str">
        <f>'Reported burning'!C57</f>
        <v>Human, deliberate</v>
      </c>
      <c r="D57" s="6" t="str">
        <f>'Reported burning'!D57</f>
        <v>Crop residue burning</v>
      </c>
      <c r="E57" s="6" t="str">
        <f>'Reported burning'!E57</f>
        <v>Cropping, Monoculture, Market-oriented</v>
      </c>
      <c r="F57" s="6" t="str">
        <f>'Reported burning'!F57</f>
        <v>Cropland</v>
      </c>
      <c r="G57" s="6" t="str">
        <f>'Reported burning'!G57</f>
        <v>ND</v>
      </c>
      <c r="H57" s="6" t="str">
        <f>'Reported burning'!H57</f>
        <v>Presence</v>
      </c>
      <c r="I57" s="23"/>
      <c r="J57" s="77" t="s">
        <v>2276</v>
      </c>
      <c r="K57" s="109" t="s">
        <v>2276</v>
      </c>
      <c r="L57" s="77" t="s">
        <v>2276</v>
      </c>
      <c r="M57" s="21" t="s">
        <v>2276</v>
      </c>
      <c r="N57" s="77" t="s">
        <v>2276</v>
      </c>
      <c r="O57" s="77" t="s">
        <v>2276</v>
      </c>
      <c r="P57" s="77" t="s">
        <v>2276</v>
      </c>
      <c r="Q57" s="21" t="s">
        <v>2362</v>
      </c>
      <c r="R57" s="21" t="s">
        <v>2276</v>
      </c>
      <c r="S57" s="87" t="s">
        <v>2390</v>
      </c>
      <c r="T57" s="87" t="s">
        <v>2276</v>
      </c>
      <c r="U57" s="87" t="s">
        <v>2276</v>
      </c>
      <c r="V57" s="87" t="s">
        <v>2276</v>
      </c>
      <c r="W57" s="21" t="s">
        <v>2375</v>
      </c>
      <c r="X57" s="3" t="s">
        <v>75</v>
      </c>
      <c r="Y57" s="3" t="s">
        <v>35</v>
      </c>
      <c r="Z57" s="3" t="s">
        <v>64</v>
      </c>
      <c r="AA57" s="4" t="s">
        <v>5053</v>
      </c>
      <c r="AB57" s="4" t="s">
        <v>2261</v>
      </c>
    </row>
    <row r="58" spans="1:28" ht="69.5" customHeight="1">
      <c r="A58" s="6" t="str">
        <f>'Reported burning'!A58</f>
        <v>2bk</v>
      </c>
      <c r="B58" s="6" t="str">
        <f>'Reported burning'!B58</f>
        <v>2bk.1</v>
      </c>
      <c r="C58" s="6" t="str">
        <f>'Reported burning'!C58</f>
        <v>Human, deliberate</v>
      </c>
      <c r="D58" s="6" t="str">
        <f>'Reported burning'!D58</f>
        <v>Crop residue burning</v>
      </c>
      <c r="E58" s="6" t="str">
        <f>'Reported burning'!E58</f>
        <v>Cropping, Monoculture, Market-oriented</v>
      </c>
      <c r="F58" s="6" t="str">
        <f>'Reported burning'!F58</f>
        <v>Cropland</v>
      </c>
      <c r="G58" s="6" t="str">
        <f>'Reported burning'!G58</f>
        <v>ND</v>
      </c>
      <c r="H58" s="6" t="str">
        <f>'Reported burning'!H58</f>
        <v>Presence</v>
      </c>
      <c r="I58" s="23"/>
      <c r="J58" s="77" t="s">
        <v>2276</v>
      </c>
      <c r="K58" s="109" t="s">
        <v>2276</v>
      </c>
      <c r="L58" s="77" t="s">
        <v>2276</v>
      </c>
      <c r="M58" s="21" t="s">
        <v>2276</v>
      </c>
      <c r="N58" s="77" t="s">
        <v>2276</v>
      </c>
      <c r="O58" s="77" t="s">
        <v>2276</v>
      </c>
      <c r="P58" s="77" t="s">
        <v>2276</v>
      </c>
      <c r="Q58" s="21" t="s">
        <v>2362</v>
      </c>
      <c r="R58" s="21" t="s">
        <v>2276</v>
      </c>
      <c r="S58" s="87" t="s">
        <v>2374</v>
      </c>
      <c r="T58" s="87" t="s">
        <v>2276</v>
      </c>
      <c r="U58" s="87" t="s">
        <v>2276</v>
      </c>
      <c r="V58" s="87" t="s">
        <v>2276</v>
      </c>
      <c r="W58" s="21" t="s">
        <v>2375</v>
      </c>
      <c r="X58" s="3" t="s">
        <v>75</v>
      </c>
      <c r="Y58" s="3" t="s">
        <v>35</v>
      </c>
      <c r="Z58" s="3" t="s">
        <v>64</v>
      </c>
      <c r="AA58" s="4" t="s">
        <v>5053</v>
      </c>
      <c r="AB58" s="4" t="s">
        <v>2261</v>
      </c>
    </row>
    <row r="59" spans="1:28" ht="69.5" customHeight="1">
      <c r="A59" s="6" t="str">
        <f>'Reported burning'!A59</f>
        <v>2bl</v>
      </c>
      <c r="B59" s="6" t="str">
        <f>'Reported burning'!B59</f>
        <v>2bl.1</v>
      </c>
      <c r="C59" s="6" t="str">
        <f>'Reported burning'!C59</f>
        <v>Human, deliberate</v>
      </c>
      <c r="D59" s="6" t="str">
        <f>'Reported burning'!D59</f>
        <v>Crop residue burning</v>
      </c>
      <c r="E59" s="6" t="str">
        <f>'Reported burning'!E59</f>
        <v>Cropping, Monoculture, Market-oriented</v>
      </c>
      <c r="F59" s="6" t="str">
        <f>'Reported burning'!F59</f>
        <v>Cropland</v>
      </c>
      <c r="G59" s="6" t="str">
        <f>'Reported burning'!G59</f>
        <v>ND</v>
      </c>
      <c r="H59" s="6" t="str">
        <f>'Reported burning'!H59</f>
        <v>Presence</v>
      </c>
      <c r="I59" s="23"/>
      <c r="J59" s="77" t="s">
        <v>2276</v>
      </c>
      <c r="K59" s="109" t="s">
        <v>2276</v>
      </c>
      <c r="L59" s="77" t="s">
        <v>2276</v>
      </c>
      <c r="M59" s="21" t="s">
        <v>2276</v>
      </c>
      <c r="N59" s="77" t="s">
        <v>2276</v>
      </c>
      <c r="O59" s="77" t="s">
        <v>2276</v>
      </c>
      <c r="P59" s="77" t="s">
        <v>2276</v>
      </c>
      <c r="Q59" s="21" t="s">
        <v>2362</v>
      </c>
      <c r="R59" s="21" t="s">
        <v>2276</v>
      </c>
      <c r="S59" s="87" t="s">
        <v>2374</v>
      </c>
      <c r="T59" s="87" t="s">
        <v>2276</v>
      </c>
      <c r="U59" s="87" t="s">
        <v>2276</v>
      </c>
      <c r="V59" s="87" t="s">
        <v>2276</v>
      </c>
      <c r="W59" s="21" t="s">
        <v>2375</v>
      </c>
      <c r="X59" s="3" t="s">
        <v>75</v>
      </c>
      <c r="Y59" s="3" t="s">
        <v>35</v>
      </c>
      <c r="Z59" s="3" t="s">
        <v>64</v>
      </c>
      <c r="AA59" s="4" t="s">
        <v>5053</v>
      </c>
      <c r="AB59" s="4" t="s">
        <v>2261</v>
      </c>
    </row>
    <row r="60" spans="1:28" ht="69.5" customHeight="1">
      <c r="A60" s="6" t="str">
        <f>'Reported burning'!A60</f>
        <v>2bm</v>
      </c>
      <c r="B60" s="6" t="str">
        <f>'Reported burning'!B60</f>
        <v>2bm.1</v>
      </c>
      <c r="C60" s="6" t="str">
        <f>'Reported burning'!C60</f>
        <v>Human, deliberate</v>
      </c>
      <c r="D60" s="6" t="str">
        <f>'Reported burning'!D60</f>
        <v>Crop residue burning</v>
      </c>
      <c r="E60" s="6" t="str">
        <f>'Reported burning'!E60</f>
        <v>Cropping, Monoculture, Market-oriented</v>
      </c>
      <c r="F60" s="6" t="str">
        <f>'Reported burning'!F60</f>
        <v>Cropland</v>
      </c>
      <c r="G60" s="6" t="str">
        <f>'Reported burning'!G60</f>
        <v>ND</v>
      </c>
      <c r="H60" s="6" t="str">
        <f>'Reported burning'!H60</f>
        <v>Presence</v>
      </c>
      <c r="I60" s="23"/>
      <c r="J60" s="77" t="s">
        <v>2276</v>
      </c>
      <c r="K60" s="109" t="s">
        <v>2276</v>
      </c>
      <c r="L60" s="77" t="s">
        <v>2276</v>
      </c>
      <c r="M60" s="21" t="s">
        <v>2276</v>
      </c>
      <c r="N60" s="77" t="s">
        <v>2276</v>
      </c>
      <c r="O60" s="77" t="s">
        <v>2276</v>
      </c>
      <c r="P60" s="77" t="s">
        <v>2276</v>
      </c>
      <c r="Q60" s="21" t="s">
        <v>2362</v>
      </c>
      <c r="R60" s="21" t="s">
        <v>2276</v>
      </c>
      <c r="S60" s="87" t="s">
        <v>2376</v>
      </c>
      <c r="T60" s="87" t="s">
        <v>2276</v>
      </c>
      <c r="U60" s="87" t="s">
        <v>2276</v>
      </c>
      <c r="V60" s="87" t="s">
        <v>2276</v>
      </c>
      <c r="W60" s="21" t="s">
        <v>2375</v>
      </c>
      <c r="X60" s="3" t="s">
        <v>75</v>
      </c>
      <c r="Y60" s="3" t="s">
        <v>35</v>
      </c>
      <c r="Z60" s="3" t="s">
        <v>64</v>
      </c>
      <c r="AA60" s="4" t="s">
        <v>5053</v>
      </c>
      <c r="AB60" s="4" t="s">
        <v>2261</v>
      </c>
    </row>
    <row r="61" spans="1:28" ht="69.5" customHeight="1">
      <c r="A61" s="6" t="str">
        <f>'Reported burning'!A61</f>
        <v>2bn</v>
      </c>
      <c r="B61" s="6" t="str">
        <f>'Reported burning'!B61</f>
        <v>2bn.1</v>
      </c>
      <c r="C61" s="6" t="str">
        <f>'Reported burning'!C61</f>
        <v>Human, deliberate</v>
      </c>
      <c r="D61" s="6" t="str">
        <f>'Reported burning'!D61</f>
        <v>Crop residue burning</v>
      </c>
      <c r="E61" s="6" t="str">
        <f>'Reported burning'!E61</f>
        <v>Cropping, Monoculture, Market-oriented</v>
      </c>
      <c r="F61" s="6" t="str">
        <f>'Reported burning'!F61</f>
        <v>Cropland</v>
      </c>
      <c r="G61" s="6" t="str">
        <f>'Reported burning'!G61</f>
        <v>ND</v>
      </c>
      <c r="H61" s="6" t="str">
        <f>'Reported burning'!H61</f>
        <v>Presence</v>
      </c>
      <c r="I61" s="23"/>
      <c r="J61" s="77" t="s">
        <v>2276</v>
      </c>
      <c r="K61" s="109" t="s">
        <v>2276</v>
      </c>
      <c r="L61" s="77" t="s">
        <v>2276</v>
      </c>
      <c r="M61" s="21" t="s">
        <v>2276</v>
      </c>
      <c r="N61" s="77" t="s">
        <v>2276</v>
      </c>
      <c r="O61" s="77" t="s">
        <v>2276</v>
      </c>
      <c r="P61" s="77" t="s">
        <v>2276</v>
      </c>
      <c r="Q61" s="21" t="s">
        <v>2362</v>
      </c>
      <c r="R61" s="21" t="s">
        <v>2276</v>
      </c>
      <c r="S61" s="87" t="s">
        <v>2376</v>
      </c>
      <c r="T61" s="87" t="s">
        <v>2276</v>
      </c>
      <c r="U61" s="87" t="s">
        <v>2276</v>
      </c>
      <c r="V61" s="87" t="s">
        <v>2276</v>
      </c>
      <c r="W61" s="21" t="s">
        <v>2375</v>
      </c>
      <c r="X61" s="3" t="s">
        <v>75</v>
      </c>
      <c r="Y61" s="3" t="s">
        <v>35</v>
      </c>
      <c r="Z61" s="3" t="s">
        <v>64</v>
      </c>
      <c r="AA61" s="4" t="s">
        <v>5053</v>
      </c>
      <c r="AB61" s="4" t="s">
        <v>2261</v>
      </c>
    </row>
    <row r="62" spans="1:28" ht="69.5" customHeight="1">
      <c r="A62" s="6" t="str">
        <f>'Reported burning'!A62</f>
        <v>2bo</v>
      </c>
      <c r="B62" s="6" t="str">
        <f>'Reported burning'!B62</f>
        <v>2bo.1</v>
      </c>
      <c r="C62" s="6" t="str">
        <f>'Reported burning'!C62</f>
        <v>Human, deliberate</v>
      </c>
      <c r="D62" s="6" t="str">
        <f>'Reported burning'!D62</f>
        <v>Crop residue burning</v>
      </c>
      <c r="E62" s="6" t="str">
        <f>'Reported burning'!E62</f>
        <v>Cropping, Monoculture, Market-oriented</v>
      </c>
      <c r="F62" s="6" t="str">
        <f>'Reported burning'!F62</f>
        <v>Cropland</v>
      </c>
      <c r="G62" s="6" t="str">
        <f>'Reported burning'!G62</f>
        <v>ND</v>
      </c>
      <c r="H62" s="6" t="str">
        <f>'Reported burning'!H62</f>
        <v>Presence</v>
      </c>
      <c r="I62" s="23"/>
      <c r="J62" s="77" t="s">
        <v>2276</v>
      </c>
      <c r="K62" s="109" t="s">
        <v>2276</v>
      </c>
      <c r="L62" s="77" t="s">
        <v>2276</v>
      </c>
      <c r="M62" s="21" t="s">
        <v>2276</v>
      </c>
      <c r="N62" s="77" t="s">
        <v>2276</v>
      </c>
      <c r="O62" s="77" t="s">
        <v>2276</v>
      </c>
      <c r="P62" s="77" t="s">
        <v>2276</v>
      </c>
      <c r="Q62" s="21" t="s">
        <v>2362</v>
      </c>
      <c r="R62" s="21" t="s">
        <v>2276</v>
      </c>
      <c r="S62" s="87" t="s">
        <v>2527</v>
      </c>
      <c r="T62" s="87" t="s">
        <v>2276</v>
      </c>
      <c r="U62" s="87" t="s">
        <v>2276</v>
      </c>
      <c r="V62" s="87" t="s">
        <v>2276</v>
      </c>
      <c r="W62" s="21" t="s">
        <v>2375</v>
      </c>
      <c r="X62" s="3" t="s">
        <v>75</v>
      </c>
      <c r="Y62" s="3" t="s">
        <v>35</v>
      </c>
      <c r="Z62" s="3" t="s">
        <v>64</v>
      </c>
      <c r="AA62" s="4" t="s">
        <v>5053</v>
      </c>
      <c r="AB62" s="4" t="s">
        <v>2261</v>
      </c>
    </row>
    <row r="63" spans="1:28" ht="69.5" customHeight="1">
      <c r="A63" s="6" t="str">
        <f>'Reported burning'!A63</f>
        <v>2bp</v>
      </c>
      <c r="B63" s="6" t="str">
        <f>'Reported burning'!B63</f>
        <v>2bp.1</v>
      </c>
      <c r="C63" s="6" t="str">
        <f>'Reported burning'!C63</f>
        <v>Human, deliberate</v>
      </c>
      <c r="D63" s="6" t="str">
        <f>'Reported burning'!D63</f>
        <v>Crop residue burning</v>
      </c>
      <c r="E63" s="6" t="str">
        <f>'Reported burning'!E63</f>
        <v>Cropping, Monoculture, Market-oriented</v>
      </c>
      <c r="F63" s="6" t="str">
        <f>'Reported burning'!F63</f>
        <v>Cropland</v>
      </c>
      <c r="G63" s="6" t="str">
        <f>'Reported burning'!G63</f>
        <v>ND</v>
      </c>
      <c r="H63" s="6" t="str">
        <f>'Reported burning'!H63</f>
        <v>Presence</v>
      </c>
      <c r="I63" s="23"/>
      <c r="J63" s="77" t="s">
        <v>2276</v>
      </c>
      <c r="K63" s="109" t="s">
        <v>2276</v>
      </c>
      <c r="L63" s="77" t="s">
        <v>2276</v>
      </c>
      <c r="M63" s="21" t="s">
        <v>2276</v>
      </c>
      <c r="N63" s="77" t="s">
        <v>2276</v>
      </c>
      <c r="O63" s="77" t="s">
        <v>2276</v>
      </c>
      <c r="P63" s="77" t="s">
        <v>2276</v>
      </c>
      <c r="Q63" s="21" t="s">
        <v>2362</v>
      </c>
      <c r="R63" s="21" t="s">
        <v>2276</v>
      </c>
      <c r="S63" s="87" t="s">
        <v>2374</v>
      </c>
      <c r="T63" s="87" t="s">
        <v>2276</v>
      </c>
      <c r="U63" s="87" t="s">
        <v>2276</v>
      </c>
      <c r="V63" s="87" t="s">
        <v>2276</v>
      </c>
      <c r="W63" s="21" t="s">
        <v>2375</v>
      </c>
      <c r="X63" s="3" t="s">
        <v>75</v>
      </c>
      <c r="Y63" s="3" t="s">
        <v>35</v>
      </c>
      <c r="Z63" s="3" t="s">
        <v>64</v>
      </c>
      <c r="AA63" s="4" t="s">
        <v>5053</v>
      </c>
      <c r="AB63" s="4" t="s">
        <v>2261</v>
      </c>
    </row>
    <row r="64" spans="1:28" ht="69.5" customHeight="1">
      <c r="A64" s="6" t="str">
        <f>'Reported burning'!A64</f>
        <v>2bq</v>
      </c>
      <c r="B64" s="6" t="str">
        <f>'Reported burning'!B64</f>
        <v>2bq.1</v>
      </c>
      <c r="C64" s="6" t="str">
        <f>'Reported burning'!C64</f>
        <v>Human, deliberate</v>
      </c>
      <c r="D64" s="6" t="str">
        <f>'Reported burning'!D64</f>
        <v>Crop residue burning</v>
      </c>
      <c r="E64" s="6" t="str">
        <f>'Reported burning'!E64</f>
        <v>Cropping, Monoculture, Market-oriented</v>
      </c>
      <c r="F64" s="6" t="str">
        <f>'Reported burning'!F64</f>
        <v>Cropland</v>
      </c>
      <c r="G64" s="6" t="str">
        <f>'Reported burning'!G64</f>
        <v>ND</v>
      </c>
      <c r="H64" s="6" t="str">
        <f>'Reported burning'!H64</f>
        <v>Presence</v>
      </c>
      <c r="I64" s="23"/>
      <c r="J64" s="77" t="s">
        <v>2276</v>
      </c>
      <c r="K64" s="109" t="s">
        <v>2276</v>
      </c>
      <c r="L64" s="77" t="s">
        <v>2276</v>
      </c>
      <c r="M64" s="21" t="s">
        <v>2276</v>
      </c>
      <c r="N64" s="77" t="s">
        <v>2276</v>
      </c>
      <c r="O64" s="77" t="s">
        <v>2276</v>
      </c>
      <c r="P64" s="77" t="s">
        <v>2276</v>
      </c>
      <c r="Q64" s="21" t="s">
        <v>2362</v>
      </c>
      <c r="R64" s="21" t="s">
        <v>2276</v>
      </c>
      <c r="S64" s="87" t="s">
        <v>2527</v>
      </c>
      <c r="T64" s="87" t="s">
        <v>2276</v>
      </c>
      <c r="U64" s="87" t="s">
        <v>2276</v>
      </c>
      <c r="V64" s="87" t="s">
        <v>2276</v>
      </c>
      <c r="W64" s="21" t="s">
        <v>2375</v>
      </c>
      <c r="X64" s="3" t="s">
        <v>75</v>
      </c>
      <c r="Y64" s="3" t="s">
        <v>35</v>
      </c>
      <c r="Z64" s="3" t="s">
        <v>64</v>
      </c>
      <c r="AA64" s="4" t="s">
        <v>5053</v>
      </c>
      <c r="AB64" s="4" t="s">
        <v>2261</v>
      </c>
    </row>
    <row r="65" spans="1:28" ht="69.5" customHeight="1">
      <c r="A65" s="6" t="str">
        <f>'Reported burning'!A65</f>
        <v>2br</v>
      </c>
      <c r="B65" s="6" t="str">
        <f>'Reported burning'!B65</f>
        <v>2br.1</v>
      </c>
      <c r="C65" s="6" t="str">
        <f>'Reported burning'!C65</f>
        <v>Human, deliberate</v>
      </c>
      <c r="D65" s="6" t="str">
        <f>'Reported burning'!D65</f>
        <v>Crop residue burning</v>
      </c>
      <c r="E65" s="6" t="str">
        <f>'Reported burning'!E65</f>
        <v>Cropping, Monoculture, Market-oriented</v>
      </c>
      <c r="F65" s="6" t="str">
        <f>'Reported burning'!F65</f>
        <v>Cropland</v>
      </c>
      <c r="G65" s="6" t="str">
        <f>'Reported burning'!G65</f>
        <v>ND</v>
      </c>
      <c r="H65" s="6" t="str">
        <f>'Reported burning'!H65</f>
        <v>Presence</v>
      </c>
      <c r="I65" s="23"/>
      <c r="J65" s="77" t="s">
        <v>2276</v>
      </c>
      <c r="K65" s="109" t="s">
        <v>2276</v>
      </c>
      <c r="L65" s="77" t="s">
        <v>2276</v>
      </c>
      <c r="M65" s="21" t="s">
        <v>2276</v>
      </c>
      <c r="N65" s="77" t="s">
        <v>2276</v>
      </c>
      <c r="O65" s="77" t="s">
        <v>2276</v>
      </c>
      <c r="P65" s="77" t="s">
        <v>2276</v>
      </c>
      <c r="Q65" s="21" t="s">
        <v>2362</v>
      </c>
      <c r="R65" s="21" t="s">
        <v>2276</v>
      </c>
      <c r="S65" s="87" t="s">
        <v>2527</v>
      </c>
      <c r="T65" s="87" t="s">
        <v>2276</v>
      </c>
      <c r="U65" s="87" t="s">
        <v>2276</v>
      </c>
      <c r="V65" s="87" t="s">
        <v>2276</v>
      </c>
      <c r="W65" s="21" t="s">
        <v>2375</v>
      </c>
      <c r="X65" s="3" t="s">
        <v>75</v>
      </c>
      <c r="Y65" s="3" t="s">
        <v>35</v>
      </c>
      <c r="Z65" s="3" t="s">
        <v>64</v>
      </c>
      <c r="AA65" s="4" t="s">
        <v>5053</v>
      </c>
      <c r="AB65" s="4" t="s">
        <v>2261</v>
      </c>
    </row>
    <row r="66" spans="1:28" ht="69.5" customHeight="1">
      <c r="A66" s="6" t="str">
        <f>'Reported burning'!A66</f>
        <v>2bs</v>
      </c>
      <c r="B66" s="6" t="str">
        <f>'Reported burning'!B66</f>
        <v>2bs.1</v>
      </c>
      <c r="C66" s="6" t="str">
        <f>'Reported burning'!C66</f>
        <v>Human, deliberate</v>
      </c>
      <c r="D66" s="6" t="str">
        <f>'Reported burning'!D66</f>
        <v>Crop residue burning</v>
      </c>
      <c r="E66" s="6" t="str">
        <f>'Reported burning'!E66</f>
        <v>Cropping, Monoculture, Market-oriented</v>
      </c>
      <c r="F66" s="6" t="str">
        <f>'Reported burning'!F66</f>
        <v>Cropland</v>
      </c>
      <c r="G66" s="6" t="str">
        <f>'Reported burning'!G66</f>
        <v>ND</v>
      </c>
      <c r="H66" s="6" t="str">
        <f>'Reported burning'!H66</f>
        <v>Presence</v>
      </c>
      <c r="I66" s="23"/>
      <c r="J66" s="77" t="s">
        <v>2276</v>
      </c>
      <c r="K66" s="109" t="s">
        <v>2276</v>
      </c>
      <c r="L66" s="77" t="s">
        <v>2276</v>
      </c>
      <c r="M66" s="21" t="s">
        <v>2276</v>
      </c>
      <c r="N66" s="77" t="s">
        <v>2276</v>
      </c>
      <c r="O66" s="77" t="s">
        <v>2276</v>
      </c>
      <c r="P66" s="77" t="s">
        <v>2276</v>
      </c>
      <c r="Q66" s="21" t="s">
        <v>2362</v>
      </c>
      <c r="R66" s="21" t="s">
        <v>2276</v>
      </c>
      <c r="S66" s="87" t="s">
        <v>2374</v>
      </c>
      <c r="T66" s="87" t="s">
        <v>2276</v>
      </c>
      <c r="U66" s="87" t="s">
        <v>2276</v>
      </c>
      <c r="V66" s="87" t="s">
        <v>2276</v>
      </c>
      <c r="W66" s="21" t="s">
        <v>2375</v>
      </c>
      <c r="X66" s="3" t="s">
        <v>75</v>
      </c>
      <c r="Y66" s="3" t="s">
        <v>35</v>
      </c>
      <c r="Z66" s="3" t="s">
        <v>64</v>
      </c>
      <c r="AA66" s="4" t="s">
        <v>5053</v>
      </c>
      <c r="AB66" s="4" t="s">
        <v>2261</v>
      </c>
    </row>
    <row r="67" spans="1:28" ht="69.5" customHeight="1">
      <c r="A67" s="6" t="str">
        <f>'Reported burning'!A67</f>
        <v>2bt</v>
      </c>
      <c r="B67" s="6" t="str">
        <f>'Reported burning'!B67</f>
        <v>2bt.1</v>
      </c>
      <c r="C67" s="6" t="str">
        <f>'Reported burning'!C67</f>
        <v>Human, deliberate</v>
      </c>
      <c r="D67" s="6" t="str">
        <f>'Reported burning'!D67</f>
        <v>Crop residue burning</v>
      </c>
      <c r="E67" s="6" t="str">
        <f>'Reported burning'!E67</f>
        <v>Cropping, Monoculture, Market-oriented</v>
      </c>
      <c r="F67" s="6" t="str">
        <f>'Reported burning'!F67</f>
        <v>Cropland</v>
      </c>
      <c r="G67" s="6" t="str">
        <f>'Reported burning'!G67</f>
        <v>ND</v>
      </c>
      <c r="H67" s="6" t="str">
        <f>'Reported burning'!H67</f>
        <v>Presence</v>
      </c>
      <c r="I67" s="23"/>
      <c r="J67" s="77" t="s">
        <v>2276</v>
      </c>
      <c r="K67" s="109" t="s">
        <v>2276</v>
      </c>
      <c r="L67" s="77" t="s">
        <v>2276</v>
      </c>
      <c r="M67" s="21" t="s">
        <v>2276</v>
      </c>
      <c r="N67" s="77" t="s">
        <v>2276</v>
      </c>
      <c r="O67" s="77" t="s">
        <v>2276</v>
      </c>
      <c r="P67" s="77" t="s">
        <v>2276</v>
      </c>
      <c r="Q67" s="21" t="s">
        <v>2362</v>
      </c>
      <c r="R67" s="21" t="s">
        <v>2276</v>
      </c>
      <c r="S67" s="87" t="s">
        <v>2389</v>
      </c>
      <c r="T67" s="87" t="s">
        <v>2276</v>
      </c>
      <c r="U67" s="87" t="s">
        <v>2276</v>
      </c>
      <c r="V67" s="87" t="s">
        <v>2276</v>
      </c>
      <c r="W67" s="21" t="s">
        <v>2375</v>
      </c>
      <c r="X67" s="3" t="s">
        <v>75</v>
      </c>
      <c r="Y67" s="3" t="s">
        <v>35</v>
      </c>
      <c r="Z67" s="3" t="s">
        <v>64</v>
      </c>
      <c r="AA67" s="4" t="s">
        <v>5053</v>
      </c>
      <c r="AB67" s="4" t="s">
        <v>2261</v>
      </c>
    </row>
    <row r="68" spans="1:28" ht="69.5" customHeight="1">
      <c r="A68" s="6" t="str">
        <f>'Reported burning'!A68</f>
        <v>2bu</v>
      </c>
      <c r="B68" s="6" t="str">
        <f>'Reported burning'!B68</f>
        <v>2bu.1</v>
      </c>
      <c r="C68" s="6" t="str">
        <f>'Reported burning'!C68</f>
        <v>Human, deliberate</v>
      </c>
      <c r="D68" s="6" t="str">
        <f>'Reported burning'!D68</f>
        <v>Crop residue burning</v>
      </c>
      <c r="E68" s="6" t="str">
        <f>'Reported burning'!E68</f>
        <v>Cropping, Monoculture, Market-oriented</v>
      </c>
      <c r="F68" s="6" t="str">
        <f>'Reported burning'!F68</f>
        <v>Cropland</v>
      </c>
      <c r="G68" s="6" t="str">
        <f>'Reported burning'!G68</f>
        <v>ND</v>
      </c>
      <c r="H68" s="6" t="str">
        <f>'Reported burning'!H68</f>
        <v>Presence</v>
      </c>
      <c r="I68" s="23"/>
      <c r="J68" s="77" t="s">
        <v>2276</v>
      </c>
      <c r="K68" s="109" t="s">
        <v>2276</v>
      </c>
      <c r="L68" s="77" t="s">
        <v>2276</v>
      </c>
      <c r="M68" s="21" t="s">
        <v>2276</v>
      </c>
      <c r="N68" s="77" t="s">
        <v>2276</v>
      </c>
      <c r="O68" s="77" t="s">
        <v>2276</v>
      </c>
      <c r="P68" s="77" t="s">
        <v>2276</v>
      </c>
      <c r="Q68" s="21" t="s">
        <v>2362</v>
      </c>
      <c r="R68" s="21" t="s">
        <v>2276</v>
      </c>
      <c r="S68" s="87" t="s">
        <v>2389</v>
      </c>
      <c r="T68" s="87" t="s">
        <v>2276</v>
      </c>
      <c r="U68" s="87" t="s">
        <v>2276</v>
      </c>
      <c r="V68" s="87" t="s">
        <v>2276</v>
      </c>
      <c r="W68" s="21" t="s">
        <v>2375</v>
      </c>
      <c r="X68" s="3" t="s">
        <v>75</v>
      </c>
      <c r="Y68" s="3" t="s">
        <v>35</v>
      </c>
      <c r="Z68" s="3" t="s">
        <v>64</v>
      </c>
      <c r="AA68" s="4" t="s">
        <v>5053</v>
      </c>
      <c r="AB68" s="4" t="s">
        <v>2261</v>
      </c>
    </row>
    <row r="69" spans="1:28" ht="69.5" customHeight="1">
      <c r="A69" s="6" t="str">
        <f>'Reported burning'!A69</f>
        <v>2bv</v>
      </c>
      <c r="B69" s="6" t="str">
        <f>'Reported burning'!B69</f>
        <v>2bv.1</v>
      </c>
      <c r="C69" s="6" t="str">
        <f>'Reported burning'!C69</f>
        <v>Human, deliberate</v>
      </c>
      <c r="D69" s="6" t="str">
        <f>'Reported burning'!D69</f>
        <v>Crop residue burning</v>
      </c>
      <c r="E69" s="6" t="str">
        <f>'Reported burning'!E69</f>
        <v>Cropping, Monoculture, Market-oriented</v>
      </c>
      <c r="F69" s="6" t="str">
        <f>'Reported burning'!F69</f>
        <v>Cropland</v>
      </c>
      <c r="G69" s="6" t="str">
        <f>'Reported burning'!G69</f>
        <v>ND</v>
      </c>
      <c r="H69" s="6" t="str">
        <f>'Reported burning'!H69</f>
        <v>Presence</v>
      </c>
      <c r="I69" s="23"/>
      <c r="J69" s="77" t="s">
        <v>2276</v>
      </c>
      <c r="K69" s="109" t="s">
        <v>2276</v>
      </c>
      <c r="L69" s="77" t="s">
        <v>2276</v>
      </c>
      <c r="M69" s="21" t="s">
        <v>2276</v>
      </c>
      <c r="N69" s="77" t="s">
        <v>2276</v>
      </c>
      <c r="O69" s="77" t="s">
        <v>2276</v>
      </c>
      <c r="P69" s="77" t="s">
        <v>2276</v>
      </c>
      <c r="Q69" s="21" t="s">
        <v>2362</v>
      </c>
      <c r="R69" s="21" t="s">
        <v>2276</v>
      </c>
      <c r="S69" s="87" t="s">
        <v>2391</v>
      </c>
      <c r="T69" s="87" t="s">
        <v>2276</v>
      </c>
      <c r="U69" s="87" t="s">
        <v>2276</v>
      </c>
      <c r="V69" s="87" t="s">
        <v>2276</v>
      </c>
      <c r="W69" s="21" t="s">
        <v>2375</v>
      </c>
      <c r="X69" s="3" t="s">
        <v>75</v>
      </c>
      <c r="Y69" s="3" t="s">
        <v>35</v>
      </c>
      <c r="Z69" s="3" t="s">
        <v>64</v>
      </c>
      <c r="AA69" s="4" t="s">
        <v>5053</v>
      </c>
      <c r="AB69" s="4" t="s">
        <v>2261</v>
      </c>
    </row>
    <row r="70" spans="1:28" ht="69.5" customHeight="1">
      <c r="A70" s="6" t="str">
        <f>'Reported burning'!A70</f>
        <v>2bw</v>
      </c>
      <c r="B70" s="6" t="str">
        <f>'Reported burning'!B70</f>
        <v>2bw.1</v>
      </c>
      <c r="C70" s="6" t="str">
        <f>'Reported burning'!C70</f>
        <v>Human, deliberate</v>
      </c>
      <c r="D70" s="6" t="str">
        <f>'Reported burning'!D70</f>
        <v>Crop residue burning</v>
      </c>
      <c r="E70" s="6" t="str">
        <f>'Reported burning'!E70</f>
        <v>Cropping, Monoculture, Market-oriented</v>
      </c>
      <c r="F70" s="6" t="str">
        <f>'Reported burning'!F70</f>
        <v>Cropland</v>
      </c>
      <c r="G70" s="6" t="str">
        <f>'Reported burning'!G70</f>
        <v>ND</v>
      </c>
      <c r="H70" s="6" t="str">
        <f>'Reported burning'!H70</f>
        <v>Presence</v>
      </c>
      <c r="I70" s="23"/>
      <c r="J70" s="77" t="s">
        <v>2276</v>
      </c>
      <c r="K70" s="109" t="s">
        <v>2276</v>
      </c>
      <c r="L70" s="77" t="s">
        <v>2276</v>
      </c>
      <c r="M70" s="21" t="s">
        <v>2276</v>
      </c>
      <c r="N70" s="77" t="s">
        <v>2276</v>
      </c>
      <c r="O70" s="77" t="s">
        <v>2276</v>
      </c>
      <c r="P70" s="77" t="s">
        <v>2276</v>
      </c>
      <c r="Q70" s="21" t="s">
        <v>2362</v>
      </c>
      <c r="R70" s="21" t="s">
        <v>2276</v>
      </c>
      <c r="S70" s="87" t="s">
        <v>2527</v>
      </c>
      <c r="T70" s="87" t="s">
        <v>2276</v>
      </c>
      <c r="U70" s="87" t="s">
        <v>2276</v>
      </c>
      <c r="V70" s="87" t="s">
        <v>2276</v>
      </c>
      <c r="W70" s="21" t="s">
        <v>2375</v>
      </c>
      <c r="X70" s="3" t="s">
        <v>75</v>
      </c>
      <c r="Y70" s="3" t="s">
        <v>35</v>
      </c>
      <c r="Z70" s="3" t="s">
        <v>64</v>
      </c>
      <c r="AA70" s="4" t="s">
        <v>5053</v>
      </c>
      <c r="AB70" s="4" t="s">
        <v>2261</v>
      </c>
    </row>
    <row r="71" spans="1:28" ht="69.5" customHeight="1">
      <c r="A71" s="6" t="str">
        <f>'Reported burning'!A71</f>
        <v>2bx</v>
      </c>
      <c r="B71" s="6" t="str">
        <f>'Reported burning'!B71</f>
        <v>2bx.1</v>
      </c>
      <c r="C71" s="6" t="str">
        <f>'Reported burning'!C71</f>
        <v>Human, deliberate</v>
      </c>
      <c r="D71" s="6" t="str">
        <f>'Reported burning'!D71</f>
        <v>Crop residue burning</v>
      </c>
      <c r="E71" s="6" t="str">
        <f>'Reported burning'!E71</f>
        <v>Cropping, Monoculture, Market-oriented</v>
      </c>
      <c r="F71" s="6" t="str">
        <f>'Reported burning'!F71</f>
        <v>Cropland</v>
      </c>
      <c r="G71" s="6" t="str">
        <f>'Reported burning'!G71</f>
        <v>ND</v>
      </c>
      <c r="H71" s="6" t="str">
        <f>'Reported burning'!H71</f>
        <v>Presence</v>
      </c>
      <c r="I71" s="23"/>
      <c r="J71" s="77" t="s">
        <v>2276</v>
      </c>
      <c r="K71" s="109" t="s">
        <v>2276</v>
      </c>
      <c r="L71" s="77" t="s">
        <v>2276</v>
      </c>
      <c r="M71" s="21" t="s">
        <v>2276</v>
      </c>
      <c r="N71" s="77" t="s">
        <v>2276</v>
      </c>
      <c r="O71" s="77" t="s">
        <v>2276</v>
      </c>
      <c r="P71" s="77" t="s">
        <v>2276</v>
      </c>
      <c r="Q71" s="21" t="s">
        <v>2362</v>
      </c>
      <c r="R71" s="21" t="s">
        <v>2276</v>
      </c>
      <c r="S71" s="87" t="s">
        <v>2374</v>
      </c>
      <c r="T71" s="87" t="s">
        <v>2276</v>
      </c>
      <c r="U71" s="87" t="s">
        <v>2276</v>
      </c>
      <c r="V71" s="87" t="s">
        <v>2276</v>
      </c>
      <c r="W71" s="21" t="s">
        <v>2375</v>
      </c>
      <c r="X71" s="3" t="s">
        <v>75</v>
      </c>
      <c r="Y71" s="3" t="s">
        <v>35</v>
      </c>
      <c r="Z71" s="3" t="s">
        <v>64</v>
      </c>
      <c r="AA71" s="4" t="s">
        <v>5053</v>
      </c>
      <c r="AB71" s="4" t="s">
        <v>2261</v>
      </c>
    </row>
    <row r="72" spans="1:28" ht="69.5" customHeight="1">
      <c r="A72" s="6" t="str">
        <f>'Reported burning'!A72</f>
        <v>2by</v>
      </c>
      <c r="B72" s="6" t="str">
        <f>'Reported burning'!B72</f>
        <v>2by.1</v>
      </c>
      <c r="C72" s="6" t="str">
        <f>'Reported burning'!C72</f>
        <v>Human, deliberate</v>
      </c>
      <c r="D72" s="6" t="str">
        <f>'Reported burning'!D72</f>
        <v>Crop residue burning</v>
      </c>
      <c r="E72" s="6" t="str">
        <f>'Reported burning'!E72</f>
        <v>Cropping, Monoculture, Market-oriented</v>
      </c>
      <c r="F72" s="6" t="str">
        <f>'Reported burning'!F72</f>
        <v>Cropland</v>
      </c>
      <c r="G72" s="6" t="str">
        <f>'Reported burning'!G72</f>
        <v>ND</v>
      </c>
      <c r="H72" s="6" t="str">
        <f>'Reported burning'!H72</f>
        <v>Presence</v>
      </c>
      <c r="I72" s="23"/>
      <c r="J72" s="77" t="s">
        <v>2276</v>
      </c>
      <c r="K72" s="109" t="s">
        <v>2276</v>
      </c>
      <c r="L72" s="77" t="s">
        <v>2276</v>
      </c>
      <c r="M72" s="21" t="s">
        <v>2276</v>
      </c>
      <c r="N72" s="77" t="s">
        <v>2276</v>
      </c>
      <c r="O72" s="77" t="s">
        <v>2276</v>
      </c>
      <c r="P72" s="77" t="s">
        <v>2276</v>
      </c>
      <c r="Q72" s="21" t="s">
        <v>2362</v>
      </c>
      <c r="R72" s="21" t="s">
        <v>2276</v>
      </c>
      <c r="S72" s="87" t="s">
        <v>2374</v>
      </c>
      <c r="T72" s="87" t="s">
        <v>2276</v>
      </c>
      <c r="U72" s="87" t="s">
        <v>2276</v>
      </c>
      <c r="V72" s="87" t="s">
        <v>2276</v>
      </c>
      <c r="W72" s="21" t="s">
        <v>2375</v>
      </c>
      <c r="X72" s="3" t="s">
        <v>75</v>
      </c>
      <c r="Y72" s="3" t="s">
        <v>35</v>
      </c>
      <c r="Z72" s="3" t="s">
        <v>64</v>
      </c>
      <c r="AA72" s="4" t="s">
        <v>5053</v>
      </c>
      <c r="AB72" s="4" t="s">
        <v>2261</v>
      </c>
    </row>
    <row r="73" spans="1:28" ht="69.5" customHeight="1">
      <c r="A73" s="6" t="str">
        <f>'Reported burning'!A73</f>
        <v>2bz</v>
      </c>
      <c r="B73" s="6" t="str">
        <f>'Reported burning'!B73</f>
        <v>2bz.1</v>
      </c>
      <c r="C73" s="6" t="str">
        <f>'Reported burning'!C73</f>
        <v>Human, deliberate</v>
      </c>
      <c r="D73" s="6" t="str">
        <f>'Reported burning'!D73</f>
        <v>Crop residue burning</v>
      </c>
      <c r="E73" s="6" t="str">
        <f>'Reported burning'!E73</f>
        <v>Cropping, Monoculture, Market-oriented</v>
      </c>
      <c r="F73" s="6" t="str">
        <f>'Reported burning'!F73</f>
        <v>Cropland</v>
      </c>
      <c r="G73" s="6" t="str">
        <f>'Reported burning'!G73</f>
        <v>ND</v>
      </c>
      <c r="H73" s="6" t="str">
        <f>'Reported burning'!H73</f>
        <v>Presence</v>
      </c>
      <c r="I73" s="23"/>
      <c r="J73" s="77" t="s">
        <v>2276</v>
      </c>
      <c r="K73" s="109" t="s">
        <v>2276</v>
      </c>
      <c r="L73" s="77" t="s">
        <v>2276</v>
      </c>
      <c r="M73" s="21" t="s">
        <v>2276</v>
      </c>
      <c r="N73" s="77" t="s">
        <v>2276</v>
      </c>
      <c r="O73" s="77" t="s">
        <v>2276</v>
      </c>
      <c r="P73" s="77" t="s">
        <v>2276</v>
      </c>
      <c r="Q73" s="21" t="s">
        <v>2362</v>
      </c>
      <c r="R73" s="21" t="s">
        <v>2276</v>
      </c>
      <c r="S73" s="87" t="s">
        <v>2527</v>
      </c>
      <c r="T73" s="87" t="s">
        <v>2276</v>
      </c>
      <c r="U73" s="87" t="s">
        <v>2276</v>
      </c>
      <c r="V73" s="87" t="s">
        <v>2276</v>
      </c>
      <c r="W73" s="21" t="s">
        <v>2375</v>
      </c>
      <c r="X73" s="3" t="s">
        <v>75</v>
      </c>
      <c r="Y73" s="3" t="s">
        <v>35</v>
      </c>
      <c r="Z73" s="3" t="s">
        <v>64</v>
      </c>
      <c r="AA73" s="4" t="s">
        <v>5053</v>
      </c>
      <c r="AB73" s="4" t="s">
        <v>2261</v>
      </c>
    </row>
    <row r="74" spans="1:28" ht="69.5" customHeight="1">
      <c r="A74" s="6" t="str">
        <f>'Reported burning'!A74</f>
        <v>2baa</v>
      </c>
      <c r="B74" s="6" t="str">
        <f>'Reported burning'!B74</f>
        <v>2baa.1</v>
      </c>
      <c r="C74" s="6" t="str">
        <f>'Reported burning'!C74</f>
        <v>Human, deliberate</v>
      </c>
      <c r="D74" s="6" t="str">
        <f>'Reported burning'!D74</f>
        <v>Crop residue burning</v>
      </c>
      <c r="E74" s="6" t="str">
        <f>'Reported burning'!E74</f>
        <v>Cropping, Monoculture, Market-oriented</v>
      </c>
      <c r="F74" s="6" t="str">
        <f>'Reported burning'!F74</f>
        <v>Cropland</v>
      </c>
      <c r="G74" s="6" t="str">
        <f>'Reported burning'!G74</f>
        <v>ND</v>
      </c>
      <c r="H74" s="6" t="str">
        <f>'Reported burning'!H74</f>
        <v>Presence</v>
      </c>
      <c r="I74" s="23"/>
      <c r="J74" s="77" t="s">
        <v>2276</v>
      </c>
      <c r="K74" s="109" t="s">
        <v>2276</v>
      </c>
      <c r="L74" s="77" t="s">
        <v>2276</v>
      </c>
      <c r="M74" s="21" t="s">
        <v>2276</v>
      </c>
      <c r="N74" s="77" t="s">
        <v>2276</v>
      </c>
      <c r="O74" s="77" t="s">
        <v>2276</v>
      </c>
      <c r="P74" s="77" t="s">
        <v>2276</v>
      </c>
      <c r="Q74" s="21" t="s">
        <v>2362</v>
      </c>
      <c r="R74" s="21" t="s">
        <v>2276</v>
      </c>
      <c r="S74" s="87" t="s">
        <v>2376</v>
      </c>
      <c r="T74" s="87" t="s">
        <v>2276</v>
      </c>
      <c r="U74" s="87" t="s">
        <v>2276</v>
      </c>
      <c r="V74" s="87" t="s">
        <v>2276</v>
      </c>
      <c r="W74" s="21" t="s">
        <v>2375</v>
      </c>
      <c r="X74" s="3" t="s">
        <v>75</v>
      </c>
      <c r="Y74" s="3" t="s">
        <v>35</v>
      </c>
      <c r="Z74" s="3" t="s">
        <v>64</v>
      </c>
      <c r="AA74" s="4" t="s">
        <v>5053</v>
      </c>
      <c r="AB74" s="4" t="s">
        <v>2261</v>
      </c>
    </row>
    <row r="75" spans="1:28" ht="69.5" customHeight="1">
      <c r="A75" s="6" t="str">
        <f>'Reported burning'!A75</f>
        <v>2bab</v>
      </c>
      <c r="B75" s="6" t="str">
        <f>'Reported burning'!B75</f>
        <v>2bab.1</v>
      </c>
      <c r="C75" s="6" t="str">
        <f>'Reported burning'!C75</f>
        <v>Human, deliberate</v>
      </c>
      <c r="D75" s="6" t="str">
        <f>'Reported burning'!D75</f>
        <v>Crop residue burning</v>
      </c>
      <c r="E75" s="6" t="str">
        <f>'Reported burning'!E75</f>
        <v>Cropping, Monoculture, Market-oriented</v>
      </c>
      <c r="F75" s="6" t="str">
        <f>'Reported burning'!F75</f>
        <v>Cropland</v>
      </c>
      <c r="G75" s="6" t="str">
        <f>'Reported burning'!G75</f>
        <v>ND</v>
      </c>
      <c r="H75" s="6" t="str">
        <f>'Reported burning'!H75</f>
        <v>Presence</v>
      </c>
      <c r="I75" s="23"/>
      <c r="J75" s="77" t="s">
        <v>2276</v>
      </c>
      <c r="K75" s="109" t="s">
        <v>2276</v>
      </c>
      <c r="L75" s="77" t="s">
        <v>2276</v>
      </c>
      <c r="M75" s="21" t="s">
        <v>2276</v>
      </c>
      <c r="N75" s="77" t="s">
        <v>2276</v>
      </c>
      <c r="O75" s="77" t="s">
        <v>2276</v>
      </c>
      <c r="P75" s="77" t="s">
        <v>2276</v>
      </c>
      <c r="Q75" s="21" t="s">
        <v>2362</v>
      </c>
      <c r="R75" s="21" t="s">
        <v>2276</v>
      </c>
      <c r="S75" s="87" t="s">
        <v>2374</v>
      </c>
      <c r="T75" s="87" t="s">
        <v>2276</v>
      </c>
      <c r="U75" s="87" t="s">
        <v>2276</v>
      </c>
      <c r="V75" s="87" t="s">
        <v>2276</v>
      </c>
      <c r="W75" s="21" t="s">
        <v>2375</v>
      </c>
      <c r="X75" s="3" t="s">
        <v>75</v>
      </c>
      <c r="Y75" s="3" t="s">
        <v>35</v>
      </c>
      <c r="Z75" s="3" t="s">
        <v>64</v>
      </c>
      <c r="AA75" s="4" t="s">
        <v>5053</v>
      </c>
      <c r="AB75" s="4" t="s">
        <v>2261</v>
      </c>
    </row>
    <row r="76" spans="1:28" ht="69.5" customHeight="1">
      <c r="A76" s="6" t="str">
        <f>'Reported burning'!A76</f>
        <v>2bac</v>
      </c>
      <c r="B76" s="6" t="str">
        <f>'Reported burning'!B76</f>
        <v>2bac.1</v>
      </c>
      <c r="C76" s="6" t="str">
        <f>'Reported burning'!C76</f>
        <v>Human, deliberate</v>
      </c>
      <c r="D76" s="6" t="str">
        <f>'Reported burning'!D76</f>
        <v>Crop residue burning</v>
      </c>
      <c r="E76" s="6" t="str">
        <f>'Reported burning'!E76</f>
        <v>Cropping, Monoculture, Market-oriented</v>
      </c>
      <c r="F76" s="6" t="str">
        <f>'Reported burning'!F76</f>
        <v>Cropland</v>
      </c>
      <c r="G76" s="6" t="str">
        <f>'Reported burning'!G76</f>
        <v>ND</v>
      </c>
      <c r="H76" s="6" t="str">
        <f>'Reported burning'!H76</f>
        <v>Presence</v>
      </c>
      <c r="I76" s="23"/>
      <c r="J76" s="77" t="s">
        <v>2276</v>
      </c>
      <c r="K76" s="109" t="s">
        <v>2276</v>
      </c>
      <c r="L76" s="77" t="s">
        <v>2276</v>
      </c>
      <c r="M76" s="21" t="s">
        <v>2276</v>
      </c>
      <c r="N76" s="77" t="s">
        <v>2276</v>
      </c>
      <c r="O76" s="77" t="s">
        <v>2276</v>
      </c>
      <c r="P76" s="77" t="s">
        <v>2276</v>
      </c>
      <c r="Q76" s="21" t="s">
        <v>2362</v>
      </c>
      <c r="R76" s="21" t="s">
        <v>2276</v>
      </c>
      <c r="S76" s="87" t="s">
        <v>2527</v>
      </c>
      <c r="T76" s="87" t="s">
        <v>2276</v>
      </c>
      <c r="U76" s="87" t="s">
        <v>2276</v>
      </c>
      <c r="V76" s="87" t="s">
        <v>2276</v>
      </c>
      <c r="W76" s="21" t="s">
        <v>2375</v>
      </c>
      <c r="X76" s="3" t="s">
        <v>75</v>
      </c>
      <c r="Y76" s="3" t="s">
        <v>35</v>
      </c>
      <c r="Z76" s="3" t="s">
        <v>64</v>
      </c>
      <c r="AA76" s="4" t="s">
        <v>5053</v>
      </c>
      <c r="AB76" s="4" t="s">
        <v>2261</v>
      </c>
    </row>
    <row r="77" spans="1:28" ht="69.5" customHeight="1">
      <c r="A77" s="6" t="str">
        <f>'Reported burning'!A77</f>
        <v>2bad</v>
      </c>
      <c r="B77" s="6" t="str">
        <f>'Reported burning'!B77</f>
        <v>2bad.1</v>
      </c>
      <c r="C77" s="6" t="str">
        <f>'Reported burning'!C77</f>
        <v>Human, deliberate</v>
      </c>
      <c r="D77" s="6" t="str">
        <f>'Reported burning'!D77</f>
        <v>Crop residue burning</v>
      </c>
      <c r="E77" s="6" t="str">
        <f>'Reported burning'!E77</f>
        <v>Cropping, Monoculture, Market-oriented</v>
      </c>
      <c r="F77" s="6" t="str">
        <f>'Reported burning'!F77</f>
        <v>Cropland</v>
      </c>
      <c r="G77" s="6" t="str">
        <f>'Reported burning'!G77</f>
        <v>ND</v>
      </c>
      <c r="H77" s="6" t="str">
        <f>'Reported burning'!H77</f>
        <v>Presence</v>
      </c>
      <c r="I77" s="23"/>
      <c r="J77" s="77" t="s">
        <v>2276</v>
      </c>
      <c r="K77" s="109" t="s">
        <v>2276</v>
      </c>
      <c r="L77" s="77" t="s">
        <v>2276</v>
      </c>
      <c r="M77" s="21" t="s">
        <v>2276</v>
      </c>
      <c r="N77" s="77" t="s">
        <v>2276</v>
      </c>
      <c r="O77" s="77" t="s">
        <v>2276</v>
      </c>
      <c r="P77" s="77" t="s">
        <v>2276</v>
      </c>
      <c r="Q77" s="21" t="s">
        <v>2362</v>
      </c>
      <c r="R77" s="21" t="s">
        <v>2276</v>
      </c>
      <c r="S77" s="87" t="s">
        <v>2376</v>
      </c>
      <c r="T77" s="87" t="s">
        <v>2276</v>
      </c>
      <c r="U77" s="87" t="s">
        <v>2276</v>
      </c>
      <c r="V77" s="87" t="s">
        <v>2276</v>
      </c>
      <c r="W77" s="21" t="s">
        <v>2375</v>
      </c>
      <c r="X77" s="3" t="s">
        <v>75</v>
      </c>
      <c r="Y77" s="3" t="s">
        <v>35</v>
      </c>
      <c r="Z77" s="3" t="s">
        <v>64</v>
      </c>
      <c r="AA77" s="4" t="s">
        <v>5053</v>
      </c>
      <c r="AB77" s="4" t="s">
        <v>2261</v>
      </c>
    </row>
    <row r="78" spans="1:28" ht="69.5" customHeight="1">
      <c r="A78" s="6" t="str">
        <f>'Reported burning'!A78</f>
        <v>2bae</v>
      </c>
      <c r="B78" s="6" t="str">
        <f>'Reported burning'!B78</f>
        <v>2bae.1</v>
      </c>
      <c r="C78" s="6" t="str">
        <f>'Reported burning'!C78</f>
        <v>Human, deliberate</v>
      </c>
      <c r="D78" s="6" t="str">
        <f>'Reported burning'!D78</f>
        <v>Crop residue burning</v>
      </c>
      <c r="E78" s="6" t="str">
        <f>'Reported burning'!E78</f>
        <v>Cropping, Monoculture, Market-oriented</v>
      </c>
      <c r="F78" s="6" t="str">
        <f>'Reported burning'!F78</f>
        <v>Cropland</v>
      </c>
      <c r="G78" s="6" t="str">
        <f>'Reported burning'!G78</f>
        <v>ND</v>
      </c>
      <c r="H78" s="6" t="str">
        <f>'Reported burning'!H78</f>
        <v>Presence</v>
      </c>
      <c r="I78" s="23"/>
      <c r="J78" s="77" t="s">
        <v>2276</v>
      </c>
      <c r="K78" s="109" t="s">
        <v>2276</v>
      </c>
      <c r="L78" s="77" t="s">
        <v>2276</v>
      </c>
      <c r="M78" s="21" t="s">
        <v>2276</v>
      </c>
      <c r="N78" s="77" t="s">
        <v>2276</v>
      </c>
      <c r="O78" s="77" t="s">
        <v>2276</v>
      </c>
      <c r="P78" s="77" t="s">
        <v>2276</v>
      </c>
      <c r="Q78" s="21" t="s">
        <v>2362</v>
      </c>
      <c r="R78" s="21" t="s">
        <v>2276</v>
      </c>
      <c r="S78" s="87" t="s">
        <v>2527</v>
      </c>
      <c r="T78" s="87" t="s">
        <v>2276</v>
      </c>
      <c r="U78" s="87" t="s">
        <v>2276</v>
      </c>
      <c r="V78" s="87" t="s">
        <v>2276</v>
      </c>
      <c r="W78" s="21" t="s">
        <v>2375</v>
      </c>
      <c r="X78" s="3" t="s">
        <v>75</v>
      </c>
      <c r="Y78" s="3" t="s">
        <v>35</v>
      </c>
      <c r="Z78" s="3" t="s">
        <v>64</v>
      </c>
      <c r="AA78" s="4" t="s">
        <v>5053</v>
      </c>
      <c r="AB78" s="4" t="s">
        <v>2261</v>
      </c>
    </row>
    <row r="79" spans="1:28" ht="106" customHeight="1">
      <c r="A79" s="6" t="str">
        <f>'Reported burning'!A79</f>
        <v>3a</v>
      </c>
      <c r="B79" s="6" t="str">
        <f>'Reported burning'!B79</f>
        <v>3a.1</v>
      </c>
      <c r="C79" s="6" t="str">
        <f>'Reported burning'!C79</f>
        <v>Human, deliberate</v>
      </c>
      <c r="D79" s="6" t="str">
        <f>'Reported burning'!D79</f>
        <v>Crop residue burning</v>
      </c>
      <c r="E79" s="6" t="str">
        <f>'Reported burning'!E79</f>
        <v>Cropping, Monoculture, Market-oriented</v>
      </c>
      <c r="F79" s="6" t="str">
        <f>'Reported burning'!F79</f>
        <v>Cropland</v>
      </c>
      <c r="G79" s="6" t="str">
        <f>'Reported burning'!G79</f>
        <v>ND</v>
      </c>
      <c r="H79" s="6" t="str">
        <f>'Reported burning'!H79</f>
        <v>Presence</v>
      </c>
      <c r="I79" s="11"/>
      <c r="J79" s="21" t="s">
        <v>2276</v>
      </c>
      <c r="K79" s="103" t="s">
        <v>2276</v>
      </c>
      <c r="L79" s="21" t="s">
        <v>2276</v>
      </c>
      <c r="M79" s="21" t="s">
        <v>2276</v>
      </c>
      <c r="N79" s="21" t="s">
        <v>2276</v>
      </c>
      <c r="O79" s="21" t="s">
        <v>2276</v>
      </c>
      <c r="P79" s="21" t="s">
        <v>2276</v>
      </c>
      <c r="Q79" s="21" t="s">
        <v>2276</v>
      </c>
      <c r="R79" s="102" t="s">
        <v>2276</v>
      </c>
      <c r="S79" s="21" t="s">
        <v>2390</v>
      </c>
      <c r="T79" s="21" t="s">
        <v>2276</v>
      </c>
      <c r="U79" s="21" t="s">
        <v>2276</v>
      </c>
      <c r="V79" s="21" t="s">
        <v>2276</v>
      </c>
      <c r="W79" s="21" t="s">
        <v>2375</v>
      </c>
      <c r="X79" s="3" t="s">
        <v>75</v>
      </c>
      <c r="Y79" s="3" t="s">
        <v>35</v>
      </c>
      <c r="Z79" s="3" t="s">
        <v>64</v>
      </c>
      <c r="AA79" s="4" t="s">
        <v>1261</v>
      </c>
      <c r="AB79" s="4" t="s">
        <v>1269</v>
      </c>
    </row>
    <row r="80" spans="1:28" ht="100" customHeight="1">
      <c r="A80" s="6" t="str">
        <f>'Reported burning'!A80</f>
        <v>3a</v>
      </c>
      <c r="B80" s="6" t="str">
        <f>'Reported burning'!B80</f>
        <v>3a.2</v>
      </c>
      <c r="C80" s="6" t="str">
        <f>'Reported burning'!C80</f>
        <v>Human, deliberate</v>
      </c>
      <c r="D80" s="6" t="str">
        <f>'Reported burning'!D80</f>
        <v>Crop residue burning</v>
      </c>
      <c r="E80" s="6" t="str">
        <f>'Reported burning'!E80</f>
        <v>Cropping, Monoculture, Market-oriented</v>
      </c>
      <c r="F80" s="6" t="str">
        <f>'Reported burning'!F80</f>
        <v>Cropland</v>
      </c>
      <c r="G80" s="6" t="str">
        <f>'Reported burning'!G80</f>
        <v>ND</v>
      </c>
      <c r="H80" s="6" t="str">
        <f>'Reported burning'!H80</f>
        <v>Presence</v>
      </c>
      <c r="I80" s="11"/>
      <c r="J80" s="21" t="s">
        <v>2276</v>
      </c>
      <c r="K80" s="103" t="s">
        <v>2276</v>
      </c>
      <c r="L80" s="21" t="s">
        <v>2276</v>
      </c>
      <c r="M80" s="21" t="s">
        <v>2276</v>
      </c>
      <c r="N80" s="21" t="s">
        <v>2276</v>
      </c>
      <c r="O80" s="21" t="s">
        <v>2276</v>
      </c>
      <c r="P80" s="21" t="s">
        <v>2276</v>
      </c>
      <c r="Q80" s="102" t="s">
        <v>2276</v>
      </c>
      <c r="R80" s="102" t="s">
        <v>2276</v>
      </c>
      <c r="S80" s="87" t="s">
        <v>2527</v>
      </c>
      <c r="T80" s="21" t="s">
        <v>2276</v>
      </c>
      <c r="U80" s="21" t="s">
        <v>2276</v>
      </c>
      <c r="V80" s="21" t="s">
        <v>2276</v>
      </c>
      <c r="W80" s="21" t="s">
        <v>2375</v>
      </c>
      <c r="X80" s="3" t="s">
        <v>38</v>
      </c>
      <c r="Y80" s="3" t="s">
        <v>86</v>
      </c>
      <c r="Z80" s="3" t="s">
        <v>64</v>
      </c>
      <c r="AA80" s="4" t="s">
        <v>1262</v>
      </c>
      <c r="AB80" s="4" t="s">
        <v>1270</v>
      </c>
    </row>
    <row r="81" spans="1:28" ht="110" customHeight="1">
      <c r="A81" s="6" t="str">
        <f>'Reported burning'!A81</f>
        <v>3a</v>
      </c>
      <c r="B81" s="6" t="str">
        <f>'Reported burning'!B81</f>
        <v>3a.3</v>
      </c>
      <c r="C81" s="6" t="str">
        <f>'Reported burning'!C81</f>
        <v>Human, deliberate</v>
      </c>
      <c r="D81" s="6" t="str">
        <f>'Reported burning'!D81</f>
        <v>Crop residue burning</v>
      </c>
      <c r="E81" s="6" t="str">
        <f>'Reported burning'!E81</f>
        <v>Cropping, Monoculture, Subsistence-oriented</v>
      </c>
      <c r="F81" s="6" t="str">
        <f>'Reported burning'!F81</f>
        <v>Cropland</v>
      </c>
      <c r="G81" s="6" t="str">
        <f>'Reported burning'!G81</f>
        <v>ND</v>
      </c>
      <c r="H81" s="6" t="str">
        <f>'Reported burning'!H81</f>
        <v>Presence</v>
      </c>
      <c r="I81" s="11"/>
      <c r="J81" s="21" t="s">
        <v>2276</v>
      </c>
      <c r="K81" s="103" t="s">
        <v>2276</v>
      </c>
      <c r="L81" s="21" t="s">
        <v>2276</v>
      </c>
      <c r="M81" s="21" t="s">
        <v>2276</v>
      </c>
      <c r="N81" s="21" t="s">
        <v>2276</v>
      </c>
      <c r="O81" s="21" t="s">
        <v>2276</v>
      </c>
      <c r="P81" s="21" t="s">
        <v>2276</v>
      </c>
      <c r="Q81" s="102" t="s">
        <v>2276</v>
      </c>
      <c r="R81" s="102" t="s">
        <v>2276</v>
      </c>
      <c r="S81" s="21" t="s">
        <v>2390</v>
      </c>
      <c r="T81" s="21" t="s">
        <v>2276</v>
      </c>
      <c r="U81" s="21" t="s">
        <v>2276</v>
      </c>
      <c r="V81" s="21" t="s">
        <v>2276</v>
      </c>
      <c r="W81" s="21" t="s">
        <v>2375</v>
      </c>
      <c r="X81" s="3" t="s">
        <v>75</v>
      </c>
      <c r="Y81" s="3" t="s">
        <v>35</v>
      </c>
      <c r="Z81" s="3" t="s">
        <v>64</v>
      </c>
      <c r="AA81" s="4" t="s">
        <v>1261</v>
      </c>
      <c r="AB81" s="4" t="s">
        <v>1271</v>
      </c>
    </row>
    <row r="82" spans="1:28" ht="100" customHeight="1">
      <c r="A82" s="6" t="str">
        <f>'Reported burning'!A82</f>
        <v>3a</v>
      </c>
      <c r="B82" s="6" t="str">
        <f>'Reported burning'!B82</f>
        <v>3a.4</v>
      </c>
      <c r="C82" s="6" t="str">
        <f>'Reported burning'!C82</f>
        <v>Human, deliberate</v>
      </c>
      <c r="D82" s="6" t="str">
        <f>'Reported burning'!D82</f>
        <v>Crop residue burning</v>
      </c>
      <c r="E82" s="6" t="str">
        <f>'Reported burning'!E82</f>
        <v>Cropping, Monoculture, Subsistence-oriented</v>
      </c>
      <c r="F82" s="6" t="str">
        <f>'Reported burning'!F82</f>
        <v>Cropland</v>
      </c>
      <c r="G82" s="6" t="str">
        <f>'Reported burning'!G82</f>
        <v>ND</v>
      </c>
      <c r="H82" s="6" t="str">
        <f>'Reported burning'!H82</f>
        <v>Presence</v>
      </c>
      <c r="I82" s="11"/>
      <c r="J82" s="21" t="s">
        <v>2276</v>
      </c>
      <c r="K82" s="103" t="s">
        <v>2276</v>
      </c>
      <c r="L82" s="21" t="s">
        <v>2276</v>
      </c>
      <c r="M82" s="21" t="s">
        <v>2276</v>
      </c>
      <c r="N82" s="21" t="s">
        <v>2276</v>
      </c>
      <c r="O82" s="21" t="s">
        <v>2276</v>
      </c>
      <c r="P82" s="21" t="s">
        <v>2276</v>
      </c>
      <c r="Q82" s="102" t="s">
        <v>2276</v>
      </c>
      <c r="R82" s="102" t="s">
        <v>2276</v>
      </c>
      <c r="S82" s="87" t="s">
        <v>2527</v>
      </c>
      <c r="T82" s="21" t="s">
        <v>2276</v>
      </c>
      <c r="U82" s="21" t="s">
        <v>2276</v>
      </c>
      <c r="V82" s="21" t="s">
        <v>2276</v>
      </c>
      <c r="W82" s="21" t="s">
        <v>2375</v>
      </c>
      <c r="X82" s="3" t="s">
        <v>38</v>
      </c>
      <c r="Y82" s="3" t="s">
        <v>86</v>
      </c>
      <c r="Z82" s="3" t="s">
        <v>64</v>
      </c>
      <c r="AA82" s="4" t="s">
        <v>1262</v>
      </c>
      <c r="AB82" s="4" t="s">
        <v>1270</v>
      </c>
    </row>
    <row r="83" spans="1:28" ht="100" customHeight="1">
      <c r="A83" s="6" t="str">
        <f>'Reported burning'!A83</f>
        <v>3b</v>
      </c>
      <c r="B83" s="6" t="str">
        <f>'Reported burning'!B83</f>
        <v>3b.1</v>
      </c>
      <c r="C83" s="6" t="str">
        <f>'Reported burning'!C83</f>
        <v>Human, deliberate</v>
      </c>
      <c r="D83" s="6" t="str">
        <f>'Reported burning'!D83</f>
        <v>Crop residue burning</v>
      </c>
      <c r="E83" s="6" t="str">
        <f>'Reported burning'!E83</f>
        <v>Cropping, Monoculture, Market-oriented</v>
      </c>
      <c r="F83" s="6" t="str">
        <f>'Reported burning'!F83</f>
        <v>Cropland</v>
      </c>
      <c r="G83" s="6" t="str">
        <f>'Reported burning'!G83</f>
        <v>ND</v>
      </c>
      <c r="H83" s="6" t="str">
        <f>'Reported burning'!H83</f>
        <v>Presence</v>
      </c>
      <c r="I83" s="11"/>
      <c r="J83" s="21" t="s">
        <v>2276</v>
      </c>
      <c r="K83" s="103" t="s">
        <v>2276</v>
      </c>
      <c r="L83" s="21" t="s">
        <v>2276</v>
      </c>
      <c r="M83" s="21" t="s">
        <v>2276</v>
      </c>
      <c r="N83" s="21" t="s">
        <v>2276</v>
      </c>
      <c r="O83" s="21" t="s">
        <v>2276</v>
      </c>
      <c r="P83" s="21" t="s">
        <v>2276</v>
      </c>
      <c r="Q83" s="102" t="s">
        <v>2276</v>
      </c>
      <c r="R83" s="102" t="s">
        <v>2276</v>
      </c>
      <c r="S83" s="21" t="s">
        <v>2391</v>
      </c>
      <c r="T83" s="21" t="s">
        <v>2276</v>
      </c>
      <c r="U83" s="21" t="s">
        <v>2276</v>
      </c>
      <c r="V83" s="21" t="s">
        <v>2276</v>
      </c>
      <c r="W83" s="21" t="s">
        <v>2375</v>
      </c>
      <c r="X83" s="3" t="s">
        <v>75</v>
      </c>
      <c r="Y83" s="3" t="s">
        <v>35</v>
      </c>
      <c r="Z83" s="3" t="s">
        <v>64</v>
      </c>
      <c r="AA83" s="4" t="s">
        <v>1261</v>
      </c>
      <c r="AB83" s="4" t="s">
        <v>1269</v>
      </c>
    </row>
    <row r="84" spans="1:28" ht="100" customHeight="1">
      <c r="A84" s="6" t="str">
        <f>'Reported burning'!A84</f>
        <v>3b</v>
      </c>
      <c r="B84" s="6" t="str">
        <f>'Reported burning'!B84</f>
        <v>3b.2</v>
      </c>
      <c r="C84" s="6" t="str">
        <f>'Reported burning'!C84</f>
        <v>Human, deliberate</v>
      </c>
      <c r="D84" s="6" t="str">
        <f>'Reported burning'!D84</f>
        <v>Crop residue burning</v>
      </c>
      <c r="E84" s="6" t="str">
        <f>'Reported burning'!E84</f>
        <v>Cropping, Monoculture, Market-oriented</v>
      </c>
      <c r="F84" s="6" t="str">
        <f>'Reported burning'!F84</f>
        <v>Cropland</v>
      </c>
      <c r="G84" s="6" t="str">
        <f>'Reported burning'!G84</f>
        <v>ND</v>
      </c>
      <c r="H84" s="6" t="str">
        <f>'Reported burning'!H84</f>
        <v>Presence</v>
      </c>
      <c r="I84" s="11"/>
      <c r="J84" s="21" t="s">
        <v>2276</v>
      </c>
      <c r="K84" s="103" t="s">
        <v>2276</v>
      </c>
      <c r="L84" s="21" t="s">
        <v>2276</v>
      </c>
      <c r="M84" s="21" t="s">
        <v>2276</v>
      </c>
      <c r="N84" s="21" t="s">
        <v>2276</v>
      </c>
      <c r="O84" s="21" t="s">
        <v>2276</v>
      </c>
      <c r="P84" s="21" t="s">
        <v>2276</v>
      </c>
      <c r="Q84" s="102" t="s">
        <v>2276</v>
      </c>
      <c r="R84" s="102" t="s">
        <v>2276</v>
      </c>
      <c r="S84" s="87" t="s">
        <v>2527</v>
      </c>
      <c r="T84" s="21" t="s">
        <v>2276</v>
      </c>
      <c r="U84" s="21" t="s">
        <v>2276</v>
      </c>
      <c r="V84" s="21" t="s">
        <v>2276</v>
      </c>
      <c r="W84" s="21" t="s">
        <v>2375</v>
      </c>
      <c r="X84" s="3" t="s">
        <v>38</v>
      </c>
      <c r="Y84" s="3" t="s">
        <v>86</v>
      </c>
      <c r="Z84" s="3" t="s">
        <v>64</v>
      </c>
      <c r="AA84" s="4" t="s">
        <v>1262</v>
      </c>
      <c r="AB84" s="4" t="s">
        <v>1270</v>
      </c>
    </row>
    <row r="85" spans="1:28" ht="100" customHeight="1">
      <c r="A85" s="6" t="str">
        <f>'Reported burning'!A85</f>
        <v>3b</v>
      </c>
      <c r="B85" s="6" t="str">
        <f>'Reported burning'!B85</f>
        <v>3b.3</v>
      </c>
      <c r="C85" s="6" t="str">
        <f>'Reported burning'!C85</f>
        <v>Human, deliberate</v>
      </c>
      <c r="D85" s="6" t="str">
        <f>'Reported burning'!D85</f>
        <v>Crop residue burning</v>
      </c>
      <c r="E85" s="6" t="str">
        <f>'Reported burning'!E85</f>
        <v>Cropping, Monoculture, Subsistence-oriented</v>
      </c>
      <c r="F85" s="6" t="str">
        <f>'Reported burning'!F85</f>
        <v>Cropland</v>
      </c>
      <c r="G85" s="6" t="str">
        <f>'Reported burning'!G85</f>
        <v>ND</v>
      </c>
      <c r="H85" s="6" t="str">
        <f>'Reported burning'!H85</f>
        <v>Presence</v>
      </c>
      <c r="I85" s="11"/>
      <c r="J85" s="21" t="s">
        <v>2276</v>
      </c>
      <c r="K85" s="103" t="s">
        <v>2276</v>
      </c>
      <c r="L85" s="21" t="s">
        <v>2276</v>
      </c>
      <c r="M85" s="21" t="s">
        <v>2276</v>
      </c>
      <c r="N85" s="21" t="s">
        <v>2276</v>
      </c>
      <c r="O85" s="21" t="s">
        <v>2276</v>
      </c>
      <c r="P85" s="21" t="s">
        <v>2276</v>
      </c>
      <c r="Q85" s="102" t="s">
        <v>2276</v>
      </c>
      <c r="R85" s="102" t="s">
        <v>2276</v>
      </c>
      <c r="S85" s="21" t="s">
        <v>2391</v>
      </c>
      <c r="T85" s="21" t="s">
        <v>2276</v>
      </c>
      <c r="U85" s="21" t="s">
        <v>2276</v>
      </c>
      <c r="V85" s="21" t="s">
        <v>2276</v>
      </c>
      <c r="W85" s="21" t="s">
        <v>2375</v>
      </c>
      <c r="X85" s="3" t="s">
        <v>75</v>
      </c>
      <c r="Y85" s="3" t="s">
        <v>35</v>
      </c>
      <c r="Z85" s="3" t="s">
        <v>64</v>
      </c>
      <c r="AA85" s="4" t="s">
        <v>1261</v>
      </c>
      <c r="AB85" s="4" t="s">
        <v>1271</v>
      </c>
    </row>
    <row r="86" spans="1:28" ht="100" customHeight="1">
      <c r="A86" s="6" t="str">
        <f>'Reported burning'!A86</f>
        <v>3b</v>
      </c>
      <c r="B86" s="6" t="str">
        <f>'Reported burning'!B86</f>
        <v>3b.4</v>
      </c>
      <c r="C86" s="6" t="str">
        <f>'Reported burning'!C86</f>
        <v>Human, deliberate</v>
      </c>
      <c r="D86" s="6" t="str">
        <f>'Reported burning'!D86</f>
        <v>Crop residue burning</v>
      </c>
      <c r="E86" s="6" t="str">
        <f>'Reported burning'!E86</f>
        <v>Cropping, Monoculture, Subsistence-oriented</v>
      </c>
      <c r="F86" s="6" t="str">
        <f>'Reported burning'!F86</f>
        <v>Cropland</v>
      </c>
      <c r="G86" s="6" t="str">
        <f>'Reported burning'!G86</f>
        <v>ND</v>
      </c>
      <c r="H86" s="6" t="str">
        <f>'Reported burning'!H86</f>
        <v>Presence</v>
      </c>
      <c r="I86" s="11"/>
      <c r="J86" s="21" t="s">
        <v>2276</v>
      </c>
      <c r="K86" s="103" t="s">
        <v>2276</v>
      </c>
      <c r="L86" s="21" t="s">
        <v>2276</v>
      </c>
      <c r="M86" s="21" t="s">
        <v>2276</v>
      </c>
      <c r="N86" s="21" t="s">
        <v>2276</v>
      </c>
      <c r="O86" s="21" t="s">
        <v>2276</v>
      </c>
      <c r="P86" s="21" t="s">
        <v>2276</v>
      </c>
      <c r="Q86" s="102" t="s">
        <v>2276</v>
      </c>
      <c r="R86" s="102" t="s">
        <v>2276</v>
      </c>
      <c r="S86" s="87" t="s">
        <v>2527</v>
      </c>
      <c r="T86" s="21" t="s">
        <v>2276</v>
      </c>
      <c r="U86" s="21" t="s">
        <v>2276</v>
      </c>
      <c r="V86" s="21" t="s">
        <v>2276</v>
      </c>
      <c r="W86" s="21" t="s">
        <v>2375</v>
      </c>
      <c r="X86" s="3" t="s">
        <v>38</v>
      </c>
      <c r="Y86" s="3" t="s">
        <v>86</v>
      </c>
      <c r="Z86" s="3" t="s">
        <v>64</v>
      </c>
      <c r="AA86" s="4" t="s">
        <v>1262</v>
      </c>
      <c r="AB86" s="4" t="s">
        <v>1270</v>
      </c>
    </row>
    <row r="87" spans="1:28" ht="100" customHeight="1">
      <c r="A87" s="6" t="str">
        <f>'Reported burning'!A87</f>
        <v>3c</v>
      </c>
      <c r="B87" s="6" t="str">
        <f>'Reported burning'!B87</f>
        <v>3c.1</v>
      </c>
      <c r="C87" s="6" t="str">
        <f>'Reported burning'!C87</f>
        <v>Human, deliberate</v>
      </c>
      <c r="D87" s="6" t="str">
        <f>'Reported burning'!D87</f>
        <v>Crop residue burning</v>
      </c>
      <c r="E87" s="6" t="str">
        <f>'Reported burning'!E87</f>
        <v>Cropping, Monoculture, Market-oriented</v>
      </c>
      <c r="F87" s="6" t="str">
        <f>'Reported burning'!F87</f>
        <v>Cropland</v>
      </c>
      <c r="G87" s="6" t="str">
        <f>'Reported burning'!G87</f>
        <v>ND</v>
      </c>
      <c r="H87" s="6" t="str">
        <f>'Reported burning'!H87</f>
        <v>Presence</v>
      </c>
      <c r="I87" s="11"/>
      <c r="J87" s="21" t="s">
        <v>2276</v>
      </c>
      <c r="K87" s="103" t="s">
        <v>2276</v>
      </c>
      <c r="L87" s="21" t="s">
        <v>2276</v>
      </c>
      <c r="M87" s="21" t="s">
        <v>2276</v>
      </c>
      <c r="N87" s="21" t="s">
        <v>2276</v>
      </c>
      <c r="O87" s="21" t="s">
        <v>2276</v>
      </c>
      <c r="P87" s="21" t="s">
        <v>2276</v>
      </c>
      <c r="Q87" s="102" t="s">
        <v>2276</v>
      </c>
      <c r="R87" s="102" t="s">
        <v>2276</v>
      </c>
      <c r="S87" s="21" t="s">
        <v>2391</v>
      </c>
      <c r="T87" s="21" t="s">
        <v>2276</v>
      </c>
      <c r="U87" s="21" t="s">
        <v>2276</v>
      </c>
      <c r="V87" s="21" t="s">
        <v>2276</v>
      </c>
      <c r="W87" s="21" t="s">
        <v>2375</v>
      </c>
      <c r="X87" s="3" t="s">
        <v>75</v>
      </c>
      <c r="Y87" s="3" t="s">
        <v>35</v>
      </c>
      <c r="Z87" s="3" t="s">
        <v>64</v>
      </c>
      <c r="AA87" s="4" t="s">
        <v>1261</v>
      </c>
      <c r="AB87" s="4" t="s">
        <v>1269</v>
      </c>
    </row>
    <row r="88" spans="1:28" ht="100" customHeight="1">
      <c r="A88" s="6" t="str">
        <f>'Reported burning'!A88</f>
        <v>3c</v>
      </c>
      <c r="B88" s="6" t="str">
        <f>'Reported burning'!B88</f>
        <v>3c.2</v>
      </c>
      <c r="C88" s="6" t="str">
        <f>'Reported burning'!C88</f>
        <v>Human, deliberate</v>
      </c>
      <c r="D88" s="6" t="str">
        <f>'Reported burning'!D88</f>
        <v>Crop residue burning</v>
      </c>
      <c r="E88" s="6" t="str">
        <f>'Reported burning'!E88</f>
        <v>Cropping, Monoculture, Market-oriented</v>
      </c>
      <c r="F88" s="6" t="str">
        <f>'Reported burning'!F88</f>
        <v>Cropland</v>
      </c>
      <c r="G88" s="6" t="str">
        <f>'Reported burning'!G88</f>
        <v>ND</v>
      </c>
      <c r="H88" s="6" t="str">
        <f>'Reported burning'!H88</f>
        <v>Presence</v>
      </c>
      <c r="I88" s="11"/>
      <c r="J88" s="21" t="s">
        <v>2276</v>
      </c>
      <c r="K88" s="103" t="s">
        <v>2276</v>
      </c>
      <c r="L88" s="21" t="s">
        <v>2276</v>
      </c>
      <c r="M88" s="21" t="s">
        <v>2276</v>
      </c>
      <c r="N88" s="21" t="s">
        <v>2276</v>
      </c>
      <c r="O88" s="21" t="s">
        <v>2276</v>
      </c>
      <c r="P88" s="21" t="s">
        <v>2276</v>
      </c>
      <c r="Q88" s="102" t="s">
        <v>2276</v>
      </c>
      <c r="R88" s="102" t="s">
        <v>2276</v>
      </c>
      <c r="S88" s="87" t="s">
        <v>2527</v>
      </c>
      <c r="T88" s="21" t="s">
        <v>2276</v>
      </c>
      <c r="U88" s="21" t="s">
        <v>2276</v>
      </c>
      <c r="V88" s="21" t="s">
        <v>2276</v>
      </c>
      <c r="W88" s="21" t="s">
        <v>2375</v>
      </c>
      <c r="X88" s="3" t="s">
        <v>38</v>
      </c>
      <c r="Y88" s="3" t="s">
        <v>86</v>
      </c>
      <c r="Z88" s="3" t="s">
        <v>64</v>
      </c>
      <c r="AA88" s="4" t="s">
        <v>1262</v>
      </c>
      <c r="AB88" s="4" t="s">
        <v>1270</v>
      </c>
    </row>
    <row r="89" spans="1:28" ht="100" customHeight="1">
      <c r="A89" s="6" t="str">
        <f>'Reported burning'!A89</f>
        <v>3c</v>
      </c>
      <c r="B89" s="6" t="str">
        <f>'Reported burning'!B89</f>
        <v>3c.3</v>
      </c>
      <c r="C89" s="6" t="str">
        <f>'Reported burning'!C89</f>
        <v>Human, deliberate</v>
      </c>
      <c r="D89" s="6" t="str">
        <f>'Reported burning'!D89</f>
        <v>Crop residue burning</v>
      </c>
      <c r="E89" s="6" t="str">
        <f>'Reported burning'!E89</f>
        <v>Cropping, Monoculture, Subsistence-oriented</v>
      </c>
      <c r="F89" s="6" t="str">
        <f>'Reported burning'!F89</f>
        <v>Cropland</v>
      </c>
      <c r="G89" s="6" t="str">
        <f>'Reported burning'!G89</f>
        <v>ND</v>
      </c>
      <c r="H89" s="6" t="str">
        <f>'Reported burning'!H89</f>
        <v>Presence</v>
      </c>
      <c r="I89" s="11"/>
      <c r="J89" s="21" t="s">
        <v>2276</v>
      </c>
      <c r="K89" s="103" t="s">
        <v>2276</v>
      </c>
      <c r="L89" s="21" t="s">
        <v>2276</v>
      </c>
      <c r="M89" s="21" t="s">
        <v>2276</v>
      </c>
      <c r="N89" s="21" t="s">
        <v>2276</v>
      </c>
      <c r="O89" s="21" t="s">
        <v>2276</v>
      </c>
      <c r="P89" s="21" t="s">
        <v>2276</v>
      </c>
      <c r="Q89" s="102" t="s">
        <v>2276</v>
      </c>
      <c r="R89" s="102" t="s">
        <v>2276</v>
      </c>
      <c r="S89" s="21" t="s">
        <v>2391</v>
      </c>
      <c r="T89" s="21" t="s">
        <v>2276</v>
      </c>
      <c r="U89" s="21" t="s">
        <v>2276</v>
      </c>
      <c r="V89" s="21" t="s">
        <v>2276</v>
      </c>
      <c r="W89" s="21" t="s">
        <v>2375</v>
      </c>
      <c r="X89" s="3" t="s">
        <v>75</v>
      </c>
      <c r="Y89" s="3" t="s">
        <v>35</v>
      </c>
      <c r="Z89" s="3" t="s">
        <v>64</v>
      </c>
      <c r="AA89" s="4" t="s">
        <v>1261</v>
      </c>
      <c r="AB89" s="4" t="s">
        <v>1271</v>
      </c>
    </row>
    <row r="90" spans="1:28" ht="100" customHeight="1">
      <c r="A90" s="6" t="str">
        <f>'Reported burning'!A90</f>
        <v>3c</v>
      </c>
      <c r="B90" s="6" t="str">
        <f>'Reported burning'!B90</f>
        <v>3c.4</v>
      </c>
      <c r="C90" s="6" t="str">
        <f>'Reported burning'!C90</f>
        <v>Human, deliberate</v>
      </c>
      <c r="D90" s="6" t="str">
        <f>'Reported burning'!D90</f>
        <v>Crop residue burning</v>
      </c>
      <c r="E90" s="6" t="str">
        <f>'Reported burning'!E90</f>
        <v>Cropping, Monoculture, Subsistence-oriented</v>
      </c>
      <c r="F90" s="6" t="str">
        <f>'Reported burning'!F90</f>
        <v>Cropland</v>
      </c>
      <c r="G90" s="6" t="str">
        <f>'Reported burning'!G90</f>
        <v>ND</v>
      </c>
      <c r="H90" s="6" t="str">
        <f>'Reported burning'!H90</f>
        <v>Presence</v>
      </c>
      <c r="I90" s="11"/>
      <c r="J90" s="21" t="s">
        <v>2276</v>
      </c>
      <c r="K90" s="103" t="s">
        <v>2276</v>
      </c>
      <c r="L90" s="21" t="s">
        <v>2276</v>
      </c>
      <c r="M90" s="21" t="s">
        <v>2276</v>
      </c>
      <c r="N90" s="21" t="s">
        <v>2276</v>
      </c>
      <c r="O90" s="21" t="s">
        <v>2276</v>
      </c>
      <c r="P90" s="21" t="s">
        <v>2276</v>
      </c>
      <c r="Q90" s="102" t="s">
        <v>2276</v>
      </c>
      <c r="R90" s="102" t="s">
        <v>2276</v>
      </c>
      <c r="S90" s="87" t="s">
        <v>2527</v>
      </c>
      <c r="T90" s="21" t="s">
        <v>2276</v>
      </c>
      <c r="U90" s="21" t="s">
        <v>2276</v>
      </c>
      <c r="V90" s="21" t="s">
        <v>2276</v>
      </c>
      <c r="W90" s="21" t="s">
        <v>2375</v>
      </c>
      <c r="X90" s="3" t="s">
        <v>38</v>
      </c>
      <c r="Y90" s="3" t="s">
        <v>86</v>
      </c>
      <c r="Z90" s="3" t="s">
        <v>64</v>
      </c>
      <c r="AA90" s="4" t="s">
        <v>1262</v>
      </c>
      <c r="AB90" s="4" t="s">
        <v>1270</v>
      </c>
    </row>
    <row r="91" spans="1:28" ht="86" customHeight="1">
      <c r="A91" s="6" t="str">
        <f>'Reported burning'!A91</f>
        <v>4a</v>
      </c>
      <c r="B91" s="6" t="str">
        <f>'Reported burning'!B91</f>
        <v>4a.1</v>
      </c>
      <c r="C91" s="6" t="str">
        <f>'Reported burning'!C91</f>
        <v>Human, deliberate</v>
      </c>
      <c r="D91" s="6" t="str">
        <f>'Reported burning'!D91</f>
        <v>Crop residue burning</v>
      </c>
      <c r="E91" s="6" t="str">
        <f>'Reported burning'!E91</f>
        <v>Cropping, Monoculture, Market-oriented</v>
      </c>
      <c r="F91" s="6" t="str">
        <f>'Reported burning'!F91</f>
        <v>Cropland</v>
      </c>
      <c r="G91" s="6" t="str">
        <f>'Reported burning'!G91</f>
        <v>ND</v>
      </c>
      <c r="H91" s="6" t="str">
        <f>'Reported burning'!H91</f>
        <v>Presence</v>
      </c>
      <c r="I91" s="11"/>
      <c r="J91" s="21" t="s">
        <v>2276</v>
      </c>
      <c r="K91" s="103" t="s">
        <v>2276</v>
      </c>
      <c r="L91" s="21" t="s">
        <v>2276</v>
      </c>
      <c r="M91" s="21" t="s">
        <v>2276</v>
      </c>
      <c r="N91" s="21" t="s">
        <v>2276</v>
      </c>
      <c r="O91" s="21" t="s">
        <v>2276</v>
      </c>
      <c r="P91" s="21" t="s">
        <v>2276</v>
      </c>
      <c r="Q91" s="102" t="s">
        <v>2276</v>
      </c>
      <c r="R91" s="102" t="s">
        <v>2276</v>
      </c>
      <c r="S91" s="21" t="s">
        <v>2391</v>
      </c>
      <c r="T91" s="21" t="s">
        <v>2276</v>
      </c>
      <c r="U91" s="21" t="s">
        <v>2276</v>
      </c>
      <c r="V91" s="21" t="s">
        <v>2276</v>
      </c>
      <c r="W91" s="21" t="s">
        <v>2375</v>
      </c>
      <c r="X91" s="3" t="s">
        <v>75</v>
      </c>
      <c r="Y91" s="3" t="s">
        <v>35</v>
      </c>
      <c r="Z91" s="3" t="s">
        <v>64</v>
      </c>
      <c r="AA91" s="4" t="s">
        <v>1315</v>
      </c>
      <c r="AB91" s="19" t="s">
        <v>5025</v>
      </c>
    </row>
    <row r="92" spans="1:28" ht="88" customHeight="1">
      <c r="A92" s="6" t="str">
        <f>'Reported burning'!A92</f>
        <v>4a</v>
      </c>
      <c r="B92" s="6" t="str">
        <f>'Reported burning'!B92</f>
        <v>4a.2</v>
      </c>
      <c r="C92" s="6" t="str">
        <f>'Reported burning'!C92</f>
        <v>Human, deliberate</v>
      </c>
      <c r="D92" s="6" t="str">
        <f>'Reported burning'!D92</f>
        <v>Crop residue burning</v>
      </c>
      <c r="E92" s="6" t="str">
        <f>'Reported burning'!E92</f>
        <v>Cropping, Monoculture, Market-oriented</v>
      </c>
      <c r="F92" s="6" t="str">
        <f>'Reported burning'!F92</f>
        <v>Cropland</v>
      </c>
      <c r="G92" s="6" t="str">
        <f>'Reported burning'!G92</f>
        <v>ND</v>
      </c>
      <c r="H92" s="6" t="str">
        <f>'Reported burning'!H92</f>
        <v>Presence</v>
      </c>
      <c r="I92" s="11"/>
      <c r="J92" s="21" t="s">
        <v>2276</v>
      </c>
      <c r="K92" s="103" t="s">
        <v>2276</v>
      </c>
      <c r="L92" s="21" t="s">
        <v>2276</v>
      </c>
      <c r="M92" s="21" t="s">
        <v>2276</v>
      </c>
      <c r="N92" s="21" t="s">
        <v>2276</v>
      </c>
      <c r="O92" s="21" t="s">
        <v>2276</v>
      </c>
      <c r="P92" s="21" t="s">
        <v>2276</v>
      </c>
      <c r="Q92" s="102" t="s">
        <v>2276</v>
      </c>
      <c r="R92" s="102" t="s">
        <v>2276</v>
      </c>
      <c r="S92" s="21" t="s">
        <v>2391</v>
      </c>
      <c r="T92" s="74" t="s">
        <v>2276</v>
      </c>
      <c r="U92" s="74" t="s">
        <v>2276</v>
      </c>
      <c r="V92" s="74" t="s">
        <v>2276</v>
      </c>
      <c r="W92" s="21" t="s">
        <v>2375</v>
      </c>
      <c r="X92" s="3" t="s">
        <v>38</v>
      </c>
      <c r="Y92" s="3" t="s">
        <v>86</v>
      </c>
      <c r="Z92" s="3" t="s">
        <v>64</v>
      </c>
      <c r="AA92" s="4" t="s">
        <v>1314</v>
      </c>
      <c r="AB92" s="19" t="s">
        <v>5026</v>
      </c>
    </row>
    <row r="93" spans="1:28" ht="88" customHeight="1">
      <c r="A93" s="6" t="str">
        <f>'Reported burning'!A93</f>
        <v>4b</v>
      </c>
      <c r="B93" s="6" t="str">
        <f>'Reported burning'!B93</f>
        <v>4b.1</v>
      </c>
      <c r="C93" s="6" t="str">
        <f>'Reported burning'!C93</f>
        <v>Human, deliberate</v>
      </c>
      <c r="D93" s="6" t="str">
        <f>'Reported burning'!D93</f>
        <v>Crop residue burning</v>
      </c>
      <c r="E93" s="6" t="str">
        <f>'Reported burning'!E93</f>
        <v>Cropping, Monoculture, Market-oriented</v>
      </c>
      <c r="F93" s="6" t="str">
        <f>'Reported burning'!F93</f>
        <v>Cropland</v>
      </c>
      <c r="G93" s="6" t="str">
        <f>'Reported burning'!G93</f>
        <v>ND</v>
      </c>
      <c r="H93" s="6" t="str">
        <f>'Reported burning'!H93</f>
        <v>Presence</v>
      </c>
      <c r="I93" s="11"/>
      <c r="J93" s="21" t="s">
        <v>2276</v>
      </c>
      <c r="K93" s="103" t="s">
        <v>2276</v>
      </c>
      <c r="L93" s="21" t="s">
        <v>2276</v>
      </c>
      <c r="M93" s="21" t="s">
        <v>2276</v>
      </c>
      <c r="N93" s="21" t="s">
        <v>2276</v>
      </c>
      <c r="O93" s="21" t="s">
        <v>2276</v>
      </c>
      <c r="P93" s="21" t="s">
        <v>2276</v>
      </c>
      <c r="Q93" s="102" t="s">
        <v>2276</v>
      </c>
      <c r="R93" s="102" t="s">
        <v>2276</v>
      </c>
      <c r="S93" s="21" t="s">
        <v>2391</v>
      </c>
      <c r="T93" s="74" t="s">
        <v>2276</v>
      </c>
      <c r="U93" s="74" t="s">
        <v>2276</v>
      </c>
      <c r="V93" s="74" t="s">
        <v>2276</v>
      </c>
      <c r="W93" s="21" t="s">
        <v>2375</v>
      </c>
      <c r="X93" s="3" t="s">
        <v>75</v>
      </c>
      <c r="Y93" s="3" t="s">
        <v>35</v>
      </c>
      <c r="Z93" s="3" t="s">
        <v>64</v>
      </c>
      <c r="AA93" s="4" t="s">
        <v>1315</v>
      </c>
      <c r="AB93" s="19" t="s">
        <v>5025</v>
      </c>
    </row>
    <row r="94" spans="1:28" ht="88" customHeight="1">
      <c r="A94" s="6" t="str">
        <f>'Reported burning'!A94</f>
        <v>4b</v>
      </c>
      <c r="B94" s="6" t="str">
        <f>'Reported burning'!B94</f>
        <v>4b.2</v>
      </c>
      <c r="C94" s="6" t="str">
        <f>'Reported burning'!C94</f>
        <v>Human, deliberate</v>
      </c>
      <c r="D94" s="6" t="str">
        <f>'Reported burning'!D94</f>
        <v>Crop residue burning</v>
      </c>
      <c r="E94" s="6" t="str">
        <f>'Reported burning'!E94</f>
        <v>Cropping, Monoculture, Market-oriented</v>
      </c>
      <c r="F94" s="6" t="str">
        <f>'Reported burning'!F94</f>
        <v>Cropland</v>
      </c>
      <c r="G94" s="6" t="str">
        <f>'Reported burning'!G94</f>
        <v>ND</v>
      </c>
      <c r="H94" s="6" t="str">
        <f>'Reported burning'!H94</f>
        <v>Presence</v>
      </c>
      <c r="I94" s="11"/>
      <c r="J94" s="21" t="s">
        <v>2276</v>
      </c>
      <c r="K94" s="103" t="s">
        <v>2276</v>
      </c>
      <c r="L94" s="21" t="s">
        <v>2276</v>
      </c>
      <c r="M94" s="21" t="s">
        <v>2276</v>
      </c>
      <c r="N94" s="21" t="s">
        <v>2276</v>
      </c>
      <c r="O94" s="21" t="s">
        <v>2276</v>
      </c>
      <c r="P94" s="21" t="s">
        <v>2276</v>
      </c>
      <c r="Q94" s="102" t="s">
        <v>2276</v>
      </c>
      <c r="R94" s="102" t="s">
        <v>2276</v>
      </c>
      <c r="S94" s="21" t="s">
        <v>2389</v>
      </c>
      <c r="T94" s="74" t="s">
        <v>2276</v>
      </c>
      <c r="U94" s="74" t="s">
        <v>2276</v>
      </c>
      <c r="V94" s="74" t="s">
        <v>2276</v>
      </c>
      <c r="W94" s="21" t="s">
        <v>2375</v>
      </c>
      <c r="X94" s="3" t="s">
        <v>38</v>
      </c>
      <c r="Y94" s="3" t="s">
        <v>86</v>
      </c>
      <c r="Z94" s="3" t="s">
        <v>64</v>
      </c>
      <c r="AA94" s="4" t="s">
        <v>1314</v>
      </c>
      <c r="AB94" s="19" t="s">
        <v>5026</v>
      </c>
    </row>
    <row r="95" spans="1:28" ht="88" customHeight="1">
      <c r="A95" s="6" t="str">
        <f>'Reported burning'!A95</f>
        <v>4c</v>
      </c>
      <c r="B95" s="6" t="str">
        <f>'Reported burning'!B95</f>
        <v>4c.1</v>
      </c>
      <c r="C95" s="6" t="str">
        <f>'Reported burning'!C95</f>
        <v>Human, deliberate</v>
      </c>
      <c r="D95" s="6" t="str">
        <f>'Reported burning'!D95</f>
        <v>Crop residue burning</v>
      </c>
      <c r="E95" s="6" t="str">
        <f>'Reported burning'!E95</f>
        <v>Cropping, Monoculture, Market-oriented</v>
      </c>
      <c r="F95" s="6" t="str">
        <f>'Reported burning'!F95</f>
        <v>Cropland</v>
      </c>
      <c r="G95" s="6" t="str">
        <f>'Reported burning'!G95</f>
        <v>ND</v>
      </c>
      <c r="H95" s="6" t="str">
        <f>'Reported burning'!H95</f>
        <v>Presence</v>
      </c>
      <c r="I95" s="11"/>
      <c r="J95" s="21" t="s">
        <v>2276</v>
      </c>
      <c r="K95" s="103" t="s">
        <v>2276</v>
      </c>
      <c r="L95" s="21" t="s">
        <v>2276</v>
      </c>
      <c r="M95" s="21" t="s">
        <v>2276</v>
      </c>
      <c r="N95" s="21" t="s">
        <v>2276</v>
      </c>
      <c r="O95" s="21" t="s">
        <v>2276</v>
      </c>
      <c r="P95" s="21" t="s">
        <v>2276</v>
      </c>
      <c r="Q95" s="102" t="s">
        <v>2276</v>
      </c>
      <c r="R95" s="102" t="s">
        <v>2276</v>
      </c>
      <c r="S95" s="21" t="s">
        <v>2392</v>
      </c>
      <c r="T95" s="74" t="s">
        <v>2276</v>
      </c>
      <c r="U95" s="74" t="s">
        <v>2276</v>
      </c>
      <c r="V95" s="74" t="s">
        <v>2276</v>
      </c>
      <c r="W95" s="21" t="s">
        <v>2375</v>
      </c>
      <c r="X95" s="3" t="s">
        <v>75</v>
      </c>
      <c r="Y95" s="3" t="s">
        <v>35</v>
      </c>
      <c r="Z95" s="3" t="s">
        <v>64</v>
      </c>
      <c r="AA95" s="4" t="s">
        <v>1315</v>
      </c>
      <c r="AB95" s="19" t="s">
        <v>5025</v>
      </c>
    </row>
    <row r="96" spans="1:28" ht="88" customHeight="1">
      <c r="A96" s="6" t="str">
        <f>'Reported burning'!A96</f>
        <v>4c</v>
      </c>
      <c r="B96" s="6" t="str">
        <f>'Reported burning'!B96</f>
        <v>4c.2</v>
      </c>
      <c r="C96" s="6" t="str">
        <f>'Reported burning'!C96</f>
        <v>Human, deliberate</v>
      </c>
      <c r="D96" s="6" t="str">
        <f>'Reported burning'!D96</f>
        <v>Crop residue burning</v>
      </c>
      <c r="E96" s="6" t="str">
        <f>'Reported burning'!E96</f>
        <v>Cropping, Monoculture, Market-oriented</v>
      </c>
      <c r="F96" s="6" t="str">
        <f>'Reported burning'!F96</f>
        <v>Cropland</v>
      </c>
      <c r="G96" s="6" t="str">
        <f>'Reported burning'!G96</f>
        <v>ND</v>
      </c>
      <c r="H96" s="6" t="str">
        <f>'Reported burning'!H96</f>
        <v>Presence</v>
      </c>
      <c r="I96" s="11"/>
      <c r="J96" s="21" t="s">
        <v>2276</v>
      </c>
      <c r="K96" s="103" t="s">
        <v>2276</v>
      </c>
      <c r="L96" s="21" t="s">
        <v>2276</v>
      </c>
      <c r="M96" s="21" t="s">
        <v>2276</v>
      </c>
      <c r="N96" s="21" t="s">
        <v>2276</v>
      </c>
      <c r="O96" s="21" t="s">
        <v>2276</v>
      </c>
      <c r="P96" s="21" t="s">
        <v>2276</v>
      </c>
      <c r="Q96" s="102" t="s">
        <v>2276</v>
      </c>
      <c r="R96" s="102" t="s">
        <v>2276</v>
      </c>
      <c r="S96" s="21" t="s">
        <v>2389</v>
      </c>
      <c r="T96" s="74" t="s">
        <v>2276</v>
      </c>
      <c r="U96" s="74" t="s">
        <v>2276</v>
      </c>
      <c r="V96" s="74" t="s">
        <v>2276</v>
      </c>
      <c r="W96" s="21" t="s">
        <v>2375</v>
      </c>
      <c r="X96" s="3" t="s">
        <v>38</v>
      </c>
      <c r="Y96" s="3" t="s">
        <v>86</v>
      </c>
      <c r="Z96" s="3" t="s">
        <v>64</v>
      </c>
      <c r="AA96" s="4" t="s">
        <v>1314</v>
      </c>
      <c r="AB96" s="19" t="s">
        <v>5026</v>
      </c>
    </row>
    <row r="97" spans="1:28" ht="88" customHeight="1">
      <c r="A97" s="6" t="str">
        <f>'Reported burning'!A97</f>
        <v>4d</v>
      </c>
      <c r="B97" s="6" t="str">
        <f>'Reported burning'!B97</f>
        <v>4d.1</v>
      </c>
      <c r="C97" s="6" t="str">
        <f>'Reported burning'!C97</f>
        <v>Human, deliberate</v>
      </c>
      <c r="D97" s="6" t="str">
        <f>'Reported burning'!D97</f>
        <v>Crop residue burning</v>
      </c>
      <c r="E97" s="6" t="str">
        <f>'Reported burning'!E97</f>
        <v>Cropping, Monoculture, Market-oriented</v>
      </c>
      <c r="F97" s="6" t="str">
        <f>'Reported burning'!F97</f>
        <v>Cropland</v>
      </c>
      <c r="G97" s="6" t="str">
        <f>'Reported burning'!G97</f>
        <v>ND</v>
      </c>
      <c r="H97" s="6" t="str">
        <f>'Reported burning'!H97</f>
        <v>Presence</v>
      </c>
      <c r="I97" s="11"/>
      <c r="J97" s="21" t="s">
        <v>2276</v>
      </c>
      <c r="K97" s="103" t="s">
        <v>2276</v>
      </c>
      <c r="L97" s="21" t="s">
        <v>2276</v>
      </c>
      <c r="M97" s="21" t="s">
        <v>2276</v>
      </c>
      <c r="N97" s="21" t="s">
        <v>2276</v>
      </c>
      <c r="O97" s="21" t="s">
        <v>2276</v>
      </c>
      <c r="P97" s="21" t="s">
        <v>2276</v>
      </c>
      <c r="Q97" s="102" t="s">
        <v>2276</v>
      </c>
      <c r="R97" s="102" t="s">
        <v>2276</v>
      </c>
      <c r="S97" s="21" t="s">
        <v>2393</v>
      </c>
      <c r="T97" s="74" t="s">
        <v>2276</v>
      </c>
      <c r="U97" s="74" t="s">
        <v>2276</v>
      </c>
      <c r="V97" s="74" t="s">
        <v>2276</v>
      </c>
      <c r="W97" s="21" t="s">
        <v>2375</v>
      </c>
      <c r="X97" s="3" t="s">
        <v>75</v>
      </c>
      <c r="Y97" s="3" t="s">
        <v>35</v>
      </c>
      <c r="Z97" s="3" t="s">
        <v>64</v>
      </c>
      <c r="AA97" s="4" t="s">
        <v>1315</v>
      </c>
      <c r="AB97" s="19" t="s">
        <v>5025</v>
      </c>
    </row>
    <row r="98" spans="1:28" ht="88" customHeight="1">
      <c r="A98" s="6" t="str">
        <f>'Reported burning'!A98</f>
        <v>4d</v>
      </c>
      <c r="B98" s="6" t="str">
        <f>'Reported burning'!B98</f>
        <v>4d.2</v>
      </c>
      <c r="C98" s="6" t="str">
        <f>'Reported burning'!C98</f>
        <v>Human, deliberate</v>
      </c>
      <c r="D98" s="6" t="str">
        <f>'Reported burning'!D98</f>
        <v>Crop residue burning</v>
      </c>
      <c r="E98" s="6" t="str">
        <f>'Reported burning'!E98</f>
        <v>Cropping, Monoculture, Market-oriented</v>
      </c>
      <c r="F98" s="6" t="str">
        <f>'Reported burning'!F98</f>
        <v>Cropland</v>
      </c>
      <c r="G98" s="6" t="str">
        <f>'Reported burning'!G98</f>
        <v>ND</v>
      </c>
      <c r="H98" s="6" t="str">
        <f>'Reported burning'!H98</f>
        <v>Presence</v>
      </c>
      <c r="I98" s="11"/>
      <c r="J98" s="21" t="s">
        <v>2276</v>
      </c>
      <c r="K98" s="103" t="s">
        <v>2276</v>
      </c>
      <c r="L98" s="21" t="s">
        <v>2276</v>
      </c>
      <c r="M98" s="21" t="s">
        <v>2276</v>
      </c>
      <c r="N98" s="21" t="s">
        <v>2276</v>
      </c>
      <c r="O98" s="21" t="s">
        <v>2276</v>
      </c>
      <c r="P98" s="21" t="s">
        <v>2276</v>
      </c>
      <c r="Q98" s="102" t="s">
        <v>2276</v>
      </c>
      <c r="R98" s="102" t="s">
        <v>2276</v>
      </c>
      <c r="S98" s="21" t="s">
        <v>2390</v>
      </c>
      <c r="T98" s="74" t="s">
        <v>2276</v>
      </c>
      <c r="U98" s="74" t="s">
        <v>2276</v>
      </c>
      <c r="V98" s="74" t="s">
        <v>2276</v>
      </c>
      <c r="W98" s="21" t="s">
        <v>2375</v>
      </c>
      <c r="X98" s="3" t="s">
        <v>38</v>
      </c>
      <c r="Y98" s="3" t="s">
        <v>86</v>
      </c>
      <c r="Z98" s="3" t="s">
        <v>64</v>
      </c>
      <c r="AA98" s="4" t="s">
        <v>1314</v>
      </c>
      <c r="AB98" s="19" t="s">
        <v>5026</v>
      </c>
    </row>
    <row r="99" spans="1:28" ht="88" customHeight="1">
      <c r="A99" s="6" t="str">
        <f>'Reported burning'!A99</f>
        <v>4e</v>
      </c>
      <c r="B99" s="6" t="str">
        <f>'Reported burning'!B99</f>
        <v>4e.1</v>
      </c>
      <c r="C99" s="6" t="str">
        <f>'Reported burning'!C99</f>
        <v>Human, deliberate</v>
      </c>
      <c r="D99" s="6" t="str">
        <f>'Reported burning'!D99</f>
        <v>Crop residue burning</v>
      </c>
      <c r="E99" s="6" t="str">
        <f>'Reported burning'!E99</f>
        <v>Cropping, Monoculture, Market-oriented</v>
      </c>
      <c r="F99" s="6" t="str">
        <f>'Reported burning'!F99</f>
        <v>Cropland</v>
      </c>
      <c r="G99" s="6" t="str">
        <f>'Reported burning'!G99</f>
        <v>ND</v>
      </c>
      <c r="H99" s="6" t="str">
        <f>'Reported burning'!H99</f>
        <v>Presence</v>
      </c>
      <c r="I99" s="11"/>
      <c r="J99" s="21" t="s">
        <v>2276</v>
      </c>
      <c r="K99" s="103" t="s">
        <v>2276</v>
      </c>
      <c r="L99" s="21" t="s">
        <v>2276</v>
      </c>
      <c r="M99" s="21" t="s">
        <v>2276</v>
      </c>
      <c r="N99" s="21" t="s">
        <v>2276</v>
      </c>
      <c r="O99" s="21" t="s">
        <v>2276</v>
      </c>
      <c r="P99" s="21" t="s">
        <v>2276</v>
      </c>
      <c r="Q99" s="102" t="s">
        <v>2276</v>
      </c>
      <c r="R99" s="102" t="s">
        <v>2276</v>
      </c>
      <c r="S99" s="21" t="s">
        <v>2391</v>
      </c>
      <c r="T99" s="74" t="s">
        <v>2276</v>
      </c>
      <c r="U99" s="74" t="s">
        <v>2276</v>
      </c>
      <c r="V99" s="74" t="s">
        <v>2276</v>
      </c>
      <c r="W99" s="21" t="s">
        <v>2375</v>
      </c>
      <c r="X99" s="3" t="s">
        <v>75</v>
      </c>
      <c r="Y99" s="3" t="s">
        <v>35</v>
      </c>
      <c r="Z99" s="3" t="s">
        <v>64</v>
      </c>
      <c r="AA99" s="4" t="s">
        <v>1315</v>
      </c>
      <c r="AB99" s="19" t="s">
        <v>5025</v>
      </c>
    </row>
    <row r="100" spans="1:28" ht="88" customHeight="1">
      <c r="A100" s="6" t="str">
        <f>'Reported burning'!A100</f>
        <v>4e</v>
      </c>
      <c r="B100" s="6" t="str">
        <f>'Reported burning'!B100</f>
        <v>4e.2</v>
      </c>
      <c r="C100" s="6" t="str">
        <f>'Reported burning'!C100</f>
        <v>Human, deliberate</v>
      </c>
      <c r="D100" s="6" t="str">
        <f>'Reported burning'!D100</f>
        <v>Crop residue burning</v>
      </c>
      <c r="E100" s="6" t="str">
        <f>'Reported burning'!E100</f>
        <v>Cropping, Monoculture, Market-oriented</v>
      </c>
      <c r="F100" s="6" t="str">
        <f>'Reported burning'!F100</f>
        <v>Cropland</v>
      </c>
      <c r="G100" s="6" t="str">
        <f>'Reported burning'!G100</f>
        <v>ND</v>
      </c>
      <c r="H100" s="6" t="str">
        <f>'Reported burning'!H100</f>
        <v>Presence</v>
      </c>
      <c r="I100" s="11"/>
      <c r="J100" s="21" t="s">
        <v>2276</v>
      </c>
      <c r="K100" s="103" t="s">
        <v>2276</v>
      </c>
      <c r="L100" s="21" t="s">
        <v>2276</v>
      </c>
      <c r="M100" s="21" t="s">
        <v>2276</v>
      </c>
      <c r="N100" s="21" t="s">
        <v>2276</v>
      </c>
      <c r="O100" s="21" t="s">
        <v>2276</v>
      </c>
      <c r="P100" s="21" t="s">
        <v>2276</v>
      </c>
      <c r="Q100" s="102" t="s">
        <v>2276</v>
      </c>
      <c r="R100" s="102" t="s">
        <v>2276</v>
      </c>
      <c r="S100" s="21" t="s">
        <v>2392</v>
      </c>
      <c r="T100" s="74" t="s">
        <v>2276</v>
      </c>
      <c r="U100" s="74" t="s">
        <v>2276</v>
      </c>
      <c r="V100" s="74" t="s">
        <v>2276</v>
      </c>
      <c r="W100" s="21" t="s">
        <v>2375</v>
      </c>
      <c r="X100" s="3" t="s">
        <v>38</v>
      </c>
      <c r="Y100" s="3" t="s">
        <v>86</v>
      </c>
      <c r="Z100" s="3" t="s">
        <v>64</v>
      </c>
      <c r="AA100" s="4" t="s">
        <v>1314</v>
      </c>
      <c r="AB100" s="19" t="s">
        <v>5026</v>
      </c>
    </row>
    <row r="101" spans="1:28" ht="88" customHeight="1">
      <c r="A101" s="6" t="str">
        <f>'Reported burning'!A101</f>
        <v>4f</v>
      </c>
      <c r="B101" s="6" t="str">
        <f>'Reported burning'!B101</f>
        <v>4f.1</v>
      </c>
      <c r="C101" s="6" t="str">
        <f>'Reported burning'!C101</f>
        <v>Human, deliberate</v>
      </c>
      <c r="D101" s="6" t="str">
        <f>'Reported burning'!D101</f>
        <v>Crop residue burning</v>
      </c>
      <c r="E101" s="6" t="str">
        <f>'Reported burning'!E101</f>
        <v>Cropping, Monoculture, Market-oriented</v>
      </c>
      <c r="F101" s="6" t="str">
        <f>'Reported burning'!F101</f>
        <v>Cropland</v>
      </c>
      <c r="G101" s="6" t="str">
        <f>'Reported burning'!G101</f>
        <v>ND</v>
      </c>
      <c r="H101" s="6" t="str">
        <f>'Reported burning'!H101</f>
        <v>Presence</v>
      </c>
      <c r="I101" s="11"/>
      <c r="J101" s="21" t="s">
        <v>2276</v>
      </c>
      <c r="K101" s="103" t="s">
        <v>2276</v>
      </c>
      <c r="L101" s="21" t="s">
        <v>2276</v>
      </c>
      <c r="M101" s="21" t="s">
        <v>2276</v>
      </c>
      <c r="N101" s="21" t="s">
        <v>2276</v>
      </c>
      <c r="O101" s="21" t="s">
        <v>2276</v>
      </c>
      <c r="P101" s="21" t="s">
        <v>2276</v>
      </c>
      <c r="Q101" s="102" t="s">
        <v>2276</v>
      </c>
      <c r="R101" s="102" t="s">
        <v>2276</v>
      </c>
      <c r="S101" s="21" t="s">
        <v>2391</v>
      </c>
      <c r="T101" s="74" t="s">
        <v>2276</v>
      </c>
      <c r="U101" s="74" t="s">
        <v>2276</v>
      </c>
      <c r="V101" s="74" t="s">
        <v>2276</v>
      </c>
      <c r="W101" s="21" t="s">
        <v>2375</v>
      </c>
      <c r="X101" s="3" t="s">
        <v>75</v>
      </c>
      <c r="Y101" s="3" t="s">
        <v>35</v>
      </c>
      <c r="Z101" s="3" t="s">
        <v>64</v>
      </c>
      <c r="AA101" s="4" t="s">
        <v>1315</v>
      </c>
      <c r="AB101" s="19" t="s">
        <v>5025</v>
      </c>
    </row>
    <row r="102" spans="1:28" ht="88" customHeight="1">
      <c r="A102" s="6" t="str">
        <f>'Reported burning'!A102</f>
        <v>4f</v>
      </c>
      <c r="B102" s="6" t="str">
        <f>'Reported burning'!B102</f>
        <v>4f.2</v>
      </c>
      <c r="C102" s="6" t="str">
        <f>'Reported burning'!C102</f>
        <v>Human, deliberate</v>
      </c>
      <c r="D102" s="6" t="str">
        <f>'Reported burning'!D102</f>
        <v>Crop residue burning</v>
      </c>
      <c r="E102" s="6" t="str">
        <f>'Reported burning'!E102</f>
        <v>Cropping, Monoculture, Market-oriented</v>
      </c>
      <c r="F102" s="6" t="str">
        <f>'Reported burning'!F102</f>
        <v>Cropland</v>
      </c>
      <c r="G102" s="6" t="str">
        <f>'Reported burning'!G102</f>
        <v>ND</v>
      </c>
      <c r="H102" s="6" t="str">
        <f>'Reported burning'!H102</f>
        <v>Presence</v>
      </c>
      <c r="I102" s="11"/>
      <c r="J102" s="21" t="s">
        <v>2276</v>
      </c>
      <c r="K102" s="103" t="s">
        <v>2276</v>
      </c>
      <c r="L102" s="21" t="s">
        <v>2276</v>
      </c>
      <c r="M102" s="21" t="s">
        <v>2276</v>
      </c>
      <c r="N102" s="21" t="s">
        <v>2276</v>
      </c>
      <c r="O102" s="21" t="s">
        <v>2276</v>
      </c>
      <c r="P102" s="21" t="s">
        <v>2276</v>
      </c>
      <c r="Q102" s="102" t="s">
        <v>2276</v>
      </c>
      <c r="R102" s="102" t="s">
        <v>2276</v>
      </c>
      <c r="S102" s="21" t="s">
        <v>2391</v>
      </c>
      <c r="T102" s="74" t="s">
        <v>2276</v>
      </c>
      <c r="U102" s="74" t="s">
        <v>2276</v>
      </c>
      <c r="V102" s="74" t="s">
        <v>2276</v>
      </c>
      <c r="W102" s="21" t="s">
        <v>2375</v>
      </c>
      <c r="X102" s="3" t="s">
        <v>38</v>
      </c>
      <c r="Y102" s="3" t="s">
        <v>86</v>
      </c>
      <c r="Z102" s="3" t="s">
        <v>64</v>
      </c>
      <c r="AA102" s="4" t="s">
        <v>1314</v>
      </c>
      <c r="AB102" s="19" t="s">
        <v>5026</v>
      </c>
    </row>
    <row r="103" spans="1:28" ht="88" customHeight="1">
      <c r="A103" s="6" t="str">
        <f>'Reported burning'!A103</f>
        <v>4g</v>
      </c>
      <c r="B103" s="6" t="str">
        <f>'Reported burning'!B103</f>
        <v>4g.1</v>
      </c>
      <c r="C103" s="6" t="str">
        <f>'Reported burning'!C103</f>
        <v>Human, deliberate</v>
      </c>
      <c r="D103" s="6" t="str">
        <f>'Reported burning'!D103</f>
        <v>Crop residue burning</v>
      </c>
      <c r="E103" s="6" t="str">
        <f>'Reported burning'!E103</f>
        <v>Cropping, Monoculture, Market-oriented</v>
      </c>
      <c r="F103" s="6" t="str">
        <f>'Reported burning'!F103</f>
        <v>Cropland</v>
      </c>
      <c r="G103" s="6" t="str">
        <f>'Reported burning'!G103</f>
        <v>ND</v>
      </c>
      <c r="H103" s="6" t="str">
        <f>'Reported burning'!H103</f>
        <v>Presence</v>
      </c>
      <c r="I103" s="11"/>
      <c r="J103" s="21" t="s">
        <v>2276</v>
      </c>
      <c r="K103" s="103" t="s">
        <v>2276</v>
      </c>
      <c r="L103" s="21" t="s">
        <v>2276</v>
      </c>
      <c r="M103" s="21" t="s">
        <v>2276</v>
      </c>
      <c r="N103" s="21" t="s">
        <v>2276</v>
      </c>
      <c r="O103" s="21" t="s">
        <v>2276</v>
      </c>
      <c r="P103" s="21" t="s">
        <v>2276</v>
      </c>
      <c r="Q103" s="102" t="s">
        <v>2276</v>
      </c>
      <c r="R103" s="102" t="s">
        <v>2276</v>
      </c>
      <c r="S103" s="21" t="s">
        <v>2392</v>
      </c>
      <c r="T103" s="74" t="s">
        <v>2276</v>
      </c>
      <c r="U103" s="74" t="s">
        <v>2276</v>
      </c>
      <c r="V103" s="74" t="s">
        <v>2276</v>
      </c>
      <c r="W103" s="21" t="s">
        <v>2375</v>
      </c>
      <c r="X103" s="3" t="s">
        <v>75</v>
      </c>
      <c r="Y103" s="3" t="s">
        <v>35</v>
      </c>
      <c r="Z103" s="3" t="s">
        <v>64</v>
      </c>
      <c r="AA103" s="4" t="s">
        <v>1315</v>
      </c>
      <c r="AB103" s="19" t="s">
        <v>5025</v>
      </c>
    </row>
    <row r="104" spans="1:28" ht="88" customHeight="1">
      <c r="A104" s="6" t="str">
        <f>'Reported burning'!A104</f>
        <v>4g</v>
      </c>
      <c r="B104" s="6" t="str">
        <f>'Reported burning'!B104</f>
        <v>4g.2</v>
      </c>
      <c r="C104" s="6" t="str">
        <f>'Reported burning'!C104</f>
        <v>Human, deliberate</v>
      </c>
      <c r="D104" s="6" t="str">
        <f>'Reported burning'!D104</f>
        <v>Crop residue burning</v>
      </c>
      <c r="E104" s="6" t="str">
        <f>'Reported burning'!E104</f>
        <v>Cropping, Monoculture, Market-oriented</v>
      </c>
      <c r="F104" s="6" t="str">
        <f>'Reported burning'!F104</f>
        <v>Cropland</v>
      </c>
      <c r="G104" s="6" t="str">
        <f>'Reported burning'!G104</f>
        <v>ND</v>
      </c>
      <c r="H104" s="6" t="str">
        <f>'Reported burning'!H104</f>
        <v>Presence</v>
      </c>
      <c r="I104" s="11"/>
      <c r="J104" s="21" t="s">
        <v>2276</v>
      </c>
      <c r="K104" s="103" t="s">
        <v>2276</v>
      </c>
      <c r="L104" s="21" t="s">
        <v>2276</v>
      </c>
      <c r="M104" s="21" t="s">
        <v>2276</v>
      </c>
      <c r="N104" s="21" t="s">
        <v>2276</v>
      </c>
      <c r="O104" s="21" t="s">
        <v>2276</v>
      </c>
      <c r="P104" s="21" t="s">
        <v>2276</v>
      </c>
      <c r="Q104" s="102" t="s">
        <v>2276</v>
      </c>
      <c r="R104" s="102" t="s">
        <v>2276</v>
      </c>
      <c r="S104" s="21" t="s">
        <v>2391</v>
      </c>
      <c r="T104" s="74" t="s">
        <v>2276</v>
      </c>
      <c r="U104" s="74" t="s">
        <v>2276</v>
      </c>
      <c r="V104" s="74" t="s">
        <v>2276</v>
      </c>
      <c r="W104" s="21" t="s">
        <v>2375</v>
      </c>
      <c r="X104" s="3" t="s">
        <v>38</v>
      </c>
      <c r="Y104" s="3" t="s">
        <v>86</v>
      </c>
      <c r="Z104" s="3" t="s">
        <v>64</v>
      </c>
      <c r="AA104" s="4" t="s">
        <v>1314</v>
      </c>
      <c r="AB104" s="19" t="s">
        <v>5026</v>
      </c>
    </row>
    <row r="105" spans="1:28" ht="88" customHeight="1">
      <c r="A105" s="6" t="str">
        <f>'Reported burning'!A105</f>
        <v>4h</v>
      </c>
      <c r="B105" s="6" t="str">
        <f>'Reported burning'!B105</f>
        <v>4h.1</v>
      </c>
      <c r="C105" s="6" t="str">
        <f>'Reported burning'!C105</f>
        <v>Human, deliberate</v>
      </c>
      <c r="D105" s="6" t="str">
        <f>'Reported burning'!D105</f>
        <v>Crop residue burning</v>
      </c>
      <c r="E105" s="6" t="str">
        <f>'Reported burning'!E105</f>
        <v>Cropping, Monoculture, Market-oriented</v>
      </c>
      <c r="F105" s="6" t="str">
        <f>'Reported burning'!F105</f>
        <v>Cropland</v>
      </c>
      <c r="G105" s="6" t="str">
        <f>'Reported burning'!G105</f>
        <v>ND</v>
      </c>
      <c r="H105" s="6" t="str">
        <f>'Reported burning'!H105</f>
        <v>Presence</v>
      </c>
      <c r="I105" s="11"/>
      <c r="J105" s="21" t="s">
        <v>2276</v>
      </c>
      <c r="K105" s="103" t="s">
        <v>2276</v>
      </c>
      <c r="L105" s="21" t="s">
        <v>2276</v>
      </c>
      <c r="M105" s="21" t="s">
        <v>2276</v>
      </c>
      <c r="N105" s="21" t="s">
        <v>2276</v>
      </c>
      <c r="O105" s="21" t="s">
        <v>2276</v>
      </c>
      <c r="P105" s="21" t="s">
        <v>2276</v>
      </c>
      <c r="Q105" s="102" t="s">
        <v>2276</v>
      </c>
      <c r="R105" s="102" t="s">
        <v>2276</v>
      </c>
      <c r="S105" s="21" t="s">
        <v>2394</v>
      </c>
      <c r="T105" s="74" t="s">
        <v>2276</v>
      </c>
      <c r="U105" s="74" t="s">
        <v>2276</v>
      </c>
      <c r="V105" s="74" t="s">
        <v>2276</v>
      </c>
      <c r="W105" s="21" t="s">
        <v>2375</v>
      </c>
      <c r="X105" s="3" t="s">
        <v>75</v>
      </c>
      <c r="Y105" s="3" t="s">
        <v>35</v>
      </c>
      <c r="Z105" s="3" t="s">
        <v>64</v>
      </c>
      <c r="AA105" s="4" t="s">
        <v>1315</v>
      </c>
      <c r="AB105" s="19" t="s">
        <v>5025</v>
      </c>
    </row>
    <row r="106" spans="1:28" ht="88" customHeight="1">
      <c r="A106" s="6" t="str">
        <f>'Reported burning'!A106</f>
        <v>4h</v>
      </c>
      <c r="B106" s="6" t="str">
        <f>'Reported burning'!B106</f>
        <v>4h.2</v>
      </c>
      <c r="C106" s="6" t="str">
        <f>'Reported burning'!C106</f>
        <v>Human, deliberate</v>
      </c>
      <c r="D106" s="6" t="str">
        <f>'Reported burning'!D106</f>
        <v>Crop residue burning</v>
      </c>
      <c r="E106" s="6" t="str">
        <f>'Reported burning'!E106</f>
        <v>Cropping, Monoculture, Market-oriented</v>
      </c>
      <c r="F106" s="6" t="str">
        <f>'Reported burning'!F106</f>
        <v>Cropland</v>
      </c>
      <c r="G106" s="6" t="str">
        <f>'Reported burning'!G106</f>
        <v>ND</v>
      </c>
      <c r="H106" s="6" t="str">
        <f>'Reported burning'!H106</f>
        <v>Presence</v>
      </c>
      <c r="I106" s="11"/>
      <c r="J106" s="21" t="s">
        <v>2276</v>
      </c>
      <c r="K106" s="103" t="s">
        <v>2276</v>
      </c>
      <c r="L106" s="21" t="s">
        <v>2276</v>
      </c>
      <c r="M106" s="21" t="s">
        <v>2276</v>
      </c>
      <c r="N106" s="21" t="s">
        <v>2276</v>
      </c>
      <c r="O106" s="21" t="s">
        <v>2276</v>
      </c>
      <c r="P106" s="21" t="s">
        <v>2276</v>
      </c>
      <c r="Q106" s="102" t="s">
        <v>2276</v>
      </c>
      <c r="R106" s="102" t="s">
        <v>2276</v>
      </c>
      <c r="S106" s="21" t="s">
        <v>2391</v>
      </c>
      <c r="T106" s="74" t="s">
        <v>2276</v>
      </c>
      <c r="U106" s="74" t="s">
        <v>2276</v>
      </c>
      <c r="V106" s="74" t="s">
        <v>2276</v>
      </c>
      <c r="W106" s="21" t="s">
        <v>2375</v>
      </c>
      <c r="X106" s="3" t="s">
        <v>38</v>
      </c>
      <c r="Y106" s="3" t="s">
        <v>86</v>
      </c>
      <c r="Z106" s="3" t="s">
        <v>64</v>
      </c>
      <c r="AA106" s="4" t="s">
        <v>1314</v>
      </c>
      <c r="AB106" s="19" t="s">
        <v>5026</v>
      </c>
    </row>
    <row r="107" spans="1:28" ht="88" customHeight="1">
      <c r="A107" s="6" t="str">
        <f>'Reported burning'!A107</f>
        <v>4i</v>
      </c>
      <c r="B107" s="6" t="str">
        <f>'Reported burning'!B107</f>
        <v>4i.1</v>
      </c>
      <c r="C107" s="6" t="str">
        <f>'Reported burning'!C107</f>
        <v>Human, deliberate</v>
      </c>
      <c r="D107" s="6" t="str">
        <f>'Reported burning'!D107</f>
        <v>Crop residue burning</v>
      </c>
      <c r="E107" s="6" t="str">
        <f>'Reported burning'!E107</f>
        <v>Cropping, Monoculture, Market-oriented</v>
      </c>
      <c r="F107" s="6" t="str">
        <f>'Reported burning'!F107</f>
        <v>Cropland</v>
      </c>
      <c r="G107" s="6" t="str">
        <f>'Reported burning'!G107</f>
        <v>ND</v>
      </c>
      <c r="H107" s="6" t="str">
        <f>'Reported burning'!H107</f>
        <v>Presence</v>
      </c>
      <c r="I107" s="11"/>
      <c r="J107" s="21" t="s">
        <v>2276</v>
      </c>
      <c r="K107" s="103" t="s">
        <v>2276</v>
      </c>
      <c r="L107" s="21" t="s">
        <v>2276</v>
      </c>
      <c r="M107" s="21" t="s">
        <v>2276</v>
      </c>
      <c r="N107" s="21" t="s">
        <v>2276</v>
      </c>
      <c r="O107" s="21" t="s">
        <v>2276</v>
      </c>
      <c r="P107" s="21" t="s">
        <v>2276</v>
      </c>
      <c r="Q107" s="102" t="s">
        <v>2276</v>
      </c>
      <c r="R107" s="102" t="s">
        <v>2276</v>
      </c>
      <c r="S107" s="21" t="s">
        <v>2393</v>
      </c>
      <c r="T107" s="74" t="s">
        <v>2276</v>
      </c>
      <c r="U107" s="74" t="s">
        <v>2276</v>
      </c>
      <c r="V107" s="74" t="s">
        <v>2276</v>
      </c>
      <c r="W107" s="21" t="s">
        <v>2375</v>
      </c>
      <c r="X107" s="3" t="s">
        <v>75</v>
      </c>
      <c r="Y107" s="3" t="s">
        <v>35</v>
      </c>
      <c r="Z107" s="3" t="s">
        <v>64</v>
      </c>
      <c r="AA107" s="4" t="s">
        <v>1315</v>
      </c>
      <c r="AB107" s="19" t="s">
        <v>5025</v>
      </c>
    </row>
    <row r="108" spans="1:28" ht="88" customHeight="1">
      <c r="A108" s="6" t="str">
        <f>'Reported burning'!A108</f>
        <v>4i</v>
      </c>
      <c r="B108" s="6" t="str">
        <f>'Reported burning'!B108</f>
        <v>4i.2</v>
      </c>
      <c r="C108" s="6" t="str">
        <f>'Reported burning'!C108</f>
        <v>Human, deliberate</v>
      </c>
      <c r="D108" s="6" t="str">
        <f>'Reported burning'!D108</f>
        <v>Crop residue burning</v>
      </c>
      <c r="E108" s="6" t="str">
        <f>'Reported burning'!E108</f>
        <v>Cropping, Monoculture, Market-oriented</v>
      </c>
      <c r="F108" s="6" t="str">
        <f>'Reported burning'!F108</f>
        <v>Cropland</v>
      </c>
      <c r="G108" s="6" t="str">
        <f>'Reported burning'!G108</f>
        <v>ND</v>
      </c>
      <c r="H108" s="6" t="str">
        <f>'Reported burning'!H108</f>
        <v>Presence</v>
      </c>
      <c r="I108" s="11"/>
      <c r="J108" s="21" t="s">
        <v>2276</v>
      </c>
      <c r="K108" s="103" t="s">
        <v>2276</v>
      </c>
      <c r="L108" s="21" t="s">
        <v>2276</v>
      </c>
      <c r="M108" s="21" t="s">
        <v>2276</v>
      </c>
      <c r="N108" s="21" t="s">
        <v>2276</v>
      </c>
      <c r="O108" s="21" t="s">
        <v>2276</v>
      </c>
      <c r="P108" s="21" t="s">
        <v>2276</v>
      </c>
      <c r="Q108" s="102" t="s">
        <v>2276</v>
      </c>
      <c r="R108" s="102" t="s">
        <v>2276</v>
      </c>
      <c r="S108" s="21" t="s">
        <v>2389</v>
      </c>
      <c r="T108" s="74" t="s">
        <v>2276</v>
      </c>
      <c r="U108" s="74" t="s">
        <v>2276</v>
      </c>
      <c r="V108" s="74" t="s">
        <v>2276</v>
      </c>
      <c r="W108" s="21" t="s">
        <v>2375</v>
      </c>
      <c r="X108" s="3" t="s">
        <v>38</v>
      </c>
      <c r="Y108" s="3" t="s">
        <v>86</v>
      </c>
      <c r="Z108" s="3" t="s">
        <v>64</v>
      </c>
      <c r="AA108" s="4" t="s">
        <v>1314</v>
      </c>
      <c r="AB108" s="19" t="s">
        <v>5026</v>
      </c>
    </row>
    <row r="109" spans="1:28" ht="88" customHeight="1">
      <c r="A109" s="6" t="str">
        <f>'Reported burning'!A109</f>
        <v>4j</v>
      </c>
      <c r="B109" s="6" t="str">
        <f>'Reported burning'!B109</f>
        <v>4j.1</v>
      </c>
      <c r="C109" s="6" t="str">
        <f>'Reported burning'!C109</f>
        <v>Human, deliberate</v>
      </c>
      <c r="D109" s="6" t="str">
        <f>'Reported burning'!D109</f>
        <v>Crop residue burning</v>
      </c>
      <c r="E109" s="6" t="str">
        <f>'Reported burning'!E109</f>
        <v>Cropping, Monoculture, Market-oriented</v>
      </c>
      <c r="F109" s="6" t="str">
        <f>'Reported burning'!F109</f>
        <v>Cropland</v>
      </c>
      <c r="G109" s="6" t="str">
        <f>'Reported burning'!G109</f>
        <v>ND</v>
      </c>
      <c r="H109" s="6" t="str">
        <f>'Reported burning'!H109</f>
        <v>Presence</v>
      </c>
      <c r="I109" s="11"/>
      <c r="J109" s="21" t="s">
        <v>2276</v>
      </c>
      <c r="K109" s="103" t="s">
        <v>2276</v>
      </c>
      <c r="L109" s="21" t="s">
        <v>2276</v>
      </c>
      <c r="M109" s="21" t="s">
        <v>2276</v>
      </c>
      <c r="N109" s="21" t="s">
        <v>2276</v>
      </c>
      <c r="O109" s="21" t="s">
        <v>2276</v>
      </c>
      <c r="P109" s="21" t="s">
        <v>2276</v>
      </c>
      <c r="Q109" s="102" t="s">
        <v>2276</v>
      </c>
      <c r="R109" s="102" t="s">
        <v>2276</v>
      </c>
      <c r="S109" s="21" t="s">
        <v>2393</v>
      </c>
      <c r="T109" s="74" t="s">
        <v>2276</v>
      </c>
      <c r="U109" s="74" t="s">
        <v>2276</v>
      </c>
      <c r="V109" s="74" t="s">
        <v>2276</v>
      </c>
      <c r="W109" s="21" t="s">
        <v>2375</v>
      </c>
      <c r="X109" s="3" t="s">
        <v>75</v>
      </c>
      <c r="Y109" s="3" t="s">
        <v>35</v>
      </c>
      <c r="Z109" s="3" t="s">
        <v>64</v>
      </c>
      <c r="AA109" s="4" t="s">
        <v>1315</v>
      </c>
      <c r="AB109" s="19" t="s">
        <v>5025</v>
      </c>
    </row>
    <row r="110" spans="1:28" ht="88" customHeight="1">
      <c r="A110" s="6" t="str">
        <f>'Reported burning'!A110</f>
        <v>4j</v>
      </c>
      <c r="B110" s="6" t="str">
        <f>'Reported burning'!B110</f>
        <v>4j.2</v>
      </c>
      <c r="C110" s="6" t="str">
        <f>'Reported burning'!C110</f>
        <v>Human, deliberate</v>
      </c>
      <c r="D110" s="6" t="str">
        <f>'Reported burning'!D110</f>
        <v>Crop residue burning</v>
      </c>
      <c r="E110" s="6" t="str">
        <f>'Reported burning'!E110</f>
        <v>Cropping, Monoculture, Market-oriented</v>
      </c>
      <c r="F110" s="6" t="str">
        <f>'Reported burning'!F110</f>
        <v>Cropland</v>
      </c>
      <c r="G110" s="6" t="str">
        <f>'Reported burning'!G110</f>
        <v>ND</v>
      </c>
      <c r="H110" s="6" t="str">
        <f>'Reported burning'!H110</f>
        <v>Presence</v>
      </c>
      <c r="I110" s="11"/>
      <c r="J110" s="21" t="s">
        <v>2276</v>
      </c>
      <c r="K110" s="103" t="s">
        <v>2276</v>
      </c>
      <c r="L110" s="21" t="s">
        <v>2276</v>
      </c>
      <c r="M110" s="21" t="s">
        <v>2276</v>
      </c>
      <c r="N110" s="21" t="s">
        <v>2276</v>
      </c>
      <c r="O110" s="21" t="s">
        <v>2276</v>
      </c>
      <c r="P110" s="21" t="s">
        <v>2276</v>
      </c>
      <c r="Q110" s="102" t="s">
        <v>2276</v>
      </c>
      <c r="R110" s="102" t="s">
        <v>2276</v>
      </c>
      <c r="S110" s="21" t="s">
        <v>2390</v>
      </c>
      <c r="T110" s="74" t="s">
        <v>2276</v>
      </c>
      <c r="U110" s="74" t="s">
        <v>2276</v>
      </c>
      <c r="V110" s="74" t="s">
        <v>2276</v>
      </c>
      <c r="W110" s="21" t="s">
        <v>2375</v>
      </c>
      <c r="X110" s="3" t="s">
        <v>38</v>
      </c>
      <c r="Y110" s="3" t="s">
        <v>86</v>
      </c>
      <c r="Z110" s="3" t="s">
        <v>64</v>
      </c>
      <c r="AA110" s="4" t="s">
        <v>1314</v>
      </c>
      <c r="AB110" s="19" t="s">
        <v>5026</v>
      </c>
    </row>
    <row r="111" spans="1:28" ht="88" customHeight="1">
      <c r="A111" s="6" t="str">
        <f>'Reported burning'!A111</f>
        <v>4k</v>
      </c>
      <c r="B111" s="6" t="str">
        <f>'Reported burning'!B111</f>
        <v>4k.1</v>
      </c>
      <c r="C111" s="6" t="str">
        <f>'Reported burning'!C111</f>
        <v>Human, deliberate</v>
      </c>
      <c r="D111" s="6" t="str">
        <f>'Reported burning'!D111</f>
        <v>Crop residue burning</v>
      </c>
      <c r="E111" s="6" t="str">
        <f>'Reported burning'!E111</f>
        <v>Cropping, Monoculture, Market-oriented</v>
      </c>
      <c r="F111" s="6" t="str">
        <f>'Reported burning'!F111</f>
        <v>Cropland</v>
      </c>
      <c r="G111" s="6" t="str">
        <f>'Reported burning'!G111</f>
        <v>ND</v>
      </c>
      <c r="H111" s="6" t="str">
        <f>'Reported burning'!H111</f>
        <v>Presence</v>
      </c>
      <c r="I111" s="11"/>
      <c r="J111" s="21" t="s">
        <v>2276</v>
      </c>
      <c r="K111" s="103" t="s">
        <v>2276</v>
      </c>
      <c r="L111" s="21" t="s">
        <v>2276</v>
      </c>
      <c r="M111" s="21" t="s">
        <v>2276</v>
      </c>
      <c r="N111" s="21" t="s">
        <v>2276</v>
      </c>
      <c r="O111" s="21" t="s">
        <v>2276</v>
      </c>
      <c r="P111" s="21" t="s">
        <v>2276</v>
      </c>
      <c r="Q111" s="102" t="s">
        <v>2276</v>
      </c>
      <c r="R111" s="102" t="s">
        <v>2276</v>
      </c>
      <c r="S111" s="21" t="s">
        <v>2394</v>
      </c>
      <c r="T111" s="74" t="s">
        <v>2276</v>
      </c>
      <c r="U111" s="74" t="s">
        <v>2276</v>
      </c>
      <c r="V111" s="74" t="s">
        <v>2276</v>
      </c>
      <c r="W111" s="21" t="s">
        <v>2375</v>
      </c>
      <c r="X111" s="3" t="s">
        <v>75</v>
      </c>
      <c r="Y111" s="3" t="s">
        <v>35</v>
      </c>
      <c r="Z111" s="3" t="s">
        <v>64</v>
      </c>
      <c r="AA111" s="4" t="s">
        <v>1315</v>
      </c>
      <c r="AB111" s="19" t="s">
        <v>5025</v>
      </c>
    </row>
    <row r="112" spans="1:28" ht="88" customHeight="1">
      <c r="A112" s="6" t="str">
        <f>'Reported burning'!A112</f>
        <v>4k</v>
      </c>
      <c r="B112" s="6" t="str">
        <f>'Reported burning'!B112</f>
        <v>4k.2</v>
      </c>
      <c r="C112" s="6" t="str">
        <f>'Reported burning'!C112</f>
        <v>Human, deliberate</v>
      </c>
      <c r="D112" s="6" t="str">
        <f>'Reported burning'!D112</f>
        <v>Crop residue burning</v>
      </c>
      <c r="E112" s="6" t="str">
        <f>'Reported burning'!E112</f>
        <v>Cropping, Monoculture, Market-oriented</v>
      </c>
      <c r="F112" s="6" t="str">
        <f>'Reported burning'!F112</f>
        <v>Cropland</v>
      </c>
      <c r="G112" s="6" t="str">
        <f>'Reported burning'!G112</f>
        <v>ND</v>
      </c>
      <c r="H112" s="6" t="str">
        <f>'Reported burning'!H112</f>
        <v>Presence</v>
      </c>
      <c r="I112" s="11"/>
      <c r="J112" s="21" t="s">
        <v>2276</v>
      </c>
      <c r="K112" s="103" t="s">
        <v>2276</v>
      </c>
      <c r="L112" s="21" t="s">
        <v>2276</v>
      </c>
      <c r="M112" s="21" t="s">
        <v>2276</v>
      </c>
      <c r="N112" s="21" t="s">
        <v>2276</v>
      </c>
      <c r="O112" s="21" t="s">
        <v>2276</v>
      </c>
      <c r="P112" s="21" t="s">
        <v>2276</v>
      </c>
      <c r="Q112" s="102" t="s">
        <v>2276</v>
      </c>
      <c r="R112" s="102" t="s">
        <v>2276</v>
      </c>
      <c r="S112" s="21" t="s">
        <v>2390</v>
      </c>
      <c r="T112" s="74" t="s">
        <v>2276</v>
      </c>
      <c r="U112" s="74" t="s">
        <v>2276</v>
      </c>
      <c r="V112" s="74" t="s">
        <v>2276</v>
      </c>
      <c r="W112" s="21" t="s">
        <v>2375</v>
      </c>
      <c r="X112" s="3" t="s">
        <v>38</v>
      </c>
      <c r="Y112" s="3" t="s">
        <v>86</v>
      </c>
      <c r="Z112" s="3" t="s">
        <v>64</v>
      </c>
      <c r="AA112" s="4" t="s">
        <v>1314</v>
      </c>
      <c r="AB112" s="19" t="s">
        <v>5026</v>
      </c>
    </row>
    <row r="113" spans="1:28" ht="41" customHeight="1">
      <c r="A113" s="6" t="str">
        <f>'Reported burning'!A113</f>
        <v>5a</v>
      </c>
      <c r="B113" s="6" t="str">
        <f>'Reported burning'!B113</f>
        <v>5a.1</v>
      </c>
      <c r="C113" s="6" t="str">
        <f>'Reported burning'!C113</f>
        <v>Human, deliberate</v>
      </c>
      <c r="D113" s="6" t="str">
        <f>'Reported burning'!D113</f>
        <v>Crop residue burning</v>
      </c>
      <c r="E113" s="6" t="str">
        <f>'Reported burning'!E113</f>
        <v>Cropping, Monoculture, Market-oriented</v>
      </c>
      <c r="F113" s="6" t="str">
        <f>'Reported burning'!F113</f>
        <v>Cropland</v>
      </c>
      <c r="G113" s="6" t="str">
        <f>'Reported burning'!G113</f>
        <v>ND</v>
      </c>
      <c r="H113" s="6" t="str">
        <f>'Reported burning'!H113</f>
        <v>Presence</v>
      </c>
      <c r="I113" s="11"/>
      <c r="J113" s="21" t="s">
        <v>2276</v>
      </c>
      <c r="K113" s="103" t="s">
        <v>2276</v>
      </c>
      <c r="L113" s="21" t="s">
        <v>2276</v>
      </c>
      <c r="M113" s="21" t="s">
        <v>2276</v>
      </c>
      <c r="N113" s="21" t="s">
        <v>2276</v>
      </c>
      <c r="O113" s="21" t="s">
        <v>2276</v>
      </c>
      <c r="P113" s="21" t="s">
        <v>2276</v>
      </c>
      <c r="Q113" s="102" t="s">
        <v>2276</v>
      </c>
      <c r="R113" s="102" t="s">
        <v>2276</v>
      </c>
      <c r="S113" s="21" t="s">
        <v>2276</v>
      </c>
      <c r="T113" s="89" t="s">
        <v>2276</v>
      </c>
      <c r="U113" s="89" t="s">
        <v>2276</v>
      </c>
      <c r="V113" s="21" t="s">
        <v>2276</v>
      </c>
      <c r="W113" s="21" t="s">
        <v>2276</v>
      </c>
      <c r="X113" s="3" t="s">
        <v>75</v>
      </c>
      <c r="Y113" s="3" t="s">
        <v>35</v>
      </c>
      <c r="Z113" s="3" t="s">
        <v>64</v>
      </c>
      <c r="AA113" s="4" t="s">
        <v>105</v>
      </c>
      <c r="AB113" s="3" t="s">
        <v>118</v>
      </c>
    </row>
    <row r="114" spans="1:28" ht="140" customHeight="1">
      <c r="A114" s="6" t="str">
        <f>'Reported burning'!A114</f>
        <v>6a</v>
      </c>
      <c r="B114" s="6" t="str">
        <f>'Reported burning'!B114</f>
        <v>6a.1</v>
      </c>
      <c r="C114" s="6" t="str">
        <f>'Reported burning'!C114</f>
        <v>Human, deliberate</v>
      </c>
      <c r="D114" s="6" t="str">
        <f>'Reported burning'!D114</f>
        <v>Crop residue burning</v>
      </c>
      <c r="E114" s="6" t="str">
        <f>'Reported burning'!E114</f>
        <v>Cropping, Monoculture, Market-oriented</v>
      </c>
      <c r="F114" s="6" t="str">
        <f>'Reported burning'!F114</f>
        <v>Cropland</v>
      </c>
      <c r="G114" s="6" t="str">
        <f>'Reported burning'!G114</f>
        <v>ND</v>
      </c>
      <c r="H114" s="6" t="str">
        <f>'Reported burning'!H114</f>
        <v>Presence</v>
      </c>
      <c r="I114" s="11"/>
      <c r="J114" s="21" t="s">
        <v>2276</v>
      </c>
      <c r="K114" s="103" t="s">
        <v>2276</v>
      </c>
      <c r="L114" s="21" t="s">
        <v>2276</v>
      </c>
      <c r="M114" s="21" t="s">
        <v>2276</v>
      </c>
      <c r="N114" s="21" t="s">
        <v>2276</v>
      </c>
      <c r="O114" s="21" t="s">
        <v>2276</v>
      </c>
      <c r="P114" s="21" t="s">
        <v>2276</v>
      </c>
      <c r="Q114" s="102" t="s">
        <v>2276</v>
      </c>
      <c r="R114" s="102" t="s">
        <v>2276</v>
      </c>
      <c r="S114" s="21" t="s">
        <v>2390</v>
      </c>
      <c r="T114" s="21" t="s">
        <v>2276</v>
      </c>
      <c r="U114" s="21" t="s">
        <v>2276</v>
      </c>
      <c r="V114" s="21" t="s">
        <v>2276</v>
      </c>
      <c r="W114" s="21" t="s">
        <v>2276</v>
      </c>
      <c r="X114" s="3" t="s">
        <v>75</v>
      </c>
      <c r="Y114" s="3" t="s">
        <v>35</v>
      </c>
      <c r="Z114" s="3" t="s">
        <v>64</v>
      </c>
      <c r="AA114" s="4" t="s">
        <v>105</v>
      </c>
      <c r="AB114" s="4" t="s">
        <v>1359</v>
      </c>
    </row>
    <row r="115" spans="1:28" ht="100.5" customHeight="1">
      <c r="A115" s="6" t="str">
        <f>'Reported burning'!A115</f>
        <v>6a</v>
      </c>
      <c r="B115" s="6" t="str">
        <f>'Reported burning'!B115</f>
        <v>6a.2</v>
      </c>
      <c r="C115" s="6" t="str">
        <f>'Reported burning'!C115</f>
        <v>Human, deliberate</v>
      </c>
      <c r="D115" s="6" t="str">
        <f>'Reported burning'!D115</f>
        <v>Crop residue burning</v>
      </c>
      <c r="E115" s="6" t="str">
        <f>'Reported burning'!E115</f>
        <v>Cropping, Monoculture, Subsistence-oriented</v>
      </c>
      <c r="F115" s="6" t="str">
        <f>'Reported burning'!F115</f>
        <v>Cropland</v>
      </c>
      <c r="G115" s="6" t="str">
        <f>'Reported burning'!G115</f>
        <v>ND</v>
      </c>
      <c r="H115" s="6" t="str">
        <f>'Reported burning'!H115</f>
        <v>Presence</v>
      </c>
      <c r="I115" s="11"/>
      <c r="J115" s="21" t="s">
        <v>2276</v>
      </c>
      <c r="K115" s="103" t="s">
        <v>2276</v>
      </c>
      <c r="L115" s="21" t="s">
        <v>2276</v>
      </c>
      <c r="M115" s="21" t="s">
        <v>2276</v>
      </c>
      <c r="N115" s="21" t="s">
        <v>2276</v>
      </c>
      <c r="O115" s="21" t="s">
        <v>2276</v>
      </c>
      <c r="P115" s="21" t="s">
        <v>2276</v>
      </c>
      <c r="Q115" s="102" t="s">
        <v>2276</v>
      </c>
      <c r="R115" s="102" t="s">
        <v>2276</v>
      </c>
      <c r="S115" s="21" t="s">
        <v>2390</v>
      </c>
      <c r="T115" s="21" t="s">
        <v>2276</v>
      </c>
      <c r="U115" s="21" t="s">
        <v>2276</v>
      </c>
      <c r="V115" s="21" t="s">
        <v>2276</v>
      </c>
      <c r="W115" s="21" t="s">
        <v>2276</v>
      </c>
      <c r="X115" s="3" t="s">
        <v>75</v>
      </c>
      <c r="Y115" s="3" t="s">
        <v>35</v>
      </c>
      <c r="Z115" s="3" t="s">
        <v>64</v>
      </c>
      <c r="AA115" s="4" t="s">
        <v>105</v>
      </c>
      <c r="AB115" s="4" t="s">
        <v>1358</v>
      </c>
    </row>
    <row r="116" spans="1:28" ht="150.5" customHeight="1">
      <c r="A116" s="6" t="str">
        <f>'Reported burning'!A116</f>
        <v>6b</v>
      </c>
      <c r="B116" s="6" t="str">
        <f>'Reported burning'!B116</f>
        <v>6b.1</v>
      </c>
      <c r="C116" s="6" t="str">
        <f>'Reported burning'!C116</f>
        <v>Human, deliberate</v>
      </c>
      <c r="D116" s="6" t="str">
        <f>'Reported burning'!D116</f>
        <v>Crop residue burning</v>
      </c>
      <c r="E116" s="6" t="str">
        <f>'Reported burning'!E116</f>
        <v>Cropping, Monoculture, Market-oriented</v>
      </c>
      <c r="F116" s="6" t="str">
        <f>'Reported burning'!F116</f>
        <v>Cropland</v>
      </c>
      <c r="G116" s="6" t="str">
        <f>'Reported burning'!G116</f>
        <v>ND</v>
      </c>
      <c r="H116" s="6" t="str">
        <f>'Reported burning'!H116</f>
        <v>Presence</v>
      </c>
      <c r="I116" s="11"/>
      <c r="J116" s="21" t="s">
        <v>2276</v>
      </c>
      <c r="K116" s="103" t="s">
        <v>2276</v>
      </c>
      <c r="L116" s="21" t="s">
        <v>2276</v>
      </c>
      <c r="M116" s="21" t="s">
        <v>2276</v>
      </c>
      <c r="N116" s="21" t="s">
        <v>2276</v>
      </c>
      <c r="O116" s="21" t="s">
        <v>2276</v>
      </c>
      <c r="P116" s="21" t="s">
        <v>2276</v>
      </c>
      <c r="Q116" s="102" t="s">
        <v>2276</v>
      </c>
      <c r="R116" s="102" t="s">
        <v>2276</v>
      </c>
      <c r="S116" s="21" t="s">
        <v>2391</v>
      </c>
      <c r="T116" s="21" t="s">
        <v>2276</v>
      </c>
      <c r="U116" s="21" t="s">
        <v>2276</v>
      </c>
      <c r="V116" s="21" t="s">
        <v>2276</v>
      </c>
      <c r="W116" s="21" t="s">
        <v>2276</v>
      </c>
      <c r="X116" s="3" t="s">
        <v>75</v>
      </c>
      <c r="Y116" s="3" t="s">
        <v>35</v>
      </c>
      <c r="Z116" s="3" t="s">
        <v>64</v>
      </c>
      <c r="AA116" s="4" t="s">
        <v>105</v>
      </c>
      <c r="AB116" s="4" t="s">
        <v>1359</v>
      </c>
    </row>
    <row r="117" spans="1:28" ht="109.5" customHeight="1">
      <c r="A117" s="6" t="str">
        <f>'Reported burning'!A117</f>
        <v>6b</v>
      </c>
      <c r="B117" s="6" t="str">
        <f>'Reported burning'!B117</f>
        <v>6b.2</v>
      </c>
      <c r="C117" s="6" t="str">
        <f>'Reported burning'!C117</f>
        <v>Human, deliberate</v>
      </c>
      <c r="D117" s="6" t="str">
        <f>'Reported burning'!D117</f>
        <v>Crop residue burning</v>
      </c>
      <c r="E117" s="6" t="str">
        <f>'Reported burning'!E117</f>
        <v>Cropping, Monoculture, Subsistence-oriented</v>
      </c>
      <c r="F117" s="6" t="str">
        <f>'Reported burning'!F117</f>
        <v>Cropland</v>
      </c>
      <c r="G117" s="6" t="str">
        <f>'Reported burning'!G117</f>
        <v>ND</v>
      </c>
      <c r="H117" s="6" t="str">
        <f>'Reported burning'!H117</f>
        <v>Presence</v>
      </c>
      <c r="I117" s="11"/>
      <c r="J117" s="21" t="s">
        <v>2276</v>
      </c>
      <c r="K117" s="103" t="s">
        <v>2276</v>
      </c>
      <c r="L117" s="21" t="s">
        <v>2276</v>
      </c>
      <c r="M117" s="21" t="s">
        <v>2276</v>
      </c>
      <c r="N117" s="21" t="s">
        <v>2276</v>
      </c>
      <c r="O117" s="21" t="s">
        <v>2276</v>
      </c>
      <c r="P117" s="21" t="s">
        <v>2276</v>
      </c>
      <c r="Q117" s="102" t="s">
        <v>2276</v>
      </c>
      <c r="R117" s="102" t="s">
        <v>2276</v>
      </c>
      <c r="S117" s="21" t="s">
        <v>2391</v>
      </c>
      <c r="T117" s="21" t="s">
        <v>2276</v>
      </c>
      <c r="U117" s="21" t="s">
        <v>2276</v>
      </c>
      <c r="V117" s="21" t="s">
        <v>2276</v>
      </c>
      <c r="W117" s="21" t="s">
        <v>2276</v>
      </c>
      <c r="X117" s="3" t="s">
        <v>75</v>
      </c>
      <c r="Y117" s="3" t="s">
        <v>35</v>
      </c>
      <c r="Z117" s="3" t="s">
        <v>64</v>
      </c>
      <c r="AA117" s="4" t="s">
        <v>105</v>
      </c>
      <c r="AB117" s="4" t="s">
        <v>1358</v>
      </c>
    </row>
    <row r="118" spans="1:28" ht="146.5" customHeight="1">
      <c r="A118" s="6" t="str">
        <f>'Reported burning'!A118</f>
        <v>6c</v>
      </c>
      <c r="B118" s="6" t="str">
        <f>'Reported burning'!B118</f>
        <v>6c.1</v>
      </c>
      <c r="C118" s="6" t="str">
        <f>'Reported burning'!C118</f>
        <v>Human, deliberate</v>
      </c>
      <c r="D118" s="6" t="str">
        <f>'Reported burning'!D118</f>
        <v>Crop residue burning</v>
      </c>
      <c r="E118" s="6" t="str">
        <f>'Reported burning'!E118</f>
        <v>Cropping, Monoculture, Market-oriented</v>
      </c>
      <c r="F118" s="6" t="str">
        <f>'Reported burning'!F118</f>
        <v>Cropland</v>
      </c>
      <c r="G118" s="6" t="str">
        <f>'Reported burning'!G118</f>
        <v>ND</v>
      </c>
      <c r="H118" s="6" t="str">
        <f>'Reported burning'!H118</f>
        <v>Presence</v>
      </c>
      <c r="I118" s="11"/>
      <c r="J118" s="21" t="s">
        <v>2276</v>
      </c>
      <c r="K118" s="103" t="s">
        <v>2276</v>
      </c>
      <c r="L118" s="21" t="s">
        <v>2276</v>
      </c>
      <c r="M118" s="21" t="s">
        <v>2276</v>
      </c>
      <c r="N118" s="21" t="s">
        <v>2276</v>
      </c>
      <c r="O118" s="21" t="s">
        <v>2276</v>
      </c>
      <c r="P118" s="21" t="s">
        <v>2276</v>
      </c>
      <c r="Q118" s="102" t="s">
        <v>2276</v>
      </c>
      <c r="R118" s="102" t="s">
        <v>2276</v>
      </c>
      <c r="S118" s="21" t="s">
        <v>2390</v>
      </c>
      <c r="T118" s="21" t="s">
        <v>2276</v>
      </c>
      <c r="U118" s="21" t="s">
        <v>2276</v>
      </c>
      <c r="V118" s="21" t="s">
        <v>2276</v>
      </c>
      <c r="W118" s="21" t="s">
        <v>2276</v>
      </c>
      <c r="X118" s="3" t="s">
        <v>75</v>
      </c>
      <c r="Y118" s="3" t="s">
        <v>35</v>
      </c>
      <c r="Z118" s="3" t="s">
        <v>64</v>
      </c>
      <c r="AA118" s="4" t="s">
        <v>105</v>
      </c>
      <c r="AB118" s="4" t="s">
        <v>1359</v>
      </c>
    </row>
    <row r="119" spans="1:28" ht="110.5" customHeight="1">
      <c r="A119" s="6" t="str">
        <f>'Reported burning'!A119</f>
        <v>6c</v>
      </c>
      <c r="B119" s="6" t="str">
        <f>'Reported burning'!B119</f>
        <v>6c.2</v>
      </c>
      <c r="C119" s="6" t="str">
        <f>'Reported burning'!C119</f>
        <v>Human, deliberate</v>
      </c>
      <c r="D119" s="6" t="str">
        <f>'Reported burning'!D119</f>
        <v>Crop residue burning</v>
      </c>
      <c r="E119" s="6" t="str">
        <f>'Reported burning'!E119</f>
        <v>Cropping, Monoculture, Subsistence-oriented</v>
      </c>
      <c r="F119" s="6" t="str">
        <f>'Reported burning'!F119</f>
        <v>Cropland</v>
      </c>
      <c r="G119" s="6" t="str">
        <f>'Reported burning'!G119</f>
        <v>ND</v>
      </c>
      <c r="H119" s="6" t="str">
        <f>'Reported burning'!H119</f>
        <v>Presence</v>
      </c>
      <c r="I119" s="11"/>
      <c r="J119" s="21" t="s">
        <v>2276</v>
      </c>
      <c r="K119" s="103" t="s">
        <v>2276</v>
      </c>
      <c r="L119" s="21" t="s">
        <v>2276</v>
      </c>
      <c r="M119" s="21" t="s">
        <v>2276</v>
      </c>
      <c r="N119" s="21" t="s">
        <v>2276</v>
      </c>
      <c r="O119" s="21" t="s">
        <v>2276</v>
      </c>
      <c r="P119" s="21" t="s">
        <v>2276</v>
      </c>
      <c r="Q119" s="102" t="s">
        <v>2276</v>
      </c>
      <c r="R119" s="102" t="s">
        <v>2276</v>
      </c>
      <c r="S119" s="21" t="s">
        <v>2390</v>
      </c>
      <c r="T119" s="21" t="s">
        <v>2276</v>
      </c>
      <c r="U119" s="21" t="s">
        <v>2276</v>
      </c>
      <c r="V119" s="21" t="s">
        <v>2276</v>
      </c>
      <c r="W119" s="21" t="s">
        <v>2276</v>
      </c>
      <c r="X119" s="3" t="s">
        <v>75</v>
      </c>
      <c r="Y119" s="3" t="s">
        <v>35</v>
      </c>
      <c r="Z119" s="3" t="s">
        <v>64</v>
      </c>
      <c r="AA119" s="4" t="s">
        <v>105</v>
      </c>
      <c r="AB119" s="4" t="s">
        <v>1358</v>
      </c>
    </row>
    <row r="120" spans="1:28" ht="144.5" customHeight="1">
      <c r="A120" s="6" t="str">
        <f>'Reported burning'!A120</f>
        <v>6d</v>
      </c>
      <c r="B120" s="6" t="str">
        <f>'Reported burning'!B120</f>
        <v>6d.1</v>
      </c>
      <c r="C120" s="6" t="str">
        <f>'Reported burning'!C120</f>
        <v>Human, deliberate</v>
      </c>
      <c r="D120" s="6" t="str">
        <f>'Reported burning'!D120</f>
        <v>Crop residue burning</v>
      </c>
      <c r="E120" s="6" t="str">
        <f>'Reported burning'!E120</f>
        <v>Cropping, Monoculture, Market-oriented</v>
      </c>
      <c r="F120" s="6" t="str">
        <f>'Reported burning'!F120</f>
        <v>Cropland</v>
      </c>
      <c r="G120" s="6" t="str">
        <f>'Reported burning'!G120</f>
        <v>ND</v>
      </c>
      <c r="H120" s="6" t="str">
        <f>'Reported burning'!H120</f>
        <v>Presence</v>
      </c>
      <c r="I120" s="11"/>
      <c r="J120" s="21" t="s">
        <v>2276</v>
      </c>
      <c r="K120" s="103" t="s">
        <v>2276</v>
      </c>
      <c r="L120" s="21" t="s">
        <v>2276</v>
      </c>
      <c r="M120" s="21" t="s">
        <v>2276</v>
      </c>
      <c r="N120" s="21" t="s">
        <v>2276</v>
      </c>
      <c r="O120" s="21" t="s">
        <v>2276</v>
      </c>
      <c r="P120" s="21" t="s">
        <v>2276</v>
      </c>
      <c r="Q120" s="102" t="s">
        <v>2276</v>
      </c>
      <c r="R120" s="102" t="s">
        <v>2276</v>
      </c>
      <c r="S120" s="21" t="s">
        <v>2389</v>
      </c>
      <c r="T120" s="21" t="s">
        <v>2276</v>
      </c>
      <c r="U120" s="21" t="s">
        <v>2276</v>
      </c>
      <c r="V120" s="21" t="s">
        <v>2276</v>
      </c>
      <c r="W120" s="21" t="s">
        <v>2276</v>
      </c>
      <c r="X120" s="3" t="s">
        <v>75</v>
      </c>
      <c r="Y120" s="3" t="s">
        <v>35</v>
      </c>
      <c r="Z120" s="3" t="s">
        <v>64</v>
      </c>
      <c r="AA120" s="4" t="s">
        <v>105</v>
      </c>
      <c r="AB120" s="4" t="s">
        <v>1359</v>
      </c>
    </row>
    <row r="121" spans="1:28" ht="110.5" customHeight="1">
      <c r="A121" s="6" t="str">
        <f>'Reported burning'!A121</f>
        <v>6d</v>
      </c>
      <c r="B121" s="6" t="str">
        <f>'Reported burning'!B121</f>
        <v>6d.2</v>
      </c>
      <c r="C121" s="6" t="str">
        <f>'Reported burning'!C121</f>
        <v>Human, deliberate</v>
      </c>
      <c r="D121" s="6" t="str">
        <f>'Reported burning'!D121</f>
        <v>Crop residue burning</v>
      </c>
      <c r="E121" s="6" t="str">
        <f>'Reported burning'!E121</f>
        <v>Cropping, Monoculture, Subsistence-oriented</v>
      </c>
      <c r="F121" s="6" t="str">
        <f>'Reported burning'!F121</f>
        <v>Cropland</v>
      </c>
      <c r="G121" s="6" t="str">
        <f>'Reported burning'!G121</f>
        <v>ND</v>
      </c>
      <c r="H121" s="6" t="str">
        <f>'Reported burning'!H121</f>
        <v>Presence</v>
      </c>
      <c r="I121" s="11"/>
      <c r="J121" s="21" t="s">
        <v>2276</v>
      </c>
      <c r="K121" s="103" t="s">
        <v>2276</v>
      </c>
      <c r="L121" s="21" t="s">
        <v>2276</v>
      </c>
      <c r="M121" s="21" t="s">
        <v>2276</v>
      </c>
      <c r="N121" s="21" t="s">
        <v>2276</v>
      </c>
      <c r="O121" s="21" t="s">
        <v>2276</v>
      </c>
      <c r="P121" s="21" t="s">
        <v>2276</v>
      </c>
      <c r="Q121" s="102" t="s">
        <v>2276</v>
      </c>
      <c r="R121" s="102" t="s">
        <v>2276</v>
      </c>
      <c r="S121" s="21" t="s">
        <v>2389</v>
      </c>
      <c r="T121" s="21" t="s">
        <v>2276</v>
      </c>
      <c r="U121" s="21" t="s">
        <v>2276</v>
      </c>
      <c r="V121" s="21" t="s">
        <v>2276</v>
      </c>
      <c r="W121" s="21" t="s">
        <v>2276</v>
      </c>
      <c r="X121" s="3" t="s">
        <v>75</v>
      </c>
      <c r="Y121" s="3" t="s">
        <v>35</v>
      </c>
      <c r="Z121" s="3" t="s">
        <v>64</v>
      </c>
      <c r="AA121" s="4" t="s">
        <v>105</v>
      </c>
      <c r="AB121" s="4" t="s">
        <v>1358</v>
      </c>
    </row>
    <row r="122" spans="1:28" ht="153" customHeight="1">
      <c r="A122" s="6" t="str">
        <f>'Reported burning'!A122</f>
        <v>6e</v>
      </c>
      <c r="B122" s="6" t="str">
        <f>'Reported burning'!B122</f>
        <v>6e.1</v>
      </c>
      <c r="C122" s="6" t="str">
        <f>'Reported burning'!C122</f>
        <v>Human, deliberate</v>
      </c>
      <c r="D122" s="6" t="str">
        <f>'Reported burning'!D122</f>
        <v>Crop residue burning</v>
      </c>
      <c r="E122" s="6" t="str">
        <f>'Reported burning'!E122</f>
        <v>Cropping, Monoculture, Market-oriented</v>
      </c>
      <c r="F122" s="6" t="str">
        <f>'Reported burning'!F122</f>
        <v>Cropland</v>
      </c>
      <c r="G122" s="6" t="str">
        <f>'Reported burning'!G122</f>
        <v>ND</v>
      </c>
      <c r="H122" s="6" t="str">
        <f>'Reported burning'!H122</f>
        <v>Presence</v>
      </c>
      <c r="I122" s="11"/>
      <c r="J122" s="21" t="s">
        <v>2276</v>
      </c>
      <c r="K122" s="103" t="s">
        <v>2276</v>
      </c>
      <c r="L122" s="21" t="s">
        <v>2276</v>
      </c>
      <c r="M122" s="21" t="s">
        <v>2276</v>
      </c>
      <c r="N122" s="21" t="s">
        <v>2276</v>
      </c>
      <c r="O122" s="21" t="s">
        <v>2276</v>
      </c>
      <c r="P122" s="21" t="s">
        <v>2276</v>
      </c>
      <c r="Q122" s="102" t="s">
        <v>2276</v>
      </c>
      <c r="R122" s="102" t="s">
        <v>2276</v>
      </c>
      <c r="S122" s="21" t="s">
        <v>2376</v>
      </c>
      <c r="T122" s="21" t="s">
        <v>2276</v>
      </c>
      <c r="U122" s="21" t="s">
        <v>2276</v>
      </c>
      <c r="V122" s="21" t="s">
        <v>2276</v>
      </c>
      <c r="W122" s="21" t="s">
        <v>2276</v>
      </c>
      <c r="X122" s="3" t="s">
        <v>75</v>
      </c>
      <c r="Y122" s="3" t="s">
        <v>35</v>
      </c>
      <c r="Z122" s="3" t="s">
        <v>64</v>
      </c>
      <c r="AA122" s="4" t="s">
        <v>105</v>
      </c>
      <c r="AB122" s="4" t="s">
        <v>1359</v>
      </c>
    </row>
    <row r="123" spans="1:28" ht="101" customHeight="1">
      <c r="A123" s="6" t="str">
        <f>'Reported burning'!A123</f>
        <v>6e</v>
      </c>
      <c r="B123" s="6" t="str">
        <f>'Reported burning'!B123</f>
        <v>6e.2</v>
      </c>
      <c r="C123" s="6" t="str">
        <f>'Reported burning'!C123</f>
        <v>Human, deliberate</v>
      </c>
      <c r="D123" s="6" t="str">
        <f>'Reported burning'!D123</f>
        <v>Crop residue burning</v>
      </c>
      <c r="E123" s="6" t="str">
        <f>'Reported burning'!E123</f>
        <v>Cropping, Monoculture, Subsistence-oriented</v>
      </c>
      <c r="F123" s="6" t="str">
        <f>'Reported burning'!F123</f>
        <v>Cropland</v>
      </c>
      <c r="G123" s="6" t="str">
        <f>'Reported burning'!G123</f>
        <v>ND</v>
      </c>
      <c r="H123" s="6" t="str">
        <f>'Reported burning'!H123</f>
        <v>Presence</v>
      </c>
      <c r="I123" s="11"/>
      <c r="J123" s="21" t="s">
        <v>2276</v>
      </c>
      <c r="K123" s="103" t="s">
        <v>2276</v>
      </c>
      <c r="L123" s="21" t="s">
        <v>2276</v>
      </c>
      <c r="M123" s="21" t="s">
        <v>2276</v>
      </c>
      <c r="N123" s="21" t="s">
        <v>2276</v>
      </c>
      <c r="O123" s="21" t="s">
        <v>2276</v>
      </c>
      <c r="P123" s="21" t="s">
        <v>2276</v>
      </c>
      <c r="Q123" s="102" t="s">
        <v>2276</v>
      </c>
      <c r="R123" s="102" t="s">
        <v>2276</v>
      </c>
      <c r="S123" s="21" t="s">
        <v>2376</v>
      </c>
      <c r="T123" s="21" t="s">
        <v>2276</v>
      </c>
      <c r="U123" s="21" t="s">
        <v>2276</v>
      </c>
      <c r="V123" s="21" t="s">
        <v>2276</v>
      </c>
      <c r="W123" s="21" t="s">
        <v>2276</v>
      </c>
      <c r="X123" s="3" t="s">
        <v>75</v>
      </c>
      <c r="Y123" s="3" t="s">
        <v>35</v>
      </c>
      <c r="Z123" s="3" t="s">
        <v>64</v>
      </c>
      <c r="AA123" s="4" t="s">
        <v>105</v>
      </c>
      <c r="AB123" s="4" t="s">
        <v>1358</v>
      </c>
    </row>
    <row r="124" spans="1:28" ht="142" customHeight="1">
      <c r="A124" s="6" t="str">
        <f>'Reported burning'!A124</f>
        <v>6f</v>
      </c>
      <c r="B124" s="6" t="str">
        <f>'Reported burning'!B124</f>
        <v>6f.1</v>
      </c>
      <c r="C124" s="6" t="str">
        <f>'Reported burning'!C124</f>
        <v>Human, deliberate</v>
      </c>
      <c r="D124" s="6" t="str">
        <f>'Reported burning'!D124</f>
        <v>Crop residue burning</v>
      </c>
      <c r="E124" s="6" t="str">
        <f>'Reported burning'!E124</f>
        <v>Cropping, Monoculture, Market-oriented</v>
      </c>
      <c r="F124" s="6" t="str">
        <f>'Reported burning'!F124</f>
        <v>Cropland</v>
      </c>
      <c r="G124" s="6" t="str">
        <f>'Reported burning'!G124</f>
        <v>ND</v>
      </c>
      <c r="H124" s="6" t="str">
        <f>'Reported burning'!H124</f>
        <v>Presence</v>
      </c>
      <c r="I124" s="11"/>
      <c r="J124" s="21" t="s">
        <v>2276</v>
      </c>
      <c r="K124" s="103" t="s">
        <v>2276</v>
      </c>
      <c r="L124" s="21" t="s">
        <v>2276</v>
      </c>
      <c r="M124" s="21" t="s">
        <v>2276</v>
      </c>
      <c r="N124" s="21" t="s">
        <v>2276</v>
      </c>
      <c r="O124" s="21" t="s">
        <v>2276</v>
      </c>
      <c r="P124" s="21" t="s">
        <v>2276</v>
      </c>
      <c r="Q124" s="102" t="s">
        <v>2276</v>
      </c>
      <c r="R124" s="102" t="s">
        <v>2276</v>
      </c>
      <c r="S124" s="21" t="s">
        <v>2389</v>
      </c>
      <c r="T124" s="21" t="s">
        <v>2276</v>
      </c>
      <c r="U124" s="21" t="s">
        <v>2276</v>
      </c>
      <c r="V124" s="21" t="s">
        <v>2276</v>
      </c>
      <c r="W124" s="21" t="s">
        <v>2276</v>
      </c>
      <c r="X124" s="3" t="s">
        <v>75</v>
      </c>
      <c r="Y124" s="3" t="s">
        <v>35</v>
      </c>
      <c r="Z124" s="3" t="s">
        <v>64</v>
      </c>
      <c r="AA124" s="4" t="s">
        <v>105</v>
      </c>
      <c r="AB124" s="4" t="s">
        <v>1359</v>
      </c>
    </row>
    <row r="125" spans="1:28" ht="105.5" customHeight="1">
      <c r="A125" s="6" t="str">
        <f>'Reported burning'!A125</f>
        <v>6f</v>
      </c>
      <c r="B125" s="6" t="str">
        <f>'Reported burning'!B125</f>
        <v>6f.2</v>
      </c>
      <c r="C125" s="6" t="str">
        <f>'Reported burning'!C125</f>
        <v>Human, deliberate</v>
      </c>
      <c r="D125" s="6" t="str">
        <f>'Reported burning'!D125</f>
        <v>Crop residue burning</v>
      </c>
      <c r="E125" s="6" t="str">
        <f>'Reported burning'!E125</f>
        <v>Cropping, Monoculture, Subsistence-oriented</v>
      </c>
      <c r="F125" s="6" t="str">
        <f>'Reported burning'!F125</f>
        <v>Cropland</v>
      </c>
      <c r="G125" s="6" t="str">
        <f>'Reported burning'!G125</f>
        <v>ND</v>
      </c>
      <c r="H125" s="6" t="str">
        <f>'Reported burning'!H125</f>
        <v>Presence</v>
      </c>
      <c r="I125" s="11"/>
      <c r="J125" s="21" t="s">
        <v>2276</v>
      </c>
      <c r="K125" s="103" t="s">
        <v>2276</v>
      </c>
      <c r="L125" s="21" t="s">
        <v>2276</v>
      </c>
      <c r="M125" s="21" t="s">
        <v>2276</v>
      </c>
      <c r="N125" s="21" t="s">
        <v>2276</v>
      </c>
      <c r="O125" s="21" t="s">
        <v>2276</v>
      </c>
      <c r="P125" s="21" t="s">
        <v>2276</v>
      </c>
      <c r="Q125" s="102" t="s">
        <v>2276</v>
      </c>
      <c r="R125" s="102" t="s">
        <v>2276</v>
      </c>
      <c r="S125" s="21" t="s">
        <v>2389</v>
      </c>
      <c r="T125" s="21" t="s">
        <v>2276</v>
      </c>
      <c r="U125" s="21" t="s">
        <v>2276</v>
      </c>
      <c r="V125" s="21" t="s">
        <v>2276</v>
      </c>
      <c r="W125" s="21" t="s">
        <v>2276</v>
      </c>
      <c r="X125" s="3" t="s">
        <v>75</v>
      </c>
      <c r="Y125" s="3" t="s">
        <v>35</v>
      </c>
      <c r="Z125" s="3" t="s">
        <v>64</v>
      </c>
      <c r="AA125" s="4" t="s">
        <v>105</v>
      </c>
      <c r="AB125" s="4" t="s">
        <v>1358</v>
      </c>
    </row>
    <row r="126" spans="1:28" ht="151" customHeight="1">
      <c r="A126" s="6" t="str">
        <f>'Reported burning'!A126</f>
        <v>6g</v>
      </c>
      <c r="B126" s="6" t="str">
        <f>'Reported burning'!B126</f>
        <v>6g.1</v>
      </c>
      <c r="C126" s="6" t="str">
        <f>'Reported burning'!C126</f>
        <v>Human, deliberate</v>
      </c>
      <c r="D126" s="6" t="str">
        <f>'Reported burning'!D126</f>
        <v>Crop residue burning</v>
      </c>
      <c r="E126" s="6" t="str">
        <f>'Reported burning'!E126</f>
        <v>Cropping, Monoculture, Market-oriented</v>
      </c>
      <c r="F126" s="6" t="str">
        <f>'Reported burning'!F126</f>
        <v>Cropland</v>
      </c>
      <c r="G126" s="6" t="str">
        <f>'Reported burning'!G126</f>
        <v>ND</v>
      </c>
      <c r="H126" s="6" t="str">
        <f>'Reported burning'!H126</f>
        <v>Presence</v>
      </c>
      <c r="I126" s="11"/>
      <c r="J126" s="21" t="s">
        <v>2276</v>
      </c>
      <c r="K126" s="103" t="s">
        <v>2276</v>
      </c>
      <c r="L126" s="21" t="s">
        <v>2276</v>
      </c>
      <c r="M126" s="21" t="s">
        <v>2276</v>
      </c>
      <c r="N126" s="21" t="s">
        <v>2276</v>
      </c>
      <c r="O126" s="21" t="s">
        <v>2276</v>
      </c>
      <c r="P126" s="21" t="s">
        <v>2276</v>
      </c>
      <c r="Q126" s="102" t="s">
        <v>2276</v>
      </c>
      <c r="R126" s="102" t="s">
        <v>2276</v>
      </c>
      <c r="S126" s="21" t="s">
        <v>2389</v>
      </c>
      <c r="T126" s="21" t="s">
        <v>2276</v>
      </c>
      <c r="U126" s="21" t="s">
        <v>2276</v>
      </c>
      <c r="V126" s="21" t="s">
        <v>2276</v>
      </c>
      <c r="W126" s="21" t="s">
        <v>2276</v>
      </c>
      <c r="X126" s="3" t="s">
        <v>75</v>
      </c>
      <c r="Y126" s="3" t="s">
        <v>35</v>
      </c>
      <c r="Z126" s="3" t="s">
        <v>64</v>
      </c>
      <c r="AA126" s="4" t="s">
        <v>105</v>
      </c>
      <c r="AB126" s="4" t="s">
        <v>1359</v>
      </c>
    </row>
    <row r="127" spans="1:28" ht="110.5" customHeight="1">
      <c r="A127" s="6" t="str">
        <f>'Reported burning'!A127</f>
        <v>6g</v>
      </c>
      <c r="B127" s="6" t="str">
        <f>'Reported burning'!B127</f>
        <v>6g.2</v>
      </c>
      <c r="C127" s="6" t="str">
        <f>'Reported burning'!C127</f>
        <v>Human, deliberate</v>
      </c>
      <c r="D127" s="6" t="str">
        <f>'Reported burning'!D127</f>
        <v>Crop residue burning</v>
      </c>
      <c r="E127" s="6" t="str">
        <f>'Reported burning'!E127</f>
        <v>Cropping, Monoculture, Subsistence-oriented</v>
      </c>
      <c r="F127" s="6" t="str">
        <f>'Reported burning'!F127</f>
        <v>Cropland</v>
      </c>
      <c r="G127" s="6" t="str">
        <f>'Reported burning'!G127</f>
        <v>ND</v>
      </c>
      <c r="H127" s="6" t="str">
        <f>'Reported burning'!H127</f>
        <v>Presence</v>
      </c>
      <c r="I127" s="11"/>
      <c r="J127" s="21" t="s">
        <v>2276</v>
      </c>
      <c r="K127" s="103" t="s">
        <v>2276</v>
      </c>
      <c r="L127" s="21" t="s">
        <v>2276</v>
      </c>
      <c r="M127" s="21" t="s">
        <v>2276</v>
      </c>
      <c r="N127" s="21" t="s">
        <v>2276</v>
      </c>
      <c r="O127" s="21" t="s">
        <v>2276</v>
      </c>
      <c r="P127" s="21" t="s">
        <v>2276</v>
      </c>
      <c r="Q127" s="102" t="s">
        <v>2276</v>
      </c>
      <c r="R127" s="102" t="s">
        <v>2276</v>
      </c>
      <c r="S127" s="21" t="s">
        <v>2389</v>
      </c>
      <c r="T127" s="21" t="s">
        <v>2276</v>
      </c>
      <c r="U127" s="21" t="s">
        <v>2276</v>
      </c>
      <c r="V127" s="21" t="s">
        <v>2276</v>
      </c>
      <c r="W127" s="21" t="s">
        <v>2276</v>
      </c>
      <c r="X127" s="3" t="s">
        <v>75</v>
      </c>
      <c r="Y127" s="3" t="s">
        <v>35</v>
      </c>
      <c r="Z127" s="3" t="s">
        <v>64</v>
      </c>
      <c r="AA127" s="4" t="s">
        <v>105</v>
      </c>
      <c r="AB127" s="4" t="s">
        <v>1358</v>
      </c>
    </row>
    <row r="128" spans="1:28" ht="110.5" customHeight="1">
      <c r="A128" s="6" t="str">
        <f>'Reported burning'!A128</f>
        <v>6h</v>
      </c>
      <c r="B128" s="6" t="str">
        <f>'Reported burning'!B128</f>
        <v>6h.1</v>
      </c>
      <c r="C128" s="6" t="str">
        <f>'Reported burning'!C128</f>
        <v>Human, deliberate</v>
      </c>
      <c r="D128" s="6" t="str">
        <f>'Reported burning'!D128</f>
        <v>Crop residue burning</v>
      </c>
      <c r="E128" s="6" t="str">
        <f>'Reported burning'!E128</f>
        <v>Cropping, Monoculture, Market-oriented</v>
      </c>
      <c r="F128" s="6" t="str">
        <f>'Reported burning'!F128</f>
        <v>Cropland</v>
      </c>
      <c r="G128" s="6" t="str">
        <f>'Reported burning'!G128</f>
        <v>ND</v>
      </c>
      <c r="H128" s="6" t="str">
        <f>'Reported burning'!H128</f>
        <v>Presence</v>
      </c>
      <c r="I128" s="11"/>
      <c r="J128" s="21" t="s">
        <v>2276</v>
      </c>
      <c r="K128" s="103" t="s">
        <v>2276</v>
      </c>
      <c r="L128" s="21" t="s">
        <v>2276</v>
      </c>
      <c r="M128" s="21" t="s">
        <v>2276</v>
      </c>
      <c r="N128" s="21" t="s">
        <v>2276</v>
      </c>
      <c r="O128" s="21" t="s">
        <v>2276</v>
      </c>
      <c r="P128" s="21" t="s">
        <v>2276</v>
      </c>
      <c r="Q128" s="102" t="s">
        <v>2276</v>
      </c>
      <c r="R128" s="102" t="s">
        <v>2276</v>
      </c>
      <c r="S128" s="21" t="s">
        <v>2389</v>
      </c>
      <c r="T128" s="21" t="s">
        <v>2276</v>
      </c>
      <c r="U128" s="21" t="s">
        <v>2276</v>
      </c>
      <c r="V128" s="21" t="s">
        <v>2276</v>
      </c>
      <c r="W128" s="21" t="s">
        <v>2276</v>
      </c>
      <c r="X128" s="3" t="s">
        <v>75</v>
      </c>
      <c r="Y128" s="3" t="s">
        <v>35</v>
      </c>
      <c r="Z128" s="3" t="s">
        <v>64</v>
      </c>
      <c r="AA128" s="4" t="s">
        <v>105</v>
      </c>
      <c r="AB128" s="4" t="s">
        <v>1359</v>
      </c>
    </row>
    <row r="129" spans="1:28" ht="110.5" customHeight="1">
      <c r="A129" s="6" t="str">
        <f>'Reported burning'!A129</f>
        <v>6h</v>
      </c>
      <c r="B129" s="6" t="str">
        <f>'Reported burning'!B129</f>
        <v>6h.2</v>
      </c>
      <c r="C129" s="6" t="str">
        <f>'Reported burning'!C129</f>
        <v>Human, deliberate</v>
      </c>
      <c r="D129" s="6" t="str">
        <f>'Reported burning'!D129</f>
        <v>Crop residue burning</v>
      </c>
      <c r="E129" s="6" t="str">
        <f>'Reported burning'!E129</f>
        <v>Cropping, Monoculture, Subsistence-oriented</v>
      </c>
      <c r="F129" s="6" t="str">
        <f>'Reported burning'!F129</f>
        <v>Cropland</v>
      </c>
      <c r="G129" s="6" t="str">
        <f>'Reported burning'!G129</f>
        <v>ND</v>
      </c>
      <c r="H129" s="6" t="str">
        <f>'Reported burning'!H129</f>
        <v>Presence</v>
      </c>
      <c r="I129" s="11"/>
      <c r="J129" s="21" t="s">
        <v>2276</v>
      </c>
      <c r="K129" s="103" t="s">
        <v>2276</v>
      </c>
      <c r="L129" s="21" t="s">
        <v>2276</v>
      </c>
      <c r="M129" s="21" t="s">
        <v>2276</v>
      </c>
      <c r="N129" s="21" t="s">
        <v>2276</v>
      </c>
      <c r="O129" s="21" t="s">
        <v>2276</v>
      </c>
      <c r="P129" s="21" t="s">
        <v>2276</v>
      </c>
      <c r="Q129" s="102" t="s">
        <v>2276</v>
      </c>
      <c r="R129" s="102" t="s">
        <v>2276</v>
      </c>
      <c r="S129" s="21" t="s">
        <v>2389</v>
      </c>
      <c r="T129" s="21" t="s">
        <v>2276</v>
      </c>
      <c r="U129" s="21" t="s">
        <v>2276</v>
      </c>
      <c r="V129" s="21" t="s">
        <v>2276</v>
      </c>
      <c r="W129" s="21" t="s">
        <v>2276</v>
      </c>
      <c r="X129" s="3" t="s">
        <v>75</v>
      </c>
      <c r="Y129" s="3" t="s">
        <v>35</v>
      </c>
      <c r="Z129" s="3" t="s">
        <v>64</v>
      </c>
      <c r="AA129" s="4" t="s">
        <v>105</v>
      </c>
      <c r="AB129" s="4" t="s">
        <v>1358</v>
      </c>
    </row>
    <row r="130" spans="1:28" ht="132.5" customHeight="1">
      <c r="A130" s="6" t="str">
        <f>'Reported burning'!A130</f>
        <v>6i</v>
      </c>
      <c r="B130" s="6" t="str">
        <f>'Reported burning'!B130</f>
        <v>6i.1</v>
      </c>
      <c r="C130" s="6" t="str">
        <f>'Reported burning'!C130</f>
        <v>Human, deliberate</v>
      </c>
      <c r="D130" s="6" t="str">
        <f>'Reported burning'!D130</f>
        <v>Crop residue burning</v>
      </c>
      <c r="E130" s="6" t="str">
        <f>'Reported burning'!E130</f>
        <v>Cropping, Monoculture, Market-oriented</v>
      </c>
      <c r="F130" s="6" t="str">
        <f>'Reported burning'!F130</f>
        <v>Cropland</v>
      </c>
      <c r="G130" s="6" t="str">
        <f>'Reported burning'!G130</f>
        <v>ND</v>
      </c>
      <c r="H130" s="6" t="str">
        <f>'Reported burning'!H130</f>
        <v>Presence</v>
      </c>
      <c r="I130" s="11"/>
      <c r="J130" s="21" t="s">
        <v>2276</v>
      </c>
      <c r="K130" s="103" t="s">
        <v>2276</v>
      </c>
      <c r="L130" s="21" t="s">
        <v>2276</v>
      </c>
      <c r="M130" s="21" t="s">
        <v>2276</v>
      </c>
      <c r="N130" s="21" t="s">
        <v>2276</v>
      </c>
      <c r="O130" s="21" t="s">
        <v>2276</v>
      </c>
      <c r="P130" s="21" t="s">
        <v>2276</v>
      </c>
      <c r="Q130" s="102" t="s">
        <v>2276</v>
      </c>
      <c r="R130" s="102" t="s">
        <v>2276</v>
      </c>
      <c r="S130" s="21" t="s">
        <v>2390</v>
      </c>
      <c r="T130" s="21" t="s">
        <v>2276</v>
      </c>
      <c r="U130" s="21" t="s">
        <v>2276</v>
      </c>
      <c r="V130" s="21" t="s">
        <v>2276</v>
      </c>
      <c r="W130" s="21" t="s">
        <v>2276</v>
      </c>
      <c r="X130" s="3" t="s">
        <v>75</v>
      </c>
      <c r="Y130" s="3" t="s">
        <v>35</v>
      </c>
      <c r="Z130" s="3" t="s">
        <v>64</v>
      </c>
      <c r="AA130" s="4" t="s">
        <v>105</v>
      </c>
      <c r="AB130" s="4" t="s">
        <v>1359</v>
      </c>
    </row>
    <row r="131" spans="1:28" ht="118" customHeight="1">
      <c r="A131" s="6" t="str">
        <f>'Reported burning'!A131</f>
        <v>6i</v>
      </c>
      <c r="B131" s="6" t="str">
        <f>'Reported burning'!B131</f>
        <v>6i.2</v>
      </c>
      <c r="C131" s="6" t="str">
        <f>'Reported burning'!C131</f>
        <v>Human, deliberate</v>
      </c>
      <c r="D131" s="6" t="str">
        <f>'Reported burning'!D131</f>
        <v>Crop residue burning</v>
      </c>
      <c r="E131" s="6" t="str">
        <f>'Reported burning'!E131</f>
        <v>Cropping, Monoculture, Subsistence-oriented</v>
      </c>
      <c r="F131" s="6" t="str">
        <f>'Reported burning'!F131</f>
        <v>Cropland</v>
      </c>
      <c r="G131" s="6" t="str">
        <f>'Reported burning'!G131</f>
        <v>ND</v>
      </c>
      <c r="H131" s="6" t="str">
        <f>'Reported burning'!H131</f>
        <v>Presence</v>
      </c>
      <c r="I131" s="11"/>
      <c r="J131" s="21" t="s">
        <v>2276</v>
      </c>
      <c r="K131" s="103" t="s">
        <v>2276</v>
      </c>
      <c r="L131" s="21" t="s">
        <v>2276</v>
      </c>
      <c r="M131" s="21" t="s">
        <v>2276</v>
      </c>
      <c r="N131" s="21" t="s">
        <v>2276</v>
      </c>
      <c r="O131" s="21" t="s">
        <v>2276</v>
      </c>
      <c r="P131" s="21" t="s">
        <v>2276</v>
      </c>
      <c r="Q131" s="102" t="s">
        <v>2276</v>
      </c>
      <c r="R131" s="102" t="s">
        <v>2276</v>
      </c>
      <c r="S131" s="21" t="s">
        <v>2390</v>
      </c>
      <c r="T131" s="21" t="s">
        <v>2276</v>
      </c>
      <c r="U131" s="21" t="s">
        <v>2276</v>
      </c>
      <c r="V131" s="21" t="s">
        <v>2276</v>
      </c>
      <c r="W131" s="21" t="s">
        <v>2276</v>
      </c>
      <c r="X131" s="3" t="s">
        <v>75</v>
      </c>
      <c r="Y131" s="3" t="s">
        <v>35</v>
      </c>
      <c r="Z131" s="3" t="s">
        <v>64</v>
      </c>
      <c r="AA131" s="4" t="s">
        <v>105</v>
      </c>
      <c r="AB131" s="4" t="s">
        <v>1358</v>
      </c>
    </row>
    <row r="132" spans="1:28" ht="149.5" customHeight="1">
      <c r="A132" s="6" t="str">
        <f>'Reported burning'!A132</f>
        <v>6j</v>
      </c>
      <c r="B132" s="6" t="str">
        <f>'Reported burning'!B132</f>
        <v>6j.1</v>
      </c>
      <c r="C132" s="6" t="str">
        <f>'Reported burning'!C132</f>
        <v>Human, deliberate</v>
      </c>
      <c r="D132" s="6" t="str">
        <f>'Reported burning'!D132</f>
        <v>Crop residue burning</v>
      </c>
      <c r="E132" s="6" t="str">
        <f>'Reported burning'!E132</f>
        <v>Cropping, Monoculture, Market-oriented</v>
      </c>
      <c r="F132" s="6" t="str">
        <f>'Reported burning'!F132</f>
        <v>Cropland</v>
      </c>
      <c r="G132" s="6" t="str">
        <f>'Reported burning'!G132</f>
        <v>ND</v>
      </c>
      <c r="H132" s="6" t="str">
        <f>'Reported burning'!H132</f>
        <v>Presence</v>
      </c>
      <c r="I132" s="11"/>
      <c r="J132" s="21" t="s">
        <v>2276</v>
      </c>
      <c r="K132" s="103" t="s">
        <v>2276</v>
      </c>
      <c r="L132" s="21" t="s">
        <v>2276</v>
      </c>
      <c r="M132" s="21" t="s">
        <v>2276</v>
      </c>
      <c r="N132" s="21" t="s">
        <v>2276</v>
      </c>
      <c r="O132" s="21" t="s">
        <v>2276</v>
      </c>
      <c r="P132" s="21" t="s">
        <v>2276</v>
      </c>
      <c r="Q132" s="102" t="s">
        <v>2276</v>
      </c>
      <c r="R132" s="102" t="s">
        <v>2276</v>
      </c>
      <c r="S132" s="21" t="s">
        <v>2389</v>
      </c>
      <c r="T132" s="21" t="s">
        <v>2276</v>
      </c>
      <c r="U132" s="21" t="s">
        <v>2276</v>
      </c>
      <c r="V132" s="21" t="s">
        <v>2276</v>
      </c>
      <c r="W132" s="21" t="s">
        <v>2276</v>
      </c>
      <c r="X132" s="3" t="s">
        <v>75</v>
      </c>
      <c r="Y132" s="3" t="s">
        <v>35</v>
      </c>
      <c r="Z132" s="3" t="s">
        <v>64</v>
      </c>
      <c r="AA132" s="4" t="s">
        <v>105</v>
      </c>
      <c r="AB132" s="4" t="s">
        <v>1359</v>
      </c>
    </row>
    <row r="133" spans="1:28" ht="116.5" customHeight="1">
      <c r="A133" s="6" t="str">
        <f>'Reported burning'!A133</f>
        <v>6j</v>
      </c>
      <c r="B133" s="6" t="str">
        <f>'Reported burning'!B133</f>
        <v>6j.2</v>
      </c>
      <c r="C133" s="6" t="str">
        <f>'Reported burning'!C133</f>
        <v>Human, deliberate</v>
      </c>
      <c r="D133" s="6" t="str">
        <f>'Reported burning'!D133</f>
        <v>Crop residue burning</v>
      </c>
      <c r="E133" s="6" t="str">
        <f>'Reported burning'!E133</f>
        <v>Cropping, Monoculture, Subsistence-oriented</v>
      </c>
      <c r="F133" s="6" t="str">
        <f>'Reported burning'!F133</f>
        <v>Cropland</v>
      </c>
      <c r="G133" s="6" t="str">
        <f>'Reported burning'!G133</f>
        <v>ND</v>
      </c>
      <c r="H133" s="6" t="str">
        <f>'Reported burning'!H133</f>
        <v>Presence</v>
      </c>
      <c r="I133" s="11"/>
      <c r="J133" s="21" t="s">
        <v>2276</v>
      </c>
      <c r="K133" s="103" t="s">
        <v>2276</v>
      </c>
      <c r="L133" s="21" t="s">
        <v>2276</v>
      </c>
      <c r="M133" s="21" t="s">
        <v>2276</v>
      </c>
      <c r="N133" s="21" t="s">
        <v>2276</v>
      </c>
      <c r="O133" s="21" t="s">
        <v>2276</v>
      </c>
      <c r="P133" s="21" t="s">
        <v>2276</v>
      </c>
      <c r="Q133" s="102" t="s">
        <v>2276</v>
      </c>
      <c r="R133" s="102" t="s">
        <v>2276</v>
      </c>
      <c r="S133" s="21" t="s">
        <v>2389</v>
      </c>
      <c r="T133" s="21" t="s">
        <v>2276</v>
      </c>
      <c r="U133" s="21" t="s">
        <v>2276</v>
      </c>
      <c r="V133" s="21" t="s">
        <v>2276</v>
      </c>
      <c r="W133" s="21" t="s">
        <v>2276</v>
      </c>
      <c r="X133" s="3" t="s">
        <v>75</v>
      </c>
      <c r="Y133" s="3" t="s">
        <v>35</v>
      </c>
      <c r="Z133" s="3" t="s">
        <v>64</v>
      </c>
      <c r="AA133" s="4" t="s">
        <v>105</v>
      </c>
      <c r="AB133" s="4" t="s">
        <v>1358</v>
      </c>
    </row>
    <row r="134" spans="1:28" ht="149.5" customHeight="1">
      <c r="A134" s="6" t="str">
        <f>'Reported burning'!A134</f>
        <v>6k</v>
      </c>
      <c r="B134" s="6" t="str">
        <f>'Reported burning'!B134</f>
        <v>6k.1</v>
      </c>
      <c r="C134" s="6" t="str">
        <f>'Reported burning'!C134</f>
        <v>Human, deliberate</v>
      </c>
      <c r="D134" s="6" t="str">
        <f>'Reported burning'!D134</f>
        <v>Crop residue burning</v>
      </c>
      <c r="E134" s="6" t="str">
        <f>'Reported burning'!E134</f>
        <v>Cropping, Monoculture, Market-oriented</v>
      </c>
      <c r="F134" s="6" t="str">
        <f>'Reported burning'!F134</f>
        <v>Cropland</v>
      </c>
      <c r="G134" s="6" t="str">
        <f>'Reported burning'!G134</f>
        <v>ND</v>
      </c>
      <c r="H134" s="6" t="str">
        <f>'Reported burning'!H134</f>
        <v>Presence</v>
      </c>
      <c r="I134" s="11"/>
      <c r="J134" s="21" t="s">
        <v>2276</v>
      </c>
      <c r="K134" s="103" t="s">
        <v>2276</v>
      </c>
      <c r="L134" s="21" t="s">
        <v>2276</v>
      </c>
      <c r="M134" s="21" t="s">
        <v>2276</v>
      </c>
      <c r="N134" s="21" t="s">
        <v>2276</v>
      </c>
      <c r="O134" s="21" t="s">
        <v>2276</v>
      </c>
      <c r="P134" s="21" t="s">
        <v>2276</v>
      </c>
      <c r="Q134" s="102" t="s">
        <v>2276</v>
      </c>
      <c r="R134" s="102" t="s">
        <v>2276</v>
      </c>
      <c r="S134" s="21" t="s">
        <v>2389</v>
      </c>
      <c r="T134" s="21" t="s">
        <v>2276</v>
      </c>
      <c r="U134" s="21" t="s">
        <v>2276</v>
      </c>
      <c r="V134" s="21" t="s">
        <v>2276</v>
      </c>
      <c r="W134" s="21" t="s">
        <v>2276</v>
      </c>
      <c r="X134" s="3" t="s">
        <v>75</v>
      </c>
      <c r="Y134" s="3" t="s">
        <v>35</v>
      </c>
      <c r="Z134" s="3" t="s">
        <v>64</v>
      </c>
      <c r="AA134" s="4" t="s">
        <v>105</v>
      </c>
      <c r="AB134" s="4" t="s">
        <v>1359</v>
      </c>
    </row>
    <row r="135" spans="1:28" ht="101.5" customHeight="1">
      <c r="A135" s="6" t="str">
        <f>'Reported burning'!A135</f>
        <v>6k</v>
      </c>
      <c r="B135" s="6" t="str">
        <f>'Reported burning'!B135</f>
        <v>6k.2</v>
      </c>
      <c r="C135" s="6" t="str">
        <f>'Reported burning'!C135</f>
        <v>Human, deliberate</v>
      </c>
      <c r="D135" s="6" t="str">
        <f>'Reported burning'!D135</f>
        <v>Crop residue burning</v>
      </c>
      <c r="E135" s="6" t="str">
        <f>'Reported burning'!E135</f>
        <v>Cropping, Monoculture, Subsistence-oriented</v>
      </c>
      <c r="F135" s="6" t="str">
        <f>'Reported burning'!F135</f>
        <v>Cropland</v>
      </c>
      <c r="G135" s="6" t="str">
        <f>'Reported burning'!G135</f>
        <v>ND</v>
      </c>
      <c r="H135" s="6" t="str">
        <f>'Reported burning'!H135</f>
        <v>Presence</v>
      </c>
      <c r="I135" s="11"/>
      <c r="J135" s="21" t="s">
        <v>2276</v>
      </c>
      <c r="K135" s="103" t="s">
        <v>2276</v>
      </c>
      <c r="L135" s="21" t="s">
        <v>2276</v>
      </c>
      <c r="M135" s="21" t="s">
        <v>2276</v>
      </c>
      <c r="N135" s="21" t="s">
        <v>2276</v>
      </c>
      <c r="O135" s="21" t="s">
        <v>2276</v>
      </c>
      <c r="P135" s="21" t="s">
        <v>2276</v>
      </c>
      <c r="Q135" s="102" t="s">
        <v>2276</v>
      </c>
      <c r="R135" s="102" t="s">
        <v>2276</v>
      </c>
      <c r="S135" s="21" t="s">
        <v>2389</v>
      </c>
      <c r="T135" s="21" t="s">
        <v>2276</v>
      </c>
      <c r="U135" s="21" t="s">
        <v>2276</v>
      </c>
      <c r="V135" s="21" t="s">
        <v>2276</v>
      </c>
      <c r="W135" s="21" t="s">
        <v>2276</v>
      </c>
      <c r="X135" s="3" t="s">
        <v>75</v>
      </c>
      <c r="Y135" s="3" t="s">
        <v>35</v>
      </c>
      <c r="Z135" s="3" t="s">
        <v>64</v>
      </c>
      <c r="AA135" s="4" t="s">
        <v>105</v>
      </c>
      <c r="AB135" s="4" t="s">
        <v>1358</v>
      </c>
    </row>
    <row r="136" spans="1:28" ht="150.5" customHeight="1">
      <c r="A136" s="6" t="str">
        <f>'Reported burning'!A136</f>
        <v>6l</v>
      </c>
      <c r="B136" s="6" t="str">
        <f>'Reported burning'!B136</f>
        <v>6l.1</v>
      </c>
      <c r="C136" s="6" t="str">
        <f>'Reported burning'!C136</f>
        <v>Human, deliberate</v>
      </c>
      <c r="D136" s="6" t="str">
        <f>'Reported burning'!D136</f>
        <v>Crop residue burning</v>
      </c>
      <c r="E136" s="6" t="str">
        <f>'Reported burning'!E136</f>
        <v>Cropping, Monoculture, Market-oriented</v>
      </c>
      <c r="F136" s="6" t="str">
        <f>'Reported burning'!F136</f>
        <v>Cropland</v>
      </c>
      <c r="G136" s="6" t="str">
        <f>'Reported burning'!G136</f>
        <v>ND</v>
      </c>
      <c r="H136" s="6" t="str">
        <f>'Reported burning'!H136</f>
        <v>Presence</v>
      </c>
      <c r="I136" s="11"/>
      <c r="J136" s="21" t="s">
        <v>2276</v>
      </c>
      <c r="K136" s="103" t="s">
        <v>2276</v>
      </c>
      <c r="L136" s="21" t="s">
        <v>2276</v>
      </c>
      <c r="M136" s="21" t="s">
        <v>2276</v>
      </c>
      <c r="N136" s="21" t="s">
        <v>2276</v>
      </c>
      <c r="O136" s="21" t="s">
        <v>2276</v>
      </c>
      <c r="P136" s="21" t="s">
        <v>2276</v>
      </c>
      <c r="Q136" s="102" t="s">
        <v>2276</v>
      </c>
      <c r="R136" s="102" t="s">
        <v>2276</v>
      </c>
      <c r="S136" s="21" t="s">
        <v>2389</v>
      </c>
      <c r="T136" s="21" t="s">
        <v>2276</v>
      </c>
      <c r="U136" s="21" t="s">
        <v>2276</v>
      </c>
      <c r="V136" s="21" t="s">
        <v>2276</v>
      </c>
      <c r="W136" s="21" t="s">
        <v>2276</v>
      </c>
      <c r="X136" s="3" t="s">
        <v>75</v>
      </c>
      <c r="Y136" s="3" t="s">
        <v>35</v>
      </c>
      <c r="Z136" s="3" t="s">
        <v>64</v>
      </c>
      <c r="AA136" s="4" t="s">
        <v>105</v>
      </c>
      <c r="AB136" s="4" t="s">
        <v>1359</v>
      </c>
    </row>
    <row r="137" spans="1:28" ht="103" customHeight="1">
      <c r="A137" s="6" t="str">
        <f>'Reported burning'!A137</f>
        <v>6l</v>
      </c>
      <c r="B137" s="6" t="str">
        <f>'Reported burning'!B137</f>
        <v>6l.2</v>
      </c>
      <c r="C137" s="6" t="str">
        <f>'Reported burning'!C137</f>
        <v>Human, deliberate</v>
      </c>
      <c r="D137" s="6" t="str">
        <f>'Reported burning'!D137</f>
        <v>Crop residue burning</v>
      </c>
      <c r="E137" s="6" t="str">
        <f>'Reported burning'!E137</f>
        <v>Cropping, Monoculture, Subsistence-oriented</v>
      </c>
      <c r="F137" s="6" t="str">
        <f>'Reported burning'!F137</f>
        <v>Cropland</v>
      </c>
      <c r="G137" s="6" t="str">
        <f>'Reported burning'!G137</f>
        <v>ND</v>
      </c>
      <c r="H137" s="6" t="str">
        <f>'Reported burning'!H137</f>
        <v>Presence</v>
      </c>
      <c r="I137" s="11"/>
      <c r="J137" s="21" t="s">
        <v>2276</v>
      </c>
      <c r="K137" s="103" t="s">
        <v>2276</v>
      </c>
      <c r="L137" s="21" t="s">
        <v>2276</v>
      </c>
      <c r="M137" s="21" t="s">
        <v>2276</v>
      </c>
      <c r="N137" s="21" t="s">
        <v>2276</v>
      </c>
      <c r="O137" s="21" t="s">
        <v>2276</v>
      </c>
      <c r="P137" s="21" t="s">
        <v>2276</v>
      </c>
      <c r="Q137" s="102" t="s">
        <v>2276</v>
      </c>
      <c r="R137" s="102" t="s">
        <v>2276</v>
      </c>
      <c r="S137" s="21" t="s">
        <v>2389</v>
      </c>
      <c r="T137" s="21" t="s">
        <v>2276</v>
      </c>
      <c r="U137" s="21" t="s">
        <v>2276</v>
      </c>
      <c r="V137" s="21" t="s">
        <v>2276</v>
      </c>
      <c r="W137" s="21" t="s">
        <v>2276</v>
      </c>
      <c r="X137" s="3" t="s">
        <v>75</v>
      </c>
      <c r="Y137" s="3" t="s">
        <v>35</v>
      </c>
      <c r="Z137" s="3" t="s">
        <v>64</v>
      </c>
      <c r="AA137" s="4" t="s">
        <v>105</v>
      </c>
      <c r="AB137" s="4" t="s">
        <v>1358</v>
      </c>
    </row>
    <row r="138" spans="1:28" ht="119.5" customHeight="1">
      <c r="A138" s="6" t="str">
        <f>'Reported burning'!A138</f>
        <v>7a</v>
      </c>
      <c r="B138" s="6" t="str">
        <f>'Reported burning'!B138</f>
        <v>7a.1</v>
      </c>
      <c r="C138" s="6" t="str">
        <f>'Reported burning'!C138</f>
        <v>Human, deliberate</v>
      </c>
      <c r="D138" s="6" t="str">
        <f>'Reported burning'!D138</f>
        <v>Crop residue burning</v>
      </c>
      <c r="E138" s="6" t="str">
        <f>'Reported burning'!E138</f>
        <v>Cropping, Intensive</v>
      </c>
      <c r="F138" s="6" t="str">
        <f>'Reported burning'!F138</f>
        <v>Cropland</v>
      </c>
      <c r="G138" s="6" t="str">
        <f>'Reported burning'!G138</f>
        <v>ND</v>
      </c>
      <c r="H138" s="6" t="str">
        <f>'Reported burning'!H138</f>
        <v>Presence</v>
      </c>
      <c r="I138" s="11">
        <v>2001</v>
      </c>
      <c r="J138" s="21" t="s">
        <v>2276</v>
      </c>
      <c r="K138" s="103" t="s">
        <v>2276</v>
      </c>
      <c r="L138" s="21" t="s">
        <v>2276</v>
      </c>
      <c r="M138" s="21" t="s">
        <v>2276</v>
      </c>
      <c r="N138" s="21" t="s">
        <v>2276</v>
      </c>
      <c r="O138" s="21" t="s">
        <v>2276</v>
      </c>
      <c r="P138" s="21" t="s">
        <v>2276</v>
      </c>
      <c r="Q138" s="102" t="s">
        <v>2276</v>
      </c>
      <c r="R138" s="102" t="s">
        <v>2276</v>
      </c>
      <c r="S138" s="21" t="s">
        <v>2389</v>
      </c>
      <c r="T138" s="21" t="s">
        <v>2276</v>
      </c>
      <c r="U138" s="21" t="s">
        <v>2276</v>
      </c>
      <c r="V138" s="21" t="s">
        <v>2276</v>
      </c>
      <c r="W138" s="21" t="s">
        <v>2276</v>
      </c>
      <c r="X138" s="3" t="s">
        <v>34</v>
      </c>
      <c r="Y138" s="3" t="s">
        <v>34</v>
      </c>
      <c r="Z138" s="3" t="s">
        <v>64</v>
      </c>
      <c r="AA138" s="4" t="s">
        <v>1375</v>
      </c>
      <c r="AB138" s="4" t="s">
        <v>1377</v>
      </c>
    </row>
    <row r="139" spans="1:28" ht="116" customHeight="1">
      <c r="A139" s="6" t="str">
        <f>'Reported burning'!A139</f>
        <v>7a</v>
      </c>
      <c r="B139" s="6" t="str">
        <f>'Reported burning'!B139</f>
        <v>7a.2</v>
      </c>
      <c r="C139" s="6" t="str">
        <f>'Reported burning'!C139</f>
        <v>Human, deliberate</v>
      </c>
      <c r="D139" s="6" t="str">
        <f>'Reported burning'!D139</f>
        <v>Crop residue burning</v>
      </c>
      <c r="E139" s="6" t="str">
        <f>'Reported burning'!E139</f>
        <v>Cropping, Intensive</v>
      </c>
      <c r="F139" s="6" t="str">
        <f>'Reported burning'!F139</f>
        <v>Cropland</v>
      </c>
      <c r="G139" s="6" t="str">
        <f>'Reported burning'!G139</f>
        <v>ND</v>
      </c>
      <c r="H139" s="6" t="str">
        <f>'Reported burning'!H139</f>
        <v>Presence</v>
      </c>
      <c r="I139" s="11">
        <v>2001</v>
      </c>
      <c r="J139" s="21" t="s">
        <v>2276</v>
      </c>
      <c r="K139" s="103" t="s">
        <v>2276</v>
      </c>
      <c r="L139" s="21" t="s">
        <v>2276</v>
      </c>
      <c r="M139" s="21" t="s">
        <v>2276</v>
      </c>
      <c r="N139" s="21" t="s">
        <v>2276</v>
      </c>
      <c r="O139" s="21" t="s">
        <v>2276</v>
      </c>
      <c r="P139" s="21" t="s">
        <v>2276</v>
      </c>
      <c r="Q139" s="102" t="s">
        <v>2276</v>
      </c>
      <c r="R139" s="102" t="s">
        <v>2276</v>
      </c>
      <c r="S139" s="21" t="s">
        <v>2376</v>
      </c>
      <c r="T139" s="21" t="s">
        <v>2276</v>
      </c>
      <c r="U139" s="21" t="s">
        <v>2276</v>
      </c>
      <c r="V139" s="21" t="s">
        <v>2276</v>
      </c>
      <c r="W139" s="21" t="s">
        <v>2276</v>
      </c>
      <c r="X139" s="3" t="s">
        <v>68</v>
      </c>
      <c r="Y139" s="3" t="s">
        <v>68</v>
      </c>
      <c r="Z139" s="3" t="s">
        <v>64</v>
      </c>
      <c r="AA139" s="4" t="s">
        <v>1376</v>
      </c>
      <c r="AB139" s="4" t="s">
        <v>1377</v>
      </c>
    </row>
    <row r="140" spans="1:28" ht="116" customHeight="1">
      <c r="A140" s="6" t="str">
        <f>'Reported burning'!A140</f>
        <v>7a</v>
      </c>
      <c r="B140" s="6" t="str">
        <f>'Reported burning'!B140</f>
        <v>7a.3</v>
      </c>
      <c r="C140" s="6" t="str">
        <f>'Reported burning'!C140</f>
        <v>Human, deliberate</v>
      </c>
      <c r="D140" s="6" t="str">
        <f>'Reported burning'!D140</f>
        <v>Crop residue burning</v>
      </c>
      <c r="E140" s="6" t="str">
        <f>'Reported burning'!E140</f>
        <v>Cropping, Intensive</v>
      </c>
      <c r="F140" s="6" t="str">
        <f>'Reported burning'!F140</f>
        <v>Cropland</v>
      </c>
      <c r="G140" s="6" t="str">
        <f>'Reported burning'!G140</f>
        <v>ND</v>
      </c>
      <c r="H140" s="6" t="str">
        <f>'Reported burning'!H140</f>
        <v>Presence</v>
      </c>
      <c r="I140" s="11">
        <v>2002</v>
      </c>
      <c r="J140" s="21" t="s">
        <v>2276</v>
      </c>
      <c r="K140" s="103" t="s">
        <v>2276</v>
      </c>
      <c r="L140" s="21" t="s">
        <v>2276</v>
      </c>
      <c r="M140" s="21" t="s">
        <v>2276</v>
      </c>
      <c r="N140" s="21" t="s">
        <v>2276</v>
      </c>
      <c r="O140" s="21" t="s">
        <v>2276</v>
      </c>
      <c r="P140" s="21" t="s">
        <v>2276</v>
      </c>
      <c r="Q140" s="102" t="s">
        <v>2276</v>
      </c>
      <c r="R140" s="102" t="s">
        <v>2276</v>
      </c>
      <c r="S140" s="21" t="s">
        <v>2389</v>
      </c>
      <c r="T140" s="21" t="s">
        <v>2276</v>
      </c>
      <c r="U140" s="21" t="s">
        <v>2276</v>
      </c>
      <c r="V140" s="21" t="s">
        <v>2276</v>
      </c>
      <c r="W140" s="21" t="s">
        <v>2276</v>
      </c>
      <c r="X140" s="3" t="s">
        <v>34</v>
      </c>
      <c r="Y140" s="3" t="s">
        <v>34</v>
      </c>
      <c r="Z140" s="3" t="s">
        <v>64</v>
      </c>
      <c r="AA140" s="4" t="s">
        <v>1375</v>
      </c>
      <c r="AB140" s="4" t="s">
        <v>1377</v>
      </c>
    </row>
    <row r="141" spans="1:28" ht="131" customHeight="1">
      <c r="A141" s="6" t="str">
        <f>'Reported burning'!A141</f>
        <v>7a</v>
      </c>
      <c r="B141" s="6" t="str">
        <f>'Reported burning'!B141</f>
        <v>7a.4</v>
      </c>
      <c r="C141" s="6" t="str">
        <f>'Reported burning'!C141</f>
        <v>Human, deliberate</v>
      </c>
      <c r="D141" s="6" t="str">
        <f>'Reported burning'!D141</f>
        <v>Crop residue burning</v>
      </c>
      <c r="E141" s="6" t="str">
        <f>'Reported burning'!E141</f>
        <v>Cropping, Intensive</v>
      </c>
      <c r="F141" s="6" t="str">
        <f>'Reported burning'!F141</f>
        <v>Cropland</v>
      </c>
      <c r="G141" s="6" t="str">
        <f>'Reported burning'!G141</f>
        <v>ND</v>
      </c>
      <c r="H141" s="6" t="str">
        <f>'Reported burning'!H141</f>
        <v>Presence</v>
      </c>
      <c r="I141" s="11">
        <v>2002</v>
      </c>
      <c r="J141" s="21" t="s">
        <v>2276</v>
      </c>
      <c r="K141" s="103" t="s">
        <v>2276</v>
      </c>
      <c r="L141" s="21" t="s">
        <v>2276</v>
      </c>
      <c r="M141" s="21" t="s">
        <v>2276</v>
      </c>
      <c r="N141" s="21" t="s">
        <v>2276</v>
      </c>
      <c r="O141" s="21" t="s">
        <v>2276</v>
      </c>
      <c r="P141" s="21" t="s">
        <v>2276</v>
      </c>
      <c r="Q141" s="102" t="s">
        <v>2276</v>
      </c>
      <c r="R141" s="102" t="s">
        <v>2276</v>
      </c>
      <c r="S141" s="21" t="s">
        <v>2376</v>
      </c>
      <c r="T141" s="21" t="s">
        <v>2276</v>
      </c>
      <c r="U141" s="21" t="s">
        <v>2276</v>
      </c>
      <c r="V141" s="21" t="s">
        <v>2276</v>
      </c>
      <c r="W141" s="21" t="s">
        <v>2276</v>
      </c>
      <c r="X141" s="3" t="s">
        <v>68</v>
      </c>
      <c r="Y141" s="3" t="s">
        <v>68</v>
      </c>
      <c r="Z141" s="3" t="s">
        <v>64</v>
      </c>
      <c r="AA141" s="4" t="s">
        <v>1376</v>
      </c>
      <c r="AB141" s="4" t="s">
        <v>1377</v>
      </c>
    </row>
    <row r="142" spans="1:28" ht="121" customHeight="1">
      <c r="A142" s="6" t="str">
        <f>'Reported burning'!A142</f>
        <v>7a</v>
      </c>
      <c r="B142" s="6" t="str">
        <f>'Reported burning'!B142</f>
        <v>7a.5</v>
      </c>
      <c r="C142" s="6" t="str">
        <f>'Reported burning'!C142</f>
        <v>Human, deliberate</v>
      </c>
      <c r="D142" s="6" t="str">
        <f>'Reported burning'!D142</f>
        <v>Crop residue burning</v>
      </c>
      <c r="E142" s="6" t="str">
        <f>'Reported burning'!E142</f>
        <v>Cropping, Intensive</v>
      </c>
      <c r="F142" s="6" t="str">
        <f>'Reported burning'!F142</f>
        <v>Cropland</v>
      </c>
      <c r="G142" s="6" t="str">
        <f>'Reported burning'!G142</f>
        <v>ND</v>
      </c>
      <c r="H142" s="6" t="str">
        <f>'Reported burning'!H142</f>
        <v>Presence</v>
      </c>
      <c r="I142" s="11">
        <v>2003</v>
      </c>
      <c r="J142" s="21" t="s">
        <v>2276</v>
      </c>
      <c r="K142" s="103" t="s">
        <v>2276</v>
      </c>
      <c r="L142" s="21" t="s">
        <v>2276</v>
      </c>
      <c r="M142" s="21" t="s">
        <v>2276</v>
      </c>
      <c r="N142" s="21" t="s">
        <v>2276</v>
      </c>
      <c r="O142" s="21" t="s">
        <v>2276</v>
      </c>
      <c r="P142" s="21" t="s">
        <v>2276</v>
      </c>
      <c r="Q142" s="102" t="s">
        <v>2276</v>
      </c>
      <c r="R142" s="102" t="s">
        <v>2276</v>
      </c>
      <c r="S142" s="21" t="s">
        <v>2389</v>
      </c>
      <c r="T142" s="21" t="s">
        <v>2276</v>
      </c>
      <c r="U142" s="21" t="s">
        <v>2276</v>
      </c>
      <c r="V142" s="21" t="s">
        <v>2276</v>
      </c>
      <c r="W142" s="21" t="s">
        <v>2276</v>
      </c>
      <c r="X142" s="3" t="s">
        <v>34</v>
      </c>
      <c r="Y142" s="3" t="s">
        <v>34</v>
      </c>
      <c r="Z142" s="3" t="s">
        <v>64</v>
      </c>
      <c r="AA142" s="4" t="s">
        <v>1375</v>
      </c>
      <c r="AB142" s="4" t="s">
        <v>1377</v>
      </c>
    </row>
    <row r="143" spans="1:28" ht="122" customHeight="1">
      <c r="A143" s="6" t="str">
        <f>'Reported burning'!A143</f>
        <v>7a</v>
      </c>
      <c r="B143" s="6" t="str">
        <f>'Reported burning'!B143</f>
        <v>7a.6</v>
      </c>
      <c r="C143" s="6" t="str">
        <f>'Reported burning'!C143</f>
        <v>Human, deliberate</v>
      </c>
      <c r="D143" s="6" t="str">
        <f>'Reported burning'!D143</f>
        <v>Crop residue burning</v>
      </c>
      <c r="E143" s="6" t="str">
        <f>'Reported burning'!E143</f>
        <v>Cropping, Intensive</v>
      </c>
      <c r="F143" s="6" t="str">
        <f>'Reported burning'!F143</f>
        <v>Cropland</v>
      </c>
      <c r="G143" s="6" t="str">
        <f>'Reported burning'!G143</f>
        <v>ND</v>
      </c>
      <c r="H143" s="6" t="str">
        <f>'Reported burning'!H143</f>
        <v>Presence</v>
      </c>
      <c r="I143" s="11">
        <v>2003</v>
      </c>
      <c r="J143" s="21" t="s">
        <v>2276</v>
      </c>
      <c r="K143" s="103" t="s">
        <v>2276</v>
      </c>
      <c r="L143" s="21" t="s">
        <v>2276</v>
      </c>
      <c r="M143" s="21" t="s">
        <v>2276</v>
      </c>
      <c r="N143" s="21" t="s">
        <v>2276</v>
      </c>
      <c r="O143" s="21" t="s">
        <v>2276</v>
      </c>
      <c r="P143" s="21" t="s">
        <v>2276</v>
      </c>
      <c r="Q143" s="102" t="s">
        <v>2276</v>
      </c>
      <c r="R143" s="102" t="s">
        <v>2276</v>
      </c>
      <c r="S143" s="21" t="s">
        <v>2376</v>
      </c>
      <c r="T143" s="21" t="s">
        <v>2276</v>
      </c>
      <c r="U143" s="21" t="s">
        <v>2276</v>
      </c>
      <c r="V143" s="21" t="s">
        <v>2276</v>
      </c>
      <c r="W143" s="21" t="s">
        <v>2276</v>
      </c>
      <c r="X143" s="3" t="s">
        <v>68</v>
      </c>
      <c r="Y143" s="3" t="s">
        <v>68</v>
      </c>
      <c r="Z143" s="3" t="s">
        <v>64</v>
      </c>
      <c r="AA143" s="4" t="s">
        <v>1376</v>
      </c>
      <c r="AB143" s="4" t="s">
        <v>1377</v>
      </c>
    </row>
    <row r="144" spans="1:28" ht="122" customHeight="1">
      <c r="A144" s="6" t="str">
        <f>'Reported burning'!A144</f>
        <v>7a</v>
      </c>
      <c r="B144" s="6" t="str">
        <f>'Reported burning'!B144</f>
        <v>7a.7</v>
      </c>
      <c r="C144" s="6" t="str">
        <f>'Reported burning'!C144</f>
        <v>Human, deliberate</v>
      </c>
      <c r="D144" s="6" t="str">
        <f>'Reported burning'!D144</f>
        <v>Crop residue burning</v>
      </c>
      <c r="E144" s="6" t="str">
        <f>'Reported burning'!E144</f>
        <v>Cropping, Intensive</v>
      </c>
      <c r="F144" s="6" t="str">
        <f>'Reported burning'!F144</f>
        <v>Cropland</v>
      </c>
      <c r="G144" s="6" t="str">
        <f>'Reported burning'!G144</f>
        <v>ND</v>
      </c>
      <c r="H144" s="6" t="str">
        <f>'Reported burning'!H144</f>
        <v>Presence</v>
      </c>
      <c r="I144" s="11">
        <v>2004</v>
      </c>
      <c r="J144" s="21" t="s">
        <v>2276</v>
      </c>
      <c r="K144" s="103" t="s">
        <v>2276</v>
      </c>
      <c r="L144" s="21" t="s">
        <v>2276</v>
      </c>
      <c r="M144" s="21" t="s">
        <v>2276</v>
      </c>
      <c r="N144" s="21" t="s">
        <v>2276</v>
      </c>
      <c r="O144" s="21" t="s">
        <v>2276</v>
      </c>
      <c r="P144" s="21" t="s">
        <v>2276</v>
      </c>
      <c r="Q144" s="102" t="s">
        <v>2276</v>
      </c>
      <c r="R144" s="102" t="s">
        <v>2276</v>
      </c>
      <c r="S144" s="21" t="s">
        <v>2389</v>
      </c>
      <c r="T144" s="21" t="s">
        <v>2276</v>
      </c>
      <c r="U144" s="21" t="s">
        <v>2276</v>
      </c>
      <c r="V144" s="21" t="s">
        <v>2276</v>
      </c>
      <c r="W144" s="21" t="s">
        <v>2276</v>
      </c>
      <c r="X144" s="3" t="s">
        <v>34</v>
      </c>
      <c r="Y144" s="3" t="s">
        <v>34</v>
      </c>
      <c r="Z144" s="3" t="s">
        <v>64</v>
      </c>
      <c r="AA144" s="4" t="s">
        <v>1375</v>
      </c>
      <c r="AB144" s="4" t="s">
        <v>1377</v>
      </c>
    </row>
    <row r="145" spans="1:28" ht="121" customHeight="1">
      <c r="A145" s="6" t="str">
        <f>'Reported burning'!A145</f>
        <v>7a</v>
      </c>
      <c r="B145" s="6" t="str">
        <f>'Reported burning'!B145</f>
        <v>7a.8</v>
      </c>
      <c r="C145" s="6" t="str">
        <f>'Reported burning'!C145</f>
        <v>Human, deliberate</v>
      </c>
      <c r="D145" s="6" t="str">
        <f>'Reported burning'!D145</f>
        <v>Crop residue burning</v>
      </c>
      <c r="E145" s="6" t="str">
        <f>'Reported burning'!E145</f>
        <v>Cropping, Intensive</v>
      </c>
      <c r="F145" s="6" t="str">
        <f>'Reported burning'!F145</f>
        <v>Cropland</v>
      </c>
      <c r="G145" s="6" t="str">
        <f>'Reported burning'!G145</f>
        <v>ND</v>
      </c>
      <c r="H145" s="6" t="str">
        <f>'Reported burning'!H145</f>
        <v>Presence</v>
      </c>
      <c r="I145" s="11">
        <v>2004</v>
      </c>
      <c r="J145" s="21" t="s">
        <v>2276</v>
      </c>
      <c r="K145" s="103" t="s">
        <v>2276</v>
      </c>
      <c r="L145" s="21" t="s">
        <v>2276</v>
      </c>
      <c r="M145" s="21" t="s">
        <v>2276</v>
      </c>
      <c r="N145" s="21" t="s">
        <v>2276</v>
      </c>
      <c r="O145" s="21" t="s">
        <v>2276</v>
      </c>
      <c r="P145" s="21" t="s">
        <v>2276</v>
      </c>
      <c r="Q145" s="102" t="s">
        <v>2276</v>
      </c>
      <c r="R145" s="102" t="s">
        <v>2276</v>
      </c>
      <c r="S145" s="21" t="s">
        <v>2376</v>
      </c>
      <c r="T145" s="21" t="s">
        <v>2276</v>
      </c>
      <c r="U145" s="21" t="s">
        <v>2276</v>
      </c>
      <c r="V145" s="21" t="s">
        <v>2276</v>
      </c>
      <c r="W145" s="21" t="s">
        <v>2276</v>
      </c>
      <c r="X145" s="3" t="s">
        <v>68</v>
      </c>
      <c r="Y145" s="3" t="s">
        <v>68</v>
      </c>
      <c r="Z145" s="3" t="s">
        <v>64</v>
      </c>
      <c r="AA145" s="4" t="s">
        <v>1376</v>
      </c>
      <c r="AB145" s="4" t="s">
        <v>1377</v>
      </c>
    </row>
    <row r="146" spans="1:28" ht="121" customHeight="1">
      <c r="A146" s="6" t="str">
        <f>'Reported burning'!A146</f>
        <v>7a</v>
      </c>
      <c r="B146" s="6" t="str">
        <f>'Reported burning'!B146</f>
        <v>7a.9</v>
      </c>
      <c r="C146" s="6" t="str">
        <f>'Reported burning'!C146</f>
        <v>Human, deliberate</v>
      </c>
      <c r="D146" s="6" t="str">
        <f>'Reported burning'!D146</f>
        <v>Crop residue burning</v>
      </c>
      <c r="E146" s="6" t="str">
        <f>'Reported burning'!E146</f>
        <v>Cropping, Intensive</v>
      </c>
      <c r="F146" s="6" t="str">
        <f>'Reported burning'!F146</f>
        <v>Cropland</v>
      </c>
      <c r="G146" s="6" t="str">
        <f>'Reported burning'!G146</f>
        <v>ND</v>
      </c>
      <c r="H146" s="6" t="str">
        <f>'Reported burning'!H146</f>
        <v>Presence</v>
      </c>
      <c r="I146" s="11">
        <v>2005</v>
      </c>
      <c r="J146" s="21" t="s">
        <v>2276</v>
      </c>
      <c r="K146" s="103" t="s">
        <v>2276</v>
      </c>
      <c r="L146" s="21" t="s">
        <v>2276</v>
      </c>
      <c r="M146" s="21" t="s">
        <v>2276</v>
      </c>
      <c r="N146" s="21" t="s">
        <v>2276</v>
      </c>
      <c r="O146" s="21" t="s">
        <v>2276</v>
      </c>
      <c r="P146" s="21" t="s">
        <v>2276</v>
      </c>
      <c r="Q146" s="102" t="s">
        <v>2276</v>
      </c>
      <c r="R146" s="102" t="s">
        <v>2276</v>
      </c>
      <c r="S146" s="21" t="s">
        <v>2389</v>
      </c>
      <c r="T146" s="21" t="s">
        <v>2276</v>
      </c>
      <c r="U146" s="21" t="s">
        <v>2276</v>
      </c>
      <c r="V146" s="21" t="s">
        <v>2276</v>
      </c>
      <c r="W146" s="21" t="s">
        <v>2276</v>
      </c>
      <c r="X146" s="3" t="s">
        <v>34</v>
      </c>
      <c r="Y146" s="3" t="s">
        <v>34</v>
      </c>
      <c r="Z146" s="3" t="s">
        <v>64</v>
      </c>
      <c r="AA146" s="4" t="s">
        <v>1375</v>
      </c>
      <c r="AB146" s="4" t="s">
        <v>1377</v>
      </c>
    </row>
    <row r="147" spans="1:28" ht="115" customHeight="1">
      <c r="A147" s="6" t="str">
        <f>'Reported burning'!A147</f>
        <v>7a</v>
      </c>
      <c r="B147" s="6" t="str">
        <f>'Reported burning'!B147</f>
        <v>7a.10</v>
      </c>
      <c r="C147" s="6" t="str">
        <f>'Reported burning'!C147</f>
        <v>Human, deliberate</v>
      </c>
      <c r="D147" s="6" t="str">
        <f>'Reported burning'!D147</f>
        <v>Crop residue burning</v>
      </c>
      <c r="E147" s="6" t="str">
        <f>'Reported burning'!E147</f>
        <v>Cropping, Intensive</v>
      </c>
      <c r="F147" s="6" t="str">
        <f>'Reported burning'!F147</f>
        <v>Cropland</v>
      </c>
      <c r="G147" s="6" t="str">
        <f>'Reported burning'!G147</f>
        <v>ND</v>
      </c>
      <c r="H147" s="6" t="str">
        <f>'Reported burning'!H147</f>
        <v>Presence</v>
      </c>
      <c r="I147" s="11">
        <v>2005</v>
      </c>
      <c r="J147" s="21" t="s">
        <v>2276</v>
      </c>
      <c r="K147" s="103" t="s">
        <v>2276</v>
      </c>
      <c r="L147" s="21" t="s">
        <v>2276</v>
      </c>
      <c r="M147" s="21" t="s">
        <v>2276</v>
      </c>
      <c r="N147" s="21" t="s">
        <v>2276</v>
      </c>
      <c r="O147" s="21" t="s">
        <v>2276</v>
      </c>
      <c r="P147" s="21" t="s">
        <v>2276</v>
      </c>
      <c r="Q147" s="102" t="s">
        <v>2276</v>
      </c>
      <c r="R147" s="102" t="s">
        <v>2276</v>
      </c>
      <c r="S147" s="21" t="s">
        <v>2376</v>
      </c>
      <c r="T147" s="21" t="s">
        <v>2276</v>
      </c>
      <c r="U147" s="21" t="s">
        <v>2276</v>
      </c>
      <c r="V147" s="21" t="s">
        <v>2276</v>
      </c>
      <c r="W147" s="21" t="s">
        <v>2276</v>
      </c>
      <c r="X147" s="3" t="s">
        <v>68</v>
      </c>
      <c r="Y147" s="3" t="s">
        <v>68</v>
      </c>
      <c r="Z147" s="3" t="s">
        <v>64</v>
      </c>
      <c r="AA147" s="4" t="s">
        <v>1376</v>
      </c>
      <c r="AB147" s="4" t="s">
        <v>1377</v>
      </c>
    </row>
    <row r="148" spans="1:28" ht="155.5" customHeight="1">
      <c r="A148" s="6" t="str">
        <f>'Reported burning'!A148</f>
        <v>8a</v>
      </c>
      <c r="B148" s="6" t="str">
        <f>'Reported burning'!B148</f>
        <v>8a.1</v>
      </c>
      <c r="C148" s="6" t="str">
        <f>'Reported burning'!C148</f>
        <v>Human, deliberate</v>
      </c>
      <c r="D148" s="6" t="str">
        <f>'Reported burning'!D148</f>
        <v>Crop field preparation</v>
      </c>
      <c r="E148" s="6" t="str">
        <f>'Reported burning'!E148</f>
        <v>Cropping, Swidden</v>
      </c>
      <c r="F148" s="6" t="str">
        <f>'Reported burning'!F148</f>
        <v>Forest</v>
      </c>
      <c r="G148" s="6" t="str">
        <f>'Reported burning'!G148</f>
        <v>Forest</v>
      </c>
      <c r="H148" s="6" t="str">
        <f>'Reported burning'!H148</f>
        <v>Presence</v>
      </c>
      <c r="I148" s="23"/>
      <c r="J148" s="77" t="s">
        <v>2276</v>
      </c>
      <c r="K148" s="109" t="s">
        <v>2276</v>
      </c>
      <c r="L148" s="77" t="s">
        <v>2276</v>
      </c>
      <c r="M148" s="77" t="s">
        <v>2276</v>
      </c>
      <c r="N148" s="77" t="s">
        <v>2276</v>
      </c>
      <c r="O148" s="77" t="s">
        <v>2276</v>
      </c>
      <c r="P148" s="77" t="s">
        <v>2276</v>
      </c>
      <c r="Q148" s="102" t="s">
        <v>2276</v>
      </c>
      <c r="R148" s="102" t="s">
        <v>2276</v>
      </c>
      <c r="S148" s="21" t="s">
        <v>2276</v>
      </c>
      <c r="T148" s="77" t="s">
        <v>2276</v>
      </c>
      <c r="U148" s="77" t="s">
        <v>2276</v>
      </c>
      <c r="V148" s="77" t="s">
        <v>2276</v>
      </c>
      <c r="W148" s="77" t="s">
        <v>2276</v>
      </c>
      <c r="X148" s="22" t="s">
        <v>68</v>
      </c>
      <c r="Y148" s="22" t="s">
        <v>68</v>
      </c>
      <c r="Z148" s="22" t="s">
        <v>76</v>
      </c>
      <c r="AA148" s="24" t="s">
        <v>131</v>
      </c>
      <c r="AB148" s="22"/>
    </row>
    <row r="149" spans="1:28" ht="149.5" customHeight="1">
      <c r="A149" s="6" t="str">
        <f>'Reported burning'!A149</f>
        <v>8a</v>
      </c>
      <c r="B149" s="6" t="str">
        <f>'Reported burning'!B149</f>
        <v>8a.2</v>
      </c>
      <c r="C149" s="6" t="str">
        <f>'Reported burning'!C149</f>
        <v>Human, deliberate</v>
      </c>
      <c r="D149" s="6" t="str">
        <f>'Reported burning'!D149</f>
        <v>Crop field preparation</v>
      </c>
      <c r="E149" s="6" t="str">
        <f>'Reported burning'!E149</f>
        <v>Cropping, Swidden</v>
      </c>
      <c r="F149" s="6" t="str">
        <f>'Reported burning'!F149</f>
        <v>Secondary Vegetation</v>
      </c>
      <c r="G149" s="6" t="str">
        <f>'Reported burning'!G149</f>
        <v>ND</v>
      </c>
      <c r="H149" s="6" t="str">
        <f>'Reported burning'!H149</f>
        <v>Presence</v>
      </c>
      <c r="I149" s="23"/>
      <c r="J149" s="77" t="s">
        <v>2276</v>
      </c>
      <c r="K149" s="109" t="s">
        <v>2276</v>
      </c>
      <c r="L149" s="77" t="s">
        <v>2276</v>
      </c>
      <c r="M149" s="77" t="s">
        <v>2276</v>
      </c>
      <c r="N149" s="77" t="s">
        <v>2276</v>
      </c>
      <c r="O149" s="77" t="s">
        <v>2276</v>
      </c>
      <c r="P149" s="77" t="s">
        <v>2276</v>
      </c>
      <c r="Q149" s="102" t="s">
        <v>2276</v>
      </c>
      <c r="R149" s="102" t="s">
        <v>2276</v>
      </c>
      <c r="S149" s="21" t="s">
        <v>2276</v>
      </c>
      <c r="T149" s="77" t="s">
        <v>2276</v>
      </c>
      <c r="U149" s="77" t="s">
        <v>2276</v>
      </c>
      <c r="V149" s="77" t="s">
        <v>2276</v>
      </c>
      <c r="W149" s="77" t="s">
        <v>2276</v>
      </c>
      <c r="X149" s="22" t="s">
        <v>35</v>
      </c>
      <c r="Y149" s="22" t="s">
        <v>127</v>
      </c>
      <c r="Z149" s="22" t="s">
        <v>128</v>
      </c>
      <c r="AA149" s="24" t="s">
        <v>132</v>
      </c>
      <c r="AB149" s="22"/>
    </row>
    <row r="150" spans="1:28" ht="47" customHeight="1">
      <c r="A150" s="6" t="str">
        <f>'Reported burning'!A150</f>
        <v>9a</v>
      </c>
      <c r="B150" s="6" t="str">
        <f>'Reported burning'!B150</f>
        <v>9a.1</v>
      </c>
      <c r="C150" s="6" t="str">
        <f>'Reported burning'!C150</f>
        <v>Human, deliberate</v>
      </c>
      <c r="D150" s="6" t="str">
        <f>'Reported burning'!D150</f>
        <v>Conservation</v>
      </c>
      <c r="E150" s="6" t="str">
        <f>'Reported burning'!E150</f>
        <v>Biodiversity conservation</v>
      </c>
      <c r="F150" s="6" t="str">
        <f>'Reported burning'!F150</f>
        <v>Forest</v>
      </c>
      <c r="G150" s="6" t="str">
        <f>'Reported burning'!G150</f>
        <v>ND</v>
      </c>
      <c r="H150" s="6" t="str">
        <f>'Reported burning'!H150</f>
        <v>Absence</v>
      </c>
      <c r="I150" s="3"/>
      <c r="J150" s="21" t="s">
        <v>2276</v>
      </c>
      <c r="K150" s="103" t="s">
        <v>2276</v>
      </c>
      <c r="L150" s="21" t="s">
        <v>2276</v>
      </c>
      <c r="M150" s="21" t="s">
        <v>2276</v>
      </c>
      <c r="N150" s="21" t="s">
        <v>2276</v>
      </c>
      <c r="O150" s="21" t="s">
        <v>2276</v>
      </c>
      <c r="P150" s="21" t="s">
        <v>2276</v>
      </c>
      <c r="Q150" s="102" t="s">
        <v>2276</v>
      </c>
      <c r="R150" s="102" t="s">
        <v>2276</v>
      </c>
      <c r="S150" s="21" t="s">
        <v>2276</v>
      </c>
      <c r="T150" s="21" t="s">
        <v>2364</v>
      </c>
      <c r="U150" s="21" t="s">
        <v>2276</v>
      </c>
      <c r="V150" s="21" t="s">
        <v>2276</v>
      </c>
      <c r="W150" s="21" t="s">
        <v>2276</v>
      </c>
      <c r="X150" s="3" t="s">
        <v>2276</v>
      </c>
      <c r="Y150" s="3" t="s">
        <v>2276</v>
      </c>
      <c r="Z150" s="3" t="s">
        <v>2276</v>
      </c>
      <c r="AA150" s="3" t="s">
        <v>139</v>
      </c>
      <c r="AB150" s="3"/>
    </row>
    <row r="151" spans="1:28" ht="60" customHeight="1">
      <c r="A151" s="6" t="str">
        <f>'Reported burning'!A151</f>
        <v>9a</v>
      </c>
      <c r="B151" s="6" t="str">
        <f>'Reported burning'!B151</f>
        <v>9a.2</v>
      </c>
      <c r="C151" s="6" t="str">
        <f>'Reported burning'!C151</f>
        <v>Human, deliberate</v>
      </c>
      <c r="D151" s="6" t="str">
        <f>'Reported burning'!D151</f>
        <v>Crop field preparation</v>
      </c>
      <c r="E151" s="6" t="str">
        <f>'Reported burning'!E151</f>
        <v>Cropping, Swidden</v>
      </c>
      <c r="F151" s="6" t="str">
        <f>'Reported burning'!F151</f>
        <v>Secondary Vegetation</v>
      </c>
      <c r="G151" s="6" t="str">
        <f>'Reported burning'!G151</f>
        <v>ND</v>
      </c>
      <c r="H151" s="6" t="str">
        <f>'Reported burning'!H151</f>
        <v>Presence</v>
      </c>
      <c r="I151" s="23"/>
      <c r="J151" s="21" t="s">
        <v>2367</v>
      </c>
      <c r="K151" s="103" t="s">
        <v>2276</v>
      </c>
      <c r="L151" s="21" t="s">
        <v>2276</v>
      </c>
      <c r="M151" s="21" t="s">
        <v>2276</v>
      </c>
      <c r="N151" s="21" t="s">
        <v>2276</v>
      </c>
      <c r="O151" s="21" t="s">
        <v>2276</v>
      </c>
      <c r="P151" s="21" t="s">
        <v>2276</v>
      </c>
      <c r="Q151" s="102" t="s">
        <v>2276</v>
      </c>
      <c r="R151" s="102" t="s">
        <v>2276</v>
      </c>
      <c r="S151" s="21" t="s">
        <v>2276</v>
      </c>
      <c r="T151" s="21" t="s">
        <v>2276</v>
      </c>
      <c r="U151" s="21" t="s">
        <v>2276</v>
      </c>
      <c r="V151" s="21" t="s">
        <v>2276</v>
      </c>
      <c r="W151" s="21" t="s">
        <v>2276</v>
      </c>
      <c r="X151" s="3" t="s">
        <v>2276</v>
      </c>
      <c r="Y151" s="3" t="s">
        <v>2276</v>
      </c>
      <c r="Z151" s="3" t="s">
        <v>2276</v>
      </c>
      <c r="AA151" s="3"/>
      <c r="AB151" s="4" t="s">
        <v>1378</v>
      </c>
    </row>
    <row r="152" spans="1:28" ht="77.5" customHeight="1">
      <c r="A152" s="6" t="str">
        <f>'Reported burning'!A152</f>
        <v>9b</v>
      </c>
      <c r="B152" s="6" t="str">
        <f>'Reported burning'!B152</f>
        <v>9b.1</v>
      </c>
      <c r="C152" s="6" t="str">
        <f>'Reported burning'!C152</f>
        <v>Human, deliberate</v>
      </c>
      <c r="D152" s="6" t="str">
        <f>'Reported burning'!D152</f>
        <v>Pasture renewal</v>
      </c>
      <c r="E152" s="6" t="str">
        <f>'Reported burning'!E152</f>
        <v>Cattle, Extensive</v>
      </c>
      <c r="F152" s="6" t="str">
        <f>'Reported burning'!F152</f>
        <v>Pasture</v>
      </c>
      <c r="G152" s="6" t="str">
        <f>'Reported burning'!G152</f>
        <v>ND</v>
      </c>
      <c r="H152" s="6" t="str">
        <f>'Reported burning'!H152</f>
        <v>Presence</v>
      </c>
      <c r="I152" s="3"/>
      <c r="J152" s="21" t="s">
        <v>2371</v>
      </c>
      <c r="K152" s="103" t="s">
        <v>2276</v>
      </c>
      <c r="L152" s="103" t="s">
        <v>2276</v>
      </c>
      <c r="M152" s="103" t="s">
        <v>2276</v>
      </c>
      <c r="N152" s="103" t="s">
        <v>2276</v>
      </c>
      <c r="O152" s="103" t="s">
        <v>2276</v>
      </c>
      <c r="P152" s="103" t="s">
        <v>2276</v>
      </c>
      <c r="Q152" s="103" t="s">
        <v>2276</v>
      </c>
      <c r="R152" s="103" t="s">
        <v>2276</v>
      </c>
      <c r="S152" s="103" t="s">
        <v>2276</v>
      </c>
      <c r="T152" s="103" t="s">
        <v>2276</v>
      </c>
      <c r="U152" s="103" t="s">
        <v>2276</v>
      </c>
      <c r="V152" s="103" t="s">
        <v>2276</v>
      </c>
      <c r="W152" s="103" t="s">
        <v>2276</v>
      </c>
      <c r="X152" s="103" t="s">
        <v>2276</v>
      </c>
      <c r="Y152" s="103" t="s">
        <v>2276</v>
      </c>
      <c r="Z152" s="103" t="s">
        <v>2276</v>
      </c>
      <c r="AA152" s="4" t="s">
        <v>1380</v>
      </c>
      <c r="AB152" s="4" t="s">
        <v>1379</v>
      </c>
    </row>
    <row r="153" spans="1:28" ht="77.5" customHeight="1">
      <c r="A153" s="6" t="str">
        <f>'Reported burning'!A153</f>
        <v>9b</v>
      </c>
      <c r="B153" s="6" t="str">
        <f>'Reported burning'!B153</f>
        <v>9b.2</v>
      </c>
      <c r="C153" s="6" t="str">
        <f>'Reported burning'!C153</f>
        <v>Human, deliberate</v>
      </c>
      <c r="D153" s="6" t="str">
        <f>'Reported burning'!D153</f>
        <v>Forest clearance</v>
      </c>
      <c r="E153" s="6" t="str">
        <f>'Reported burning'!E153</f>
        <v>Cattle, Extensive</v>
      </c>
      <c r="F153" s="6" t="str">
        <f>'Reported burning'!F153</f>
        <v>Pasture</v>
      </c>
      <c r="G153" s="6" t="str">
        <f>'Reported burning'!G153</f>
        <v>ND</v>
      </c>
      <c r="H153" s="6" t="str">
        <f>'Reported burning'!H153</f>
        <v>Presence</v>
      </c>
      <c r="I153" s="3"/>
      <c r="J153" s="103" t="s">
        <v>2276</v>
      </c>
      <c r="K153" s="103" t="s">
        <v>2276</v>
      </c>
      <c r="L153" s="103" t="s">
        <v>2276</v>
      </c>
      <c r="M153" s="103" t="s">
        <v>2276</v>
      </c>
      <c r="N153" s="103" t="s">
        <v>2276</v>
      </c>
      <c r="O153" s="103" t="s">
        <v>2276</v>
      </c>
      <c r="P153" s="103" t="s">
        <v>2276</v>
      </c>
      <c r="Q153" s="103" t="s">
        <v>2276</v>
      </c>
      <c r="R153" s="103" t="s">
        <v>2276</v>
      </c>
      <c r="S153" s="103" t="s">
        <v>2276</v>
      </c>
      <c r="T153" s="103" t="s">
        <v>2276</v>
      </c>
      <c r="U153" s="103" t="s">
        <v>2276</v>
      </c>
      <c r="V153" s="103" t="s">
        <v>2276</v>
      </c>
      <c r="W153" s="103" t="s">
        <v>2276</v>
      </c>
      <c r="X153" s="103" t="s">
        <v>2276</v>
      </c>
      <c r="Y153" s="103" t="s">
        <v>2276</v>
      </c>
      <c r="Z153" s="103" t="s">
        <v>2276</v>
      </c>
      <c r="AA153" s="4" t="s">
        <v>1380</v>
      </c>
      <c r="AB153" s="4" t="s">
        <v>1379</v>
      </c>
    </row>
    <row r="154" spans="1:28" ht="77.5" customHeight="1">
      <c r="A154" s="6" t="str">
        <f>'Reported burning'!A154</f>
        <v>9b</v>
      </c>
      <c r="B154" s="6" t="str">
        <f>'Reported burning'!B154</f>
        <v>9b.3</v>
      </c>
      <c r="C154" s="6" t="str">
        <f>'Reported burning'!C154</f>
        <v>Human, deliberate</v>
      </c>
      <c r="D154" s="6" t="str">
        <f>'Reported burning'!D154</f>
        <v>Forest clearance</v>
      </c>
      <c r="E154" s="6" t="str">
        <f>'Reported burning'!E154</f>
        <v>Cattle, Extensive</v>
      </c>
      <c r="F154" s="6" t="str">
        <f>'Reported burning'!F154</f>
        <v>Pasture</v>
      </c>
      <c r="G154" s="6" t="str">
        <f>'Reported burning'!G154</f>
        <v>ND</v>
      </c>
      <c r="H154" s="6" t="str">
        <f>'Reported burning'!H154</f>
        <v>Presence</v>
      </c>
      <c r="I154" s="3"/>
      <c r="J154" s="103" t="s">
        <v>2276</v>
      </c>
      <c r="K154" s="103" t="s">
        <v>2276</v>
      </c>
      <c r="L154" s="103" t="s">
        <v>2276</v>
      </c>
      <c r="M154" s="103" t="s">
        <v>2276</v>
      </c>
      <c r="N154" s="103" t="s">
        <v>2276</v>
      </c>
      <c r="O154" s="103" t="s">
        <v>2276</v>
      </c>
      <c r="P154" s="103" t="s">
        <v>2276</v>
      </c>
      <c r="Q154" s="103" t="s">
        <v>2276</v>
      </c>
      <c r="R154" s="103" t="s">
        <v>2276</v>
      </c>
      <c r="S154" s="103" t="s">
        <v>2276</v>
      </c>
      <c r="T154" s="103" t="s">
        <v>2276</v>
      </c>
      <c r="U154" s="103" t="s">
        <v>2276</v>
      </c>
      <c r="V154" s="103" t="s">
        <v>2276</v>
      </c>
      <c r="W154" s="103" t="s">
        <v>2276</v>
      </c>
      <c r="X154" s="103" t="s">
        <v>2276</v>
      </c>
      <c r="Y154" s="103" t="s">
        <v>2276</v>
      </c>
      <c r="Z154" s="103" t="s">
        <v>2276</v>
      </c>
      <c r="AA154" s="4" t="s">
        <v>1380</v>
      </c>
      <c r="AB154" s="4" t="s">
        <v>1379</v>
      </c>
    </row>
    <row r="155" spans="1:28" ht="77.5" customHeight="1">
      <c r="A155" s="6" t="str">
        <f>'Reported burning'!A155</f>
        <v>10a</v>
      </c>
      <c r="B155" s="6" t="str">
        <f>'Reported burning'!B155</f>
        <v>10a.1</v>
      </c>
      <c r="C155" s="6" t="str">
        <f>'Reported burning'!C155</f>
        <v>Human, deliberate</v>
      </c>
      <c r="D155" s="6" t="str">
        <f>'Reported burning'!D155</f>
        <v>Fishing</v>
      </c>
      <c r="E155" s="6" t="str">
        <f>'Reported burning'!E155</f>
        <v>Forestry, Traditional</v>
      </c>
      <c r="F155" s="6" t="str">
        <f>'Reported burning'!F155</f>
        <v>Forest</v>
      </c>
      <c r="G155" s="6" t="str">
        <f>'Reported burning'!G155</f>
        <v>ND</v>
      </c>
      <c r="H155" s="6" t="str">
        <f>'Reported burning'!H155</f>
        <v>Presence</v>
      </c>
      <c r="I155" s="3"/>
      <c r="J155" s="21" t="s">
        <v>2276</v>
      </c>
      <c r="K155" s="103" t="s">
        <v>2276</v>
      </c>
      <c r="L155" s="21" t="s">
        <v>2276</v>
      </c>
      <c r="M155" s="21" t="s">
        <v>2276</v>
      </c>
      <c r="N155" s="21" t="s">
        <v>2276</v>
      </c>
      <c r="O155" s="21" t="s">
        <v>2276</v>
      </c>
      <c r="P155" s="21" t="s">
        <v>2276</v>
      </c>
      <c r="Q155" s="102" t="s">
        <v>2276</v>
      </c>
      <c r="R155" s="102" t="s">
        <v>2276</v>
      </c>
      <c r="S155" s="21" t="s">
        <v>2276</v>
      </c>
      <c r="T155" s="21" t="s">
        <v>2276</v>
      </c>
      <c r="U155" s="21" t="s">
        <v>2276</v>
      </c>
      <c r="V155" s="21" t="s">
        <v>2276</v>
      </c>
      <c r="W155" s="21" t="s">
        <v>2276</v>
      </c>
      <c r="X155" s="3"/>
      <c r="Y155" s="3"/>
      <c r="Z155" s="3"/>
      <c r="AA155" s="4" t="s">
        <v>2303</v>
      </c>
      <c r="AB155" s="4"/>
    </row>
    <row r="156" spans="1:28" ht="77.5" customHeight="1">
      <c r="A156" s="6" t="str">
        <f>'Reported burning'!A156</f>
        <v>10a</v>
      </c>
      <c r="B156" s="6" t="str">
        <f>'Reported burning'!B156</f>
        <v>10a.2</v>
      </c>
      <c r="C156" s="6" t="str">
        <f>'Reported burning'!C156</f>
        <v>Human, deliberate</v>
      </c>
      <c r="D156" s="6" t="str">
        <f>'Reported burning'!D156</f>
        <v>Crop field preparation</v>
      </c>
      <c r="E156" s="6" t="str">
        <f>'Reported burning'!E156</f>
        <v>Cropping, Swidden</v>
      </c>
      <c r="F156" s="6" t="str">
        <f>'Reported burning'!F156</f>
        <v>Forest</v>
      </c>
      <c r="G156" s="6" t="str">
        <f>'Reported burning'!G156</f>
        <v>ND</v>
      </c>
      <c r="H156" s="6" t="str">
        <f>'Reported burning'!H156</f>
        <v>Presence</v>
      </c>
      <c r="I156" s="3"/>
      <c r="J156" s="21" t="s">
        <v>2276</v>
      </c>
      <c r="K156" s="103" t="s">
        <v>2276</v>
      </c>
      <c r="L156" s="21" t="s">
        <v>2276</v>
      </c>
      <c r="M156" s="21" t="s">
        <v>2276</v>
      </c>
      <c r="N156" s="21" t="s">
        <v>2276</v>
      </c>
      <c r="O156" s="21" t="s">
        <v>2276</v>
      </c>
      <c r="P156" s="21" t="s">
        <v>2276</v>
      </c>
      <c r="Q156" s="102" t="s">
        <v>2276</v>
      </c>
      <c r="R156" s="102" t="s">
        <v>2276</v>
      </c>
      <c r="S156" s="21" t="s">
        <v>2276</v>
      </c>
      <c r="T156" s="21" t="s">
        <v>2276</v>
      </c>
      <c r="U156" s="21" t="s">
        <v>2276</v>
      </c>
      <c r="V156" s="21" t="s">
        <v>2276</v>
      </c>
      <c r="W156" s="21" t="s">
        <v>2276</v>
      </c>
      <c r="X156" s="3"/>
      <c r="Y156" s="3"/>
      <c r="Z156" s="3"/>
      <c r="AA156" s="4" t="s">
        <v>2302</v>
      </c>
      <c r="AB156" s="4"/>
    </row>
    <row r="157" spans="1:28" ht="131" customHeight="1">
      <c r="A157" s="6" t="str">
        <f>'Reported burning'!A157</f>
        <v>11a</v>
      </c>
      <c r="B157" s="6" t="str">
        <f>'Reported burning'!B157</f>
        <v>11a.1</v>
      </c>
      <c r="C157" s="6" t="str">
        <f>'Reported burning'!C157</f>
        <v>Human, deliberate</v>
      </c>
      <c r="D157" s="6" t="str">
        <f>'Reported burning'!D157</f>
        <v>Forest clearance</v>
      </c>
      <c r="E157" s="6" t="str">
        <f>'Reported burning'!E157</f>
        <v>Cattle, Extensive</v>
      </c>
      <c r="F157" s="6" t="str">
        <f>'Reported burning'!F157</f>
        <v>Forest</v>
      </c>
      <c r="G157" s="6" t="str">
        <f>'Reported burning'!G157</f>
        <v>Forest</v>
      </c>
      <c r="H157" s="6" t="str">
        <f>'Reported burning'!H157</f>
        <v>Presence</v>
      </c>
      <c r="I157" s="11"/>
      <c r="J157" s="21" t="s">
        <v>2276</v>
      </c>
      <c r="K157" s="103" t="s">
        <v>2276</v>
      </c>
      <c r="L157" s="21" t="s">
        <v>2276</v>
      </c>
      <c r="M157" s="21" t="s">
        <v>2276</v>
      </c>
      <c r="N157" s="21" t="s">
        <v>2276</v>
      </c>
      <c r="O157" s="21" t="s">
        <v>2276</v>
      </c>
      <c r="P157" s="21" t="s">
        <v>2276</v>
      </c>
      <c r="Q157" s="102" t="s">
        <v>2276</v>
      </c>
      <c r="R157" s="102" t="s">
        <v>2276</v>
      </c>
      <c r="S157" s="21" t="s">
        <v>2276</v>
      </c>
      <c r="T157" s="21" t="s">
        <v>2276</v>
      </c>
      <c r="U157" s="21" t="s">
        <v>2276</v>
      </c>
      <c r="V157" s="21" t="s">
        <v>2276</v>
      </c>
      <c r="W157" s="21" t="s">
        <v>2276</v>
      </c>
      <c r="X157" s="3" t="s">
        <v>2276</v>
      </c>
      <c r="Y157" s="3" t="s">
        <v>2276</v>
      </c>
      <c r="Z157" s="3" t="s">
        <v>2276</v>
      </c>
      <c r="AA157" s="4" t="s">
        <v>1387</v>
      </c>
      <c r="AB157" s="4" t="s">
        <v>1389</v>
      </c>
    </row>
    <row r="158" spans="1:28" ht="138.5" customHeight="1">
      <c r="A158" s="6" t="str">
        <f>'Reported burning'!A158</f>
        <v>11a</v>
      </c>
      <c r="B158" s="6" t="str">
        <f>'Reported burning'!B158</f>
        <v>11a.2</v>
      </c>
      <c r="C158" s="6" t="str">
        <f>'Reported burning'!C158</f>
        <v>Human, deliberate</v>
      </c>
      <c r="D158" s="6" t="str">
        <f>'Reported burning'!D158</f>
        <v>Pasture renewal</v>
      </c>
      <c r="E158" s="6" t="str">
        <f>'Reported burning'!E158</f>
        <v>Cattle, Extensive</v>
      </c>
      <c r="F158" s="6" t="str">
        <f>'Reported burning'!F158</f>
        <v>Pasture</v>
      </c>
      <c r="G158" s="6" t="str">
        <f>'Reported burning'!G158</f>
        <v>Pasture</v>
      </c>
      <c r="H158" s="6" t="str">
        <f>'Reported burning'!H158</f>
        <v>Presence</v>
      </c>
      <c r="I158" s="11"/>
      <c r="J158" s="21" t="s">
        <v>2276</v>
      </c>
      <c r="K158" s="103" t="s">
        <v>2276</v>
      </c>
      <c r="L158" s="21" t="s">
        <v>2276</v>
      </c>
      <c r="M158" s="21" t="s">
        <v>2276</v>
      </c>
      <c r="N158" s="21" t="s">
        <v>2276</v>
      </c>
      <c r="O158" s="21" t="s">
        <v>2276</v>
      </c>
      <c r="P158" s="21" t="s">
        <v>2276</v>
      </c>
      <c r="Q158" s="102" t="s">
        <v>2276</v>
      </c>
      <c r="R158" s="102" t="s">
        <v>2276</v>
      </c>
      <c r="S158" s="21" t="s">
        <v>2276</v>
      </c>
      <c r="T158" s="21" t="s">
        <v>2276</v>
      </c>
      <c r="U158" s="21" t="s">
        <v>2276</v>
      </c>
      <c r="V158" s="21" t="s">
        <v>2276</v>
      </c>
      <c r="W158" s="21" t="s">
        <v>2276</v>
      </c>
      <c r="X158" s="3" t="s">
        <v>2276</v>
      </c>
      <c r="Y158" s="3" t="s">
        <v>2276</v>
      </c>
      <c r="Z158" s="3" t="s">
        <v>2276</v>
      </c>
      <c r="AA158" s="3"/>
      <c r="AB158" s="4" t="s">
        <v>156</v>
      </c>
    </row>
    <row r="159" spans="1:28" ht="132.5" customHeight="1">
      <c r="A159" s="6" t="str">
        <f>'Reported burning'!A159</f>
        <v>11a</v>
      </c>
      <c r="B159" s="6" t="str">
        <f>'Reported burning'!B159</f>
        <v>11a.3</v>
      </c>
      <c r="C159" s="6" t="str">
        <f>'Reported burning'!C159</f>
        <v>Human, deliberate</v>
      </c>
      <c r="D159" s="6" t="str">
        <f>'Reported burning'!D159</f>
        <v>Crop field preparation</v>
      </c>
      <c r="E159" s="6" t="str">
        <f>'Reported burning'!E159</f>
        <v>Cropping, Swidden</v>
      </c>
      <c r="F159" s="6" t="str">
        <f>'Reported burning'!F159</f>
        <v>Secondary Vegetation</v>
      </c>
      <c r="G159" s="6" t="str">
        <f>'Reported burning'!G159</f>
        <v>ND</v>
      </c>
      <c r="H159" s="6" t="str">
        <f>'Reported burning'!H159</f>
        <v>Presence</v>
      </c>
      <c r="I159" s="26"/>
      <c r="J159" s="21" t="s">
        <v>2276</v>
      </c>
      <c r="K159" s="103" t="s">
        <v>2276</v>
      </c>
      <c r="L159" s="21" t="s">
        <v>2276</v>
      </c>
      <c r="M159" s="21" t="s">
        <v>2276</v>
      </c>
      <c r="N159" s="21" t="s">
        <v>2276</v>
      </c>
      <c r="O159" s="21" t="s">
        <v>2276</v>
      </c>
      <c r="P159" s="21" t="s">
        <v>2276</v>
      </c>
      <c r="Q159" s="102" t="s">
        <v>2276</v>
      </c>
      <c r="R159" s="102" t="s">
        <v>2276</v>
      </c>
      <c r="S159" s="21" t="s">
        <v>2276</v>
      </c>
      <c r="T159" s="21" t="s">
        <v>2276</v>
      </c>
      <c r="U159" s="21" t="s">
        <v>2276</v>
      </c>
      <c r="V159" s="21" t="s">
        <v>2276</v>
      </c>
      <c r="W159" s="21" t="s">
        <v>2276</v>
      </c>
      <c r="X159" s="3" t="s">
        <v>2276</v>
      </c>
      <c r="Y159" s="3" t="s">
        <v>2276</v>
      </c>
      <c r="Z159" s="3" t="s">
        <v>2276</v>
      </c>
      <c r="AA159" s="3"/>
      <c r="AB159" s="4" t="s">
        <v>156</v>
      </c>
    </row>
    <row r="160" spans="1:28" ht="150.5" customHeight="1">
      <c r="A160" s="6" t="str">
        <f>'Reported burning'!A160</f>
        <v>12a</v>
      </c>
      <c r="B160" s="6" t="str">
        <f>'Reported burning'!B160</f>
        <v>12a.1</v>
      </c>
      <c r="C160" s="6" t="str">
        <f>'Reported burning'!C160</f>
        <v>Human, deliberate</v>
      </c>
      <c r="D160" s="6" t="str">
        <f>'Reported burning'!D160</f>
        <v>Forest clearance</v>
      </c>
      <c r="E160" s="6" t="str">
        <f>'Reported burning'!E160</f>
        <v>Cropping, Intensive</v>
      </c>
      <c r="F160" s="6" t="str">
        <f>'Reported burning'!F160</f>
        <v>Forest</v>
      </c>
      <c r="G160" s="6" t="str">
        <f>'Reported burning'!G160</f>
        <v>Forest</v>
      </c>
      <c r="H160" s="6" t="str">
        <f>'Reported burning'!H160</f>
        <v>Presence</v>
      </c>
      <c r="I160" s="3">
        <v>2002</v>
      </c>
      <c r="J160" s="21" t="s">
        <v>2276</v>
      </c>
      <c r="K160" s="103" t="s">
        <v>2276</v>
      </c>
      <c r="L160" s="21" t="s">
        <v>2276</v>
      </c>
      <c r="M160" s="21" t="s">
        <v>2276</v>
      </c>
      <c r="N160" s="21" t="s">
        <v>2276</v>
      </c>
      <c r="O160" s="21" t="s">
        <v>2276</v>
      </c>
      <c r="P160" s="21" t="s">
        <v>2380</v>
      </c>
      <c r="Q160" s="102" t="s">
        <v>2276</v>
      </c>
      <c r="R160" s="102" t="s">
        <v>2276</v>
      </c>
      <c r="S160" s="21" t="s">
        <v>2276</v>
      </c>
      <c r="T160" s="21" t="s">
        <v>2276</v>
      </c>
      <c r="U160" s="21" t="s">
        <v>2276</v>
      </c>
      <c r="V160" s="21" t="s">
        <v>2276</v>
      </c>
      <c r="W160" s="21" t="s">
        <v>2276</v>
      </c>
      <c r="X160" s="3" t="s">
        <v>2276</v>
      </c>
      <c r="Y160" s="3" t="s">
        <v>2276</v>
      </c>
      <c r="Z160" s="3" t="s">
        <v>2276</v>
      </c>
      <c r="AA160" s="4" t="s">
        <v>1398</v>
      </c>
      <c r="AB160" s="4" t="s">
        <v>1443</v>
      </c>
    </row>
    <row r="161" spans="1:28" ht="151.5" customHeight="1">
      <c r="A161" s="6" t="str">
        <f>'Reported burning'!A161</f>
        <v>12a</v>
      </c>
      <c r="B161" s="6" t="str">
        <f>'Reported burning'!B161</f>
        <v>12a.2</v>
      </c>
      <c r="C161" s="6" t="str">
        <f>'Reported burning'!C161</f>
        <v>Human, deliberate</v>
      </c>
      <c r="D161" s="6" t="str">
        <f>'Reported burning'!D161</f>
        <v>Forest clearance</v>
      </c>
      <c r="E161" s="6" t="str">
        <f>'Reported burning'!E161</f>
        <v>Cropping, Intensive</v>
      </c>
      <c r="F161" s="6" t="str">
        <f>'Reported burning'!F161</f>
        <v>Forest</v>
      </c>
      <c r="G161" s="6" t="str">
        <f>'Reported burning'!G161</f>
        <v>Forest</v>
      </c>
      <c r="H161" s="6" t="str">
        <f>'Reported burning'!H161</f>
        <v>Presence</v>
      </c>
      <c r="I161" s="3">
        <v>2003</v>
      </c>
      <c r="J161" s="21" t="s">
        <v>2276</v>
      </c>
      <c r="K161" s="103" t="s">
        <v>2276</v>
      </c>
      <c r="L161" s="21" t="s">
        <v>2276</v>
      </c>
      <c r="M161" s="21" t="s">
        <v>2276</v>
      </c>
      <c r="N161" s="21" t="s">
        <v>2276</v>
      </c>
      <c r="O161" s="21" t="s">
        <v>2276</v>
      </c>
      <c r="P161" s="21" t="s">
        <v>2380</v>
      </c>
      <c r="Q161" s="102" t="s">
        <v>2276</v>
      </c>
      <c r="R161" s="102" t="s">
        <v>2276</v>
      </c>
      <c r="S161" s="21" t="s">
        <v>2276</v>
      </c>
      <c r="T161" s="21" t="s">
        <v>2276</v>
      </c>
      <c r="U161" s="21" t="s">
        <v>2276</v>
      </c>
      <c r="V161" s="21" t="s">
        <v>2276</v>
      </c>
      <c r="W161" s="21" t="s">
        <v>2276</v>
      </c>
      <c r="X161" s="3" t="s">
        <v>2276</v>
      </c>
      <c r="Y161" s="3" t="s">
        <v>2276</v>
      </c>
      <c r="Z161" s="3" t="s">
        <v>2276</v>
      </c>
      <c r="AA161" s="4" t="s">
        <v>1398</v>
      </c>
      <c r="AB161" s="4" t="s">
        <v>1443</v>
      </c>
    </row>
    <row r="162" spans="1:28" ht="137.5" customHeight="1">
      <c r="A162" s="6" t="str">
        <f>'Reported burning'!A162</f>
        <v>12a</v>
      </c>
      <c r="B162" s="6" t="str">
        <f>'Reported burning'!B162</f>
        <v>12a.3</v>
      </c>
      <c r="C162" s="6" t="str">
        <f>'Reported burning'!C162</f>
        <v>Human, deliberate</v>
      </c>
      <c r="D162" s="6" t="str">
        <f>'Reported burning'!D162</f>
        <v>Forest clearance</v>
      </c>
      <c r="E162" s="6" t="str">
        <f>'Reported burning'!E162</f>
        <v>Cropping, Intensive</v>
      </c>
      <c r="F162" s="6" t="str">
        <f>'Reported burning'!F162</f>
        <v>Forest</v>
      </c>
      <c r="G162" s="6" t="str">
        <f>'Reported burning'!G162</f>
        <v>Forest</v>
      </c>
      <c r="H162" s="6" t="str">
        <f>'Reported burning'!H162</f>
        <v>Presence</v>
      </c>
      <c r="I162" s="3">
        <v>2004</v>
      </c>
      <c r="J162" s="21" t="s">
        <v>2276</v>
      </c>
      <c r="K162" s="103" t="s">
        <v>2276</v>
      </c>
      <c r="L162" s="21" t="s">
        <v>2276</v>
      </c>
      <c r="M162" s="21" t="s">
        <v>2276</v>
      </c>
      <c r="N162" s="21" t="s">
        <v>2276</v>
      </c>
      <c r="O162" s="21" t="s">
        <v>2276</v>
      </c>
      <c r="P162" s="21" t="s">
        <v>2380</v>
      </c>
      <c r="Q162" s="102" t="s">
        <v>2276</v>
      </c>
      <c r="R162" s="102" t="s">
        <v>2276</v>
      </c>
      <c r="S162" s="21" t="s">
        <v>2276</v>
      </c>
      <c r="T162" s="21" t="s">
        <v>2276</v>
      </c>
      <c r="U162" s="21" t="s">
        <v>2276</v>
      </c>
      <c r="V162" s="21" t="s">
        <v>2276</v>
      </c>
      <c r="W162" s="21" t="s">
        <v>2276</v>
      </c>
      <c r="X162" s="3" t="s">
        <v>2276</v>
      </c>
      <c r="Y162" s="3" t="s">
        <v>2276</v>
      </c>
      <c r="Z162" s="3" t="s">
        <v>2276</v>
      </c>
      <c r="AA162" s="4" t="s">
        <v>1398</v>
      </c>
      <c r="AB162" s="4" t="s">
        <v>1443</v>
      </c>
    </row>
    <row r="163" spans="1:28" ht="124" customHeight="1">
      <c r="A163" s="6" t="str">
        <f>'Reported burning'!A163</f>
        <v>12a</v>
      </c>
      <c r="B163" s="6" t="str">
        <f>'Reported burning'!B163</f>
        <v>12a.4</v>
      </c>
      <c r="C163" s="6" t="str">
        <f>'Reported burning'!C163</f>
        <v>Human, deliberate</v>
      </c>
      <c r="D163" s="6" t="str">
        <f>'Reported burning'!D163</f>
        <v>Forest clearance</v>
      </c>
      <c r="E163" s="6" t="str">
        <f>'Reported burning'!E163</f>
        <v>Cropping, Intensive</v>
      </c>
      <c r="F163" s="6" t="str">
        <f>'Reported burning'!F163</f>
        <v>Forest</v>
      </c>
      <c r="G163" s="6" t="str">
        <f>'Reported burning'!G163</f>
        <v>Forest</v>
      </c>
      <c r="H163" s="6" t="str">
        <f>'Reported burning'!H163</f>
        <v>Presence</v>
      </c>
      <c r="I163" s="3">
        <v>2005</v>
      </c>
      <c r="J163" s="21" t="s">
        <v>2276</v>
      </c>
      <c r="K163" s="103" t="s">
        <v>2276</v>
      </c>
      <c r="L163" s="21" t="s">
        <v>2276</v>
      </c>
      <c r="M163" s="21" t="s">
        <v>2276</v>
      </c>
      <c r="N163" s="21" t="s">
        <v>2276</v>
      </c>
      <c r="O163" s="21" t="s">
        <v>2276</v>
      </c>
      <c r="P163" s="21" t="s">
        <v>2380</v>
      </c>
      <c r="Q163" s="102" t="s">
        <v>2276</v>
      </c>
      <c r="R163" s="102" t="s">
        <v>2276</v>
      </c>
      <c r="S163" s="21" t="s">
        <v>2276</v>
      </c>
      <c r="T163" s="21" t="s">
        <v>2276</v>
      </c>
      <c r="U163" s="21" t="s">
        <v>2276</v>
      </c>
      <c r="V163" s="21" t="s">
        <v>2276</v>
      </c>
      <c r="W163" s="21" t="s">
        <v>2276</v>
      </c>
      <c r="X163" s="3" t="s">
        <v>2276</v>
      </c>
      <c r="Y163" s="3" t="s">
        <v>2276</v>
      </c>
      <c r="Z163" s="3" t="s">
        <v>2276</v>
      </c>
      <c r="AA163" s="4" t="s">
        <v>1398</v>
      </c>
      <c r="AB163" s="4" t="s">
        <v>1443</v>
      </c>
    </row>
    <row r="164" spans="1:28" ht="135" customHeight="1">
      <c r="A164" s="6" t="str">
        <f>'Reported burning'!A164</f>
        <v>12a</v>
      </c>
      <c r="B164" s="6" t="str">
        <f>'Reported burning'!B164</f>
        <v>12a.5</v>
      </c>
      <c r="C164" s="6" t="str">
        <f>'Reported burning'!C164</f>
        <v>Human, deliberate</v>
      </c>
      <c r="D164" s="6" t="str">
        <f>'Reported burning'!D164</f>
        <v>Forest clearance</v>
      </c>
      <c r="E164" s="6" t="str">
        <f>'Reported burning'!E164</f>
        <v>Cropping, Intensive</v>
      </c>
      <c r="F164" s="6" t="str">
        <f>'Reported burning'!F164</f>
        <v>Forest</v>
      </c>
      <c r="G164" s="6" t="str">
        <f>'Reported burning'!G164</f>
        <v>Forest</v>
      </c>
      <c r="H164" s="6" t="str">
        <f>'Reported burning'!H164</f>
        <v>Presence</v>
      </c>
      <c r="I164" s="3">
        <v>2006</v>
      </c>
      <c r="J164" s="21" t="s">
        <v>2276</v>
      </c>
      <c r="K164" s="103" t="s">
        <v>2276</v>
      </c>
      <c r="L164" s="21" t="s">
        <v>2276</v>
      </c>
      <c r="M164" s="21" t="s">
        <v>2276</v>
      </c>
      <c r="N164" s="21" t="s">
        <v>2276</v>
      </c>
      <c r="O164" s="21" t="s">
        <v>2276</v>
      </c>
      <c r="P164" s="21" t="s">
        <v>2379</v>
      </c>
      <c r="Q164" s="102" t="s">
        <v>2276</v>
      </c>
      <c r="R164" s="102" t="s">
        <v>2276</v>
      </c>
      <c r="S164" s="21" t="s">
        <v>2276</v>
      </c>
      <c r="T164" s="21" t="s">
        <v>2276</v>
      </c>
      <c r="U164" s="21" t="s">
        <v>2276</v>
      </c>
      <c r="V164" s="21" t="s">
        <v>2276</v>
      </c>
      <c r="W164" s="21" t="s">
        <v>2276</v>
      </c>
      <c r="X164" s="3" t="s">
        <v>2276</v>
      </c>
      <c r="Y164" s="3" t="s">
        <v>2276</v>
      </c>
      <c r="Z164" s="3" t="s">
        <v>2276</v>
      </c>
      <c r="AA164" s="4" t="s">
        <v>1398</v>
      </c>
      <c r="AB164" s="4" t="s">
        <v>1443</v>
      </c>
    </row>
    <row r="165" spans="1:28" ht="147.5" customHeight="1">
      <c r="A165" s="6" t="str">
        <f>'Reported burning'!A165</f>
        <v>12a</v>
      </c>
      <c r="B165" s="6" t="str">
        <f>'Reported burning'!B165</f>
        <v>12a.6</v>
      </c>
      <c r="C165" s="6" t="str">
        <f>'Reported burning'!C165</f>
        <v>Human, deliberate</v>
      </c>
      <c r="D165" s="6" t="str">
        <f>'Reported burning'!D165</f>
        <v>Forest clearance</v>
      </c>
      <c r="E165" s="6" t="str">
        <f>'Reported burning'!E165</f>
        <v>Cropping, Intensive</v>
      </c>
      <c r="F165" s="6" t="str">
        <f>'Reported burning'!F165</f>
        <v>Forest</v>
      </c>
      <c r="G165" s="6" t="str">
        <f>'Reported burning'!G165</f>
        <v>Forest</v>
      </c>
      <c r="H165" s="6" t="str">
        <f>'Reported burning'!H165</f>
        <v>Presence</v>
      </c>
      <c r="I165" s="3">
        <v>2007</v>
      </c>
      <c r="J165" s="21" t="s">
        <v>2276</v>
      </c>
      <c r="K165" s="103" t="s">
        <v>2276</v>
      </c>
      <c r="L165" s="21" t="s">
        <v>2276</v>
      </c>
      <c r="M165" s="21" t="s">
        <v>2276</v>
      </c>
      <c r="N165" s="21" t="s">
        <v>2276</v>
      </c>
      <c r="O165" s="21" t="s">
        <v>2276</v>
      </c>
      <c r="P165" s="21" t="s">
        <v>2379</v>
      </c>
      <c r="Q165" s="102" t="s">
        <v>2276</v>
      </c>
      <c r="R165" s="102" t="s">
        <v>2276</v>
      </c>
      <c r="S165" s="21" t="s">
        <v>2276</v>
      </c>
      <c r="T165" s="21" t="s">
        <v>2276</v>
      </c>
      <c r="U165" s="21" t="s">
        <v>2276</v>
      </c>
      <c r="V165" s="21" t="s">
        <v>2276</v>
      </c>
      <c r="W165" s="21" t="s">
        <v>2276</v>
      </c>
      <c r="X165" s="3" t="s">
        <v>2276</v>
      </c>
      <c r="Y165" s="3" t="s">
        <v>2276</v>
      </c>
      <c r="Z165" s="3" t="s">
        <v>2276</v>
      </c>
      <c r="AA165" s="4" t="s">
        <v>1398</v>
      </c>
      <c r="AB165" s="4" t="s">
        <v>1443</v>
      </c>
    </row>
    <row r="166" spans="1:28" ht="139" customHeight="1">
      <c r="A166" s="6" t="str">
        <f>'Reported burning'!A166</f>
        <v>12a</v>
      </c>
      <c r="B166" s="6" t="str">
        <f>'Reported burning'!B166</f>
        <v>12a.7</v>
      </c>
      <c r="C166" s="6" t="str">
        <f>'Reported burning'!C166</f>
        <v>Human, deliberate</v>
      </c>
      <c r="D166" s="6" t="str">
        <f>'Reported burning'!D166</f>
        <v>Forest clearance</v>
      </c>
      <c r="E166" s="6" t="str">
        <f>'Reported burning'!E166</f>
        <v>Cropping, Intensive</v>
      </c>
      <c r="F166" s="6" t="str">
        <f>'Reported burning'!F166</f>
        <v>Forest</v>
      </c>
      <c r="G166" s="6" t="str">
        <f>'Reported burning'!G166</f>
        <v>Forest</v>
      </c>
      <c r="H166" s="6" t="str">
        <f>'Reported burning'!H166</f>
        <v>Presence</v>
      </c>
      <c r="I166" s="3">
        <v>2008</v>
      </c>
      <c r="J166" s="21" t="s">
        <v>2276</v>
      </c>
      <c r="K166" s="103" t="s">
        <v>2276</v>
      </c>
      <c r="L166" s="21" t="s">
        <v>2276</v>
      </c>
      <c r="M166" s="21" t="s">
        <v>2276</v>
      </c>
      <c r="N166" s="21" t="s">
        <v>2276</v>
      </c>
      <c r="O166" s="21" t="s">
        <v>2276</v>
      </c>
      <c r="P166" s="21" t="s">
        <v>2379</v>
      </c>
      <c r="Q166" s="102" t="s">
        <v>2276</v>
      </c>
      <c r="R166" s="102" t="s">
        <v>2276</v>
      </c>
      <c r="S166" s="21" t="s">
        <v>2276</v>
      </c>
      <c r="T166" s="21" t="s">
        <v>2276</v>
      </c>
      <c r="U166" s="21" t="s">
        <v>2276</v>
      </c>
      <c r="V166" s="21" t="s">
        <v>2276</v>
      </c>
      <c r="W166" s="21" t="s">
        <v>2276</v>
      </c>
      <c r="X166" s="3" t="s">
        <v>2276</v>
      </c>
      <c r="Y166" s="3" t="s">
        <v>2276</v>
      </c>
      <c r="Z166" s="3" t="s">
        <v>2276</v>
      </c>
      <c r="AA166" s="4" t="s">
        <v>1398</v>
      </c>
      <c r="AB166" s="4" t="s">
        <v>1443</v>
      </c>
    </row>
    <row r="167" spans="1:28" ht="155" customHeight="1">
      <c r="A167" s="6" t="str">
        <f>'Reported burning'!A167</f>
        <v>12a</v>
      </c>
      <c r="B167" s="6" t="str">
        <f>'Reported burning'!B167</f>
        <v>12a.8</v>
      </c>
      <c r="C167" s="6" t="str">
        <f>'Reported burning'!C167</f>
        <v>Human, deliberate</v>
      </c>
      <c r="D167" s="6" t="str">
        <f>'Reported burning'!D167</f>
        <v>Forest clearance</v>
      </c>
      <c r="E167" s="6" t="str">
        <f>'Reported burning'!E167</f>
        <v>Cropping, Intensive</v>
      </c>
      <c r="F167" s="6" t="str">
        <f>'Reported burning'!F167</f>
        <v>Forest</v>
      </c>
      <c r="G167" s="6" t="str">
        <f>'Reported burning'!G167</f>
        <v>Forest</v>
      </c>
      <c r="H167" s="6" t="str">
        <f>'Reported burning'!H167</f>
        <v>Presence</v>
      </c>
      <c r="I167" s="3">
        <v>2009</v>
      </c>
      <c r="J167" s="21" t="s">
        <v>2276</v>
      </c>
      <c r="K167" s="103" t="s">
        <v>2276</v>
      </c>
      <c r="L167" s="21" t="s">
        <v>2276</v>
      </c>
      <c r="M167" s="21" t="s">
        <v>2276</v>
      </c>
      <c r="N167" s="21" t="s">
        <v>2276</v>
      </c>
      <c r="O167" s="21" t="s">
        <v>2276</v>
      </c>
      <c r="P167" s="21" t="s">
        <v>2378</v>
      </c>
      <c r="Q167" s="102" t="s">
        <v>2276</v>
      </c>
      <c r="R167" s="102" t="s">
        <v>2276</v>
      </c>
      <c r="S167" s="21" t="s">
        <v>2276</v>
      </c>
      <c r="T167" s="21" t="s">
        <v>2276</v>
      </c>
      <c r="U167" s="21" t="s">
        <v>2276</v>
      </c>
      <c r="V167" s="21" t="s">
        <v>2276</v>
      </c>
      <c r="W167" s="21" t="s">
        <v>2276</v>
      </c>
      <c r="X167" s="3" t="s">
        <v>2276</v>
      </c>
      <c r="Y167" s="3" t="s">
        <v>2276</v>
      </c>
      <c r="Z167" s="3" t="s">
        <v>2276</v>
      </c>
      <c r="AA167" s="4" t="s">
        <v>1398</v>
      </c>
      <c r="AB167" s="4" t="s">
        <v>1443</v>
      </c>
    </row>
    <row r="168" spans="1:28" ht="146.5" customHeight="1">
      <c r="A168" s="6" t="str">
        <f>'Reported burning'!A168</f>
        <v>12a</v>
      </c>
      <c r="B168" s="6" t="str">
        <f>'Reported burning'!B168</f>
        <v>12a.9</v>
      </c>
      <c r="C168" s="6" t="str">
        <f>'Reported burning'!C168</f>
        <v>Human, deliberate</v>
      </c>
      <c r="D168" s="6" t="str">
        <f>'Reported burning'!D168</f>
        <v>Forest clearance</v>
      </c>
      <c r="E168" s="6" t="str">
        <f>'Reported burning'!E168</f>
        <v>Cropping, Intensive</v>
      </c>
      <c r="F168" s="6" t="str">
        <f>'Reported burning'!F168</f>
        <v>Forest</v>
      </c>
      <c r="G168" s="6" t="str">
        <f>'Reported burning'!G168</f>
        <v>Forest</v>
      </c>
      <c r="H168" s="6" t="str">
        <f>'Reported burning'!H168</f>
        <v>Presence</v>
      </c>
      <c r="I168" s="3">
        <v>2010</v>
      </c>
      <c r="J168" s="21" t="s">
        <v>2276</v>
      </c>
      <c r="K168" s="103" t="s">
        <v>2276</v>
      </c>
      <c r="L168" s="21" t="s">
        <v>2276</v>
      </c>
      <c r="M168" s="21" t="s">
        <v>2276</v>
      </c>
      <c r="N168" s="21" t="s">
        <v>2276</v>
      </c>
      <c r="O168" s="21" t="s">
        <v>2276</v>
      </c>
      <c r="P168" s="21" t="s">
        <v>2379</v>
      </c>
      <c r="Q168" s="102" t="s">
        <v>2276</v>
      </c>
      <c r="R168" s="102" t="s">
        <v>2276</v>
      </c>
      <c r="S168" s="21" t="s">
        <v>2276</v>
      </c>
      <c r="T168" s="21" t="s">
        <v>2276</v>
      </c>
      <c r="U168" s="21" t="s">
        <v>2276</v>
      </c>
      <c r="V168" s="21" t="s">
        <v>2276</v>
      </c>
      <c r="W168" s="21" t="s">
        <v>2276</v>
      </c>
      <c r="X168" s="3" t="s">
        <v>2276</v>
      </c>
      <c r="Y168" s="3" t="s">
        <v>2276</v>
      </c>
      <c r="Z168" s="3" t="s">
        <v>2276</v>
      </c>
      <c r="AA168" s="4" t="s">
        <v>1398</v>
      </c>
      <c r="AB168" s="4" t="s">
        <v>1443</v>
      </c>
    </row>
    <row r="169" spans="1:28" ht="147.5" customHeight="1">
      <c r="A169" s="6" t="str">
        <f>'Reported burning'!A169</f>
        <v>12a</v>
      </c>
      <c r="B169" s="6" t="str">
        <f>'Reported burning'!B169</f>
        <v>12a.10</v>
      </c>
      <c r="C169" s="6" t="str">
        <f>'Reported burning'!C169</f>
        <v>Human, deliberate</v>
      </c>
      <c r="D169" s="6" t="str">
        <f>'Reported burning'!D169</f>
        <v>Forest clearance</v>
      </c>
      <c r="E169" s="6" t="str">
        <f>'Reported burning'!E169</f>
        <v>Cropping, Intensive</v>
      </c>
      <c r="F169" s="6" t="str">
        <f>'Reported burning'!F169</f>
        <v>Forest</v>
      </c>
      <c r="G169" s="6" t="str">
        <f>'Reported burning'!G169</f>
        <v>Forest</v>
      </c>
      <c r="H169" s="6" t="str">
        <f>'Reported burning'!H169</f>
        <v>Presence</v>
      </c>
      <c r="I169" s="3">
        <v>2011</v>
      </c>
      <c r="J169" s="21" t="s">
        <v>2276</v>
      </c>
      <c r="K169" s="103" t="s">
        <v>2276</v>
      </c>
      <c r="L169" s="21" t="s">
        <v>2276</v>
      </c>
      <c r="M169" s="21" t="s">
        <v>2276</v>
      </c>
      <c r="N169" s="21" t="s">
        <v>2276</v>
      </c>
      <c r="O169" s="21" t="s">
        <v>2276</v>
      </c>
      <c r="P169" s="21" t="s">
        <v>2379</v>
      </c>
      <c r="Q169" s="102" t="s">
        <v>2276</v>
      </c>
      <c r="R169" s="102" t="s">
        <v>2276</v>
      </c>
      <c r="S169" s="21" t="s">
        <v>2276</v>
      </c>
      <c r="T169" s="21" t="s">
        <v>2276</v>
      </c>
      <c r="U169" s="21" t="s">
        <v>2276</v>
      </c>
      <c r="V169" s="21" t="s">
        <v>2276</v>
      </c>
      <c r="W169" s="21" t="s">
        <v>2276</v>
      </c>
      <c r="X169" s="3" t="s">
        <v>2276</v>
      </c>
      <c r="Y169" s="3" t="s">
        <v>2276</v>
      </c>
      <c r="Z169" s="3" t="s">
        <v>2276</v>
      </c>
      <c r="AA169" s="4" t="s">
        <v>1398</v>
      </c>
      <c r="AB169" s="4" t="s">
        <v>1443</v>
      </c>
    </row>
    <row r="170" spans="1:28" ht="155.5" customHeight="1">
      <c r="A170" s="6" t="str">
        <f>'Reported burning'!A170</f>
        <v>12a</v>
      </c>
      <c r="B170" s="6" t="str">
        <f>'Reported burning'!B170</f>
        <v>12a.11</v>
      </c>
      <c r="C170" s="6" t="str">
        <f>'Reported burning'!C170</f>
        <v>Human, deliberate</v>
      </c>
      <c r="D170" s="6" t="str">
        <f>'Reported burning'!D170</f>
        <v>Forest clearance</v>
      </c>
      <c r="E170" s="6" t="str">
        <f>'Reported burning'!E170</f>
        <v>Cropping, Intensive</v>
      </c>
      <c r="F170" s="6" t="str">
        <f>'Reported burning'!F170</f>
        <v>Forest</v>
      </c>
      <c r="G170" s="6" t="str">
        <f>'Reported burning'!G170</f>
        <v>Forest</v>
      </c>
      <c r="H170" s="6" t="str">
        <f>'Reported burning'!H170</f>
        <v>Presence</v>
      </c>
      <c r="I170" s="3">
        <v>2012</v>
      </c>
      <c r="J170" s="21" t="s">
        <v>2276</v>
      </c>
      <c r="K170" s="103" t="s">
        <v>2276</v>
      </c>
      <c r="L170" s="21" t="s">
        <v>2276</v>
      </c>
      <c r="M170" s="21" t="s">
        <v>2276</v>
      </c>
      <c r="N170" s="21" t="s">
        <v>2276</v>
      </c>
      <c r="O170" s="21" t="s">
        <v>2276</v>
      </c>
      <c r="P170" s="21" t="s">
        <v>2378</v>
      </c>
      <c r="Q170" s="102" t="s">
        <v>2276</v>
      </c>
      <c r="R170" s="102" t="s">
        <v>2276</v>
      </c>
      <c r="S170" s="21" t="s">
        <v>2276</v>
      </c>
      <c r="T170" s="21" t="s">
        <v>2276</v>
      </c>
      <c r="U170" s="21" t="s">
        <v>2276</v>
      </c>
      <c r="V170" s="21" t="s">
        <v>2276</v>
      </c>
      <c r="W170" s="21" t="s">
        <v>2276</v>
      </c>
      <c r="X170" s="3" t="s">
        <v>2276</v>
      </c>
      <c r="Y170" s="3" t="s">
        <v>2276</v>
      </c>
      <c r="Z170" s="3" t="s">
        <v>2276</v>
      </c>
      <c r="AA170" s="4" t="s">
        <v>1398</v>
      </c>
      <c r="AB170" s="4" t="s">
        <v>1443</v>
      </c>
    </row>
    <row r="171" spans="1:28" ht="80" customHeight="1">
      <c r="A171" s="6" t="str">
        <f>'Reported burning'!A171</f>
        <v>12a</v>
      </c>
      <c r="B171" s="6" t="str">
        <f>'Reported burning'!B171</f>
        <v>12a.12</v>
      </c>
      <c r="C171" s="6" t="str">
        <f>'Reported burning'!C171</f>
        <v>Human, deliberate</v>
      </c>
      <c r="D171" s="6" t="str">
        <f>'Reported burning'!D171</f>
        <v>Forest clearance</v>
      </c>
      <c r="E171" s="6" t="str">
        <f>'Reported burning'!E171</f>
        <v>Cropping, Monoculture, Market-oriented</v>
      </c>
      <c r="F171" s="6" t="str">
        <f>'Reported burning'!F171</f>
        <v>Forest</v>
      </c>
      <c r="G171" s="6" t="str">
        <f>'Reported burning'!G171</f>
        <v>Forest</v>
      </c>
      <c r="H171" s="6" t="str">
        <f>'Reported burning'!H171</f>
        <v>Presence</v>
      </c>
      <c r="I171" s="3">
        <v>2002</v>
      </c>
      <c r="J171" s="21" t="s">
        <v>2276</v>
      </c>
      <c r="K171" s="103" t="s">
        <v>2276</v>
      </c>
      <c r="L171" s="21" t="s">
        <v>2276</v>
      </c>
      <c r="M171" s="21" t="s">
        <v>2276</v>
      </c>
      <c r="N171" s="21" t="s">
        <v>2276</v>
      </c>
      <c r="O171" s="21" t="s">
        <v>2276</v>
      </c>
      <c r="P171" s="21" t="s">
        <v>2378</v>
      </c>
      <c r="Q171" s="102" t="s">
        <v>2276</v>
      </c>
      <c r="R171" s="102" t="s">
        <v>2276</v>
      </c>
      <c r="S171" s="21" t="s">
        <v>2276</v>
      </c>
      <c r="T171" s="21" t="s">
        <v>2276</v>
      </c>
      <c r="U171" s="21" t="s">
        <v>2276</v>
      </c>
      <c r="V171" s="21" t="s">
        <v>2276</v>
      </c>
      <c r="W171" s="21" t="s">
        <v>2276</v>
      </c>
      <c r="X171" s="3" t="s">
        <v>2276</v>
      </c>
      <c r="Y171" s="3" t="s">
        <v>2276</v>
      </c>
      <c r="Z171" s="3" t="s">
        <v>2276</v>
      </c>
      <c r="AA171" s="4" t="s">
        <v>1398</v>
      </c>
      <c r="AB171" s="4" t="s">
        <v>1442</v>
      </c>
    </row>
    <row r="172" spans="1:28" ht="75" customHeight="1">
      <c r="A172" s="6" t="str">
        <f>'Reported burning'!A172</f>
        <v>12a</v>
      </c>
      <c r="B172" s="6" t="str">
        <f>'Reported burning'!B172</f>
        <v>12a.13</v>
      </c>
      <c r="C172" s="6" t="str">
        <f>'Reported burning'!C172</f>
        <v>Human, deliberate</v>
      </c>
      <c r="D172" s="6" t="str">
        <f>'Reported burning'!D172</f>
        <v>Forest clearance</v>
      </c>
      <c r="E172" s="6" t="str">
        <f>'Reported burning'!E172</f>
        <v>Cropping, Monoculture, Market-oriented</v>
      </c>
      <c r="F172" s="6" t="str">
        <f>'Reported burning'!F172</f>
        <v>Forest</v>
      </c>
      <c r="G172" s="6" t="str">
        <f>'Reported burning'!G172</f>
        <v>Forest</v>
      </c>
      <c r="H172" s="6" t="str">
        <f>'Reported burning'!H172</f>
        <v>Presence</v>
      </c>
      <c r="I172" s="3">
        <v>2003</v>
      </c>
      <c r="J172" s="21" t="s">
        <v>2276</v>
      </c>
      <c r="K172" s="103" t="s">
        <v>2276</v>
      </c>
      <c r="L172" s="21" t="s">
        <v>2276</v>
      </c>
      <c r="M172" s="21" t="s">
        <v>2276</v>
      </c>
      <c r="N172" s="21" t="s">
        <v>2276</v>
      </c>
      <c r="O172" s="21" t="s">
        <v>2276</v>
      </c>
      <c r="P172" s="21" t="s">
        <v>2378</v>
      </c>
      <c r="Q172" s="102" t="s">
        <v>2276</v>
      </c>
      <c r="R172" s="102" t="s">
        <v>2276</v>
      </c>
      <c r="S172" s="21" t="s">
        <v>2276</v>
      </c>
      <c r="T172" s="21" t="s">
        <v>2276</v>
      </c>
      <c r="U172" s="21" t="s">
        <v>2276</v>
      </c>
      <c r="V172" s="21" t="s">
        <v>2276</v>
      </c>
      <c r="W172" s="21" t="s">
        <v>2276</v>
      </c>
      <c r="X172" s="3" t="s">
        <v>2276</v>
      </c>
      <c r="Y172" s="3" t="s">
        <v>2276</v>
      </c>
      <c r="Z172" s="3" t="s">
        <v>2276</v>
      </c>
      <c r="AA172" s="4" t="s">
        <v>1398</v>
      </c>
      <c r="AB172" s="4" t="s">
        <v>1442</v>
      </c>
    </row>
    <row r="173" spans="1:28" ht="75" customHeight="1">
      <c r="A173" s="6" t="str">
        <f>'Reported burning'!A173</f>
        <v>12a</v>
      </c>
      <c r="B173" s="6" t="str">
        <f>'Reported burning'!B173</f>
        <v>12a.14</v>
      </c>
      <c r="C173" s="6" t="str">
        <f>'Reported burning'!C173</f>
        <v>Human, deliberate</v>
      </c>
      <c r="D173" s="6" t="str">
        <f>'Reported burning'!D173</f>
        <v>Forest clearance</v>
      </c>
      <c r="E173" s="6" t="str">
        <f>'Reported burning'!E173</f>
        <v>Cropping, Monoculture, Market-oriented</v>
      </c>
      <c r="F173" s="6" t="str">
        <f>'Reported burning'!F173</f>
        <v>Forest</v>
      </c>
      <c r="G173" s="6" t="str">
        <f>'Reported burning'!G173</f>
        <v>Forest</v>
      </c>
      <c r="H173" s="6" t="str">
        <f>'Reported burning'!H173</f>
        <v>Presence</v>
      </c>
      <c r="I173" s="3">
        <v>2004</v>
      </c>
      <c r="J173" s="21" t="s">
        <v>2276</v>
      </c>
      <c r="K173" s="103" t="s">
        <v>2276</v>
      </c>
      <c r="L173" s="21" t="s">
        <v>2276</v>
      </c>
      <c r="M173" s="21" t="s">
        <v>2276</v>
      </c>
      <c r="N173" s="21" t="s">
        <v>2276</v>
      </c>
      <c r="O173" s="21" t="s">
        <v>2276</v>
      </c>
      <c r="P173" s="21" t="s">
        <v>2378</v>
      </c>
      <c r="Q173" s="102" t="s">
        <v>2276</v>
      </c>
      <c r="R173" s="102" t="s">
        <v>2276</v>
      </c>
      <c r="S173" s="21" t="s">
        <v>2276</v>
      </c>
      <c r="T173" s="21" t="s">
        <v>2276</v>
      </c>
      <c r="U173" s="21" t="s">
        <v>2276</v>
      </c>
      <c r="V173" s="21" t="s">
        <v>2276</v>
      </c>
      <c r="W173" s="21" t="s">
        <v>2276</v>
      </c>
      <c r="X173" s="3" t="s">
        <v>2276</v>
      </c>
      <c r="Y173" s="3" t="s">
        <v>2276</v>
      </c>
      <c r="Z173" s="3" t="s">
        <v>2276</v>
      </c>
      <c r="AA173" s="4" t="s">
        <v>1398</v>
      </c>
      <c r="AB173" s="4" t="s">
        <v>1442</v>
      </c>
    </row>
    <row r="174" spans="1:28" ht="75" customHeight="1">
      <c r="A174" s="6" t="str">
        <f>'Reported burning'!A174</f>
        <v>12a</v>
      </c>
      <c r="B174" s="6" t="str">
        <f>'Reported burning'!B174</f>
        <v>12a.15</v>
      </c>
      <c r="C174" s="6" t="str">
        <f>'Reported burning'!C174</f>
        <v>Human, deliberate</v>
      </c>
      <c r="D174" s="6" t="str">
        <f>'Reported burning'!D174</f>
        <v>Forest clearance</v>
      </c>
      <c r="E174" s="6" t="str">
        <f>'Reported burning'!E174</f>
        <v>Cropping, Monoculture, Market-oriented</v>
      </c>
      <c r="F174" s="6" t="str">
        <f>'Reported burning'!F174</f>
        <v>Forest</v>
      </c>
      <c r="G174" s="6" t="str">
        <f>'Reported burning'!G174</f>
        <v>Forest</v>
      </c>
      <c r="H174" s="6" t="str">
        <f>'Reported burning'!H174</f>
        <v>Presence</v>
      </c>
      <c r="I174" s="3">
        <v>2005</v>
      </c>
      <c r="J174" s="21" t="s">
        <v>2276</v>
      </c>
      <c r="K174" s="103" t="s">
        <v>2276</v>
      </c>
      <c r="L174" s="21" t="s">
        <v>2276</v>
      </c>
      <c r="M174" s="21" t="s">
        <v>2276</v>
      </c>
      <c r="N174" s="21" t="s">
        <v>2276</v>
      </c>
      <c r="O174" s="21" t="s">
        <v>2276</v>
      </c>
      <c r="P174" s="21" t="s">
        <v>2378</v>
      </c>
      <c r="Q174" s="102" t="s">
        <v>2276</v>
      </c>
      <c r="R174" s="102" t="s">
        <v>2276</v>
      </c>
      <c r="S174" s="21" t="s">
        <v>2276</v>
      </c>
      <c r="T174" s="21" t="s">
        <v>2276</v>
      </c>
      <c r="U174" s="21" t="s">
        <v>2276</v>
      </c>
      <c r="V174" s="21" t="s">
        <v>2276</v>
      </c>
      <c r="W174" s="21" t="s">
        <v>2276</v>
      </c>
      <c r="X174" s="3" t="s">
        <v>2276</v>
      </c>
      <c r="Y174" s="3" t="s">
        <v>2276</v>
      </c>
      <c r="Z174" s="3" t="s">
        <v>2276</v>
      </c>
      <c r="AA174" s="4" t="s">
        <v>1398</v>
      </c>
      <c r="AB174" s="4" t="s">
        <v>1442</v>
      </c>
    </row>
    <row r="175" spans="1:28" ht="75" customHeight="1">
      <c r="A175" s="6" t="str">
        <f>'Reported burning'!A175</f>
        <v>12a</v>
      </c>
      <c r="B175" s="6" t="str">
        <f>'Reported burning'!B175</f>
        <v>12a.16</v>
      </c>
      <c r="C175" s="6" t="str">
        <f>'Reported burning'!C175</f>
        <v>Human, deliberate</v>
      </c>
      <c r="D175" s="6" t="str">
        <f>'Reported burning'!D175</f>
        <v>Forest clearance</v>
      </c>
      <c r="E175" s="6" t="str">
        <f>'Reported burning'!E175</f>
        <v>Cropping, Monoculture, Market-oriented</v>
      </c>
      <c r="F175" s="6" t="str">
        <f>'Reported burning'!F175</f>
        <v>Forest</v>
      </c>
      <c r="G175" s="6" t="str">
        <f>'Reported burning'!G175</f>
        <v>Forest</v>
      </c>
      <c r="H175" s="6" t="str">
        <f>'Reported burning'!H175</f>
        <v>Presence</v>
      </c>
      <c r="I175" s="3">
        <v>2006</v>
      </c>
      <c r="J175" s="21" t="s">
        <v>2276</v>
      </c>
      <c r="K175" s="103" t="s">
        <v>2276</v>
      </c>
      <c r="L175" s="21" t="s">
        <v>2276</v>
      </c>
      <c r="M175" s="21" t="s">
        <v>2276</v>
      </c>
      <c r="N175" s="21" t="s">
        <v>2276</v>
      </c>
      <c r="O175" s="21" t="s">
        <v>2276</v>
      </c>
      <c r="P175" s="21" t="s">
        <v>2378</v>
      </c>
      <c r="Q175" s="102" t="s">
        <v>2276</v>
      </c>
      <c r="R175" s="102" t="s">
        <v>2276</v>
      </c>
      <c r="S175" s="21" t="s">
        <v>2276</v>
      </c>
      <c r="T175" s="21" t="s">
        <v>2276</v>
      </c>
      <c r="U175" s="21" t="s">
        <v>2276</v>
      </c>
      <c r="V175" s="21" t="s">
        <v>2276</v>
      </c>
      <c r="W175" s="21" t="s">
        <v>2276</v>
      </c>
      <c r="X175" s="3" t="s">
        <v>2276</v>
      </c>
      <c r="Y175" s="3" t="s">
        <v>2276</v>
      </c>
      <c r="Z175" s="3" t="s">
        <v>2276</v>
      </c>
      <c r="AA175" s="4" t="s">
        <v>1398</v>
      </c>
      <c r="AB175" s="4" t="s">
        <v>1442</v>
      </c>
    </row>
    <row r="176" spans="1:28" ht="75" customHeight="1">
      <c r="A176" s="6" t="str">
        <f>'Reported burning'!A176</f>
        <v>12a</v>
      </c>
      <c r="B176" s="6" t="str">
        <f>'Reported burning'!B176</f>
        <v>12a.17</v>
      </c>
      <c r="C176" s="6" t="str">
        <f>'Reported burning'!C176</f>
        <v>Human, deliberate</v>
      </c>
      <c r="D176" s="6" t="str">
        <f>'Reported burning'!D176</f>
        <v>Forest clearance</v>
      </c>
      <c r="E176" s="6" t="str">
        <f>'Reported burning'!E176</f>
        <v>Cropping, Monoculture, Market-oriented</v>
      </c>
      <c r="F176" s="6" t="str">
        <f>'Reported burning'!F176</f>
        <v>Forest</v>
      </c>
      <c r="G176" s="6" t="str">
        <f>'Reported burning'!G176</f>
        <v>Forest</v>
      </c>
      <c r="H176" s="6" t="str">
        <f>'Reported burning'!H176</f>
        <v>Presence</v>
      </c>
      <c r="I176" s="3">
        <v>2007</v>
      </c>
      <c r="J176" s="21" t="s">
        <v>2276</v>
      </c>
      <c r="K176" s="103" t="s">
        <v>2276</v>
      </c>
      <c r="L176" s="21" t="s">
        <v>2276</v>
      </c>
      <c r="M176" s="21" t="s">
        <v>2276</v>
      </c>
      <c r="N176" s="21" t="s">
        <v>2276</v>
      </c>
      <c r="O176" s="21" t="s">
        <v>2276</v>
      </c>
      <c r="P176" s="21" t="s">
        <v>2378</v>
      </c>
      <c r="Q176" s="102" t="s">
        <v>2276</v>
      </c>
      <c r="R176" s="102" t="s">
        <v>2276</v>
      </c>
      <c r="S176" s="21" t="s">
        <v>2276</v>
      </c>
      <c r="T176" s="21" t="s">
        <v>2276</v>
      </c>
      <c r="U176" s="21" t="s">
        <v>2276</v>
      </c>
      <c r="V176" s="21" t="s">
        <v>2276</v>
      </c>
      <c r="W176" s="21" t="s">
        <v>2276</v>
      </c>
      <c r="X176" s="3" t="s">
        <v>2276</v>
      </c>
      <c r="Y176" s="3" t="s">
        <v>2276</v>
      </c>
      <c r="Z176" s="3" t="s">
        <v>2276</v>
      </c>
      <c r="AA176" s="4" t="s">
        <v>1398</v>
      </c>
      <c r="AB176" s="4" t="s">
        <v>1442</v>
      </c>
    </row>
    <row r="177" spans="1:28" ht="75" customHeight="1">
      <c r="A177" s="6" t="str">
        <f>'Reported burning'!A177</f>
        <v>12a</v>
      </c>
      <c r="B177" s="6" t="str">
        <f>'Reported burning'!B177</f>
        <v>12a.18</v>
      </c>
      <c r="C177" s="6" t="str">
        <f>'Reported burning'!C177</f>
        <v>Human, deliberate</v>
      </c>
      <c r="D177" s="6" t="str">
        <f>'Reported burning'!D177</f>
        <v>Forest clearance</v>
      </c>
      <c r="E177" s="6" t="str">
        <f>'Reported burning'!E177</f>
        <v>Cropping, Monoculture, Market-oriented</v>
      </c>
      <c r="F177" s="6" t="str">
        <f>'Reported burning'!F177</f>
        <v>Forest</v>
      </c>
      <c r="G177" s="6" t="str">
        <f>'Reported burning'!G177</f>
        <v>Forest</v>
      </c>
      <c r="H177" s="6" t="str">
        <f>'Reported burning'!H177</f>
        <v>Presence</v>
      </c>
      <c r="I177" s="3">
        <v>2008</v>
      </c>
      <c r="J177" s="21" t="s">
        <v>2276</v>
      </c>
      <c r="K177" s="103" t="s">
        <v>2276</v>
      </c>
      <c r="L177" s="21" t="s">
        <v>2276</v>
      </c>
      <c r="M177" s="21" t="s">
        <v>2276</v>
      </c>
      <c r="N177" s="21" t="s">
        <v>2276</v>
      </c>
      <c r="O177" s="21" t="s">
        <v>2276</v>
      </c>
      <c r="P177" s="21" t="s">
        <v>2378</v>
      </c>
      <c r="Q177" s="102" t="s">
        <v>2276</v>
      </c>
      <c r="R177" s="102" t="s">
        <v>2276</v>
      </c>
      <c r="S177" s="21" t="s">
        <v>2276</v>
      </c>
      <c r="T177" s="21" t="s">
        <v>2276</v>
      </c>
      <c r="U177" s="21" t="s">
        <v>2276</v>
      </c>
      <c r="V177" s="21" t="s">
        <v>2276</v>
      </c>
      <c r="W177" s="21" t="s">
        <v>2276</v>
      </c>
      <c r="X177" s="3" t="s">
        <v>2276</v>
      </c>
      <c r="Y177" s="3" t="s">
        <v>2276</v>
      </c>
      <c r="Z177" s="3" t="s">
        <v>2276</v>
      </c>
      <c r="AA177" s="4" t="s">
        <v>1398</v>
      </c>
      <c r="AB177" s="4" t="s">
        <v>1442</v>
      </c>
    </row>
    <row r="178" spans="1:28" ht="75" customHeight="1">
      <c r="A178" s="6" t="str">
        <f>'Reported burning'!A178</f>
        <v>12a</v>
      </c>
      <c r="B178" s="6" t="str">
        <f>'Reported burning'!B178</f>
        <v>12a.19</v>
      </c>
      <c r="C178" s="6" t="str">
        <f>'Reported burning'!C178</f>
        <v>Human, deliberate</v>
      </c>
      <c r="D178" s="6" t="str">
        <f>'Reported burning'!D178</f>
        <v>Forest clearance</v>
      </c>
      <c r="E178" s="6" t="str">
        <f>'Reported burning'!E178</f>
        <v>Cropping, Monoculture, Market-oriented</v>
      </c>
      <c r="F178" s="6" t="str">
        <f>'Reported burning'!F178</f>
        <v>Forest</v>
      </c>
      <c r="G178" s="6" t="str">
        <f>'Reported burning'!G178</f>
        <v>Forest</v>
      </c>
      <c r="H178" s="6" t="str">
        <f>'Reported burning'!H178</f>
        <v>Presence</v>
      </c>
      <c r="I178" s="3">
        <v>2009</v>
      </c>
      <c r="J178" s="21" t="s">
        <v>2276</v>
      </c>
      <c r="K178" s="103" t="s">
        <v>2276</v>
      </c>
      <c r="L178" s="21" t="s">
        <v>2276</v>
      </c>
      <c r="M178" s="21" t="s">
        <v>2276</v>
      </c>
      <c r="N178" s="21" t="s">
        <v>2276</v>
      </c>
      <c r="O178" s="21" t="s">
        <v>2276</v>
      </c>
      <c r="P178" s="21" t="s">
        <v>2377</v>
      </c>
      <c r="Q178" s="102" t="s">
        <v>2276</v>
      </c>
      <c r="R178" s="102" t="s">
        <v>2276</v>
      </c>
      <c r="S178" s="21" t="s">
        <v>2276</v>
      </c>
      <c r="T178" s="21" t="s">
        <v>2276</v>
      </c>
      <c r="U178" s="21" t="s">
        <v>2276</v>
      </c>
      <c r="V178" s="21" t="s">
        <v>2276</v>
      </c>
      <c r="W178" s="21" t="s">
        <v>2276</v>
      </c>
      <c r="X178" s="3" t="s">
        <v>2276</v>
      </c>
      <c r="Y178" s="3" t="s">
        <v>2276</v>
      </c>
      <c r="Z178" s="3" t="s">
        <v>2276</v>
      </c>
      <c r="AA178" s="4" t="s">
        <v>1398</v>
      </c>
      <c r="AB178" s="4" t="s">
        <v>1442</v>
      </c>
    </row>
    <row r="179" spans="1:28" ht="75" customHeight="1">
      <c r="A179" s="6" t="str">
        <f>'Reported burning'!A179</f>
        <v>12a</v>
      </c>
      <c r="B179" s="6" t="str">
        <f>'Reported burning'!B179</f>
        <v>12a.20</v>
      </c>
      <c r="C179" s="6" t="str">
        <f>'Reported burning'!C179</f>
        <v>Human, deliberate</v>
      </c>
      <c r="D179" s="6" t="str">
        <f>'Reported burning'!D179</f>
        <v>Forest clearance</v>
      </c>
      <c r="E179" s="6" t="str">
        <f>'Reported burning'!E179</f>
        <v>Cropping, Monoculture, Market-oriented</v>
      </c>
      <c r="F179" s="6" t="str">
        <f>'Reported burning'!F179</f>
        <v>Forest</v>
      </c>
      <c r="G179" s="6" t="str">
        <f>'Reported burning'!G179</f>
        <v>Forest</v>
      </c>
      <c r="H179" s="6" t="str">
        <f>'Reported burning'!H179</f>
        <v>Presence</v>
      </c>
      <c r="I179" s="3">
        <v>2010</v>
      </c>
      <c r="J179" s="21" t="s">
        <v>2276</v>
      </c>
      <c r="K179" s="103" t="s">
        <v>2276</v>
      </c>
      <c r="L179" s="21" t="s">
        <v>2276</v>
      </c>
      <c r="M179" s="21" t="s">
        <v>2276</v>
      </c>
      <c r="N179" s="21" t="s">
        <v>2276</v>
      </c>
      <c r="O179" s="21" t="s">
        <v>2276</v>
      </c>
      <c r="P179" s="21" t="s">
        <v>2378</v>
      </c>
      <c r="Q179" s="102" t="s">
        <v>2276</v>
      </c>
      <c r="R179" s="102" t="s">
        <v>2276</v>
      </c>
      <c r="S179" s="21" t="s">
        <v>2276</v>
      </c>
      <c r="T179" s="21" t="s">
        <v>2276</v>
      </c>
      <c r="U179" s="21" t="s">
        <v>2276</v>
      </c>
      <c r="V179" s="21" t="s">
        <v>2276</v>
      </c>
      <c r="W179" s="21" t="s">
        <v>2276</v>
      </c>
      <c r="X179" s="3" t="s">
        <v>2276</v>
      </c>
      <c r="Y179" s="3" t="s">
        <v>2276</v>
      </c>
      <c r="Z179" s="3" t="s">
        <v>2276</v>
      </c>
      <c r="AA179" s="4" t="s">
        <v>1398</v>
      </c>
      <c r="AB179" s="4" t="s">
        <v>1442</v>
      </c>
    </row>
    <row r="180" spans="1:28" ht="75" customHeight="1">
      <c r="A180" s="6" t="str">
        <f>'Reported burning'!A180</f>
        <v>12a</v>
      </c>
      <c r="B180" s="6" t="str">
        <f>'Reported burning'!B180</f>
        <v>12a.21</v>
      </c>
      <c r="C180" s="6" t="str">
        <f>'Reported burning'!C180</f>
        <v>Human, deliberate</v>
      </c>
      <c r="D180" s="6" t="str">
        <f>'Reported burning'!D180</f>
        <v>Forest clearance</v>
      </c>
      <c r="E180" s="6" t="str">
        <f>'Reported burning'!E180</f>
        <v>Cropping, Monoculture, Market-oriented</v>
      </c>
      <c r="F180" s="6" t="str">
        <f>'Reported burning'!F180</f>
        <v>Forest</v>
      </c>
      <c r="G180" s="6" t="str">
        <f>'Reported burning'!G180</f>
        <v>Forest</v>
      </c>
      <c r="H180" s="6" t="str">
        <f>'Reported burning'!H180</f>
        <v>Presence</v>
      </c>
      <c r="I180" s="3">
        <v>2011</v>
      </c>
      <c r="J180" s="21" t="s">
        <v>2276</v>
      </c>
      <c r="K180" s="103" t="s">
        <v>2276</v>
      </c>
      <c r="L180" s="21" t="s">
        <v>2276</v>
      </c>
      <c r="M180" s="21" t="s">
        <v>2276</v>
      </c>
      <c r="N180" s="21" t="s">
        <v>2276</v>
      </c>
      <c r="O180" s="21" t="s">
        <v>2276</v>
      </c>
      <c r="P180" s="21" t="s">
        <v>2378</v>
      </c>
      <c r="Q180" s="102" t="s">
        <v>2276</v>
      </c>
      <c r="R180" s="102" t="s">
        <v>2276</v>
      </c>
      <c r="S180" s="21" t="s">
        <v>2276</v>
      </c>
      <c r="T180" s="21" t="s">
        <v>2276</v>
      </c>
      <c r="U180" s="21" t="s">
        <v>2276</v>
      </c>
      <c r="V180" s="21" t="s">
        <v>2276</v>
      </c>
      <c r="W180" s="21" t="s">
        <v>2276</v>
      </c>
      <c r="X180" s="3" t="s">
        <v>2276</v>
      </c>
      <c r="Y180" s="3" t="s">
        <v>2276</v>
      </c>
      <c r="Z180" s="3" t="s">
        <v>2276</v>
      </c>
      <c r="AA180" s="4" t="s">
        <v>1398</v>
      </c>
      <c r="AB180" s="4" t="s">
        <v>1442</v>
      </c>
    </row>
    <row r="181" spans="1:28" ht="75" customHeight="1">
      <c r="A181" s="6" t="str">
        <f>'Reported burning'!A181</f>
        <v>12a</v>
      </c>
      <c r="B181" s="6" t="str">
        <f>'Reported burning'!B181</f>
        <v>12a.22</v>
      </c>
      <c r="C181" s="6" t="str">
        <f>'Reported burning'!C181</f>
        <v>Human, deliberate</v>
      </c>
      <c r="D181" s="6" t="str">
        <f>'Reported burning'!D181</f>
        <v>Forest clearance</v>
      </c>
      <c r="E181" s="6" t="str">
        <f>'Reported burning'!E181</f>
        <v>Cropping, Monoculture, Market-oriented</v>
      </c>
      <c r="F181" s="6" t="str">
        <f>'Reported burning'!F181</f>
        <v>Forest</v>
      </c>
      <c r="G181" s="6" t="str">
        <f>'Reported burning'!G181</f>
        <v>Forest</v>
      </c>
      <c r="H181" s="6" t="str">
        <f>'Reported burning'!H181</f>
        <v>Presence</v>
      </c>
      <c r="I181" s="3">
        <v>2012</v>
      </c>
      <c r="J181" s="21" t="s">
        <v>2276</v>
      </c>
      <c r="K181" s="103" t="s">
        <v>2276</v>
      </c>
      <c r="L181" s="21" t="s">
        <v>2276</v>
      </c>
      <c r="M181" s="21" t="s">
        <v>2276</v>
      </c>
      <c r="N181" s="21" t="s">
        <v>2276</v>
      </c>
      <c r="O181" s="21" t="s">
        <v>2276</v>
      </c>
      <c r="P181" s="21" t="s">
        <v>2378</v>
      </c>
      <c r="Q181" s="102" t="s">
        <v>2276</v>
      </c>
      <c r="R181" s="102" t="s">
        <v>2276</v>
      </c>
      <c r="S181" s="21" t="s">
        <v>2276</v>
      </c>
      <c r="T181" s="21" t="s">
        <v>2276</v>
      </c>
      <c r="U181" s="21" t="s">
        <v>2276</v>
      </c>
      <c r="V181" s="21" t="s">
        <v>2276</v>
      </c>
      <c r="W181" s="21" t="s">
        <v>2276</v>
      </c>
      <c r="X181" s="3" t="s">
        <v>2276</v>
      </c>
      <c r="Y181" s="3" t="s">
        <v>2276</v>
      </c>
      <c r="Z181" s="3" t="s">
        <v>2276</v>
      </c>
      <c r="AA181" s="4" t="s">
        <v>1398</v>
      </c>
      <c r="AB181" s="4" t="s">
        <v>1442</v>
      </c>
    </row>
    <row r="182" spans="1:28" ht="75" customHeight="1">
      <c r="A182" s="6" t="str">
        <f>'Reported burning'!A182</f>
        <v>12a</v>
      </c>
      <c r="B182" s="6" t="str">
        <f>'Reported burning'!B182</f>
        <v>12a.23</v>
      </c>
      <c r="C182" s="6" t="str">
        <f>'Reported burning'!C182</f>
        <v>Human, deliberate</v>
      </c>
      <c r="D182" s="6" t="str">
        <f>'Reported burning'!D182</f>
        <v>Forest clearance</v>
      </c>
      <c r="E182" s="6" t="str">
        <f>'Reported burning'!E182</f>
        <v>Cattle, Extensive</v>
      </c>
      <c r="F182" s="6" t="str">
        <f>'Reported burning'!F182</f>
        <v>Forest</v>
      </c>
      <c r="G182" s="6" t="str">
        <f>'Reported burning'!G182</f>
        <v>Forest</v>
      </c>
      <c r="H182" s="6" t="str">
        <f>'Reported burning'!H182</f>
        <v>Presence</v>
      </c>
      <c r="I182" s="3">
        <v>2002</v>
      </c>
      <c r="J182" s="21" t="s">
        <v>2276</v>
      </c>
      <c r="K182" s="103" t="s">
        <v>2276</v>
      </c>
      <c r="L182" s="21" t="s">
        <v>2276</v>
      </c>
      <c r="M182" s="21" t="s">
        <v>2276</v>
      </c>
      <c r="N182" s="21" t="s">
        <v>2276</v>
      </c>
      <c r="O182" s="21" t="s">
        <v>2276</v>
      </c>
      <c r="P182" s="21" t="s">
        <v>2378</v>
      </c>
      <c r="Q182" s="102" t="s">
        <v>2276</v>
      </c>
      <c r="R182" s="102" t="s">
        <v>2276</v>
      </c>
      <c r="S182" s="21" t="s">
        <v>2276</v>
      </c>
      <c r="T182" s="21" t="s">
        <v>2276</v>
      </c>
      <c r="U182" s="21" t="s">
        <v>2276</v>
      </c>
      <c r="V182" s="21" t="s">
        <v>2276</v>
      </c>
      <c r="W182" s="21" t="s">
        <v>2276</v>
      </c>
      <c r="X182" s="3" t="s">
        <v>2276</v>
      </c>
      <c r="Y182" s="3" t="s">
        <v>2276</v>
      </c>
      <c r="Z182" s="3" t="s">
        <v>2276</v>
      </c>
      <c r="AA182" s="4" t="s">
        <v>1398</v>
      </c>
      <c r="AB182" s="4" t="s">
        <v>1442</v>
      </c>
    </row>
    <row r="183" spans="1:28" ht="75" customHeight="1">
      <c r="A183" s="6" t="str">
        <f>'Reported burning'!A183</f>
        <v>12a</v>
      </c>
      <c r="B183" s="6" t="str">
        <f>'Reported burning'!B183</f>
        <v>12a.24</v>
      </c>
      <c r="C183" s="6" t="str">
        <f>'Reported burning'!C183</f>
        <v>Human, deliberate</v>
      </c>
      <c r="D183" s="6" t="str">
        <f>'Reported burning'!D183</f>
        <v>Forest clearance</v>
      </c>
      <c r="E183" s="6" t="str">
        <f>'Reported burning'!E183</f>
        <v>Cattle, Extensive</v>
      </c>
      <c r="F183" s="6" t="str">
        <f>'Reported burning'!F183</f>
        <v>Forest</v>
      </c>
      <c r="G183" s="6" t="str">
        <f>'Reported burning'!G183</f>
        <v>Forest</v>
      </c>
      <c r="H183" s="6" t="str">
        <f>'Reported burning'!H183</f>
        <v>Presence</v>
      </c>
      <c r="I183" s="3">
        <v>2003</v>
      </c>
      <c r="J183" s="21" t="s">
        <v>2276</v>
      </c>
      <c r="K183" s="103" t="s">
        <v>2276</v>
      </c>
      <c r="L183" s="21" t="s">
        <v>2276</v>
      </c>
      <c r="M183" s="21" t="s">
        <v>2276</v>
      </c>
      <c r="N183" s="21" t="s">
        <v>2276</v>
      </c>
      <c r="O183" s="21" t="s">
        <v>2276</v>
      </c>
      <c r="P183" s="21" t="s">
        <v>2378</v>
      </c>
      <c r="Q183" s="102" t="s">
        <v>2276</v>
      </c>
      <c r="R183" s="102" t="s">
        <v>2276</v>
      </c>
      <c r="S183" s="21" t="s">
        <v>2276</v>
      </c>
      <c r="T183" s="21" t="s">
        <v>2276</v>
      </c>
      <c r="U183" s="21" t="s">
        <v>2276</v>
      </c>
      <c r="V183" s="21" t="s">
        <v>2276</v>
      </c>
      <c r="W183" s="21" t="s">
        <v>2276</v>
      </c>
      <c r="X183" s="3" t="s">
        <v>2276</v>
      </c>
      <c r="Y183" s="3" t="s">
        <v>2276</v>
      </c>
      <c r="Z183" s="3" t="s">
        <v>2276</v>
      </c>
      <c r="AA183" s="4" t="s">
        <v>1398</v>
      </c>
      <c r="AB183" s="4" t="s">
        <v>1442</v>
      </c>
    </row>
    <row r="184" spans="1:28" ht="75" customHeight="1">
      <c r="A184" s="6" t="str">
        <f>'Reported burning'!A184</f>
        <v>12a</v>
      </c>
      <c r="B184" s="6" t="str">
        <f>'Reported burning'!B184</f>
        <v>12a.25</v>
      </c>
      <c r="C184" s="6" t="str">
        <f>'Reported burning'!C184</f>
        <v>Human, deliberate</v>
      </c>
      <c r="D184" s="6" t="str">
        <f>'Reported burning'!D184</f>
        <v>Forest clearance</v>
      </c>
      <c r="E184" s="6" t="str">
        <f>'Reported burning'!E184</f>
        <v>Cattle, Extensive</v>
      </c>
      <c r="F184" s="6" t="str">
        <f>'Reported burning'!F184</f>
        <v>Forest</v>
      </c>
      <c r="G184" s="6" t="str">
        <f>'Reported burning'!G184</f>
        <v>Forest</v>
      </c>
      <c r="H184" s="6" t="str">
        <f>'Reported burning'!H184</f>
        <v>Presence</v>
      </c>
      <c r="I184" s="3">
        <v>2004</v>
      </c>
      <c r="J184" s="21" t="s">
        <v>2276</v>
      </c>
      <c r="K184" s="103" t="s">
        <v>2276</v>
      </c>
      <c r="L184" s="21" t="s">
        <v>2276</v>
      </c>
      <c r="M184" s="21" t="s">
        <v>2276</v>
      </c>
      <c r="N184" s="21" t="s">
        <v>2276</v>
      </c>
      <c r="O184" s="21" t="s">
        <v>2276</v>
      </c>
      <c r="P184" s="21" t="s">
        <v>2378</v>
      </c>
      <c r="Q184" s="102" t="s">
        <v>2276</v>
      </c>
      <c r="R184" s="102" t="s">
        <v>2276</v>
      </c>
      <c r="S184" s="21" t="s">
        <v>2276</v>
      </c>
      <c r="T184" s="21" t="s">
        <v>2276</v>
      </c>
      <c r="U184" s="21" t="s">
        <v>2276</v>
      </c>
      <c r="V184" s="21" t="s">
        <v>2276</v>
      </c>
      <c r="W184" s="21" t="s">
        <v>2276</v>
      </c>
      <c r="X184" s="3" t="s">
        <v>2276</v>
      </c>
      <c r="Y184" s="3" t="s">
        <v>2276</v>
      </c>
      <c r="Z184" s="3" t="s">
        <v>2276</v>
      </c>
      <c r="AA184" s="4" t="s">
        <v>1398</v>
      </c>
      <c r="AB184" s="4" t="s">
        <v>1442</v>
      </c>
    </row>
    <row r="185" spans="1:28" ht="75" customHeight="1">
      <c r="A185" s="6" t="str">
        <f>'Reported burning'!A185</f>
        <v>12a</v>
      </c>
      <c r="B185" s="6" t="str">
        <f>'Reported burning'!B185</f>
        <v>12a.26</v>
      </c>
      <c r="C185" s="6" t="str">
        <f>'Reported burning'!C185</f>
        <v>Human, deliberate</v>
      </c>
      <c r="D185" s="6" t="str">
        <f>'Reported burning'!D185</f>
        <v>Forest clearance</v>
      </c>
      <c r="E185" s="6" t="str">
        <f>'Reported burning'!E185</f>
        <v>Cattle, Extensive</v>
      </c>
      <c r="F185" s="6" t="str">
        <f>'Reported burning'!F185</f>
        <v>Forest</v>
      </c>
      <c r="G185" s="6" t="str">
        <f>'Reported burning'!G185</f>
        <v>Forest</v>
      </c>
      <c r="H185" s="6" t="str">
        <f>'Reported burning'!H185</f>
        <v>Presence</v>
      </c>
      <c r="I185" s="3">
        <v>2005</v>
      </c>
      <c r="J185" s="21" t="s">
        <v>2276</v>
      </c>
      <c r="K185" s="103" t="s">
        <v>2276</v>
      </c>
      <c r="L185" s="21" t="s">
        <v>2276</v>
      </c>
      <c r="M185" s="21" t="s">
        <v>2276</v>
      </c>
      <c r="N185" s="21" t="s">
        <v>2276</v>
      </c>
      <c r="O185" s="21" t="s">
        <v>2276</v>
      </c>
      <c r="P185" s="21" t="s">
        <v>2378</v>
      </c>
      <c r="Q185" s="102" t="s">
        <v>2276</v>
      </c>
      <c r="R185" s="102" t="s">
        <v>2276</v>
      </c>
      <c r="S185" s="21" t="s">
        <v>2276</v>
      </c>
      <c r="T185" s="21" t="s">
        <v>2276</v>
      </c>
      <c r="U185" s="21" t="s">
        <v>2276</v>
      </c>
      <c r="V185" s="21" t="s">
        <v>2276</v>
      </c>
      <c r="W185" s="21" t="s">
        <v>2276</v>
      </c>
      <c r="X185" s="3" t="s">
        <v>2276</v>
      </c>
      <c r="Y185" s="3" t="s">
        <v>2276</v>
      </c>
      <c r="Z185" s="3" t="s">
        <v>2276</v>
      </c>
      <c r="AA185" s="4" t="s">
        <v>1398</v>
      </c>
      <c r="AB185" s="4" t="s">
        <v>1442</v>
      </c>
    </row>
    <row r="186" spans="1:28" ht="75" customHeight="1">
      <c r="A186" s="6" t="str">
        <f>'Reported burning'!A186</f>
        <v>12a</v>
      </c>
      <c r="B186" s="6" t="str">
        <f>'Reported burning'!B186</f>
        <v>12a.27</v>
      </c>
      <c r="C186" s="6" t="str">
        <f>'Reported burning'!C186</f>
        <v>Human, deliberate</v>
      </c>
      <c r="D186" s="6" t="str">
        <f>'Reported burning'!D186</f>
        <v>Forest clearance</v>
      </c>
      <c r="E186" s="6" t="str">
        <f>'Reported burning'!E186</f>
        <v>Cattle, Extensive</v>
      </c>
      <c r="F186" s="6" t="str">
        <f>'Reported burning'!F186</f>
        <v>Forest</v>
      </c>
      <c r="G186" s="6" t="str">
        <f>'Reported burning'!G186</f>
        <v>Forest</v>
      </c>
      <c r="H186" s="6" t="str">
        <f>'Reported burning'!H186</f>
        <v>Presence</v>
      </c>
      <c r="I186" s="3">
        <v>2006</v>
      </c>
      <c r="J186" s="21" t="s">
        <v>2276</v>
      </c>
      <c r="K186" s="103" t="s">
        <v>2276</v>
      </c>
      <c r="L186" s="21" t="s">
        <v>2276</v>
      </c>
      <c r="M186" s="21" t="s">
        <v>2276</v>
      </c>
      <c r="N186" s="21" t="s">
        <v>2276</v>
      </c>
      <c r="O186" s="21" t="s">
        <v>2276</v>
      </c>
      <c r="P186" s="21" t="s">
        <v>2378</v>
      </c>
      <c r="Q186" s="102" t="s">
        <v>2276</v>
      </c>
      <c r="R186" s="102" t="s">
        <v>2276</v>
      </c>
      <c r="S186" s="21" t="s">
        <v>2276</v>
      </c>
      <c r="T186" s="21" t="s">
        <v>2276</v>
      </c>
      <c r="U186" s="21" t="s">
        <v>2276</v>
      </c>
      <c r="V186" s="21" t="s">
        <v>2276</v>
      </c>
      <c r="W186" s="21" t="s">
        <v>2276</v>
      </c>
      <c r="X186" s="3" t="s">
        <v>2276</v>
      </c>
      <c r="Y186" s="3" t="s">
        <v>2276</v>
      </c>
      <c r="Z186" s="3" t="s">
        <v>2276</v>
      </c>
      <c r="AA186" s="4" t="s">
        <v>1398</v>
      </c>
      <c r="AB186" s="4" t="s">
        <v>1442</v>
      </c>
    </row>
    <row r="187" spans="1:28" ht="75" customHeight="1">
      <c r="A187" s="6" t="str">
        <f>'Reported burning'!A187</f>
        <v>12a</v>
      </c>
      <c r="B187" s="6" t="str">
        <f>'Reported burning'!B187</f>
        <v>12a.28</v>
      </c>
      <c r="C187" s="6" t="str">
        <f>'Reported burning'!C187</f>
        <v>Human, deliberate</v>
      </c>
      <c r="D187" s="6" t="str">
        <f>'Reported burning'!D187</f>
        <v>Forest clearance</v>
      </c>
      <c r="E187" s="6" t="str">
        <f>'Reported burning'!E187</f>
        <v>Cattle, Extensive</v>
      </c>
      <c r="F187" s="6" t="str">
        <f>'Reported burning'!F187</f>
        <v>Forest</v>
      </c>
      <c r="G187" s="6" t="str">
        <f>'Reported burning'!G187</f>
        <v>Forest</v>
      </c>
      <c r="H187" s="6" t="str">
        <f>'Reported burning'!H187</f>
        <v>Presence</v>
      </c>
      <c r="I187" s="3">
        <v>2007</v>
      </c>
      <c r="J187" s="21" t="s">
        <v>2276</v>
      </c>
      <c r="K187" s="103" t="s">
        <v>2276</v>
      </c>
      <c r="L187" s="21" t="s">
        <v>2276</v>
      </c>
      <c r="M187" s="21" t="s">
        <v>2276</v>
      </c>
      <c r="N187" s="21" t="s">
        <v>2276</v>
      </c>
      <c r="O187" s="21" t="s">
        <v>2276</v>
      </c>
      <c r="P187" s="21" t="s">
        <v>2378</v>
      </c>
      <c r="Q187" s="102" t="s">
        <v>2276</v>
      </c>
      <c r="R187" s="102" t="s">
        <v>2276</v>
      </c>
      <c r="S187" s="21" t="s">
        <v>2276</v>
      </c>
      <c r="T187" s="21" t="s">
        <v>2276</v>
      </c>
      <c r="U187" s="21" t="s">
        <v>2276</v>
      </c>
      <c r="V187" s="21" t="s">
        <v>2276</v>
      </c>
      <c r="W187" s="21" t="s">
        <v>2276</v>
      </c>
      <c r="X187" s="3" t="s">
        <v>2276</v>
      </c>
      <c r="Y187" s="3" t="s">
        <v>2276</v>
      </c>
      <c r="Z187" s="3" t="s">
        <v>2276</v>
      </c>
      <c r="AA187" s="4" t="s">
        <v>1398</v>
      </c>
      <c r="AB187" s="4" t="s">
        <v>1442</v>
      </c>
    </row>
    <row r="188" spans="1:28" ht="75" customHeight="1">
      <c r="A188" s="6" t="str">
        <f>'Reported burning'!A188</f>
        <v>12a</v>
      </c>
      <c r="B188" s="6" t="str">
        <f>'Reported burning'!B188</f>
        <v>12a.29</v>
      </c>
      <c r="C188" s="6" t="str">
        <f>'Reported burning'!C188</f>
        <v>Human, deliberate</v>
      </c>
      <c r="D188" s="6" t="str">
        <f>'Reported burning'!D188</f>
        <v>Forest clearance</v>
      </c>
      <c r="E188" s="6" t="str">
        <f>'Reported burning'!E188</f>
        <v>Cattle, Extensive</v>
      </c>
      <c r="F188" s="6" t="str">
        <f>'Reported burning'!F188</f>
        <v>Forest</v>
      </c>
      <c r="G188" s="6" t="str">
        <f>'Reported burning'!G188</f>
        <v>Forest</v>
      </c>
      <c r="H188" s="6" t="str">
        <f>'Reported burning'!H188</f>
        <v>Presence</v>
      </c>
      <c r="I188" s="3">
        <v>2008</v>
      </c>
      <c r="J188" s="21" t="s">
        <v>2276</v>
      </c>
      <c r="K188" s="103" t="s">
        <v>2276</v>
      </c>
      <c r="L188" s="21" t="s">
        <v>2276</v>
      </c>
      <c r="M188" s="21" t="s">
        <v>2276</v>
      </c>
      <c r="N188" s="21" t="s">
        <v>2276</v>
      </c>
      <c r="O188" s="21" t="s">
        <v>2276</v>
      </c>
      <c r="P188" s="21" t="s">
        <v>2378</v>
      </c>
      <c r="Q188" s="102" t="s">
        <v>2276</v>
      </c>
      <c r="R188" s="102" t="s">
        <v>2276</v>
      </c>
      <c r="S188" s="21" t="s">
        <v>2276</v>
      </c>
      <c r="T188" s="21" t="s">
        <v>2276</v>
      </c>
      <c r="U188" s="21" t="s">
        <v>2276</v>
      </c>
      <c r="V188" s="21" t="s">
        <v>2276</v>
      </c>
      <c r="W188" s="21" t="s">
        <v>2276</v>
      </c>
      <c r="X188" s="3" t="s">
        <v>2276</v>
      </c>
      <c r="Y188" s="3" t="s">
        <v>2276</v>
      </c>
      <c r="Z188" s="3" t="s">
        <v>2276</v>
      </c>
      <c r="AA188" s="4" t="s">
        <v>1398</v>
      </c>
      <c r="AB188" s="4" t="s">
        <v>1442</v>
      </c>
    </row>
    <row r="189" spans="1:28" ht="75" customHeight="1">
      <c r="A189" s="6" t="str">
        <f>'Reported burning'!A189</f>
        <v>12a</v>
      </c>
      <c r="B189" s="6" t="str">
        <f>'Reported burning'!B189</f>
        <v>12a.30</v>
      </c>
      <c r="C189" s="6" t="str">
        <f>'Reported burning'!C189</f>
        <v>Human, deliberate</v>
      </c>
      <c r="D189" s="6" t="str">
        <f>'Reported burning'!D189</f>
        <v>Forest clearance</v>
      </c>
      <c r="E189" s="6" t="str">
        <f>'Reported burning'!E189</f>
        <v>Cattle, Extensive</v>
      </c>
      <c r="F189" s="6" t="str">
        <f>'Reported burning'!F189</f>
        <v>Forest</v>
      </c>
      <c r="G189" s="6" t="str">
        <f>'Reported burning'!G189</f>
        <v>Forest</v>
      </c>
      <c r="H189" s="6" t="str">
        <f>'Reported burning'!H189</f>
        <v>Presence</v>
      </c>
      <c r="I189" s="3">
        <v>2009</v>
      </c>
      <c r="J189" s="21" t="s">
        <v>2276</v>
      </c>
      <c r="K189" s="103" t="s">
        <v>2276</v>
      </c>
      <c r="L189" s="21" t="s">
        <v>2276</v>
      </c>
      <c r="M189" s="21" t="s">
        <v>2276</v>
      </c>
      <c r="N189" s="21" t="s">
        <v>2276</v>
      </c>
      <c r="O189" s="21" t="s">
        <v>2276</v>
      </c>
      <c r="P189" s="21" t="s">
        <v>2377</v>
      </c>
      <c r="Q189" s="102" t="s">
        <v>2276</v>
      </c>
      <c r="R189" s="102" t="s">
        <v>2276</v>
      </c>
      <c r="S189" s="21" t="s">
        <v>2276</v>
      </c>
      <c r="T189" s="21" t="s">
        <v>2276</v>
      </c>
      <c r="U189" s="21" t="s">
        <v>2276</v>
      </c>
      <c r="V189" s="21" t="s">
        <v>2276</v>
      </c>
      <c r="W189" s="21" t="s">
        <v>2276</v>
      </c>
      <c r="X189" s="3" t="s">
        <v>2276</v>
      </c>
      <c r="Y189" s="3" t="s">
        <v>2276</v>
      </c>
      <c r="Z189" s="3" t="s">
        <v>2276</v>
      </c>
      <c r="AA189" s="4" t="s">
        <v>1398</v>
      </c>
      <c r="AB189" s="4" t="s">
        <v>1442</v>
      </c>
    </row>
    <row r="190" spans="1:28" ht="75" customHeight="1">
      <c r="A190" s="6" t="str">
        <f>'Reported burning'!A190</f>
        <v>12a</v>
      </c>
      <c r="B190" s="6" t="str">
        <f>'Reported burning'!B190</f>
        <v>12a.31</v>
      </c>
      <c r="C190" s="6" t="str">
        <f>'Reported burning'!C190</f>
        <v>Human, deliberate</v>
      </c>
      <c r="D190" s="6" t="str">
        <f>'Reported burning'!D190</f>
        <v>Forest clearance</v>
      </c>
      <c r="E190" s="6" t="str">
        <f>'Reported burning'!E190</f>
        <v>Cattle, Extensive</v>
      </c>
      <c r="F190" s="6" t="str">
        <f>'Reported burning'!F190</f>
        <v>Forest</v>
      </c>
      <c r="G190" s="6" t="str">
        <f>'Reported burning'!G190</f>
        <v>Forest</v>
      </c>
      <c r="H190" s="6" t="str">
        <f>'Reported burning'!H190</f>
        <v>Presence</v>
      </c>
      <c r="I190" s="3">
        <v>2010</v>
      </c>
      <c r="J190" s="21" t="s">
        <v>2276</v>
      </c>
      <c r="K190" s="103" t="s">
        <v>2276</v>
      </c>
      <c r="L190" s="21" t="s">
        <v>2276</v>
      </c>
      <c r="M190" s="21" t="s">
        <v>2276</v>
      </c>
      <c r="N190" s="21" t="s">
        <v>2276</v>
      </c>
      <c r="O190" s="21" t="s">
        <v>2276</v>
      </c>
      <c r="P190" s="21" t="s">
        <v>2378</v>
      </c>
      <c r="Q190" s="102" t="s">
        <v>2276</v>
      </c>
      <c r="R190" s="102" t="s">
        <v>2276</v>
      </c>
      <c r="S190" s="21" t="s">
        <v>2276</v>
      </c>
      <c r="T190" s="21" t="s">
        <v>2276</v>
      </c>
      <c r="U190" s="21" t="s">
        <v>2276</v>
      </c>
      <c r="V190" s="21" t="s">
        <v>2276</v>
      </c>
      <c r="W190" s="21" t="s">
        <v>2276</v>
      </c>
      <c r="X190" s="3" t="s">
        <v>2276</v>
      </c>
      <c r="Y190" s="3" t="s">
        <v>2276</v>
      </c>
      <c r="Z190" s="3" t="s">
        <v>2276</v>
      </c>
      <c r="AA190" s="4" t="s">
        <v>1398</v>
      </c>
      <c r="AB190" s="4" t="s">
        <v>1442</v>
      </c>
    </row>
    <row r="191" spans="1:28" ht="75" customHeight="1">
      <c r="A191" s="6" t="str">
        <f>'Reported burning'!A191</f>
        <v>12a</v>
      </c>
      <c r="B191" s="6" t="str">
        <f>'Reported burning'!B191</f>
        <v>12a.32</v>
      </c>
      <c r="C191" s="6" t="str">
        <f>'Reported burning'!C191</f>
        <v>Human, deliberate</v>
      </c>
      <c r="D191" s="6" t="str">
        <f>'Reported burning'!D191</f>
        <v>Forest clearance</v>
      </c>
      <c r="E191" s="6" t="str">
        <f>'Reported burning'!E191</f>
        <v>Cattle, Extensive</v>
      </c>
      <c r="F191" s="6" t="str">
        <f>'Reported burning'!F191</f>
        <v>Forest</v>
      </c>
      <c r="G191" s="6" t="str">
        <f>'Reported burning'!G191</f>
        <v>Forest</v>
      </c>
      <c r="H191" s="6" t="str">
        <f>'Reported burning'!H191</f>
        <v>Presence</v>
      </c>
      <c r="I191" s="3">
        <v>2011</v>
      </c>
      <c r="J191" s="21" t="s">
        <v>2276</v>
      </c>
      <c r="K191" s="103" t="s">
        <v>2276</v>
      </c>
      <c r="L191" s="21" t="s">
        <v>2276</v>
      </c>
      <c r="M191" s="21" t="s">
        <v>2276</v>
      </c>
      <c r="N191" s="21" t="s">
        <v>2276</v>
      </c>
      <c r="O191" s="21" t="s">
        <v>2276</v>
      </c>
      <c r="P191" s="21" t="s">
        <v>2378</v>
      </c>
      <c r="Q191" s="102" t="s">
        <v>2276</v>
      </c>
      <c r="R191" s="102" t="s">
        <v>2276</v>
      </c>
      <c r="S191" s="21" t="s">
        <v>2276</v>
      </c>
      <c r="T191" s="21" t="s">
        <v>2276</v>
      </c>
      <c r="U191" s="21" t="s">
        <v>2276</v>
      </c>
      <c r="V191" s="21" t="s">
        <v>2276</v>
      </c>
      <c r="W191" s="21" t="s">
        <v>2276</v>
      </c>
      <c r="X191" s="3" t="s">
        <v>2276</v>
      </c>
      <c r="Y191" s="3" t="s">
        <v>2276</v>
      </c>
      <c r="Z191" s="3" t="s">
        <v>2276</v>
      </c>
      <c r="AA191" s="4" t="s">
        <v>1398</v>
      </c>
      <c r="AB191" s="4" t="s">
        <v>1442</v>
      </c>
    </row>
    <row r="192" spans="1:28" ht="75" customHeight="1">
      <c r="A192" s="6" t="str">
        <f>'Reported burning'!A192</f>
        <v>12a</v>
      </c>
      <c r="B192" s="6" t="str">
        <f>'Reported burning'!B192</f>
        <v>12a.33</v>
      </c>
      <c r="C192" s="6" t="str">
        <f>'Reported burning'!C192</f>
        <v>Human, deliberate</v>
      </c>
      <c r="D192" s="6" t="str">
        <f>'Reported burning'!D192</f>
        <v>Forest clearance</v>
      </c>
      <c r="E192" s="6" t="str">
        <f>'Reported burning'!E192</f>
        <v>Cattle, Extensive</v>
      </c>
      <c r="F192" s="6" t="str">
        <f>'Reported burning'!F192</f>
        <v>Forest</v>
      </c>
      <c r="G192" s="6" t="str">
        <f>'Reported burning'!G192</f>
        <v>Forest</v>
      </c>
      <c r="H192" s="6" t="str">
        <f>'Reported burning'!H192</f>
        <v>Presence</v>
      </c>
      <c r="I192" s="3">
        <v>2012</v>
      </c>
      <c r="J192" s="21" t="s">
        <v>2276</v>
      </c>
      <c r="K192" s="103" t="s">
        <v>2276</v>
      </c>
      <c r="L192" s="21" t="s">
        <v>2276</v>
      </c>
      <c r="M192" s="21" t="s">
        <v>2276</v>
      </c>
      <c r="N192" s="21" t="s">
        <v>2276</v>
      </c>
      <c r="O192" s="21" t="s">
        <v>2276</v>
      </c>
      <c r="P192" s="21" t="s">
        <v>2378</v>
      </c>
      <c r="Q192" s="102" t="s">
        <v>2276</v>
      </c>
      <c r="R192" s="102" t="s">
        <v>2276</v>
      </c>
      <c r="S192" s="21" t="s">
        <v>2276</v>
      </c>
      <c r="T192" s="21" t="s">
        <v>2276</v>
      </c>
      <c r="U192" s="21" t="s">
        <v>2276</v>
      </c>
      <c r="V192" s="21" t="s">
        <v>2276</v>
      </c>
      <c r="W192" s="21" t="s">
        <v>2276</v>
      </c>
      <c r="X192" s="3" t="s">
        <v>2276</v>
      </c>
      <c r="Y192" s="3" t="s">
        <v>2276</v>
      </c>
      <c r="Z192" s="3" t="s">
        <v>2276</v>
      </c>
      <c r="AA192" s="4" t="s">
        <v>1398</v>
      </c>
      <c r="AB192" s="4" t="s">
        <v>1442</v>
      </c>
    </row>
    <row r="193" spans="1:28" ht="75" customHeight="1">
      <c r="A193" s="6" t="str">
        <f>'Reported burning'!A193</f>
        <v>12b</v>
      </c>
      <c r="B193" s="6" t="str">
        <f>'Reported burning'!B193</f>
        <v>12b.1</v>
      </c>
      <c r="C193" s="6" t="str">
        <f>'Reported burning'!C193</f>
        <v>Human, deliberate</v>
      </c>
      <c r="D193" s="6" t="str">
        <f>'Reported burning'!D193</f>
        <v>Forest clearance</v>
      </c>
      <c r="E193" s="6" t="str">
        <f>'Reported burning'!E193</f>
        <v>Cropping, Monoculture, Market-oriented</v>
      </c>
      <c r="F193" s="6" t="str">
        <f>'Reported burning'!F193</f>
        <v>Forest</v>
      </c>
      <c r="G193" s="6" t="str">
        <f>'Reported burning'!G193</f>
        <v>Forest</v>
      </c>
      <c r="H193" s="6" t="str">
        <f>'Reported burning'!H193</f>
        <v>Presence</v>
      </c>
      <c r="I193" s="3">
        <v>2002</v>
      </c>
      <c r="J193" s="21" t="s">
        <v>2276</v>
      </c>
      <c r="K193" s="103" t="s">
        <v>2276</v>
      </c>
      <c r="L193" s="21" t="s">
        <v>2276</v>
      </c>
      <c r="M193" s="21" t="s">
        <v>2276</v>
      </c>
      <c r="N193" s="21" t="s">
        <v>2276</v>
      </c>
      <c r="O193" s="21" t="s">
        <v>2276</v>
      </c>
      <c r="P193" s="21" t="s">
        <v>2377</v>
      </c>
      <c r="Q193" s="102" t="s">
        <v>2276</v>
      </c>
      <c r="R193" s="102" t="s">
        <v>2276</v>
      </c>
      <c r="S193" s="21" t="s">
        <v>2276</v>
      </c>
      <c r="T193" s="21" t="s">
        <v>2276</v>
      </c>
      <c r="U193" s="21" t="s">
        <v>2276</v>
      </c>
      <c r="V193" s="21" t="s">
        <v>2276</v>
      </c>
      <c r="W193" s="21" t="s">
        <v>2276</v>
      </c>
      <c r="X193" s="3" t="s">
        <v>2276</v>
      </c>
      <c r="Y193" s="3" t="s">
        <v>2276</v>
      </c>
      <c r="Z193" s="3" t="s">
        <v>2276</v>
      </c>
      <c r="AA193" s="4" t="s">
        <v>1398</v>
      </c>
      <c r="AB193" s="4" t="s">
        <v>1442</v>
      </c>
    </row>
    <row r="194" spans="1:28" ht="75" customHeight="1">
      <c r="A194" s="6" t="str">
        <f>'Reported burning'!A194</f>
        <v>12b</v>
      </c>
      <c r="B194" s="6" t="str">
        <f>'Reported burning'!B194</f>
        <v>12b.2</v>
      </c>
      <c r="C194" s="6" t="str">
        <f>'Reported burning'!C194</f>
        <v>Human, deliberate</v>
      </c>
      <c r="D194" s="6" t="str">
        <f>'Reported burning'!D194</f>
        <v>Forest clearance</v>
      </c>
      <c r="E194" s="6" t="str">
        <f>'Reported burning'!E194</f>
        <v>Cropping, Monoculture, Market-oriented</v>
      </c>
      <c r="F194" s="6" t="str">
        <f>'Reported burning'!F194</f>
        <v>Forest</v>
      </c>
      <c r="G194" s="6" t="str">
        <f>'Reported burning'!G194</f>
        <v>Forest</v>
      </c>
      <c r="H194" s="6" t="str">
        <f>'Reported burning'!H194</f>
        <v>Presence</v>
      </c>
      <c r="I194" s="3">
        <v>2003</v>
      </c>
      <c r="J194" s="21" t="s">
        <v>2276</v>
      </c>
      <c r="K194" s="103" t="s">
        <v>2276</v>
      </c>
      <c r="L194" s="21" t="s">
        <v>2276</v>
      </c>
      <c r="M194" s="21" t="s">
        <v>2276</v>
      </c>
      <c r="N194" s="21" t="s">
        <v>2276</v>
      </c>
      <c r="O194" s="21" t="s">
        <v>2276</v>
      </c>
      <c r="P194" s="21" t="s">
        <v>2377</v>
      </c>
      <c r="Q194" s="102" t="s">
        <v>2276</v>
      </c>
      <c r="R194" s="102" t="s">
        <v>2276</v>
      </c>
      <c r="S194" s="21" t="s">
        <v>2276</v>
      </c>
      <c r="T194" s="21" t="s">
        <v>2276</v>
      </c>
      <c r="U194" s="21" t="s">
        <v>2276</v>
      </c>
      <c r="V194" s="21" t="s">
        <v>2276</v>
      </c>
      <c r="W194" s="21" t="s">
        <v>2276</v>
      </c>
      <c r="X194" s="3" t="s">
        <v>2276</v>
      </c>
      <c r="Y194" s="3" t="s">
        <v>2276</v>
      </c>
      <c r="Z194" s="3" t="s">
        <v>2276</v>
      </c>
      <c r="AA194" s="4" t="s">
        <v>1398</v>
      </c>
      <c r="AB194" s="4" t="s">
        <v>1442</v>
      </c>
    </row>
    <row r="195" spans="1:28" ht="75" customHeight="1">
      <c r="A195" s="6" t="str">
        <f>'Reported burning'!A195</f>
        <v>12b</v>
      </c>
      <c r="B195" s="6" t="str">
        <f>'Reported burning'!B195</f>
        <v>12b.3</v>
      </c>
      <c r="C195" s="6" t="str">
        <f>'Reported burning'!C195</f>
        <v>Human, deliberate</v>
      </c>
      <c r="D195" s="6" t="str">
        <f>'Reported burning'!D195</f>
        <v>Forest clearance</v>
      </c>
      <c r="E195" s="6" t="str">
        <f>'Reported burning'!E195</f>
        <v>Cropping, Monoculture, Market-oriented</v>
      </c>
      <c r="F195" s="6" t="str">
        <f>'Reported burning'!F195</f>
        <v>Forest</v>
      </c>
      <c r="G195" s="6" t="str">
        <f>'Reported burning'!G195</f>
        <v>Forest</v>
      </c>
      <c r="H195" s="6" t="str">
        <f>'Reported burning'!H195</f>
        <v>Presence</v>
      </c>
      <c r="I195" s="3">
        <v>2004</v>
      </c>
      <c r="J195" s="21" t="s">
        <v>2276</v>
      </c>
      <c r="K195" s="103" t="s">
        <v>2276</v>
      </c>
      <c r="L195" s="21" t="s">
        <v>2276</v>
      </c>
      <c r="M195" s="21" t="s">
        <v>2276</v>
      </c>
      <c r="N195" s="21" t="s">
        <v>2276</v>
      </c>
      <c r="O195" s="21" t="s">
        <v>2276</v>
      </c>
      <c r="P195" s="21" t="s">
        <v>2377</v>
      </c>
      <c r="Q195" s="102" t="s">
        <v>2276</v>
      </c>
      <c r="R195" s="102" t="s">
        <v>2276</v>
      </c>
      <c r="S195" s="21" t="s">
        <v>2276</v>
      </c>
      <c r="T195" s="21" t="s">
        <v>2276</v>
      </c>
      <c r="U195" s="21" t="s">
        <v>2276</v>
      </c>
      <c r="V195" s="21" t="s">
        <v>2276</v>
      </c>
      <c r="W195" s="21" t="s">
        <v>2276</v>
      </c>
      <c r="X195" s="3" t="s">
        <v>2276</v>
      </c>
      <c r="Y195" s="3" t="s">
        <v>2276</v>
      </c>
      <c r="Z195" s="3" t="s">
        <v>2276</v>
      </c>
      <c r="AA195" s="4" t="s">
        <v>1398</v>
      </c>
      <c r="AB195" s="4" t="s">
        <v>1442</v>
      </c>
    </row>
    <row r="196" spans="1:28" ht="75" customHeight="1">
      <c r="A196" s="6" t="str">
        <f>'Reported burning'!A196</f>
        <v>12b</v>
      </c>
      <c r="B196" s="6" t="str">
        <f>'Reported burning'!B196</f>
        <v>12b.4</v>
      </c>
      <c r="C196" s="6" t="str">
        <f>'Reported burning'!C196</f>
        <v>Human, deliberate</v>
      </c>
      <c r="D196" s="6" t="str">
        <f>'Reported burning'!D196</f>
        <v>Forest clearance</v>
      </c>
      <c r="E196" s="6" t="str">
        <f>'Reported burning'!E196</f>
        <v>Cropping, Monoculture, Market-oriented</v>
      </c>
      <c r="F196" s="6" t="str">
        <f>'Reported burning'!F196</f>
        <v>Forest</v>
      </c>
      <c r="G196" s="6" t="str">
        <f>'Reported burning'!G196</f>
        <v>Forest</v>
      </c>
      <c r="H196" s="6" t="str">
        <f>'Reported burning'!H196</f>
        <v>Presence</v>
      </c>
      <c r="I196" s="3">
        <v>2005</v>
      </c>
      <c r="J196" s="21" t="s">
        <v>2276</v>
      </c>
      <c r="K196" s="103" t="s">
        <v>2276</v>
      </c>
      <c r="L196" s="21" t="s">
        <v>2276</v>
      </c>
      <c r="M196" s="21" t="s">
        <v>2276</v>
      </c>
      <c r="N196" s="21" t="s">
        <v>2276</v>
      </c>
      <c r="O196" s="21" t="s">
        <v>2276</v>
      </c>
      <c r="P196" s="21" t="s">
        <v>2377</v>
      </c>
      <c r="Q196" s="102" t="s">
        <v>2276</v>
      </c>
      <c r="R196" s="102" t="s">
        <v>2276</v>
      </c>
      <c r="S196" s="21" t="s">
        <v>2276</v>
      </c>
      <c r="T196" s="21" t="s">
        <v>2276</v>
      </c>
      <c r="U196" s="21" t="s">
        <v>2276</v>
      </c>
      <c r="V196" s="21" t="s">
        <v>2276</v>
      </c>
      <c r="W196" s="21" t="s">
        <v>2276</v>
      </c>
      <c r="X196" s="3" t="s">
        <v>2276</v>
      </c>
      <c r="Y196" s="3" t="s">
        <v>2276</v>
      </c>
      <c r="Z196" s="3" t="s">
        <v>2276</v>
      </c>
      <c r="AA196" s="4" t="s">
        <v>1398</v>
      </c>
      <c r="AB196" s="4" t="s">
        <v>1442</v>
      </c>
    </row>
    <row r="197" spans="1:28" ht="75" customHeight="1">
      <c r="A197" s="6" t="str">
        <f>'Reported burning'!A197</f>
        <v>12b</v>
      </c>
      <c r="B197" s="6" t="str">
        <f>'Reported burning'!B197</f>
        <v>12b.5</v>
      </c>
      <c r="C197" s="6" t="str">
        <f>'Reported burning'!C197</f>
        <v>Human, deliberate</v>
      </c>
      <c r="D197" s="6" t="str">
        <f>'Reported burning'!D197</f>
        <v>Forest clearance</v>
      </c>
      <c r="E197" s="6" t="str">
        <f>'Reported burning'!E197</f>
        <v>Cropping, Monoculture, Market-oriented</v>
      </c>
      <c r="F197" s="6" t="str">
        <f>'Reported burning'!F197</f>
        <v>Forest</v>
      </c>
      <c r="G197" s="6" t="str">
        <f>'Reported burning'!G197</f>
        <v>Forest</v>
      </c>
      <c r="H197" s="6" t="str">
        <f>'Reported burning'!H197</f>
        <v>Presence</v>
      </c>
      <c r="I197" s="3">
        <v>2006</v>
      </c>
      <c r="J197" s="21" t="s">
        <v>2276</v>
      </c>
      <c r="K197" s="103" t="s">
        <v>2276</v>
      </c>
      <c r="L197" s="21" t="s">
        <v>2276</v>
      </c>
      <c r="M197" s="21" t="s">
        <v>2276</v>
      </c>
      <c r="N197" s="21" t="s">
        <v>2276</v>
      </c>
      <c r="O197" s="21" t="s">
        <v>2276</v>
      </c>
      <c r="P197" s="21" t="s">
        <v>2377</v>
      </c>
      <c r="Q197" s="102" t="s">
        <v>2276</v>
      </c>
      <c r="R197" s="102" t="s">
        <v>2276</v>
      </c>
      <c r="S197" s="21" t="s">
        <v>2276</v>
      </c>
      <c r="T197" s="21" t="s">
        <v>2276</v>
      </c>
      <c r="U197" s="21" t="s">
        <v>2276</v>
      </c>
      <c r="V197" s="21" t="s">
        <v>2276</v>
      </c>
      <c r="W197" s="21" t="s">
        <v>2276</v>
      </c>
      <c r="X197" s="3" t="s">
        <v>2276</v>
      </c>
      <c r="Y197" s="3" t="s">
        <v>2276</v>
      </c>
      <c r="Z197" s="3" t="s">
        <v>2276</v>
      </c>
      <c r="AA197" s="4" t="s">
        <v>1398</v>
      </c>
      <c r="AB197" s="4" t="s">
        <v>1442</v>
      </c>
    </row>
    <row r="198" spans="1:28" ht="75" customHeight="1">
      <c r="A198" s="6" t="str">
        <f>'Reported burning'!A198</f>
        <v>12b</v>
      </c>
      <c r="B198" s="6" t="str">
        <f>'Reported burning'!B198</f>
        <v>12b.6</v>
      </c>
      <c r="C198" s="6" t="str">
        <f>'Reported burning'!C198</f>
        <v>Human, deliberate</v>
      </c>
      <c r="D198" s="6" t="str">
        <f>'Reported burning'!D198</f>
        <v>Forest clearance</v>
      </c>
      <c r="E198" s="6" t="str">
        <f>'Reported burning'!E198</f>
        <v>Cropping, Monoculture, Market-oriented</v>
      </c>
      <c r="F198" s="6" t="str">
        <f>'Reported burning'!F198</f>
        <v>Forest</v>
      </c>
      <c r="G198" s="6" t="str">
        <f>'Reported burning'!G198</f>
        <v>Forest</v>
      </c>
      <c r="H198" s="6" t="str">
        <f>'Reported burning'!H198</f>
        <v>Presence</v>
      </c>
      <c r="I198" s="3">
        <v>2007</v>
      </c>
      <c r="J198" s="21" t="s">
        <v>2276</v>
      </c>
      <c r="K198" s="103" t="s">
        <v>2276</v>
      </c>
      <c r="L198" s="21" t="s">
        <v>2276</v>
      </c>
      <c r="M198" s="21" t="s">
        <v>2276</v>
      </c>
      <c r="N198" s="21" t="s">
        <v>2276</v>
      </c>
      <c r="O198" s="21" t="s">
        <v>2276</v>
      </c>
      <c r="P198" s="21" t="s">
        <v>2377</v>
      </c>
      <c r="Q198" s="102" t="s">
        <v>2276</v>
      </c>
      <c r="R198" s="102" t="s">
        <v>2276</v>
      </c>
      <c r="S198" s="21" t="s">
        <v>2276</v>
      </c>
      <c r="T198" s="21" t="s">
        <v>2276</v>
      </c>
      <c r="U198" s="21" t="s">
        <v>2276</v>
      </c>
      <c r="V198" s="21" t="s">
        <v>2276</v>
      </c>
      <c r="W198" s="21" t="s">
        <v>2276</v>
      </c>
      <c r="X198" s="3" t="s">
        <v>2276</v>
      </c>
      <c r="Y198" s="3" t="s">
        <v>2276</v>
      </c>
      <c r="Z198" s="3" t="s">
        <v>2276</v>
      </c>
      <c r="AA198" s="4" t="s">
        <v>1398</v>
      </c>
      <c r="AB198" s="4" t="s">
        <v>1442</v>
      </c>
    </row>
    <row r="199" spans="1:28" ht="106" customHeight="1">
      <c r="A199" s="6" t="str">
        <f>'Reported burning'!A199</f>
        <v>12b</v>
      </c>
      <c r="B199" s="6" t="str">
        <f>'Reported burning'!B199</f>
        <v>12b.7</v>
      </c>
      <c r="C199" s="6" t="str">
        <f>'Reported burning'!C199</f>
        <v>Human, deliberate</v>
      </c>
      <c r="D199" s="6" t="str">
        <f>'Reported burning'!D199</f>
        <v>Forest clearance</v>
      </c>
      <c r="E199" s="6" t="str">
        <f>'Reported burning'!E199</f>
        <v>Cropping, Monoculture, Market-oriented</v>
      </c>
      <c r="F199" s="6" t="str">
        <f>'Reported burning'!F199</f>
        <v>Forest</v>
      </c>
      <c r="G199" s="6" t="str">
        <f>'Reported burning'!G199</f>
        <v>Forest</v>
      </c>
      <c r="H199" s="6" t="str">
        <f>'Reported burning'!H199</f>
        <v>Presence</v>
      </c>
      <c r="I199" s="3">
        <v>2008</v>
      </c>
      <c r="J199" s="21" t="s">
        <v>2276</v>
      </c>
      <c r="K199" s="103" t="s">
        <v>2276</v>
      </c>
      <c r="L199" s="21" t="s">
        <v>2276</v>
      </c>
      <c r="M199" s="21" t="s">
        <v>2276</v>
      </c>
      <c r="N199" s="21" t="s">
        <v>2276</v>
      </c>
      <c r="O199" s="21" t="s">
        <v>2276</v>
      </c>
      <c r="P199" s="21" t="s">
        <v>2377</v>
      </c>
      <c r="Q199" s="102" t="s">
        <v>2276</v>
      </c>
      <c r="R199" s="102" t="s">
        <v>2276</v>
      </c>
      <c r="S199" s="21" t="s">
        <v>2276</v>
      </c>
      <c r="T199" s="21" t="s">
        <v>2276</v>
      </c>
      <c r="U199" s="21" t="s">
        <v>2276</v>
      </c>
      <c r="V199" s="21" t="s">
        <v>2276</v>
      </c>
      <c r="W199" s="21" t="s">
        <v>2276</v>
      </c>
      <c r="X199" s="3" t="s">
        <v>2276</v>
      </c>
      <c r="Y199" s="3" t="s">
        <v>2276</v>
      </c>
      <c r="Z199" s="3" t="s">
        <v>2276</v>
      </c>
      <c r="AA199" s="4" t="s">
        <v>1398</v>
      </c>
      <c r="AB199" s="4" t="s">
        <v>1442</v>
      </c>
    </row>
    <row r="200" spans="1:28" ht="75" customHeight="1">
      <c r="A200" s="6" t="str">
        <f>'Reported burning'!A200</f>
        <v>12b</v>
      </c>
      <c r="B200" s="6" t="str">
        <f>'Reported burning'!B200</f>
        <v>12b.8</v>
      </c>
      <c r="C200" s="6" t="str">
        <f>'Reported burning'!C200</f>
        <v>Human, deliberate</v>
      </c>
      <c r="D200" s="6" t="str">
        <f>'Reported burning'!D200</f>
        <v>Forest clearance</v>
      </c>
      <c r="E200" s="6" t="str">
        <f>'Reported burning'!E200</f>
        <v>Cropping, Monoculture, Market-oriented</v>
      </c>
      <c r="F200" s="6" t="str">
        <f>'Reported burning'!F200</f>
        <v>Forest</v>
      </c>
      <c r="G200" s="6" t="str">
        <f>'Reported burning'!G200</f>
        <v>Forest</v>
      </c>
      <c r="H200" s="6" t="str">
        <f>'Reported burning'!H200</f>
        <v>Presence</v>
      </c>
      <c r="I200" s="3">
        <v>2009</v>
      </c>
      <c r="J200" s="21" t="s">
        <v>2276</v>
      </c>
      <c r="K200" s="103" t="s">
        <v>2276</v>
      </c>
      <c r="L200" s="21" t="s">
        <v>2276</v>
      </c>
      <c r="M200" s="21" t="s">
        <v>2276</v>
      </c>
      <c r="N200" s="21" t="s">
        <v>2276</v>
      </c>
      <c r="O200" s="21" t="s">
        <v>2276</v>
      </c>
      <c r="P200" s="21" t="s">
        <v>2377</v>
      </c>
      <c r="Q200" s="102" t="s">
        <v>2276</v>
      </c>
      <c r="R200" s="102" t="s">
        <v>2276</v>
      </c>
      <c r="S200" s="21" t="s">
        <v>2276</v>
      </c>
      <c r="T200" s="21" t="s">
        <v>2276</v>
      </c>
      <c r="U200" s="21" t="s">
        <v>2276</v>
      </c>
      <c r="V200" s="21" t="s">
        <v>2276</v>
      </c>
      <c r="W200" s="21" t="s">
        <v>2276</v>
      </c>
      <c r="X200" s="3" t="s">
        <v>2276</v>
      </c>
      <c r="Y200" s="3" t="s">
        <v>2276</v>
      </c>
      <c r="Z200" s="3" t="s">
        <v>2276</v>
      </c>
      <c r="AA200" s="4" t="s">
        <v>1398</v>
      </c>
      <c r="AB200" s="4" t="s">
        <v>1442</v>
      </c>
    </row>
    <row r="201" spans="1:28" ht="75" customHeight="1">
      <c r="A201" s="6" t="str">
        <f>'Reported burning'!A201</f>
        <v>12b</v>
      </c>
      <c r="B201" s="6" t="str">
        <f>'Reported burning'!B201</f>
        <v>12b.9</v>
      </c>
      <c r="C201" s="6" t="str">
        <f>'Reported burning'!C201</f>
        <v>Human, deliberate</v>
      </c>
      <c r="D201" s="6" t="str">
        <f>'Reported burning'!D201</f>
        <v>Forest clearance</v>
      </c>
      <c r="E201" s="6" t="str">
        <f>'Reported burning'!E201</f>
        <v>Cropping, Monoculture, Market-oriented</v>
      </c>
      <c r="F201" s="6" t="str">
        <f>'Reported burning'!F201</f>
        <v>Forest</v>
      </c>
      <c r="G201" s="6" t="str">
        <f>'Reported burning'!G201</f>
        <v>Forest</v>
      </c>
      <c r="H201" s="6" t="str">
        <f>'Reported burning'!H201</f>
        <v>Presence</v>
      </c>
      <c r="I201" s="3">
        <v>2010</v>
      </c>
      <c r="J201" s="21" t="s">
        <v>2276</v>
      </c>
      <c r="K201" s="103" t="s">
        <v>2276</v>
      </c>
      <c r="L201" s="21" t="s">
        <v>2276</v>
      </c>
      <c r="M201" s="21" t="s">
        <v>2276</v>
      </c>
      <c r="N201" s="21" t="s">
        <v>2276</v>
      </c>
      <c r="O201" s="21" t="s">
        <v>2276</v>
      </c>
      <c r="P201" s="21" t="s">
        <v>2377</v>
      </c>
      <c r="Q201" s="102" t="s">
        <v>2276</v>
      </c>
      <c r="R201" s="102" t="s">
        <v>2276</v>
      </c>
      <c r="S201" s="21" t="s">
        <v>2276</v>
      </c>
      <c r="T201" s="21" t="s">
        <v>2276</v>
      </c>
      <c r="U201" s="21" t="s">
        <v>2276</v>
      </c>
      <c r="V201" s="21" t="s">
        <v>2276</v>
      </c>
      <c r="W201" s="21" t="s">
        <v>2276</v>
      </c>
      <c r="X201" s="3" t="s">
        <v>2276</v>
      </c>
      <c r="Y201" s="3" t="s">
        <v>2276</v>
      </c>
      <c r="Z201" s="3" t="s">
        <v>2276</v>
      </c>
      <c r="AA201" s="4" t="s">
        <v>1398</v>
      </c>
      <c r="AB201" s="4" t="s">
        <v>1442</v>
      </c>
    </row>
    <row r="202" spans="1:28" ht="75" customHeight="1">
      <c r="A202" s="6" t="str">
        <f>'Reported burning'!A202</f>
        <v>12b</v>
      </c>
      <c r="B202" s="6" t="str">
        <f>'Reported burning'!B202</f>
        <v>12b.10</v>
      </c>
      <c r="C202" s="6" t="str">
        <f>'Reported burning'!C202</f>
        <v>Human, deliberate</v>
      </c>
      <c r="D202" s="6" t="str">
        <f>'Reported burning'!D202</f>
        <v>Forest clearance</v>
      </c>
      <c r="E202" s="6" t="str">
        <f>'Reported burning'!E202</f>
        <v>Cropping, Monoculture, Market-oriented</v>
      </c>
      <c r="F202" s="6" t="str">
        <f>'Reported burning'!F202</f>
        <v>Forest</v>
      </c>
      <c r="G202" s="6" t="str">
        <f>'Reported burning'!G202</f>
        <v>Forest</v>
      </c>
      <c r="H202" s="6" t="str">
        <f>'Reported burning'!H202</f>
        <v>Presence</v>
      </c>
      <c r="I202" s="3">
        <v>2011</v>
      </c>
      <c r="J202" s="21" t="s">
        <v>2276</v>
      </c>
      <c r="K202" s="103" t="s">
        <v>2276</v>
      </c>
      <c r="L202" s="21" t="s">
        <v>2276</v>
      </c>
      <c r="M202" s="21" t="s">
        <v>2276</v>
      </c>
      <c r="N202" s="21" t="s">
        <v>2276</v>
      </c>
      <c r="O202" s="21" t="s">
        <v>2276</v>
      </c>
      <c r="P202" s="21" t="s">
        <v>2377</v>
      </c>
      <c r="Q202" s="102" t="s">
        <v>2276</v>
      </c>
      <c r="R202" s="102" t="s">
        <v>2276</v>
      </c>
      <c r="S202" s="21" t="s">
        <v>2276</v>
      </c>
      <c r="T202" s="21" t="s">
        <v>2276</v>
      </c>
      <c r="U202" s="21" t="s">
        <v>2276</v>
      </c>
      <c r="V202" s="21" t="s">
        <v>2276</v>
      </c>
      <c r="W202" s="21" t="s">
        <v>2276</v>
      </c>
      <c r="X202" s="3" t="s">
        <v>2276</v>
      </c>
      <c r="Y202" s="3" t="s">
        <v>2276</v>
      </c>
      <c r="Z202" s="3" t="s">
        <v>2276</v>
      </c>
      <c r="AA202" s="4" t="s">
        <v>1398</v>
      </c>
      <c r="AB202" s="4" t="s">
        <v>1442</v>
      </c>
    </row>
    <row r="203" spans="1:28" ht="75" customHeight="1">
      <c r="A203" s="6" t="str">
        <f>'Reported burning'!A203</f>
        <v>12b</v>
      </c>
      <c r="B203" s="6" t="str">
        <f>'Reported burning'!B203</f>
        <v>12b.11</v>
      </c>
      <c r="C203" s="6" t="str">
        <f>'Reported burning'!C203</f>
        <v>Human, deliberate</v>
      </c>
      <c r="D203" s="6" t="str">
        <f>'Reported burning'!D203</f>
        <v>Forest clearance</v>
      </c>
      <c r="E203" s="6" t="str">
        <f>'Reported burning'!E203</f>
        <v>Cropping, Monoculture, Market-oriented</v>
      </c>
      <c r="F203" s="6" t="str">
        <f>'Reported burning'!F203</f>
        <v>Forest</v>
      </c>
      <c r="G203" s="6" t="str">
        <f>'Reported burning'!G203</f>
        <v>Forest</v>
      </c>
      <c r="H203" s="6" t="str">
        <f>'Reported burning'!H203</f>
        <v>Presence</v>
      </c>
      <c r="I203" s="3">
        <v>2012</v>
      </c>
      <c r="J203" s="21" t="s">
        <v>2276</v>
      </c>
      <c r="K203" s="103" t="s">
        <v>2276</v>
      </c>
      <c r="L203" s="21" t="s">
        <v>2276</v>
      </c>
      <c r="M203" s="21" t="s">
        <v>2276</v>
      </c>
      <c r="N203" s="21" t="s">
        <v>2276</v>
      </c>
      <c r="O203" s="21" t="s">
        <v>2276</v>
      </c>
      <c r="P203" s="21" t="s">
        <v>2377</v>
      </c>
      <c r="Q203" s="102" t="s">
        <v>2276</v>
      </c>
      <c r="R203" s="102" t="s">
        <v>2276</v>
      </c>
      <c r="S203" s="21" t="s">
        <v>2276</v>
      </c>
      <c r="T203" s="21" t="s">
        <v>2276</v>
      </c>
      <c r="U203" s="21" t="s">
        <v>2276</v>
      </c>
      <c r="V203" s="21" t="s">
        <v>2276</v>
      </c>
      <c r="W203" s="21" t="s">
        <v>2276</v>
      </c>
      <c r="X203" s="3" t="s">
        <v>2276</v>
      </c>
      <c r="Y203" s="3" t="s">
        <v>2276</v>
      </c>
      <c r="Z203" s="3" t="s">
        <v>2276</v>
      </c>
      <c r="AA203" s="4" t="s">
        <v>1398</v>
      </c>
      <c r="AB203" s="4" t="s">
        <v>1442</v>
      </c>
    </row>
    <row r="204" spans="1:28" ht="75" customHeight="1">
      <c r="A204" s="6" t="str">
        <f>'Reported burning'!A204</f>
        <v>12b</v>
      </c>
      <c r="B204" s="6" t="str">
        <f>'Reported burning'!B204</f>
        <v>12b.12</v>
      </c>
      <c r="C204" s="6" t="str">
        <f>'Reported burning'!C204</f>
        <v>Human, deliberate</v>
      </c>
      <c r="D204" s="6" t="str">
        <f>'Reported burning'!D204</f>
        <v>Forest clearance</v>
      </c>
      <c r="E204" s="6" t="str">
        <f>'Reported burning'!E204</f>
        <v>Cattle, Extensive</v>
      </c>
      <c r="F204" s="6" t="str">
        <f>'Reported burning'!F204</f>
        <v>Forest</v>
      </c>
      <c r="G204" s="6" t="str">
        <f>'Reported burning'!G204</f>
        <v>Forest</v>
      </c>
      <c r="H204" s="6" t="str">
        <f>'Reported burning'!H204</f>
        <v>Presence</v>
      </c>
      <c r="I204" s="3">
        <v>2002</v>
      </c>
      <c r="J204" s="21" t="s">
        <v>2276</v>
      </c>
      <c r="K204" s="103" t="s">
        <v>2276</v>
      </c>
      <c r="L204" s="21" t="s">
        <v>2276</v>
      </c>
      <c r="M204" s="21" t="s">
        <v>2276</v>
      </c>
      <c r="N204" s="21" t="s">
        <v>2276</v>
      </c>
      <c r="O204" s="21" t="s">
        <v>2276</v>
      </c>
      <c r="P204" s="21" t="s">
        <v>2377</v>
      </c>
      <c r="Q204" s="102" t="s">
        <v>2276</v>
      </c>
      <c r="R204" s="102" t="s">
        <v>2276</v>
      </c>
      <c r="S204" s="21" t="s">
        <v>2276</v>
      </c>
      <c r="T204" s="21" t="s">
        <v>2276</v>
      </c>
      <c r="U204" s="21" t="s">
        <v>2276</v>
      </c>
      <c r="V204" s="21" t="s">
        <v>2276</v>
      </c>
      <c r="W204" s="21" t="s">
        <v>2276</v>
      </c>
      <c r="X204" s="3" t="s">
        <v>2276</v>
      </c>
      <c r="Y204" s="3" t="s">
        <v>2276</v>
      </c>
      <c r="Z204" s="3" t="s">
        <v>2276</v>
      </c>
      <c r="AA204" s="4" t="s">
        <v>1398</v>
      </c>
      <c r="AB204" s="4" t="s">
        <v>1442</v>
      </c>
    </row>
    <row r="205" spans="1:28" ht="75" customHeight="1">
      <c r="A205" s="6" t="str">
        <f>'Reported burning'!A205</f>
        <v>12b</v>
      </c>
      <c r="B205" s="6" t="str">
        <f>'Reported burning'!B205</f>
        <v>12b.13</v>
      </c>
      <c r="C205" s="6" t="str">
        <f>'Reported burning'!C205</f>
        <v>Human, deliberate</v>
      </c>
      <c r="D205" s="6" t="str">
        <f>'Reported burning'!D205</f>
        <v>Forest clearance</v>
      </c>
      <c r="E205" s="6" t="str">
        <f>'Reported burning'!E205</f>
        <v>Cattle, Extensive</v>
      </c>
      <c r="F205" s="6" t="str">
        <f>'Reported burning'!F205</f>
        <v>Forest</v>
      </c>
      <c r="G205" s="6" t="str">
        <f>'Reported burning'!G205</f>
        <v>Forest</v>
      </c>
      <c r="H205" s="6" t="str">
        <f>'Reported burning'!H205</f>
        <v>Presence</v>
      </c>
      <c r="I205" s="3">
        <v>2003</v>
      </c>
      <c r="J205" s="21" t="s">
        <v>2276</v>
      </c>
      <c r="K205" s="103" t="s">
        <v>2276</v>
      </c>
      <c r="L205" s="21" t="s">
        <v>2276</v>
      </c>
      <c r="M205" s="21" t="s">
        <v>2276</v>
      </c>
      <c r="N205" s="21" t="s">
        <v>2276</v>
      </c>
      <c r="O205" s="21" t="s">
        <v>2276</v>
      </c>
      <c r="P205" s="21" t="s">
        <v>2377</v>
      </c>
      <c r="Q205" s="102" t="s">
        <v>2276</v>
      </c>
      <c r="R205" s="102" t="s">
        <v>2276</v>
      </c>
      <c r="S205" s="21" t="s">
        <v>2276</v>
      </c>
      <c r="T205" s="21" t="s">
        <v>2276</v>
      </c>
      <c r="U205" s="21" t="s">
        <v>2276</v>
      </c>
      <c r="V205" s="21" t="s">
        <v>2276</v>
      </c>
      <c r="W205" s="21" t="s">
        <v>2276</v>
      </c>
      <c r="X205" s="3" t="s">
        <v>2276</v>
      </c>
      <c r="Y205" s="3" t="s">
        <v>2276</v>
      </c>
      <c r="Z205" s="3" t="s">
        <v>2276</v>
      </c>
      <c r="AA205" s="4" t="s">
        <v>1398</v>
      </c>
      <c r="AB205" s="4" t="s">
        <v>1442</v>
      </c>
    </row>
    <row r="206" spans="1:28" ht="75" customHeight="1">
      <c r="A206" s="6" t="str">
        <f>'Reported burning'!A206</f>
        <v>12b</v>
      </c>
      <c r="B206" s="6" t="str">
        <f>'Reported burning'!B206</f>
        <v>12b.14</v>
      </c>
      <c r="C206" s="6" t="str">
        <f>'Reported burning'!C206</f>
        <v>Human, deliberate</v>
      </c>
      <c r="D206" s="6" t="str">
        <f>'Reported burning'!D206</f>
        <v>Forest clearance</v>
      </c>
      <c r="E206" s="6" t="str">
        <f>'Reported burning'!E206</f>
        <v>Cattle, Extensive</v>
      </c>
      <c r="F206" s="6" t="str">
        <f>'Reported burning'!F206</f>
        <v>Forest</v>
      </c>
      <c r="G206" s="6" t="str">
        <f>'Reported burning'!G206</f>
        <v>Forest</v>
      </c>
      <c r="H206" s="6" t="str">
        <f>'Reported burning'!H206</f>
        <v>Presence</v>
      </c>
      <c r="I206" s="3">
        <v>2004</v>
      </c>
      <c r="J206" s="21" t="s">
        <v>2276</v>
      </c>
      <c r="K206" s="103" t="s">
        <v>2276</v>
      </c>
      <c r="L206" s="21" t="s">
        <v>2276</v>
      </c>
      <c r="M206" s="21" t="s">
        <v>2276</v>
      </c>
      <c r="N206" s="21" t="s">
        <v>2276</v>
      </c>
      <c r="O206" s="21" t="s">
        <v>2276</v>
      </c>
      <c r="P206" s="21" t="s">
        <v>2377</v>
      </c>
      <c r="Q206" s="102" t="s">
        <v>2276</v>
      </c>
      <c r="R206" s="102" t="s">
        <v>2276</v>
      </c>
      <c r="S206" s="21" t="s">
        <v>2276</v>
      </c>
      <c r="T206" s="21" t="s">
        <v>2276</v>
      </c>
      <c r="U206" s="21" t="s">
        <v>2276</v>
      </c>
      <c r="V206" s="21" t="s">
        <v>2276</v>
      </c>
      <c r="W206" s="21" t="s">
        <v>2276</v>
      </c>
      <c r="X206" s="3" t="s">
        <v>2276</v>
      </c>
      <c r="Y206" s="3" t="s">
        <v>2276</v>
      </c>
      <c r="Z206" s="3" t="s">
        <v>2276</v>
      </c>
      <c r="AA206" s="4" t="s">
        <v>1398</v>
      </c>
      <c r="AB206" s="4" t="s">
        <v>1442</v>
      </c>
    </row>
    <row r="207" spans="1:28" ht="75" customHeight="1">
      <c r="A207" s="6" t="str">
        <f>'Reported burning'!A207</f>
        <v>12b</v>
      </c>
      <c r="B207" s="6" t="str">
        <f>'Reported burning'!B207</f>
        <v>12b.15</v>
      </c>
      <c r="C207" s="6" t="str">
        <f>'Reported burning'!C207</f>
        <v>Human, deliberate</v>
      </c>
      <c r="D207" s="6" t="str">
        <f>'Reported burning'!D207</f>
        <v>Forest clearance</v>
      </c>
      <c r="E207" s="6" t="str">
        <f>'Reported burning'!E207</f>
        <v>Cattle, Extensive</v>
      </c>
      <c r="F207" s="6" t="str">
        <f>'Reported burning'!F207</f>
        <v>Forest</v>
      </c>
      <c r="G207" s="6" t="str">
        <f>'Reported burning'!G207</f>
        <v>Forest</v>
      </c>
      <c r="H207" s="6" t="str">
        <f>'Reported burning'!H207</f>
        <v>Presence</v>
      </c>
      <c r="I207" s="3">
        <v>2005</v>
      </c>
      <c r="J207" s="21" t="s">
        <v>2276</v>
      </c>
      <c r="K207" s="103" t="s">
        <v>2276</v>
      </c>
      <c r="L207" s="21" t="s">
        <v>2276</v>
      </c>
      <c r="M207" s="21" t="s">
        <v>2276</v>
      </c>
      <c r="N207" s="21" t="s">
        <v>2276</v>
      </c>
      <c r="O207" s="21" t="s">
        <v>2276</v>
      </c>
      <c r="P207" s="21" t="s">
        <v>2377</v>
      </c>
      <c r="Q207" s="102" t="s">
        <v>2276</v>
      </c>
      <c r="R207" s="102" t="s">
        <v>2276</v>
      </c>
      <c r="S207" s="21" t="s">
        <v>2276</v>
      </c>
      <c r="T207" s="21" t="s">
        <v>2276</v>
      </c>
      <c r="U207" s="21" t="s">
        <v>2276</v>
      </c>
      <c r="V207" s="21" t="s">
        <v>2276</v>
      </c>
      <c r="W207" s="21" t="s">
        <v>2276</v>
      </c>
      <c r="X207" s="3" t="s">
        <v>2276</v>
      </c>
      <c r="Y207" s="3" t="s">
        <v>2276</v>
      </c>
      <c r="Z207" s="3" t="s">
        <v>2276</v>
      </c>
      <c r="AA207" s="4" t="s">
        <v>1398</v>
      </c>
      <c r="AB207" s="4" t="s">
        <v>1442</v>
      </c>
    </row>
    <row r="208" spans="1:28" ht="75" customHeight="1">
      <c r="A208" s="6" t="str">
        <f>'Reported burning'!A208</f>
        <v>12b</v>
      </c>
      <c r="B208" s="6" t="str">
        <f>'Reported burning'!B208</f>
        <v>12b.16</v>
      </c>
      <c r="C208" s="6" t="str">
        <f>'Reported burning'!C208</f>
        <v>Human, deliberate</v>
      </c>
      <c r="D208" s="6" t="str">
        <f>'Reported burning'!D208</f>
        <v>Forest clearance</v>
      </c>
      <c r="E208" s="6" t="str">
        <f>'Reported burning'!E208</f>
        <v>Cattle, Extensive</v>
      </c>
      <c r="F208" s="6" t="str">
        <f>'Reported burning'!F208</f>
        <v>Forest</v>
      </c>
      <c r="G208" s="6" t="str">
        <f>'Reported burning'!G208</f>
        <v>Forest</v>
      </c>
      <c r="H208" s="6" t="str">
        <f>'Reported burning'!H208</f>
        <v>Presence</v>
      </c>
      <c r="I208" s="3">
        <v>2006</v>
      </c>
      <c r="J208" s="21" t="s">
        <v>2276</v>
      </c>
      <c r="K208" s="103" t="s">
        <v>2276</v>
      </c>
      <c r="L208" s="21" t="s">
        <v>2276</v>
      </c>
      <c r="M208" s="21" t="s">
        <v>2276</v>
      </c>
      <c r="N208" s="21" t="s">
        <v>2276</v>
      </c>
      <c r="O208" s="21" t="s">
        <v>2276</v>
      </c>
      <c r="P208" s="21" t="s">
        <v>2377</v>
      </c>
      <c r="Q208" s="102" t="s">
        <v>2276</v>
      </c>
      <c r="R208" s="102" t="s">
        <v>2276</v>
      </c>
      <c r="S208" s="21" t="s">
        <v>2276</v>
      </c>
      <c r="T208" s="21" t="s">
        <v>2276</v>
      </c>
      <c r="U208" s="21" t="s">
        <v>2276</v>
      </c>
      <c r="V208" s="21" t="s">
        <v>2276</v>
      </c>
      <c r="W208" s="21" t="s">
        <v>2276</v>
      </c>
      <c r="X208" s="3" t="s">
        <v>2276</v>
      </c>
      <c r="Y208" s="3" t="s">
        <v>2276</v>
      </c>
      <c r="Z208" s="3" t="s">
        <v>2276</v>
      </c>
      <c r="AA208" s="4" t="s">
        <v>1398</v>
      </c>
      <c r="AB208" s="4" t="s">
        <v>1442</v>
      </c>
    </row>
    <row r="209" spans="1:28" ht="75" customHeight="1">
      <c r="A209" s="6" t="str">
        <f>'Reported burning'!A209</f>
        <v>12b</v>
      </c>
      <c r="B209" s="6" t="str">
        <f>'Reported burning'!B209</f>
        <v>12b.17</v>
      </c>
      <c r="C209" s="6" t="str">
        <f>'Reported burning'!C209</f>
        <v>Human, deliberate</v>
      </c>
      <c r="D209" s="6" t="str">
        <f>'Reported burning'!D209</f>
        <v>Forest clearance</v>
      </c>
      <c r="E209" s="6" t="str">
        <f>'Reported burning'!E209</f>
        <v>Cattle, Extensive</v>
      </c>
      <c r="F209" s="6" t="str">
        <f>'Reported burning'!F209</f>
        <v>Forest</v>
      </c>
      <c r="G209" s="6" t="str">
        <f>'Reported burning'!G209</f>
        <v>Forest</v>
      </c>
      <c r="H209" s="6" t="str">
        <f>'Reported burning'!H209</f>
        <v>Presence</v>
      </c>
      <c r="I209" s="3">
        <v>2007</v>
      </c>
      <c r="J209" s="21" t="s">
        <v>2276</v>
      </c>
      <c r="K209" s="103" t="s">
        <v>2276</v>
      </c>
      <c r="L209" s="21" t="s">
        <v>2276</v>
      </c>
      <c r="M209" s="21" t="s">
        <v>2276</v>
      </c>
      <c r="N209" s="21" t="s">
        <v>2276</v>
      </c>
      <c r="O209" s="21" t="s">
        <v>2276</v>
      </c>
      <c r="P209" s="21" t="s">
        <v>2377</v>
      </c>
      <c r="Q209" s="102" t="s">
        <v>2276</v>
      </c>
      <c r="R209" s="102" t="s">
        <v>2276</v>
      </c>
      <c r="S209" s="21" t="s">
        <v>2276</v>
      </c>
      <c r="T209" s="21" t="s">
        <v>2276</v>
      </c>
      <c r="U209" s="21" t="s">
        <v>2276</v>
      </c>
      <c r="V209" s="21" t="s">
        <v>2276</v>
      </c>
      <c r="W209" s="21" t="s">
        <v>2276</v>
      </c>
      <c r="X209" s="3" t="s">
        <v>2276</v>
      </c>
      <c r="Y209" s="3" t="s">
        <v>2276</v>
      </c>
      <c r="Z209" s="3" t="s">
        <v>2276</v>
      </c>
      <c r="AA209" s="4" t="s">
        <v>1398</v>
      </c>
      <c r="AB209" s="4" t="s">
        <v>1442</v>
      </c>
    </row>
    <row r="210" spans="1:28" ht="75" customHeight="1">
      <c r="A210" s="6" t="str">
        <f>'Reported burning'!A210</f>
        <v>12b</v>
      </c>
      <c r="B210" s="6" t="str">
        <f>'Reported burning'!B210</f>
        <v>12b.18</v>
      </c>
      <c r="C210" s="6" t="str">
        <f>'Reported burning'!C210</f>
        <v>Human, deliberate</v>
      </c>
      <c r="D210" s="6" t="str">
        <f>'Reported burning'!D210</f>
        <v>Forest clearance</v>
      </c>
      <c r="E210" s="6" t="str">
        <f>'Reported burning'!E210</f>
        <v>Cattle, Extensive</v>
      </c>
      <c r="F210" s="6" t="str">
        <f>'Reported burning'!F210</f>
        <v>Forest</v>
      </c>
      <c r="G210" s="6" t="str">
        <f>'Reported burning'!G210</f>
        <v>Forest</v>
      </c>
      <c r="H210" s="6" t="str">
        <f>'Reported burning'!H210</f>
        <v>Presence</v>
      </c>
      <c r="I210" s="3">
        <v>2008</v>
      </c>
      <c r="J210" s="21" t="s">
        <v>2276</v>
      </c>
      <c r="K210" s="103" t="s">
        <v>2276</v>
      </c>
      <c r="L210" s="21" t="s">
        <v>2276</v>
      </c>
      <c r="M210" s="21" t="s">
        <v>2276</v>
      </c>
      <c r="N210" s="21" t="s">
        <v>2276</v>
      </c>
      <c r="O210" s="21" t="s">
        <v>2276</v>
      </c>
      <c r="P210" s="21" t="s">
        <v>2377</v>
      </c>
      <c r="Q210" s="102" t="s">
        <v>2276</v>
      </c>
      <c r="R210" s="102" t="s">
        <v>2276</v>
      </c>
      <c r="S210" s="21" t="s">
        <v>2276</v>
      </c>
      <c r="T210" s="21" t="s">
        <v>2276</v>
      </c>
      <c r="U210" s="21" t="s">
        <v>2276</v>
      </c>
      <c r="V210" s="21" t="s">
        <v>2276</v>
      </c>
      <c r="W210" s="21" t="s">
        <v>2276</v>
      </c>
      <c r="X210" s="3" t="s">
        <v>2276</v>
      </c>
      <c r="Y210" s="3" t="s">
        <v>2276</v>
      </c>
      <c r="Z210" s="3" t="s">
        <v>2276</v>
      </c>
      <c r="AA210" s="4" t="s">
        <v>1398</v>
      </c>
      <c r="AB210" s="4" t="s">
        <v>1442</v>
      </c>
    </row>
    <row r="211" spans="1:28" ht="75" customHeight="1">
      <c r="A211" s="6" t="str">
        <f>'Reported burning'!A211</f>
        <v>12b</v>
      </c>
      <c r="B211" s="6" t="str">
        <f>'Reported burning'!B211</f>
        <v>12b.19</v>
      </c>
      <c r="C211" s="6" t="str">
        <f>'Reported burning'!C211</f>
        <v>Human, deliberate</v>
      </c>
      <c r="D211" s="6" t="str">
        <f>'Reported burning'!D211</f>
        <v>Forest clearance</v>
      </c>
      <c r="E211" s="6" t="str">
        <f>'Reported burning'!E211</f>
        <v>Cattle, Extensive</v>
      </c>
      <c r="F211" s="6" t="str">
        <f>'Reported burning'!F211</f>
        <v>Forest</v>
      </c>
      <c r="G211" s="6" t="str">
        <f>'Reported burning'!G211</f>
        <v>Forest</v>
      </c>
      <c r="H211" s="6" t="str">
        <f>'Reported burning'!H211</f>
        <v>Presence</v>
      </c>
      <c r="I211" s="3">
        <v>2009</v>
      </c>
      <c r="J211" s="21" t="s">
        <v>2276</v>
      </c>
      <c r="K211" s="103" t="s">
        <v>2276</v>
      </c>
      <c r="L211" s="21" t="s">
        <v>2276</v>
      </c>
      <c r="M211" s="21" t="s">
        <v>2276</v>
      </c>
      <c r="N211" s="21" t="s">
        <v>2276</v>
      </c>
      <c r="O211" s="21" t="s">
        <v>2276</v>
      </c>
      <c r="P211" s="21" t="s">
        <v>2377</v>
      </c>
      <c r="Q211" s="102" t="s">
        <v>2276</v>
      </c>
      <c r="R211" s="102" t="s">
        <v>2276</v>
      </c>
      <c r="S211" s="21" t="s">
        <v>2276</v>
      </c>
      <c r="T211" s="21" t="s">
        <v>2276</v>
      </c>
      <c r="U211" s="21" t="s">
        <v>2276</v>
      </c>
      <c r="V211" s="21" t="s">
        <v>2276</v>
      </c>
      <c r="W211" s="21" t="s">
        <v>2276</v>
      </c>
      <c r="X211" s="3" t="s">
        <v>2276</v>
      </c>
      <c r="Y211" s="3" t="s">
        <v>2276</v>
      </c>
      <c r="Z211" s="3" t="s">
        <v>2276</v>
      </c>
      <c r="AA211" s="4" t="s">
        <v>1398</v>
      </c>
      <c r="AB211" s="4" t="s">
        <v>1442</v>
      </c>
    </row>
    <row r="212" spans="1:28" ht="75" customHeight="1">
      <c r="A212" s="6" t="str">
        <f>'Reported burning'!A212</f>
        <v>12b</v>
      </c>
      <c r="B212" s="6" t="str">
        <f>'Reported burning'!B212</f>
        <v>12b.20</v>
      </c>
      <c r="C212" s="6" t="str">
        <f>'Reported burning'!C212</f>
        <v>Human, deliberate</v>
      </c>
      <c r="D212" s="6" t="str">
        <f>'Reported burning'!D212</f>
        <v>Forest clearance</v>
      </c>
      <c r="E212" s="6" t="str">
        <f>'Reported burning'!E212</f>
        <v>Cattle, Extensive</v>
      </c>
      <c r="F212" s="6" t="str">
        <f>'Reported burning'!F212</f>
        <v>Forest</v>
      </c>
      <c r="G212" s="6" t="str">
        <f>'Reported burning'!G212</f>
        <v>Forest</v>
      </c>
      <c r="H212" s="6" t="str">
        <f>'Reported burning'!H212</f>
        <v>Presence</v>
      </c>
      <c r="I212" s="3">
        <v>2010</v>
      </c>
      <c r="J212" s="21" t="s">
        <v>2276</v>
      </c>
      <c r="K212" s="103" t="s">
        <v>2276</v>
      </c>
      <c r="L212" s="21" t="s">
        <v>2276</v>
      </c>
      <c r="M212" s="21" t="s">
        <v>2276</v>
      </c>
      <c r="N212" s="21" t="s">
        <v>2276</v>
      </c>
      <c r="O212" s="21" t="s">
        <v>2276</v>
      </c>
      <c r="P212" s="21" t="s">
        <v>2377</v>
      </c>
      <c r="Q212" s="102" t="s">
        <v>2276</v>
      </c>
      <c r="R212" s="102" t="s">
        <v>2276</v>
      </c>
      <c r="S212" s="21" t="s">
        <v>2276</v>
      </c>
      <c r="T212" s="21" t="s">
        <v>2276</v>
      </c>
      <c r="U212" s="21" t="s">
        <v>2276</v>
      </c>
      <c r="V212" s="21" t="s">
        <v>2276</v>
      </c>
      <c r="W212" s="21" t="s">
        <v>2276</v>
      </c>
      <c r="X212" s="3" t="s">
        <v>2276</v>
      </c>
      <c r="Y212" s="3" t="s">
        <v>2276</v>
      </c>
      <c r="Z212" s="3" t="s">
        <v>2276</v>
      </c>
      <c r="AA212" s="4" t="s">
        <v>1398</v>
      </c>
      <c r="AB212" s="4" t="s">
        <v>1442</v>
      </c>
    </row>
    <row r="213" spans="1:28" ht="75" customHeight="1">
      <c r="A213" s="6" t="str">
        <f>'Reported burning'!A213</f>
        <v>12b</v>
      </c>
      <c r="B213" s="6" t="str">
        <f>'Reported burning'!B213</f>
        <v>12b.21</v>
      </c>
      <c r="C213" s="6" t="str">
        <f>'Reported burning'!C213</f>
        <v>Human, deliberate</v>
      </c>
      <c r="D213" s="6" t="str">
        <f>'Reported burning'!D213</f>
        <v>Forest clearance</v>
      </c>
      <c r="E213" s="6" t="str">
        <f>'Reported burning'!E213</f>
        <v>Cattle, Extensive</v>
      </c>
      <c r="F213" s="6" t="str">
        <f>'Reported burning'!F213</f>
        <v>Forest</v>
      </c>
      <c r="G213" s="6" t="str">
        <f>'Reported burning'!G213</f>
        <v>Forest</v>
      </c>
      <c r="H213" s="6" t="str">
        <f>'Reported burning'!H213</f>
        <v>Presence</v>
      </c>
      <c r="I213" s="3">
        <v>2011</v>
      </c>
      <c r="J213" s="21" t="s">
        <v>2276</v>
      </c>
      <c r="K213" s="103" t="s">
        <v>2276</v>
      </c>
      <c r="L213" s="21" t="s">
        <v>2276</v>
      </c>
      <c r="M213" s="21" t="s">
        <v>2276</v>
      </c>
      <c r="N213" s="21" t="s">
        <v>2276</v>
      </c>
      <c r="O213" s="21" t="s">
        <v>2276</v>
      </c>
      <c r="P213" s="21" t="s">
        <v>2377</v>
      </c>
      <c r="Q213" s="102" t="s">
        <v>2276</v>
      </c>
      <c r="R213" s="102" t="s">
        <v>2276</v>
      </c>
      <c r="S213" s="21" t="s">
        <v>2276</v>
      </c>
      <c r="T213" s="21" t="s">
        <v>2276</v>
      </c>
      <c r="U213" s="21" t="s">
        <v>2276</v>
      </c>
      <c r="V213" s="21" t="s">
        <v>2276</v>
      </c>
      <c r="W213" s="21" t="s">
        <v>2276</v>
      </c>
      <c r="X213" s="3" t="s">
        <v>2276</v>
      </c>
      <c r="Y213" s="3" t="s">
        <v>2276</v>
      </c>
      <c r="Z213" s="3" t="s">
        <v>2276</v>
      </c>
      <c r="AA213" s="4" t="s">
        <v>1398</v>
      </c>
      <c r="AB213" s="4" t="s">
        <v>1442</v>
      </c>
    </row>
    <row r="214" spans="1:28" ht="148" customHeight="1">
      <c r="A214" s="6" t="str">
        <f>'Reported burning'!A214</f>
        <v>12b</v>
      </c>
      <c r="B214" s="6" t="str">
        <f>'Reported burning'!B214</f>
        <v>12b.22</v>
      </c>
      <c r="C214" s="6" t="str">
        <f>'Reported burning'!C214</f>
        <v>Human, deliberate</v>
      </c>
      <c r="D214" s="6" t="str">
        <f>'Reported burning'!D214</f>
        <v>Forest clearance</v>
      </c>
      <c r="E214" s="6" t="str">
        <f>'Reported burning'!E214</f>
        <v>Cattle, Extensive</v>
      </c>
      <c r="F214" s="6" t="str">
        <f>'Reported burning'!F214</f>
        <v>Forest</v>
      </c>
      <c r="G214" s="6" t="str">
        <f>'Reported burning'!G214</f>
        <v>Forest</v>
      </c>
      <c r="H214" s="6" t="str">
        <f>'Reported burning'!H214</f>
        <v>Presence</v>
      </c>
      <c r="I214" s="3">
        <v>2012</v>
      </c>
      <c r="J214" s="21" t="s">
        <v>2276</v>
      </c>
      <c r="K214" s="103" t="s">
        <v>2276</v>
      </c>
      <c r="L214" s="21" t="s">
        <v>2276</v>
      </c>
      <c r="M214" s="21" t="s">
        <v>2276</v>
      </c>
      <c r="N214" s="21" t="s">
        <v>2276</v>
      </c>
      <c r="O214" s="21" t="s">
        <v>2276</v>
      </c>
      <c r="P214" s="21" t="s">
        <v>2377</v>
      </c>
      <c r="Q214" s="102" t="s">
        <v>2276</v>
      </c>
      <c r="R214" s="102" t="s">
        <v>2276</v>
      </c>
      <c r="S214" s="21" t="s">
        <v>2276</v>
      </c>
      <c r="T214" s="21" t="s">
        <v>2276</v>
      </c>
      <c r="U214" s="21" t="s">
        <v>2276</v>
      </c>
      <c r="V214" s="21" t="s">
        <v>2276</v>
      </c>
      <c r="W214" s="21" t="s">
        <v>2276</v>
      </c>
      <c r="X214" s="3" t="s">
        <v>2276</v>
      </c>
      <c r="Y214" s="3" t="s">
        <v>2276</v>
      </c>
      <c r="Z214" s="3" t="s">
        <v>2276</v>
      </c>
      <c r="AA214" s="4" t="s">
        <v>1398</v>
      </c>
      <c r="AB214" s="4" t="s">
        <v>1442</v>
      </c>
    </row>
    <row r="215" spans="1:28" ht="151.5" customHeight="1">
      <c r="A215" s="6" t="str">
        <f>'Reported burning'!A215</f>
        <v>12b</v>
      </c>
      <c r="B215" s="6" t="str">
        <f>'Reported burning'!B215</f>
        <v>12b.23</v>
      </c>
      <c r="C215" s="6" t="str">
        <f>'Reported burning'!C215</f>
        <v>Human, deliberate</v>
      </c>
      <c r="D215" s="6" t="str">
        <f>'Reported burning'!D215</f>
        <v>Forest clearance</v>
      </c>
      <c r="E215" s="6" t="str">
        <f>'Reported burning'!E215</f>
        <v>Cropping, Intensive</v>
      </c>
      <c r="F215" s="6" t="str">
        <f>'Reported burning'!F215</f>
        <v>Forest</v>
      </c>
      <c r="G215" s="6" t="str">
        <f>'Reported burning'!G215</f>
        <v>Forest</v>
      </c>
      <c r="H215" s="6" t="str">
        <f>'Reported burning'!H215</f>
        <v>Presence</v>
      </c>
      <c r="I215" s="3">
        <v>2002</v>
      </c>
      <c r="J215" s="21" t="s">
        <v>2276</v>
      </c>
      <c r="K215" s="103" t="s">
        <v>2276</v>
      </c>
      <c r="L215" s="21" t="s">
        <v>2276</v>
      </c>
      <c r="M215" s="21" t="s">
        <v>2276</v>
      </c>
      <c r="N215" s="21" t="s">
        <v>2276</v>
      </c>
      <c r="O215" s="21" t="s">
        <v>2276</v>
      </c>
      <c r="P215" s="21" t="s">
        <v>2379</v>
      </c>
      <c r="Q215" s="102" t="s">
        <v>2276</v>
      </c>
      <c r="R215" s="102" t="s">
        <v>2276</v>
      </c>
      <c r="S215" s="21" t="s">
        <v>2276</v>
      </c>
      <c r="T215" s="21" t="s">
        <v>2276</v>
      </c>
      <c r="U215" s="21" t="s">
        <v>2276</v>
      </c>
      <c r="V215" s="21" t="s">
        <v>2276</v>
      </c>
      <c r="W215" s="21" t="s">
        <v>2276</v>
      </c>
      <c r="X215" s="3" t="s">
        <v>2276</v>
      </c>
      <c r="Y215" s="3" t="s">
        <v>2276</v>
      </c>
      <c r="Z215" s="3" t="s">
        <v>2276</v>
      </c>
      <c r="AA215" s="4" t="s">
        <v>1398</v>
      </c>
      <c r="AB215" s="4" t="s">
        <v>1455</v>
      </c>
    </row>
    <row r="216" spans="1:28" ht="71" customHeight="1">
      <c r="A216" s="6" t="str">
        <f>'Reported burning'!A216</f>
        <v>12b</v>
      </c>
      <c r="B216" s="6" t="str">
        <f>'Reported burning'!B216</f>
        <v>12b.24</v>
      </c>
      <c r="C216" s="6" t="str">
        <f>'Reported burning'!C216</f>
        <v>Human, deliberate</v>
      </c>
      <c r="D216" s="6" t="str">
        <f>'Reported burning'!D216</f>
        <v>Forest clearance</v>
      </c>
      <c r="E216" s="6" t="str">
        <f>'Reported burning'!E216</f>
        <v>Cropping, Intensive</v>
      </c>
      <c r="F216" s="6" t="str">
        <f>'Reported burning'!F216</f>
        <v>Forest</v>
      </c>
      <c r="G216" s="6" t="str">
        <f>'Reported burning'!G216</f>
        <v>Forest</v>
      </c>
      <c r="H216" s="6" t="str">
        <f>'Reported burning'!H216</f>
        <v>Presence</v>
      </c>
      <c r="I216" s="3">
        <v>2003</v>
      </c>
      <c r="J216" s="21" t="s">
        <v>2276</v>
      </c>
      <c r="K216" s="103" t="s">
        <v>2276</v>
      </c>
      <c r="L216" s="21" t="s">
        <v>2276</v>
      </c>
      <c r="M216" s="21" t="s">
        <v>2276</v>
      </c>
      <c r="N216" s="21" t="s">
        <v>2276</v>
      </c>
      <c r="O216" s="21" t="s">
        <v>2276</v>
      </c>
      <c r="P216" s="21" t="s">
        <v>2379</v>
      </c>
      <c r="Q216" s="102" t="s">
        <v>2276</v>
      </c>
      <c r="R216" s="102" t="s">
        <v>2276</v>
      </c>
      <c r="S216" s="21" t="s">
        <v>2276</v>
      </c>
      <c r="T216" s="21" t="s">
        <v>2276</v>
      </c>
      <c r="U216" s="21" t="s">
        <v>2276</v>
      </c>
      <c r="V216" s="21" t="s">
        <v>2276</v>
      </c>
      <c r="W216" s="21" t="s">
        <v>2276</v>
      </c>
      <c r="X216" s="3" t="s">
        <v>2276</v>
      </c>
      <c r="Y216" s="3" t="s">
        <v>2276</v>
      </c>
      <c r="Z216" s="3" t="s">
        <v>2276</v>
      </c>
      <c r="AA216" s="4" t="s">
        <v>1398</v>
      </c>
      <c r="AB216" s="4" t="s">
        <v>1455</v>
      </c>
    </row>
    <row r="217" spans="1:28" ht="78.5" customHeight="1">
      <c r="A217" s="6" t="str">
        <f>'Reported burning'!A217</f>
        <v>12b</v>
      </c>
      <c r="B217" s="6" t="str">
        <f>'Reported burning'!B217</f>
        <v>12b.25</v>
      </c>
      <c r="C217" s="6" t="str">
        <f>'Reported burning'!C217</f>
        <v>Human, deliberate</v>
      </c>
      <c r="D217" s="6" t="str">
        <f>'Reported burning'!D217</f>
        <v>Forest clearance</v>
      </c>
      <c r="E217" s="6" t="str">
        <f>'Reported burning'!E217</f>
        <v>Cropping, Intensive</v>
      </c>
      <c r="F217" s="6" t="str">
        <f>'Reported burning'!F217</f>
        <v>Forest</v>
      </c>
      <c r="G217" s="6" t="str">
        <f>'Reported burning'!G217</f>
        <v>Forest</v>
      </c>
      <c r="H217" s="6" t="str">
        <f>'Reported burning'!H217</f>
        <v>Presence</v>
      </c>
      <c r="I217" s="3">
        <v>2004</v>
      </c>
      <c r="J217" s="21" t="s">
        <v>2276</v>
      </c>
      <c r="K217" s="103" t="s">
        <v>2276</v>
      </c>
      <c r="L217" s="21" t="s">
        <v>2276</v>
      </c>
      <c r="M217" s="21" t="s">
        <v>2276</v>
      </c>
      <c r="N217" s="21" t="s">
        <v>2276</v>
      </c>
      <c r="O217" s="21" t="s">
        <v>2276</v>
      </c>
      <c r="P217" s="21" t="s">
        <v>2379</v>
      </c>
      <c r="Q217" s="102" t="s">
        <v>2276</v>
      </c>
      <c r="R217" s="102" t="s">
        <v>2276</v>
      </c>
      <c r="S217" s="21" t="s">
        <v>2276</v>
      </c>
      <c r="T217" s="21" t="s">
        <v>2276</v>
      </c>
      <c r="U217" s="21" t="s">
        <v>2276</v>
      </c>
      <c r="V217" s="21" t="s">
        <v>2276</v>
      </c>
      <c r="W217" s="21" t="s">
        <v>2276</v>
      </c>
      <c r="X217" s="3" t="s">
        <v>2276</v>
      </c>
      <c r="Y217" s="3" t="s">
        <v>2276</v>
      </c>
      <c r="Z217" s="3" t="s">
        <v>2276</v>
      </c>
      <c r="AA217" s="4" t="s">
        <v>1398</v>
      </c>
      <c r="AB217" s="4" t="s">
        <v>1455</v>
      </c>
    </row>
    <row r="218" spans="1:28" ht="78.5" customHeight="1">
      <c r="A218" s="6" t="str">
        <f>'Reported burning'!A218</f>
        <v>12b</v>
      </c>
      <c r="B218" s="6" t="str">
        <f>'Reported burning'!B218</f>
        <v>12b.26</v>
      </c>
      <c r="C218" s="6" t="str">
        <f>'Reported burning'!C218</f>
        <v>Human, deliberate</v>
      </c>
      <c r="D218" s="6" t="str">
        <f>'Reported burning'!D218</f>
        <v>Forest clearance</v>
      </c>
      <c r="E218" s="6" t="str">
        <f>'Reported burning'!E218</f>
        <v>Cropping, Intensive</v>
      </c>
      <c r="F218" s="6" t="str">
        <f>'Reported burning'!F218</f>
        <v>Forest</v>
      </c>
      <c r="G218" s="6" t="str">
        <f>'Reported burning'!G218</f>
        <v>Forest</v>
      </c>
      <c r="H218" s="6" t="str">
        <f>'Reported burning'!H218</f>
        <v>Presence</v>
      </c>
      <c r="I218" s="3">
        <v>2005</v>
      </c>
      <c r="J218" s="21" t="s">
        <v>2276</v>
      </c>
      <c r="K218" s="103" t="s">
        <v>2276</v>
      </c>
      <c r="L218" s="21" t="s">
        <v>2276</v>
      </c>
      <c r="M218" s="21" t="s">
        <v>2276</v>
      </c>
      <c r="N218" s="21" t="s">
        <v>2276</v>
      </c>
      <c r="O218" s="21" t="s">
        <v>2276</v>
      </c>
      <c r="P218" s="21" t="s">
        <v>2379</v>
      </c>
      <c r="Q218" s="102" t="s">
        <v>2276</v>
      </c>
      <c r="R218" s="102" t="s">
        <v>2276</v>
      </c>
      <c r="S218" s="21" t="s">
        <v>2276</v>
      </c>
      <c r="T218" s="21" t="s">
        <v>2276</v>
      </c>
      <c r="U218" s="21" t="s">
        <v>2276</v>
      </c>
      <c r="V218" s="21" t="s">
        <v>2276</v>
      </c>
      <c r="W218" s="21" t="s">
        <v>2276</v>
      </c>
      <c r="X218" s="3" t="s">
        <v>2276</v>
      </c>
      <c r="Y218" s="3" t="s">
        <v>2276</v>
      </c>
      <c r="Z218" s="3" t="s">
        <v>2276</v>
      </c>
      <c r="AA218" s="4" t="s">
        <v>1398</v>
      </c>
      <c r="AB218" s="4" t="s">
        <v>1455</v>
      </c>
    </row>
    <row r="219" spans="1:28" ht="78.5" customHeight="1">
      <c r="A219" s="6" t="str">
        <f>'Reported burning'!A219</f>
        <v>12b</v>
      </c>
      <c r="B219" s="6" t="str">
        <f>'Reported burning'!B219</f>
        <v>12b.27</v>
      </c>
      <c r="C219" s="6" t="str">
        <f>'Reported burning'!C219</f>
        <v>Human, deliberate</v>
      </c>
      <c r="D219" s="6" t="str">
        <f>'Reported burning'!D219</f>
        <v>Forest clearance</v>
      </c>
      <c r="E219" s="6" t="str">
        <f>'Reported burning'!E219</f>
        <v>Cropping, Intensive</v>
      </c>
      <c r="F219" s="6" t="str">
        <f>'Reported burning'!F219</f>
        <v>Forest</v>
      </c>
      <c r="G219" s="6" t="str">
        <f>'Reported burning'!G219</f>
        <v>Forest</v>
      </c>
      <c r="H219" s="6" t="str">
        <f>'Reported burning'!H219</f>
        <v>Presence</v>
      </c>
      <c r="I219" s="3">
        <v>2006</v>
      </c>
      <c r="J219" s="21" t="s">
        <v>2276</v>
      </c>
      <c r="K219" s="103" t="s">
        <v>2276</v>
      </c>
      <c r="L219" s="21" t="s">
        <v>2276</v>
      </c>
      <c r="M219" s="21" t="s">
        <v>2276</v>
      </c>
      <c r="N219" s="21" t="s">
        <v>2276</v>
      </c>
      <c r="O219" s="21" t="s">
        <v>2276</v>
      </c>
      <c r="P219" s="21" t="s">
        <v>2379</v>
      </c>
      <c r="Q219" s="102" t="s">
        <v>2276</v>
      </c>
      <c r="R219" s="102" t="s">
        <v>2276</v>
      </c>
      <c r="S219" s="21" t="s">
        <v>2276</v>
      </c>
      <c r="T219" s="21" t="s">
        <v>2276</v>
      </c>
      <c r="U219" s="21" t="s">
        <v>2276</v>
      </c>
      <c r="V219" s="21" t="s">
        <v>2276</v>
      </c>
      <c r="W219" s="21" t="s">
        <v>2276</v>
      </c>
      <c r="X219" s="3" t="s">
        <v>2276</v>
      </c>
      <c r="Y219" s="3" t="s">
        <v>2276</v>
      </c>
      <c r="Z219" s="3" t="s">
        <v>2276</v>
      </c>
      <c r="AA219" s="4" t="s">
        <v>1398</v>
      </c>
      <c r="AB219" s="4" t="s">
        <v>1455</v>
      </c>
    </row>
    <row r="220" spans="1:28" ht="78.5" customHeight="1">
      <c r="A220" s="6" t="str">
        <f>'Reported burning'!A220</f>
        <v>12b</v>
      </c>
      <c r="B220" s="6" t="str">
        <f>'Reported burning'!B220</f>
        <v>12b.28</v>
      </c>
      <c r="C220" s="6" t="str">
        <f>'Reported burning'!C220</f>
        <v>Human, deliberate</v>
      </c>
      <c r="D220" s="6" t="str">
        <f>'Reported burning'!D220</f>
        <v>Forest clearance</v>
      </c>
      <c r="E220" s="6" t="str">
        <f>'Reported burning'!E220</f>
        <v>Cropping, Intensive</v>
      </c>
      <c r="F220" s="6" t="str">
        <f>'Reported burning'!F220</f>
        <v>Forest</v>
      </c>
      <c r="G220" s="6" t="str">
        <f>'Reported burning'!G220</f>
        <v>Forest</v>
      </c>
      <c r="H220" s="6" t="str">
        <f>'Reported burning'!H220</f>
        <v>Presence</v>
      </c>
      <c r="I220" s="3">
        <v>2007</v>
      </c>
      <c r="J220" s="21" t="s">
        <v>2276</v>
      </c>
      <c r="K220" s="103" t="s">
        <v>2276</v>
      </c>
      <c r="L220" s="21" t="s">
        <v>2276</v>
      </c>
      <c r="M220" s="21" t="s">
        <v>2276</v>
      </c>
      <c r="N220" s="21" t="s">
        <v>2276</v>
      </c>
      <c r="O220" s="21" t="s">
        <v>2276</v>
      </c>
      <c r="P220" s="21" t="s">
        <v>2379</v>
      </c>
      <c r="Q220" s="102" t="s">
        <v>2276</v>
      </c>
      <c r="R220" s="102" t="s">
        <v>2276</v>
      </c>
      <c r="S220" s="21" t="s">
        <v>2276</v>
      </c>
      <c r="T220" s="21" t="s">
        <v>2276</v>
      </c>
      <c r="U220" s="21" t="s">
        <v>2276</v>
      </c>
      <c r="V220" s="21" t="s">
        <v>2276</v>
      </c>
      <c r="W220" s="21" t="s">
        <v>2276</v>
      </c>
      <c r="X220" s="3" t="s">
        <v>2276</v>
      </c>
      <c r="Y220" s="3" t="s">
        <v>2276</v>
      </c>
      <c r="Z220" s="3" t="s">
        <v>2276</v>
      </c>
      <c r="AA220" s="4" t="s">
        <v>1398</v>
      </c>
      <c r="AB220" s="4" t="s">
        <v>1455</v>
      </c>
    </row>
    <row r="221" spans="1:28" ht="78.5" customHeight="1">
      <c r="A221" s="6" t="str">
        <f>'Reported burning'!A221</f>
        <v>12b</v>
      </c>
      <c r="B221" s="6" t="str">
        <f>'Reported burning'!B221</f>
        <v>12b.29</v>
      </c>
      <c r="C221" s="6" t="str">
        <f>'Reported burning'!C221</f>
        <v>Human, deliberate</v>
      </c>
      <c r="D221" s="6" t="str">
        <f>'Reported burning'!D221</f>
        <v>Forest clearance</v>
      </c>
      <c r="E221" s="6" t="str">
        <f>'Reported burning'!E221</f>
        <v>Cropping, Intensive</v>
      </c>
      <c r="F221" s="6" t="str">
        <f>'Reported burning'!F221</f>
        <v>Forest</v>
      </c>
      <c r="G221" s="6" t="str">
        <f>'Reported burning'!G221</f>
        <v>Forest</v>
      </c>
      <c r="H221" s="6" t="str">
        <f>'Reported burning'!H221</f>
        <v>Presence</v>
      </c>
      <c r="I221" s="3">
        <v>2008</v>
      </c>
      <c r="J221" s="21" t="s">
        <v>2276</v>
      </c>
      <c r="K221" s="103" t="s">
        <v>2276</v>
      </c>
      <c r="L221" s="21" t="s">
        <v>2276</v>
      </c>
      <c r="M221" s="21" t="s">
        <v>2276</v>
      </c>
      <c r="N221" s="21" t="s">
        <v>2276</v>
      </c>
      <c r="O221" s="21" t="s">
        <v>2276</v>
      </c>
      <c r="P221" s="21" t="s">
        <v>2379</v>
      </c>
      <c r="Q221" s="102" t="s">
        <v>2276</v>
      </c>
      <c r="R221" s="102" t="s">
        <v>2276</v>
      </c>
      <c r="S221" s="21" t="s">
        <v>2276</v>
      </c>
      <c r="T221" s="21" t="s">
        <v>2276</v>
      </c>
      <c r="U221" s="21" t="s">
        <v>2276</v>
      </c>
      <c r="V221" s="21" t="s">
        <v>2276</v>
      </c>
      <c r="W221" s="21" t="s">
        <v>2276</v>
      </c>
      <c r="X221" s="3" t="s">
        <v>2276</v>
      </c>
      <c r="Y221" s="3" t="s">
        <v>2276</v>
      </c>
      <c r="Z221" s="3" t="s">
        <v>2276</v>
      </c>
      <c r="AA221" s="4" t="s">
        <v>1398</v>
      </c>
      <c r="AB221" s="4" t="s">
        <v>1455</v>
      </c>
    </row>
    <row r="222" spans="1:28" ht="78.5" customHeight="1">
      <c r="A222" s="6" t="str">
        <f>'Reported burning'!A222</f>
        <v>12b</v>
      </c>
      <c r="B222" s="6" t="str">
        <f>'Reported burning'!B222</f>
        <v>12b.30</v>
      </c>
      <c r="C222" s="6" t="str">
        <f>'Reported burning'!C222</f>
        <v>Human, deliberate</v>
      </c>
      <c r="D222" s="6" t="str">
        <f>'Reported burning'!D222</f>
        <v>Forest clearance</v>
      </c>
      <c r="E222" s="6" t="str">
        <f>'Reported burning'!E222</f>
        <v>Cropping, Intensive</v>
      </c>
      <c r="F222" s="6" t="str">
        <f>'Reported burning'!F222</f>
        <v>Forest</v>
      </c>
      <c r="G222" s="6" t="str">
        <f>'Reported burning'!G222</f>
        <v>Forest</v>
      </c>
      <c r="H222" s="6" t="str">
        <f>'Reported burning'!H222</f>
        <v>Presence</v>
      </c>
      <c r="I222" s="3">
        <v>2009</v>
      </c>
      <c r="J222" s="21" t="s">
        <v>2276</v>
      </c>
      <c r="K222" s="103" t="s">
        <v>2276</v>
      </c>
      <c r="L222" s="21" t="s">
        <v>2276</v>
      </c>
      <c r="M222" s="21" t="s">
        <v>2276</v>
      </c>
      <c r="N222" s="21" t="s">
        <v>2276</v>
      </c>
      <c r="O222" s="21" t="s">
        <v>2276</v>
      </c>
      <c r="P222" s="21" t="s">
        <v>2378</v>
      </c>
      <c r="Q222" s="102" t="s">
        <v>2276</v>
      </c>
      <c r="R222" s="102" t="s">
        <v>2276</v>
      </c>
      <c r="S222" s="21" t="s">
        <v>2276</v>
      </c>
      <c r="T222" s="21" t="s">
        <v>2276</v>
      </c>
      <c r="U222" s="21" t="s">
        <v>2276</v>
      </c>
      <c r="V222" s="21" t="s">
        <v>2276</v>
      </c>
      <c r="W222" s="21" t="s">
        <v>2276</v>
      </c>
      <c r="X222" s="3" t="s">
        <v>2276</v>
      </c>
      <c r="Y222" s="3" t="s">
        <v>2276</v>
      </c>
      <c r="Z222" s="3" t="s">
        <v>2276</v>
      </c>
      <c r="AA222" s="4" t="s">
        <v>1398</v>
      </c>
      <c r="AB222" s="4" t="s">
        <v>1455</v>
      </c>
    </row>
    <row r="223" spans="1:28" ht="138" customHeight="1">
      <c r="A223" s="6" t="str">
        <f>'Reported burning'!A223</f>
        <v>12b</v>
      </c>
      <c r="B223" s="6" t="str">
        <f>'Reported burning'!B223</f>
        <v>12b.31</v>
      </c>
      <c r="C223" s="6" t="str">
        <f>'Reported burning'!C223</f>
        <v>Human, deliberate</v>
      </c>
      <c r="D223" s="6" t="str">
        <f>'Reported burning'!D223</f>
        <v>Forest clearance</v>
      </c>
      <c r="E223" s="6" t="str">
        <f>'Reported burning'!E223</f>
        <v>Cropping, Intensive</v>
      </c>
      <c r="F223" s="6" t="str">
        <f>'Reported burning'!F223</f>
        <v>Forest</v>
      </c>
      <c r="G223" s="6" t="str">
        <f>'Reported burning'!G223</f>
        <v>Forest</v>
      </c>
      <c r="H223" s="6" t="str">
        <f>'Reported burning'!H223</f>
        <v>Presence</v>
      </c>
      <c r="I223" s="3">
        <v>2010</v>
      </c>
      <c r="J223" s="21" t="s">
        <v>2276</v>
      </c>
      <c r="K223" s="103" t="s">
        <v>2276</v>
      </c>
      <c r="L223" s="21" t="s">
        <v>2276</v>
      </c>
      <c r="M223" s="21" t="s">
        <v>2276</v>
      </c>
      <c r="N223" s="21" t="s">
        <v>2276</v>
      </c>
      <c r="O223" s="21" t="s">
        <v>2276</v>
      </c>
      <c r="P223" s="21" t="s">
        <v>2378</v>
      </c>
      <c r="Q223" s="102" t="s">
        <v>2276</v>
      </c>
      <c r="R223" s="102" t="s">
        <v>2276</v>
      </c>
      <c r="S223" s="21" t="s">
        <v>2276</v>
      </c>
      <c r="T223" s="21" t="s">
        <v>2276</v>
      </c>
      <c r="U223" s="21" t="s">
        <v>2276</v>
      </c>
      <c r="V223" s="21" t="s">
        <v>2276</v>
      </c>
      <c r="W223" s="21" t="s">
        <v>2276</v>
      </c>
      <c r="X223" s="3" t="s">
        <v>2276</v>
      </c>
      <c r="Y223" s="3" t="s">
        <v>2276</v>
      </c>
      <c r="Z223" s="3" t="s">
        <v>2276</v>
      </c>
      <c r="AA223" s="4" t="s">
        <v>1398</v>
      </c>
      <c r="AB223" s="4" t="s">
        <v>1455</v>
      </c>
    </row>
    <row r="224" spans="1:28" ht="102" customHeight="1">
      <c r="A224" s="6" t="str">
        <f>'Reported burning'!A224</f>
        <v>12b</v>
      </c>
      <c r="B224" s="6" t="str">
        <f>'Reported burning'!B224</f>
        <v>12b.32</v>
      </c>
      <c r="C224" s="6" t="str">
        <f>'Reported burning'!C224</f>
        <v>Human, deliberate</v>
      </c>
      <c r="D224" s="6" t="str">
        <f>'Reported burning'!D224</f>
        <v>Forest clearance</v>
      </c>
      <c r="E224" s="6" t="str">
        <f>'Reported burning'!E224</f>
        <v>Cropping, Intensive</v>
      </c>
      <c r="F224" s="6" t="str">
        <f>'Reported burning'!F224</f>
        <v>Forest</v>
      </c>
      <c r="G224" s="6" t="str">
        <f>'Reported burning'!G224</f>
        <v>Forest</v>
      </c>
      <c r="H224" s="6" t="str">
        <f>'Reported burning'!H224</f>
        <v>Presence</v>
      </c>
      <c r="I224" s="3">
        <v>2011</v>
      </c>
      <c r="J224" s="21" t="s">
        <v>2276</v>
      </c>
      <c r="K224" s="103" t="s">
        <v>2276</v>
      </c>
      <c r="L224" s="21" t="s">
        <v>2276</v>
      </c>
      <c r="M224" s="21" t="s">
        <v>2276</v>
      </c>
      <c r="N224" s="21" t="s">
        <v>2276</v>
      </c>
      <c r="O224" s="21" t="s">
        <v>2276</v>
      </c>
      <c r="P224" s="21" t="s">
        <v>2377</v>
      </c>
      <c r="Q224" s="102" t="s">
        <v>2276</v>
      </c>
      <c r="R224" s="102" t="s">
        <v>2276</v>
      </c>
      <c r="S224" s="21" t="s">
        <v>2276</v>
      </c>
      <c r="T224" s="21" t="s">
        <v>2276</v>
      </c>
      <c r="U224" s="21" t="s">
        <v>2276</v>
      </c>
      <c r="V224" s="21" t="s">
        <v>2276</v>
      </c>
      <c r="W224" s="21" t="s">
        <v>2276</v>
      </c>
      <c r="X224" s="3" t="s">
        <v>2276</v>
      </c>
      <c r="Y224" s="3" t="s">
        <v>2276</v>
      </c>
      <c r="Z224" s="3" t="s">
        <v>2276</v>
      </c>
      <c r="AA224" s="4" t="s">
        <v>1398</v>
      </c>
      <c r="AB224" s="4" t="s">
        <v>1455</v>
      </c>
    </row>
    <row r="225" spans="1:28" ht="103" customHeight="1">
      <c r="A225" s="6" t="str">
        <f>'Reported burning'!A225</f>
        <v>12b</v>
      </c>
      <c r="B225" s="6" t="str">
        <f>'Reported burning'!B225</f>
        <v>12b.33</v>
      </c>
      <c r="C225" s="6" t="str">
        <f>'Reported burning'!C225</f>
        <v>Human, deliberate</v>
      </c>
      <c r="D225" s="6" t="str">
        <f>'Reported burning'!D225</f>
        <v>Forest clearance</v>
      </c>
      <c r="E225" s="6" t="str">
        <f>'Reported burning'!E225</f>
        <v>Cropping, Intensive</v>
      </c>
      <c r="F225" s="6" t="str">
        <f>'Reported burning'!F225</f>
        <v>Forest</v>
      </c>
      <c r="G225" s="6" t="str">
        <f>'Reported burning'!G225</f>
        <v>Forest</v>
      </c>
      <c r="H225" s="6" t="str">
        <f>'Reported burning'!H225</f>
        <v>Presence</v>
      </c>
      <c r="I225" s="3">
        <v>2012</v>
      </c>
      <c r="J225" s="21" t="s">
        <v>2276</v>
      </c>
      <c r="K225" s="103" t="s">
        <v>2276</v>
      </c>
      <c r="L225" s="21" t="s">
        <v>2276</v>
      </c>
      <c r="M225" s="21" t="s">
        <v>2276</v>
      </c>
      <c r="N225" s="21" t="s">
        <v>2276</v>
      </c>
      <c r="O225" s="21" t="s">
        <v>2276</v>
      </c>
      <c r="P225" s="21" t="s">
        <v>2378</v>
      </c>
      <c r="Q225" s="102" t="s">
        <v>2276</v>
      </c>
      <c r="R225" s="102" t="s">
        <v>2276</v>
      </c>
      <c r="S225" s="21" t="s">
        <v>2276</v>
      </c>
      <c r="T225" s="21" t="s">
        <v>2276</v>
      </c>
      <c r="U225" s="21" t="s">
        <v>2276</v>
      </c>
      <c r="V225" s="21" t="s">
        <v>2276</v>
      </c>
      <c r="W225" s="21" t="s">
        <v>2276</v>
      </c>
      <c r="X225" s="3" t="s">
        <v>2276</v>
      </c>
      <c r="Y225" s="3" t="s">
        <v>2276</v>
      </c>
      <c r="Z225" s="3" t="s">
        <v>2276</v>
      </c>
      <c r="AA225" s="4" t="s">
        <v>1398</v>
      </c>
      <c r="AB225" s="4" t="s">
        <v>1455</v>
      </c>
    </row>
    <row r="226" spans="1:28" ht="56" customHeight="1">
      <c r="A226" s="6" t="str">
        <f>'Reported burning'!A226</f>
        <v>13a</v>
      </c>
      <c r="B226" s="6" t="str">
        <f>'Reported burning'!B226</f>
        <v>13a.1</v>
      </c>
      <c r="C226" s="6" t="str">
        <f>'Reported burning'!C226</f>
        <v>Human, deliberate</v>
      </c>
      <c r="D226" s="6" t="str">
        <f>'Reported burning'!D226</f>
        <v>Crop field preparation</v>
      </c>
      <c r="E226" s="6" t="str">
        <f>'Reported burning'!E226</f>
        <v>Cropping, Monoculture, Subsistence-oriented</v>
      </c>
      <c r="F226" s="6" t="str">
        <f>'Reported burning'!F226</f>
        <v>Secondary Vegetation</v>
      </c>
      <c r="G226" s="6" t="str">
        <f>'Reported burning'!G226</f>
        <v>ND</v>
      </c>
      <c r="H226" s="6" t="str">
        <f>'Reported burning'!H226</f>
        <v>Presence</v>
      </c>
      <c r="I226" s="3"/>
      <c r="J226" s="21" t="s">
        <v>2276</v>
      </c>
      <c r="K226" s="103" t="s">
        <v>2276</v>
      </c>
      <c r="L226" s="21" t="s">
        <v>2276</v>
      </c>
      <c r="M226" s="21" t="s">
        <v>2276</v>
      </c>
      <c r="N226" s="21" t="s">
        <v>2276</v>
      </c>
      <c r="O226" s="21" t="s">
        <v>2276</v>
      </c>
      <c r="P226" s="21" t="s">
        <v>2276</v>
      </c>
      <c r="Q226" s="102" t="s">
        <v>2276</v>
      </c>
      <c r="R226" s="102" t="s">
        <v>2276</v>
      </c>
      <c r="S226" s="21" t="s">
        <v>2276</v>
      </c>
      <c r="T226" s="21" t="s">
        <v>2276</v>
      </c>
      <c r="U226" s="21" t="s">
        <v>2276</v>
      </c>
      <c r="V226" s="21" t="s">
        <v>2276</v>
      </c>
      <c r="W226" s="21" t="s">
        <v>2276</v>
      </c>
      <c r="X226" s="3" t="s">
        <v>188</v>
      </c>
      <c r="Y226" s="3" t="s">
        <v>189</v>
      </c>
      <c r="Z226" s="3" t="s">
        <v>64</v>
      </c>
      <c r="AA226" s="3"/>
      <c r="AB226" s="4" t="s">
        <v>1459</v>
      </c>
    </row>
    <row r="227" spans="1:28" ht="52.5" customHeight="1">
      <c r="A227" s="6" t="str">
        <f>'Reported burning'!A227</f>
        <v>13b</v>
      </c>
      <c r="B227" s="6" t="str">
        <f>'Reported burning'!B227</f>
        <v>13a.2</v>
      </c>
      <c r="C227" s="6" t="str">
        <f>'Reported burning'!C227</f>
        <v>Human, deliberate</v>
      </c>
      <c r="D227" s="6" t="str">
        <f>'Reported burning'!D227</f>
        <v>Crop field preparation</v>
      </c>
      <c r="E227" s="6" t="str">
        <f>'Reported burning'!E227</f>
        <v>Cropping, Swidden</v>
      </c>
      <c r="F227" s="6" t="str">
        <f>'Reported burning'!F227</f>
        <v>Secondary Vegetation</v>
      </c>
      <c r="G227" s="6" t="str">
        <f>'Reported burning'!G227</f>
        <v>ND</v>
      </c>
      <c r="H227" s="6" t="str">
        <f>'Reported burning'!H227</f>
        <v>Presence</v>
      </c>
      <c r="I227" s="3"/>
      <c r="J227" s="21" t="s">
        <v>2276</v>
      </c>
      <c r="K227" s="103" t="s">
        <v>2276</v>
      </c>
      <c r="L227" s="21" t="s">
        <v>2276</v>
      </c>
      <c r="M227" s="21" t="s">
        <v>2276</v>
      </c>
      <c r="N227" s="21" t="s">
        <v>2276</v>
      </c>
      <c r="O227" s="21" t="s">
        <v>2276</v>
      </c>
      <c r="P227" s="21" t="s">
        <v>2276</v>
      </c>
      <c r="Q227" s="102" t="s">
        <v>2276</v>
      </c>
      <c r="R227" s="102" t="s">
        <v>2276</v>
      </c>
      <c r="S227" s="21" t="s">
        <v>2276</v>
      </c>
      <c r="T227" s="21" t="s">
        <v>2276</v>
      </c>
      <c r="U227" s="21" t="s">
        <v>2276</v>
      </c>
      <c r="V227" s="21" t="s">
        <v>2276</v>
      </c>
      <c r="W227" s="21" t="s">
        <v>2276</v>
      </c>
      <c r="X227" s="3" t="s">
        <v>188</v>
      </c>
      <c r="Y227" s="3" t="s">
        <v>189</v>
      </c>
      <c r="Z227" s="3" t="s">
        <v>64</v>
      </c>
      <c r="AA227" s="3"/>
      <c r="AB227" s="4" t="s">
        <v>1459</v>
      </c>
    </row>
    <row r="228" spans="1:28" ht="59.5" customHeight="1">
      <c r="A228" s="6" t="str">
        <f>'Reported burning'!A228</f>
        <v>13c</v>
      </c>
      <c r="B228" s="6" t="str">
        <f>'Reported burning'!B228</f>
        <v>13a.3</v>
      </c>
      <c r="C228" s="6" t="str">
        <f>'Reported burning'!C228</f>
        <v>Human, deliberate</v>
      </c>
      <c r="D228" s="6" t="str">
        <f>'Reported burning'!D228</f>
        <v>Crop field preparation</v>
      </c>
      <c r="E228" s="6" t="str">
        <f>'Reported burning'!E228</f>
        <v>Cropping, Swidden</v>
      </c>
      <c r="F228" s="6" t="str">
        <f>'Reported burning'!F228</f>
        <v>Secondary Vegetation</v>
      </c>
      <c r="G228" s="6" t="str">
        <f>'Reported burning'!G228</f>
        <v>ND</v>
      </c>
      <c r="H228" s="6" t="str">
        <f>'Reported burning'!H228</f>
        <v>Presence</v>
      </c>
      <c r="I228" s="3"/>
      <c r="J228" s="21" t="s">
        <v>2276</v>
      </c>
      <c r="K228" s="103" t="s">
        <v>2276</v>
      </c>
      <c r="L228" s="21" t="s">
        <v>2276</v>
      </c>
      <c r="M228" s="21" t="s">
        <v>2276</v>
      </c>
      <c r="N228" s="21" t="s">
        <v>2276</v>
      </c>
      <c r="O228" s="21" t="s">
        <v>2276</v>
      </c>
      <c r="P228" s="21" t="s">
        <v>2276</v>
      </c>
      <c r="Q228" s="102" t="s">
        <v>2276</v>
      </c>
      <c r="R228" s="102" t="s">
        <v>2276</v>
      </c>
      <c r="S228" s="21" t="s">
        <v>2276</v>
      </c>
      <c r="T228" s="21" t="s">
        <v>2276</v>
      </c>
      <c r="U228" s="21" t="s">
        <v>2276</v>
      </c>
      <c r="V228" s="21" t="s">
        <v>2276</v>
      </c>
      <c r="W228" s="21" t="s">
        <v>2276</v>
      </c>
      <c r="X228" s="3" t="s">
        <v>188</v>
      </c>
      <c r="Y228" s="3" t="s">
        <v>189</v>
      </c>
      <c r="Z228" s="3" t="s">
        <v>64</v>
      </c>
      <c r="AA228" s="3"/>
      <c r="AB228" s="4" t="s">
        <v>1459</v>
      </c>
    </row>
    <row r="229" spans="1:28" ht="84" customHeight="1">
      <c r="A229" s="6" t="str">
        <f>'Reported burning'!A229</f>
        <v>14a</v>
      </c>
      <c r="B229" s="6" t="str">
        <f>'Reported burning'!B229</f>
        <v>14a.1</v>
      </c>
      <c r="C229" s="6" t="str">
        <f>'Reported burning'!C229</f>
        <v>Human, deliberate</v>
      </c>
      <c r="D229" s="6" t="str">
        <f>'Reported burning'!D229</f>
        <v>Crop field preparation</v>
      </c>
      <c r="E229" s="6" t="str">
        <f>'Reported burning'!E229</f>
        <v>Cropping, Monoculture, Market-oriented</v>
      </c>
      <c r="F229" s="6" t="str">
        <f>'Reported burning'!F229</f>
        <v>Secondary Vegetation</v>
      </c>
      <c r="G229" s="6">
        <f>'Reported burning'!G229</f>
        <v>0</v>
      </c>
      <c r="H229" s="6" t="str">
        <f>'Reported burning'!H229</f>
        <v>Presence</v>
      </c>
      <c r="I229" s="3"/>
      <c r="J229" s="21" t="s">
        <v>2276</v>
      </c>
      <c r="K229" s="103" t="s">
        <v>2276</v>
      </c>
      <c r="L229" s="21" t="s">
        <v>2276</v>
      </c>
      <c r="M229" s="21" t="s">
        <v>2276</v>
      </c>
      <c r="N229" s="21" t="s">
        <v>2276</v>
      </c>
      <c r="O229" s="21" t="s">
        <v>2276</v>
      </c>
      <c r="P229" s="21" t="s">
        <v>2276</v>
      </c>
      <c r="Q229" s="102" t="s">
        <v>2276</v>
      </c>
      <c r="R229" s="102" t="s">
        <v>2276</v>
      </c>
      <c r="S229" s="21" t="s">
        <v>2276</v>
      </c>
      <c r="T229" s="21" t="s">
        <v>2276</v>
      </c>
      <c r="U229" s="21" t="s">
        <v>2276</v>
      </c>
      <c r="V229" s="21" t="s">
        <v>2276</v>
      </c>
      <c r="W229" s="21" t="s">
        <v>2403</v>
      </c>
      <c r="X229" s="3" t="s">
        <v>189</v>
      </c>
      <c r="Y229" s="3" t="s">
        <v>38</v>
      </c>
      <c r="Z229" s="3" t="s">
        <v>64</v>
      </c>
      <c r="AA229" s="4" t="s">
        <v>380</v>
      </c>
      <c r="AB229" s="4" t="s">
        <v>394</v>
      </c>
    </row>
    <row r="230" spans="1:28" ht="90.5" customHeight="1">
      <c r="A230" s="6" t="str">
        <f>'Reported burning'!A230</f>
        <v>14a</v>
      </c>
      <c r="B230" s="6" t="str">
        <f>'Reported burning'!B230</f>
        <v>14a.2</v>
      </c>
      <c r="C230" s="6" t="str">
        <f>'Reported burning'!C230</f>
        <v>Human, deliberate</v>
      </c>
      <c r="D230" s="6" t="str">
        <f>'Reported burning'!D230</f>
        <v>Crop field preparation</v>
      </c>
      <c r="E230" s="6" t="str">
        <f>'Reported burning'!E230</f>
        <v>Cropping, Monoculture, Subsistence-oriented</v>
      </c>
      <c r="F230" s="6" t="str">
        <f>'Reported burning'!F230</f>
        <v>Secondary Vegetation</v>
      </c>
      <c r="G230" s="6">
        <f>'Reported burning'!G230</f>
        <v>0</v>
      </c>
      <c r="H230" s="6" t="str">
        <f>'Reported burning'!H230</f>
        <v>Presence</v>
      </c>
      <c r="I230" s="3"/>
      <c r="J230" s="21" t="s">
        <v>2276</v>
      </c>
      <c r="K230" s="103" t="s">
        <v>2276</v>
      </c>
      <c r="L230" s="21" t="s">
        <v>2276</v>
      </c>
      <c r="M230" s="21" t="s">
        <v>2276</v>
      </c>
      <c r="N230" s="21" t="s">
        <v>2276</v>
      </c>
      <c r="O230" s="21" t="s">
        <v>2276</v>
      </c>
      <c r="P230" s="21" t="s">
        <v>2276</v>
      </c>
      <c r="Q230" s="102" t="s">
        <v>2276</v>
      </c>
      <c r="R230" s="102" t="s">
        <v>2276</v>
      </c>
      <c r="S230" s="21" t="s">
        <v>2276</v>
      </c>
      <c r="T230" s="21" t="s">
        <v>2276</v>
      </c>
      <c r="U230" s="21" t="s">
        <v>2276</v>
      </c>
      <c r="V230" s="21" t="s">
        <v>2276</v>
      </c>
      <c r="W230" s="21" t="s">
        <v>2402</v>
      </c>
      <c r="X230" s="3" t="s">
        <v>189</v>
      </c>
      <c r="Y230" s="3" t="s">
        <v>38</v>
      </c>
      <c r="Z230" s="3" t="s">
        <v>64</v>
      </c>
      <c r="AA230" s="4" t="s">
        <v>381</v>
      </c>
      <c r="AB230" s="4" t="s">
        <v>394</v>
      </c>
    </row>
    <row r="231" spans="1:28" ht="76.5" customHeight="1">
      <c r="A231" s="6" t="str">
        <f>'Reported burning'!A231</f>
        <v>15a</v>
      </c>
      <c r="B231" s="6" t="str">
        <f>'Reported burning'!B231</f>
        <v>15a.1</v>
      </c>
      <c r="C231" s="6" t="str">
        <f>'Reported burning'!C231</f>
        <v>Human, deliberate</v>
      </c>
      <c r="D231" s="6" t="str">
        <f>'Reported burning'!D231</f>
        <v>Crop field preparation</v>
      </c>
      <c r="E231" s="6" t="str">
        <f>'Reported burning'!E231</f>
        <v>Cropping, Monoculture, Subsistence-oriented</v>
      </c>
      <c r="F231" s="6" t="str">
        <f>'Reported burning'!F231</f>
        <v>Cropland</v>
      </c>
      <c r="G231" s="6" t="str">
        <f>'Reported burning'!G231</f>
        <v>ND</v>
      </c>
      <c r="H231" s="6" t="str">
        <f>'Reported burning'!H231</f>
        <v>Absence</v>
      </c>
      <c r="I231" s="3"/>
      <c r="J231" s="21" t="s">
        <v>2364</v>
      </c>
      <c r="K231" s="103" t="s">
        <v>2364</v>
      </c>
      <c r="L231" s="21" t="s">
        <v>2364</v>
      </c>
      <c r="M231" s="21" t="s">
        <v>2364</v>
      </c>
      <c r="N231" s="21" t="s">
        <v>2364</v>
      </c>
      <c r="O231" s="21" t="s">
        <v>2364</v>
      </c>
      <c r="P231" s="21" t="s">
        <v>2364</v>
      </c>
      <c r="Q231" s="102" t="s">
        <v>2276</v>
      </c>
      <c r="R231" s="102" t="s">
        <v>2276</v>
      </c>
      <c r="S231" s="21" t="s">
        <v>2364</v>
      </c>
      <c r="T231" s="21" t="s">
        <v>2364</v>
      </c>
      <c r="U231" s="21" t="s">
        <v>2364</v>
      </c>
      <c r="V231" s="21" t="s">
        <v>2364</v>
      </c>
      <c r="W231" s="21" t="s">
        <v>2276</v>
      </c>
      <c r="X231" s="3" t="s">
        <v>400</v>
      </c>
      <c r="Y231" s="3" t="s">
        <v>399</v>
      </c>
      <c r="Z231" s="3" t="s">
        <v>64</v>
      </c>
      <c r="AA231" s="3"/>
      <c r="AB231" s="10"/>
    </row>
    <row r="232" spans="1:28" ht="108" customHeight="1">
      <c r="A232" s="6" t="str">
        <f>'Reported burning'!A232</f>
        <v>15a</v>
      </c>
      <c r="B232" s="6" t="str">
        <f>'Reported burning'!B232</f>
        <v>15a.2</v>
      </c>
      <c r="C232" s="6" t="str">
        <f>'Reported burning'!C232</f>
        <v>Human, deliberate</v>
      </c>
      <c r="D232" s="6" t="str">
        <f>'Reported burning'!D232</f>
        <v>Crop field preparation</v>
      </c>
      <c r="E232" s="6" t="str">
        <f>'Reported burning'!E232</f>
        <v>Cropping, Swidden</v>
      </c>
      <c r="F232" s="6" t="str">
        <f>'Reported burning'!F232</f>
        <v>Secondary Vegetation</v>
      </c>
      <c r="G232" s="6" t="str">
        <f>'Reported burning'!G232</f>
        <v>ND</v>
      </c>
      <c r="H232" s="6" t="str">
        <f>'Reported burning'!H232</f>
        <v>Presence</v>
      </c>
      <c r="I232" s="3"/>
      <c r="J232" s="21" t="s">
        <v>2276</v>
      </c>
      <c r="K232" s="103" t="s">
        <v>2276</v>
      </c>
      <c r="L232" s="21" t="s">
        <v>2276</v>
      </c>
      <c r="M232" s="21" t="s">
        <v>2276</v>
      </c>
      <c r="N232" s="21" t="s">
        <v>2276</v>
      </c>
      <c r="O232" s="21" t="s">
        <v>2276</v>
      </c>
      <c r="P232" s="21" t="s">
        <v>2276</v>
      </c>
      <c r="Q232" s="102" t="s">
        <v>2276</v>
      </c>
      <c r="R232" s="102" t="s">
        <v>2276</v>
      </c>
      <c r="S232" s="21" t="s">
        <v>2376</v>
      </c>
      <c r="T232" s="21" t="s">
        <v>2276</v>
      </c>
      <c r="U232" s="21" t="s">
        <v>2374</v>
      </c>
      <c r="V232" s="21" t="s">
        <v>2276</v>
      </c>
      <c r="W232" s="21" t="s">
        <v>2276</v>
      </c>
      <c r="X232" s="3" t="s">
        <v>400</v>
      </c>
      <c r="Y232" s="3" t="s">
        <v>399</v>
      </c>
      <c r="Z232" s="3" t="s">
        <v>64</v>
      </c>
      <c r="AA232" s="3"/>
      <c r="AB232" s="10" t="s">
        <v>2407</v>
      </c>
    </row>
    <row r="233" spans="1:28" ht="76.5" customHeight="1">
      <c r="A233" s="6" t="str">
        <f>'Reported burning'!A233</f>
        <v>15a</v>
      </c>
      <c r="B233" s="6" t="str">
        <f>'Reported burning'!B233</f>
        <v>15a.3</v>
      </c>
      <c r="C233" s="6" t="str">
        <f>'Reported burning'!C233</f>
        <v>Human, deliberate</v>
      </c>
      <c r="D233" s="6" t="str">
        <f>'Reported burning'!D233</f>
        <v>Cultural &amp; Spiritual</v>
      </c>
      <c r="E233" s="6" t="str">
        <f>'Reported burning'!E233</f>
        <v>Cropping, Swidden</v>
      </c>
      <c r="F233" s="6" t="str">
        <f>'Reported burning'!F233</f>
        <v>Secondary Vegetation</v>
      </c>
      <c r="G233" s="6" t="str">
        <f>'Reported burning'!G233</f>
        <v>ND</v>
      </c>
      <c r="H233" s="6" t="str">
        <f>'Reported burning'!H233</f>
        <v>Presence</v>
      </c>
      <c r="I233" s="3"/>
      <c r="J233" s="21" t="s">
        <v>2276</v>
      </c>
      <c r="K233" s="103" t="s">
        <v>2276</v>
      </c>
      <c r="L233" s="21" t="s">
        <v>2276</v>
      </c>
      <c r="M233" s="21" t="s">
        <v>2276</v>
      </c>
      <c r="N233" s="21" t="s">
        <v>2276</v>
      </c>
      <c r="O233" s="21" t="s">
        <v>2276</v>
      </c>
      <c r="P233" s="21" t="s">
        <v>2276</v>
      </c>
      <c r="Q233" s="102" t="s">
        <v>2276</v>
      </c>
      <c r="R233" s="102" t="s">
        <v>2276</v>
      </c>
      <c r="S233" s="21" t="s">
        <v>2276</v>
      </c>
      <c r="T233" s="21" t="s">
        <v>2276</v>
      </c>
      <c r="U233" s="21" t="s">
        <v>2276</v>
      </c>
      <c r="V233" s="21" t="s">
        <v>2276</v>
      </c>
      <c r="W233" s="21" t="s">
        <v>2276</v>
      </c>
      <c r="X233" s="3" t="s">
        <v>404</v>
      </c>
      <c r="Y233" s="3" t="s">
        <v>405</v>
      </c>
      <c r="Z233" s="3" t="s">
        <v>64</v>
      </c>
      <c r="AA233" s="4" t="s">
        <v>408</v>
      </c>
      <c r="AB233" s="10" t="s">
        <v>409</v>
      </c>
    </row>
    <row r="234" spans="1:28" ht="76.5" customHeight="1">
      <c r="A234" s="6" t="str">
        <f>'Reported burning'!A234</f>
        <v>15a</v>
      </c>
      <c r="B234" s="6" t="str">
        <f>'Reported burning'!B234</f>
        <v>15a.4</v>
      </c>
      <c r="C234" s="6" t="str">
        <f>'Reported burning'!C234</f>
        <v>Human, deliberate</v>
      </c>
      <c r="D234" s="6" t="str">
        <f>'Reported burning'!D234</f>
        <v>Pest management</v>
      </c>
      <c r="E234" s="6" t="str">
        <f>'Reported burning'!E234</f>
        <v>Cropping, Swidden</v>
      </c>
      <c r="F234" s="6" t="str">
        <f>'Reported burning'!F234</f>
        <v>Shrubland (Mixed forest &amp; grassland)</v>
      </c>
      <c r="G234" s="6" t="str">
        <f>'Reported burning'!G234</f>
        <v>ND</v>
      </c>
      <c r="H234" s="6" t="str">
        <f>'Reported burning'!H234</f>
        <v>Presence</v>
      </c>
      <c r="I234" s="3"/>
      <c r="J234" s="21" t="s">
        <v>2276</v>
      </c>
      <c r="K234" s="103" t="s">
        <v>2276</v>
      </c>
      <c r="L234" s="21" t="s">
        <v>2276</v>
      </c>
      <c r="M234" s="21" t="s">
        <v>2276</v>
      </c>
      <c r="N234" s="21" t="s">
        <v>2276</v>
      </c>
      <c r="O234" s="21" t="s">
        <v>2276</v>
      </c>
      <c r="P234" s="21" t="s">
        <v>2276</v>
      </c>
      <c r="Q234" s="102" t="s">
        <v>2276</v>
      </c>
      <c r="R234" s="102" t="s">
        <v>2276</v>
      </c>
      <c r="S234" s="21" t="s">
        <v>2276</v>
      </c>
      <c r="T234" s="21" t="s">
        <v>2276</v>
      </c>
      <c r="U234" s="21" t="s">
        <v>2276</v>
      </c>
      <c r="V234" s="21" t="s">
        <v>2276</v>
      </c>
      <c r="W234" s="21" t="s">
        <v>2276</v>
      </c>
      <c r="X234" s="3" t="s">
        <v>404</v>
      </c>
      <c r="Y234" s="3" t="s">
        <v>405</v>
      </c>
      <c r="Z234" s="3" t="s">
        <v>64</v>
      </c>
      <c r="AA234" s="4" t="s">
        <v>408</v>
      </c>
      <c r="AB234" s="10" t="s">
        <v>409</v>
      </c>
    </row>
    <row r="235" spans="1:28" ht="97" customHeight="1">
      <c r="A235" s="6" t="str">
        <f>'Reported burning'!A235</f>
        <v>15b</v>
      </c>
      <c r="B235" s="6" t="str">
        <f>'Reported burning'!B235</f>
        <v>15b.1</v>
      </c>
      <c r="C235" s="6" t="str">
        <f>'Reported burning'!C235</f>
        <v>Human, deliberate</v>
      </c>
      <c r="D235" s="6" t="str">
        <f>'Reported burning'!D235</f>
        <v>Crop field preparation</v>
      </c>
      <c r="E235" s="6" t="str">
        <f>'Reported burning'!E235</f>
        <v>Cropping, Monoculture, Subsistence-oriented</v>
      </c>
      <c r="F235" s="6" t="str">
        <f>'Reported burning'!F235</f>
        <v>Cropland</v>
      </c>
      <c r="G235" s="6" t="str">
        <f>'Reported burning'!G235</f>
        <v>ND</v>
      </c>
      <c r="H235" s="6" t="str">
        <f>'Reported burning'!H235</f>
        <v>Absence</v>
      </c>
      <c r="I235" s="3"/>
      <c r="J235" s="21" t="s">
        <v>2364</v>
      </c>
      <c r="K235" s="103" t="s">
        <v>2364</v>
      </c>
      <c r="L235" s="21" t="s">
        <v>2364</v>
      </c>
      <c r="M235" s="21" t="s">
        <v>2364</v>
      </c>
      <c r="N235" s="21" t="s">
        <v>2364</v>
      </c>
      <c r="O235" s="21" t="s">
        <v>2364</v>
      </c>
      <c r="P235" s="21" t="s">
        <v>2364</v>
      </c>
      <c r="Q235" s="102" t="s">
        <v>2276</v>
      </c>
      <c r="R235" s="102" t="s">
        <v>2276</v>
      </c>
      <c r="S235" s="21" t="s">
        <v>2364</v>
      </c>
      <c r="T235" s="21" t="s">
        <v>2364</v>
      </c>
      <c r="U235" s="21" t="s">
        <v>2364</v>
      </c>
      <c r="V235" s="21" t="s">
        <v>2364</v>
      </c>
      <c r="W235" s="21" t="s">
        <v>2276</v>
      </c>
      <c r="X235" s="3" t="s">
        <v>400</v>
      </c>
      <c r="Y235" s="3" t="s">
        <v>399</v>
      </c>
      <c r="Z235" s="3" t="s">
        <v>64</v>
      </c>
      <c r="AA235" s="3"/>
      <c r="AB235" s="10" t="s">
        <v>415</v>
      </c>
    </row>
    <row r="236" spans="1:28" ht="103" customHeight="1">
      <c r="A236" s="6" t="str">
        <f>'Reported burning'!A236</f>
        <v>15b</v>
      </c>
      <c r="B236" s="6" t="str">
        <f>'Reported burning'!B236</f>
        <v>15b.2</v>
      </c>
      <c r="C236" s="6" t="str">
        <f>'Reported burning'!C236</f>
        <v>Human, deliberate</v>
      </c>
      <c r="D236" s="6" t="str">
        <f>'Reported burning'!D236</f>
        <v>Crop field preparation</v>
      </c>
      <c r="E236" s="6" t="str">
        <f>'Reported burning'!E236</f>
        <v>Cropping, Swidden</v>
      </c>
      <c r="F236" s="6" t="str">
        <f>'Reported burning'!F236</f>
        <v>Secondary Vegetation</v>
      </c>
      <c r="G236" s="6" t="str">
        <f>'Reported burning'!G236</f>
        <v>ND</v>
      </c>
      <c r="H236" s="6" t="str">
        <f>'Reported burning'!H236</f>
        <v>Presence</v>
      </c>
      <c r="I236" s="3"/>
      <c r="J236" s="21" t="s">
        <v>2276</v>
      </c>
      <c r="K236" s="103" t="s">
        <v>2276</v>
      </c>
      <c r="L236" s="21" t="s">
        <v>2276</v>
      </c>
      <c r="M236" s="21" t="s">
        <v>2276</v>
      </c>
      <c r="N236" s="21" t="s">
        <v>2276</v>
      </c>
      <c r="O236" s="21" t="s">
        <v>2276</v>
      </c>
      <c r="P236" s="21" t="s">
        <v>2276</v>
      </c>
      <c r="Q236" s="102" t="s">
        <v>2276</v>
      </c>
      <c r="R236" s="102" t="s">
        <v>2276</v>
      </c>
      <c r="S236" s="21" t="s">
        <v>2374</v>
      </c>
      <c r="T236" s="21" t="s">
        <v>2276</v>
      </c>
      <c r="U236" s="21" t="s">
        <v>2527</v>
      </c>
      <c r="V236" s="21" t="s">
        <v>2276</v>
      </c>
      <c r="W236" s="21" t="s">
        <v>2276</v>
      </c>
      <c r="X236" s="3" t="s">
        <v>400</v>
      </c>
      <c r="Y236" s="3" t="s">
        <v>399</v>
      </c>
      <c r="Z236" s="3" t="s">
        <v>64</v>
      </c>
      <c r="AA236" s="3"/>
      <c r="AB236" s="10" t="s">
        <v>415</v>
      </c>
    </row>
    <row r="237" spans="1:28" ht="66.5" customHeight="1">
      <c r="A237" s="6" t="str">
        <f>'Reported burning'!A237</f>
        <v>15b</v>
      </c>
      <c r="B237" s="6" t="str">
        <f>'Reported burning'!B237</f>
        <v>15b.3</v>
      </c>
      <c r="C237" s="6" t="str">
        <f>'Reported burning'!C237</f>
        <v>Human, deliberate</v>
      </c>
      <c r="D237" s="6" t="str">
        <f>'Reported burning'!D237</f>
        <v>Cultural &amp; Spiritual</v>
      </c>
      <c r="E237" s="6" t="str">
        <f>'Reported burning'!E237</f>
        <v>Cropping, Swidden</v>
      </c>
      <c r="F237" s="6" t="str">
        <f>'Reported burning'!F237</f>
        <v>Secondary Vegetation</v>
      </c>
      <c r="G237" s="6" t="str">
        <f>'Reported burning'!G237</f>
        <v>ND</v>
      </c>
      <c r="H237" s="6" t="str">
        <f>'Reported burning'!H237</f>
        <v>Presence</v>
      </c>
      <c r="I237" s="3"/>
      <c r="J237" s="21" t="s">
        <v>2276</v>
      </c>
      <c r="K237" s="103" t="s">
        <v>2276</v>
      </c>
      <c r="L237" s="21" t="s">
        <v>2276</v>
      </c>
      <c r="M237" s="21" t="s">
        <v>2276</v>
      </c>
      <c r="N237" s="21" t="s">
        <v>2276</v>
      </c>
      <c r="O237" s="21" t="s">
        <v>2276</v>
      </c>
      <c r="P237" s="21" t="s">
        <v>2276</v>
      </c>
      <c r="Q237" s="102" t="s">
        <v>2276</v>
      </c>
      <c r="R237" s="102" t="s">
        <v>2276</v>
      </c>
      <c r="S237" s="21" t="s">
        <v>2276</v>
      </c>
      <c r="T237" s="21" t="s">
        <v>2276</v>
      </c>
      <c r="U237" s="21" t="s">
        <v>2276</v>
      </c>
      <c r="V237" s="21" t="s">
        <v>2276</v>
      </c>
      <c r="W237" s="21" t="s">
        <v>2276</v>
      </c>
      <c r="X237" s="3" t="s">
        <v>404</v>
      </c>
      <c r="Y237" s="3" t="s">
        <v>405</v>
      </c>
      <c r="Z237" s="3" t="s">
        <v>64</v>
      </c>
      <c r="AA237" s="4" t="s">
        <v>408</v>
      </c>
      <c r="AB237" s="10" t="s">
        <v>409</v>
      </c>
    </row>
    <row r="238" spans="1:28" ht="73" customHeight="1">
      <c r="A238" s="6" t="str">
        <f>'Reported burning'!A238</f>
        <v>15c</v>
      </c>
      <c r="B238" s="6" t="str">
        <f>'Reported burning'!B238</f>
        <v>15c.1</v>
      </c>
      <c r="C238" s="6" t="str">
        <f>'Reported burning'!C238</f>
        <v>Human, deliberate</v>
      </c>
      <c r="D238" s="6" t="str">
        <f>'Reported burning'!D238</f>
        <v>Crop field preparation</v>
      </c>
      <c r="E238" s="6" t="str">
        <f>'Reported burning'!E238</f>
        <v>Cropping, Monoculture, Subsistence-oriented</v>
      </c>
      <c r="F238" s="6" t="str">
        <f>'Reported burning'!F238</f>
        <v>Cropland</v>
      </c>
      <c r="G238" s="6" t="str">
        <f>'Reported burning'!G238</f>
        <v>ND</v>
      </c>
      <c r="H238" s="6" t="str">
        <f>'Reported burning'!H238</f>
        <v>Absence</v>
      </c>
      <c r="I238" s="3"/>
      <c r="J238" s="21" t="s">
        <v>2364</v>
      </c>
      <c r="K238" s="103" t="s">
        <v>2364</v>
      </c>
      <c r="L238" s="21" t="s">
        <v>2364</v>
      </c>
      <c r="M238" s="21" t="s">
        <v>2364</v>
      </c>
      <c r="N238" s="21" t="s">
        <v>2364</v>
      </c>
      <c r="O238" s="21" t="s">
        <v>2364</v>
      </c>
      <c r="P238" s="21" t="s">
        <v>2364</v>
      </c>
      <c r="Q238" s="102" t="s">
        <v>2276</v>
      </c>
      <c r="R238" s="102" t="s">
        <v>2276</v>
      </c>
      <c r="S238" s="21" t="s">
        <v>2364</v>
      </c>
      <c r="T238" s="21" t="s">
        <v>2364</v>
      </c>
      <c r="U238" s="21" t="s">
        <v>2364</v>
      </c>
      <c r="V238" s="21" t="s">
        <v>2364</v>
      </c>
      <c r="W238" s="21" t="s">
        <v>2276</v>
      </c>
      <c r="X238" s="3" t="s">
        <v>400</v>
      </c>
      <c r="Y238" s="3" t="s">
        <v>399</v>
      </c>
      <c r="Z238" s="3" t="s">
        <v>64</v>
      </c>
      <c r="AA238" s="10" t="s">
        <v>401</v>
      </c>
      <c r="AB238" s="10"/>
    </row>
    <row r="239" spans="1:28" ht="73" customHeight="1">
      <c r="A239" s="6" t="str">
        <f>'Reported burning'!A239</f>
        <v>15c</v>
      </c>
      <c r="B239" s="6" t="str">
        <f>'Reported burning'!B239</f>
        <v>15c.2</v>
      </c>
      <c r="C239" s="6" t="str">
        <f>'Reported burning'!C239</f>
        <v>Human, deliberate</v>
      </c>
      <c r="D239" s="6" t="str">
        <f>'Reported burning'!D239</f>
        <v>Crop field preparation</v>
      </c>
      <c r="E239" s="6" t="str">
        <f>'Reported burning'!E239</f>
        <v>Cropping, Swidden</v>
      </c>
      <c r="F239" s="6" t="str">
        <f>'Reported burning'!F239</f>
        <v>Secondary Vegetation</v>
      </c>
      <c r="G239" s="6" t="str">
        <f>'Reported burning'!G239</f>
        <v>ND</v>
      </c>
      <c r="H239" s="6" t="str">
        <f>'Reported burning'!H239</f>
        <v>Absence</v>
      </c>
      <c r="I239" s="3"/>
      <c r="J239" s="21" t="s">
        <v>2364</v>
      </c>
      <c r="K239" s="103" t="s">
        <v>2364</v>
      </c>
      <c r="L239" s="21" t="s">
        <v>2364</v>
      </c>
      <c r="M239" s="21" t="s">
        <v>2364</v>
      </c>
      <c r="N239" s="21" t="s">
        <v>2364</v>
      </c>
      <c r="O239" s="21" t="s">
        <v>2364</v>
      </c>
      <c r="P239" s="21" t="s">
        <v>2364</v>
      </c>
      <c r="Q239" s="102" t="s">
        <v>2276</v>
      </c>
      <c r="R239" s="102" t="s">
        <v>2276</v>
      </c>
      <c r="S239" s="21" t="s">
        <v>2364</v>
      </c>
      <c r="T239" s="21" t="s">
        <v>2364</v>
      </c>
      <c r="U239" s="21" t="s">
        <v>2364</v>
      </c>
      <c r="V239" s="21" t="s">
        <v>2364</v>
      </c>
      <c r="W239" s="21" t="s">
        <v>2276</v>
      </c>
      <c r="X239" s="3" t="s">
        <v>400</v>
      </c>
      <c r="Y239" s="3" t="s">
        <v>399</v>
      </c>
      <c r="Z239" s="3" t="s">
        <v>64</v>
      </c>
      <c r="AA239" s="10" t="s">
        <v>1466</v>
      </c>
      <c r="AB239" s="10"/>
    </row>
    <row r="240" spans="1:28" ht="108" customHeight="1">
      <c r="A240" s="6" t="str">
        <f>'Reported burning'!A240</f>
        <v>15d</v>
      </c>
      <c r="B240" s="6" t="str">
        <f>'Reported burning'!B240</f>
        <v>15d.1</v>
      </c>
      <c r="C240" s="6" t="str">
        <f>'Reported burning'!C240</f>
        <v>Human, deliberate</v>
      </c>
      <c r="D240" s="6" t="str">
        <f>'Reported burning'!D240</f>
        <v>Crop field preparation</v>
      </c>
      <c r="E240" s="6" t="str">
        <f>'Reported burning'!E240</f>
        <v>Cropping, Monoculture, Subsistence-oriented</v>
      </c>
      <c r="F240" s="6" t="str">
        <f>'Reported burning'!F240</f>
        <v>Cropland</v>
      </c>
      <c r="G240" s="6" t="str">
        <f>'Reported burning'!G240</f>
        <v>ND</v>
      </c>
      <c r="H240" s="6" t="str">
        <f>'Reported burning'!H240</f>
        <v>Absence</v>
      </c>
      <c r="I240" s="3"/>
      <c r="J240" s="21" t="s">
        <v>2364</v>
      </c>
      <c r="K240" s="103" t="s">
        <v>2364</v>
      </c>
      <c r="L240" s="21" t="s">
        <v>2364</v>
      </c>
      <c r="M240" s="21" t="s">
        <v>2364</v>
      </c>
      <c r="N240" s="21" t="s">
        <v>2364</v>
      </c>
      <c r="O240" s="21" t="s">
        <v>2364</v>
      </c>
      <c r="P240" s="21" t="s">
        <v>2364</v>
      </c>
      <c r="Q240" s="102" t="s">
        <v>2276</v>
      </c>
      <c r="R240" s="102" t="s">
        <v>2276</v>
      </c>
      <c r="S240" s="21" t="s">
        <v>2364</v>
      </c>
      <c r="T240" s="21" t="s">
        <v>2364</v>
      </c>
      <c r="U240" s="21" t="s">
        <v>2364</v>
      </c>
      <c r="V240" s="21" t="s">
        <v>2364</v>
      </c>
      <c r="W240" s="21" t="s">
        <v>2276</v>
      </c>
      <c r="X240" s="3" t="s">
        <v>35</v>
      </c>
      <c r="Y240" s="3" t="s">
        <v>399</v>
      </c>
      <c r="Z240" s="3" t="s">
        <v>64</v>
      </c>
      <c r="AA240" s="10" t="s">
        <v>402</v>
      </c>
      <c r="AB240" s="10" t="s">
        <v>415</v>
      </c>
    </row>
    <row r="241" spans="1:28" ht="108" customHeight="1">
      <c r="A241" s="6" t="str">
        <f>'Reported burning'!A241</f>
        <v>15d</v>
      </c>
      <c r="B241" s="6" t="str">
        <f>'Reported burning'!B241</f>
        <v>15d.2</v>
      </c>
      <c r="C241" s="6" t="str">
        <f>'Reported burning'!C241</f>
        <v>Human, deliberate</v>
      </c>
      <c r="D241" s="6" t="str">
        <f>'Reported burning'!D241</f>
        <v>Forest clearance</v>
      </c>
      <c r="E241" s="6" t="str">
        <f>'Reported burning'!E241</f>
        <v>Cropping, Monoculture, Subsistence-oriented</v>
      </c>
      <c r="F241" s="6" t="str">
        <f>'Reported burning'!F241</f>
        <v>Shrubland (Mixed forest &amp; grassland)</v>
      </c>
      <c r="G241" s="6" t="str">
        <f>'Reported burning'!G241</f>
        <v>ND</v>
      </c>
      <c r="H241" s="6" t="str">
        <f>'Reported burning'!H241</f>
        <v>Presence</v>
      </c>
      <c r="I241" s="3"/>
      <c r="J241" s="21" t="s">
        <v>2276</v>
      </c>
      <c r="K241" s="103" t="s">
        <v>2276</v>
      </c>
      <c r="L241" s="21" t="s">
        <v>2276</v>
      </c>
      <c r="M241" s="21" t="s">
        <v>2276</v>
      </c>
      <c r="N241" s="21" t="s">
        <v>2276</v>
      </c>
      <c r="O241" s="21" t="s">
        <v>2276</v>
      </c>
      <c r="P241" s="21" t="s">
        <v>2276</v>
      </c>
      <c r="Q241" s="102" t="s">
        <v>2276</v>
      </c>
      <c r="R241" s="102" t="s">
        <v>2276</v>
      </c>
      <c r="S241" s="21" t="s">
        <v>2527</v>
      </c>
      <c r="T241" s="21" t="s">
        <v>2276</v>
      </c>
      <c r="U241" s="21" t="s">
        <v>2527</v>
      </c>
      <c r="V241" s="21" t="s">
        <v>2276</v>
      </c>
      <c r="W241" s="21" t="s">
        <v>2276</v>
      </c>
      <c r="X241" s="3" t="s">
        <v>35</v>
      </c>
      <c r="Y241" s="3" t="s">
        <v>399</v>
      </c>
      <c r="Z241" s="3" t="s">
        <v>64</v>
      </c>
      <c r="AA241" s="10" t="s">
        <v>402</v>
      </c>
      <c r="AB241" s="10" t="s">
        <v>414</v>
      </c>
    </row>
    <row r="242" spans="1:28" ht="108" customHeight="1">
      <c r="A242" s="6" t="str">
        <f>'Reported burning'!A242</f>
        <v>15d</v>
      </c>
      <c r="B242" s="6" t="str">
        <f>'Reported burning'!B242</f>
        <v>15d.3</v>
      </c>
      <c r="C242" s="6" t="str">
        <f>'Reported burning'!C242</f>
        <v>Human, deliberate</v>
      </c>
      <c r="D242" s="6" t="str">
        <f>'Reported burning'!D242</f>
        <v>Crop field preparation</v>
      </c>
      <c r="E242" s="6" t="str">
        <f>'Reported burning'!E242</f>
        <v>Cropping, Swidden</v>
      </c>
      <c r="F242" s="6" t="str">
        <f>'Reported burning'!F242</f>
        <v>Secondary Vegetation</v>
      </c>
      <c r="G242" s="6" t="str">
        <f>'Reported burning'!G242</f>
        <v>ND</v>
      </c>
      <c r="H242" s="6" t="str">
        <f>'Reported burning'!H242</f>
        <v>Presence</v>
      </c>
      <c r="I242" s="3"/>
      <c r="J242" s="77" t="s">
        <v>2276</v>
      </c>
      <c r="K242" s="109" t="s">
        <v>2276</v>
      </c>
      <c r="L242" s="77" t="s">
        <v>2276</v>
      </c>
      <c r="M242" s="77" t="s">
        <v>2276</v>
      </c>
      <c r="N242" s="77" t="s">
        <v>2276</v>
      </c>
      <c r="O242" s="77" t="s">
        <v>2276</v>
      </c>
      <c r="P242" s="77" t="s">
        <v>2276</v>
      </c>
      <c r="Q242" s="102" t="s">
        <v>2276</v>
      </c>
      <c r="R242" s="102" t="s">
        <v>2276</v>
      </c>
      <c r="S242" s="21" t="s">
        <v>2527</v>
      </c>
      <c r="T242" s="77" t="s">
        <v>2276</v>
      </c>
      <c r="U242" s="77" t="s">
        <v>2527</v>
      </c>
      <c r="V242" s="77" t="s">
        <v>2276</v>
      </c>
      <c r="W242" s="77" t="s">
        <v>2276</v>
      </c>
      <c r="X242" s="3" t="s">
        <v>35</v>
      </c>
      <c r="Y242" s="3" t="s">
        <v>399</v>
      </c>
      <c r="Z242" s="3" t="s">
        <v>64</v>
      </c>
      <c r="AA242" s="10" t="s">
        <v>402</v>
      </c>
      <c r="AB242" s="10" t="s">
        <v>415</v>
      </c>
    </row>
    <row r="243" spans="1:28" ht="63.5" customHeight="1">
      <c r="A243" s="6" t="str">
        <f>'Reported burning'!A243</f>
        <v>16a</v>
      </c>
      <c r="B243" s="6" t="str">
        <f>'Reported burning'!B243</f>
        <v>16a.1</v>
      </c>
      <c r="C243" s="6" t="str">
        <f>'Reported burning'!C243</f>
        <v>Human, deliberate</v>
      </c>
      <c r="D243" s="6" t="str">
        <f>'Reported burning'!D243</f>
        <v>Crop field preparation</v>
      </c>
      <c r="E243" s="6" t="str">
        <f>'Reported burning'!E243</f>
        <v>Cropping, Swidden</v>
      </c>
      <c r="F243" s="6" t="str">
        <f>'Reported burning'!F243</f>
        <v>Secondary Vegetation</v>
      </c>
      <c r="G243" s="6" t="str">
        <f>'Reported burning'!G243</f>
        <v>ND</v>
      </c>
      <c r="H243" s="6" t="str">
        <f>'Reported burning'!H243</f>
        <v>Presence</v>
      </c>
      <c r="I243" s="3"/>
      <c r="J243" s="77" t="s">
        <v>2276</v>
      </c>
      <c r="K243" s="109" t="s">
        <v>2276</v>
      </c>
      <c r="L243" s="77" t="s">
        <v>2276</v>
      </c>
      <c r="M243" s="77" t="s">
        <v>2276</v>
      </c>
      <c r="N243" s="77" t="s">
        <v>2276</v>
      </c>
      <c r="O243" s="77" t="s">
        <v>2276</v>
      </c>
      <c r="P243" s="77" t="s">
        <v>2276</v>
      </c>
      <c r="Q243" s="102" t="s">
        <v>2276</v>
      </c>
      <c r="R243" s="102" t="s">
        <v>2276</v>
      </c>
      <c r="S243" s="77" t="s">
        <v>2276</v>
      </c>
      <c r="T243" s="77" t="s">
        <v>2276</v>
      </c>
      <c r="U243" s="77" t="s">
        <v>2276</v>
      </c>
      <c r="V243" s="77" t="s">
        <v>2276</v>
      </c>
      <c r="W243" s="77" t="s">
        <v>2276</v>
      </c>
      <c r="X243" s="3" t="s">
        <v>2276</v>
      </c>
      <c r="Y243" s="3" t="s">
        <v>2276</v>
      </c>
      <c r="Z243" s="3" t="s">
        <v>2276</v>
      </c>
      <c r="AA243" s="3"/>
      <c r="AB243" s="4" t="s">
        <v>1475</v>
      </c>
    </row>
    <row r="244" spans="1:28" ht="77" customHeight="1">
      <c r="A244" s="6" t="str">
        <f>'Reported burning'!A244</f>
        <v>17a</v>
      </c>
      <c r="B244" s="6" t="str">
        <f>'Reported burning'!B244</f>
        <v>17a.1</v>
      </c>
      <c r="C244" s="6" t="str">
        <f>'Reported burning'!C244</f>
        <v>Human, deliberate</v>
      </c>
      <c r="D244" s="6" t="str">
        <f>'Reported burning'!D244</f>
        <v>Crop field preparation</v>
      </c>
      <c r="E244" s="6" t="str">
        <f>'Reported burning'!E244</f>
        <v>Cropping, Swidden</v>
      </c>
      <c r="F244" s="6" t="str">
        <f>'Reported burning'!F244</f>
        <v>Secondary Vegetation</v>
      </c>
      <c r="G244" s="6" t="str">
        <f>'Reported burning'!G244</f>
        <v>ND</v>
      </c>
      <c r="H244" s="6" t="str">
        <f>'Reported burning'!H244</f>
        <v>Presence</v>
      </c>
      <c r="I244" s="3"/>
      <c r="J244" s="21" t="s">
        <v>2276</v>
      </c>
      <c r="K244" s="103" t="s">
        <v>2276</v>
      </c>
      <c r="L244" s="21" t="s">
        <v>2276</v>
      </c>
      <c r="M244" s="21" t="s">
        <v>2276</v>
      </c>
      <c r="N244" s="21" t="s">
        <v>2276</v>
      </c>
      <c r="O244" s="21" t="s">
        <v>2276</v>
      </c>
      <c r="P244" s="21" t="s">
        <v>2276</v>
      </c>
      <c r="Q244" s="102" t="s">
        <v>2276</v>
      </c>
      <c r="R244" s="102" t="s">
        <v>2276</v>
      </c>
      <c r="S244" s="21" t="s">
        <v>2374</v>
      </c>
      <c r="T244" s="21" t="s">
        <v>2276</v>
      </c>
      <c r="U244" s="21" t="s">
        <v>2527</v>
      </c>
      <c r="V244" s="21" t="s">
        <v>2276</v>
      </c>
      <c r="W244" s="21" t="s">
        <v>2276</v>
      </c>
      <c r="X244" s="3" t="s">
        <v>425</v>
      </c>
      <c r="Y244" s="3" t="s">
        <v>68</v>
      </c>
      <c r="Z244" s="3" t="s">
        <v>2276</v>
      </c>
      <c r="AA244" s="4" t="s">
        <v>1478</v>
      </c>
      <c r="AB244" s="4" t="s">
        <v>2408</v>
      </c>
    </row>
    <row r="245" spans="1:28" ht="67.5" customHeight="1">
      <c r="A245" s="6" t="str">
        <f>'Reported burning'!A245</f>
        <v>17b</v>
      </c>
      <c r="B245" s="6" t="str">
        <f>'Reported burning'!B245</f>
        <v>17b.1</v>
      </c>
      <c r="C245" s="6" t="str">
        <f>'Reported burning'!C245</f>
        <v>Human, deliberate</v>
      </c>
      <c r="D245" s="6" t="str">
        <f>'Reported burning'!D245</f>
        <v>Crop field preparation</v>
      </c>
      <c r="E245" s="6" t="str">
        <f>'Reported burning'!E245</f>
        <v>Cropping, Swidden</v>
      </c>
      <c r="F245" s="6" t="str">
        <f>'Reported burning'!F245</f>
        <v>Secondary Vegetation</v>
      </c>
      <c r="G245" s="6" t="str">
        <f>'Reported burning'!G245</f>
        <v>ND</v>
      </c>
      <c r="H245" s="6" t="str">
        <f>'Reported burning'!H245</f>
        <v>Presence</v>
      </c>
      <c r="I245" s="3"/>
      <c r="J245" s="21" t="s">
        <v>2276</v>
      </c>
      <c r="K245" s="103" t="s">
        <v>2276</v>
      </c>
      <c r="L245" s="21" t="s">
        <v>2276</v>
      </c>
      <c r="M245" s="21" t="s">
        <v>2276</v>
      </c>
      <c r="N245" s="21" t="s">
        <v>2276</v>
      </c>
      <c r="O245" s="21" t="s">
        <v>2276</v>
      </c>
      <c r="P245" s="21" t="s">
        <v>2276</v>
      </c>
      <c r="Q245" s="102" t="s">
        <v>2276</v>
      </c>
      <c r="R245" s="102" t="s">
        <v>2276</v>
      </c>
      <c r="S245" s="21" t="s">
        <v>2276</v>
      </c>
      <c r="T245" s="21" t="s">
        <v>2276</v>
      </c>
      <c r="U245" s="21" t="s">
        <v>2276</v>
      </c>
      <c r="V245" s="21" t="s">
        <v>2276</v>
      </c>
      <c r="W245" s="21" t="s">
        <v>2276</v>
      </c>
      <c r="X245" s="3" t="s">
        <v>425</v>
      </c>
      <c r="Y245" s="3" t="s">
        <v>68</v>
      </c>
      <c r="Z245" s="3" t="s">
        <v>2276</v>
      </c>
      <c r="AA245" s="4" t="s">
        <v>426</v>
      </c>
      <c r="AB245" s="4" t="s">
        <v>2409</v>
      </c>
    </row>
    <row r="246" spans="1:28" ht="67" customHeight="1">
      <c r="A246" s="6" t="str">
        <f>'Reported burning'!A246</f>
        <v>18a</v>
      </c>
      <c r="B246" s="6" t="str">
        <f>'Reported burning'!B246</f>
        <v>18a.1</v>
      </c>
      <c r="C246" s="6" t="str">
        <f>'Reported burning'!C246</f>
        <v>Human, deliberate</v>
      </c>
      <c r="D246" s="6" t="str">
        <f>'Reported burning'!D246</f>
        <v>Crop field preparation</v>
      </c>
      <c r="E246" s="6" t="str">
        <f>'Reported burning'!E246</f>
        <v>Cropping, Swidden</v>
      </c>
      <c r="F246" s="6" t="str">
        <f>'Reported burning'!F246</f>
        <v>Cropland</v>
      </c>
      <c r="G246" s="6" t="str">
        <f>'Reported burning'!G246</f>
        <v>ND</v>
      </c>
      <c r="H246" s="6" t="str">
        <f>'Reported burning'!H246</f>
        <v>Presence</v>
      </c>
      <c r="I246" s="22"/>
      <c r="J246" s="21" t="s">
        <v>2276</v>
      </c>
      <c r="K246" s="103" t="s">
        <v>2276</v>
      </c>
      <c r="L246" s="21" t="s">
        <v>2276</v>
      </c>
      <c r="M246" s="21" t="s">
        <v>2276</v>
      </c>
      <c r="N246" s="21" t="s">
        <v>2276</v>
      </c>
      <c r="O246" s="21" t="s">
        <v>2276</v>
      </c>
      <c r="P246" s="21" t="s">
        <v>2276</v>
      </c>
      <c r="Q246" s="102" t="s">
        <v>2276</v>
      </c>
      <c r="R246" s="102" t="s">
        <v>2276</v>
      </c>
      <c r="S246" s="21" t="s">
        <v>2276</v>
      </c>
      <c r="T246" s="21" t="s">
        <v>2390</v>
      </c>
      <c r="U246" s="21" t="s">
        <v>2276</v>
      </c>
      <c r="V246" s="21" t="s">
        <v>2276</v>
      </c>
      <c r="W246" s="21" t="s">
        <v>2276</v>
      </c>
      <c r="X246" s="22" t="s">
        <v>2276</v>
      </c>
      <c r="Y246" s="22" t="s">
        <v>2276</v>
      </c>
      <c r="Z246" s="22" t="s">
        <v>2276</v>
      </c>
      <c r="AA246" s="24" t="s">
        <v>434</v>
      </c>
      <c r="AB246" s="24" t="s">
        <v>435</v>
      </c>
    </row>
    <row r="247" spans="1:28" ht="63.5" customHeight="1">
      <c r="A247" s="6" t="str">
        <f>'Reported burning'!A247</f>
        <v>18a</v>
      </c>
      <c r="B247" s="6" t="str">
        <f>'Reported burning'!B247</f>
        <v>18a.2</v>
      </c>
      <c r="C247" s="6" t="str">
        <f>'Reported burning'!C247</f>
        <v>Human, deliberate</v>
      </c>
      <c r="D247" s="6" t="str">
        <f>'Reported burning'!D247</f>
        <v>Crop field preparation</v>
      </c>
      <c r="E247" s="6" t="str">
        <f>'Reported burning'!E247</f>
        <v>Cropping, Swidden</v>
      </c>
      <c r="F247" s="6" t="str">
        <f>'Reported burning'!F247</f>
        <v>Secondary Vegetation</v>
      </c>
      <c r="G247" s="6" t="str">
        <f>'Reported burning'!G247</f>
        <v>ND</v>
      </c>
      <c r="H247" s="6" t="str">
        <f>'Reported burning'!H247</f>
        <v>Presence</v>
      </c>
      <c r="I247" s="22"/>
      <c r="J247" s="21" t="s">
        <v>2276</v>
      </c>
      <c r="K247" s="103" t="s">
        <v>2276</v>
      </c>
      <c r="L247" s="21" t="s">
        <v>2276</v>
      </c>
      <c r="M247" s="21" t="s">
        <v>2276</v>
      </c>
      <c r="N247" s="21" t="s">
        <v>2276</v>
      </c>
      <c r="O247" s="21" t="s">
        <v>2276</v>
      </c>
      <c r="P247" s="21" t="s">
        <v>2276</v>
      </c>
      <c r="Q247" s="102" t="s">
        <v>2276</v>
      </c>
      <c r="R247" s="102" t="s">
        <v>2276</v>
      </c>
      <c r="S247" s="21" t="s">
        <v>2276</v>
      </c>
      <c r="T247" s="21" t="s">
        <v>2527</v>
      </c>
      <c r="U247" s="21" t="s">
        <v>2276</v>
      </c>
      <c r="V247" s="21" t="s">
        <v>2276</v>
      </c>
      <c r="W247" s="21" t="s">
        <v>2276</v>
      </c>
      <c r="X247" s="22" t="s">
        <v>2276</v>
      </c>
      <c r="Y247" s="22" t="s">
        <v>2276</v>
      </c>
      <c r="Z247" s="22" t="s">
        <v>2276</v>
      </c>
      <c r="AA247" s="24" t="s">
        <v>437</v>
      </c>
      <c r="AB247" s="24" t="s">
        <v>436</v>
      </c>
    </row>
    <row r="248" spans="1:28" ht="60" customHeight="1">
      <c r="A248" s="6" t="str">
        <f>'Reported burning'!A248</f>
        <v>19a</v>
      </c>
      <c r="B248" s="6" t="str">
        <f>'Reported burning'!B248</f>
        <v>19a.1</v>
      </c>
      <c r="C248" s="6" t="str">
        <f>'Reported burning'!C248</f>
        <v>Human, deliberate</v>
      </c>
      <c r="D248" s="6" t="str">
        <f>'Reported burning'!D248</f>
        <v>Crop field preparation</v>
      </c>
      <c r="E248" s="6" t="str">
        <f>'Reported burning'!E248</f>
        <v>Cropping, Swidden</v>
      </c>
      <c r="F248" s="6" t="str">
        <f>'Reported burning'!F248</f>
        <v>Secondary Vegetation</v>
      </c>
      <c r="G248" s="6" t="str">
        <f>'Reported burning'!G248</f>
        <v>ND</v>
      </c>
      <c r="H248" s="6" t="str">
        <f>'Reported burning'!H248</f>
        <v>Presence</v>
      </c>
      <c r="I248" s="3"/>
      <c r="J248" s="21" t="s">
        <v>2276</v>
      </c>
      <c r="K248" s="103" t="s">
        <v>2276</v>
      </c>
      <c r="L248" s="21" t="s">
        <v>2276</v>
      </c>
      <c r="M248" s="21" t="s">
        <v>2276</v>
      </c>
      <c r="N248" s="21" t="s">
        <v>2276</v>
      </c>
      <c r="O248" s="21" t="s">
        <v>2276</v>
      </c>
      <c r="P248" s="21" t="s">
        <v>2276</v>
      </c>
      <c r="Q248" s="102" t="s">
        <v>2276</v>
      </c>
      <c r="R248" s="102" t="s">
        <v>2276</v>
      </c>
      <c r="S248" s="21" t="s">
        <v>2276</v>
      </c>
      <c r="T248" s="21" t="s">
        <v>2276</v>
      </c>
      <c r="U248" s="21" t="s">
        <v>2276</v>
      </c>
      <c r="V248" s="21" t="s">
        <v>2276</v>
      </c>
      <c r="W248" s="21" t="s">
        <v>2276</v>
      </c>
      <c r="X248" s="3" t="s">
        <v>68</v>
      </c>
      <c r="Y248" s="3" t="s">
        <v>68</v>
      </c>
      <c r="Z248" s="3" t="s">
        <v>2276</v>
      </c>
      <c r="AA248" s="3"/>
      <c r="AB248" s="4" t="s">
        <v>1481</v>
      </c>
    </row>
    <row r="249" spans="1:28" ht="69.5" customHeight="1">
      <c r="A249" s="6" t="str">
        <f>'Reported burning'!A249</f>
        <v>20a</v>
      </c>
      <c r="B249" s="6" t="str">
        <f>'Reported burning'!B249</f>
        <v>20a.1</v>
      </c>
      <c r="C249" s="6" t="str">
        <f>'Reported burning'!C249</f>
        <v>Human, deliberate</v>
      </c>
      <c r="D249" s="6" t="str">
        <f>'Reported burning'!D249</f>
        <v>Crop field preparation</v>
      </c>
      <c r="E249" s="6" t="str">
        <f>'Reported burning'!E249</f>
        <v>Cropping, Monoculture, Market-oriented</v>
      </c>
      <c r="F249" s="6" t="str">
        <f>'Reported burning'!F249</f>
        <v>Cropland</v>
      </c>
      <c r="G249" s="6" t="str">
        <f>'Reported burning'!G249</f>
        <v>ND</v>
      </c>
      <c r="H249" s="6" t="str">
        <f>'Reported burning'!H249</f>
        <v>Absence</v>
      </c>
      <c r="I249" s="3"/>
      <c r="J249" s="21" t="s">
        <v>2364</v>
      </c>
      <c r="K249" s="103" t="s">
        <v>2364</v>
      </c>
      <c r="L249" s="21" t="s">
        <v>2364</v>
      </c>
      <c r="M249" s="21" t="s">
        <v>2364</v>
      </c>
      <c r="N249" s="21" t="s">
        <v>2364</v>
      </c>
      <c r="O249" s="21" t="s">
        <v>2364</v>
      </c>
      <c r="P249" s="21" t="s">
        <v>2364</v>
      </c>
      <c r="Q249" s="102" t="s">
        <v>2276</v>
      </c>
      <c r="R249" s="102" t="s">
        <v>2276</v>
      </c>
      <c r="S249" s="21" t="s">
        <v>2364</v>
      </c>
      <c r="T249" s="21" t="s">
        <v>2364</v>
      </c>
      <c r="U249" s="21" t="s">
        <v>2364</v>
      </c>
      <c r="V249" s="21" t="s">
        <v>2364</v>
      </c>
      <c r="W249" s="21" t="s">
        <v>2276</v>
      </c>
      <c r="X249" s="3" t="s">
        <v>2276</v>
      </c>
      <c r="Y249" s="3" t="s">
        <v>2276</v>
      </c>
      <c r="Z249" s="3" t="s">
        <v>2276</v>
      </c>
      <c r="AA249" s="4" t="s">
        <v>448</v>
      </c>
      <c r="AB249" s="4"/>
    </row>
    <row r="250" spans="1:28" ht="121.5" customHeight="1">
      <c r="A250" s="6" t="str">
        <f>'Reported burning'!A250</f>
        <v>20a</v>
      </c>
      <c r="B250" s="6" t="str">
        <f>'Reported burning'!B250</f>
        <v>20a.2</v>
      </c>
      <c r="C250" s="6" t="str">
        <f>'Reported burning'!C250</f>
        <v>Human, deliberate</v>
      </c>
      <c r="D250" s="6" t="str">
        <f>'Reported burning'!D250</f>
        <v>Crop field preparation</v>
      </c>
      <c r="E250" s="6" t="str">
        <f>'Reported burning'!E250</f>
        <v>Cropping, Swidden</v>
      </c>
      <c r="F250" s="6" t="str">
        <f>'Reported burning'!F250</f>
        <v>Grassland</v>
      </c>
      <c r="G250" s="6" t="str">
        <f>'Reported burning'!G250</f>
        <v>ND</v>
      </c>
      <c r="H250" s="6" t="str">
        <f>'Reported burning'!H250</f>
        <v>Absence</v>
      </c>
      <c r="I250" s="3"/>
      <c r="J250" s="21" t="s">
        <v>2364</v>
      </c>
      <c r="K250" s="103" t="s">
        <v>2364</v>
      </c>
      <c r="L250" s="21" t="s">
        <v>2364</v>
      </c>
      <c r="M250" s="21" t="s">
        <v>2364</v>
      </c>
      <c r="N250" s="21" t="s">
        <v>2364</v>
      </c>
      <c r="O250" s="21" t="s">
        <v>2364</v>
      </c>
      <c r="P250" s="21" t="s">
        <v>2364</v>
      </c>
      <c r="Q250" s="102" t="s">
        <v>2276</v>
      </c>
      <c r="R250" s="102" t="s">
        <v>2276</v>
      </c>
      <c r="S250" s="21" t="s">
        <v>2364</v>
      </c>
      <c r="T250" s="21" t="s">
        <v>2364</v>
      </c>
      <c r="U250" s="21" t="s">
        <v>2364</v>
      </c>
      <c r="V250" s="21" t="s">
        <v>2364</v>
      </c>
      <c r="W250" s="21" t="s">
        <v>2276</v>
      </c>
      <c r="X250" s="3" t="s">
        <v>2276</v>
      </c>
      <c r="Y250" s="3" t="s">
        <v>2276</v>
      </c>
      <c r="Z250" s="3" t="s">
        <v>2276</v>
      </c>
      <c r="AA250" s="4" t="s">
        <v>449</v>
      </c>
      <c r="AB250" s="4"/>
    </row>
    <row r="251" spans="1:28" ht="101" customHeight="1">
      <c r="A251" s="6" t="str">
        <f>'Reported burning'!A251</f>
        <v>20a</v>
      </c>
      <c r="B251" s="6" t="str">
        <f>'Reported burning'!B251</f>
        <v>20a.3</v>
      </c>
      <c r="C251" s="6" t="str">
        <f>'Reported burning'!C251</f>
        <v>Human, deliberate</v>
      </c>
      <c r="D251" s="6" t="str">
        <f>'Reported burning'!D251</f>
        <v>Crop field preparation</v>
      </c>
      <c r="E251" s="6" t="str">
        <f>'Reported burning'!E251</f>
        <v>Cropping, Swidden</v>
      </c>
      <c r="F251" s="6" t="str">
        <f>'Reported burning'!F251</f>
        <v>Shrubland (Mixed forest &amp; grassland)</v>
      </c>
      <c r="G251" s="6" t="str">
        <f>'Reported burning'!G251</f>
        <v>ND</v>
      </c>
      <c r="H251" s="6" t="str">
        <f>'Reported burning'!H251</f>
        <v>Presence</v>
      </c>
      <c r="I251" s="3"/>
      <c r="J251" s="21" t="s">
        <v>2276</v>
      </c>
      <c r="K251" s="103" t="s">
        <v>2276</v>
      </c>
      <c r="L251" s="21" t="s">
        <v>2276</v>
      </c>
      <c r="M251" s="21" t="s">
        <v>2276</v>
      </c>
      <c r="N251" s="21" t="s">
        <v>2276</v>
      </c>
      <c r="O251" s="21" t="s">
        <v>2276</v>
      </c>
      <c r="P251" s="21" t="s">
        <v>2276</v>
      </c>
      <c r="Q251" s="102" t="s">
        <v>2276</v>
      </c>
      <c r="R251" s="102" t="s">
        <v>2276</v>
      </c>
      <c r="S251" s="21" t="s">
        <v>2276</v>
      </c>
      <c r="T251" s="21" t="s">
        <v>2276</v>
      </c>
      <c r="U251" s="21" t="s">
        <v>2276</v>
      </c>
      <c r="V251" s="21" t="s">
        <v>2276</v>
      </c>
      <c r="W251" s="21" t="s">
        <v>2276</v>
      </c>
      <c r="X251" s="3" t="s">
        <v>2276</v>
      </c>
      <c r="Y251" s="3" t="s">
        <v>2276</v>
      </c>
      <c r="Z251" s="3" t="s">
        <v>2276</v>
      </c>
      <c r="AA251" s="4" t="s">
        <v>1484</v>
      </c>
      <c r="AB251" s="4" t="s">
        <v>450</v>
      </c>
    </row>
    <row r="252" spans="1:28" ht="95" customHeight="1">
      <c r="A252" s="6" t="str">
        <f>'Reported burning'!A252</f>
        <v>21a</v>
      </c>
      <c r="B252" s="6" t="str">
        <f>'Reported burning'!B252</f>
        <v>21a.1</v>
      </c>
      <c r="C252" s="6" t="str">
        <f>'Reported burning'!C252</f>
        <v>Human, deliberate</v>
      </c>
      <c r="D252" s="6" t="str">
        <f>'Reported burning'!D252</f>
        <v>Crop field preparation</v>
      </c>
      <c r="E252" s="6" t="str">
        <f>'Reported burning'!E252</f>
        <v>Cropping, Monoculture, Market-oriented</v>
      </c>
      <c r="F252" s="6" t="str">
        <f>'Reported burning'!F252</f>
        <v>Cropland</v>
      </c>
      <c r="G252" s="6" t="str">
        <f>'Reported burning'!G252</f>
        <v>ND</v>
      </c>
      <c r="H252" s="6" t="str">
        <f>'Reported burning'!H252</f>
        <v>Absence</v>
      </c>
      <c r="I252" s="3"/>
      <c r="J252" s="21" t="s">
        <v>2364</v>
      </c>
      <c r="K252" s="103" t="s">
        <v>2364</v>
      </c>
      <c r="L252" s="21" t="s">
        <v>2364</v>
      </c>
      <c r="M252" s="21" t="s">
        <v>2364</v>
      </c>
      <c r="N252" s="21" t="s">
        <v>2364</v>
      </c>
      <c r="O252" s="21" t="s">
        <v>2364</v>
      </c>
      <c r="P252" s="21" t="s">
        <v>2364</v>
      </c>
      <c r="Q252" s="102" t="s">
        <v>2276</v>
      </c>
      <c r="R252" s="102" t="s">
        <v>2276</v>
      </c>
      <c r="S252" s="21" t="s">
        <v>2364</v>
      </c>
      <c r="T252" s="21" t="s">
        <v>2364</v>
      </c>
      <c r="U252" s="21" t="s">
        <v>2364</v>
      </c>
      <c r="V252" s="21" t="s">
        <v>2364</v>
      </c>
      <c r="W252" s="21" t="s">
        <v>2276</v>
      </c>
      <c r="X252" s="3" t="s">
        <v>2276</v>
      </c>
      <c r="Y252" s="3" t="s">
        <v>2276</v>
      </c>
      <c r="Z252" s="3" t="s">
        <v>2276</v>
      </c>
      <c r="AA252" s="4" t="s">
        <v>462</v>
      </c>
      <c r="AB252" s="3"/>
    </row>
    <row r="253" spans="1:28" ht="66" customHeight="1">
      <c r="A253" s="6" t="str">
        <f>'Reported burning'!A253</f>
        <v>21b</v>
      </c>
      <c r="B253" s="6" t="str">
        <f>'Reported burning'!B253</f>
        <v>21b.1</v>
      </c>
      <c r="C253" s="6" t="str">
        <f>'Reported burning'!C253</f>
        <v>Human, deliberate</v>
      </c>
      <c r="D253" s="6" t="str">
        <f>'Reported burning'!D253</f>
        <v>Crop field preparation</v>
      </c>
      <c r="E253" s="6" t="str">
        <f>'Reported burning'!E253</f>
        <v>Cropping, Monoculture, Market-oriented</v>
      </c>
      <c r="F253" s="6" t="str">
        <f>'Reported burning'!F253</f>
        <v>Cropland</v>
      </c>
      <c r="G253" s="6" t="str">
        <f>'Reported burning'!G253</f>
        <v>ND</v>
      </c>
      <c r="H253" s="6" t="str">
        <f>'Reported burning'!H253</f>
        <v>Absence</v>
      </c>
      <c r="I253" s="3"/>
      <c r="J253" s="21" t="s">
        <v>2364</v>
      </c>
      <c r="K253" s="103" t="s">
        <v>2364</v>
      </c>
      <c r="L253" s="21" t="s">
        <v>2364</v>
      </c>
      <c r="M253" s="21" t="s">
        <v>2364</v>
      </c>
      <c r="N253" s="21" t="s">
        <v>2364</v>
      </c>
      <c r="O253" s="21" t="s">
        <v>2364</v>
      </c>
      <c r="P253" s="21" t="s">
        <v>2364</v>
      </c>
      <c r="Q253" s="102" t="s">
        <v>2276</v>
      </c>
      <c r="R253" s="102" t="s">
        <v>2276</v>
      </c>
      <c r="S253" s="21" t="s">
        <v>2364</v>
      </c>
      <c r="T253" s="21" t="s">
        <v>2364</v>
      </c>
      <c r="U253" s="21" t="s">
        <v>2364</v>
      </c>
      <c r="V253" s="21" t="s">
        <v>2364</v>
      </c>
      <c r="W253" s="21" t="s">
        <v>2276</v>
      </c>
      <c r="X253" s="3" t="s">
        <v>2276</v>
      </c>
      <c r="Y253" s="3" t="s">
        <v>2276</v>
      </c>
      <c r="Z253" s="3" t="s">
        <v>2276</v>
      </c>
      <c r="AA253" s="4" t="s">
        <v>462</v>
      </c>
      <c r="AB253" s="3"/>
    </row>
    <row r="254" spans="1:28" ht="79.5" customHeight="1">
      <c r="A254" s="6" t="str">
        <f>'Reported burning'!A254</f>
        <v>21b</v>
      </c>
      <c r="B254" s="6" t="str">
        <f>'Reported burning'!B254</f>
        <v>21b.2</v>
      </c>
      <c r="C254" s="6" t="str">
        <f>'Reported burning'!C254</f>
        <v>Human, deliberate</v>
      </c>
      <c r="D254" s="6" t="str">
        <f>'Reported burning'!D254</f>
        <v>Crop field preparation</v>
      </c>
      <c r="E254" s="6" t="str">
        <f>'Reported burning'!E254</f>
        <v>Cropping, Swidden</v>
      </c>
      <c r="F254" s="6" t="str">
        <f>'Reported burning'!F254</f>
        <v>Grassland</v>
      </c>
      <c r="G254" s="6" t="str">
        <f>'Reported burning'!G254</f>
        <v>ND</v>
      </c>
      <c r="H254" s="6" t="str">
        <f>'Reported burning'!H254</f>
        <v>Absence</v>
      </c>
      <c r="I254" s="3"/>
      <c r="J254" s="21" t="s">
        <v>2364</v>
      </c>
      <c r="K254" s="103" t="s">
        <v>2364</v>
      </c>
      <c r="L254" s="21" t="s">
        <v>2364</v>
      </c>
      <c r="M254" s="21" t="s">
        <v>2364</v>
      </c>
      <c r="N254" s="21" t="s">
        <v>2364</v>
      </c>
      <c r="O254" s="21" t="s">
        <v>2364</v>
      </c>
      <c r="P254" s="21" t="s">
        <v>2364</v>
      </c>
      <c r="Q254" s="102" t="s">
        <v>2276</v>
      </c>
      <c r="R254" s="102" t="s">
        <v>2276</v>
      </c>
      <c r="S254" s="21" t="s">
        <v>2364</v>
      </c>
      <c r="T254" s="21" t="s">
        <v>2364</v>
      </c>
      <c r="U254" s="21" t="s">
        <v>2364</v>
      </c>
      <c r="V254" s="21" t="s">
        <v>2364</v>
      </c>
      <c r="W254" s="21" t="s">
        <v>2276</v>
      </c>
      <c r="X254" s="3" t="s">
        <v>2276</v>
      </c>
      <c r="Y254" s="3" t="s">
        <v>2276</v>
      </c>
      <c r="Z254" s="3" t="s">
        <v>2276</v>
      </c>
      <c r="AA254" s="4" t="s">
        <v>464</v>
      </c>
      <c r="AB254" s="3"/>
    </row>
    <row r="255" spans="1:28" ht="97.5" customHeight="1">
      <c r="A255" s="6" t="str">
        <f>'Reported burning'!A255</f>
        <v>22a</v>
      </c>
      <c r="B255" s="6" t="str">
        <f>'Reported burning'!B255</f>
        <v>22a.1</v>
      </c>
      <c r="C255" s="6" t="str">
        <f>'Reported burning'!C255</f>
        <v>Human, deliberate</v>
      </c>
      <c r="D255" s="6" t="str">
        <f>'Reported burning'!D255</f>
        <v>Crop field preparation</v>
      </c>
      <c r="E255" s="6" t="str">
        <f>'Reported burning'!E255</f>
        <v>Cropping, Monoculture, Subsistence-oriented</v>
      </c>
      <c r="F255" s="6" t="str">
        <f>'Reported burning'!F255</f>
        <v>Cropland</v>
      </c>
      <c r="G255" s="6" t="str">
        <f>'Reported burning'!G255</f>
        <v>ND</v>
      </c>
      <c r="H255" s="6" t="str">
        <f>'Reported burning'!H255</f>
        <v>Absence</v>
      </c>
      <c r="I255" s="3">
        <v>2010</v>
      </c>
      <c r="J255" s="21" t="s">
        <v>2364</v>
      </c>
      <c r="K255" s="103" t="s">
        <v>2364</v>
      </c>
      <c r="L255" s="21" t="s">
        <v>2364</v>
      </c>
      <c r="M255" s="21" t="s">
        <v>2364</v>
      </c>
      <c r="N255" s="21" t="s">
        <v>2364</v>
      </c>
      <c r="O255" s="21" t="s">
        <v>2364</v>
      </c>
      <c r="P255" s="21" t="s">
        <v>2364</v>
      </c>
      <c r="Q255" s="102" t="s">
        <v>2276</v>
      </c>
      <c r="R255" s="102" t="s">
        <v>2276</v>
      </c>
      <c r="S255" s="21" t="s">
        <v>2364</v>
      </c>
      <c r="T255" s="21" t="s">
        <v>2364</v>
      </c>
      <c r="U255" s="21" t="s">
        <v>2364</v>
      </c>
      <c r="V255" s="21" t="s">
        <v>2364</v>
      </c>
      <c r="W255" s="21" t="s">
        <v>2276</v>
      </c>
      <c r="X255" s="3" t="s">
        <v>2276</v>
      </c>
      <c r="Y255" s="3" t="s">
        <v>2276</v>
      </c>
      <c r="Z255" s="3" t="s">
        <v>2276</v>
      </c>
      <c r="AA255" s="4" t="s">
        <v>479</v>
      </c>
      <c r="AB255" s="3"/>
    </row>
    <row r="256" spans="1:28" ht="93.5" customHeight="1">
      <c r="A256" s="6" t="str">
        <f>'Reported burning'!A256</f>
        <v>22a</v>
      </c>
      <c r="B256" s="6" t="str">
        <f>'Reported burning'!B256</f>
        <v>22a.2</v>
      </c>
      <c r="C256" s="6" t="str">
        <f>'Reported burning'!C256</f>
        <v>Human, deliberate</v>
      </c>
      <c r="D256" s="6" t="str">
        <f>'Reported burning'!D256</f>
        <v>Crop field preparation</v>
      </c>
      <c r="E256" s="6" t="str">
        <f>'Reported burning'!E256</f>
        <v>Cropping, Swidden</v>
      </c>
      <c r="F256" s="6" t="str">
        <f>'Reported burning'!F256</f>
        <v>Shrubland (Mixed forest &amp; grassland)</v>
      </c>
      <c r="G256" s="6" t="str">
        <f>'Reported burning'!G256</f>
        <v>ND</v>
      </c>
      <c r="H256" s="6" t="str">
        <f>'Reported burning'!H256</f>
        <v>Absence</v>
      </c>
      <c r="I256" s="3">
        <v>2010</v>
      </c>
      <c r="J256" s="21" t="s">
        <v>2364</v>
      </c>
      <c r="K256" s="103" t="s">
        <v>2364</v>
      </c>
      <c r="L256" s="21" t="s">
        <v>2364</v>
      </c>
      <c r="M256" s="21" t="s">
        <v>2364</v>
      </c>
      <c r="N256" s="21" t="s">
        <v>2364</v>
      </c>
      <c r="O256" s="21" t="s">
        <v>2364</v>
      </c>
      <c r="P256" s="21" t="s">
        <v>2364</v>
      </c>
      <c r="Q256" s="102" t="s">
        <v>2276</v>
      </c>
      <c r="R256" s="102" t="s">
        <v>2276</v>
      </c>
      <c r="S256" s="21" t="s">
        <v>2364</v>
      </c>
      <c r="T256" s="21" t="s">
        <v>2364</v>
      </c>
      <c r="U256" s="21" t="s">
        <v>2364</v>
      </c>
      <c r="V256" s="21" t="s">
        <v>2364</v>
      </c>
      <c r="W256" s="21" t="s">
        <v>2276</v>
      </c>
      <c r="X256" s="3" t="s">
        <v>2276</v>
      </c>
      <c r="Y256" s="3" t="s">
        <v>2276</v>
      </c>
      <c r="Z256" s="3" t="s">
        <v>2276</v>
      </c>
      <c r="AA256" s="4" t="s">
        <v>478</v>
      </c>
      <c r="AB256" s="3"/>
    </row>
    <row r="257" spans="1:28" ht="87.5" customHeight="1">
      <c r="A257" s="6" t="str">
        <f>'Reported burning'!A257</f>
        <v>22b</v>
      </c>
      <c r="B257" s="6" t="str">
        <f>'Reported burning'!B257</f>
        <v>22b.1</v>
      </c>
      <c r="C257" s="6" t="str">
        <f>'Reported burning'!C257</f>
        <v>Human, deliberate</v>
      </c>
      <c r="D257" s="6" t="str">
        <f>'Reported burning'!D257</f>
        <v>Crop field preparation</v>
      </c>
      <c r="E257" s="6" t="str">
        <f>'Reported burning'!E257</f>
        <v>Cropping, Monoculture, Subsistence-oriented</v>
      </c>
      <c r="F257" s="6" t="str">
        <f>'Reported burning'!F257</f>
        <v>Cropland</v>
      </c>
      <c r="G257" s="6" t="str">
        <f>'Reported burning'!G257</f>
        <v>ND</v>
      </c>
      <c r="H257" s="6" t="str">
        <f>'Reported burning'!H257</f>
        <v>Absence</v>
      </c>
      <c r="I257" s="3">
        <v>2010</v>
      </c>
      <c r="J257" s="21" t="s">
        <v>2364</v>
      </c>
      <c r="K257" s="103" t="s">
        <v>2364</v>
      </c>
      <c r="L257" s="21" t="s">
        <v>2364</v>
      </c>
      <c r="M257" s="21" t="s">
        <v>2364</v>
      </c>
      <c r="N257" s="21" t="s">
        <v>2364</v>
      </c>
      <c r="O257" s="21" t="s">
        <v>2364</v>
      </c>
      <c r="P257" s="21" t="s">
        <v>2364</v>
      </c>
      <c r="Q257" s="102" t="s">
        <v>2276</v>
      </c>
      <c r="R257" s="102" t="s">
        <v>2276</v>
      </c>
      <c r="S257" s="21" t="s">
        <v>2364</v>
      </c>
      <c r="T257" s="21" t="s">
        <v>2364</v>
      </c>
      <c r="U257" s="21" t="s">
        <v>2364</v>
      </c>
      <c r="V257" s="21" t="s">
        <v>2364</v>
      </c>
      <c r="W257" s="21" t="s">
        <v>2276</v>
      </c>
      <c r="X257" s="3" t="s">
        <v>2276</v>
      </c>
      <c r="Y257" s="3" t="s">
        <v>2276</v>
      </c>
      <c r="Z257" s="3" t="s">
        <v>2276</v>
      </c>
      <c r="AA257" s="3"/>
      <c r="AB257" s="3"/>
    </row>
    <row r="258" spans="1:28" ht="83.5" customHeight="1">
      <c r="A258" s="6" t="str">
        <f>'Reported burning'!A258</f>
        <v>22b</v>
      </c>
      <c r="B258" s="6" t="str">
        <f>'Reported burning'!B258</f>
        <v>22b.2</v>
      </c>
      <c r="C258" s="6" t="str">
        <f>'Reported burning'!C258</f>
        <v>Human, deliberate</v>
      </c>
      <c r="D258" s="6" t="str">
        <f>'Reported burning'!D258</f>
        <v>Crop field preparation</v>
      </c>
      <c r="E258" s="6" t="str">
        <f>'Reported burning'!E258</f>
        <v>Cropping, Swidden</v>
      </c>
      <c r="F258" s="6" t="str">
        <f>'Reported burning'!F258</f>
        <v>Grassland</v>
      </c>
      <c r="G258" s="6" t="str">
        <f>'Reported burning'!G258</f>
        <v>ND</v>
      </c>
      <c r="H258" s="6" t="str">
        <f>'Reported burning'!H258</f>
        <v>Absence</v>
      </c>
      <c r="I258" s="3">
        <v>2010</v>
      </c>
      <c r="J258" s="21" t="s">
        <v>2364</v>
      </c>
      <c r="K258" s="103" t="s">
        <v>2364</v>
      </c>
      <c r="L258" s="21" t="s">
        <v>2364</v>
      </c>
      <c r="M258" s="21" t="s">
        <v>2364</v>
      </c>
      <c r="N258" s="21" t="s">
        <v>2364</v>
      </c>
      <c r="O258" s="21" t="s">
        <v>2364</v>
      </c>
      <c r="P258" s="21" t="s">
        <v>2364</v>
      </c>
      <c r="Q258" s="102" t="s">
        <v>2276</v>
      </c>
      <c r="R258" s="102" t="s">
        <v>2276</v>
      </c>
      <c r="S258" s="21" t="s">
        <v>2364</v>
      </c>
      <c r="T258" s="21" t="s">
        <v>2364</v>
      </c>
      <c r="U258" s="21" t="s">
        <v>2364</v>
      </c>
      <c r="V258" s="21" t="s">
        <v>2364</v>
      </c>
      <c r="W258" s="21" t="s">
        <v>2276</v>
      </c>
      <c r="X258" s="3" t="s">
        <v>2276</v>
      </c>
      <c r="Y258" s="3" t="s">
        <v>2276</v>
      </c>
      <c r="Z258" s="3" t="s">
        <v>2276</v>
      </c>
      <c r="AA258" s="4" t="s">
        <v>464</v>
      </c>
      <c r="AB258" s="3"/>
    </row>
    <row r="259" spans="1:28" ht="66" customHeight="1">
      <c r="A259" s="6" t="str">
        <f>'Reported burning'!A259</f>
        <v>22b</v>
      </c>
      <c r="B259" s="6" t="str">
        <f>'Reported burning'!B259</f>
        <v>22b.3</v>
      </c>
      <c r="C259" s="6" t="str">
        <f>'Reported burning'!C259</f>
        <v>Human, deliberate</v>
      </c>
      <c r="D259" s="6" t="str">
        <f>'Reported burning'!D259</f>
        <v>Crop field preparation</v>
      </c>
      <c r="E259" s="6" t="str">
        <f>'Reported burning'!E259</f>
        <v>Cropping, Swidden</v>
      </c>
      <c r="F259" s="6" t="str">
        <f>'Reported burning'!F259</f>
        <v>Secondary Vegetation</v>
      </c>
      <c r="G259" s="6" t="str">
        <f>'Reported burning'!G259</f>
        <v>ND</v>
      </c>
      <c r="H259" s="6" t="str">
        <f>'Reported burning'!H259</f>
        <v>Presence</v>
      </c>
      <c r="I259" s="3">
        <v>2010</v>
      </c>
      <c r="J259" s="21" t="s">
        <v>2276</v>
      </c>
      <c r="K259" s="103" t="s">
        <v>2276</v>
      </c>
      <c r="L259" s="21" t="s">
        <v>2276</v>
      </c>
      <c r="M259" s="21" t="s">
        <v>2276</v>
      </c>
      <c r="N259" s="21" t="s">
        <v>2276</v>
      </c>
      <c r="O259" s="21" t="s">
        <v>2276</v>
      </c>
      <c r="P259" s="21" t="s">
        <v>2276</v>
      </c>
      <c r="Q259" s="102" t="s">
        <v>2276</v>
      </c>
      <c r="R259" s="102" t="s">
        <v>2276</v>
      </c>
      <c r="S259" s="21" t="s">
        <v>2276</v>
      </c>
      <c r="T259" s="21" t="s">
        <v>2276</v>
      </c>
      <c r="U259" s="21" t="s">
        <v>2527</v>
      </c>
      <c r="V259" s="21" t="s">
        <v>2276</v>
      </c>
      <c r="W259" s="21" t="s">
        <v>2276</v>
      </c>
      <c r="X259" s="3" t="s">
        <v>68</v>
      </c>
      <c r="Y259" s="3" t="s">
        <v>35</v>
      </c>
      <c r="Z259" s="3" t="s">
        <v>64</v>
      </c>
      <c r="AA259" s="4" t="s">
        <v>483</v>
      </c>
      <c r="AB259" s="4" t="s">
        <v>2412</v>
      </c>
    </row>
    <row r="260" spans="1:28" ht="68.5" customHeight="1">
      <c r="A260" s="6" t="str">
        <f>'Reported burning'!A260</f>
        <v>22c</v>
      </c>
      <c r="B260" s="6" t="str">
        <f>'Reported burning'!B260</f>
        <v>22c.1</v>
      </c>
      <c r="C260" s="6" t="str">
        <f>'Reported burning'!C260</f>
        <v>Human, deliberate</v>
      </c>
      <c r="D260" s="6" t="str">
        <f>'Reported burning'!D260</f>
        <v>Crop field preparation</v>
      </c>
      <c r="E260" s="6" t="str">
        <f>'Reported burning'!E260</f>
        <v>Cropping, Monoculture, Subsistence-oriented</v>
      </c>
      <c r="F260" s="6" t="str">
        <f>'Reported burning'!F260</f>
        <v>Cropland</v>
      </c>
      <c r="G260" s="6" t="str">
        <f>'Reported burning'!G260</f>
        <v>ND</v>
      </c>
      <c r="H260" s="6" t="str">
        <f>'Reported burning'!H260</f>
        <v>Absence</v>
      </c>
      <c r="I260" s="3">
        <v>2010</v>
      </c>
      <c r="J260" s="73" t="s">
        <v>2364</v>
      </c>
      <c r="K260" s="111" t="s">
        <v>2364</v>
      </c>
      <c r="L260" s="73" t="s">
        <v>2364</v>
      </c>
      <c r="M260" s="73" t="s">
        <v>2364</v>
      </c>
      <c r="N260" s="73" t="s">
        <v>2364</v>
      </c>
      <c r="O260" s="73" t="s">
        <v>2364</v>
      </c>
      <c r="P260" s="73" t="s">
        <v>2364</v>
      </c>
      <c r="Q260" s="102" t="s">
        <v>2276</v>
      </c>
      <c r="R260" s="102" t="s">
        <v>2276</v>
      </c>
      <c r="S260" s="73" t="s">
        <v>2364</v>
      </c>
      <c r="T260" s="73" t="s">
        <v>2364</v>
      </c>
      <c r="U260" s="73" t="s">
        <v>2364</v>
      </c>
      <c r="V260" s="73" t="s">
        <v>2364</v>
      </c>
      <c r="W260" s="21" t="s">
        <v>2276</v>
      </c>
      <c r="X260" s="3" t="s">
        <v>2276</v>
      </c>
      <c r="Y260" s="3" t="s">
        <v>2276</v>
      </c>
      <c r="Z260" s="3" t="s">
        <v>2276</v>
      </c>
      <c r="AA260" s="3"/>
      <c r="AB260" s="4"/>
    </row>
    <row r="261" spans="1:28" ht="62.5" customHeight="1">
      <c r="A261" s="6" t="str">
        <f>'Reported burning'!A261</f>
        <v>22c</v>
      </c>
      <c r="B261" s="6" t="str">
        <f>'Reported burning'!B261</f>
        <v>22c.2</v>
      </c>
      <c r="C261" s="6" t="str">
        <f>'Reported burning'!C261</f>
        <v>Human, deliberate</v>
      </c>
      <c r="D261" s="6" t="str">
        <f>'Reported burning'!D261</f>
        <v>Crop field preparation</v>
      </c>
      <c r="E261" s="6" t="str">
        <f>'Reported burning'!E261</f>
        <v>Cropping, Swidden</v>
      </c>
      <c r="F261" s="6" t="str">
        <f>'Reported burning'!F261</f>
        <v>Grassland</v>
      </c>
      <c r="G261" s="6" t="str">
        <f>'Reported burning'!G261</f>
        <v>ND</v>
      </c>
      <c r="H261" s="6" t="str">
        <f>'Reported burning'!H261</f>
        <v>Absence</v>
      </c>
      <c r="I261" s="3">
        <v>2010</v>
      </c>
      <c r="J261" s="21" t="s">
        <v>2364</v>
      </c>
      <c r="K261" s="103" t="s">
        <v>2364</v>
      </c>
      <c r="L261" s="21" t="s">
        <v>2364</v>
      </c>
      <c r="M261" s="21" t="s">
        <v>2364</v>
      </c>
      <c r="N261" s="21" t="s">
        <v>2364</v>
      </c>
      <c r="O261" s="21" t="s">
        <v>2364</v>
      </c>
      <c r="P261" s="21" t="s">
        <v>2364</v>
      </c>
      <c r="Q261" s="102" t="s">
        <v>2276</v>
      </c>
      <c r="R261" s="102" t="s">
        <v>2276</v>
      </c>
      <c r="S261" s="21" t="s">
        <v>2364</v>
      </c>
      <c r="T261" s="21" t="s">
        <v>2364</v>
      </c>
      <c r="U261" s="21" t="s">
        <v>2364</v>
      </c>
      <c r="V261" s="21" t="s">
        <v>2364</v>
      </c>
      <c r="W261" s="21" t="s">
        <v>2276</v>
      </c>
      <c r="X261" s="3" t="s">
        <v>2276</v>
      </c>
      <c r="Y261" s="3" t="s">
        <v>2276</v>
      </c>
      <c r="Z261" s="3" t="s">
        <v>2276</v>
      </c>
      <c r="AA261" s="4" t="s">
        <v>464</v>
      </c>
      <c r="AB261" s="4"/>
    </row>
    <row r="262" spans="1:28" ht="65" customHeight="1">
      <c r="A262" s="6" t="str">
        <f>'Reported burning'!A262</f>
        <v>22c</v>
      </c>
      <c r="B262" s="6" t="str">
        <f>'Reported burning'!B262</f>
        <v>22c.3</v>
      </c>
      <c r="C262" s="6" t="str">
        <f>'Reported burning'!C262</f>
        <v>Human, deliberate</v>
      </c>
      <c r="D262" s="6" t="str">
        <f>'Reported burning'!D262</f>
        <v>Crop field preparation</v>
      </c>
      <c r="E262" s="6" t="str">
        <f>'Reported burning'!E262</f>
        <v>Cropping, Swidden</v>
      </c>
      <c r="F262" s="6" t="str">
        <f>'Reported burning'!F262</f>
        <v>Secondary Vegetation</v>
      </c>
      <c r="G262" s="6" t="str">
        <f>'Reported burning'!G262</f>
        <v>ND</v>
      </c>
      <c r="H262" s="6" t="str">
        <f>'Reported burning'!H262</f>
        <v>Presence</v>
      </c>
      <c r="I262" s="3">
        <v>2010</v>
      </c>
      <c r="J262" s="21" t="s">
        <v>2276</v>
      </c>
      <c r="K262" s="103" t="s">
        <v>2276</v>
      </c>
      <c r="L262" s="21" t="s">
        <v>2276</v>
      </c>
      <c r="M262" s="21" t="s">
        <v>2276</v>
      </c>
      <c r="N262" s="21" t="s">
        <v>2276</v>
      </c>
      <c r="O262" s="21" t="s">
        <v>2276</v>
      </c>
      <c r="P262" s="21" t="s">
        <v>2276</v>
      </c>
      <c r="Q262" s="102" t="s">
        <v>2276</v>
      </c>
      <c r="R262" s="102" t="s">
        <v>2276</v>
      </c>
      <c r="S262" s="21" t="s">
        <v>2276</v>
      </c>
      <c r="T262" s="21" t="s">
        <v>2276</v>
      </c>
      <c r="U262" s="21" t="s">
        <v>2527</v>
      </c>
      <c r="V262" s="21" t="s">
        <v>2276</v>
      </c>
      <c r="W262" s="21" t="s">
        <v>2276</v>
      </c>
      <c r="X262" s="3" t="s">
        <v>68</v>
      </c>
      <c r="Y262" s="3" t="s">
        <v>35</v>
      </c>
      <c r="Z262" s="3" t="s">
        <v>64</v>
      </c>
      <c r="AA262" s="4" t="s">
        <v>491</v>
      </c>
      <c r="AB262" s="4" t="s">
        <v>2412</v>
      </c>
    </row>
    <row r="263" spans="1:28" ht="60.5" customHeight="1">
      <c r="A263" s="6" t="str">
        <f>'Reported burning'!A263</f>
        <v>22d</v>
      </c>
      <c r="B263" s="6" t="str">
        <f>'Reported burning'!B263</f>
        <v>22d.1</v>
      </c>
      <c r="C263" s="6" t="str">
        <f>'Reported burning'!C263</f>
        <v>Human, deliberate</v>
      </c>
      <c r="D263" s="6" t="str">
        <f>'Reported burning'!D263</f>
        <v>Crop field preparation</v>
      </c>
      <c r="E263" s="6" t="str">
        <f>'Reported burning'!E263</f>
        <v>Cropping, Monoculture, Subsistence-oriented</v>
      </c>
      <c r="F263" s="6" t="str">
        <f>'Reported burning'!F263</f>
        <v>Cropland</v>
      </c>
      <c r="G263" s="6" t="str">
        <f>'Reported burning'!G263</f>
        <v>ND</v>
      </c>
      <c r="H263" s="6" t="str">
        <f>'Reported burning'!H263</f>
        <v>Absence</v>
      </c>
      <c r="I263" s="3">
        <v>2010</v>
      </c>
      <c r="J263" s="21" t="s">
        <v>2364</v>
      </c>
      <c r="K263" s="103" t="s">
        <v>2364</v>
      </c>
      <c r="L263" s="21" t="s">
        <v>2364</v>
      </c>
      <c r="M263" s="21" t="s">
        <v>2364</v>
      </c>
      <c r="N263" s="21" t="s">
        <v>2364</v>
      </c>
      <c r="O263" s="21" t="s">
        <v>2364</v>
      </c>
      <c r="P263" s="21" t="s">
        <v>2364</v>
      </c>
      <c r="Q263" s="102" t="s">
        <v>2276</v>
      </c>
      <c r="R263" s="102" t="s">
        <v>2276</v>
      </c>
      <c r="S263" s="21" t="s">
        <v>2364</v>
      </c>
      <c r="T263" s="21" t="s">
        <v>2364</v>
      </c>
      <c r="U263" s="21" t="s">
        <v>2364</v>
      </c>
      <c r="V263" s="21" t="s">
        <v>2364</v>
      </c>
      <c r="W263" s="21" t="s">
        <v>2276</v>
      </c>
      <c r="X263" s="3" t="s">
        <v>2276</v>
      </c>
      <c r="Y263" s="3" t="s">
        <v>2276</v>
      </c>
      <c r="Z263" s="3" t="s">
        <v>2276</v>
      </c>
      <c r="AA263" s="3"/>
      <c r="AB263" s="4"/>
    </row>
    <row r="264" spans="1:28" ht="61" customHeight="1">
      <c r="A264" s="6" t="str">
        <f>'Reported burning'!A264</f>
        <v>22d</v>
      </c>
      <c r="B264" s="6" t="str">
        <f>'Reported burning'!B264</f>
        <v>22d.2</v>
      </c>
      <c r="C264" s="6" t="str">
        <f>'Reported burning'!C264</f>
        <v>Human, deliberate</v>
      </c>
      <c r="D264" s="6" t="str">
        <f>'Reported burning'!D264</f>
        <v>Crop field preparation</v>
      </c>
      <c r="E264" s="6" t="str">
        <f>'Reported burning'!E264</f>
        <v>Cropping, Swidden</v>
      </c>
      <c r="F264" s="6" t="str">
        <f>'Reported burning'!F264</f>
        <v>Grassland</v>
      </c>
      <c r="G264" s="6" t="str">
        <f>'Reported burning'!G264</f>
        <v>ND</v>
      </c>
      <c r="H264" s="6" t="str">
        <f>'Reported burning'!H264</f>
        <v>Absence</v>
      </c>
      <c r="I264" s="3">
        <v>2010</v>
      </c>
      <c r="J264" s="21" t="s">
        <v>2364</v>
      </c>
      <c r="K264" s="103" t="s">
        <v>2364</v>
      </c>
      <c r="L264" s="21" t="s">
        <v>2364</v>
      </c>
      <c r="M264" s="21" t="s">
        <v>2364</v>
      </c>
      <c r="N264" s="21" t="s">
        <v>2364</v>
      </c>
      <c r="O264" s="21" t="s">
        <v>2364</v>
      </c>
      <c r="P264" s="21" t="s">
        <v>2364</v>
      </c>
      <c r="Q264" s="102" t="s">
        <v>2276</v>
      </c>
      <c r="R264" s="102" t="s">
        <v>2276</v>
      </c>
      <c r="S264" s="21" t="s">
        <v>2364</v>
      </c>
      <c r="T264" s="21" t="s">
        <v>2364</v>
      </c>
      <c r="U264" s="21" t="s">
        <v>2364</v>
      </c>
      <c r="V264" s="21" t="s">
        <v>2364</v>
      </c>
      <c r="W264" s="21" t="s">
        <v>2276</v>
      </c>
      <c r="X264" s="3" t="s">
        <v>2276</v>
      </c>
      <c r="Y264" s="3" t="s">
        <v>2276</v>
      </c>
      <c r="Z264" s="3" t="s">
        <v>2276</v>
      </c>
      <c r="AA264" s="3"/>
      <c r="AB264" s="4"/>
    </row>
    <row r="265" spans="1:28" ht="101" customHeight="1">
      <c r="A265" s="6" t="str">
        <f>'Reported burning'!A265</f>
        <v>22d</v>
      </c>
      <c r="B265" s="6" t="str">
        <f>'Reported burning'!B265</f>
        <v>22d.3</v>
      </c>
      <c r="C265" s="6" t="str">
        <f>'Reported burning'!C265</f>
        <v>Human, deliberate</v>
      </c>
      <c r="D265" s="6" t="str">
        <f>'Reported burning'!D265</f>
        <v>Crop field preparation</v>
      </c>
      <c r="E265" s="6" t="str">
        <f>'Reported burning'!E265</f>
        <v>Cropping, Swidden</v>
      </c>
      <c r="F265" s="6" t="str">
        <f>'Reported burning'!F265</f>
        <v>Secondary Vegetation</v>
      </c>
      <c r="G265" s="6" t="str">
        <f>'Reported burning'!G265</f>
        <v>ND</v>
      </c>
      <c r="H265" s="6" t="str">
        <f>'Reported burning'!H265</f>
        <v>Presence</v>
      </c>
      <c r="I265" s="3">
        <v>2010</v>
      </c>
      <c r="J265" s="73" t="s">
        <v>2276</v>
      </c>
      <c r="K265" s="111" t="s">
        <v>2276</v>
      </c>
      <c r="L265" s="73" t="s">
        <v>2276</v>
      </c>
      <c r="M265" s="73" t="s">
        <v>2276</v>
      </c>
      <c r="N265" s="73" t="s">
        <v>2276</v>
      </c>
      <c r="O265" s="73" t="s">
        <v>2276</v>
      </c>
      <c r="P265" s="73" t="s">
        <v>2276</v>
      </c>
      <c r="Q265" s="102" t="s">
        <v>2276</v>
      </c>
      <c r="R265" s="102" t="s">
        <v>2276</v>
      </c>
      <c r="S265" s="73" t="s">
        <v>2276</v>
      </c>
      <c r="T265" s="73" t="s">
        <v>2276</v>
      </c>
      <c r="U265" s="73" t="s">
        <v>2376</v>
      </c>
      <c r="V265" s="73" t="s">
        <v>2276</v>
      </c>
      <c r="W265" s="73" t="s">
        <v>2276</v>
      </c>
      <c r="X265" s="3" t="s">
        <v>68</v>
      </c>
      <c r="Y265" s="3" t="s">
        <v>35</v>
      </c>
      <c r="Z265" s="3" t="s">
        <v>64</v>
      </c>
      <c r="AA265" s="4" t="s">
        <v>490</v>
      </c>
      <c r="AB265" s="4" t="s">
        <v>2412</v>
      </c>
    </row>
    <row r="266" spans="1:28" ht="44" customHeight="1">
      <c r="A266" s="6" t="str">
        <f>'Reported burning'!A266</f>
        <v>22e</v>
      </c>
      <c r="B266" s="6" t="str">
        <f>'Reported burning'!B266</f>
        <v>22e.1</v>
      </c>
      <c r="C266" s="6" t="str">
        <f>'Reported burning'!C266</f>
        <v>Human, deliberate</v>
      </c>
      <c r="D266" s="6" t="str">
        <f>'Reported burning'!D266</f>
        <v>Crop field preparation</v>
      </c>
      <c r="E266" s="6" t="str">
        <f>'Reported burning'!E266</f>
        <v>Cropping, Monoculture, Subsistence-oriented</v>
      </c>
      <c r="F266" s="6" t="str">
        <f>'Reported burning'!F266</f>
        <v>Cropland</v>
      </c>
      <c r="G266" s="6" t="str">
        <f>'Reported burning'!G266</f>
        <v>ND</v>
      </c>
      <c r="H266" s="6" t="str">
        <f>'Reported burning'!H266</f>
        <v>Absence</v>
      </c>
      <c r="I266" s="3">
        <v>1990</v>
      </c>
      <c r="J266" s="21" t="s">
        <v>2364</v>
      </c>
      <c r="K266" s="103" t="s">
        <v>2364</v>
      </c>
      <c r="L266" s="21" t="s">
        <v>2364</v>
      </c>
      <c r="M266" s="21" t="s">
        <v>2364</v>
      </c>
      <c r="N266" s="21" t="s">
        <v>2364</v>
      </c>
      <c r="O266" s="21" t="s">
        <v>2364</v>
      </c>
      <c r="P266" s="21" t="s">
        <v>2364</v>
      </c>
      <c r="Q266" s="102" t="s">
        <v>2276</v>
      </c>
      <c r="R266" s="102" t="s">
        <v>2276</v>
      </c>
      <c r="S266" s="21" t="s">
        <v>2364</v>
      </c>
      <c r="T266" s="21" t="s">
        <v>2364</v>
      </c>
      <c r="U266" s="21" t="s">
        <v>2364</v>
      </c>
      <c r="V266" s="21" t="s">
        <v>2364</v>
      </c>
      <c r="W266" s="21" t="s">
        <v>2276</v>
      </c>
      <c r="X266" s="3" t="s">
        <v>2276</v>
      </c>
      <c r="Y266" s="3" t="s">
        <v>2276</v>
      </c>
      <c r="Z266" s="3" t="s">
        <v>2276</v>
      </c>
      <c r="AA266" s="3"/>
      <c r="AB266" s="4"/>
    </row>
    <row r="267" spans="1:28" ht="39.5" customHeight="1">
      <c r="A267" s="6" t="str">
        <f>'Reported burning'!A267</f>
        <v>22e</v>
      </c>
      <c r="B267" s="6" t="str">
        <f>'Reported burning'!B267</f>
        <v>22e.2</v>
      </c>
      <c r="C267" s="6" t="str">
        <f>'Reported burning'!C267</f>
        <v>Human, deliberate</v>
      </c>
      <c r="D267" s="6" t="str">
        <f>'Reported burning'!D267</f>
        <v>Crop field preparation</v>
      </c>
      <c r="E267" s="6" t="str">
        <f>'Reported burning'!E267</f>
        <v>Cropping, Swidden</v>
      </c>
      <c r="F267" s="6" t="str">
        <f>'Reported burning'!F267</f>
        <v>Grassland</v>
      </c>
      <c r="G267" s="6" t="str">
        <f>'Reported burning'!G267</f>
        <v>ND</v>
      </c>
      <c r="H267" s="6" t="str">
        <f>'Reported burning'!H267</f>
        <v>Absence</v>
      </c>
      <c r="I267" s="3">
        <v>1990</v>
      </c>
      <c r="J267" s="21" t="s">
        <v>2364</v>
      </c>
      <c r="K267" s="103" t="s">
        <v>2364</v>
      </c>
      <c r="L267" s="21" t="s">
        <v>2364</v>
      </c>
      <c r="M267" s="21" t="s">
        <v>2364</v>
      </c>
      <c r="N267" s="21" t="s">
        <v>2364</v>
      </c>
      <c r="O267" s="21" t="s">
        <v>2364</v>
      </c>
      <c r="P267" s="21" t="s">
        <v>2364</v>
      </c>
      <c r="Q267" s="102" t="s">
        <v>2276</v>
      </c>
      <c r="R267" s="102" t="s">
        <v>2276</v>
      </c>
      <c r="S267" s="21" t="s">
        <v>2364</v>
      </c>
      <c r="T267" s="21" t="s">
        <v>2364</v>
      </c>
      <c r="U267" s="21" t="s">
        <v>2364</v>
      </c>
      <c r="V267" s="21" t="s">
        <v>2364</v>
      </c>
      <c r="W267" s="21" t="s">
        <v>2276</v>
      </c>
      <c r="X267" s="3" t="s">
        <v>2276</v>
      </c>
      <c r="Y267" s="3" t="s">
        <v>2276</v>
      </c>
      <c r="Z267" s="3" t="s">
        <v>2276</v>
      </c>
      <c r="AA267" s="3"/>
      <c r="AB267" s="4"/>
    </row>
    <row r="268" spans="1:28" ht="47.5" customHeight="1">
      <c r="A268" s="6" t="str">
        <f>'Reported burning'!A268</f>
        <v>22f</v>
      </c>
      <c r="B268" s="6" t="str">
        <f>'Reported burning'!B268</f>
        <v>22f.1</v>
      </c>
      <c r="C268" s="6" t="str">
        <f>'Reported burning'!C268</f>
        <v>Human, deliberate</v>
      </c>
      <c r="D268" s="6" t="str">
        <f>'Reported burning'!D268</f>
        <v>Crop field preparation</v>
      </c>
      <c r="E268" s="6" t="str">
        <f>'Reported burning'!E268</f>
        <v>Cropping, Monoculture, Subsistence-oriented</v>
      </c>
      <c r="F268" s="6" t="str">
        <f>'Reported burning'!F268</f>
        <v>Cropland</v>
      </c>
      <c r="G268" s="6" t="str">
        <f>'Reported burning'!G268</f>
        <v>ND</v>
      </c>
      <c r="H268" s="6" t="str">
        <f>'Reported burning'!H268</f>
        <v>Absence</v>
      </c>
      <c r="I268" s="3">
        <v>1997</v>
      </c>
      <c r="J268" s="73" t="s">
        <v>2364</v>
      </c>
      <c r="K268" s="111" t="s">
        <v>2364</v>
      </c>
      <c r="L268" s="73" t="s">
        <v>2364</v>
      </c>
      <c r="M268" s="73" t="s">
        <v>2364</v>
      </c>
      <c r="N268" s="73" t="s">
        <v>2364</v>
      </c>
      <c r="O268" s="73" t="s">
        <v>2364</v>
      </c>
      <c r="P268" s="73" t="s">
        <v>2364</v>
      </c>
      <c r="Q268" s="102" t="s">
        <v>2276</v>
      </c>
      <c r="R268" s="102" t="s">
        <v>2276</v>
      </c>
      <c r="S268" s="73" t="s">
        <v>2364</v>
      </c>
      <c r="T268" s="73" t="s">
        <v>2364</v>
      </c>
      <c r="U268" s="73" t="s">
        <v>2364</v>
      </c>
      <c r="V268" s="73" t="s">
        <v>2364</v>
      </c>
      <c r="W268" s="21" t="s">
        <v>2276</v>
      </c>
      <c r="X268" s="3" t="s">
        <v>2276</v>
      </c>
      <c r="Y268" s="3" t="s">
        <v>2276</v>
      </c>
      <c r="Z268" s="3" t="s">
        <v>2276</v>
      </c>
      <c r="AA268" s="3"/>
      <c r="AB268" s="4"/>
    </row>
    <row r="269" spans="1:28" ht="34.5" customHeight="1">
      <c r="A269" s="6" t="str">
        <f>'Reported burning'!A269</f>
        <v>22f</v>
      </c>
      <c r="B269" s="6" t="str">
        <f>'Reported burning'!B269</f>
        <v>22f.2</v>
      </c>
      <c r="C269" s="6" t="str">
        <f>'Reported burning'!C269</f>
        <v>Human, deliberate</v>
      </c>
      <c r="D269" s="6" t="str">
        <f>'Reported burning'!D269</f>
        <v>Crop field preparation</v>
      </c>
      <c r="E269" s="6" t="str">
        <f>'Reported burning'!E269</f>
        <v>Cropping, Swidden</v>
      </c>
      <c r="F269" s="6" t="str">
        <f>'Reported burning'!F269</f>
        <v>Grassland</v>
      </c>
      <c r="G269" s="6" t="str">
        <f>'Reported burning'!G269</f>
        <v>ND</v>
      </c>
      <c r="H269" s="6" t="str">
        <f>'Reported burning'!H269</f>
        <v>Absence</v>
      </c>
      <c r="I269" s="3">
        <v>1997</v>
      </c>
      <c r="J269" s="21" t="s">
        <v>2364</v>
      </c>
      <c r="K269" s="103" t="s">
        <v>2364</v>
      </c>
      <c r="L269" s="21" t="s">
        <v>2364</v>
      </c>
      <c r="M269" s="21" t="s">
        <v>2364</v>
      </c>
      <c r="N269" s="21" t="s">
        <v>2364</v>
      </c>
      <c r="O269" s="21" t="s">
        <v>2364</v>
      </c>
      <c r="P269" s="21" t="s">
        <v>2364</v>
      </c>
      <c r="Q269" s="102" t="s">
        <v>2276</v>
      </c>
      <c r="R269" s="102" t="s">
        <v>2276</v>
      </c>
      <c r="S269" s="21" t="s">
        <v>2364</v>
      </c>
      <c r="T269" s="21" t="s">
        <v>2364</v>
      </c>
      <c r="U269" s="21" t="s">
        <v>2364</v>
      </c>
      <c r="V269" s="21" t="s">
        <v>2364</v>
      </c>
      <c r="W269" s="21" t="s">
        <v>2276</v>
      </c>
      <c r="X269" s="3" t="s">
        <v>2276</v>
      </c>
      <c r="Y269" s="3" t="s">
        <v>2276</v>
      </c>
      <c r="Z269" s="3" t="s">
        <v>2276</v>
      </c>
      <c r="AA269" s="3"/>
      <c r="AB269" s="4"/>
    </row>
    <row r="270" spans="1:28" ht="52" customHeight="1">
      <c r="A270" s="6" t="str">
        <f>'Reported burning'!A270</f>
        <v>22f</v>
      </c>
      <c r="B270" s="6" t="str">
        <f>'Reported burning'!B270</f>
        <v>22f.3</v>
      </c>
      <c r="C270" s="6" t="str">
        <f>'Reported burning'!C270</f>
        <v>Human, deliberate</v>
      </c>
      <c r="D270" s="6" t="str">
        <f>'Reported burning'!D270</f>
        <v>Crop field preparation</v>
      </c>
      <c r="E270" s="6" t="str">
        <f>'Reported burning'!E270</f>
        <v>Cropping, Swidden</v>
      </c>
      <c r="F270" s="6" t="str">
        <f>'Reported burning'!F270</f>
        <v>Secondary Vegetation</v>
      </c>
      <c r="G270" s="6" t="str">
        <f>'Reported burning'!G270</f>
        <v>ND</v>
      </c>
      <c r="H270" s="6" t="str">
        <f>'Reported burning'!H270</f>
        <v>Presence</v>
      </c>
      <c r="I270" s="3">
        <v>1997</v>
      </c>
      <c r="J270" s="21" t="s">
        <v>2276</v>
      </c>
      <c r="K270" s="103" t="s">
        <v>2276</v>
      </c>
      <c r="L270" s="21" t="s">
        <v>2276</v>
      </c>
      <c r="M270" s="21" t="s">
        <v>2276</v>
      </c>
      <c r="N270" s="21" t="s">
        <v>2276</v>
      </c>
      <c r="O270" s="21" t="s">
        <v>2276</v>
      </c>
      <c r="P270" s="21" t="s">
        <v>2276</v>
      </c>
      <c r="Q270" s="102" t="s">
        <v>2276</v>
      </c>
      <c r="R270" s="102" t="s">
        <v>2276</v>
      </c>
      <c r="S270" s="21" t="s">
        <v>2276</v>
      </c>
      <c r="T270" s="21" t="s">
        <v>2276</v>
      </c>
      <c r="U270" s="21" t="s">
        <v>2527</v>
      </c>
      <c r="V270" s="21" t="s">
        <v>2276</v>
      </c>
      <c r="W270" s="21" t="s">
        <v>2276</v>
      </c>
      <c r="X270" s="3" t="s">
        <v>68</v>
      </c>
      <c r="Y270" s="3" t="s">
        <v>35</v>
      </c>
      <c r="Z270" s="3" t="s">
        <v>64</v>
      </c>
      <c r="AA270" s="3"/>
      <c r="AB270" s="4" t="s">
        <v>2412</v>
      </c>
    </row>
    <row r="271" spans="1:28" ht="41.5" customHeight="1">
      <c r="A271" s="6" t="str">
        <f>'Reported burning'!A271</f>
        <v>22g</v>
      </c>
      <c r="B271" s="6" t="str">
        <f>'Reported burning'!B271</f>
        <v>22g.1</v>
      </c>
      <c r="C271" s="6" t="str">
        <f>'Reported burning'!C271</f>
        <v>Human, deliberate</v>
      </c>
      <c r="D271" s="6" t="str">
        <f>'Reported burning'!D271</f>
        <v>Crop field preparation</v>
      </c>
      <c r="E271" s="6" t="str">
        <f>'Reported burning'!E271</f>
        <v>Cropping, Monoculture, Subsistence-oriented</v>
      </c>
      <c r="F271" s="6" t="str">
        <f>'Reported burning'!F271</f>
        <v>Cropland</v>
      </c>
      <c r="G271" s="6" t="str">
        <f>'Reported burning'!G271</f>
        <v>ND</v>
      </c>
      <c r="H271" s="6" t="str">
        <f>'Reported burning'!H271</f>
        <v>Absence</v>
      </c>
      <c r="I271" s="3">
        <v>1990</v>
      </c>
      <c r="J271" s="21" t="s">
        <v>2364</v>
      </c>
      <c r="K271" s="103" t="s">
        <v>2364</v>
      </c>
      <c r="L271" s="21" t="s">
        <v>2364</v>
      </c>
      <c r="M271" s="21" t="s">
        <v>2364</v>
      </c>
      <c r="N271" s="21" t="s">
        <v>2364</v>
      </c>
      <c r="O271" s="21" t="s">
        <v>2364</v>
      </c>
      <c r="P271" s="21" t="s">
        <v>2364</v>
      </c>
      <c r="Q271" s="102" t="s">
        <v>2276</v>
      </c>
      <c r="R271" s="102" t="s">
        <v>2276</v>
      </c>
      <c r="S271" s="21" t="s">
        <v>2364</v>
      </c>
      <c r="T271" s="21" t="s">
        <v>2364</v>
      </c>
      <c r="U271" s="21" t="s">
        <v>2364</v>
      </c>
      <c r="V271" s="21" t="s">
        <v>2364</v>
      </c>
      <c r="W271" s="21" t="s">
        <v>2276</v>
      </c>
      <c r="X271" s="3" t="s">
        <v>2276</v>
      </c>
      <c r="Y271" s="3" t="s">
        <v>2276</v>
      </c>
      <c r="Z271" s="3" t="s">
        <v>2276</v>
      </c>
      <c r="AA271" s="3"/>
      <c r="AB271" s="4"/>
    </row>
    <row r="272" spans="1:28" ht="39.5" customHeight="1">
      <c r="A272" s="6" t="str">
        <f>'Reported burning'!A272</f>
        <v>22g</v>
      </c>
      <c r="B272" s="6" t="str">
        <f>'Reported burning'!B272</f>
        <v>22g.2</v>
      </c>
      <c r="C272" s="6" t="str">
        <f>'Reported burning'!C272</f>
        <v>Human, deliberate</v>
      </c>
      <c r="D272" s="6" t="str">
        <f>'Reported burning'!D272</f>
        <v>Crop field preparation</v>
      </c>
      <c r="E272" s="6" t="str">
        <f>'Reported burning'!E272</f>
        <v>Cropping, Swidden</v>
      </c>
      <c r="F272" s="6" t="str">
        <f>'Reported burning'!F272</f>
        <v>Grassland</v>
      </c>
      <c r="G272" s="6" t="str">
        <f>'Reported burning'!G272</f>
        <v>ND</v>
      </c>
      <c r="H272" s="6" t="str">
        <f>'Reported burning'!H272</f>
        <v>Absence</v>
      </c>
      <c r="I272" s="3">
        <v>1990</v>
      </c>
      <c r="J272" s="21" t="s">
        <v>2364</v>
      </c>
      <c r="K272" s="103" t="s">
        <v>2364</v>
      </c>
      <c r="L272" s="21" t="s">
        <v>2364</v>
      </c>
      <c r="M272" s="21" t="s">
        <v>2364</v>
      </c>
      <c r="N272" s="21" t="s">
        <v>2364</v>
      </c>
      <c r="O272" s="21" t="s">
        <v>2364</v>
      </c>
      <c r="P272" s="21" t="s">
        <v>2364</v>
      </c>
      <c r="Q272" s="102" t="s">
        <v>2276</v>
      </c>
      <c r="R272" s="102" t="s">
        <v>2276</v>
      </c>
      <c r="S272" s="21" t="s">
        <v>2364</v>
      </c>
      <c r="T272" s="21" t="s">
        <v>2364</v>
      </c>
      <c r="U272" s="21" t="s">
        <v>2364</v>
      </c>
      <c r="V272" s="21" t="s">
        <v>2364</v>
      </c>
      <c r="W272" s="21" t="s">
        <v>2276</v>
      </c>
      <c r="X272" s="3" t="s">
        <v>2276</v>
      </c>
      <c r="Y272" s="3" t="s">
        <v>2276</v>
      </c>
      <c r="Z272" s="3" t="s">
        <v>2276</v>
      </c>
      <c r="AA272" s="3"/>
      <c r="AB272" s="4"/>
    </row>
    <row r="273" spans="1:28" ht="59" customHeight="1">
      <c r="A273" s="6" t="str">
        <f>'Reported burning'!A273</f>
        <v>22g</v>
      </c>
      <c r="B273" s="6" t="str">
        <f>'Reported burning'!B273</f>
        <v>22g.3</v>
      </c>
      <c r="C273" s="6" t="str">
        <f>'Reported burning'!C273</f>
        <v>Human, deliberate</v>
      </c>
      <c r="D273" s="6" t="str">
        <f>'Reported burning'!D273</f>
        <v>Crop field preparation</v>
      </c>
      <c r="E273" s="6" t="str">
        <f>'Reported burning'!E273</f>
        <v>Cropping, Swidden</v>
      </c>
      <c r="F273" s="6" t="str">
        <f>'Reported burning'!F273</f>
        <v>Secondary Vegetation</v>
      </c>
      <c r="G273" s="6" t="str">
        <f>'Reported burning'!G273</f>
        <v>ND</v>
      </c>
      <c r="H273" s="6" t="str">
        <f>'Reported burning'!H273</f>
        <v>Presence</v>
      </c>
      <c r="I273" s="3">
        <v>1990</v>
      </c>
      <c r="J273" s="21" t="s">
        <v>2276</v>
      </c>
      <c r="K273" s="103" t="s">
        <v>2276</v>
      </c>
      <c r="L273" s="21" t="s">
        <v>2276</v>
      </c>
      <c r="M273" s="21" t="s">
        <v>2276</v>
      </c>
      <c r="N273" s="21" t="s">
        <v>2276</v>
      </c>
      <c r="O273" s="21" t="s">
        <v>2276</v>
      </c>
      <c r="P273" s="21" t="s">
        <v>2276</v>
      </c>
      <c r="Q273" s="102" t="s">
        <v>2276</v>
      </c>
      <c r="R273" s="102" t="s">
        <v>2276</v>
      </c>
      <c r="S273" s="21" t="s">
        <v>2276</v>
      </c>
      <c r="T273" s="21" t="s">
        <v>2276</v>
      </c>
      <c r="U273" s="21" t="s">
        <v>2527</v>
      </c>
      <c r="V273" s="21" t="s">
        <v>2276</v>
      </c>
      <c r="W273" s="21" t="s">
        <v>2276</v>
      </c>
      <c r="X273" s="3" t="s">
        <v>68</v>
      </c>
      <c r="Y273" s="3" t="s">
        <v>35</v>
      </c>
      <c r="Z273" s="3" t="s">
        <v>64</v>
      </c>
      <c r="AA273" s="3"/>
      <c r="AB273" s="4" t="s">
        <v>2412</v>
      </c>
    </row>
    <row r="274" spans="1:28" ht="154.5" customHeight="1">
      <c r="A274" s="6" t="str">
        <f>'Reported burning'!A274</f>
        <v>23a</v>
      </c>
      <c r="B274" s="6" t="str">
        <f>'Reported burning'!B274</f>
        <v>23a.1</v>
      </c>
      <c r="C274" s="6" t="str">
        <f>'Reported burning'!C274</f>
        <v>Human, deliberate</v>
      </c>
      <c r="D274" s="6" t="str">
        <f>'Reported burning'!D274</f>
        <v>Hunting</v>
      </c>
      <c r="E274" s="6" t="str">
        <f>'Reported burning'!E274</f>
        <v>Forestry, Traditional</v>
      </c>
      <c r="F274" s="6" t="str">
        <f>'Reported burning'!F274</f>
        <v>Secondary Vegetation</v>
      </c>
      <c r="G274" s="6" t="str">
        <f>'Reported burning'!G274</f>
        <v>ND</v>
      </c>
      <c r="H274" s="6" t="str">
        <f>'Reported burning'!H274</f>
        <v>Presence</v>
      </c>
      <c r="I274" s="3"/>
      <c r="J274" s="21" t="s">
        <v>2276</v>
      </c>
      <c r="K274" s="103" t="s">
        <v>2276</v>
      </c>
      <c r="L274" s="21" t="s">
        <v>2276</v>
      </c>
      <c r="M274" s="21" t="s">
        <v>2276</v>
      </c>
      <c r="N274" s="21" t="s">
        <v>2276</v>
      </c>
      <c r="O274" s="21" t="s">
        <v>2276</v>
      </c>
      <c r="P274" s="21" t="s">
        <v>2276</v>
      </c>
      <c r="Q274" s="102" t="s">
        <v>2276</v>
      </c>
      <c r="R274" s="102" t="s">
        <v>2276</v>
      </c>
      <c r="S274" s="21" t="s">
        <v>2276</v>
      </c>
      <c r="T274" s="21" t="s">
        <v>2276</v>
      </c>
      <c r="U274" s="21" t="s">
        <v>2276</v>
      </c>
      <c r="V274" s="21" t="s">
        <v>2376</v>
      </c>
      <c r="W274" s="21" t="s">
        <v>2375</v>
      </c>
      <c r="X274" s="3"/>
      <c r="Y274" s="3"/>
      <c r="Z274" s="3" t="s">
        <v>2312</v>
      </c>
      <c r="AA274" s="4" t="s">
        <v>2313</v>
      </c>
      <c r="AB274" s="4" t="s">
        <v>2323</v>
      </c>
    </row>
    <row r="275" spans="1:28" ht="138" customHeight="1">
      <c r="A275" s="6" t="str">
        <f>'Reported burning'!A275</f>
        <v>23a</v>
      </c>
      <c r="B275" s="6" t="str">
        <f>'Reported burning'!B275</f>
        <v>23a.2</v>
      </c>
      <c r="C275" s="6" t="str">
        <f>'Reported burning'!C275</f>
        <v>Human, deliberate</v>
      </c>
      <c r="D275" s="6" t="str">
        <f>'Reported burning'!D275</f>
        <v>Hunting</v>
      </c>
      <c r="E275" s="6" t="str">
        <f>'Reported burning'!E275</f>
        <v>Forestry, Traditional</v>
      </c>
      <c r="F275" s="6" t="str">
        <f>'Reported burning'!F275</f>
        <v>Forest</v>
      </c>
      <c r="G275" s="6" t="str">
        <f>'Reported burning'!G275</f>
        <v>ND</v>
      </c>
      <c r="H275" s="6" t="str">
        <f>'Reported burning'!H275</f>
        <v>Presence</v>
      </c>
      <c r="I275" s="3"/>
      <c r="J275" s="21" t="s">
        <v>2276</v>
      </c>
      <c r="K275" s="103" t="s">
        <v>2276</v>
      </c>
      <c r="L275" s="21" t="s">
        <v>2276</v>
      </c>
      <c r="M275" s="21" t="s">
        <v>2276</v>
      </c>
      <c r="N275" s="21" t="s">
        <v>2276</v>
      </c>
      <c r="O275" s="21" t="s">
        <v>2276</v>
      </c>
      <c r="P275" s="21" t="s">
        <v>2276</v>
      </c>
      <c r="Q275" s="102" t="s">
        <v>2276</v>
      </c>
      <c r="R275" s="102" t="s">
        <v>2276</v>
      </c>
      <c r="S275" s="21" t="s">
        <v>2276</v>
      </c>
      <c r="T275" s="21" t="s">
        <v>2276</v>
      </c>
      <c r="U275" s="21" t="s">
        <v>2276</v>
      </c>
      <c r="V275" s="21" t="s">
        <v>2527</v>
      </c>
      <c r="W275" s="21" t="s">
        <v>2276</v>
      </c>
      <c r="X275" s="3"/>
      <c r="Y275" s="3"/>
      <c r="Z275" s="3" t="s">
        <v>2312</v>
      </c>
      <c r="AA275" s="4" t="s">
        <v>2313</v>
      </c>
      <c r="AB275" s="4" t="s">
        <v>2324</v>
      </c>
    </row>
    <row r="276" spans="1:28" ht="108" customHeight="1">
      <c r="A276" s="6" t="str">
        <f>'Reported burning'!A276</f>
        <v>23a</v>
      </c>
      <c r="B276" s="6" t="str">
        <f>'Reported burning'!B276</f>
        <v>23a.3</v>
      </c>
      <c r="C276" s="6" t="str">
        <f>'Reported burning'!C276</f>
        <v>Human, deliberate</v>
      </c>
      <c r="D276" s="6" t="str">
        <f>'Reported burning'!D276</f>
        <v>Forest clearance</v>
      </c>
      <c r="E276" s="6" t="str">
        <f>'Reported burning'!E276</f>
        <v>All</v>
      </c>
      <c r="F276" s="6" t="str">
        <f>'Reported burning'!F276</f>
        <v>Forest</v>
      </c>
      <c r="G276" s="6" t="str">
        <f>'Reported burning'!G276</f>
        <v>ND</v>
      </c>
      <c r="H276" s="6" t="str">
        <f>'Reported burning'!H276</f>
        <v>Absence</v>
      </c>
      <c r="I276" s="3"/>
      <c r="J276" s="21" t="s">
        <v>2364</v>
      </c>
      <c r="K276" s="103" t="s">
        <v>2364</v>
      </c>
      <c r="L276" s="21" t="s">
        <v>2364</v>
      </c>
      <c r="M276" s="21" t="s">
        <v>2364</v>
      </c>
      <c r="N276" s="21" t="s">
        <v>2364</v>
      </c>
      <c r="O276" s="21" t="s">
        <v>2364</v>
      </c>
      <c r="P276" s="21" t="s">
        <v>2364</v>
      </c>
      <c r="Q276" s="102" t="s">
        <v>2276</v>
      </c>
      <c r="R276" s="102" t="s">
        <v>2276</v>
      </c>
      <c r="S276" s="21" t="s">
        <v>2364</v>
      </c>
      <c r="T276" s="21" t="s">
        <v>2364</v>
      </c>
      <c r="U276" s="21" t="s">
        <v>2364</v>
      </c>
      <c r="V276" s="21" t="s">
        <v>2364</v>
      </c>
      <c r="W276" s="21" t="s">
        <v>2276</v>
      </c>
      <c r="X276" s="3"/>
      <c r="Y276" s="3"/>
      <c r="Z276" s="3"/>
      <c r="AA276" s="4" t="s">
        <v>2314</v>
      </c>
      <c r="AB276" s="4"/>
    </row>
    <row r="277" spans="1:28" ht="147" customHeight="1">
      <c r="A277" s="6" t="str">
        <f>'Reported burning'!A277</f>
        <v>23b</v>
      </c>
      <c r="B277" s="6" t="str">
        <f>'Reported burning'!B277</f>
        <v>23b.1</v>
      </c>
      <c r="C277" s="6" t="str">
        <f>'Reported burning'!C277</f>
        <v>Human, deliberate</v>
      </c>
      <c r="D277" s="6" t="str">
        <f>'Reported burning'!D277</f>
        <v>Fishing</v>
      </c>
      <c r="E277" s="6" t="str">
        <f>'Reported burning'!E277</f>
        <v>Forestry, Traditional</v>
      </c>
      <c r="F277" s="6" t="str">
        <f>'Reported burning'!F277</f>
        <v>Secondary Vegetation</v>
      </c>
      <c r="G277" s="6" t="str">
        <f>'Reported burning'!G277</f>
        <v>ND</v>
      </c>
      <c r="H277" s="6" t="str">
        <f>'Reported burning'!H277</f>
        <v>Presence</v>
      </c>
      <c r="I277" s="3"/>
      <c r="J277" s="21" t="s">
        <v>2276</v>
      </c>
      <c r="K277" s="103" t="s">
        <v>2276</v>
      </c>
      <c r="L277" s="21" t="s">
        <v>2276</v>
      </c>
      <c r="M277" s="21" t="s">
        <v>2276</v>
      </c>
      <c r="N277" s="21" t="s">
        <v>2276</v>
      </c>
      <c r="O277" s="21" t="s">
        <v>2276</v>
      </c>
      <c r="P277" s="21" t="s">
        <v>2276</v>
      </c>
      <c r="Q277" s="102" t="s">
        <v>2276</v>
      </c>
      <c r="R277" s="102" t="s">
        <v>2276</v>
      </c>
      <c r="S277" s="21" t="s">
        <v>2276</v>
      </c>
      <c r="T277" s="21" t="s">
        <v>2276</v>
      </c>
      <c r="U277" s="21" t="s">
        <v>2276</v>
      </c>
      <c r="V277" s="21" t="s">
        <v>2376</v>
      </c>
      <c r="W277" s="21" t="s">
        <v>2375</v>
      </c>
      <c r="X277" s="3"/>
      <c r="Y277" s="3"/>
      <c r="Z277" s="3" t="s">
        <v>2312</v>
      </c>
      <c r="AA277" s="4" t="s">
        <v>2313</v>
      </c>
      <c r="AB277" s="4" t="s">
        <v>2325</v>
      </c>
    </row>
    <row r="278" spans="1:28" ht="138" customHeight="1">
      <c r="A278" s="6" t="str">
        <f>'Reported burning'!A278</f>
        <v>23b</v>
      </c>
      <c r="B278" s="6" t="str">
        <f>'Reported burning'!B278</f>
        <v>23b.2</v>
      </c>
      <c r="C278" s="6" t="str">
        <f>'Reported burning'!C278</f>
        <v>Human, deliberate</v>
      </c>
      <c r="D278" s="6" t="str">
        <f>'Reported burning'!D278</f>
        <v>Fishing</v>
      </c>
      <c r="E278" s="6" t="str">
        <f>'Reported burning'!E278</f>
        <v>Forestry, Traditional</v>
      </c>
      <c r="F278" s="6" t="str">
        <f>'Reported burning'!F278</f>
        <v>Forest</v>
      </c>
      <c r="G278" s="6" t="str">
        <f>'Reported burning'!G278</f>
        <v>ND</v>
      </c>
      <c r="H278" s="6" t="str">
        <f>'Reported burning'!H278</f>
        <v>Presence</v>
      </c>
      <c r="I278" s="3"/>
      <c r="J278" s="21" t="s">
        <v>2276</v>
      </c>
      <c r="K278" s="103" t="s">
        <v>2276</v>
      </c>
      <c r="L278" s="21" t="s">
        <v>2276</v>
      </c>
      <c r="M278" s="21" t="s">
        <v>2276</v>
      </c>
      <c r="N278" s="21" t="s">
        <v>2276</v>
      </c>
      <c r="O278" s="21" t="s">
        <v>2276</v>
      </c>
      <c r="P278" s="21" t="s">
        <v>2276</v>
      </c>
      <c r="Q278" s="102" t="s">
        <v>2276</v>
      </c>
      <c r="R278" s="102" t="s">
        <v>2276</v>
      </c>
      <c r="S278" s="21" t="s">
        <v>2276</v>
      </c>
      <c r="T278" s="21" t="s">
        <v>2276</v>
      </c>
      <c r="U278" s="21" t="s">
        <v>2276</v>
      </c>
      <c r="V278" s="21" t="s">
        <v>2527</v>
      </c>
      <c r="W278" s="21" t="s">
        <v>2276</v>
      </c>
      <c r="X278" s="3"/>
      <c r="Y278" s="3"/>
      <c r="Z278" s="3" t="s">
        <v>2312</v>
      </c>
      <c r="AA278" s="4" t="s">
        <v>2313</v>
      </c>
      <c r="AB278" s="4" t="s">
        <v>2326</v>
      </c>
    </row>
    <row r="279" spans="1:28" ht="138" customHeight="1">
      <c r="A279" s="6" t="str">
        <f>'Reported burning'!A279</f>
        <v>23b</v>
      </c>
      <c r="B279" s="6" t="str">
        <f>'Reported burning'!B279</f>
        <v>23b.3</v>
      </c>
      <c r="C279" s="6" t="str">
        <f>'Reported burning'!C279</f>
        <v>Human, deliberate</v>
      </c>
      <c r="D279" s="6" t="str">
        <f>'Reported burning'!D279</f>
        <v>Forest clearance</v>
      </c>
      <c r="E279" s="6" t="str">
        <f>'Reported burning'!E279</f>
        <v>All</v>
      </c>
      <c r="F279" s="6" t="str">
        <f>'Reported burning'!F279</f>
        <v>Forest</v>
      </c>
      <c r="G279" s="6" t="str">
        <f>'Reported burning'!G279</f>
        <v>ND</v>
      </c>
      <c r="H279" s="6" t="str">
        <f>'Reported burning'!H279</f>
        <v>Absence</v>
      </c>
      <c r="I279" s="3"/>
      <c r="J279" s="21" t="s">
        <v>2364</v>
      </c>
      <c r="K279" s="103" t="s">
        <v>2364</v>
      </c>
      <c r="L279" s="21" t="s">
        <v>2364</v>
      </c>
      <c r="M279" s="21" t="s">
        <v>2364</v>
      </c>
      <c r="N279" s="21" t="s">
        <v>2364</v>
      </c>
      <c r="O279" s="21" t="s">
        <v>2364</v>
      </c>
      <c r="P279" s="21" t="s">
        <v>2364</v>
      </c>
      <c r="Q279" s="102" t="s">
        <v>2276</v>
      </c>
      <c r="R279" s="102" t="s">
        <v>2276</v>
      </c>
      <c r="S279" s="21" t="s">
        <v>2364</v>
      </c>
      <c r="T279" s="21" t="s">
        <v>2364</v>
      </c>
      <c r="U279" s="21" t="s">
        <v>2364</v>
      </c>
      <c r="V279" s="21" t="s">
        <v>2364</v>
      </c>
      <c r="W279" s="21" t="s">
        <v>2276</v>
      </c>
      <c r="X279" s="3"/>
      <c r="Y279" s="3"/>
      <c r="Z279" s="3"/>
      <c r="AA279" s="4" t="s">
        <v>2314</v>
      </c>
      <c r="AB279" s="4"/>
    </row>
    <row r="280" spans="1:28" ht="152" customHeight="1">
      <c r="A280" s="6" t="str">
        <f>'Reported burning'!A280</f>
        <v>23c</v>
      </c>
      <c r="B280" s="6" t="str">
        <f>'Reported burning'!B280</f>
        <v>23c.1</v>
      </c>
      <c r="C280" s="6" t="str">
        <f>'Reported burning'!C280</f>
        <v>Human, deliberate</v>
      </c>
      <c r="D280" s="6" t="str">
        <f>'Reported burning'!D280</f>
        <v>Fishing</v>
      </c>
      <c r="E280" s="6" t="str">
        <f>'Reported burning'!E280</f>
        <v>Forestry, Traditional</v>
      </c>
      <c r="F280" s="6" t="str">
        <f>'Reported burning'!F280</f>
        <v>Secondary Vegetation</v>
      </c>
      <c r="G280" s="6" t="str">
        <f>'Reported burning'!G280</f>
        <v>ND</v>
      </c>
      <c r="H280" s="6" t="str">
        <f>'Reported burning'!H280</f>
        <v>Presence</v>
      </c>
      <c r="I280" s="3"/>
      <c r="J280" s="21" t="s">
        <v>2276</v>
      </c>
      <c r="K280" s="103" t="s">
        <v>2276</v>
      </c>
      <c r="L280" s="21" t="s">
        <v>2276</v>
      </c>
      <c r="M280" s="21" t="s">
        <v>2276</v>
      </c>
      <c r="N280" s="21" t="s">
        <v>2276</v>
      </c>
      <c r="O280" s="21" t="s">
        <v>2276</v>
      </c>
      <c r="P280" s="21" t="s">
        <v>2276</v>
      </c>
      <c r="Q280" s="102" t="s">
        <v>2276</v>
      </c>
      <c r="R280" s="102" t="s">
        <v>2276</v>
      </c>
      <c r="S280" s="21" t="s">
        <v>2276</v>
      </c>
      <c r="T280" s="21" t="s">
        <v>2276</v>
      </c>
      <c r="U280" s="21" t="s">
        <v>2276</v>
      </c>
      <c r="V280" s="21" t="s">
        <v>2376</v>
      </c>
      <c r="W280" s="21" t="s">
        <v>2375</v>
      </c>
      <c r="X280" s="3"/>
      <c r="Y280" s="3"/>
      <c r="Z280" s="3" t="s">
        <v>2312</v>
      </c>
      <c r="AA280" s="4" t="s">
        <v>2313</v>
      </c>
      <c r="AB280" s="4" t="s">
        <v>2327</v>
      </c>
    </row>
    <row r="281" spans="1:28" ht="138" customHeight="1">
      <c r="A281" s="6" t="str">
        <f>'Reported burning'!A281</f>
        <v>23c</v>
      </c>
      <c r="B281" s="6" t="str">
        <f>'Reported burning'!B281</f>
        <v>23c.2</v>
      </c>
      <c r="C281" s="6" t="str">
        <f>'Reported burning'!C281</f>
        <v>Human, deliberate</v>
      </c>
      <c r="D281" s="6" t="str">
        <f>'Reported burning'!D281</f>
        <v>Fishing</v>
      </c>
      <c r="E281" s="6" t="str">
        <f>'Reported burning'!E281</f>
        <v>Forestry, Traditional</v>
      </c>
      <c r="F281" s="6" t="str">
        <f>'Reported burning'!F281</f>
        <v>Forest</v>
      </c>
      <c r="G281" s="6" t="str">
        <f>'Reported burning'!G281</f>
        <v>ND</v>
      </c>
      <c r="H281" s="6" t="str">
        <f>'Reported burning'!H281</f>
        <v>Presence</v>
      </c>
      <c r="I281" s="3"/>
      <c r="J281" s="21" t="s">
        <v>2276</v>
      </c>
      <c r="K281" s="103" t="s">
        <v>2276</v>
      </c>
      <c r="L281" s="21" t="s">
        <v>2276</v>
      </c>
      <c r="M281" s="21" t="s">
        <v>2276</v>
      </c>
      <c r="N281" s="21" t="s">
        <v>2276</v>
      </c>
      <c r="O281" s="21" t="s">
        <v>2276</v>
      </c>
      <c r="P281" s="21" t="s">
        <v>2276</v>
      </c>
      <c r="Q281" s="102" t="s">
        <v>2276</v>
      </c>
      <c r="R281" s="102" t="s">
        <v>2276</v>
      </c>
      <c r="S281" s="21" t="s">
        <v>2276</v>
      </c>
      <c r="T281" s="21" t="s">
        <v>2276</v>
      </c>
      <c r="U281" s="21" t="s">
        <v>2276</v>
      </c>
      <c r="V281" s="21" t="s">
        <v>2376</v>
      </c>
      <c r="W281" s="21" t="s">
        <v>2276</v>
      </c>
      <c r="X281" s="3"/>
      <c r="Y281" s="3"/>
      <c r="Z281" s="3" t="s">
        <v>2312</v>
      </c>
      <c r="AA281" s="4" t="s">
        <v>2313</v>
      </c>
      <c r="AB281" s="4" t="s">
        <v>2328</v>
      </c>
    </row>
    <row r="282" spans="1:28" ht="138" customHeight="1">
      <c r="A282" s="6" t="str">
        <f>'Reported burning'!A282</f>
        <v>23c</v>
      </c>
      <c r="B282" s="6" t="str">
        <f>'Reported burning'!B282</f>
        <v>23c.3</v>
      </c>
      <c r="C282" s="6" t="str">
        <f>'Reported burning'!C282</f>
        <v>Human, deliberate</v>
      </c>
      <c r="D282" s="6" t="str">
        <f>'Reported burning'!D282</f>
        <v>Forest clearance</v>
      </c>
      <c r="E282" s="6" t="str">
        <f>'Reported burning'!E282</f>
        <v>All</v>
      </c>
      <c r="F282" s="6" t="str">
        <f>'Reported burning'!F282</f>
        <v>Forest</v>
      </c>
      <c r="G282" s="6" t="str">
        <f>'Reported burning'!G282</f>
        <v>ND</v>
      </c>
      <c r="H282" s="6" t="str">
        <f>'Reported burning'!H282</f>
        <v>Absence</v>
      </c>
      <c r="I282" s="3"/>
      <c r="J282" s="21" t="s">
        <v>2364</v>
      </c>
      <c r="K282" s="103" t="s">
        <v>2364</v>
      </c>
      <c r="L282" s="21" t="s">
        <v>2364</v>
      </c>
      <c r="M282" s="21" t="s">
        <v>2364</v>
      </c>
      <c r="N282" s="21" t="s">
        <v>2364</v>
      </c>
      <c r="O282" s="21" t="s">
        <v>2364</v>
      </c>
      <c r="P282" s="21" t="s">
        <v>2364</v>
      </c>
      <c r="Q282" s="102" t="s">
        <v>2276</v>
      </c>
      <c r="R282" s="102" t="s">
        <v>2276</v>
      </c>
      <c r="S282" s="21" t="s">
        <v>2364</v>
      </c>
      <c r="T282" s="21" t="s">
        <v>2364</v>
      </c>
      <c r="U282" s="21" t="s">
        <v>2364</v>
      </c>
      <c r="V282" s="21" t="s">
        <v>2364</v>
      </c>
      <c r="W282" s="21" t="s">
        <v>2276</v>
      </c>
      <c r="X282" s="3"/>
      <c r="Y282" s="3"/>
      <c r="Z282" s="3"/>
      <c r="AA282" s="4" t="s">
        <v>2314</v>
      </c>
      <c r="AB282" s="4"/>
    </row>
    <row r="283" spans="1:28" ht="75" customHeight="1">
      <c r="A283" s="6" t="str">
        <f>'Reported burning'!A283</f>
        <v>24a</v>
      </c>
      <c r="B283" s="6" t="str">
        <f>'Reported burning'!B283</f>
        <v>24a.1</v>
      </c>
      <c r="C283" s="6" t="str">
        <f>'Reported burning'!C283</f>
        <v>Human, deliberate</v>
      </c>
      <c r="D283" s="6" t="str">
        <f>'Reported burning'!D283</f>
        <v>Crop field preparation</v>
      </c>
      <c r="E283" s="6" t="str">
        <f>'Reported burning'!E283</f>
        <v>Cropping, Swidden</v>
      </c>
      <c r="F283" s="6" t="str">
        <f>'Reported burning'!F283</f>
        <v>Secondary Vegetation</v>
      </c>
      <c r="G283" s="6" t="str">
        <f>'Reported burning'!G283</f>
        <v>ND</v>
      </c>
      <c r="H283" s="6" t="str">
        <f>'Reported burning'!H283</f>
        <v>Presence</v>
      </c>
      <c r="I283" s="3"/>
      <c r="J283" s="21" t="s">
        <v>2276</v>
      </c>
      <c r="K283" s="103" t="s">
        <v>2276</v>
      </c>
      <c r="L283" s="21" t="s">
        <v>2276</v>
      </c>
      <c r="M283" s="21" t="s">
        <v>2276</v>
      </c>
      <c r="N283" s="21" t="s">
        <v>2276</v>
      </c>
      <c r="O283" s="21" t="s">
        <v>2276</v>
      </c>
      <c r="P283" s="21" t="s">
        <v>2276</v>
      </c>
      <c r="Q283" s="102" t="s">
        <v>2276</v>
      </c>
      <c r="R283" s="102" t="s">
        <v>2276</v>
      </c>
      <c r="S283" s="21" t="s">
        <v>2276</v>
      </c>
      <c r="T283" s="21" t="s">
        <v>2276</v>
      </c>
      <c r="U283" s="21" t="s">
        <v>2276</v>
      </c>
      <c r="V283" s="21" t="s">
        <v>2276</v>
      </c>
      <c r="W283" s="21" t="s">
        <v>2276</v>
      </c>
      <c r="X283" s="3" t="s">
        <v>2276</v>
      </c>
      <c r="Y283" s="3" t="s">
        <v>2276</v>
      </c>
      <c r="Z283" s="3" t="s">
        <v>2276</v>
      </c>
      <c r="AA283" s="4" t="s">
        <v>515</v>
      </c>
      <c r="AB283" s="4" t="s">
        <v>1494</v>
      </c>
    </row>
    <row r="284" spans="1:28" ht="109.5" customHeight="1">
      <c r="A284" s="6" t="str">
        <f>'Reported burning'!A284</f>
        <v>24a</v>
      </c>
      <c r="B284" s="6" t="str">
        <f>'Reported burning'!B284</f>
        <v>24a.2</v>
      </c>
      <c r="C284" s="6" t="str">
        <f>'Reported burning'!C284</f>
        <v>Human, deliberate</v>
      </c>
      <c r="D284" s="6" t="str">
        <f>'Reported burning'!D284</f>
        <v>Crop field preparation</v>
      </c>
      <c r="E284" s="6" t="str">
        <f>'Reported burning'!E284</f>
        <v>Cropping, Swidden</v>
      </c>
      <c r="F284" s="6" t="str">
        <f>'Reported burning'!F284</f>
        <v>Cropland</v>
      </c>
      <c r="G284" s="6" t="str">
        <f>'Reported burning'!G284</f>
        <v>ND</v>
      </c>
      <c r="H284" s="6" t="str">
        <f>'Reported burning'!H284</f>
        <v>Presence</v>
      </c>
      <c r="I284" s="3"/>
      <c r="J284" s="21" t="s">
        <v>2276</v>
      </c>
      <c r="K284" s="103" t="s">
        <v>2276</v>
      </c>
      <c r="L284" s="21" t="s">
        <v>2276</v>
      </c>
      <c r="M284" s="21" t="s">
        <v>2276</v>
      </c>
      <c r="N284" s="21" t="s">
        <v>2276</v>
      </c>
      <c r="O284" s="21" t="s">
        <v>2276</v>
      </c>
      <c r="P284" s="21" t="s">
        <v>2276</v>
      </c>
      <c r="Q284" s="102" t="s">
        <v>2276</v>
      </c>
      <c r="R284" s="102" t="s">
        <v>2276</v>
      </c>
      <c r="S284" s="21" t="s">
        <v>2276</v>
      </c>
      <c r="T284" s="21" t="s">
        <v>2276</v>
      </c>
      <c r="U284" s="21" t="s">
        <v>2276</v>
      </c>
      <c r="V284" s="3" t="s">
        <v>2276</v>
      </c>
      <c r="W284" s="3" t="s">
        <v>2276</v>
      </c>
      <c r="X284" s="3" t="s">
        <v>2276</v>
      </c>
      <c r="Y284" s="3" t="s">
        <v>2276</v>
      </c>
      <c r="Z284" s="3" t="s">
        <v>2276</v>
      </c>
      <c r="AA284" s="18" t="s">
        <v>516</v>
      </c>
      <c r="AB284" s="3"/>
    </row>
    <row r="285" spans="1:28" ht="79.5" customHeight="1">
      <c r="A285" s="6" t="str">
        <f>'Reported burning'!A285</f>
        <v>24a</v>
      </c>
      <c r="B285" s="6" t="str">
        <f>'Reported burning'!B285</f>
        <v>24a.3</v>
      </c>
      <c r="C285" s="6" t="str">
        <f>'Reported burning'!C285</f>
        <v>Human, deliberate</v>
      </c>
      <c r="D285" s="6" t="str">
        <f>'Reported burning'!D285</f>
        <v>Crop field preparation</v>
      </c>
      <c r="E285" s="6" t="str">
        <f>'Reported burning'!E285</f>
        <v>Cropping, Monoculture, Subsistence-oriented</v>
      </c>
      <c r="F285" s="6" t="str">
        <f>'Reported burning'!F285</f>
        <v>Cropland</v>
      </c>
      <c r="G285" s="6" t="str">
        <f>'Reported burning'!G285</f>
        <v>ND</v>
      </c>
      <c r="H285" s="6" t="str">
        <f>'Reported burning'!H285</f>
        <v>Absence</v>
      </c>
      <c r="I285" s="3"/>
      <c r="J285" s="21" t="s">
        <v>2364</v>
      </c>
      <c r="K285" s="103" t="s">
        <v>2364</v>
      </c>
      <c r="L285" s="21" t="s">
        <v>2364</v>
      </c>
      <c r="M285" s="21" t="s">
        <v>2364</v>
      </c>
      <c r="N285" s="21" t="s">
        <v>2364</v>
      </c>
      <c r="O285" s="21" t="s">
        <v>2364</v>
      </c>
      <c r="P285" s="21" t="s">
        <v>2364</v>
      </c>
      <c r="Q285" s="102" t="s">
        <v>2276</v>
      </c>
      <c r="R285" s="102" t="s">
        <v>2276</v>
      </c>
      <c r="S285" s="21" t="s">
        <v>2364</v>
      </c>
      <c r="T285" s="21" t="s">
        <v>2364</v>
      </c>
      <c r="U285" s="21" t="s">
        <v>2364</v>
      </c>
      <c r="V285" s="21" t="s">
        <v>2364</v>
      </c>
      <c r="W285" s="21" t="s">
        <v>2276</v>
      </c>
      <c r="X285" s="3" t="s">
        <v>2276</v>
      </c>
      <c r="Y285" s="3" t="s">
        <v>2276</v>
      </c>
      <c r="Z285" s="3" t="s">
        <v>2276</v>
      </c>
      <c r="AA285" s="18" t="s">
        <v>519</v>
      </c>
      <c r="AB285" s="3"/>
    </row>
    <row r="286" spans="1:28" ht="135" customHeight="1">
      <c r="A286" s="6" t="str">
        <f>'Reported burning'!A286</f>
        <v>25a</v>
      </c>
      <c r="B286" s="6" t="str">
        <f>'Reported burning'!B286</f>
        <v>25a.1</v>
      </c>
      <c r="C286" s="6" t="str">
        <f>'Reported burning'!C286</f>
        <v>Human, deliberate</v>
      </c>
      <c r="D286" s="6" t="str">
        <f>'Reported burning'!D286</f>
        <v>Forest clearance</v>
      </c>
      <c r="E286" s="6" t="str">
        <f>'Reported burning'!E286</f>
        <v>Cropping, Swidden</v>
      </c>
      <c r="F286" s="6" t="str">
        <f>'Reported burning'!F286</f>
        <v>Forest</v>
      </c>
      <c r="G286" s="6" t="str">
        <f>'Reported burning'!G286</f>
        <v>ND</v>
      </c>
      <c r="H286" s="6" t="str">
        <f>'Reported burning'!H286</f>
        <v>Presence</v>
      </c>
      <c r="I286" s="3"/>
      <c r="J286" s="21" t="s">
        <v>2276</v>
      </c>
      <c r="K286" s="103" t="s">
        <v>2276</v>
      </c>
      <c r="L286" s="21" t="s">
        <v>2276</v>
      </c>
      <c r="M286" s="21" t="s">
        <v>2276</v>
      </c>
      <c r="N286" s="21" t="s">
        <v>2276</v>
      </c>
      <c r="O286" s="21" t="s">
        <v>2276</v>
      </c>
      <c r="P286" s="21" t="s">
        <v>2276</v>
      </c>
      <c r="Q286" s="102" t="s">
        <v>2276</v>
      </c>
      <c r="R286" s="102" t="s">
        <v>2276</v>
      </c>
      <c r="S286" s="21" t="s">
        <v>2276</v>
      </c>
      <c r="T286" s="21" t="s">
        <v>2276</v>
      </c>
      <c r="U286" s="21" t="s">
        <v>2276</v>
      </c>
      <c r="V286" s="21" t="s">
        <v>2276</v>
      </c>
      <c r="W286" s="21" t="s">
        <v>2276</v>
      </c>
      <c r="X286" s="3" t="s">
        <v>2276</v>
      </c>
      <c r="Y286" s="3" t="s">
        <v>2276</v>
      </c>
      <c r="Z286" s="3" t="s">
        <v>2276</v>
      </c>
      <c r="AA286" s="4" t="s">
        <v>540</v>
      </c>
      <c r="AB286" s="4"/>
    </row>
    <row r="287" spans="1:28" ht="75.5" customHeight="1">
      <c r="A287" s="6" t="str">
        <f>'Reported burning'!A287</f>
        <v>25a</v>
      </c>
      <c r="B287" s="6" t="str">
        <f>'Reported burning'!B287</f>
        <v>25a.2</v>
      </c>
      <c r="C287" s="6" t="str">
        <f>'Reported burning'!C287</f>
        <v>Human, deliberate</v>
      </c>
      <c r="D287" s="6" t="str">
        <f>'Reported burning'!D287</f>
        <v>Forest clearance</v>
      </c>
      <c r="E287" s="6" t="str">
        <f>'Reported burning'!E287</f>
        <v>Cattle, Extensive</v>
      </c>
      <c r="F287" s="6" t="str">
        <f>'Reported burning'!F287</f>
        <v>Forest</v>
      </c>
      <c r="G287" s="6" t="str">
        <f>'Reported burning'!G287</f>
        <v>ND</v>
      </c>
      <c r="H287" s="6" t="str">
        <f>'Reported burning'!H287</f>
        <v>Absence</v>
      </c>
      <c r="I287" s="3"/>
      <c r="J287" s="21" t="s">
        <v>2364</v>
      </c>
      <c r="K287" s="103" t="s">
        <v>2364</v>
      </c>
      <c r="L287" s="21" t="s">
        <v>2364</v>
      </c>
      <c r="M287" s="21" t="s">
        <v>2364</v>
      </c>
      <c r="N287" s="21" t="s">
        <v>2364</v>
      </c>
      <c r="O287" s="21" t="s">
        <v>2364</v>
      </c>
      <c r="P287" s="21" t="s">
        <v>2364</v>
      </c>
      <c r="Q287" s="102" t="s">
        <v>2276</v>
      </c>
      <c r="R287" s="102" t="s">
        <v>2276</v>
      </c>
      <c r="S287" s="21" t="s">
        <v>2364</v>
      </c>
      <c r="T287" s="21" t="s">
        <v>2364</v>
      </c>
      <c r="U287" s="21" t="s">
        <v>2364</v>
      </c>
      <c r="V287" s="21" t="s">
        <v>2364</v>
      </c>
      <c r="W287" s="21" t="s">
        <v>2276</v>
      </c>
      <c r="X287" s="3" t="s">
        <v>2276</v>
      </c>
      <c r="Y287" s="3" t="s">
        <v>2276</v>
      </c>
      <c r="Z287" s="3" t="s">
        <v>2276</v>
      </c>
      <c r="AA287" s="4" t="s">
        <v>542</v>
      </c>
      <c r="AB287" s="4"/>
    </row>
    <row r="288" spans="1:28" ht="132" customHeight="1">
      <c r="A288" s="6" t="str">
        <f>'Reported burning'!A288</f>
        <v>26a</v>
      </c>
      <c r="B288" s="6" t="str">
        <f>'Reported burning'!B288</f>
        <v>26a.1</v>
      </c>
      <c r="C288" s="6" t="str">
        <f>'Reported burning'!C288</f>
        <v>Human, deliberate</v>
      </c>
      <c r="D288" s="6" t="str">
        <f>'Reported burning'!D288</f>
        <v>Crop field preparation</v>
      </c>
      <c r="E288" s="6" t="str">
        <f>'Reported burning'!E288</f>
        <v>Cropping, Swidden</v>
      </c>
      <c r="F288" s="6" t="str">
        <f>'Reported burning'!G288</f>
        <v>Secondary Vegetation</v>
      </c>
      <c r="G288" s="6" t="e">
        <f>'Reported burning'!#REF!</f>
        <v>#REF!</v>
      </c>
      <c r="H288" s="6" t="str">
        <f>'Reported burning'!H288</f>
        <v>Presence</v>
      </c>
      <c r="I288" s="3">
        <v>1987</v>
      </c>
      <c r="J288" s="21" t="s">
        <v>2276</v>
      </c>
      <c r="K288" s="103" t="s">
        <v>2276</v>
      </c>
      <c r="L288" s="21" t="s">
        <v>2276</v>
      </c>
      <c r="M288" s="21" t="s">
        <v>2276</v>
      </c>
      <c r="N288" s="21" t="s">
        <v>2276</v>
      </c>
      <c r="O288" s="21" t="s">
        <v>2276</v>
      </c>
      <c r="P288" s="21" t="s">
        <v>2276</v>
      </c>
      <c r="Q288" s="102" t="s">
        <v>2276</v>
      </c>
      <c r="R288" s="102" t="s">
        <v>2276</v>
      </c>
      <c r="S288" s="21" t="s">
        <v>2276</v>
      </c>
      <c r="T288" s="21" t="s">
        <v>2276</v>
      </c>
      <c r="U288" s="21" t="s">
        <v>2276</v>
      </c>
      <c r="V288" s="21" t="s">
        <v>2276</v>
      </c>
      <c r="W288" s="21" t="s">
        <v>2276</v>
      </c>
      <c r="X288" s="21" t="s">
        <v>2276</v>
      </c>
      <c r="Y288" s="21" t="s">
        <v>2276</v>
      </c>
      <c r="Z288" s="21" t="s">
        <v>2276</v>
      </c>
      <c r="AA288" s="4" t="s">
        <v>552</v>
      </c>
      <c r="AB288" s="4" t="s">
        <v>1502</v>
      </c>
    </row>
    <row r="289" spans="1:28" ht="118" customHeight="1">
      <c r="A289" s="6" t="str">
        <f>'Reported burning'!A289</f>
        <v>26a</v>
      </c>
      <c r="B289" s="6" t="str">
        <f>'Reported burning'!B289</f>
        <v>26a.2</v>
      </c>
      <c r="C289" s="6" t="str">
        <f>'Reported burning'!C289</f>
        <v>Human, deliberate</v>
      </c>
      <c r="D289" s="6" t="str">
        <f>'Reported burning'!D289</f>
        <v>Forest clearance</v>
      </c>
      <c r="E289" s="6" t="str">
        <f>'Reported burning'!E289</f>
        <v>Cropping, Swidden</v>
      </c>
      <c r="F289" s="6" t="str">
        <f>'Reported burning'!G289</f>
        <v>Forest</v>
      </c>
      <c r="G289" s="6" t="e">
        <f>'Reported burning'!#REF!</f>
        <v>#REF!</v>
      </c>
      <c r="H289" s="6" t="str">
        <f>'Reported burning'!H289</f>
        <v>Presence</v>
      </c>
      <c r="I289" s="3">
        <v>1987</v>
      </c>
      <c r="J289" s="21" t="s">
        <v>2276</v>
      </c>
      <c r="K289" s="103" t="s">
        <v>2276</v>
      </c>
      <c r="L289" s="21" t="s">
        <v>2276</v>
      </c>
      <c r="M289" s="21" t="s">
        <v>2276</v>
      </c>
      <c r="N289" s="21" t="s">
        <v>2276</v>
      </c>
      <c r="O289" s="21" t="s">
        <v>2276</v>
      </c>
      <c r="P289" s="21" t="s">
        <v>2276</v>
      </c>
      <c r="Q289" s="102" t="s">
        <v>2276</v>
      </c>
      <c r="R289" s="102" t="s">
        <v>2276</v>
      </c>
      <c r="S289" s="21" t="s">
        <v>2276</v>
      </c>
      <c r="T289" s="21" t="s">
        <v>2276</v>
      </c>
      <c r="U289" s="21" t="s">
        <v>2276</v>
      </c>
      <c r="V289" s="21" t="s">
        <v>2276</v>
      </c>
      <c r="W289" s="21" t="s">
        <v>2276</v>
      </c>
      <c r="X289" s="21" t="s">
        <v>2276</v>
      </c>
      <c r="Y289" s="21" t="s">
        <v>2276</v>
      </c>
      <c r="Z289" s="21" t="s">
        <v>2276</v>
      </c>
      <c r="AA289" s="4" t="s">
        <v>552</v>
      </c>
      <c r="AB289" s="4" t="s">
        <v>566</v>
      </c>
    </row>
    <row r="290" spans="1:28" ht="121" customHeight="1">
      <c r="A290" s="6" t="str">
        <f>'Reported burning'!A290</f>
        <v>26b</v>
      </c>
      <c r="B290" s="6" t="str">
        <f>'Reported burning'!B290</f>
        <v>26b.1</v>
      </c>
      <c r="C290" s="6" t="str">
        <f>'Reported burning'!C290</f>
        <v>Human, deliberate</v>
      </c>
      <c r="D290" s="6" t="str">
        <f>'Reported burning'!D290</f>
        <v>Crop field preparation</v>
      </c>
      <c r="E290" s="6" t="str">
        <f>'Reported burning'!E290</f>
        <v>Cropping, Swidden</v>
      </c>
      <c r="F290" s="6" t="str">
        <f>'Reported burning'!G290</f>
        <v>Secondary Vegetation</v>
      </c>
      <c r="G290" s="6" t="e">
        <f>'Reported burning'!#REF!</f>
        <v>#REF!</v>
      </c>
      <c r="H290" s="6" t="str">
        <f>'Reported burning'!H290</f>
        <v>Presence</v>
      </c>
      <c r="I290" s="3">
        <v>2014</v>
      </c>
      <c r="J290" s="21" t="s">
        <v>2276</v>
      </c>
      <c r="K290" s="103" t="s">
        <v>2276</v>
      </c>
      <c r="L290" s="21" t="s">
        <v>2276</v>
      </c>
      <c r="M290" s="21" t="s">
        <v>2276</v>
      </c>
      <c r="N290" s="21" t="s">
        <v>2276</v>
      </c>
      <c r="O290" s="21" t="s">
        <v>2276</v>
      </c>
      <c r="P290" s="21" t="s">
        <v>2276</v>
      </c>
      <c r="Q290" s="102" t="s">
        <v>2276</v>
      </c>
      <c r="R290" s="102" t="s">
        <v>2276</v>
      </c>
      <c r="S290" s="21" t="s">
        <v>2276</v>
      </c>
      <c r="T290" s="21" t="s">
        <v>2276</v>
      </c>
      <c r="U290" s="21" t="s">
        <v>2276</v>
      </c>
      <c r="V290" s="21" t="s">
        <v>2276</v>
      </c>
      <c r="W290" s="21" t="s">
        <v>2276</v>
      </c>
      <c r="X290" s="21" t="s">
        <v>2276</v>
      </c>
      <c r="Y290" s="21" t="s">
        <v>2276</v>
      </c>
      <c r="Z290" s="21" t="s">
        <v>2276</v>
      </c>
      <c r="AA290" s="4" t="s">
        <v>552</v>
      </c>
      <c r="AB290" s="4" t="s">
        <v>566</v>
      </c>
    </row>
    <row r="291" spans="1:28" ht="112" customHeight="1">
      <c r="A291" s="6" t="str">
        <f>'Reported burning'!A291</f>
        <v>26b</v>
      </c>
      <c r="B291" s="6" t="str">
        <f>'Reported burning'!B291</f>
        <v>26b.2</v>
      </c>
      <c r="C291" s="6" t="str">
        <f>'Reported burning'!C291</f>
        <v>Human, deliberate</v>
      </c>
      <c r="D291" s="6" t="str">
        <f>'Reported burning'!D291</f>
        <v>Crop field preparation</v>
      </c>
      <c r="E291" s="6" t="str">
        <f>'Reported burning'!E291</f>
        <v>Cropping, Swidden</v>
      </c>
      <c r="F291" s="6" t="str">
        <f>'Reported burning'!G291</f>
        <v>Secondary Vegetation</v>
      </c>
      <c r="G291" s="6" t="e">
        <f>'Reported burning'!#REF!</f>
        <v>#REF!</v>
      </c>
      <c r="H291" s="6" t="str">
        <f>'Reported burning'!H291</f>
        <v>Presence</v>
      </c>
      <c r="I291" s="3">
        <v>2014</v>
      </c>
      <c r="J291" s="21" t="s">
        <v>2276</v>
      </c>
      <c r="K291" s="103" t="s">
        <v>2276</v>
      </c>
      <c r="L291" s="21" t="s">
        <v>2276</v>
      </c>
      <c r="M291" s="21" t="s">
        <v>2276</v>
      </c>
      <c r="N291" s="21" t="s">
        <v>2276</v>
      </c>
      <c r="O291" s="21" t="s">
        <v>2276</v>
      </c>
      <c r="P291" s="21" t="s">
        <v>2276</v>
      </c>
      <c r="Q291" s="102" t="s">
        <v>2276</v>
      </c>
      <c r="R291" s="102" t="s">
        <v>2276</v>
      </c>
      <c r="S291" s="21" t="s">
        <v>2276</v>
      </c>
      <c r="T291" s="21" t="s">
        <v>2276</v>
      </c>
      <c r="U291" s="21" t="s">
        <v>2276</v>
      </c>
      <c r="V291" s="21" t="s">
        <v>2276</v>
      </c>
      <c r="W291" s="21" t="s">
        <v>2276</v>
      </c>
      <c r="X291" s="21" t="s">
        <v>2276</v>
      </c>
      <c r="Y291" s="21" t="s">
        <v>2276</v>
      </c>
      <c r="Z291" s="21" t="s">
        <v>2276</v>
      </c>
      <c r="AA291" s="4" t="s">
        <v>552</v>
      </c>
      <c r="AB291" s="4" t="s">
        <v>566</v>
      </c>
    </row>
    <row r="292" spans="1:28" ht="112" customHeight="1">
      <c r="A292" s="6" t="str">
        <f>'Reported burning'!A292</f>
        <v>27a</v>
      </c>
      <c r="B292" s="6" t="str">
        <f>'Reported burning'!B292</f>
        <v>27a.1</v>
      </c>
      <c r="C292" s="6" t="str">
        <f>'Reported burning'!C292</f>
        <v>Human, deliberate</v>
      </c>
      <c r="D292" s="6" t="str">
        <f>'Reported burning'!D292</f>
        <v>Forest clearance</v>
      </c>
      <c r="E292" s="6" t="str">
        <f>'Reported burning'!E292</f>
        <v>Cropping, Monoculture, Subsistence-oriented</v>
      </c>
      <c r="F292" s="6" t="str">
        <f>'Reported burning'!F292</f>
        <v>Forest</v>
      </c>
      <c r="G292" s="6" t="str">
        <f>'Reported burning'!G292</f>
        <v>ND</v>
      </c>
      <c r="H292" s="6" t="str">
        <f>'Reported burning'!H292</f>
        <v>Presence</v>
      </c>
      <c r="I292" s="3"/>
      <c r="J292" s="21" t="s">
        <v>2276</v>
      </c>
      <c r="K292" s="103" t="s">
        <v>2276</v>
      </c>
      <c r="L292" s="21" t="s">
        <v>2276</v>
      </c>
      <c r="M292" s="21" t="s">
        <v>2276</v>
      </c>
      <c r="N292" s="21" t="s">
        <v>2276</v>
      </c>
      <c r="O292" s="21" t="s">
        <v>2276</v>
      </c>
      <c r="P292" s="21" t="s">
        <v>2276</v>
      </c>
      <c r="Q292" s="102" t="s">
        <v>2276</v>
      </c>
      <c r="R292" s="102" t="s">
        <v>2276</v>
      </c>
      <c r="S292" s="21" t="s">
        <v>2276</v>
      </c>
      <c r="T292" s="21" t="s">
        <v>2276</v>
      </c>
      <c r="U292" s="21" t="s">
        <v>2276</v>
      </c>
      <c r="V292" s="21" t="s">
        <v>2276</v>
      </c>
      <c r="W292" s="21" t="s">
        <v>2276</v>
      </c>
      <c r="X292" s="3" t="s">
        <v>2276</v>
      </c>
      <c r="Y292" s="3" t="s">
        <v>2276</v>
      </c>
      <c r="Z292" s="3" t="s">
        <v>2276</v>
      </c>
      <c r="AA292" s="4"/>
      <c r="AB292" s="4"/>
    </row>
    <row r="293" spans="1:28" ht="112" customHeight="1">
      <c r="A293" s="6" t="str">
        <f>'Reported burning'!A293</f>
        <v>27b</v>
      </c>
      <c r="B293" s="6" t="str">
        <f>'Reported burning'!B293</f>
        <v>27b.1</v>
      </c>
      <c r="C293" s="6" t="str">
        <f>'Reported burning'!C293</f>
        <v>Human, deliberate</v>
      </c>
      <c r="D293" s="6" t="str">
        <f>'Reported burning'!D293</f>
        <v>Forest clearance</v>
      </c>
      <c r="E293" s="6" t="str">
        <f>'Reported burning'!E293</f>
        <v>Cropping, Monoculture, Subsistence-oriented</v>
      </c>
      <c r="F293" s="6" t="str">
        <f>'Reported burning'!F293</f>
        <v>Forest</v>
      </c>
      <c r="G293" s="6" t="str">
        <f>'Reported burning'!G293</f>
        <v>ND</v>
      </c>
      <c r="H293" s="6" t="str">
        <f>'Reported burning'!H293</f>
        <v>Presence</v>
      </c>
      <c r="I293" s="3"/>
      <c r="J293" s="21" t="s">
        <v>2276</v>
      </c>
      <c r="K293" s="103" t="s">
        <v>2276</v>
      </c>
      <c r="L293" s="21" t="s">
        <v>2276</v>
      </c>
      <c r="M293" s="21" t="s">
        <v>2276</v>
      </c>
      <c r="N293" s="21" t="s">
        <v>2276</v>
      </c>
      <c r="O293" s="21" t="s">
        <v>2276</v>
      </c>
      <c r="P293" s="21" t="s">
        <v>2276</v>
      </c>
      <c r="Q293" s="102" t="s">
        <v>2276</v>
      </c>
      <c r="R293" s="102" t="s">
        <v>2276</v>
      </c>
      <c r="S293" s="21" t="s">
        <v>2276</v>
      </c>
      <c r="T293" s="21" t="s">
        <v>2276</v>
      </c>
      <c r="U293" s="21" t="s">
        <v>2276</v>
      </c>
      <c r="V293" s="21" t="s">
        <v>2276</v>
      </c>
      <c r="W293" s="21" t="s">
        <v>2276</v>
      </c>
      <c r="X293" s="3" t="s">
        <v>2276</v>
      </c>
      <c r="Y293" s="3" t="s">
        <v>2276</v>
      </c>
      <c r="Z293" s="3" t="s">
        <v>2276</v>
      </c>
      <c r="AA293" s="4"/>
      <c r="AB293" s="4"/>
    </row>
    <row r="294" spans="1:28" ht="112" customHeight="1">
      <c r="A294" s="6" t="str">
        <f>'Reported burning'!A294</f>
        <v>27c</v>
      </c>
      <c r="B294" s="6" t="str">
        <f>'Reported burning'!B294</f>
        <v>27c.1</v>
      </c>
      <c r="C294" s="6" t="str">
        <f>'Reported burning'!C294</f>
        <v>Human, deliberate</v>
      </c>
      <c r="D294" s="6" t="str">
        <f>'Reported burning'!D294</f>
        <v>Forest clearance</v>
      </c>
      <c r="E294" s="6" t="str">
        <f>'Reported burning'!E294</f>
        <v>Cropping, Monoculture, Subsistence-oriented</v>
      </c>
      <c r="F294" s="6" t="str">
        <f>'Reported burning'!F294</f>
        <v>Forest</v>
      </c>
      <c r="G294" s="6" t="str">
        <f>'Reported burning'!G294</f>
        <v>ND</v>
      </c>
      <c r="H294" s="6" t="str">
        <f>'Reported burning'!H294</f>
        <v>Presence</v>
      </c>
      <c r="I294" s="3"/>
      <c r="J294" s="21" t="s">
        <v>2276</v>
      </c>
      <c r="K294" s="103" t="s">
        <v>2276</v>
      </c>
      <c r="L294" s="21" t="s">
        <v>2276</v>
      </c>
      <c r="M294" s="21" t="s">
        <v>2276</v>
      </c>
      <c r="N294" s="21" t="s">
        <v>2276</v>
      </c>
      <c r="O294" s="21" t="s">
        <v>2276</v>
      </c>
      <c r="P294" s="21" t="s">
        <v>2276</v>
      </c>
      <c r="Q294" s="102" t="s">
        <v>2276</v>
      </c>
      <c r="R294" s="102" t="s">
        <v>2276</v>
      </c>
      <c r="S294" s="21" t="s">
        <v>2276</v>
      </c>
      <c r="T294" s="21" t="s">
        <v>2276</v>
      </c>
      <c r="U294" s="21" t="s">
        <v>2276</v>
      </c>
      <c r="V294" s="21" t="s">
        <v>2276</v>
      </c>
      <c r="W294" s="21" t="s">
        <v>2276</v>
      </c>
      <c r="X294" s="3" t="s">
        <v>2276</v>
      </c>
      <c r="Y294" s="3" t="s">
        <v>2276</v>
      </c>
      <c r="Z294" s="3" t="s">
        <v>2276</v>
      </c>
      <c r="AA294" s="4"/>
      <c r="AB294" s="4"/>
    </row>
    <row r="295" spans="1:28" ht="112" customHeight="1">
      <c r="A295" s="6" t="str">
        <f>'Reported burning'!A295</f>
        <v>27d</v>
      </c>
      <c r="B295" s="6" t="str">
        <f>'Reported burning'!B295</f>
        <v>27d.1</v>
      </c>
      <c r="C295" s="6" t="str">
        <f>'Reported burning'!C295</f>
        <v>Human, deliberate</v>
      </c>
      <c r="D295" s="6" t="str">
        <f>'Reported burning'!D295</f>
        <v>Forest clearance</v>
      </c>
      <c r="E295" s="6" t="str">
        <f>'Reported burning'!E295</f>
        <v>Cropping, Swidden</v>
      </c>
      <c r="F295" s="6" t="str">
        <f>'Reported burning'!F295</f>
        <v>Forest</v>
      </c>
      <c r="G295" s="6" t="str">
        <f>'Reported burning'!G295</f>
        <v>ND</v>
      </c>
      <c r="H295" s="6" t="str">
        <f>'Reported burning'!H295</f>
        <v>Presence</v>
      </c>
      <c r="I295" s="3"/>
      <c r="J295" s="21" t="s">
        <v>2276</v>
      </c>
      <c r="K295" s="103" t="s">
        <v>2276</v>
      </c>
      <c r="L295" s="21" t="s">
        <v>2276</v>
      </c>
      <c r="M295" s="21" t="s">
        <v>2276</v>
      </c>
      <c r="N295" s="21" t="s">
        <v>2276</v>
      </c>
      <c r="O295" s="21" t="s">
        <v>2276</v>
      </c>
      <c r="P295" s="21" t="s">
        <v>2276</v>
      </c>
      <c r="Q295" s="102" t="s">
        <v>2276</v>
      </c>
      <c r="R295" s="102" t="s">
        <v>2276</v>
      </c>
      <c r="S295" s="21" t="s">
        <v>2276</v>
      </c>
      <c r="T295" s="21" t="s">
        <v>2276</v>
      </c>
      <c r="U295" s="21" t="s">
        <v>2276</v>
      </c>
      <c r="V295" s="21" t="s">
        <v>2276</v>
      </c>
      <c r="W295" s="21" t="s">
        <v>2276</v>
      </c>
      <c r="X295" s="3" t="s">
        <v>2276</v>
      </c>
      <c r="Y295" s="3" t="s">
        <v>2276</v>
      </c>
      <c r="Z295" s="3" t="s">
        <v>2276</v>
      </c>
      <c r="AA295" s="4"/>
      <c r="AB295" s="4"/>
    </row>
    <row r="296" spans="1:28" ht="112" customHeight="1">
      <c r="A296" s="6" t="str">
        <f>'Reported burning'!A296</f>
        <v>27d</v>
      </c>
      <c r="B296" s="6" t="str">
        <f>'Reported burning'!B296</f>
        <v>27d.2</v>
      </c>
      <c r="C296" s="6" t="str">
        <f>'Reported burning'!C296</f>
        <v>Human, deliberate</v>
      </c>
      <c r="D296" s="6" t="str">
        <f>'Reported burning'!D296</f>
        <v>Crop field preparation</v>
      </c>
      <c r="E296" s="6" t="str">
        <f>'Reported burning'!E296</f>
        <v>Cropping, Swidden</v>
      </c>
      <c r="F296" s="6" t="str">
        <f>'Reported burning'!F296</f>
        <v>Secondary Vegetation</v>
      </c>
      <c r="G296" s="6" t="str">
        <f>'Reported burning'!G296</f>
        <v>ND</v>
      </c>
      <c r="H296" s="6" t="str">
        <f>'Reported burning'!H296</f>
        <v>Presence</v>
      </c>
      <c r="I296" s="3"/>
      <c r="J296" s="21" t="s">
        <v>2276</v>
      </c>
      <c r="K296" s="103" t="s">
        <v>2276</v>
      </c>
      <c r="L296" s="21" t="s">
        <v>2276</v>
      </c>
      <c r="M296" s="21" t="s">
        <v>2276</v>
      </c>
      <c r="N296" s="21" t="s">
        <v>2276</v>
      </c>
      <c r="O296" s="21" t="s">
        <v>2276</v>
      </c>
      <c r="P296" s="21" t="s">
        <v>2276</v>
      </c>
      <c r="Q296" s="102" t="s">
        <v>2276</v>
      </c>
      <c r="R296" s="102" t="s">
        <v>2276</v>
      </c>
      <c r="S296" s="21" t="s">
        <v>2276</v>
      </c>
      <c r="T296" s="21" t="s">
        <v>2276</v>
      </c>
      <c r="U296" s="21" t="s">
        <v>2276</v>
      </c>
      <c r="V296" s="21" t="s">
        <v>2276</v>
      </c>
      <c r="W296" s="21" t="s">
        <v>2276</v>
      </c>
      <c r="X296" s="3" t="s">
        <v>2276</v>
      </c>
      <c r="Y296" s="3" t="s">
        <v>2276</v>
      </c>
      <c r="Z296" s="3" t="s">
        <v>2276</v>
      </c>
      <c r="AA296" s="4"/>
      <c r="AB296" s="4"/>
    </row>
    <row r="297" spans="1:28" ht="112" customHeight="1">
      <c r="A297" s="6" t="str">
        <f>'Reported burning'!A297</f>
        <v>27e</v>
      </c>
      <c r="B297" s="6" t="str">
        <f>'Reported burning'!B297</f>
        <v>27e.1</v>
      </c>
      <c r="C297" s="6" t="str">
        <f>'Reported burning'!C297</f>
        <v>Human, deliberate</v>
      </c>
      <c r="D297" s="6" t="str">
        <f>'Reported burning'!D297</f>
        <v>Forest clearance</v>
      </c>
      <c r="E297" s="6" t="str">
        <f>'Reported burning'!E297</f>
        <v>Cropping, Monoculture, Subsistence-oriented</v>
      </c>
      <c r="F297" s="6" t="str">
        <f>'Reported burning'!F297</f>
        <v>Forest</v>
      </c>
      <c r="G297" s="6" t="str">
        <f>'Reported burning'!G297</f>
        <v>ND</v>
      </c>
      <c r="H297" s="6" t="str">
        <f>'Reported burning'!H297</f>
        <v>Presence</v>
      </c>
      <c r="I297" s="3"/>
      <c r="J297" s="21" t="s">
        <v>2276</v>
      </c>
      <c r="K297" s="103" t="s">
        <v>2276</v>
      </c>
      <c r="L297" s="21" t="s">
        <v>2276</v>
      </c>
      <c r="M297" s="21" t="s">
        <v>2276</v>
      </c>
      <c r="N297" s="21" t="s">
        <v>2276</v>
      </c>
      <c r="O297" s="21" t="s">
        <v>2276</v>
      </c>
      <c r="P297" s="21" t="s">
        <v>2276</v>
      </c>
      <c r="Q297" s="102" t="s">
        <v>2276</v>
      </c>
      <c r="R297" s="102" t="s">
        <v>2276</v>
      </c>
      <c r="S297" s="21" t="s">
        <v>2276</v>
      </c>
      <c r="T297" s="21" t="s">
        <v>2276</v>
      </c>
      <c r="U297" s="21" t="s">
        <v>2276</v>
      </c>
      <c r="V297" s="21" t="s">
        <v>2276</v>
      </c>
      <c r="W297" s="21" t="s">
        <v>2276</v>
      </c>
      <c r="X297" s="3" t="s">
        <v>2276</v>
      </c>
      <c r="Y297" s="3" t="s">
        <v>2276</v>
      </c>
      <c r="Z297" s="3" t="s">
        <v>2276</v>
      </c>
      <c r="AA297" s="4"/>
      <c r="AB297" s="4"/>
    </row>
    <row r="298" spans="1:28" ht="112" customHeight="1">
      <c r="A298" s="6" t="str">
        <f>'Reported burning'!A298</f>
        <v>27f</v>
      </c>
      <c r="B298" s="6" t="str">
        <f>'Reported burning'!B298</f>
        <v>27f.1</v>
      </c>
      <c r="C298" s="6" t="str">
        <f>'Reported burning'!C298</f>
        <v>Human, deliberate</v>
      </c>
      <c r="D298" s="6" t="str">
        <f>'Reported burning'!D298</f>
        <v>Forest clearance</v>
      </c>
      <c r="E298" s="6" t="str">
        <f>'Reported burning'!E298</f>
        <v>Cropping, Swidden</v>
      </c>
      <c r="F298" s="6" t="str">
        <f>'Reported burning'!F298</f>
        <v>Forest</v>
      </c>
      <c r="G298" s="6" t="str">
        <f>'Reported burning'!G298</f>
        <v>ND</v>
      </c>
      <c r="H298" s="6" t="str">
        <f>'Reported burning'!H298</f>
        <v>Presence</v>
      </c>
      <c r="I298" s="3"/>
      <c r="J298" s="21" t="s">
        <v>2276</v>
      </c>
      <c r="K298" s="103" t="s">
        <v>2276</v>
      </c>
      <c r="L298" s="21" t="s">
        <v>2276</v>
      </c>
      <c r="M298" s="21" t="s">
        <v>2276</v>
      </c>
      <c r="N298" s="21" t="s">
        <v>2276</v>
      </c>
      <c r="O298" s="21" t="s">
        <v>2276</v>
      </c>
      <c r="P298" s="21" t="s">
        <v>2276</v>
      </c>
      <c r="Q298" s="102" t="s">
        <v>2276</v>
      </c>
      <c r="R298" s="102" t="s">
        <v>2276</v>
      </c>
      <c r="S298" s="21" t="s">
        <v>2276</v>
      </c>
      <c r="T298" s="21" t="s">
        <v>2276</v>
      </c>
      <c r="U298" s="21" t="s">
        <v>2276</v>
      </c>
      <c r="V298" s="21" t="s">
        <v>2276</v>
      </c>
      <c r="W298" s="21" t="s">
        <v>2276</v>
      </c>
      <c r="X298" s="3" t="s">
        <v>2276</v>
      </c>
      <c r="Y298" s="3" t="s">
        <v>2276</v>
      </c>
      <c r="Z298" s="3" t="s">
        <v>2276</v>
      </c>
      <c r="AA298" s="4"/>
      <c r="AB298" s="4"/>
    </row>
    <row r="299" spans="1:28" ht="112" customHeight="1">
      <c r="A299" s="6" t="str">
        <f>'Reported burning'!A299</f>
        <v>27f</v>
      </c>
      <c r="B299" s="6" t="str">
        <f>'Reported burning'!B299</f>
        <v>27f.2</v>
      </c>
      <c r="C299" s="6" t="str">
        <f>'Reported burning'!C299</f>
        <v>Human, deliberate</v>
      </c>
      <c r="D299" s="6" t="str">
        <f>'Reported burning'!D299</f>
        <v>Crop field preparation</v>
      </c>
      <c r="E299" s="6" t="str">
        <f>'Reported burning'!E299</f>
        <v>Cropping, Swidden</v>
      </c>
      <c r="F299" s="6" t="str">
        <f>'Reported burning'!F299</f>
        <v>Secondary Vegetation</v>
      </c>
      <c r="G299" s="6" t="str">
        <f>'Reported burning'!G299</f>
        <v>ND</v>
      </c>
      <c r="H299" s="6" t="str">
        <f>'Reported burning'!H299</f>
        <v>Presence</v>
      </c>
      <c r="I299" s="3"/>
      <c r="J299" s="21" t="s">
        <v>2276</v>
      </c>
      <c r="K299" s="103" t="s">
        <v>2276</v>
      </c>
      <c r="L299" s="21" t="s">
        <v>2276</v>
      </c>
      <c r="M299" s="21" t="s">
        <v>2276</v>
      </c>
      <c r="N299" s="21" t="s">
        <v>2276</v>
      </c>
      <c r="O299" s="21" t="s">
        <v>2276</v>
      </c>
      <c r="P299" s="21" t="s">
        <v>2276</v>
      </c>
      <c r="Q299" s="102" t="s">
        <v>2276</v>
      </c>
      <c r="R299" s="102" t="s">
        <v>2276</v>
      </c>
      <c r="S299" s="21" t="s">
        <v>2276</v>
      </c>
      <c r="T299" s="21" t="s">
        <v>2276</v>
      </c>
      <c r="U299" s="21" t="s">
        <v>2276</v>
      </c>
      <c r="V299" s="21" t="s">
        <v>2276</v>
      </c>
      <c r="W299" s="21" t="s">
        <v>2276</v>
      </c>
      <c r="X299" s="3" t="s">
        <v>2276</v>
      </c>
      <c r="Y299" s="3" t="s">
        <v>2276</v>
      </c>
      <c r="Z299" s="3" t="s">
        <v>2276</v>
      </c>
      <c r="AA299" s="4"/>
      <c r="AB299" s="4"/>
    </row>
    <row r="300" spans="1:28" ht="112" customHeight="1">
      <c r="A300" s="6" t="str">
        <f>'Reported burning'!A300</f>
        <v>27g</v>
      </c>
      <c r="B300" s="6" t="str">
        <f>'Reported burning'!B300</f>
        <v>27g.1</v>
      </c>
      <c r="C300" s="6" t="str">
        <f>'Reported burning'!C300</f>
        <v>Human, deliberate</v>
      </c>
      <c r="D300" s="6" t="str">
        <f>'Reported burning'!D300</f>
        <v>Forest clearance</v>
      </c>
      <c r="E300" s="6" t="str">
        <f>'Reported burning'!E300</f>
        <v>Cropping, Swidden</v>
      </c>
      <c r="F300" s="6" t="str">
        <f>'Reported burning'!F300</f>
        <v>Forest</v>
      </c>
      <c r="G300" s="6" t="str">
        <f>'Reported burning'!G300</f>
        <v>ND</v>
      </c>
      <c r="H300" s="6" t="str">
        <f>'Reported burning'!H300</f>
        <v>Presence</v>
      </c>
      <c r="I300" s="3"/>
      <c r="J300" s="21" t="s">
        <v>2276</v>
      </c>
      <c r="K300" s="103" t="s">
        <v>2276</v>
      </c>
      <c r="L300" s="21" t="s">
        <v>2276</v>
      </c>
      <c r="M300" s="21" t="s">
        <v>2276</v>
      </c>
      <c r="N300" s="21" t="s">
        <v>2276</v>
      </c>
      <c r="O300" s="21" t="s">
        <v>2276</v>
      </c>
      <c r="P300" s="21" t="s">
        <v>2276</v>
      </c>
      <c r="Q300" s="102" t="s">
        <v>2276</v>
      </c>
      <c r="R300" s="102" t="s">
        <v>2276</v>
      </c>
      <c r="S300" s="21" t="s">
        <v>2276</v>
      </c>
      <c r="T300" s="21" t="s">
        <v>2276</v>
      </c>
      <c r="U300" s="21" t="s">
        <v>2276</v>
      </c>
      <c r="V300" s="21" t="s">
        <v>2276</v>
      </c>
      <c r="W300" s="21" t="s">
        <v>2276</v>
      </c>
      <c r="X300" s="3" t="s">
        <v>2276</v>
      </c>
      <c r="Y300" s="3" t="s">
        <v>2276</v>
      </c>
      <c r="Z300" s="3" t="s">
        <v>2276</v>
      </c>
      <c r="AA300" s="4"/>
      <c r="AB300" s="4"/>
    </row>
    <row r="301" spans="1:28" ht="112" customHeight="1">
      <c r="A301" s="6" t="str">
        <f>'Reported burning'!A301</f>
        <v>27g</v>
      </c>
      <c r="B301" s="6" t="str">
        <f>'Reported burning'!B301</f>
        <v>27g.2</v>
      </c>
      <c r="C301" s="6" t="str">
        <f>'Reported burning'!C301</f>
        <v>Human, deliberate</v>
      </c>
      <c r="D301" s="6" t="str">
        <f>'Reported burning'!D301</f>
        <v>Crop field preparation</v>
      </c>
      <c r="E301" s="6" t="str">
        <f>'Reported burning'!E301</f>
        <v>Cropping, Swidden</v>
      </c>
      <c r="F301" s="6" t="str">
        <f>'Reported burning'!F301</f>
        <v>Secondary Vegetation</v>
      </c>
      <c r="G301" s="6" t="str">
        <f>'Reported burning'!G301</f>
        <v>ND</v>
      </c>
      <c r="H301" s="6" t="str">
        <f>'Reported burning'!H301</f>
        <v>Presence</v>
      </c>
      <c r="I301" s="3"/>
      <c r="J301" s="21" t="s">
        <v>2276</v>
      </c>
      <c r="K301" s="103" t="s">
        <v>2276</v>
      </c>
      <c r="L301" s="21" t="s">
        <v>2276</v>
      </c>
      <c r="M301" s="21" t="s">
        <v>2276</v>
      </c>
      <c r="N301" s="21" t="s">
        <v>2276</v>
      </c>
      <c r="O301" s="21" t="s">
        <v>2276</v>
      </c>
      <c r="P301" s="21" t="s">
        <v>2276</v>
      </c>
      <c r="Q301" s="102" t="s">
        <v>2276</v>
      </c>
      <c r="R301" s="102" t="s">
        <v>2276</v>
      </c>
      <c r="S301" s="21" t="s">
        <v>2276</v>
      </c>
      <c r="T301" s="21" t="s">
        <v>2276</v>
      </c>
      <c r="U301" s="21" t="s">
        <v>2276</v>
      </c>
      <c r="V301" s="21" t="s">
        <v>2276</v>
      </c>
      <c r="W301" s="21" t="s">
        <v>2276</v>
      </c>
      <c r="X301" s="3" t="s">
        <v>2276</v>
      </c>
      <c r="Y301" s="3" t="s">
        <v>2276</v>
      </c>
      <c r="Z301" s="3" t="s">
        <v>2276</v>
      </c>
      <c r="AA301" s="4"/>
      <c r="AB301" s="4"/>
    </row>
    <row r="302" spans="1:28" ht="112" customHeight="1">
      <c r="A302" s="6" t="str">
        <f>'Reported burning'!A302</f>
        <v>27h</v>
      </c>
      <c r="B302" s="6" t="str">
        <f>'Reported burning'!B302</f>
        <v>27h.1</v>
      </c>
      <c r="C302" s="6" t="str">
        <f>'Reported burning'!C302</f>
        <v>Human, deliberate</v>
      </c>
      <c r="D302" s="6" t="str">
        <f>'Reported burning'!D302</f>
        <v>Forest clearance</v>
      </c>
      <c r="E302" s="6" t="str">
        <f>'Reported burning'!E302</f>
        <v>Cropping, Swidden</v>
      </c>
      <c r="F302" s="6" t="str">
        <f>'Reported burning'!F302</f>
        <v>Forest</v>
      </c>
      <c r="G302" s="6" t="str">
        <f>'Reported burning'!G302</f>
        <v>ND</v>
      </c>
      <c r="H302" s="6" t="str">
        <f>'Reported burning'!H302</f>
        <v>Presence</v>
      </c>
      <c r="I302" s="3"/>
      <c r="J302" s="21" t="s">
        <v>2276</v>
      </c>
      <c r="K302" s="103" t="s">
        <v>2276</v>
      </c>
      <c r="L302" s="21" t="s">
        <v>2276</v>
      </c>
      <c r="M302" s="21" t="s">
        <v>2276</v>
      </c>
      <c r="N302" s="21" t="s">
        <v>2276</v>
      </c>
      <c r="O302" s="21" t="s">
        <v>2276</v>
      </c>
      <c r="P302" s="21" t="s">
        <v>2276</v>
      </c>
      <c r="Q302" s="102" t="s">
        <v>2276</v>
      </c>
      <c r="R302" s="102" t="s">
        <v>2276</v>
      </c>
      <c r="S302" s="21" t="s">
        <v>2276</v>
      </c>
      <c r="T302" s="21" t="s">
        <v>2276</v>
      </c>
      <c r="U302" s="21" t="s">
        <v>2276</v>
      </c>
      <c r="V302" s="21" t="s">
        <v>2276</v>
      </c>
      <c r="W302" s="21" t="s">
        <v>2276</v>
      </c>
      <c r="X302" s="3" t="s">
        <v>2276</v>
      </c>
      <c r="Y302" s="3" t="s">
        <v>2276</v>
      </c>
      <c r="Z302" s="3" t="s">
        <v>2276</v>
      </c>
      <c r="AA302" s="4"/>
      <c r="AB302" s="4"/>
    </row>
    <row r="303" spans="1:28" ht="112" customHeight="1">
      <c r="A303" s="6" t="str">
        <f>'Reported burning'!A303</f>
        <v>27h</v>
      </c>
      <c r="B303" s="6" t="str">
        <f>'Reported burning'!B303</f>
        <v>27h.2</v>
      </c>
      <c r="C303" s="6" t="str">
        <f>'Reported burning'!C303</f>
        <v>Human, deliberate</v>
      </c>
      <c r="D303" s="6" t="str">
        <f>'Reported burning'!D303</f>
        <v>Crop field preparation</v>
      </c>
      <c r="E303" s="6" t="str">
        <f>'Reported burning'!E303</f>
        <v>Cropping, Swidden</v>
      </c>
      <c r="F303" s="6" t="str">
        <f>'Reported burning'!F303</f>
        <v>Secondary Vegetation</v>
      </c>
      <c r="G303" s="6" t="str">
        <f>'Reported burning'!G303</f>
        <v>ND</v>
      </c>
      <c r="H303" s="6" t="str">
        <f>'Reported burning'!H303</f>
        <v>Presence</v>
      </c>
      <c r="I303" s="3"/>
      <c r="J303" s="21" t="s">
        <v>2276</v>
      </c>
      <c r="K303" s="103" t="s">
        <v>2276</v>
      </c>
      <c r="L303" s="21" t="s">
        <v>2276</v>
      </c>
      <c r="M303" s="21" t="s">
        <v>2276</v>
      </c>
      <c r="N303" s="21" t="s">
        <v>2276</v>
      </c>
      <c r="O303" s="21" t="s">
        <v>2276</v>
      </c>
      <c r="P303" s="21" t="s">
        <v>2276</v>
      </c>
      <c r="Q303" s="102" t="s">
        <v>2276</v>
      </c>
      <c r="R303" s="102" t="s">
        <v>2276</v>
      </c>
      <c r="S303" s="21" t="s">
        <v>2276</v>
      </c>
      <c r="T303" s="21" t="s">
        <v>2276</v>
      </c>
      <c r="U303" s="21" t="s">
        <v>2276</v>
      </c>
      <c r="V303" s="21" t="s">
        <v>2276</v>
      </c>
      <c r="W303" s="21" t="s">
        <v>2276</v>
      </c>
      <c r="X303" s="3" t="s">
        <v>2276</v>
      </c>
      <c r="Y303" s="3" t="s">
        <v>2276</v>
      </c>
      <c r="Z303" s="3" t="s">
        <v>2276</v>
      </c>
      <c r="AA303" s="4"/>
      <c r="AB303" s="4"/>
    </row>
    <row r="304" spans="1:28" ht="112" customHeight="1">
      <c r="A304" s="6" t="str">
        <f>'Reported burning'!A304</f>
        <v>27i</v>
      </c>
      <c r="B304" s="6" t="str">
        <f>'Reported burning'!B304</f>
        <v>27i.1</v>
      </c>
      <c r="C304" s="6" t="str">
        <f>'Reported burning'!C304</f>
        <v>Human, deliberate</v>
      </c>
      <c r="D304" s="6" t="str">
        <f>'Reported burning'!D304</f>
        <v>Forest clearance</v>
      </c>
      <c r="E304" s="6" t="str">
        <f>'Reported burning'!E304</f>
        <v>Cropping, Swidden</v>
      </c>
      <c r="F304" s="6" t="str">
        <f>'Reported burning'!F304</f>
        <v>Forest</v>
      </c>
      <c r="G304" s="6" t="str">
        <f>'Reported burning'!G304</f>
        <v>ND</v>
      </c>
      <c r="H304" s="6" t="str">
        <f>'Reported burning'!H304</f>
        <v>Presence</v>
      </c>
      <c r="I304" s="3"/>
      <c r="J304" s="21" t="s">
        <v>2276</v>
      </c>
      <c r="K304" s="103" t="s">
        <v>2276</v>
      </c>
      <c r="L304" s="21" t="s">
        <v>2276</v>
      </c>
      <c r="M304" s="21" t="s">
        <v>2276</v>
      </c>
      <c r="N304" s="21" t="s">
        <v>2276</v>
      </c>
      <c r="O304" s="21" t="s">
        <v>2276</v>
      </c>
      <c r="P304" s="21" t="s">
        <v>2276</v>
      </c>
      <c r="Q304" s="102" t="s">
        <v>2276</v>
      </c>
      <c r="R304" s="102" t="s">
        <v>2276</v>
      </c>
      <c r="S304" s="21" t="s">
        <v>2276</v>
      </c>
      <c r="T304" s="21" t="s">
        <v>2276</v>
      </c>
      <c r="U304" s="21" t="s">
        <v>2276</v>
      </c>
      <c r="V304" s="21" t="s">
        <v>2276</v>
      </c>
      <c r="W304" s="21" t="s">
        <v>2276</v>
      </c>
      <c r="X304" s="3" t="s">
        <v>2276</v>
      </c>
      <c r="Y304" s="3" t="s">
        <v>2276</v>
      </c>
      <c r="Z304" s="3" t="s">
        <v>2276</v>
      </c>
      <c r="AA304" s="4"/>
      <c r="AB304" s="4"/>
    </row>
    <row r="305" spans="1:28" ht="112" customHeight="1">
      <c r="A305" s="6" t="str">
        <f>'Reported burning'!A305</f>
        <v>27i</v>
      </c>
      <c r="B305" s="6" t="str">
        <f>'Reported burning'!B305</f>
        <v>27i.2</v>
      </c>
      <c r="C305" s="6" t="str">
        <f>'Reported burning'!C305</f>
        <v>Human, deliberate</v>
      </c>
      <c r="D305" s="6" t="str">
        <f>'Reported burning'!D305</f>
        <v>Crop field preparation</v>
      </c>
      <c r="E305" s="6" t="str">
        <f>'Reported burning'!E305</f>
        <v>Cropping, Swidden</v>
      </c>
      <c r="F305" s="6" t="str">
        <f>'Reported burning'!F305</f>
        <v>Secondary Vegetation</v>
      </c>
      <c r="G305" s="6" t="str">
        <f>'Reported burning'!G305</f>
        <v>ND</v>
      </c>
      <c r="H305" s="6" t="str">
        <f>'Reported burning'!H305</f>
        <v>Presence</v>
      </c>
      <c r="I305" s="3"/>
      <c r="J305" s="21" t="s">
        <v>2276</v>
      </c>
      <c r="K305" s="103" t="s">
        <v>2276</v>
      </c>
      <c r="L305" s="21" t="s">
        <v>2276</v>
      </c>
      <c r="M305" s="21" t="s">
        <v>2276</v>
      </c>
      <c r="N305" s="21" t="s">
        <v>2276</v>
      </c>
      <c r="O305" s="21" t="s">
        <v>2276</v>
      </c>
      <c r="P305" s="21" t="s">
        <v>2276</v>
      </c>
      <c r="Q305" s="102" t="s">
        <v>2276</v>
      </c>
      <c r="R305" s="102" t="s">
        <v>2276</v>
      </c>
      <c r="S305" s="21" t="s">
        <v>2276</v>
      </c>
      <c r="T305" s="21" t="s">
        <v>2276</v>
      </c>
      <c r="U305" s="21" t="s">
        <v>2276</v>
      </c>
      <c r="V305" s="21" t="s">
        <v>2276</v>
      </c>
      <c r="W305" s="21" t="s">
        <v>2276</v>
      </c>
      <c r="X305" s="3" t="s">
        <v>2276</v>
      </c>
      <c r="Y305" s="3" t="s">
        <v>2276</v>
      </c>
      <c r="Z305" s="3" t="s">
        <v>2276</v>
      </c>
      <c r="AA305" s="4"/>
      <c r="AB305" s="4"/>
    </row>
    <row r="306" spans="1:28" ht="112" customHeight="1">
      <c r="A306" s="6" t="str">
        <f>'Reported burning'!A306</f>
        <v>27j</v>
      </c>
      <c r="B306" s="6" t="str">
        <f>'Reported burning'!B306</f>
        <v>27j.1</v>
      </c>
      <c r="C306" s="6" t="str">
        <f>'Reported burning'!C306</f>
        <v>Human, deliberate</v>
      </c>
      <c r="D306" s="6" t="str">
        <f>'Reported burning'!D306</f>
        <v>Forest clearance</v>
      </c>
      <c r="E306" s="6" t="str">
        <f>'Reported burning'!E306</f>
        <v>Cropping, Swidden</v>
      </c>
      <c r="F306" s="6" t="str">
        <f>'Reported burning'!F306</f>
        <v>Forest</v>
      </c>
      <c r="G306" s="6" t="str">
        <f>'Reported burning'!G306</f>
        <v>ND</v>
      </c>
      <c r="H306" s="6" t="str">
        <f>'Reported burning'!H306</f>
        <v>Presence</v>
      </c>
      <c r="I306" s="3"/>
      <c r="J306" s="21" t="s">
        <v>2276</v>
      </c>
      <c r="K306" s="103" t="s">
        <v>2276</v>
      </c>
      <c r="L306" s="21" t="s">
        <v>2276</v>
      </c>
      <c r="M306" s="21" t="s">
        <v>2276</v>
      </c>
      <c r="N306" s="21" t="s">
        <v>2276</v>
      </c>
      <c r="O306" s="21" t="s">
        <v>2276</v>
      </c>
      <c r="P306" s="21" t="s">
        <v>2276</v>
      </c>
      <c r="Q306" s="102" t="s">
        <v>2276</v>
      </c>
      <c r="R306" s="102" t="s">
        <v>2276</v>
      </c>
      <c r="S306" s="21" t="s">
        <v>2276</v>
      </c>
      <c r="T306" s="21" t="s">
        <v>2276</v>
      </c>
      <c r="U306" s="21" t="s">
        <v>2276</v>
      </c>
      <c r="V306" s="21" t="s">
        <v>2276</v>
      </c>
      <c r="W306" s="21" t="s">
        <v>2276</v>
      </c>
      <c r="X306" s="3" t="s">
        <v>2276</v>
      </c>
      <c r="Y306" s="3" t="s">
        <v>2276</v>
      </c>
      <c r="Z306" s="3" t="s">
        <v>2276</v>
      </c>
      <c r="AA306" s="4"/>
      <c r="AB306" s="4"/>
    </row>
    <row r="307" spans="1:28" ht="112" customHeight="1">
      <c r="A307" s="6" t="str">
        <f>'Reported burning'!A307</f>
        <v>27j</v>
      </c>
      <c r="B307" s="6" t="str">
        <f>'Reported burning'!B307</f>
        <v>27j.2</v>
      </c>
      <c r="C307" s="6" t="str">
        <f>'Reported burning'!C307</f>
        <v>Human, deliberate</v>
      </c>
      <c r="D307" s="6" t="str">
        <f>'Reported burning'!D307</f>
        <v>Crop field preparation</v>
      </c>
      <c r="E307" s="6" t="str">
        <f>'Reported burning'!E307</f>
        <v>Cropping, Swidden</v>
      </c>
      <c r="F307" s="6" t="str">
        <f>'Reported burning'!F307</f>
        <v>Secondary Vegetation</v>
      </c>
      <c r="G307" s="6" t="str">
        <f>'Reported burning'!G307</f>
        <v>ND</v>
      </c>
      <c r="H307" s="6" t="str">
        <f>'Reported burning'!H307</f>
        <v>Presence</v>
      </c>
      <c r="I307" s="3"/>
      <c r="J307" s="21" t="s">
        <v>2276</v>
      </c>
      <c r="K307" s="103" t="s">
        <v>2276</v>
      </c>
      <c r="L307" s="21" t="s">
        <v>2276</v>
      </c>
      <c r="M307" s="21" t="s">
        <v>2276</v>
      </c>
      <c r="N307" s="21" t="s">
        <v>2276</v>
      </c>
      <c r="O307" s="21" t="s">
        <v>2276</v>
      </c>
      <c r="P307" s="21" t="s">
        <v>2276</v>
      </c>
      <c r="Q307" s="102" t="s">
        <v>2276</v>
      </c>
      <c r="R307" s="102" t="s">
        <v>2276</v>
      </c>
      <c r="S307" s="21" t="s">
        <v>2276</v>
      </c>
      <c r="T307" s="21" t="s">
        <v>2276</v>
      </c>
      <c r="U307" s="21" t="s">
        <v>2276</v>
      </c>
      <c r="V307" s="21" t="s">
        <v>2276</v>
      </c>
      <c r="W307" s="21" t="s">
        <v>2276</v>
      </c>
      <c r="X307" s="3" t="s">
        <v>2276</v>
      </c>
      <c r="Y307" s="3" t="s">
        <v>2276</v>
      </c>
      <c r="Z307" s="3" t="s">
        <v>2276</v>
      </c>
      <c r="AA307" s="4"/>
      <c r="AB307" s="4"/>
    </row>
    <row r="308" spans="1:28" ht="112" customHeight="1">
      <c r="A308" s="6" t="str">
        <f>'Reported burning'!A308</f>
        <v>27k</v>
      </c>
      <c r="B308" s="6" t="str">
        <f>'Reported burning'!B308</f>
        <v>27k.1</v>
      </c>
      <c r="C308" s="6" t="str">
        <f>'Reported burning'!C308</f>
        <v>Human, deliberate</v>
      </c>
      <c r="D308" s="6" t="str">
        <f>'Reported burning'!D308</f>
        <v>Forest clearance</v>
      </c>
      <c r="E308" s="6" t="str">
        <f>'Reported burning'!E308</f>
        <v>Cropping, Monoculture, Subsistence-oriented</v>
      </c>
      <c r="F308" s="6" t="str">
        <f>'Reported burning'!F308</f>
        <v>Forest</v>
      </c>
      <c r="G308" s="6" t="str">
        <f>'Reported burning'!G308</f>
        <v>ND</v>
      </c>
      <c r="H308" s="6" t="str">
        <f>'Reported burning'!H308</f>
        <v>Presence</v>
      </c>
      <c r="I308" s="3"/>
      <c r="J308" s="21" t="s">
        <v>2276</v>
      </c>
      <c r="K308" s="103" t="s">
        <v>2276</v>
      </c>
      <c r="L308" s="21" t="s">
        <v>2276</v>
      </c>
      <c r="M308" s="21" t="s">
        <v>2276</v>
      </c>
      <c r="N308" s="21" t="s">
        <v>2276</v>
      </c>
      <c r="O308" s="21" t="s">
        <v>2276</v>
      </c>
      <c r="P308" s="21" t="s">
        <v>2276</v>
      </c>
      <c r="Q308" s="102" t="s">
        <v>2276</v>
      </c>
      <c r="R308" s="102" t="s">
        <v>2276</v>
      </c>
      <c r="S308" s="21" t="s">
        <v>2276</v>
      </c>
      <c r="T308" s="21" t="s">
        <v>2276</v>
      </c>
      <c r="U308" s="21" t="s">
        <v>2276</v>
      </c>
      <c r="V308" s="21" t="s">
        <v>2276</v>
      </c>
      <c r="W308" s="21" t="s">
        <v>2276</v>
      </c>
      <c r="X308" s="3" t="s">
        <v>2276</v>
      </c>
      <c r="Y308" s="3" t="s">
        <v>2276</v>
      </c>
      <c r="Z308" s="3" t="s">
        <v>2276</v>
      </c>
      <c r="AA308" s="4"/>
      <c r="AB308" s="4"/>
    </row>
    <row r="309" spans="1:28" ht="112" customHeight="1">
      <c r="A309" s="6" t="str">
        <f>'Reported burning'!A309</f>
        <v>27l</v>
      </c>
      <c r="B309" s="6" t="str">
        <f>'Reported burning'!B309</f>
        <v>27l.1</v>
      </c>
      <c r="C309" s="6" t="str">
        <f>'Reported burning'!C309</f>
        <v>Human, deliberate</v>
      </c>
      <c r="D309" s="6" t="str">
        <f>'Reported burning'!D309</f>
        <v>Forest clearance</v>
      </c>
      <c r="E309" s="6" t="str">
        <f>'Reported burning'!E309</f>
        <v>Cropping, Swidden</v>
      </c>
      <c r="F309" s="6" t="str">
        <f>'Reported burning'!F309</f>
        <v>Forest</v>
      </c>
      <c r="G309" s="6" t="str">
        <f>'Reported burning'!G309</f>
        <v>ND</v>
      </c>
      <c r="H309" s="6" t="str">
        <f>'Reported burning'!H309</f>
        <v>Presence</v>
      </c>
      <c r="I309" s="3"/>
      <c r="J309" s="21" t="s">
        <v>2276</v>
      </c>
      <c r="K309" s="103" t="s">
        <v>2276</v>
      </c>
      <c r="L309" s="21" t="s">
        <v>2276</v>
      </c>
      <c r="M309" s="21" t="s">
        <v>2276</v>
      </c>
      <c r="N309" s="21" t="s">
        <v>2276</v>
      </c>
      <c r="O309" s="21" t="s">
        <v>2276</v>
      </c>
      <c r="P309" s="21" t="s">
        <v>2276</v>
      </c>
      <c r="Q309" s="102" t="s">
        <v>2276</v>
      </c>
      <c r="R309" s="102" t="s">
        <v>2276</v>
      </c>
      <c r="S309" s="21" t="s">
        <v>2276</v>
      </c>
      <c r="T309" s="21" t="s">
        <v>2276</v>
      </c>
      <c r="U309" s="21" t="s">
        <v>2276</v>
      </c>
      <c r="V309" s="21" t="s">
        <v>2276</v>
      </c>
      <c r="W309" s="21" t="s">
        <v>2276</v>
      </c>
      <c r="X309" s="3" t="s">
        <v>2276</v>
      </c>
      <c r="Y309" s="3" t="s">
        <v>2276</v>
      </c>
      <c r="Z309" s="3" t="s">
        <v>2276</v>
      </c>
      <c r="AA309" s="4"/>
      <c r="AB309" s="4"/>
    </row>
    <row r="310" spans="1:28" ht="112" customHeight="1">
      <c r="A310" s="6" t="str">
        <f>'Reported burning'!A310</f>
        <v>27l</v>
      </c>
      <c r="B310" s="6" t="str">
        <f>'Reported burning'!B310</f>
        <v>27l.2</v>
      </c>
      <c r="C310" s="6" t="str">
        <f>'Reported burning'!C310</f>
        <v>Human, deliberate</v>
      </c>
      <c r="D310" s="6" t="str">
        <f>'Reported burning'!D310</f>
        <v>Crop field preparation</v>
      </c>
      <c r="E310" s="6" t="str">
        <f>'Reported burning'!E310</f>
        <v>Cropping, Swidden</v>
      </c>
      <c r="F310" s="6" t="str">
        <f>'Reported burning'!F310</f>
        <v>Secondary Vegetation</v>
      </c>
      <c r="G310" s="6" t="str">
        <f>'Reported burning'!G310</f>
        <v>ND</v>
      </c>
      <c r="H310" s="6" t="str">
        <f>'Reported burning'!H310</f>
        <v>Presence</v>
      </c>
      <c r="I310" s="3"/>
      <c r="J310" s="21" t="s">
        <v>2276</v>
      </c>
      <c r="K310" s="103" t="s">
        <v>2276</v>
      </c>
      <c r="L310" s="21" t="s">
        <v>2276</v>
      </c>
      <c r="M310" s="21" t="s">
        <v>2276</v>
      </c>
      <c r="N310" s="21" t="s">
        <v>2276</v>
      </c>
      <c r="O310" s="21" t="s">
        <v>2276</v>
      </c>
      <c r="P310" s="21" t="s">
        <v>2276</v>
      </c>
      <c r="Q310" s="102" t="s">
        <v>2276</v>
      </c>
      <c r="R310" s="102" t="s">
        <v>2276</v>
      </c>
      <c r="S310" s="21" t="s">
        <v>2276</v>
      </c>
      <c r="T310" s="21" t="s">
        <v>2276</v>
      </c>
      <c r="U310" s="21" t="s">
        <v>2276</v>
      </c>
      <c r="V310" s="21" t="s">
        <v>2276</v>
      </c>
      <c r="W310" s="21" t="s">
        <v>2276</v>
      </c>
      <c r="X310" s="3" t="s">
        <v>2276</v>
      </c>
      <c r="Y310" s="3" t="s">
        <v>2276</v>
      </c>
      <c r="Z310" s="3" t="s">
        <v>2276</v>
      </c>
      <c r="AA310" s="4"/>
      <c r="AB310" s="4"/>
    </row>
    <row r="311" spans="1:28" ht="112" customHeight="1">
      <c r="A311" s="6" t="str">
        <f>'Reported burning'!A311</f>
        <v>27m</v>
      </c>
      <c r="B311" s="6" t="str">
        <f>'Reported burning'!B311</f>
        <v>27m.1</v>
      </c>
      <c r="C311" s="6" t="str">
        <f>'Reported burning'!C311</f>
        <v>Human, deliberate</v>
      </c>
      <c r="D311" s="6" t="str">
        <f>'Reported burning'!D311</f>
        <v>Forest clearance</v>
      </c>
      <c r="E311" s="6" t="str">
        <f>'Reported burning'!E311</f>
        <v>Cropping, Monoculture, Subsistence-oriented</v>
      </c>
      <c r="F311" s="6" t="str">
        <f>'Reported burning'!F311</f>
        <v>Forest</v>
      </c>
      <c r="G311" s="6" t="str">
        <f>'Reported burning'!G311</f>
        <v>ND</v>
      </c>
      <c r="H311" s="6" t="str">
        <f>'Reported burning'!H311</f>
        <v>Presence</v>
      </c>
      <c r="I311" s="3"/>
      <c r="J311" s="21" t="s">
        <v>2276</v>
      </c>
      <c r="K311" s="103" t="s">
        <v>2276</v>
      </c>
      <c r="L311" s="21" t="s">
        <v>2276</v>
      </c>
      <c r="M311" s="21" t="s">
        <v>2276</v>
      </c>
      <c r="N311" s="21" t="s">
        <v>2276</v>
      </c>
      <c r="O311" s="21" t="s">
        <v>2276</v>
      </c>
      <c r="P311" s="21" t="s">
        <v>2276</v>
      </c>
      <c r="Q311" s="102" t="s">
        <v>2276</v>
      </c>
      <c r="R311" s="102" t="s">
        <v>2276</v>
      </c>
      <c r="S311" s="21" t="s">
        <v>2276</v>
      </c>
      <c r="T311" s="21" t="s">
        <v>2276</v>
      </c>
      <c r="U311" s="21" t="s">
        <v>2276</v>
      </c>
      <c r="V311" s="21" t="s">
        <v>2276</v>
      </c>
      <c r="W311" s="21" t="s">
        <v>2276</v>
      </c>
      <c r="X311" s="3" t="s">
        <v>2276</v>
      </c>
      <c r="Y311" s="3" t="s">
        <v>2276</v>
      </c>
      <c r="Z311" s="3" t="s">
        <v>2276</v>
      </c>
      <c r="AA311" s="4"/>
      <c r="AB311" s="4"/>
    </row>
    <row r="312" spans="1:28" ht="112" customHeight="1">
      <c r="A312" s="6" t="str">
        <f>'Reported burning'!A312</f>
        <v>27m</v>
      </c>
      <c r="B312" s="6" t="str">
        <f>'Reported burning'!B312</f>
        <v>27m.2</v>
      </c>
      <c r="C312" s="6" t="str">
        <f>'Reported burning'!C312</f>
        <v>Human, deliberate</v>
      </c>
      <c r="D312" s="6" t="str">
        <f>'Reported burning'!D312</f>
        <v>Forest clearance</v>
      </c>
      <c r="E312" s="6" t="str">
        <f>'Reported burning'!E312</f>
        <v>Cropping, Swidden</v>
      </c>
      <c r="F312" s="6" t="str">
        <f>'Reported burning'!F312</f>
        <v>Forest</v>
      </c>
      <c r="G312" s="6" t="str">
        <f>'Reported burning'!G312</f>
        <v>ND</v>
      </c>
      <c r="H312" s="6" t="str">
        <f>'Reported burning'!H312</f>
        <v>Presence</v>
      </c>
      <c r="I312" s="3"/>
      <c r="J312" s="21" t="s">
        <v>2276</v>
      </c>
      <c r="K312" s="103" t="s">
        <v>2276</v>
      </c>
      <c r="L312" s="21" t="s">
        <v>2276</v>
      </c>
      <c r="M312" s="21" t="s">
        <v>2276</v>
      </c>
      <c r="N312" s="21" t="s">
        <v>2276</v>
      </c>
      <c r="O312" s="21" t="s">
        <v>2276</v>
      </c>
      <c r="P312" s="21" t="s">
        <v>2276</v>
      </c>
      <c r="Q312" s="102" t="s">
        <v>2276</v>
      </c>
      <c r="R312" s="102" t="s">
        <v>2276</v>
      </c>
      <c r="S312" s="21" t="s">
        <v>2276</v>
      </c>
      <c r="T312" s="21" t="s">
        <v>2276</v>
      </c>
      <c r="U312" s="21" t="s">
        <v>2276</v>
      </c>
      <c r="V312" s="21" t="s">
        <v>2276</v>
      </c>
      <c r="W312" s="21" t="s">
        <v>2276</v>
      </c>
      <c r="X312" s="3" t="s">
        <v>2276</v>
      </c>
      <c r="Y312" s="3" t="s">
        <v>2276</v>
      </c>
      <c r="Z312" s="3" t="s">
        <v>2276</v>
      </c>
      <c r="AA312" s="4"/>
      <c r="AB312" s="4"/>
    </row>
    <row r="313" spans="1:28" ht="112" customHeight="1">
      <c r="A313" s="6" t="str">
        <f>'Reported burning'!A313</f>
        <v>27m</v>
      </c>
      <c r="B313" s="6" t="str">
        <f>'Reported burning'!B313</f>
        <v>27m.3</v>
      </c>
      <c r="C313" s="6" t="str">
        <f>'Reported burning'!C313</f>
        <v>Human, deliberate</v>
      </c>
      <c r="D313" s="6" t="str">
        <f>'Reported burning'!D313</f>
        <v>Crop field preparation</v>
      </c>
      <c r="E313" s="6" t="str">
        <f>'Reported burning'!E313</f>
        <v>Cropping, Swidden</v>
      </c>
      <c r="F313" s="6" t="str">
        <f>'Reported burning'!F313</f>
        <v>Secondary Vegetation</v>
      </c>
      <c r="G313" s="6" t="str">
        <f>'Reported burning'!G313</f>
        <v>ND</v>
      </c>
      <c r="H313" s="6" t="str">
        <f>'Reported burning'!H313</f>
        <v>Presence</v>
      </c>
      <c r="I313" s="3"/>
      <c r="J313" s="21" t="s">
        <v>2276</v>
      </c>
      <c r="K313" s="103" t="s">
        <v>2276</v>
      </c>
      <c r="L313" s="21" t="s">
        <v>2276</v>
      </c>
      <c r="M313" s="21" t="s">
        <v>2276</v>
      </c>
      <c r="N313" s="21" t="s">
        <v>2276</v>
      </c>
      <c r="O313" s="21" t="s">
        <v>2276</v>
      </c>
      <c r="P313" s="21" t="s">
        <v>2276</v>
      </c>
      <c r="Q313" s="102" t="s">
        <v>2276</v>
      </c>
      <c r="R313" s="102" t="s">
        <v>2276</v>
      </c>
      <c r="S313" s="21" t="s">
        <v>2276</v>
      </c>
      <c r="T313" s="21" t="s">
        <v>2276</v>
      </c>
      <c r="U313" s="21" t="s">
        <v>2276</v>
      </c>
      <c r="V313" s="21" t="s">
        <v>2276</v>
      </c>
      <c r="W313" s="21" t="s">
        <v>2276</v>
      </c>
      <c r="X313" s="3" t="s">
        <v>2276</v>
      </c>
      <c r="Y313" s="3" t="s">
        <v>2276</v>
      </c>
      <c r="Z313" s="3" t="s">
        <v>2276</v>
      </c>
      <c r="AA313" s="4"/>
      <c r="AB313" s="4"/>
    </row>
    <row r="314" spans="1:28" ht="112" customHeight="1">
      <c r="A314" s="6" t="str">
        <f>'Reported burning'!A314</f>
        <v>27n</v>
      </c>
      <c r="B314" s="6" t="str">
        <f>'Reported burning'!B314</f>
        <v>27n.1</v>
      </c>
      <c r="C314" s="6" t="str">
        <f>'Reported burning'!C314</f>
        <v>Human, deliberate</v>
      </c>
      <c r="D314" s="6" t="str">
        <f>'Reported burning'!D314</f>
        <v>Forest clearance</v>
      </c>
      <c r="E314" s="6" t="str">
        <f>'Reported burning'!E314</f>
        <v>Cropping, Monoculture, Subsistence-oriented</v>
      </c>
      <c r="F314" s="6" t="str">
        <f>'Reported burning'!F314</f>
        <v>Forest</v>
      </c>
      <c r="G314" s="6" t="str">
        <f>'Reported burning'!G314</f>
        <v>ND</v>
      </c>
      <c r="H314" s="6" t="str">
        <f>'Reported burning'!H314</f>
        <v>Presence</v>
      </c>
      <c r="I314" s="3"/>
      <c r="J314" s="21" t="s">
        <v>2276</v>
      </c>
      <c r="K314" s="103" t="s">
        <v>2276</v>
      </c>
      <c r="L314" s="21" t="s">
        <v>2276</v>
      </c>
      <c r="M314" s="21" t="s">
        <v>2276</v>
      </c>
      <c r="N314" s="21" t="s">
        <v>2276</v>
      </c>
      <c r="O314" s="21" t="s">
        <v>2276</v>
      </c>
      <c r="P314" s="21" t="s">
        <v>2276</v>
      </c>
      <c r="Q314" s="102" t="s">
        <v>2276</v>
      </c>
      <c r="R314" s="102" t="s">
        <v>2276</v>
      </c>
      <c r="S314" s="21" t="s">
        <v>2276</v>
      </c>
      <c r="T314" s="21" t="s">
        <v>2276</v>
      </c>
      <c r="U314" s="21" t="s">
        <v>2276</v>
      </c>
      <c r="V314" s="21" t="s">
        <v>2276</v>
      </c>
      <c r="W314" s="21" t="s">
        <v>2276</v>
      </c>
      <c r="X314" s="3" t="s">
        <v>2276</v>
      </c>
      <c r="Y314" s="3" t="s">
        <v>2276</v>
      </c>
      <c r="Z314" s="3" t="s">
        <v>2276</v>
      </c>
      <c r="AA314" s="4"/>
      <c r="AB314" s="4"/>
    </row>
    <row r="315" spans="1:28" ht="112" customHeight="1">
      <c r="A315" s="6" t="str">
        <f>'Reported burning'!A315</f>
        <v>27o</v>
      </c>
      <c r="B315" s="6" t="str">
        <f>'Reported burning'!B315</f>
        <v>27o.1</v>
      </c>
      <c r="C315" s="6" t="str">
        <f>'Reported burning'!C315</f>
        <v>Human, deliberate</v>
      </c>
      <c r="D315" s="6" t="str">
        <f>'Reported burning'!D315</f>
        <v>Forest clearance</v>
      </c>
      <c r="E315" s="6" t="str">
        <f>'Reported burning'!E315</f>
        <v>Cropping, Swidden</v>
      </c>
      <c r="F315" s="6" t="str">
        <f>'Reported burning'!F315</f>
        <v>Forest</v>
      </c>
      <c r="G315" s="6" t="str">
        <f>'Reported burning'!G315</f>
        <v>ND</v>
      </c>
      <c r="H315" s="6" t="str">
        <f>'Reported burning'!H315</f>
        <v>Presence</v>
      </c>
      <c r="I315" s="3"/>
      <c r="J315" s="21" t="s">
        <v>2276</v>
      </c>
      <c r="K315" s="103" t="s">
        <v>2276</v>
      </c>
      <c r="L315" s="21" t="s">
        <v>2276</v>
      </c>
      <c r="M315" s="21" t="s">
        <v>2276</v>
      </c>
      <c r="N315" s="21" t="s">
        <v>2276</v>
      </c>
      <c r="O315" s="21" t="s">
        <v>2276</v>
      </c>
      <c r="P315" s="21" t="s">
        <v>2276</v>
      </c>
      <c r="Q315" s="102" t="s">
        <v>2276</v>
      </c>
      <c r="R315" s="102" t="s">
        <v>2276</v>
      </c>
      <c r="S315" s="21" t="s">
        <v>2276</v>
      </c>
      <c r="T315" s="21" t="s">
        <v>2276</v>
      </c>
      <c r="U315" s="21" t="s">
        <v>2276</v>
      </c>
      <c r="V315" s="21" t="s">
        <v>2276</v>
      </c>
      <c r="W315" s="21" t="s">
        <v>2276</v>
      </c>
      <c r="X315" s="3" t="s">
        <v>2276</v>
      </c>
      <c r="Y315" s="3" t="s">
        <v>2276</v>
      </c>
      <c r="Z315" s="3" t="s">
        <v>2276</v>
      </c>
      <c r="AA315" s="4"/>
      <c r="AB315" s="4"/>
    </row>
    <row r="316" spans="1:28" ht="112" customHeight="1">
      <c r="A316" s="6" t="str">
        <f>'Reported burning'!A316</f>
        <v>27o</v>
      </c>
      <c r="B316" s="6" t="str">
        <f>'Reported burning'!B316</f>
        <v>27o.2</v>
      </c>
      <c r="C316" s="6" t="str">
        <f>'Reported burning'!C316</f>
        <v>Human, deliberate</v>
      </c>
      <c r="D316" s="6" t="str">
        <f>'Reported burning'!D316</f>
        <v>Crop field preparation</v>
      </c>
      <c r="E316" s="6" t="str">
        <f>'Reported burning'!E316</f>
        <v>Cropping, Swidden</v>
      </c>
      <c r="F316" s="6" t="str">
        <f>'Reported burning'!F316</f>
        <v>Secondary Vegetation</v>
      </c>
      <c r="G316" s="6" t="str">
        <f>'Reported burning'!G316</f>
        <v>ND</v>
      </c>
      <c r="H316" s="6" t="str">
        <f>'Reported burning'!H316</f>
        <v>Presence</v>
      </c>
      <c r="I316" s="3"/>
      <c r="J316" s="21" t="s">
        <v>2276</v>
      </c>
      <c r="K316" s="103" t="s">
        <v>2276</v>
      </c>
      <c r="L316" s="21" t="s">
        <v>2276</v>
      </c>
      <c r="M316" s="21" t="s">
        <v>2276</v>
      </c>
      <c r="N316" s="21" t="s">
        <v>2276</v>
      </c>
      <c r="O316" s="21" t="s">
        <v>2276</v>
      </c>
      <c r="P316" s="21" t="s">
        <v>2276</v>
      </c>
      <c r="Q316" s="102" t="s">
        <v>2276</v>
      </c>
      <c r="R316" s="102" t="s">
        <v>2276</v>
      </c>
      <c r="S316" s="21" t="s">
        <v>2276</v>
      </c>
      <c r="T316" s="21" t="s">
        <v>2276</v>
      </c>
      <c r="U316" s="21" t="s">
        <v>2276</v>
      </c>
      <c r="V316" s="21" t="s">
        <v>2276</v>
      </c>
      <c r="W316" s="21" t="s">
        <v>2276</v>
      </c>
      <c r="X316" s="3" t="s">
        <v>2276</v>
      </c>
      <c r="Y316" s="3" t="s">
        <v>2276</v>
      </c>
      <c r="Z316" s="3" t="s">
        <v>2276</v>
      </c>
      <c r="AA316" s="4"/>
      <c r="AB316" s="4"/>
    </row>
    <row r="317" spans="1:28" ht="112" customHeight="1">
      <c r="A317" s="6" t="str">
        <f>'Reported burning'!A317</f>
        <v>27p</v>
      </c>
      <c r="B317" s="6" t="str">
        <f>'Reported burning'!B317</f>
        <v>27p.1</v>
      </c>
      <c r="C317" s="6" t="str">
        <f>'Reported burning'!C317</f>
        <v>Human, deliberate</v>
      </c>
      <c r="D317" s="6" t="str">
        <f>'Reported burning'!D317</f>
        <v>Forest clearance</v>
      </c>
      <c r="E317" s="6" t="str">
        <f>'Reported burning'!E317</f>
        <v>Cropping, Swidden</v>
      </c>
      <c r="F317" s="6" t="str">
        <f>'Reported burning'!F317</f>
        <v>Forest</v>
      </c>
      <c r="G317" s="6" t="str">
        <f>'Reported burning'!G317</f>
        <v>ND</v>
      </c>
      <c r="H317" s="6" t="str">
        <f>'Reported burning'!H317</f>
        <v>Presence</v>
      </c>
      <c r="I317" s="3"/>
      <c r="J317" s="21" t="s">
        <v>2276</v>
      </c>
      <c r="K317" s="103" t="s">
        <v>2276</v>
      </c>
      <c r="L317" s="21" t="s">
        <v>2276</v>
      </c>
      <c r="M317" s="21" t="s">
        <v>2276</v>
      </c>
      <c r="N317" s="21" t="s">
        <v>2276</v>
      </c>
      <c r="O317" s="21" t="s">
        <v>2276</v>
      </c>
      <c r="P317" s="21" t="s">
        <v>2276</v>
      </c>
      <c r="Q317" s="102" t="s">
        <v>2276</v>
      </c>
      <c r="R317" s="102" t="s">
        <v>2276</v>
      </c>
      <c r="S317" s="21" t="s">
        <v>2276</v>
      </c>
      <c r="T317" s="21" t="s">
        <v>2276</v>
      </c>
      <c r="U317" s="21" t="s">
        <v>2276</v>
      </c>
      <c r="V317" s="21" t="s">
        <v>2276</v>
      </c>
      <c r="W317" s="21" t="s">
        <v>2276</v>
      </c>
      <c r="X317" s="3" t="s">
        <v>2276</v>
      </c>
      <c r="Y317" s="3" t="s">
        <v>2276</v>
      </c>
      <c r="Z317" s="3" t="s">
        <v>2276</v>
      </c>
      <c r="AA317" s="4"/>
      <c r="AB317" s="4"/>
    </row>
    <row r="318" spans="1:28" ht="112" customHeight="1">
      <c r="A318" s="6" t="str">
        <f>'Reported burning'!A318</f>
        <v>27p</v>
      </c>
      <c r="B318" s="6" t="str">
        <f>'Reported burning'!B318</f>
        <v>27p.2</v>
      </c>
      <c r="C318" s="6" t="str">
        <f>'Reported burning'!C318</f>
        <v>Human, deliberate</v>
      </c>
      <c r="D318" s="6" t="str">
        <f>'Reported burning'!D318</f>
        <v>Crop field preparation</v>
      </c>
      <c r="E318" s="6" t="str">
        <f>'Reported burning'!E318</f>
        <v>Cropping, Swidden</v>
      </c>
      <c r="F318" s="6" t="str">
        <f>'Reported burning'!F318</f>
        <v>Secondary Vegetation</v>
      </c>
      <c r="G318" s="6" t="str">
        <f>'Reported burning'!G318</f>
        <v>ND</v>
      </c>
      <c r="H318" s="6" t="str">
        <f>'Reported burning'!H318</f>
        <v>Presence</v>
      </c>
      <c r="I318" s="3"/>
      <c r="J318" s="21" t="s">
        <v>2276</v>
      </c>
      <c r="K318" s="103" t="s">
        <v>2276</v>
      </c>
      <c r="L318" s="21" t="s">
        <v>2276</v>
      </c>
      <c r="M318" s="21" t="s">
        <v>2276</v>
      </c>
      <c r="N318" s="21" t="s">
        <v>2276</v>
      </c>
      <c r="O318" s="21" t="s">
        <v>2276</v>
      </c>
      <c r="P318" s="21" t="s">
        <v>2276</v>
      </c>
      <c r="Q318" s="102" t="s">
        <v>2276</v>
      </c>
      <c r="R318" s="102" t="s">
        <v>2276</v>
      </c>
      <c r="S318" s="21" t="s">
        <v>2276</v>
      </c>
      <c r="T318" s="21" t="s">
        <v>2276</v>
      </c>
      <c r="U318" s="21" t="s">
        <v>2276</v>
      </c>
      <c r="V318" s="21" t="s">
        <v>2276</v>
      </c>
      <c r="W318" s="21" t="s">
        <v>2276</v>
      </c>
      <c r="X318" s="3" t="s">
        <v>2276</v>
      </c>
      <c r="Y318" s="3" t="s">
        <v>2276</v>
      </c>
      <c r="Z318" s="3" t="s">
        <v>2276</v>
      </c>
      <c r="AA318" s="4"/>
      <c r="AB318" s="4"/>
    </row>
    <row r="319" spans="1:28" ht="112" customHeight="1">
      <c r="A319" s="6" t="str">
        <f>'Reported burning'!A319</f>
        <v>27q</v>
      </c>
      <c r="B319" s="6" t="str">
        <f>'Reported burning'!B319</f>
        <v>27q.1</v>
      </c>
      <c r="C319" s="6" t="str">
        <f>'Reported burning'!C319</f>
        <v>Human, deliberate</v>
      </c>
      <c r="D319" s="6" t="str">
        <f>'Reported burning'!D319</f>
        <v>Forest clearance</v>
      </c>
      <c r="E319" s="6" t="str">
        <f>'Reported burning'!E319</f>
        <v>Cropping, Swidden</v>
      </c>
      <c r="F319" s="6" t="str">
        <f>'Reported burning'!F319</f>
        <v>Forest</v>
      </c>
      <c r="G319" s="6" t="str">
        <f>'Reported burning'!G319</f>
        <v>ND</v>
      </c>
      <c r="H319" s="6" t="str">
        <f>'Reported burning'!H319</f>
        <v>Presence</v>
      </c>
      <c r="I319" s="3"/>
      <c r="J319" s="21" t="s">
        <v>2276</v>
      </c>
      <c r="K319" s="103" t="s">
        <v>2276</v>
      </c>
      <c r="L319" s="21" t="s">
        <v>2276</v>
      </c>
      <c r="M319" s="21" t="s">
        <v>2276</v>
      </c>
      <c r="N319" s="21" t="s">
        <v>2276</v>
      </c>
      <c r="O319" s="21" t="s">
        <v>2276</v>
      </c>
      <c r="P319" s="21" t="s">
        <v>2276</v>
      </c>
      <c r="Q319" s="102" t="s">
        <v>2276</v>
      </c>
      <c r="R319" s="102" t="s">
        <v>2276</v>
      </c>
      <c r="S319" s="21" t="s">
        <v>2276</v>
      </c>
      <c r="T319" s="21" t="s">
        <v>2276</v>
      </c>
      <c r="U319" s="21" t="s">
        <v>2276</v>
      </c>
      <c r="V319" s="21" t="s">
        <v>2276</v>
      </c>
      <c r="W319" s="21" t="s">
        <v>2276</v>
      </c>
      <c r="X319" s="3" t="s">
        <v>2276</v>
      </c>
      <c r="Y319" s="3" t="s">
        <v>2276</v>
      </c>
      <c r="Z319" s="3" t="s">
        <v>2276</v>
      </c>
      <c r="AA319" s="4"/>
      <c r="AB319" s="4"/>
    </row>
    <row r="320" spans="1:28" ht="112" customHeight="1">
      <c r="A320" s="6" t="str">
        <f>'Reported burning'!A320</f>
        <v>27q</v>
      </c>
      <c r="B320" s="6" t="str">
        <f>'Reported burning'!B320</f>
        <v>27q.2</v>
      </c>
      <c r="C320" s="6" t="str">
        <f>'Reported burning'!C320</f>
        <v>Human, deliberate</v>
      </c>
      <c r="D320" s="6" t="str">
        <f>'Reported burning'!D320</f>
        <v>Crop field preparation</v>
      </c>
      <c r="E320" s="6" t="str">
        <f>'Reported burning'!E320</f>
        <v>Cropping, Swidden</v>
      </c>
      <c r="F320" s="6" t="str">
        <f>'Reported burning'!F320</f>
        <v>Secondary Vegetation</v>
      </c>
      <c r="G320" s="6" t="str">
        <f>'Reported burning'!G320</f>
        <v>ND</v>
      </c>
      <c r="H320" s="6" t="str">
        <f>'Reported burning'!H320</f>
        <v>Presence</v>
      </c>
      <c r="I320" s="3"/>
      <c r="J320" s="21" t="s">
        <v>2276</v>
      </c>
      <c r="K320" s="103" t="s">
        <v>2276</v>
      </c>
      <c r="L320" s="21" t="s">
        <v>2276</v>
      </c>
      <c r="M320" s="21" t="s">
        <v>2276</v>
      </c>
      <c r="N320" s="21" t="s">
        <v>2276</v>
      </c>
      <c r="O320" s="21" t="s">
        <v>2276</v>
      </c>
      <c r="P320" s="21" t="s">
        <v>2276</v>
      </c>
      <c r="Q320" s="102" t="s">
        <v>2276</v>
      </c>
      <c r="R320" s="102" t="s">
        <v>2276</v>
      </c>
      <c r="S320" s="21" t="s">
        <v>2276</v>
      </c>
      <c r="T320" s="21" t="s">
        <v>2276</v>
      </c>
      <c r="U320" s="21" t="s">
        <v>2276</v>
      </c>
      <c r="V320" s="21" t="s">
        <v>2276</v>
      </c>
      <c r="W320" s="21" t="s">
        <v>2276</v>
      </c>
      <c r="X320" s="3" t="s">
        <v>2276</v>
      </c>
      <c r="Y320" s="3" t="s">
        <v>2276</v>
      </c>
      <c r="Z320" s="3" t="s">
        <v>2276</v>
      </c>
      <c r="AA320" s="4"/>
      <c r="AB320" s="4"/>
    </row>
    <row r="321" spans="1:28" ht="112" customHeight="1">
      <c r="A321" s="6" t="str">
        <f>'Reported burning'!A321</f>
        <v>27q</v>
      </c>
      <c r="B321" s="6" t="str">
        <f>'Reported burning'!B321</f>
        <v>27q.3</v>
      </c>
      <c r="C321" s="6" t="str">
        <f>'Reported burning'!C321</f>
        <v>Human, deliberate</v>
      </c>
      <c r="D321" s="6" t="str">
        <f>'Reported burning'!D321</f>
        <v>Forest clearance</v>
      </c>
      <c r="E321" s="6" t="str">
        <f>'Reported burning'!E321</f>
        <v>Cropping, Monoculture, Subsistence-oriented</v>
      </c>
      <c r="F321" s="6" t="str">
        <f>'Reported burning'!F321</f>
        <v>Forest</v>
      </c>
      <c r="G321" s="6" t="str">
        <f>'Reported burning'!G321</f>
        <v>ND</v>
      </c>
      <c r="H321" s="6" t="str">
        <f>'Reported burning'!H321</f>
        <v>Presence</v>
      </c>
      <c r="I321" s="3"/>
      <c r="J321" s="21" t="s">
        <v>2276</v>
      </c>
      <c r="K321" s="103" t="s">
        <v>2276</v>
      </c>
      <c r="L321" s="21" t="s">
        <v>2276</v>
      </c>
      <c r="M321" s="21" t="s">
        <v>2276</v>
      </c>
      <c r="N321" s="21" t="s">
        <v>2276</v>
      </c>
      <c r="O321" s="21" t="s">
        <v>2276</v>
      </c>
      <c r="P321" s="21" t="s">
        <v>2276</v>
      </c>
      <c r="Q321" s="102" t="s">
        <v>2276</v>
      </c>
      <c r="R321" s="102" t="s">
        <v>2276</v>
      </c>
      <c r="S321" s="21" t="s">
        <v>2276</v>
      </c>
      <c r="T321" s="21" t="s">
        <v>2276</v>
      </c>
      <c r="U321" s="21" t="s">
        <v>2276</v>
      </c>
      <c r="V321" s="21" t="s">
        <v>2276</v>
      </c>
      <c r="W321" s="21" t="s">
        <v>2276</v>
      </c>
      <c r="X321" s="3" t="s">
        <v>2276</v>
      </c>
      <c r="Y321" s="3" t="s">
        <v>2276</v>
      </c>
      <c r="Z321" s="3" t="s">
        <v>2276</v>
      </c>
      <c r="AA321" s="4"/>
      <c r="AB321" s="4"/>
    </row>
    <row r="322" spans="1:28" ht="112" customHeight="1">
      <c r="A322" s="6" t="str">
        <f>'Reported burning'!A322</f>
        <v>27r</v>
      </c>
      <c r="B322" s="6" t="str">
        <f>'Reported burning'!B322</f>
        <v>27r.1</v>
      </c>
      <c r="C322" s="6" t="str">
        <f>'Reported burning'!C322</f>
        <v>Human, deliberate</v>
      </c>
      <c r="D322" s="6" t="str">
        <f>'Reported burning'!D322</f>
        <v>Forest clearance</v>
      </c>
      <c r="E322" s="6" t="str">
        <f>'Reported burning'!E322</f>
        <v>Cropping, Swidden</v>
      </c>
      <c r="F322" s="6" t="str">
        <f>'Reported burning'!F322</f>
        <v>Forest</v>
      </c>
      <c r="G322" s="6" t="str">
        <f>'Reported burning'!G322</f>
        <v>ND</v>
      </c>
      <c r="H322" s="6" t="str">
        <f>'Reported burning'!H322</f>
        <v>Presence</v>
      </c>
      <c r="I322" s="3"/>
      <c r="J322" s="21" t="s">
        <v>2276</v>
      </c>
      <c r="K322" s="103" t="s">
        <v>2276</v>
      </c>
      <c r="L322" s="21" t="s">
        <v>2276</v>
      </c>
      <c r="M322" s="21" t="s">
        <v>2276</v>
      </c>
      <c r="N322" s="21" t="s">
        <v>2276</v>
      </c>
      <c r="O322" s="21" t="s">
        <v>2276</v>
      </c>
      <c r="P322" s="21" t="s">
        <v>2276</v>
      </c>
      <c r="Q322" s="102" t="s">
        <v>2276</v>
      </c>
      <c r="R322" s="102" t="s">
        <v>2276</v>
      </c>
      <c r="S322" s="21" t="s">
        <v>2276</v>
      </c>
      <c r="T322" s="21" t="s">
        <v>2276</v>
      </c>
      <c r="U322" s="21" t="s">
        <v>2276</v>
      </c>
      <c r="V322" s="21" t="s">
        <v>2276</v>
      </c>
      <c r="W322" s="21" t="s">
        <v>2276</v>
      </c>
      <c r="X322" s="3" t="s">
        <v>2276</v>
      </c>
      <c r="Y322" s="3" t="s">
        <v>2276</v>
      </c>
      <c r="Z322" s="3" t="s">
        <v>2276</v>
      </c>
      <c r="AA322" s="4"/>
      <c r="AB322" s="4"/>
    </row>
    <row r="323" spans="1:28" ht="112" customHeight="1">
      <c r="A323" s="6" t="str">
        <f>'Reported burning'!A323</f>
        <v>27r</v>
      </c>
      <c r="B323" s="6" t="str">
        <f>'Reported burning'!B323</f>
        <v>27r.2</v>
      </c>
      <c r="C323" s="6" t="str">
        <f>'Reported burning'!C323</f>
        <v>Human, deliberate</v>
      </c>
      <c r="D323" s="6" t="str">
        <f>'Reported burning'!D323</f>
        <v>Crop field preparation</v>
      </c>
      <c r="E323" s="6" t="str">
        <f>'Reported burning'!E323</f>
        <v>Cropping, Swidden</v>
      </c>
      <c r="F323" s="6" t="str">
        <f>'Reported burning'!F323</f>
        <v>Secondary Vegetation</v>
      </c>
      <c r="G323" s="6" t="str">
        <f>'Reported burning'!G323</f>
        <v>ND</v>
      </c>
      <c r="H323" s="6" t="str">
        <f>'Reported burning'!H323</f>
        <v>Presence</v>
      </c>
      <c r="I323" s="3"/>
      <c r="J323" s="21" t="s">
        <v>2276</v>
      </c>
      <c r="K323" s="103" t="s">
        <v>2276</v>
      </c>
      <c r="L323" s="21" t="s">
        <v>2276</v>
      </c>
      <c r="M323" s="21" t="s">
        <v>2276</v>
      </c>
      <c r="N323" s="21" t="s">
        <v>2276</v>
      </c>
      <c r="O323" s="21" t="s">
        <v>2276</v>
      </c>
      <c r="P323" s="21" t="s">
        <v>2276</v>
      </c>
      <c r="Q323" s="102" t="s">
        <v>2276</v>
      </c>
      <c r="R323" s="102" t="s">
        <v>2276</v>
      </c>
      <c r="S323" s="21" t="s">
        <v>2276</v>
      </c>
      <c r="T323" s="21" t="s">
        <v>2276</v>
      </c>
      <c r="U323" s="21" t="s">
        <v>2276</v>
      </c>
      <c r="V323" s="21" t="s">
        <v>2276</v>
      </c>
      <c r="W323" s="21" t="s">
        <v>2276</v>
      </c>
      <c r="X323" s="3" t="s">
        <v>2276</v>
      </c>
      <c r="Y323" s="3" t="s">
        <v>2276</v>
      </c>
      <c r="Z323" s="3" t="s">
        <v>2276</v>
      </c>
      <c r="AA323" s="4"/>
      <c r="AB323" s="4"/>
    </row>
    <row r="324" spans="1:28" ht="112" customHeight="1">
      <c r="A324" s="6" t="str">
        <f>'Reported burning'!A324</f>
        <v>27r</v>
      </c>
      <c r="B324" s="6" t="str">
        <f>'Reported burning'!B324</f>
        <v>27r.3</v>
      </c>
      <c r="C324" s="6" t="str">
        <f>'Reported burning'!C324</f>
        <v>Human, deliberate</v>
      </c>
      <c r="D324" s="6" t="str">
        <f>'Reported burning'!D324</f>
        <v>Forest clearance</v>
      </c>
      <c r="E324" s="6" t="str">
        <f>'Reported burning'!E324</f>
        <v>Cropping, Monoculture, Subsistence-oriented</v>
      </c>
      <c r="F324" s="6" t="str">
        <f>'Reported burning'!F324</f>
        <v>Forest</v>
      </c>
      <c r="G324" s="6" t="str">
        <f>'Reported burning'!G324</f>
        <v>ND</v>
      </c>
      <c r="H324" s="6" t="str">
        <f>'Reported burning'!H324</f>
        <v>Presence</v>
      </c>
      <c r="I324" s="3"/>
      <c r="J324" s="21" t="s">
        <v>2276</v>
      </c>
      <c r="K324" s="103" t="s">
        <v>2276</v>
      </c>
      <c r="L324" s="21" t="s">
        <v>2276</v>
      </c>
      <c r="M324" s="21" t="s">
        <v>2276</v>
      </c>
      <c r="N324" s="21" t="s">
        <v>2276</v>
      </c>
      <c r="O324" s="21" t="s">
        <v>2276</v>
      </c>
      <c r="P324" s="21" t="s">
        <v>2276</v>
      </c>
      <c r="Q324" s="102" t="s">
        <v>2276</v>
      </c>
      <c r="R324" s="102" t="s">
        <v>2276</v>
      </c>
      <c r="S324" s="21" t="s">
        <v>2276</v>
      </c>
      <c r="T324" s="21" t="s">
        <v>2276</v>
      </c>
      <c r="U324" s="21" t="s">
        <v>2276</v>
      </c>
      <c r="V324" s="21" t="s">
        <v>2276</v>
      </c>
      <c r="W324" s="21" t="s">
        <v>2276</v>
      </c>
      <c r="X324" s="3" t="s">
        <v>2276</v>
      </c>
      <c r="Y324" s="3" t="s">
        <v>2276</v>
      </c>
      <c r="Z324" s="3" t="s">
        <v>2276</v>
      </c>
      <c r="AA324" s="4"/>
      <c r="AB324" s="4"/>
    </row>
    <row r="325" spans="1:28" ht="112" customHeight="1">
      <c r="A325" s="6" t="str">
        <f>'Reported burning'!A325</f>
        <v>27s</v>
      </c>
      <c r="B325" s="6" t="str">
        <f>'Reported burning'!B325</f>
        <v>27s.1</v>
      </c>
      <c r="C325" s="6" t="str">
        <f>'Reported burning'!C325</f>
        <v>Human, deliberate</v>
      </c>
      <c r="D325" s="6" t="str">
        <f>'Reported burning'!D325</f>
        <v>Forest clearance</v>
      </c>
      <c r="E325" s="6" t="str">
        <f>'Reported burning'!E325</f>
        <v>Cropping, Monoculture, Subsistence-oriented</v>
      </c>
      <c r="F325" s="6" t="str">
        <f>'Reported burning'!F325</f>
        <v>Forest</v>
      </c>
      <c r="G325" s="6" t="str">
        <f>'Reported burning'!G325</f>
        <v>ND</v>
      </c>
      <c r="H325" s="6" t="str">
        <f>'Reported burning'!H325</f>
        <v>Presence</v>
      </c>
      <c r="I325" s="3"/>
      <c r="J325" s="21" t="s">
        <v>2276</v>
      </c>
      <c r="K325" s="103" t="s">
        <v>2276</v>
      </c>
      <c r="L325" s="21" t="s">
        <v>2276</v>
      </c>
      <c r="M325" s="21" t="s">
        <v>2276</v>
      </c>
      <c r="N325" s="21" t="s">
        <v>2276</v>
      </c>
      <c r="O325" s="21" t="s">
        <v>2276</v>
      </c>
      <c r="P325" s="21" t="s">
        <v>2276</v>
      </c>
      <c r="Q325" s="102" t="s">
        <v>2276</v>
      </c>
      <c r="R325" s="102" t="s">
        <v>2276</v>
      </c>
      <c r="S325" s="21" t="s">
        <v>2276</v>
      </c>
      <c r="T325" s="21" t="s">
        <v>2276</v>
      </c>
      <c r="U325" s="21" t="s">
        <v>2276</v>
      </c>
      <c r="V325" s="21" t="s">
        <v>2276</v>
      </c>
      <c r="W325" s="21" t="s">
        <v>2276</v>
      </c>
      <c r="X325" s="3" t="s">
        <v>2276</v>
      </c>
      <c r="Y325" s="3" t="s">
        <v>2276</v>
      </c>
      <c r="Z325" s="3" t="s">
        <v>2276</v>
      </c>
      <c r="AA325" s="4"/>
      <c r="AB325" s="4"/>
    </row>
    <row r="326" spans="1:28" ht="112" customHeight="1">
      <c r="A326" s="6" t="str">
        <f>'Reported burning'!A326</f>
        <v>27t</v>
      </c>
      <c r="B326" s="6" t="str">
        <f>'Reported burning'!B326</f>
        <v>27t.1</v>
      </c>
      <c r="C326" s="6" t="str">
        <f>'Reported burning'!C326</f>
        <v>Human, deliberate</v>
      </c>
      <c r="D326" s="6" t="str">
        <f>'Reported burning'!D326</f>
        <v>Forest clearance</v>
      </c>
      <c r="E326" s="6" t="str">
        <f>'Reported burning'!E326</f>
        <v>Cropping, Swidden</v>
      </c>
      <c r="F326" s="6" t="str">
        <f>'Reported burning'!F326</f>
        <v>Forest</v>
      </c>
      <c r="G326" s="6" t="str">
        <f>'Reported burning'!G326</f>
        <v>ND</v>
      </c>
      <c r="H326" s="6" t="str">
        <f>'Reported burning'!H326</f>
        <v>Presence</v>
      </c>
      <c r="I326" s="3"/>
      <c r="J326" s="21" t="s">
        <v>2276</v>
      </c>
      <c r="K326" s="103" t="s">
        <v>2276</v>
      </c>
      <c r="L326" s="21" t="s">
        <v>2276</v>
      </c>
      <c r="M326" s="21" t="s">
        <v>2276</v>
      </c>
      <c r="N326" s="21" t="s">
        <v>2276</v>
      </c>
      <c r="O326" s="21" t="s">
        <v>2276</v>
      </c>
      <c r="P326" s="21" t="s">
        <v>2276</v>
      </c>
      <c r="Q326" s="102" t="s">
        <v>2276</v>
      </c>
      <c r="R326" s="102" t="s">
        <v>2276</v>
      </c>
      <c r="S326" s="21" t="s">
        <v>2276</v>
      </c>
      <c r="T326" s="21" t="s">
        <v>2276</v>
      </c>
      <c r="U326" s="21" t="s">
        <v>2276</v>
      </c>
      <c r="V326" s="21" t="s">
        <v>2276</v>
      </c>
      <c r="W326" s="21" t="s">
        <v>2276</v>
      </c>
      <c r="X326" s="3" t="s">
        <v>2276</v>
      </c>
      <c r="Y326" s="3" t="s">
        <v>2276</v>
      </c>
      <c r="Z326" s="3" t="s">
        <v>2276</v>
      </c>
      <c r="AA326" s="4"/>
      <c r="AB326" s="4"/>
    </row>
    <row r="327" spans="1:28" ht="112" customHeight="1">
      <c r="A327" s="6" t="str">
        <f>'Reported burning'!A327</f>
        <v>27t</v>
      </c>
      <c r="B327" s="6" t="str">
        <f>'Reported burning'!B327</f>
        <v>27t.2</v>
      </c>
      <c r="C327" s="6" t="str">
        <f>'Reported burning'!C327</f>
        <v>Human, deliberate</v>
      </c>
      <c r="D327" s="6" t="str">
        <f>'Reported burning'!D327</f>
        <v>Crop field preparation</v>
      </c>
      <c r="E327" s="6" t="str">
        <f>'Reported burning'!E327</f>
        <v>Cropping, Swidden</v>
      </c>
      <c r="F327" s="6" t="str">
        <f>'Reported burning'!F327</f>
        <v>Secondary Vegetation</v>
      </c>
      <c r="G327" s="6" t="str">
        <f>'Reported burning'!G327</f>
        <v>ND</v>
      </c>
      <c r="H327" s="6" t="str">
        <f>'Reported burning'!H327</f>
        <v>Presence</v>
      </c>
      <c r="I327" s="3"/>
      <c r="J327" s="21" t="s">
        <v>2276</v>
      </c>
      <c r="K327" s="103" t="s">
        <v>2276</v>
      </c>
      <c r="L327" s="21" t="s">
        <v>2276</v>
      </c>
      <c r="M327" s="21" t="s">
        <v>2276</v>
      </c>
      <c r="N327" s="21" t="s">
        <v>2276</v>
      </c>
      <c r="O327" s="21" t="s">
        <v>2276</v>
      </c>
      <c r="P327" s="21" t="s">
        <v>2276</v>
      </c>
      <c r="Q327" s="102" t="s">
        <v>2276</v>
      </c>
      <c r="R327" s="102" t="s">
        <v>2276</v>
      </c>
      <c r="S327" s="21" t="s">
        <v>2276</v>
      </c>
      <c r="T327" s="21" t="s">
        <v>2276</v>
      </c>
      <c r="U327" s="21" t="s">
        <v>2276</v>
      </c>
      <c r="V327" s="21" t="s">
        <v>2276</v>
      </c>
      <c r="W327" s="21" t="s">
        <v>2276</v>
      </c>
      <c r="X327" s="3" t="s">
        <v>2276</v>
      </c>
      <c r="Y327" s="3" t="s">
        <v>2276</v>
      </c>
      <c r="Z327" s="3" t="s">
        <v>2276</v>
      </c>
      <c r="AA327" s="4"/>
      <c r="AB327" s="4"/>
    </row>
    <row r="328" spans="1:28" ht="112" customHeight="1">
      <c r="A328" s="6" t="str">
        <f>'Reported burning'!A328</f>
        <v>27t</v>
      </c>
      <c r="B328" s="6" t="str">
        <f>'Reported burning'!B328</f>
        <v>27t.3</v>
      </c>
      <c r="C328" s="6" t="str">
        <f>'Reported burning'!C328</f>
        <v>Human, deliberate</v>
      </c>
      <c r="D328" s="6" t="str">
        <f>'Reported burning'!D328</f>
        <v>Forest clearance</v>
      </c>
      <c r="E328" s="6" t="str">
        <f>'Reported burning'!E328</f>
        <v>Cropping, Monoculture, Subsistence-oriented</v>
      </c>
      <c r="F328" s="6" t="str">
        <f>'Reported burning'!F328</f>
        <v>Forest</v>
      </c>
      <c r="G328" s="6" t="str">
        <f>'Reported burning'!G328</f>
        <v>ND</v>
      </c>
      <c r="H328" s="6" t="str">
        <f>'Reported burning'!H328</f>
        <v>Presence</v>
      </c>
      <c r="I328" s="3"/>
      <c r="J328" s="21" t="s">
        <v>2276</v>
      </c>
      <c r="K328" s="103" t="s">
        <v>2276</v>
      </c>
      <c r="L328" s="21" t="s">
        <v>2276</v>
      </c>
      <c r="M328" s="21" t="s">
        <v>2276</v>
      </c>
      <c r="N328" s="21" t="s">
        <v>2276</v>
      </c>
      <c r="O328" s="21" t="s">
        <v>2276</v>
      </c>
      <c r="P328" s="21" t="s">
        <v>2276</v>
      </c>
      <c r="Q328" s="102" t="s">
        <v>2276</v>
      </c>
      <c r="R328" s="102" t="s">
        <v>2276</v>
      </c>
      <c r="S328" s="21" t="s">
        <v>2276</v>
      </c>
      <c r="T328" s="21" t="s">
        <v>2276</v>
      </c>
      <c r="U328" s="21" t="s">
        <v>2276</v>
      </c>
      <c r="V328" s="21" t="s">
        <v>2276</v>
      </c>
      <c r="W328" s="21" t="s">
        <v>2276</v>
      </c>
      <c r="X328" s="3" t="s">
        <v>2276</v>
      </c>
      <c r="Y328" s="3" t="s">
        <v>2276</v>
      </c>
      <c r="Z328" s="3" t="s">
        <v>2276</v>
      </c>
      <c r="AA328" s="4"/>
      <c r="AB328" s="4"/>
    </row>
    <row r="329" spans="1:28" ht="112" customHeight="1">
      <c r="A329" s="6" t="str">
        <f>'Reported burning'!A329</f>
        <v>27u</v>
      </c>
      <c r="B329" s="6" t="str">
        <f>'Reported burning'!B329</f>
        <v>27u.1</v>
      </c>
      <c r="C329" s="6" t="str">
        <f>'Reported burning'!C329</f>
        <v>Human, deliberate</v>
      </c>
      <c r="D329" s="6" t="str">
        <f>'Reported burning'!D329</f>
        <v>Forest clearance</v>
      </c>
      <c r="E329" s="6" t="str">
        <f>'Reported burning'!E329</f>
        <v>Cropping, Monoculture, Subsistence-oriented</v>
      </c>
      <c r="F329" s="6" t="str">
        <f>'Reported burning'!F329</f>
        <v>Forest</v>
      </c>
      <c r="G329" s="6" t="str">
        <f>'Reported burning'!G329</f>
        <v>ND</v>
      </c>
      <c r="H329" s="6" t="str">
        <f>'Reported burning'!H329</f>
        <v>Presence</v>
      </c>
      <c r="I329" s="3"/>
      <c r="J329" s="21" t="s">
        <v>2276</v>
      </c>
      <c r="K329" s="103" t="s">
        <v>2276</v>
      </c>
      <c r="L329" s="21" t="s">
        <v>2276</v>
      </c>
      <c r="M329" s="21" t="s">
        <v>2276</v>
      </c>
      <c r="N329" s="21" t="s">
        <v>2276</v>
      </c>
      <c r="O329" s="21" t="s">
        <v>2276</v>
      </c>
      <c r="P329" s="21" t="s">
        <v>2276</v>
      </c>
      <c r="Q329" s="102" t="s">
        <v>2276</v>
      </c>
      <c r="R329" s="102" t="s">
        <v>2276</v>
      </c>
      <c r="S329" s="21" t="s">
        <v>2276</v>
      </c>
      <c r="T329" s="21" t="s">
        <v>2276</v>
      </c>
      <c r="U329" s="21" t="s">
        <v>2276</v>
      </c>
      <c r="V329" s="21" t="s">
        <v>2276</v>
      </c>
      <c r="W329" s="21" t="s">
        <v>2276</v>
      </c>
      <c r="X329" s="3" t="s">
        <v>2276</v>
      </c>
      <c r="Y329" s="3" t="s">
        <v>2276</v>
      </c>
      <c r="Z329" s="3" t="s">
        <v>2276</v>
      </c>
      <c r="AA329" s="4"/>
      <c r="AB329" s="4"/>
    </row>
    <row r="330" spans="1:28" ht="112" customHeight="1">
      <c r="A330" s="6" t="str">
        <f>'Reported burning'!A330</f>
        <v>27v</v>
      </c>
      <c r="B330" s="6" t="str">
        <f>'Reported burning'!B330</f>
        <v>27v.1</v>
      </c>
      <c r="C330" s="6" t="str">
        <f>'Reported burning'!C330</f>
        <v>Human, deliberate</v>
      </c>
      <c r="D330" s="6" t="str">
        <f>'Reported burning'!D330</f>
        <v>Forest clearance</v>
      </c>
      <c r="E330" s="6" t="str">
        <f>'Reported burning'!E330</f>
        <v>Cropping, Monoculture, Subsistence-oriented</v>
      </c>
      <c r="F330" s="6" t="str">
        <f>'Reported burning'!F330</f>
        <v>Forest</v>
      </c>
      <c r="G330" s="6" t="str">
        <f>'Reported burning'!G330</f>
        <v>ND</v>
      </c>
      <c r="H330" s="6" t="str">
        <f>'Reported burning'!H330</f>
        <v>Presence</v>
      </c>
      <c r="I330" s="3"/>
      <c r="J330" s="21" t="s">
        <v>2276</v>
      </c>
      <c r="K330" s="103" t="s">
        <v>2276</v>
      </c>
      <c r="L330" s="21" t="s">
        <v>2276</v>
      </c>
      <c r="M330" s="21" t="s">
        <v>2276</v>
      </c>
      <c r="N330" s="21" t="s">
        <v>2276</v>
      </c>
      <c r="O330" s="21" t="s">
        <v>2276</v>
      </c>
      <c r="P330" s="21" t="s">
        <v>2276</v>
      </c>
      <c r="Q330" s="102" t="s">
        <v>2276</v>
      </c>
      <c r="R330" s="102" t="s">
        <v>2276</v>
      </c>
      <c r="S330" s="21" t="s">
        <v>2276</v>
      </c>
      <c r="T330" s="21" t="s">
        <v>2276</v>
      </c>
      <c r="U330" s="21" t="s">
        <v>2276</v>
      </c>
      <c r="V330" s="21" t="s">
        <v>2276</v>
      </c>
      <c r="W330" s="21" t="s">
        <v>2276</v>
      </c>
      <c r="X330" s="3" t="s">
        <v>2276</v>
      </c>
      <c r="Y330" s="3" t="s">
        <v>2276</v>
      </c>
      <c r="Z330" s="3" t="s">
        <v>2276</v>
      </c>
      <c r="AA330" s="4"/>
      <c r="AB330" s="4"/>
    </row>
    <row r="331" spans="1:28" ht="112" customHeight="1">
      <c r="A331" s="6" t="str">
        <f>'Reported burning'!A331</f>
        <v>27w</v>
      </c>
      <c r="B331" s="6" t="str">
        <f>'Reported burning'!B331</f>
        <v>27w.1</v>
      </c>
      <c r="C331" s="6" t="str">
        <f>'Reported burning'!C331</f>
        <v>Human, deliberate</v>
      </c>
      <c r="D331" s="6" t="str">
        <f>'Reported burning'!D331</f>
        <v>Forest clearance</v>
      </c>
      <c r="E331" s="6" t="str">
        <f>'Reported burning'!E331</f>
        <v>Cropping, Monoculture, Subsistence-oriented</v>
      </c>
      <c r="F331" s="6" t="str">
        <f>'Reported burning'!F331</f>
        <v>Forest</v>
      </c>
      <c r="G331" s="6" t="str">
        <f>'Reported burning'!G331</f>
        <v>ND</v>
      </c>
      <c r="H331" s="6" t="str">
        <f>'Reported burning'!H331</f>
        <v>Presence</v>
      </c>
      <c r="I331" s="3"/>
      <c r="J331" s="21" t="s">
        <v>2276</v>
      </c>
      <c r="K331" s="103" t="s">
        <v>2276</v>
      </c>
      <c r="L331" s="21" t="s">
        <v>2276</v>
      </c>
      <c r="M331" s="21" t="s">
        <v>2276</v>
      </c>
      <c r="N331" s="21" t="s">
        <v>2276</v>
      </c>
      <c r="O331" s="21" t="s">
        <v>2276</v>
      </c>
      <c r="P331" s="21" t="s">
        <v>2276</v>
      </c>
      <c r="Q331" s="102" t="s">
        <v>2276</v>
      </c>
      <c r="R331" s="102" t="s">
        <v>2276</v>
      </c>
      <c r="S331" s="21" t="s">
        <v>2276</v>
      </c>
      <c r="T331" s="21" t="s">
        <v>2276</v>
      </c>
      <c r="U331" s="21" t="s">
        <v>2276</v>
      </c>
      <c r="V331" s="21" t="s">
        <v>2276</v>
      </c>
      <c r="W331" s="21" t="s">
        <v>2276</v>
      </c>
      <c r="X331" s="3" t="s">
        <v>2276</v>
      </c>
      <c r="Y331" s="3" t="s">
        <v>2276</v>
      </c>
      <c r="Z331" s="3" t="s">
        <v>2276</v>
      </c>
      <c r="AA331" s="4"/>
      <c r="AB331" s="4"/>
    </row>
    <row r="332" spans="1:28" ht="112" customHeight="1">
      <c r="A332" s="6" t="str">
        <f>'Reported burning'!A332</f>
        <v>27w</v>
      </c>
      <c r="B332" s="6" t="str">
        <f>'Reported burning'!B332</f>
        <v>27w.2</v>
      </c>
      <c r="C332" s="6" t="str">
        <f>'Reported burning'!C332</f>
        <v>Human, deliberate</v>
      </c>
      <c r="D332" s="6" t="str">
        <f>'Reported burning'!D332</f>
        <v>Forest clearance</v>
      </c>
      <c r="E332" s="6" t="str">
        <f>'Reported burning'!E332</f>
        <v>Cropping, Swidden</v>
      </c>
      <c r="F332" s="6" t="str">
        <f>'Reported burning'!F332</f>
        <v>Forest</v>
      </c>
      <c r="G332" s="6" t="str">
        <f>'Reported burning'!G332</f>
        <v>ND</v>
      </c>
      <c r="H332" s="6" t="str">
        <f>'Reported burning'!H332</f>
        <v>Presence</v>
      </c>
      <c r="I332" s="3"/>
      <c r="J332" s="21" t="s">
        <v>2276</v>
      </c>
      <c r="K332" s="103" t="s">
        <v>2276</v>
      </c>
      <c r="L332" s="21" t="s">
        <v>2276</v>
      </c>
      <c r="M332" s="21" t="s">
        <v>2276</v>
      </c>
      <c r="N332" s="21" t="s">
        <v>2276</v>
      </c>
      <c r="O332" s="21" t="s">
        <v>2276</v>
      </c>
      <c r="P332" s="21" t="s">
        <v>2276</v>
      </c>
      <c r="Q332" s="102" t="s">
        <v>2276</v>
      </c>
      <c r="R332" s="102" t="s">
        <v>2276</v>
      </c>
      <c r="S332" s="21" t="s">
        <v>2276</v>
      </c>
      <c r="T332" s="21" t="s">
        <v>2276</v>
      </c>
      <c r="U332" s="21" t="s">
        <v>2276</v>
      </c>
      <c r="V332" s="21" t="s">
        <v>2276</v>
      </c>
      <c r="W332" s="21" t="s">
        <v>2276</v>
      </c>
      <c r="X332" s="3" t="s">
        <v>2276</v>
      </c>
      <c r="Y332" s="3" t="s">
        <v>2276</v>
      </c>
      <c r="Z332" s="3" t="s">
        <v>2276</v>
      </c>
      <c r="AA332" s="4"/>
      <c r="AB332" s="4"/>
    </row>
    <row r="333" spans="1:28" ht="112" customHeight="1">
      <c r="A333" s="6" t="str">
        <f>'Reported burning'!A333</f>
        <v>27w</v>
      </c>
      <c r="B333" s="6" t="str">
        <f>'Reported burning'!B333</f>
        <v>27w.3</v>
      </c>
      <c r="C333" s="6" t="str">
        <f>'Reported burning'!C333</f>
        <v>Human, deliberate</v>
      </c>
      <c r="D333" s="6" t="str">
        <f>'Reported burning'!D333</f>
        <v>Crop field preparation</v>
      </c>
      <c r="E333" s="6" t="str">
        <f>'Reported burning'!E333</f>
        <v>Cropping, Swidden</v>
      </c>
      <c r="F333" s="6" t="str">
        <f>'Reported burning'!F333</f>
        <v>Secondary Vegetation</v>
      </c>
      <c r="G333" s="6" t="str">
        <f>'Reported burning'!G333</f>
        <v>ND</v>
      </c>
      <c r="H333" s="6" t="str">
        <f>'Reported burning'!H333</f>
        <v>Presence</v>
      </c>
      <c r="I333" s="3"/>
      <c r="J333" s="21" t="s">
        <v>2276</v>
      </c>
      <c r="K333" s="103" t="s">
        <v>2276</v>
      </c>
      <c r="L333" s="21" t="s">
        <v>2276</v>
      </c>
      <c r="M333" s="21" t="s">
        <v>2276</v>
      </c>
      <c r="N333" s="21" t="s">
        <v>2276</v>
      </c>
      <c r="O333" s="21" t="s">
        <v>2276</v>
      </c>
      <c r="P333" s="21" t="s">
        <v>2276</v>
      </c>
      <c r="Q333" s="102" t="s">
        <v>2276</v>
      </c>
      <c r="R333" s="102" t="s">
        <v>2276</v>
      </c>
      <c r="S333" s="21" t="s">
        <v>2276</v>
      </c>
      <c r="T333" s="21" t="s">
        <v>2276</v>
      </c>
      <c r="U333" s="21" t="s">
        <v>2276</v>
      </c>
      <c r="V333" s="21" t="s">
        <v>2276</v>
      </c>
      <c r="W333" s="21" t="s">
        <v>2276</v>
      </c>
      <c r="X333" s="3" t="s">
        <v>2276</v>
      </c>
      <c r="Y333" s="3" t="s">
        <v>2276</v>
      </c>
      <c r="Z333" s="3" t="s">
        <v>2276</v>
      </c>
      <c r="AA333" s="4"/>
      <c r="AB333" s="4"/>
    </row>
    <row r="334" spans="1:28" ht="112" customHeight="1">
      <c r="A334" s="6" t="str">
        <f>'Reported burning'!A334</f>
        <v>27x</v>
      </c>
      <c r="B334" s="6" t="str">
        <f>'Reported burning'!B334</f>
        <v>27x.1</v>
      </c>
      <c r="C334" s="6" t="str">
        <f>'Reported burning'!C334</f>
        <v>Human, deliberate</v>
      </c>
      <c r="D334" s="6" t="str">
        <f>'Reported burning'!D334</f>
        <v>Forest clearance</v>
      </c>
      <c r="E334" s="6" t="str">
        <f>'Reported burning'!E334</f>
        <v>Cropping, Monoculture, Subsistence-oriented</v>
      </c>
      <c r="F334" s="6" t="str">
        <f>'Reported burning'!F334</f>
        <v>Forest</v>
      </c>
      <c r="G334" s="6" t="str">
        <f>'Reported burning'!G334</f>
        <v>ND</v>
      </c>
      <c r="H334" s="6" t="str">
        <f>'Reported burning'!H334</f>
        <v>Presence</v>
      </c>
      <c r="I334" s="3"/>
      <c r="J334" s="21" t="s">
        <v>2276</v>
      </c>
      <c r="K334" s="103" t="s">
        <v>2276</v>
      </c>
      <c r="L334" s="21" t="s">
        <v>2276</v>
      </c>
      <c r="M334" s="21" t="s">
        <v>2276</v>
      </c>
      <c r="N334" s="21" t="s">
        <v>2276</v>
      </c>
      <c r="O334" s="21" t="s">
        <v>2276</v>
      </c>
      <c r="P334" s="21" t="s">
        <v>2276</v>
      </c>
      <c r="Q334" s="102" t="s">
        <v>2276</v>
      </c>
      <c r="R334" s="102" t="s">
        <v>2276</v>
      </c>
      <c r="S334" s="21" t="s">
        <v>2276</v>
      </c>
      <c r="T334" s="21" t="s">
        <v>2276</v>
      </c>
      <c r="U334" s="21" t="s">
        <v>2276</v>
      </c>
      <c r="V334" s="21" t="s">
        <v>2276</v>
      </c>
      <c r="W334" s="21" t="s">
        <v>2276</v>
      </c>
      <c r="X334" s="3" t="s">
        <v>2276</v>
      </c>
      <c r="Y334" s="3" t="s">
        <v>2276</v>
      </c>
      <c r="Z334" s="3" t="s">
        <v>2276</v>
      </c>
      <c r="AA334" s="4"/>
      <c r="AB334" s="4"/>
    </row>
    <row r="335" spans="1:28" ht="112" customHeight="1">
      <c r="A335" s="6" t="str">
        <f>'Reported burning'!A335</f>
        <v>27y</v>
      </c>
      <c r="B335" s="6" t="str">
        <f>'Reported burning'!B335</f>
        <v>27y.1</v>
      </c>
      <c r="C335" s="6" t="str">
        <f>'Reported burning'!C335</f>
        <v>Human, deliberate</v>
      </c>
      <c r="D335" s="6" t="str">
        <f>'Reported burning'!D335</f>
        <v>Forest clearance</v>
      </c>
      <c r="E335" s="6" t="str">
        <f>'Reported burning'!E335</f>
        <v>Cropping, Monoculture, Subsistence-oriented</v>
      </c>
      <c r="F335" s="6" t="str">
        <f>'Reported burning'!F335</f>
        <v>Forest</v>
      </c>
      <c r="G335" s="6" t="str">
        <f>'Reported burning'!G335</f>
        <v>ND</v>
      </c>
      <c r="H335" s="6" t="str">
        <f>'Reported burning'!H335</f>
        <v>Presence</v>
      </c>
      <c r="I335" s="3"/>
      <c r="J335" s="21" t="s">
        <v>2276</v>
      </c>
      <c r="K335" s="103" t="s">
        <v>2276</v>
      </c>
      <c r="L335" s="21" t="s">
        <v>2276</v>
      </c>
      <c r="M335" s="21" t="s">
        <v>2276</v>
      </c>
      <c r="N335" s="21" t="s">
        <v>2276</v>
      </c>
      <c r="O335" s="21" t="s">
        <v>2276</v>
      </c>
      <c r="P335" s="21" t="s">
        <v>2276</v>
      </c>
      <c r="Q335" s="102" t="s">
        <v>2276</v>
      </c>
      <c r="R335" s="102" t="s">
        <v>2276</v>
      </c>
      <c r="S335" s="21" t="s">
        <v>2276</v>
      </c>
      <c r="T335" s="21" t="s">
        <v>2276</v>
      </c>
      <c r="U335" s="21" t="s">
        <v>2276</v>
      </c>
      <c r="V335" s="21" t="s">
        <v>2276</v>
      </c>
      <c r="W335" s="21" t="s">
        <v>2276</v>
      </c>
      <c r="X335" s="3" t="s">
        <v>2276</v>
      </c>
      <c r="Y335" s="3" t="s">
        <v>2276</v>
      </c>
      <c r="Z335" s="3" t="s">
        <v>2276</v>
      </c>
      <c r="AA335" s="4"/>
      <c r="AB335" s="4"/>
    </row>
    <row r="336" spans="1:28" ht="112" customHeight="1">
      <c r="A336" s="6" t="str">
        <f>'Reported burning'!A336</f>
        <v>27z</v>
      </c>
      <c r="B336" s="6" t="str">
        <f>'Reported burning'!B336</f>
        <v>27z.1</v>
      </c>
      <c r="C336" s="6" t="str">
        <f>'Reported burning'!C336</f>
        <v>Human, deliberate</v>
      </c>
      <c r="D336" s="6" t="str">
        <f>'Reported burning'!D336</f>
        <v>Forest clearance</v>
      </c>
      <c r="E336" s="6" t="str">
        <f>'Reported burning'!E336</f>
        <v>Cropping, Monoculture, Subsistence-oriented</v>
      </c>
      <c r="F336" s="6" t="str">
        <f>'Reported burning'!F336</f>
        <v>Forest</v>
      </c>
      <c r="G336" s="6" t="str">
        <f>'Reported burning'!G336</f>
        <v>ND</v>
      </c>
      <c r="H336" s="6" t="str">
        <f>'Reported burning'!H336</f>
        <v>Presence</v>
      </c>
      <c r="I336" s="3"/>
      <c r="J336" s="21" t="s">
        <v>2276</v>
      </c>
      <c r="K336" s="103" t="s">
        <v>2276</v>
      </c>
      <c r="L336" s="21" t="s">
        <v>2276</v>
      </c>
      <c r="M336" s="21" t="s">
        <v>2276</v>
      </c>
      <c r="N336" s="21" t="s">
        <v>2276</v>
      </c>
      <c r="O336" s="21" t="s">
        <v>2276</v>
      </c>
      <c r="P336" s="21" t="s">
        <v>2276</v>
      </c>
      <c r="Q336" s="102" t="s">
        <v>2276</v>
      </c>
      <c r="R336" s="102" t="s">
        <v>2276</v>
      </c>
      <c r="S336" s="21" t="s">
        <v>2276</v>
      </c>
      <c r="T336" s="21" t="s">
        <v>2276</v>
      </c>
      <c r="U336" s="21" t="s">
        <v>2276</v>
      </c>
      <c r="V336" s="21" t="s">
        <v>2276</v>
      </c>
      <c r="W336" s="21" t="s">
        <v>2276</v>
      </c>
      <c r="X336" s="3" t="s">
        <v>2276</v>
      </c>
      <c r="Y336" s="3" t="s">
        <v>2276</v>
      </c>
      <c r="Z336" s="3" t="s">
        <v>2276</v>
      </c>
      <c r="AA336" s="4"/>
      <c r="AB336" s="4"/>
    </row>
    <row r="337" spans="1:28" ht="112" customHeight="1">
      <c r="A337" s="6" t="str">
        <f>'Reported burning'!A337</f>
        <v>27z</v>
      </c>
      <c r="B337" s="6" t="str">
        <f>'Reported burning'!B337</f>
        <v>27z.2</v>
      </c>
      <c r="C337" s="6" t="str">
        <f>'Reported burning'!C337</f>
        <v>Human, deliberate</v>
      </c>
      <c r="D337" s="6" t="str">
        <f>'Reported burning'!D337</f>
        <v>Forest clearance</v>
      </c>
      <c r="E337" s="6" t="str">
        <f>'Reported burning'!E337</f>
        <v>Cropping, Swidden</v>
      </c>
      <c r="F337" s="6" t="str">
        <f>'Reported burning'!F337</f>
        <v>Forest</v>
      </c>
      <c r="G337" s="6" t="str">
        <f>'Reported burning'!G337</f>
        <v>ND</v>
      </c>
      <c r="H337" s="6" t="str">
        <f>'Reported burning'!H337</f>
        <v>Presence</v>
      </c>
      <c r="I337" s="3"/>
      <c r="J337" s="21" t="s">
        <v>2276</v>
      </c>
      <c r="K337" s="103" t="s">
        <v>2276</v>
      </c>
      <c r="L337" s="21" t="s">
        <v>2276</v>
      </c>
      <c r="M337" s="21" t="s">
        <v>2276</v>
      </c>
      <c r="N337" s="21" t="s">
        <v>2276</v>
      </c>
      <c r="O337" s="21" t="s">
        <v>2276</v>
      </c>
      <c r="P337" s="21" t="s">
        <v>2276</v>
      </c>
      <c r="Q337" s="102" t="s">
        <v>2276</v>
      </c>
      <c r="R337" s="102" t="s">
        <v>2276</v>
      </c>
      <c r="S337" s="21" t="s">
        <v>2276</v>
      </c>
      <c r="T337" s="21" t="s">
        <v>2276</v>
      </c>
      <c r="U337" s="21" t="s">
        <v>2276</v>
      </c>
      <c r="V337" s="21" t="s">
        <v>2276</v>
      </c>
      <c r="W337" s="21" t="s">
        <v>2276</v>
      </c>
      <c r="X337" s="3" t="s">
        <v>2276</v>
      </c>
      <c r="Y337" s="3" t="s">
        <v>2276</v>
      </c>
      <c r="Z337" s="3" t="s">
        <v>2276</v>
      </c>
      <c r="AA337" s="4"/>
      <c r="AB337" s="4"/>
    </row>
    <row r="338" spans="1:28" ht="112" customHeight="1">
      <c r="A338" s="6" t="str">
        <f>'Reported burning'!A338</f>
        <v>27z</v>
      </c>
      <c r="B338" s="6" t="str">
        <f>'Reported burning'!B338</f>
        <v>27z.3</v>
      </c>
      <c r="C338" s="6" t="str">
        <f>'Reported burning'!C338</f>
        <v>Human, deliberate</v>
      </c>
      <c r="D338" s="6" t="str">
        <f>'Reported burning'!D338</f>
        <v>Crop field preparation</v>
      </c>
      <c r="E338" s="6" t="str">
        <f>'Reported burning'!E338</f>
        <v>Cropping, Swidden</v>
      </c>
      <c r="F338" s="6" t="str">
        <f>'Reported burning'!F338</f>
        <v>Secondary Vegetation</v>
      </c>
      <c r="G338" s="6" t="str">
        <f>'Reported burning'!G338</f>
        <v>ND</v>
      </c>
      <c r="H338" s="6" t="str">
        <f>'Reported burning'!H338</f>
        <v>Presence</v>
      </c>
      <c r="I338" s="3"/>
      <c r="J338" s="21" t="s">
        <v>2276</v>
      </c>
      <c r="K338" s="103" t="s">
        <v>2276</v>
      </c>
      <c r="L338" s="21" t="s">
        <v>2276</v>
      </c>
      <c r="M338" s="21" t="s">
        <v>2276</v>
      </c>
      <c r="N338" s="21" t="s">
        <v>2276</v>
      </c>
      <c r="O338" s="21" t="s">
        <v>2276</v>
      </c>
      <c r="P338" s="21" t="s">
        <v>2276</v>
      </c>
      <c r="Q338" s="102" t="s">
        <v>2276</v>
      </c>
      <c r="R338" s="102" t="s">
        <v>2276</v>
      </c>
      <c r="S338" s="21" t="s">
        <v>2276</v>
      </c>
      <c r="T338" s="21" t="s">
        <v>2276</v>
      </c>
      <c r="U338" s="21" t="s">
        <v>2276</v>
      </c>
      <c r="V338" s="21" t="s">
        <v>2276</v>
      </c>
      <c r="W338" s="21" t="s">
        <v>2276</v>
      </c>
      <c r="X338" s="3" t="s">
        <v>2276</v>
      </c>
      <c r="Y338" s="3" t="s">
        <v>2276</v>
      </c>
      <c r="Z338" s="3" t="s">
        <v>2276</v>
      </c>
      <c r="AA338" s="4"/>
      <c r="AB338" s="4"/>
    </row>
    <row r="339" spans="1:28" ht="112" customHeight="1">
      <c r="A339" s="6" t="str">
        <f>'Reported burning'!A339</f>
        <v>27aa</v>
      </c>
      <c r="B339" s="6" t="str">
        <f>'Reported burning'!B339</f>
        <v>27aa.1</v>
      </c>
      <c r="C339" s="6" t="str">
        <f>'Reported burning'!C339</f>
        <v>Human, deliberate</v>
      </c>
      <c r="D339" s="6" t="str">
        <f>'Reported burning'!D339</f>
        <v>Forest clearance</v>
      </c>
      <c r="E339" s="6" t="str">
        <f>'Reported burning'!E339</f>
        <v>Cropping, Swidden</v>
      </c>
      <c r="F339" s="6" t="str">
        <f>'Reported burning'!F339</f>
        <v>Forest</v>
      </c>
      <c r="G339" s="6" t="str">
        <f>'Reported burning'!G339</f>
        <v>ND</v>
      </c>
      <c r="H339" s="6" t="str">
        <f>'Reported burning'!H339</f>
        <v>Presence</v>
      </c>
      <c r="I339" s="3"/>
      <c r="J339" s="21" t="s">
        <v>2276</v>
      </c>
      <c r="K339" s="103" t="s">
        <v>2276</v>
      </c>
      <c r="L339" s="21" t="s">
        <v>2276</v>
      </c>
      <c r="M339" s="21" t="s">
        <v>2276</v>
      </c>
      <c r="N339" s="21" t="s">
        <v>2276</v>
      </c>
      <c r="O339" s="21" t="s">
        <v>2276</v>
      </c>
      <c r="P339" s="21" t="s">
        <v>2276</v>
      </c>
      <c r="Q339" s="102" t="s">
        <v>2276</v>
      </c>
      <c r="R339" s="102" t="s">
        <v>2276</v>
      </c>
      <c r="S339" s="21" t="s">
        <v>2276</v>
      </c>
      <c r="T339" s="21" t="s">
        <v>2276</v>
      </c>
      <c r="U339" s="21" t="s">
        <v>2276</v>
      </c>
      <c r="V339" s="21" t="s">
        <v>2276</v>
      </c>
      <c r="W339" s="21" t="s">
        <v>2276</v>
      </c>
      <c r="X339" s="3" t="s">
        <v>2276</v>
      </c>
      <c r="Y339" s="3" t="s">
        <v>2276</v>
      </c>
      <c r="Z339" s="3" t="s">
        <v>2276</v>
      </c>
      <c r="AA339" s="4"/>
      <c r="AB339" s="4"/>
    </row>
    <row r="340" spans="1:28" ht="112" customHeight="1">
      <c r="A340" s="6" t="str">
        <f>'Reported burning'!A340</f>
        <v>27aa</v>
      </c>
      <c r="B340" s="6" t="str">
        <f>'Reported burning'!B340</f>
        <v>27aa.2</v>
      </c>
      <c r="C340" s="6" t="str">
        <f>'Reported burning'!C340</f>
        <v>Human, deliberate</v>
      </c>
      <c r="D340" s="6" t="str">
        <f>'Reported burning'!D340</f>
        <v>Crop field preparation</v>
      </c>
      <c r="E340" s="6" t="str">
        <f>'Reported burning'!E340</f>
        <v>Cropping, Swidden</v>
      </c>
      <c r="F340" s="6" t="str">
        <f>'Reported burning'!F340</f>
        <v>Secondary Vegetation</v>
      </c>
      <c r="G340" s="6" t="str">
        <f>'Reported burning'!G340</f>
        <v>ND</v>
      </c>
      <c r="H340" s="6" t="str">
        <f>'Reported burning'!H340</f>
        <v>Presence</v>
      </c>
      <c r="I340" s="3"/>
      <c r="J340" s="21" t="s">
        <v>2276</v>
      </c>
      <c r="K340" s="103" t="s">
        <v>2276</v>
      </c>
      <c r="L340" s="21" t="s">
        <v>2276</v>
      </c>
      <c r="M340" s="21" t="s">
        <v>2276</v>
      </c>
      <c r="N340" s="21" t="s">
        <v>2276</v>
      </c>
      <c r="O340" s="21" t="s">
        <v>2276</v>
      </c>
      <c r="P340" s="21" t="s">
        <v>2276</v>
      </c>
      <c r="Q340" s="102" t="s">
        <v>2276</v>
      </c>
      <c r="R340" s="102" t="s">
        <v>2276</v>
      </c>
      <c r="S340" s="21" t="s">
        <v>2276</v>
      </c>
      <c r="T340" s="21" t="s">
        <v>2276</v>
      </c>
      <c r="U340" s="21" t="s">
        <v>2276</v>
      </c>
      <c r="V340" s="21" t="s">
        <v>2276</v>
      </c>
      <c r="W340" s="21" t="s">
        <v>2276</v>
      </c>
      <c r="X340" s="3" t="s">
        <v>2276</v>
      </c>
      <c r="Y340" s="3" t="s">
        <v>2276</v>
      </c>
      <c r="Z340" s="3" t="s">
        <v>2276</v>
      </c>
      <c r="AA340" s="4"/>
      <c r="AB340" s="4"/>
    </row>
    <row r="341" spans="1:28" ht="112" customHeight="1">
      <c r="A341" s="6" t="str">
        <f>'Reported burning'!A341</f>
        <v>27ab</v>
      </c>
      <c r="B341" s="6" t="str">
        <f>'Reported burning'!B341</f>
        <v>27ab.1</v>
      </c>
      <c r="C341" s="6" t="str">
        <f>'Reported burning'!C341</f>
        <v>Human, deliberate</v>
      </c>
      <c r="D341" s="6" t="str">
        <f>'Reported burning'!D341</f>
        <v>Forest clearance</v>
      </c>
      <c r="E341" s="6" t="str">
        <f>'Reported burning'!E341</f>
        <v>Cropping, Monoculture, Subsistence-oriented</v>
      </c>
      <c r="F341" s="6" t="str">
        <f>'Reported burning'!F341</f>
        <v>Forest</v>
      </c>
      <c r="G341" s="6" t="str">
        <f>'Reported burning'!G341</f>
        <v>ND</v>
      </c>
      <c r="H341" s="6" t="str">
        <f>'Reported burning'!H341</f>
        <v>Presence</v>
      </c>
      <c r="I341" s="3"/>
      <c r="J341" s="21" t="s">
        <v>2276</v>
      </c>
      <c r="K341" s="103" t="s">
        <v>2276</v>
      </c>
      <c r="L341" s="21" t="s">
        <v>2276</v>
      </c>
      <c r="M341" s="21" t="s">
        <v>2276</v>
      </c>
      <c r="N341" s="21" t="s">
        <v>2276</v>
      </c>
      <c r="O341" s="21" t="s">
        <v>2276</v>
      </c>
      <c r="P341" s="21" t="s">
        <v>2276</v>
      </c>
      <c r="Q341" s="102" t="s">
        <v>2276</v>
      </c>
      <c r="R341" s="102" t="s">
        <v>2276</v>
      </c>
      <c r="S341" s="21" t="s">
        <v>2276</v>
      </c>
      <c r="T341" s="21" t="s">
        <v>2276</v>
      </c>
      <c r="U341" s="21" t="s">
        <v>2276</v>
      </c>
      <c r="V341" s="21" t="s">
        <v>2276</v>
      </c>
      <c r="W341" s="21" t="s">
        <v>2276</v>
      </c>
      <c r="X341" s="3" t="s">
        <v>2276</v>
      </c>
      <c r="Y341" s="3" t="s">
        <v>2276</v>
      </c>
      <c r="Z341" s="3" t="s">
        <v>2276</v>
      </c>
      <c r="AA341" s="4"/>
      <c r="AB341" s="4"/>
    </row>
    <row r="342" spans="1:28" ht="112" customHeight="1">
      <c r="A342" s="6" t="str">
        <f>'Reported burning'!A342</f>
        <v>27ac</v>
      </c>
      <c r="B342" s="6" t="str">
        <f>'Reported burning'!B342</f>
        <v>27ac.1</v>
      </c>
      <c r="C342" s="6" t="str">
        <f>'Reported burning'!C342</f>
        <v>Human, deliberate</v>
      </c>
      <c r="D342" s="6" t="str">
        <f>'Reported burning'!D342</f>
        <v>Forest clearance</v>
      </c>
      <c r="E342" s="6" t="str">
        <f>'Reported burning'!E342</f>
        <v>Cropping, Swidden</v>
      </c>
      <c r="F342" s="6" t="str">
        <f>'Reported burning'!F342</f>
        <v>Forest</v>
      </c>
      <c r="G342" s="6" t="str">
        <f>'Reported burning'!G342</f>
        <v>ND</v>
      </c>
      <c r="H342" s="6" t="str">
        <f>'Reported burning'!H342</f>
        <v>Presence</v>
      </c>
      <c r="I342" s="3"/>
      <c r="J342" s="21" t="s">
        <v>2276</v>
      </c>
      <c r="K342" s="103" t="s">
        <v>2276</v>
      </c>
      <c r="L342" s="21" t="s">
        <v>2276</v>
      </c>
      <c r="M342" s="21" t="s">
        <v>2276</v>
      </c>
      <c r="N342" s="21" t="s">
        <v>2276</v>
      </c>
      <c r="O342" s="21" t="s">
        <v>2276</v>
      </c>
      <c r="P342" s="21" t="s">
        <v>2276</v>
      </c>
      <c r="Q342" s="102" t="s">
        <v>2276</v>
      </c>
      <c r="R342" s="102" t="s">
        <v>2276</v>
      </c>
      <c r="S342" s="21" t="s">
        <v>2276</v>
      </c>
      <c r="T342" s="21" t="s">
        <v>2276</v>
      </c>
      <c r="U342" s="21" t="s">
        <v>2276</v>
      </c>
      <c r="V342" s="21" t="s">
        <v>2276</v>
      </c>
      <c r="W342" s="21" t="s">
        <v>2276</v>
      </c>
      <c r="X342" s="3" t="s">
        <v>2276</v>
      </c>
      <c r="Y342" s="3" t="s">
        <v>2276</v>
      </c>
      <c r="Z342" s="3" t="s">
        <v>2276</v>
      </c>
      <c r="AA342" s="4"/>
      <c r="AB342" s="4"/>
    </row>
    <row r="343" spans="1:28" ht="112" customHeight="1">
      <c r="A343" s="6" t="str">
        <f>'Reported burning'!A343</f>
        <v>27ac</v>
      </c>
      <c r="B343" s="6" t="str">
        <f>'Reported burning'!B343</f>
        <v>27ac.1</v>
      </c>
      <c r="C343" s="6" t="str">
        <f>'Reported burning'!C343</f>
        <v>Human, deliberate</v>
      </c>
      <c r="D343" s="6" t="str">
        <f>'Reported burning'!D343</f>
        <v>Crop field preparation</v>
      </c>
      <c r="E343" s="6" t="str">
        <f>'Reported burning'!E343</f>
        <v>Cropping, Swidden</v>
      </c>
      <c r="F343" s="6" t="str">
        <f>'Reported burning'!F343</f>
        <v>Secondary Vegetation</v>
      </c>
      <c r="G343" s="6" t="str">
        <f>'Reported burning'!G343</f>
        <v>ND</v>
      </c>
      <c r="H343" s="6" t="str">
        <f>'Reported burning'!H343</f>
        <v>Presence</v>
      </c>
      <c r="I343" s="3"/>
      <c r="J343" s="21" t="s">
        <v>2276</v>
      </c>
      <c r="K343" s="103" t="s">
        <v>2276</v>
      </c>
      <c r="L343" s="21" t="s">
        <v>2276</v>
      </c>
      <c r="M343" s="21" t="s">
        <v>2276</v>
      </c>
      <c r="N343" s="21" t="s">
        <v>2276</v>
      </c>
      <c r="O343" s="21" t="s">
        <v>2276</v>
      </c>
      <c r="P343" s="21" t="s">
        <v>2276</v>
      </c>
      <c r="Q343" s="102" t="s">
        <v>2276</v>
      </c>
      <c r="R343" s="102" t="s">
        <v>2276</v>
      </c>
      <c r="S343" s="21" t="s">
        <v>2276</v>
      </c>
      <c r="T343" s="21" t="s">
        <v>2276</v>
      </c>
      <c r="U343" s="21" t="s">
        <v>2276</v>
      </c>
      <c r="V343" s="21" t="s">
        <v>2276</v>
      </c>
      <c r="W343" s="21" t="s">
        <v>2276</v>
      </c>
      <c r="X343" s="3" t="s">
        <v>2276</v>
      </c>
      <c r="Y343" s="3" t="s">
        <v>2276</v>
      </c>
      <c r="Z343" s="3" t="s">
        <v>2276</v>
      </c>
      <c r="AA343" s="4"/>
      <c r="AB343" s="4"/>
    </row>
    <row r="344" spans="1:28" ht="112" customHeight="1">
      <c r="A344" s="6" t="str">
        <f>'Reported burning'!A344</f>
        <v>27ad</v>
      </c>
      <c r="B344" s="6" t="str">
        <f>'Reported burning'!B344</f>
        <v>27ad.1</v>
      </c>
      <c r="C344" s="6" t="str">
        <f>'Reported burning'!C344</f>
        <v>Human, deliberate</v>
      </c>
      <c r="D344" s="6" t="str">
        <f>'Reported burning'!D344</f>
        <v>Forest clearance</v>
      </c>
      <c r="E344" s="6" t="str">
        <f>'Reported burning'!E344</f>
        <v>Cropping, Swidden</v>
      </c>
      <c r="F344" s="6" t="str">
        <f>'Reported burning'!F344</f>
        <v>Forest</v>
      </c>
      <c r="G344" s="6" t="str">
        <f>'Reported burning'!G344</f>
        <v>ND</v>
      </c>
      <c r="H344" s="6" t="str">
        <f>'Reported burning'!H344</f>
        <v>Presence</v>
      </c>
      <c r="I344" s="3"/>
      <c r="J344" s="21" t="s">
        <v>2276</v>
      </c>
      <c r="K344" s="103" t="s">
        <v>2276</v>
      </c>
      <c r="L344" s="21" t="s">
        <v>2276</v>
      </c>
      <c r="M344" s="21" t="s">
        <v>2276</v>
      </c>
      <c r="N344" s="21" t="s">
        <v>2276</v>
      </c>
      <c r="O344" s="21" t="s">
        <v>2276</v>
      </c>
      <c r="P344" s="21" t="s">
        <v>2276</v>
      </c>
      <c r="Q344" s="102" t="s">
        <v>2276</v>
      </c>
      <c r="R344" s="102" t="s">
        <v>2276</v>
      </c>
      <c r="S344" s="21" t="s">
        <v>2276</v>
      </c>
      <c r="T344" s="21" t="s">
        <v>2276</v>
      </c>
      <c r="U344" s="21" t="s">
        <v>2276</v>
      </c>
      <c r="V344" s="21" t="s">
        <v>2276</v>
      </c>
      <c r="W344" s="21" t="s">
        <v>2276</v>
      </c>
      <c r="X344" s="3" t="s">
        <v>2276</v>
      </c>
      <c r="Y344" s="3" t="s">
        <v>2276</v>
      </c>
      <c r="Z344" s="3" t="s">
        <v>2276</v>
      </c>
      <c r="AA344" s="4"/>
      <c r="AB344" s="4"/>
    </row>
    <row r="345" spans="1:28" ht="112" customHeight="1">
      <c r="A345" s="6" t="str">
        <f>'Reported burning'!A345</f>
        <v>27ad</v>
      </c>
      <c r="B345" s="6" t="str">
        <f>'Reported burning'!B345</f>
        <v>27ad.1</v>
      </c>
      <c r="C345" s="6" t="str">
        <f>'Reported burning'!C345</f>
        <v>Human, deliberate</v>
      </c>
      <c r="D345" s="6" t="str">
        <f>'Reported burning'!D345</f>
        <v>Crop field preparation</v>
      </c>
      <c r="E345" s="6" t="str">
        <f>'Reported burning'!E345</f>
        <v>Cropping, Swidden</v>
      </c>
      <c r="F345" s="6" t="str">
        <f>'Reported burning'!F345</f>
        <v>Secondary Vegetation</v>
      </c>
      <c r="G345" s="6" t="str">
        <f>'Reported burning'!G345</f>
        <v>ND</v>
      </c>
      <c r="H345" s="6" t="str">
        <f>'Reported burning'!H345</f>
        <v>Presence</v>
      </c>
      <c r="I345" s="3"/>
      <c r="J345" s="21" t="s">
        <v>2276</v>
      </c>
      <c r="K345" s="103" t="s">
        <v>2276</v>
      </c>
      <c r="L345" s="21" t="s">
        <v>2276</v>
      </c>
      <c r="M345" s="21" t="s">
        <v>2276</v>
      </c>
      <c r="N345" s="21" t="s">
        <v>2276</v>
      </c>
      <c r="O345" s="21" t="s">
        <v>2276</v>
      </c>
      <c r="P345" s="21" t="s">
        <v>2276</v>
      </c>
      <c r="Q345" s="102" t="s">
        <v>2276</v>
      </c>
      <c r="R345" s="102" t="s">
        <v>2276</v>
      </c>
      <c r="S345" s="21" t="s">
        <v>2276</v>
      </c>
      <c r="T345" s="21" t="s">
        <v>2276</v>
      </c>
      <c r="U345" s="21" t="s">
        <v>2276</v>
      </c>
      <c r="V345" s="21" t="s">
        <v>2276</v>
      </c>
      <c r="W345" s="21" t="s">
        <v>2276</v>
      </c>
      <c r="X345" s="3" t="s">
        <v>2276</v>
      </c>
      <c r="Y345" s="3" t="s">
        <v>2276</v>
      </c>
      <c r="Z345" s="3" t="s">
        <v>2276</v>
      </c>
      <c r="AA345" s="4"/>
      <c r="AB345" s="4"/>
    </row>
    <row r="346" spans="1:28" ht="112" customHeight="1">
      <c r="A346" s="6" t="str">
        <f>'Reported burning'!A346</f>
        <v>27ae</v>
      </c>
      <c r="B346" s="6" t="str">
        <f>'Reported burning'!B346</f>
        <v>27ae.1</v>
      </c>
      <c r="C346" s="6" t="str">
        <f>'Reported burning'!C346</f>
        <v>Human, deliberate</v>
      </c>
      <c r="D346" s="6" t="str">
        <f>'Reported burning'!D346</f>
        <v>Forest clearance</v>
      </c>
      <c r="E346" s="6" t="str">
        <f>'Reported burning'!E346</f>
        <v>Cropping, Swidden</v>
      </c>
      <c r="F346" s="6" t="str">
        <f>'Reported burning'!F346</f>
        <v>Forest</v>
      </c>
      <c r="G346" s="6" t="str">
        <f>'Reported burning'!G346</f>
        <v>ND</v>
      </c>
      <c r="H346" s="6" t="str">
        <f>'Reported burning'!H346</f>
        <v>Presence</v>
      </c>
      <c r="I346" s="3"/>
      <c r="J346" s="21" t="s">
        <v>2276</v>
      </c>
      <c r="K346" s="103" t="s">
        <v>2276</v>
      </c>
      <c r="L346" s="21" t="s">
        <v>2276</v>
      </c>
      <c r="M346" s="21" t="s">
        <v>2276</v>
      </c>
      <c r="N346" s="21" t="s">
        <v>2276</v>
      </c>
      <c r="O346" s="21" t="s">
        <v>2276</v>
      </c>
      <c r="P346" s="21" t="s">
        <v>2276</v>
      </c>
      <c r="Q346" s="102" t="s">
        <v>2276</v>
      </c>
      <c r="R346" s="102" t="s">
        <v>2276</v>
      </c>
      <c r="S346" s="21" t="s">
        <v>2276</v>
      </c>
      <c r="T346" s="21" t="s">
        <v>2276</v>
      </c>
      <c r="U346" s="21" t="s">
        <v>2276</v>
      </c>
      <c r="V346" s="21" t="s">
        <v>2276</v>
      </c>
      <c r="W346" s="21" t="s">
        <v>2276</v>
      </c>
      <c r="X346" s="3" t="s">
        <v>2276</v>
      </c>
      <c r="Y346" s="3" t="s">
        <v>2276</v>
      </c>
      <c r="Z346" s="3" t="s">
        <v>2276</v>
      </c>
      <c r="AA346" s="4"/>
      <c r="AB346" s="4"/>
    </row>
    <row r="347" spans="1:28" ht="112" customHeight="1">
      <c r="A347" s="6" t="str">
        <f>'Reported burning'!A347</f>
        <v>27ae</v>
      </c>
      <c r="B347" s="6" t="str">
        <f>'Reported burning'!B347</f>
        <v>27ae.2</v>
      </c>
      <c r="C347" s="6" t="str">
        <f>'Reported burning'!C347</f>
        <v>Human, deliberate</v>
      </c>
      <c r="D347" s="6" t="str">
        <f>'Reported burning'!D347</f>
        <v>Crop field preparation</v>
      </c>
      <c r="E347" s="6" t="str">
        <f>'Reported burning'!E347</f>
        <v>Cropping, Swidden</v>
      </c>
      <c r="F347" s="6" t="str">
        <f>'Reported burning'!F347</f>
        <v>Secondary Vegetation</v>
      </c>
      <c r="G347" s="6" t="str">
        <f>'Reported burning'!G347</f>
        <v>ND</v>
      </c>
      <c r="H347" s="6" t="str">
        <f>'Reported burning'!H347</f>
        <v>Presence</v>
      </c>
      <c r="I347" s="3"/>
      <c r="J347" s="21" t="s">
        <v>2276</v>
      </c>
      <c r="K347" s="103" t="s">
        <v>2276</v>
      </c>
      <c r="L347" s="21" t="s">
        <v>2276</v>
      </c>
      <c r="M347" s="21" t="s">
        <v>2276</v>
      </c>
      <c r="N347" s="21" t="s">
        <v>2276</v>
      </c>
      <c r="O347" s="21" t="s">
        <v>2276</v>
      </c>
      <c r="P347" s="21" t="s">
        <v>2276</v>
      </c>
      <c r="Q347" s="102" t="s">
        <v>2276</v>
      </c>
      <c r="R347" s="102" t="s">
        <v>2276</v>
      </c>
      <c r="S347" s="21" t="s">
        <v>2276</v>
      </c>
      <c r="T347" s="21" t="s">
        <v>2276</v>
      </c>
      <c r="U347" s="21" t="s">
        <v>2276</v>
      </c>
      <c r="V347" s="21" t="s">
        <v>2276</v>
      </c>
      <c r="W347" s="21" t="s">
        <v>2276</v>
      </c>
      <c r="X347" s="3" t="s">
        <v>2276</v>
      </c>
      <c r="Y347" s="3" t="s">
        <v>2276</v>
      </c>
      <c r="Z347" s="3" t="s">
        <v>2276</v>
      </c>
      <c r="AA347" s="4"/>
      <c r="AB347" s="4"/>
    </row>
    <row r="348" spans="1:28" ht="112" customHeight="1">
      <c r="A348" s="6" t="str">
        <f>'Reported burning'!A348</f>
        <v>27ae</v>
      </c>
      <c r="B348" s="6" t="str">
        <f>'Reported burning'!B348</f>
        <v>27ae.3</v>
      </c>
      <c r="C348" s="6" t="str">
        <f>'Reported burning'!C348</f>
        <v>Human, deliberate</v>
      </c>
      <c r="D348" s="6" t="str">
        <f>'Reported burning'!D348</f>
        <v>Forest clearance</v>
      </c>
      <c r="E348" s="6" t="str">
        <f>'Reported burning'!E348</f>
        <v>Cropping, Monoculture, Subsistence-oriented</v>
      </c>
      <c r="F348" s="6" t="str">
        <f>'Reported burning'!F348</f>
        <v>Forest</v>
      </c>
      <c r="G348" s="6" t="str">
        <f>'Reported burning'!G348</f>
        <v>ND</v>
      </c>
      <c r="H348" s="6" t="str">
        <f>'Reported burning'!H348</f>
        <v>Presence</v>
      </c>
      <c r="I348" s="3"/>
      <c r="J348" s="21" t="s">
        <v>2276</v>
      </c>
      <c r="K348" s="103" t="s">
        <v>2276</v>
      </c>
      <c r="L348" s="21" t="s">
        <v>2276</v>
      </c>
      <c r="M348" s="21" t="s">
        <v>2276</v>
      </c>
      <c r="N348" s="21" t="s">
        <v>2276</v>
      </c>
      <c r="O348" s="21" t="s">
        <v>2276</v>
      </c>
      <c r="P348" s="21" t="s">
        <v>2276</v>
      </c>
      <c r="Q348" s="102" t="s">
        <v>2276</v>
      </c>
      <c r="R348" s="102" t="s">
        <v>2276</v>
      </c>
      <c r="S348" s="21" t="s">
        <v>2276</v>
      </c>
      <c r="T348" s="21" t="s">
        <v>2276</v>
      </c>
      <c r="U348" s="21" t="s">
        <v>2276</v>
      </c>
      <c r="V348" s="21" t="s">
        <v>2276</v>
      </c>
      <c r="W348" s="21" t="s">
        <v>2276</v>
      </c>
      <c r="X348" s="3" t="s">
        <v>2276</v>
      </c>
      <c r="Y348" s="3" t="s">
        <v>2276</v>
      </c>
      <c r="Z348" s="3" t="s">
        <v>2276</v>
      </c>
      <c r="AA348" s="4"/>
      <c r="AB348" s="4"/>
    </row>
    <row r="349" spans="1:28" ht="112" customHeight="1">
      <c r="A349" s="6" t="str">
        <f>'Reported burning'!A349</f>
        <v>27af</v>
      </c>
      <c r="B349" s="6" t="str">
        <f>'Reported burning'!B349</f>
        <v>27af.1</v>
      </c>
      <c r="C349" s="6" t="str">
        <f>'Reported burning'!C349</f>
        <v>Human, deliberate</v>
      </c>
      <c r="D349" s="6" t="str">
        <f>'Reported burning'!D349</f>
        <v>Forest clearance</v>
      </c>
      <c r="E349" s="6" t="str">
        <f>'Reported burning'!E349</f>
        <v>Cropping, Swidden</v>
      </c>
      <c r="F349" s="6" t="str">
        <f>'Reported burning'!F349</f>
        <v>Forest</v>
      </c>
      <c r="G349" s="6" t="str">
        <f>'Reported burning'!G349</f>
        <v>ND</v>
      </c>
      <c r="H349" s="6" t="str">
        <f>'Reported burning'!H349</f>
        <v>Presence</v>
      </c>
      <c r="I349" s="3"/>
      <c r="J349" s="21" t="s">
        <v>2276</v>
      </c>
      <c r="K349" s="103" t="s">
        <v>2276</v>
      </c>
      <c r="L349" s="21" t="s">
        <v>2276</v>
      </c>
      <c r="M349" s="21" t="s">
        <v>2276</v>
      </c>
      <c r="N349" s="21" t="s">
        <v>2276</v>
      </c>
      <c r="O349" s="21" t="s">
        <v>2276</v>
      </c>
      <c r="P349" s="21" t="s">
        <v>2276</v>
      </c>
      <c r="Q349" s="102" t="s">
        <v>2276</v>
      </c>
      <c r="R349" s="102" t="s">
        <v>2276</v>
      </c>
      <c r="S349" s="21" t="s">
        <v>2276</v>
      </c>
      <c r="T349" s="21" t="s">
        <v>2276</v>
      </c>
      <c r="U349" s="21" t="s">
        <v>2276</v>
      </c>
      <c r="V349" s="21" t="s">
        <v>2276</v>
      </c>
      <c r="W349" s="21" t="s">
        <v>2276</v>
      </c>
      <c r="X349" s="3" t="s">
        <v>2276</v>
      </c>
      <c r="Y349" s="3" t="s">
        <v>2276</v>
      </c>
      <c r="Z349" s="3" t="s">
        <v>2276</v>
      </c>
      <c r="AA349" s="4"/>
      <c r="AB349" s="4"/>
    </row>
    <row r="350" spans="1:28" ht="112" customHeight="1">
      <c r="A350" s="6" t="str">
        <f>'Reported burning'!A350</f>
        <v>27af</v>
      </c>
      <c r="B350" s="6" t="str">
        <f>'Reported burning'!B350</f>
        <v>27af.2</v>
      </c>
      <c r="C350" s="6" t="str">
        <f>'Reported burning'!C350</f>
        <v>Human, deliberate</v>
      </c>
      <c r="D350" s="6" t="str">
        <f>'Reported burning'!D350</f>
        <v>Crop field preparation</v>
      </c>
      <c r="E350" s="6" t="str">
        <f>'Reported burning'!E350</f>
        <v>Cropping, Swidden</v>
      </c>
      <c r="F350" s="6" t="str">
        <f>'Reported burning'!F350</f>
        <v>Secondary Vegetation</v>
      </c>
      <c r="G350" s="6" t="str">
        <f>'Reported burning'!G350</f>
        <v>ND</v>
      </c>
      <c r="H350" s="6" t="str">
        <f>'Reported burning'!H350</f>
        <v>Presence</v>
      </c>
      <c r="I350" s="3"/>
      <c r="J350" s="21" t="s">
        <v>2276</v>
      </c>
      <c r="K350" s="103" t="s">
        <v>2276</v>
      </c>
      <c r="L350" s="21" t="s">
        <v>2276</v>
      </c>
      <c r="M350" s="21" t="s">
        <v>2276</v>
      </c>
      <c r="N350" s="21" t="s">
        <v>2276</v>
      </c>
      <c r="O350" s="21" t="s">
        <v>2276</v>
      </c>
      <c r="P350" s="21" t="s">
        <v>2276</v>
      </c>
      <c r="Q350" s="102" t="s">
        <v>2276</v>
      </c>
      <c r="R350" s="102" t="s">
        <v>2276</v>
      </c>
      <c r="S350" s="21" t="s">
        <v>2276</v>
      </c>
      <c r="T350" s="21" t="s">
        <v>2276</v>
      </c>
      <c r="U350" s="21" t="s">
        <v>2276</v>
      </c>
      <c r="V350" s="21" t="s">
        <v>2276</v>
      </c>
      <c r="W350" s="21" t="s">
        <v>2276</v>
      </c>
      <c r="X350" s="3" t="s">
        <v>2276</v>
      </c>
      <c r="Y350" s="3" t="s">
        <v>2276</v>
      </c>
      <c r="Z350" s="3" t="s">
        <v>2276</v>
      </c>
      <c r="AA350" s="4"/>
      <c r="AB350" s="4"/>
    </row>
    <row r="351" spans="1:28" ht="112" customHeight="1">
      <c r="A351" s="6" t="str">
        <f>'Reported burning'!A351</f>
        <v>27af</v>
      </c>
      <c r="B351" s="6" t="str">
        <f>'Reported burning'!B351</f>
        <v>27af.3</v>
      </c>
      <c r="C351" s="6" t="str">
        <f>'Reported burning'!C351</f>
        <v>Human, deliberate</v>
      </c>
      <c r="D351" s="6" t="str">
        <f>'Reported burning'!D351</f>
        <v>Forest clearance</v>
      </c>
      <c r="E351" s="6" t="str">
        <f>'Reported burning'!E351</f>
        <v>Cropping, Monoculture, Subsistence-oriented</v>
      </c>
      <c r="F351" s="6" t="str">
        <f>'Reported burning'!F351</f>
        <v>Forest</v>
      </c>
      <c r="G351" s="6" t="str">
        <f>'Reported burning'!G351</f>
        <v>ND</v>
      </c>
      <c r="H351" s="6" t="str">
        <f>'Reported burning'!H351</f>
        <v>Presence</v>
      </c>
      <c r="I351" s="3"/>
      <c r="J351" s="21" t="s">
        <v>2276</v>
      </c>
      <c r="K351" s="103" t="s">
        <v>2276</v>
      </c>
      <c r="L351" s="21" t="s">
        <v>2276</v>
      </c>
      <c r="M351" s="21" t="s">
        <v>2276</v>
      </c>
      <c r="N351" s="21" t="s">
        <v>2276</v>
      </c>
      <c r="O351" s="21" t="s">
        <v>2276</v>
      </c>
      <c r="P351" s="21" t="s">
        <v>2276</v>
      </c>
      <c r="Q351" s="102" t="s">
        <v>2276</v>
      </c>
      <c r="R351" s="102" t="s">
        <v>2276</v>
      </c>
      <c r="S351" s="21" t="s">
        <v>2276</v>
      </c>
      <c r="T351" s="21" t="s">
        <v>2276</v>
      </c>
      <c r="U351" s="21" t="s">
        <v>2276</v>
      </c>
      <c r="V351" s="21" t="s">
        <v>2276</v>
      </c>
      <c r="W351" s="21" t="s">
        <v>2276</v>
      </c>
      <c r="X351" s="3" t="s">
        <v>2276</v>
      </c>
      <c r="Y351" s="3" t="s">
        <v>2276</v>
      </c>
      <c r="Z351" s="3" t="s">
        <v>2276</v>
      </c>
      <c r="AA351" s="4"/>
      <c r="AB351" s="4"/>
    </row>
    <row r="352" spans="1:28" ht="112" customHeight="1">
      <c r="A352" s="6" t="str">
        <f>'Reported burning'!A352</f>
        <v>27ag</v>
      </c>
      <c r="B352" s="6" t="str">
        <f>'Reported burning'!B352</f>
        <v>27ag.1</v>
      </c>
      <c r="C352" s="6" t="str">
        <f>'Reported burning'!C352</f>
        <v>Human, deliberate</v>
      </c>
      <c r="D352" s="6" t="str">
        <f>'Reported burning'!D352</f>
        <v>Forest clearance</v>
      </c>
      <c r="E352" s="6" t="str">
        <f>'Reported burning'!E352</f>
        <v>Cropping, Swidden</v>
      </c>
      <c r="F352" s="6" t="str">
        <f>'Reported burning'!F352</f>
        <v>Forest</v>
      </c>
      <c r="G352" s="6" t="str">
        <f>'Reported burning'!G352</f>
        <v>ND</v>
      </c>
      <c r="H352" s="6" t="str">
        <f>'Reported burning'!H352</f>
        <v>Presence</v>
      </c>
      <c r="I352" s="3"/>
      <c r="J352" s="21" t="s">
        <v>2276</v>
      </c>
      <c r="K352" s="103" t="s">
        <v>2276</v>
      </c>
      <c r="L352" s="21" t="s">
        <v>2276</v>
      </c>
      <c r="M352" s="21" t="s">
        <v>2276</v>
      </c>
      <c r="N352" s="21" t="s">
        <v>2276</v>
      </c>
      <c r="O352" s="21" t="s">
        <v>2276</v>
      </c>
      <c r="P352" s="21" t="s">
        <v>2276</v>
      </c>
      <c r="Q352" s="102" t="s">
        <v>2276</v>
      </c>
      <c r="R352" s="102" t="s">
        <v>2276</v>
      </c>
      <c r="S352" s="21" t="s">
        <v>2276</v>
      </c>
      <c r="T352" s="21" t="s">
        <v>2276</v>
      </c>
      <c r="U352" s="21" t="s">
        <v>2276</v>
      </c>
      <c r="V352" s="21" t="s">
        <v>2276</v>
      </c>
      <c r="W352" s="21" t="s">
        <v>2276</v>
      </c>
      <c r="X352" s="3" t="s">
        <v>2276</v>
      </c>
      <c r="Y352" s="3" t="s">
        <v>2276</v>
      </c>
      <c r="Z352" s="3" t="s">
        <v>2276</v>
      </c>
      <c r="AA352" s="4"/>
      <c r="AB352" s="4"/>
    </row>
    <row r="353" spans="1:28" ht="112" customHeight="1">
      <c r="A353" s="6" t="str">
        <f>'Reported burning'!A353</f>
        <v>27ag</v>
      </c>
      <c r="B353" s="6" t="str">
        <f>'Reported burning'!B353</f>
        <v>27ag.2</v>
      </c>
      <c r="C353" s="6" t="str">
        <f>'Reported burning'!C353</f>
        <v>Human, deliberate</v>
      </c>
      <c r="D353" s="6" t="str">
        <f>'Reported burning'!D353</f>
        <v>Crop field preparation</v>
      </c>
      <c r="E353" s="6" t="str">
        <f>'Reported burning'!E353</f>
        <v>Cropping, Swidden</v>
      </c>
      <c r="F353" s="6" t="str">
        <f>'Reported burning'!F353</f>
        <v>Secondary Vegetation</v>
      </c>
      <c r="G353" s="6" t="str">
        <f>'Reported burning'!G353</f>
        <v>ND</v>
      </c>
      <c r="H353" s="6" t="str">
        <f>'Reported burning'!H353</f>
        <v>Presence</v>
      </c>
      <c r="I353" s="3"/>
      <c r="J353" s="21" t="s">
        <v>2276</v>
      </c>
      <c r="K353" s="103" t="s">
        <v>2276</v>
      </c>
      <c r="L353" s="21" t="s">
        <v>2276</v>
      </c>
      <c r="M353" s="21" t="s">
        <v>2276</v>
      </c>
      <c r="N353" s="21" t="s">
        <v>2276</v>
      </c>
      <c r="O353" s="21" t="s">
        <v>2276</v>
      </c>
      <c r="P353" s="21" t="s">
        <v>2276</v>
      </c>
      <c r="Q353" s="102" t="s">
        <v>2276</v>
      </c>
      <c r="R353" s="102" t="s">
        <v>2276</v>
      </c>
      <c r="S353" s="21" t="s">
        <v>2276</v>
      </c>
      <c r="T353" s="21" t="s">
        <v>2276</v>
      </c>
      <c r="U353" s="21" t="s">
        <v>2276</v>
      </c>
      <c r="V353" s="21" t="s">
        <v>2276</v>
      </c>
      <c r="W353" s="21" t="s">
        <v>2276</v>
      </c>
      <c r="X353" s="3" t="s">
        <v>2276</v>
      </c>
      <c r="Y353" s="3" t="s">
        <v>2276</v>
      </c>
      <c r="Z353" s="3" t="s">
        <v>2276</v>
      </c>
      <c r="AA353" s="4"/>
      <c r="AB353" s="4"/>
    </row>
    <row r="354" spans="1:28" ht="112" customHeight="1">
      <c r="A354" s="6" t="str">
        <f>'Reported burning'!A354</f>
        <v>27ah</v>
      </c>
      <c r="B354" s="6" t="str">
        <f>'Reported burning'!B354</f>
        <v>27ah.1</v>
      </c>
      <c r="C354" s="6" t="str">
        <f>'Reported burning'!C354</f>
        <v>Human, deliberate</v>
      </c>
      <c r="D354" s="6" t="str">
        <f>'Reported burning'!D354</f>
        <v>Forest clearance</v>
      </c>
      <c r="E354" s="6" t="str">
        <f>'Reported burning'!E354</f>
        <v>Cropping, Swidden</v>
      </c>
      <c r="F354" s="6" t="str">
        <f>'Reported burning'!F354</f>
        <v>Forest</v>
      </c>
      <c r="G354" s="6" t="str">
        <f>'Reported burning'!G354</f>
        <v>ND</v>
      </c>
      <c r="H354" s="6" t="str">
        <f>'Reported burning'!H354</f>
        <v>Presence</v>
      </c>
      <c r="I354" s="3"/>
      <c r="J354" s="21" t="s">
        <v>2276</v>
      </c>
      <c r="K354" s="103" t="s">
        <v>2276</v>
      </c>
      <c r="L354" s="21" t="s">
        <v>2276</v>
      </c>
      <c r="M354" s="21" t="s">
        <v>2276</v>
      </c>
      <c r="N354" s="21" t="s">
        <v>2276</v>
      </c>
      <c r="O354" s="21" t="s">
        <v>2276</v>
      </c>
      <c r="P354" s="21" t="s">
        <v>2276</v>
      </c>
      <c r="Q354" s="102" t="s">
        <v>2276</v>
      </c>
      <c r="R354" s="102" t="s">
        <v>2276</v>
      </c>
      <c r="S354" s="21" t="s">
        <v>2276</v>
      </c>
      <c r="T354" s="21" t="s">
        <v>2276</v>
      </c>
      <c r="U354" s="21" t="s">
        <v>2276</v>
      </c>
      <c r="V354" s="21" t="s">
        <v>2276</v>
      </c>
      <c r="W354" s="21" t="s">
        <v>2276</v>
      </c>
      <c r="X354" s="3" t="s">
        <v>2276</v>
      </c>
      <c r="Y354" s="3" t="s">
        <v>2276</v>
      </c>
      <c r="Z354" s="3" t="s">
        <v>2276</v>
      </c>
      <c r="AA354" s="4"/>
      <c r="AB354" s="4"/>
    </row>
    <row r="355" spans="1:28" ht="112" customHeight="1">
      <c r="A355" s="6" t="str">
        <f>'Reported burning'!A355</f>
        <v>27ah</v>
      </c>
      <c r="B355" s="6" t="str">
        <f>'Reported burning'!B355</f>
        <v>27ah.2</v>
      </c>
      <c r="C355" s="6" t="str">
        <f>'Reported burning'!C355</f>
        <v>Human, deliberate</v>
      </c>
      <c r="D355" s="6" t="str">
        <f>'Reported burning'!D355</f>
        <v>Crop field preparation</v>
      </c>
      <c r="E355" s="6" t="str">
        <f>'Reported burning'!E355</f>
        <v>Cropping, Swidden</v>
      </c>
      <c r="F355" s="6" t="str">
        <f>'Reported burning'!F355</f>
        <v>Secondary Vegetation</v>
      </c>
      <c r="G355" s="6" t="str">
        <f>'Reported burning'!G355</f>
        <v>ND</v>
      </c>
      <c r="H355" s="6" t="str">
        <f>'Reported burning'!H355</f>
        <v>Presence</v>
      </c>
      <c r="I355" s="3"/>
      <c r="J355" s="21" t="s">
        <v>2276</v>
      </c>
      <c r="K355" s="103" t="s">
        <v>2276</v>
      </c>
      <c r="L355" s="21" t="s">
        <v>2276</v>
      </c>
      <c r="M355" s="21" t="s">
        <v>2276</v>
      </c>
      <c r="N355" s="21" t="s">
        <v>2276</v>
      </c>
      <c r="O355" s="21" t="s">
        <v>2276</v>
      </c>
      <c r="P355" s="21" t="s">
        <v>2276</v>
      </c>
      <c r="Q355" s="102" t="s">
        <v>2276</v>
      </c>
      <c r="R355" s="102" t="s">
        <v>2276</v>
      </c>
      <c r="S355" s="21" t="s">
        <v>2276</v>
      </c>
      <c r="T355" s="21" t="s">
        <v>2276</v>
      </c>
      <c r="U355" s="21" t="s">
        <v>2276</v>
      </c>
      <c r="V355" s="21" t="s">
        <v>2276</v>
      </c>
      <c r="W355" s="21" t="s">
        <v>2276</v>
      </c>
      <c r="X355" s="3" t="s">
        <v>2276</v>
      </c>
      <c r="Y355" s="3" t="s">
        <v>2276</v>
      </c>
      <c r="Z355" s="3" t="s">
        <v>2276</v>
      </c>
      <c r="AA355" s="4"/>
      <c r="AB355" s="4"/>
    </row>
    <row r="356" spans="1:28" ht="112" customHeight="1">
      <c r="A356" s="6" t="str">
        <f>'Reported burning'!A356</f>
        <v>27ah</v>
      </c>
      <c r="B356" s="6" t="str">
        <f>'Reported burning'!B356</f>
        <v>27ah.3</v>
      </c>
      <c r="C356" s="6" t="str">
        <f>'Reported burning'!C356</f>
        <v>Human, deliberate</v>
      </c>
      <c r="D356" s="6" t="str">
        <f>'Reported burning'!D356</f>
        <v>Forest clearance</v>
      </c>
      <c r="E356" s="6" t="str">
        <f>'Reported burning'!E356</f>
        <v>Cropping, Monoculture, Subsistence-oriented</v>
      </c>
      <c r="F356" s="6" t="str">
        <f>'Reported burning'!F356</f>
        <v>Forest</v>
      </c>
      <c r="G356" s="6" t="str">
        <f>'Reported burning'!G356</f>
        <v>ND</v>
      </c>
      <c r="H356" s="6" t="str">
        <f>'Reported burning'!H356</f>
        <v>Presence</v>
      </c>
      <c r="I356" s="3"/>
      <c r="J356" s="21" t="s">
        <v>2276</v>
      </c>
      <c r="K356" s="103" t="s">
        <v>2276</v>
      </c>
      <c r="L356" s="21" t="s">
        <v>2276</v>
      </c>
      <c r="M356" s="21" t="s">
        <v>2276</v>
      </c>
      <c r="N356" s="21" t="s">
        <v>2276</v>
      </c>
      <c r="O356" s="21" t="s">
        <v>2276</v>
      </c>
      <c r="P356" s="21" t="s">
        <v>2276</v>
      </c>
      <c r="Q356" s="102" t="s">
        <v>2276</v>
      </c>
      <c r="R356" s="102" t="s">
        <v>2276</v>
      </c>
      <c r="S356" s="21" t="s">
        <v>2276</v>
      </c>
      <c r="T356" s="21" t="s">
        <v>2276</v>
      </c>
      <c r="U356" s="21" t="s">
        <v>2276</v>
      </c>
      <c r="V356" s="21" t="s">
        <v>2276</v>
      </c>
      <c r="W356" s="21" t="s">
        <v>2276</v>
      </c>
      <c r="X356" s="3" t="s">
        <v>2276</v>
      </c>
      <c r="Y356" s="3" t="s">
        <v>2276</v>
      </c>
      <c r="Z356" s="3" t="s">
        <v>2276</v>
      </c>
      <c r="AA356" s="4"/>
      <c r="AB356" s="4"/>
    </row>
    <row r="357" spans="1:28" ht="112" customHeight="1">
      <c r="A357" s="6" t="str">
        <f>'Reported burning'!A357</f>
        <v>27ai</v>
      </c>
      <c r="B357" s="6" t="str">
        <f>'Reported burning'!B357</f>
        <v>27ai.1</v>
      </c>
      <c r="C357" s="6" t="str">
        <f>'Reported burning'!C357</f>
        <v>Human, deliberate</v>
      </c>
      <c r="D357" s="6" t="str">
        <f>'Reported burning'!D357</f>
        <v>Forest clearance</v>
      </c>
      <c r="E357" s="6" t="str">
        <f>'Reported burning'!E357</f>
        <v>Cropping, Swidden</v>
      </c>
      <c r="F357" s="6" t="str">
        <f>'Reported burning'!F357</f>
        <v>Forest</v>
      </c>
      <c r="G357" s="6" t="str">
        <f>'Reported burning'!G357</f>
        <v>ND</v>
      </c>
      <c r="H357" s="6" t="str">
        <f>'Reported burning'!H357</f>
        <v>Presence</v>
      </c>
      <c r="I357" s="3"/>
      <c r="J357" s="21" t="s">
        <v>2276</v>
      </c>
      <c r="K357" s="103" t="s">
        <v>2276</v>
      </c>
      <c r="L357" s="21" t="s">
        <v>2276</v>
      </c>
      <c r="M357" s="21" t="s">
        <v>2276</v>
      </c>
      <c r="N357" s="21" t="s">
        <v>2276</v>
      </c>
      <c r="O357" s="21" t="s">
        <v>2276</v>
      </c>
      <c r="P357" s="21" t="s">
        <v>2276</v>
      </c>
      <c r="Q357" s="102" t="s">
        <v>2276</v>
      </c>
      <c r="R357" s="102" t="s">
        <v>2276</v>
      </c>
      <c r="S357" s="21" t="s">
        <v>2276</v>
      </c>
      <c r="T357" s="21" t="s">
        <v>2276</v>
      </c>
      <c r="U357" s="21" t="s">
        <v>2276</v>
      </c>
      <c r="V357" s="21" t="s">
        <v>2276</v>
      </c>
      <c r="W357" s="21" t="s">
        <v>2276</v>
      </c>
      <c r="X357" s="3" t="s">
        <v>2276</v>
      </c>
      <c r="Y357" s="3" t="s">
        <v>2276</v>
      </c>
      <c r="Z357" s="3" t="s">
        <v>2276</v>
      </c>
      <c r="AA357" s="4"/>
      <c r="AB357" s="4"/>
    </row>
    <row r="358" spans="1:28" ht="112" customHeight="1">
      <c r="A358" s="6" t="str">
        <f>'Reported burning'!A358</f>
        <v>27ai</v>
      </c>
      <c r="B358" s="6" t="str">
        <f>'Reported burning'!B358</f>
        <v>27ai.2</v>
      </c>
      <c r="C358" s="6" t="str">
        <f>'Reported burning'!C358</f>
        <v>Human, deliberate</v>
      </c>
      <c r="D358" s="6" t="str">
        <f>'Reported burning'!D358</f>
        <v>Crop field preparation</v>
      </c>
      <c r="E358" s="6" t="str">
        <f>'Reported burning'!E358</f>
        <v>Cropping, Swidden</v>
      </c>
      <c r="F358" s="6" t="str">
        <f>'Reported burning'!F358</f>
        <v>Secondary Vegetation</v>
      </c>
      <c r="G358" s="6" t="str">
        <f>'Reported burning'!G358</f>
        <v>ND</v>
      </c>
      <c r="H358" s="6" t="str">
        <f>'Reported burning'!H358</f>
        <v>Presence</v>
      </c>
      <c r="I358" s="3"/>
      <c r="J358" s="21" t="s">
        <v>2276</v>
      </c>
      <c r="K358" s="103" t="s">
        <v>2276</v>
      </c>
      <c r="L358" s="21" t="s">
        <v>2276</v>
      </c>
      <c r="M358" s="21" t="s">
        <v>2276</v>
      </c>
      <c r="N358" s="21" t="s">
        <v>2276</v>
      </c>
      <c r="O358" s="21" t="s">
        <v>2276</v>
      </c>
      <c r="P358" s="21" t="s">
        <v>2276</v>
      </c>
      <c r="Q358" s="102" t="s">
        <v>2276</v>
      </c>
      <c r="R358" s="102" t="s">
        <v>2276</v>
      </c>
      <c r="S358" s="21" t="s">
        <v>2276</v>
      </c>
      <c r="T358" s="21" t="s">
        <v>2276</v>
      </c>
      <c r="U358" s="21" t="s">
        <v>2276</v>
      </c>
      <c r="V358" s="21" t="s">
        <v>2276</v>
      </c>
      <c r="W358" s="21" t="s">
        <v>2276</v>
      </c>
      <c r="X358" s="3" t="s">
        <v>2276</v>
      </c>
      <c r="Y358" s="3" t="s">
        <v>2276</v>
      </c>
      <c r="Z358" s="3" t="s">
        <v>2276</v>
      </c>
      <c r="AA358" s="4"/>
      <c r="AB358" s="4"/>
    </row>
    <row r="359" spans="1:28" ht="112" customHeight="1">
      <c r="A359" s="6" t="str">
        <f>'Reported burning'!A359</f>
        <v>27ai</v>
      </c>
      <c r="B359" s="6" t="str">
        <f>'Reported burning'!B359</f>
        <v>27ai.3</v>
      </c>
      <c r="C359" s="6" t="str">
        <f>'Reported burning'!C359</f>
        <v>Human, deliberate</v>
      </c>
      <c r="D359" s="6" t="str">
        <f>'Reported burning'!D359</f>
        <v>Forest clearance</v>
      </c>
      <c r="E359" s="6" t="str">
        <f>'Reported burning'!E359</f>
        <v>Cropping, Monoculture, Subsistence-oriented</v>
      </c>
      <c r="F359" s="6" t="str">
        <f>'Reported burning'!F359</f>
        <v>Forest</v>
      </c>
      <c r="G359" s="6" t="str">
        <f>'Reported burning'!G359</f>
        <v>ND</v>
      </c>
      <c r="H359" s="6" t="str">
        <f>'Reported burning'!H359</f>
        <v>Presence</v>
      </c>
      <c r="I359" s="3"/>
      <c r="J359" s="21" t="s">
        <v>2276</v>
      </c>
      <c r="K359" s="103" t="s">
        <v>2276</v>
      </c>
      <c r="L359" s="21" t="s">
        <v>2276</v>
      </c>
      <c r="M359" s="21" t="s">
        <v>2276</v>
      </c>
      <c r="N359" s="21" t="s">
        <v>2276</v>
      </c>
      <c r="O359" s="21" t="s">
        <v>2276</v>
      </c>
      <c r="P359" s="21" t="s">
        <v>2276</v>
      </c>
      <c r="Q359" s="102" t="s">
        <v>2276</v>
      </c>
      <c r="R359" s="102" t="s">
        <v>2276</v>
      </c>
      <c r="S359" s="21" t="s">
        <v>2276</v>
      </c>
      <c r="T359" s="21" t="s">
        <v>2276</v>
      </c>
      <c r="U359" s="21" t="s">
        <v>2276</v>
      </c>
      <c r="V359" s="21" t="s">
        <v>2276</v>
      </c>
      <c r="W359" s="21" t="s">
        <v>2276</v>
      </c>
      <c r="X359" s="3" t="s">
        <v>2276</v>
      </c>
      <c r="Y359" s="3" t="s">
        <v>2276</v>
      </c>
      <c r="Z359" s="3" t="s">
        <v>2276</v>
      </c>
      <c r="AA359" s="4"/>
      <c r="AB359" s="4"/>
    </row>
    <row r="360" spans="1:28" ht="112" customHeight="1">
      <c r="A360" s="6" t="str">
        <f>'Reported burning'!A360</f>
        <v>27aj</v>
      </c>
      <c r="B360" s="6" t="str">
        <f>'Reported burning'!B360</f>
        <v>27aj.1</v>
      </c>
      <c r="C360" s="6" t="str">
        <f>'Reported burning'!C360</f>
        <v>Human, deliberate</v>
      </c>
      <c r="D360" s="6" t="str">
        <f>'Reported burning'!D360</f>
        <v>Forest clearance</v>
      </c>
      <c r="E360" s="6" t="str">
        <f>'Reported burning'!E360</f>
        <v>Cropping, Swidden</v>
      </c>
      <c r="F360" s="6" t="str">
        <f>'Reported burning'!F360</f>
        <v>Forest</v>
      </c>
      <c r="G360" s="6" t="str">
        <f>'Reported burning'!G360</f>
        <v>ND</v>
      </c>
      <c r="H360" s="6" t="str">
        <f>'Reported burning'!H360</f>
        <v>Presence</v>
      </c>
      <c r="I360" s="3"/>
      <c r="J360" s="21" t="s">
        <v>2276</v>
      </c>
      <c r="K360" s="103" t="s">
        <v>2276</v>
      </c>
      <c r="L360" s="21" t="s">
        <v>2276</v>
      </c>
      <c r="M360" s="21" t="s">
        <v>2276</v>
      </c>
      <c r="N360" s="21" t="s">
        <v>2276</v>
      </c>
      <c r="O360" s="21" t="s">
        <v>2276</v>
      </c>
      <c r="P360" s="21" t="s">
        <v>2276</v>
      </c>
      <c r="Q360" s="102" t="s">
        <v>2276</v>
      </c>
      <c r="R360" s="102" t="s">
        <v>2276</v>
      </c>
      <c r="S360" s="21" t="s">
        <v>2276</v>
      </c>
      <c r="T360" s="21" t="s">
        <v>2276</v>
      </c>
      <c r="U360" s="21" t="s">
        <v>2276</v>
      </c>
      <c r="V360" s="21" t="s">
        <v>2276</v>
      </c>
      <c r="W360" s="21" t="s">
        <v>2276</v>
      </c>
      <c r="X360" s="3" t="s">
        <v>2276</v>
      </c>
      <c r="Y360" s="3" t="s">
        <v>2276</v>
      </c>
      <c r="Z360" s="3" t="s">
        <v>2276</v>
      </c>
      <c r="AA360" s="4"/>
      <c r="AB360" s="4"/>
    </row>
    <row r="361" spans="1:28" ht="112" customHeight="1">
      <c r="A361" s="6" t="str">
        <f>'Reported burning'!A361</f>
        <v>27aj</v>
      </c>
      <c r="B361" s="6" t="str">
        <f>'Reported burning'!B361</f>
        <v>27aj.2</v>
      </c>
      <c r="C361" s="6" t="str">
        <f>'Reported burning'!C361</f>
        <v>Human, deliberate</v>
      </c>
      <c r="D361" s="6" t="str">
        <f>'Reported burning'!D361</f>
        <v>Crop field preparation</v>
      </c>
      <c r="E361" s="6" t="str">
        <f>'Reported burning'!E361</f>
        <v>Cropping, Swidden</v>
      </c>
      <c r="F361" s="6" t="str">
        <f>'Reported burning'!F361</f>
        <v>Secondary Vegetation</v>
      </c>
      <c r="G361" s="6" t="str">
        <f>'Reported burning'!G361</f>
        <v>ND</v>
      </c>
      <c r="H361" s="6" t="str">
        <f>'Reported burning'!H361</f>
        <v>Presence</v>
      </c>
      <c r="I361" s="3"/>
      <c r="J361" s="21" t="s">
        <v>2276</v>
      </c>
      <c r="K361" s="103" t="s">
        <v>2276</v>
      </c>
      <c r="L361" s="21" t="s">
        <v>2276</v>
      </c>
      <c r="M361" s="21" t="s">
        <v>2276</v>
      </c>
      <c r="N361" s="21" t="s">
        <v>2276</v>
      </c>
      <c r="O361" s="21" t="s">
        <v>2276</v>
      </c>
      <c r="P361" s="21" t="s">
        <v>2276</v>
      </c>
      <c r="Q361" s="102" t="s">
        <v>2276</v>
      </c>
      <c r="R361" s="102" t="s">
        <v>2276</v>
      </c>
      <c r="S361" s="21" t="s">
        <v>2276</v>
      </c>
      <c r="T361" s="21" t="s">
        <v>2276</v>
      </c>
      <c r="U361" s="21" t="s">
        <v>2276</v>
      </c>
      <c r="V361" s="21" t="s">
        <v>2276</v>
      </c>
      <c r="W361" s="21" t="s">
        <v>2276</v>
      </c>
      <c r="X361" s="3" t="s">
        <v>2276</v>
      </c>
      <c r="Y361" s="3" t="s">
        <v>2276</v>
      </c>
      <c r="Z361" s="3" t="s">
        <v>2276</v>
      </c>
      <c r="AA361" s="4"/>
      <c r="AB361" s="4"/>
    </row>
    <row r="362" spans="1:28" ht="112" customHeight="1">
      <c r="A362" s="6" t="str">
        <f>'Reported burning'!A362</f>
        <v>27aj</v>
      </c>
      <c r="B362" s="6" t="str">
        <f>'Reported burning'!B362</f>
        <v>27aj.3</v>
      </c>
      <c r="C362" s="6" t="str">
        <f>'Reported burning'!C362</f>
        <v>Human, deliberate</v>
      </c>
      <c r="D362" s="6" t="str">
        <f>'Reported burning'!D362</f>
        <v>Forest clearance</v>
      </c>
      <c r="E362" s="6" t="str">
        <f>'Reported burning'!E362</f>
        <v>Cropping, Monoculture, Subsistence-oriented</v>
      </c>
      <c r="F362" s="6" t="str">
        <f>'Reported burning'!F362</f>
        <v>Forest</v>
      </c>
      <c r="G362" s="6" t="str">
        <f>'Reported burning'!G362</f>
        <v>ND</v>
      </c>
      <c r="H362" s="6" t="str">
        <f>'Reported burning'!H362</f>
        <v>Presence</v>
      </c>
      <c r="I362" s="3"/>
      <c r="J362" s="21" t="s">
        <v>2276</v>
      </c>
      <c r="K362" s="103" t="s">
        <v>2276</v>
      </c>
      <c r="L362" s="21" t="s">
        <v>2276</v>
      </c>
      <c r="M362" s="21" t="s">
        <v>2276</v>
      </c>
      <c r="N362" s="21" t="s">
        <v>2276</v>
      </c>
      <c r="O362" s="21" t="s">
        <v>2276</v>
      </c>
      <c r="P362" s="21" t="s">
        <v>2276</v>
      </c>
      <c r="Q362" s="102" t="s">
        <v>2276</v>
      </c>
      <c r="R362" s="102" t="s">
        <v>2276</v>
      </c>
      <c r="S362" s="21" t="s">
        <v>2276</v>
      </c>
      <c r="T362" s="21" t="s">
        <v>2276</v>
      </c>
      <c r="U362" s="21" t="s">
        <v>2276</v>
      </c>
      <c r="V362" s="21" t="s">
        <v>2276</v>
      </c>
      <c r="W362" s="21" t="s">
        <v>2276</v>
      </c>
      <c r="X362" s="3" t="s">
        <v>2276</v>
      </c>
      <c r="Y362" s="3" t="s">
        <v>2276</v>
      </c>
      <c r="Z362" s="3" t="s">
        <v>2276</v>
      </c>
      <c r="AA362" s="4"/>
      <c r="AB362" s="4"/>
    </row>
    <row r="363" spans="1:28" ht="112" customHeight="1">
      <c r="A363" s="6" t="str">
        <f>'Reported burning'!A363</f>
        <v>27ak</v>
      </c>
      <c r="B363" s="6" t="str">
        <f>'Reported burning'!B363</f>
        <v>27ak.1</v>
      </c>
      <c r="C363" s="6" t="str">
        <f>'Reported burning'!C363</f>
        <v>Human, deliberate</v>
      </c>
      <c r="D363" s="6" t="str">
        <f>'Reported burning'!D363</f>
        <v>Forest clearance</v>
      </c>
      <c r="E363" s="6" t="str">
        <f>'Reported burning'!E363</f>
        <v>Cropping, Swidden</v>
      </c>
      <c r="F363" s="6" t="str">
        <f>'Reported burning'!F363</f>
        <v>Forest</v>
      </c>
      <c r="G363" s="6" t="str">
        <f>'Reported burning'!G363</f>
        <v>ND</v>
      </c>
      <c r="H363" s="6" t="str">
        <f>'Reported burning'!H363</f>
        <v>Presence</v>
      </c>
      <c r="I363" s="3"/>
      <c r="J363" s="21" t="s">
        <v>2276</v>
      </c>
      <c r="K363" s="103" t="s">
        <v>2276</v>
      </c>
      <c r="L363" s="21" t="s">
        <v>2276</v>
      </c>
      <c r="M363" s="21" t="s">
        <v>2276</v>
      </c>
      <c r="N363" s="21" t="s">
        <v>2276</v>
      </c>
      <c r="O363" s="21" t="s">
        <v>2276</v>
      </c>
      <c r="P363" s="21" t="s">
        <v>2276</v>
      </c>
      <c r="Q363" s="102" t="s">
        <v>2276</v>
      </c>
      <c r="R363" s="102" t="s">
        <v>2276</v>
      </c>
      <c r="S363" s="21" t="s">
        <v>2276</v>
      </c>
      <c r="T363" s="21" t="s">
        <v>2276</v>
      </c>
      <c r="U363" s="21" t="s">
        <v>2276</v>
      </c>
      <c r="V363" s="21" t="s">
        <v>2276</v>
      </c>
      <c r="W363" s="21" t="s">
        <v>2276</v>
      </c>
      <c r="X363" s="3" t="s">
        <v>2276</v>
      </c>
      <c r="Y363" s="3" t="s">
        <v>2276</v>
      </c>
      <c r="Z363" s="3" t="s">
        <v>2276</v>
      </c>
      <c r="AA363" s="4"/>
      <c r="AB363" s="4"/>
    </row>
    <row r="364" spans="1:28" ht="112" customHeight="1">
      <c r="A364" s="6" t="str">
        <f>'Reported burning'!A364</f>
        <v>27ak</v>
      </c>
      <c r="B364" s="6" t="str">
        <f>'Reported burning'!B364</f>
        <v>27ak.2</v>
      </c>
      <c r="C364" s="6" t="str">
        <f>'Reported burning'!C364</f>
        <v>Human, deliberate</v>
      </c>
      <c r="D364" s="6" t="str">
        <f>'Reported burning'!D364</f>
        <v>Crop field preparation</v>
      </c>
      <c r="E364" s="6" t="str">
        <f>'Reported burning'!E364</f>
        <v>Cropping, Swidden</v>
      </c>
      <c r="F364" s="6" t="str">
        <f>'Reported burning'!F364</f>
        <v>Secondary Vegetation</v>
      </c>
      <c r="G364" s="6" t="str">
        <f>'Reported burning'!G364</f>
        <v>ND</v>
      </c>
      <c r="H364" s="6" t="str">
        <f>'Reported burning'!H364</f>
        <v>Presence</v>
      </c>
      <c r="I364" s="3"/>
      <c r="J364" s="21" t="s">
        <v>2276</v>
      </c>
      <c r="K364" s="103" t="s">
        <v>2276</v>
      </c>
      <c r="L364" s="21" t="s">
        <v>2276</v>
      </c>
      <c r="M364" s="21" t="s">
        <v>2276</v>
      </c>
      <c r="N364" s="21" t="s">
        <v>2276</v>
      </c>
      <c r="O364" s="21" t="s">
        <v>2276</v>
      </c>
      <c r="P364" s="21" t="s">
        <v>2276</v>
      </c>
      <c r="Q364" s="102" t="s">
        <v>2276</v>
      </c>
      <c r="R364" s="102" t="s">
        <v>2276</v>
      </c>
      <c r="S364" s="21" t="s">
        <v>2276</v>
      </c>
      <c r="T364" s="21" t="s">
        <v>2276</v>
      </c>
      <c r="U364" s="21" t="s">
        <v>2276</v>
      </c>
      <c r="V364" s="21" t="s">
        <v>2276</v>
      </c>
      <c r="W364" s="21" t="s">
        <v>2276</v>
      </c>
      <c r="X364" s="3" t="s">
        <v>2276</v>
      </c>
      <c r="Y364" s="3" t="s">
        <v>2276</v>
      </c>
      <c r="Z364" s="3" t="s">
        <v>2276</v>
      </c>
      <c r="AA364" s="4"/>
      <c r="AB364" s="4"/>
    </row>
    <row r="365" spans="1:28" ht="112" customHeight="1">
      <c r="A365" s="6" t="str">
        <f>'Reported burning'!A365</f>
        <v>27ak</v>
      </c>
      <c r="B365" s="6" t="str">
        <f>'Reported burning'!B365</f>
        <v>27ak.3</v>
      </c>
      <c r="C365" s="6" t="str">
        <f>'Reported burning'!C365</f>
        <v>Human, deliberate</v>
      </c>
      <c r="D365" s="6" t="str">
        <f>'Reported burning'!D365</f>
        <v>Forest clearance</v>
      </c>
      <c r="E365" s="6" t="str">
        <f>'Reported burning'!E365</f>
        <v>Cropping, Monoculture, Subsistence-oriented</v>
      </c>
      <c r="F365" s="6" t="str">
        <f>'Reported burning'!F365</f>
        <v>Forest</v>
      </c>
      <c r="G365" s="6" t="str">
        <f>'Reported burning'!G365</f>
        <v>ND</v>
      </c>
      <c r="H365" s="6" t="str">
        <f>'Reported burning'!H365</f>
        <v>Presence</v>
      </c>
      <c r="I365" s="3"/>
      <c r="J365" s="21" t="s">
        <v>2276</v>
      </c>
      <c r="K365" s="103" t="s">
        <v>2276</v>
      </c>
      <c r="L365" s="21" t="s">
        <v>2276</v>
      </c>
      <c r="M365" s="21" t="s">
        <v>2276</v>
      </c>
      <c r="N365" s="21" t="s">
        <v>2276</v>
      </c>
      <c r="O365" s="21" t="s">
        <v>2276</v>
      </c>
      <c r="P365" s="21" t="s">
        <v>2276</v>
      </c>
      <c r="Q365" s="102" t="s">
        <v>2276</v>
      </c>
      <c r="R365" s="102" t="s">
        <v>2276</v>
      </c>
      <c r="S365" s="21" t="s">
        <v>2276</v>
      </c>
      <c r="T365" s="21" t="s">
        <v>2276</v>
      </c>
      <c r="U365" s="21" t="s">
        <v>2276</v>
      </c>
      <c r="V365" s="21" t="s">
        <v>2276</v>
      </c>
      <c r="W365" s="21" t="s">
        <v>2276</v>
      </c>
      <c r="X365" s="3" t="s">
        <v>2276</v>
      </c>
      <c r="Y365" s="3" t="s">
        <v>2276</v>
      </c>
      <c r="Z365" s="3" t="s">
        <v>2276</v>
      </c>
      <c r="AA365" s="4"/>
      <c r="AB365" s="4"/>
    </row>
    <row r="366" spans="1:28" ht="112" customHeight="1">
      <c r="A366" s="6" t="str">
        <f>'Reported burning'!A366</f>
        <v>27al</v>
      </c>
      <c r="B366" s="6" t="str">
        <f>'Reported burning'!B366</f>
        <v>27al.1</v>
      </c>
      <c r="C366" s="6" t="str">
        <f>'Reported burning'!C366</f>
        <v>Human, deliberate</v>
      </c>
      <c r="D366" s="6" t="str">
        <f>'Reported burning'!D366</f>
        <v>Forest clearance</v>
      </c>
      <c r="E366" s="6" t="str">
        <f>'Reported burning'!E366</f>
        <v>Cropping, Swidden</v>
      </c>
      <c r="F366" s="6" t="str">
        <f>'Reported burning'!F366</f>
        <v>Forest</v>
      </c>
      <c r="G366" s="6" t="str">
        <f>'Reported burning'!G366</f>
        <v>ND</v>
      </c>
      <c r="H366" s="6" t="str">
        <f>'Reported burning'!H366</f>
        <v>Presence</v>
      </c>
      <c r="I366" s="3"/>
      <c r="J366" s="21" t="s">
        <v>2276</v>
      </c>
      <c r="K366" s="103" t="s">
        <v>2276</v>
      </c>
      <c r="L366" s="21" t="s">
        <v>2276</v>
      </c>
      <c r="M366" s="21" t="s">
        <v>2276</v>
      </c>
      <c r="N366" s="21" t="s">
        <v>2276</v>
      </c>
      <c r="O366" s="21" t="s">
        <v>2276</v>
      </c>
      <c r="P366" s="21" t="s">
        <v>2276</v>
      </c>
      <c r="Q366" s="102" t="s">
        <v>2276</v>
      </c>
      <c r="R366" s="102" t="s">
        <v>2276</v>
      </c>
      <c r="S366" s="21" t="s">
        <v>2276</v>
      </c>
      <c r="T366" s="21" t="s">
        <v>2276</v>
      </c>
      <c r="U366" s="21" t="s">
        <v>2276</v>
      </c>
      <c r="V366" s="21" t="s">
        <v>2276</v>
      </c>
      <c r="W366" s="21" t="s">
        <v>2276</v>
      </c>
      <c r="X366" s="3" t="s">
        <v>2276</v>
      </c>
      <c r="Y366" s="3" t="s">
        <v>2276</v>
      </c>
      <c r="Z366" s="3" t="s">
        <v>2276</v>
      </c>
      <c r="AA366" s="4"/>
      <c r="AB366" s="4"/>
    </row>
    <row r="367" spans="1:28" ht="112" customHeight="1">
      <c r="A367" s="6" t="str">
        <f>'Reported burning'!A367</f>
        <v>27al</v>
      </c>
      <c r="B367" s="6" t="str">
        <f>'Reported burning'!B367</f>
        <v>27al.2</v>
      </c>
      <c r="C367" s="6" t="str">
        <f>'Reported burning'!C367</f>
        <v>Human, deliberate</v>
      </c>
      <c r="D367" s="6" t="str">
        <f>'Reported burning'!D367</f>
        <v>Crop field preparation</v>
      </c>
      <c r="E367" s="6" t="str">
        <f>'Reported burning'!E367</f>
        <v>Cropping, Swidden</v>
      </c>
      <c r="F367" s="6" t="str">
        <f>'Reported burning'!F367</f>
        <v>Secondary Vegetation</v>
      </c>
      <c r="G367" s="6" t="str">
        <f>'Reported burning'!G367</f>
        <v>ND</v>
      </c>
      <c r="H367" s="6" t="str">
        <f>'Reported burning'!H367</f>
        <v>Presence</v>
      </c>
      <c r="I367" s="3"/>
      <c r="J367" s="21" t="s">
        <v>2276</v>
      </c>
      <c r="K367" s="103" t="s">
        <v>2276</v>
      </c>
      <c r="L367" s="21" t="s">
        <v>2276</v>
      </c>
      <c r="M367" s="21" t="s">
        <v>2276</v>
      </c>
      <c r="N367" s="21" t="s">
        <v>2276</v>
      </c>
      <c r="O367" s="21" t="s">
        <v>2276</v>
      </c>
      <c r="P367" s="21" t="s">
        <v>2276</v>
      </c>
      <c r="Q367" s="102" t="s">
        <v>2276</v>
      </c>
      <c r="R367" s="102" t="s">
        <v>2276</v>
      </c>
      <c r="S367" s="21" t="s">
        <v>2276</v>
      </c>
      <c r="T367" s="21" t="s">
        <v>2276</v>
      </c>
      <c r="U367" s="21" t="s">
        <v>2276</v>
      </c>
      <c r="V367" s="21" t="s">
        <v>2276</v>
      </c>
      <c r="W367" s="21" t="s">
        <v>2276</v>
      </c>
      <c r="X367" s="3" t="s">
        <v>2276</v>
      </c>
      <c r="Y367" s="3" t="s">
        <v>2276</v>
      </c>
      <c r="Z367" s="3" t="s">
        <v>2276</v>
      </c>
      <c r="AA367" s="4"/>
      <c r="AB367" s="4"/>
    </row>
    <row r="368" spans="1:28" ht="112" customHeight="1">
      <c r="A368" s="6" t="str">
        <f>'Reported burning'!A368</f>
        <v>27am</v>
      </c>
      <c r="B368" s="6" t="str">
        <f>'Reported burning'!B368</f>
        <v>27am.1</v>
      </c>
      <c r="C368" s="6" t="str">
        <f>'Reported burning'!C368</f>
        <v>Human, deliberate</v>
      </c>
      <c r="D368" s="6" t="str">
        <f>'Reported burning'!D368</f>
        <v>Forest clearance</v>
      </c>
      <c r="E368" s="6" t="str">
        <f>'Reported burning'!E368</f>
        <v>Cropping, Swidden</v>
      </c>
      <c r="F368" s="6" t="str">
        <f>'Reported burning'!F368</f>
        <v>Forest</v>
      </c>
      <c r="G368" s="6" t="str">
        <f>'Reported burning'!G368</f>
        <v>ND</v>
      </c>
      <c r="H368" s="6" t="str">
        <f>'Reported burning'!H368</f>
        <v>Presence</v>
      </c>
      <c r="I368" s="3"/>
      <c r="J368" s="21" t="s">
        <v>2276</v>
      </c>
      <c r="K368" s="103" t="s">
        <v>2276</v>
      </c>
      <c r="L368" s="21" t="s">
        <v>2276</v>
      </c>
      <c r="M368" s="21" t="s">
        <v>2276</v>
      </c>
      <c r="N368" s="21" t="s">
        <v>2276</v>
      </c>
      <c r="O368" s="21" t="s">
        <v>2276</v>
      </c>
      <c r="P368" s="21" t="s">
        <v>2276</v>
      </c>
      <c r="Q368" s="102" t="s">
        <v>2276</v>
      </c>
      <c r="R368" s="102" t="s">
        <v>2276</v>
      </c>
      <c r="S368" s="21" t="s">
        <v>2276</v>
      </c>
      <c r="T368" s="21" t="s">
        <v>2276</v>
      </c>
      <c r="U368" s="21" t="s">
        <v>2276</v>
      </c>
      <c r="V368" s="21" t="s">
        <v>2276</v>
      </c>
      <c r="W368" s="21" t="s">
        <v>2276</v>
      </c>
      <c r="X368" s="3" t="s">
        <v>2276</v>
      </c>
      <c r="Y368" s="3" t="s">
        <v>2276</v>
      </c>
      <c r="Z368" s="3" t="s">
        <v>2276</v>
      </c>
      <c r="AA368" s="4"/>
      <c r="AB368" s="4"/>
    </row>
    <row r="369" spans="1:28" ht="112" customHeight="1">
      <c r="A369" s="6" t="str">
        <f>'Reported burning'!A369</f>
        <v>27am</v>
      </c>
      <c r="B369" s="6" t="str">
        <f>'Reported burning'!B369</f>
        <v>27am.2</v>
      </c>
      <c r="C369" s="6" t="str">
        <f>'Reported burning'!C369</f>
        <v>Human, deliberate</v>
      </c>
      <c r="D369" s="6" t="str">
        <f>'Reported burning'!D369</f>
        <v>Crop field preparation</v>
      </c>
      <c r="E369" s="6" t="str">
        <f>'Reported burning'!E369</f>
        <v>Cropping, Swidden</v>
      </c>
      <c r="F369" s="6" t="str">
        <f>'Reported burning'!F369</f>
        <v>Secondary Vegetation</v>
      </c>
      <c r="G369" s="6" t="str">
        <f>'Reported burning'!G369</f>
        <v>ND</v>
      </c>
      <c r="H369" s="6" t="str">
        <f>'Reported burning'!H369</f>
        <v>Presence</v>
      </c>
      <c r="I369" s="3"/>
      <c r="J369" s="21" t="s">
        <v>2276</v>
      </c>
      <c r="K369" s="103" t="s">
        <v>2276</v>
      </c>
      <c r="L369" s="21" t="s">
        <v>2276</v>
      </c>
      <c r="M369" s="21" t="s">
        <v>2276</v>
      </c>
      <c r="N369" s="21" t="s">
        <v>2276</v>
      </c>
      <c r="O369" s="21" t="s">
        <v>2276</v>
      </c>
      <c r="P369" s="21" t="s">
        <v>2276</v>
      </c>
      <c r="Q369" s="102" t="s">
        <v>2276</v>
      </c>
      <c r="R369" s="102" t="s">
        <v>2276</v>
      </c>
      <c r="S369" s="21" t="s">
        <v>2276</v>
      </c>
      <c r="T369" s="21" t="s">
        <v>2276</v>
      </c>
      <c r="U369" s="21" t="s">
        <v>2276</v>
      </c>
      <c r="V369" s="21" t="s">
        <v>2276</v>
      </c>
      <c r="W369" s="21" t="s">
        <v>2276</v>
      </c>
      <c r="X369" s="3" t="s">
        <v>2276</v>
      </c>
      <c r="Y369" s="3" t="s">
        <v>2276</v>
      </c>
      <c r="Z369" s="3" t="s">
        <v>2276</v>
      </c>
      <c r="AA369" s="4"/>
      <c r="AB369" s="4"/>
    </row>
    <row r="370" spans="1:28" ht="112" customHeight="1">
      <c r="A370" s="6" t="str">
        <f>'Reported burning'!A370</f>
        <v>27am</v>
      </c>
      <c r="B370" s="6" t="str">
        <f>'Reported burning'!B370</f>
        <v>27am.3</v>
      </c>
      <c r="C370" s="6" t="str">
        <f>'Reported burning'!C370</f>
        <v>Human, deliberate</v>
      </c>
      <c r="D370" s="6" t="str">
        <f>'Reported burning'!D370</f>
        <v>Forest clearance</v>
      </c>
      <c r="E370" s="6" t="str">
        <f>'Reported burning'!E370</f>
        <v>Cropping, Monoculture, Subsistence-oriented</v>
      </c>
      <c r="F370" s="6" t="str">
        <f>'Reported burning'!F370</f>
        <v>Forest</v>
      </c>
      <c r="G370" s="6" t="str">
        <f>'Reported burning'!G370</f>
        <v>ND</v>
      </c>
      <c r="H370" s="6" t="str">
        <f>'Reported burning'!H370</f>
        <v>Presence</v>
      </c>
      <c r="I370" s="3"/>
      <c r="J370" s="21" t="s">
        <v>2276</v>
      </c>
      <c r="K370" s="103" t="s">
        <v>2276</v>
      </c>
      <c r="L370" s="21" t="s">
        <v>2276</v>
      </c>
      <c r="M370" s="21" t="s">
        <v>2276</v>
      </c>
      <c r="N370" s="21" t="s">
        <v>2276</v>
      </c>
      <c r="O370" s="21" t="s">
        <v>2276</v>
      </c>
      <c r="P370" s="21" t="s">
        <v>2276</v>
      </c>
      <c r="Q370" s="102" t="s">
        <v>2276</v>
      </c>
      <c r="R370" s="102" t="s">
        <v>2276</v>
      </c>
      <c r="S370" s="21" t="s">
        <v>2276</v>
      </c>
      <c r="T370" s="21" t="s">
        <v>2276</v>
      </c>
      <c r="U370" s="21" t="s">
        <v>2276</v>
      </c>
      <c r="V370" s="21" t="s">
        <v>2276</v>
      </c>
      <c r="W370" s="21" t="s">
        <v>2276</v>
      </c>
      <c r="X370" s="3" t="s">
        <v>2276</v>
      </c>
      <c r="Y370" s="3" t="s">
        <v>2276</v>
      </c>
      <c r="Z370" s="3" t="s">
        <v>2276</v>
      </c>
      <c r="AA370" s="4"/>
      <c r="AB370" s="4"/>
    </row>
    <row r="371" spans="1:28" ht="112" customHeight="1">
      <c r="A371" s="6" t="str">
        <f>'Reported burning'!A371</f>
        <v>27ao</v>
      </c>
      <c r="B371" s="6" t="str">
        <f>'Reported burning'!B371</f>
        <v>27ao.1</v>
      </c>
      <c r="C371" s="6" t="str">
        <f>'Reported burning'!C371</f>
        <v>Human, deliberate</v>
      </c>
      <c r="D371" s="6" t="str">
        <f>'Reported burning'!D371</f>
        <v>Forest clearance</v>
      </c>
      <c r="E371" s="6" t="str">
        <f>'Reported burning'!E371</f>
        <v>Cropping, Swidden</v>
      </c>
      <c r="F371" s="6" t="str">
        <f>'Reported burning'!F371</f>
        <v>Forest</v>
      </c>
      <c r="G371" s="6" t="str">
        <f>'Reported burning'!G371</f>
        <v>ND</v>
      </c>
      <c r="H371" s="6" t="str">
        <f>'Reported burning'!H371</f>
        <v>Presence</v>
      </c>
      <c r="I371" s="3"/>
      <c r="J371" s="21" t="s">
        <v>2276</v>
      </c>
      <c r="K371" s="103" t="s">
        <v>2276</v>
      </c>
      <c r="L371" s="21" t="s">
        <v>2276</v>
      </c>
      <c r="M371" s="21" t="s">
        <v>2276</v>
      </c>
      <c r="N371" s="21" t="s">
        <v>2276</v>
      </c>
      <c r="O371" s="21" t="s">
        <v>2276</v>
      </c>
      <c r="P371" s="21" t="s">
        <v>2276</v>
      </c>
      <c r="Q371" s="102" t="s">
        <v>2276</v>
      </c>
      <c r="R371" s="102" t="s">
        <v>2276</v>
      </c>
      <c r="S371" s="21" t="s">
        <v>2276</v>
      </c>
      <c r="T371" s="21" t="s">
        <v>2276</v>
      </c>
      <c r="U371" s="21" t="s">
        <v>2276</v>
      </c>
      <c r="V371" s="21" t="s">
        <v>2276</v>
      </c>
      <c r="W371" s="21" t="s">
        <v>2276</v>
      </c>
      <c r="X371" s="3" t="s">
        <v>2276</v>
      </c>
      <c r="Y371" s="3" t="s">
        <v>2276</v>
      </c>
      <c r="Z371" s="3" t="s">
        <v>2276</v>
      </c>
      <c r="AA371" s="4"/>
      <c r="AB371" s="4"/>
    </row>
    <row r="372" spans="1:28" ht="112" customHeight="1">
      <c r="A372" s="6" t="str">
        <f>'Reported burning'!A372</f>
        <v>27ao</v>
      </c>
      <c r="B372" s="6" t="str">
        <f>'Reported burning'!B372</f>
        <v>27ao.2</v>
      </c>
      <c r="C372" s="6" t="str">
        <f>'Reported burning'!C372</f>
        <v>Human, deliberate</v>
      </c>
      <c r="D372" s="6" t="str">
        <f>'Reported burning'!D372</f>
        <v>Crop field preparation</v>
      </c>
      <c r="E372" s="6" t="str">
        <f>'Reported burning'!E372</f>
        <v>Cropping, Swidden</v>
      </c>
      <c r="F372" s="6" t="str">
        <f>'Reported burning'!F372</f>
        <v>Secondary Vegetation</v>
      </c>
      <c r="G372" s="6" t="str">
        <f>'Reported burning'!G372</f>
        <v>ND</v>
      </c>
      <c r="H372" s="6" t="str">
        <f>'Reported burning'!H372</f>
        <v>Presence</v>
      </c>
      <c r="I372" s="3"/>
      <c r="J372" s="21" t="s">
        <v>2276</v>
      </c>
      <c r="K372" s="103" t="s">
        <v>2276</v>
      </c>
      <c r="L372" s="21" t="s">
        <v>2276</v>
      </c>
      <c r="M372" s="21" t="s">
        <v>2276</v>
      </c>
      <c r="N372" s="21" t="s">
        <v>2276</v>
      </c>
      <c r="O372" s="21" t="s">
        <v>2276</v>
      </c>
      <c r="P372" s="21" t="s">
        <v>2276</v>
      </c>
      <c r="Q372" s="102" t="s">
        <v>2276</v>
      </c>
      <c r="R372" s="102" t="s">
        <v>2276</v>
      </c>
      <c r="S372" s="21" t="s">
        <v>2276</v>
      </c>
      <c r="T372" s="21" t="s">
        <v>2276</v>
      </c>
      <c r="U372" s="21" t="s">
        <v>2276</v>
      </c>
      <c r="V372" s="21" t="s">
        <v>2276</v>
      </c>
      <c r="W372" s="21" t="s">
        <v>2276</v>
      </c>
      <c r="X372" s="3" t="s">
        <v>2276</v>
      </c>
      <c r="Y372" s="3" t="s">
        <v>2276</v>
      </c>
      <c r="Z372" s="3" t="s">
        <v>2276</v>
      </c>
      <c r="AA372" s="4"/>
      <c r="AB372" s="4"/>
    </row>
    <row r="373" spans="1:28" ht="112" customHeight="1">
      <c r="A373" s="6" t="str">
        <f>'Reported burning'!A373</f>
        <v>27ap</v>
      </c>
      <c r="B373" s="6" t="str">
        <f>'Reported burning'!B373</f>
        <v>27ap.1</v>
      </c>
      <c r="C373" s="6" t="str">
        <f>'Reported burning'!C373</f>
        <v>Human, deliberate</v>
      </c>
      <c r="D373" s="6" t="str">
        <f>'Reported burning'!D373</f>
        <v>Forest clearance</v>
      </c>
      <c r="E373" s="6" t="str">
        <f>'Reported burning'!E373</f>
        <v>Cropping, Monoculture, Subsistence-oriented</v>
      </c>
      <c r="F373" s="6" t="str">
        <f>'Reported burning'!F373</f>
        <v>Forest</v>
      </c>
      <c r="G373" s="6" t="str">
        <f>'Reported burning'!G373</f>
        <v>ND</v>
      </c>
      <c r="H373" s="6" t="str">
        <f>'Reported burning'!H373</f>
        <v>Presence</v>
      </c>
      <c r="I373" s="3"/>
      <c r="J373" s="21" t="s">
        <v>2276</v>
      </c>
      <c r="K373" s="103" t="s">
        <v>2276</v>
      </c>
      <c r="L373" s="21" t="s">
        <v>2276</v>
      </c>
      <c r="M373" s="21" t="s">
        <v>2276</v>
      </c>
      <c r="N373" s="21" t="s">
        <v>2276</v>
      </c>
      <c r="O373" s="21" t="s">
        <v>2276</v>
      </c>
      <c r="P373" s="21" t="s">
        <v>2276</v>
      </c>
      <c r="Q373" s="102" t="s">
        <v>2276</v>
      </c>
      <c r="R373" s="102" t="s">
        <v>2276</v>
      </c>
      <c r="S373" s="21" t="s">
        <v>2276</v>
      </c>
      <c r="T373" s="21" t="s">
        <v>2276</v>
      </c>
      <c r="U373" s="21" t="s">
        <v>2276</v>
      </c>
      <c r="V373" s="21" t="s">
        <v>2276</v>
      </c>
      <c r="W373" s="21" t="s">
        <v>2276</v>
      </c>
      <c r="X373" s="3" t="s">
        <v>2276</v>
      </c>
      <c r="Y373" s="3" t="s">
        <v>2276</v>
      </c>
      <c r="Z373" s="3" t="s">
        <v>2276</v>
      </c>
      <c r="AA373" s="4"/>
      <c r="AB373" s="4"/>
    </row>
    <row r="374" spans="1:28" ht="112" customHeight="1">
      <c r="A374" s="6" t="str">
        <f>'Reported burning'!A374</f>
        <v>27aq</v>
      </c>
      <c r="B374" s="6" t="str">
        <f>'Reported burning'!B374</f>
        <v>27aq.1</v>
      </c>
      <c r="C374" s="6" t="str">
        <f>'Reported burning'!C374</f>
        <v>Human, deliberate</v>
      </c>
      <c r="D374" s="6" t="str">
        <f>'Reported burning'!D374</f>
        <v>Forest clearance</v>
      </c>
      <c r="E374" s="6" t="str">
        <f>'Reported burning'!E374</f>
        <v>Cropping, Monoculture, Subsistence-oriented</v>
      </c>
      <c r="F374" s="6" t="str">
        <f>'Reported burning'!F374</f>
        <v>Forest</v>
      </c>
      <c r="G374" s="6" t="str">
        <f>'Reported burning'!G374</f>
        <v>ND</v>
      </c>
      <c r="H374" s="6" t="str">
        <f>'Reported burning'!H374</f>
        <v>Presence</v>
      </c>
      <c r="I374" s="3"/>
      <c r="J374" s="21" t="s">
        <v>2276</v>
      </c>
      <c r="K374" s="103" t="s">
        <v>2276</v>
      </c>
      <c r="L374" s="21" t="s">
        <v>2276</v>
      </c>
      <c r="M374" s="21" t="s">
        <v>2276</v>
      </c>
      <c r="N374" s="21" t="s">
        <v>2276</v>
      </c>
      <c r="O374" s="21" t="s">
        <v>2276</v>
      </c>
      <c r="P374" s="21" t="s">
        <v>2276</v>
      </c>
      <c r="Q374" s="102" t="s">
        <v>2276</v>
      </c>
      <c r="R374" s="102" t="s">
        <v>2276</v>
      </c>
      <c r="S374" s="21" t="s">
        <v>2276</v>
      </c>
      <c r="T374" s="21" t="s">
        <v>2276</v>
      </c>
      <c r="U374" s="21" t="s">
        <v>2276</v>
      </c>
      <c r="V374" s="21" t="s">
        <v>2276</v>
      </c>
      <c r="W374" s="21" t="s">
        <v>2276</v>
      </c>
      <c r="X374" s="3" t="s">
        <v>2276</v>
      </c>
      <c r="Y374" s="3" t="s">
        <v>2276</v>
      </c>
      <c r="Z374" s="3" t="s">
        <v>2276</v>
      </c>
      <c r="AA374" s="4"/>
      <c r="AB374" s="4"/>
    </row>
    <row r="375" spans="1:28" ht="112" customHeight="1">
      <c r="A375" s="6" t="str">
        <f>'Reported burning'!A375</f>
        <v>27ar</v>
      </c>
      <c r="B375" s="6" t="str">
        <f>'Reported burning'!B375</f>
        <v>27ar.1</v>
      </c>
      <c r="C375" s="6" t="str">
        <f>'Reported burning'!C375</f>
        <v>Human, deliberate</v>
      </c>
      <c r="D375" s="6" t="str">
        <f>'Reported burning'!D375</f>
        <v>Forest clearance</v>
      </c>
      <c r="E375" s="6" t="str">
        <f>'Reported burning'!E375</f>
        <v>Cropping, Swidden</v>
      </c>
      <c r="F375" s="6" t="str">
        <f>'Reported burning'!F375</f>
        <v>Forest</v>
      </c>
      <c r="G375" s="6" t="str">
        <f>'Reported burning'!G375</f>
        <v>ND</v>
      </c>
      <c r="H375" s="6" t="str">
        <f>'Reported burning'!H375</f>
        <v>Presence</v>
      </c>
      <c r="I375" s="3"/>
      <c r="J375" s="21" t="s">
        <v>2276</v>
      </c>
      <c r="K375" s="103" t="s">
        <v>2276</v>
      </c>
      <c r="L375" s="21" t="s">
        <v>2276</v>
      </c>
      <c r="M375" s="21" t="s">
        <v>2276</v>
      </c>
      <c r="N375" s="21" t="s">
        <v>2276</v>
      </c>
      <c r="O375" s="21" t="s">
        <v>2276</v>
      </c>
      <c r="P375" s="21" t="s">
        <v>2276</v>
      </c>
      <c r="Q375" s="102" t="s">
        <v>2276</v>
      </c>
      <c r="R375" s="102" t="s">
        <v>2276</v>
      </c>
      <c r="S375" s="21" t="s">
        <v>2276</v>
      </c>
      <c r="T375" s="21" t="s">
        <v>2276</v>
      </c>
      <c r="U375" s="21" t="s">
        <v>2276</v>
      </c>
      <c r="V375" s="21" t="s">
        <v>2276</v>
      </c>
      <c r="W375" s="21" t="s">
        <v>2276</v>
      </c>
      <c r="X375" s="3" t="s">
        <v>2276</v>
      </c>
      <c r="Y375" s="3" t="s">
        <v>2276</v>
      </c>
      <c r="Z375" s="3" t="s">
        <v>2276</v>
      </c>
      <c r="AA375" s="4"/>
      <c r="AB375" s="4"/>
    </row>
    <row r="376" spans="1:28" ht="112" customHeight="1">
      <c r="A376" s="6" t="str">
        <f>'Reported burning'!A376</f>
        <v>27ar</v>
      </c>
      <c r="B376" s="6" t="str">
        <f>'Reported burning'!B376</f>
        <v>27ar.2</v>
      </c>
      <c r="C376" s="6" t="str">
        <f>'Reported burning'!C376</f>
        <v>Human, deliberate</v>
      </c>
      <c r="D376" s="6" t="str">
        <f>'Reported burning'!D376</f>
        <v>Crop field preparation</v>
      </c>
      <c r="E376" s="6" t="str">
        <f>'Reported burning'!E376</f>
        <v>Cropping, Swidden</v>
      </c>
      <c r="F376" s="6" t="str">
        <f>'Reported burning'!F376</f>
        <v>Secondary Vegetation</v>
      </c>
      <c r="G376" s="6" t="str">
        <f>'Reported burning'!G376</f>
        <v>ND</v>
      </c>
      <c r="H376" s="6" t="str">
        <f>'Reported burning'!H376</f>
        <v>Presence</v>
      </c>
      <c r="I376" s="3"/>
      <c r="J376" s="21" t="s">
        <v>2276</v>
      </c>
      <c r="K376" s="103" t="s">
        <v>2276</v>
      </c>
      <c r="L376" s="21" t="s">
        <v>2276</v>
      </c>
      <c r="M376" s="21" t="s">
        <v>2276</v>
      </c>
      <c r="N376" s="21" t="s">
        <v>2276</v>
      </c>
      <c r="O376" s="21" t="s">
        <v>2276</v>
      </c>
      <c r="P376" s="21" t="s">
        <v>2276</v>
      </c>
      <c r="Q376" s="102" t="s">
        <v>2276</v>
      </c>
      <c r="R376" s="102" t="s">
        <v>2276</v>
      </c>
      <c r="S376" s="21" t="s">
        <v>2276</v>
      </c>
      <c r="T376" s="21" t="s">
        <v>2276</v>
      </c>
      <c r="U376" s="21" t="s">
        <v>2276</v>
      </c>
      <c r="V376" s="21" t="s">
        <v>2276</v>
      </c>
      <c r="W376" s="21" t="s">
        <v>2276</v>
      </c>
      <c r="X376" s="3" t="s">
        <v>2276</v>
      </c>
      <c r="Y376" s="3" t="s">
        <v>2276</v>
      </c>
      <c r="Z376" s="3" t="s">
        <v>2276</v>
      </c>
      <c r="AA376" s="4"/>
      <c r="AB376" s="4"/>
    </row>
    <row r="377" spans="1:28" ht="112" customHeight="1">
      <c r="A377" s="6" t="str">
        <f>'Reported burning'!A377</f>
        <v>27ar</v>
      </c>
      <c r="B377" s="6" t="str">
        <f>'Reported burning'!B377</f>
        <v>27ar.3</v>
      </c>
      <c r="C377" s="6" t="str">
        <f>'Reported burning'!C377</f>
        <v>Human, deliberate</v>
      </c>
      <c r="D377" s="6" t="str">
        <f>'Reported burning'!D377</f>
        <v>Forest clearance</v>
      </c>
      <c r="E377" s="6" t="str">
        <f>'Reported burning'!E377</f>
        <v>Cropping, Monoculture, Subsistence-oriented</v>
      </c>
      <c r="F377" s="6" t="str">
        <f>'Reported burning'!F377</f>
        <v>Forest</v>
      </c>
      <c r="G377" s="6" t="str">
        <f>'Reported burning'!G377</f>
        <v>ND</v>
      </c>
      <c r="H377" s="6" t="str">
        <f>'Reported burning'!H377</f>
        <v>Presence</v>
      </c>
      <c r="I377" s="3"/>
      <c r="J377" s="21" t="s">
        <v>2276</v>
      </c>
      <c r="K377" s="103" t="s">
        <v>2276</v>
      </c>
      <c r="L377" s="21" t="s">
        <v>2276</v>
      </c>
      <c r="M377" s="21" t="s">
        <v>2276</v>
      </c>
      <c r="N377" s="21" t="s">
        <v>2276</v>
      </c>
      <c r="O377" s="21" t="s">
        <v>2276</v>
      </c>
      <c r="P377" s="21" t="s">
        <v>2276</v>
      </c>
      <c r="Q377" s="102" t="s">
        <v>2276</v>
      </c>
      <c r="R377" s="102" t="s">
        <v>2276</v>
      </c>
      <c r="S377" s="21" t="s">
        <v>2276</v>
      </c>
      <c r="T377" s="21" t="s">
        <v>2276</v>
      </c>
      <c r="U377" s="21" t="s">
        <v>2276</v>
      </c>
      <c r="V377" s="21" t="s">
        <v>2276</v>
      </c>
      <c r="W377" s="21" t="s">
        <v>2276</v>
      </c>
      <c r="X377" s="3" t="s">
        <v>2276</v>
      </c>
      <c r="Y377" s="3" t="s">
        <v>2276</v>
      </c>
      <c r="Z377" s="3" t="s">
        <v>2276</v>
      </c>
      <c r="AA377" s="4"/>
      <c r="AB377" s="4"/>
    </row>
    <row r="378" spans="1:28" ht="112" customHeight="1">
      <c r="A378" s="6" t="str">
        <f>'Reported burning'!A378</f>
        <v>27as</v>
      </c>
      <c r="B378" s="6" t="str">
        <f>'Reported burning'!B378</f>
        <v>27as.1</v>
      </c>
      <c r="C378" s="6" t="str">
        <f>'Reported burning'!C378</f>
        <v>Human, deliberate</v>
      </c>
      <c r="D378" s="6" t="str">
        <f>'Reported burning'!D378</f>
        <v>Forest clearance</v>
      </c>
      <c r="E378" s="6" t="str">
        <f>'Reported burning'!E378</f>
        <v>Cropping, Swidden</v>
      </c>
      <c r="F378" s="6" t="str">
        <f>'Reported burning'!F378</f>
        <v>Forest</v>
      </c>
      <c r="G378" s="6" t="str">
        <f>'Reported burning'!G378</f>
        <v>ND</v>
      </c>
      <c r="H378" s="6" t="str">
        <f>'Reported burning'!H378</f>
        <v>Presence</v>
      </c>
      <c r="I378" s="3"/>
      <c r="J378" s="21" t="s">
        <v>2276</v>
      </c>
      <c r="K378" s="103" t="s">
        <v>2276</v>
      </c>
      <c r="L378" s="21" t="s">
        <v>2276</v>
      </c>
      <c r="M378" s="21" t="s">
        <v>2276</v>
      </c>
      <c r="N378" s="21" t="s">
        <v>2276</v>
      </c>
      <c r="O378" s="21" t="s">
        <v>2276</v>
      </c>
      <c r="P378" s="21" t="s">
        <v>2276</v>
      </c>
      <c r="Q378" s="102" t="s">
        <v>2276</v>
      </c>
      <c r="R378" s="102" t="s">
        <v>2276</v>
      </c>
      <c r="S378" s="21" t="s">
        <v>2276</v>
      </c>
      <c r="T378" s="21" t="s">
        <v>2276</v>
      </c>
      <c r="U378" s="21" t="s">
        <v>2276</v>
      </c>
      <c r="V378" s="21" t="s">
        <v>2276</v>
      </c>
      <c r="W378" s="21" t="s">
        <v>2276</v>
      </c>
      <c r="X378" s="3" t="s">
        <v>2276</v>
      </c>
      <c r="Y378" s="3" t="s">
        <v>2276</v>
      </c>
      <c r="Z378" s="3" t="s">
        <v>2276</v>
      </c>
      <c r="AA378" s="4"/>
      <c r="AB378" s="4"/>
    </row>
    <row r="379" spans="1:28" ht="112" customHeight="1">
      <c r="A379" s="6" t="str">
        <f>'Reported burning'!A379</f>
        <v>27as</v>
      </c>
      <c r="B379" s="6" t="str">
        <f>'Reported burning'!B379</f>
        <v>27as.2</v>
      </c>
      <c r="C379" s="6" t="str">
        <f>'Reported burning'!C379</f>
        <v>Human, deliberate</v>
      </c>
      <c r="D379" s="6" t="str">
        <f>'Reported burning'!D379</f>
        <v>Crop field preparation</v>
      </c>
      <c r="E379" s="6" t="str">
        <f>'Reported burning'!E379</f>
        <v>Cropping, Swidden</v>
      </c>
      <c r="F379" s="6" t="str">
        <f>'Reported burning'!F379</f>
        <v>Secondary Vegetation</v>
      </c>
      <c r="G379" s="6" t="str">
        <f>'Reported burning'!G379</f>
        <v>ND</v>
      </c>
      <c r="H379" s="6" t="str">
        <f>'Reported burning'!H379</f>
        <v>Presence</v>
      </c>
      <c r="I379" s="3"/>
      <c r="J379" s="21" t="s">
        <v>2276</v>
      </c>
      <c r="K379" s="103" t="s">
        <v>2276</v>
      </c>
      <c r="L379" s="21" t="s">
        <v>2276</v>
      </c>
      <c r="M379" s="21" t="s">
        <v>2276</v>
      </c>
      <c r="N379" s="21" t="s">
        <v>2276</v>
      </c>
      <c r="O379" s="21" t="s">
        <v>2276</v>
      </c>
      <c r="P379" s="21" t="s">
        <v>2276</v>
      </c>
      <c r="Q379" s="102" t="s">
        <v>2276</v>
      </c>
      <c r="R379" s="102" t="s">
        <v>2276</v>
      </c>
      <c r="S379" s="21" t="s">
        <v>2276</v>
      </c>
      <c r="T379" s="21" t="s">
        <v>2276</v>
      </c>
      <c r="U379" s="21" t="s">
        <v>2276</v>
      </c>
      <c r="V379" s="21" t="s">
        <v>2276</v>
      </c>
      <c r="W379" s="21" t="s">
        <v>2276</v>
      </c>
      <c r="X379" s="3" t="s">
        <v>2276</v>
      </c>
      <c r="Y379" s="3" t="s">
        <v>2276</v>
      </c>
      <c r="Z379" s="3" t="s">
        <v>2276</v>
      </c>
      <c r="AA379" s="4"/>
      <c r="AB379" s="4"/>
    </row>
    <row r="380" spans="1:28" ht="112" customHeight="1">
      <c r="A380" s="6" t="str">
        <f>'Reported burning'!A380</f>
        <v>27as</v>
      </c>
      <c r="B380" s="6" t="str">
        <f>'Reported burning'!B380</f>
        <v>27as.3</v>
      </c>
      <c r="C380" s="6" t="str">
        <f>'Reported burning'!C380</f>
        <v>Human, deliberate</v>
      </c>
      <c r="D380" s="6" t="str">
        <f>'Reported burning'!D380</f>
        <v>Forest clearance</v>
      </c>
      <c r="E380" s="6" t="str">
        <f>'Reported burning'!E380</f>
        <v>Cropping, Monoculture, Subsistence-oriented</v>
      </c>
      <c r="F380" s="6" t="str">
        <f>'Reported burning'!F380</f>
        <v>Forest</v>
      </c>
      <c r="G380" s="6" t="str">
        <f>'Reported burning'!G380</f>
        <v>ND</v>
      </c>
      <c r="H380" s="6" t="str">
        <f>'Reported burning'!H380</f>
        <v>Presence</v>
      </c>
      <c r="I380" s="3"/>
      <c r="J380" s="21" t="s">
        <v>2276</v>
      </c>
      <c r="K380" s="103" t="s">
        <v>2276</v>
      </c>
      <c r="L380" s="21" t="s">
        <v>2276</v>
      </c>
      <c r="M380" s="21" t="s">
        <v>2276</v>
      </c>
      <c r="N380" s="21" t="s">
        <v>2276</v>
      </c>
      <c r="O380" s="21" t="s">
        <v>2276</v>
      </c>
      <c r="P380" s="21" t="s">
        <v>2276</v>
      </c>
      <c r="Q380" s="102" t="s">
        <v>2276</v>
      </c>
      <c r="R380" s="102" t="s">
        <v>2276</v>
      </c>
      <c r="S380" s="21" t="s">
        <v>2276</v>
      </c>
      <c r="T380" s="21" t="s">
        <v>2276</v>
      </c>
      <c r="U380" s="21" t="s">
        <v>2276</v>
      </c>
      <c r="V380" s="21" t="s">
        <v>2276</v>
      </c>
      <c r="W380" s="21" t="s">
        <v>2276</v>
      </c>
      <c r="X380" s="3" t="s">
        <v>2276</v>
      </c>
      <c r="Y380" s="3" t="s">
        <v>2276</v>
      </c>
      <c r="Z380" s="3" t="s">
        <v>2276</v>
      </c>
      <c r="AA380" s="4"/>
      <c r="AB380" s="4"/>
    </row>
    <row r="381" spans="1:28" ht="112" customHeight="1">
      <c r="A381" s="6" t="str">
        <f>'Reported burning'!A381</f>
        <v>27at</v>
      </c>
      <c r="B381" s="6" t="str">
        <f>'Reported burning'!B381</f>
        <v>27at.1</v>
      </c>
      <c r="C381" s="6" t="str">
        <f>'Reported burning'!C381</f>
        <v>Human, deliberate</v>
      </c>
      <c r="D381" s="6" t="str">
        <f>'Reported burning'!D381</f>
        <v>Forest clearance</v>
      </c>
      <c r="E381" s="6" t="str">
        <f>'Reported burning'!E381</f>
        <v>Cropping, Swidden</v>
      </c>
      <c r="F381" s="6" t="str">
        <f>'Reported burning'!F381</f>
        <v>Forest</v>
      </c>
      <c r="G381" s="6" t="str">
        <f>'Reported burning'!G381</f>
        <v>ND</v>
      </c>
      <c r="H381" s="6" t="str">
        <f>'Reported burning'!H381</f>
        <v>Presence</v>
      </c>
      <c r="I381" s="3"/>
      <c r="J381" s="21" t="s">
        <v>2276</v>
      </c>
      <c r="K381" s="103" t="s">
        <v>2276</v>
      </c>
      <c r="L381" s="21" t="s">
        <v>2276</v>
      </c>
      <c r="M381" s="21" t="s">
        <v>2276</v>
      </c>
      <c r="N381" s="21" t="s">
        <v>2276</v>
      </c>
      <c r="O381" s="21" t="s">
        <v>2276</v>
      </c>
      <c r="P381" s="21" t="s">
        <v>2276</v>
      </c>
      <c r="Q381" s="102" t="s">
        <v>2276</v>
      </c>
      <c r="R381" s="102" t="s">
        <v>2276</v>
      </c>
      <c r="S381" s="21" t="s">
        <v>2276</v>
      </c>
      <c r="T381" s="21" t="s">
        <v>2276</v>
      </c>
      <c r="U381" s="21" t="s">
        <v>2276</v>
      </c>
      <c r="V381" s="21" t="s">
        <v>2276</v>
      </c>
      <c r="W381" s="21" t="s">
        <v>2276</v>
      </c>
      <c r="X381" s="3" t="s">
        <v>2276</v>
      </c>
      <c r="Y381" s="3" t="s">
        <v>2276</v>
      </c>
      <c r="Z381" s="3" t="s">
        <v>2276</v>
      </c>
      <c r="AA381" s="4"/>
      <c r="AB381" s="4"/>
    </row>
    <row r="382" spans="1:28" ht="112" customHeight="1">
      <c r="A382" s="6" t="str">
        <f>'Reported burning'!A382</f>
        <v>27at</v>
      </c>
      <c r="B382" s="6" t="str">
        <f>'Reported burning'!B382</f>
        <v>27at.2</v>
      </c>
      <c r="C382" s="6" t="str">
        <f>'Reported burning'!C382</f>
        <v>Human, deliberate</v>
      </c>
      <c r="D382" s="6" t="str">
        <f>'Reported burning'!D382</f>
        <v>Crop field preparation</v>
      </c>
      <c r="E382" s="6" t="str">
        <f>'Reported burning'!E382</f>
        <v>Cropping, Swidden</v>
      </c>
      <c r="F382" s="6" t="str">
        <f>'Reported burning'!F382</f>
        <v>Secondary Vegetation</v>
      </c>
      <c r="G382" s="6" t="str">
        <f>'Reported burning'!G382</f>
        <v>ND</v>
      </c>
      <c r="H382" s="6" t="str">
        <f>'Reported burning'!H382</f>
        <v>Presence</v>
      </c>
      <c r="I382" s="3"/>
      <c r="J382" s="21" t="s">
        <v>2276</v>
      </c>
      <c r="K382" s="103" t="s">
        <v>2276</v>
      </c>
      <c r="L382" s="21" t="s">
        <v>2276</v>
      </c>
      <c r="M382" s="21" t="s">
        <v>2276</v>
      </c>
      <c r="N382" s="21" t="s">
        <v>2276</v>
      </c>
      <c r="O382" s="21" t="s">
        <v>2276</v>
      </c>
      <c r="P382" s="21" t="s">
        <v>2276</v>
      </c>
      <c r="Q382" s="102" t="s">
        <v>2276</v>
      </c>
      <c r="R382" s="102" t="s">
        <v>2276</v>
      </c>
      <c r="S382" s="21" t="s">
        <v>2276</v>
      </c>
      <c r="T382" s="21" t="s">
        <v>2276</v>
      </c>
      <c r="U382" s="21" t="s">
        <v>2276</v>
      </c>
      <c r="V382" s="21" t="s">
        <v>2276</v>
      </c>
      <c r="W382" s="21" t="s">
        <v>2276</v>
      </c>
      <c r="X382" s="3" t="s">
        <v>2276</v>
      </c>
      <c r="Y382" s="3" t="s">
        <v>2276</v>
      </c>
      <c r="Z382" s="3" t="s">
        <v>2276</v>
      </c>
      <c r="AA382" s="4"/>
      <c r="AB382" s="4"/>
    </row>
    <row r="383" spans="1:28" ht="112" customHeight="1">
      <c r="A383" s="6" t="str">
        <f>'Reported burning'!A383</f>
        <v>27au</v>
      </c>
      <c r="B383" s="6" t="str">
        <f>'Reported burning'!B383</f>
        <v>27au.1</v>
      </c>
      <c r="C383" s="6" t="str">
        <f>'Reported burning'!C383</f>
        <v>Human, deliberate</v>
      </c>
      <c r="D383" s="6" t="str">
        <f>'Reported burning'!D383</f>
        <v>Forest clearance</v>
      </c>
      <c r="E383" s="6" t="str">
        <f>'Reported burning'!E383</f>
        <v>Cropping, Swidden</v>
      </c>
      <c r="F383" s="6" t="str">
        <f>'Reported burning'!F383</f>
        <v>Forest</v>
      </c>
      <c r="G383" s="6" t="str">
        <f>'Reported burning'!G383</f>
        <v>ND</v>
      </c>
      <c r="H383" s="6" t="str">
        <f>'Reported burning'!H383</f>
        <v>Presence</v>
      </c>
      <c r="I383" s="3"/>
      <c r="J383" s="21" t="s">
        <v>2276</v>
      </c>
      <c r="K383" s="103" t="s">
        <v>2276</v>
      </c>
      <c r="L383" s="21" t="s">
        <v>2276</v>
      </c>
      <c r="M383" s="21" t="s">
        <v>2276</v>
      </c>
      <c r="N383" s="21" t="s">
        <v>2276</v>
      </c>
      <c r="O383" s="21" t="s">
        <v>2276</v>
      </c>
      <c r="P383" s="21" t="s">
        <v>2276</v>
      </c>
      <c r="Q383" s="102" t="s">
        <v>2276</v>
      </c>
      <c r="R383" s="102" t="s">
        <v>2276</v>
      </c>
      <c r="S383" s="21" t="s">
        <v>2276</v>
      </c>
      <c r="T383" s="21" t="s">
        <v>2276</v>
      </c>
      <c r="U383" s="21" t="s">
        <v>2276</v>
      </c>
      <c r="V383" s="21" t="s">
        <v>2276</v>
      </c>
      <c r="W383" s="21" t="s">
        <v>2276</v>
      </c>
      <c r="X383" s="3" t="s">
        <v>2276</v>
      </c>
      <c r="Y383" s="3" t="s">
        <v>2276</v>
      </c>
      <c r="Z383" s="3" t="s">
        <v>2276</v>
      </c>
      <c r="AA383" s="4"/>
      <c r="AB383" s="4"/>
    </row>
    <row r="384" spans="1:28" ht="112" customHeight="1">
      <c r="A384" s="6" t="str">
        <f>'Reported burning'!A384</f>
        <v>27au</v>
      </c>
      <c r="B384" s="6" t="str">
        <f>'Reported burning'!B384</f>
        <v>27au.2</v>
      </c>
      <c r="C384" s="6" t="str">
        <f>'Reported burning'!C384</f>
        <v>Human, deliberate</v>
      </c>
      <c r="D384" s="6" t="str">
        <f>'Reported burning'!D384</f>
        <v>Crop field preparation</v>
      </c>
      <c r="E384" s="6" t="str">
        <f>'Reported burning'!E384</f>
        <v>Cropping, Swidden</v>
      </c>
      <c r="F384" s="6" t="str">
        <f>'Reported burning'!F384</f>
        <v>Secondary Vegetation</v>
      </c>
      <c r="G384" s="6" t="str">
        <f>'Reported burning'!G384</f>
        <v>ND</v>
      </c>
      <c r="H384" s="6" t="str">
        <f>'Reported burning'!H384</f>
        <v>Presence</v>
      </c>
      <c r="I384" s="3"/>
      <c r="J384" s="21" t="s">
        <v>2276</v>
      </c>
      <c r="K384" s="103" t="s">
        <v>2276</v>
      </c>
      <c r="L384" s="21" t="s">
        <v>2276</v>
      </c>
      <c r="M384" s="21" t="s">
        <v>2276</v>
      </c>
      <c r="N384" s="21" t="s">
        <v>2276</v>
      </c>
      <c r="O384" s="21" t="s">
        <v>2276</v>
      </c>
      <c r="P384" s="21" t="s">
        <v>2276</v>
      </c>
      <c r="Q384" s="102" t="s">
        <v>2276</v>
      </c>
      <c r="R384" s="102" t="s">
        <v>2276</v>
      </c>
      <c r="S384" s="21" t="s">
        <v>2276</v>
      </c>
      <c r="T384" s="21" t="s">
        <v>2276</v>
      </c>
      <c r="U384" s="21" t="s">
        <v>2276</v>
      </c>
      <c r="V384" s="21" t="s">
        <v>2276</v>
      </c>
      <c r="W384" s="21" t="s">
        <v>2276</v>
      </c>
      <c r="X384" s="3" t="s">
        <v>2276</v>
      </c>
      <c r="Y384" s="3" t="s">
        <v>2276</v>
      </c>
      <c r="Z384" s="3" t="s">
        <v>2276</v>
      </c>
      <c r="AA384" s="4"/>
      <c r="AB384" s="4"/>
    </row>
    <row r="385" spans="1:28" ht="112" customHeight="1">
      <c r="A385" s="6" t="str">
        <f>'Reported burning'!A385</f>
        <v>27av</v>
      </c>
      <c r="B385" s="6" t="str">
        <f>'Reported burning'!B385</f>
        <v>27av.1</v>
      </c>
      <c r="C385" s="6" t="str">
        <f>'Reported burning'!C385</f>
        <v>Human, deliberate</v>
      </c>
      <c r="D385" s="6" t="str">
        <f>'Reported burning'!D385</f>
        <v>Forest clearance</v>
      </c>
      <c r="E385" s="6" t="str">
        <f>'Reported burning'!E385</f>
        <v>Cropping, Monoculture, Subsistence-oriented</v>
      </c>
      <c r="F385" s="6" t="str">
        <f>'Reported burning'!F385</f>
        <v>Forest</v>
      </c>
      <c r="G385" s="6" t="str">
        <f>'Reported burning'!G385</f>
        <v>ND</v>
      </c>
      <c r="H385" s="6" t="str">
        <f>'Reported burning'!H385</f>
        <v>Presence</v>
      </c>
      <c r="I385" s="3"/>
      <c r="J385" s="21" t="s">
        <v>2276</v>
      </c>
      <c r="K385" s="103" t="s">
        <v>2276</v>
      </c>
      <c r="L385" s="21" t="s">
        <v>2276</v>
      </c>
      <c r="M385" s="21" t="s">
        <v>2276</v>
      </c>
      <c r="N385" s="21" t="s">
        <v>2276</v>
      </c>
      <c r="O385" s="21" t="s">
        <v>2276</v>
      </c>
      <c r="P385" s="21" t="s">
        <v>2276</v>
      </c>
      <c r="Q385" s="102" t="s">
        <v>2276</v>
      </c>
      <c r="R385" s="102" t="s">
        <v>2276</v>
      </c>
      <c r="S385" s="21" t="s">
        <v>2276</v>
      </c>
      <c r="T385" s="21" t="s">
        <v>2276</v>
      </c>
      <c r="U385" s="21" t="s">
        <v>2276</v>
      </c>
      <c r="V385" s="21" t="s">
        <v>2276</v>
      </c>
      <c r="W385" s="21" t="s">
        <v>2276</v>
      </c>
      <c r="X385" s="3" t="s">
        <v>2276</v>
      </c>
      <c r="Y385" s="3" t="s">
        <v>2276</v>
      </c>
      <c r="Z385" s="3" t="s">
        <v>2276</v>
      </c>
      <c r="AA385" s="4"/>
      <c r="AB385" s="4"/>
    </row>
    <row r="386" spans="1:28" ht="112" customHeight="1">
      <c r="A386" s="6" t="str">
        <f>'Reported burning'!A386</f>
        <v>27aw</v>
      </c>
      <c r="B386" s="6" t="str">
        <f>'Reported burning'!B386</f>
        <v>27aw.1</v>
      </c>
      <c r="C386" s="6" t="str">
        <f>'Reported burning'!C386</f>
        <v>Human, deliberate</v>
      </c>
      <c r="D386" s="6" t="str">
        <f>'Reported burning'!D386</f>
        <v>Forest clearance</v>
      </c>
      <c r="E386" s="6" t="str">
        <f>'Reported burning'!E386</f>
        <v>Cropping, Monoculture, Subsistence-oriented</v>
      </c>
      <c r="F386" s="6" t="str">
        <f>'Reported burning'!F386</f>
        <v>Forest</v>
      </c>
      <c r="G386" s="6" t="str">
        <f>'Reported burning'!G386</f>
        <v>ND</v>
      </c>
      <c r="H386" s="6" t="str">
        <f>'Reported burning'!H386</f>
        <v>Presence</v>
      </c>
      <c r="I386" s="3"/>
      <c r="J386" s="21" t="s">
        <v>2276</v>
      </c>
      <c r="K386" s="103" t="s">
        <v>2276</v>
      </c>
      <c r="L386" s="21" t="s">
        <v>2276</v>
      </c>
      <c r="M386" s="21" t="s">
        <v>2276</v>
      </c>
      <c r="N386" s="21" t="s">
        <v>2276</v>
      </c>
      <c r="O386" s="21" t="s">
        <v>2276</v>
      </c>
      <c r="P386" s="21" t="s">
        <v>2276</v>
      </c>
      <c r="Q386" s="102" t="s">
        <v>2276</v>
      </c>
      <c r="R386" s="102" t="s">
        <v>2276</v>
      </c>
      <c r="S386" s="21" t="s">
        <v>2276</v>
      </c>
      <c r="T386" s="21" t="s">
        <v>2276</v>
      </c>
      <c r="U386" s="21" t="s">
        <v>2276</v>
      </c>
      <c r="V386" s="21" t="s">
        <v>2276</v>
      </c>
      <c r="W386" s="21" t="s">
        <v>2276</v>
      </c>
      <c r="X386" s="3" t="s">
        <v>2276</v>
      </c>
      <c r="Y386" s="3" t="s">
        <v>2276</v>
      </c>
      <c r="Z386" s="3" t="s">
        <v>2276</v>
      </c>
      <c r="AA386" s="4"/>
      <c r="AB386" s="4"/>
    </row>
    <row r="387" spans="1:28" ht="67" customHeight="1">
      <c r="A387" s="6" t="str">
        <f>'Reported burning'!A387</f>
        <v>28a</v>
      </c>
      <c r="B387" s="6" t="str">
        <f>'Reported burning'!B387</f>
        <v>28a.1</v>
      </c>
      <c r="C387" s="6" t="str">
        <f>'Reported burning'!C387</f>
        <v>Human, deliberate</v>
      </c>
      <c r="D387" s="6" t="str">
        <f>'Reported burning'!D387</f>
        <v>Crop field preparation</v>
      </c>
      <c r="E387" s="6" t="str">
        <f>'Reported burning'!E387</f>
        <v>Cropping, Swidden</v>
      </c>
      <c r="F387" s="6" t="str">
        <f>'Reported burning'!F387</f>
        <v>Secondary Vegetation</v>
      </c>
      <c r="G387" s="6" t="str">
        <f>'Reported burning'!G387</f>
        <v>ND</v>
      </c>
      <c r="H387" s="6" t="str">
        <f>'Reported burning'!H387</f>
        <v>Presence</v>
      </c>
      <c r="I387" s="3">
        <v>1996</v>
      </c>
      <c r="J387" s="21" t="s">
        <v>2276</v>
      </c>
      <c r="K387" s="103" t="s">
        <v>2276</v>
      </c>
      <c r="L387" s="21" t="s">
        <v>2276</v>
      </c>
      <c r="M387" s="21" t="s">
        <v>2276</v>
      </c>
      <c r="N387" s="21" t="s">
        <v>2276</v>
      </c>
      <c r="O387" s="21" t="s">
        <v>2276</v>
      </c>
      <c r="P387" s="21" t="s">
        <v>2276</v>
      </c>
      <c r="Q387" s="102" t="s">
        <v>2276</v>
      </c>
      <c r="R387" s="102" t="s">
        <v>2276</v>
      </c>
      <c r="S387" s="21" t="s">
        <v>2276</v>
      </c>
      <c r="T387" s="21" t="s">
        <v>2276</v>
      </c>
      <c r="U387" s="21" t="s">
        <v>2276</v>
      </c>
      <c r="V387" s="21" t="s">
        <v>2527</v>
      </c>
      <c r="W387" s="21" t="s">
        <v>2276</v>
      </c>
      <c r="X387" s="3" t="s">
        <v>405</v>
      </c>
      <c r="Y387" s="3" t="s">
        <v>425</v>
      </c>
      <c r="Z387" s="3" t="s">
        <v>2276</v>
      </c>
      <c r="AA387" s="4" t="s">
        <v>1874</v>
      </c>
      <c r="AB387" s="4" t="s">
        <v>1869</v>
      </c>
    </row>
    <row r="388" spans="1:28" ht="67" customHeight="1">
      <c r="A388" s="6" t="str">
        <f>'Reported burning'!A388</f>
        <v>28a</v>
      </c>
      <c r="B388" s="6" t="str">
        <f>'Reported burning'!B388</f>
        <v>28a.2</v>
      </c>
      <c r="C388" s="6" t="str">
        <f>'Reported burning'!C388</f>
        <v>Human, deliberate</v>
      </c>
      <c r="D388" s="6" t="str">
        <f>'Reported burning'!D388</f>
        <v>Forest clearance</v>
      </c>
      <c r="E388" s="6" t="str">
        <f>'Reported burning'!E388</f>
        <v>Cropping, Swidden</v>
      </c>
      <c r="F388" s="6" t="str">
        <f>'Reported burning'!F388</f>
        <v>Forest</v>
      </c>
      <c r="G388" s="6" t="str">
        <f>'Reported burning'!G388</f>
        <v>Forest</v>
      </c>
      <c r="H388" s="6" t="str">
        <f>'Reported burning'!H388</f>
        <v>Presence</v>
      </c>
      <c r="I388" s="3">
        <v>1996</v>
      </c>
      <c r="J388" s="21" t="s">
        <v>2276</v>
      </c>
      <c r="K388" s="103" t="s">
        <v>2276</v>
      </c>
      <c r="L388" s="21" t="s">
        <v>2362</v>
      </c>
      <c r="M388" s="21" t="s">
        <v>2276</v>
      </c>
      <c r="N388" s="21" t="s">
        <v>2377</v>
      </c>
      <c r="O388" s="21" t="s">
        <v>2276</v>
      </c>
      <c r="P388" s="21" t="s">
        <v>2373</v>
      </c>
      <c r="Q388" s="102" t="s">
        <v>2276</v>
      </c>
      <c r="R388" s="102" t="s">
        <v>2276</v>
      </c>
      <c r="S388" s="21" t="s">
        <v>2276</v>
      </c>
      <c r="T388" s="21" t="s">
        <v>2276</v>
      </c>
      <c r="U388" s="21" t="s">
        <v>2276</v>
      </c>
      <c r="V388" s="21" t="s">
        <v>2527</v>
      </c>
      <c r="W388" s="21" t="s">
        <v>2276</v>
      </c>
      <c r="X388" s="3" t="s">
        <v>405</v>
      </c>
      <c r="Y388" s="3" t="s">
        <v>425</v>
      </c>
      <c r="Z388" s="3" t="s">
        <v>2276</v>
      </c>
      <c r="AA388" s="4" t="s">
        <v>1870</v>
      </c>
      <c r="AB388" s="4" t="s">
        <v>1872</v>
      </c>
    </row>
    <row r="389" spans="1:28" ht="67" customHeight="1">
      <c r="A389" s="6" t="str">
        <f>'Reported burning'!A389</f>
        <v>28a</v>
      </c>
      <c r="B389" s="6" t="str">
        <f>'Reported burning'!B389</f>
        <v>28a.3</v>
      </c>
      <c r="C389" s="6" t="str">
        <f>'Reported burning'!C389</f>
        <v>Human, deliberate</v>
      </c>
      <c r="D389" s="6" t="str">
        <f>'Reported burning'!D389</f>
        <v>Forest clearance</v>
      </c>
      <c r="E389" s="6" t="str">
        <f>'Reported burning'!E389</f>
        <v>Cropping, Monoculture, Market-oriented</v>
      </c>
      <c r="F389" s="6" t="str">
        <f>'Reported burning'!F389</f>
        <v>Forest</v>
      </c>
      <c r="G389" s="6" t="str">
        <f>'Reported burning'!G389</f>
        <v>Forest</v>
      </c>
      <c r="H389" s="6" t="str">
        <f>'Reported burning'!H389</f>
        <v>Presence</v>
      </c>
      <c r="I389" s="3">
        <v>1996</v>
      </c>
      <c r="J389" s="21" t="s">
        <v>2276</v>
      </c>
      <c r="K389" s="103" t="s">
        <v>2276</v>
      </c>
      <c r="L389" s="21" t="s">
        <v>2362</v>
      </c>
      <c r="M389" s="21" t="s">
        <v>2276</v>
      </c>
      <c r="N389" s="21" t="s">
        <v>2377</v>
      </c>
      <c r="O389" s="21" t="s">
        <v>2276</v>
      </c>
      <c r="P389" s="21" t="s">
        <v>2373</v>
      </c>
      <c r="Q389" s="102" t="s">
        <v>2276</v>
      </c>
      <c r="R389" s="102" t="s">
        <v>2276</v>
      </c>
      <c r="S389" s="21" t="s">
        <v>2276</v>
      </c>
      <c r="T389" s="21" t="s">
        <v>2276</v>
      </c>
      <c r="U389" s="21" t="s">
        <v>2276</v>
      </c>
      <c r="V389" s="21" t="s">
        <v>2527</v>
      </c>
      <c r="W389" s="21" t="s">
        <v>2276</v>
      </c>
      <c r="X389" s="3" t="s">
        <v>405</v>
      </c>
      <c r="Y389" s="3" t="s">
        <v>425</v>
      </c>
      <c r="Z389" s="3" t="s">
        <v>2276</v>
      </c>
      <c r="AA389" s="4" t="s">
        <v>1870</v>
      </c>
      <c r="AB389" s="4" t="s">
        <v>1872</v>
      </c>
    </row>
    <row r="390" spans="1:28" ht="98.5" customHeight="1">
      <c r="A390" s="6" t="str">
        <f>'Reported burning'!A390</f>
        <v>28a</v>
      </c>
      <c r="B390" s="6" t="str">
        <f>'Reported burning'!B390</f>
        <v>28a.4</v>
      </c>
      <c r="C390" s="6" t="str">
        <f>'Reported burning'!C390</f>
        <v>Human, deliberate</v>
      </c>
      <c r="D390" s="6" t="str">
        <f>'Reported burning'!D390</f>
        <v>Pasture renewal</v>
      </c>
      <c r="E390" s="6" t="str">
        <f>'Reported burning'!E390</f>
        <v>Cattle, Extensive</v>
      </c>
      <c r="F390" s="6" t="str">
        <f>'Reported burning'!F390</f>
        <v>Pasture</v>
      </c>
      <c r="G390" s="6" t="str">
        <f>'Reported burning'!G390</f>
        <v>ND</v>
      </c>
      <c r="H390" s="6" t="str">
        <f>'Reported burning'!H390</f>
        <v>Presence</v>
      </c>
      <c r="I390" s="3">
        <v>1996</v>
      </c>
      <c r="J390" s="21" t="s">
        <v>2276</v>
      </c>
      <c r="K390" s="103" t="s">
        <v>2276</v>
      </c>
      <c r="L390" s="21" t="s">
        <v>2276</v>
      </c>
      <c r="M390" s="21" t="s">
        <v>2378</v>
      </c>
      <c r="N390" s="21" t="s">
        <v>2276</v>
      </c>
      <c r="O390" s="21" t="s">
        <v>2276</v>
      </c>
      <c r="P390" s="21" t="s">
        <v>2276</v>
      </c>
      <c r="Q390" s="21" t="s">
        <v>2276</v>
      </c>
      <c r="R390" s="102" t="s">
        <v>2276</v>
      </c>
      <c r="S390" s="21" t="s">
        <v>2276</v>
      </c>
      <c r="T390" s="21" t="s">
        <v>2395</v>
      </c>
      <c r="U390" s="21" t="s">
        <v>2276</v>
      </c>
      <c r="V390" s="21" t="s">
        <v>2389</v>
      </c>
      <c r="W390" s="21" t="s">
        <v>2276</v>
      </c>
      <c r="X390" s="3" t="s">
        <v>405</v>
      </c>
      <c r="Y390" s="3" t="s">
        <v>425</v>
      </c>
      <c r="Z390" s="3" t="s">
        <v>2276</v>
      </c>
      <c r="AA390" s="4" t="s">
        <v>1873</v>
      </c>
      <c r="AB390" s="4" t="s">
        <v>5033</v>
      </c>
    </row>
    <row r="391" spans="1:28" ht="59.5" customHeight="1">
      <c r="A391" s="6" t="str">
        <f>'Reported burning'!A391</f>
        <v>28b</v>
      </c>
      <c r="B391" s="6" t="str">
        <f>'Reported burning'!B391</f>
        <v>28b.1</v>
      </c>
      <c r="C391" s="6" t="str">
        <f>'Reported burning'!C391</f>
        <v>Human, deliberate</v>
      </c>
      <c r="D391" s="6" t="str">
        <f>'Reported burning'!D391</f>
        <v>Crop field preparation</v>
      </c>
      <c r="E391" s="6" t="str">
        <f>'Reported burning'!E391</f>
        <v>Cropping, Swidden</v>
      </c>
      <c r="F391" s="6" t="str">
        <f>'Reported burning'!F391</f>
        <v>Secondary Vegetation</v>
      </c>
      <c r="G391" s="6" t="str">
        <f>'Reported burning'!G391</f>
        <v>ND</v>
      </c>
      <c r="H391" s="6" t="str">
        <f>'Reported burning'!H391</f>
        <v>Presence</v>
      </c>
      <c r="I391" s="3">
        <v>1996</v>
      </c>
      <c r="J391" s="21" t="s">
        <v>2276</v>
      </c>
      <c r="K391" s="103" t="s">
        <v>2276</v>
      </c>
      <c r="L391" s="21" t="s">
        <v>2276</v>
      </c>
      <c r="M391" s="21" t="s">
        <v>2276</v>
      </c>
      <c r="N391" s="21" t="s">
        <v>2276</v>
      </c>
      <c r="O391" s="21" t="s">
        <v>2276</v>
      </c>
      <c r="P391" s="21" t="s">
        <v>2276</v>
      </c>
      <c r="Q391" s="102" t="s">
        <v>2276</v>
      </c>
      <c r="R391" s="102" t="s">
        <v>2276</v>
      </c>
      <c r="S391" s="21" t="s">
        <v>2276</v>
      </c>
      <c r="T391" s="21" t="s">
        <v>2276</v>
      </c>
      <c r="U391" s="21" t="s">
        <v>2276</v>
      </c>
      <c r="V391" s="21" t="s">
        <v>2276</v>
      </c>
      <c r="W391" s="21" t="s">
        <v>2276</v>
      </c>
      <c r="X391" s="3" t="s">
        <v>405</v>
      </c>
      <c r="Y391" s="3" t="s">
        <v>425</v>
      </c>
      <c r="Z391" s="3" t="s">
        <v>2276</v>
      </c>
      <c r="AA391" s="4" t="s">
        <v>1874</v>
      </c>
      <c r="AB391" s="4" t="s">
        <v>1869</v>
      </c>
    </row>
    <row r="392" spans="1:28" ht="62" customHeight="1">
      <c r="A392" s="6" t="str">
        <f>'Reported burning'!A392</f>
        <v>28b</v>
      </c>
      <c r="B392" s="6" t="str">
        <f>'Reported burning'!B392</f>
        <v>28b.2</v>
      </c>
      <c r="C392" s="6" t="str">
        <f>'Reported burning'!C392</f>
        <v>Human, deliberate</v>
      </c>
      <c r="D392" s="6" t="str">
        <f>'Reported burning'!D392</f>
        <v>Forest clearance</v>
      </c>
      <c r="E392" s="6" t="str">
        <f>'Reported burning'!E392</f>
        <v>Cropping, Swidden</v>
      </c>
      <c r="F392" s="6" t="str">
        <f>'Reported burning'!F392</f>
        <v>Forest</v>
      </c>
      <c r="G392" s="6" t="str">
        <f>'Reported burning'!G392</f>
        <v>Forest</v>
      </c>
      <c r="H392" s="6" t="str">
        <f>'Reported burning'!H392</f>
        <v>Presence</v>
      </c>
      <c r="I392" s="3">
        <v>1996</v>
      </c>
      <c r="J392" s="21" t="s">
        <v>2276</v>
      </c>
      <c r="K392" s="103" t="s">
        <v>2276</v>
      </c>
      <c r="L392" s="21" t="s">
        <v>2362</v>
      </c>
      <c r="M392" s="21" t="s">
        <v>2276</v>
      </c>
      <c r="N392" s="21" t="s">
        <v>2377</v>
      </c>
      <c r="O392" s="21" t="s">
        <v>2276</v>
      </c>
      <c r="P392" s="21" t="s">
        <v>2373</v>
      </c>
      <c r="Q392" s="102" t="s">
        <v>2276</v>
      </c>
      <c r="R392" s="102" t="s">
        <v>2276</v>
      </c>
      <c r="S392" s="21" t="s">
        <v>2276</v>
      </c>
      <c r="T392" s="21" t="s">
        <v>2276</v>
      </c>
      <c r="U392" s="21" t="s">
        <v>2276</v>
      </c>
      <c r="V392" s="21" t="s">
        <v>2527</v>
      </c>
      <c r="W392" s="21" t="s">
        <v>2276</v>
      </c>
      <c r="X392" s="3" t="s">
        <v>405</v>
      </c>
      <c r="Y392" s="3" t="s">
        <v>425</v>
      </c>
      <c r="Z392" s="3" t="s">
        <v>2276</v>
      </c>
      <c r="AA392" s="4" t="s">
        <v>1870</v>
      </c>
      <c r="AB392" s="4" t="s">
        <v>1872</v>
      </c>
    </row>
    <row r="393" spans="1:28" ht="62" customHeight="1">
      <c r="A393" s="6" t="str">
        <f>'Reported burning'!A393</f>
        <v>28b</v>
      </c>
      <c r="B393" s="6" t="str">
        <f>'Reported burning'!B393</f>
        <v>28b.3</v>
      </c>
      <c r="C393" s="6" t="str">
        <f>'Reported burning'!C393</f>
        <v>Human, deliberate</v>
      </c>
      <c r="D393" s="6" t="str">
        <f>'Reported burning'!D393</f>
        <v>Forest clearance</v>
      </c>
      <c r="E393" s="6" t="str">
        <f>'Reported burning'!E393</f>
        <v>Cropping, Monoculture, Market-oriented</v>
      </c>
      <c r="F393" s="6" t="str">
        <f>'Reported burning'!F393</f>
        <v>Forest</v>
      </c>
      <c r="G393" s="6" t="str">
        <f>'Reported burning'!G393</f>
        <v>ND</v>
      </c>
      <c r="H393" s="6" t="str">
        <f>'Reported burning'!H393</f>
        <v>Presence</v>
      </c>
      <c r="I393" s="3">
        <v>1996</v>
      </c>
      <c r="J393" s="21" t="s">
        <v>2276</v>
      </c>
      <c r="K393" s="103" t="s">
        <v>2276</v>
      </c>
      <c r="L393" s="21" t="s">
        <v>2362</v>
      </c>
      <c r="M393" s="21" t="s">
        <v>2276</v>
      </c>
      <c r="N393" s="21" t="s">
        <v>2377</v>
      </c>
      <c r="O393" s="21" t="s">
        <v>2276</v>
      </c>
      <c r="P393" s="21" t="s">
        <v>2373</v>
      </c>
      <c r="Q393" s="102" t="s">
        <v>2276</v>
      </c>
      <c r="R393" s="102" t="s">
        <v>2276</v>
      </c>
      <c r="S393" s="21" t="s">
        <v>2276</v>
      </c>
      <c r="T393" s="21" t="s">
        <v>2276</v>
      </c>
      <c r="U393" s="21" t="s">
        <v>2276</v>
      </c>
      <c r="V393" s="21" t="s">
        <v>2527</v>
      </c>
      <c r="W393" s="21" t="s">
        <v>2276</v>
      </c>
      <c r="X393" s="3" t="s">
        <v>405</v>
      </c>
      <c r="Y393" s="3" t="s">
        <v>425</v>
      </c>
      <c r="Z393" s="3" t="s">
        <v>2276</v>
      </c>
      <c r="AA393" s="4" t="s">
        <v>1870</v>
      </c>
      <c r="AB393" s="4" t="s">
        <v>1872</v>
      </c>
    </row>
    <row r="394" spans="1:28" ht="84" customHeight="1">
      <c r="A394" s="6" t="str">
        <f>'Reported burning'!A394</f>
        <v>28b</v>
      </c>
      <c r="B394" s="6" t="str">
        <f>'Reported burning'!B394</f>
        <v>28b.3</v>
      </c>
      <c r="C394" s="6" t="str">
        <f>'Reported burning'!C394</f>
        <v>Human, deliberate</v>
      </c>
      <c r="D394" s="6" t="str">
        <f>'Reported burning'!D394</f>
        <v>Pasture renewal</v>
      </c>
      <c r="E394" s="6" t="str">
        <f>'Reported burning'!E394</f>
        <v>Cattle, Extensive</v>
      </c>
      <c r="F394" s="6" t="str">
        <f>'Reported burning'!F394</f>
        <v>Pasture</v>
      </c>
      <c r="G394" s="6" t="str">
        <f>'Reported burning'!G394</f>
        <v>ND</v>
      </c>
      <c r="H394" s="6" t="str">
        <f>'Reported burning'!H394</f>
        <v>Presence</v>
      </c>
      <c r="I394" s="3">
        <v>1996</v>
      </c>
      <c r="J394" s="21" t="s">
        <v>2276</v>
      </c>
      <c r="K394" s="103" t="s">
        <v>2276</v>
      </c>
      <c r="L394" s="21" t="s">
        <v>2276</v>
      </c>
      <c r="M394" s="21" t="s">
        <v>2378</v>
      </c>
      <c r="N394" s="21" t="s">
        <v>2276</v>
      </c>
      <c r="O394" s="21" t="s">
        <v>2276</v>
      </c>
      <c r="P394" s="21" t="s">
        <v>2276</v>
      </c>
      <c r="Q394" s="21" t="s">
        <v>2276</v>
      </c>
      <c r="R394" s="102" t="s">
        <v>2276</v>
      </c>
      <c r="S394" s="21" t="s">
        <v>2276</v>
      </c>
      <c r="T394" s="21" t="s">
        <v>2395</v>
      </c>
      <c r="U394" s="21" t="s">
        <v>2276</v>
      </c>
      <c r="V394" s="21" t="s">
        <v>2389</v>
      </c>
      <c r="W394" s="21" t="s">
        <v>2276</v>
      </c>
      <c r="X394" s="3" t="s">
        <v>405</v>
      </c>
      <c r="Y394" s="3" t="s">
        <v>425</v>
      </c>
      <c r="Z394" s="3" t="s">
        <v>2276</v>
      </c>
      <c r="AA394" s="4" t="s">
        <v>1873</v>
      </c>
      <c r="AB394" s="4" t="s">
        <v>5033</v>
      </c>
    </row>
    <row r="395" spans="1:28" ht="56" customHeight="1">
      <c r="A395" s="6" t="str">
        <f>'Reported burning'!A395</f>
        <v>29a</v>
      </c>
      <c r="B395" s="6" t="str">
        <f>'Reported burning'!B395</f>
        <v>29a.1</v>
      </c>
      <c r="C395" s="6" t="str">
        <f>'Reported burning'!C395</f>
        <v>Human, deliberate</v>
      </c>
      <c r="D395" s="6" t="str">
        <f>'Reported burning'!D395</f>
        <v>Crop field preparation</v>
      </c>
      <c r="E395" s="6" t="str">
        <f>'Reported burning'!E395</f>
        <v>Cropping, Swidden</v>
      </c>
      <c r="F395" s="6" t="str">
        <f>'Reported burning'!F395</f>
        <v>Secondary Vegetation</v>
      </c>
      <c r="G395" s="6" t="str">
        <f>'Reported burning'!G395</f>
        <v>ND</v>
      </c>
      <c r="H395" s="6" t="str">
        <f>'Reported burning'!H395</f>
        <v>Absence</v>
      </c>
      <c r="I395" s="3"/>
      <c r="J395" s="21" t="s">
        <v>2364</v>
      </c>
      <c r="K395" s="103" t="s">
        <v>2364</v>
      </c>
      <c r="L395" s="21" t="s">
        <v>2364</v>
      </c>
      <c r="M395" s="21" t="s">
        <v>2364</v>
      </c>
      <c r="N395" s="21" t="s">
        <v>2364</v>
      </c>
      <c r="O395" s="21" t="s">
        <v>2364</v>
      </c>
      <c r="P395" s="21" t="s">
        <v>2364</v>
      </c>
      <c r="Q395" s="102" t="s">
        <v>2276</v>
      </c>
      <c r="R395" s="102" t="s">
        <v>2276</v>
      </c>
      <c r="S395" s="21" t="s">
        <v>2364</v>
      </c>
      <c r="T395" s="21" t="s">
        <v>2364</v>
      </c>
      <c r="U395" s="21" t="s">
        <v>2364</v>
      </c>
      <c r="V395" s="21" t="s">
        <v>2364</v>
      </c>
      <c r="W395" s="21" t="s">
        <v>2276</v>
      </c>
      <c r="X395" s="3" t="s">
        <v>2276</v>
      </c>
      <c r="Y395" s="3" t="s">
        <v>2276</v>
      </c>
      <c r="Z395" s="3" t="s">
        <v>2276</v>
      </c>
      <c r="AA395" s="4" t="s">
        <v>1960</v>
      </c>
      <c r="AB395" s="4"/>
    </row>
    <row r="396" spans="1:28" ht="56" customHeight="1">
      <c r="A396" s="6" t="str">
        <f>'Reported burning'!A396</f>
        <v>29b</v>
      </c>
      <c r="B396" s="6" t="str">
        <f>'Reported burning'!B396</f>
        <v>29b.1</v>
      </c>
      <c r="C396" s="6" t="str">
        <f>'Reported burning'!C396</f>
        <v>Human, deliberate</v>
      </c>
      <c r="D396" s="6" t="str">
        <f>'Reported burning'!D396</f>
        <v>Crop field preparation</v>
      </c>
      <c r="E396" s="6" t="str">
        <f>'Reported burning'!E396</f>
        <v>Cropping, Swidden</v>
      </c>
      <c r="F396" s="6" t="str">
        <f>'Reported burning'!F396</f>
        <v>Secondary Vegetation</v>
      </c>
      <c r="G396" s="6" t="str">
        <f>'Reported burning'!G396</f>
        <v>ND</v>
      </c>
      <c r="H396" s="6" t="str">
        <f>'Reported burning'!H396</f>
        <v>Absence</v>
      </c>
      <c r="I396" s="3"/>
      <c r="J396" s="21" t="s">
        <v>2364</v>
      </c>
      <c r="K396" s="103" t="s">
        <v>2364</v>
      </c>
      <c r="L396" s="21" t="s">
        <v>2364</v>
      </c>
      <c r="M396" s="21" t="s">
        <v>2364</v>
      </c>
      <c r="N396" s="21" t="s">
        <v>2364</v>
      </c>
      <c r="O396" s="21" t="s">
        <v>2364</v>
      </c>
      <c r="P396" s="21" t="s">
        <v>2364</v>
      </c>
      <c r="Q396" s="102" t="s">
        <v>2276</v>
      </c>
      <c r="R396" s="102" t="s">
        <v>2276</v>
      </c>
      <c r="S396" s="21" t="s">
        <v>2364</v>
      </c>
      <c r="T396" s="21" t="s">
        <v>2364</v>
      </c>
      <c r="U396" s="21" t="s">
        <v>2364</v>
      </c>
      <c r="V396" s="21" t="s">
        <v>2364</v>
      </c>
      <c r="W396" s="21" t="s">
        <v>2276</v>
      </c>
      <c r="X396" s="3" t="s">
        <v>2276</v>
      </c>
      <c r="Y396" s="3" t="s">
        <v>2276</v>
      </c>
      <c r="Z396" s="3" t="s">
        <v>2276</v>
      </c>
      <c r="AA396" s="4" t="s">
        <v>1960</v>
      </c>
      <c r="AB396" s="4"/>
    </row>
    <row r="397" spans="1:28" ht="56" customHeight="1">
      <c r="A397" s="6" t="str">
        <f>'Reported burning'!A397</f>
        <v>29c</v>
      </c>
      <c r="B397" s="6" t="str">
        <f>'Reported burning'!B397</f>
        <v>29c.1</v>
      </c>
      <c r="C397" s="6" t="str">
        <f>'Reported burning'!C397</f>
        <v>Human, deliberate</v>
      </c>
      <c r="D397" s="6" t="str">
        <f>'Reported burning'!D397</f>
        <v>Crop field preparation</v>
      </c>
      <c r="E397" s="6" t="str">
        <f>'Reported burning'!E397</f>
        <v>Cropping, Swidden</v>
      </c>
      <c r="F397" s="6" t="str">
        <f>'Reported burning'!F397</f>
        <v>Secondary Vegetation</v>
      </c>
      <c r="G397" s="6" t="str">
        <f>'Reported burning'!G397</f>
        <v>ND</v>
      </c>
      <c r="H397" s="6" t="str">
        <f>'Reported burning'!H397</f>
        <v>Absence</v>
      </c>
      <c r="I397" s="3"/>
      <c r="J397" s="21" t="s">
        <v>2364</v>
      </c>
      <c r="K397" s="103" t="s">
        <v>2364</v>
      </c>
      <c r="L397" s="21" t="s">
        <v>2364</v>
      </c>
      <c r="M397" s="21" t="s">
        <v>2364</v>
      </c>
      <c r="N397" s="21" t="s">
        <v>2364</v>
      </c>
      <c r="O397" s="21" t="s">
        <v>2364</v>
      </c>
      <c r="P397" s="21" t="s">
        <v>2364</v>
      </c>
      <c r="Q397" s="102" t="s">
        <v>2276</v>
      </c>
      <c r="R397" s="102" t="s">
        <v>2276</v>
      </c>
      <c r="S397" s="21" t="s">
        <v>2364</v>
      </c>
      <c r="T397" s="21" t="s">
        <v>2364</v>
      </c>
      <c r="U397" s="21" t="s">
        <v>2364</v>
      </c>
      <c r="V397" s="21" t="s">
        <v>2364</v>
      </c>
      <c r="W397" s="21" t="s">
        <v>2276</v>
      </c>
      <c r="X397" s="3" t="s">
        <v>2276</v>
      </c>
      <c r="Y397" s="3" t="s">
        <v>2276</v>
      </c>
      <c r="Z397" s="3" t="s">
        <v>2276</v>
      </c>
      <c r="AA397" s="4" t="s">
        <v>1960</v>
      </c>
      <c r="AB397" s="4"/>
    </row>
    <row r="398" spans="1:28" ht="56" customHeight="1">
      <c r="A398" s="6" t="str">
        <f>'Reported burning'!A398</f>
        <v>29d</v>
      </c>
      <c r="B398" s="6" t="str">
        <f>'Reported burning'!B398</f>
        <v>29d.1</v>
      </c>
      <c r="C398" s="6" t="str">
        <f>'Reported burning'!C398</f>
        <v>Human, deliberate</v>
      </c>
      <c r="D398" s="6" t="str">
        <f>'Reported burning'!D398</f>
        <v>Crop field preparation</v>
      </c>
      <c r="E398" s="6" t="str">
        <f>'Reported burning'!E398</f>
        <v>Cropping, Swidden</v>
      </c>
      <c r="F398" s="6" t="str">
        <f>'Reported burning'!F398</f>
        <v>Secondary Vegetation</v>
      </c>
      <c r="G398" s="6" t="str">
        <f>'Reported burning'!G398</f>
        <v>ND</v>
      </c>
      <c r="H398" s="6" t="str">
        <f>'Reported burning'!H398</f>
        <v>Absence</v>
      </c>
      <c r="I398" s="3"/>
      <c r="J398" s="21" t="s">
        <v>2364</v>
      </c>
      <c r="K398" s="103" t="s">
        <v>2364</v>
      </c>
      <c r="L398" s="21" t="s">
        <v>2364</v>
      </c>
      <c r="M398" s="21" t="s">
        <v>2364</v>
      </c>
      <c r="N398" s="21" t="s">
        <v>2364</v>
      </c>
      <c r="O398" s="21" t="s">
        <v>2364</v>
      </c>
      <c r="P398" s="21" t="s">
        <v>2364</v>
      </c>
      <c r="Q398" s="102" t="s">
        <v>2276</v>
      </c>
      <c r="R398" s="102" t="s">
        <v>2276</v>
      </c>
      <c r="S398" s="21" t="s">
        <v>2364</v>
      </c>
      <c r="T398" s="21" t="s">
        <v>2364</v>
      </c>
      <c r="U398" s="21" t="s">
        <v>2364</v>
      </c>
      <c r="V398" s="21" t="s">
        <v>2364</v>
      </c>
      <c r="W398" s="21" t="s">
        <v>2276</v>
      </c>
      <c r="X398" s="3" t="s">
        <v>2276</v>
      </c>
      <c r="Y398" s="3" t="s">
        <v>2276</v>
      </c>
      <c r="Z398" s="3" t="s">
        <v>2276</v>
      </c>
      <c r="AA398" s="4" t="s">
        <v>1960</v>
      </c>
      <c r="AB398" s="4"/>
    </row>
    <row r="399" spans="1:28" ht="56" customHeight="1">
      <c r="A399" s="6" t="str">
        <f>'Reported burning'!A399</f>
        <v>29e</v>
      </c>
      <c r="B399" s="6" t="str">
        <f>'Reported burning'!B399</f>
        <v>29e.1</v>
      </c>
      <c r="C399" s="6" t="str">
        <f>'Reported burning'!C399</f>
        <v>Human, deliberate</v>
      </c>
      <c r="D399" s="6" t="str">
        <f>'Reported burning'!D399</f>
        <v>Crop field preparation</v>
      </c>
      <c r="E399" s="6" t="str">
        <f>'Reported burning'!E399</f>
        <v>Cropping, Swidden</v>
      </c>
      <c r="F399" s="6" t="str">
        <f>'Reported burning'!F399</f>
        <v>Secondary Vegetation</v>
      </c>
      <c r="G399" s="6" t="str">
        <f>'Reported burning'!G399</f>
        <v>ND</v>
      </c>
      <c r="H399" s="6" t="str">
        <f>'Reported burning'!H399</f>
        <v>Absence</v>
      </c>
      <c r="I399" s="3"/>
      <c r="J399" s="21" t="s">
        <v>2364</v>
      </c>
      <c r="K399" s="103" t="s">
        <v>2364</v>
      </c>
      <c r="L399" s="21" t="s">
        <v>2364</v>
      </c>
      <c r="M399" s="21" t="s">
        <v>2364</v>
      </c>
      <c r="N399" s="21" t="s">
        <v>2364</v>
      </c>
      <c r="O399" s="21" t="s">
        <v>2364</v>
      </c>
      <c r="P399" s="21" t="s">
        <v>2364</v>
      </c>
      <c r="Q399" s="102" t="s">
        <v>2276</v>
      </c>
      <c r="R399" s="102" t="s">
        <v>2276</v>
      </c>
      <c r="S399" s="21" t="s">
        <v>2364</v>
      </c>
      <c r="T399" s="21" t="s">
        <v>2364</v>
      </c>
      <c r="U399" s="21" t="s">
        <v>2364</v>
      </c>
      <c r="V399" s="21" t="s">
        <v>2364</v>
      </c>
      <c r="W399" s="21" t="s">
        <v>2276</v>
      </c>
      <c r="X399" s="3" t="s">
        <v>2276</v>
      </c>
      <c r="Y399" s="3" t="s">
        <v>2276</v>
      </c>
      <c r="Z399" s="3" t="s">
        <v>2276</v>
      </c>
      <c r="AA399" s="4" t="s">
        <v>1960</v>
      </c>
      <c r="AB399" s="4"/>
    </row>
    <row r="400" spans="1:28" ht="56" customHeight="1">
      <c r="A400" s="6" t="str">
        <f>'Reported burning'!A400</f>
        <v>29f</v>
      </c>
      <c r="B400" s="6" t="str">
        <f>'Reported burning'!B400</f>
        <v>29f.1</v>
      </c>
      <c r="C400" s="6" t="str">
        <f>'Reported burning'!C400</f>
        <v>Human, deliberate</v>
      </c>
      <c r="D400" s="6" t="str">
        <f>'Reported burning'!D400</f>
        <v>Crop field preparation</v>
      </c>
      <c r="E400" s="6" t="str">
        <f>'Reported burning'!E400</f>
        <v>Cropping, Swidden</v>
      </c>
      <c r="F400" s="6" t="str">
        <f>'Reported burning'!F400</f>
        <v>Secondary Vegetation</v>
      </c>
      <c r="G400" s="6" t="str">
        <f>'Reported burning'!G400</f>
        <v>ND</v>
      </c>
      <c r="H400" s="6" t="str">
        <f>'Reported burning'!H400</f>
        <v>Absence</v>
      </c>
      <c r="I400" s="3"/>
      <c r="J400" s="21" t="s">
        <v>2364</v>
      </c>
      <c r="K400" s="103" t="s">
        <v>2364</v>
      </c>
      <c r="L400" s="21" t="s">
        <v>2364</v>
      </c>
      <c r="M400" s="21" t="s">
        <v>2364</v>
      </c>
      <c r="N400" s="21" t="s">
        <v>2364</v>
      </c>
      <c r="O400" s="21" t="s">
        <v>2364</v>
      </c>
      <c r="P400" s="21" t="s">
        <v>2364</v>
      </c>
      <c r="Q400" s="102" t="s">
        <v>2276</v>
      </c>
      <c r="R400" s="102" t="s">
        <v>2276</v>
      </c>
      <c r="S400" s="21" t="s">
        <v>2364</v>
      </c>
      <c r="T400" s="21" t="s">
        <v>2364</v>
      </c>
      <c r="U400" s="21" t="s">
        <v>2364</v>
      </c>
      <c r="V400" s="21" t="s">
        <v>2364</v>
      </c>
      <c r="W400" s="21" t="s">
        <v>2276</v>
      </c>
      <c r="X400" s="3" t="s">
        <v>2276</v>
      </c>
      <c r="Y400" s="3" t="s">
        <v>2276</v>
      </c>
      <c r="Z400" s="3" t="s">
        <v>2276</v>
      </c>
      <c r="AA400" s="4" t="s">
        <v>1960</v>
      </c>
      <c r="AB400" s="4"/>
    </row>
    <row r="401" spans="1:28" ht="67.5" customHeight="1">
      <c r="A401" s="6" t="str">
        <f>'Reported burning'!A401</f>
        <v>29g</v>
      </c>
      <c r="B401" s="6" t="str">
        <f>'Reported burning'!B401</f>
        <v>29g.1</v>
      </c>
      <c r="C401" s="6" t="str">
        <f>'Reported burning'!C401</f>
        <v>Human, deliberate</v>
      </c>
      <c r="D401" s="6" t="str">
        <f>'Reported burning'!D401</f>
        <v>Crop field preparation</v>
      </c>
      <c r="E401" s="6" t="str">
        <f>'Reported burning'!E401</f>
        <v>Cropping, Monoculture, Subsistence-oriented</v>
      </c>
      <c r="F401" s="6" t="str">
        <f>'Reported burning'!F401</f>
        <v>Cropland</v>
      </c>
      <c r="G401" s="6" t="str">
        <f>'Reported burning'!G401</f>
        <v>ND</v>
      </c>
      <c r="H401" s="6" t="str">
        <f>'Reported burning'!H401</f>
        <v>Absence</v>
      </c>
      <c r="I401" s="3"/>
      <c r="J401" s="21" t="s">
        <v>2364</v>
      </c>
      <c r="K401" s="103" t="s">
        <v>2364</v>
      </c>
      <c r="L401" s="21" t="s">
        <v>2364</v>
      </c>
      <c r="M401" s="21" t="s">
        <v>2364</v>
      </c>
      <c r="N401" s="21" t="s">
        <v>2364</v>
      </c>
      <c r="O401" s="21" t="s">
        <v>2364</v>
      </c>
      <c r="P401" s="21" t="s">
        <v>2364</v>
      </c>
      <c r="Q401" s="102" t="s">
        <v>2276</v>
      </c>
      <c r="R401" s="102" t="s">
        <v>2276</v>
      </c>
      <c r="S401" s="21" t="s">
        <v>2364</v>
      </c>
      <c r="T401" s="21" t="s">
        <v>2364</v>
      </c>
      <c r="U401" s="21" t="s">
        <v>2364</v>
      </c>
      <c r="V401" s="21" t="s">
        <v>2364</v>
      </c>
      <c r="W401" s="21" t="s">
        <v>2276</v>
      </c>
      <c r="X401" s="3" t="s">
        <v>2276</v>
      </c>
      <c r="Y401" s="3" t="s">
        <v>2276</v>
      </c>
      <c r="Z401" s="3" t="s">
        <v>2276</v>
      </c>
      <c r="AA401" s="18" t="s">
        <v>1978</v>
      </c>
      <c r="AB401" s="4"/>
    </row>
    <row r="402" spans="1:28" ht="68.5" customHeight="1">
      <c r="A402" s="6" t="str">
        <f>'Reported burning'!A402</f>
        <v>29h</v>
      </c>
      <c r="B402" s="6" t="str">
        <f>'Reported burning'!B402</f>
        <v>29h.1</v>
      </c>
      <c r="C402" s="6" t="str">
        <f>'Reported burning'!C402</f>
        <v>Human, deliberate</v>
      </c>
      <c r="D402" s="6" t="str">
        <f>'Reported burning'!D402</f>
        <v>Crop field preparation</v>
      </c>
      <c r="E402" s="6" t="str">
        <f>'Reported burning'!E402</f>
        <v>Cropping, Monoculture, Subsistence-oriented</v>
      </c>
      <c r="F402" s="6" t="str">
        <f>'Reported burning'!F402</f>
        <v>Cropland</v>
      </c>
      <c r="G402" s="6" t="str">
        <f>'Reported burning'!G402</f>
        <v>ND</v>
      </c>
      <c r="H402" s="6" t="str">
        <f>'Reported burning'!H402</f>
        <v>Absence</v>
      </c>
      <c r="I402" s="3"/>
      <c r="J402" s="21" t="s">
        <v>2364</v>
      </c>
      <c r="K402" s="103" t="s">
        <v>2364</v>
      </c>
      <c r="L402" s="21" t="s">
        <v>2364</v>
      </c>
      <c r="M402" s="21" t="s">
        <v>2364</v>
      </c>
      <c r="N402" s="21" t="s">
        <v>2364</v>
      </c>
      <c r="O402" s="21" t="s">
        <v>2364</v>
      </c>
      <c r="P402" s="21" t="s">
        <v>2364</v>
      </c>
      <c r="Q402" s="102" t="s">
        <v>2276</v>
      </c>
      <c r="R402" s="102" t="s">
        <v>2276</v>
      </c>
      <c r="S402" s="21" t="s">
        <v>2364</v>
      </c>
      <c r="T402" s="21" t="s">
        <v>2364</v>
      </c>
      <c r="U402" s="21" t="s">
        <v>2364</v>
      </c>
      <c r="V402" s="21" t="s">
        <v>2364</v>
      </c>
      <c r="W402" s="21" t="s">
        <v>2276</v>
      </c>
      <c r="X402" s="3" t="s">
        <v>2276</v>
      </c>
      <c r="Y402" s="3" t="s">
        <v>2276</v>
      </c>
      <c r="Z402" s="3" t="s">
        <v>2276</v>
      </c>
      <c r="AA402" s="18" t="s">
        <v>1961</v>
      </c>
      <c r="AB402" s="4"/>
    </row>
    <row r="403" spans="1:28" ht="56" customHeight="1">
      <c r="A403" s="6" t="str">
        <f>'Reported burning'!A403</f>
        <v>29i</v>
      </c>
      <c r="B403" s="6" t="str">
        <f>'Reported burning'!B403</f>
        <v>29i.1</v>
      </c>
      <c r="C403" s="6" t="str">
        <f>'Reported burning'!C403</f>
        <v>Human, deliberate</v>
      </c>
      <c r="D403" s="6" t="str">
        <f>'Reported burning'!D403</f>
        <v>Crop field preparation</v>
      </c>
      <c r="E403" s="6" t="str">
        <f>'Reported burning'!E403</f>
        <v>Cropping, Swidden</v>
      </c>
      <c r="F403" s="6" t="str">
        <f>'Reported burning'!F403</f>
        <v>Secondary Vegetation</v>
      </c>
      <c r="G403" s="6" t="str">
        <f>'Reported burning'!G403</f>
        <v>ND</v>
      </c>
      <c r="H403" s="6" t="str">
        <f>'Reported burning'!H403</f>
        <v>Absence</v>
      </c>
      <c r="I403" s="3"/>
      <c r="J403" s="21" t="s">
        <v>2364</v>
      </c>
      <c r="K403" s="103" t="s">
        <v>2364</v>
      </c>
      <c r="L403" s="21" t="s">
        <v>2364</v>
      </c>
      <c r="M403" s="21" t="s">
        <v>2364</v>
      </c>
      <c r="N403" s="21" t="s">
        <v>2364</v>
      </c>
      <c r="O403" s="21" t="s">
        <v>2364</v>
      </c>
      <c r="P403" s="21" t="s">
        <v>2364</v>
      </c>
      <c r="Q403" s="102" t="s">
        <v>2276</v>
      </c>
      <c r="R403" s="102" t="s">
        <v>2276</v>
      </c>
      <c r="S403" s="21" t="s">
        <v>2364</v>
      </c>
      <c r="T403" s="21" t="s">
        <v>2364</v>
      </c>
      <c r="U403" s="21" t="s">
        <v>2364</v>
      </c>
      <c r="V403" s="21" t="s">
        <v>2364</v>
      </c>
      <c r="W403" s="21" t="s">
        <v>2276</v>
      </c>
      <c r="X403" s="3" t="s">
        <v>2276</v>
      </c>
      <c r="Y403" s="3" t="s">
        <v>2276</v>
      </c>
      <c r="Z403" s="3" t="s">
        <v>2276</v>
      </c>
      <c r="AA403" s="4" t="s">
        <v>1960</v>
      </c>
      <c r="AB403" s="4"/>
    </row>
    <row r="404" spans="1:28" ht="56" customHeight="1">
      <c r="A404" s="6" t="str">
        <f>'Reported burning'!A404</f>
        <v>29j</v>
      </c>
      <c r="B404" s="6" t="str">
        <f>'Reported burning'!B404</f>
        <v>29j.1</v>
      </c>
      <c r="C404" s="6" t="str">
        <f>'Reported burning'!C404</f>
        <v>Human, deliberate</v>
      </c>
      <c r="D404" s="6" t="str">
        <f>'Reported burning'!D404</f>
        <v>Crop field preparation</v>
      </c>
      <c r="E404" s="6" t="str">
        <f>'Reported burning'!E404</f>
        <v>Cropping, Swidden</v>
      </c>
      <c r="F404" s="6" t="str">
        <f>'Reported burning'!F404</f>
        <v>Secondary Vegetation</v>
      </c>
      <c r="G404" s="6" t="str">
        <f>'Reported burning'!G404</f>
        <v>ND</v>
      </c>
      <c r="H404" s="6" t="str">
        <f>'Reported burning'!H404</f>
        <v>Absence</v>
      </c>
      <c r="I404" s="3"/>
      <c r="J404" s="21" t="s">
        <v>2364</v>
      </c>
      <c r="K404" s="103" t="s">
        <v>2364</v>
      </c>
      <c r="L404" s="21" t="s">
        <v>2364</v>
      </c>
      <c r="M404" s="21" t="s">
        <v>2364</v>
      </c>
      <c r="N404" s="21" t="s">
        <v>2364</v>
      </c>
      <c r="O404" s="21" t="s">
        <v>2364</v>
      </c>
      <c r="P404" s="21" t="s">
        <v>2364</v>
      </c>
      <c r="Q404" s="102" t="s">
        <v>2276</v>
      </c>
      <c r="R404" s="102" t="s">
        <v>2276</v>
      </c>
      <c r="S404" s="21" t="s">
        <v>2364</v>
      </c>
      <c r="T404" s="21" t="s">
        <v>2364</v>
      </c>
      <c r="U404" s="21" t="s">
        <v>2364</v>
      </c>
      <c r="V404" s="21" t="s">
        <v>2364</v>
      </c>
      <c r="W404" s="21" t="s">
        <v>2276</v>
      </c>
      <c r="X404" s="3" t="s">
        <v>2276</v>
      </c>
      <c r="Y404" s="3" t="s">
        <v>2276</v>
      </c>
      <c r="Z404" s="3" t="s">
        <v>2276</v>
      </c>
      <c r="AA404" s="4" t="s">
        <v>1960</v>
      </c>
      <c r="AB404" s="4"/>
    </row>
    <row r="405" spans="1:28" ht="56" customHeight="1">
      <c r="A405" s="6" t="str">
        <f>'Reported burning'!A405</f>
        <v>29k</v>
      </c>
      <c r="B405" s="6" t="str">
        <f>'Reported burning'!B405</f>
        <v>29k.1</v>
      </c>
      <c r="C405" s="6" t="str">
        <f>'Reported burning'!C405</f>
        <v>Human, deliberate</v>
      </c>
      <c r="D405" s="6" t="str">
        <f>'Reported burning'!D405</f>
        <v>Crop field preparation</v>
      </c>
      <c r="E405" s="6" t="str">
        <f>'Reported burning'!E405</f>
        <v>Cropping, Swidden</v>
      </c>
      <c r="F405" s="6" t="str">
        <f>'Reported burning'!F405</f>
        <v>Secondary Vegetation</v>
      </c>
      <c r="G405" s="6" t="str">
        <f>'Reported burning'!G405</f>
        <v>ND</v>
      </c>
      <c r="H405" s="6" t="str">
        <f>'Reported burning'!H405</f>
        <v>Absence</v>
      </c>
      <c r="I405" s="3"/>
      <c r="J405" s="21" t="s">
        <v>2364</v>
      </c>
      <c r="K405" s="103" t="s">
        <v>2364</v>
      </c>
      <c r="L405" s="21" t="s">
        <v>2364</v>
      </c>
      <c r="M405" s="21" t="s">
        <v>2364</v>
      </c>
      <c r="N405" s="21" t="s">
        <v>2364</v>
      </c>
      <c r="O405" s="21" t="s">
        <v>2364</v>
      </c>
      <c r="P405" s="21" t="s">
        <v>2364</v>
      </c>
      <c r="Q405" s="102" t="s">
        <v>2276</v>
      </c>
      <c r="R405" s="102" t="s">
        <v>2276</v>
      </c>
      <c r="S405" s="21" t="s">
        <v>2364</v>
      </c>
      <c r="T405" s="21" t="s">
        <v>2364</v>
      </c>
      <c r="U405" s="21" t="s">
        <v>2364</v>
      </c>
      <c r="V405" s="21" t="s">
        <v>2364</v>
      </c>
      <c r="W405" s="21" t="s">
        <v>2276</v>
      </c>
      <c r="X405" s="3" t="s">
        <v>2276</v>
      </c>
      <c r="Y405" s="3" t="s">
        <v>2276</v>
      </c>
      <c r="Z405" s="3" t="s">
        <v>2276</v>
      </c>
      <c r="AA405" s="4" t="s">
        <v>1960</v>
      </c>
      <c r="AB405" s="4"/>
    </row>
    <row r="406" spans="1:28" ht="56" customHeight="1">
      <c r="A406" s="6" t="str">
        <f>'Reported burning'!A406</f>
        <v>29l</v>
      </c>
      <c r="B406" s="6" t="str">
        <f>'Reported burning'!B406</f>
        <v>29l.1</v>
      </c>
      <c r="C406" s="6" t="str">
        <f>'Reported burning'!C406</f>
        <v>Human, deliberate</v>
      </c>
      <c r="D406" s="6" t="str">
        <f>'Reported burning'!D406</f>
        <v>Crop field preparation</v>
      </c>
      <c r="E406" s="6" t="str">
        <f>'Reported burning'!E406</f>
        <v>Cropping, Monoculture, Subsistence-oriented</v>
      </c>
      <c r="F406" s="6" t="str">
        <f>'Reported burning'!F406</f>
        <v>Cropland</v>
      </c>
      <c r="G406" s="6" t="str">
        <f>'Reported burning'!G406</f>
        <v>ND</v>
      </c>
      <c r="H406" s="6" t="str">
        <f>'Reported burning'!H406</f>
        <v>Absence</v>
      </c>
      <c r="I406" s="3"/>
      <c r="J406" s="21" t="s">
        <v>2364</v>
      </c>
      <c r="K406" s="103" t="s">
        <v>2364</v>
      </c>
      <c r="L406" s="21" t="s">
        <v>2364</v>
      </c>
      <c r="M406" s="21" t="s">
        <v>2364</v>
      </c>
      <c r="N406" s="21" t="s">
        <v>2364</v>
      </c>
      <c r="O406" s="21" t="s">
        <v>2364</v>
      </c>
      <c r="P406" s="21" t="s">
        <v>2364</v>
      </c>
      <c r="Q406" s="102" t="s">
        <v>2276</v>
      </c>
      <c r="R406" s="102" t="s">
        <v>2276</v>
      </c>
      <c r="S406" s="21" t="s">
        <v>2364</v>
      </c>
      <c r="T406" s="21" t="s">
        <v>2364</v>
      </c>
      <c r="U406" s="21" t="s">
        <v>2364</v>
      </c>
      <c r="V406" s="21" t="s">
        <v>2364</v>
      </c>
      <c r="W406" s="21" t="s">
        <v>2276</v>
      </c>
      <c r="X406" s="3" t="s">
        <v>2276</v>
      </c>
      <c r="Y406" s="3" t="s">
        <v>2276</v>
      </c>
      <c r="Z406" s="3" t="s">
        <v>2276</v>
      </c>
      <c r="AA406" s="3" t="s">
        <v>1966</v>
      </c>
      <c r="AB406" s="4"/>
    </row>
    <row r="407" spans="1:28" ht="56" customHeight="1">
      <c r="A407" s="6" t="str">
        <f>'Reported burning'!A407</f>
        <v>29m</v>
      </c>
      <c r="B407" s="6" t="str">
        <f>'Reported burning'!B407</f>
        <v>29m.1</v>
      </c>
      <c r="C407" s="6" t="str">
        <f>'Reported burning'!C407</f>
        <v>Human, deliberate</v>
      </c>
      <c r="D407" s="6" t="str">
        <f>'Reported burning'!D407</f>
        <v>Crop field preparation</v>
      </c>
      <c r="E407" s="6" t="str">
        <f>'Reported burning'!E407</f>
        <v>Cropping, Swidden</v>
      </c>
      <c r="F407" s="6" t="str">
        <f>'Reported burning'!F407</f>
        <v>Secondary Vegetation</v>
      </c>
      <c r="G407" s="6" t="str">
        <f>'Reported burning'!G407</f>
        <v>ND</v>
      </c>
      <c r="H407" s="6" t="str">
        <f>'Reported burning'!H407</f>
        <v>Absence</v>
      </c>
      <c r="I407" s="3"/>
      <c r="J407" s="21" t="s">
        <v>2364</v>
      </c>
      <c r="K407" s="103" t="s">
        <v>2364</v>
      </c>
      <c r="L407" s="21" t="s">
        <v>2364</v>
      </c>
      <c r="M407" s="21" t="s">
        <v>2364</v>
      </c>
      <c r="N407" s="21" t="s">
        <v>2364</v>
      </c>
      <c r="O407" s="21" t="s">
        <v>2364</v>
      </c>
      <c r="P407" s="21" t="s">
        <v>2364</v>
      </c>
      <c r="Q407" s="102" t="s">
        <v>2276</v>
      </c>
      <c r="R407" s="102" t="s">
        <v>2276</v>
      </c>
      <c r="S407" s="21" t="s">
        <v>2364</v>
      </c>
      <c r="T407" s="21" t="s">
        <v>2364</v>
      </c>
      <c r="U407" s="21" t="s">
        <v>2364</v>
      </c>
      <c r="V407" s="21" t="s">
        <v>2364</v>
      </c>
      <c r="W407" s="21" t="s">
        <v>2276</v>
      </c>
      <c r="X407" s="3" t="s">
        <v>2276</v>
      </c>
      <c r="Y407" s="3" t="s">
        <v>2276</v>
      </c>
      <c r="Z407" s="3" t="s">
        <v>2276</v>
      </c>
      <c r="AA407" s="4" t="s">
        <v>1960</v>
      </c>
      <c r="AB407" s="4"/>
    </row>
    <row r="408" spans="1:28" ht="56" customHeight="1">
      <c r="A408" s="6" t="str">
        <f>'Reported burning'!A408</f>
        <v>29n</v>
      </c>
      <c r="B408" s="6" t="str">
        <f>'Reported burning'!B408</f>
        <v>29n.1</v>
      </c>
      <c r="C408" s="6" t="str">
        <f>'Reported burning'!C408</f>
        <v>Human, deliberate</v>
      </c>
      <c r="D408" s="6" t="str">
        <f>'Reported burning'!D408</f>
        <v>Crop field preparation</v>
      </c>
      <c r="E408" s="6" t="str">
        <f>'Reported burning'!E408</f>
        <v>Cropping, Swidden</v>
      </c>
      <c r="F408" s="6" t="str">
        <f>'Reported burning'!F408</f>
        <v>Secondary Vegetation</v>
      </c>
      <c r="G408" s="6" t="str">
        <f>'Reported burning'!G408</f>
        <v>ND</v>
      </c>
      <c r="H408" s="6" t="str">
        <f>'Reported burning'!H408</f>
        <v>Absence</v>
      </c>
      <c r="I408" s="3"/>
      <c r="J408" s="21" t="s">
        <v>2364</v>
      </c>
      <c r="K408" s="103" t="s">
        <v>2364</v>
      </c>
      <c r="L408" s="21" t="s">
        <v>2364</v>
      </c>
      <c r="M408" s="21" t="s">
        <v>2364</v>
      </c>
      <c r="N408" s="21" t="s">
        <v>2364</v>
      </c>
      <c r="O408" s="21" t="s">
        <v>2364</v>
      </c>
      <c r="P408" s="21" t="s">
        <v>2364</v>
      </c>
      <c r="Q408" s="102" t="s">
        <v>2276</v>
      </c>
      <c r="R408" s="102" t="s">
        <v>2276</v>
      </c>
      <c r="S408" s="21" t="s">
        <v>2364</v>
      </c>
      <c r="T408" s="21" t="s">
        <v>2364</v>
      </c>
      <c r="U408" s="21" t="s">
        <v>2364</v>
      </c>
      <c r="V408" s="21" t="s">
        <v>2364</v>
      </c>
      <c r="W408" s="21" t="s">
        <v>2276</v>
      </c>
      <c r="X408" s="3" t="s">
        <v>2276</v>
      </c>
      <c r="Y408" s="3" t="s">
        <v>2276</v>
      </c>
      <c r="Z408" s="3" t="s">
        <v>2276</v>
      </c>
      <c r="AA408" s="4" t="s">
        <v>1960</v>
      </c>
      <c r="AB408" s="4"/>
    </row>
    <row r="409" spans="1:28" ht="56" customHeight="1">
      <c r="A409" s="6" t="str">
        <f>'Reported burning'!A409</f>
        <v>29o</v>
      </c>
      <c r="B409" s="6" t="str">
        <f>'Reported burning'!B409</f>
        <v>29o.1</v>
      </c>
      <c r="C409" s="6" t="str">
        <f>'Reported burning'!C409</f>
        <v>Human, deliberate</v>
      </c>
      <c r="D409" s="6" t="str">
        <f>'Reported burning'!D409</f>
        <v>Crop field preparation</v>
      </c>
      <c r="E409" s="6" t="str">
        <f>'Reported burning'!E409</f>
        <v>Cropping, Swidden</v>
      </c>
      <c r="F409" s="6" t="str">
        <f>'Reported burning'!F409</f>
        <v>Forest</v>
      </c>
      <c r="G409" s="6" t="str">
        <f>'Reported burning'!G409</f>
        <v>ND</v>
      </c>
      <c r="H409" s="6" t="str">
        <f>'Reported burning'!H409</f>
        <v>Presence</v>
      </c>
      <c r="I409" s="3"/>
      <c r="J409" s="21" t="s">
        <v>2276</v>
      </c>
      <c r="K409" s="103" t="s">
        <v>2276</v>
      </c>
      <c r="L409" s="21" t="s">
        <v>2276</v>
      </c>
      <c r="M409" s="21" t="s">
        <v>2276</v>
      </c>
      <c r="N409" s="21" t="s">
        <v>2276</v>
      </c>
      <c r="O409" s="21" t="s">
        <v>2276</v>
      </c>
      <c r="P409" s="21" t="s">
        <v>2276</v>
      </c>
      <c r="Q409" s="102" t="s">
        <v>2276</v>
      </c>
      <c r="R409" s="102" t="s">
        <v>2276</v>
      </c>
      <c r="S409" s="21" t="s">
        <v>2276</v>
      </c>
      <c r="T409" s="21" t="s">
        <v>2276</v>
      </c>
      <c r="U409" s="21" t="s">
        <v>2276</v>
      </c>
      <c r="V409" s="21" t="s">
        <v>2276</v>
      </c>
      <c r="W409" s="21" t="s">
        <v>2404</v>
      </c>
      <c r="X409" s="3" t="s">
        <v>2276</v>
      </c>
      <c r="Y409" s="3" t="s">
        <v>2276</v>
      </c>
      <c r="Z409" s="3" t="s">
        <v>2276</v>
      </c>
      <c r="AA409" s="4" t="s">
        <v>1970</v>
      </c>
      <c r="AB409" s="4"/>
    </row>
    <row r="410" spans="1:28" ht="56" customHeight="1">
      <c r="A410" s="6" t="str">
        <f>'Reported burning'!A410</f>
        <v>29o</v>
      </c>
      <c r="B410" s="6" t="str">
        <f>'Reported burning'!B410</f>
        <v>29o.2</v>
      </c>
      <c r="C410" s="6" t="str">
        <f>'Reported burning'!C410</f>
        <v>Human, deliberate</v>
      </c>
      <c r="D410" s="6" t="str">
        <f>'Reported burning'!D410</f>
        <v>Crop field preparation</v>
      </c>
      <c r="E410" s="6" t="str">
        <f>'Reported burning'!E410</f>
        <v>Cropping, Swidden</v>
      </c>
      <c r="F410" s="6" t="str">
        <f>'Reported burning'!F410</f>
        <v>Secondary Vegetation</v>
      </c>
      <c r="G410" s="6" t="str">
        <f>'Reported burning'!G410</f>
        <v>ND</v>
      </c>
      <c r="H410" s="6" t="str">
        <f>'Reported burning'!H410</f>
        <v>Presence</v>
      </c>
      <c r="I410" s="3"/>
      <c r="J410" s="21" t="s">
        <v>2276</v>
      </c>
      <c r="K410" s="103" t="s">
        <v>2276</v>
      </c>
      <c r="L410" s="21" t="s">
        <v>2276</v>
      </c>
      <c r="M410" s="21" t="s">
        <v>2276</v>
      </c>
      <c r="N410" s="21" t="s">
        <v>2276</v>
      </c>
      <c r="O410" s="21" t="s">
        <v>2276</v>
      </c>
      <c r="P410" s="21" t="s">
        <v>2276</v>
      </c>
      <c r="Q410" s="102" t="s">
        <v>2276</v>
      </c>
      <c r="R410" s="102" t="s">
        <v>2276</v>
      </c>
      <c r="S410" s="21" t="s">
        <v>2276</v>
      </c>
      <c r="T410" s="21" t="s">
        <v>2276</v>
      </c>
      <c r="U410" s="21" t="s">
        <v>2276</v>
      </c>
      <c r="V410" s="21" t="s">
        <v>2276</v>
      </c>
      <c r="W410" s="21" t="s">
        <v>2404</v>
      </c>
      <c r="X410" s="3" t="s">
        <v>2276</v>
      </c>
      <c r="Y410" s="3" t="s">
        <v>2276</v>
      </c>
      <c r="Z410" s="3" t="s">
        <v>2276</v>
      </c>
      <c r="AA410" s="4" t="s">
        <v>1970</v>
      </c>
      <c r="AB410" s="4"/>
    </row>
    <row r="411" spans="1:28" ht="56" customHeight="1">
      <c r="A411" s="6" t="str">
        <f>'Reported burning'!A411</f>
        <v>29p</v>
      </c>
      <c r="B411" s="6" t="str">
        <f>'Reported burning'!B411</f>
        <v>29p.1</v>
      </c>
      <c r="C411" s="6" t="str">
        <f>'Reported burning'!C411</f>
        <v>Human, deliberate</v>
      </c>
      <c r="D411" s="6" t="str">
        <f>'Reported burning'!D411</f>
        <v>Crop field preparation</v>
      </c>
      <c r="E411" s="6" t="str">
        <f>'Reported burning'!E411</f>
        <v>Cropping, Swidden</v>
      </c>
      <c r="F411" s="6" t="str">
        <f>'Reported burning'!F411</f>
        <v>Secondary Vegetation</v>
      </c>
      <c r="G411" s="6" t="str">
        <f>'Reported burning'!G411</f>
        <v>ND</v>
      </c>
      <c r="H411" s="6" t="str">
        <f>'Reported burning'!H411</f>
        <v>Presence</v>
      </c>
      <c r="I411" s="3"/>
      <c r="J411" s="21" t="s">
        <v>2276</v>
      </c>
      <c r="K411" s="103" t="s">
        <v>2276</v>
      </c>
      <c r="L411" s="21" t="s">
        <v>2276</v>
      </c>
      <c r="M411" s="21" t="s">
        <v>2276</v>
      </c>
      <c r="N411" s="21" t="s">
        <v>2276</v>
      </c>
      <c r="O411" s="21" t="s">
        <v>2276</v>
      </c>
      <c r="P411" s="21" t="s">
        <v>2276</v>
      </c>
      <c r="Q411" s="102" t="s">
        <v>2276</v>
      </c>
      <c r="R411" s="102" t="s">
        <v>2276</v>
      </c>
      <c r="S411" s="21" t="s">
        <v>2276</v>
      </c>
      <c r="T411" s="21" t="s">
        <v>2276</v>
      </c>
      <c r="U411" s="21" t="s">
        <v>2276</v>
      </c>
      <c r="V411" s="21" t="s">
        <v>2276</v>
      </c>
      <c r="W411" s="21" t="s">
        <v>2403</v>
      </c>
      <c r="X411" s="3" t="s">
        <v>2276</v>
      </c>
      <c r="Y411" s="3" t="s">
        <v>2276</v>
      </c>
      <c r="Z411" s="3" t="s">
        <v>2276</v>
      </c>
      <c r="AA411" s="4" t="s">
        <v>1971</v>
      </c>
      <c r="AB411" s="4"/>
    </row>
    <row r="412" spans="1:28" ht="71" customHeight="1">
      <c r="A412" s="6" t="str">
        <f>'Reported burning'!A412</f>
        <v>29q</v>
      </c>
      <c r="B412" s="6" t="str">
        <f>'Reported burning'!B412</f>
        <v>29q.1</v>
      </c>
      <c r="C412" s="6" t="str">
        <f>'Reported burning'!C412</f>
        <v>Human, deliberate</v>
      </c>
      <c r="D412" s="6" t="str">
        <f>'Reported burning'!D412</f>
        <v>Crop field preparation</v>
      </c>
      <c r="E412" s="6" t="str">
        <f>'Reported burning'!E412</f>
        <v>Cropping, Monoculture, Subsistence-oriented</v>
      </c>
      <c r="F412" s="6" t="str">
        <f>'Reported burning'!F412</f>
        <v>Cropland</v>
      </c>
      <c r="G412" s="6" t="str">
        <f>'Reported burning'!G412</f>
        <v>ND</v>
      </c>
      <c r="H412" s="6" t="str">
        <f>'Reported burning'!H412</f>
        <v>Absence</v>
      </c>
      <c r="I412" s="3"/>
      <c r="J412" s="21" t="s">
        <v>2364</v>
      </c>
      <c r="K412" s="103" t="s">
        <v>2364</v>
      </c>
      <c r="L412" s="21" t="s">
        <v>2364</v>
      </c>
      <c r="M412" s="21" t="s">
        <v>2364</v>
      </c>
      <c r="N412" s="21" t="s">
        <v>2364</v>
      </c>
      <c r="O412" s="21" t="s">
        <v>2364</v>
      </c>
      <c r="P412" s="21" t="s">
        <v>2364</v>
      </c>
      <c r="Q412" s="102" t="s">
        <v>2276</v>
      </c>
      <c r="R412" s="102" t="s">
        <v>2276</v>
      </c>
      <c r="S412" s="21" t="s">
        <v>2364</v>
      </c>
      <c r="T412" s="21" t="s">
        <v>2364</v>
      </c>
      <c r="U412" s="21" t="s">
        <v>2364</v>
      </c>
      <c r="V412" s="21" t="s">
        <v>2364</v>
      </c>
      <c r="W412" s="21" t="s">
        <v>2276</v>
      </c>
      <c r="X412" s="3" t="s">
        <v>2276</v>
      </c>
      <c r="Y412" s="3" t="s">
        <v>2276</v>
      </c>
      <c r="Z412" s="3" t="s">
        <v>2276</v>
      </c>
      <c r="AA412" s="18" t="s">
        <v>1978</v>
      </c>
      <c r="AB412" s="4"/>
    </row>
    <row r="413" spans="1:28" ht="56" customHeight="1">
      <c r="A413" s="6" t="str">
        <f>'Reported burning'!A413</f>
        <v>29r</v>
      </c>
      <c r="B413" s="6" t="str">
        <f>'Reported burning'!B413</f>
        <v>29r.1</v>
      </c>
      <c r="C413" s="6" t="str">
        <f>'Reported burning'!C413</f>
        <v>Human, deliberate</v>
      </c>
      <c r="D413" s="6" t="str">
        <f>'Reported burning'!D413</f>
        <v>Crop field preparation</v>
      </c>
      <c r="E413" s="6" t="str">
        <f>'Reported burning'!E413</f>
        <v>Cropping, Monoculture, Subsistence-oriented</v>
      </c>
      <c r="F413" s="6" t="str">
        <f>'Reported burning'!F413</f>
        <v>Cropland</v>
      </c>
      <c r="G413" s="6" t="str">
        <f>'Reported burning'!G413</f>
        <v>ND</v>
      </c>
      <c r="H413" s="6" t="str">
        <f>'Reported burning'!H413</f>
        <v>Absence</v>
      </c>
      <c r="I413" s="3"/>
      <c r="J413" s="21" t="s">
        <v>2364</v>
      </c>
      <c r="K413" s="103" t="s">
        <v>2364</v>
      </c>
      <c r="L413" s="21" t="s">
        <v>2364</v>
      </c>
      <c r="M413" s="21" t="s">
        <v>2364</v>
      </c>
      <c r="N413" s="21" t="s">
        <v>2364</v>
      </c>
      <c r="O413" s="21" t="s">
        <v>2364</v>
      </c>
      <c r="P413" s="21" t="s">
        <v>2364</v>
      </c>
      <c r="Q413" s="102" t="s">
        <v>2276</v>
      </c>
      <c r="R413" s="102" t="s">
        <v>2276</v>
      </c>
      <c r="S413" s="21" t="s">
        <v>2364</v>
      </c>
      <c r="T413" s="21" t="s">
        <v>2364</v>
      </c>
      <c r="U413" s="21" t="s">
        <v>2364</v>
      </c>
      <c r="V413" s="21" t="s">
        <v>2364</v>
      </c>
      <c r="W413" s="21" t="s">
        <v>2276</v>
      </c>
      <c r="X413" s="3" t="s">
        <v>2276</v>
      </c>
      <c r="Y413" s="3" t="s">
        <v>2276</v>
      </c>
      <c r="Z413" s="3" t="s">
        <v>2276</v>
      </c>
      <c r="AA413" s="3" t="s">
        <v>1966</v>
      </c>
      <c r="AB413" s="4"/>
    </row>
    <row r="414" spans="1:28" ht="56" customHeight="1">
      <c r="A414" s="6" t="str">
        <f>'Reported burning'!A414</f>
        <v>29s</v>
      </c>
      <c r="B414" s="6" t="str">
        <f>'Reported burning'!B414</f>
        <v>29s.1</v>
      </c>
      <c r="C414" s="6" t="str">
        <f>'Reported burning'!C414</f>
        <v>Human, deliberate</v>
      </c>
      <c r="D414" s="6" t="str">
        <f>'Reported burning'!D414</f>
        <v>Crop field preparation</v>
      </c>
      <c r="E414" s="6" t="str">
        <f>'Reported burning'!E414</f>
        <v>Cropping, Monoculture, Subsistence-oriented</v>
      </c>
      <c r="F414" s="6" t="str">
        <f>'Reported burning'!F414</f>
        <v>Cropland</v>
      </c>
      <c r="G414" s="6" t="str">
        <f>'Reported burning'!G414</f>
        <v>ND</v>
      </c>
      <c r="H414" s="6" t="str">
        <f>'Reported burning'!H414</f>
        <v>Absence</v>
      </c>
      <c r="I414" s="3"/>
      <c r="J414" s="21" t="s">
        <v>2364</v>
      </c>
      <c r="K414" s="103" t="s">
        <v>2364</v>
      </c>
      <c r="L414" s="21" t="s">
        <v>2364</v>
      </c>
      <c r="M414" s="21" t="s">
        <v>2364</v>
      </c>
      <c r="N414" s="21" t="s">
        <v>2364</v>
      </c>
      <c r="O414" s="21" t="s">
        <v>2364</v>
      </c>
      <c r="P414" s="21" t="s">
        <v>2364</v>
      </c>
      <c r="Q414" s="102" t="s">
        <v>2276</v>
      </c>
      <c r="R414" s="102" t="s">
        <v>2276</v>
      </c>
      <c r="S414" s="21" t="s">
        <v>2364</v>
      </c>
      <c r="T414" s="21" t="s">
        <v>2364</v>
      </c>
      <c r="U414" s="21" t="s">
        <v>2364</v>
      </c>
      <c r="V414" s="21" t="s">
        <v>2364</v>
      </c>
      <c r="W414" s="21" t="s">
        <v>2276</v>
      </c>
      <c r="X414" s="3" t="s">
        <v>2276</v>
      </c>
      <c r="Y414" s="3" t="s">
        <v>2276</v>
      </c>
      <c r="Z414" s="3" t="s">
        <v>2276</v>
      </c>
      <c r="AA414" s="3" t="s">
        <v>1966</v>
      </c>
      <c r="AB414" s="4"/>
    </row>
    <row r="415" spans="1:28" ht="56" customHeight="1">
      <c r="A415" s="6" t="str">
        <f>'Reported burning'!A415</f>
        <v>29t</v>
      </c>
      <c r="B415" s="6" t="str">
        <f>'Reported burning'!B415</f>
        <v>29t.1</v>
      </c>
      <c r="C415" s="6" t="str">
        <f>'Reported burning'!C415</f>
        <v>Human, deliberate</v>
      </c>
      <c r="D415" s="6" t="str">
        <f>'Reported burning'!D415</f>
        <v>Crop field preparation</v>
      </c>
      <c r="E415" s="6" t="str">
        <f>'Reported burning'!E415</f>
        <v>Cropping, Monoculture, Subsistence-oriented</v>
      </c>
      <c r="F415" s="6" t="str">
        <f>'Reported burning'!F415</f>
        <v>Cropland</v>
      </c>
      <c r="G415" s="6" t="str">
        <f>'Reported burning'!G415</f>
        <v>ND</v>
      </c>
      <c r="H415" s="6" t="str">
        <f>'Reported burning'!H415</f>
        <v>Absence</v>
      </c>
      <c r="I415" s="3"/>
      <c r="J415" s="21" t="s">
        <v>2364</v>
      </c>
      <c r="K415" s="103" t="s">
        <v>2364</v>
      </c>
      <c r="L415" s="21" t="s">
        <v>2364</v>
      </c>
      <c r="M415" s="21" t="s">
        <v>2364</v>
      </c>
      <c r="N415" s="21" t="s">
        <v>2364</v>
      </c>
      <c r="O415" s="21" t="s">
        <v>2364</v>
      </c>
      <c r="P415" s="21" t="s">
        <v>2364</v>
      </c>
      <c r="Q415" s="102" t="s">
        <v>2276</v>
      </c>
      <c r="R415" s="102" t="s">
        <v>2276</v>
      </c>
      <c r="S415" s="21" t="s">
        <v>2364</v>
      </c>
      <c r="T415" s="21" t="s">
        <v>2364</v>
      </c>
      <c r="U415" s="21" t="s">
        <v>2364</v>
      </c>
      <c r="V415" s="21" t="s">
        <v>2364</v>
      </c>
      <c r="W415" s="21" t="s">
        <v>2276</v>
      </c>
      <c r="X415" s="3" t="s">
        <v>2276</v>
      </c>
      <c r="Y415" s="3" t="s">
        <v>2276</v>
      </c>
      <c r="Z415" s="3" t="s">
        <v>2276</v>
      </c>
      <c r="AA415" s="3" t="s">
        <v>1966</v>
      </c>
      <c r="AB415" s="4"/>
    </row>
    <row r="416" spans="1:28" ht="73.5" customHeight="1">
      <c r="A416" s="6" t="str">
        <f>'Reported burning'!A416</f>
        <v>29u</v>
      </c>
      <c r="B416" s="6" t="str">
        <f>'Reported burning'!B416</f>
        <v>29u.1</v>
      </c>
      <c r="C416" s="6" t="str">
        <f>'Reported burning'!C416</f>
        <v>Human, deliberate</v>
      </c>
      <c r="D416" s="6" t="str">
        <f>'Reported burning'!D416</f>
        <v>Crop field preparation</v>
      </c>
      <c r="E416" s="6" t="str">
        <f>'Reported burning'!E416</f>
        <v>Cropping, Monoculture, Subsistence-oriented</v>
      </c>
      <c r="F416" s="6" t="str">
        <f>'Reported burning'!F416</f>
        <v>Cropland</v>
      </c>
      <c r="G416" s="6" t="str">
        <f>'Reported burning'!G416</f>
        <v>ND</v>
      </c>
      <c r="H416" s="6" t="str">
        <f>'Reported burning'!H416</f>
        <v>Absence</v>
      </c>
      <c r="I416" s="3"/>
      <c r="J416" s="21" t="s">
        <v>2364</v>
      </c>
      <c r="K416" s="103" t="s">
        <v>2364</v>
      </c>
      <c r="L416" s="21" t="s">
        <v>2364</v>
      </c>
      <c r="M416" s="21" t="s">
        <v>2364</v>
      </c>
      <c r="N416" s="21" t="s">
        <v>2364</v>
      </c>
      <c r="O416" s="21" t="s">
        <v>2364</v>
      </c>
      <c r="P416" s="21" t="s">
        <v>2364</v>
      </c>
      <c r="Q416" s="102" t="s">
        <v>2276</v>
      </c>
      <c r="R416" s="102" t="s">
        <v>2276</v>
      </c>
      <c r="S416" s="21" t="s">
        <v>2364</v>
      </c>
      <c r="T416" s="21" t="s">
        <v>2364</v>
      </c>
      <c r="U416" s="21" t="s">
        <v>2364</v>
      </c>
      <c r="V416" s="21" t="s">
        <v>2364</v>
      </c>
      <c r="W416" s="21" t="s">
        <v>2276</v>
      </c>
      <c r="X416" s="3" t="s">
        <v>2276</v>
      </c>
      <c r="Y416" s="3" t="s">
        <v>2276</v>
      </c>
      <c r="Z416" s="3" t="s">
        <v>2276</v>
      </c>
      <c r="AA416" s="18" t="s">
        <v>1978</v>
      </c>
      <c r="AB416" s="4"/>
    </row>
    <row r="417" spans="1:28" ht="56" customHeight="1">
      <c r="A417" s="6" t="str">
        <f>'Reported burning'!A417</f>
        <v>29v</v>
      </c>
      <c r="B417" s="6" t="str">
        <f>'Reported burning'!B417</f>
        <v>29v.1</v>
      </c>
      <c r="C417" s="6" t="str">
        <f>'Reported burning'!C417</f>
        <v>Human, deliberate</v>
      </c>
      <c r="D417" s="6" t="str">
        <f>'Reported burning'!D417</f>
        <v>Crop field preparation</v>
      </c>
      <c r="E417" s="6" t="str">
        <f>'Reported burning'!E417</f>
        <v>Cropping, Swidden</v>
      </c>
      <c r="F417" s="6" t="str">
        <f>'Reported burning'!F417</f>
        <v>Secondary Vegetation</v>
      </c>
      <c r="G417" s="6" t="str">
        <f>'Reported burning'!G417</f>
        <v>ND</v>
      </c>
      <c r="H417" s="6" t="str">
        <f>'Reported burning'!H417</f>
        <v>Presence</v>
      </c>
      <c r="I417" s="3"/>
      <c r="J417" s="21" t="s">
        <v>2276</v>
      </c>
      <c r="K417" s="103" t="s">
        <v>2276</v>
      </c>
      <c r="L417" s="21" t="s">
        <v>2276</v>
      </c>
      <c r="M417" s="21" t="s">
        <v>2276</v>
      </c>
      <c r="N417" s="21" t="s">
        <v>2276</v>
      </c>
      <c r="O417" s="21" t="s">
        <v>2276</v>
      </c>
      <c r="P417" s="21" t="s">
        <v>2276</v>
      </c>
      <c r="Q417" s="102" t="s">
        <v>2276</v>
      </c>
      <c r="R417" s="102" t="s">
        <v>2276</v>
      </c>
      <c r="S417" s="21" t="s">
        <v>2276</v>
      </c>
      <c r="T417" s="21" t="s">
        <v>2276</v>
      </c>
      <c r="U417" s="21" t="s">
        <v>2276</v>
      </c>
      <c r="V417" s="21" t="s">
        <v>2276</v>
      </c>
      <c r="W417" s="21" t="s">
        <v>2403</v>
      </c>
      <c r="X417" s="3" t="s">
        <v>2276</v>
      </c>
      <c r="Y417" s="3" t="s">
        <v>2276</v>
      </c>
      <c r="Z417" s="3" t="s">
        <v>2276</v>
      </c>
      <c r="AA417" s="4" t="s">
        <v>1971</v>
      </c>
      <c r="AB417" s="4"/>
    </row>
    <row r="418" spans="1:28" ht="56" customHeight="1">
      <c r="A418" s="6" t="str">
        <f>'Reported burning'!A418</f>
        <v>29w</v>
      </c>
      <c r="B418" s="6" t="str">
        <f>'Reported burning'!B418</f>
        <v>29w.1</v>
      </c>
      <c r="C418" s="6" t="str">
        <f>'Reported burning'!C418</f>
        <v>Human, deliberate</v>
      </c>
      <c r="D418" s="6" t="str">
        <f>'Reported burning'!D418</f>
        <v>Crop field preparation</v>
      </c>
      <c r="E418" s="6" t="str">
        <f>'Reported burning'!E418</f>
        <v>Cropping, Swidden</v>
      </c>
      <c r="F418" s="6" t="str">
        <f>'Reported burning'!F418</f>
        <v>Forest</v>
      </c>
      <c r="G418" s="6" t="str">
        <f>'Reported burning'!G418</f>
        <v>ND</v>
      </c>
      <c r="H418" s="6" t="str">
        <f>'Reported burning'!H418</f>
        <v>Presence</v>
      </c>
      <c r="I418" s="3"/>
      <c r="J418" s="21" t="s">
        <v>2276</v>
      </c>
      <c r="K418" s="103" t="s">
        <v>2276</v>
      </c>
      <c r="L418" s="21" t="s">
        <v>2276</v>
      </c>
      <c r="M418" s="21" t="s">
        <v>2276</v>
      </c>
      <c r="N418" s="21" t="s">
        <v>2276</v>
      </c>
      <c r="O418" s="21" t="s">
        <v>2276</v>
      </c>
      <c r="P418" s="21" t="s">
        <v>2276</v>
      </c>
      <c r="Q418" s="102" t="s">
        <v>2276</v>
      </c>
      <c r="R418" s="102" t="s">
        <v>2276</v>
      </c>
      <c r="S418" s="21" t="s">
        <v>2276</v>
      </c>
      <c r="T418" s="21" t="s">
        <v>2276</v>
      </c>
      <c r="U418" s="21" t="s">
        <v>2276</v>
      </c>
      <c r="V418" s="21" t="s">
        <v>2276</v>
      </c>
      <c r="W418" s="21" t="s">
        <v>2404</v>
      </c>
      <c r="X418" s="3" t="s">
        <v>2276</v>
      </c>
      <c r="Y418" s="3" t="s">
        <v>2276</v>
      </c>
      <c r="Z418" s="3" t="s">
        <v>2276</v>
      </c>
      <c r="AA418" s="4" t="s">
        <v>1970</v>
      </c>
      <c r="AB418" s="4"/>
    </row>
    <row r="419" spans="1:28" ht="56" customHeight="1">
      <c r="A419" s="6" t="str">
        <f>'Reported burning'!A419</f>
        <v>29w</v>
      </c>
      <c r="B419" s="6" t="str">
        <f>'Reported burning'!B419</f>
        <v>29w.2</v>
      </c>
      <c r="C419" s="6" t="str">
        <f>'Reported burning'!C419</f>
        <v>Human, deliberate</v>
      </c>
      <c r="D419" s="6" t="str">
        <f>'Reported burning'!D419</f>
        <v>Crop field preparation</v>
      </c>
      <c r="E419" s="6" t="str">
        <f>'Reported burning'!E419</f>
        <v>Cropping, Swidden</v>
      </c>
      <c r="F419" s="6" t="str">
        <f>'Reported burning'!F419</f>
        <v>Secondary Vegetation</v>
      </c>
      <c r="G419" s="6" t="str">
        <f>'Reported burning'!G419</f>
        <v>ND</v>
      </c>
      <c r="H419" s="6" t="str">
        <f>'Reported burning'!H419</f>
        <v>Presence</v>
      </c>
      <c r="I419" s="3"/>
      <c r="J419" s="21" t="s">
        <v>2276</v>
      </c>
      <c r="K419" s="103" t="s">
        <v>2276</v>
      </c>
      <c r="L419" s="21" t="s">
        <v>2276</v>
      </c>
      <c r="M419" s="21" t="s">
        <v>2276</v>
      </c>
      <c r="N419" s="21" t="s">
        <v>2276</v>
      </c>
      <c r="O419" s="21" t="s">
        <v>2276</v>
      </c>
      <c r="P419" s="21" t="s">
        <v>2276</v>
      </c>
      <c r="Q419" s="102" t="s">
        <v>2276</v>
      </c>
      <c r="R419" s="102" t="s">
        <v>2276</v>
      </c>
      <c r="S419" s="21" t="s">
        <v>2276</v>
      </c>
      <c r="T419" s="21" t="s">
        <v>2276</v>
      </c>
      <c r="U419" s="21" t="s">
        <v>2276</v>
      </c>
      <c r="V419" s="21" t="s">
        <v>2276</v>
      </c>
      <c r="W419" s="21" t="s">
        <v>2404</v>
      </c>
      <c r="X419" s="3" t="s">
        <v>2276</v>
      </c>
      <c r="Y419" s="3" t="s">
        <v>2276</v>
      </c>
      <c r="Z419" s="3" t="s">
        <v>2276</v>
      </c>
      <c r="AA419" s="4" t="s">
        <v>1970</v>
      </c>
      <c r="AB419" s="4"/>
    </row>
    <row r="420" spans="1:28" ht="56" customHeight="1">
      <c r="A420" s="6" t="str">
        <f>'Reported burning'!A420</f>
        <v>29x</v>
      </c>
      <c r="B420" s="6" t="str">
        <f>'Reported burning'!B420</f>
        <v>29x.1</v>
      </c>
      <c r="C420" s="6" t="str">
        <f>'Reported burning'!C420</f>
        <v>Human, deliberate</v>
      </c>
      <c r="D420" s="6" t="str">
        <f>'Reported burning'!D420</f>
        <v>Crop field preparation</v>
      </c>
      <c r="E420" s="6" t="str">
        <f>'Reported burning'!E420</f>
        <v>Cropping, Swidden</v>
      </c>
      <c r="F420" s="6" t="str">
        <f>'Reported burning'!F420</f>
        <v>Secondary Vegetation</v>
      </c>
      <c r="G420" s="6" t="str">
        <f>'Reported burning'!G420</f>
        <v>ND</v>
      </c>
      <c r="H420" s="6" t="str">
        <f>'Reported burning'!H420</f>
        <v>Presence</v>
      </c>
      <c r="I420" s="3"/>
      <c r="J420" s="21" t="s">
        <v>2276</v>
      </c>
      <c r="K420" s="103" t="s">
        <v>2276</v>
      </c>
      <c r="L420" s="21" t="s">
        <v>2276</v>
      </c>
      <c r="M420" s="21" t="s">
        <v>2276</v>
      </c>
      <c r="N420" s="21" t="s">
        <v>2276</v>
      </c>
      <c r="O420" s="21" t="s">
        <v>2276</v>
      </c>
      <c r="P420" s="21" t="s">
        <v>2276</v>
      </c>
      <c r="Q420" s="102" t="s">
        <v>2276</v>
      </c>
      <c r="R420" s="102" t="s">
        <v>2276</v>
      </c>
      <c r="S420" s="21" t="s">
        <v>2276</v>
      </c>
      <c r="T420" s="21" t="s">
        <v>2276</v>
      </c>
      <c r="U420" s="21" t="s">
        <v>2276</v>
      </c>
      <c r="V420" s="21" t="s">
        <v>2276</v>
      </c>
      <c r="W420" s="21" t="s">
        <v>2403</v>
      </c>
      <c r="X420" s="3" t="s">
        <v>2276</v>
      </c>
      <c r="Y420" s="3" t="s">
        <v>2276</v>
      </c>
      <c r="Z420" s="3" t="s">
        <v>2276</v>
      </c>
      <c r="AA420" s="4" t="s">
        <v>1971</v>
      </c>
      <c r="AB420" s="4"/>
    </row>
    <row r="421" spans="1:28" ht="56" customHeight="1">
      <c r="A421" s="6" t="str">
        <f>'Reported burning'!A421</f>
        <v>29y</v>
      </c>
      <c r="B421" s="6" t="str">
        <f>'Reported burning'!B421</f>
        <v>29y.1</v>
      </c>
      <c r="C421" s="6" t="str">
        <f>'Reported burning'!C421</f>
        <v>Human, deliberate</v>
      </c>
      <c r="D421" s="6" t="str">
        <f>'Reported burning'!D421</f>
        <v>Crop field preparation</v>
      </c>
      <c r="E421" s="6" t="str">
        <f>'Reported burning'!E421</f>
        <v>Cropping, Swidden</v>
      </c>
      <c r="F421" s="6" t="str">
        <f>'Reported burning'!F421</f>
        <v>Secondary Vegetation</v>
      </c>
      <c r="G421" s="6" t="str">
        <f>'Reported burning'!G421</f>
        <v>ND</v>
      </c>
      <c r="H421" s="6" t="str">
        <f>'Reported burning'!H421</f>
        <v>Presence</v>
      </c>
      <c r="I421" s="3"/>
      <c r="J421" s="21" t="s">
        <v>2276</v>
      </c>
      <c r="K421" s="103" t="s">
        <v>2276</v>
      </c>
      <c r="L421" s="21" t="s">
        <v>2276</v>
      </c>
      <c r="M421" s="21" t="s">
        <v>2276</v>
      </c>
      <c r="N421" s="21" t="s">
        <v>2276</v>
      </c>
      <c r="O421" s="21" t="s">
        <v>2276</v>
      </c>
      <c r="P421" s="21" t="s">
        <v>2276</v>
      </c>
      <c r="Q421" s="102" t="s">
        <v>2276</v>
      </c>
      <c r="R421" s="102" t="s">
        <v>2276</v>
      </c>
      <c r="S421" s="21" t="s">
        <v>2276</v>
      </c>
      <c r="T421" s="21" t="s">
        <v>2276</v>
      </c>
      <c r="U421" s="21" t="s">
        <v>2276</v>
      </c>
      <c r="V421" s="21" t="s">
        <v>2276</v>
      </c>
      <c r="W421" s="21" t="s">
        <v>2403</v>
      </c>
      <c r="X421" s="3" t="s">
        <v>2276</v>
      </c>
      <c r="Y421" s="3" t="s">
        <v>2276</v>
      </c>
      <c r="Z421" s="3" t="s">
        <v>2276</v>
      </c>
      <c r="AA421" s="4" t="s">
        <v>1971</v>
      </c>
      <c r="AB421" s="4"/>
    </row>
    <row r="422" spans="1:28" ht="56" customHeight="1">
      <c r="A422" s="6" t="str">
        <f>'Reported burning'!A422</f>
        <v>29z</v>
      </c>
      <c r="B422" s="6" t="str">
        <f>'Reported burning'!B422</f>
        <v>29z.1</v>
      </c>
      <c r="C422" s="6" t="str">
        <f>'Reported burning'!C422</f>
        <v>Human, deliberate</v>
      </c>
      <c r="D422" s="6" t="str">
        <f>'Reported burning'!D422</f>
        <v>Crop field preparation</v>
      </c>
      <c r="E422" s="6" t="str">
        <f>'Reported burning'!E422</f>
        <v>Cropping, Monoculture, Subsistence-oriented</v>
      </c>
      <c r="F422" s="6" t="str">
        <f>'Reported burning'!F422</f>
        <v>Cropland</v>
      </c>
      <c r="G422" s="6" t="str">
        <f>'Reported burning'!G422</f>
        <v>ND</v>
      </c>
      <c r="H422" s="6" t="str">
        <f>'Reported burning'!H422</f>
        <v>Absence</v>
      </c>
      <c r="I422" s="3"/>
      <c r="J422" s="21" t="s">
        <v>2364</v>
      </c>
      <c r="K422" s="103" t="s">
        <v>2364</v>
      </c>
      <c r="L422" s="21" t="s">
        <v>2364</v>
      </c>
      <c r="M422" s="21" t="s">
        <v>2364</v>
      </c>
      <c r="N422" s="21" t="s">
        <v>2364</v>
      </c>
      <c r="O422" s="21" t="s">
        <v>2364</v>
      </c>
      <c r="P422" s="21" t="s">
        <v>2364</v>
      </c>
      <c r="Q422" s="102" t="s">
        <v>2276</v>
      </c>
      <c r="R422" s="102" t="s">
        <v>2276</v>
      </c>
      <c r="S422" s="21" t="s">
        <v>2364</v>
      </c>
      <c r="T422" s="21" t="s">
        <v>2364</v>
      </c>
      <c r="U422" s="21" t="s">
        <v>2364</v>
      </c>
      <c r="V422" s="21" t="s">
        <v>2364</v>
      </c>
      <c r="W422" s="21" t="s">
        <v>2276</v>
      </c>
      <c r="X422" s="3" t="s">
        <v>2276</v>
      </c>
      <c r="Y422" s="3" t="s">
        <v>2276</v>
      </c>
      <c r="Z422" s="3" t="s">
        <v>2276</v>
      </c>
      <c r="AA422" s="3" t="s">
        <v>1966</v>
      </c>
      <c r="AB422" s="4"/>
    </row>
    <row r="423" spans="1:28" ht="73.5" customHeight="1">
      <c r="A423" s="6" t="str">
        <f>'Reported burning'!A423</f>
        <v>29aa</v>
      </c>
      <c r="B423" s="6" t="str">
        <f>'Reported burning'!B423</f>
        <v>29aa.1</v>
      </c>
      <c r="C423" s="6" t="str">
        <f>'Reported burning'!C423</f>
        <v>Human, deliberate</v>
      </c>
      <c r="D423" s="6" t="str">
        <f>'Reported burning'!D423</f>
        <v>Crop field preparation</v>
      </c>
      <c r="E423" s="6" t="str">
        <f>'Reported burning'!E423</f>
        <v>Cropping, Monoculture, Subsistence-oriented</v>
      </c>
      <c r="F423" s="6" t="str">
        <f>'Reported burning'!F423</f>
        <v>Cropland</v>
      </c>
      <c r="G423" s="6" t="str">
        <f>'Reported burning'!G423</f>
        <v>ND</v>
      </c>
      <c r="H423" s="6" t="str">
        <f>'Reported burning'!H423</f>
        <v>Absence</v>
      </c>
      <c r="I423" s="3"/>
      <c r="J423" s="21" t="s">
        <v>2364</v>
      </c>
      <c r="K423" s="103" t="s">
        <v>2364</v>
      </c>
      <c r="L423" s="21" t="s">
        <v>2364</v>
      </c>
      <c r="M423" s="21" t="s">
        <v>2364</v>
      </c>
      <c r="N423" s="21" t="s">
        <v>2364</v>
      </c>
      <c r="O423" s="21" t="s">
        <v>2364</v>
      </c>
      <c r="P423" s="21" t="s">
        <v>2364</v>
      </c>
      <c r="Q423" s="102" t="s">
        <v>2276</v>
      </c>
      <c r="R423" s="102" t="s">
        <v>2276</v>
      </c>
      <c r="S423" s="21" t="s">
        <v>2364</v>
      </c>
      <c r="T423" s="21" t="s">
        <v>2364</v>
      </c>
      <c r="U423" s="21" t="s">
        <v>2364</v>
      </c>
      <c r="V423" s="21" t="s">
        <v>2364</v>
      </c>
      <c r="W423" s="21" t="s">
        <v>2276</v>
      </c>
      <c r="X423" s="3" t="s">
        <v>2276</v>
      </c>
      <c r="Y423" s="3" t="s">
        <v>2276</v>
      </c>
      <c r="Z423" s="3" t="s">
        <v>2276</v>
      </c>
      <c r="AA423" s="18" t="s">
        <v>1978</v>
      </c>
      <c r="AB423" s="4"/>
    </row>
    <row r="424" spans="1:28" ht="56" customHeight="1">
      <c r="A424" s="6" t="str">
        <f>'Reported burning'!A424</f>
        <v>29ab</v>
      </c>
      <c r="B424" s="6" t="str">
        <f>'Reported burning'!B424</f>
        <v>29ab.1</v>
      </c>
      <c r="C424" s="6" t="str">
        <f>'Reported burning'!C424</f>
        <v>Human, deliberate</v>
      </c>
      <c r="D424" s="6" t="str">
        <f>'Reported burning'!D424</f>
        <v>Crop field preparation</v>
      </c>
      <c r="E424" s="6" t="str">
        <f>'Reported burning'!E424</f>
        <v>Cropping, Monoculture, Subsistence-oriented</v>
      </c>
      <c r="F424" s="6" t="str">
        <f>'Reported burning'!F424</f>
        <v>Cropland</v>
      </c>
      <c r="G424" s="6" t="str">
        <f>'Reported burning'!G424</f>
        <v>ND</v>
      </c>
      <c r="H424" s="6" t="str">
        <f>'Reported burning'!H424</f>
        <v>Absence</v>
      </c>
      <c r="I424" s="3"/>
      <c r="J424" s="21" t="s">
        <v>2364</v>
      </c>
      <c r="K424" s="103" t="s">
        <v>2364</v>
      </c>
      <c r="L424" s="21" t="s">
        <v>2364</v>
      </c>
      <c r="M424" s="21" t="s">
        <v>2364</v>
      </c>
      <c r="N424" s="21" t="s">
        <v>2364</v>
      </c>
      <c r="O424" s="21" t="s">
        <v>2364</v>
      </c>
      <c r="P424" s="21" t="s">
        <v>2364</v>
      </c>
      <c r="Q424" s="102" t="s">
        <v>2276</v>
      </c>
      <c r="R424" s="102" t="s">
        <v>2276</v>
      </c>
      <c r="S424" s="21" t="s">
        <v>2364</v>
      </c>
      <c r="T424" s="21" t="s">
        <v>2364</v>
      </c>
      <c r="U424" s="21" t="s">
        <v>2364</v>
      </c>
      <c r="V424" s="21" t="s">
        <v>2364</v>
      </c>
      <c r="W424" s="21" t="s">
        <v>2276</v>
      </c>
      <c r="X424" s="3" t="s">
        <v>2276</v>
      </c>
      <c r="Y424" s="3" t="s">
        <v>2276</v>
      </c>
      <c r="Z424" s="3" t="s">
        <v>2276</v>
      </c>
      <c r="AA424" s="3" t="s">
        <v>1966</v>
      </c>
      <c r="AB424" s="4"/>
    </row>
    <row r="425" spans="1:28" ht="56" customHeight="1">
      <c r="A425" s="6" t="str">
        <f>'Reported burning'!A425</f>
        <v>29ac</v>
      </c>
      <c r="B425" s="6" t="str">
        <f>'Reported burning'!B425</f>
        <v>29ac.1</v>
      </c>
      <c r="C425" s="6" t="str">
        <f>'Reported burning'!C425</f>
        <v>Human, deliberate</v>
      </c>
      <c r="D425" s="6" t="str">
        <f>'Reported burning'!D425</f>
        <v>Crop field preparation</v>
      </c>
      <c r="E425" s="6" t="str">
        <f>'Reported burning'!E425</f>
        <v>Cropping, Monoculture, Subsistence-oriented</v>
      </c>
      <c r="F425" s="6" t="str">
        <f>'Reported burning'!F425</f>
        <v>Cropland</v>
      </c>
      <c r="G425" s="6" t="str">
        <f>'Reported burning'!G425</f>
        <v>ND</v>
      </c>
      <c r="H425" s="6" t="str">
        <f>'Reported burning'!H425</f>
        <v>Absence</v>
      </c>
      <c r="I425" s="3"/>
      <c r="J425" s="21" t="s">
        <v>2364</v>
      </c>
      <c r="K425" s="103" t="s">
        <v>2364</v>
      </c>
      <c r="L425" s="21" t="s">
        <v>2364</v>
      </c>
      <c r="M425" s="21" t="s">
        <v>2364</v>
      </c>
      <c r="N425" s="21" t="s">
        <v>2364</v>
      </c>
      <c r="O425" s="21" t="s">
        <v>2364</v>
      </c>
      <c r="P425" s="21" t="s">
        <v>2364</v>
      </c>
      <c r="Q425" s="102" t="s">
        <v>2276</v>
      </c>
      <c r="R425" s="102" t="s">
        <v>2276</v>
      </c>
      <c r="S425" s="21" t="s">
        <v>2364</v>
      </c>
      <c r="T425" s="21" t="s">
        <v>2364</v>
      </c>
      <c r="U425" s="21" t="s">
        <v>2364</v>
      </c>
      <c r="V425" s="21" t="s">
        <v>2364</v>
      </c>
      <c r="W425" s="21" t="s">
        <v>2276</v>
      </c>
      <c r="X425" s="3" t="s">
        <v>2276</v>
      </c>
      <c r="Y425" s="3" t="s">
        <v>2276</v>
      </c>
      <c r="Z425" s="3" t="s">
        <v>2276</v>
      </c>
      <c r="AA425" s="3" t="s">
        <v>1966</v>
      </c>
      <c r="AB425" s="4"/>
    </row>
    <row r="426" spans="1:28" ht="56" customHeight="1">
      <c r="A426" s="6" t="str">
        <f>'Reported burning'!A426</f>
        <v>29ad</v>
      </c>
      <c r="B426" s="6" t="str">
        <f>'Reported burning'!B426</f>
        <v>29ad.1</v>
      </c>
      <c r="C426" s="6" t="str">
        <f>'Reported burning'!C426</f>
        <v>Human, deliberate</v>
      </c>
      <c r="D426" s="6" t="str">
        <f>'Reported burning'!D426</f>
        <v>Crop field preparation</v>
      </c>
      <c r="E426" s="6" t="str">
        <f>'Reported burning'!E426</f>
        <v>Cropping, Monoculture, Subsistence-oriented</v>
      </c>
      <c r="F426" s="6" t="str">
        <f>'Reported burning'!F426</f>
        <v>Cropland</v>
      </c>
      <c r="G426" s="6" t="str">
        <f>'Reported burning'!G426</f>
        <v>ND</v>
      </c>
      <c r="H426" s="6" t="str">
        <f>'Reported burning'!H426</f>
        <v>Absence</v>
      </c>
      <c r="I426" s="3"/>
      <c r="J426" s="21" t="s">
        <v>2364</v>
      </c>
      <c r="K426" s="103" t="s">
        <v>2364</v>
      </c>
      <c r="L426" s="21" t="s">
        <v>2364</v>
      </c>
      <c r="M426" s="21" t="s">
        <v>2364</v>
      </c>
      <c r="N426" s="21" t="s">
        <v>2364</v>
      </c>
      <c r="O426" s="21" t="s">
        <v>2364</v>
      </c>
      <c r="P426" s="21" t="s">
        <v>2364</v>
      </c>
      <c r="Q426" s="102" t="s">
        <v>2276</v>
      </c>
      <c r="R426" s="102" t="s">
        <v>2276</v>
      </c>
      <c r="S426" s="21" t="s">
        <v>2364</v>
      </c>
      <c r="T426" s="21" t="s">
        <v>2364</v>
      </c>
      <c r="U426" s="21" t="s">
        <v>2364</v>
      </c>
      <c r="V426" s="21" t="s">
        <v>2364</v>
      </c>
      <c r="W426" s="21" t="s">
        <v>2276</v>
      </c>
      <c r="X426" s="3" t="s">
        <v>2276</v>
      </c>
      <c r="Y426" s="3" t="s">
        <v>2276</v>
      </c>
      <c r="Z426" s="3" t="s">
        <v>2276</v>
      </c>
      <c r="AA426" s="3" t="s">
        <v>1966</v>
      </c>
      <c r="AB426" s="4"/>
    </row>
    <row r="427" spans="1:28" ht="56" customHeight="1">
      <c r="A427" s="6" t="str">
        <f>'Reported burning'!A427</f>
        <v>29ae</v>
      </c>
      <c r="B427" s="6" t="str">
        <f>'Reported burning'!B427</f>
        <v>29ae.1</v>
      </c>
      <c r="C427" s="6" t="str">
        <f>'Reported burning'!C427</f>
        <v>Human, deliberate</v>
      </c>
      <c r="D427" s="6" t="str">
        <f>'Reported burning'!D427</f>
        <v>Crop field preparation</v>
      </c>
      <c r="E427" s="6" t="str">
        <f>'Reported burning'!E427</f>
        <v>Cropping, Swidden</v>
      </c>
      <c r="F427" s="6" t="str">
        <f>'Reported burning'!F427</f>
        <v>Secondary Vegetation</v>
      </c>
      <c r="G427" s="6" t="str">
        <f>'Reported burning'!G427</f>
        <v>ND</v>
      </c>
      <c r="H427" s="6" t="str">
        <f>'Reported burning'!H427</f>
        <v>Absence</v>
      </c>
      <c r="I427" s="3"/>
      <c r="J427" s="21" t="s">
        <v>2364</v>
      </c>
      <c r="K427" s="103" t="s">
        <v>2364</v>
      </c>
      <c r="L427" s="21" t="s">
        <v>2364</v>
      </c>
      <c r="M427" s="21" t="s">
        <v>2364</v>
      </c>
      <c r="N427" s="21" t="s">
        <v>2364</v>
      </c>
      <c r="O427" s="21" t="s">
        <v>2364</v>
      </c>
      <c r="P427" s="21" t="s">
        <v>2364</v>
      </c>
      <c r="Q427" s="102" t="s">
        <v>2276</v>
      </c>
      <c r="R427" s="102" t="s">
        <v>2276</v>
      </c>
      <c r="S427" s="21" t="s">
        <v>2364</v>
      </c>
      <c r="T427" s="21" t="s">
        <v>2364</v>
      </c>
      <c r="U427" s="21" t="s">
        <v>2364</v>
      </c>
      <c r="V427" s="21" t="s">
        <v>2364</v>
      </c>
      <c r="W427" s="21" t="s">
        <v>2276</v>
      </c>
      <c r="X427" s="3" t="s">
        <v>2276</v>
      </c>
      <c r="Y427" s="3" t="s">
        <v>2276</v>
      </c>
      <c r="Z427" s="3" t="s">
        <v>2276</v>
      </c>
      <c r="AA427" s="4" t="s">
        <v>1960</v>
      </c>
      <c r="AB427" s="4"/>
    </row>
    <row r="428" spans="1:28" ht="70" customHeight="1">
      <c r="A428" s="6" t="str">
        <f>'Reported burning'!A428</f>
        <v>29af</v>
      </c>
      <c r="B428" s="6" t="str">
        <f>'Reported burning'!B428</f>
        <v>29af.1</v>
      </c>
      <c r="C428" s="6" t="str">
        <f>'Reported burning'!C428</f>
        <v>Human, deliberate</v>
      </c>
      <c r="D428" s="6" t="str">
        <f>'Reported burning'!D428</f>
        <v>Crop field preparation</v>
      </c>
      <c r="E428" s="6" t="str">
        <f>'Reported burning'!E428</f>
        <v>Cropping, Monoculture, Subsistence-oriented</v>
      </c>
      <c r="F428" s="6" t="str">
        <f>'Reported burning'!F428</f>
        <v>Cropland</v>
      </c>
      <c r="G428" s="6" t="str">
        <f>'Reported burning'!G428</f>
        <v>ND</v>
      </c>
      <c r="H428" s="6" t="str">
        <f>'Reported burning'!H428</f>
        <v>Absence</v>
      </c>
      <c r="I428" s="3"/>
      <c r="J428" s="21" t="s">
        <v>2364</v>
      </c>
      <c r="K428" s="103" t="s">
        <v>2364</v>
      </c>
      <c r="L428" s="21" t="s">
        <v>2364</v>
      </c>
      <c r="M428" s="21" t="s">
        <v>2364</v>
      </c>
      <c r="N428" s="21" t="s">
        <v>2364</v>
      </c>
      <c r="O428" s="21" t="s">
        <v>2364</v>
      </c>
      <c r="P428" s="21" t="s">
        <v>2364</v>
      </c>
      <c r="Q428" s="102" t="s">
        <v>2276</v>
      </c>
      <c r="R428" s="102" t="s">
        <v>2276</v>
      </c>
      <c r="S428" s="21" t="s">
        <v>2364</v>
      </c>
      <c r="T428" s="21" t="s">
        <v>2364</v>
      </c>
      <c r="U428" s="21" t="s">
        <v>2364</v>
      </c>
      <c r="V428" s="21" t="s">
        <v>2364</v>
      </c>
      <c r="W428" s="21" t="s">
        <v>2276</v>
      </c>
      <c r="X428" s="3" t="s">
        <v>2276</v>
      </c>
      <c r="Y428" s="3" t="s">
        <v>2276</v>
      </c>
      <c r="Z428" s="3" t="s">
        <v>2276</v>
      </c>
      <c r="AA428" s="18" t="s">
        <v>1978</v>
      </c>
      <c r="AB428" s="4"/>
    </row>
    <row r="429" spans="1:28" ht="63.5" customHeight="1">
      <c r="A429" s="6" t="str">
        <f>'Reported burning'!A429</f>
        <v>29ag</v>
      </c>
      <c r="B429" s="6" t="str">
        <f>'Reported burning'!B429</f>
        <v>29ag.1</v>
      </c>
      <c r="C429" s="6" t="str">
        <f>'Reported burning'!C429</f>
        <v>Human, deliberate</v>
      </c>
      <c r="D429" s="6" t="str">
        <f>'Reported burning'!D429</f>
        <v>Crop field preparation</v>
      </c>
      <c r="E429" s="6" t="str">
        <f>'Reported burning'!E429</f>
        <v>Cropping, Monoculture, Subsistence-oriented</v>
      </c>
      <c r="F429" s="6" t="str">
        <f>'Reported burning'!F429</f>
        <v>Cropland</v>
      </c>
      <c r="G429" s="6" t="str">
        <f>'Reported burning'!G429</f>
        <v>ND</v>
      </c>
      <c r="H429" s="6" t="str">
        <f>'Reported burning'!H429</f>
        <v>Absence</v>
      </c>
      <c r="I429" s="3"/>
      <c r="J429" s="21" t="s">
        <v>2364</v>
      </c>
      <c r="K429" s="103" t="s">
        <v>2364</v>
      </c>
      <c r="L429" s="21" t="s">
        <v>2364</v>
      </c>
      <c r="M429" s="21" t="s">
        <v>2364</v>
      </c>
      <c r="N429" s="21" t="s">
        <v>2364</v>
      </c>
      <c r="O429" s="21" t="s">
        <v>2364</v>
      </c>
      <c r="P429" s="21" t="s">
        <v>2364</v>
      </c>
      <c r="Q429" s="102" t="s">
        <v>2276</v>
      </c>
      <c r="R429" s="102" t="s">
        <v>2276</v>
      </c>
      <c r="S429" s="21" t="s">
        <v>2364</v>
      </c>
      <c r="T429" s="21" t="s">
        <v>2364</v>
      </c>
      <c r="U429" s="21" t="s">
        <v>2364</v>
      </c>
      <c r="V429" s="21" t="s">
        <v>2364</v>
      </c>
      <c r="W429" s="21" t="s">
        <v>2276</v>
      </c>
      <c r="X429" s="3" t="s">
        <v>2276</v>
      </c>
      <c r="Y429" s="3" t="s">
        <v>2276</v>
      </c>
      <c r="Z429" s="3" t="s">
        <v>2276</v>
      </c>
      <c r="AA429" s="18" t="s">
        <v>1978</v>
      </c>
      <c r="AB429" s="4"/>
    </row>
    <row r="430" spans="1:28" ht="56" customHeight="1">
      <c r="A430" s="6" t="str">
        <f>'Reported burning'!A430</f>
        <v>29ah</v>
      </c>
      <c r="B430" s="6" t="str">
        <f>'Reported burning'!B430</f>
        <v>29ah.1</v>
      </c>
      <c r="C430" s="6" t="str">
        <f>'Reported burning'!C430</f>
        <v>Human, deliberate</v>
      </c>
      <c r="D430" s="6" t="str">
        <f>'Reported burning'!D430</f>
        <v>Crop field preparation</v>
      </c>
      <c r="E430" s="6" t="str">
        <f>'Reported burning'!E430</f>
        <v>Cropping, Monoculture, Subsistence-oriented</v>
      </c>
      <c r="F430" s="6" t="str">
        <f>'Reported burning'!F430</f>
        <v>Cropland</v>
      </c>
      <c r="G430" s="6" t="str">
        <f>'Reported burning'!G430</f>
        <v>ND</v>
      </c>
      <c r="H430" s="6" t="str">
        <f>'Reported burning'!H430</f>
        <v>Absence</v>
      </c>
      <c r="I430" s="3"/>
      <c r="J430" s="21" t="s">
        <v>2364</v>
      </c>
      <c r="K430" s="103" t="s">
        <v>2364</v>
      </c>
      <c r="L430" s="21" t="s">
        <v>2364</v>
      </c>
      <c r="M430" s="21" t="s">
        <v>2364</v>
      </c>
      <c r="N430" s="21" t="s">
        <v>2364</v>
      </c>
      <c r="O430" s="21" t="s">
        <v>2364</v>
      </c>
      <c r="P430" s="21" t="s">
        <v>2364</v>
      </c>
      <c r="Q430" s="102" t="s">
        <v>2276</v>
      </c>
      <c r="R430" s="102" t="s">
        <v>2276</v>
      </c>
      <c r="S430" s="21" t="s">
        <v>2364</v>
      </c>
      <c r="T430" s="21" t="s">
        <v>2364</v>
      </c>
      <c r="U430" s="21" t="s">
        <v>2364</v>
      </c>
      <c r="V430" s="21" t="s">
        <v>2364</v>
      </c>
      <c r="W430" s="21" t="s">
        <v>2276</v>
      </c>
      <c r="X430" s="3" t="s">
        <v>2276</v>
      </c>
      <c r="Y430" s="3" t="s">
        <v>2276</v>
      </c>
      <c r="Z430" s="3" t="s">
        <v>2276</v>
      </c>
      <c r="AA430" s="3" t="s">
        <v>1966</v>
      </c>
      <c r="AB430" s="4"/>
    </row>
    <row r="431" spans="1:28" ht="56" customHeight="1">
      <c r="A431" s="6" t="str">
        <f>'Reported burning'!A431</f>
        <v>29ai</v>
      </c>
      <c r="B431" s="6" t="str">
        <f>'Reported burning'!B431</f>
        <v>29ah.1</v>
      </c>
      <c r="C431" s="6" t="str">
        <f>'Reported burning'!C431</f>
        <v>Human, deliberate</v>
      </c>
      <c r="D431" s="6" t="str">
        <f>'Reported burning'!D431</f>
        <v>Crop field preparation</v>
      </c>
      <c r="E431" s="6" t="str">
        <f>'Reported burning'!E431</f>
        <v>Cropping, Monoculture, Subsistence-oriented</v>
      </c>
      <c r="F431" s="6" t="str">
        <f>'Reported burning'!F431</f>
        <v>Cropland</v>
      </c>
      <c r="G431" s="6" t="str">
        <f>'Reported burning'!G431</f>
        <v>ND</v>
      </c>
      <c r="H431" s="6" t="str">
        <f>'Reported burning'!H431</f>
        <v>Absence</v>
      </c>
      <c r="I431" s="3"/>
      <c r="J431" s="21" t="s">
        <v>2364</v>
      </c>
      <c r="K431" s="103" t="s">
        <v>2364</v>
      </c>
      <c r="L431" s="21" t="s">
        <v>2364</v>
      </c>
      <c r="M431" s="21" t="s">
        <v>2364</v>
      </c>
      <c r="N431" s="21" t="s">
        <v>2364</v>
      </c>
      <c r="O431" s="21" t="s">
        <v>2364</v>
      </c>
      <c r="P431" s="21" t="s">
        <v>2364</v>
      </c>
      <c r="Q431" s="102" t="s">
        <v>2276</v>
      </c>
      <c r="R431" s="102" t="s">
        <v>2276</v>
      </c>
      <c r="S431" s="21" t="s">
        <v>2364</v>
      </c>
      <c r="T431" s="21" t="s">
        <v>2364</v>
      </c>
      <c r="U431" s="21" t="s">
        <v>2364</v>
      </c>
      <c r="V431" s="21" t="s">
        <v>2364</v>
      </c>
      <c r="W431" s="21" t="s">
        <v>2276</v>
      </c>
      <c r="X431" s="3" t="s">
        <v>2276</v>
      </c>
      <c r="Y431" s="3" t="s">
        <v>2276</v>
      </c>
      <c r="Z431" s="3" t="s">
        <v>2276</v>
      </c>
      <c r="AA431" s="3" t="s">
        <v>1966</v>
      </c>
      <c r="AB431" s="4"/>
    </row>
    <row r="432" spans="1:28" ht="56" customHeight="1">
      <c r="A432" s="6" t="str">
        <f>'Reported burning'!A432</f>
        <v>29aj</v>
      </c>
      <c r="B432" s="6" t="str">
        <f>'Reported burning'!B432</f>
        <v>29aj.1</v>
      </c>
      <c r="C432" s="6" t="str">
        <f>'Reported burning'!C432</f>
        <v>Human, deliberate</v>
      </c>
      <c r="D432" s="6" t="str">
        <f>'Reported burning'!D432</f>
        <v>Crop field preparation</v>
      </c>
      <c r="E432" s="6" t="str">
        <f>'Reported burning'!E432</f>
        <v>Cropping, Swidden</v>
      </c>
      <c r="F432" s="6" t="str">
        <f>'Reported burning'!F432</f>
        <v>Secondary Vegetation</v>
      </c>
      <c r="G432" s="6" t="str">
        <f>'Reported burning'!G432</f>
        <v>ND</v>
      </c>
      <c r="H432" s="6" t="str">
        <f>'Reported burning'!H432</f>
        <v>Absence</v>
      </c>
      <c r="I432" s="3"/>
      <c r="J432" s="21" t="s">
        <v>2364</v>
      </c>
      <c r="K432" s="103" t="s">
        <v>2364</v>
      </c>
      <c r="L432" s="21" t="s">
        <v>2364</v>
      </c>
      <c r="M432" s="21" t="s">
        <v>2364</v>
      </c>
      <c r="N432" s="21" t="s">
        <v>2364</v>
      </c>
      <c r="O432" s="21" t="s">
        <v>2364</v>
      </c>
      <c r="P432" s="21" t="s">
        <v>2364</v>
      </c>
      <c r="Q432" s="102" t="s">
        <v>2276</v>
      </c>
      <c r="R432" s="102" t="s">
        <v>2276</v>
      </c>
      <c r="S432" s="21" t="s">
        <v>2364</v>
      </c>
      <c r="T432" s="21" t="s">
        <v>2364</v>
      </c>
      <c r="U432" s="21" t="s">
        <v>2364</v>
      </c>
      <c r="V432" s="21" t="s">
        <v>2364</v>
      </c>
      <c r="W432" s="21" t="s">
        <v>2276</v>
      </c>
      <c r="X432" s="3" t="s">
        <v>2276</v>
      </c>
      <c r="Y432" s="3" t="s">
        <v>2276</v>
      </c>
      <c r="Z432" s="3" t="s">
        <v>2276</v>
      </c>
      <c r="AA432" s="4" t="s">
        <v>1960</v>
      </c>
      <c r="AB432" s="4"/>
    </row>
    <row r="433" spans="1:28" ht="56" customHeight="1">
      <c r="A433" s="6" t="str">
        <f>'Reported burning'!A433</f>
        <v>29ak</v>
      </c>
      <c r="B433" s="6" t="str">
        <f>'Reported burning'!B433</f>
        <v>29ak.1</v>
      </c>
      <c r="C433" s="6" t="str">
        <f>'Reported burning'!C433</f>
        <v>Human, deliberate</v>
      </c>
      <c r="D433" s="6" t="str">
        <f>'Reported burning'!D433</f>
        <v>Crop field preparation</v>
      </c>
      <c r="E433" s="6" t="str">
        <f>'Reported burning'!E433</f>
        <v>Cropping, Monoculture, Subsistence-oriented</v>
      </c>
      <c r="F433" s="6" t="str">
        <f>'Reported burning'!F433</f>
        <v>Cropland</v>
      </c>
      <c r="G433" s="6" t="str">
        <f>'Reported burning'!G433</f>
        <v>ND</v>
      </c>
      <c r="H433" s="6" t="str">
        <f>'Reported burning'!H433</f>
        <v>Absence</v>
      </c>
      <c r="I433" s="3"/>
      <c r="J433" s="21" t="s">
        <v>2364</v>
      </c>
      <c r="K433" s="103" t="s">
        <v>2364</v>
      </c>
      <c r="L433" s="21" t="s">
        <v>2364</v>
      </c>
      <c r="M433" s="21" t="s">
        <v>2364</v>
      </c>
      <c r="N433" s="21" t="s">
        <v>2364</v>
      </c>
      <c r="O433" s="21" t="s">
        <v>2364</v>
      </c>
      <c r="P433" s="21" t="s">
        <v>2364</v>
      </c>
      <c r="Q433" s="102" t="s">
        <v>2276</v>
      </c>
      <c r="R433" s="102" t="s">
        <v>2276</v>
      </c>
      <c r="S433" s="21" t="s">
        <v>2364</v>
      </c>
      <c r="T433" s="21" t="s">
        <v>2364</v>
      </c>
      <c r="U433" s="21" t="s">
        <v>2364</v>
      </c>
      <c r="V433" s="21" t="s">
        <v>2364</v>
      </c>
      <c r="W433" s="21" t="s">
        <v>2276</v>
      </c>
      <c r="X433" s="3" t="s">
        <v>2276</v>
      </c>
      <c r="Y433" s="3" t="s">
        <v>2276</v>
      </c>
      <c r="Z433" s="3" t="s">
        <v>2276</v>
      </c>
      <c r="AA433" s="3" t="s">
        <v>1966</v>
      </c>
      <c r="AB433" s="4"/>
    </row>
    <row r="434" spans="1:28" ht="56" customHeight="1">
      <c r="A434" s="6" t="str">
        <f>'Reported burning'!A434</f>
        <v>29al</v>
      </c>
      <c r="B434" s="6" t="str">
        <f>'Reported burning'!B434</f>
        <v>29al.1</v>
      </c>
      <c r="C434" s="6" t="str">
        <f>'Reported burning'!C434</f>
        <v>Human, deliberate</v>
      </c>
      <c r="D434" s="6" t="str">
        <f>'Reported burning'!D434</f>
        <v>Crop field preparation</v>
      </c>
      <c r="E434" s="6" t="str">
        <f>'Reported burning'!E434</f>
        <v>Cropping, Monoculture, Subsistence-oriented</v>
      </c>
      <c r="F434" s="6" t="str">
        <f>'Reported burning'!F434</f>
        <v>Cropland</v>
      </c>
      <c r="G434" s="6" t="str">
        <f>'Reported burning'!G434</f>
        <v>ND</v>
      </c>
      <c r="H434" s="6" t="str">
        <f>'Reported burning'!H434</f>
        <v>Absence</v>
      </c>
      <c r="I434" s="3"/>
      <c r="J434" s="21" t="s">
        <v>2364</v>
      </c>
      <c r="K434" s="103" t="s">
        <v>2364</v>
      </c>
      <c r="L434" s="21" t="s">
        <v>2364</v>
      </c>
      <c r="M434" s="21" t="s">
        <v>2364</v>
      </c>
      <c r="N434" s="21" t="s">
        <v>2364</v>
      </c>
      <c r="O434" s="21" t="s">
        <v>2364</v>
      </c>
      <c r="P434" s="21" t="s">
        <v>2364</v>
      </c>
      <c r="Q434" s="102" t="s">
        <v>2276</v>
      </c>
      <c r="R434" s="102" t="s">
        <v>2276</v>
      </c>
      <c r="S434" s="21" t="s">
        <v>2364</v>
      </c>
      <c r="T434" s="21" t="s">
        <v>2364</v>
      </c>
      <c r="U434" s="21" t="s">
        <v>2364</v>
      </c>
      <c r="V434" s="21" t="s">
        <v>2364</v>
      </c>
      <c r="W434" s="21" t="s">
        <v>2276</v>
      </c>
      <c r="X434" s="3" t="s">
        <v>2276</v>
      </c>
      <c r="Y434" s="3" t="s">
        <v>2276</v>
      </c>
      <c r="Z434" s="3" t="s">
        <v>2276</v>
      </c>
      <c r="AA434" s="3" t="s">
        <v>1966</v>
      </c>
      <c r="AB434" s="4"/>
    </row>
    <row r="435" spans="1:28" ht="56" customHeight="1">
      <c r="A435" s="6" t="str">
        <f>'Reported burning'!A435</f>
        <v>29am</v>
      </c>
      <c r="B435" s="6" t="str">
        <f>'Reported burning'!B435</f>
        <v>29am.1</v>
      </c>
      <c r="C435" s="6" t="str">
        <f>'Reported burning'!C435</f>
        <v>Human, deliberate</v>
      </c>
      <c r="D435" s="6" t="str">
        <f>'Reported burning'!D435</f>
        <v>Crop field preparation</v>
      </c>
      <c r="E435" s="6" t="str">
        <f>'Reported burning'!E435</f>
        <v>Cropping, Monoculture, Subsistence-oriented</v>
      </c>
      <c r="F435" s="6" t="str">
        <f>'Reported burning'!F435</f>
        <v>Cropland</v>
      </c>
      <c r="G435" s="6" t="str">
        <f>'Reported burning'!G435</f>
        <v>ND</v>
      </c>
      <c r="H435" s="6" t="str">
        <f>'Reported burning'!H435</f>
        <v>Absence</v>
      </c>
      <c r="I435" s="3"/>
      <c r="J435" s="21" t="s">
        <v>2364</v>
      </c>
      <c r="K435" s="103" t="s">
        <v>2364</v>
      </c>
      <c r="L435" s="21" t="s">
        <v>2364</v>
      </c>
      <c r="M435" s="21" t="s">
        <v>2364</v>
      </c>
      <c r="N435" s="21" t="s">
        <v>2364</v>
      </c>
      <c r="O435" s="21" t="s">
        <v>2364</v>
      </c>
      <c r="P435" s="21" t="s">
        <v>2364</v>
      </c>
      <c r="Q435" s="102" t="s">
        <v>2276</v>
      </c>
      <c r="R435" s="102" t="s">
        <v>2276</v>
      </c>
      <c r="S435" s="21" t="s">
        <v>2364</v>
      </c>
      <c r="T435" s="21" t="s">
        <v>2364</v>
      </c>
      <c r="U435" s="21" t="s">
        <v>2364</v>
      </c>
      <c r="V435" s="21" t="s">
        <v>2364</v>
      </c>
      <c r="W435" s="21" t="s">
        <v>2276</v>
      </c>
      <c r="X435" s="3" t="s">
        <v>2276</v>
      </c>
      <c r="Y435" s="3" t="s">
        <v>2276</v>
      </c>
      <c r="Z435" s="3" t="s">
        <v>2276</v>
      </c>
      <c r="AA435" s="3" t="s">
        <v>1966</v>
      </c>
      <c r="AB435" s="4"/>
    </row>
    <row r="436" spans="1:28" ht="56" customHeight="1">
      <c r="A436" s="6" t="str">
        <f>'Reported burning'!A436</f>
        <v>29an</v>
      </c>
      <c r="B436" s="6" t="str">
        <f>'Reported burning'!B436</f>
        <v>29an.1</v>
      </c>
      <c r="C436" s="6" t="str">
        <f>'Reported burning'!C436</f>
        <v>Human, deliberate</v>
      </c>
      <c r="D436" s="6" t="str">
        <f>'Reported burning'!D436</f>
        <v>Crop field preparation</v>
      </c>
      <c r="E436" s="6" t="str">
        <f>'Reported burning'!E436</f>
        <v>Cropping, Swidden</v>
      </c>
      <c r="F436" s="6" t="str">
        <f>'Reported burning'!F436</f>
        <v>Secondary Vegetation</v>
      </c>
      <c r="G436" s="6" t="str">
        <f>'Reported burning'!G436</f>
        <v>ND</v>
      </c>
      <c r="H436" s="6" t="str">
        <f>'Reported burning'!H436</f>
        <v>Presence</v>
      </c>
      <c r="I436" s="3"/>
      <c r="J436" s="21" t="s">
        <v>2276</v>
      </c>
      <c r="K436" s="103" t="s">
        <v>2276</v>
      </c>
      <c r="L436" s="21" t="s">
        <v>2276</v>
      </c>
      <c r="M436" s="21" t="s">
        <v>2276</v>
      </c>
      <c r="N436" s="21" t="s">
        <v>2276</v>
      </c>
      <c r="O436" s="21" t="s">
        <v>2276</v>
      </c>
      <c r="P436" s="21" t="s">
        <v>2276</v>
      </c>
      <c r="Q436" s="102" t="s">
        <v>2276</v>
      </c>
      <c r="R436" s="102" t="s">
        <v>2276</v>
      </c>
      <c r="S436" s="21" t="s">
        <v>2276</v>
      </c>
      <c r="T436" s="21" t="s">
        <v>2276</v>
      </c>
      <c r="U436" s="21" t="s">
        <v>2276</v>
      </c>
      <c r="V436" s="21" t="s">
        <v>2276</v>
      </c>
      <c r="W436" s="21" t="s">
        <v>2403</v>
      </c>
      <c r="X436" s="3" t="s">
        <v>2276</v>
      </c>
      <c r="Y436" s="3" t="s">
        <v>2276</v>
      </c>
      <c r="Z436" s="3" t="s">
        <v>2276</v>
      </c>
      <c r="AA436" s="4" t="s">
        <v>1971</v>
      </c>
      <c r="AB436" s="4"/>
    </row>
    <row r="437" spans="1:28" ht="56" customHeight="1">
      <c r="A437" s="6" t="str">
        <f>'Reported burning'!A437</f>
        <v>29ao</v>
      </c>
      <c r="B437" s="6" t="str">
        <f>'Reported burning'!B437</f>
        <v>29ao.1</v>
      </c>
      <c r="C437" s="6" t="str">
        <f>'Reported burning'!C437</f>
        <v>Human, deliberate</v>
      </c>
      <c r="D437" s="6" t="str">
        <f>'Reported burning'!D437</f>
        <v>Crop field preparation</v>
      </c>
      <c r="E437" s="6" t="str">
        <f>'Reported burning'!E437</f>
        <v>Cropping, Swidden</v>
      </c>
      <c r="F437" s="6" t="str">
        <f>'Reported burning'!F437</f>
        <v>Secondary Vegetation</v>
      </c>
      <c r="G437" s="6" t="str">
        <f>'Reported burning'!G437</f>
        <v>ND</v>
      </c>
      <c r="H437" s="6" t="str">
        <f>'Reported burning'!H437</f>
        <v>Presence</v>
      </c>
      <c r="I437" s="3"/>
      <c r="J437" s="21" t="s">
        <v>2276</v>
      </c>
      <c r="K437" s="103" t="s">
        <v>2276</v>
      </c>
      <c r="L437" s="21" t="s">
        <v>2276</v>
      </c>
      <c r="M437" s="21" t="s">
        <v>2276</v>
      </c>
      <c r="N437" s="21" t="s">
        <v>2276</v>
      </c>
      <c r="O437" s="21" t="s">
        <v>2276</v>
      </c>
      <c r="P437" s="21" t="s">
        <v>2276</v>
      </c>
      <c r="Q437" s="102" t="s">
        <v>2276</v>
      </c>
      <c r="R437" s="102" t="s">
        <v>2276</v>
      </c>
      <c r="S437" s="21" t="s">
        <v>2276</v>
      </c>
      <c r="T437" s="21" t="s">
        <v>2276</v>
      </c>
      <c r="U437" s="21" t="s">
        <v>2276</v>
      </c>
      <c r="V437" s="21" t="s">
        <v>2276</v>
      </c>
      <c r="W437" s="21" t="s">
        <v>2403</v>
      </c>
      <c r="X437" s="3" t="s">
        <v>2276</v>
      </c>
      <c r="Y437" s="3" t="s">
        <v>2276</v>
      </c>
      <c r="Z437" s="3" t="s">
        <v>2276</v>
      </c>
      <c r="AA437" s="4" t="s">
        <v>1971</v>
      </c>
      <c r="AB437" s="4"/>
    </row>
    <row r="438" spans="1:28" ht="56" customHeight="1">
      <c r="A438" s="6" t="str">
        <f>'Reported burning'!A438</f>
        <v>29ap</v>
      </c>
      <c r="B438" s="6" t="str">
        <f>'Reported burning'!B438</f>
        <v>29ap.1</v>
      </c>
      <c r="C438" s="6" t="str">
        <f>'Reported burning'!C438</f>
        <v>Human, deliberate</v>
      </c>
      <c r="D438" s="6" t="str">
        <f>'Reported burning'!D438</f>
        <v>Crop field preparation</v>
      </c>
      <c r="E438" s="6" t="str">
        <f>'Reported burning'!E438</f>
        <v>Cropping, Swidden</v>
      </c>
      <c r="F438" s="6" t="str">
        <f>'Reported burning'!F438</f>
        <v>Forest</v>
      </c>
      <c r="G438" s="6" t="str">
        <f>'Reported burning'!G438</f>
        <v>ND</v>
      </c>
      <c r="H438" s="6" t="str">
        <f>'Reported burning'!H438</f>
        <v>Presence</v>
      </c>
      <c r="I438" s="3"/>
      <c r="J438" s="21" t="s">
        <v>2276</v>
      </c>
      <c r="K438" s="103" t="s">
        <v>2276</v>
      </c>
      <c r="L438" s="21" t="s">
        <v>2276</v>
      </c>
      <c r="M438" s="21" t="s">
        <v>2276</v>
      </c>
      <c r="N438" s="21" t="s">
        <v>2276</v>
      </c>
      <c r="O438" s="21" t="s">
        <v>2276</v>
      </c>
      <c r="P438" s="21" t="s">
        <v>2276</v>
      </c>
      <c r="Q438" s="102" t="s">
        <v>2276</v>
      </c>
      <c r="R438" s="102" t="s">
        <v>2276</v>
      </c>
      <c r="S438" s="21" t="s">
        <v>2276</v>
      </c>
      <c r="T438" s="21" t="s">
        <v>2276</v>
      </c>
      <c r="U438" s="21" t="s">
        <v>2276</v>
      </c>
      <c r="V438" s="21" t="s">
        <v>2276</v>
      </c>
      <c r="W438" s="21" t="s">
        <v>2404</v>
      </c>
      <c r="X438" s="3" t="s">
        <v>2276</v>
      </c>
      <c r="Y438" s="3" t="s">
        <v>2276</v>
      </c>
      <c r="Z438" s="3" t="s">
        <v>2276</v>
      </c>
      <c r="AA438" s="4" t="s">
        <v>1970</v>
      </c>
      <c r="AB438" s="4"/>
    </row>
    <row r="439" spans="1:28" ht="56" customHeight="1">
      <c r="A439" s="6" t="str">
        <f>'Reported burning'!A439</f>
        <v>29ap</v>
      </c>
      <c r="B439" s="6" t="str">
        <f>'Reported burning'!B439</f>
        <v>29ap.2</v>
      </c>
      <c r="C439" s="6" t="str">
        <f>'Reported burning'!C439</f>
        <v>Human, deliberate</v>
      </c>
      <c r="D439" s="6" t="str">
        <f>'Reported burning'!D439</f>
        <v>Crop field preparation</v>
      </c>
      <c r="E439" s="6" t="str">
        <f>'Reported burning'!E439</f>
        <v>Cropping, Swidden</v>
      </c>
      <c r="F439" s="6" t="str">
        <f>'Reported burning'!F439</f>
        <v>Secondary Vegetation</v>
      </c>
      <c r="G439" s="6" t="str">
        <f>'Reported burning'!G439</f>
        <v>ND</v>
      </c>
      <c r="H439" s="6" t="str">
        <f>'Reported burning'!H439</f>
        <v>Presence</v>
      </c>
      <c r="I439" s="3"/>
      <c r="J439" s="21" t="s">
        <v>2276</v>
      </c>
      <c r="K439" s="103" t="s">
        <v>2276</v>
      </c>
      <c r="L439" s="21" t="s">
        <v>2276</v>
      </c>
      <c r="M439" s="21" t="s">
        <v>2276</v>
      </c>
      <c r="N439" s="21" t="s">
        <v>2276</v>
      </c>
      <c r="O439" s="21" t="s">
        <v>2276</v>
      </c>
      <c r="P439" s="21" t="s">
        <v>2276</v>
      </c>
      <c r="Q439" s="102" t="s">
        <v>2276</v>
      </c>
      <c r="R439" s="102" t="s">
        <v>2276</v>
      </c>
      <c r="S439" s="21" t="s">
        <v>2276</v>
      </c>
      <c r="T439" s="21" t="s">
        <v>2276</v>
      </c>
      <c r="U439" s="21" t="s">
        <v>2276</v>
      </c>
      <c r="V439" s="21" t="s">
        <v>2276</v>
      </c>
      <c r="W439" s="21" t="s">
        <v>2404</v>
      </c>
      <c r="X439" s="3" t="s">
        <v>2276</v>
      </c>
      <c r="Y439" s="3" t="s">
        <v>2276</v>
      </c>
      <c r="Z439" s="3" t="s">
        <v>2276</v>
      </c>
      <c r="AA439" s="4" t="s">
        <v>1970</v>
      </c>
      <c r="AB439" s="4"/>
    </row>
    <row r="440" spans="1:28" ht="56" customHeight="1">
      <c r="A440" s="6" t="str">
        <f>'Reported burning'!A440</f>
        <v>29aq</v>
      </c>
      <c r="B440" s="6" t="str">
        <f>'Reported burning'!B440</f>
        <v>29aq.1</v>
      </c>
      <c r="C440" s="6" t="str">
        <f>'Reported burning'!C440</f>
        <v>Human, deliberate</v>
      </c>
      <c r="D440" s="6" t="str">
        <f>'Reported burning'!D440</f>
        <v>Crop field preparation</v>
      </c>
      <c r="E440" s="6" t="str">
        <f>'Reported burning'!E440</f>
        <v>Cropping, Swidden</v>
      </c>
      <c r="F440" s="6" t="str">
        <f>'Reported burning'!F440</f>
        <v>Secondary Vegetation</v>
      </c>
      <c r="G440" s="6" t="str">
        <f>'Reported burning'!G440</f>
        <v>ND</v>
      </c>
      <c r="H440" s="6" t="str">
        <f>'Reported burning'!H440</f>
        <v>Presence</v>
      </c>
      <c r="I440" s="3"/>
      <c r="J440" s="21" t="s">
        <v>2276</v>
      </c>
      <c r="K440" s="103" t="s">
        <v>2276</v>
      </c>
      <c r="L440" s="21" t="s">
        <v>2276</v>
      </c>
      <c r="M440" s="21" t="s">
        <v>2276</v>
      </c>
      <c r="N440" s="21" t="s">
        <v>2276</v>
      </c>
      <c r="O440" s="21" t="s">
        <v>2276</v>
      </c>
      <c r="P440" s="21" t="s">
        <v>2276</v>
      </c>
      <c r="Q440" s="102" t="s">
        <v>2276</v>
      </c>
      <c r="R440" s="102" t="s">
        <v>2276</v>
      </c>
      <c r="S440" s="21" t="s">
        <v>2276</v>
      </c>
      <c r="T440" s="21" t="s">
        <v>2276</v>
      </c>
      <c r="U440" s="21" t="s">
        <v>2276</v>
      </c>
      <c r="V440" s="21" t="s">
        <v>2276</v>
      </c>
      <c r="W440" s="21" t="s">
        <v>2403</v>
      </c>
      <c r="X440" s="3" t="s">
        <v>2276</v>
      </c>
      <c r="Y440" s="3" t="s">
        <v>2276</v>
      </c>
      <c r="Z440" s="3" t="s">
        <v>2276</v>
      </c>
      <c r="AA440" s="4" t="s">
        <v>1971</v>
      </c>
      <c r="AB440" s="4"/>
    </row>
    <row r="441" spans="1:28" ht="56" customHeight="1">
      <c r="A441" s="6" t="str">
        <f>'Reported burning'!A441</f>
        <v>29ar</v>
      </c>
      <c r="B441" s="6" t="str">
        <f>'Reported burning'!B441</f>
        <v>29ar.1</v>
      </c>
      <c r="C441" s="6" t="str">
        <f>'Reported burning'!C441</f>
        <v>Human, deliberate</v>
      </c>
      <c r="D441" s="6" t="str">
        <f>'Reported burning'!D441</f>
        <v>Crop field preparation</v>
      </c>
      <c r="E441" s="6" t="str">
        <f>'Reported burning'!E441</f>
        <v>Cropping, Swidden</v>
      </c>
      <c r="F441" s="6" t="str">
        <f>'Reported burning'!F441</f>
        <v>Secondary Vegetation</v>
      </c>
      <c r="G441" s="6" t="str">
        <f>'Reported burning'!G441</f>
        <v>ND</v>
      </c>
      <c r="H441" s="6" t="str">
        <f>'Reported burning'!H441</f>
        <v>Presence</v>
      </c>
      <c r="I441" s="3"/>
      <c r="J441" s="21" t="s">
        <v>2276</v>
      </c>
      <c r="K441" s="103" t="s">
        <v>2276</v>
      </c>
      <c r="L441" s="21" t="s">
        <v>2276</v>
      </c>
      <c r="M441" s="21" t="s">
        <v>2276</v>
      </c>
      <c r="N441" s="21" t="s">
        <v>2276</v>
      </c>
      <c r="O441" s="21" t="s">
        <v>2276</v>
      </c>
      <c r="P441" s="21" t="s">
        <v>2276</v>
      </c>
      <c r="Q441" s="102" t="s">
        <v>2276</v>
      </c>
      <c r="R441" s="102" t="s">
        <v>2276</v>
      </c>
      <c r="S441" s="21" t="s">
        <v>2276</v>
      </c>
      <c r="T441" s="21" t="s">
        <v>2276</v>
      </c>
      <c r="U441" s="21" t="s">
        <v>2276</v>
      </c>
      <c r="V441" s="21" t="s">
        <v>2276</v>
      </c>
      <c r="W441" s="21" t="s">
        <v>2403</v>
      </c>
      <c r="X441" s="3" t="s">
        <v>2276</v>
      </c>
      <c r="Y441" s="3" t="s">
        <v>2276</v>
      </c>
      <c r="Z441" s="3" t="s">
        <v>2276</v>
      </c>
      <c r="AA441" s="4" t="s">
        <v>1971</v>
      </c>
      <c r="AB441" s="4"/>
    </row>
    <row r="442" spans="1:28" ht="56" customHeight="1">
      <c r="A442" s="6" t="str">
        <f>'Reported burning'!A442</f>
        <v>29as</v>
      </c>
      <c r="B442" s="6" t="str">
        <f>'Reported burning'!B442</f>
        <v>29as.1</v>
      </c>
      <c r="C442" s="6" t="str">
        <f>'Reported burning'!C442</f>
        <v>Human, deliberate</v>
      </c>
      <c r="D442" s="6" t="str">
        <f>'Reported burning'!D442</f>
        <v>Crop field preparation</v>
      </c>
      <c r="E442" s="6" t="str">
        <f>'Reported burning'!E442</f>
        <v>Cropping, Monoculture, Subsistence-oriented</v>
      </c>
      <c r="F442" s="6" t="str">
        <f>'Reported burning'!F442</f>
        <v>Cropland</v>
      </c>
      <c r="G442" s="6" t="str">
        <f>'Reported burning'!G442</f>
        <v>ND</v>
      </c>
      <c r="H442" s="6" t="str">
        <f>'Reported burning'!H442</f>
        <v>Absence</v>
      </c>
      <c r="I442" s="3"/>
      <c r="J442" s="21" t="s">
        <v>2364</v>
      </c>
      <c r="K442" s="103" t="s">
        <v>2364</v>
      </c>
      <c r="L442" s="21" t="s">
        <v>2364</v>
      </c>
      <c r="M442" s="21" t="s">
        <v>2364</v>
      </c>
      <c r="N442" s="21" t="s">
        <v>2364</v>
      </c>
      <c r="O442" s="21" t="s">
        <v>2364</v>
      </c>
      <c r="P442" s="21" t="s">
        <v>2364</v>
      </c>
      <c r="Q442" s="102" t="s">
        <v>2276</v>
      </c>
      <c r="R442" s="102" t="s">
        <v>2276</v>
      </c>
      <c r="S442" s="21" t="s">
        <v>2364</v>
      </c>
      <c r="T442" s="21" t="s">
        <v>2364</v>
      </c>
      <c r="U442" s="21" t="s">
        <v>2364</v>
      </c>
      <c r="V442" s="21" t="s">
        <v>2364</v>
      </c>
      <c r="W442" s="21" t="s">
        <v>2276</v>
      </c>
      <c r="X442" s="3" t="s">
        <v>2276</v>
      </c>
      <c r="Y442" s="3" t="s">
        <v>2276</v>
      </c>
      <c r="Z442" s="3" t="s">
        <v>2276</v>
      </c>
      <c r="AA442" s="3" t="s">
        <v>1966</v>
      </c>
      <c r="AB442" s="4"/>
    </row>
    <row r="443" spans="1:28" ht="55" customHeight="1">
      <c r="A443" s="6" t="str">
        <f>'Reported burning'!A443</f>
        <v>30a</v>
      </c>
      <c r="B443" s="6" t="str">
        <f>'Reported burning'!B443</f>
        <v>30a.1</v>
      </c>
      <c r="C443" s="6" t="str">
        <f>'Reported burning'!C443</f>
        <v>Human, deliberate</v>
      </c>
      <c r="D443" s="6" t="str">
        <f>'Reported burning'!D443</f>
        <v>Crop field preparation</v>
      </c>
      <c r="E443" s="6" t="str">
        <f>'Reported burning'!E443</f>
        <v>Cropping, Swidden</v>
      </c>
      <c r="F443" s="6" t="str">
        <f>'Reported burning'!F443</f>
        <v>Secondary Vegetation</v>
      </c>
      <c r="G443" s="6" t="str">
        <f>'Reported burning'!G443</f>
        <v>ND</v>
      </c>
      <c r="H443" s="6" t="str">
        <f>'Reported burning'!H443</f>
        <v>Presence</v>
      </c>
      <c r="I443" s="3"/>
      <c r="J443" s="21" t="s">
        <v>2276</v>
      </c>
      <c r="K443" s="103" t="s">
        <v>2276</v>
      </c>
      <c r="L443" s="21" t="s">
        <v>2276</v>
      </c>
      <c r="M443" s="21" t="s">
        <v>2276</v>
      </c>
      <c r="N443" s="21" t="s">
        <v>2276</v>
      </c>
      <c r="O443" s="21" t="s">
        <v>2276</v>
      </c>
      <c r="P443" s="21" t="s">
        <v>2276</v>
      </c>
      <c r="Q443" s="102" t="s">
        <v>2276</v>
      </c>
      <c r="R443" s="102" t="s">
        <v>2276</v>
      </c>
      <c r="S443" s="21" t="s">
        <v>2276</v>
      </c>
      <c r="T443" s="21" t="s">
        <v>2276</v>
      </c>
      <c r="U443" s="21" t="s">
        <v>2276</v>
      </c>
      <c r="V443" s="21" t="s">
        <v>2276</v>
      </c>
      <c r="W443" s="21" t="s">
        <v>2401</v>
      </c>
      <c r="X443" s="3" t="s">
        <v>2276</v>
      </c>
      <c r="Y443" s="3" t="s">
        <v>2276</v>
      </c>
      <c r="Z443" s="3" t="s">
        <v>2276</v>
      </c>
      <c r="AA443" s="4" t="s">
        <v>2009</v>
      </c>
      <c r="AB443" s="4" t="s">
        <v>709</v>
      </c>
    </row>
    <row r="444" spans="1:28" ht="103" customHeight="1">
      <c r="A444" s="6" t="str">
        <f>'Reported burning'!A444</f>
        <v>30a</v>
      </c>
      <c r="B444" s="6" t="str">
        <f>'Reported burning'!B444</f>
        <v>30a.2</v>
      </c>
      <c r="C444" s="6" t="str">
        <f>'Reported burning'!C444</f>
        <v>Human, deliberate</v>
      </c>
      <c r="D444" s="6" t="str">
        <f>'Reported burning'!D444</f>
        <v>Forest clearance</v>
      </c>
      <c r="E444" s="6" t="str">
        <f>'Reported burning'!E444</f>
        <v>Cropping, Swidden</v>
      </c>
      <c r="F444" s="6" t="str">
        <f>'Reported burning'!F444</f>
        <v>Forest</v>
      </c>
      <c r="G444" s="6" t="str">
        <f>'Reported burning'!G444</f>
        <v>Forest</v>
      </c>
      <c r="H444" s="6" t="str">
        <f>'Reported burning'!H444</f>
        <v>Presence</v>
      </c>
      <c r="I444" s="3"/>
      <c r="J444" s="21" t="s">
        <v>2276</v>
      </c>
      <c r="K444" s="103" t="s">
        <v>2276</v>
      </c>
      <c r="L444" s="21" t="s">
        <v>2276</v>
      </c>
      <c r="M444" s="21" t="s">
        <v>2276</v>
      </c>
      <c r="N444" s="21" t="s">
        <v>2276</v>
      </c>
      <c r="O444" s="21" t="s">
        <v>2375</v>
      </c>
      <c r="P444" s="21" t="s">
        <v>2276</v>
      </c>
      <c r="Q444" s="102" t="s">
        <v>2276</v>
      </c>
      <c r="R444" s="102" t="s">
        <v>2276</v>
      </c>
      <c r="S444" s="21" t="s">
        <v>2276</v>
      </c>
      <c r="T444" s="21" t="s">
        <v>2276</v>
      </c>
      <c r="U444" s="21" t="s">
        <v>2276</v>
      </c>
      <c r="V444" s="21" t="s">
        <v>2276</v>
      </c>
      <c r="W444" s="21" t="s">
        <v>2276</v>
      </c>
      <c r="X444" s="3" t="s">
        <v>2276</v>
      </c>
      <c r="Y444" s="3" t="s">
        <v>2276</v>
      </c>
      <c r="Z444" s="3" t="s">
        <v>2276</v>
      </c>
      <c r="AA444" s="3"/>
      <c r="AB444" s="4" t="s">
        <v>2008</v>
      </c>
    </row>
    <row r="445" spans="1:28" ht="57" customHeight="1">
      <c r="A445" s="6" t="str">
        <f>'Reported burning'!A445</f>
        <v>30b</v>
      </c>
      <c r="B445" s="6" t="str">
        <f>'Reported burning'!B445</f>
        <v>30b.1</v>
      </c>
      <c r="C445" s="6" t="str">
        <f>'Reported burning'!C445</f>
        <v>Human, deliberate</v>
      </c>
      <c r="D445" s="6" t="str">
        <f>'Reported burning'!D445</f>
        <v>Crop field preparation</v>
      </c>
      <c r="E445" s="6" t="str">
        <f>'Reported burning'!E445</f>
        <v>Cropping, Swidden</v>
      </c>
      <c r="F445" s="6" t="str">
        <f>'Reported burning'!F445</f>
        <v>Secondary Vegetation</v>
      </c>
      <c r="G445" s="6" t="str">
        <f>'Reported burning'!G445</f>
        <v>ND</v>
      </c>
      <c r="H445" s="6" t="str">
        <f>'Reported burning'!H445</f>
        <v>Presence</v>
      </c>
      <c r="I445" s="3"/>
      <c r="J445" s="21" t="s">
        <v>2276</v>
      </c>
      <c r="K445" s="103" t="s">
        <v>2276</v>
      </c>
      <c r="L445" s="21" t="s">
        <v>2276</v>
      </c>
      <c r="M445" s="21" t="s">
        <v>2276</v>
      </c>
      <c r="N445" s="21" t="s">
        <v>2276</v>
      </c>
      <c r="O445" s="21" t="s">
        <v>2276</v>
      </c>
      <c r="P445" s="21" t="s">
        <v>2276</v>
      </c>
      <c r="Q445" s="102" t="s">
        <v>2276</v>
      </c>
      <c r="R445" s="102" t="s">
        <v>2276</v>
      </c>
      <c r="S445" s="21" t="s">
        <v>2276</v>
      </c>
      <c r="T445" s="21" t="s">
        <v>2276</v>
      </c>
      <c r="U445" s="21" t="s">
        <v>2276</v>
      </c>
      <c r="V445" s="21" t="s">
        <v>2276</v>
      </c>
      <c r="W445" s="21" t="s">
        <v>2402</v>
      </c>
      <c r="X445" s="3" t="s">
        <v>2276</v>
      </c>
      <c r="Y445" s="3" t="s">
        <v>2276</v>
      </c>
      <c r="Z445" s="3" t="s">
        <v>2276</v>
      </c>
      <c r="AA445" s="4" t="s">
        <v>2009</v>
      </c>
      <c r="AB445" s="4" t="s">
        <v>709</v>
      </c>
    </row>
    <row r="446" spans="1:28" ht="104.5" customHeight="1">
      <c r="A446" s="6" t="str">
        <f>'Reported burning'!A446</f>
        <v>30b</v>
      </c>
      <c r="B446" s="6" t="str">
        <f>'Reported burning'!B446</f>
        <v>30b.2</v>
      </c>
      <c r="C446" s="6" t="str">
        <f>'Reported burning'!C446</f>
        <v>Human, deliberate</v>
      </c>
      <c r="D446" s="6" t="str">
        <f>'Reported burning'!D446</f>
        <v>Forest clearance</v>
      </c>
      <c r="E446" s="6" t="str">
        <f>'Reported burning'!E446</f>
        <v>Cropping, Swidden</v>
      </c>
      <c r="F446" s="6" t="str">
        <f>'Reported burning'!F446</f>
        <v>Forest</v>
      </c>
      <c r="G446" s="6" t="str">
        <f>'Reported burning'!G446</f>
        <v>Forest</v>
      </c>
      <c r="H446" s="6" t="str">
        <f>'Reported burning'!H446</f>
        <v>Presence</v>
      </c>
      <c r="I446" s="3"/>
      <c r="J446" s="21" t="s">
        <v>2276</v>
      </c>
      <c r="K446" s="103" t="s">
        <v>2276</v>
      </c>
      <c r="L446" s="21" t="s">
        <v>2276</v>
      </c>
      <c r="M446" s="21" t="s">
        <v>2276</v>
      </c>
      <c r="N446" s="21" t="s">
        <v>2276</v>
      </c>
      <c r="O446" s="21" t="s">
        <v>2375</v>
      </c>
      <c r="P446" s="21" t="s">
        <v>2276</v>
      </c>
      <c r="Q446" s="102" t="s">
        <v>2276</v>
      </c>
      <c r="R446" s="102" t="s">
        <v>2276</v>
      </c>
      <c r="S446" s="21" t="s">
        <v>2276</v>
      </c>
      <c r="T446" s="21" t="s">
        <v>2276</v>
      </c>
      <c r="U446" s="21" t="s">
        <v>2276</v>
      </c>
      <c r="V446" s="21" t="s">
        <v>2276</v>
      </c>
      <c r="W446" s="21" t="s">
        <v>2276</v>
      </c>
      <c r="X446" s="3" t="s">
        <v>2276</v>
      </c>
      <c r="Y446" s="3" t="s">
        <v>2276</v>
      </c>
      <c r="Z446" s="3" t="s">
        <v>2276</v>
      </c>
      <c r="AA446" s="3"/>
      <c r="AB446" s="4" t="s">
        <v>2008</v>
      </c>
    </row>
    <row r="447" spans="1:28" ht="61" customHeight="1">
      <c r="A447" s="6" t="str">
        <f>'Reported burning'!A447</f>
        <v>30c</v>
      </c>
      <c r="B447" s="6" t="str">
        <f>'Reported burning'!B447</f>
        <v>30c.1</v>
      </c>
      <c r="C447" s="6" t="str">
        <f>'Reported burning'!C447</f>
        <v>Human, deliberate</v>
      </c>
      <c r="D447" s="6" t="str">
        <f>'Reported burning'!D447</f>
        <v>Crop field preparation</v>
      </c>
      <c r="E447" s="6" t="str">
        <f>'Reported burning'!E447</f>
        <v>Cropping, Swidden</v>
      </c>
      <c r="F447" s="6" t="str">
        <f>'Reported burning'!F447</f>
        <v>Secondary Vegetation</v>
      </c>
      <c r="G447" s="6" t="str">
        <f>'Reported burning'!G447</f>
        <v>ND</v>
      </c>
      <c r="H447" s="6" t="str">
        <f>'Reported burning'!H447</f>
        <v>Presence</v>
      </c>
      <c r="I447" s="3"/>
      <c r="J447" s="21" t="s">
        <v>2276</v>
      </c>
      <c r="K447" s="103" t="s">
        <v>2276</v>
      </c>
      <c r="L447" s="21" t="s">
        <v>2276</v>
      </c>
      <c r="M447" s="21" t="s">
        <v>2276</v>
      </c>
      <c r="N447" s="21" t="s">
        <v>2276</v>
      </c>
      <c r="O447" s="21" t="s">
        <v>2276</v>
      </c>
      <c r="P447" s="21" t="s">
        <v>2276</v>
      </c>
      <c r="Q447" s="102" t="s">
        <v>2276</v>
      </c>
      <c r="R447" s="102" t="s">
        <v>2276</v>
      </c>
      <c r="S447" s="21" t="s">
        <v>2276</v>
      </c>
      <c r="T447" s="21" t="s">
        <v>2276</v>
      </c>
      <c r="U447" s="21" t="s">
        <v>2276</v>
      </c>
      <c r="V447" s="21" t="s">
        <v>2276</v>
      </c>
      <c r="W447" s="21" t="s">
        <v>2402</v>
      </c>
      <c r="X447" s="3" t="s">
        <v>2276</v>
      </c>
      <c r="Y447" s="3" t="s">
        <v>2276</v>
      </c>
      <c r="Z447" s="3" t="s">
        <v>2276</v>
      </c>
      <c r="AA447" s="4" t="s">
        <v>2009</v>
      </c>
      <c r="AB447" s="4" t="s">
        <v>709</v>
      </c>
    </row>
    <row r="448" spans="1:28" ht="101.5" customHeight="1">
      <c r="A448" s="6" t="str">
        <f>'Reported burning'!A448</f>
        <v>30c</v>
      </c>
      <c r="B448" s="6" t="str">
        <f>'Reported burning'!B448</f>
        <v>30c.2</v>
      </c>
      <c r="C448" s="6" t="str">
        <f>'Reported burning'!C448</f>
        <v>Human, deliberate</v>
      </c>
      <c r="D448" s="6" t="str">
        <f>'Reported burning'!D448</f>
        <v>Forest clearance</v>
      </c>
      <c r="E448" s="6" t="str">
        <f>'Reported burning'!E448</f>
        <v>Cropping, Swidden</v>
      </c>
      <c r="F448" s="6" t="str">
        <f>'Reported burning'!F448</f>
        <v>Forest</v>
      </c>
      <c r="G448" s="6" t="str">
        <f>'Reported burning'!G448</f>
        <v>Forest</v>
      </c>
      <c r="H448" s="6" t="str">
        <f>'Reported burning'!H448</f>
        <v>Presence</v>
      </c>
      <c r="I448" s="3"/>
      <c r="J448" s="21" t="s">
        <v>2276</v>
      </c>
      <c r="K448" s="103" t="s">
        <v>2276</v>
      </c>
      <c r="L448" s="21" t="s">
        <v>2276</v>
      </c>
      <c r="M448" s="21" t="s">
        <v>2276</v>
      </c>
      <c r="N448" s="21" t="s">
        <v>2276</v>
      </c>
      <c r="O448" s="21" t="s">
        <v>2375</v>
      </c>
      <c r="P448" s="21" t="s">
        <v>2276</v>
      </c>
      <c r="Q448" s="102" t="s">
        <v>2276</v>
      </c>
      <c r="R448" s="102" t="s">
        <v>2276</v>
      </c>
      <c r="S448" s="21" t="s">
        <v>2276</v>
      </c>
      <c r="T448" s="21" t="s">
        <v>2276</v>
      </c>
      <c r="U448" s="21" t="s">
        <v>2276</v>
      </c>
      <c r="V448" s="21" t="s">
        <v>2276</v>
      </c>
      <c r="W448" s="21" t="s">
        <v>2276</v>
      </c>
      <c r="X448" s="3" t="s">
        <v>2276</v>
      </c>
      <c r="Y448" s="3" t="s">
        <v>2276</v>
      </c>
      <c r="Z448" s="3" t="s">
        <v>2276</v>
      </c>
      <c r="AA448" s="3"/>
      <c r="AB448" s="4" t="s">
        <v>2008</v>
      </c>
    </row>
    <row r="449" spans="1:28" ht="63.5" customHeight="1">
      <c r="A449" s="6" t="str">
        <f>'Reported burning'!A449</f>
        <v>30d</v>
      </c>
      <c r="B449" s="6" t="str">
        <f>'Reported burning'!B449</f>
        <v>30d.1</v>
      </c>
      <c r="C449" s="6" t="str">
        <f>'Reported burning'!C449</f>
        <v>Human, deliberate</v>
      </c>
      <c r="D449" s="6" t="str">
        <f>'Reported burning'!D449</f>
        <v>Crop field preparation</v>
      </c>
      <c r="E449" s="6" t="str">
        <f>'Reported burning'!E449</f>
        <v>Cropping, Swidden</v>
      </c>
      <c r="F449" s="6" t="str">
        <f>'Reported burning'!F449</f>
        <v>Secondary Vegetation</v>
      </c>
      <c r="G449" s="6" t="str">
        <f>'Reported burning'!G449</f>
        <v>ND</v>
      </c>
      <c r="H449" s="6" t="str">
        <f>'Reported burning'!H449</f>
        <v>Presence</v>
      </c>
      <c r="I449" s="3"/>
      <c r="J449" s="77" t="s">
        <v>2276</v>
      </c>
      <c r="K449" s="109" t="s">
        <v>2276</v>
      </c>
      <c r="L449" s="77" t="s">
        <v>2276</v>
      </c>
      <c r="M449" s="77" t="s">
        <v>2276</v>
      </c>
      <c r="N449" s="77" t="s">
        <v>2276</v>
      </c>
      <c r="O449" s="77" t="s">
        <v>2276</v>
      </c>
      <c r="P449" s="77" t="s">
        <v>2276</v>
      </c>
      <c r="Q449" s="102" t="s">
        <v>2276</v>
      </c>
      <c r="R449" s="102" t="s">
        <v>2276</v>
      </c>
      <c r="S449" s="77" t="s">
        <v>2276</v>
      </c>
      <c r="T449" s="77" t="s">
        <v>2276</v>
      </c>
      <c r="U449" s="77" t="s">
        <v>2276</v>
      </c>
      <c r="V449" s="77" t="s">
        <v>2276</v>
      </c>
      <c r="W449" s="77" t="s">
        <v>2402</v>
      </c>
      <c r="X449" s="22" t="s">
        <v>2276</v>
      </c>
      <c r="Y449" s="22" t="s">
        <v>2276</v>
      </c>
      <c r="Z449" s="22" t="s">
        <v>2276</v>
      </c>
      <c r="AA449" s="4" t="s">
        <v>2009</v>
      </c>
      <c r="AB449" s="4" t="s">
        <v>709</v>
      </c>
    </row>
    <row r="450" spans="1:28" ht="110" customHeight="1">
      <c r="A450" s="6" t="str">
        <f>'Reported burning'!A450</f>
        <v>30d</v>
      </c>
      <c r="B450" s="6" t="str">
        <f>'Reported burning'!B450</f>
        <v>30d.2</v>
      </c>
      <c r="C450" s="6" t="str">
        <f>'Reported burning'!C450</f>
        <v>Human, deliberate</v>
      </c>
      <c r="D450" s="6" t="str">
        <f>'Reported burning'!D450</f>
        <v>Forest clearance</v>
      </c>
      <c r="E450" s="6" t="str">
        <f>'Reported burning'!E450</f>
        <v>Cropping, Swidden</v>
      </c>
      <c r="F450" s="6" t="str">
        <f>'Reported burning'!F450</f>
        <v>Forest</v>
      </c>
      <c r="G450" s="6" t="str">
        <f>'Reported burning'!G450</f>
        <v>Forest</v>
      </c>
      <c r="H450" s="6" t="str">
        <f>'Reported burning'!H450</f>
        <v>Presence</v>
      </c>
      <c r="I450" s="3"/>
      <c r="J450" s="77" t="s">
        <v>2276</v>
      </c>
      <c r="K450" s="109" t="s">
        <v>2276</v>
      </c>
      <c r="L450" s="77" t="s">
        <v>2276</v>
      </c>
      <c r="M450" s="77" t="s">
        <v>2276</v>
      </c>
      <c r="N450" s="77" t="s">
        <v>2276</v>
      </c>
      <c r="O450" s="77" t="s">
        <v>2375</v>
      </c>
      <c r="P450" s="77" t="s">
        <v>2276</v>
      </c>
      <c r="Q450" s="102" t="s">
        <v>2276</v>
      </c>
      <c r="R450" s="102" t="s">
        <v>2276</v>
      </c>
      <c r="S450" s="77" t="s">
        <v>2276</v>
      </c>
      <c r="T450" s="77" t="s">
        <v>2276</v>
      </c>
      <c r="U450" s="77" t="s">
        <v>2276</v>
      </c>
      <c r="V450" s="77" t="s">
        <v>2276</v>
      </c>
      <c r="W450" s="77" t="s">
        <v>2276</v>
      </c>
      <c r="X450" s="22" t="s">
        <v>2276</v>
      </c>
      <c r="Y450" s="22" t="s">
        <v>2276</v>
      </c>
      <c r="Z450" s="22" t="s">
        <v>2276</v>
      </c>
      <c r="AA450" s="3"/>
      <c r="AB450" s="4" t="s">
        <v>2008</v>
      </c>
    </row>
    <row r="451" spans="1:28" ht="62" customHeight="1">
      <c r="A451" s="6" t="str">
        <f>'Reported burning'!A451</f>
        <v>30e</v>
      </c>
      <c r="B451" s="6" t="str">
        <f>'Reported burning'!B451</f>
        <v>30e.1</v>
      </c>
      <c r="C451" s="6" t="str">
        <f>'Reported burning'!C451</f>
        <v>Human, deliberate</v>
      </c>
      <c r="D451" s="6" t="str">
        <f>'Reported burning'!D451</f>
        <v>Crop field preparation</v>
      </c>
      <c r="E451" s="6" t="str">
        <f>'Reported burning'!E451</f>
        <v>Cropping, Swidden</v>
      </c>
      <c r="F451" s="6" t="str">
        <f>'Reported burning'!F451</f>
        <v>Secondary Vegetation</v>
      </c>
      <c r="G451" s="6" t="str">
        <f>'Reported burning'!G451</f>
        <v>ND</v>
      </c>
      <c r="H451" s="6" t="str">
        <f>'Reported burning'!H451</f>
        <v>Presence</v>
      </c>
      <c r="I451" s="3"/>
      <c r="J451" s="77" t="s">
        <v>2276</v>
      </c>
      <c r="K451" s="109" t="s">
        <v>2276</v>
      </c>
      <c r="L451" s="77" t="s">
        <v>2276</v>
      </c>
      <c r="M451" s="77" t="s">
        <v>2276</v>
      </c>
      <c r="N451" s="77" t="s">
        <v>2276</v>
      </c>
      <c r="O451" s="77" t="s">
        <v>2276</v>
      </c>
      <c r="P451" s="77" t="s">
        <v>2276</v>
      </c>
      <c r="Q451" s="102" t="s">
        <v>2276</v>
      </c>
      <c r="R451" s="102" t="s">
        <v>2276</v>
      </c>
      <c r="S451" s="77" t="s">
        <v>2276</v>
      </c>
      <c r="T451" s="77" t="s">
        <v>2276</v>
      </c>
      <c r="U451" s="77" t="s">
        <v>2276</v>
      </c>
      <c r="V451" s="77" t="s">
        <v>2276</v>
      </c>
      <c r="W451" s="77" t="s">
        <v>2402</v>
      </c>
      <c r="X451" s="22" t="s">
        <v>2276</v>
      </c>
      <c r="Y451" s="22" t="s">
        <v>2276</v>
      </c>
      <c r="Z451" s="22" t="s">
        <v>2276</v>
      </c>
      <c r="AA451" s="4" t="s">
        <v>2009</v>
      </c>
      <c r="AB451" s="4" t="s">
        <v>709</v>
      </c>
    </row>
    <row r="452" spans="1:28" ht="114" customHeight="1">
      <c r="A452" s="6" t="str">
        <f>'Reported burning'!A452</f>
        <v>30e</v>
      </c>
      <c r="B452" s="6" t="str">
        <f>'Reported burning'!B452</f>
        <v>30e.2</v>
      </c>
      <c r="C452" s="6" t="str">
        <f>'Reported burning'!C452</f>
        <v>Human, deliberate</v>
      </c>
      <c r="D452" s="6" t="str">
        <f>'Reported burning'!D452</f>
        <v>Forest clearance</v>
      </c>
      <c r="E452" s="6" t="str">
        <f>'Reported burning'!E452</f>
        <v>Cropping, Swidden</v>
      </c>
      <c r="F452" s="6" t="str">
        <f>'Reported burning'!F452</f>
        <v>Forest</v>
      </c>
      <c r="G452" s="6" t="str">
        <f>'Reported burning'!G452</f>
        <v>Forest</v>
      </c>
      <c r="H452" s="6" t="str">
        <f>'Reported burning'!H452</f>
        <v>Presence</v>
      </c>
      <c r="I452" s="3"/>
      <c r="J452" s="77" t="s">
        <v>2276</v>
      </c>
      <c r="K452" s="109" t="s">
        <v>2276</v>
      </c>
      <c r="L452" s="77" t="s">
        <v>2276</v>
      </c>
      <c r="M452" s="77" t="s">
        <v>2276</v>
      </c>
      <c r="N452" s="77" t="s">
        <v>2276</v>
      </c>
      <c r="O452" s="77" t="s">
        <v>2375</v>
      </c>
      <c r="P452" s="77" t="s">
        <v>2276</v>
      </c>
      <c r="Q452" s="102" t="s">
        <v>2276</v>
      </c>
      <c r="R452" s="102" t="s">
        <v>2276</v>
      </c>
      <c r="S452" s="77" t="s">
        <v>2276</v>
      </c>
      <c r="T452" s="77" t="s">
        <v>2276</v>
      </c>
      <c r="U452" s="77" t="s">
        <v>2276</v>
      </c>
      <c r="V452" s="77" t="s">
        <v>2276</v>
      </c>
      <c r="W452" s="77" t="s">
        <v>2276</v>
      </c>
      <c r="X452" s="22" t="s">
        <v>2276</v>
      </c>
      <c r="Y452" s="22" t="s">
        <v>2276</v>
      </c>
      <c r="Z452" s="22" t="s">
        <v>2276</v>
      </c>
      <c r="AA452" s="3"/>
      <c r="AB452" s="4" t="s">
        <v>2008</v>
      </c>
    </row>
    <row r="453" spans="1:28" ht="43" customHeight="1">
      <c r="A453" s="6" t="str">
        <f>'Reported burning'!A453</f>
        <v>31a</v>
      </c>
      <c r="B453" s="6" t="str">
        <f>'Reported burning'!B453</f>
        <v>31a.1</v>
      </c>
      <c r="C453" s="6" t="str">
        <f>'Reported burning'!C453</f>
        <v>Human, deliberate</v>
      </c>
      <c r="D453" s="6" t="str">
        <f>'Reported burning'!D453</f>
        <v>Forest clearance</v>
      </c>
      <c r="E453" s="6" t="str">
        <f>'Reported burning'!E453</f>
        <v>Cropping, Swidden</v>
      </c>
      <c r="F453" s="6" t="str">
        <f>'Reported burning'!F453</f>
        <v>Forest</v>
      </c>
      <c r="G453" s="6" t="str">
        <f>'Reported burning'!G453</f>
        <v>Forest</v>
      </c>
      <c r="H453" s="6" t="str">
        <f>'Reported burning'!H453</f>
        <v>Presence</v>
      </c>
      <c r="I453" s="22"/>
      <c r="J453" s="77" t="s">
        <v>2276</v>
      </c>
      <c r="K453" s="109" t="s">
        <v>2276</v>
      </c>
      <c r="L453" s="77" t="s">
        <v>2276</v>
      </c>
      <c r="M453" s="77" t="s">
        <v>2276</v>
      </c>
      <c r="N453" s="77" t="s">
        <v>2276</v>
      </c>
      <c r="O453" s="77" t="s">
        <v>2276</v>
      </c>
      <c r="P453" s="77" t="s">
        <v>2276</v>
      </c>
      <c r="Q453" s="102" t="s">
        <v>2276</v>
      </c>
      <c r="R453" s="102" t="s">
        <v>2276</v>
      </c>
      <c r="S453" s="77" t="s">
        <v>2276</v>
      </c>
      <c r="T453" s="77" t="s">
        <v>2276</v>
      </c>
      <c r="U453" s="77" t="s">
        <v>2276</v>
      </c>
      <c r="V453" s="77" t="s">
        <v>2276</v>
      </c>
      <c r="W453" s="77" t="s">
        <v>2276</v>
      </c>
      <c r="X453" s="22" t="s">
        <v>2276</v>
      </c>
      <c r="Y453" s="22" t="s">
        <v>2276</v>
      </c>
      <c r="Z453" s="22" t="s">
        <v>2276</v>
      </c>
      <c r="AA453" s="22"/>
      <c r="AB453" s="22"/>
    </row>
    <row r="454" spans="1:28" ht="116.5" customHeight="1">
      <c r="A454" s="6" t="str">
        <f>'Reported burning'!A454</f>
        <v>31a</v>
      </c>
      <c r="B454" s="6" t="str">
        <f>'Reported burning'!B454</f>
        <v>31a.2</v>
      </c>
      <c r="C454" s="6" t="str">
        <f>'Reported burning'!C454</f>
        <v>Human, deliberate</v>
      </c>
      <c r="D454" s="6" t="str">
        <f>'Reported burning'!D454</f>
        <v>Crop field preparation</v>
      </c>
      <c r="E454" s="6" t="str">
        <f>'Reported burning'!E454</f>
        <v>Cropping, Swidden</v>
      </c>
      <c r="F454" s="6" t="str">
        <f>'Reported burning'!F454</f>
        <v>Secondary Vegetation</v>
      </c>
      <c r="G454" s="6" t="str">
        <f>'Reported burning'!G454</f>
        <v>ND</v>
      </c>
      <c r="H454" s="6" t="str">
        <f>'Reported burning'!H454</f>
        <v>Presence</v>
      </c>
      <c r="I454" s="22"/>
      <c r="J454" s="77" t="s">
        <v>2276</v>
      </c>
      <c r="K454" s="109" t="s">
        <v>2276</v>
      </c>
      <c r="L454" s="77" t="s">
        <v>2276</v>
      </c>
      <c r="M454" s="77" t="s">
        <v>2276</v>
      </c>
      <c r="N454" s="77" t="s">
        <v>2276</v>
      </c>
      <c r="O454" s="77" t="s">
        <v>2276</v>
      </c>
      <c r="P454" s="77" t="s">
        <v>2276</v>
      </c>
      <c r="Q454" s="102" t="s">
        <v>2276</v>
      </c>
      <c r="R454" s="102" t="s">
        <v>2276</v>
      </c>
      <c r="S454" s="77" t="s">
        <v>2276</v>
      </c>
      <c r="T454" s="77" t="s">
        <v>2276</v>
      </c>
      <c r="U454" s="77" t="s">
        <v>2276</v>
      </c>
      <c r="V454" s="77" t="s">
        <v>2276</v>
      </c>
      <c r="W454" s="77" t="s">
        <v>2402</v>
      </c>
      <c r="X454" s="22" t="s">
        <v>2276</v>
      </c>
      <c r="Y454" s="22" t="s">
        <v>2276</v>
      </c>
      <c r="Z454" s="22" t="s">
        <v>2276</v>
      </c>
      <c r="AA454" s="22"/>
      <c r="AB454" s="22" t="s">
        <v>3218</v>
      </c>
    </row>
    <row r="455" spans="1:28" ht="77" customHeight="1">
      <c r="A455" s="6" t="str">
        <f>'Reported burning'!A455</f>
        <v>32a</v>
      </c>
      <c r="B455" s="6" t="str">
        <f>'Reported burning'!B455</f>
        <v>32a.1</v>
      </c>
      <c r="C455" s="6" t="str">
        <f>'Reported burning'!C455</f>
        <v>Human, deliberate</v>
      </c>
      <c r="D455" s="6" t="str">
        <f>'Reported burning'!D455</f>
        <v>Forest clearance</v>
      </c>
      <c r="E455" s="6" t="str">
        <f>'Reported burning'!E455</f>
        <v>Cattle, Extensive</v>
      </c>
      <c r="F455" s="6" t="str">
        <f>'Reported burning'!F455</f>
        <v>Forest</v>
      </c>
      <c r="G455" s="6" t="str">
        <f>'Reported burning'!G455</f>
        <v>Forest</v>
      </c>
      <c r="H455" s="6" t="str">
        <f>'Reported burning'!H455</f>
        <v>Presence</v>
      </c>
      <c r="I455" s="22"/>
      <c r="J455" s="77" t="s">
        <v>2276</v>
      </c>
      <c r="K455" s="109" t="s">
        <v>2276</v>
      </c>
      <c r="L455" s="77" t="s">
        <v>2276</v>
      </c>
      <c r="M455" s="77" t="s">
        <v>2276</v>
      </c>
      <c r="N455" s="77" t="s">
        <v>2276</v>
      </c>
      <c r="O455" s="77" t="s">
        <v>2276</v>
      </c>
      <c r="P455" s="77" t="s">
        <v>2276</v>
      </c>
      <c r="Q455" s="102" t="s">
        <v>2276</v>
      </c>
      <c r="R455" s="102" t="s">
        <v>2276</v>
      </c>
      <c r="S455" s="77" t="s">
        <v>2276</v>
      </c>
      <c r="T455" s="77" t="s">
        <v>2276</v>
      </c>
      <c r="U455" s="77" t="s">
        <v>2276</v>
      </c>
      <c r="V455" s="77" t="s">
        <v>2276</v>
      </c>
      <c r="W455" s="77" t="s">
        <v>2276</v>
      </c>
      <c r="X455" s="22" t="s">
        <v>2276</v>
      </c>
      <c r="Y455" s="22" t="s">
        <v>2276</v>
      </c>
      <c r="Z455" s="22" t="s">
        <v>2276</v>
      </c>
      <c r="AA455" s="24" t="s">
        <v>587</v>
      </c>
      <c r="AB455" s="22"/>
    </row>
    <row r="456" spans="1:28" ht="115.5" customHeight="1">
      <c r="A456" s="6" t="str">
        <f>'Reported burning'!A456</f>
        <v>32a</v>
      </c>
      <c r="B456" s="6" t="str">
        <f>'Reported burning'!B456</f>
        <v>32a.2</v>
      </c>
      <c r="C456" s="6" t="str">
        <f>'Reported burning'!C456</f>
        <v>Human, deliberate</v>
      </c>
      <c r="D456" s="6" t="str">
        <f>'Reported burning'!D456</f>
        <v>Crop field preparation</v>
      </c>
      <c r="E456" s="6" t="str">
        <f>'Reported burning'!E456</f>
        <v>Cropping, Swidden</v>
      </c>
      <c r="F456" s="6" t="str">
        <f>'Reported burning'!F456</f>
        <v>Secondary Vegetation</v>
      </c>
      <c r="G456" s="6" t="str">
        <f>'Reported burning'!G456</f>
        <v>ND</v>
      </c>
      <c r="H456" s="6" t="str">
        <f>'Reported burning'!H456</f>
        <v>Presence</v>
      </c>
      <c r="I456" s="8"/>
      <c r="J456" s="21" t="s">
        <v>2276</v>
      </c>
      <c r="K456" s="103" t="s">
        <v>2276</v>
      </c>
      <c r="L456" s="21" t="s">
        <v>2276</v>
      </c>
      <c r="M456" s="21" t="s">
        <v>2276</v>
      </c>
      <c r="N456" s="21" t="s">
        <v>2276</v>
      </c>
      <c r="O456" s="21" t="s">
        <v>2276</v>
      </c>
      <c r="P456" s="21" t="s">
        <v>2276</v>
      </c>
      <c r="Q456" s="102" t="s">
        <v>2276</v>
      </c>
      <c r="R456" s="102" t="s">
        <v>2276</v>
      </c>
      <c r="S456" s="21" t="s">
        <v>2276</v>
      </c>
      <c r="T456" s="21" t="s">
        <v>2276</v>
      </c>
      <c r="U456" s="21" t="s">
        <v>2276</v>
      </c>
      <c r="V456" s="21" t="s">
        <v>2276</v>
      </c>
      <c r="W456" s="103" t="s">
        <v>2276</v>
      </c>
      <c r="X456" s="8" t="s">
        <v>2276</v>
      </c>
      <c r="Y456" s="8" t="s">
        <v>2276</v>
      </c>
      <c r="Z456" s="8" t="s">
        <v>2276</v>
      </c>
      <c r="AA456" s="9"/>
      <c r="AB456" s="8"/>
    </row>
    <row r="457" spans="1:28" ht="62" customHeight="1">
      <c r="A457" s="6" t="str">
        <f>'Reported burning'!A457</f>
        <v>33a</v>
      </c>
      <c r="B457" s="6" t="str">
        <f>'Reported burning'!B457</f>
        <v>33a.1</v>
      </c>
      <c r="C457" s="6" t="str">
        <f>'Reported burning'!C457</f>
        <v>Human, deliberate</v>
      </c>
      <c r="D457" s="6" t="str">
        <f>'Reported burning'!D457</f>
        <v>Crop field preparation</v>
      </c>
      <c r="E457" s="6" t="str">
        <f>'Reported burning'!E457</f>
        <v>Cropping, Swidden</v>
      </c>
      <c r="F457" s="6" t="str">
        <f>'Reported burning'!F457</f>
        <v>Secondary Vegetation</v>
      </c>
      <c r="G457" s="6" t="str">
        <f>'Reported burning'!G457</f>
        <v>ND</v>
      </c>
      <c r="H457" s="6" t="str">
        <f>'Reported burning'!H457</f>
        <v>Presence</v>
      </c>
      <c r="I457" s="3"/>
      <c r="J457" s="21" t="s">
        <v>2276</v>
      </c>
      <c r="K457" s="103" t="s">
        <v>2276</v>
      </c>
      <c r="L457" s="21" t="s">
        <v>2276</v>
      </c>
      <c r="M457" s="21" t="s">
        <v>2276</v>
      </c>
      <c r="N457" s="21" t="s">
        <v>2276</v>
      </c>
      <c r="O457" s="21" t="s">
        <v>2276</v>
      </c>
      <c r="P457" s="21" t="s">
        <v>2276</v>
      </c>
      <c r="Q457" s="102" t="s">
        <v>2276</v>
      </c>
      <c r="R457" s="102" t="s">
        <v>2276</v>
      </c>
      <c r="S457" s="21" t="s">
        <v>2276</v>
      </c>
      <c r="T457" s="21" t="s">
        <v>2276</v>
      </c>
      <c r="U457" s="21" t="s">
        <v>2276</v>
      </c>
      <c r="V457" s="21" t="s">
        <v>2276</v>
      </c>
      <c r="W457" s="103" t="s">
        <v>2404</v>
      </c>
      <c r="X457" s="3" t="s">
        <v>640</v>
      </c>
      <c r="Y457" s="3" t="s">
        <v>189</v>
      </c>
      <c r="Z457" s="3" t="s">
        <v>641</v>
      </c>
      <c r="AA457" s="4" t="s">
        <v>2011</v>
      </c>
      <c r="AB457" s="3"/>
    </row>
    <row r="458" spans="1:28" ht="39.5" customHeight="1">
      <c r="A458" s="6" t="str">
        <f>'Reported burning'!A458</f>
        <v>33a</v>
      </c>
      <c r="B458" s="6" t="str">
        <f>'Reported burning'!B458</f>
        <v>33a.2</v>
      </c>
      <c r="C458" s="6" t="str">
        <f>'Reported burning'!C458</f>
        <v>Human, deliberate</v>
      </c>
      <c r="D458" s="6" t="str">
        <f>'Reported burning'!D458</f>
        <v>Crop field preparation</v>
      </c>
      <c r="E458" s="6" t="str">
        <f>'Reported burning'!E458</f>
        <v>Cropping, Monoculture, Subsistence-oriented</v>
      </c>
      <c r="F458" s="6" t="str">
        <f>'Reported burning'!F458</f>
        <v>Cropland</v>
      </c>
      <c r="G458" s="6" t="str">
        <f>'Reported burning'!G458</f>
        <v>ND</v>
      </c>
      <c r="H458" s="6" t="str">
        <f>'Reported burning'!H458</f>
        <v>Absence</v>
      </c>
      <c r="I458" s="3"/>
      <c r="J458" s="21" t="s">
        <v>2364</v>
      </c>
      <c r="K458" s="103" t="s">
        <v>2364</v>
      </c>
      <c r="L458" s="21" t="s">
        <v>2364</v>
      </c>
      <c r="M458" s="21" t="s">
        <v>2364</v>
      </c>
      <c r="N458" s="21" t="s">
        <v>2364</v>
      </c>
      <c r="O458" s="21" t="s">
        <v>2364</v>
      </c>
      <c r="P458" s="21" t="s">
        <v>2364</v>
      </c>
      <c r="Q458" s="102" t="s">
        <v>2276</v>
      </c>
      <c r="R458" s="102" t="s">
        <v>2276</v>
      </c>
      <c r="S458" s="21" t="s">
        <v>2364</v>
      </c>
      <c r="T458" s="21" t="s">
        <v>2364</v>
      </c>
      <c r="U458" s="21" t="s">
        <v>2364</v>
      </c>
      <c r="V458" s="21" t="s">
        <v>2364</v>
      </c>
      <c r="W458" s="21" t="s">
        <v>2276</v>
      </c>
      <c r="X458" s="3" t="s">
        <v>2276</v>
      </c>
      <c r="Y458" s="3" t="s">
        <v>2276</v>
      </c>
      <c r="Z458" s="3" t="s">
        <v>2276</v>
      </c>
      <c r="AA458" s="4" t="s">
        <v>637</v>
      </c>
      <c r="AB458" s="3"/>
    </row>
    <row r="459" spans="1:28" ht="72.5" customHeight="1">
      <c r="A459" s="6" t="str">
        <f>'Reported burning'!A459</f>
        <v>33a</v>
      </c>
      <c r="B459" s="6" t="str">
        <f>'Reported burning'!B459</f>
        <v>33a.3</v>
      </c>
      <c r="C459" s="6" t="str">
        <f>'Reported burning'!C459</f>
        <v>Human, deliberate</v>
      </c>
      <c r="D459" s="6" t="str">
        <f>'Reported burning'!D459</f>
        <v>Pest management</v>
      </c>
      <c r="E459" s="6" t="str">
        <f>'Reported burning'!E459</f>
        <v>Cropping, Monoculture, Subsistence-oriented</v>
      </c>
      <c r="F459" s="6" t="str">
        <f>'Reported burning'!F459</f>
        <v>Cropland</v>
      </c>
      <c r="G459" s="6" t="str">
        <f>'Reported burning'!G459</f>
        <v>ND</v>
      </c>
      <c r="H459" s="6" t="str">
        <f>'Reported burning'!H459</f>
        <v>Presence</v>
      </c>
      <c r="I459" s="3"/>
      <c r="J459" s="21" t="s">
        <v>2276</v>
      </c>
      <c r="K459" s="103" t="s">
        <v>2276</v>
      </c>
      <c r="L459" s="21" t="s">
        <v>2276</v>
      </c>
      <c r="M459" s="21" t="s">
        <v>2276</v>
      </c>
      <c r="N459" s="21" t="s">
        <v>2276</v>
      </c>
      <c r="O459" s="21" t="s">
        <v>2276</v>
      </c>
      <c r="P459" s="21" t="s">
        <v>2276</v>
      </c>
      <c r="Q459" s="102" t="s">
        <v>2276</v>
      </c>
      <c r="R459" s="102" t="s">
        <v>2276</v>
      </c>
      <c r="S459" s="21" t="s">
        <v>2276</v>
      </c>
      <c r="T459" s="21" t="s">
        <v>2276</v>
      </c>
      <c r="U459" s="21" t="s">
        <v>2276</v>
      </c>
      <c r="V459" s="21" t="s">
        <v>2276</v>
      </c>
      <c r="W459" s="21" t="s">
        <v>2276</v>
      </c>
      <c r="X459" s="3" t="s">
        <v>640</v>
      </c>
      <c r="Y459" s="3" t="s">
        <v>189</v>
      </c>
      <c r="Z459" s="3" t="s">
        <v>76</v>
      </c>
      <c r="AA459" s="4" t="s">
        <v>2012</v>
      </c>
      <c r="AB459" s="3"/>
    </row>
    <row r="460" spans="1:28" ht="89.5" customHeight="1">
      <c r="A460" s="6" t="str">
        <f>'Reported burning'!A460</f>
        <v>34a</v>
      </c>
      <c r="B460" s="6" t="str">
        <f>'Reported burning'!B460</f>
        <v>34a.1</v>
      </c>
      <c r="C460" s="6" t="str">
        <f>'Reported burning'!C460</f>
        <v>Human, deliberate</v>
      </c>
      <c r="D460" s="6" t="str">
        <f>'Reported burning'!D460</f>
        <v>Crop field preparation</v>
      </c>
      <c r="E460" s="6" t="str">
        <f>'Reported burning'!E460</f>
        <v>Cropping, Swidden</v>
      </c>
      <c r="F460" s="6" t="str">
        <f>'Reported burning'!F460</f>
        <v>Secondary Vegetation</v>
      </c>
      <c r="G460" s="6" t="str">
        <f>'Reported burning'!G460</f>
        <v>ND</v>
      </c>
      <c r="H460" s="6" t="str">
        <f>'Reported burning'!H460</f>
        <v>Presence</v>
      </c>
      <c r="I460" s="3"/>
      <c r="J460" s="21" t="s">
        <v>2276</v>
      </c>
      <c r="K460" s="103" t="s">
        <v>2276</v>
      </c>
      <c r="L460" s="21" t="s">
        <v>2276</v>
      </c>
      <c r="M460" s="21" t="s">
        <v>2276</v>
      </c>
      <c r="N460" s="21" t="s">
        <v>2276</v>
      </c>
      <c r="O460" s="21" t="s">
        <v>2276</v>
      </c>
      <c r="P460" s="21" t="s">
        <v>2276</v>
      </c>
      <c r="Q460" s="102" t="s">
        <v>2276</v>
      </c>
      <c r="R460" s="102" t="s">
        <v>2276</v>
      </c>
      <c r="S460" s="21" t="s">
        <v>2276</v>
      </c>
      <c r="T460" s="21" t="s">
        <v>2276</v>
      </c>
      <c r="U460" s="21" t="s">
        <v>2276</v>
      </c>
      <c r="V460" s="21" t="s">
        <v>2276</v>
      </c>
      <c r="W460" s="21" t="s">
        <v>2276</v>
      </c>
      <c r="X460" s="3" t="s">
        <v>405</v>
      </c>
      <c r="Y460" s="3" t="s">
        <v>405</v>
      </c>
      <c r="Z460" s="3" t="s">
        <v>76</v>
      </c>
      <c r="AA460" s="4" t="s">
        <v>647</v>
      </c>
      <c r="AB460" s="3"/>
    </row>
    <row r="461" spans="1:28" ht="92.5" customHeight="1">
      <c r="A461" s="6" t="str">
        <f>'Reported burning'!A461</f>
        <v>34a</v>
      </c>
      <c r="B461" s="6" t="str">
        <f>'Reported burning'!B461</f>
        <v>34a.2</v>
      </c>
      <c r="C461" s="6" t="str">
        <f>'Reported burning'!C461</f>
        <v>Human, deliberate</v>
      </c>
      <c r="D461" s="6" t="str">
        <f>'Reported burning'!D461</f>
        <v>Crop field preparation</v>
      </c>
      <c r="E461" s="6" t="str">
        <f>'Reported burning'!E461</f>
        <v>Cropping, Swidden</v>
      </c>
      <c r="F461" s="6" t="str">
        <f>'Reported burning'!F461</f>
        <v>Forest</v>
      </c>
      <c r="G461" s="6" t="str">
        <f>'Reported burning'!G461</f>
        <v>ND</v>
      </c>
      <c r="H461" s="6" t="str">
        <f>'Reported burning'!H461</f>
        <v>Presence</v>
      </c>
      <c r="I461" s="3"/>
      <c r="J461" s="82" t="s">
        <v>2276</v>
      </c>
      <c r="K461" s="112" t="s">
        <v>2276</v>
      </c>
      <c r="L461" s="82" t="s">
        <v>2276</v>
      </c>
      <c r="M461" s="82" t="s">
        <v>2276</v>
      </c>
      <c r="N461" s="82" t="s">
        <v>2276</v>
      </c>
      <c r="O461" s="82" t="s">
        <v>2276</v>
      </c>
      <c r="P461" s="82" t="s">
        <v>2276</v>
      </c>
      <c r="Q461" s="102" t="s">
        <v>2276</v>
      </c>
      <c r="R461" s="102" t="s">
        <v>2276</v>
      </c>
      <c r="S461" s="82" t="s">
        <v>2276</v>
      </c>
      <c r="T461" s="82" t="s">
        <v>2276</v>
      </c>
      <c r="U461" s="82" t="s">
        <v>2276</v>
      </c>
      <c r="V461" s="82" t="s">
        <v>2276</v>
      </c>
      <c r="W461" s="82" t="s">
        <v>2276</v>
      </c>
      <c r="X461" s="3" t="s">
        <v>405</v>
      </c>
      <c r="Y461" s="3" t="s">
        <v>405</v>
      </c>
      <c r="Z461" s="3" t="s">
        <v>76</v>
      </c>
      <c r="AA461" s="4" t="s">
        <v>647</v>
      </c>
      <c r="AB461" s="3"/>
    </row>
    <row r="462" spans="1:28" ht="55" customHeight="1">
      <c r="A462" s="6" t="str">
        <f>'Reported burning'!A462</f>
        <v>35a</v>
      </c>
      <c r="B462" s="6" t="str">
        <f>'Reported burning'!B462</f>
        <v>35a.1</v>
      </c>
      <c r="C462" s="6" t="str">
        <f>'Reported burning'!C462</f>
        <v>Human, deliberate</v>
      </c>
      <c r="D462" s="6" t="str">
        <f>'Reported burning'!D462</f>
        <v>Crop field preparation</v>
      </c>
      <c r="E462" s="6" t="str">
        <f>'Reported burning'!E462</f>
        <v>Cropping, Swidden</v>
      </c>
      <c r="F462" s="6" t="str">
        <f>'Reported burning'!F462</f>
        <v>Secondary Vegetation</v>
      </c>
      <c r="G462" s="6" t="str">
        <f>'Reported burning'!G462</f>
        <v>ND</v>
      </c>
      <c r="H462" s="6" t="str">
        <f>'Reported burning'!H462</f>
        <v>Presence</v>
      </c>
      <c r="I462" s="3"/>
      <c r="J462" s="21" t="s">
        <v>2276</v>
      </c>
      <c r="K462" s="103" t="s">
        <v>2276</v>
      </c>
      <c r="L462" s="21" t="s">
        <v>2276</v>
      </c>
      <c r="M462" s="21" t="s">
        <v>2276</v>
      </c>
      <c r="N462" s="21" t="s">
        <v>2276</v>
      </c>
      <c r="O462" s="21" t="s">
        <v>2276</v>
      </c>
      <c r="P462" s="21" t="s">
        <v>2276</v>
      </c>
      <c r="Q462" s="102" t="s">
        <v>2276</v>
      </c>
      <c r="R462" s="102" t="s">
        <v>2276</v>
      </c>
      <c r="S462" s="21" t="s">
        <v>2276</v>
      </c>
      <c r="T462" s="21" t="s">
        <v>2276</v>
      </c>
      <c r="U462" s="21" t="s">
        <v>2276</v>
      </c>
      <c r="V462" s="21" t="s">
        <v>2276</v>
      </c>
      <c r="W462" s="21" t="s">
        <v>2404</v>
      </c>
      <c r="X462" s="3" t="s">
        <v>405</v>
      </c>
      <c r="Y462" s="3" t="s">
        <v>405</v>
      </c>
      <c r="Z462" s="3" t="s">
        <v>76</v>
      </c>
      <c r="AA462" s="4" t="s">
        <v>2015</v>
      </c>
      <c r="AB462" s="4" t="s">
        <v>2014</v>
      </c>
    </row>
    <row r="463" spans="1:28" ht="52" customHeight="1">
      <c r="A463" s="6" t="str">
        <f>'Reported burning'!A463</f>
        <v>35a</v>
      </c>
      <c r="B463" s="6" t="str">
        <f>'Reported burning'!B463</f>
        <v>35a.2</v>
      </c>
      <c r="C463" s="6" t="str">
        <f>'Reported burning'!C463</f>
        <v>Human, deliberate</v>
      </c>
      <c r="D463" s="6" t="str">
        <f>'Reported burning'!D463</f>
        <v>Crop field preparation</v>
      </c>
      <c r="E463" s="6" t="str">
        <f>'Reported burning'!E463</f>
        <v>Cropping, Swidden</v>
      </c>
      <c r="F463" s="6" t="str">
        <f>'Reported burning'!F463</f>
        <v>Forest</v>
      </c>
      <c r="G463" s="6" t="str">
        <f>'Reported burning'!G463</f>
        <v>ND</v>
      </c>
      <c r="H463" s="6" t="str">
        <f>'Reported burning'!H463</f>
        <v>Presence</v>
      </c>
      <c r="I463" s="3"/>
      <c r="J463" s="21" t="s">
        <v>2276</v>
      </c>
      <c r="K463" s="103" t="s">
        <v>2276</v>
      </c>
      <c r="L463" s="21" t="s">
        <v>2276</v>
      </c>
      <c r="M463" s="21" t="s">
        <v>2276</v>
      </c>
      <c r="N463" s="21" t="s">
        <v>2276</v>
      </c>
      <c r="O463" s="21" t="s">
        <v>2276</v>
      </c>
      <c r="P463" s="21" t="s">
        <v>2276</v>
      </c>
      <c r="Q463" s="102" t="s">
        <v>2276</v>
      </c>
      <c r="R463" s="102" t="s">
        <v>2276</v>
      </c>
      <c r="S463" s="21" t="s">
        <v>2276</v>
      </c>
      <c r="T463" s="21" t="s">
        <v>2276</v>
      </c>
      <c r="U463" s="21" t="s">
        <v>2276</v>
      </c>
      <c r="V463" s="21" t="s">
        <v>2276</v>
      </c>
      <c r="W463" s="21" t="s">
        <v>2276</v>
      </c>
      <c r="X463" s="3" t="s">
        <v>405</v>
      </c>
      <c r="Y463" s="3" t="s">
        <v>405</v>
      </c>
      <c r="Z463" s="3" t="s">
        <v>76</v>
      </c>
      <c r="AA463" s="4" t="s">
        <v>2016</v>
      </c>
      <c r="AB463" s="3"/>
    </row>
    <row r="464" spans="1:28" ht="48" customHeight="1">
      <c r="A464" s="6" t="str">
        <f>'Reported burning'!A464</f>
        <v>36a</v>
      </c>
      <c r="B464" s="6" t="str">
        <f>'Reported burning'!B464</f>
        <v>36a.1</v>
      </c>
      <c r="C464" s="6" t="str">
        <f>'Reported burning'!C464</f>
        <v>Human, deliberate</v>
      </c>
      <c r="D464" s="6" t="str">
        <f>'Reported burning'!D464</f>
        <v>Crop field preparation</v>
      </c>
      <c r="E464" s="6" t="str">
        <f>'Reported burning'!E464</f>
        <v>Cropping, Swidden</v>
      </c>
      <c r="F464" s="6" t="str">
        <f>'Reported burning'!F464</f>
        <v>Secondary Vegetation</v>
      </c>
      <c r="G464" s="6" t="str">
        <f>'Reported burning'!G464</f>
        <v>ND</v>
      </c>
      <c r="H464" s="6" t="str">
        <f>'Reported burning'!H464</f>
        <v>Presence</v>
      </c>
      <c r="I464" s="3"/>
      <c r="J464" s="21" t="s">
        <v>2276</v>
      </c>
      <c r="K464" s="103" t="s">
        <v>2276</v>
      </c>
      <c r="L464" s="21" t="s">
        <v>2276</v>
      </c>
      <c r="M464" s="21" t="s">
        <v>2373</v>
      </c>
      <c r="N464" s="21" t="s">
        <v>2276</v>
      </c>
      <c r="O464" s="21" t="s">
        <v>2362</v>
      </c>
      <c r="P464" s="21" t="s">
        <v>2276</v>
      </c>
      <c r="Q464" s="102" t="s">
        <v>2276</v>
      </c>
      <c r="R464" s="102" t="s">
        <v>2276</v>
      </c>
      <c r="S464" s="21" t="s">
        <v>2276</v>
      </c>
      <c r="T464" s="21" t="s">
        <v>2276</v>
      </c>
      <c r="U464" s="21" t="s">
        <v>2276</v>
      </c>
      <c r="V464" s="21" t="s">
        <v>2276</v>
      </c>
      <c r="W464" s="21" t="s">
        <v>2402</v>
      </c>
      <c r="X464" s="3" t="s">
        <v>2276</v>
      </c>
      <c r="Y464" s="3" t="s">
        <v>2276</v>
      </c>
      <c r="Z464" s="3" t="s">
        <v>2276</v>
      </c>
      <c r="AA464" s="3"/>
      <c r="AB464" s="4" t="s">
        <v>2018</v>
      </c>
    </row>
    <row r="465" spans="1:28" ht="48.5" customHeight="1">
      <c r="A465" s="6" t="str">
        <f>'Reported burning'!A465</f>
        <v>37a</v>
      </c>
      <c r="B465" s="6" t="str">
        <f>'Reported burning'!B465</f>
        <v>37a.1</v>
      </c>
      <c r="C465" s="6" t="str">
        <f>'Reported burning'!C465</f>
        <v>Human, deliberate</v>
      </c>
      <c r="D465" s="6" t="str">
        <f>'Reported burning'!D465</f>
        <v>Crop field preparation</v>
      </c>
      <c r="E465" s="6" t="str">
        <f>'Reported burning'!E465</f>
        <v>Cropping, Swidden</v>
      </c>
      <c r="F465" s="6" t="str">
        <f>'Reported burning'!F465</f>
        <v>Secondary Vegetation</v>
      </c>
      <c r="G465" s="6" t="str">
        <f>'Reported burning'!G465</f>
        <v>ND</v>
      </c>
      <c r="H465" s="6" t="str">
        <f>'Reported burning'!H465</f>
        <v>Presence</v>
      </c>
      <c r="I465" s="19"/>
      <c r="J465" s="21" t="s">
        <v>2276</v>
      </c>
      <c r="K465" s="103" t="s">
        <v>2276</v>
      </c>
      <c r="L465" s="21" t="s">
        <v>2276</v>
      </c>
      <c r="M465" s="21" t="s">
        <v>2276</v>
      </c>
      <c r="N465" s="21" t="s">
        <v>2276</v>
      </c>
      <c r="O465" s="21" t="s">
        <v>2362</v>
      </c>
      <c r="P465" s="21" t="s">
        <v>2276</v>
      </c>
      <c r="Q465" s="102" t="s">
        <v>2276</v>
      </c>
      <c r="R465" s="102" t="s">
        <v>2276</v>
      </c>
      <c r="S465" s="21" t="s">
        <v>2276</v>
      </c>
      <c r="T465" s="21" t="s">
        <v>2276</v>
      </c>
      <c r="U465" s="21" t="s">
        <v>2276</v>
      </c>
      <c r="V465" s="21" t="s">
        <v>2276</v>
      </c>
      <c r="W465" s="21" t="s">
        <v>2276</v>
      </c>
      <c r="X465" s="19" t="s">
        <v>188</v>
      </c>
      <c r="Y465" s="19" t="s">
        <v>189</v>
      </c>
      <c r="Z465" s="3" t="s">
        <v>64</v>
      </c>
      <c r="AA465" s="19" t="s">
        <v>666</v>
      </c>
      <c r="AB465" s="19" t="s">
        <v>2046</v>
      </c>
    </row>
    <row r="466" spans="1:28" ht="80.5" customHeight="1">
      <c r="A466" s="6" t="str">
        <f>'Reported burning'!A466</f>
        <v>37a</v>
      </c>
      <c r="B466" s="6" t="str">
        <f>'Reported burning'!B466</f>
        <v>37a.2</v>
      </c>
      <c r="C466" s="6" t="str">
        <f>'Reported burning'!C466</f>
        <v>Human, deliberate</v>
      </c>
      <c r="D466" s="6" t="str">
        <f>'Reported burning'!D466</f>
        <v>Forest clearance</v>
      </c>
      <c r="E466" s="6" t="str">
        <f>'Reported burning'!E466</f>
        <v>Cropping, Swidden</v>
      </c>
      <c r="F466" s="6" t="str">
        <f>'Reported burning'!F466</f>
        <v>Forest</v>
      </c>
      <c r="G466" s="6" t="str">
        <f>'Reported burning'!G466</f>
        <v>ND</v>
      </c>
      <c r="H466" s="6" t="str">
        <f>'Reported burning'!H466</f>
        <v>Absence</v>
      </c>
      <c r="I466" s="3"/>
      <c r="J466" s="21" t="s">
        <v>2364</v>
      </c>
      <c r="K466" s="103" t="s">
        <v>2364</v>
      </c>
      <c r="L466" s="21" t="s">
        <v>2364</v>
      </c>
      <c r="M466" s="21" t="s">
        <v>2364</v>
      </c>
      <c r="N466" s="21" t="s">
        <v>2364</v>
      </c>
      <c r="O466" s="21" t="s">
        <v>2364</v>
      </c>
      <c r="P466" s="21" t="s">
        <v>2364</v>
      </c>
      <c r="Q466" s="102" t="s">
        <v>2276</v>
      </c>
      <c r="R466" s="102" t="s">
        <v>2276</v>
      </c>
      <c r="S466" s="21" t="s">
        <v>2364</v>
      </c>
      <c r="T466" s="21" t="s">
        <v>2364</v>
      </c>
      <c r="U466" s="21" t="s">
        <v>2364</v>
      </c>
      <c r="V466" s="21" t="s">
        <v>2364</v>
      </c>
      <c r="W466" s="21" t="s">
        <v>2276</v>
      </c>
      <c r="X466" s="3" t="s">
        <v>2276</v>
      </c>
      <c r="Y466" s="3" t="s">
        <v>2276</v>
      </c>
      <c r="Z466" s="3" t="s">
        <v>2276</v>
      </c>
      <c r="AA466" s="4" t="s">
        <v>2021</v>
      </c>
      <c r="AB466" s="3"/>
    </row>
    <row r="467" spans="1:28" ht="80.5" customHeight="1">
      <c r="A467" s="6" t="str">
        <f>'Reported burning'!A467</f>
        <v>37a</v>
      </c>
      <c r="B467" s="6" t="str">
        <f>'Reported burning'!B467</f>
        <v>37a.3</v>
      </c>
      <c r="C467" s="6" t="str">
        <f>'Reported burning'!C467</f>
        <v>Human, deliberate</v>
      </c>
      <c r="D467" s="6" t="str">
        <f>'Reported burning'!D467</f>
        <v>Forest clearance</v>
      </c>
      <c r="E467" s="6" t="str">
        <f>'Reported burning'!E467</f>
        <v>Cropping, Monoculture, Market-oriented</v>
      </c>
      <c r="F467" s="6" t="str">
        <f>'Reported burning'!F467</f>
        <v>Forest</v>
      </c>
      <c r="G467" s="6" t="str">
        <f>'Reported burning'!G467</f>
        <v>ND</v>
      </c>
      <c r="H467" s="6" t="str">
        <f>'Reported burning'!H467</f>
        <v>Presence</v>
      </c>
      <c r="I467" s="3"/>
      <c r="J467" s="21" t="s">
        <v>2276</v>
      </c>
      <c r="K467" s="103" t="s">
        <v>2276</v>
      </c>
      <c r="L467" s="21" t="s">
        <v>2276</v>
      </c>
      <c r="M467" s="21" t="s">
        <v>2276</v>
      </c>
      <c r="N467" s="21" t="s">
        <v>2276</v>
      </c>
      <c r="O467" s="21" t="s">
        <v>2362</v>
      </c>
      <c r="P467" s="21" t="s">
        <v>2276</v>
      </c>
      <c r="Q467" s="102" t="s">
        <v>2276</v>
      </c>
      <c r="R467" s="102" t="s">
        <v>2276</v>
      </c>
      <c r="S467" s="21" t="s">
        <v>2276</v>
      </c>
      <c r="T467" s="21" t="s">
        <v>2276</v>
      </c>
      <c r="U467" s="21" t="s">
        <v>2276</v>
      </c>
      <c r="V467" s="21" t="s">
        <v>2276</v>
      </c>
      <c r="W467" s="21" t="s">
        <v>2276</v>
      </c>
      <c r="X467" s="19" t="s">
        <v>188</v>
      </c>
      <c r="Y467" s="19" t="s">
        <v>38</v>
      </c>
      <c r="Z467" s="3" t="s">
        <v>2276</v>
      </c>
      <c r="AA467" s="4" t="s">
        <v>2023</v>
      </c>
      <c r="AB467" s="19" t="s">
        <v>2046</v>
      </c>
    </row>
    <row r="468" spans="1:28" ht="51" customHeight="1">
      <c r="A468" s="6" t="str">
        <f>'Reported burning'!A468</f>
        <v>38a</v>
      </c>
      <c r="B468" s="6" t="str">
        <f>'Reported burning'!B468</f>
        <v>38a.1</v>
      </c>
      <c r="C468" s="6" t="str">
        <f>'Reported burning'!C468</f>
        <v>Human, deliberate</v>
      </c>
      <c r="D468" s="6" t="str">
        <f>'Reported burning'!D468</f>
        <v>Crop field preparation</v>
      </c>
      <c r="E468" s="6" t="str">
        <f>'Reported burning'!E468</f>
        <v>Cropping, Swidden</v>
      </c>
      <c r="F468" s="6" t="str">
        <f>'Reported burning'!F468</f>
        <v>Secondary Vegetation</v>
      </c>
      <c r="G468" s="6" t="str">
        <f>'Reported burning'!G468</f>
        <v>Secondary Vegetation</v>
      </c>
      <c r="H468" s="6" t="str">
        <f>'Reported burning'!H468</f>
        <v>Presence</v>
      </c>
      <c r="I468" s="3"/>
      <c r="J468" s="21" t="s">
        <v>2276</v>
      </c>
      <c r="K468" s="103" t="s">
        <v>2276</v>
      </c>
      <c r="L468" s="21" t="s">
        <v>2276</v>
      </c>
      <c r="M468" s="21" t="s">
        <v>2276</v>
      </c>
      <c r="N468" s="21" t="s">
        <v>2276</v>
      </c>
      <c r="O468" s="21" t="s">
        <v>2276</v>
      </c>
      <c r="P468" s="21" t="s">
        <v>2276</v>
      </c>
      <c r="Q468" s="102" t="s">
        <v>2276</v>
      </c>
      <c r="R468" s="102" t="s">
        <v>2276</v>
      </c>
      <c r="S468" s="21" t="s">
        <v>2276</v>
      </c>
      <c r="T468" s="21" t="s">
        <v>2276</v>
      </c>
      <c r="U468" s="21" t="s">
        <v>2276</v>
      </c>
      <c r="V468" s="21" t="s">
        <v>2276</v>
      </c>
      <c r="W468" s="21" t="s">
        <v>2402</v>
      </c>
      <c r="X468" s="3" t="s">
        <v>671</v>
      </c>
      <c r="Y468" s="3" t="s">
        <v>38</v>
      </c>
      <c r="Z468" s="3" t="s">
        <v>64</v>
      </c>
      <c r="AA468" s="4" t="s">
        <v>672</v>
      </c>
      <c r="AB468" s="4" t="s">
        <v>673</v>
      </c>
    </row>
    <row r="469" spans="1:28" ht="48.5" customHeight="1">
      <c r="A469" s="6" t="str">
        <f>'Reported burning'!A469</f>
        <v>39a</v>
      </c>
      <c r="B469" s="6" t="str">
        <f>'Reported burning'!B469</f>
        <v>39a.1</v>
      </c>
      <c r="C469" s="6" t="str">
        <f>'Reported burning'!C469</f>
        <v>Human, deliberate</v>
      </c>
      <c r="D469" s="6" t="str">
        <f>'Reported burning'!D469</f>
        <v>Crop field preparation</v>
      </c>
      <c r="E469" s="6" t="str">
        <f>'Reported burning'!E469</f>
        <v>Cropping, Swidden</v>
      </c>
      <c r="F469" s="6" t="str">
        <f>'Reported burning'!F469</f>
        <v>Forest</v>
      </c>
      <c r="G469" s="6" t="str">
        <f>'Reported burning'!G469</f>
        <v>Forest</v>
      </c>
      <c r="H469" s="6" t="str">
        <f>'Reported burning'!H469</f>
        <v>Presence</v>
      </c>
      <c r="I469" s="3">
        <v>1955</v>
      </c>
      <c r="J469" s="21" t="s">
        <v>2276</v>
      </c>
      <c r="K469" s="103" t="s">
        <v>2276</v>
      </c>
      <c r="L469" s="21" t="s">
        <v>2276</v>
      </c>
      <c r="M469" s="21" t="s">
        <v>2276</v>
      </c>
      <c r="N469" s="21" t="s">
        <v>2276</v>
      </c>
      <c r="O469" s="21" t="s">
        <v>2276</v>
      </c>
      <c r="P469" s="21" t="s">
        <v>2276</v>
      </c>
      <c r="Q469" s="102" t="s">
        <v>2276</v>
      </c>
      <c r="R469" s="102" t="s">
        <v>2276</v>
      </c>
      <c r="S469" s="21" t="s">
        <v>2276</v>
      </c>
      <c r="T469" s="21" t="s">
        <v>2276</v>
      </c>
      <c r="U469" s="21" t="s">
        <v>2276</v>
      </c>
      <c r="V469" s="21" t="s">
        <v>2276</v>
      </c>
      <c r="W469" s="21" t="s">
        <v>2846</v>
      </c>
      <c r="X469" s="3" t="s">
        <v>2276</v>
      </c>
      <c r="Y469" s="3" t="s">
        <v>2276</v>
      </c>
      <c r="Z469" s="3" t="s">
        <v>2276</v>
      </c>
      <c r="AA469" s="4" t="s">
        <v>2025</v>
      </c>
      <c r="AB469" s="3" t="s">
        <v>582</v>
      </c>
    </row>
    <row r="470" spans="1:28" ht="56" customHeight="1">
      <c r="A470" s="6" t="str">
        <f>'Reported burning'!A470</f>
        <v>39a</v>
      </c>
      <c r="B470" s="6" t="str">
        <f>'Reported burning'!B470</f>
        <v>39a.2</v>
      </c>
      <c r="C470" s="6" t="str">
        <f>'Reported burning'!C470</f>
        <v>Human, deliberate</v>
      </c>
      <c r="D470" s="6" t="str">
        <f>'Reported burning'!D470</f>
        <v>Crop field preparation</v>
      </c>
      <c r="E470" s="6" t="str">
        <f>'Reported burning'!E470</f>
        <v>Cropping, Swidden</v>
      </c>
      <c r="F470" s="6" t="str">
        <f>'Reported burning'!F470</f>
        <v>Forest</v>
      </c>
      <c r="G470" s="6" t="str">
        <f>'Reported burning'!G470</f>
        <v>Forest</v>
      </c>
      <c r="H470" s="6" t="str">
        <f>'Reported burning'!H470</f>
        <v>Presence</v>
      </c>
      <c r="I470" s="3">
        <v>1975</v>
      </c>
      <c r="J470" s="21" t="s">
        <v>2276</v>
      </c>
      <c r="K470" s="103" t="s">
        <v>2276</v>
      </c>
      <c r="L470" s="21" t="s">
        <v>2276</v>
      </c>
      <c r="M470" s="21" t="s">
        <v>2276</v>
      </c>
      <c r="N470" s="21" t="s">
        <v>2276</v>
      </c>
      <c r="O470" s="21" t="s">
        <v>2276</v>
      </c>
      <c r="P470" s="21" t="s">
        <v>2276</v>
      </c>
      <c r="Q470" s="102" t="s">
        <v>2276</v>
      </c>
      <c r="R470" s="102" t="s">
        <v>2276</v>
      </c>
      <c r="S470" s="21" t="s">
        <v>2276</v>
      </c>
      <c r="T470" s="21" t="s">
        <v>2276</v>
      </c>
      <c r="U470" s="21" t="s">
        <v>2276</v>
      </c>
      <c r="V470" s="21" t="s">
        <v>2276</v>
      </c>
      <c r="W470" s="21" t="s">
        <v>2404</v>
      </c>
      <c r="X470" s="3" t="s">
        <v>2276</v>
      </c>
      <c r="Y470" s="3" t="s">
        <v>2276</v>
      </c>
      <c r="Z470" s="3" t="s">
        <v>2276</v>
      </c>
      <c r="AA470" s="4" t="s">
        <v>2025</v>
      </c>
      <c r="AB470" s="3" t="s">
        <v>582</v>
      </c>
    </row>
    <row r="471" spans="1:28" ht="55.5" customHeight="1">
      <c r="A471" s="6" t="str">
        <f>'Reported burning'!A471</f>
        <v>39a</v>
      </c>
      <c r="B471" s="6" t="str">
        <f>'Reported burning'!B471</f>
        <v>39a.3</v>
      </c>
      <c r="C471" s="6" t="str">
        <f>'Reported burning'!C471</f>
        <v>Human, deliberate</v>
      </c>
      <c r="D471" s="6" t="str">
        <f>'Reported burning'!D471</f>
        <v>Crop field preparation</v>
      </c>
      <c r="E471" s="6" t="str">
        <f>'Reported burning'!E471</f>
        <v>Cropping, Swidden</v>
      </c>
      <c r="F471" s="6" t="str">
        <f>'Reported burning'!F471</f>
        <v>Secondary Vegetation</v>
      </c>
      <c r="G471" s="6" t="str">
        <f>'Reported burning'!G471</f>
        <v>Secondary Vegetation</v>
      </c>
      <c r="H471" s="6" t="str">
        <f>'Reported burning'!H471</f>
        <v>Presence</v>
      </c>
      <c r="I471" s="3">
        <v>1992</v>
      </c>
      <c r="J471" s="21" t="s">
        <v>2276</v>
      </c>
      <c r="K471" s="103" t="s">
        <v>2276</v>
      </c>
      <c r="L471" s="21" t="s">
        <v>2276</v>
      </c>
      <c r="M471" s="21" t="s">
        <v>2276</v>
      </c>
      <c r="N471" s="21" t="s">
        <v>2276</v>
      </c>
      <c r="O471" s="21" t="s">
        <v>2276</v>
      </c>
      <c r="P471" s="21" t="s">
        <v>2276</v>
      </c>
      <c r="Q471" s="102" t="s">
        <v>2276</v>
      </c>
      <c r="R471" s="102" t="s">
        <v>2276</v>
      </c>
      <c r="S471" s="21" t="s">
        <v>2276</v>
      </c>
      <c r="T471" s="21" t="s">
        <v>2276</v>
      </c>
      <c r="U471" s="21" t="s">
        <v>2276</v>
      </c>
      <c r="V471" s="21" t="s">
        <v>2276</v>
      </c>
      <c r="W471" s="21" t="s">
        <v>2402</v>
      </c>
      <c r="X471" s="3" t="s">
        <v>2276</v>
      </c>
      <c r="Y471" s="3" t="s">
        <v>2276</v>
      </c>
      <c r="Z471" s="3" t="s">
        <v>2276</v>
      </c>
      <c r="AA471" s="4" t="s">
        <v>2025</v>
      </c>
      <c r="AB471" s="3" t="s">
        <v>582</v>
      </c>
    </row>
    <row r="472" spans="1:28" ht="48.5" customHeight="1">
      <c r="A472" s="6" t="str">
        <f>'Reported burning'!A472</f>
        <v>40a</v>
      </c>
      <c r="B472" s="6" t="str">
        <f>'Reported burning'!B472</f>
        <v>40a.1</v>
      </c>
      <c r="C472" s="6" t="str">
        <f>'Reported burning'!C472</f>
        <v>Human, deliberate</v>
      </c>
      <c r="D472" s="6" t="str">
        <f>'Reported burning'!D472</f>
        <v>Crop field preparation</v>
      </c>
      <c r="E472" s="6" t="str">
        <f>'Reported burning'!E472</f>
        <v>Cropping, Swidden</v>
      </c>
      <c r="F472" s="6" t="str">
        <f>'Reported burning'!F472</f>
        <v>Secondary Vegetation</v>
      </c>
      <c r="G472" s="6" t="str">
        <f>'Reported burning'!G472</f>
        <v>ND</v>
      </c>
      <c r="H472" s="6" t="str">
        <f>'Reported burning'!H472</f>
        <v>Presence</v>
      </c>
      <c r="I472" s="3">
        <v>2002</v>
      </c>
      <c r="J472" s="21" t="s">
        <v>2276</v>
      </c>
      <c r="K472" s="103" t="s">
        <v>2276</v>
      </c>
      <c r="L472" s="21" t="s">
        <v>2276</v>
      </c>
      <c r="M472" s="21" t="s">
        <v>2276</v>
      </c>
      <c r="N472" s="21" t="s">
        <v>2276</v>
      </c>
      <c r="O472" s="21" t="s">
        <v>2373</v>
      </c>
      <c r="P472" s="21" t="s">
        <v>2276</v>
      </c>
      <c r="Q472" s="102" t="s">
        <v>2276</v>
      </c>
      <c r="R472" s="102" t="s">
        <v>2276</v>
      </c>
      <c r="S472" s="21" t="s">
        <v>2276</v>
      </c>
      <c r="T472" s="21" t="s">
        <v>2276</v>
      </c>
      <c r="U472" s="21" t="s">
        <v>2276</v>
      </c>
      <c r="V472" s="21" t="s">
        <v>2276</v>
      </c>
      <c r="W472" s="21" t="s">
        <v>2402</v>
      </c>
      <c r="X472" s="3" t="s">
        <v>2276</v>
      </c>
      <c r="Y472" s="3" t="s">
        <v>2276</v>
      </c>
      <c r="Z472" s="3" t="s">
        <v>2276</v>
      </c>
      <c r="AA472" s="4"/>
      <c r="AB472" s="4" t="s">
        <v>2417</v>
      </c>
    </row>
    <row r="473" spans="1:28" ht="48.5" customHeight="1">
      <c r="A473" s="6" t="str">
        <f>'Reported burning'!A473</f>
        <v>40a</v>
      </c>
      <c r="B473" s="6" t="str">
        <f>'Reported burning'!B473</f>
        <v>40a.2</v>
      </c>
      <c r="C473" s="6" t="str">
        <f>'Reported burning'!C473</f>
        <v>Human, deliberate</v>
      </c>
      <c r="D473" s="6" t="str">
        <f>'Reported burning'!D473</f>
        <v>Crop field preparation</v>
      </c>
      <c r="E473" s="6" t="str">
        <f>'Reported burning'!E473</f>
        <v>Cropping, Swidden</v>
      </c>
      <c r="F473" s="6" t="str">
        <f>'Reported burning'!F473</f>
        <v>Forest</v>
      </c>
      <c r="G473" s="6" t="str">
        <f>'Reported burning'!G473</f>
        <v>ND</v>
      </c>
      <c r="H473" s="6" t="str">
        <f>'Reported burning'!H473</f>
        <v>Absence</v>
      </c>
      <c r="I473" s="3">
        <v>2002</v>
      </c>
      <c r="J473" s="21" t="s">
        <v>2364</v>
      </c>
      <c r="K473" s="103" t="s">
        <v>2364</v>
      </c>
      <c r="L473" s="21" t="s">
        <v>2364</v>
      </c>
      <c r="M473" s="21" t="s">
        <v>2364</v>
      </c>
      <c r="N473" s="21" t="s">
        <v>2364</v>
      </c>
      <c r="O473" s="21" t="s">
        <v>2364</v>
      </c>
      <c r="P473" s="21" t="s">
        <v>2364</v>
      </c>
      <c r="Q473" s="102" t="s">
        <v>2276</v>
      </c>
      <c r="R473" s="102" t="s">
        <v>2276</v>
      </c>
      <c r="S473" s="21" t="s">
        <v>2364</v>
      </c>
      <c r="T473" s="21" t="s">
        <v>2364</v>
      </c>
      <c r="U473" s="21" t="s">
        <v>2364</v>
      </c>
      <c r="V473" s="21" t="s">
        <v>2364</v>
      </c>
      <c r="W473" s="21" t="s">
        <v>2276</v>
      </c>
      <c r="X473" s="3" t="s">
        <v>2276</v>
      </c>
      <c r="Y473" s="3" t="s">
        <v>2276</v>
      </c>
      <c r="Z473" s="3" t="s">
        <v>2276</v>
      </c>
      <c r="AA473" s="4" t="s">
        <v>2026</v>
      </c>
      <c r="AB473" s="4"/>
    </row>
    <row r="474" spans="1:28" ht="57" customHeight="1">
      <c r="A474" s="6" t="str">
        <f>'Reported burning'!A474</f>
        <v>40b</v>
      </c>
      <c r="B474" s="6" t="str">
        <f>'Reported burning'!B474</f>
        <v>40b.1</v>
      </c>
      <c r="C474" s="6" t="str">
        <f>'Reported burning'!C474</f>
        <v>Human, deliberate</v>
      </c>
      <c r="D474" s="6" t="str">
        <f>'Reported burning'!D474</f>
        <v>Crop field preparation</v>
      </c>
      <c r="E474" s="6" t="str">
        <f>'Reported burning'!E474</f>
        <v>Cropping, Swidden</v>
      </c>
      <c r="F474" s="6" t="str">
        <f>'Reported burning'!F474</f>
        <v>Secondary Vegetation</v>
      </c>
      <c r="G474" s="6" t="str">
        <f>'Reported burning'!G474</f>
        <v>ND</v>
      </c>
      <c r="H474" s="6" t="str">
        <f>'Reported burning'!H474</f>
        <v>Presence</v>
      </c>
      <c r="I474" s="3">
        <v>1997</v>
      </c>
      <c r="J474" s="21" t="s">
        <v>2276</v>
      </c>
      <c r="K474" s="103" t="s">
        <v>2276</v>
      </c>
      <c r="L474" s="21" t="s">
        <v>2276</v>
      </c>
      <c r="M474" s="21" t="s">
        <v>2276</v>
      </c>
      <c r="N474" s="21" t="s">
        <v>2276</v>
      </c>
      <c r="O474" s="21" t="s">
        <v>2373</v>
      </c>
      <c r="P474" s="21" t="s">
        <v>2276</v>
      </c>
      <c r="Q474" s="102" t="s">
        <v>2276</v>
      </c>
      <c r="R474" s="102" t="s">
        <v>2276</v>
      </c>
      <c r="S474" s="21" t="s">
        <v>2276</v>
      </c>
      <c r="T474" s="21" t="s">
        <v>2276</v>
      </c>
      <c r="U474" s="21" t="s">
        <v>2276</v>
      </c>
      <c r="V474" s="21" t="s">
        <v>2276</v>
      </c>
      <c r="W474" s="21" t="s">
        <v>2403</v>
      </c>
      <c r="X474" s="3" t="s">
        <v>2276</v>
      </c>
      <c r="Y474" s="3" t="s">
        <v>2276</v>
      </c>
      <c r="Z474" s="3" t="s">
        <v>2276</v>
      </c>
      <c r="AA474" s="4"/>
      <c r="AB474" s="4" t="s">
        <v>2417</v>
      </c>
    </row>
    <row r="475" spans="1:28" ht="58.5" customHeight="1">
      <c r="A475" s="6" t="str">
        <f>'Reported burning'!A475</f>
        <v>41a</v>
      </c>
      <c r="B475" s="6" t="str">
        <f>'Reported burning'!B475</f>
        <v>41a.1</v>
      </c>
      <c r="C475" s="6" t="str">
        <f>'Reported burning'!C475</f>
        <v>Human, deliberate</v>
      </c>
      <c r="D475" s="6" t="str">
        <f>'Reported burning'!D475</f>
        <v>Crop field preparation</v>
      </c>
      <c r="E475" s="6" t="str">
        <f>'Reported burning'!E475</f>
        <v>Cropping, Swidden</v>
      </c>
      <c r="F475" s="6" t="str">
        <f>'Reported burning'!F475</f>
        <v>Secondary Vegetation</v>
      </c>
      <c r="G475" s="6" t="str">
        <f>'Reported burning'!G475</f>
        <v>ND</v>
      </c>
      <c r="H475" s="6" t="str">
        <f>'Reported burning'!H475</f>
        <v>Presence</v>
      </c>
      <c r="I475" s="11"/>
      <c r="J475" s="21" t="s">
        <v>2276</v>
      </c>
      <c r="K475" s="103" t="s">
        <v>2276</v>
      </c>
      <c r="L475" s="21" t="s">
        <v>2276</v>
      </c>
      <c r="M475" s="21" t="s">
        <v>2276</v>
      </c>
      <c r="N475" s="21" t="s">
        <v>2276</v>
      </c>
      <c r="O475" s="21" t="s">
        <v>2276</v>
      </c>
      <c r="P475" s="21" t="s">
        <v>2276</v>
      </c>
      <c r="Q475" s="102" t="s">
        <v>2276</v>
      </c>
      <c r="R475" s="102" t="s">
        <v>2276</v>
      </c>
      <c r="S475" s="21" t="s">
        <v>2276</v>
      </c>
      <c r="T475" s="21" t="s">
        <v>2276</v>
      </c>
      <c r="U475" s="21" t="s">
        <v>2276</v>
      </c>
      <c r="V475" s="21" t="s">
        <v>2276</v>
      </c>
      <c r="W475" s="21" t="s">
        <v>2276</v>
      </c>
      <c r="X475" s="3" t="s">
        <v>671</v>
      </c>
      <c r="Y475" s="3" t="s">
        <v>38</v>
      </c>
      <c r="Z475" s="3" t="s">
        <v>64</v>
      </c>
      <c r="AA475" s="19" t="s">
        <v>2029</v>
      </c>
      <c r="AB475" s="3"/>
    </row>
    <row r="476" spans="1:28" ht="52.5" customHeight="1">
      <c r="A476" s="6" t="str">
        <f>'Reported burning'!A476</f>
        <v>41a</v>
      </c>
      <c r="B476" s="6" t="str">
        <f>'Reported burning'!B476</f>
        <v>41a.2</v>
      </c>
      <c r="C476" s="6" t="str">
        <f>'Reported burning'!C476</f>
        <v>Human, deliberate</v>
      </c>
      <c r="D476" s="6" t="str">
        <f>'Reported burning'!D476</f>
        <v>Crop field preparation</v>
      </c>
      <c r="E476" s="6" t="str">
        <f>'Reported burning'!E476</f>
        <v>Cropping, Swidden</v>
      </c>
      <c r="F476" s="6" t="str">
        <f>'Reported burning'!F476</f>
        <v>Secondary Vegetation</v>
      </c>
      <c r="G476" s="6" t="str">
        <f>'Reported burning'!G476</f>
        <v>ND</v>
      </c>
      <c r="H476" s="6" t="str">
        <f>'Reported burning'!H476</f>
        <v>Presence</v>
      </c>
      <c r="I476" s="11"/>
      <c r="J476" s="21" t="s">
        <v>2276</v>
      </c>
      <c r="K476" s="103" t="s">
        <v>2276</v>
      </c>
      <c r="L476" s="21" t="s">
        <v>2276</v>
      </c>
      <c r="M476" s="21" t="s">
        <v>2276</v>
      </c>
      <c r="N476" s="21" t="s">
        <v>2276</v>
      </c>
      <c r="O476" s="21" t="s">
        <v>2276</v>
      </c>
      <c r="P476" s="21" t="s">
        <v>2276</v>
      </c>
      <c r="Q476" s="102" t="s">
        <v>2276</v>
      </c>
      <c r="R476" s="102" t="s">
        <v>2276</v>
      </c>
      <c r="S476" s="21" t="s">
        <v>2276</v>
      </c>
      <c r="T476" s="21" t="s">
        <v>2276</v>
      </c>
      <c r="U476" s="21" t="s">
        <v>2276</v>
      </c>
      <c r="V476" s="21" t="s">
        <v>2276</v>
      </c>
      <c r="W476" s="21" t="s">
        <v>2276</v>
      </c>
      <c r="X476" s="3" t="s">
        <v>671</v>
      </c>
      <c r="Y476" s="3" t="s">
        <v>38</v>
      </c>
      <c r="Z476" s="3" t="s">
        <v>64</v>
      </c>
      <c r="AA476" s="19" t="s">
        <v>2029</v>
      </c>
      <c r="AB476" s="3"/>
    </row>
    <row r="477" spans="1:28" ht="55" customHeight="1">
      <c r="A477" s="6" t="str">
        <f>'Reported burning'!A477</f>
        <v>41a</v>
      </c>
      <c r="B477" s="6" t="str">
        <f>'Reported burning'!B477</f>
        <v>41a.3</v>
      </c>
      <c r="C477" s="6" t="str">
        <f>'Reported burning'!C477</f>
        <v>Human, deliberate</v>
      </c>
      <c r="D477" s="6" t="str">
        <f>'Reported burning'!D477</f>
        <v>Crop field preparation</v>
      </c>
      <c r="E477" s="6" t="str">
        <f>'Reported burning'!E477</f>
        <v>Cropping, Swidden</v>
      </c>
      <c r="F477" s="6" t="str">
        <f>'Reported burning'!F477</f>
        <v>Secondary Vegetation</v>
      </c>
      <c r="G477" s="6" t="str">
        <f>'Reported burning'!G477</f>
        <v>ND</v>
      </c>
      <c r="H477" s="6" t="str">
        <f>'Reported burning'!H477</f>
        <v>Presence</v>
      </c>
      <c r="I477" s="11"/>
      <c r="J477" s="21" t="s">
        <v>2276</v>
      </c>
      <c r="K477" s="103" t="s">
        <v>2276</v>
      </c>
      <c r="L477" s="21" t="s">
        <v>2276</v>
      </c>
      <c r="M477" s="21" t="s">
        <v>2276</v>
      </c>
      <c r="N477" s="21" t="s">
        <v>2276</v>
      </c>
      <c r="O477" s="21" t="s">
        <v>2276</v>
      </c>
      <c r="P477" s="21" t="s">
        <v>2276</v>
      </c>
      <c r="Q477" s="102" t="s">
        <v>2276</v>
      </c>
      <c r="R477" s="102" t="s">
        <v>2276</v>
      </c>
      <c r="S477" s="21" t="s">
        <v>2276</v>
      </c>
      <c r="T477" s="21" t="s">
        <v>2276</v>
      </c>
      <c r="U477" s="21" t="s">
        <v>2276</v>
      </c>
      <c r="V477" s="21" t="s">
        <v>2276</v>
      </c>
      <c r="W477" s="21" t="s">
        <v>2276</v>
      </c>
      <c r="X477" s="3" t="s">
        <v>671</v>
      </c>
      <c r="Y477" s="3" t="s">
        <v>38</v>
      </c>
      <c r="Z477" s="3" t="s">
        <v>64</v>
      </c>
      <c r="AA477" s="19" t="s">
        <v>2029</v>
      </c>
      <c r="AB477" s="3"/>
    </row>
    <row r="478" spans="1:28" ht="59" customHeight="1">
      <c r="A478" s="6" t="str">
        <f>'Reported burning'!A478</f>
        <v>41b</v>
      </c>
      <c r="B478" s="6" t="str">
        <f>'Reported burning'!B478</f>
        <v>41b.1</v>
      </c>
      <c r="C478" s="6" t="str">
        <f>'Reported burning'!C478</f>
        <v>Human, deliberate</v>
      </c>
      <c r="D478" s="6" t="str">
        <f>'Reported burning'!D478</f>
        <v>Crop field preparation</v>
      </c>
      <c r="E478" s="6" t="str">
        <f>'Reported burning'!E478</f>
        <v>Cropping, Swidden</v>
      </c>
      <c r="F478" s="6" t="str">
        <f>'Reported burning'!F478</f>
        <v>Secondary Vegetation</v>
      </c>
      <c r="G478" s="6" t="str">
        <f>'Reported burning'!G478</f>
        <v>ND</v>
      </c>
      <c r="H478" s="6" t="str">
        <f>'Reported burning'!H478</f>
        <v>Presence</v>
      </c>
      <c r="I478" s="11"/>
      <c r="J478" s="21" t="s">
        <v>2276</v>
      </c>
      <c r="K478" s="103" t="s">
        <v>2276</v>
      </c>
      <c r="L478" s="21" t="s">
        <v>2276</v>
      </c>
      <c r="M478" s="21" t="s">
        <v>2276</v>
      </c>
      <c r="N478" s="21" t="s">
        <v>2276</v>
      </c>
      <c r="O478" s="21" t="s">
        <v>2276</v>
      </c>
      <c r="P478" s="21" t="s">
        <v>2276</v>
      </c>
      <c r="Q478" s="102" t="s">
        <v>2276</v>
      </c>
      <c r="R478" s="102" t="s">
        <v>2276</v>
      </c>
      <c r="S478" s="21" t="s">
        <v>2276</v>
      </c>
      <c r="T478" s="21" t="s">
        <v>2276</v>
      </c>
      <c r="U478" s="21" t="s">
        <v>2276</v>
      </c>
      <c r="V478" s="21" t="s">
        <v>2276</v>
      </c>
      <c r="W478" s="21" t="s">
        <v>2276</v>
      </c>
      <c r="X478" s="3" t="s">
        <v>671</v>
      </c>
      <c r="Y478" s="3" t="s">
        <v>38</v>
      </c>
      <c r="Z478" s="3" t="s">
        <v>64</v>
      </c>
      <c r="AA478" s="19" t="s">
        <v>2029</v>
      </c>
      <c r="AB478" s="3"/>
    </row>
    <row r="479" spans="1:28" ht="69" customHeight="1">
      <c r="A479" s="6" t="str">
        <f>'Reported burning'!A479</f>
        <v>41b</v>
      </c>
      <c r="B479" s="6" t="str">
        <f>'Reported burning'!B479</f>
        <v>41b.2</v>
      </c>
      <c r="C479" s="6" t="str">
        <f>'Reported burning'!C479</f>
        <v>Human, deliberate</v>
      </c>
      <c r="D479" s="6" t="str">
        <f>'Reported burning'!D479</f>
        <v>Crop field preparation</v>
      </c>
      <c r="E479" s="6" t="str">
        <f>'Reported burning'!E479</f>
        <v>Cropping, Swidden</v>
      </c>
      <c r="F479" s="6" t="str">
        <f>'Reported burning'!F479</f>
        <v>Secondary Vegetation</v>
      </c>
      <c r="G479" s="6" t="str">
        <f>'Reported burning'!G479</f>
        <v>ND</v>
      </c>
      <c r="H479" s="6" t="str">
        <f>'Reported burning'!H479</f>
        <v>Presence</v>
      </c>
      <c r="I479" s="11"/>
      <c r="J479" s="21" t="s">
        <v>2276</v>
      </c>
      <c r="K479" s="103" t="s">
        <v>2276</v>
      </c>
      <c r="L479" s="21" t="s">
        <v>2276</v>
      </c>
      <c r="M479" s="21" t="s">
        <v>2276</v>
      </c>
      <c r="N479" s="21" t="s">
        <v>2276</v>
      </c>
      <c r="O479" s="21" t="s">
        <v>2276</v>
      </c>
      <c r="P479" s="21" t="s">
        <v>2276</v>
      </c>
      <c r="Q479" s="102" t="s">
        <v>2276</v>
      </c>
      <c r="R479" s="102" t="s">
        <v>2276</v>
      </c>
      <c r="S479" s="21" t="s">
        <v>2276</v>
      </c>
      <c r="T479" s="21" t="s">
        <v>2276</v>
      </c>
      <c r="U479" s="21" t="s">
        <v>2276</v>
      </c>
      <c r="V479" s="21" t="s">
        <v>2276</v>
      </c>
      <c r="W479" s="21" t="s">
        <v>2276</v>
      </c>
      <c r="X479" s="3" t="s">
        <v>671</v>
      </c>
      <c r="Y479" s="3" t="s">
        <v>38</v>
      </c>
      <c r="Z479" s="3" t="s">
        <v>64</v>
      </c>
      <c r="AA479" s="19" t="s">
        <v>2029</v>
      </c>
      <c r="AB479" s="3"/>
    </row>
    <row r="480" spans="1:28" ht="72" customHeight="1">
      <c r="A480" s="6" t="str">
        <f>'Reported burning'!A480</f>
        <v>41b</v>
      </c>
      <c r="B480" s="6" t="str">
        <f>'Reported burning'!B480</f>
        <v>41b.3</v>
      </c>
      <c r="C480" s="6" t="str">
        <f>'Reported burning'!C480</f>
        <v>Human, deliberate</v>
      </c>
      <c r="D480" s="6" t="str">
        <f>'Reported burning'!D480</f>
        <v>Crop field preparation</v>
      </c>
      <c r="E480" s="6" t="str">
        <f>'Reported burning'!E480</f>
        <v>Cropping, Swidden</v>
      </c>
      <c r="F480" s="6" t="str">
        <f>'Reported burning'!F480</f>
        <v>Secondary Vegetation</v>
      </c>
      <c r="G480" s="6" t="str">
        <f>'Reported burning'!G480</f>
        <v>ND</v>
      </c>
      <c r="H480" s="6" t="str">
        <f>'Reported burning'!H480</f>
        <v>Presence</v>
      </c>
      <c r="I480" s="11"/>
      <c r="J480" s="21" t="s">
        <v>2276</v>
      </c>
      <c r="K480" s="103" t="s">
        <v>2276</v>
      </c>
      <c r="L480" s="21" t="s">
        <v>2276</v>
      </c>
      <c r="M480" s="21" t="s">
        <v>2276</v>
      </c>
      <c r="N480" s="21" t="s">
        <v>2276</v>
      </c>
      <c r="O480" s="21" t="s">
        <v>2276</v>
      </c>
      <c r="P480" s="21" t="s">
        <v>2276</v>
      </c>
      <c r="Q480" s="102" t="s">
        <v>2276</v>
      </c>
      <c r="R480" s="102" t="s">
        <v>2276</v>
      </c>
      <c r="S480" s="21" t="s">
        <v>2276</v>
      </c>
      <c r="T480" s="21" t="s">
        <v>2276</v>
      </c>
      <c r="U480" s="21" t="s">
        <v>2276</v>
      </c>
      <c r="V480" s="21" t="s">
        <v>2276</v>
      </c>
      <c r="W480" s="21" t="s">
        <v>2276</v>
      </c>
      <c r="X480" s="3" t="s">
        <v>671</v>
      </c>
      <c r="Y480" s="3" t="s">
        <v>38</v>
      </c>
      <c r="Z480" s="3" t="s">
        <v>64</v>
      </c>
      <c r="AA480" s="19" t="s">
        <v>2029</v>
      </c>
      <c r="AB480" s="3"/>
    </row>
    <row r="481" spans="1:28" ht="73.5" customHeight="1">
      <c r="A481" s="6" t="str">
        <f>'Reported burning'!A481</f>
        <v>42a</v>
      </c>
      <c r="B481" s="6" t="str">
        <f>'Reported burning'!B481</f>
        <v>42a.1</v>
      </c>
      <c r="C481" s="6" t="str">
        <f>'Reported burning'!C481</f>
        <v>Human, deliberate</v>
      </c>
      <c r="D481" s="6" t="str">
        <f>'Reported burning'!D481</f>
        <v>Crop field preparation</v>
      </c>
      <c r="E481" s="6" t="str">
        <f>'Reported burning'!E481</f>
        <v>Cropping, Swidden</v>
      </c>
      <c r="F481" s="6" t="str">
        <f>'Reported burning'!F481</f>
        <v>Cropland</v>
      </c>
      <c r="G481" s="6" t="str">
        <f>'Reported burning'!G481</f>
        <v>ND</v>
      </c>
      <c r="H481" s="6" t="str">
        <f>'Reported burning'!H481</f>
        <v>Presence</v>
      </c>
      <c r="I481" s="3"/>
      <c r="J481" s="21" t="s">
        <v>2276</v>
      </c>
      <c r="K481" s="103" t="s">
        <v>2276</v>
      </c>
      <c r="L481" s="21" t="s">
        <v>2276</v>
      </c>
      <c r="M481" s="21" t="s">
        <v>2276</v>
      </c>
      <c r="N481" s="21" t="s">
        <v>2276</v>
      </c>
      <c r="O481" s="21" t="s">
        <v>2276</v>
      </c>
      <c r="P481" s="21" t="s">
        <v>2276</v>
      </c>
      <c r="Q481" s="102" t="s">
        <v>2276</v>
      </c>
      <c r="R481" s="102" t="s">
        <v>2276</v>
      </c>
      <c r="S481" s="21" t="s">
        <v>2376</v>
      </c>
      <c r="T481" s="21" t="s">
        <v>2276</v>
      </c>
      <c r="U481" s="21" t="s">
        <v>2276</v>
      </c>
      <c r="V481" s="21" t="s">
        <v>2276</v>
      </c>
      <c r="W481" s="21" t="s">
        <v>2276</v>
      </c>
      <c r="X481" s="3" t="s">
        <v>2276</v>
      </c>
      <c r="Y481" s="3" t="s">
        <v>2276</v>
      </c>
      <c r="Z481" s="3" t="s">
        <v>2276</v>
      </c>
      <c r="AA481" s="4" t="s">
        <v>754</v>
      </c>
      <c r="AB481" s="4" t="s">
        <v>2030</v>
      </c>
    </row>
    <row r="482" spans="1:28" ht="58.5" customHeight="1">
      <c r="A482" s="6" t="str">
        <f>'Reported burning'!A482</f>
        <v>42a</v>
      </c>
      <c r="B482" s="6" t="str">
        <f>'Reported burning'!B482</f>
        <v>42a.2</v>
      </c>
      <c r="C482" s="6" t="str">
        <f>'Reported burning'!C482</f>
        <v>Human, deliberate</v>
      </c>
      <c r="D482" s="6" t="str">
        <f>'Reported burning'!D482</f>
        <v>Crop field preparation</v>
      </c>
      <c r="E482" s="6" t="str">
        <f>'Reported burning'!E482</f>
        <v>Cropping, Monoculture, Subsistence-oriented</v>
      </c>
      <c r="F482" s="6" t="str">
        <f>'Reported burning'!F482</f>
        <v>Cropland</v>
      </c>
      <c r="G482" s="6" t="str">
        <f>'Reported burning'!G482</f>
        <v>ND</v>
      </c>
      <c r="H482" s="6" t="str">
        <f>'Reported burning'!H482</f>
        <v>Absence</v>
      </c>
      <c r="I482" s="3"/>
      <c r="J482" s="21" t="s">
        <v>2364</v>
      </c>
      <c r="K482" s="103" t="s">
        <v>2364</v>
      </c>
      <c r="L482" s="21" t="s">
        <v>2364</v>
      </c>
      <c r="M482" s="21" t="s">
        <v>2364</v>
      </c>
      <c r="N482" s="21" t="s">
        <v>2364</v>
      </c>
      <c r="O482" s="21" t="s">
        <v>2364</v>
      </c>
      <c r="P482" s="21" t="s">
        <v>2364</v>
      </c>
      <c r="Q482" s="21" t="s">
        <v>2364</v>
      </c>
      <c r="R482" s="21" t="s">
        <v>2364</v>
      </c>
      <c r="S482" s="21" t="s">
        <v>2364</v>
      </c>
      <c r="T482" s="21" t="s">
        <v>2364</v>
      </c>
      <c r="U482" s="21" t="s">
        <v>2364</v>
      </c>
      <c r="V482" s="21" t="s">
        <v>2364</v>
      </c>
      <c r="W482" s="21" t="s">
        <v>2276</v>
      </c>
      <c r="X482" s="3" t="s">
        <v>2276</v>
      </c>
      <c r="Y482" s="3" t="s">
        <v>2276</v>
      </c>
      <c r="Z482" s="3" t="s">
        <v>2276</v>
      </c>
      <c r="AA482" s="4" t="s">
        <v>710</v>
      </c>
      <c r="AB482" s="3"/>
    </row>
    <row r="483" spans="1:28" ht="77.5" customHeight="1">
      <c r="A483" s="6" t="str">
        <f>'Reported burning'!A483</f>
        <v>42b</v>
      </c>
      <c r="B483" s="6" t="str">
        <f>'Reported burning'!B483</f>
        <v>42b.1</v>
      </c>
      <c r="C483" s="6" t="str">
        <f>'Reported burning'!C483</f>
        <v>Human, deliberate</v>
      </c>
      <c r="D483" s="6" t="str">
        <f>'Reported burning'!D483</f>
        <v>Crop field preparation</v>
      </c>
      <c r="E483" s="6" t="str">
        <f>'Reported burning'!E483</f>
        <v>Cropping, Swidden</v>
      </c>
      <c r="F483" s="6" t="str">
        <f>'Reported burning'!F483</f>
        <v>Cropland</v>
      </c>
      <c r="G483" s="6" t="str">
        <f>'Reported burning'!G483</f>
        <v>ND</v>
      </c>
      <c r="H483" s="6" t="str">
        <f>'Reported burning'!H483</f>
        <v>Presence</v>
      </c>
      <c r="I483" s="3"/>
      <c r="J483" s="21" t="s">
        <v>2276</v>
      </c>
      <c r="K483" s="103" t="s">
        <v>2276</v>
      </c>
      <c r="L483" s="21" t="s">
        <v>2276</v>
      </c>
      <c r="M483" s="21" t="s">
        <v>2276</v>
      </c>
      <c r="N483" s="21" t="s">
        <v>2276</v>
      </c>
      <c r="O483" s="21" t="s">
        <v>2276</v>
      </c>
      <c r="P483" s="21" t="s">
        <v>2276</v>
      </c>
      <c r="Q483" s="102" t="s">
        <v>2276</v>
      </c>
      <c r="R483" s="102" t="s">
        <v>2276</v>
      </c>
      <c r="S483" s="21" t="s">
        <v>2376</v>
      </c>
      <c r="T483" s="21" t="s">
        <v>2276</v>
      </c>
      <c r="U483" s="21" t="s">
        <v>2276</v>
      </c>
      <c r="V483" s="21" t="s">
        <v>2276</v>
      </c>
      <c r="W483" s="21" t="s">
        <v>2276</v>
      </c>
      <c r="X483" s="3" t="s">
        <v>2276</v>
      </c>
      <c r="Y483" s="3" t="s">
        <v>2276</v>
      </c>
      <c r="Z483" s="3" t="s">
        <v>2276</v>
      </c>
      <c r="AA483" s="4" t="s">
        <v>754</v>
      </c>
      <c r="AB483" s="4" t="s">
        <v>2030</v>
      </c>
    </row>
    <row r="484" spans="1:28" ht="68" customHeight="1">
      <c r="A484" s="6" t="str">
        <f>'Reported burning'!A484</f>
        <v>42b</v>
      </c>
      <c r="B484" s="6" t="str">
        <f>'Reported burning'!B484</f>
        <v>42b.2</v>
      </c>
      <c r="C484" s="6" t="str">
        <f>'Reported burning'!C484</f>
        <v>Human, deliberate</v>
      </c>
      <c r="D484" s="6" t="str">
        <f>'Reported burning'!D484</f>
        <v>Crop field preparation</v>
      </c>
      <c r="E484" s="6" t="str">
        <f>'Reported burning'!E484</f>
        <v>Cropping, Monoculture, Subsistence-oriented</v>
      </c>
      <c r="F484" s="6" t="str">
        <f>'Reported burning'!F484</f>
        <v>Cropland</v>
      </c>
      <c r="G484" s="6" t="str">
        <f>'Reported burning'!G484</f>
        <v>ND</v>
      </c>
      <c r="H484" s="6" t="str">
        <f>'Reported burning'!H484</f>
        <v>Absence</v>
      </c>
      <c r="I484" s="3"/>
      <c r="J484" s="21" t="s">
        <v>2364</v>
      </c>
      <c r="K484" s="103" t="s">
        <v>2364</v>
      </c>
      <c r="L484" s="21" t="s">
        <v>2364</v>
      </c>
      <c r="M484" s="21" t="s">
        <v>2364</v>
      </c>
      <c r="N484" s="21" t="s">
        <v>2364</v>
      </c>
      <c r="O484" s="21" t="s">
        <v>2364</v>
      </c>
      <c r="P484" s="21" t="s">
        <v>2364</v>
      </c>
      <c r="Q484" s="21" t="s">
        <v>2364</v>
      </c>
      <c r="R484" s="21" t="s">
        <v>2364</v>
      </c>
      <c r="S484" s="21" t="s">
        <v>2364</v>
      </c>
      <c r="T484" s="21" t="s">
        <v>2364</v>
      </c>
      <c r="U484" s="21" t="s">
        <v>2364</v>
      </c>
      <c r="V484" s="21" t="s">
        <v>2364</v>
      </c>
      <c r="W484" s="74" t="s">
        <v>2276</v>
      </c>
      <c r="X484" s="3" t="s">
        <v>2276</v>
      </c>
      <c r="Y484" s="3" t="s">
        <v>2276</v>
      </c>
      <c r="Z484" s="3" t="s">
        <v>2276</v>
      </c>
      <c r="AA484" s="4" t="s">
        <v>710</v>
      </c>
      <c r="AB484" s="3"/>
    </row>
    <row r="485" spans="1:28" ht="73" customHeight="1">
      <c r="A485" s="6" t="str">
        <f>'Reported burning'!A485</f>
        <v>42c</v>
      </c>
      <c r="B485" s="6" t="str">
        <f>'Reported burning'!B485</f>
        <v>42c.1</v>
      </c>
      <c r="C485" s="6" t="str">
        <f>'Reported burning'!C485</f>
        <v>Human, deliberate</v>
      </c>
      <c r="D485" s="6" t="str">
        <f>'Reported burning'!D485</f>
        <v>Crop field preparation</v>
      </c>
      <c r="E485" s="6" t="str">
        <f>'Reported burning'!E485</f>
        <v>Cropping, Swidden</v>
      </c>
      <c r="F485" s="6" t="str">
        <f>'Reported burning'!F485</f>
        <v>Cropland</v>
      </c>
      <c r="G485" s="6" t="str">
        <f>'Reported burning'!G485</f>
        <v>ND</v>
      </c>
      <c r="H485" s="6" t="str">
        <f>'Reported burning'!H485</f>
        <v>Presence</v>
      </c>
      <c r="I485" s="3"/>
      <c r="J485" s="21" t="s">
        <v>2276</v>
      </c>
      <c r="K485" s="103" t="s">
        <v>2276</v>
      </c>
      <c r="L485" s="21" t="s">
        <v>2276</v>
      </c>
      <c r="M485" s="21" t="s">
        <v>2276</v>
      </c>
      <c r="N485" s="21" t="s">
        <v>2276</v>
      </c>
      <c r="O485" s="21" t="s">
        <v>2276</v>
      </c>
      <c r="P485" s="21" t="s">
        <v>2276</v>
      </c>
      <c r="Q485" s="102" t="s">
        <v>2276</v>
      </c>
      <c r="R485" s="102" t="s">
        <v>2276</v>
      </c>
      <c r="S485" s="21" t="s">
        <v>2376</v>
      </c>
      <c r="T485" s="21" t="s">
        <v>2276</v>
      </c>
      <c r="U485" s="21" t="s">
        <v>2276</v>
      </c>
      <c r="V485" s="21" t="s">
        <v>2276</v>
      </c>
      <c r="W485" s="21" t="s">
        <v>2276</v>
      </c>
      <c r="X485" s="3" t="s">
        <v>2276</v>
      </c>
      <c r="Y485" s="3" t="s">
        <v>2276</v>
      </c>
      <c r="Z485" s="3" t="s">
        <v>2276</v>
      </c>
      <c r="AA485" s="4" t="s">
        <v>754</v>
      </c>
      <c r="AB485" s="4" t="s">
        <v>2030</v>
      </c>
    </row>
    <row r="486" spans="1:28" ht="70" customHeight="1">
      <c r="A486" s="6" t="str">
        <f>'Reported burning'!A486</f>
        <v>42c</v>
      </c>
      <c r="B486" s="6" t="str">
        <f>'Reported burning'!B486</f>
        <v>42c.2</v>
      </c>
      <c r="C486" s="6" t="str">
        <f>'Reported burning'!C486</f>
        <v>Human, deliberate</v>
      </c>
      <c r="D486" s="6" t="str">
        <f>'Reported burning'!D486</f>
        <v>Crop field preparation</v>
      </c>
      <c r="E486" s="6" t="str">
        <f>'Reported burning'!E486</f>
        <v>Cropping, Monoculture, Subsistence-oriented</v>
      </c>
      <c r="F486" s="6" t="str">
        <f>'Reported burning'!F486</f>
        <v>Cropland</v>
      </c>
      <c r="G486" s="6" t="str">
        <f>'Reported burning'!G486</f>
        <v>ND</v>
      </c>
      <c r="H486" s="6" t="str">
        <f>'Reported burning'!H486</f>
        <v>Absence</v>
      </c>
      <c r="I486" s="3"/>
      <c r="J486" s="21" t="s">
        <v>2364</v>
      </c>
      <c r="K486" s="103" t="s">
        <v>2364</v>
      </c>
      <c r="L486" s="21" t="s">
        <v>2364</v>
      </c>
      <c r="M486" s="21" t="s">
        <v>2364</v>
      </c>
      <c r="N486" s="21" t="s">
        <v>2364</v>
      </c>
      <c r="O486" s="21" t="s">
        <v>2364</v>
      </c>
      <c r="P486" s="21" t="s">
        <v>2364</v>
      </c>
      <c r="Q486" s="21" t="s">
        <v>2364</v>
      </c>
      <c r="R486" s="21" t="s">
        <v>2364</v>
      </c>
      <c r="S486" s="21" t="s">
        <v>2364</v>
      </c>
      <c r="T486" s="21" t="s">
        <v>2364</v>
      </c>
      <c r="U486" s="21" t="s">
        <v>2364</v>
      </c>
      <c r="V486" s="21" t="s">
        <v>2364</v>
      </c>
      <c r="W486" s="74" t="s">
        <v>2276</v>
      </c>
      <c r="X486" s="3" t="s">
        <v>2276</v>
      </c>
      <c r="Y486" s="3" t="s">
        <v>2276</v>
      </c>
      <c r="Z486" s="3" t="s">
        <v>2276</v>
      </c>
      <c r="AA486" s="4" t="s">
        <v>710</v>
      </c>
      <c r="AB486" s="3"/>
    </row>
    <row r="487" spans="1:28" ht="75" customHeight="1">
      <c r="A487" s="6" t="str">
        <f>'Reported burning'!A487</f>
        <v>42d</v>
      </c>
      <c r="B487" s="6" t="str">
        <f>'Reported burning'!B487</f>
        <v>42d.1</v>
      </c>
      <c r="C487" s="6" t="str">
        <f>'Reported burning'!C487</f>
        <v>Human, deliberate</v>
      </c>
      <c r="D487" s="6" t="str">
        <f>'Reported burning'!D487</f>
        <v>Crop field preparation</v>
      </c>
      <c r="E487" s="6" t="str">
        <f>'Reported burning'!E487</f>
        <v>Cropping, Swidden</v>
      </c>
      <c r="F487" s="6" t="str">
        <f>'Reported burning'!F487</f>
        <v>Secondary Vegetation</v>
      </c>
      <c r="G487" s="6" t="str">
        <f>'Reported burning'!G487</f>
        <v>ND</v>
      </c>
      <c r="H487" s="6" t="str">
        <f>'Reported burning'!H487</f>
        <v>Presence</v>
      </c>
      <c r="I487" s="3"/>
      <c r="J487" s="21" t="s">
        <v>2276</v>
      </c>
      <c r="K487" s="103" t="s">
        <v>2276</v>
      </c>
      <c r="L487" s="21" t="s">
        <v>2276</v>
      </c>
      <c r="M487" s="21" t="s">
        <v>2276</v>
      </c>
      <c r="N487" s="21" t="s">
        <v>2276</v>
      </c>
      <c r="O487" s="21" t="s">
        <v>2276</v>
      </c>
      <c r="P487" s="21" t="s">
        <v>2276</v>
      </c>
      <c r="Q487" s="102" t="s">
        <v>2276</v>
      </c>
      <c r="R487" s="102" t="s">
        <v>2276</v>
      </c>
      <c r="S487" s="21" t="s">
        <v>2374</v>
      </c>
      <c r="T487" s="21" t="s">
        <v>2276</v>
      </c>
      <c r="U487" s="21" t="s">
        <v>2276</v>
      </c>
      <c r="V487" s="21" t="s">
        <v>2276</v>
      </c>
      <c r="W487" s="74" t="s">
        <v>2403</v>
      </c>
      <c r="X487" s="3" t="s">
        <v>2276</v>
      </c>
      <c r="Y487" s="3" t="s">
        <v>2276</v>
      </c>
      <c r="Z487" s="3" t="s">
        <v>2276</v>
      </c>
      <c r="AA487" s="3" t="s">
        <v>718</v>
      </c>
      <c r="AB487" s="4" t="s">
        <v>2031</v>
      </c>
    </row>
    <row r="488" spans="1:28" ht="65" customHeight="1">
      <c r="A488" s="6" t="str">
        <f>'Reported burning'!A488</f>
        <v>42d</v>
      </c>
      <c r="B488" s="6" t="str">
        <f>'Reported burning'!B488</f>
        <v>42d.2</v>
      </c>
      <c r="C488" s="6" t="str">
        <f>'Reported burning'!C488</f>
        <v>Human, deliberate</v>
      </c>
      <c r="D488" s="6" t="str">
        <f>'Reported burning'!D488</f>
        <v>Crop field preparation</v>
      </c>
      <c r="E488" s="6" t="str">
        <f>'Reported burning'!E488</f>
        <v>Cropping, Monoculture, Subsistence-oriented</v>
      </c>
      <c r="F488" s="6" t="str">
        <f>'Reported burning'!F488</f>
        <v>Cropland</v>
      </c>
      <c r="G488" s="6" t="str">
        <f>'Reported burning'!G488</f>
        <v>ND</v>
      </c>
      <c r="H488" s="6" t="str">
        <f>'Reported burning'!H488</f>
        <v>Absence</v>
      </c>
      <c r="I488" s="3"/>
      <c r="J488" s="21" t="s">
        <v>2364</v>
      </c>
      <c r="K488" s="103" t="s">
        <v>2364</v>
      </c>
      <c r="L488" s="21" t="s">
        <v>2364</v>
      </c>
      <c r="M488" s="21" t="s">
        <v>2364</v>
      </c>
      <c r="N488" s="21" t="s">
        <v>2364</v>
      </c>
      <c r="O488" s="21" t="s">
        <v>2364</v>
      </c>
      <c r="P488" s="21" t="s">
        <v>2364</v>
      </c>
      <c r="Q488" s="21" t="s">
        <v>2364</v>
      </c>
      <c r="R488" s="21" t="s">
        <v>2364</v>
      </c>
      <c r="S488" s="21" t="s">
        <v>2364</v>
      </c>
      <c r="T488" s="21" t="s">
        <v>2364</v>
      </c>
      <c r="U488" s="21" t="s">
        <v>2364</v>
      </c>
      <c r="V488" s="21" t="s">
        <v>2364</v>
      </c>
      <c r="W488" s="74" t="s">
        <v>2276</v>
      </c>
      <c r="X488" s="3" t="s">
        <v>2276</v>
      </c>
      <c r="Y488" s="3" t="s">
        <v>2276</v>
      </c>
      <c r="Z488" s="3" t="s">
        <v>2276</v>
      </c>
      <c r="AA488" s="3" t="s">
        <v>746</v>
      </c>
      <c r="AB488" s="3"/>
    </row>
    <row r="489" spans="1:28" ht="64" customHeight="1">
      <c r="A489" s="6" t="str">
        <f>'Reported burning'!A489</f>
        <v>42e</v>
      </c>
      <c r="B489" s="6" t="str">
        <f>'Reported burning'!B489</f>
        <v>42e.1</v>
      </c>
      <c r="C489" s="6" t="str">
        <f>'Reported burning'!C489</f>
        <v>Human, deliberate</v>
      </c>
      <c r="D489" s="6" t="str">
        <f>'Reported burning'!D489</f>
        <v>Crop field preparation</v>
      </c>
      <c r="E489" s="6" t="str">
        <f>'Reported burning'!E489</f>
        <v>Cropping, Swidden</v>
      </c>
      <c r="F489" s="6" t="str">
        <f>'Reported burning'!F489</f>
        <v>Secondary Vegetation</v>
      </c>
      <c r="G489" s="6" t="str">
        <f>'Reported burning'!G489</f>
        <v>ND</v>
      </c>
      <c r="H489" s="6" t="str">
        <f>'Reported burning'!H489</f>
        <v>Presence</v>
      </c>
      <c r="I489" s="3"/>
      <c r="J489" s="21" t="s">
        <v>2276</v>
      </c>
      <c r="K489" s="103" t="s">
        <v>2276</v>
      </c>
      <c r="L489" s="21" t="s">
        <v>2276</v>
      </c>
      <c r="M489" s="21" t="s">
        <v>2276</v>
      </c>
      <c r="N489" s="21" t="s">
        <v>2276</v>
      </c>
      <c r="O489" s="21" t="s">
        <v>2276</v>
      </c>
      <c r="P489" s="21" t="s">
        <v>2276</v>
      </c>
      <c r="Q489" s="102" t="s">
        <v>2276</v>
      </c>
      <c r="R489" s="102" t="s">
        <v>2276</v>
      </c>
      <c r="S489" s="21" t="s">
        <v>2374</v>
      </c>
      <c r="T489" s="21" t="s">
        <v>2276</v>
      </c>
      <c r="U489" s="21" t="s">
        <v>2276</v>
      </c>
      <c r="V489" s="21" t="s">
        <v>2276</v>
      </c>
      <c r="W489" s="21" t="s">
        <v>2403</v>
      </c>
      <c r="X489" s="3" t="s">
        <v>2276</v>
      </c>
      <c r="Y489" s="3" t="s">
        <v>2276</v>
      </c>
      <c r="Z489" s="3" t="s">
        <v>2276</v>
      </c>
      <c r="AA489" s="3" t="s">
        <v>718</v>
      </c>
      <c r="AB489" s="4" t="s">
        <v>2031</v>
      </c>
    </row>
    <row r="490" spans="1:28" ht="60" customHeight="1">
      <c r="A490" s="6" t="str">
        <f>'Reported burning'!A490</f>
        <v>42e</v>
      </c>
      <c r="B490" s="6" t="str">
        <f>'Reported burning'!B490</f>
        <v>42e.2</v>
      </c>
      <c r="C490" s="6" t="str">
        <f>'Reported burning'!C490</f>
        <v>Human, deliberate</v>
      </c>
      <c r="D490" s="6" t="str">
        <f>'Reported burning'!D490</f>
        <v>Crop field preparation</v>
      </c>
      <c r="E490" s="6" t="str">
        <f>'Reported burning'!E490</f>
        <v>Cropping, Monoculture, Subsistence-oriented</v>
      </c>
      <c r="F490" s="6" t="str">
        <f>'Reported burning'!F490</f>
        <v>Cropland</v>
      </c>
      <c r="G490" s="6" t="str">
        <f>'Reported burning'!G490</f>
        <v>ND</v>
      </c>
      <c r="H490" s="6" t="str">
        <f>'Reported burning'!H490</f>
        <v>Absence</v>
      </c>
      <c r="I490" s="3"/>
      <c r="J490" s="21" t="s">
        <v>2364</v>
      </c>
      <c r="K490" s="103" t="s">
        <v>2364</v>
      </c>
      <c r="L490" s="21" t="s">
        <v>2364</v>
      </c>
      <c r="M490" s="21" t="s">
        <v>2364</v>
      </c>
      <c r="N490" s="21" t="s">
        <v>2364</v>
      </c>
      <c r="O490" s="21" t="s">
        <v>2364</v>
      </c>
      <c r="P490" s="21" t="s">
        <v>2364</v>
      </c>
      <c r="Q490" s="21" t="s">
        <v>2364</v>
      </c>
      <c r="R490" s="21" t="s">
        <v>2364</v>
      </c>
      <c r="S490" s="21" t="s">
        <v>2364</v>
      </c>
      <c r="T490" s="21" t="s">
        <v>2364</v>
      </c>
      <c r="U490" s="21" t="s">
        <v>2364</v>
      </c>
      <c r="V490" s="21" t="s">
        <v>2364</v>
      </c>
      <c r="W490" s="21" t="s">
        <v>2276</v>
      </c>
      <c r="X490" s="3" t="s">
        <v>2276</v>
      </c>
      <c r="Y490" s="3" t="s">
        <v>2276</v>
      </c>
      <c r="Z490" s="3" t="s">
        <v>2276</v>
      </c>
      <c r="AA490" s="3" t="s">
        <v>746</v>
      </c>
      <c r="AB490" s="3"/>
    </row>
    <row r="491" spans="1:28" ht="78.5" customHeight="1">
      <c r="A491" s="6" t="str">
        <f>'Reported burning'!A491</f>
        <v>42f</v>
      </c>
      <c r="B491" s="6" t="str">
        <f>'Reported burning'!B491</f>
        <v>42f.1</v>
      </c>
      <c r="C491" s="6" t="str">
        <f>'Reported burning'!C491</f>
        <v>Human, deliberate</v>
      </c>
      <c r="D491" s="6" t="str">
        <f>'Reported burning'!D491</f>
        <v>Crop field preparation</v>
      </c>
      <c r="E491" s="6" t="str">
        <f>'Reported burning'!E491</f>
        <v>Cropping, Swidden</v>
      </c>
      <c r="F491" s="6" t="str">
        <f>'Reported burning'!F491</f>
        <v>Secondary Vegetation</v>
      </c>
      <c r="G491" s="6" t="str">
        <f>'Reported burning'!G491</f>
        <v>ND</v>
      </c>
      <c r="H491" s="6" t="str">
        <f>'Reported burning'!H491</f>
        <v>Presence</v>
      </c>
      <c r="I491" s="3"/>
      <c r="J491" s="21" t="s">
        <v>2276</v>
      </c>
      <c r="K491" s="103" t="s">
        <v>2276</v>
      </c>
      <c r="L491" s="21" t="s">
        <v>2276</v>
      </c>
      <c r="M491" s="21" t="s">
        <v>2276</v>
      </c>
      <c r="N491" s="21" t="s">
        <v>2276</v>
      </c>
      <c r="O491" s="21" t="s">
        <v>2276</v>
      </c>
      <c r="P491" s="21" t="s">
        <v>2276</v>
      </c>
      <c r="Q491" s="102" t="s">
        <v>2276</v>
      </c>
      <c r="R491" s="102" t="s">
        <v>2276</v>
      </c>
      <c r="S491" s="21" t="s">
        <v>2374</v>
      </c>
      <c r="T491" s="21" t="s">
        <v>2276</v>
      </c>
      <c r="U491" s="21" t="s">
        <v>2276</v>
      </c>
      <c r="V491" s="21" t="s">
        <v>2276</v>
      </c>
      <c r="W491" s="21" t="s">
        <v>2403</v>
      </c>
      <c r="X491" s="3" t="s">
        <v>2276</v>
      </c>
      <c r="Y491" s="3" t="s">
        <v>2276</v>
      </c>
      <c r="Z491" s="3" t="s">
        <v>2276</v>
      </c>
      <c r="AA491" s="3" t="s">
        <v>718</v>
      </c>
      <c r="AB491" s="4" t="s">
        <v>2031</v>
      </c>
    </row>
    <row r="492" spans="1:28" ht="57" customHeight="1">
      <c r="A492" s="6" t="str">
        <f>'Reported burning'!A492</f>
        <v>42f</v>
      </c>
      <c r="B492" s="6" t="str">
        <f>'Reported burning'!B492</f>
        <v>42f.2</v>
      </c>
      <c r="C492" s="6" t="str">
        <f>'Reported burning'!C492</f>
        <v>Human, deliberate</v>
      </c>
      <c r="D492" s="6" t="str">
        <f>'Reported burning'!D492</f>
        <v>Crop field preparation</v>
      </c>
      <c r="E492" s="6" t="str">
        <f>'Reported burning'!E492</f>
        <v>Cropping, Monoculture, Subsistence-oriented</v>
      </c>
      <c r="F492" s="6" t="str">
        <f>'Reported burning'!F492</f>
        <v>Cropland</v>
      </c>
      <c r="G492" s="6" t="str">
        <f>'Reported burning'!G492</f>
        <v>ND</v>
      </c>
      <c r="H492" s="6" t="str">
        <f>'Reported burning'!H492</f>
        <v>Absence</v>
      </c>
      <c r="I492" s="3"/>
      <c r="J492" s="21" t="s">
        <v>2364</v>
      </c>
      <c r="K492" s="103" t="s">
        <v>2364</v>
      </c>
      <c r="L492" s="21" t="s">
        <v>2364</v>
      </c>
      <c r="M492" s="21" t="s">
        <v>2364</v>
      </c>
      <c r="N492" s="21" t="s">
        <v>2364</v>
      </c>
      <c r="O492" s="21" t="s">
        <v>2364</v>
      </c>
      <c r="P492" s="21" t="s">
        <v>2364</v>
      </c>
      <c r="Q492" s="21" t="s">
        <v>2364</v>
      </c>
      <c r="R492" s="21" t="s">
        <v>2364</v>
      </c>
      <c r="S492" s="21" t="s">
        <v>2364</v>
      </c>
      <c r="T492" s="21" t="s">
        <v>2364</v>
      </c>
      <c r="U492" s="21" t="s">
        <v>2364</v>
      </c>
      <c r="V492" s="21" t="s">
        <v>2364</v>
      </c>
      <c r="W492" s="21" t="s">
        <v>2276</v>
      </c>
      <c r="X492" s="3" t="s">
        <v>2276</v>
      </c>
      <c r="Y492" s="3" t="s">
        <v>2276</v>
      </c>
      <c r="Z492" s="3" t="s">
        <v>2276</v>
      </c>
      <c r="AA492" s="3" t="s">
        <v>746</v>
      </c>
      <c r="AB492" s="3"/>
    </row>
    <row r="493" spans="1:28" ht="39.5" customHeight="1">
      <c r="A493" s="6" t="str">
        <f>'Reported burning'!A493</f>
        <v>43a</v>
      </c>
      <c r="B493" s="6" t="str">
        <f>'Reported burning'!B493</f>
        <v>43a.1</v>
      </c>
      <c r="C493" s="6" t="str">
        <f>'Reported burning'!C493</f>
        <v>Human, deliberate</v>
      </c>
      <c r="D493" s="6" t="str">
        <f>'Reported burning'!D493</f>
        <v>Crop field preparation</v>
      </c>
      <c r="E493" s="6" t="str">
        <f>'Reported burning'!E493</f>
        <v>Cropping, Swidden</v>
      </c>
      <c r="F493" s="6" t="str">
        <f>'Reported burning'!F493</f>
        <v>Secondary Vegetation</v>
      </c>
      <c r="G493" s="6" t="str">
        <f>'Reported burning'!G493</f>
        <v>ND</v>
      </c>
      <c r="H493" s="6" t="str">
        <f>'Reported burning'!H493</f>
        <v>Presence</v>
      </c>
      <c r="I493" s="3"/>
      <c r="J493" s="21" t="s">
        <v>2276</v>
      </c>
      <c r="K493" s="103" t="s">
        <v>2276</v>
      </c>
      <c r="L493" s="21" t="s">
        <v>2276</v>
      </c>
      <c r="M493" s="21" t="s">
        <v>2276</v>
      </c>
      <c r="N493" s="21" t="s">
        <v>2276</v>
      </c>
      <c r="O493" s="21" t="s">
        <v>2276</v>
      </c>
      <c r="P493" s="21" t="s">
        <v>2276</v>
      </c>
      <c r="Q493" s="102" t="s">
        <v>2276</v>
      </c>
      <c r="R493" s="102" t="s">
        <v>2276</v>
      </c>
      <c r="S493" s="21" t="s">
        <v>2276</v>
      </c>
      <c r="T493" s="21" t="s">
        <v>2276</v>
      </c>
      <c r="U493" s="21" t="s">
        <v>2276</v>
      </c>
      <c r="V493" s="21" t="s">
        <v>2276</v>
      </c>
      <c r="W493" s="21" t="s">
        <v>2402</v>
      </c>
      <c r="X493" s="3" t="s">
        <v>2276</v>
      </c>
      <c r="Y493" s="3" t="s">
        <v>2276</v>
      </c>
      <c r="Z493" s="3" t="s">
        <v>2276</v>
      </c>
      <c r="AA493" s="3" t="s">
        <v>718</v>
      </c>
      <c r="AB493" s="3" t="s">
        <v>2044</v>
      </c>
    </row>
    <row r="494" spans="1:28" ht="39.5" customHeight="1">
      <c r="A494" s="6" t="str">
        <f>'Reported burning'!A494</f>
        <v>43a</v>
      </c>
      <c r="B494" s="6" t="str">
        <f>'Reported burning'!B494</f>
        <v>43a.2</v>
      </c>
      <c r="C494" s="6" t="str">
        <f>'Reported burning'!C494</f>
        <v>Human, deliberate</v>
      </c>
      <c r="D494" s="6" t="str">
        <f>'Reported burning'!D494</f>
        <v>Crop field preparation</v>
      </c>
      <c r="E494" s="6" t="str">
        <f>'Reported burning'!E494</f>
        <v>Cropping, Monoculture, Subsistence-oriented</v>
      </c>
      <c r="F494" s="6" t="str">
        <f>'Reported burning'!F494</f>
        <v>Cropland</v>
      </c>
      <c r="G494" s="6" t="str">
        <f>'Reported burning'!G494</f>
        <v>ND</v>
      </c>
      <c r="H494" s="6" t="str">
        <f>'Reported burning'!H494</f>
        <v>Absence</v>
      </c>
      <c r="I494" s="3"/>
      <c r="J494" s="21" t="s">
        <v>2364</v>
      </c>
      <c r="K494" s="103" t="s">
        <v>2364</v>
      </c>
      <c r="L494" s="21" t="s">
        <v>2364</v>
      </c>
      <c r="M494" s="21" t="s">
        <v>2364</v>
      </c>
      <c r="N494" s="21" t="s">
        <v>2364</v>
      </c>
      <c r="O494" s="21" t="s">
        <v>2364</v>
      </c>
      <c r="P494" s="21" t="s">
        <v>2364</v>
      </c>
      <c r="Q494" s="21" t="s">
        <v>2364</v>
      </c>
      <c r="R494" s="21" t="s">
        <v>2364</v>
      </c>
      <c r="S494" s="21" t="s">
        <v>2364</v>
      </c>
      <c r="T494" s="21" t="s">
        <v>2364</v>
      </c>
      <c r="U494" s="21" t="s">
        <v>2364</v>
      </c>
      <c r="V494" s="21" t="s">
        <v>2364</v>
      </c>
      <c r="W494" s="21" t="s">
        <v>2276</v>
      </c>
      <c r="X494" s="3" t="s">
        <v>2276</v>
      </c>
      <c r="Y494" s="3" t="s">
        <v>2276</v>
      </c>
      <c r="Z494" s="3" t="s">
        <v>2276</v>
      </c>
      <c r="AA494" s="3" t="s">
        <v>746</v>
      </c>
      <c r="AB494" s="3"/>
    </row>
    <row r="495" spans="1:28" ht="38" customHeight="1">
      <c r="A495" s="6" t="str">
        <f>'Reported burning'!A495</f>
        <v>43b</v>
      </c>
      <c r="B495" s="6" t="str">
        <f>'Reported burning'!B495</f>
        <v>43b.1</v>
      </c>
      <c r="C495" s="6" t="str">
        <f>'Reported burning'!C495</f>
        <v>Human, deliberate</v>
      </c>
      <c r="D495" s="6" t="str">
        <f>'Reported burning'!D495</f>
        <v>Crop field preparation</v>
      </c>
      <c r="E495" s="6" t="str">
        <f>'Reported burning'!E495</f>
        <v>Cropping, Swidden</v>
      </c>
      <c r="F495" s="6" t="str">
        <f>'Reported burning'!F495</f>
        <v>Secondary Vegetation</v>
      </c>
      <c r="G495" s="6" t="str">
        <f>'Reported burning'!G495</f>
        <v>ND</v>
      </c>
      <c r="H495" s="6" t="str">
        <f>'Reported burning'!H495</f>
        <v>Presence</v>
      </c>
      <c r="I495" s="3"/>
      <c r="J495" s="21" t="s">
        <v>2276</v>
      </c>
      <c r="K495" s="103" t="s">
        <v>2276</v>
      </c>
      <c r="L495" s="21" t="s">
        <v>2276</v>
      </c>
      <c r="M495" s="21" t="s">
        <v>2276</v>
      </c>
      <c r="N495" s="21" t="s">
        <v>2276</v>
      </c>
      <c r="O495" s="21" t="s">
        <v>2276</v>
      </c>
      <c r="P495" s="21" t="s">
        <v>2276</v>
      </c>
      <c r="Q495" s="102" t="s">
        <v>2276</v>
      </c>
      <c r="R495" s="102" t="s">
        <v>2276</v>
      </c>
      <c r="S495" s="21" t="s">
        <v>2276</v>
      </c>
      <c r="T495" s="21" t="s">
        <v>2276</v>
      </c>
      <c r="U495" s="21" t="s">
        <v>2276</v>
      </c>
      <c r="V495" s="21" t="s">
        <v>2276</v>
      </c>
      <c r="W495" s="21" t="s">
        <v>2402</v>
      </c>
      <c r="X495" s="3" t="s">
        <v>2276</v>
      </c>
      <c r="Y495" s="3" t="s">
        <v>2276</v>
      </c>
      <c r="Z495" s="3" t="s">
        <v>2276</v>
      </c>
      <c r="AA495" s="3" t="s">
        <v>718</v>
      </c>
      <c r="AB495" s="3" t="s">
        <v>2044</v>
      </c>
    </row>
    <row r="496" spans="1:28" ht="38" customHeight="1">
      <c r="A496" s="6" t="str">
        <f>'Reported burning'!A496</f>
        <v>43b</v>
      </c>
      <c r="B496" s="6" t="str">
        <f>'Reported burning'!B496</f>
        <v>43b.2</v>
      </c>
      <c r="C496" s="6" t="str">
        <f>'Reported burning'!C496</f>
        <v>Human, deliberate</v>
      </c>
      <c r="D496" s="6" t="str">
        <f>'Reported burning'!D496</f>
        <v>Crop field preparation</v>
      </c>
      <c r="E496" s="6" t="str">
        <f>'Reported burning'!E496</f>
        <v>Cropping, Monoculture, Subsistence-oriented</v>
      </c>
      <c r="F496" s="6" t="str">
        <f>'Reported burning'!F496</f>
        <v>Cropland</v>
      </c>
      <c r="G496" s="6" t="str">
        <f>'Reported burning'!G496</f>
        <v>ND</v>
      </c>
      <c r="H496" s="6" t="str">
        <f>'Reported burning'!H496</f>
        <v>Absence</v>
      </c>
      <c r="I496" s="3"/>
      <c r="J496" s="21" t="s">
        <v>2364</v>
      </c>
      <c r="K496" s="103" t="s">
        <v>2364</v>
      </c>
      <c r="L496" s="21" t="s">
        <v>2364</v>
      </c>
      <c r="M496" s="21" t="s">
        <v>2364</v>
      </c>
      <c r="N496" s="21" t="s">
        <v>2364</v>
      </c>
      <c r="O496" s="21" t="s">
        <v>2364</v>
      </c>
      <c r="P496" s="21" t="s">
        <v>2364</v>
      </c>
      <c r="Q496" s="21" t="s">
        <v>2364</v>
      </c>
      <c r="R496" s="21" t="s">
        <v>2364</v>
      </c>
      <c r="S496" s="21" t="s">
        <v>2364</v>
      </c>
      <c r="T496" s="21" t="s">
        <v>2364</v>
      </c>
      <c r="U496" s="21" t="s">
        <v>2364</v>
      </c>
      <c r="V496" s="21" t="s">
        <v>2364</v>
      </c>
      <c r="W496" s="21" t="s">
        <v>2276</v>
      </c>
      <c r="X496" s="3" t="s">
        <v>2276</v>
      </c>
      <c r="Y496" s="3" t="s">
        <v>2276</v>
      </c>
      <c r="Z496" s="3" t="s">
        <v>2276</v>
      </c>
      <c r="AA496" s="3" t="s">
        <v>746</v>
      </c>
      <c r="AB496" s="3"/>
    </row>
    <row r="497" spans="1:28" ht="37" customHeight="1">
      <c r="A497" s="6" t="str">
        <f>'Reported burning'!A497</f>
        <v>43c</v>
      </c>
      <c r="B497" s="6" t="str">
        <f>'Reported burning'!B497</f>
        <v>43c.1</v>
      </c>
      <c r="C497" s="6" t="str">
        <f>'Reported burning'!C497</f>
        <v>Human, deliberate</v>
      </c>
      <c r="D497" s="6" t="str">
        <f>'Reported burning'!D497</f>
        <v>Crop field preparation</v>
      </c>
      <c r="E497" s="6" t="str">
        <f>'Reported burning'!E497</f>
        <v>Cropping, Swidden</v>
      </c>
      <c r="F497" s="6" t="str">
        <f>'Reported burning'!F497</f>
        <v>Secondary Vegetation</v>
      </c>
      <c r="G497" s="6" t="str">
        <f>'Reported burning'!G497</f>
        <v>ND</v>
      </c>
      <c r="H497" s="6" t="str">
        <f>'Reported burning'!H497</f>
        <v>Presence</v>
      </c>
      <c r="I497" s="3"/>
      <c r="J497" s="21" t="s">
        <v>2276</v>
      </c>
      <c r="K497" s="103" t="s">
        <v>2276</v>
      </c>
      <c r="L497" s="21" t="s">
        <v>2276</v>
      </c>
      <c r="M497" s="21" t="s">
        <v>2276</v>
      </c>
      <c r="N497" s="21" t="s">
        <v>2276</v>
      </c>
      <c r="O497" s="21" t="s">
        <v>2276</v>
      </c>
      <c r="P497" s="21" t="s">
        <v>2276</v>
      </c>
      <c r="Q497" s="102" t="s">
        <v>2276</v>
      </c>
      <c r="R497" s="102" t="s">
        <v>2276</v>
      </c>
      <c r="S497" s="21" t="s">
        <v>2276</v>
      </c>
      <c r="T497" s="21" t="s">
        <v>2276</v>
      </c>
      <c r="U497" s="21" t="s">
        <v>2276</v>
      </c>
      <c r="V497" s="21" t="s">
        <v>2276</v>
      </c>
      <c r="W497" s="21" t="s">
        <v>2402</v>
      </c>
      <c r="X497" s="3" t="s">
        <v>2276</v>
      </c>
      <c r="Y497" s="3" t="s">
        <v>2276</v>
      </c>
      <c r="Z497" s="3" t="s">
        <v>2276</v>
      </c>
      <c r="AA497" s="3" t="s">
        <v>718</v>
      </c>
      <c r="AB497" s="3" t="s">
        <v>2044</v>
      </c>
    </row>
    <row r="498" spans="1:28" ht="38.5" customHeight="1">
      <c r="A498" s="6" t="str">
        <f>'Reported burning'!A498</f>
        <v>43c</v>
      </c>
      <c r="B498" s="6" t="str">
        <f>'Reported burning'!B498</f>
        <v>43c.2</v>
      </c>
      <c r="C498" s="6" t="str">
        <f>'Reported burning'!C498</f>
        <v>Human, deliberate</v>
      </c>
      <c r="D498" s="6" t="str">
        <f>'Reported burning'!D498</f>
        <v>Crop field preparation</v>
      </c>
      <c r="E498" s="6" t="str">
        <f>'Reported burning'!E498</f>
        <v>Cropping, Monoculture, Subsistence-oriented</v>
      </c>
      <c r="F498" s="6" t="str">
        <f>'Reported burning'!F498</f>
        <v>Cropland</v>
      </c>
      <c r="G498" s="6" t="str">
        <f>'Reported burning'!G498</f>
        <v>ND</v>
      </c>
      <c r="H498" s="6" t="str">
        <f>'Reported burning'!H498</f>
        <v>Absence</v>
      </c>
      <c r="I498" s="3"/>
      <c r="J498" s="21" t="s">
        <v>2364</v>
      </c>
      <c r="K498" s="103" t="s">
        <v>2364</v>
      </c>
      <c r="L498" s="21" t="s">
        <v>2364</v>
      </c>
      <c r="M498" s="21" t="s">
        <v>2364</v>
      </c>
      <c r="N498" s="21" t="s">
        <v>2364</v>
      </c>
      <c r="O498" s="21" t="s">
        <v>2364</v>
      </c>
      <c r="P498" s="21" t="s">
        <v>2364</v>
      </c>
      <c r="Q498" s="21" t="s">
        <v>2364</v>
      </c>
      <c r="R498" s="21" t="s">
        <v>2364</v>
      </c>
      <c r="S498" s="21" t="s">
        <v>2364</v>
      </c>
      <c r="T498" s="21" t="s">
        <v>2364</v>
      </c>
      <c r="U498" s="21" t="s">
        <v>2364</v>
      </c>
      <c r="V498" s="21" t="s">
        <v>2364</v>
      </c>
      <c r="W498" s="21" t="s">
        <v>2276</v>
      </c>
      <c r="X498" s="3" t="s">
        <v>2276</v>
      </c>
      <c r="Y498" s="3" t="s">
        <v>2276</v>
      </c>
      <c r="Z498" s="3" t="s">
        <v>2276</v>
      </c>
      <c r="AA498" s="3" t="s">
        <v>746</v>
      </c>
      <c r="AB498" s="3"/>
    </row>
    <row r="499" spans="1:28" ht="36" customHeight="1">
      <c r="A499" s="6" t="str">
        <f>'Reported burning'!A499</f>
        <v>44a</v>
      </c>
      <c r="B499" s="6" t="str">
        <f>'Reported burning'!B499</f>
        <v>44a.1</v>
      </c>
      <c r="C499" s="6" t="str">
        <f>'Reported burning'!C499</f>
        <v>Human, deliberate</v>
      </c>
      <c r="D499" s="6" t="str">
        <f>'Reported burning'!D499</f>
        <v>Crop field preparation</v>
      </c>
      <c r="E499" s="6" t="str">
        <f>'Reported burning'!E499</f>
        <v>Cropping, Swidden</v>
      </c>
      <c r="F499" s="6" t="str">
        <f>'Reported burning'!F499</f>
        <v>Secondary Vegetation</v>
      </c>
      <c r="G499" s="6" t="str">
        <f>'Reported burning'!G499</f>
        <v>ND</v>
      </c>
      <c r="H499" s="6" t="str">
        <f>'Reported burning'!H499</f>
        <v>Presence</v>
      </c>
      <c r="I499" s="3"/>
      <c r="J499" s="21" t="s">
        <v>2276</v>
      </c>
      <c r="K499" s="103" t="s">
        <v>2276</v>
      </c>
      <c r="L499" s="21" t="s">
        <v>2276</v>
      </c>
      <c r="M499" s="21" t="s">
        <v>2276</v>
      </c>
      <c r="N499" s="21" t="s">
        <v>2276</v>
      </c>
      <c r="O499" s="21" t="s">
        <v>2276</v>
      </c>
      <c r="P499" s="21" t="s">
        <v>2276</v>
      </c>
      <c r="Q499" s="102" t="s">
        <v>2276</v>
      </c>
      <c r="R499" s="102" t="s">
        <v>2276</v>
      </c>
      <c r="S499" s="21" t="s">
        <v>2276</v>
      </c>
      <c r="T499" s="21" t="s">
        <v>2276</v>
      </c>
      <c r="U499" s="21" t="s">
        <v>2276</v>
      </c>
      <c r="V499" s="21" t="s">
        <v>2276</v>
      </c>
      <c r="W499" s="3" t="s">
        <v>2276</v>
      </c>
      <c r="X499" s="3" t="s">
        <v>2276</v>
      </c>
      <c r="Y499" s="3" t="s">
        <v>2276</v>
      </c>
      <c r="Z499" s="3" t="s">
        <v>2276</v>
      </c>
      <c r="AA499" s="19" t="s">
        <v>751</v>
      </c>
      <c r="AB499" s="3"/>
    </row>
    <row r="500" spans="1:28" ht="48.5" customHeight="1">
      <c r="A500" s="6" t="str">
        <f>'Reported burning'!A500</f>
        <v>45a</v>
      </c>
      <c r="B500" s="6" t="str">
        <f>'Reported burning'!B500</f>
        <v>45a.1</v>
      </c>
      <c r="C500" s="6" t="str">
        <f>'Reported burning'!C500</f>
        <v>Human, deliberate</v>
      </c>
      <c r="D500" s="6" t="str">
        <f>'Reported burning'!D500</f>
        <v>Crop field preparation</v>
      </c>
      <c r="E500" s="6" t="str">
        <f>'Reported burning'!E500</f>
        <v>Cropping, Swidden</v>
      </c>
      <c r="F500" s="6" t="str">
        <f>'Reported burning'!F500</f>
        <v>Secondary Vegetation</v>
      </c>
      <c r="G500" s="6" t="str">
        <f>'Reported burning'!G500</f>
        <v>ND</v>
      </c>
      <c r="H500" s="6" t="str">
        <f>'Reported burning'!H500</f>
        <v>Presence</v>
      </c>
      <c r="I500" s="3"/>
      <c r="J500" s="21" t="s">
        <v>2276</v>
      </c>
      <c r="K500" s="103" t="s">
        <v>2276</v>
      </c>
      <c r="L500" s="21" t="s">
        <v>2276</v>
      </c>
      <c r="M500" s="21" t="s">
        <v>2276</v>
      </c>
      <c r="N500" s="21" t="s">
        <v>2276</v>
      </c>
      <c r="O500" s="21" t="s">
        <v>2362</v>
      </c>
      <c r="P500" s="21" t="s">
        <v>2276</v>
      </c>
      <c r="Q500" s="102" t="s">
        <v>2276</v>
      </c>
      <c r="R500" s="102" t="s">
        <v>2276</v>
      </c>
      <c r="S500" s="21" t="s">
        <v>2374</v>
      </c>
      <c r="T500" s="21" t="s">
        <v>2276</v>
      </c>
      <c r="U500" s="21" t="s">
        <v>2374</v>
      </c>
      <c r="V500" s="21" t="s">
        <v>2276</v>
      </c>
      <c r="W500" s="21" t="s">
        <v>2403</v>
      </c>
      <c r="X500" s="3" t="s">
        <v>2276</v>
      </c>
      <c r="Y500" s="3" t="s">
        <v>2276</v>
      </c>
      <c r="Z500" s="3" t="s">
        <v>2276</v>
      </c>
      <c r="AA500" s="3"/>
      <c r="AB500" s="4" t="s">
        <v>2418</v>
      </c>
    </row>
    <row r="501" spans="1:28" ht="51" customHeight="1">
      <c r="A501" s="6" t="str">
        <f>'Reported burning'!A501</f>
        <v>45b</v>
      </c>
      <c r="B501" s="6" t="str">
        <f>'Reported burning'!B501</f>
        <v>45b.1</v>
      </c>
      <c r="C501" s="6" t="str">
        <f>'Reported burning'!C501</f>
        <v>Human, deliberate</v>
      </c>
      <c r="D501" s="6" t="str">
        <f>'Reported burning'!D501</f>
        <v>Crop field preparation</v>
      </c>
      <c r="E501" s="6" t="str">
        <f>'Reported burning'!E501</f>
        <v>Cropping, Swidden</v>
      </c>
      <c r="F501" s="6" t="str">
        <f>'Reported burning'!F501</f>
        <v>Secondary Vegetation</v>
      </c>
      <c r="G501" s="6" t="str">
        <f>'Reported burning'!G501</f>
        <v>ND</v>
      </c>
      <c r="H501" s="6" t="str">
        <f>'Reported burning'!H501</f>
        <v>Presence</v>
      </c>
      <c r="I501" s="3"/>
      <c r="J501" s="21" t="s">
        <v>2276</v>
      </c>
      <c r="K501" s="103" t="s">
        <v>2276</v>
      </c>
      <c r="L501" s="21" t="s">
        <v>2276</v>
      </c>
      <c r="M501" s="21" t="s">
        <v>2276</v>
      </c>
      <c r="N501" s="21" t="s">
        <v>2276</v>
      </c>
      <c r="O501" s="21" t="s">
        <v>2375</v>
      </c>
      <c r="P501" s="21" t="s">
        <v>2276</v>
      </c>
      <c r="Q501" s="102" t="s">
        <v>2276</v>
      </c>
      <c r="R501" s="102" t="s">
        <v>2276</v>
      </c>
      <c r="S501" s="21" t="s">
        <v>2376</v>
      </c>
      <c r="T501" s="21" t="s">
        <v>2276</v>
      </c>
      <c r="U501" s="21" t="s">
        <v>2374</v>
      </c>
      <c r="V501" s="21" t="s">
        <v>2276</v>
      </c>
      <c r="W501" s="21" t="s">
        <v>2403</v>
      </c>
      <c r="X501" s="3" t="s">
        <v>2276</v>
      </c>
      <c r="Y501" s="3" t="s">
        <v>2276</v>
      </c>
      <c r="Z501" s="3" t="s">
        <v>2276</v>
      </c>
      <c r="AA501" s="3"/>
      <c r="AB501" s="4" t="s">
        <v>2418</v>
      </c>
    </row>
    <row r="502" spans="1:28" ht="58.5" customHeight="1">
      <c r="A502" s="6" t="str">
        <f>'Reported burning'!A502</f>
        <v>45c</v>
      </c>
      <c r="B502" s="6" t="str">
        <f>'Reported burning'!B502</f>
        <v>45c.1</v>
      </c>
      <c r="C502" s="6" t="str">
        <f>'Reported burning'!C502</f>
        <v>Human, deliberate</v>
      </c>
      <c r="D502" s="6" t="str">
        <f>'Reported burning'!D502</f>
        <v>Crop field preparation</v>
      </c>
      <c r="E502" s="6" t="str">
        <f>'Reported burning'!E502</f>
        <v>Cropping, Swidden</v>
      </c>
      <c r="F502" s="6" t="str">
        <f>'Reported burning'!F502</f>
        <v>Secondary Vegetation</v>
      </c>
      <c r="G502" s="6" t="str">
        <f>'Reported burning'!G502</f>
        <v>ND</v>
      </c>
      <c r="H502" s="6" t="str">
        <f>'Reported burning'!H502</f>
        <v>Presence</v>
      </c>
      <c r="I502" s="3"/>
      <c r="J502" s="21" t="s">
        <v>2276</v>
      </c>
      <c r="K502" s="103" t="s">
        <v>2276</v>
      </c>
      <c r="L502" s="21" t="s">
        <v>2276</v>
      </c>
      <c r="M502" s="21" t="s">
        <v>2276</v>
      </c>
      <c r="N502" s="21" t="s">
        <v>2276</v>
      </c>
      <c r="O502" s="21" t="s">
        <v>2375</v>
      </c>
      <c r="P502" s="21" t="s">
        <v>2276</v>
      </c>
      <c r="Q502" s="102" t="s">
        <v>2276</v>
      </c>
      <c r="R502" s="102" t="s">
        <v>2276</v>
      </c>
      <c r="S502" s="21" t="s">
        <v>2376</v>
      </c>
      <c r="T502" s="21" t="s">
        <v>2276</v>
      </c>
      <c r="U502" s="21" t="s">
        <v>2374</v>
      </c>
      <c r="V502" s="21" t="s">
        <v>2276</v>
      </c>
      <c r="W502" s="21" t="s">
        <v>2402</v>
      </c>
      <c r="X502" s="3" t="s">
        <v>2276</v>
      </c>
      <c r="Y502" s="3" t="s">
        <v>2276</v>
      </c>
      <c r="Z502" s="3" t="s">
        <v>2276</v>
      </c>
      <c r="AA502" s="3"/>
      <c r="AB502" s="4" t="s">
        <v>2418</v>
      </c>
    </row>
    <row r="503" spans="1:28" ht="43.5" customHeight="1">
      <c r="A503" s="6" t="str">
        <f>'Reported burning'!A503</f>
        <v>46a</v>
      </c>
      <c r="B503" s="6" t="str">
        <f>'Reported burning'!B503</f>
        <v>46a.1</v>
      </c>
      <c r="C503" s="6" t="str">
        <f>'Reported burning'!C503</f>
        <v>Human, deliberate</v>
      </c>
      <c r="D503" s="6" t="str">
        <f>'Reported burning'!D503</f>
        <v>Crop field preparation</v>
      </c>
      <c r="E503" s="6" t="str">
        <f>'Reported burning'!E503</f>
        <v>Cropping, Swidden</v>
      </c>
      <c r="F503" s="6" t="str">
        <f>'Reported burning'!F503</f>
        <v>Secondary Vegetation</v>
      </c>
      <c r="G503" s="6" t="str">
        <f>'Reported burning'!G503</f>
        <v>ND</v>
      </c>
      <c r="H503" s="6" t="str">
        <f>'Reported burning'!H503</f>
        <v>Presence</v>
      </c>
      <c r="I503" s="3"/>
      <c r="J503" s="21" t="s">
        <v>2276</v>
      </c>
      <c r="K503" s="103" t="s">
        <v>2362</v>
      </c>
      <c r="L503" s="21" t="s">
        <v>2276</v>
      </c>
      <c r="M503" s="21" t="s">
        <v>2276</v>
      </c>
      <c r="N503" s="21" t="s">
        <v>2276</v>
      </c>
      <c r="O503" s="21" t="s">
        <v>2362</v>
      </c>
      <c r="P503" s="21" t="s">
        <v>2276</v>
      </c>
      <c r="Q503" s="102" t="s">
        <v>2276</v>
      </c>
      <c r="R503" s="102" t="s">
        <v>2276</v>
      </c>
      <c r="S503" s="21" t="s">
        <v>2276</v>
      </c>
      <c r="T503" s="21" t="s">
        <v>2276</v>
      </c>
      <c r="U503" s="21" t="s">
        <v>2276</v>
      </c>
      <c r="V503" s="21" t="s">
        <v>2276</v>
      </c>
      <c r="W503" s="21" t="s">
        <v>2276</v>
      </c>
      <c r="X503" s="3" t="s">
        <v>86</v>
      </c>
      <c r="Y503" s="3" t="s">
        <v>86</v>
      </c>
      <c r="Z503" s="3" t="s">
        <v>64</v>
      </c>
      <c r="AA503" s="3" t="s">
        <v>636</v>
      </c>
      <c r="AB503" s="19" t="s">
        <v>771</v>
      </c>
    </row>
    <row r="504" spans="1:28" ht="58.5" customHeight="1">
      <c r="A504" s="6" t="str">
        <f>'Reported burning'!A504</f>
        <v>47a</v>
      </c>
      <c r="B504" s="6" t="str">
        <f>'Reported burning'!B504</f>
        <v>47a.1</v>
      </c>
      <c r="C504" s="6" t="str">
        <f>'Reported burning'!C504</f>
        <v>Human, deliberate</v>
      </c>
      <c r="D504" s="6" t="str">
        <f>'Reported burning'!D504</f>
        <v>Crop field preparation</v>
      </c>
      <c r="E504" s="6" t="str">
        <f>'Reported burning'!E504</f>
        <v>Cropping, Swidden</v>
      </c>
      <c r="F504" s="6" t="str">
        <f>'Reported burning'!F504</f>
        <v>Secondary Vegetation</v>
      </c>
      <c r="G504" s="6" t="str">
        <f>'Reported burning'!G504</f>
        <v>ND</v>
      </c>
      <c r="H504" s="6" t="str">
        <f>'Reported burning'!H504</f>
        <v>Presence</v>
      </c>
      <c r="I504" s="3"/>
      <c r="J504" s="21" t="s">
        <v>2276</v>
      </c>
      <c r="K504" s="103" t="s">
        <v>2362</v>
      </c>
      <c r="L504" s="21" t="s">
        <v>2276</v>
      </c>
      <c r="M504" s="21" t="s">
        <v>2362</v>
      </c>
      <c r="N504" s="21" t="s">
        <v>2276</v>
      </c>
      <c r="O504" s="74" t="s">
        <v>2362</v>
      </c>
      <c r="P504" s="74" t="s">
        <v>2276</v>
      </c>
      <c r="Q504" s="102" t="s">
        <v>2276</v>
      </c>
      <c r="R504" s="102" t="s">
        <v>2276</v>
      </c>
      <c r="S504" s="21" t="s">
        <v>2527</v>
      </c>
      <c r="T504" s="21" t="s">
        <v>2276</v>
      </c>
      <c r="U504" s="21" t="s">
        <v>2276</v>
      </c>
      <c r="V504" s="21" t="s">
        <v>2276</v>
      </c>
      <c r="W504" s="21" t="s">
        <v>2404</v>
      </c>
      <c r="X504" s="3" t="s">
        <v>2276</v>
      </c>
      <c r="Y504" s="3" t="s">
        <v>2276</v>
      </c>
      <c r="Z504" s="3" t="s">
        <v>2276</v>
      </c>
      <c r="AA504" s="3"/>
      <c r="AB504" s="4" t="s">
        <v>2049</v>
      </c>
    </row>
    <row r="505" spans="1:28" ht="33.5" customHeight="1">
      <c r="A505" s="6" t="str">
        <f>'Reported burning'!A505</f>
        <v>47a</v>
      </c>
      <c r="B505" s="6" t="str">
        <f>'Reported burning'!B505</f>
        <v>47a.2</v>
      </c>
      <c r="C505" s="6" t="str">
        <f>'Reported burning'!C505</f>
        <v>Human, deliberate</v>
      </c>
      <c r="D505" s="6" t="str">
        <f>'Reported burning'!D505</f>
        <v>Crop field preparation</v>
      </c>
      <c r="E505" s="6" t="str">
        <f>'Reported burning'!E505</f>
        <v>Cropping, Monoculture, Subsistence-oriented</v>
      </c>
      <c r="F505" s="6" t="str">
        <f>'Reported burning'!F505</f>
        <v>Cropland</v>
      </c>
      <c r="G505" s="6" t="str">
        <f>'Reported burning'!G505</f>
        <v>ND</v>
      </c>
      <c r="H505" s="6" t="str">
        <f>'Reported burning'!H505</f>
        <v>Absence</v>
      </c>
      <c r="I505" s="3"/>
      <c r="J505" s="21" t="s">
        <v>2364</v>
      </c>
      <c r="K505" s="103" t="s">
        <v>2364</v>
      </c>
      <c r="L505" s="21" t="s">
        <v>2364</v>
      </c>
      <c r="M505" s="21" t="s">
        <v>2364</v>
      </c>
      <c r="N505" s="21" t="s">
        <v>2364</v>
      </c>
      <c r="O505" s="74" t="s">
        <v>2364</v>
      </c>
      <c r="P505" s="74" t="s">
        <v>2364</v>
      </c>
      <c r="Q505" s="102" t="s">
        <v>2276</v>
      </c>
      <c r="R505" s="102" t="s">
        <v>2276</v>
      </c>
      <c r="S505" s="21" t="s">
        <v>2364</v>
      </c>
      <c r="T505" s="21" t="s">
        <v>2364</v>
      </c>
      <c r="U505" s="21" t="s">
        <v>2364</v>
      </c>
      <c r="V505" s="21" t="s">
        <v>2364</v>
      </c>
      <c r="W505" s="21" t="s">
        <v>2276</v>
      </c>
      <c r="X505" s="3" t="s">
        <v>2276</v>
      </c>
      <c r="Y505" s="3" t="s">
        <v>2276</v>
      </c>
      <c r="Z505" s="3" t="s">
        <v>2276</v>
      </c>
      <c r="AA505" s="3" t="s">
        <v>746</v>
      </c>
      <c r="AB505" s="4"/>
    </row>
    <row r="506" spans="1:28" ht="57.5" customHeight="1">
      <c r="A506" s="6" t="str">
        <f>'Reported burning'!A506</f>
        <v>47b</v>
      </c>
      <c r="B506" s="6" t="str">
        <f>'Reported burning'!B506</f>
        <v>47b.1</v>
      </c>
      <c r="C506" s="6" t="str">
        <f>'Reported burning'!C506</f>
        <v>Human, deliberate</v>
      </c>
      <c r="D506" s="6" t="str">
        <f>'Reported burning'!D506</f>
        <v>Crop field preparation</v>
      </c>
      <c r="E506" s="6" t="str">
        <f>'Reported burning'!E506</f>
        <v>Cropping, Swidden</v>
      </c>
      <c r="F506" s="6" t="str">
        <f>'Reported burning'!F506</f>
        <v>Secondary Vegetation</v>
      </c>
      <c r="G506" s="6" t="str">
        <f>'Reported burning'!G506</f>
        <v>ND</v>
      </c>
      <c r="H506" s="6" t="str">
        <f>'Reported burning'!H506</f>
        <v>Presence</v>
      </c>
      <c r="I506" s="3"/>
      <c r="J506" s="21" t="s">
        <v>2276</v>
      </c>
      <c r="K506" s="103" t="s">
        <v>2362</v>
      </c>
      <c r="L506" s="21" t="s">
        <v>2276</v>
      </c>
      <c r="M506" s="21" t="s">
        <v>2362</v>
      </c>
      <c r="N506" s="21" t="s">
        <v>2276</v>
      </c>
      <c r="O506" s="74" t="s">
        <v>2362</v>
      </c>
      <c r="P506" s="74" t="s">
        <v>2276</v>
      </c>
      <c r="Q506" s="102" t="s">
        <v>2276</v>
      </c>
      <c r="R506" s="102" t="s">
        <v>2276</v>
      </c>
      <c r="S506" s="21" t="s">
        <v>2527</v>
      </c>
      <c r="T506" s="21" t="s">
        <v>2276</v>
      </c>
      <c r="U506" s="21" t="s">
        <v>2276</v>
      </c>
      <c r="V506" s="21" t="s">
        <v>2276</v>
      </c>
      <c r="W506" s="21" t="s">
        <v>2403</v>
      </c>
      <c r="X506" s="3" t="s">
        <v>2276</v>
      </c>
      <c r="Y506" s="3" t="s">
        <v>2276</v>
      </c>
      <c r="Z506" s="3" t="s">
        <v>2276</v>
      </c>
      <c r="AA506" s="3"/>
      <c r="AB506" s="4" t="s">
        <v>2049</v>
      </c>
    </row>
    <row r="507" spans="1:28" ht="38.5" customHeight="1">
      <c r="A507" s="6" t="str">
        <f>'Reported burning'!A507</f>
        <v>47b</v>
      </c>
      <c r="B507" s="6" t="str">
        <f>'Reported burning'!B507</f>
        <v>47b.2</v>
      </c>
      <c r="C507" s="6" t="str">
        <f>'Reported burning'!C507</f>
        <v>Human, deliberate</v>
      </c>
      <c r="D507" s="6" t="str">
        <f>'Reported burning'!D507</f>
        <v>Crop field preparation</v>
      </c>
      <c r="E507" s="6" t="str">
        <f>'Reported burning'!E507</f>
        <v>Cropping, Monoculture, Subsistence-oriented</v>
      </c>
      <c r="F507" s="6" t="str">
        <f>'Reported burning'!F507</f>
        <v>Cropland</v>
      </c>
      <c r="G507" s="6" t="str">
        <f>'Reported burning'!G507</f>
        <v>ND</v>
      </c>
      <c r="H507" s="6" t="str">
        <f>'Reported burning'!H507</f>
        <v>Absence</v>
      </c>
      <c r="I507" s="3"/>
      <c r="J507" s="21" t="s">
        <v>2364</v>
      </c>
      <c r="K507" s="103" t="s">
        <v>2364</v>
      </c>
      <c r="L507" s="21" t="s">
        <v>2364</v>
      </c>
      <c r="M507" s="21" t="s">
        <v>2364</v>
      </c>
      <c r="N507" s="21" t="s">
        <v>2364</v>
      </c>
      <c r="O507" s="74" t="s">
        <v>2364</v>
      </c>
      <c r="P507" s="74" t="s">
        <v>2364</v>
      </c>
      <c r="Q507" s="102" t="s">
        <v>2276</v>
      </c>
      <c r="R507" s="102" t="s">
        <v>2276</v>
      </c>
      <c r="S507" s="21" t="s">
        <v>2364</v>
      </c>
      <c r="T507" s="21" t="s">
        <v>2364</v>
      </c>
      <c r="U507" s="21" t="s">
        <v>2364</v>
      </c>
      <c r="V507" s="21" t="s">
        <v>2364</v>
      </c>
      <c r="W507" s="21" t="s">
        <v>2276</v>
      </c>
      <c r="X507" s="3" t="s">
        <v>2276</v>
      </c>
      <c r="Y507" s="3" t="s">
        <v>2276</v>
      </c>
      <c r="Z507" s="3" t="s">
        <v>2276</v>
      </c>
      <c r="AA507" s="3" t="s">
        <v>746</v>
      </c>
      <c r="AB507" s="4"/>
    </row>
    <row r="508" spans="1:28" ht="59.5" customHeight="1">
      <c r="A508" s="6" t="str">
        <f>'Reported burning'!A508</f>
        <v>48a</v>
      </c>
      <c r="B508" s="6" t="str">
        <f>'Reported burning'!B508</f>
        <v>48a.1</v>
      </c>
      <c r="C508" s="6" t="str">
        <f>'Reported burning'!C508</f>
        <v>Human, deliberate</v>
      </c>
      <c r="D508" s="6" t="str">
        <f>'Reported burning'!D508</f>
        <v>Crop field preparation</v>
      </c>
      <c r="E508" s="6" t="str">
        <f>'Reported burning'!E508</f>
        <v>Cropping, Swidden</v>
      </c>
      <c r="F508" s="6" t="str">
        <f>'Reported burning'!F508</f>
        <v>Secondary Vegetation</v>
      </c>
      <c r="G508" s="6" t="str">
        <f>'Reported burning'!G508</f>
        <v>ND</v>
      </c>
      <c r="H508" s="6" t="str">
        <f>'Reported burning'!H508</f>
        <v>Presence</v>
      </c>
      <c r="I508" s="3">
        <v>1993</v>
      </c>
      <c r="J508" s="21" t="s">
        <v>2276</v>
      </c>
      <c r="K508" s="103" t="s">
        <v>2276</v>
      </c>
      <c r="L508" s="21" t="s">
        <v>2276</v>
      </c>
      <c r="M508" s="21" t="s">
        <v>2276</v>
      </c>
      <c r="N508" s="21" t="s">
        <v>2276</v>
      </c>
      <c r="O508" s="21" t="s">
        <v>2362</v>
      </c>
      <c r="P508" s="21" t="s">
        <v>2276</v>
      </c>
      <c r="Q508" s="102" t="s">
        <v>2276</v>
      </c>
      <c r="R508" s="102" t="s">
        <v>2276</v>
      </c>
      <c r="S508" s="21" t="s">
        <v>2276</v>
      </c>
      <c r="T508" s="21" t="s">
        <v>2276</v>
      </c>
      <c r="U508" s="21" t="s">
        <v>2276</v>
      </c>
      <c r="V508" s="21" t="s">
        <v>2276</v>
      </c>
      <c r="W508" s="21" t="s">
        <v>2276</v>
      </c>
      <c r="X508" s="3" t="s">
        <v>2276</v>
      </c>
      <c r="Y508" s="3" t="s">
        <v>2276</v>
      </c>
      <c r="Z508" s="3" t="s">
        <v>2276</v>
      </c>
      <c r="AA508" s="3"/>
      <c r="AB508" s="4" t="s">
        <v>2051</v>
      </c>
    </row>
    <row r="509" spans="1:28" ht="46" customHeight="1">
      <c r="A509" s="6" t="str">
        <f>'Reported burning'!A509</f>
        <v>48a</v>
      </c>
      <c r="B509" s="6" t="str">
        <f>'Reported burning'!B509</f>
        <v>48a.2</v>
      </c>
      <c r="C509" s="6" t="str">
        <f>'Reported burning'!C509</f>
        <v>Human, deliberate</v>
      </c>
      <c r="D509" s="6" t="str">
        <f>'Reported burning'!D509</f>
        <v>Crop field preparation</v>
      </c>
      <c r="E509" s="6" t="str">
        <f>'Reported burning'!E509</f>
        <v>Cropping, Swidden</v>
      </c>
      <c r="F509" s="6" t="str">
        <f>'Reported burning'!F509</f>
        <v>Secondary Vegetation</v>
      </c>
      <c r="G509" s="6" t="str">
        <f>'Reported burning'!G509</f>
        <v>ND</v>
      </c>
      <c r="H509" s="6" t="str">
        <f>'Reported burning'!H509</f>
        <v>Presence</v>
      </c>
      <c r="I509" s="3">
        <v>1994</v>
      </c>
      <c r="J509" s="21" t="s">
        <v>2276</v>
      </c>
      <c r="K509" s="103" t="s">
        <v>2276</v>
      </c>
      <c r="L509" s="21" t="s">
        <v>2276</v>
      </c>
      <c r="M509" s="21" t="s">
        <v>2276</v>
      </c>
      <c r="N509" s="21" t="s">
        <v>2276</v>
      </c>
      <c r="O509" s="21" t="s">
        <v>2362</v>
      </c>
      <c r="P509" s="21" t="s">
        <v>2276</v>
      </c>
      <c r="Q509" s="102" t="s">
        <v>2276</v>
      </c>
      <c r="R509" s="102" t="s">
        <v>2276</v>
      </c>
      <c r="S509" s="21" t="s">
        <v>2276</v>
      </c>
      <c r="T509" s="74" t="s">
        <v>2276</v>
      </c>
      <c r="U509" s="74" t="s">
        <v>2276</v>
      </c>
      <c r="V509" s="21" t="s">
        <v>2276</v>
      </c>
      <c r="W509" s="21" t="s">
        <v>2276</v>
      </c>
      <c r="X509" s="3" t="s">
        <v>2276</v>
      </c>
      <c r="Y509" s="3" t="s">
        <v>2276</v>
      </c>
      <c r="Z509" s="3" t="s">
        <v>2276</v>
      </c>
      <c r="AA509" s="3"/>
      <c r="AB509" s="4" t="s">
        <v>2051</v>
      </c>
    </row>
    <row r="510" spans="1:28" ht="52" customHeight="1">
      <c r="A510" s="6" t="str">
        <f>'Reported burning'!A510</f>
        <v>48a</v>
      </c>
      <c r="B510" s="6" t="str">
        <f>'Reported burning'!B510</f>
        <v>48a.3</v>
      </c>
      <c r="C510" s="6" t="str">
        <f>'Reported burning'!C510</f>
        <v>Human, deliberate</v>
      </c>
      <c r="D510" s="6" t="str">
        <f>'Reported burning'!D510</f>
        <v>Crop field preparation</v>
      </c>
      <c r="E510" s="6" t="str">
        <f>'Reported burning'!E510</f>
        <v>Cropping, Swidden</v>
      </c>
      <c r="F510" s="6" t="str">
        <f>'Reported burning'!F510</f>
        <v>Secondary Vegetation</v>
      </c>
      <c r="G510" s="6" t="str">
        <f>'Reported burning'!G510</f>
        <v>ND</v>
      </c>
      <c r="H510" s="6" t="str">
        <f>'Reported burning'!H510</f>
        <v>Presence</v>
      </c>
      <c r="I510" s="3">
        <v>1995</v>
      </c>
      <c r="J510" s="21" t="s">
        <v>2276</v>
      </c>
      <c r="K510" s="103" t="s">
        <v>2276</v>
      </c>
      <c r="L510" s="21" t="s">
        <v>2276</v>
      </c>
      <c r="M510" s="21" t="s">
        <v>2276</v>
      </c>
      <c r="N510" s="21" t="s">
        <v>2276</v>
      </c>
      <c r="O510" s="21" t="s">
        <v>2362</v>
      </c>
      <c r="P510" s="21" t="s">
        <v>2276</v>
      </c>
      <c r="Q510" s="102" t="s">
        <v>2276</v>
      </c>
      <c r="R510" s="102" t="s">
        <v>2276</v>
      </c>
      <c r="S510" s="21" t="s">
        <v>2276</v>
      </c>
      <c r="T510" s="21" t="s">
        <v>2276</v>
      </c>
      <c r="U510" s="21" t="s">
        <v>2276</v>
      </c>
      <c r="V510" s="21" t="s">
        <v>2276</v>
      </c>
      <c r="W510" s="21" t="s">
        <v>2276</v>
      </c>
      <c r="X510" s="3" t="s">
        <v>2276</v>
      </c>
      <c r="Y510" s="3" t="s">
        <v>2276</v>
      </c>
      <c r="Z510" s="3" t="s">
        <v>2276</v>
      </c>
      <c r="AA510" s="3"/>
      <c r="AB510" s="4" t="s">
        <v>2051</v>
      </c>
    </row>
    <row r="511" spans="1:28" ht="53.5" customHeight="1">
      <c r="A511" s="6" t="str">
        <f>'Reported burning'!A511</f>
        <v>48a</v>
      </c>
      <c r="B511" s="6" t="str">
        <f>'Reported burning'!B511</f>
        <v>48a.4</v>
      </c>
      <c r="C511" s="6" t="str">
        <f>'Reported burning'!C511</f>
        <v>Human, deliberate</v>
      </c>
      <c r="D511" s="6" t="str">
        <f>'Reported burning'!D511</f>
        <v>Crop field preparation</v>
      </c>
      <c r="E511" s="6" t="str">
        <f>'Reported burning'!E511</f>
        <v>Cropping, Swidden</v>
      </c>
      <c r="F511" s="6" t="str">
        <f>'Reported burning'!F511</f>
        <v>Secondary Vegetation</v>
      </c>
      <c r="G511" s="6" t="str">
        <f>'Reported burning'!G511</f>
        <v>ND</v>
      </c>
      <c r="H511" s="6" t="str">
        <f>'Reported burning'!H511</f>
        <v>Presence</v>
      </c>
      <c r="I511" s="3">
        <v>1996</v>
      </c>
      <c r="J511" s="21" t="s">
        <v>2276</v>
      </c>
      <c r="K511" s="103" t="s">
        <v>2276</v>
      </c>
      <c r="L511" s="21" t="s">
        <v>2276</v>
      </c>
      <c r="M511" s="21" t="s">
        <v>2276</v>
      </c>
      <c r="N511" s="21" t="s">
        <v>2276</v>
      </c>
      <c r="O511" s="21" t="s">
        <v>2362</v>
      </c>
      <c r="P511" s="21" t="s">
        <v>2276</v>
      </c>
      <c r="Q511" s="102" t="s">
        <v>2276</v>
      </c>
      <c r="R511" s="102" t="s">
        <v>2276</v>
      </c>
      <c r="S511" s="21" t="s">
        <v>2276</v>
      </c>
      <c r="T511" s="21" t="s">
        <v>2276</v>
      </c>
      <c r="U511" s="21" t="s">
        <v>2276</v>
      </c>
      <c r="V511" s="21" t="s">
        <v>2276</v>
      </c>
      <c r="W511" s="21" t="s">
        <v>2276</v>
      </c>
      <c r="X511" s="3" t="s">
        <v>2276</v>
      </c>
      <c r="Y511" s="3" t="s">
        <v>2276</v>
      </c>
      <c r="Z511" s="3" t="s">
        <v>2276</v>
      </c>
      <c r="AA511" s="3"/>
      <c r="AB511" s="4" t="s">
        <v>2051</v>
      </c>
    </row>
    <row r="512" spans="1:28" ht="33.5" customHeight="1">
      <c r="A512" s="6" t="str">
        <f>'Reported burning'!A512</f>
        <v>48a</v>
      </c>
      <c r="B512" s="6" t="str">
        <f>'Reported burning'!B512</f>
        <v>48a.5</v>
      </c>
      <c r="C512" s="6" t="str">
        <f>'Reported burning'!C512</f>
        <v>Human, deliberate</v>
      </c>
      <c r="D512" s="6" t="str">
        <f>'Reported burning'!D512</f>
        <v>Crop field preparation</v>
      </c>
      <c r="E512" s="6" t="str">
        <f>'Reported burning'!E512</f>
        <v>Cropping, Monoculture, Subsistence-oriented</v>
      </c>
      <c r="F512" s="6" t="str">
        <f>'Reported burning'!F512</f>
        <v>Cropland</v>
      </c>
      <c r="G512" s="6" t="str">
        <f>'Reported burning'!G512</f>
        <v>ND</v>
      </c>
      <c r="H512" s="6" t="str">
        <f>'Reported burning'!H512</f>
        <v>Absence</v>
      </c>
      <c r="I512" s="3"/>
      <c r="J512" s="21" t="s">
        <v>2364</v>
      </c>
      <c r="K512" s="103" t="s">
        <v>2364</v>
      </c>
      <c r="L512" s="21" t="s">
        <v>2364</v>
      </c>
      <c r="M512" s="21" t="s">
        <v>2364</v>
      </c>
      <c r="N512" s="21" t="s">
        <v>2364</v>
      </c>
      <c r="O512" s="21" t="s">
        <v>2364</v>
      </c>
      <c r="P512" s="21" t="s">
        <v>2364</v>
      </c>
      <c r="Q512" s="102" t="s">
        <v>2276</v>
      </c>
      <c r="R512" s="102" t="s">
        <v>2276</v>
      </c>
      <c r="S512" s="21" t="s">
        <v>2364</v>
      </c>
      <c r="T512" s="21" t="s">
        <v>2364</v>
      </c>
      <c r="U512" s="21" t="s">
        <v>2364</v>
      </c>
      <c r="V512" s="21" t="s">
        <v>2364</v>
      </c>
      <c r="W512" s="21" t="s">
        <v>2276</v>
      </c>
      <c r="X512" s="3" t="s">
        <v>2276</v>
      </c>
      <c r="Y512" s="3" t="s">
        <v>2276</v>
      </c>
      <c r="Z512" s="3" t="s">
        <v>2276</v>
      </c>
      <c r="AA512" s="3" t="s">
        <v>746</v>
      </c>
      <c r="AB512" s="3"/>
    </row>
    <row r="513" spans="1:28" ht="53.5" customHeight="1">
      <c r="A513" s="6" t="str">
        <f>'Reported burning'!A513</f>
        <v>48b</v>
      </c>
      <c r="B513" s="6" t="str">
        <f>'Reported burning'!B513</f>
        <v>48b.1</v>
      </c>
      <c r="C513" s="6" t="str">
        <f>'Reported burning'!C513</f>
        <v>Human, deliberate</v>
      </c>
      <c r="D513" s="6" t="str">
        <f>'Reported burning'!D513</f>
        <v>Crop field preparation</v>
      </c>
      <c r="E513" s="6" t="str">
        <f>'Reported burning'!E513</f>
        <v>Cropping, Swidden</v>
      </c>
      <c r="F513" s="6" t="str">
        <f>'Reported burning'!F513</f>
        <v>Secondary Vegetation</v>
      </c>
      <c r="G513" s="6" t="str">
        <f>'Reported burning'!G513</f>
        <v>ND</v>
      </c>
      <c r="H513" s="6" t="str">
        <f>'Reported burning'!H513</f>
        <v>Presence</v>
      </c>
      <c r="I513" s="11">
        <v>1996</v>
      </c>
      <c r="J513" s="21" t="s">
        <v>2276</v>
      </c>
      <c r="K513" s="103" t="s">
        <v>2276</v>
      </c>
      <c r="L513" s="21" t="s">
        <v>2276</v>
      </c>
      <c r="M513" s="21" t="s">
        <v>2276</v>
      </c>
      <c r="N513" s="21" t="s">
        <v>2276</v>
      </c>
      <c r="O513" s="21" t="s">
        <v>2362</v>
      </c>
      <c r="P513" s="21" t="s">
        <v>2276</v>
      </c>
      <c r="Q513" s="102" t="s">
        <v>2276</v>
      </c>
      <c r="R513" s="102" t="s">
        <v>2276</v>
      </c>
      <c r="S513" s="21" t="s">
        <v>2276</v>
      </c>
      <c r="T513" s="21" t="s">
        <v>2276</v>
      </c>
      <c r="U513" s="21" t="s">
        <v>2276</v>
      </c>
      <c r="V513" s="21" t="s">
        <v>2276</v>
      </c>
      <c r="W513" s="21" t="s">
        <v>2276</v>
      </c>
      <c r="X513" s="3" t="s">
        <v>2276</v>
      </c>
      <c r="Y513" s="3" t="s">
        <v>2276</v>
      </c>
      <c r="Z513" s="3" t="s">
        <v>2276</v>
      </c>
      <c r="AA513" s="3"/>
      <c r="AB513" s="4" t="s">
        <v>2051</v>
      </c>
    </row>
    <row r="514" spans="1:28" ht="35" customHeight="1">
      <c r="A514" s="6" t="str">
        <f>'Reported burning'!A514</f>
        <v>48b</v>
      </c>
      <c r="B514" s="6" t="str">
        <f>'Reported burning'!B514</f>
        <v>48b.2</v>
      </c>
      <c r="C514" s="6" t="str">
        <f>'Reported burning'!C514</f>
        <v>Human, deliberate</v>
      </c>
      <c r="D514" s="6" t="str">
        <f>'Reported burning'!D514</f>
        <v>Crop field preparation</v>
      </c>
      <c r="E514" s="6" t="str">
        <f>'Reported burning'!E514</f>
        <v>Cropping, Monoculture, Subsistence-oriented</v>
      </c>
      <c r="F514" s="6" t="str">
        <f>'Reported burning'!F514</f>
        <v>Cropland</v>
      </c>
      <c r="G514" s="6" t="str">
        <f>'Reported burning'!G514</f>
        <v>ND</v>
      </c>
      <c r="H514" s="6" t="str">
        <f>'Reported burning'!H514</f>
        <v>Absence</v>
      </c>
      <c r="I514" s="3"/>
      <c r="J514" s="21" t="s">
        <v>2364</v>
      </c>
      <c r="K514" s="103" t="s">
        <v>2364</v>
      </c>
      <c r="L514" s="21" t="s">
        <v>2364</v>
      </c>
      <c r="M514" s="21" t="s">
        <v>2364</v>
      </c>
      <c r="N514" s="21" t="s">
        <v>2364</v>
      </c>
      <c r="O514" s="21" t="s">
        <v>2364</v>
      </c>
      <c r="P514" s="21" t="s">
        <v>2364</v>
      </c>
      <c r="Q514" s="102" t="s">
        <v>2276</v>
      </c>
      <c r="R514" s="102" t="s">
        <v>2276</v>
      </c>
      <c r="S514" s="21" t="s">
        <v>2364</v>
      </c>
      <c r="T514" s="21" t="s">
        <v>2364</v>
      </c>
      <c r="U514" s="21" t="s">
        <v>2364</v>
      </c>
      <c r="V514" s="21" t="s">
        <v>2364</v>
      </c>
      <c r="W514" s="21" t="s">
        <v>2276</v>
      </c>
      <c r="X514" s="3" t="s">
        <v>2276</v>
      </c>
      <c r="Y514" s="3" t="s">
        <v>2276</v>
      </c>
      <c r="Z514" s="3" t="s">
        <v>2276</v>
      </c>
      <c r="AA514" s="3" t="s">
        <v>746</v>
      </c>
      <c r="AB514" s="3"/>
    </row>
    <row r="515" spans="1:28" ht="34.5" customHeight="1">
      <c r="A515" s="6" t="str">
        <f>'Reported burning'!A515</f>
        <v>49a</v>
      </c>
      <c r="B515" s="6" t="str">
        <f>'Reported burning'!B515</f>
        <v>49a.1</v>
      </c>
      <c r="C515" s="6" t="str">
        <f>'Reported burning'!C515</f>
        <v>Human, deliberate</v>
      </c>
      <c r="D515" s="6" t="str">
        <f>'Reported burning'!D515</f>
        <v>Crop field preparation</v>
      </c>
      <c r="E515" s="6" t="str">
        <f>'Reported burning'!E515</f>
        <v>Cropping, Swidden</v>
      </c>
      <c r="F515" s="6" t="str">
        <f>'Reported burning'!F515</f>
        <v>Secondary Vegetation</v>
      </c>
      <c r="G515" s="6" t="str">
        <f>'Reported burning'!G515</f>
        <v>ND</v>
      </c>
      <c r="H515" s="6" t="str">
        <f>'Reported burning'!H515</f>
        <v>Presence</v>
      </c>
      <c r="I515" s="3"/>
      <c r="J515" s="21" t="s">
        <v>2276</v>
      </c>
      <c r="K515" s="103" t="s">
        <v>2276</v>
      </c>
      <c r="L515" s="21" t="s">
        <v>2276</v>
      </c>
      <c r="M515" s="21" t="s">
        <v>2276</v>
      </c>
      <c r="N515" s="21" t="s">
        <v>2276</v>
      </c>
      <c r="O515" s="21" t="s">
        <v>2276</v>
      </c>
      <c r="P515" s="21" t="s">
        <v>2276</v>
      </c>
      <c r="Q515" s="102" t="s">
        <v>2276</v>
      </c>
      <c r="R515" s="102" t="s">
        <v>2276</v>
      </c>
      <c r="S515" s="21" t="s">
        <v>2276</v>
      </c>
      <c r="T515" s="21" t="s">
        <v>2276</v>
      </c>
      <c r="U515" s="21" t="s">
        <v>2276</v>
      </c>
      <c r="V515" s="21" t="s">
        <v>2276</v>
      </c>
      <c r="W515" s="21" t="s">
        <v>2404</v>
      </c>
      <c r="X515" s="3" t="s">
        <v>2276</v>
      </c>
      <c r="Y515" s="3" t="s">
        <v>2276</v>
      </c>
      <c r="Z515" s="3" t="s">
        <v>2276</v>
      </c>
      <c r="AA515" s="3"/>
      <c r="AB515" s="3" t="s">
        <v>718</v>
      </c>
    </row>
    <row r="516" spans="1:28" ht="75" customHeight="1">
      <c r="A516" s="6" t="str">
        <f>'Reported burning'!A516</f>
        <v>49b</v>
      </c>
      <c r="B516" s="6" t="str">
        <f>'Reported burning'!B516</f>
        <v>49b.1</v>
      </c>
      <c r="C516" s="6" t="str">
        <f>'Reported burning'!C516</f>
        <v>Human, deliberate</v>
      </c>
      <c r="D516" s="6" t="str">
        <f>'Reported burning'!D516</f>
        <v>Crop field preparation</v>
      </c>
      <c r="E516" s="6" t="str">
        <f>'Reported burning'!E516</f>
        <v>Cropping, Monoculture, Market-oriented</v>
      </c>
      <c r="F516" s="6" t="str">
        <f>'Reported burning'!F516</f>
        <v>Cropland</v>
      </c>
      <c r="G516" s="6" t="str">
        <f>'Reported burning'!G516</f>
        <v>ND</v>
      </c>
      <c r="H516" s="6" t="str">
        <f>'Reported burning'!H516</f>
        <v>Absence</v>
      </c>
      <c r="I516" s="3"/>
      <c r="J516" s="21" t="s">
        <v>2364</v>
      </c>
      <c r="K516" s="103" t="s">
        <v>2364</v>
      </c>
      <c r="L516" s="21" t="s">
        <v>2364</v>
      </c>
      <c r="M516" s="21" t="s">
        <v>2364</v>
      </c>
      <c r="N516" s="21" t="s">
        <v>2364</v>
      </c>
      <c r="O516" s="21" t="s">
        <v>2364</v>
      </c>
      <c r="P516" s="21" t="s">
        <v>2364</v>
      </c>
      <c r="Q516" s="102" t="s">
        <v>2276</v>
      </c>
      <c r="R516" s="102" t="s">
        <v>2276</v>
      </c>
      <c r="S516" s="21" t="s">
        <v>2364</v>
      </c>
      <c r="T516" s="21" t="s">
        <v>2364</v>
      </c>
      <c r="U516" s="21" t="s">
        <v>2364</v>
      </c>
      <c r="V516" s="21" t="s">
        <v>2364</v>
      </c>
      <c r="W516" s="21" t="s">
        <v>2276</v>
      </c>
      <c r="X516" s="3" t="s">
        <v>2276</v>
      </c>
      <c r="Y516" s="3" t="s">
        <v>2276</v>
      </c>
      <c r="Z516" s="3" t="s">
        <v>2276</v>
      </c>
      <c r="AA516" s="4" t="s">
        <v>816</v>
      </c>
      <c r="AB516" s="3"/>
    </row>
    <row r="517" spans="1:28" ht="76" customHeight="1">
      <c r="A517" s="6" t="str">
        <f>'Reported burning'!A517</f>
        <v>49c</v>
      </c>
      <c r="B517" s="6" t="str">
        <f>'Reported burning'!B517</f>
        <v>49c.1</v>
      </c>
      <c r="C517" s="6" t="str">
        <f>'Reported burning'!C517</f>
        <v>Human, deliberate</v>
      </c>
      <c r="D517" s="6" t="str">
        <f>'Reported burning'!D517</f>
        <v>Crop field preparation</v>
      </c>
      <c r="E517" s="6" t="str">
        <f>'Reported burning'!E517</f>
        <v>Cropping, Monoculture, Market-oriented</v>
      </c>
      <c r="F517" s="6" t="str">
        <f>'Reported burning'!F517</f>
        <v>Cropland</v>
      </c>
      <c r="G517" s="6" t="str">
        <f>'Reported burning'!G517</f>
        <v>ND</v>
      </c>
      <c r="H517" s="6" t="str">
        <f>'Reported burning'!H517</f>
        <v>Absence</v>
      </c>
      <c r="I517" s="3"/>
      <c r="J517" s="21" t="s">
        <v>2364</v>
      </c>
      <c r="K517" s="103" t="s">
        <v>2364</v>
      </c>
      <c r="L517" s="21" t="s">
        <v>2364</v>
      </c>
      <c r="M517" s="21" t="s">
        <v>2364</v>
      </c>
      <c r="N517" s="21" t="s">
        <v>2364</v>
      </c>
      <c r="O517" s="21" t="s">
        <v>2364</v>
      </c>
      <c r="P517" s="21" t="s">
        <v>2364</v>
      </c>
      <c r="Q517" s="102" t="s">
        <v>2276</v>
      </c>
      <c r="R517" s="102" t="s">
        <v>2276</v>
      </c>
      <c r="S517" s="21" t="s">
        <v>2364</v>
      </c>
      <c r="T517" s="21" t="s">
        <v>2364</v>
      </c>
      <c r="U517" s="21" t="s">
        <v>2364</v>
      </c>
      <c r="V517" s="21" t="s">
        <v>2364</v>
      </c>
      <c r="W517" s="21" t="s">
        <v>2276</v>
      </c>
      <c r="X517" s="3" t="s">
        <v>2276</v>
      </c>
      <c r="Y517" s="3" t="s">
        <v>2276</v>
      </c>
      <c r="Z517" s="3" t="s">
        <v>2276</v>
      </c>
      <c r="AA517" s="4" t="s">
        <v>816</v>
      </c>
      <c r="AB517" s="3"/>
    </row>
    <row r="518" spans="1:28" ht="27" customHeight="1">
      <c r="A518" s="6" t="str">
        <f>'Reported burning'!A518</f>
        <v>49d</v>
      </c>
      <c r="B518" s="6" t="str">
        <f>'Reported burning'!B518</f>
        <v>49d.1</v>
      </c>
      <c r="C518" s="6" t="str">
        <f>'Reported burning'!C518</f>
        <v>Human, deliberate</v>
      </c>
      <c r="D518" s="6" t="str">
        <f>'Reported burning'!D518</f>
        <v>Crop field preparation</v>
      </c>
      <c r="E518" s="6" t="str">
        <f>'Reported burning'!E518</f>
        <v>Cropping, Swidden</v>
      </c>
      <c r="F518" s="6" t="str">
        <f>'Reported burning'!F518</f>
        <v>Secondary Vegetation</v>
      </c>
      <c r="G518" s="6" t="str">
        <f>'Reported burning'!G518</f>
        <v>ND</v>
      </c>
      <c r="H518" s="6" t="str">
        <f>'Reported burning'!H518</f>
        <v>Presence</v>
      </c>
      <c r="I518" s="3"/>
      <c r="J518" s="21" t="s">
        <v>2276</v>
      </c>
      <c r="K518" s="103" t="s">
        <v>2276</v>
      </c>
      <c r="L518" s="21" t="s">
        <v>2276</v>
      </c>
      <c r="M518" s="21" t="s">
        <v>2276</v>
      </c>
      <c r="N518" s="21" t="s">
        <v>2276</v>
      </c>
      <c r="O518" s="21" t="s">
        <v>2276</v>
      </c>
      <c r="P518" s="21" t="s">
        <v>2276</v>
      </c>
      <c r="Q518" s="102" t="s">
        <v>2276</v>
      </c>
      <c r="R518" s="102" t="s">
        <v>2276</v>
      </c>
      <c r="S518" s="21" t="s">
        <v>2276</v>
      </c>
      <c r="T518" s="21" t="s">
        <v>2276</v>
      </c>
      <c r="U518" s="21" t="s">
        <v>2276</v>
      </c>
      <c r="V518" s="21" t="s">
        <v>2276</v>
      </c>
      <c r="W518" s="21" t="s">
        <v>2276</v>
      </c>
      <c r="X518" s="3" t="s">
        <v>2276</v>
      </c>
      <c r="Y518" s="3" t="s">
        <v>2276</v>
      </c>
      <c r="Z518" s="3" t="s">
        <v>2276</v>
      </c>
      <c r="AA518" s="3"/>
      <c r="AB518" s="3" t="s">
        <v>2055</v>
      </c>
    </row>
    <row r="519" spans="1:28" ht="24.5" customHeight="1">
      <c r="A519" s="6" t="str">
        <f>'Reported burning'!A519</f>
        <v>49e</v>
      </c>
      <c r="B519" s="6" t="str">
        <f>'Reported burning'!B519</f>
        <v>49e.1</v>
      </c>
      <c r="C519" s="6" t="str">
        <f>'Reported burning'!C519</f>
        <v>Human, deliberate</v>
      </c>
      <c r="D519" s="6" t="str">
        <f>'Reported burning'!D519</f>
        <v>Crop field preparation</v>
      </c>
      <c r="E519" s="6" t="str">
        <f>'Reported burning'!E519</f>
        <v>Cropping, Swidden</v>
      </c>
      <c r="F519" s="6" t="str">
        <f>'Reported burning'!F519</f>
        <v>Secondary Vegetation</v>
      </c>
      <c r="G519" s="6" t="str">
        <f>'Reported burning'!G519</f>
        <v>ND</v>
      </c>
      <c r="H519" s="6" t="str">
        <f>'Reported burning'!H519</f>
        <v>Presence</v>
      </c>
      <c r="I519" s="3"/>
      <c r="J519" s="21" t="s">
        <v>2276</v>
      </c>
      <c r="K519" s="103" t="s">
        <v>2276</v>
      </c>
      <c r="L519" s="21" t="s">
        <v>2276</v>
      </c>
      <c r="M519" s="21" t="s">
        <v>2276</v>
      </c>
      <c r="N519" s="21" t="s">
        <v>2276</v>
      </c>
      <c r="O519" s="21" t="s">
        <v>2276</v>
      </c>
      <c r="P519" s="21" t="s">
        <v>2276</v>
      </c>
      <c r="Q519" s="102" t="s">
        <v>2276</v>
      </c>
      <c r="R519" s="102" t="s">
        <v>2276</v>
      </c>
      <c r="S519" s="21" t="s">
        <v>2276</v>
      </c>
      <c r="T519" s="21" t="s">
        <v>2276</v>
      </c>
      <c r="U519" s="21" t="s">
        <v>2276</v>
      </c>
      <c r="V519" s="21" t="s">
        <v>2276</v>
      </c>
      <c r="W519" s="21" t="s">
        <v>2402</v>
      </c>
      <c r="X519" s="3" t="s">
        <v>2276</v>
      </c>
      <c r="Y519" s="3" t="s">
        <v>2276</v>
      </c>
      <c r="Z519" s="3" t="s">
        <v>2276</v>
      </c>
      <c r="AA519" s="3"/>
      <c r="AB519" s="3" t="s">
        <v>2056</v>
      </c>
    </row>
    <row r="520" spans="1:28" ht="27" customHeight="1">
      <c r="A520" s="6" t="str">
        <f>'Reported burning'!A520</f>
        <v>49f</v>
      </c>
      <c r="B520" s="6" t="str">
        <f>'Reported burning'!B520</f>
        <v>49f.1</v>
      </c>
      <c r="C520" s="6" t="str">
        <f>'Reported burning'!C520</f>
        <v>Human, deliberate</v>
      </c>
      <c r="D520" s="6" t="str">
        <f>'Reported burning'!D520</f>
        <v>Crop field preparation</v>
      </c>
      <c r="E520" s="6" t="str">
        <f>'Reported burning'!E520</f>
        <v>Cropping, Swidden</v>
      </c>
      <c r="F520" s="6" t="str">
        <f>'Reported burning'!F520</f>
        <v>Secondary Vegetation</v>
      </c>
      <c r="G520" s="6" t="str">
        <f>'Reported burning'!G520</f>
        <v>ND</v>
      </c>
      <c r="H520" s="6" t="str">
        <f>'Reported burning'!H520</f>
        <v>Presence</v>
      </c>
      <c r="I520" s="3"/>
      <c r="J520" s="21" t="s">
        <v>2276</v>
      </c>
      <c r="K520" s="103" t="s">
        <v>2276</v>
      </c>
      <c r="L520" s="21" t="s">
        <v>2276</v>
      </c>
      <c r="M520" s="21" t="s">
        <v>2276</v>
      </c>
      <c r="N520" s="21" t="s">
        <v>2276</v>
      </c>
      <c r="O520" s="21" t="s">
        <v>2276</v>
      </c>
      <c r="P520" s="21" t="s">
        <v>2276</v>
      </c>
      <c r="Q520" s="102" t="s">
        <v>2276</v>
      </c>
      <c r="R520" s="102" t="s">
        <v>2276</v>
      </c>
      <c r="S520" s="21" t="s">
        <v>2276</v>
      </c>
      <c r="T520" s="21" t="s">
        <v>2276</v>
      </c>
      <c r="U520" s="21" t="s">
        <v>2276</v>
      </c>
      <c r="V520" s="21" t="s">
        <v>2276</v>
      </c>
      <c r="W520" s="21" t="s">
        <v>2403</v>
      </c>
      <c r="X520" s="3" t="s">
        <v>2276</v>
      </c>
      <c r="Y520" s="3" t="s">
        <v>2276</v>
      </c>
      <c r="Z520" s="3" t="s">
        <v>2276</v>
      </c>
      <c r="AA520" s="3"/>
      <c r="AB520" s="3" t="s">
        <v>718</v>
      </c>
    </row>
    <row r="521" spans="1:28" ht="32" customHeight="1">
      <c r="A521" s="6" t="str">
        <f>'Reported burning'!A521</f>
        <v>50a</v>
      </c>
      <c r="B521" s="6" t="str">
        <f>'Reported burning'!B521</f>
        <v>50a.1</v>
      </c>
      <c r="C521" s="6" t="str">
        <f>'Reported burning'!C521</f>
        <v>Human, deliberate</v>
      </c>
      <c r="D521" s="6" t="str">
        <f>'Reported burning'!D521</f>
        <v>Crop field preparation</v>
      </c>
      <c r="E521" s="6" t="str">
        <f>'Reported burning'!E521</f>
        <v>Cropping, Swidden</v>
      </c>
      <c r="F521" s="6" t="str">
        <f>'Reported burning'!F521</f>
        <v>Secondary Vegetation</v>
      </c>
      <c r="G521" s="6">
        <f>'Reported burning'!G521</f>
        <v>0</v>
      </c>
      <c r="H521" s="6" t="str">
        <f>'Reported burning'!H521</f>
        <v>Presence</v>
      </c>
      <c r="I521" s="3"/>
      <c r="J521" s="21" t="s">
        <v>2276</v>
      </c>
      <c r="K521" s="103" t="s">
        <v>2276</v>
      </c>
      <c r="L521" s="21" t="s">
        <v>2276</v>
      </c>
      <c r="M521" s="21" t="s">
        <v>2276</v>
      </c>
      <c r="N521" s="21" t="s">
        <v>2276</v>
      </c>
      <c r="O521" s="21" t="s">
        <v>2276</v>
      </c>
      <c r="P521" s="21" t="s">
        <v>2276</v>
      </c>
      <c r="Q521" s="102" t="s">
        <v>2276</v>
      </c>
      <c r="R521" s="102" t="s">
        <v>2276</v>
      </c>
      <c r="S521" s="21" t="s">
        <v>2276</v>
      </c>
      <c r="T521" s="21" t="s">
        <v>2276</v>
      </c>
      <c r="U521" s="21" t="s">
        <v>2276</v>
      </c>
      <c r="V521" s="21" t="s">
        <v>2276</v>
      </c>
      <c r="W521" s="21" t="s">
        <v>2276</v>
      </c>
      <c r="X521" s="3" t="s">
        <v>2276</v>
      </c>
      <c r="Y521" s="3" t="s">
        <v>2276</v>
      </c>
      <c r="Z521" s="3" t="s">
        <v>2276</v>
      </c>
      <c r="AA521" s="3"/>
      <c r="AB521" s="3" t="s">
        <v>718</v>
      </c>
    </row>
    <row r="522" spans="1:28" ht="54.5" customHeight="1">
      <c r="A522" s="6" t="str">
        <f>'Reported burning'!A522</f>
        <v>51a</v>
      </c>
      <c r="B522" s="6" t="str">
        <f>'Reported burning'!B522</f>
        <v>51a.1</v>
      </c>
      <c r="C522" s="6" t="str">
        <f>'Reported burning'!C522</f>
        <v>Human, deliberate</v>
      </c>
      <c r="D522" s="6" t="str">
        <f>'Reported burning'!D522</f>
        <v>Crop field preparation</v>
      </c>
      <c r="E522" s="6" t="str">
        <f>'Reported burning'!E522</f>
        <v>Cropping, Swidden</v>
      </c>
      <c r="F522" s="6" t="str">
        <f>'Reported burning'!F522</f>
        <v>Secondary Vegetation</v>
      </c>
      <c r="G522" s="6">
        <f>'Reported burning'!G522</f>
        <v>0</v>
      </c>
      <c r="H522" s="6" t="str">
        <f>'Reported burning'!H522</f>
        <v>Presence</v>
      </c>
      <c r="I522" s="3"/>
      <c r="J522" s="21" t="s">
        <v>2276</v>
      </c>
      <c r="K522" s="103" t="s">
        <v>2276</v>
      </c>
      <c r="L522" s="21" t="s">
        <v>2276</v>
      </c>
      <c r="M522" s="21" t="s">
        <v>2276</v>
      </c>
      <c r="N522" s="21" t="s">
        <v>2276</v>
      </c>
      <c r="O522" s="21" t="s">
        <v>2276</v>
      </c>
      <c r="P522" s="21" t="s">
        <v>2276</v>
      </c>
      <c r="Q522" s="102" t="s">
        <v>2276</v>
      </c>
      <c r="R522" s="102" t="s">
        <v>2276</v>
      </c>
      <c r="S522" s="21" t="s">
        <v>2376</v>
      </c>
      <c r="T522" s="21" t="s">
        <v>2276</v>
      </c>
      <c r="U522" s="21" t="s">
        <v>2374</v>
      </c>
      <c r="V522" s="21" t="s">
        <v>2276</v>
      </c>
      <c r="W522" s="103" t="s">
        <v>2402</v>
      </c>
      <c r="X522" s="3" t="s">
        <v>2276</v>
      </c>
      <c r="Y522" s="3" t="s">
        <v>2276</v>
      </c>
      <c r="Z522" s="3" t="s">
        <v>2276</v>
      </c>
      <c r="AA522" s="4"/>
      <c r="AB522" s="4" t="s">
        <v>2063</v>
      </c>
    </row>
    <row r="523" spans="1:28" ht="41" customHeight="1">
      <c r="A523" s="6" t="str">
        <f>'Reported burning'!A523</f>
        <v>51a</v>
      </c>
      <c r="B523" s="6" t="str">
        <f>'Reported burning'!B523</f>
        <v>51a.2</v>
      </c>
      <c r="C523" s="6" t="str">
        <f>'Reported burning'!C523</f>
        <v>Human, deliberate</v>
      </c>
      <c r="D523" s="6" t="str">
        <f>'Reported burning'!D523</f>
        <v>Crop field preparation</v>
      </c>
      <c r="E523" s="6" t="str">
        <f>'Reported burning'!E523</f>
        <v>Cropping, Swidden</v>
      </c>
      <c r="F523" s="6" t="str">
        <f>'Reported burning'!F523</f>
        <v>Forest</v>
      </c>
      <c r="G523" s="6">
        <f>'Reported burning'!G523</f>
        <v>0</v>
      </c>
      <c r="H523" s="6" t="str">
        <f>'Reported burning'!H523</f>
        <v>Absence</v>
      </c>
      <c r="I523" s="3"/>
      <c r="J523" s="21" t="s">
        <v>2364</v>
      </c>
      <c r="K523" s="103" t="s">
        <v>2364</v>
      </c>
      <c r="L523" s="21" t="s">
        <v>2364</v>
      </c>
      <c r="M523" s="21" t="s">
        <v>2364</v>
      </c>
      <c r="N523" s="21" t="s">
        <v>2364</v>
      </c>
      <c r="O523" s="21" t="s">
        <v>2364</v>
      </c>
      <c r="P523" s="21" t="s">
        <v>2364</v>
      </c>
      <c r="Q523" s="102" t="s">
        <v>2276</v>
      </c>
      <c r="R523" s="102" t="s">
        <v>2276</v>
      </c>
      <c r="S523" s="21" t="s">
        <v>2364</v>
      </c>
      <c r="T523" s="21" t="s">
        <v>2364</v>
      </c>
      <c r="U523" s="21" t="s">
        <v>2364</v>
      </c>
      <c r="V523" s="21" t="s">
        <v>2364</v>
      </c>
      <c r="W523" s="21" t="s">
        <v>2276</v>
      </c>
      <c r="X523" s="3" t="s">
        <v>2276</v>
      </c>
      <c r="Y523" s="3" t="s">
        <v>2276</v>
      </c>
      <c r="Z523" s="3" t="s">
        <v>2276</v>
      </c>
      <c r="AA523" s="3"/>
      <c r="AB523" s="3"/>
    </row>
    <row r="524" spans="1:28" ht="56" customHeight="1">
      <c r="A524" s="6" t="str">
        <f>'Reported burning'!A524</f>
        <v>51a</v>
      </c>
      <c r="B524" s="6" t="str">
        <f>'Reported burning'!B524</f>
        <v>51a.3</v>
      </c>
      <c r="C524" s="6" t="str">
        <f>'Reported burning'!C524</f>
        <v>Human, deliberate</v>
      </c>
      <c r="D524" s="6" t="str">
        <f>'Reported burning'!D524</f>
        <v>Forest clearance</v>
      </c>
      <c r="E524" s="6" t="str">
        <f>'Reported burning'!E524</f>
        <v>Cropping, Monoculture, Subsistence-oriented</v>
      </c>
      <c r="F524" s="6" t="str">
        <f>'Reported burning'!F524</f>
        <v>Forest</v>
      </c>
      <c r="G524" s="6">
        <f>'Reported burning'!G524</f>
        <v>0</v>
      </c>
      <c r="H524" s="6" t="str">
        <f>'Reported burning'!H524</f>
        <v>Absence</v>
      </c>
      <c r="I524" s="3"/>
      <c r="J524" s="21" t="s">
        <v>2364</v>
      </c>
      <c r="K524" s="103" t="s">
        <v>2364</v>
      </c>
      <c r="L524" s="21" t="s">
        <v>2364</v>
      </c>
      <c r="M524" s="21" t="s">
        <v>2364</v>
      </c>
      <c r="N524" s="21" t="s">
        <v>2364</v>
      </c>
      <c r="O524" s="21" t="s">
        <v>2364</v>
      </c>
      <c r="P524" s="21" t="s">
        <v>2364</v>
      </c>
      <c r="Q524" s="102" t="s">
        <v>2276</v>
      </c>
      <c r="R524" s="102" t="s">
        <v>2276</v>
      </c>
      <c r="S524" s="21" t="s">
        <v>2364</v>
      </c>
      <c r="T524" s="21" t="s">
        <v>2364</v>
      </c>
      <c r="U524" s="21" t="s">
        <v>2364</v>
      </c>
      <c r="V524" s="21" t="s">
        <v>2364</v>
      </c>
      <c r="W524" s="21" t="s">
        <v>2276</v>
      </c>
      <c r="X524" s="3" t="s">
        <v>2276</v>
      </c>
      <c r="Y524" s="3" t="s">
        <v>2276</v>
      </c>
      <c r="Z524" s="3" t="s">
        <v>2276</v>
      </c>
      <c r="AA524" s="3"/>
      <c r="AB524" s="3"/>
    </row>
    <row r="525" spans="1:28" ht="51" customHeight="1">
      <c r="A525" s="6" t="str">
        <f>'Reported burning'!A525</f>
        <v>52a</v>
      </c>
      <c r="B525" s="6" t="str">
        <f>'Reported burning'!B525</f>
        <v>52a.1</v>
      </c>
      <c r="C525" s="6" t="str">
        <f>'Reported burning'!C525</f>
        <v>Human, deliberate</v>
      </c>
      <c r="D525" s="6" t="str">
        <f>'Reported burning'!D525</f>
        <v>Crop field preparation</v>
      </c>
      <c r="E525" s="6" t="str">
        <f>'Reported burning'!E525</f>
        <v>Cropping, Swidden</v>
      </c>
      <c r="F525" s="6" t="str">
        <f>'Reported burning'!F525</f>
        <v>Secondary Vegetation</v>
      </c>
      <c r="G525" s="6">
        <f>'Reported burning'!G525</f>
        <v>0</v>
      </c>
      <c r="H525" s="6" t="str">
        <f>'Reported burning'!H525</f>
        <v>Presence</v>
      </c>
      <c r="I525" s="3"/>
      <c r="J525" s="21" t="s">
        <v>2276</v>
      </c>
      <c r="K525" s="103" t="s">
        <v>2362</v>
      </c>
      <c r="L525" s="21" t="s">
        <v>2276</v>
      </c>
      <c r="M525" s="21" t="s">
        <v>2374</v>
      </c>
      <c r="N525" s="21" t="s">
        <v>2276</v>
      </c>
      <c r="O525" s="21" t="s">
        <v>2373</v>
      </c>
      <c r="P525" s="21" t="s">
        <v>2276</v>
      </c>
      <c r="Q525" s="102" t="s">
        <v>2276</v>
      </c>
      <c r="R525" s="102" t="s">
        <v>2276</v>
      </c>
      <c r="S525" s="21" t="s">
        <v>2276</v>
      </c>
      <c r="T525" s="21" t="s">
        <v>2276</v>
      </c>
      <c r="U525" s="21" t="s">
        <v>2276</v>
      </c>
      <c r="V525" s="21" t="s">
        <v>2276</v>
      </c>
      <c r="W525" s="21" t="s">
        <v>2276</v>
      </c>
      <c r="X525" s="3" t="s">
        <v>2276</v>
      </c>
      <c r="Y525" s="3" t="s">
        <v>2276</v>
      </c>
      <c r="Z525" s="3" t="s">
        <v>2276</v>
      </c>
      <c r="AA525" s="4" t="s">
        <v>834</v>
      </c>
      <c r="AB525" s="4" t="s">
        <v>2066</v>
      </c>
    </row>
    <row r="526" spans="1:28" ht="42" customHeight="1">
      <c r="A526" s="6" t="str">
        <f>'Reported burning'!A526</f>
        <v>52a</v>
      </c>
      <c r="B526" s="6" t="str">
        <f>'Reported burning'!B526</f>
        <v>52a.1</v>
      </c>
      <c r="C526" s="6" t="str">
        <f>'Reported burning'!C526</f>
        <v>Human, deliberate</v>
      </c>
      <c r="D526" s="6" t="str">
        <f>'Reported burning'!D526</f>
        <v>Crop field preparation</v>
      </c>
      <c r="E526" s="6" t="str">
        <f>'Reported burning'!E526</f>
        <v>Cropping, Monoculture, Subsistence-oriented</v>
      </c>
      <c r="F526" s="6" t="str">
        <f>'Reported burning'!F526</f>
        <v>Cropland</v>
      </c>
      <c r="G526" s="6">
        <f>'Reported burning'!G526</f>
        <v>0</v>
      </c>
      <c r="H526" s="6" t="str">
        <f>'Reported burning'!H526</f>
        <v>Absence</v>
      </c>
      <c r="I526" s="3" t="s">
        <v>524</v>
      </c>
      <c r="J526" s="21" t="s">
        <v>2364</v>
      </c>
      <c r="K526" s="103" t="s">
        <v>2364</v>
      </c>
      <c r="L526" s="21" t="s">
        <v>2364</v>
      </c>
      <c r="M526" s="21" t="s">
        <v>2364</v>
      </c>
      <c r="N526" s="21" t="s">
        <v>2364</v>
      </c>
      <c r="O526" s="21" t="s">
        <v>2364</v>
      </c>
      <c r="P526" s="21" t="s">
        <v>2364</v>
      </c>
      <c r="Q526" s="102" t="s">
        <v>2276</v>
      </c>
      <c r="R526" s="102" t="s">
        <v>2276</v>
      </c>
      <c r="S526" s="21" t="s">
        <v>2364</v>
      </c>
      <c r="T526" s="21" t="s">
        <v>2364</v>
      </c>
      <c r="U526" s="21" t="s">
        <v>2364</v>
      </c>
      <c r="V526" s="21" t="s">
        <v>2364</v>
      </c>
      <c r="W526" s="103" t="s">
        <v>2276</v>
      </c>
      <c r="X526" s="3" t="s">
        <v>2276</v>
      </c>
      <c r="Y526" s="3" t="s">
        <v>2276</v>
      </c>
      <c r="Z526" s="3" t="s">
        <v>2276</v>
      </c>
      <c r="AA526" s="3" t="s">
        <v>833</v>
      </c>
      <c r="AB526" s="3"/>
    </row>
    <row r="527" spans="1:28" ht="38" customHeight="1">
      <c r="A527" s="6" t="str">
        <f>'Reported burning'!A527</f>
        <v>53a</v>
      </c>
      <c r="B527" s="6" t="str">
        <f>'Reported burning'!B527</f>
        <v>53a.1</v>
      </c>
      <c r="C527" s="6" t="str">
        <f>'Reported burning'!C527</f>
        <v>Human, deliberate</v>
      </c>
      <c r="D527" s="6" t="str">
        <f>'Reported burning'!D527</f>
        <v>Crop field preparation</v>
      </c>
      <c r="E527" s="6" t="str">
        <f>'Reported burning'!E527</f>
        <v>Cropping, Swidden</v>
      </c>
      <c r="F527" s="6" t="str">
        <f>'Reported burning'!F527</f>
        <v>Secondary Vegetation</v>
      </c>
      <c r="G527" s="6">
        <f>'Reported burning'!G527</f>
        <v>0</v>
      </c>
      <c r="H527" s="6" t="str">
        <f>'Reported burning'!H527</f>
        <v>Presence</v>
      </c>
      <c r="I527" s="3"/>
      <c r="J527" s="21" t="s">
        <v>2276</v>
      </c>
      <c r="K527" s="103" t="s">
        <v>2276</v>
      </c>
      <c r="L527" s="21" t="s">
        <v>2276</v>
      </c>
      <c r="M527" s="21" t="s">
        <v>2276</v>
      </c>
      <c r="N527" s="21" t="s">
        <v>2276</v>
      </c>
      <c r="O527" s="21" t="s">
        <v>2276</v>
      </c>
      <c r="P527" s="21" t="s">
        <v>2276</v>
      </c>
      <c r="Q527" s="102" t="s">
        <v>2276</v>
      </c>
      <c r="R527" s="102" t="s">
        <v>2276</v>
      </c>
      <c r="S527" s="21" t="s">
        <v>2276</v>
      </c>
      <c r="T527" s="21" t="s">
        <v>2276</v>
      </c>
      <c r="U527" s="21" t="s">
        <v>2276</v>
      </c>
      <c r="V527" s="21" t="s">
        <v>2276</v>
      </c>
      <c r="W527" s="103" t="s">
        <v>2403</v>
      </c>
      <c r="X527" s="3" t="s">
        <v>2276</v>
      </c>
      <c r="Y527" s="3" t="s">
        <v>2276</v>
      </c>
      <c r="Z527" s="3" t="s">
        <v>2276</v>
      </c>
      <c r="AA527" s="4"/>
      <c r="AB527" s="3" t="s">
        <v>718</v>
      </c>
    </row>
    <row r="528" spans="1:28" ht="38.5" customHeight="1">
      <c r="A528" s="6" t="str">
        <f>'Reported burning'!A528</f>
        <v>54a</v>
      </c>
      <c r="B528" s="6" t="str">
        <f>'Reported burning'!B528</f>
        <v>54a</v>
      </c>
      <c r="C528" s="6" t="str">
        <f>'Reported burning'!C528</f>
        <v>Human, deliberate</v>
      </c>
      <c r="D528" s="6" t="str">
        <f>'Reported burning'!D528</f>
        <v>Crop field preparation</v>
      </c>
      <c r="E528" s="6" t="str">
        <f>'Reported burning'!E528</f>
        <v>Cropping, Monoculture, Subsistence-oriented</v>
      </c>
      <c r="F528" s="6" t="str">
        <f>'Reported burning'!F528</f>
        <v>Secondary Vegetation</v>
      </c>
      <c r="G528" s="6">
        <f>'Reported burning'!G528</f>
        <v>0</v>
      </c>
      <c r="H528" s="6" t="str">
        <f>'Reported burning'!H528</f>
        <v>Absence</v>
      </c>
      <c r="I528" s="3"/>
      <c r="J528" s="21" t="s">
        <v>2276</v>
      </c>
      <c r="K528" s="103" t="s">
        <v>2276</v>
      </c>
      <c r="L528" s="21" t="s">
        <v>2276</v>
      </c>
      <c r="M528" s="21" t="s">
        <v>2276</v>
      </c>
      <c r="N528" s="21" t="s">
        <v>2276</v>
      </c>
      <c r="O528" s="21" t="s">
        <v>2276</v>
      </c>
      <c r="P528" s="21" t="s">
        <v>2276</v>
      </c>
      <c r="Q528" s="102" t="s">
        <v>2276</v>
      </c>
      <c r="R528" s="102" t="s">
        <v>2276</v>
      </c>
      <c r="S528" s="21" t="s">
        <v>2276</v>
      </c>
      <c r="T528" s="21" t="s">
        <v>2276</v>
      </c>
      <c r="U528" s="21" t="s">
        <v>2276</v>
      </c>
      <c r="V528" s="21" t="s">
        <v>2276</v>
      </c>
      <c r="W528" s="103" t="s">
        <v>2276</v>
      </c>
      <c r="X528" s="3" t="s">
        <v>2276</v>
      </c>
      <c r="Y528" s="3" t="s">
        <v>2276</v>
      </c>
      <c r="Z528" s="3" t="s">
        <v>2276</v>
      </c>
      <c r="AA528" s="4" t="s">
        <v>853</v>
      </c>
      <c r="AB528" s="4"/>
    </row>
    <row r="529" spans="1:28" ht="38.5" customHeight="1">
      <c r="A529" s="6" t="str">
        <f>'Reported burning'!A529</f>
        <v>54b</v>
      </c>
      <c r="B529" s="6" t="str">
        <f>'Reported burning'!B529</f>
        <v>54b.1</v>
      </c>
      <c r="C529" s="6" t="str">
        <f>'Reported burning'!C529</f>
        <v>Human, deliberate</v>
      </c>
      <c r="D529" s="6" t="str">
        <f>'Reported burning'!D529</f>
        <v>Crop field preparation</v>
      </c>
      <c r="E529" s="6" t="str">
        <f>'Reported burning'!E529</f>
        <v>Cropping, Swidden</v>
      </c>
      <c r="F529" s="6" t="str">
        <f>'Reported burning'!F529</f>
        <v>Secondary Vegetation</v>
      </c>
      <c r="G529" s="6">
        <f>'Reported burning'!G529</f>
        <v>0</v>
      </c>
      <c r="H529" s="6" t="str">
        <f>'Reported burning'!H529</f>
        <v>Presence</v>
      </c>
      <c r="I529" s="3"/>
      <c r="J529" s="21" t="s">
        <v>2276</v>
      </c>
      <c r="K529" s="103" t="s">
        <v>2362</v>
      </c>
      <c r="L529" s="21" t="s">
        <v>2276</v>
      </c>
      <c r="M529" s="21" t="s">
        <v>2373</v>
      </c>
      <c r="N529" s="21" t="s">
        <v>2276</v>
      </c>
      <c r="O529" s="21" t="s">
        <v>2276</v>
      </c>
      <c r="P529" s="21" t="s">
        <v>2276</v>
      </c>
      <c r="Q529" s="102" t="s">
        <v>2276</v>
      </c>
      <c r="R529" s="102" t="s">
        <v>2276</v>
      </c>
      <c r="S529" s="21" t="s">
        <v>2276</v>
      </c>
      <c r="T529" s="21" t="s">
        <v>2276</v>
      </c>
      <c r="U529" s="21" t="s">
        <v>2276</v>
      </c>
      <c r="V529" s="21" t="s">
        <v>2276</v>
      </c>
      <c r="W529" s="103" t="s">
        <v>2403</v>
      </c>
      <c r="X529" s="3" t="s">
        <v>2276</v>
      </c>
      <c r="Y529" s="3" t="s">
        <v>2276</v>
      </c>
      <c r="Z529" s="3" t="s">
        <v>2276</v>
      </c>
      <c r="AA529" s="4"/>
      <c r="AB529" s="4" t="s">
        <v>2069</v>
      </c>
    </row>
    <row r="530" spans="1:28" ht="43.5" customHeight="1">
      <c r="A530" s="6" t="str">
        <f>'Reported burning'!A530</f>
        <v>54c</v>
      </c>
      <c r="B530" s="6" t="str">
        <f>'Reported burning'!B530</f>
        <v>54c</v>
      </c>
      <c r="C530" s="6" t="str">
        <f>'Reported burning'!C530</f>
        <v>Human, deliberate</v>
      </c>
      <c r="D530" s="6" t="str">
        <f>'Reported burning'!D530</f>
        <v>Crop field preparation</v>
      </c>
      <c r="E530" s="6" t="str">
        <f>'Reported burning'!E530</f>
        <v>Cropping, Monoculture, Subsistence-oriented</v>
      </c>
      <c r="F530" s="6" t="str">
        <f>'Reported burning'!F530</f>
        <v>Secondary Vegetation</v>
      </c>
      <c r="G530" s="6">
        <f>'Reported burning'!G530</f>
        <v>0</v>
      </c>
      <c r="H530" s="6" t="str">
        <f>'Reported burning'!H530</f>
        <v>Absence</v>
      </c>
      <c r="I530" s="3"/>
      <c r="J530" s="21" t="s">
        <v>2364</v>
      </c>
      <c r="K530" s="103" t="s">
        <v>2364</v>
      </c>
      <c r="L530" s="21" t="s">
        <v>2364</v>
      </c>
      <c r="M530" s="21" t="s">
        <v>2364</v>
      </c>
      <c r="N530" s="21" t="s">
        <v>2364</v>
      </c>
      <c r="O530" s="21" t="s">
        <v>2364</v>
      </c>
      <c r="P530" s="21" t="s">
        <v>2364</v>
      </c>
      <c r="Q530" s="102" t="s">
        <v>2276</v>
      </c>
      <c r="R530" s="102" t="s">
        <v>2276</v>
      </c>
      <c r="S530" s="21" t="s">
        <v>2364</v>
      </c>
      <c r="T530" s="21" t="s">
        <v>2364</v>
      </c>
      <c r="U530" s="21" t="s">
        <v>2364</v>
      </c>
      <c r="V530" s="21" t="s">
        <v>2364</v>
      </c>
      <c r="W530" s="103" t="s">
        <v>2276</v>
      </c>
      <c r="X530" s="3" t="s">
        <v>2276</v>
      </c>
      <c r="Y530" s="3" t="s">
        <v>2276</v>
      </c>
      <c r="Z530" s="3" t="s">
        <v>2276</v>
      </c>
      <c r="AA530" s="4" t="s">
        <v>853</v>
      </c>
      <c r="AB530" s="4"/>
    </row>
    <row r="531" spans="1:28" ht="41" customHeight="1">
      <c r="A531" s="6" t="str">
        <f>'Reported burning'!A531</f>
        <v>54d</v>
      </c>
      <c r="B531" s="6" t="str">
        <f>'Reported burning'!B531</f>
        <v>54d.1</v>
      </c>
      <c r="C531" s="6" t="str">
        <f>'Reported burning'!C531</f>
        <v>Human, deliberate</v>
      </c>
      <c r="D531" s="6" t="str">
        <f>'Reported burning'!D531</f>
        <v>Crop field preparation</v>
      </c>
      <c r="E531" s="6" t="str">
        <f>'Reported burning'!E531</f>
        <v>Cropping, Swidden</v>
      </c>
      <c r="F531" s="6" t="str">
        <f>'Reported burning'!F531</f>
        <v>Secondary Vegetation</v>
      </c>
      <c r="G531" s="6">
        <f>'Reported burning'!G531</f>
        <v>0</v>
      </c>
      <c r="H531" s="6" t="str">
        <f>'Reported burning'!H531</f>
        <v>Presence</v>
      </c>
      <c r="I531" s="3"/>
      <c r="J531" s="21" t="s">
        <v>2276</v>
      </c>
      <c r="K531" s="103" t="s">
        <v>2362</v>
      </c>
      <c r="L531" s="21" t="s">
        <v>2276</v>
      </c>
      <c r="M531" s="21" t="s">
        <v>2373</v>
      </c>
      <c r="N531" s="21" t="s">
        <v>2276</v>
      </c>
      <c r="O531" s="21" t="s">
        <v>2276</v>
      </c>
      <c r="P531" s="21" t="s">
        <v>2276</v>
      </c>
      <c r="Q531" s="102" t="s">
        <v>2276</v>
      </c>
      <c r="R531" s="102" t="s">
        <v>2276</v>
      </c>
      <c r="S531" s="21" t="s">
        <v>2276</v>
      </c>
      <c r="T531" s="21" t="s">
        <v>2276</v>
      </c>
      <c r="U531" s="21" t="s">
        <v>2276</v>
      </c>
      <c r="V531" s="21" t="s">
        <v>2276</v>
      </c>
      <c r="W531" s="103" t="s">
        <v>2403</v>
      </c>
      <c r="X531" s="3" t="s">
        <v>2276</v>
      </c>
      <c r="Y531" s="3" t="s">
        <v>2276</v>
      </c>
      <c r="Z531" s="3" t="s">
        <v>2276</v>
      </c>
      <c r="AA531" s="4"/>
      <c r="AB531" s="4" t="s">
        <v>2069</v>
      </c>
    </row>
    <row r="532" spans="1:28" ht="37.5" customHeight="1">
      <c r="A532" s="6" t="str">
        <f>'Reported burning'!A532</f>
        <v>54e</v>
      </c>
      <c r="B532" s="6" t="str">
        <f>'Reported burning'!B532</f>
        <v>54e</v>
      </c>
      <c r="C532" s="6" t="str">
        <f>'Reported burning'!C532</f>
        <v>Human, deliberate</v>
      </c>
      <c r="D532" s="6" t="str">
        <f>'Reported burning'!D532</f>
        <v>Crop field preparation</v>
      </c>
      <c r="E532" s="6" t="str">
        <f>'Reported burning'!E532</f>
        <v>Cropping, Monoculture, Subsistence-oriented</v>
      </c>
      <c r="F532" s="6" t="str">
        <f>'Reported burning'!F532</f>
        <v>Secondary Vegetation</v>
      </c>
      <c r="G532" s="6">
        <f>'Reported burning'!G532</f>
        <v>0</v>
      </c>
      <c r="H532" s="6" t="str">
        <f>'Reported burning'!H532</f>
        <v>Absence</v>
      </c>
      <c r="I532" s="3"/>
      <c r="J532" s="21" t="s">
        <v>2364</v>
      </c>
      <c r="K532" s="103" t="s">
        <v>2364</v>
      </c>
      <c r="L532" s="21" t="s">
        <v>2364</v>
      </c>
      <c r="M532" s="21" t="s">
        <v>2364</v>
      </c>
      <c r="N532" s="21" t="s">
        <v>2364</v>
      </c>
      <c r="O532" s="21" t="s">
        <v>2364</v>
      </c>
      <c r="P532" s="21" t="s">
        <v>2364</v>
      </c>
      <c r="Q532" s="102" t="s">
        <v>2276</v>
      </c>
      <c r="R532" s="102" t="s">
        <v>2276</v>
      </c>
      <c r="S532" s="21" t="s">
        <v>2364</v>
      </c>
      <c r="T532" s="21" t="s">
        <v>2364</v>
      </c>
      <c r="U532" s="21" t="s">
        <v>2364</v>
      </c>
      <c r="V532" s="21" t="s">
        <v>2364</v>
      </c>
      <c r="W532" s="103" t="s">
        <v>2276</v>
      </c>
      <c r="X532" s="3" t="s">
        <v>2276</v>
      </c>
      <c r="Y532" s="3" t="s">
        <v>2276</v>
      </c>
      <c r="Z532" s="3" t="s">
        <v>2276</v>
      </c>
      <c r="AA532" s="4" t="s">
        <v>853</v>
      </c>
      <c r="AB532" s="4"/>
    </row>
    <row r="533" spans="1:28" ht="47" customHeight="1">
      <c r="A533" s="6" t="str">
        <f>'Reported burning'!A533</f>
        <v>54f</v>
      </c>
      <c r="B533" s="6" t="str">
        <f>'Reported burning'!B533</f>
        <v>54f.1</v>
      </c>
      <c r="C533" s="6" t="str">
        <f>'Reported burning'!C533</f>
        <v>Human, deliberate</v>
      </c>
      <c r="D533" s="6" t="str">
        <f>'Reported burning'!D533</f>
        <v>Crop field preparation</v>
      </c>
      <c r="E533" s="6" t="str">
        <f>'Reported burning'!E533</f>
        <v>Cropping, Swidden</v>
      </c>
      <c r="F533" s="6" t="str">
        <f>'Reported burning'!F533</f>
        <v>Secondary Vegetation</v>
      </c>
      <c r="G533" s="6">
        <f>'Reported burning'!G533</f>
        <v>0</v>
      </c>
      <c r="H533" s="6" t="str">
        <f>'Reported burning'!H533</f>
        <v>Presence</v>
      </c>
      <c r="I533" s="3"/>
      <c r="J533" s="21" t="s">
        <v>2276</v>
      </c>
      <c r="K533" s="103" t="s">
        <v>2276</v>
      </c>
      <c r="L533" s="21" t="s">
        <v>2276</v>
      </c>
      <c r="M533" s="21" t="s">
        <v>2276</v>
      </c>
      <c r="N533" s="21" t="s">
        <v>2276</v>
      </c>
      <c r="O533" s="21" t="s">
        <v>2276</v>
      </c>
      <c r="P533" s="21" t="s">
        <v>2276</v>
      </c>
      <c r="Q533" s="102" t="s">
        <v>2276</v>
      </c>
      <c r="R533" s="102" t="s">
        <v>2276</v>
      </c>
      <c r="S533" s="21" t="s">
        <v>2276</v>
      </c>
      <c r="T533" s="21" t="s">
        <v>2276</v>
      </c>
      <c r="U533" s="21" t="s">
        <v>2276</v>
      </c>
      <c r="V533" s="21" t="s">
        <v>2276</v>
      </c>
      <c r="W533" s="21" t="s">
        <v>2276</v>
      </c>
      <c r="X533" s="3" t="s">
        <v>2276</v>
      </c>
      <c r="Y533" s="3" t="s">
        <v>2276</v>
      </c>
      <c r="Z533" s="3" t="s">
        <v>2276</v>
      </c>
      <c r="AA533" s="4" t="s">
        <v>853</v>
      </c>
      <c r="AB533" s="4"/>
    </row>
    <row r="534" spans="1:28" ht="45.5" customHeight="1">
      <c r="A534" s="6" t="str">
        <f>'Reported burning'!A534</f>
        <v>55a</v>
      </c>
      <c r="B534" s="6" t="str">
        <f>'Reported burning'!B534</f>
        <v>55a.1</v>
      </c>
      <c r="C534" s="6" t="str">
        <f>'Reported burning'!C534</f>
        <v>Human, deliberate</v>
      </c>
      <c r="D534" s="6" t="str">
        <f>'Reported burning'!D534</f>
        <v>Crop field preparation</v>
      </c>
      <c r="E534" s="6" t="str">
        <f>'Reported burning'!E534</f>
        <v>Cropping, Swidden</v>
      </c>
      <c r="F534" s="6" t="str">
        <f>'Reported burning'!F534</f>
        <v>Secondary Vegetation</v>
      </c>
      <c r="G534" s="6">
        <f>'Reported burning'!G534</f>
        <v>0</v>
      </c>
      <c r="H534" s="6" t="str">
        <f>'Reported burning'!H534</f>
        <v>Presence</v>
      </c>
      <c r="I534" s="3"/>
      <c r="J534" s="21" t="s">
        <v>2276</v>
      </c>
      <c r="K534" s="103" t="s">
        <v>2276</v>
      </c>
      <c r="L534" s="21" t="s">
        <v>2276</v>
      </c>
      <c r="M534" s="21" t="s">
        <v>2276</v>
      </c>
      <c r="N534" s="21" t="s">
        <v>2276</v>
      </c>
      <c r="O534" s="21" t="s">
        <v>2375</v>
      </c>
      <c r="P534" s="21" t="s">
        <v>2276</v>
      </c>
      <c r="Q534" s="102" t="s">
        <v>2276</v>
      </c>
      <c r="R534" s="102" t="s">
        <v>2276</v>
      </c>
      <c r="S534" s="21" t="s">
        <v>2276</v>
      </c>
      <c r="T534" s="21" t="s">
        <v>2276</v>
      </c>
      <c r="U534" s="21" t="s">
        <v>2276</v>
      </c>
      <c r="V534" s="21" t="s">
        <v>2276</v>
      </c>
      <c r="W534" s="21" t="s">
        <v>2402</v>
      </c>
      <c r="X534" s="3" t="s">
        <v>2276</v>
      </c>
      <c r="Y534" s="3" t="s">
        <v>2276</v>
      </c>
      <c r="Z534" s="3" t="s">
        <v>2276</v>
      </c>
      <c r="AA534" s="3"/>
      <c r="AB534" s="3" t="s">
        <v>2071</v>
      </c>
    </row>
    <row r="535" spans="1:28" ht="83.5" customHeight="1">
      <c r="A535" s="6" t="str">
        <f>'Reported burning'!A535</f>
        <v>55a</v>
      </c>
      <c r="B535" s="6" t="str">
        <f>'Reported burning'!B535</f>
        <v>55a.2</v>
      </c>
      <c r="C535" s="6" t="str">
        <f>'Reported burning'!C535</f>
        <v>Human, deliberate</v>
      </c>
      <c r="D535" s="6" t="str">
        <f>'Reported burning'!D535</f>
        <v>Forest clearance</v>
      </c>
      <c r="E535" s="6" t="str">
        <f>'Reported burning'!E535</f>
        <v>Forestry, Small-scale</v>
      </c>
      <c r="F535" s="6" t="str">
        <f>'Reported burning'!F535</f>
        <v>Forest</v>
      </c>
      <c r="G535" s="6">
        <f>'Reported burning'!G535</f>
        <v>0</v>
      </c>
      <c r="H535" s="6" t="str">
        <f>'Reported burning'!H535</f>
        <v>Absence</v>
      </c>
      <c r="I535" s="3"/>
      <c r="J535" s="21" t="s">
        <v>2364</v>
      </c>
      <c r="K535" s="103" t="s">
        <v>2364</v>
      </c>
      <c r="L535" s="21" t="s">
        <v>2364</v>
      </c>
      <c r="M535" s="21" t="s">
        <v>2364</v>
      </c>
      <c r="N535" s="21" t="s">
        <v>2364</v>
      </c>
      <c r="O535" s="21" t="s">
        <v>2364</v>
      </c>
      <c r="P535" s="21" t="s">
        <v>2364</v>
      </c>
      <c r="Q535" s="102" t="s">
        <v>2276</v>
      </c>
      <c r="R535" s="102" t="s">
        <v>2276</v>
      </c>
      <c r="S535" s="21" t="s">
        <v>2364</v>
      </c>
      <c r="T535" s="21" t="s">
        <v>2364</v>
      </c>
      <c r="U535" s="21" t="s">
        <v>2364</v>
      </c>
      <c r="V535" s="21" t="s">
        <v>2364</v>
      </c>
      <c r="W535" s="21" t="s">
        <v>2276</v>
      </c>
      <c r="X535" s="3" t="s">
        <v>2276</v>
      </c>
      <c r="Y535" s="3" t="s">
        <v>2276</v>
      </c>
      <c r="Z535" s="3" t="s">
        <v>2276</v>
      </c>
      <c r="AA535" s="4" t="s">
        <v>868</v>
      </c>
      <c r="AB535" s="3"/>
    </row>
    <row r="536" spans="1:28" ht="63" customHeight="1">
      <c r="A536" s="6" t="str">
        <f>'Reported burning'!A536</f>
        <v>55a</v>
      </c>
      <c r="B536" s="6" t="str">
        <f>'Reported burning'!B536</f>
        <v>55a.3</v>
      </c>
      <c r="C536" s="6" t="str">
        <f>'Reported burning'!C536</f>
        <v>Human, deliberate</v>
      </c>
      <c r="D536" s="6" t="str">
        <f>'Reported burning'!D536</f>
        <v>Crop field preparation</v>
      </c>
      <c r="E536" s="6" t="str">
        <f>'Reported burning'!E536</f>
        <v>Cropping, Monoculture, Subsistence-oriented</v>
      </c>
      <c r="F536" s="6" t="str">
        <f>'Reported burning'!F536</f>
        <v>Cropland</v>
      </c>
      <c r="G536" s="6">
        <f>'Reported burning'!G536</f>
        <v>0</v>
      </c>
      <c r="H536" s="6" t="str">
        <f>'Reported burning'!H536</f>
        <v>Absence</v>
      </c>
      <c r="I536" s="3"/>
      <c r="J536" s="21" t="s">
        <v>2364</v>
      </c>
      <c r="K536" s="103" t="s">
        <v>2364</v>
      </c>
      <c r="L536" s="21" t="s">
        <v>2364</v>
      </c>
      <c r="M536" s="21" t="s">
        <v>2364</v>
      </c>
      <c r="N536" s="21" t="s">
        <v>2364</v>
      </c>
      <c r="O536" s="21" t="s">
        <v>2364</v>
      </c>
      <c r="P536" s="21" t="s">
        <v>2364</v>
      </c>
      <c r="Q536" s="102" t="s">
        <v>2276</v>
      </c>
      <c r="R536" s="102" t="s">
        <v>2276</v>
      </c>
      <c r="S536" s="21" t="s">
        <v>2364</v>
      </c>
      <c r="T536" s="21" t="s">
        <v>2364</v>
      </c>
      <c r="U536" s="21" t="s">
        <v>2364</v>
      </c>
      <c r="V536" s="21" t="s">
        <v>2364</v>
      </c>
      <c r="W536" s="21" t="s">
        <v>2276</v>
      </c>
      <c r="X536" s="3" t="s">
        <v>2276</v>
      </c>
      <c r="Y536" s="3" t="s">
        <v>2276</v>
      </c>
      <c r="Z536" s="3" t="s">
        <v>2276</v>
      </c>
      <c r="AA536" s="19" t="s">
        <v>867</v>
      </c>
      <c r="AB536" s="3"/>
    </row>
    <row r="537" spans="1:28" ht="66" customHeight="1">
      <c r="A537" s="6" t="str">
        <f>'Reported burning'!A537</f>
        <v>56a</v>
      </c>
      <c r="B537" s="6" t="str">
        <f>'Reported burning'!B537</f>
        <v>56a.1</v>
      </c>
      <c r="C537" s="6" t="str">
        <f>'Reported burning'!C537</f>
        <v>Human, deliberate</v>
      </c>
      <c r="D537" s="6" t="str">
        <f>'Reported burning'!D537</f>
        <v>Crop field preparation</v>
      </c>
      <c r="E537" s="6" t="str">
        <f>'Reported burning'!E537</f>
        <v>Cropping, Swidden</v>
      </c>
      <c r="F537" s="6" t="str">
        <f>'Reported burning'!F537</f>
        <v>Secondary Vegetation</v>
      </c>
      <c r="G537" s="6">
        <f>'Reported burning'!G537</f>
        <v>0</v>
      </c>
      <c r="H537" s="6" t="str">
        <f>'Reported burning'!H537</f>
        <v>Presence</v>
      </c>
      <c r="I537" s="89"/>
      <c r="J537" s="21" t="s">
        <v>2367</v>
      </c>
      <c r="K537" s="103" t="s">
        <v>2276</v>
      </c>
      <c r="L537" s="21" t="s">
        <v>2276</v>
      </c>
      <c r="M537" s="21" t="s">
        <v>2276</v>
      </c>
      <c r="N537" s="21" t="s">
        <v>2276</v>
      </c>
      <c r="O537" s="21" t="s">
        <v>2276</v>
      </c>
      <c r="P537" s="21" t="s">
        <v>2276</v>
      </c>
      <c r="Q537" s="102" t="s">
        <v>2276</v>
      </c>
      <c r="R537" s="102" t="s">
        <v>2276</v>
      </c>
      <c r="S537" s="21" t="s">
        <v>2276</v>
      </c>
      <c r="T537" s="21" t="s">
        <v>2276</v>
      </c>
      <c r="U537" s="21" t="s">
        <v>2527</v>
      </c>
      <c r="V537" s="21" t="s">
        <v>2276</v>
      </c>
      <c r="W537" s="21" t="s">
        <v>2276</v>
      </c>
      <c r="X537" s="3" t="s">
        <v>75</v>
      </c>
      <c r="Y537" s="3" t="s">
        <v>35</v>
      </c>
      <c r="Z537" s="3" t="s">
        <v>64</v>
      </c>
      <c r="AA537" s="4" t="s">
        <v>880</v>
      </c>
      <c r="AB537" s="4" t="s">
        <v>2125</v>
      </c>
    </row>
    <row r="538" spans="1:28" ht="66" customHeight="1">
      <c r="A538" s="6" t="str">
        <f>'Reported burning'!A538</f>
        <v>56b</v>
      </c>
      <c r="B538" s="6" t="str">
        <f>'Reported burning'!B538</f>
        <v>56b.1</v>
      </c>
      <c r="C538" s="6" t="str">
        <f>'Reported burning'!C538</f>
        <v>Human, deliberate</v>
      </c>
      <c r="D538" s="6" t="str">
        <f>'Reported burning'!D538</f>
        <v>Crop field preparation</v>
      </c>
      <c r="E538" s="6" t="str">
        <f>'Reported burning'!E538</f>
        <v>Cropping, Swidden</v>
      </c>
      <c r="F538" s="6" t="str">
        <f>'Reported burning'!F538</f>
        <v>Secondary Vegetation</v>
      </c>
      <c r="G538" s="6">
        <f>'Reported burning'!G538</f>
        <v>0</v>
      </c>
      <c r="H538" s="6" t="str">
        <f>'Reported burning'!H538</f>
        <v>Presence</v>
      </c>
      <c r="I538" s="89"/>
      <c r="J538" s="21" t="s">
        <v>2367</v>
      </c>
      <c r="K538" s="103" t="s">
        <v>2276</v>
      </c>
      <c r="L538" s="21" t="s">
        <v>2276</v>
      </c>
      <c r="M538" s="21" t="s">
        <v>2276</v>
      </c>
      <c r="N538" s="21" t="s">
        <v>2276</v>
      </c>
      <c r="O538" s="21" t="s">
        <v>2276</v>
      </c>
      <c r="P538" s="21" t="s">
        <v>2276</v>
      </c>
      <c r="Q538" s="102" t="s">
        <v>2276</v>
      </c>
      <c r="R538" s="102" t="s">
        <v>2276</v>
      </c>
      <c r="S538" s="21" t="s">
        <v>2276</v>
      </c>
      <c r="T538" s="21" t="s">
        <v>2276</v>
      </c>
      <c r="U538" s="21" t="s">
        <v>2527</v>
      </c>
      <c r="V538" s="21" t="s">
        <v>2276</v>
      </c>
      <c r="W538" s="21" t="s">
        <v>2276</v>
      </c>
      <c r="X538" s="3" t="s">
        <v>75</v>
      </c>
      <c r="Y538" s="3" t="s">
        <v>35</v>
      </c>
      <c r="Z538" s="3" t="s">
        <v>64</v>
      </c>
      <c r="AA538" s="4" t="s">
        <v>880</v>
      </c>
      <c r="AB538" s="4" t="s">
        <v>2125</v>
      </c>
    </row>
    <row r="539" spans="1:28" ht="66" customHeight="1">
      <c r="A539" s="6" t="str">
        <f>'Reported burning'!A539</f>
        <v>56c</v>
      </c>
      <c r="B539" s="6" t="str">
        <f>'Reported burning'!B539</f>
        <v>56c.1</v>
      </c>
      <c r="C539" s="6" t="str">
        <f>'Reported burning'!C539</f>
        <v>Human, deliberate</v>
      </c>
      <c r="D539" s="6" t="str">
        <f>'Reported burning'!D539</f>
        <v>Crop field preparation</v>
      </c>
      <c r="E539" s="6" t="str">
        <f>'Reported burning'!E539</f>
        <v>Cropping, Swidden</v>
      </c>
      <c r="F539" s="6" t="str">
        <f>'Reported burning'!F539</f>
        <v>Secondary Vegetation</v>
      </c>
      <c r="G539" s="6">
        <f>'Reported burning'!G539</f>
        <v>0</v>
      </c>
      <c r="H539" s="6" t="str">
        <f>'Reported burning'!H539</f>
        <v>Presence</v>
      </c>
      <c r="I539" s="89"/>
      <c r="J539" s="21" t="s">
        <v>2367</v>
      </c>
      <c r="K539" s="103" t="s">
        <v>2276</v>
      </c>
      <c r="L539" s="21" t="s">
        <v>2276</v>
      </c>
      <c r="M539" s="21" t="s">
        <v>2276</v>
      </c>
      <c r="N539" s="21" t="s">
        <v>2276</v>
      </c>
      <c r="O539" s="21" t="s">
        <v>2276</v>
      </c>
      <c r="P539" s="21" t="s">
        <v>2276</v>
      </c>
      <c r="Q539" s="102" t="s">
        <v>2276</v>
      </c>
      <c r="R539" s="102" t="s">
        <v>2276</v>
      </c>
      <c r="S539" s="21" t="s">
        <v>2276</v>
      </c>
      <c r="T539" s="21" t="s">
        <v>2276</v>
      </c>
      <c r="U539" s="21" t="s">
        <v>2527</v>
      </c>
      <c r="V539" s="21" t="s">
        <v>2276</v>
      </c>
      <c r="W539" s="21" t="s">
        <v>2276</v>
      </c>
      <c r="X539" s="3" t="s">
        <v>75</v>
      </c>
      <c r="Y539" s="3" t="s">
        <v>35</v>
      </c>
      <c r="Z539" s="3" t="s">
        <v>64</v>
      </c>
      <c r="AA539" s="4" t="s">
        <v>880</v>
      </c>
      <c r="AB539" s="4" t="s">
        <v>2125</v>
      </c>
    </row>
    <row r="540" spans="1:28" ht="66" customHeight="1">
      <c r="A540" s="6" t="str">
        <f>'Reported burning'!A540</f>
        <v>56d</v>
      </c>
      <c r="B540" s="6" t="str">
        <f>'Reported burning'!B540</f>
        <v>56d.1</v>
      </c>
      <c r="C540" s="6" t="str">
        <f>'Reported burning'!C540</f>
        <v>Human, deliberate</v>
      </c>
      <c r="D540" s="6" t="str">
        <f>'Reported burning'!D540</f>
        <v>Crop field preparation</v>
      </c>
      <c r="E540" s="6" t="str">
        <f>'Reported burning'!E540</f>
        <v>Cropping, Swidden</v>
      </c>
      <c r="F540" s="6" t="str">
        <f>'Reported burning'!F540</f>
        <v>Secondary Vegetation</v>
      </c>
      <c r="G540" s="6">
        <f>'Reported burning'!G540</f>
        <v>0</v>
      </c>
      <c r="H540" s="6" t="str">
        <f>'Reported burning'!H540</f>
        <v>Presence</v>
      </c>
      <c r="I540" s="89"/>
      <c r="J540" s="21" t="s">
        <v>2367</v>
      </c>
      <c r="K540" s="103" t="s">
        <v>2276</v>
      </c>
      <c r="L540" s="21" t="s">
        <v>2276</v>
      </c>
      <c r="M540" s="21" t="s">
        <v>2276</v>
      </c>
      <c r="N540" s="21" t="s">
        <v>2276</v>
      </c>
      <c r="O540" s="21" t="s">
        <v>2276</v>
      </c>
      <c r="P540" s="21" t="s">
        <v>2276</v>
      </c>
      <c r="Q540" s="102" t="s">
        <v>2276</v>
      </c>
      <c r="R540" s="102" t="s">
        <v>2276</v>
      </c>
      <c r="S540" s="21" t="s">
        <v>2276</v>
      </c>
      <c r="T540" s="21" t="s">
        <v>2276</v>
      </c>
      <c r="U540" s="21" t="s">
        <v>2527</v>
      </c>
      <c r="V540" s="21" t="s">
        <v>2276</v>
      </c>
      <c r="W540" s="21" t="s">
        <v>2276</v>
      </c>
      <c r="X540" s="3" t="s">
        <v>75</v>
      </c>
      <c r="Y540" s="3" t="s">
        <v>35</v>
      </c>
      <c r="Z540" s="3" t="s">
        <v>64</v>
      </c>
      <c r="AA540" s="4" t="s">
        <v>880</v>
      </c>
      <c r="AB540" s="4" t="s">
        <v>2125</v>
      </c>
    </row>
    <row r="541" spans="1:28" ht="66" customHeight="1">
      <c r="A541" s="6" t="str">
        <f>'Reported burning'!A541</f>
        <v>56e</v>
      </c>
      <c r="B541" s="6" t="str">
        <f>'Reported burning'!B541</f>
        <v>56e.1</v>
      </c>
      <c r="C541" s="6" t="str">
        <f>'Reported burning'!C541</f>
        <v>Human, deliberate</v>
      </c>
      <c r="D541" s="6" t="str">
        <f>'Reported burning'!D541</f>
        <v>Crop field preparation</v>
      </c>
      <c r="E541" s="6" t="str">
        <f>'Reported burning'!E541</f>
        <v>Cropping, Swidden</v>
      </c>
      <c r="F541" s="6" t="str">
        <f>'Reported burning'!F541</f>
        <v>Secondary Vegetation</v>
      </c>
      <c r="G541" s="6">
        <f>'Reported burning'!G541</f>
        <v>0</v>
      </c>
      <c r="H541" s="6" t="str">
        <f>'Reported burning'!H541</f>
        <v>Presence</v>
      </c>
      <c r="I541" s="89"/>
      <c r="J541" s="21" t="s">
        <v>2367</v>
      </c>
      <c r="K541" s="103" t="s">
        <v>2276</v>
      </c>
      <c r="L541" s="21" t="s">
        <v>2276</v>
      </c>
      <c r="M541" s="21" t="s">
        <v>2276</v>
      </c>
      <c r="N541" s="21" t="s">
        <v>2276</v>
      </c>
      <c r="O541" s="21" t="s">
        <v>2276</v>
      </c>
      <c r="P541" s="21" t="s">
        <v>2276</v>
      </c>
      <c r="Q541" s="102" t="s">
        <v>2276</v>
      </c>
      <c r="R541" s="102" t="s">
        <v>2276</v>
      </c>
      <c r="S541" s="21" t="s">
        <v>2276</v>
      </c>
      <c r="T541" s="21" t="s">
        <v>2276</v>
      </c>
      <c r="U541" s="21" t="s">
        <v>2527</v>
      </c>
      <c r="V541" s="21" t="s">
        <v>2276</v>
      </c>
      <c r="W541" s="21" t="s">
        <v>2276</v>
      </c>
      <c r="X541" s="3" t="s">
        <v>75</v>
      </c>
      <c r="Y541" s="3" t="s">
        <v>35</v>
      </c>
      <c r="Z541" s="3" t="s">
        <v>64</v>
      </c>
      <c r="AA541" s="4" t="s">
        <v>880</v>
      </c>
      <c r="AB541" s="4" t="s">
        <v>2125</v>
      </c>
    </row>
    <row r="542" spans="1:28" ht="66" customHeight="1">
      <c r="A542" s="6" t="str">
        <f>'Reported burning'!A542</f>
        <v>56f</v>
      </c>
      <c r="B542" s="6" t="str">
        <f>'Reported burning'!B542</f>
        <v>56f.1</v>
      </c>
      <c r="C542" s="6" t="str">
        <f>'Reported burning'!C542</f>
        <v>Human, deliberate</v>
      </c>
      <c r="D542" s="6" t="str">
        <f>'Reported burning'!D542</f>
        <v>Crop field preparation</v>
      </c>
      <c r="E542" s="6" t="str">
        <f>'Reported burning'!E542</f>
        <v>Cropping, Swidden</v>
      </c>
      <c r="F542" s="6" t="str">
        <f>'Reported burning'!F542</f>
        <v>Secondary Vegetation</v>
      </c>
      <c r="G542" s="6">
        <f>'Reported burning'!G542</f>
        <v>0</v>
      </c>
      <c r="H542" s="6" t="str">
        <f>'Reported burning'!H542</f>
        <v>Presence</v>
      </c>
      <c r="I542" s="89"/>
      <c r="J542" s="21" t="s">
        <v>2368</v>
      </c>
      <c r="K542" s="103" t="s">
        <v>2276</v>
      </c>
      <c r="L542" s="21" t="s">
        <v>2276</v>
      </c>
      <c r="M542" s="21" t="s">
        <v>2276</v>
      </c>
      <c r="N542" s="21" t="s">
        <v>2276</v>
      </c>
      <c r="O542" s="21" t="s">
        <v>2276</v>
      </c>
      <c r="P542" s="21" t="s">
        <v>2276</v>
      </c>
      <c r="Q542" s="102" t="s">
        <v>2276</v>
      </c>
      <c r="R542" s="102" t="s">
        <v>2276</v>
      </c>
      <c r="S542" s="21" t="s">
        <v>2276</v>
      </c>
      <c r="T542" s="21" t="s">
        <v>2276</v>
      </c>
      <c r="U542" s="21" t="s">
        <v>2527</v>
      </c>
      <c r="V542" s="21" t="s">
        <v>2276</v>
      </c>
      <c r="W542" s="21" t="s">
        <v>2276</v>
      </c>
      <c r="X542" s="3" t="s">
        <v>75</v>
      </c>
      <c r="Y542" s="3" t="s">
        <v>35</v>
      </c>
      <c r="Z542" s="3" t="s">
        <v>64</v>
      </c>
      <c r="AA542" s="4" t="s">
        <v>880</v>
      </c>
      <c r="AB542" s="4" t="s">
        <v>2125</v>
      </c>
    </row>
    <row r="543" spans="1:28" ht="66" customHeight="1">
      <c r="A543" s="6" t="str">
        <f>'Reported burning'!A543</f>
        <v>56g</v>
      </c>
      <c r="B543" s="6" t="str">
        <f>'Reported burning'!B543</f>
        <v>56g.1</v>
      </c>
      <c r="C543" s="6" t="str">
        <f>'Reported burning'!C543</f>
        <v>Human, deliberate</v>
      </c>
      <c r="D543" s="6" t="str">
        <f>'Reported burning'!D543</f>
        <v>Crop field preparation</v>
      </c>
      <c r="E543" s="6" t="str">
        <f>'Reported burning'!E543</f>
        <v>Cropping, Swidden</v>
      </c>
      <c r="F543" s="6" t="str">
        <f>'Reported burning'!F543</f>
        <v>Secondary Vegetation</v>
      </c>
      <c r="G543" s="6">
        <f>'Reported burning'!G543</f>
        <v>0</v>
      </c>
      <c r="H543" s="6" t="str">
        <f>'Reported burning'!H543</f>
        <v>Presence</v>
      </c>
      <c r="I543" s="89"/>
      <c r="J543" s="21" t="s">
        <v>2369</v>
      </c>
      <c r="K543" s="103" t="s">
        <v>2276</v>
      </c>
      <c r="L543" s="21" t="s">
        <v>2276</v>
      </c>
      <c r="M543" s="21" t="s">
        <v>2276</v>
      </c>
      <c r="N543" s="21" t="s">
        <v>2276</v>
      </c>
      <c r="O543" s="21" t="s">
        <v>2276</v>
      </c>
      <c r="P543" s="21" t="s">
        <v>2276</v>
      </c>
      <c r="Q543" s="102" t="s">
        <v>2276</v>
      </c>
      <c r="R543" s="102" t="s">
        <v>2276</v>
      </c>
      <c r="S543" s="21" t="s">
        <v>2276</v>
      </c>
      <c r="T543" s="21" t="s">
        <v>2276</v>
      </c>
      <c r="U543" s="21" t="s">
        <v>2527</v>
      </c>
      <c r="V543" s="21" t="s">
        <v>2276</v>
      </c>
      <c r="W543" s="21" t="s">
        <v>2276</v>
      </c>
      <c r="X543" s="3" t="s">
        <v>75</v>
      </c>
      <c r="Y543" s="3" t="s">
        <v>35</v>
      </c>
      <c r="Z543" s="3" t="s">
        <v>64</v>
      </c>
      <c r="AA543" s="4" t="s">
        <v>880</v>
      </c>
      <c r="AB543" s="4" t="s">
        <v>2125</v>
      </c>
    </row>
    <row r="544" spans="1:28" ht="66" customHeight="1">
      <c r="A544" s="6" t="str">
        <f>'Reported burning'!A544</f>
        <v>56h</v>
      </c>
      <c r="B544" s="6" t="str">
        <f>'Reported burning'!B544</f>
        <v>56h.1</v>
      </c>
      <c r="C544" s="6" t="str">
        <f>'Reported burning'!C544</f>
        <v>Human, deliberate</v>
      </c>
      <c r="D544" s="6" t="str">
        <f>'Reported burning'!D544</f>
        <v>Crop field preparation</v>
      </c>
      <c r="E544" s="6" t="str">
        <f>'Reported burning'!E544</f>
        <v>Cropping, Swidden</v>
      </c>
      <c r="F544" s="6" t="str">
        <f>'Reported burning'!F544</f>
        <v>Secondary Vegetation</v>
      </c>
      <c r="G544" s="6">
        <f>'Reported burning'!G544</f>
        <v>0</v>
      </c>
      <c r="H544" s="6" t="str">
        <f>'Reported burning'!H544</f>
        <v>Presence</v>
      </c>
      <c r="I544" s="89"/>
      <c r="J544" s="21" t="s">
        <v>2369</v>
      </c>
      <c r="K544" s="103" t="s">
        <v>2276</v>
      </c>
      <c r="L544" s="21" t="s">
        <v>2276</v>
      </c>
      <c r="M544" s="21" t="s">
        <v>2276</v>
      </c>
      <c r="N544" s="21" t="s">
        <v>2276</v>
      </c>
      <c r="O544" s="21" t="s">
        <v>2276</v>
      </c>
      <c r="P544" s="21" t="s">
        <v>2276</v>
      </c>
      <c r="Q544" s="102" t="s">
        <v>2276</v>
      </c>
      <c r="R544" s="102" t="s">
        <v>2276</v>
      </c>
      <c r="S544" s="21" t="s">
        <v>2276</v>
      </c>
      <c r="T544" s="21" t="s">
        <v>2276</v>
      </c>
      <c r="U544" s="21" t="s">
        <v>2527</v>
      </c>
      <c r="V544" s="21" t="s">
        <v>2276</v>
      </c>
      <c r="W544" s="21" t="s">
        <v>2276</v>
      </c>
      <c r="X544" s="3" t="s">
        <v>75</v>
      </c>
      <c r="Y544" s="3" t="s">
        <v>35</v>
      </c>
      <c r="Z544" s="3" t="s">
        <v>64</v>
      </c>
      <c r="AA544" s="4" t="s">
        <v>880</v>
      </c>
      <c r="AB544" s="4" t="s">
        <v>2125</v>
      </c>
    </row>
    <row r="545" spans="1:28" ht="66" customHeight="1">
      <c r="A545" s="6" t="str">
        <f>'Reported burning'!A545</f>
        <v>56i</v>
      </c>
      <c r="B545" s="6" t="str">
        <f>'Reported burning'!B545</f>
        <v>56i.1</v>
      </c>
      <c r="C545" s="6" t="str">
        <f>'Reported burning'!C545</f>
        <v>Human, deliberate</v>
      </c>
      <c r="D545" s="6" t="str">
        <f>'Reported burning'!D545</f>
        <v>Crop field preparation</v>
      </c>
      <c r="E545" s="6" t="str">
        <f>'Reported burning'!E545</f>
        <v>Cropping, Swidden</v>
      </c>
      <c r="F545" s="6" t="str">
        <f>'Reported burning'!F545</f>
        <v>Secondary Vegetation</v>
      </c>
      <c r="G545" s="6">
        <f>'Reported burning'!G545</f>
        <v>0</v>
      </c>
      <c r="H545" s="6" t="str">
        <f>'Reported burning'!H545</f>
        <v>Presence</v>
      </c>
      <c r="I545" s="89"/>
      <c r="J545" s="21" t="s">
        <v>2368</v>
      </c>
      <c r="K545" s="103" t="s">
        <v>2276</v>
      </c>
      <c r="L545" s="21" t="s">
        <v>2276</v>
      </c>
      <c r="M545" s="21" t="s">
        <v>2276</v>
      </c>
      <c r="N545" s="21" t="s">
        <v>2276</v>
      </c>
      <c r="O545" s="21" t="s">
        <v>2276</v>
      </c>
      <c r="P545" s="21" t="s">
        <v>2276</v>
      </c>
      <c r="Q545" s="102" t="s">
        <v>2276</v>
      </c>
      <c r="R545" s="102" t="s">
        <v>2276</v>
      </c>
      <c r="S545" s="21" t="s">
        <v>2276</v>
      </c>
      <c r="T545" s="21" t="s">
        <v>2276</v>
      </c>
      <c r="U545" s="21" t="s">
        <v>2527</v>
      </c>
      <c r="V545" s="21" t="s">
        <v>2276</v>
      </c>
      <c r="W545" s="21" t="s">
        <v>2276</v>
      </c>
      <c r="X545" s="3" t="s">
        <v>75</v>
      </c>
      <c r="Y545" s="3" t="s">
        <v>35</v>
      </c>
      <c r="Z545" s="3" t="s">
        <v>64</v>
      </c>
      <c r="AA545" s="4" t="s">
        <v>880</v>
      </c>
      <c r="AB545" s="4" t="s">
        <v>2125</v>
      </c>
    </row>
    <row r="546" spans="1:28" ht="66" customHeight="1">
      <c r="A546" s="6" t="str">
        <f>'Reported burning'!A546</f>
        <v>56j</v>
      </c>
      <c r="B546" s="6" t="str">
        <f>'Reported burning'!B546</f>
        <v>56j.1</v>
      </c>
      <c r="C546" s="6" t="str">
        <f>'Reported burning'!C546</f>
        <v>Human, deliberate</v>
      </c>
      <c r="D546" s="6" t="str">
        <f>'Reported burning'!D546</f>
        <v>Crop field preparation</v>
      </c>
      <c r="E546" s="6" t="str">
        <f>'Reported burning'!E546</f>
        <v>Cropping, Swidden</v>
      </c>
      <c r="F546" s="6" t="str">
        <f>'Reported burning'!F546</f>
        <v>Secondary Vegetation</v>
      </c>
      <c r="G546" s="6">
        <f>'Reported burning'!G546</f>
        <v>0</v>
      </c>
      <c r="H546" s="6" t="str">
        <f>'Reported burning'!H546</f>
        <v>Presence</v>
      </c>
      <c r="I546" s="89"/>
      <c r="J546" s="21" t="s">
        <v>2367</v>
      </c>
      <c r="K546" s="103" t="s">
        <v>2276</v>
      </c>
      <c r="L546" s="21" t="s">
        <v>2276</v>
      </c>
      <c r="M546" s="21" t="s">
        <v>2276</v>
      </c>
      <c r="N546" s="21" t="s">
        <v>2276</v>
      </c>
      <c r="O546" s="21" t="s">
        <v>2276</v>
      </c>
      <c r="P546" s="21" t="s">
        <v>2276</v>
      </c>
      <c r="Q546" s="102" t="s">
        <v>2276</v>
      </c>
      <c r="R546" s="102" t="s">
        <v>2276</v>
      </c>
      <c r="S546" s="21" t="s">
        <v>2276</v>
      </c>
      <c r="T546" s="21" t="s">
        <v>2276</v>
      </c>
      <c r="U546" s="21" t="s">
        <v>2527</v>
      </c>
      <c r="V546" s="21" t="s">
        <v>2276</v>
      </c>
      <c r="W546" s="21" t="s">
        <v>2276</v>
      </c>
      <c r="X546" s="3" t="s">
        <v>75</v>
      </c>
      <c r="Y546" s="3" t="s">
        <v>35</v>
      </c>
      <c r="Z546" s="3" t="s">
        <v>64</v>
      </c>
      <c r="AA546" s="4" t="s">
        <v>880</v>
      </c>
      <c r="AB546" s="4" t="s">
        <v>2125</v>
      </c>
    </row>
    <row r="547" spans="1:28" ht="66" customHeight="1">
      <c r="A547" s="6" t="str">
        <f>'Reported burning'!A547</f>
        <v>56k</v>
      </c>
      <c r="B547" s="6" t="str">
        <f>'Reported burning'!B547</f>
        <v>56k.1</v>
      </c>
      <c r="C547" s="6" t="str">
        <f>'Reported burning'!C547</f>
        <v>Human, deliberate</v>
      </c>
      <c r="D547" s="6" t="str">
        <f>'Reported burning'!D547</f>
        <v>Crop field preparation</v>
      </c>
      <c r="E547" s="6" t="str">
        <f>'Reported burning'!E547</f>
        <v>Cropping, Swidden</v>
      </c>
      <c r="F547" s="6" t="str">
        <f>'Reported burning'!F547</f>
        <v>Secondary Vegetation</v>
      </c>
      <c r="G547" s="6">
        <f>'Reported burning'!G547</f>
        <v>0</v>
      </c>
      <c r="H547" s="6" t="str">
        <f>'Reported burning'!H547</f>
        <v>Presence</v>
      </c>
      <c r="I547" s="89"/>
      <c r="J547" s="21" t="s">
        <v>2369</v>
      </c>
      <c r="K547" s="103" t="s">
        <v>2276</v>
      </c>
      <c r="L547" s="21" t="s">
        <v>2276</v>
      </c>
      <c r="M547" s="21" t="s">
        <v>2276</v>
      </c>
      <c r="N547" s="21" t="s">
        <v>2276</v>
      </c>
      <c r="O547" s="21" t="s">
        <v>2276</v>
      </c>
      <c r="P547" s="21" t="s">
        <v>2276</v>
      </c>
      <c r="Q547" s="102" t="s">
        <v>2276</v>
      </c>
      <c r="R547" s="102" t="s">
        <v>2276</v>
      </c>
      <c r="S547" s="21" t="s">
        <v>2276</v>
      </c>
      <c r="T547" s="21" t="s">
        <v>2276</v>
      </c>
      <c r="U547" s="21" t="s">
        <v>2527</v>
      </c>
      <c r="V547" s="21" t="s">
        <v>2276</v>
      </c>
      <c r="W547" s="21" t="s">
        <v>2276</v>
      </c>
      <c r="X547" s="3" t="s">
        <v>75</v>
      </c>
      <c r="Y547" s="3" t="s">
        <v>35</v>
      </c>
      <c r="Z547" s="3" t="s">
        <v>64</v>
      </c>
      <c r="AA547" s="4" t="s">
        <v>880</v>
      </c>
      <c r="AB547" s="4" t="s">
        <v>2125</v>
      </c>
    </row>
    <row r="548" spans="1:28" ht="66" customHeight="1">
      <c r="A548" s="6" t="str">
        <f>'Reported burning'!A548</f>
        <v>56l</v>
      </c>
      <c r="B548" s="6" t="str">
        <f>'Reported burning'!B548</f>
        <v>56l.1</v>
      </c>
      <c r="C548" s="6" t="str">
        <f>'Reported burning'!C548</f>
        <v>Human, deliberate</v>
      </c>
      <c r="D548" s="6" t="str">
        <f>'Reported burning'!D548</f>
        <v>Crop field preparation</v>
      </c>
      <c r="E548" s="6" t="str">
        <f>'Reported burning'!E548</f>
        <v>Cropping, Swidden</v>
      </c>
      <c r="F548" s="6" t="str">
        <f>'Reported burning'!F548</f>
        <v>Secondary Vegetation</v>
      </c>
      <c r="G548" s="6">
        <f>'Reported burning'!G548</f>
        <v>0</v>
      </c>
      <c r="H548" s="6" t="str">
        <f>'Reported burning'!H548</f>
        <v>Presence</v>
      </c>
      <c r="I548" s="89"/>
      <c r="J548" s="21" t="s">
        <v>2369</v>
      </c>
      <c r="K548" s="103" t="s">
        <v>2276</v>
      </c>
      <c r="L548" s="21" t="s">
        <v>2276</v>
      </c>
      <c r="M548" s="21" t="s">
        <v>2276</v>
      </c>
      <c r="N548" s="21" t="s">
        <v>2276</v>
      </c>
      <c r="O548" s="21" t="s">
        <v>2276</v>
      </c>
      <c r="P548" s="21" t="s">
        <v>2276</v>
      </c>
      <c r="Q548" s="102" t="s">
        <v>2276</v>
      </c>
      <c r="R548" s="102" t="s">
        <v>2276</v>
      </c>
      <c r="S548" s="21" t="s">
        <v>2276</v>
      </c>
      <c r="T548" s="21" t="s">
        <v>2276</v>
      </c>
      <c r="U548" s="21" t="s">
        <v>2527</v>
      </c>
      <c r="V548" s="21" t="s">
        <v>2276</v>
      </c>
      <c r="W548" s="21" t="s">
        <v>2276</v>
      </c>
      <c r="X548" s="3" t="s">
        <v>75</v>
      </c>
      <c r="Y548" s="3" t="s">
        <v>35</v>
      </c>
      <c r="Z548" s="3" t="s">
        <v>64</v>
      </c>
      <c r="AA548" s="4" t="s">
        <v>880</v>
      </c>
      <c r="AB548" s="4" t="s">
        <v>2125</v>
      </c>
    </row>
    <row r="549" spans="1:28" ht="66" customHeight="1">
      <c r="A549" s="6" t="str">
        <f>'Reported burning'!A549</f>
        <v>56m</v>
      </c>
      <c r="B549" s="6" t="str">
        <f>'Reported burning'!B549</f>
        <v>56m.1</v>
      </c>
      <c r="C549" s="6" t="str">
        <f>'Reported burning'!C549</f>
        <v>Human, deliberate</v>
      </c>
      <c r="D549" s="6" t="str">
        <f>'Reported burning'!D549</f>
        <v>Crop field preparation</v>
      </c>
      <c r="E549" s="6" t="str">
        <f>'Reported burning'!E549</f>
        <v>Cropping, Swidden</v>
      </c>
      <c r="F549" s="6" t="str">
        <f>'Reported burning'!F549</f>
        <v>Secondary Vegetation</v>
      </c>
      <c r="G549" s="6">
        <f>'Reported burning'!G549</f>
        <v>0</v>
      </c>
      <c r="H549" s="6" t="str">
        <f>'Reported burning'!H549</f>
        <v>Presence</v>
      </c>
      <c r="I549" s="89"/>
      <c r="J549" s="21" t="s">
        <v>2367</v>
      </c>
      <c r="K549" s="103" t="s">
        <v>2276</v>
      </c>
      <c r="L549" s="21" t="s">
        <v>2276</v>
      </c>
      <c r="M549" s="21" t="s">
        <v>2276</v>
      </c>
      <c r="N549" s="21" t="s">
        <v>2276</v>
      </c>
      <c r="O549" s="21" t="s">
        <v>2276</v>
      </c>
      <c r="P549" s="21" t="s">
        <v>2276</v>
      </c>
      <c r="Q549" s="102" t="s">
        <v>2276</v>
      </c>
      <c r="R549" s="102" t="s">
        <v>2276</v>
      </c>
      <c r="S549" s="21" t="s">
        <v>2276</v>
      </c>
      <c r="T549" s="21" t="s">
        <v>2276</v>
      </c>
      <c r="U549" s="21" t="s">
        <v>2527</v>
      </c>
      <c r="V549" s="21" t="s">
        <v>2276</v>
      </c>
      <c r="W549" s="21" t="s">
        <v>2276</v>
      </c>
      <c r="X549" s="3" t="s">
        <v>75</v>
      </c>
      <c r="Y549" s="3" t="s">
        <v>35</v>
      </c>
      <c r="Z549" s="3" t="s">
        <v>64</v>
      </c>
      <c r="AA549" s="4" t="s">
        <v>880</v>
      </c>
      <c r="AB549" s="4" t="s">
        <v>2125</v>
      </c>
    </row>
    <row r="550" spans="1:28" ht="66" customHeight="1">
      <c r="A550" s="6" t="str">
        <f>'Reported burning'!A550</f>
        <v>56n</v>
      </c>
      <c r="B550" s="6" t="str">
        <f>'Reported burning'!B550</f>
        <v>56n.1</v>
      </c>
      <c r="C550" s="6" t="str">
        <f>'Reported burning'!C550</f>
        <v>Human, deliberate</v>
      </c>
      <c r="D550" s="6" t="str">
        <f>'Reported burning'!D550</f>
        <v>Crop field preparation</v>
      </c>
      <c r="E550" s="6" t="str">
        <f>'Reported burning'!E550</f>
        <v>Cropping, Swidden</v>
      </c>
      <c r="F550" s="6" t="str">
        <f>'Reported burning'!F550</f>
        <v>Secondary Vegetation</v>
      </c>
      <c r="G550" s="6">
        <f>'Reported burning'!G550</f>
        <v>0</v>
      </c>
      <c r="H550" s="6" t="str">
        <f>'Reported burning'!H550</f>
        <v>Presence</v>
      </c>
      <c r="I550" s="89"/>
      <c r="J550" s="21" t="s">
        <v>2368</v>
      </c>
      <c r="K550" s="103" t="s">
        <v>2276</v>
      </c>
      <c r="L550" s="21" t="s">
        <v>2276</v>
      </c>
      <c r="M550" s="21" t="s">
        <v>2276</v>
      </c>
      <c r="N550" s="21" t="s">
        <v>2276</v>
      </c>
      <c r="O550" s="21" t="s">
        <v>2276</v>
      </c>
      <c r="P550" s="21" t="s">
        <v>2276</v>
      </c>
      <c r="Q550" s="102" t="s">
        <v>2276</v>
      </c>
      <c r="R550" s="102" t="s">
        <v>2276</v>
      </c>
      <c r="S550" s="21" t="s">
        <v>2276</v>
      </c>
      <c r="T550" s="21" t="s">
        <v>2276</v>
      </c>
      <c r="U550" s="21" t="s">
        <v>2527</v>
      </c>
      <c r="V550" s="21" t="s">
        <v>2276</v>
      </c>
      <c r="W550" s="21" t="s">
        <v>2276</v>
      </c>
      <c r="X550" s="3" t="s">
        <v>75</v>
      </c>
      <c r="Y550" s="3" t="s">
        <v>35</v>
      </c>
      <c r="Z550" s="3" t="s">
        <v>64</v>
      </c>
      <c r="AA550" s="4" t="s">
        <v>880</v>
      </c>
      <c r="AB550" s="4" t="s">
        <v>2125</v>
      </c>
    </row>
    <row r="551" spans="1:28" ht="66" customHeight="1">
      <c r="A551" s="6" t="str">
        <f>'Reported burning'!A551</f>
        <v>56o</v>
      </c>
      <c r="B551" s="6" t="str">
        <f>'Reported burning'!B551</f>
        <v>56o.1</v>
      </c>
      <c r="C551" s="6" t="str">
        <f>'Reported burning'!C551</f>
        <v>Human, deliberate</v>
      </c>
      <c r="D551" s="6" t="str">
        <f>'Reported burning'!D551</f>
        <v>Crop field preparation</v>
      </c>
      <c r="E551" s="6" t="str">
        <f>'Reported burning'!E551</f>
        <v>Cropping, Swidden</v>
      </c>
      <c r="F551" s="6" t="str">
        <f>'Reported burning'!F551</f>
        <v>Secondary Vegetation</v>
      </c>
      <c r="G551" s="6">
        <f>'Reported burning'!G551</f>
        <v>0</v>
      </c>
      <c r="H551" s="6" t="str">
        <f>'Reported burning'!H551</f>
        <v>Presence</v>
      </c>
      <c r="I551" s="89"/>
      <c r="J551" s="21" t="s">
        <v>2368</v>
      </c>
      <c r="K551" s="103" t="s">
        <v>2276</v>
      </c>
      <c r="L551" s="21" t="s">
        <v>2276</v>
      </c>
      <c r="M551" s="21" t="s">
        <v>2276</v>
      </c>
      <c r="N551" s="21" t="s">
        <v>2276</v>
      </c>
      <c r="O551" s="21" t="s">
        <v>2276</v>
      </c>
      <c r="P551" s="21" t="s">
        <v>2276</v>
      </c>
      <c r="Q551" s="102" t="s">
        <v>2276</v>
      </c>
      <c r="R551" s="102" t="s">
        <v>2276</v>
      </c>
      <c r="S551" s="21" t="s">
        <v>2276</v>
      </c>
      <c r="T551" s="21" t="s">
        <v>2276</v>
      </c>
      <c r="U551" s="21" t="s">
        <v>2527</v>
      </c>
      <c r="V551" s="21" t="s">
        <v>2276</v>
      </c>
      <c r="W551" s="21" t="s">
        <v>2276</v>
      </c>
      <c r="X551" s="3" t="s">
        <v>75</v>
      </c>
      <c r="Y551" s="3" t="s">
        <v>35</v>
      </c>
      <c r="Z551" s="3" t="s">
        <v>64</v>
      </c>
      <c r="AA551" s="4" t="s">
        <v>880</v>
      </c>
      <c r="AB551" s="4" t="s">
        <v>2125</v>
      </c>
    </row>
    <row r="552" spans="1:28" ht="66" customHeight="1">
      <c r="A552" s="6" t="str">
        <f>'Reported burning'!A552</f>
        <v>56p</v>
      </c>
      <c r="B552" s="6" t="str">
        <f>'Reported burning'!B552</f>
        <v>56p.1</v>
      </c>
      <c r="C552" s="6" t="str">
        <f>'Reported burning'!C552</f>
        <v>Human, deliberate</v>
      </c>
      <c r="D552" s="6" t="str">
        <f>'Reported burning'!D552</f>
        <v>Crop field preparation</v>
      </c>
      <c r="E552" s="6" t="str">
        <f>'Reported burning'!E552</f>
        <v>Cropping, Swidden</v>
      </c>
      <c r="F552" s="6" t="str">
        <f>'Reported burning'!F552</f>
        <v>Secondary Vegetation</v>
      </c>
      <c r="G552" s="6">
        <f>'Reported burning'!G552</f>
        <v>0</v>
      </c>
      <c r="H552" s="6" t="str">
        <f>'Reported burning'!H552</f>
        <v>Presence</v>
      </c>
      <c r="I552" s="89"/>
      <c r="J552" s="21" t="s">
        <v>2369</v>
      </c>
      <c r="K552" s="103" t="s">
        <v>2276</v>
      </c>
      <c r="L552" s="21" t="s">
        <v>2276</v>
      </c>
      <c r="M552" s="21" t="s">
        <v>2276</v>
      </c>
      <c r="N552" s="21" t="s">
        <v>2276</v>
      </c>
      <c r="O552" s="21" t="s">
        <v>2276</v>
      </c>
      <c r="P552" s="21" t="s">
        <v>2276</v>
      </c>
      <c r="Q552" s="102" t="s">
        <v>2276</v>
      </c>
      <c r="R552" s="102" t="s">
        <v>2276</v>
      </c>
      <c r="S552" s="21" t="s">
        <v>2276</v>
      </c>
      <c r="T552" s="21" t="s">
        <v>2276</v>
      </c>
      <c r="U552" s="21" t="s">
        <v>2527</v>
      </c>
      <c r="V552" s="21" t="s">
        <v>2276</v>
      </c>
      <c r="W552" s="21" t="s">
        <v>2276</v>
      </c>
      <c r="X552" s="3" t="s">
        <v>75</v>
      </c>
      <c r="Y552" s="3" t="s">
        <v>35</v>
      </c>
      <c r="Z552" s="3" t="s">
        <v>64</v>
      </c>
      <c r="AA552" s="4" t="s">
        <v>880</v>
      </c>
      <c r="AB552" s="4" t="s">
        <v>2125</v>
      </c>
    </row>
    <row r="553" spans="1:28" ht="66" customHeight="1">
      <c r="A553" s="6" t="str">
        <f>'Reported burning'!A553</f>
        <v>56q</v>
      </c>
      <c r="B553" s="6" t="str">
        <f>'Reported burning'!B553</f>
        <v>56q.1</v>
      </c>
      <c r="C553" s="6" t="str">
        <f>'Reported burning'!C553</f>
        <v>Human, deliberate</v>
      </c>
      <c r="D553" s="6" t="str">
        <f>'Reported burning'!D553</f>
        <v>Crop field preparation</v>
      </c>
      <c r="E553" s="6" t="str">
        <f>'Reported burning'!E553</f>
        <v>Cropping, Swidden</v>
      </c>
      <c r="F553" s="6" t="str">
        <f>'Reported burning'!F553</f>
        <v>Secondary Vegetation</v>
      </c>
      <c r="G553" s="6">
        <f>'Reported burning'!G553</f>
        <v>0</v>
      </c>
      <c r="H553" s="6" t="str">
        <f>'Reported burning'!H553</f>
        <v>Presence</v>
      </c>
      <c r="I553" s="89"/>
      <c r="J553" s="21" t="s">
        <v>2368</v>
      </c>
      <c r="K553" s="103" t="s">
        <v>2276</v>
      </c>
      <c r="L553" s="21" t="s">
        <v>2276</v>
      </c>
      <c r="M553" s="21" t="s">
        <v>2276</v>
      </c>
      <c r="N553" s="21" t="s">
        <v>2276</v>
      </c>
      <c r="O553" s="21" t="s">
        <v>2276</v>
      </c>
      <c r="P553" s="21" t="s">
        <v>2276</v>
      </c>
      <c r="Q553" s="102" t="s">
        <v>2276</v>
      </c>
      <c r="R553" s="102" t="s">
        <v>2276</v>
      </c>
      <c r="S553" s="21" t="s">
        <v>2276</v>
      </c>
      <c r="T553" s="21" t="s">
        <v>2276</v>
      </c>
      <c r="U553" s="21" t="s">
        <v>2527</v>
      </c>
      <c r="V553" s="21" t="s">
        <v>2276</v>
      </c>
      <c r="W553" s="21" t="s">
        <v>2276</v>
      </c>
      <c r="X553" s="3" t="s">
        <v>75</v>
      </c>
      <c r="Y553" s="3" t="s">
        <v>35</v>
      </c>
      <c r="Z553" s="3" t="s">
        <v>64</v>
      </c>
      <c r="AA553" s="4" t="s">
        <v>880</v>
      </c>
      <c r="AB553" s="4" t="s">
        <v>2125</v>
      </c>
    </row>
    <row r="554" spans="1:28" ht="66" customHeight="1">
      <c r="A554" s="6" t="str">
        <f>'Reported burning'!A554</f>
        <v>56r</v>
      </c>
      <c r="B554" s="6" t="str">
        <f>'Reported burning'!B554</f>
        <v>56r.1</v>
      </c>
      <c r="C554" s="6" t="str">
        <f>'Reported burning'!C554</f>
        <v>Human, deliberate</v>
      </c>
      <c r="D554" s="6" t="str">
        <f>'Reported burning'!D554</f>
        <v>Crop field preparation</v>
      </c>
      <c r="E554" s="6" t="str">
        <f>'Reported burning'!E554</f>
        <v>Cropping, Swidden</v>
      </c>
      <c r="F554" s="6" t="str">
        <f>'Reported burning'!F554</f>
        <v>Secondary Vegetation</v>
      </c>
      <c r="G554" s="6">
        <f>'Reported burning'!G554</f>
        <v>0</v>
      </c>
      <c r="H554" s="6" t="str">
        <f>'Reported burning'!H554</f>
        <v>Presence</v>
      </c>
      <c r="I554" s="89"/>
      <c r="J554" s="21" t="s">
        <v>2368</v>
      </c>
      <c r="K554" s="103" t="s">
        <v>2276</v>
      </c>
      <c r="L554" s="21" t="s">
        <v>2276</v>
      </c>
      <c r="M554" s="21" t="s">
        <v>2276</v>
      </c>
      <c r="N554" s="21" t="s">
        <v>2276</v>
      </c>
      <c r="O554" s="21" t="s">
        <v>2276</v>
      </c>
      <c r="P554" s="21" t="s">
        <v>2276</v>
      </c>
      <c r="Q554" s="102" t="s">
        <v>2276</v>
      </c>
      <c r="R554" s="102" t="s">
        <v>2276</v>
      </c>
      <c r="S554" s="21" t="s">
        <v>2276</v>
      </c>
      <c r="T554" s="21" t="s">
        <v>2276</v>
      </c>
      <c r="U554" s="21" t="s">
        <v>2527</v>
      </c>
      <c r="V554" s="21" t="s">
        <v>2276</v>
      </c>
      <c r="W554" s="21" t="s">
        <v>2276</v>
      </c>
      <c r="X554" s="3" t="s">
        <v>75</v>
      </c>
      <c r="Y554" s="3" t="s">
        <v>35</v>
      </c>
      <c r="Z554" s="3" t="s">
        <v>64</v>
      </c>
      <c r="AA554" s="4" t="s">
        <v>880</v>
      </c>
      <c r="AB554" s="4" t="s">
        <v>2125</v>
      </c>
    </row>
    <row r="555" spans="1:28" ht="66" customHeight="1">
      <c r="A555" s="6" t="str">
        <f>'Reported burning'!A555</f>
        <v>56s</v>
      </c>
      <c r="B555" s="6" t="str">
        <f>'Reported burning'!B555</f>
        <v>56s.1</v>
      </c>
      <c r="C555" s="6" t="str">
        <f>'Reported burning'!C555</f>
        <v>Human, deliberate</v>
      </c>
      <c r="D555" s="6" t="str">
        <f>'Reported burning'!D555</f>
        <v>Crop field preparation</v>
      </c>
      <c r="E555" s="6" t="str">
        <f>'Reported burning'!E555</f>
        <v>Cropping, Swidden</v>
      </c>
      <c r="F555" s="6" t="str">
        <f>'Reported burning'!F555</f>
        <v>Secondary Vegetation</v>
      </c>
      <c r="G555" s="6">
        <f>'Reported burning'!G555</f>
        <v>0</v>
      </c>
      <c r="H555" s="6" t="str">
        <f>'Reported burning'!H555</f>
        <v>Presence</v>
      </c>
      <c r="I555" s="89"/>
      <c r="J555" s="21" t="s">
        <v>2368</v>
      </c>
      <c r="K555" s="103" t="s">
        <v>2276</v>
      </c>
      <c r="L555" s="21" t="s">
        <v>2276</v>
      </c>
      <c r="M555" s="21" t="s">
        <v>2276</v>
      </c>
      <c r="N555" s="21" t="s">
        <v>2276</v>
      </c>
      <c r="O555" s="21" t="s">
        <v>2276</v>
      </c>
      <c r="P555" s="21" t="s">
        <v>2276</v>
      </c>
      <c r="Q555" s="102" t="s">
        <v>2276</v>
      </c>
      <c r="R555" s="102" t="s">
        <v>2276</v>
      </c>
      <c r="S555" s="21" t="s">
        <v>2276</v>
      </c>
      <c r="T555" s="21" t="s">
        <v>2276</v>
      </c>
      <c r="U555" s="21" t="s">
        <v>2527</v>
      </c>
      <c r="V555" s="21" t="s">
        <v>2276</v>
      </c>
      <c r="W555" s="21" t="s">
        <v>2276</v>
      </c>
      <c r="X555" s="3" t="s">
        <v>75</v>
      </c>
      <c r="Y555" s="3" t="s">
        <v>35</v>
      </c>
      <c r="Z555" s="3" t="s">
        <v>64</v>
      </c>
      <c r="AA555" s="4" t="s">
        <v>880</v>
      </c>
      <c r="AB555" s="4" t="s">
        <v>2125</v>
      </c>
    </row>
    <row r="556" spans="1:28" ht="66" customHeight="1">
      <c r="A556" s="6" t="str">
        <f>'Reported burning'!A556</f>
        <v>56t</v>
      </c>
      <c r="B556" s="6" t="str">
        <f>'Reported burning'!B556</f>
        <v>56t.1</v>
      </c>
      <c r="C556" s="6" t="str">
        <f>'Reported burning'!C556</f>
        <v>Human, deliberate</v>
      </c>
      <c r="D556" s="6" t="str">
        <f>'Reported burning'!D556</f>
        <v>Crop field preparation</v>
      </c>
      <c r="E556" s="6" t="str">
        <f>'Reported burning'!E556</f>
        <v>Cropping, Swidden</v>
      </c>
      <c r="F556" s="6" t="str">
        <f>'Reported burning'!F556</f>
        <v>Secondary Vegetation</v>
      </c>
      <c r="G556" s="6">
        <f>'Reported burning'!G556</f>
        <v>0</v>
      </c>
      <c r="H556" s="6" t="str">
        <f>'Reported burning'!H556</f>
        <v>Presence</v>
      </c>
      <c r="I556" s="89"/>
      <c r="J556" s="21" t="s">
        <v>2368</v>
      </c>
      <c r="K556" s="103" t="s">
        <v>2276</v>
      </c>
      <c r="L556" s="21" t="s">
        <v>2276</v>
      </c>
      <c r="M556" s="21" t="s">
        <v>2276</v>
      </c>
      <c r="N556" s="21" t="s">
        <v>2276</v>
      </c>
      <c r="O556" s="21" t="s">
        <v>2276</v>
      </c>
      <c r="P556" s="21" t="s">
        <v>2276</v>
      </c>
      <c r="Q556" s="102" t="s">
        <v>2276</v>
      </c>
      <c r="R556" s="102" t="s">
        <v>2276</v>
      </c>
      <c r="S556" s="21" t="s">
        <v>2276</v>
      </c>
      <c r="T556" s="21" t="s">
        <v>2276</v>
      </c>
      <c r="U556" s="21" t="s">
        <v>2527</v>
      </c>
      <c r="V556" s="21" t="s">
        <v>2276</v>
      </c>
      <c r="W556" s="21" t="s">
        <v>2276</v>
      </c>
      <c r="X556" s="3" t="s">
        <v>75</v>
      </c>
      <c r="Y556" s="3" t="s">
        <v>35</v>
      </c>
      <c r="Z556" s="3" t="s">
        <v>64</v>
      </c>
      <c r="AA556" s="4" t="s">
        <v>880</v>
      </c>
      <c r="AB556" s="4" t="s">
        <v>2125</v>
      </c>
    </row>
    <row r="557" spans="1:28" ht="66" customHeight="1">
      <c r="A557" s="6" t="str">
        <f>'Reported burning'!A557</f>
        <v>56u</v>
      </c>
      <c r="B557" s="6" t="str">
        <f>'Reported burning'!B557</f>
        <v>56u.1</v>
      </c>
      <c r="C557" s="6" t="str">
        <f>'Reported burning'!C557</f>
        <v>Human, deliberate</v>
      </c>
      <c r="D557" s="6" t="str">
        <f>'Reported burning'!D557</f>
        <v>Crop field preparation</v>
      </c>
      <c r="E557" s="6" t="str">
        <f>'Reported burning'!E557</f>
        <v>Cropping, Swidden</v>
      </c>
      <c r="F557" s="6" t="str">
        <f>'Reported burning'!F557</f>
        <v>Secondary Vegetation</v>
      </c>
      <c r="G557" s="6">
        <f>'Reported burning'!G557</f>
        <v>0</v>
      </c>
      <c r="H557" s="6" t="str">
        <f>'Reported burning'!H557</f>
        <v>Presence</v>
      </c>
      <c r="I557" s="89"/>
      <c r="J557" s="21" t="s">
        <v>2368</v>
      </c>
      <c r="K557" s="103" t="s">
        <v>2276</v>
      </c>
      <c r="L557" s="21" t="s">
        <v>2276</v>
      </c>
      <c r="M557" s="21" t="s">
        <v>2276</v>
      </c>
      <c r="N557" s="21" t="s">
        <v>2276</v>
      </c>
      <c r="O557" s="21" t="s">
        <v>2276</v>
      </c>
      <c r="P557" s="21" t="s">
        <v>2276</v>
      </c>
      <c r="Q557" s="102" t="s">
        <v>2276</v>
      </c>
      <c r="R557" s="102" t="s">
        <v>2276</v>
      </c>
      <c r="S557" s="21" t="s">
        <v>2276</v>
      </c>
      <c r="T557" s="21" t="s">
        <v>2276</v>
      </c>
      <c r="U557" s="21" t="s">
        <v>2527</v>
      </c>
      <c r="V557" s="21" t="s">
        <v>2276</v>
      </c>
      <c r="W557" s="21" t="s">
        <v>2276</v>
      </c>
      <c r="X557" s="3" t="s">
        <v>75</v>
      </c>
      <c r="Y557" s="3" t="s">
        <v>35</v>
      </c>
      <c r="Z557" s="3" t="s">
        <v>64</v>
      </c>
      <c r="AA557" s="4" t="s">
        <v>880</v>
      </c>
      <c r="AB557" s="4" t="s">
        <v>2125</v>
      </c>
    </row>
    <row r="558" spans="1:28" ht="66" customHeight="1">
      <c r="A558" s="6" t="str">
        <f>'Reported burning'!A558</f>
        <v>56v</v>
      </c>
      <c r="B558" s="6" t="str">
        <f>'Reported burning'!B558</f>
        <v>56v.1</v>
      </c>
      <c r="C558" s="6" t="str">
        <f>'Reported burning'!C558</f>
        <v>Human, deliberate</v>
      </c>
      <c r="D558" s="6" t="str">
        <f>'Reported burning'!D558</f>
        <v>Crop field preparation</v>
      </c>
      <c r="E558" s="6" t="str">
        <f>'Reported burning'!E558</f>
        <v>Cropping, Swidden</v>
      </c>
      <c r="F558" s="6" t="str">
        <f>'Reported burning'!F558</f>
        <v>Secondary Vegetation</v>
      </c>
      <c r="G558" s="6">
        <f>'Reported burning'!G558</f>
        <v>0</v>
      </c>
      <c r="H558" s="6" t="str">
        <f>'Reported burning'!H558</f>
        <v>Presence</v>
      </c>
      <c r="I558" s="89"/>
      <c r="J558" s="21" t="s">
        <v>2368</v>
      </c>
      <c r="K558" s="103" t="s">
        <v>2276</v>
      </c>
      <c r="L558" s="21" t="s">
        <v>2276</v>
      </c>
      <c r="M558" s="21" t="s">
        <v>2276</v>
      </c>
      <c r="N558" s="21" t="s">
        <v>2276</v>
      </c>
      <c r="O558" s="21" t="s">
        <v>2276</v>
      </c>
      <c r="P558" s="21" t="s">
        <v>2276</v>
      </c>
      <c r="Q558" s="102" t="s">
        <v>2276</v>
      </c>
      <c r="R558" s="102" t="s">
        <v>2276</v>
      </c>
      <c r="S558" s="21" t="s">
        <v>2276</v>
      </c>
      <c r="T558" s="21" t="s">
        <v>2276</v>
      </c>
      <c r="U558" s="21" t="s">
        <v>2527</v>
      </c>
      <c r="V558" s="21" t="s">
        <v>2276</v>
      </c>
      <c r="W558" s="21" t="s">
        <v>2276</v>
      </c>
      <c r="X558" s="3" t="s">
        <v>75</v>
      </c>
      <c r="Y558" s="3" t="s">
        <v>35</v>
      </c>
      <c r="Z558" s="3" t="s">
        <v>64</v>
      </c>
      <c r="AA558" s="4" t="s">
        <v>880</v>
      </c>
      <c r="AB558" s="4" t="s">
        <v>2125</v>
      </c>
    </row>
    <row r="559" spans="1:28" ht="66" customHeight="1">
      <c r="A559" s="6" t="str">
        <f>'Reported burning'!A559</f>
        <v>56w</v>
      </c>
      <c r="B559" s="6" t="str">
        <f>'Reported burning'!B559</f>
        <v>56w.1</v>
      </c>
      <c r="C559" s="6" t="str">
        <f>'Reported burning'!C559</f>
        <v>Human, deliberate</v>
      </c>
      <c r="D559" s="6" t="str">
        <f>'Reported burning'!D559</f>
        <v>Crop field preparation</v>
      </c>
      <c r="E559" s="6" t="str">
        <f>'Reported burning'!E559</f>
        <v>Cropping, Swidden</v>
      </c>
      <c r="F559" s="6" t="str">
        <f>'Reported burning'!F559</f>
        <v>Secondary Vegetation</v>
      </c>
      <c r="G559" s="6">
        <f>'Reported burning'!G559</f>
        <v>0</v>
      </c>
      <c r="H559" s="6" t="str">
        <f>'Reported burning'!H559</f>
        <v>Presence</v>
      </c>
      <c r="I559" s="89"/>
      <c r="J559" s="21" t="s">
        <v>2368</v>
      </c>
      <c r="K559" s="103" t="s">
        <v>2276</v>
      </c>
      <c r="L559" s="21" t="s">
        <v>2276</v>
      </c>
      <c r="M559" s="21" t="s">
        <v>2276</v>
      </c>
      <c r="N559" s="21" t="s">
        <v>2276</v>
      </c>
      <c r="O559" s="21" t="s">
        <v>2276</v>
      </c>
      <c r="P559" s="21" t="s">
        <v>2276</v>
      </c>
      <c r="Q559" s="102" t="s">
        <v>2276</v>
      </c>
      <c r="R559" s="102" t="s">
        <v>2276</v>
      </c>
      <c r="S559" s="21" t="s">
        <v>2276</v>
      </c>
      <c r="T559" s="21" t="s">
        <v>2276</v>
      </c>
      <c r="U559" s="21" t="s">
        <v>2527</v>
      </c>
      <c r="V559" s="21" t="s">
        <v>2276</v>
      </c>
      <c r="W559" s="21" t="s">
        <v>2276</v>
      </c>
      <c r="X559" s="3" t="s">
        <v>75</v>
      </c>
      <c r="Y559" s="3" t="s">
        <v>35</v>
      </c>
      <c r="Z559" s="3" t="s">
        <v>64</v>
      </c>
      <c r="AA559" s="4" t="s">
        <v>880</v>
      </c>
      <c r="AB559" s="4" t="s">
        <v>2125</v>
      </c>
    </row>
    <row r="560" spans="1:28" ht="66" customHeight="1">
      <c r="A560" s="6" t="str">
        <f>'Reported burning'!A560</f>
        <v>56x</v>
      </c>
      <c r="B560" s="6" t="str">
        <f>'Reported burning'!B560</f>
        <v>56x.1</v>
      </c>
      <c r="C560" s="6" t="str">
        <f>'Reported burning'!C560</f>
        <v>Human, deliberate</v>
      </c>
      <c r="D560" s="6" t="str">
        <f>'Reported burning'!D560</f>
        <v>Crop field preparation</v>
      </c>
      <c r="E560" s="6" t="str">
        <f>'Reported burning'!E560</f>
        <v>Cropping, Swidden</v>
      </c>
      <c r="F560" s="6" t="str">
        <f>'Reported burning'!F560</f>
        <v>Secondary Vegetation</v>
      </c>
      <c r="G560" s="6">
        <f>'Reported burning'!G560</f>
        <v>0</v>
      </c>
      <c r="H560" s="6" t="str">
        <f>'Reported burning'!H560</f>
        <v>Presence</v>
      </c>
      <c r="I560" s="89"/>
      <c r="J560" s="21" t="s">
        <v>2368</v>
      </c>
      <c r="K560" s="103" t="s">
        <v>2276</v>
      </c>
      <c r="L560" s="21" t="s">
        <v>2276</v>
      </c>
      <c r="M560" s="21" t="s">
        <v>2276</v>
      </c>
      <c r="N560" s="21" t="s">
        <v>2276</v>
      </c>
      <c r="O560" s="21" t="s">
        <v>2276</v>
      </c>
      <c r="P560" s="21" t="s">
        <v>2276</v>
      </c>
      <c r="Q560" s="102" t="s">
        <v>2276</v>
      </c>
      <c r="R560" s="102" t="s">
        <v>2276</v>
      </c>
      <c r="S560" s="21" t="s">
        <v>2276</v>
      </c>
      <c r="T560" s="21" t="s">
        <v>2276</v>
      </c>
      <c r="U560" s="21" t="s">
        <v>2527</v>
      </c>
      <c r="V560" s="21" t="s">
        <v>2276</v>
      </c>
      <c r="W560" s="21" t="s">
        <v>2276</v>
      </c>
      <c r="X560" s="3" t="s">
        <v>75</v>
      </c>
      <c r="Y560" s="3" t="s">
        <v>35</v>
      </c>
      <c r="Z560" s="3" t="s">
        <v>64</v>
      </c>
      <c r="AA560" s="4" t="s">
        <v>880</v>
      </c>
      <c r="AB560" s="4" t="s">
        <v>2125</v>
      </c>
    </row>
    <row r="561" spans="1:28" ht="66" customHeight="1">
      <c r="A561" s="6" t="str">
        <f>'Reported burning'!A561</f>
        <v>56y</v>
      </c>
      <c r="B561" s="6" t="str">
        <f>'Reported burning'!B561</f>
        <v>56y.1</v>
      </c>
      <c r="C561" s="6" t="str">
        <f>'Reported burning'!C561</f>
        <v>Human, deliberate</v>
      </c>
      <c r="D561" s="6" t="str">
        <f>'Reported burning'!D561</f>
        <v>Crop field preparation</v>
      </c>
      <c r="E561" s="6" t="str">
        <f>'Reported burning'!E561</f>
        <v>Cropping, Swidden</v>
      </c>
      <c r="F561" s="6" t="str">
        <f>'Reported burning'!F561</f>
        <v>Secondary Vegetation</v>
      </c>
      <c r="G561" s="6">
        <f>'Reported burning'!G561</f>
        <v>0</v>
      </c>
      <c r="H561" s="6" t="str">
        <f>'Reported burning'!H561</f>
        <v>Presence</v>
      </c>
      <c r="I561" s="89"/>
      <c r="J561" s="21" t="s">
        <v>2369</v>
      </c>
      <c r="K561" s="103" t="s">
        <v>2276</v>
      </c>
      <c r="L561" s="21" t="s">
        <v>2276</v>
      </c>
      <c r="M561" s="21" t="s">
        <v>2276</v>
      </c>
      <c r="N561" s="21" t="s">
        <v>2276</v>
      </c>
      <c r="O561" s="21" t="s">
        <v>2276</v>
      </c>
      <c r="P561" s="21" t="s">
        <v>2276</v>
      </c>
      <c r="Q561" s="102" t="s">
        <v>2276</v>
      </c>
      <c r="R561" s="102" t="s">
        <v>2276</v>
      </c>
      <c r="S561" s="21" t="s">
        <v>2276</v>
      </c>
      <c r="T561" s="21" t="s">
        <v>2276</v>
      </c>
      <c r="U561" s="21" t="s">
        <v>2527</v>
      </c>
      <c r="V561" s="21" t="s">
        <v>2276</v>
      </c>
      <c r="W561" s="21" t="s">
        <v>2276</v>
      </c>
      <c r="X561" s="3" t="s">
        <v>75</v>
      </c>
      <c r="Y561" s="3" t="s">
        <v>35</v>
      </c>
      <c r="Z561" s="3" t="s">
        <v>64</v>
      </c>
      <c r="AA561" s="4" t="s">
        <v>880</v>
      </c>
      <c r="AB561" s="4" t="s">
        <v>2125</v>
      </c>
    </row>
    <row r="562" spans="1:28" ht="66" customHeight="1">
      <c r="A562" s="6" t="str">
        <f>'Reported burning'!A562</f>
        <v>56z</v>
      </c>
      <c r="B562" s="6" t="str">
        <f>'Reported burning'!B562</f>
        <v>56z.1</v>
      </c>
      <c r="C562" s="6" t="str">
        <f>'Reported burning'!C562</f>
        <v>Human, deliberate</v>
      </c>
      <c r="D562" s="6" t="str">
        <f>'Reported burning'!D562</f>
        <v>Crop field preparation</v>
      </c>
      <c r="E562" s="6" t="str">
        <f>'Reported burning'!E562</f>
        <v>Cropping, Swidden</v>
      </c>
      <c r="F562" s="6" t="str">
        <f>'Reported burning'!F562</f>
        <v>Secondary Vegetation</v>
      </c>
      <c r="G562" s="6">
        <f>'Reported burning'!G562</f>
        <v>0</v>
      </c>
      <c r="H562" s="6" t="str">
        <f>'Reported burning'!H562</f>
        <v>Presence</v>
      </c>
      <c r="I562" s="89"/>
      <c r="J562" s="21" t="s">
        <v>2369</v>
      </c>
      <c r="K562" s="103" t="s">
        <v>2276</v>
      </c>
      <c r="L562" s="21" t="s">
        <v>2276</v>
      </c>
      <c r="M562" s="21" t="s">
        <v>2276</v>
      </c>
      <c r="N562" s="21" t="s">
        <v>2276</v>
      </c>
      <c r="O562" s="21" t="s">
        <v>2276</v>
      </c>
      <c r="P562" s="21" t="s">
        <v>2276</v>
      </c>
      <c r="Q562" s="102" t="s">
        <v>2276</v>
      </c>
      <c r="R562" s="102" t="s">
        <v>2276</v>
      </c>
      <c r="S562" s="21" t="s">
        <v>2276</v>
      </c>
      <c r="T562" s="21" t="s">
        <v>2276</v>
      </c>
      <c r="U562" s="21" t="s">
        <v>2527</v>
      </c>
      <c r="V562" s="21" t="s">
        <v>2276</v>
      </c>
      <c r="W562" s="21" t="s">
        <v>2276</v>
      </c>
      <c r="X562" s="3" t="s">
        <v>75</v>
      </c>
      <c r="Y562" s="3" t="s">
        <v>35</v>
      </c>
      <c r="Z562" s="3" t="s">
        <v>64</v>
      </c>
      <c r="AA562" s="4" t="s">
        <v>880</v>
      </c>
      <c r="AB562" s="4" t="s">
        <v>2125</v>
      </c>
    </row>
    <row r="563" spans="1:28" ht="66" customHeight="1">
      <c r="A563" s="6" t="str">
        <f>'Reported burning'!A563</f>
        <v>56aa</v>
      </c>
      <c r="B563" s="6" t="str">
        <f>'Reported burning'!B563</f>
        <v>56aa.1</v>
      </c>
      <c r="C563" s="6" t="str">
        <f>'Reported burning'!C563</f>
        <v>Human, deliberate</v>
      </c>
      <c r="D563" s="6" t="str">
        <f>'Reported burning'!D563</f>
        <v>Crop field preparation</v>
      </c>
      <c r="E563" s="6" t="str">
        <f>'Reported burning'!E563</f>
        <v>Cropping, Swidden</v>
      </c>
      <c r="F563" s="6" t="str">
        <f>'Reported burning'!F563</f>
        <v>Secondary Vegetation</v>
      </c>
      <c r="G563" s="6">
        <f>'Reported burning'!G563</f>
        <v>0</v>
      </c>
      <c r="H563" s="6" t="str">
        <f>'Reported burning'!H563</f>
        <v>Presence</v>
      </c>
      <c r="I563" s="89"/>
      <c r="J563" s="21" t="s">
        <v>2367</v>
      </c>
      <c r="K563" s="103" t="s">
        <v>2276</v>
      </c>
      <c r="L563" s="21" t="s">
        <v>2276</v>
      </c>
      <c r="M563" s="21" t="s">
        <v>2276</v>
      </c>
      <c r="N563" s="21" t="s">
        <v>2276</v>
      </c>
      <c r="O563" s="21" t="s">
        <v>2276</v>
      </c>
      <c r="P563" s="21" t="s">
        <v>2276</v>
      </c>
      <c r="Q563" s="102" t="s">
        <v>2276</v>
      </c>
      <c r="R563" s="102" t="s">
        <v>2276</v>
      </c>
      <c r="S563" s="21" t="s">
        <v>2276</v>
      </c>
      <c r="T563" s="21" t="s">
        <v>2276</v>
      </c>
      <c r="U563" s="21" t="s">
        <v>2527</v>
      </c>
      <c r="V563" s="21" t="s">
        <v>2276</v>
      </c>
      <c r="W563" s="21" t="s">
        <v>2276</v>
      </c>
      <c r="X563" s="3" t="s">
        <v>75</v>
      </c>
      <c r="Y563" s="3" t="s">
        <v>35</v>
      </c>
      <c r="Z563" s="3" t="s">
        <v>64</v>
      </c>
      <c r="AA563" s="4" t="s">
        <v>880</v>
      </c>
      <c r="AB563" s="4" t="s">
        <v>2125</v>
      </c>
    </row>
    <row r="564" spans="1:28" ht="66" customHeight="1">
      <c r="A564" s="6" t="str">
        <f>'Reported burning'!A564</f>
        <v>56ab</v>
      </c>
      <c r="B564" s="6" t="str">
        <f>'Reported burning'!B564</f>
        <v>56ab.1</v>
      </c>
      <c r="C564" s="6" t="str">
        <f>'Reported burning'!C564</f>
        <v>Human, deliberate</v>
      </c>
      <c r="D564" s="6" t="str">
        <f>'Reported burning'!D564</f>
        <v>Crop field preparation</v>
      </c>
      <c r="E564" s="6" t="str">
        <f>'Reported burning'!E564</f>
        <v>Cropping, Swidden</v>
      </c>
      <c r="F564" s="6" t="str">
        <f>'Reported burning'!F564</f>
        <v>Secondary Vegetation</v>
      </c>
      <c r="G564" s="6">
        <f>'Reported burning'!G564</f>
        <v>0</v>
      </c>
      <c r="H564" s="6" t="str">
        <f>'Reported burning'!H564</f>
        <v>Presence</v>
      </c>
      <c r="I564" s="89"/>
      <c r="J564" s="21" t="s">
        <v>2366</v>
      </c>
      <c r="K564" s="103" t="s">
        <v>2276</v>
      </c>
      <c r="L564" s="21" t="s">
        <v>2276</v>
      </c>
      <c r="M564" s="21" t="s">
        <v>2276</v>
      </c>
      <c r="N564" s="21" t="s">
        <v>2276</v>
      </c>
      <c r="O564" s="21" t="s">
        <v>2276</v>
      </c>
      <c r="P564" s="21" t="s">
        <v>2276</v>
      </c>
      <c r="Q564" s="102" t="s">
        <v>2276</v>
      </c>
      <c r="R564" s="102" t="s">
        <v>2276</v>
      </c>
      <c r="S564" s="21" t="s">
        <v>2276</v>
      </c>
      <c r="T564" s="21" t="s">
        <v>2276</v>
      </c>
      <c r="U564" s="21" t="s">
        <v>2527</v>
      </c>
      <c r="V564" s="21" t="s">
        <v>2276</v>
      </c>
      <c r="W564" s="21" t="s">
        <v>2276</v>
      </c>
      <c r="X564" s="3" t="s">
        <v>75</v>
      </c>
      <c r="Y564" s="3" t="s">
        <v>35</v>
      </c>
      <c r="Z564" s="3" t="s">
        <v>64</v>
      </c>
      <c r="AA564" s="4" t="s">
        <v>880</v>
      </c>
      <c r="AB564" s="4" t="s">
        <v>2125</v>
      </c>
    </row>
    <row r="565" spans="1:28" ht="66" customHeight="1">
      <c r="A565" s="6" t="str">
        <f>'Reported burning'!A565</f>
        <v>56ac</v>
      </c>
      <c r="B565" s="6" t="str">
        <f>'Reported burning'!B565</f>
        <v>56ac.1</v>
      </c>
      <c r="C565" s="6" t="str">
        <f>'Reported burning'!C565</f>
        <v>Human, deliberate</v>
      </c>
      <c r="D565" s="6" t="str">
        <f>'Reported burning'!D565</f>
        <v>Crop field preparation</v>
      </c>
      <c r="E565" s="6" t="str">
        <f>'Reported burning'!E565</f>
        <v>Cropping, Swidden</v>
      </c>
      <c r="F565" s="6" t="str">
        <f>'Reported burning'!F565</f>
        <v>Secondary Vegetation</v>
      </c>
      <c r="G565" s="6">
        <f>'Reported burning'!G565</f>
        <v>0</v>
      </c>
      <c r="H565" s="6" t="str">
        <f>'Reported burning'!H565</f>
        <v>Presence</v>
      </c>
      <c r="I565" s="89"/>
      <c r="J565" s="21" t="s">
        <v>2367</v>
      </c>
      <c r="K565" s="103" t="s">
        <v>2276</v>
      </c>
      <c r="L565" s="21" t="s">
        <v>2276</v>
      </c>
      <c r="M565" s="21" t="s">
        <v>2276</v>
      </c>
      <c r="N565" s="21" t="s">
        <v>2276</v>
      </c>
      <c r="O565" s="21" t="s">
        <v>2276</v>
      </c>
      <c r="P565" s="21" t="s">
        <v>2276</v>
      </c>
      <c r="Q565" s="102" t="s">
        <v>2276</v>
      </c>
      <c r="R565" s="102" t="s">
        <v>2276</v>
      </c>
      <c r="S565" s="21" t="s">
        <v>2276</v>
      </c>
      <c r="T565" s="21" t="s">
        <v>2276</v>
      </c>
      <c r="U565" s="21" t="s">
        <v>2527</v>
      </c>
      <c r="V565" s="21" t="s">
        <v>2276</v>
      </c>
      <c r="W565" s="21" t="s">
        <v>2276</v>
      </c>
      <c r="X565" s="3" t="s">
        <v>75</v>
      </c>
      <c r="Y565" s="3" t="s">
        <v>35</v>
      </c>
      <c r="Z565" s="3" t="s">
        <v>64</v>
      </c>
      <c r="AA565" s="4" t="s">
        <v>880</v>
      </c>
      <c r="AB565" s="4" t="s">
        <v>2125</v>
      </c>
    </row>
    <row r="566" spans="1:28" ht="66" customHeight="1">
      <c r="A566" s="6" t="str">
        <f>'Reported burning'!A566</f>
        <v>56ad</v>
      </c>
      <c r="B566" s="6" t="str">
        <f>'Reported burning'!B566</f>
        <v>56ad.1</v>
      </c>
      <c r="C566" s="6" t="str">
        <f>'Reported burning'!C566</f>
        <v>Human, deliberate</v>
      </c>
      <c r="D566" s="6" t="str">
        <f>'Reported burning'!D566</f>
        <v>Crop field preparation</v>
      </c>
      <c r="E566" s="6" t="str">
        <f>'Reported burning'!E566</f>
        <v>Cropping, Swidden</v>
      </c>
      <c r="F566" s="6" t="str">
        <f>'Reported burning'!F566</f>
        <v>Secondary Vegetation</v>
      </c>
      <c r="G566" s="6">
        <f>'Reported burning'!G566</f>
        <v>0</v>
      </c>
      <c r="H566" s="6" t="str">
        <f>'Reported burning'!H566</f>
        <v>Presence</v>
      </c>
      <c r="I566" s="89"/>
      <c r="J566" s="21" t="s">
        <v>2369</v>
      </c>
      <c r="K566" s="103" t="s">
        <v>2276</v>
      </c>
      <c r="L566" s="21" t="s">
        <v>2276</v>
      </c>
      <c r="M566" s="21" t="s">
        <v>2276</v>
      </c>
      <c r="N566" s="21" t="s">
        <v>2276</v>
      </c>
      <c r="O566" s="21" t="s">
        <v>2276</v>
      </c>
      <c r="P566" s="21" t="s">
        <v>2276</v>
      </c>
      <c r="Q566" s="102" t="s">
        <v>2276</v>
      </c>
      <c r="R566" s="102" t="s">
        <v>2276</v>
      </c>
      <c r="S566" s="21" t="s">
        <v>2276</v>
      </c>
      <c r="T566" s="21" t="s">
        <v>2276</v>
      </c>
      <c r="U566" s="21" t="s">
        <v>2527</v>
      </c>
      <c r="V566" s="21" t="s">
        <v>2276</v>
      </c>
      <c r="W566" s="21" t="s">
        <v>2276</v>
      </c>
      <c r="X566" s="3" t="s">
        <v>75</v>
      </c>
      <c r="Y566" s="3" t="s">
        <v>35</v>
      </c>
      <c r="Z566" s="3" t="s">
        <v>64</v>
      </c>
      <c r="AA566" s="4" t="s">
        <v>880</v>
      </c>
      <c r="AB566" s="4" t="s">
        <v>2125</v>
      </c>
    </row>
    <row r="567" spans="1:28" ht="66" customHeight="1">
      <c r="A567" s="6" t="str">
        <f>'Reported burning'!A567</f>
        <v>56ae</v>
      </c>
      <c r="B567" s="6" t="str">
        <f>'Reported burning'!B567</f>
        <v>56ae.1</v>
      </c>
      <c r="C567" s="6" t="str">
        <f>'Reported burning'!C567</f>
        <v>Human, deliberate</v>
      </c>
      <c r="D567" s="6" t="str">
        <f>'Reported burning'!D567</f>
        <v>Crop field preparation</v>
      </c>
      <c r="E567" s="6" t="str">
        <f>'Reported burning'!E567</f>
        <v>Cropping, Swidden</v>
      </c>
      <c r="F567" s="6" t="str">
        <f>'Reported burning'!F567</f>
        <v>Secondary Vegetation</v>
      </c>
      <c r="G567" s="6">
        <f>'Reported burning'!G567</f>
        <v>0</v>
      </c>
      <c r="H567" s="6" t="str">
        <f>'Reported burning'!H567</f>
        <v>Presence</v>
      </c>
      <c r="I567" s="89"/>
      <c r="J567" s="21" t="s">
        <v>2367</v>
      </c>
      <c r="K567" s="103" t="s">
        <v>2276</v>
      </c>
      <c r="L567" s="21" t="s">
        <v>2276</v>
      </c>
      <c r="M567" s="21" t="s">
        <v>2276</v>
      </c>
      <c r="N567" s="21" t="s">
        <v>2276</v>
      </c>
      <c r="O567" s="21" t="s">
        <v>2276</v>
      </c>
      <c r="P567" s="21" t="s">
        <v>2276</v>
      </c>
      <c r="Q567" s="102" t="s">
        <v>2276</v>
      </c>
      <c r="R567" s="102" t="s">
        <v>2276</v>
      </c>
      <c r="S567" s="21" t="s">
        <v>2276</v>
      </c>
      <c r="T567" s="21" t="s">
        <v>2276</v>
      </c>
      <c r="U567" s="21" t="s">
        <v>2527</v>
      </c>
      <c r="V567" s="21" t="s">
        <v>2276</v>
      </c>
      <c r="W567" s="21" t="s">
        <v>2276</v>
      </c>
      <c r="X567" s="3" t="s">
        <v>75</v>
      </c>
      <c r="Y567" s="3" t="s">
        <v>35</v>
      </c>
      <c r="Z567" s="3" t="s">
        <v>64</v>
      </c>
      <c r="AA567" s="4" t="s">
        <v>880</v>
      </c>
      <c r="AB567" s="4" t="s">
        <v>2125</v>
      </c>
    </row>
    <row r="568" spans="1:28" ht="66" customHeight="1">
      <c r="A568" s="6" t="str">
        <f>'Reported burning'!A568</f>
        <v>56af</v>
      </c>
      <c r="B568" s="6" t="str">
        <f>'Reported burning'!B568</f>
        <v>56af.1</v>
      </c>
      <c r="C568" s="6" t="str">
        <f>'Reported burning'!C568</f>
        <v>Human, deliberate</v>
      </c>
      <c r="D568" s="6" t="str">
        <f>'Reported burning'!D568</f>
        <v>Crop field preparation</v>
      </c>
      <c r="E568" s="6" t="str">
        <f>'Reported burning'!E568</f>
        <v>Cropping, Swidden</v>
      </c>
      <c r="F568" s="6" t="str">
        <f>'Reported burning'!F568</f>
        <v>Secondary Vegetation</v>
      </c>
      <c r="G568" s="6">
        <f>'Reported burning'!G568</f>
        <v>0</v>
      </c>
      <c r="H568" s="6" t="str">
        <f>'Reported burning'!H568</f>
        <v>Presence</v>
      </c>
      <c r="I568" s="89"/>
      <c r="J568" s="21" t="s">
        <v>2368</v>
      </c>
      <c r="K568" s="103" t="s">
        <v>2276</v>
      </c>
      <c r="L568" s="21" t="s">
        <v>2276</v>
      </c>
      <c r="M568" s="21" t="s">
        <v>2276</v>
      </c>
      <c r="N568" s="21" t="s">
        <v>2276</v>
      </c>
      <c r="O568" s="21" t="s">
        <v>2276</v>
      </c>
      <c r="P568" s="21" t="s">
        <v>2276</v>
      </c>
      <c r="Q568" s="102" t="s">
        <v>2276</v>
      </c>
      <c r="R568" s="102" t="s">
        <v>2276</v>
      </c>
      <c r="S568" s="21" t="s">
        <v>2276</v>
      </c>
      <c r="T568" s="21" t="s">
        <v>2276</v>
      </c>
      <c r="U568" s="21" t="s">
        <v>2527</v>
      </c>
      <c r="V568" s="21" t="s">
        <v>2276</v>
      </c>
      <c r="W568" s="21" t="s">
        <v>2276</v>
      </c>
      <c r="X568" s="3" t="s">
        <v>75</v>
      </c>
      <c r="Y568" s="3" t="s">
        <v>35</v>
      </c>
      <c r="Z568" s="3" t="s">
        <v>64</v>
      </c>
      <c r="AA568" s="4" t="s">
        <v>880</v>
      </c>
      <c r="AB568" s="4" t="s">
        <v>2125</v>
      </c>
    </row>
    <row r="569" spans="1:28" ht="66" customHeight="1">
      <c r="A569" s="6" t="str">
        <f>'Reported burning'!A569</f>
        <v>56ag</v>
      </c>
      <c r="B569" s="6" t="str">
        <f>'Reported burning'!B569</f>
        <v>56ag.1</v>
      </c>
      <c r="C569" s="6" t="str">
        <f>'Reported burning'!C569</f>
        <v>Human, deliberate</v>
      </c>
      <c r="D569" s="6" t="str">
        <f>'Reported burning'!D569</f>
        <v>Crop field preparation</v>
      </c>
      <c r="E569" s="6" t="str">
        <f>'Reported burning'!E569</f>
        <v>Cropping, Swidden</v>
      </c>
      <c r="F569" s="6" t="str">
        <f>'Reported burning'!F569</f>
        <v>Secondary Vegetation</v>
      </c>
      <c r="G569" s="6">
        <f>'Reported burning'!G569</f>
        <v>0</v>
      </c>
      <c r="H569" s="6" t="str">
        <f>'Reported burning'!H569</f>
        <v>Presence</v>
      </c>
      <c r="I569" s="89"/>
      <c r="J569" s="21" t="s">
        <v>2369</v>
      </c>
      <c r="K569" s="103" t="s">
        <v>2276</v>
      </c>
      <c r="L569" s="21" t="s">
        <v>2276</v>
      </c>
      <c r="M569" s="21" t="s">
        <v>2276</v>
      </c>
      <c r="N569" s="21" t="s">
        <v>2276</v>
      </c>
      <c r="O569" s="21" t="s">
        <v>2276</v>
      </c>
      <c r="P569" s="21" t="s">
        <v>2276</v>
      </c>
      <c r="Q569" s="102" t="s">
        <v>2276</v>
      </c>
      <c r="R569" s="102" t="s">
        <v>2276</v>
      </c>
      <c r="S569" s="21" t="s">
        <v>2276</v>
      </c>
      <c r="T569" s="21" t="s">
        <v>2276</v>
      </c>
      <c r="U569" s="21" t="s">
        <v>2527</v>
      </c>
      <c r="V569" s="21" t="s">
        <v>2276</v>
      </c>
      <c r="W569" s="21" t="s">
        <v>2276</v>
      </c>
      <c r="X569" s="3" t="s">
        <v>75</v>
      </c>
      <c r="Y569" s="3" t="s">
        <v>35</v>
      </c>
      <c r="Z569" s="3" t="s">
        <v>64</v>
      </c>
      <c r="AA569" s="4" t="s">
        <v>880</v>
      </c>
      <c r="AB569" s="4" t="s">
        <v>2125</v>
      </c>
    </row>
    <row r="570" spans="1:28" ht="66" customHeight="1">
      <c r="A570" s="6" t="str">
        <f>'Reported burning'!A570</f>
        <v>56ah</v>
      </c>
      <c r="B570" s="6" t="str">
        <f>'Reported burning'!B570</f>
        <v>56ah.1</v>
      </c>
      <c r="C570" s="6" t="str">
        <f>'Reported burning'!C570</f>
        <v>Human, deliberate</v>
      </c>
      <c r="D570" s="6" t="str">
        <f>'Reported burning'!D570</f>
        <v>Crop field preparation</v>
      </c>
      <c r="E570" s="6" t="str">
        <f>'Reported burning'!E570</f>
        <v>Cropping, Swidden</v>
      </c>
      <c r="F570" s="6" t="str">
        <f>'Reported burning'!F570</f>
        <v>Secondary Vegetation</v>
      </c>
      <c r="G570" s="6">
        <f>'Reported burning'!G570</f>
        <v>0</v>
      </c>
      <c r="H570" s="6" t="str">
        <f>'Reported burning'!H570</f>
        <v>Presence</v>
      </c>
      <c r="I570" s="89"/>
      <c r="J570" s="21" t="s">
        <v>2369</v>
      </c>
      <c r="K570" s="103" t="s">
        <v>2276</v>
      </c>
      <c r="L570" s="21" t="s">
        <v>2276</v>
      </c>
      <c r="M570" s="21" t="s">
        <v>2276</v>
      </c>
      <c r="N570" s="21" t="s">
        <v>2276</v>
      </c>
      <c r="O570" s="21" t="s">
        <v>2276</v>
      </c>
      <c r="P570" s="21" t="s">
        <v>2276</v>
      </c>
      <c r="Q570" s="102" t="s">
        <v>2276</v>
      </c>
      <c r="R570" s="102" t="s">
        <v>2276</v>
      </c>
      <c r="S570" s="21" t="s">
        <v>2276</v>
      </c>
      <c r="T570" s="21" t="s">
        <v>2276</v>
      </c>
      <c r="U570" s="21" t="s">
        <v>2527</v>
      </c>
      <c r="V570" s="21" t="s">
        <v>2276</v>
      </c>
      <c r="W570" s="21" t="s">
        <v>2276</v>
      </c>
      <c r="X570" s="3" t="s">
        <v>75</v>
      </c>
      <c r="Y570" s="3" t="s">
        <v>35</v>
      </c>
      <c r="Z570" s="3" t="s">
        <v>64</v>
      </c>
      <c r="AA570" s="4" t="s">
        <v>880</v>
      </c>
      <c r="AB570" s="4" t="s">
        <v>2125</v>
      </c>
    </row>
    <row r="571" spans="1:28" ht="66" customHeight="1">
      <c r="A571" s="6" t="str">
        <f>'Reported burning'!A571</f>
        <v>56ai</v>
      </c>
      <c r="B571" s="6" t="str">
        <f>'Reported burning'!B571</f>
        <v>56ai.1</v>
      </c>
      <c r="C571" s="6" t="str">
        <f>'Reported burning'!C571</f>
        <v>Human, deliberate</v>
      </c>
      <c r="D571" s="6" t="str">
        <f>'Reported burning'!D571</f>
        <v>Crop field preparation</v>
      </c>
      <c r="E571" s="6" t="str">
        <f>'Reported burning'!E571</f>
        <v>Cropping, Swidden</v>
      </c>
      <c r="F571" s="6" t="str">
        <f>'Reported burning'!F571</f>
        <v>Secondary Vegetation</v>
      </c>
      <c r="G571" s="6">
        <f>'Reported burning'!G571</f>
        <v>0</v>
      </c>
      <c r="H571" s="6" t="str">
        <f>'Reported burning'!H571</f>
        <v>Presence</v>
      </c>
      <c r="I571" s="89"/>
      <c r="J571" s="21" t="s">
        <v>2368</v>
      </c>
      <c r="K571" s="103" t="s">
        <v>2276</v>
      </c>
      <c r="L571" s="21" t="s">
        <v>2276</v>
      </c>
      <c r="M571" s="21" t="s">
        <v>2276</v>
      </c>
      <c r="N571" s="21" t="s">
        <v>2276</v>
      </c>
      <c r="O571" s="21" t="s">
        <v>2276</v>
      </c>
      <c r="P571" s="21" t="s">
        <v>2276</v>
      </c>
      <c r="Q571" s="102" t="s">
        <v>2276</v>
      </c>
      <c r="R571" s="102" t="s">
        <v>2276</v>
      </c>
      <c r="S571" s="21" t="s">
        <v>2276</v>
      </c>
      <c r="T571" s="21" t="s">
        <v>2276</v>
      </c>
      <c r="U571" s="21" t="s">
        <v>2527</v>
      </c>
      <c r="V571" s="21" t="s">
        <v>2276</v>
      </c>
      <c r="W571" s="21" t="s">
        <v>2276</v>
      </c>
      <c r="X571" s="3" t="s">
        <v>75</v>
      </c>
      <c r="Y571" s="3" t="s">
        <v>35</v>
      </c>
      <c r="Z571" s="3" t="s">
        <v>64</v>
      </c>
      <c r="AA571" s="4" t="s">
        <v>880</v>
      </c>
      <c r="AB571" s="4" t="s">
        <v>2125</v>
      </c>
    </row>
    <row r="572" spans="1:28" ht="66" customHeight="1">
      <c r="A572" s="6" t="str">
        <f>'Reported burning'!A572</f>
        <v>56aj</v>
      </c>
      <c r="B572" s="6" t="str">
        <f>'Reported burning'!B572</f>
        <v>56aj.1</v>
      </c>
      <c r="C572" s="6" t="str">
        <f>'Reported burning'!C572</f>
        <v>Human, deliberate</v>
      </c>
      <c r="D572" s="6" t="str">
        <f>'Reported burning'!D572</f>
        <v>Crop field preparation</v>
      </c>
      <c r="E572" s="6" t="str">
        <f>'Reported burning'!E572</f>
        <v>Cropping, Swidden</v>
      </c>
      <c r="F572" s="6" t="str">
        <f>'Reported burning'!F572</f>
        <v>Secondary Vegetation</v>
      </c>
      <c r="G572" s="6">
        <f>'Reported burning'!G572</f>
        <v>0</v>
      </c>
      <c r="H572" s="6" t="str">
        <f>'Reported burning'!H572</f>
        <v>Presence</v>
      </c>
      <c r="I572" s="89"/>
      <c r="J572" s="21" t="s">
        <v>2368</v>
      </c>
      <c r="K572" s="103" t="s">
        <v>2276</v>
      </c>
      <c r="L572" s="21" t="s">
        <v>2276</v>
      </c>
      <c r="M572" s="21" t="s">
        <v>2276</v>
      </c>
      <c r="N572" s="21" t="s">
        <v>2276</v>
      </c>
      <c r="O572" s="21" t="s">
        <v>2276</v>
      </c>
      <c r="P572" s="21" t="s">
        <v>2276</v>
      </c>
      <c r="Q572" s="102" t="s">
        <v>2276</v>
      </c>
      <c r="R572" s="102" t="s">
        <v>2276</v>
      </c>
      <c r="S572" s="21" t="s">
        <v>2276</v>
      </c>
      <c r="T572" s="21" t="s">
        <v>2276</v>
      </c>
      <c r="U572" s="21" t="s">
        <v>2527</v>
      </c>
      <c r="V572" s="21" t="s">
        <v>2276</v>
      </c>
      <c r="W572" s="21" t="s">
        <v>2276</v>
      </c>
      <c r="X572" s="3" t="s">
        <v>75</v>
      </c>
      <c r="Y572" s="3" t="s">
        <v>35</v>
      </c>
      <c r="Z572" s="3" t="s">
        <v>64</v>
      </c>
      <c r="AA572" s="4" t="s">
        <v>880</v>
      </c>
      <c r="AB572" s="4" t="s">
        <v>2125</v>
      </c>
    </row>
    <row r="573" spans="1:28" ht="66" customHeight="1">
      <c r="A573" s="6" t="str">
        <f>'Reported burning'!A573</f>
        <v>56ak</v>
      </c>
      <c r="B573" s="6" t="str">
        <f>'Reported burning'!B573</f>
        <v>56ak.1</v>
      </c>
      <c r="C573" s="6" t="str">
        <f>'Reported burning'!C573</f>
        <v>Human, deliberate</v>
      </c>
      <c r="D573" s="6" t="str">
        <f>'Reported burning'!D573</f>
        <v>Crop field preparation</v>
      </c>
      <c r="E573" s="6" t="str">
        <f>'Reported burning'!E573</f>
        <v>Cropping, Swidden</v>
      </c>
      <c r="F573" s="6" t="str">
        <f>'Reported burning'!F573</f>
        <v>Secondary Vegetation</v>
      </c>
      <c r="G573" s="6">
        <f>'Reported burning'!G573</f>
        <v>0</v>
      </c>
      <c r="H573" s="6" t="str">
        <f>'Reported burning'!H573</f>
        <v>Presence</v>
      </c>
      <c r="I573" s="89"/>
      <c r="J573" s="21" t="s">
        <v>2369</v>
      </c>
      <c r="K573" s="103" t="s">
        <v>2276</v>
      </c>
      <c r="L573" s="21" t="s">
        <v>2276</v>
      </c>
      <c r="M573" s="21" t="s">
        <v>2276</v>
      </c>
      <c r="N573" s="21" t="s">
        <v>2276</v>
      </c>
      <c r="O573" s="21" t="s">
        <v>2276</v>
      </c>
      <c r="P573" s="21" t="s">
        <v>2276</v>
      </c>
      <c r="Q573" s="102" t="s">
        <v>2276</v>
      </c>
      <c r="R573" s="102" t="s">
        <v>2276</v>
      </c>
      <c r="S573" s="21" t="s">
        <v>2276</v>
      </c>
      <c r="T573" s="21" t="s">
        <v>2276</v>
      </c>
      <c r="U573" s="21" t="s">
        <v>2527</v>
      </c>
      <c r="V573" s="21" t="s">
        <v>2276</v>
      </c>
      <c r="W573" s="21" t="s">
        <v>2276</v>
      </c>
      <c r="X573" s="3" t="s">
        <v>75</v>
      </c>
      <c r="Y573" s="3" t="s">
        <v>35</v>
      </c>
      <c r="Z573" s="3" t="s">
        <v>64</v>
      </c>
      <c r="AA573" s="4" t="s">
        <v>880</v>
      </c>
      <c r="AB573" s="4" t="s">
        <v>2125</v>
      </c>
    </row>
    <row r="574" spans="1:28" ht="66" customHeight="1">
      <c r="A574" s="6" t="str">
        <f>'Reported burning'!A574</f>
        <v>56al</v>
      </c>
      <c r="B574" s="6" t="str">
        <f>'Reported burning'!B574</f>
        <v>56al.1</v>
      </c>
      <c r="C574" s="6" t="str">
        <f>'Reported burning'!C574</f>
        <v>Human, deliberate</v>
      </c>
      <c r="D574" s="6" t="str">
        <f>'Reported burning'!D574</f>
        <v>Crop field preparation</v>
      </c>
      <c r="E574" s="6" t="str">
        <f>'Reported burning'!E574</f>
        <v>Cropping, Swidden</v>
      </c>
      <c r="F574" s="6" t="str">
        <f>'Reported burning'!F574</f>
        <v>Secondary Vegetation</v>
      </c>
      <c r="G574" s="6">
        <f>'Reported burning'!G574</f>
        <v>0</v>
      </c>
      <c r="H574" s="6" t="str">
        <f>'Reported burning'!H574</f>
        <v>Presence</v>
      </c>
      <c r="I574" s="89"/>
      <c r="J574" s="21" t="s">
        <v>2368</v>
      </c>
      <c r="K574" s="103" t="s">
        <v>2276</v>
      </c>
      <c r="L574" s="21" t="s">
        <v>2276</v>
      </c>
      <c r="M574" s="21" t="s">
        <v>2276</v>
      </c>
      <c r="N574" s="21" t="s">
        <v>2276</v>
      </c>
      <c r="O574" s="21" t="s">
        <v>2276</v>
      </c>
      <c r="P574" s="21" t="s">
        <v>2276</v>
      </c>
      <c r="Q574" s="102" t="s">
        <v>2276</v>
      </c>
      <c r="R574" s="102" t="s">
        <v>2276</v>
      </c>
      <c r="S574" s="21" t="s">
        <v>2276</v>
      </c>
      <c r="T574" s="21" t="s">
        <v>2276</v>
      </c>
      <c r="U574" s="21" t="s">
        <v>2527</v>
      </c>
      <c r="V574" s="21" t="s">
        <v>2276</v>
      </c>
      <c r="W574" s="21" t="s">
        <v>2276</v>
      </c>
      <c r="X574" s="3" t="s">
        <v>75</v>
      </c>
      <c r="Y574" s="3" t="s">
        <v>35</v>
      </c>
      <c r="Z574" s="3" t="s">
        <v>64</v>
      </c>
      <c r="AA574" s="4" t="s">
        <v>880</v>
      </c>
      <c r="AB574" s="4" t="s">
        <v>2125</v>
      </c>
    </row>
    <row r="575" spans="1:28" ht="66" customHeight="1">
      <c r="A575" s="6" t="str">
        <f>'Reported burning'!A575</f>
        <v>56am</v>
      </c>
      <c r="B575" s="6" t="str">
        <f>'Reported burning'!B575</f>
        <v>56am.1</v>
      </c>
      <c r="C575" s="6" t="str">
        <f>'Reported burning'!C575</f>
        <v>Human, deliberate</v>
      </c>
      <c r="D575" s="6" t="str">
        <f>'Reported burning'!D575</f>
        <v>Crop field preparation</v>
      </c>
      <c r="E575" s="6" t="str">
        <f>'Reported burning'!E575</f>
        <v>Cropping, Swidden</v>
      </c>
      <c r="F575" s="6" t="str">
        <f>'Reported burning'!F575</f>
        <v>Secondary Vegetation</v>
      </c>
      <c r="G575" s="6">
        <f>'Reported burning'!G575</f>
        <v>0</v>
      </c>
      <c r="H575" s="6" t="str">
        <f>'Reported burning'!H575</f>
        <v>Presence</v>
      </c>
      <c r="I575" s="89"/>
      <c r="J575" s="21" t="s">
        <v>2368</v>
      </c>
      <c r="K575" s="103" t="s">
        <v>2276</v>
      </c>
      <c r="L575" s="21" t="s">
        <v>2276</v>
      </c>
      <c r="M575" s="21" t="s">
        <v>2276</v>
      </c>
      <c r="N575" s="21" t="s">
        <v>2276</v>
      </c>
      <c r="O575" s="21" t="s">
        <v>2276</v>
      </c>
      <c r="P575" s="21" t="s">
        <v>2276</v>
      </c>
      <c r="Q575" s="102" t="s">
        <v>2276</v>
      </c>
      <c r="R575" s="102" t="s">
        <v>2276</v>
      </c>
      <c r="S575" s="21" t="s">
        <v>2276</v>
      </c>
      <c r="T575" s="21" t="s">
        <v>2276</v>
      </c>
      <c r="U575" s="21" t="s">
        <v>2527</v>
      </c>
      <c r="V575" s="21" t="s">
        <v>2276</v>
      </c>
      <c r="W575" s="21" t="s">
        <v>2276</v>
      </c>
      <c r="X575" s="3" t="s">
        <v>75</v>
      </c>
      <c r="Y575" s="3" t="s">
        <v>35</v>
      </c>
      <c r="Z575" s="3" t="s">
        <v>64</v>
      </c>
      <c r="AA575" s="4" t="s">
        <v>880</v>
      </c>
      <c r="AB575" s="4" t="s">
        <v>2125</v>
      </c>
    </row>
    <row r="576" spans="1:28" ht="66" customHeight="1">
      <c r="A576" s="6" t="str">
        <f>'Reported burning'!A576</f>
        <v>56an</v>
      </c>
      <c r="B576" s="6" t="str">
        <f>'Reported burning'!B576</f>
        <v>56an.1</v>
      </c>
      <c r="C576" s="6" t="str">
        <f>'Reported burning'!C576</f>
        <v>Human, deliberate</v>
      </c>
      <c r="D576" s="6" t="str">
        <f>'Reported burning'!D576</f>
        <v>Crop field preparation</v>
      </c>
      <c r="E576" s="6" t="str">
        <f>'Reported burning'!E576</f>
        <v>Cropping, Swidden</v>
      </c>
      <c r="F576" s="6" t="str">
        <f>'Reported burning'!F576</f>
        <v>Secondary Vegetation</v>
      </c>
      <c r="G576" s="6">
        <f>'Reported burning'!G576</f>
        <v>0</v>
      </c>
      <c r="H576" s="6" t="str">
        <f>'Reported burning'!H576</f>
        <v>Presence</v>
      </c>
      <c r="I576" s="89"/>
      <c r="J576" s="21" t="s">
        <v>2368</v>
      </c>
      <c r="K576" s="103" t="s">
        <v>2276</v>
      </c>
      <c r="L576" s="21" t="s">
        <v>2276</v>
      </c>
      <c r="M576" s="21" t="s">
        <v>2276</v>
      </c>
      <c r="N576" s="21" t="s">
        <v>2276</v>
      </c>
      <c r="O576" s="21" t="s">
        <v>2276</v>
      </c>
      <c r="P576" s="21" t="s">
        <v>2276</v>
      </c>
      <c r="Q576" s="102" t="s">
        <v>2276</v>
      </c>
      <c r="R576" s="102" t="s">
        <v>2276</v>
      </c>
      <c r="S576" s="21" t="s">
        <v>2276</v>
      </c>
      <c r="T576" s="21" t="s">
        <v>2276</v>
      </c>
      <c r="U576" s="21" t="s">
        <v>2527</v>
      </c>
      <c r="V576" s="21" t="s">
        <v>2276</v>
      </c>
      <c r="W576" s="21" t="s">
        <v>2276</v>
      </c>
      <c r="X576" s="3" t="s">
        <v>75</v>
      </c>
      <c r="Y576" s="3" t="s">
        <v>35</v>
      </c>
      <c r="Z576" s="3" t="s">
        <v>64</v>
      </c>
      <c r="AA576" s="4" t="s">
        <v>880</v>
      </c>
      <c r="AB576" s="4" t="s">
        <v>2125</v>
      </c>
    </row>
    <row r="577" spans="1:28" ht="66" customHeight="1">
      <c r="A577" s="6" t="str">
        <f>'Reported burning'!A577</f>
        <v>56ao</v>
      </c>
      <c r="B577" s="6" t="str">
        <f>'Reported burning'!B577</f>
        <v>56ao.1</v>
      </c>
      <c r="C577" s="6" t="str">
        <f>'Reported burning'!C577</f>
        <v>Human, deliberate</v>
      </c>
      <c r="D577" s="6" t="str">
        <f>'Reported burning'!D577</f>
        <v>Crop field preparation</v>
      </c>
      <c r="E577" s="6" t="str">
        <f>'Reported burning'!E577</f>
        <v>Cropping, Swidden</v>
      </c>
      <c r="F577" s="6" t="str">
        <f>'Reported burning'!F577</f>
        <v>Secondary Vegetation</v>
      </c>
      <c r="G577" s="6">
        <f>'Reported burning'!G577</f>
        <v>0</v>
      </c>
      <c r="H577" s="6" t="str">
        <f>'Reported burning'!H577</f>
        <v>Presence</v>
      </c>
      <c r="I577" s="89"/>
      <c r="J577" s="21" t="s">
        <v>2368</v>
      </c>
      <c r="K577" s="103" t="s">
        <v>2276</v>
      </c>
      <c r="L577" s="21" t="s">
        <v>2276</v>
      </c>
      <c r="M577" s="21" t="s">
        <v>2276</v>
      </c>
      <c r="N577" s="21" t="s">
        <v>2276</v>
      </c>
      <c r="O577" s="21" t="s">
        <v>2276</v>
      </c>
      <c r="P577" s="21" t="s">
        <v>2276</v>
      </c>
      <c r="Q577" s="102" t="s">
        <v>2276</v>
      </c>
      <c r="R577" s="102" t="s">
        <v>2276</v>
      </c>
      <c r="S577" s="21" t="s">
        <v>2276</v>
      </c>
      <c r="T577" s="21" t="s">
        <v>2276</v>
      </c>
      <c r="U577" s="21" t="s">
        <v>2527</v>
      </c>
      <c r="V577" s="21" t="s">
        <v>2276</v>
      </c>
      <c r="W577" s="21" t="s">
        <v>2276</v>
      </c>
      <c r="X577" s="3" t="s">
        <v>75</v>
      </c>
      <c r="Y577" s="3" t="s">
        <v>35</v>
      </c>
      <c r="Z577" s="3" t="s">
        <v>64</v>
      </c>
      <c r="AA577" s="4" t="s">
        <v>880</v>
      </c>
      <c r="AB577" s="4" t="s">
        <v>2125</v>
      </c>
    </row>
    <row r="578" spans="1:28" ht="66" customHeight="1">
      <c r="A578" s="6" t="str">
        <f>'Reported burning'!A578</f>
        <v>56ap</v>
      </c>
      <c r="B578" s="6" t="str">
        <f>'Reported burning'!B578</f>
        <v>56ap.1</v>
      </c>
      <c r="C578" s="6" t="str">
        <f>'Reported burning'!C578</f>
        <v>Human, deliberate</v>
      </c>
      <c r="D578" s="6" t="str">
        <f>'Reported burning'!D578</f>
        <v>Crop field preparation</v>
      </c>
      <c r="E578" s="6" t="str">
        <f>'Reported burning'!E578</f>
        <v>Cropping, Swidden</v>
      </c>
      <c r="F578" s="6" t="str">
        <f>'Reported burning'!F578</f>
        <v>Secondary Vegetation</v>
      </c>
      <c r="G578" s="6">
        <f>'Reported burning'!G578</f>
        <v>0</v>
      </c>
      <c r="H578" s="6" t="str">
        <f>'Reported burning'!H578</f>
        <v>Presence</v>
      </c>
      <c r="I578" s="89"/>
      <c r="J578" s="21" t="s">
        <v>2369</v>
      </c>
      <c r="K578" s="103" t="s">
        <v>2276</v>
      </c>
      <c r="L578" s="21" t="s">
        <v>2276</v>
      </c>
      <c r="M578" s="21" t="s">
        <v>2276</v>
      </c>
      <c r="N578" s="21" t="s">
        <v>2276</v>
      </c>
      <c r="O578" s="21" t="s">
        <v>2276</v>
      </c>
      <c r="P578" s="21" t="s">
        <v>2276</v>
      </c>
      <c r="Q578" s="102" t="s">
        <v>2276</v>
      </c>
      <c r="R578" s="102" t="s">
        <v>2276</v>
      </c>
      <c r="S578" s="21" t="s">
        <v>2276</v>
      </c>
      <c r="T578" s="21" t="s">
        <v>2276</v>
      </c>
      <c r="U578" s="21" t="s">
        <v>2527</v>
      </c>
      <c r="V578" s="21" t="s">
        <v>2276</v>
      </c>
      <c r="W578" s="21" t="s">
        <v>2276</v>
      </c>
      <c r="X578" s="3" t="s">
        <v>75</v>
      </c>
      <c r="Y578" s="3" t="s">
        <v>35</v>
      </c>
      <c r="Z578" s="3" t="s">
        <v>64</v>
      </c>
      <c r="AA578" s="4" t="s">
        <v>880</v>
      </c>
      <c r="AB578" s="4" t="s">
        <v>2125</v>
      </c>
    </row>
    <row r="579" spans="1:28" ht="66" customHeight="1">
      <c r="A579" s="6" t="str">
        <f>'Reported burning'!A579</f>
        <v>56aq</v>
      </c>
      <c r="B579" s="6" t="str">
        <f>'Reported burning'!B579</f>
        <v>56aq.1</v>
      </c>
      <c r="C579" s="6" t="str">
        <f>'Reported burning'!C579</f>
        <v>Human, deliberate</v>
      </c>
      <c r="D579" s="6" t="str">
        <f>'Reported burning'!D579</f>
        <v>Crop field preparation</v>
      </c>
      <c r="E579" s="6" t="str">
        <f>'Reported burning'!E579</f>
        <v>Cropping, Swidden</v>
      </c>
      <c r="F579" s="6" t="str">
        <f>'Reported burning'!F579</f>
        <v>Secondary Vegetation</v>
      </c>
      <c r="G579" s="6">
        <f>'Reported burning'!G579</f>
        <v>0</v>
      </c>
      <c r="H579" s="6" t="str">
        <f>'Reported burning'!H579</f>
        <v>Presence</v>
      </c>
      <c r="I579" s="89"/>
      <c r="J579" s="21" t="s">
        <v>2367</v>
      </c>
      <c r="K579" s="103" t="s">
        <v>2276</v>
      </c>
      <c r="L579" s="21" t="s">
        <v>2276</v>
      </c>
      <c r="M579" s="21" t="s">
        <v>2276</v>
      </c>
      <c r="N579" s="21" t="s">
        <v>2276</v>
      </c>
      <c r="O579" s="21" t="s">
        <v>2276</v>
      </c>
      <c r="P579" s="21" t="s">
        <v>2276</v>
      </c>
      <c r="Q579" s="102" t="s">
        <v>2276</v>
      </c>
      <c r="R579" s="102" t="s">
        <v>2276</v>
      </c>
      <c r="S579" s="21" t="s">
        <v>2276</v>
      </c>
      <c r="T579" s="21" t="s">
        <v>2276</v>
      </c>
      <c r="U579" s="21" t="s">
        <v>2527</v>
      </c>
      <c r="V579" s="21" t="s">
        <v>2276</v>
      </c>
      <c r="W579" s="21" t="s">
        <v>2276</v>
      </c>
      <c r="X579" s="3" t="s">
        <v>75</v>
      </c>
      <c r="Y579" s="3" t="s">
        <v>35</v>
      </c>
      <c r="Z579" s="3" t="s">
        <v>64</v>
      </c>
      <c r="AA579" s="4" t="s">
        <v>880</v>
      </c>
      <c r="AB579" s="4" t="s">
        <v>2125</v>
      </c>
    </row>
    <row r="580" spans="1:28" ht="66" customHeight="1">
      <c r="A580" s="6" t="str">
        <f>'Reported burning'!A580</f>
        <v>56ar</v>
      </c>
      <c r="B580" s="6" t="str">
        <f>'Reported burning'!B580</f>
        <v>56ar.1</v>
      </c>
      <c r="C580" s="6" t="str">
        <f>'Reported burning'!C580</f>
        <v>Human, deliberate</v>
      </c>
      <c r="D580" s="6" t="str">
        <f>'Reported burning'!D580</f>
        <v>Crop field preparation</v>
      </c>
      <c r="E580" s="6" t="str">
        <f>'Reported burning'!E580</f>
        <v>Cropping, Swidden</v>
      </c>
      <c r="F580" s="6" t="str">
        <f>'Reported burning'!F580</f>
        <v>Secondary Vegetation</v>
      </c>
      <c r="G580" s="6">
        <f>'Reported burning'!G580</f>
        <v>0</v>
      </c>
      <c r="H580" s="6" t="str">
        <f>'Reported burning'!H580</f>
        <v>Presence</v>
      </c>
      <c r="I580" s="89"/>
      <c r="J580" s="21" t="s">
        <v>2369</v>
      </c>
      <c r="K580" s="103" t="s">
        <v>2276</v>
      </c>
      <c r="L580" s="21" t="s">
        <v>2276</v>
      </c>
      <c r="M580" s="21" t="s">
        <v>2276</v>
      </c>
      <c r="N580" s="21" t="s">
        <v>2276</v>
      </c>
      <c r="O580" s="21" t="s">
        <v>2276</v>
      </c>
      <c r="P580" s="21" t="s">
        <v>2276</v>
      </c>
      <c r="Q580" s="102" t="s">
        <v>2276</v>
      </c>
      <c r="R580" s="102" t="s">
        <v>2276</v>
      </c>
      <c r="S580" s="21" t="s">
        <v>2276</v>
      </c>
      <c r="T580" s="21" t="s">
        <v>2276</v>
      </c>
      <c r="U580" s="21" t="s">
        <v>2527</v>
      </c>
      <c r="V580" s="21" t="s">
        <v>2276</v>
      </c>
      <c r="W580" s="21" t="s">
        <v>2276</v>
      </c>
      <c r="X580" s="3" t="s">
        <v>75</v>
      </c>
      <c r="Y580" s="3" t="s">
        <v>35</v>
      </c>
      <c r="Z580" s="3" t="s">
        <v>64</v>
      </c>
      <c r="AA580" s="4" t="s">
        <v>880</v>
      </c>
      <c r="AB580" s="4" t="s">
        <v>2125</v>
      </c>
    </row>
    <row r="581" spans="1:28" ht="66" customHeight="1">
      <c r="A581" s="6" t="str">
        <f>'Reported burning'!A581</f>
        <v>56as</v>
      </c>
      <c r="B581" s="6" t="str">
        <f>'Reported burning'!B581</f>
        <v>56as.1</v>
      </c>
      <c r="C581" s="6" t="str">
        <f>'Reported burning'!C581</f>
        <v>Human, deliberate</v>
      </c>
      <c r="D581" s="6" t="str">
        <f>'Reported burning'!D581</f>
        <v>Crop field preparation</v>
      </c>
      <c r="E581" s="6" t="str">
        <f>'Reported burning'!E581</f>
        <v>Cropping, Swidden</v>
      </c>
      <c r="F581" s="6" t="str">
        <f>'Reported burning'!F581</f>
        <v>Secondary Vegetation</v>
      </c>
      <c r="G581" s="6">
        <f>'Reported burning'!G581</f>
        <v>0</v>
      </c>
      <c r="H581" s="6" t="str">
        <f>'Reported burning'!H581</f>
        <v>Presence</v>
      </c>
      <c r="I581" s="89"/>
      <c r="J581" s="21" t="s">
        <v>2369</v>
      </c>
      <c r="K581" s="103" t="s">
        <v>2276</v>
      </c>
      <c r="L581" s="21" t="s">
        <v>2276</v>
      </c>
      <c r="M581" s="21" t="s">
        <v>2276</v>
      </c>
      <c r="N581" s="21" t="s">
        <v>2276</v>
      </c>
      <c r="O581" s="21" t="s">
        <v>2276</v>
      </c>
      <c r="P581" s="21" t="s">
        <v>2276</v>
      </c>
      <c r="Q581" s="102" t="s">
        <v>2276</v>
      </c>
      <c r="R581" s="102" t="s">
        <v>2276</v>
      </c>
      <c r="S581" s="21" t="s">
        <v>2276</v>
      </c>
      <c r="T581" s="21" t="s">
        <v>2276</v>
      </c>
      <c r="U581" s="21" t="s">
        <v>2527</v>
      </c>
      <c r="V581" s="21" t="s">
        <v>2276</v>
      </c>
      <c r="W581" s="21" t="s">
        <v>2276</v>
      </c>
      <c r="X581" s="3" t="s">
        <v>75</v>
      </c>
      <c r="Y581" s="3" t="s">
        <v>35</v>
      </c>
      <c r="Z581" s="3" t="s">
        <v>64</v>
      </c>
      <c r="AA581" s="4" t="s">
        <v>880</v>
      </c>
      <c r="AB581" s="4" t="s">
        <v>2125</v>
      </c>
    </row>
    <row r="582" spans="1:28" ht="66" customHeight="1">
      <c r="A582" s="6" t="str">
        <f>'Reported burning'!A582</f>
        <v>56at</v>
      </c>
      <c r="B582" s="6" t="str">
        <f>'Reported burning'!B582</f>
        <v>56at.1</v>
      </c>
      <c r="C582" s="6" t="str">
        <f>'Reported burning'!C582</f>
        <v>Human, deliberate</v>
      </c>
      <c r="D582" s="6" t="str">
        <f>'Reported burning'!D582</f>
        <v>Crop field preparation</v>
      </c>
      <c r="E582" s="6" t="str">
        <f>'Reported burning'!E582</f>
        <v>Cropping, Swidden</v>
      </c>
      <c r="F582" s="6" t="str">
        <f>'Reported burning'!F582</f>
        <v>Secondary Vegetation</v>
      </c>
      <c r="G582" s="6">
        <f>'Reported burning'!G582</f>
        <v>0</v>
      </c>
      <c r="H582" s="6" t="str">
        <f>'Reported burning'!H582</f>
        <v>Presence</v>
      </c>
      <c r="I582" s="89"/>
      <c r="J582" s="21" t="s">
        <v>2368</v>
      </c>
      <c r="K582" s="103" t="s">
        <v>2276</v>
      </c>
      <c r="L582" s="21" t="s">
        <v>2276</v>
      </c>
      <c r="M582" s="21" t="s">
        <v>2276</v>
      </c>
      <c r="N582" s="21" t="s">
        <v>2276</v>
      </c>
      <c r="O582" s="21" t="s">
        <v>2276</v>
      </c>
      <c r="P582" s="21" t="s">
        <v>2276</v>
      </c>
      <c r="Q582" s="102" t="s">
        <v>2276</v>
      </c>
      <c r="R582" s="102" t="s">
        <v>2276</v>
      </c>
      <c r="S582" s="21" t="s">
        <v>2276</v>
      </c>
      <c r="T582" s="21" t="s">
        <v>2276</v>
      </c>
      <c r="U582" s="21" t="s">
        <v>2527</v>
      </c>
      <c r="V582" s="21" t="s">
        <v>2276</v>
      </c>
      <c r="W582" s="21" t="s">
        <v>2276</v>
      </c>
      <c r="X582" s="3" t="s">
        <v>75</v>
      </c>
      <c r="Y582" s="3" t="s">
        <v>35</v>
      </c>
      <c r="Z582" s="3" t="s">
        <v>64</v>
      </c>
      <c r="AA582" s="4" t="s">
        <v>880</v>
      </c>
      <c r="AB582" s="4" t="s">
        <v>2125</v>
      </c>
    </row>
    <row r="583" spans="1:28" ht="66" customHeight="1">
      <c r="A583" s="6" t="str">
        <f>'Reported burning'!A583</f>
        <v>56au</v>
      </c>
      <c r="B583" s="6" t="str">
        <f>'Reported burning'!B583</f>
        <v>56au.1</v>
      </c>
      <c r="C583" s="6" t="str">
        <f>'Reported burning'!C583</f>
        <v>Human, deliberate</v>
      </c>
      <c r="D583" s="6" t="str">
        <f>'Reported burning'!D583</f>
        <v>Crop field preparation</v>
      </c>
      <c r="E583" s="6" t="str">
        <f>'Reported burning'!E583</f>
        <v>Cropping, Swidden</v>
      </c>
      <c r="F583" s="6" t="str">
        <f>'Reported burning'!F583</f>
        <v>Secondary Vegetation</v>
      </c>
      <c r="G583" s="6">
        <f>'Reported burning'!G583</f>
        <v>0</v>
      </c>
      <c r="H583" s="6" t="str">
        <f>'Reported burning'!H583</f>
        <v>Presence</v>
      </c>
      <c r="I583" s="89"/>
      <c r="J583" s="21" t="s">
        <v>2369</v>
      </c>
      <c r="K583" s="103" t="s">
        <v>2276</v>
      </c>
      <c r="L583" s="21" t="s">
        <v>2276</v>
      </c>
      <c r="M583" s="21" t="s">
        <v>2276</v>
      </c>
      <c r="N583" s="21" t="s">
        <v>2276</v>
      </c>
      <c r="O583" s="21" t="s">
        <v>2276</v>
      </c>
      <c r="P583" s="21" t="s">
        <v>2276</v>
      </c>
      <c r="Q583" s="102" t="s">
        <v>2276</v>
      </c>
      <c r="R583" s="102" t="s">
        <v>2276</v>
      </c>
      <c r="S583" s="21" t="s">
        <v>2276</v>
      </c>
      <c r="T583" s="21" t="s">
        <v>2276</v>
      </c>
      <c r="U583" s="21" t="s">
        <v>2527</v>
      </c>
      <c r="V583" s="21" t="s">
        <v>2276</v>
      </c>
      <c r="W583" s="21" t="s">
        <v>2276</v>
      </c>
      <c r="X583" s="3" t="s">
        <v>75</v>
      </c>
      <c r="Y583" s="3" t="s">
        <v>35</v>
      </c>
      <c r="Z583" s="3" t="s">
        <v>64</v>
      </c>
      <c r="AA583" s="4" t="s">
        <v>880</v>
      </c>
      <c r="AB583" s="4" t="s">
        <v>2125</v>
      </c>
    </row>
    <row r="584" spans="1:28" ht="66" customHeight="1">
      <c r="A584" s="6" t="str">
        <f>'Reported burning'!A584</f>
        <v>56av</v>
      </c>
      <c r="B584" s="6" t="str">
        <f>'Reported burning'!B584</f>
        <v>56av.1</v>
      </c>
      <c r="C584" s="6" t="str">
        <f>'Reported burning'!C584</f>
        <v>Human, deliberate</v>
      </c>
      <c r="D584" s="6" t="str">
        <f>'Reported burning'!D584</f>
        <v>Crop field preparation</v>
      </c>
      <c r="E584" s="6" t="str">
        <f>'Reported burning'!E584</f>
        <v>Cropping, Swidden</v>
      </c>
      <c r="F584" s="6" t="str">
        <f>'Reported burning'!F584</f>
        <v>Secondary Vegetation</v>
      </c>
      <c r="G584" s="6">
        <f>'Reported burning'!G584</f>
        <v>0</v>
      </c>
      <c r="H584" s="6" t="str">
        <f>'Reported burning'!H584</f>
        <v>Presence</v>
      </c>
      <c r="I584" s="89"/>
      <c r="J584" s="21" t="s">
        <v>2368</v>
      </c>
      <c r="K584" s="103" t="s">
        <v>2276</v>
      </c>
      <c r="L584" s="21" t="s">
        <v>2276</v>
      </c>
      <c r="M584" s="21" t="s">
        <v>2276</v>
      </c>
      <c r="N584" s="21" t="s">
        <v>2276</v>
      </c>
      <c r="O584" s="21" t="s">
        <v>2276</v>
      </c>
      <c r="P584" s="21" t="s">
        <v>2276</v>
      </c>
      <c r="Q584" s="102" t="s">
        <v>2276</v>
      </c>
      <c r="R584" s="102" t="s">
        <v>2276</v>
      </c>
      <c r="S584" s="21" t="s">
        <v>2276</v>
      </c>
      <c r="T584" s="21" t="s">
        <v>2276</v>
      </c>
      <c r="U584" s="21" t="s">
        <v>2527</v>
      </c>
      <c r="V584" s="21" t="s">
        <v>2276</v>
      </c>
      <c r="W584" s="21" t="s">
        <v>2276</v>
      </c>
      <c r="X584" s="3" t="s">
        <v>75</v>
      </c>
      <c r="Y584" s="3" t="s">
        <v>35</v>
      </c>
      <c r="Z584" s="3" t="s">
        <v>64</v>
      </c>
      <c r="AA584" s="4" t="s">
        <v>880</v>
      </c>
      <c r="AB584" s="4" t="s">
        <v>2125</v>
      </c>
    </row>
    <row r="585" spans="1:28" ht="66" customHeight="1">
      <c r="A585" s="6" t="str">
        <f>'Reported burning'!A585</f>
        <v>56aw</v>
      </c>
      <c r="B585" s="6" t="str">
        <f>'Reported burning'!B585</f>
        <v>56aw.1</v>
      </c>
      <c r="C585" s="6" t="str">
        <f>'Reported burning'!C585</f>
        <v>Human, deliberate</v>
      </c>
      <c r="D585" s="6" t="str">
        <f>'Reported burning'!D585</f>
        <v>Crop field preparation</v>
      </c>
      <c r="E585" s="6" t="str">
        <f>'Reported burning'!E585</f>
        <v>Cropping, Swidden</v>
      </c>
      <c r="F585" s="6" t="str">
        <f>'Reported burning'!F585</f>
        <v>Secondary Vegetation</v>
      </c>
      <c r="G585" s="6">
        <f>'Reported burning'!G585</f>
        <v>0</v>
      </c>
      <c r="H585" s="6" t="str">
        <f>'Reported burning'!H585</f>
        <v>Presence</v>
      </c>
      <c r="I585" s="89"/>
      <c r="J585" s="21" t="s">
        <v>2369</v>
      </c>
      <c r="K585" s="103" t="s">
        <v>2276</v>
      </c>
      <c r="L585" s="21" t="s">
        <v>2276</v>
      </c>
      <c r="M585" s="21" t="s">
        <v>2276</v>
      </c>
      <c r="N585" s="21" t="s">
        <v>2276</v>
      </c>
      <c r="O585" s="21" t="s">
        <v>2276</v>
      </c>
      <c r="P585" s="21" t="s">
        <v>2276</v>
      </c>
      <c r="Q585" s="102" t="s">
        <v>2276</v>
      </c>
      <c r="R585" s="102" t="s">
        <v>2276</v>
      </c>
      <c r="S585" s="21" t="s">
        <v>2276</v>
      </c>
      <c r="T585" s="21" t="s">
        <v>2276</v>
      </c>
      <c r="U585" s="21" t="s">
        <v>2527</v>
      </c>
      <c r="V585" s="21" t="s">
        <v>2276</v>
      </c>
      <c r="W585" s="21" t="s">
        <v>2276</v>
      </c>
      <c r="X585" s="3" t="s">
        <v>75</v>
      </c>
      <c r="Y585" s="3" t="s">
        <v>35</v>
      </c>
      <c r="Z585" s="3" t="s">
        <v>64</v>
      </c>
      <c r="AA585" s="4" t="s">
        <v>880</v>
      </c>
      <c r="AB585" s="4" t="s">
        <v>2125</v>
      </c>
    </row>
    <row r="586" spans="1:28" ht="66" customHeight="1">
      <c r="A586" s="6" t="str">
        <f>'Reported burning'!A586</f>
        <v>56ax</v>
      </c>
      <c r="B586" s="6" t="str">
        <f>'Reported burning'!B586</f>
        <v>56ax.1</v>
      </c>
      <c r="C586" s="6" t="str">
        <f>'Reported burning'!C586</f>
        <v>Human, deliberate</v>
      </c>
      <c r="D586" s="6" t="str">
        <f>'Reported burning'!D586</f>
        <v>Crop field preparation</v>
      </c>
      <c r="E586" s="6" t="str">
        <f>'Reported burning'!E586</f>
        <v>Cropping, Swidden</v>
      </c>
      <c r="F586" s="6" t="str">
        <f>'Reported burning'!F586</f>
        <v>Secondary Vegetation</v>
      </c>
      <c r="G586" s="6">
        <f>'Reported burning'!G586</f>
        <v>0</v>
      </c>
      <c r="H586" s="6" t="str">
        <f>'Reported burning'!H586</f>
        <v>Presence</v>
      </c>
      <c r="I586" s="89"/>
      <c r="J586" s="21" t="s">
        <v>2368</v>
      </c>
      <c r="K586" s="103" t="s">
        <v>2276</v>
      </c>
      <c r="L586" s="21" t="s">
        <v>2276</v>
      </c>
      <c r="M586" s="21" t="s">
        <v>2276</v>
      </c>
      <c r="N586" s="21" t="s">
        <v>2276</v>
      </c>
      <c r="O586" s="21" t="s">
        <v>2276</v>
      </c>
      <c r="P586" s="21" t="s">
        <v>2276</v>
      </c>
      <c r="Q586" s="102" t="s">
        <v>2276</v>
      </c>
      <c r="R586" s="102" t="s">
        <v>2276</v>
      </c>
      <c r="S586" s="21" t="s">
        <v>2276</v>
      </c>
      <c r="T586" s="21" t="s">
        <v>2276</v>
      </c>
      <c r="U586" s="21" t="s">
        <v>2527</v>
      </c>
      <c r="V586" s="21" t="s">
        <v>2276</v>
      </c>
      <c r="W586" s="21" t="s">
        <v>2276</v>
      </c>
      <c r="X586" s="3" t="s">
        <v>75</v>
      </c>
      <c r="Y586" s="3" t="s">
        <v>35</v>
      </c>
      <c r="Z586" s="3" t="s">
        <v>64</v>
      </c>
      <c r="AA586" s="4" t="s">
        <v>880</v>
      </c>
      <c r="AB586" s="4" t="s">
        <v>2125</v>
      </c>
    </row>
    <row r="587" spans="1:28" ht="66" customHeight="1">
      <c r="A587" s="6" t="str">
        <f>'Reported burning'!A587</f>
        <v>56ay</v>
      </c>
      <c r="B587" s="6" t="str">
        <f>'Reported burning'!B587</f>
        <v>56ay.1</v>
      </c>
      <c r="C587" s="6" t="str">
        <f>'Reported burning'!C587</f>
        <v>Human, deliberate</v>
      </c>
      <c r="D587" s="6" t="str">
        <f>'Reported burning'!D587</f>
        <v>Crop field preparation</v>
      </c>
      <c r="E587" s="6" t="str">
        <f>'Reported burning'!E587</f>
        <v>Cropping, Swidden</v>
      </c>
      <c r="F587" s="6" t="str">
        <f>'Reported burning'!F587</f>
        <v>Secondary Vegetation</v>
      </c>
      <c r="G587" s="6">
        <f>'Reported burning'!G587</f>
        <v>0</v>
      </c>
      <c r="H587" s="6" t="str">
        <f>'Reported burning'!H587</f>
        <v>Presence</v>
      </c>
      <c r="I587" s="89"/>
      <c r="J587" s="21" t="s">
        <v>2369</v>
      </c>
      <c r="K587" s="103" t="s">
        <v>2276</v>
      </c>
      <c r="L587" s="21" t="s">
        <v>2276</v>
      </c>
      <c r="M587" s="21" t="s">
        <v>2276</v>
      </c>
      <c r="N587" s="21" t="s">
        <v>2276</v>
      </c>
      <c r="O587" s="21" t="s">
        <v>2276</v>
      </c>
      <c r="P587" s="21" t="s">
        <v>2276</v>
      </c>
      <c r="Q587" s="102" t="s">
        <v>2276</v>
      </c>
      <c r="R587" s="102" t="s">
        <v>2276</v>
      </c>
      <c r="S587" s="21" t="s">
        <v>2276</v>
      </c>
      <c r="T587" s="21" t="s">
        <v>2276</v>
      </c>
      <c r="U587" s="21" t="s">
        <v>2527</v>
      </c>
      <c r="V587" s="21" t="s">
        <v>2276</v>
      </c>
      <c r="W587" s="21" t="s">
        <v>2276</v>
      </c>
      <c r="X587" s="3" t="s">
        <v>75</v>
      </c>
      <c r="Y587" s="3" t="s">
        <v>35</v>
      </c>
      <c r="Z587" s="3" t="s">
        <v>64</v>
      </c>
      <c r="AA587" s="4" t="s">
        <v>880</v>
      </c>
      <c r="AB587" s="4" t="s">
        <v>2125</v>
      </c>
    </row>
    <row r="588" spans="1:28" ht="66" customHeight="1">
      <c r="A588" s="6" t="str">
        <f>'Reported burning'!A588</f>
        <v>56az</v>
      </c>
      <c r="B588" s="6" t="str">
        <f>'Reported burning'!B588</f>
        <v>56az.1</v>
      </c>
      <c r="C588" s="6" t="str">
        <f>'Reported burning'!C588</f>
        <v>Human, deliberate</v>
      </c>
      <c r="D588" s="6" t="str">
        <f>'Reported burning'!D588</f>
        <v>Crop field preparation</v>
      </c>
      <c r="E588" s="6" t="str">
        <f>'Reported burning'!E588</f>
        <v>Cropping, Swidden</v>
      </c>
      <c r="F588" s="6" t="str">
        <f>'Reported burning'!F588</f>
        <v>Secondary Vegetation</v>
      </c>
      <c r="G588" s="6">
        <f>'Reported burning'!G588</f>
        <v>0</v>
      </c>
      <c r="H588" s="6" t="str">
        <f>'Reported burning'!H588</f>
        <v>Presence</v>
      </c>
      <c r="I588" s="89"/>
      <c r="J588" s="21" t="s">
        <v>2367</v>
      </c>
      <c r="K588" s="103" t="s">
        <v>2276</v>
      </c>
      <c r="L588" s="21" t="s">
        <v>2276</v>
      </c>
      <c r="M588" s="21" t="s">
        <v>2276</v>
      </c>
      <c r="N588" s="21" t="s">
        <v>2276</v>
      </c>
      <c r="O588" s="21" t="s">
        <v>2276</v>
      </c>
      <c r="P588" s="21" t="s">
        <v>2276</v>
      </c>
      <c r="Q588" s="102" t="s">
        <v>2276</v>
      </c>
      <c r="R588" s="102" t="s">
        <v>2276</v>
      </c>
      <c r="S588" s="21" t="s">
        <v>2276</v>
      </c>
      <c r="T588" s="21" t="s">
        <v>2276</v>
      </c>
      <c r="U588" s="21" t="s">
        <v>2527</v>
      </c>
      <c r="V588" s="21" t="s">
        <v>2276</v>
      </c>
      <c r="W588" s="21" t="s">
        <v>2276</v>
      </c>
      <c r="X588" s="3" t="s">
        <v>75</v>
      </c>
      <c r="Y588" s="3" t="s">
        <v>35</v>
      </c>
      <c r="Z588" s="3" t="s">
        <v>64</v>
      </c>
      <c r="AA588" s="4" t="s">
        <v>880</v>
      </c>
      <c r="AB588" s="4" t="s">
        <v>2125</v>
      </c>
    </row>
    <row r="589" spans="1:28" ht="75" customHeight="1">
      <c r="A589" s="6" t="str">
        <f>'Reported burning'!A589</f>
        <v>57a</v>
      </c>
      <c r="B589" s="6" t="str">
        <f>'Reported burning'!B589</f>
        <v>57a.1</v>
      </c>
      <c r="C589" s="6" t="str">
        <f>'Reported burning'!C589</f>
        <v>Human, deliberate</v>
      </c>
      <c r="D589" s="6" t="str">
        <f>'Reported burning'!D589</f>
        <v>Crop field preparation</v>
      </c>
      <c r="E589" s="6" t="str">
        <f>'Reported burning'!E589</f>
        <v>Cropping, Swidden</v>
      </c>
      <c r="F589" s="6" t="str">
        <f>'Reported burning'!F589</f>
        <v>Secondary Vegetation</v>
      </c>
      <c r="G589" s="6">
        <f>'Reported burning'!G589</f>
        <v>0</v>
      </c>
      <c r="H589" s="6" t="str">
        <f>'Reported burning'!H589</f>
        <v>Presence</v>
      </c>
      <c r="I589" s="3"/>
      <c r="J589" s="21" t="s">
        <v>2276</v>
      </c>
      <c r="K589" s="103" t="s">
        <v>2362</v>
      </c>
      <c r="L589" s="21" t="s">
        <v>2276</v>
      </c>
      <c r="M589" s="21" t="s">
        <v>2362</v>
      </c>
      <c r="N589" s="21" t="s">
        <v>2276</v>
      </c>
      <c r="O589" s="21" t="s">
        <v>2362</v>
      </c>
      <c r="P589" s="21" t="s">
        <v>2276</v>
      </c>
      <c r="Q589" s="102" t="s">
        <v>2276</v>
      </c>
      <c r="R589" s="102" t="s">
        <v>2276</v>
      </c>
      <c r="S589" s="21" t="s">
        <v>2276</v>
      </c>
      <c r="T589" s="21" t="s">
        <v>2276</v>
      </c>
      <c r="U589" s="21" t="s">
        <v>2276</v>
      </c>
      <c r="V589" s="21" t="s">
        <v>2276</v>
      </c>
      <c r="W589" s="21" t="s">
        <v>2276</v>
      </c>
      <c r="X589" s="3" t="s">
        <v>75</v>
      </c>
      <c r="Y589" s="3" t="s">
        <v>35</v>
      </c>
      <c r="Z589" s="3" t="s">
        <v>64</v>
      </c>
      <c r="AA589" s="4" t="s">
        <v>880</v>
      </c>
      <c r="AB589" s="3"/>
    </row>
    <row r="590" spans="1:28" ht="67.5" customHeight="1">
      <c r="A590" s="6" t="str">
        <f>'Reported burning'!A590</f>
        <v>58a</v>
      </c>
      <c r="B590" s="6" t="str">
        <f>'Reported burning'!B590</f>
        <v>58a.1</v>
      </c>
      <c r="C590" s="6" t="str">
        <f>'Reported burning'!C590</f>
        <v>Human, deliberate</v>
      </c>
      <c r="D590" s="6" t="str">
        <f>'Reported burning'!D590</f>
        <v>Crop field preparation</v>
      </c>
      <c r="E590" s="6" t="str">
        <f>'Reported burning'!E590</f>
        <v>Cropping, Swidden</v>
      </c>
      <c r="F590" s="6" t="str">
        <f>'Reported burning'!F590</f>
        <v>Secondary Vegetation</v>
      </c>
      <c r="G590" s="6">
        <f>'Reported burning'!G590</f>
        <v>0</v>
      </c>
      <c r="H590" s="6" t="str">
        <f>'Reported burning'!H590</f>
        <v>Presence</v>
      </c>
      <c r="I590" s="3"/>
      <c r="J590" s="21" t="s">
        <v>2276</v>
      </c>
      <c r="K590" s="103" t="s">
        <v>2362</v>
      </c>
      <c r="L590" s="21" t="s">
        <v>2276</v>
      </c>
      <c r="M590" s="21" t="s">
        <v>2373</v>
      </c>
      <c r="N590" s="21" t="s">
        <v>2276</v>
      </c>
      <c r="O590" s="21" t="s">
        <v>2375</v>
      </c>
      <c r="P590" s="21" t="s">
        <v>2276</v>
      </c>
      <c r="Q590" s="102" t="s">
        <v>2276</v>
      </c>
      <c r="R590" s="102" t="s">
        <v>2276</v>
      </c>
      <c r="S590" s="21" t="s">
        <v>2276</v>
      </c>
      <c r="T590" s="21" t="s">
        <v>2276</v>
      </c>
      <c r="U590" s="21" t="s">
        <v>2276</v>
      </c>
      <c r="V590" s="21" t="s">
        <v>2276</v>
      </c>
      <c r="W590" s="21" t="s">
        <v>2403</v>
      </c>
      <c r="X590" s="3" t="s">
        <v>38</v>
      </c>
      <c r="Y590" s="3" t="s">
        <v>86</v>
      </c>
      <c r="Z590" s="3" t="s">
        <v>76</v>
      </c>
      <c r="AA590" s="4" t="s">
        <v>2205</v>
      </c>
      <c r="AB590" s="4" t="s">
        <v>2206</v>
      </c>
    </row>
    <row r="591" spans="1:28" ht="75" customHeight="1">
      <c r="A591" s="6" t="str">
        <f>'Reported burning'!A591</f>
        <v>59a</v>
      </c>
      <c r="B591" s="6" t="str">
        <f>'Reported burning'!B591</f>
        <v>59a.1</v>
      </c>
      <c r="C591" s="6" t="str">
        <f>'Reported burning'!C591</f>
        <v>Human, deliberate</v>
      </c>
      <c r="D591" s="6" t="str">
        <f>'Reported burning'!D591</f>
        <v>Crop field preparation</v>
      </c>
      <c r="E591" s="6" t="str">
        <f>'Reported burning'!E591</f>
        <v>Cropping, Swidden</v>
      </c>
      <c r="F591" s="6" t="str">
        <f>'Reported burning'!F591</f>
        <v>Secondary Vegetation</v>
      </c>
      <c r="G591" s="6">
        <f>'Reported burning'!G591</f>
        <v>0</v>
      </c>
      <c r="H591" s="6" t="str">
        <f>'Reported burning'!H591</f>
        <v>Presence</v>
      </c>
      <c r="I591" s="3"/>
      <c r="J591" s="21" t="s">
        <v>2276</v>
      </c>
      <c r="K591" s="103" t="s">
        <v>2276</v>
      </c>
      <c r="L591" s="21" t="s">
        <v>2276</v>
      </c>
      <c r="M591" s="21" t="s">
        <v>2276</v>
      </c>
      <c r="N591" s="21" t="s">
        <v>2276</v>
      </c>
      <c r="O591" s="21" t="s">
        <v>2276</v>
      </c>
      <c r="P591" s="21" t="s">
        <v>2276</v>
      </c>
      <c r="Q591" s="102" t="s">
        <v>2276</v>
      </c>
      <c r="R591" s="102" t="s">
        <v>2276</v>
      </c>
      <c r="S591" s="21" t="s">
        <v>2276</v>
      </c>
      <c r="T591" s="21" t="s">
        <v>2276</v>
      </c>
      <c r="U591" s="21" t="s">
        <v>2276</v>
      </c>
      <c r="V591" s="21" t="s">
        <v>2276</v>
      </c>
      <c r="W591" s="21" t="s">
        <v>2276</v>
      </c>
      <c r="X591" s="3" t="s">
        <v>38</v>
      </c>
      <c r="Y591" s="3" t="s">
        <v>38</v>
      </c>
      <c r="Z591" s="3" t="s">
        <v>64</v>
      </c>
      <c r="AA591" s="4" t="s">
        <v>2208</v>
      </c>
      <c r="AB591" s="3" t="s">
        <v>2207</v>
      </c>
    </row>
    <row r="592" spans="1:28" ht="53" customHeight="1">
      <c r="A592" s="6" t="str">
        <f>'Reported burning'!A592</f>
        <v>60a</v>
      </c>
      <c r="B592" s="6" t="str">
        <f>'Reported burning'!B592</f>
        <v>60a.1</v>
      </c>
      <c r="C592" s="6" t="str">
        <f>'Reported burning'!C592</f>
        <v>Human, deliberate</v>
      </c>
      <c r="D592" s="6" t="str">
        <f>'Reported burning'!D592</f>
        <v>Crop field preparation</v>
      </c>
      <c r="E592" s="6" t="str">
        <f>'Reported burning'!E592</f>
        <v>Cropping, Swidden</v>
      </c>
      <c r="F592" s="6" t="str">
        <f>'Reported burning'!F592</f>
        <v>Secondary Vegetation</v>
      </c>
      <c r="G592" s="6">
        <f>'Reported burning'!G592</f>
        <v>0</v>
      </c>
      <c r="H592" s="6" t="str">
        <f>'Reported burning'!H592</f>
        <v>Presence</v>
      </c>
      <c r="I592" s="3"/>
      <c r="J592" s="21" t="s">
        <v>2276</v>
      </c>
      <c r="K592" s="103" t="s">
        <v>2276</v>
      </c>
      <c r="L592" s="21" t="s">
        <v>2276</v>
      </c>
      <c r="M592" s="21" t="s">
        <v>2276</v>
      </c>
      <c r="N592" s="21" t="s">
        <v>2276</v>
      </c>
      <c r="O592" s="21" t="s">
        <v>2276</v>
      </c>
      <c r="P592" s="21" t="s">
        <v>2276</v>
      </c>
      <c r="Q592" s="102" t="s">
        <v>2276</v>
      </c>
      <c r="R592" s="102" t="s">
        <v>2276</v>
      </c>
      <c r="S592" s="21" t="s">
        <v>2276</v>
      </c>
      <c r="T592" s="21" t="s">
        <v>2276</v>
      </c>
      <c r="U592" s="21" t="s">
        <v>2276</v>
      </c>
      <c r="V592" s="21" t="s">
        <v>2276</v>
      </c>
      <c r="W592" s="21" t="s">
        <v>2404</v>
      </c>
      <c r="X592" s="3" t="s">
        <v>2276</v>
      </c>
      <c r="Y592" s="3" t="s">
        <v>2276</v>
      </c>
      <c r="Z592" s="3" t="s">
        <v>2276</v>
      </c>
      <c r="AA592" s="3"/>
      <c r="AB592" s="3" t="s">
        <v>718</v>
      </c>
    </row>
    <row r="593" spans="1:28" ht="75" customHeight="1">
      <c r="A593" s="6" t="str">
        <f>'Reported burning'!A593</f>
        <v>61a</v>
      </c>
      <c r="B593" s="6" t="str">
        <f>'Reported burning'!B593</f>
        <v>61a.1</v>
      </c>
      <c r="C593" s="6" t="str">
        <f>'Reported burning'!C593</f>
        <v>Human, deliberate</v>
      </c>
      <c r="D593" s="6" t="str">
        <f>'Reported burning'!D593</f>
        <v>Crop field preparation</v>
      </c>
      <c r="E593" s="6" t="str">
        <f>'Reported burning'!E593</f>
        <v>Cropping, Swidden</v>
      </c>
      <c r="F593" s="6" t="str">
        <f>'Reported burning'!F593</f>
        <v>Secondary Vegetation</v>
      </c>
      <c r="G593" s="6">
        <f>'Reported burning'!G593</f>
        <v>0</v>
      </c>
      <c r="H593" s="6" t="str">
        <f>'Reported burning'!H593</f>
        <v>Presence</v>
      </c>
      <c r="I593" s="3"/>
      <c r="J593" s="21" t="s">
        <v>2276</v>
      </c>
      <c r="K593" s="103" t="s">
        <v>2276</v>
      </c>
      <c r="L593" s="21" t="s">
        <v>2276</v>
      </c>
      <c r="M593" s="21" t="s">
        <v>2276</v>
      </c>
      <c r="N593" s="21" t="s">
        <v>2276</v>
      </c>
      <c r="O593" s="21" t="s">
        <v>2276</v>
      </c>
      <c r="P593" s="21" t="s">
        <v>2374</v>
      </c>
      <c r="Q593" s="102" t="s">
        <v>2276</v>
      </c>
      <c r="R593" s="102" t="s">
        <v>2276</v>
      </c>
      <c r="S593" s="21" t="s">
        <v>2276</v>
      </c>
      <c r="T593" s="21" t="s">
        <v>2276</v>
      </c>
      <c r="U593" s="21" t="s">
        <v>2276</v>
      </c>
      <c r="V593" s="21" t="s">
        <v>2276</v>
      </c>
      <c r="W593" s="21" t="s">
        <v>2403</v>
      </c>
      <c r="X593" s="3" t="s">
        <v>38</v>
      </c>
      <c r="Y593" s="3" t="s">
        <v>86</v>
      </c>
      <c r="Z593" s="3" t="s">
        <v>64</v>
      </c>
      <c r="AA593" s="3"/>
      <c r="AB593" s="4" t="s">
        <v>904</v>
      </c>
    </row>
    <row r="594" spans="1:28" ht="75" customHeight="1">
      <c r="A594" s="6" t="str">
        <f>'Reported burning'!A594</f>
        <v>62a</v>
      </c>
      <c r="B594" s="6" t="str">
        <f>'Reported burning'!B594</f>
        <v>62a.1</v>
      </c>
      <c r="C594" s="6" t="str">
        <f>'Reported burning'!C594</f>
        <v>Human, deliberate</v>
      </c>
      <c r="D594" s="6" t="str">
        <f>'Reported burning'!D594</f>
        <v>Crop field preparation</v>
      </c>
      <c r="E594" s="6" t="str">
        <f>'Reported burning'!E594</f>
        <v>Cropping, Swidden</v>
      </c>
      <c r="F594" s="6" t="str">
        <f>'Reported burning'!F594</f>
        <v>Secondary Vegetation</v>
      </c>
      <c r="G594" s="6">
        <f>'Reported burning'!G594</f>
        <v>0</v>
      </c>
      <c r="H594" s="6" t="str">
        <f>'Reported burning'!H594</f>
        <v>Presence</v>
      </c>
      <c r="I594" s="3"/>
      <c r="J594" s="21" t="s">
        <v>2276</v>
      </c>
      <c r="K594" s="103" t="s">
        <v>2276</v>
      </c>
      <c r="L594" s="21" t="s">
        <v>2276</v>
      </c>
      <c r="M594" s="21" t="s">
        <v>2276</v>
      </c>
      <c r="N594" s="21" t="s">
        <v>2276</v>
      </c>
      <c r="O594" s="21" t="s">
        <v>2276</v>
      </c>
      <c r="P594" s="21" t="s">
        <v>2276</v>
      </c>
      <c r="Q594" s="102" t="s">
        <v>2276</v>
      </c>
      <c r="R594" s="102" t="s">
        <v>2276</v>
      </c>
      <c r="S594" s="21" t="s">
        <v>2276</v>
      </c>
      <c r="T594" s="21" t="s">
        <v>2276</v>
      </c>
      <c r="U594" s="21" t="s">
        <v>2276</v>
      </c>
      <c r="V594" s="21" t="s">
        <v>2276</v>
      </c>
      <c r="W594" s="21" t="s">
        <v>2276</v>
      </c>
      <c r="X594" s="3" t="s">
        <v>2276</v>
      </c>
      <c r="Y594" s="3" t="s">
        <v>2276</v>
      </c>
      <c r="Z594" s="3" t="s">
        <v>2276</v>
      </c>
      <c r="AA594" s="3"/>
      <c r="AB594" s="4"/>
    </row>
    <row r="595" spans="1:28" ht="75" customHeight="1">
      <c r="A595" s="6" t="str">
        <f>'Reported burning'!A595</f>
        <v>62b</v>
      </c>
      <c r="B595" s="6" t="str">
        <f>'Reported burning'!B595</f>
        <v>62b.1</v>
      </c>
      <c r="C595" s="6" t="str">
        <f>'Reported burning'!C595</f>
        <v>Human, deliberate</v>
      </c>
      <c r="D595" s="6" t="str">
        <f>'Reported burning'!D595</f>
        <v>Crop field preparation</v>
      </c>
      <c r="E595" s="6" t="str">
        <f>'Reported burning'!E595</f>
        <v>Cropping, Swidden</v>
      </c>
      <c r="F595" s="6" t="str">
        <f>'Reported burning'!F595</f>
        <v>Secondary Vegetation</v>
      </c>
      <c r="G595" s="6">
        <f>'Reported burning'!G595</f>
        <v>0</v>
      </c>
      <c r="H595" s="6" t="str">
        <f>'Reported burning'!H595</f>
        <v>Presence</v>
      </c>
      <c r="I595" s="3"/>
      <c r="J595" s="21" t="s">
        <v>2276</v>
      </c>
      <c r="K595" s="103" t="s">
        <v>2276</v>
      </c>
      <c r="L595" s="21" t="s">
        <v>2276</v>
      </c>
      <c r="M595" s="21" t="s">
        <v>2276</v>
      </c>
      <c r="N595" s="21" t="s">
        <v>2276</v>
      </c>
      <c r="O595" s="21" t="s">
        <v>2276</v>
      </c>
      <c r="P595" s="21" t="s">
        <v>2276</v>
      </c>
      <c r="Q595" s="102" t="s">
        <v>2276</v>
      </c>
      <c r="R595" s="102" t="s">
        <v>2276</v>
      </c>
      <c r="S595" s="21" t="s">
        <v>2276</v>
      </c>
      <c r="T595" s="21" t="s">
        <v>2276</v>
      </c>
      <c r="U595" s="21" t="s">
        <v>2276</v>
      </c>
      <c r="V595" s="21" t="s">
        <v>2276</v>
      </c>
      <c r="W595" s="21" t="s">
        <v>2276</v>
      </c>
      <c r="X595" s="3" t="s">
        <v>2276</v>
      </c>
      <c r="Y595" s="3" t="s">
        <v>2276</v>
      </c>
      <c r="Z595" s="3" t="s">
        <v>2276</v>
      </c>
      <c r="AA595" s="3"/>
      <c r="AB595" s="4"/>
    </row>
    <row r="596" spans="1:28" ht="75" customHeight="1">
      <c r="A596" s="6" t="str">
        <f>'Reported burning'!A596</f>
        <v>62c</v>
      </c>
      <c r="B596" s="6" t="str">
        <f>'Reported burning'!B596</f>
        <v>62c.1</v>
      </c>
      <c r="C596" s="6" t="str">
        <f>'Reported burning'!C596</f>
        <v>Human, deliberate</v>
      </c>
      <c r="D596" s="6" t="str">
        <f>'Reported burning'!D596</f>
        <v>Crop field preparation</v>
      </c>
      <c r="E596" s="6" t="str">
        <f>'Reported burning'!E596</f>
        <v>Cropping, Swidden</v>
      </c>
      <c r="F596" s="6" t="str">
        <f>'Reported burning'!F596</f>
        <v>Secondary Vegetation</v>
      </c>
      <c r="G596" s="6">
        <f>'Reported burning'!G596</f>
        <v>0</v>
      </c>
      <c r="H596" s="6" t="str">
        <f>'Reported burning'!H596</f>
        <v>Presence</v>
      </c>
      <c r="I596" s="3"/>
      <c r="J596" s="21" t="s">
        <v>2276</v>
      </c>
      <c r="K596" s="103" t="s">
        <v>2276</v>
      </c>
      <c r="L596" s="21" t="s">
        <v>2276</v>
      </c>
      <c r="M596" s="21" t="s">
        <v>2276</v>
      </c>
      <c r="N596" s="21" t="s">
        <v>2276</v>
      </c>
      <c r="O596" s="21" t="s">
        <v>2276</v>
      </c>
      <c r="P596" s="21" t="s">
        <v>2276</v>
      </c>
      <c r="Q596" s="102" t="s">
        <v>2276</v>
      </c>
      <c r="R596" s="102" t="s">
        <v>2276</v>
      </c>
      <c r="S596" s="21" t="s">
        <v>2276</v>
      </c>
      <c r="T596" s="21" t="s">
        <v>2276</v>
      </c>
      <c r="U596" s="21" t="s">
        <v>2276</v>
      </c>
      <c r="V596" s="21" t="s">
        <v>2276</v>
      </c>
      <c r="W596" s="21" t="s">
        <v>2276</v>
      </c>
      <c r="X596" s="3" t="s">
        <v>2276</v>
      </c>
      <c r="Y596" s="3" t="s">
        <v>2276</v>
      </c>
      <c r="Z596" s="3" t="s">
        <v>2276</v>
      </c>
      <c r="AA596" s="3"/>
      <c r="AB596" s="4"/>
    </row>
    <row r="597" spans="1:28" ht="75" customHeight="1">
      <c r="A597" s="6" t="str">
        <f>'Reported burning'!A597</f>
        <v>62d</v>
      </c>
      <c r="B597" s="6" t="str">
        <f>'Reported burning'!B597</f>
        <v>62d.1</v>
      </c>
      <c r="C597" s="6" t="str">
        <f>'Reported burning'!C597</f>
        <v>Human, deliberate</v>
      </c>
      <c r="D597" s="6" t="str">
        <f>'Reported burning'!D597</f>
        <v>Crop field preparation</v>
      </c>
      <c r="E597" s="6" t="str">
        <f>'Reported burning'!E597</f>
        <v>Cropping, Swidden</v>
      </c>
      <c r="F597" s="6" t="str">
        <f>'Reported burning'!F597</f>
        <v>Secondary Vegetation</v>
      </c>
      <c r="G597" s="6">
        <f>'Reported burning'!G597</f>
        <v>0</v>
      </c>
      <c r="H597" s="6" t="str">
        <f>'Reported burning'!H597</f>
        <v>Presence</v>
      </c>
      <c r="I597" s="3"/>
      <c r="J597" s="21" t="s">
        <v>2276</v>
      </c>
      <c r="K597" s="103" t="s">
        <v>2276</v>
      </c>
      <c r="L597" s="21" t="s">
        <v>2276</v>
      </c>
      <c r="M597" s="21" t="s">
        <v>2276</v>
      </c>
      <c r="N597" s="21" t="s">
        <v>2276</v>
      </c>
      <c r="O597" s="21" t="s">
        <v>2276</v>
      </c>
      <c r="P597" s="21" t="s">
        <v>2276</v>
      </c>
      <c r="Q597" s="102" t="s">
        <v>2276</v>
      </c>
      <c r="R597" s="102" t="s">
        <v>2276</v>
      </c>
      <c r="S597" s="21" t="s">
        <v>2276</v>
      </c>
      <c r="T597" s="21" t="s">
        <v>2276</v>
      </c>
      <c r="U597" s="21" t="s">
        <v>2276</v>
      </c>
      <c r="V597" s="21" t="s">
        <v>2276</v>
      </c>
      <c r="W597" s="21" t="s">
        <v>2276</v>
      </c>
      <c r="X597" s="3" t="s">
        <v>2276</v>
      </c>
      <c r="Y597" s="3" t="s">
        <v>2276</v>
      </c>
      <c r="Z597" s="3" t="s">
        <v>2276</v>
      </c>
      <c r="AA597" s="3"/>
      <c r="AB597" s="4"/>
    </row>
    <row r="598" spans="1:28" ht="75" customHeight="1">
      <c r="A598" s="6" t="str">
        <f>'Reported burning'!A598</f>
        <v>62e</v>
      </c>
      <c r="B598" s="6" t="str">
        <f>'Reported burning'!B598</f>
        <v>62e.1</v>
      </c>
      <c r="C598" s="6" t="str">
        <f>'Reported burning'!C598</f>
        <v>Human, deliberate</v>
      </c>
      <c r="D598" s="6" t="str">
        <f>'Reported burning'!D598</f>
        <v>Crop field preparation</v>
      </c>
      <c r="E598" s="6" t="str">
        <f>'Reported burning'!E598</f>
        <v>Cropping, Swidden</v>
      </c>
      <c r="F598" s="6" t="str">
        <f>'Reported burning'!F598</f>
        <v>Secondary Vegetation</v>
      </c>
      <c r="G598" s="6">
        <f>'Reported burning'!G598</f>
        <v>0</v>
      </c>
      <c r="H598" s="6" t="str">
        <f>'Reported burning'!H598</f>
        <v>Presence</v>
      </c>
      <c r="I598" s="3"/>
      <c r="J598" s="21" t="s">
        <v>2276</v>
      </c>
      <c r="K598" s="103" t="s">
        <v>2276</v>
      </c>
      <c r="L598" s="21" t="s">
        <v>2276</v>
      </c>
      <c r="M598" s="21" t="s">
        <v>2276</v>
      </c>
      <c r="N598" s="21" t="s">
        <v>2276</v>
      </c>
      <c r="O598" s="21" t="s">
        <v>2276</v>
      </c>
      <c r="P598" s="21" t="s">
        <v>2276</v>
      </c>
      <c r="Q598" s="102" t="s">
        <v>2276</v>
      </c>
      <c r="R598" s="102" t="s">
        <v>2276</v>
      </c>
      <c r="S598" s="21" t="s">
        <v>2276</v>
      </c>
      <c r="T598" s="21" t="s">
        <v>2276</v>
      </c>
      <c r="U598" s="21" t="s">
        <v>2276</v>
      </c>
      <c r="V598" s="21" t="s">
        <v>2276</v>
      </c>
      <c r="W598" s="21" t="s">
        <v>2276</v>
      </c>
      <c r="X598" s="3" t="s">
        <v>2276</v>
      </c>
      <c r="Y598" s="3" t="s">
        <v>2276</v>
      </c>
      <c r="Z598" s="3" t="s">
        <v>2276</v>
      </c>
      <c r="AA598" s="3"/>
      <c r="AB598" s="4"/>
    </row>
    <row r="599" spans="1:28" ht="151" customHeight="1">
      <c r="A599" s="6" t="str">
        <f>'Reported burning'!A599</f>
        <v>63a</v>
      </c>
      <c r="B599" s="6" t="str">
        <f>'Reported burning'!B599</f>
        <v>63a.1</v>
      </c>
      <c r="C599" s="6" t="str">
        <f>'Reported burning'!C599</f>
        <v>Human, deliberate</v>
      </c>
      <c r="D599" s="6" t="str">
        <f>'Reported burning'!D599</f>
        <v>Pasture renewal</v>
      </c>
      <c r="E599" s="6" t="str">
        <f>'Reported burning'!E599</f>
        <v>Cattle, Extensive</v>
      </c>
      <c r="F599" s="6" t="str">
        <f>'Reported burning'!F599</f>
        <v>Pasture</v>
      </c>
      <c r="G599" s="6">
        <f>'Reported burning'!G599</f>
        <v>0</v>
      </c>
      <c r="H599" s="6" t="str">
        <f>'Reported burning'!H599</f>
        <v>Presence</v>
      </c>
      <c r="I599" s="3"/>
      <c r="J599" s="21" t="s">
        <v>2276</v>
      </c>
      <c r="K599" s="103" t="s">
        <v>2276</v>
      </c>
      <c r="L599" s="21" t="s">
        <v>2276</v>
      </c>
      <c r="M599" s="21" t="s">
        <v>2276</v>
      </c>
      <c r="N599" s="21" t="s">
        <v>2276</v>
      </c>
      <c r="O599" s="21" t="s">
        <v>2276</v>
      </c>
      <c r="P599" s="21" t="s">
        <v>2276</v>
      </c>
      <c r="Q599" s="102" t="s">
        <v>2276</v>
      </c>
      <c r="R599" s="102" t="s">
        <v>2276</v>
      </c>
      <c r="S599" s="21" t="s">
        <v>2276</v>
      </c>
      <c r="T599" s="21" t="s">
        <v>2276</v>
      </c>
      <c r="U599" s="21" t="s">
        <v>2276</v>
      </c>
      <c r="V599" s="21" t="s">
        <v>2276</v>
      </c>
      <c r="W599" s="21" t="s">
        <v>2276</v>
      </c>
      <c r="X599" s="3" t="s">
        <v>425</v>
      </c>
      <c r="Y599" s="3" t="s">
        <v>68</v>
      </c>
      <c r="Z599" s="3" t="s">
        <v>64</v>
      </c>
      <c r="AA599" s="4" t="s">
        <v>913</v>
      </c>
      <c r="AB599" s="3"/>
    </row>
    <row r="600" spans="1:28" ht="89.5" customHeight="1">
      <c r="A600" s="6" t="str">
        <f>'Reported burning'!A600</f>
        <v>63a</v>
      </c>
      <c r="B600" s="6" t="str">
        <f>'Reported burning'!B600</f>
        <v>63a.2</v>
      </c>
      <c r="C600" s="6" t="str">
        <f>'Reported burning'!C600</f>
        <v>Human, deliberate</v>
      </c>
      <c r="D600" s="6" t="str">
        <f>'Reported burning'!D600</f>
        <v>Crop field preparation</v>
      </c>
      <c r="E600" s="6" t="str">
        <f>'Reported burning'!E600</f>
        <v>Cropping, Swidden</v>
      </c>
      <c r="F600" s="6" t="str">
        <f>'Reported burning'!F600</f>
        <v>Secondary Vegetation</v>
      </c>
      <c r="G600" s="6">
        <f>'Reported burning'!G600</f>
        <v>0</v>
      </c>
      <c r="H600" s="6" t="str">
        <f>'Reported burning'!H600</f>
        <v>Presence</v>
      </c>
      <c r="I600" s="3"/>
      <c r="J600" s="21" t="s">
        <v>2276</v>
      </c>
      <c r="K600" s="103" t="s">
        <v>2276</v>
      </c>
      <c r="L600" s="21" t="s">
        <v>2276</v>
      </c>
      <c r="M600" s="21" t="s">
        <v>2276</v>
      </c>
      <c r="N600" s="21" t="s">
        <v>2276</v>
      </c>
      <c r="O600" s="21" t="s">
        <v>2276</v>
      </c>
      <c r="P600" s="21" t="s">
        <v>2276</v>
      </c>
      <c r="Q600" s="102" t="s">
        <v>2276</v>
      </c>
      <c r="R600" s="102" t="s">
        <v>2276</v>
      </c>
      <c r="S600" s="21" t="s">
        <v>2276</v>
      </c>
      <c r="T600" s="21" t="s">
        <v>2276</v>
      </c>
      <c r="U600" s="21" t="s">
        <v>2276</v>
      </c>
      <c r="V600" s="21" t="s">
        <v>2276</v>
      </c>
      <c r="W600" s="21" t="s">
        <v>2404</v>
      </c>
      <c r="X600" s="3" t="s">
        <v>425</v>
      </c>
      <c r="Y600" s="3" t="s">
        <v>68</v>
      </c>
      <c r="Z600" s="3" t="s">
        <v>64</v>
      </c>
      <c r="AA600" s="4" t="s">
        <v>916</v>
      </c>
      <c r="AB600" s="3" t="s">
        <v>718</v>
      </c>
    </row>
    <row r="601" spans="1:28" ht="45.5" customHeight="1">
      <c r="A601" s="6" t="str">
        <f>'Reported burning'!A601</f>
        <v>63a</v>
      </c>
      <c r="B601" s="6" t="str">
        <f>'Reported burning'!B601</f>
        <v>63a.3</v>
      </c>
      <c r="C601" s="6" t="str">
        <f>'Reported burning'!C601</f>
        <v>Human, deliberate</v>
      </c>
      <c r="D601" s="6" t="str">
        <f>'Reported burning'!D601</f>
        <v>Crop field preparation</v>
      </c>
      <c r="E601" s="6" t="str">
        <f>'Reported burning'!E601</f>
        <v>Cropping, Swidden</v>
      </c>
      <c r="F601" s="6" t="str">
        <f>'Reported burning'!F601</f>
        <v>Cropland</v>
      </c>
      <c r="G601" s="6">
        <f>'Reported burning'!G601</f>
        <v>0</v>
      </c>
      <c r="H601" s="6" t="str">
        <f>'Reported burning'!H601</f>
        <v>Absence</v>
      </c>
      <c r="I601" s="3"/>
      <c r="J601" s="21" t="s">
        <v>2364</v>
      </c>
      <c r="K601" s="103" t="s">
        <v>2364</v>
      </c>
      <c r="L601" s="21" t="s">
        <v>2364</v>
      </c>
      <c r="M601" s="21" t="s">
        <v>2364</v>
      </c>
      <c r="N601" s="21" t="s">
        <v>2364</v>
      </c>
      <c r="O601" s="21" t="s">
        <v>2364</v>
      </c>
      <c r="P601" s="21" t="s">
        <v>2364</v>
      </c>
      <c r="Q601" s="102" t="s">
        <v>2276</v>
      </c>
      <c r="R601" s="102" t="s">
        <v>2276</v>
      </c>
      <c r="S601" s="21" t="s">
        <v>2364</v>
      </c>
      <c r="T601" s="21" t="s">
        <v>2364</v>
      </c>
      <c r="U601" s="21" t="s">
        <v>2364</v>
      </c>
      <c r="V601" s="21" t="s">
        <v>2364</v>
      </c>
      <c r="W601" s="21" t="s">
        <v>2276</v>
      </c>
      <c r="X601" s="3" t="s">
        <v>2276</v>
      </c>
      <c r="Y601" s="3" t="s">
        <v>2276</v>
      </c>
      <c r="Z601" s="3" t="s">
        <v>2276</v>
      </c>
      <c r="AA601" s="3"/>
      <c r="AB601" s="3"/>
    </row>
    <row r="602" spans="1:28" ht="41.5" customHeight="1">
      <c r="A602" s="6" t="str">
        <f>'Reported burning'!A602</f>
        <v>63a</v>
      </c>
      <c r="B602" s="6" t="str">
        <f>'Reported burning'!B602</f>
        <v>63a.4</v>
      </c>
      <c r="C602" s="6" t="str">
        <f>'Reported burning'!C602</f>
        <v>Human, deliberate</v>
      </c>
      <c r="D602" s="6" t="str">
        <f>'Reported burning'!D602</f>
        <v>Forest management</v>
      </c>
      <c r="E602" s="6" t="str">
        <f>'Reported burning'!E602</f>
        <v>Agroforestry, Market-oriented</v>
      </c>
      <c r="F602" s="6" t="str">
        <f>'Reported burning'!F602</f>
        <v>Secondary Vegetation</v>
      </c>
      <c r="G602" s="6">
        <f>'Reported burning'!G602</f>
        <v>0</v>
      </c>
      <c r="H602" s="6" t="str">
        <f>'Reported burning'!H602</f>
        <v>Absence</v>
      </c>
      <c r="I602" s="3"/>
      <c r="J602" s="21" t="s">
        <v>2364</v>
      </c>
      <c r="K602" s="103" t="s">
        <v>2364</v>
      </c>
      <c r="L602" s="21" t="s">
        <v>2364</v>
      </c>
      <c r="M602" s="21" t="s">
        <v>2364</v>
      </c>
      <c r="N602" s="21" t="s">
        <v>2364</v>
      </c>
      <c r="O602" s="21" t="s">
        <v>2364</v>
      </c>
      <c r="P602" s="21" t="s">
        <v>2364</v>
      </c>
      <c r="Q602" s="102" t="s">
        <v>2276</v>
      </c>
      <c r="R602" s="102" t="s">
        <v>2276</v>
      </c>
      <c r="S602" s="21" t="s">
        <v>2364</v>
      </c>
      <c r="T602" s="21" t="s">
        <v>2364</v>
      </c>
      <c r="U602" s="21" t="s">
        <v>2364</v>
      </c>
      <c r="V602" s="21" t="s">
        <v>2364</v>
      </c>
      <c r="W602" s="21" t="s">
        <v>2276</v>
      </c>
      <c r="X602" s="3" t="s">
        <v>2276</v>
      </c>
      <c r="Y602" s="3" t="s">
        <v>2276</v>
      </c>
      <c r="Z602" s="3" t="s">
        <v>2276</v>
      </c>
      <c r="AA602" s="3"/>
      <c r="AB602" s="3"/>
    </row>
    <row r="603" spans="1:28" ht="41.5" customHeight="1">
      <c r="A603" s="6" t="str">
        <f>'Reported burning'!A603</f>
        <v>64a</v>
      </c>
      <c r="B603" s="6" t="str">
        <f>'Reported burning'!B603</f>
        <v>64a.1</v>
      </c>
      <c r="C603" s="6" t="str">
        <f>'Reported burning'!C603</f>
        <v>Human, deliberate</v>
      </c>
      <c r="D603" s="6" t="str">
        <f>'Reported burning'!D603</f>
        <v>Rangeland management</v>
      </c>
      <c r="E603" s="6" t="str">
        <f>'Reported burning'!E603</f>
        <v>Pastoralism, Migratory</v>
      </c>
      <c r="F603" s="6" t="str">
        <f>'Reported burning'!F603</f>
        <v>Shrubland (Mixed forest &amp; grassland)</v>
      </c>
      <c r="G603" s="6" t="str">
        <f>'Reported burning'!G603</f>
        <v>Shrubland (Mixed forest &amp; grassland)</v>
      </c>
      <c r="H603" s="6" t="str">
        <f>'Reported burning'!H603</f>
        <v>Presence</v>
      </c>
      <c r="I603" s="3">
        <v>1973</v>
      </c>
      <c r="J603" s="103" t="s">
        <v>2276</v>
      </c>
      <c r="K603" s="103" t="s">
        <v>2276</v>
      </c>
      <c r="L603" s="21" t="s">
        <v>2374</v>
      </c>
      <c r="M603" s="21" t="s">
        <v>2276</v>
      </c>
      <c r="N603" s="21" t="s">
        <v>2380</v>
      </c>
      <c r="O603" s="21" t="s">
        <v>2276</v>
      </c>
      <c r="P603" s="21" t="s">
        <v>2378</v>
      </c>
      <c r="Q603" s="102" t="s">
        <v>2276</v>
      </c>
      <c r="R603" s="102" t="s">
        <v>2276</v>
      </c>
      <c r="S603" s="102" t="s">
        <v>2276</v>
      </c>
      <c r="T603" s="102" t="s">
        <v>2276</v>
      </c>
      <c r="U603" s="102" t="s">
        <v>2276</v>
      </c>
      <c r="V603" s="21" t="s">
        <v>2376</v>
      </c>
      <c r="W603" s="21" t="s">
        <v>2401</v>
      </c>
      <c r="X603" s="3" t="s">
        <v>127</v>
      </c>
      <c r="Y603" s="3" t="s">
        <v>38</v>
      </c>
      <c r="Z603" s="3" t="s">
        <v>2655</v>
      </c>
      <c r="AA603" s="4" t="s">
        <v>5069</v>
      </c>
      <c r="AB603" s="4" t="s">
        <v>5077</v>
      </c>
    </row>
    <row r="604" spans="1:28" ht="41.5" customHeight="1">
      <c r="A604" s="6" t="str">
        <f>'Reported burning'!A604</f>
        <v>64a</v>
      </c>
      <c r="B604" s="6" t="str">
        <f>'Reported burning'!B604</f>
        <v>64a.2</v>
      </c>
      <c r="C604" s="6" t="str">
        <f>'Reported burning'!C604</f>
        <v>Human, deliberate</v>
      </c>
      <c r="D604" s="6" t="str">
        <f>'Reported burning'!D604</f>
        <v>Rangeland management</v>
      </c>
      <c r="E604" s="6" t="str">
        <f>'Reported burning'!E604</f>
        <v>Pastoralism, Migratory</v>
      </c>
      <c r="F604" s="6" t="str">
        <f>'Reported burning'!F604</f>
        <v>Shrubland (Mixed forest &amp; grassland)</v>
      </c>
      <c r="G604" s="6" t="str">
        <f>'Reported burning'!G604</f>
        <v>Shrubland (Mixed forest &amp; grassland)</v>
      </c>
      <c r="H604" s="6" t="str">
        <f>'Reported burning'!H604</f>
        <v>Presence</v>
      </c>
      <c r="I604" s="3">
        <v>1984</v>
      </c>
      <c r="J604" s="103" t="s">
        <v>2276</v>
      </c>
      <c r="K604" s="103" t="s">
        <v>2276</v>
      </c>
      <c r="L604" s="21" t="s">
        <v>2362</v>
      </c>
      <c r="M604" s="21" t="s">
        <v>2276</v>
      </c>
      <c r="N604" s="21" t="s">
        <v>2378</v>
      </c>
      <c r="O604" s="21" t="s">
        <v>2276</v>
      </c>
      <c r="P604" s="21" t="s">
        <v>2378</v>
      </c>
      <c r="Q604" s="102" t="s">
        <v>2276</v>
      </c>
      <c r="R604" s="102" t="s">
        <v>2276</v>
      </c>
      <c r="S604" s="102" t="s">
        <v>2276</v>
      </c>
      <c r="T604" s="102" t="s">
        <v>2276</v>
      </c>
      <c r="U604" s="102" t="s">
        <v>2276</v>
      </c>
      <c r="V604" s="21" t="s">
        <v>2376</v>
      </c>
      <c r="W604" s="21" t="s">
        <v>2401</v>
      </c>
      <c r="X604" s="3" t="s">
        <v>127</v>
      </c>
      <c r="Y604" s="3" t="s">
        <v>38</v>
      </c>
      <c r="Z604" s="3" t="s">
        <v>2655</v>
      </c>
      <c r="AA604" s="4" t="s">
        <v>5069</v>
      </c>
      <c r="AB604" s="4" t="s">
        <v>5077</v>
      </c>
    </row>
    <row r="605" spans="1:28" ht="41.5" customHeight="1">
      <c r="A605" s="6" t="str">
        <f>'Reported burning'!A605</f>
        <v>64a</v>
      </c>
      <c r="B605" s="6" t="str">
        <f>'Reported burning'!B605</f>
        <v>64a.3</v>
      </c>
      <c r="C605" s="6" t="str">
        <f>'Reported burning'!C605</f>
        <v>Human, deliberate</v>
      </c>
      <c r="D605" s="6" t="str">
        <f>'Reported burning'!D605</f>
        <v>Rangeland management</v>
      </c>
      <c r="E605" s="6" t="str">
        <f>'Reported burning'!E605</f>
        <v>Pastoralism, Migratory</v>
      </c>
      <c r="F605" s="6" t="str">
        <f>'Reported burning'!F605</f>
        <v>Shrubland (Mixed forest &amp; grassland)</v>
      </c>
      <c r="G605" s="6" t="str">
        <f>'Reported burning'!G605</f>
        <v>Shrubland (Mixed forest &amp; grassland)</v>
      </c>
      <c r="H605" s="6" t="str">
        <f>'Reported burning'!H605</f>
        <v>Presence</v>
      </c>
      <c r="I605" s="3">
        <v>1987</v>
      </c>
      <c r="J605" s="103" t="s">
        <v>2276</v>
      </c>
      <c r="K605" s="103" t="s">
        <v>2276</v>
      </c>
      <c r="L605" s="21" t="s">
        <v>2373</v>
      </c>
      <c r="M605" s="21" t="s">
        <v>2276</v>
      </c>
      <c r="N605" s="21" t="s">
        <v>2380</v>
      </c>
      <c r="O605" s="21" t="s">
        <v>2276</v>
      </c>
      <c r="P605" s="21" t="s">
        <v>2378</v>
      </c>
      <c r="Q605" s="102" t="s">
        <v>2276</v>
      </c>
      <c r="R605" s="102" t="s">
        <v>2276</v>
      </c>
      <c r="S605" s="102" t="s">
        <v>2276</v>
      </c>
      <c r="T605" s="102" t="s">
        <v>2276</v>
      </c>
      <c r="U605" s="102" t="s">
        <v>2276</v>
      </c>
      <c r="V605" s="21" t="s">
        <v>2376</v>
      </c>
      <c r="W605" s="21" t="s">
        <v>2401</v>
      </c>
      <c r="X605" s="3" t="s">
        <v>127</v>
      </c>
      <c r="Y605" s="3" t="s">
        <v>38</v>
      </c>
      <c r="Z605" s="3" t="s">
        <v>2655</v>
      </c>
      <c r="AA605" s="4" t="s">
        <v>5069</v>
      </c>
      <c r="AB605" s="4" t="s">
        <v>5077</v>
      </c>
    </row>
    <row r="606" spans="1:28" ht="41.5" customHeight="1">
      <c r="A606" s="6" t="str">
        <f>'Reported burning'!A606</f>
        <v>64a</v>
      </c>
      <c r="B606" s="6" t="str">
        <f>'Reported burning'!B606</f>
        <v>64a.4</v>
      </c>
      <c r="C606" s="6" t="str">
        <f>'Reported burning'!C606</f>
        <v>Human, deliberate</v>
      </c>
      <c r="D606" s="6" t="str">
        <f>'Reported burning'!D606</f>
        <v>Rangeland management</v>
      </c>
      <c r="E606" s="6" t="str">
        <f>'Reported burning'!E606</f>
        <v>Pastoralism, Migratory</v>
      </c>
      <c r="F606" s="6" t="str">
        <f>'Reported burning'!F606</f>
        <v>Shrubland (Mixed forest &amp; grassland)</v>
      </c>
      <c r="G606" s="6" t="str">
        <f>'Reported burning'!G606</f>
        <v>Shrubland (Mixed forest &amp; grassland)</v>
      </c>
      <c r="H606" s="6" t="str">
        <f>'Reported burning'!H606</f>
        <v>Presence</v>
      </c>
      <c r="I606" s="3">
        <v>2000</v>
      </c>
      <c r="J606" s="103" t="s">
        <v>2276</v>
      </c>
      <c r="K606" s="103" t="s">
        <v>2276</v>
      </c>
      <c r="L606" s="21" t="s">
        <v>2373</v>
      </c>
      <c r="M606" s="21" t="s">
        <v>2276</v>
      </c>
      <c r="N606" s="21" t="s">
        <v>2381</v>
      </c>
      <c r="O606" s="21" t="s">
        <v>2276</v>
      </c>
      <c r="P606" s="21" t="s">
        <v>2378</v>
      </c>
      <c r="Q606" s="102" t="s">
        <v>2276</v>
      </c>
      <c r="R606" s="102" t="s">
        <v>2276</v>
      </c>
      <c r="S606" s="102" t="s">
        <v>2276</v>
      </c>
      <c r="T606" s="102" t="s">
        <v>2276</v>
      </c>
      <c r="U606" s="102" t="s">
        <v>2276</v>
      </c>
      <c r="V606" s="21" t="s">
        <v>2376</v>
      </c>
      <c r="W606" s="21" t="s">
        <v>2401</v>
      </c>
      <c r="X606" s="3" t="s">
        <v>127</v>
      </c>
      <c r="Y606" s="3" t="s">
        <v>38</v>
      </c>
      <c r="Z606" s="3" t="s">
        <v>2655</v>
      </c>
      <c r="AA606" s="4" t="s">
        <v>5069</v>
      </c>
      <c r="AB606" s="4" t="s">
        <v>5077</v>
      </c>
    </row>
    <row r="607" spans="1:28" ht="41.5" customHeight="1">
      <c r="A607" s="6" t="str">
        <f>'Reported burning'!A607</f>
        <v>64a</v>
      </c>
      <c r="B607" s="6" t="str">
        <f>'Reported burning'!B607</f>
        <v>64a.5</v>
      </c>
      <c r="C607" s="6" t="str">
        <f>'Reported burning'!C607</f>
        <v>Human, deliberate</v>
      </c>
      <c r="D607" s="6" t="str">
        <f>'Reported burning'!D607</f>
        <v>Rangeland management</v>
      </c>
      <c r="E607" s="6" t="str">
        <f>'Reported burning'!E607</f>
        <v>Pastoralism, Migratory</v>
      </c>
      <c r="F607" s="6" t="str">
        <f>'Reported burning'!F607</f>
        <v>Shrubland (Mixed forest &amp; grassland)</v>
      </c>
      <c r="G607" s="6" t="str">
        <f>'Reported burning'!G607</f>
        <v>Shrubland (Mixed forest &amp; grassland)</v>
      </c>
      <c r="H607" s="6" t="str">
        <f>'Reported burning'!H607</f>
        <v>Presence</v>
      </c>
      <c r="I607" s="3">
        <v>2008</v>
      </c>
      <c r="J607" s="103" t="s">
        <v>2276</v>
      </c>
      <c r="K607" s="103" t="s">
        <v>2276</v>
      </c>
      <c r="L607" s="21" t="s">
        <v>2362</v>
      </c>
      <c r="M607" s="21" t="s">
        <v>2276</v>
      </c>
      <c r="N607" s="21" t="s">
        <v>2381</v>
      </c>
      <c r="O607" s="21" t="s">
        <v>2276</v>
      </c>
      <c r="P607" s="21" t="s">
        <v>2377</v>
      </c>
      <c r="Q607" s="102" t="s">
        <v>2276</v>
      </c>
      <c r="R607" s="102" t="s">
        <v>2276</v>
      </c>
      <c r="S607" s="102" t="s">
        <v>2276</v>
      </c>
      <c r="T607" s="102" t="s">
        <v>2276</v>
      </c>
      <c r="U607" s="102" t="s">
        <v>2276</v>
      </c>
      <c r="V607" s="21" t="s">
        <v>2376</v>
      </c>
      <c r="W607" s="21" t="s">
        <v>2401</v>
      </c>
      <c r="X607" s="3" t="s">
        <v>127</v>
      </c>
      <c r="Y607" s="3" t="s">
        <v>38</v>
      </c>
      <c r="Z607" s="3" t="s">
        <v>2655</v>
      </c>
      <c r="AA607" s="4" t="s">
        <v>5069</v>
      </c>
      <c r="AB607" s="4" t="s">
        <v>5077</v>
      </c>
    </row>
    <row r="608" spans="1:28" ht="41.5" customHeight="1">
      <c r="A608" s="6" t="str">
        <f>'Reported burning'!A608</f>
        <v>64a</v>
      </c>
      <c r="B608" s="6" t="str">
        <f>'Reported burning'!B608</f>
        <v>64a.6</v>
      </c>
      <c r="C608" s="6" t="str">
        <f>'Reported burning'!C608</f>
        <v>Human, deliberate</v>
      </c>
      <c r="D608" s="6" t="str">
        <f>'Reported burning'!D608</f>
        <v>Rangeland management</v>
      </c>
      <c r="E608" s="6" t="str">
        <f>'Reported burning'!E608</f>
        <v>Pastoralism, Migratory</v>
      </c>
      <c r="F608" s="6" t="str">
        <f>'Reported burning'!F608</f>
        <v>Shrubland (Mixed forest &amp; grassland)</v>
      </c>
      <c r="G608" s="6" t="str">
        <f>'Reported burning'!G608</f>
        <v>Shrubland (Mixed forest &amp; grassland)</v>
      </c>
      <c r="H608" s="6" t="str">
        <f>'Reported burning'!H608</f>
        <v>Presence</v>
      </c>
      <c r="I608" s="3">
        <v>2011</v>
      </c>
      <c r="J608" s="103" t="s">
        <v>2276</v>
      </c>
      <c r="K608" s="103" t="s">
        <v>2276</v>
      </c>
      <c r="L608" s="21" t="s">
        <v>2375</v>
      </c>
      <c r="M608" s="21" t="s">
        <v>2276</v>
      </c>
      <c r="N608" s="21" t="s">
        <v>2382</v>
      </c>
      <c r="O608" s="21" t="s">
        <v>2276</v>
      </c>
      <c r="P608" s="21" t="s">
        <v>2378</v>
      </c>
      <c r="Q608" s="102" t="s">
        <v>2276</v>
      </c>
      <c r="R608" s="102" t="s">
        <v>2276</v>
      </c>
      <c r="S608" s="102" t="s">
        <v>2276</v>
      </c>
      <c r="T608" s="102" t="s">
        <v>2276</v>
      </c>
      <c r="U608" s="102" t="s">
        <v>2276</v>
      </c>
      <c r="V608" s="21" t="s">
        <v>2389</v>
      </c>
      <c r="W608" s="21" t="s">
        <v>2401</v>
      </c>
      <c r="X608" s="3" t="s">
        <v>127</v>
      </c>
      <c r="Y608" s="3" t="s">
        <v>38</v>
      </c>
      <c r="Z608" s="3" t="s">
        <v>2655</v>
      </c>
      <c r="AA608" s="4" t="s">
        <v>5069</v>
      </c>
      <c r="AB608" s="4" t="s">
        <v>5077</v>
      </c>
    </row>
    <row r="609" spans="1:28" ht="41.5" customHeight="1">
      <c r="A609" s="6" t="str">
        <f>'Reported burning'!A609</f>
        <v>64a</v>
      </c>
      <c r="B609" s="6" t="str">
        <f>'Reported burning'!B609</f>
        <v>64a.7</v>
      </c>
      <c r="C609" s="6" t="str">
        <f>'Reported burning'!C609</f>
        <v>Human, deliberate</v>
      </c>
      <c r="D609" s="6" t="str">
        <f>'Reported burning'!D609</f>
        <v>Rangeland management</v>
      </c>
      <c r="E609" s="6" t="str">
        <f>'Reported burning'!E609</f>
        <v>Pastoralism, Migratory</v>
      </c>
      <c r="F609" s="6" t="str">
        <f>'Reported burning'!F609</f>
        <v>Shrubland (Mixed forest &amp; grassland)</v>
      </c>
      <c r="G609" s="6" t="str">
        <f>'Reported burning'!G609</f>
        <v>Shrubland (Mixed forest &amp; grassland)</v>
      </c>
      <c r="H609" s="6" t="str">
        <f>'Reported burning'!H609</f>
        <v>Presence</v>
      </c>
      <c r="I609" s="3">
        <v>2017</v>
      </c>
      <c r="J609" s="103" t="s">
        <v>2276</v>
      </c>
      <c r="K609" s="103" t="s">
        <v>2276</v>
      </c>
      <c r="L609" s="21" t="s">
        <v>2375</v>
      </c>
      <c r="M609" s="21" t="s">
        <v>2276</v>
      </c>
      <c r="N609" s="21" t="s">
        <v>2380</v>
      </c>
      <c r="O609" s="21" t="s">
        <v>2276</v>
      </c>
      <c r="P609" s="21" t="s">
        <v>2378</v>
      </c>
      <c r="Q609" s="102" t="s">
        <v>2276</v>
      </c>
      <c r="R609" s="102" t="s">
        <v>2276</v>
      </c>
      <c r="S609" s="102" t="s">
        <v>2276</v>
      </c>
      <c r="T609" s="102" t="s">
        <v>2276</v>
      </c>
      <c r="U609" s="102" t="s">
        <v>2276</v>
      </c>
      <c r="V609" s="21" t="s">
        <v>2376</v>
      </c>
      <c r="W609" s="21" t="s">
        <v>2401</v>
      </c>
      <c r="X609" s="3" t="s">
        <v>127</v>
      </c>
      <c r="Y609" s="3" t="s">
        <v>38</v>
      </c>
      <c r="Z609" s="3" t="s">
        <v>2655</v>
      </c>
      <c r="AA609" s="4" t="s">
        <v>5069</v>
      </c>
      <c r="AB609" s="4" t="s">
        <v>5077</v>
      </c>
    </row>
    <row r="610" spans="1:28" ht="41.5" customHeight="1">
      <c r="A610" s="6" t="str">
        <f>'Reported burning'!A610</f>
        <v>64a</v>
      </c>
      <c r="B610" s="6" t="str">
        <f>'Reported burning'!B610</f>
        <v>64a.8</v>
      </c>
      <c r="C610" s="6" t="str">
        <f>'Reported burning'!C610</f>
        <v>Human, deliberate</v>
      </c>
      <c r="D610" s="6" t="str">
        <f>'Reported burning'!D610</f>
        <v>Arson</v>
      </c>
      <c r="E610" s="6" t="str">
        <f>'Reported burning'!E610</f>
        <v>Pastoralism, Migratory</v>
      </c>
      <c r="F610" s="6" t="str">
        <f>'Reported burning'!F610</f>
        <v>Shrubland (Mixed forest &amp; grassland)</v>
      </c>
      <c r="G610" s="6" t="str">
        <f>'Reported burning'!G610</f>
        <v>Shrubland (Mixed forest &amp; grassland)</v>
      </c>
      <c r="H610" s="6" t="str">
        <f>'Reported burning'!H610</f>
        <v>Presence</v>
      </c>
      <c r="I610" s="3">
        <v>2017</v>
      </c>
      <c r="J610" s="103" t="s">
        <v>2276</v>
      </c>
      <c r="K610" s="103" t="s">
        <v>2276</v>
      </c>
      <c r="L610" s="103" t="s">
        <v>2276</v>
      </c>
      <c r="M610" s="103" t="s">
        <v>2276</v>
      </c>
      <c r="N610" s="103" t="s">
        <v>2276</v>
      </c>
      <c r="O610" s="103" t="s">
        <v>2276</v>
      </c>
      <c r="P610" s="103" t="s">
        <v>2276</v>
      </c>
      <c r="Q610" s="103" t="s">
        <v>2276</v>
      </c>
      <c r="R610" s="103" t="s">
        <v>2276</v>
      </c>
      <c r="S610" s="103" t="s">
        <v>2276</v>
      </c>
      <c r="T610" s="103" t="s">
        <v>2276</v>
      </c>
      <c r="U610" s="103" t="s">
        <v>2276</v>
      </c>
      <c r="V610" s="103" t="s">
        <v>2276</v>
      </c>
      <c r="W610" s="103" t="s">
        <v>2276</v>
      </c>
      <c r="X610" s="3" t="s">
        <v>189</v>
      </c>
      <c r="Y610" s="3" t="s">
        <v>38</v>
      </c>
      <c r="Z610" s="3" t="s">
        <v>64</v>
      </c>
      <c r="AA610" s="4" t="s">
        <v>5078</v>
      </c>
      <c r="AB610" s="103" t="s">
        <v>2276</v>
      </c>
    </row>
    <row r="611" spans="1:28" ht="41.5" customHeight="1">
      <c r="A611" s="6" t="str">
        <f>'Reported burning'!A611</f>
        <v>64b</v>
      </c>
      <c r="B611" s="6" t="str">
        <f>'Reported burning'!B611</f>
        <v>64b.1</v>
      </c>
      <c r="C611" s="6" t="str">
        <f>'Reported burning'!C611</f>
        <v>Human, deliberate</v>
      </c>
      <c r="D611" s="6" t="str">
        <f>'Reported burning'!D611</f>
        <v>Rangeland management</v>
      </c>
      <c r="E611" s="6" t="str">
        <f>'Reported burning'!E611</f>
        <v>Pastoralism, Migratory</v>
      </c>
      <c r="F611" s="6" t="str">
        <f>'Reported burning'!F611</f>
        <v>Shrubland (Mixed forest &amp; grassland)</v>
      </c>
      <c r="G611" s="6" t="str">
        <f>'Reported burning'!G611</f>
        <v>Shrubland (Mixed forest &amp; grassland)</v>
      </c>
      <c r="H611" s="6" t="str">
        <f>'Reported burning'!H611</f>
        <v>Presence</v>
      </c>
      <c r="I611" s="3">
        <v>1973</v>
      </c>
      <c r="J611" s="103" t="s">
        <v>2276</v>
      </c>
      <c r="K611" s="103" t="s">
        <v>2276</v>
      </c>
      <c r="L611" s="21" t="s">
        <v>2373</v>
      </c>
      <c r="M611" s="21" t="s">
        <v>2276</v>
      </c>
      <c r="N611" s="21" t="s">
        <v>2378</v>
      </c>
      <c r="O611" s="21" t="s">
        <v>2276</v>
      </c>
      <c r="P611" s="21" t="s">
        <v>2377</v>
      </c>
      <c r="Q611" s="102" t="s">
        <v>2276</v>
      </c>
      <c r="R611" s="102" t="s">
        <v>2276</v>
      </c>
      <c r="S611" s="102" t="s">
        <v>2276</v>
      </c>
      <c r="T611" s="102" t="s">
        <v>2276</v>
      </c>
      <c r="U611" s="102" t="s">
        <v>2276</v>
      </c>
      <c r="V611" s="21" t="s">
        <v>2389</v>
      </c>
      <c r="W611" s="21" t="s">
        <v>2401</v>
      </c>
      <c r="X611" s="3" t="s">
        <v>127</v>
      </c>
      <c r="Y611" s="3" t="s">
        <v>38</v>
      </c>
      <c r="Z611" s="3" t="s">
        <v>2655</v>
      </c>
      <c r="AA611" s="4" t="s">
        <v>5069</v>
      </c>
      <c r="AB611" s="4" t="s">
        <v>5077</v>
      </c>
    </row>
    <row r="612" spans="1:28" ht="41.5" customHeight="1">
      <c r="A612" s="6" t="str">
        <f>'Reported burning'!A612</f>
        <v>64b</v>
      </c>
      <c r="B612" s="6" t="str">
        <f>'Reported burning'!B612</f>
        <v>64b.2</v>
      </c>
      <c r="C612" s="6" t="str">
        <f>'Reported burning'!C612</f>
        <v>Human, deliberate</v>
      </c>
      <c r="D612" s="6" t="str">
        <f>'Reported burning'!D612</f>
        <v>Rangeland management</v>
      </c>
      <c r="E612" s="6" t="str">
        <f>'Reported burning'!E612</f>
        <v>Pastoralism, Migratory</v>
      </c>
      <c r="F612" s="6" t="str">
        <f>'Reported burning'!F612</f>
        <v>Shrubland (Mixed forest &amp; grassland)</v>
      </c>
      <c r="G612" s="6" t="str">
        <f>'Reported burning'!G612</f>
        <v>Shrubland (Mixed forest &amp; grassland)</v>
      </c>
      <c r="H612" s="6" t="str">
        <f>'Reported burning'!H612</f>
        <v>Presence</v>
      </c>
      <c r="I612" s="3">
        <v>1984</v>
      </c>
      <c r="J612" s="103" t="s">
        <v>2276</v>
      </c>
      <c r="K612" s="103" t="s">
        <v>2276</v>
      </c>
      <c r="L612" s="21" t="s">
        <v>2362</v>
      </c>
      <c r="M612" s="21" t="s">
        <v>2276</v>
      </c>
      <c r="N612" s="21" t="s">
        <v>2378</v>
      </c>
      <c r="O612" s="21" t="s">
        <v>2276</v>
      </c>
      <c r="P612" s="21" t="s">
        <v>2374</v>
      </c>
      <c r="Q612" s="102" t="s">
        <v>2276</v>
      </c>
      <c r="R612" s="102" t="s">
        <v>2276</v>
      </c>
      <c r="S612" s="102" t="s">
        <v>2276</v>
      </c>
      <c r="T612" s="102" t="s">
        <v>2276</v>
      </c>
      <c r="U612" s="102" t="s">
        <v>2276</v>
      </c>
      <c r="V612" s="21" t="s">
        <v>2376</v>
      </c>
      <c r="W612" s="21" t="s">
        <v>2401</v>
      </c>
      <c r="X612" s="3" t="s">
        <v>127</v>
      </c>
      <c r="Y612" s="3" t="s">
        <v>38</v>
      </c>
      <c r="Z612" s="3" t="s">
        <v>2655</v>
      </c>
      <c r="AA612" s="4" t="s">
        <v>5069</v>
      </c>
      <c r="AB612" s="4" t="s">
        <v>5077</v>
      </c>
    </row>
    <row r="613" spans="1:28" ht="41.5" customHeight="1">
      <c r="A613" s="6" t="str">
        <f>'Reported burning'!A613</f>
        <v>64b</v>
      </c>
      <c r="B613" s="6" t="str">
        <f>'Reported burning'!B613</f>
        <v>64b.3</v>
      </c>
      <c r="C613" s="6" t="str">
        <f>'Reported burning'!C613</f>
        <v>Human, deliberate</v>
      </c>
      <c r="D613" s="6" t="str">
        <f>'Reported burning'!D613</f>
        <v>Rangeland management</v>
      </c>
      <c r="E613" s="6" t="str">
        <f>'Reported burning'!E613</f>
        <v>Pastoralism, Migratory</v>
      </c>
      <c r="F613" s="6" t="str">
        <f>'Reported burning'!F613</f>
        <v>Shrubland (Mixed forest &amp; grassland)</v>
      </c>
      <c r="G613" s="6" t="str">
        <f>'Reported burning'!G613</f>
        <v>Shrubland (Mixed forest &amp; grassland)</v>
      </c>
      <c r="H613" s="6" t="str">
        <f>'Reported burning'!H613</f>
        <v>Presence</v>
      </c>
      <c r="I613" s="3">
        <v>1987</v>
      </c>
      <c r="J613" s="103" t="s">
        <v>2276</v>
      </c>
      <c r="K613" s="103" t="s">
        <v>2276</v>
      </c>
      <c r="L613" s="21" t="s">
        <v>2362</v>
      </c>
      <c r="M613" s="21" t="s">
        <v>2276</v>
      </c>
      <c r="N613" s="21" t="s">
        <v>2378</v>
      </c>
      <c r="O613" s="21" t="s">
        <v>2276</v>
      </c>
      <c r="P613" s="21" t="s">
        <v>2374</v>
      </c>
      <c r="Q613" s="102" t="s">
        <v>2276</v>
      </c>
      <c r="R613" s="102" t="s">
        <v>2276</v>
      </c>
      <c r="S613" s="102" t="s">
        <v>2276</v>
      </c>
      <c r="T613" s="102" t="s">
        <v>2276</v>
      </c>
      <c r="U613" s="102" t="s">
        <v>2276</v>
      </c>
      <c r="V613" s="21" t="s">
        <v>2376</v>
      </c>
      <c r="W613" s="21" t="s">
        <v>2402</v>
      </c>
      <c r="X613" s="3" t="s">
        <v>127</v>
      </c>
      <c r="Y613" s="3" t="s">
        <v>38</v>
      </c>
      <c r="Z613" s="3" t="s">
        <v>2655</v>
      </c>
      <c r="AA613" s="4" t="s">
        <v>5069</v>
      </c>
      <c r="AB613" s="4" t="s">
        <v>5077</v>
      </c>
    </row>
    <row r="614" spans="1:28" ht="41.5" customHeight="1">
      <c r="A614" s="6" t="str">
        <f>'Reported burning'!A614</f>
        <v>64b</v>
      </c>
      <c r="B614" s="6" t="str">
        <f>'Reported burning'!B614</f>
        <v>64b.4</v>
      </c>
      <c r="C614" s="6" t="str">
        <f>'Reported burning'!C614</f>
        <v>Human, deliberate</v>
      </c>
      <c r="D614" s="6" t="str">
        <f>'Reported burning'!D614</f>
        <v>Rangeland management</v>
      </c>
      <c r="E614" s="6" t="str">
        <f>'Reported burning'!E614</f>
        <v>Pastoralism, Migratory</v>
      </c>
      <c r="F614" s="6" t="str">
        <f>'Reported burning'!F614</f>
        <v>Shrubland (Mixed forest &amp; grassland)</v>
      </c>
      <c r="G614" s="6" t="str">
        <f>'Reported burning'!G614</f>
        <v>Shrubland (Mixed forest &amp; grassland)</v>
      </c>
      <c r="H614" s="6" t="str">
        <f>'Reported burning'!H614</f>
        <v>Presence</v>
      </c>
      <c r="I614" s="3">
        <v>2000</v>
      </c>
      <c r="J614" s="103" t="s">
        <v>2276</v>
      </c>
      <c r="K614" s="103" t="s">
        <v>2276</v>
      </c>
      <c r="L614" s="21" t="s">
        <v>2362</v>
      </c>
      <c r="M614" s="21" t="s">
        <v>2276</v>
      </c>
      <c r="N614" s="21" t="s">
        <v>2377</v>
      </c>
      <c r="O614" s="21" t="s">
        <v>2276</v>
      </c>
      <c r="P614" s="21" t="s">
        <v>2374</v>
      </c>
      <c r="Q614" s="102" t="s">
        <v>2276</v>
      </c>
      <c r="R614" s="102" t="s">
        <v>2276</v>
      </c>
      <c r="S614" s="102" t="s">
        <v>2276</v>
      </c>
      <c r="T614" s="102" t="s">
        <v>2276</v>
      </c>
      <c r="U614" s="102" t="s">
        <v>2276</v>
      </c>
      <c r="V614" s="21" t="s">
        <v>2376</v>
      </c>
      <c r="W614" s="21" t="s">
        <v>2402</v>
      </c>
      <c r="X614" s="3" t="s">
        <v>127</v>
      </c>
      <c r="Y614" s="3" t="s">
        <v>38</v>
      </c>
      <c r="Z614" s="3" t="s">
        <v>2655</v>
      </c>
      <c r="AA614" s="4" t="s">
        <v>5069</v>
      </c>
      <c r="AB614" s="4" t="s">
        <v>5077</v>
      </c>
    </row>
    <row r="615" spans="1:28" ht="41.5" customHeight="1">
      <c r="A615" s="6" t="str">
        <f>'Reported burning'!A615</f>
        <v>64b</v>
      </c>
      <c r="B615" s="6" t="str">
        <f>'Reported burning'!B615</f>
        <v>64b.5</v>
      </c>
      <c r="C615" s="6" t="str">
        <f>'Reported burning'!C615</f>
        <v>Human, deliberate</v>
      </c>
      <c r="D615" s="6" t="str">
        <f>'Reported burning'!D615</f>
        <v>Rangeland management</v>
      </c>
      <c r="E615" s="6" t="str">
        <f>'Reported burning'!E615</f>
        <v>Pastoralism, Migratory</v>
      </c>
      <c r="F615" s="6" t="str">
        <f>'Reported burning'!F615</f>
        <v>Shrubland (Mixed forest &amp; grassland)</v>
      </c>
      <c r="G615" s="6" t="str">
        <f>'Reported burning'!G615</f>
        <v>Shrubland (Mixed forest &amp; grassland)</v>
      </c>
      <c r="H615" s="6" t="str">
        <f>'Reported burning'!H615</f>
        <v>Presence</v>
      </c>
      <c r="I615" s="3">
        <v>2008</v>
      </c>
      <c r="J615" s="103" t="s">
        <v>2276</v>
      </c>
      <c r="K615" s="103" t="s">
        <v>2276</v>
      </c>
      <c r="L615" s="21" t="s">
        <v>2362</v>
      </c>
      <c r="M615" s="21" t="s">
        <v>2276</v>
      </c>
      <c r="N615" s="21" t="s">
        <v>2376</v>
      </c>
      <c r="O615" s="21" t="s">
        <v>2276</v>
      </c>
      <c r="P615" s="21" t="s">
        <v>2374</v>
      </c>
      <c r="Q615" s="102" t="s">
        <v>2276</v>
      </c>
      <c r="R615" s="102" t="s">
        <v>2276</v>
      </c>
      <c r="S615" s="102" t="s">
        <v>2276</v>
      </c>
      <c r="T615" s="102" t="s">
        <v>2276</v>
      </c>
      <c r="U615" s="102" t="s">
        <v>2276</v>
      </c>
      <c r="V615" s="21" t="s">
        <v>2376</v>
      </c>
      <c r="W615" s="21" t="s">
        <v>2401</v>
      </c>
      <c r="X615" s="3" t="s">
        <v>127</v>
      </c>
      <c r="Y615" s="3" t="s">
        <v>38</v>
      </c>
      <c r="Z615" s="3" t="s">
        <v>2655</v>
      </c>
      <c r="AA615" s="4" t="s">
        <v>5069</v>
      </c>
      <c r="AB615" s="4" t="s">
        <v>5077</v>
      </c>
    </row>
    <row r="616" spans="1:28" ht="41.5" customHeight="1">
      <c r="A616" s="6" t="str">
        <f>'Reported burning'!A616</f>
        <v>64b</v>
      </c>
      <c r="B616" s="6" t="str">
        <f>'Reported burning'!B616</f>
        <v>64b.6</v>
      </c>
      <c r="C616" s="6" t="str">
        <f>'Reported burning'!C616</f>
        <v>Human, deliberate</v>
      </c>
      <c r="D616" s="6" t="str">
        <f>'Reported burning'!D616</f>
        <v>Rangeland management</v>
      </c>
      <c r="E616" s="6" t="str">
        <f>'Reported burning'!E616</f>
        <v>Pastoralism, Migratory</v>
      </c>
      <c r="F616" s="6" t="str">
        <f>'Reported burning'!F616</f>
        <v>Shrubland (Mixed forest &amp; grassland)</v>
      </c>
      <c r="G616" s="6" t="str">
        <f>'Reported burning'!G616</f>
        <v>Shrubland (Mixed forest &amp; grassland)</v>
      </c>
      <c r="H616" s="6" t="str">
        <f>'Reported burning'!H616</f>
        <v>Presence</v>
      </c>
      <c r="I616" s="3">
        <v>2011</v>
      </c>
      <c r="J616" s="103" t="s">
        <v>2276</v>
      </c>
      <c r="K616" s="103" t="s">
        <v>2276</v>
      </c>
      <c r="L616" s="21" t="s">
        <v>2362</v>
      </c>
      <c r="M616" s="21" t="s">
        <v>2276</v>
      </c>
      <c r="N616" s="21" t="s">
        <v>2376</v>
      </c>
      <c r="O616" s="21" t="s">
        <v>2276</v>
      </c>
      <c r="P616" s="21" t="s">
        <v>2374</v>
      </c>
      <c r="Q616" s="102" t="s">
        <v>2276</v>
      </c>
      <c r="R616" s="102" t="s">
        <v>2276</v>
      </c>
      <c r="S616" s="102" t="s">
        <v>2276</v>
      </c>
      <c r="T616" s="102" t="s">
        <v>2276</v>
      </c>
      <c r="U616" s="102" t="s">
        <v>2276</v>
      </c>
      <c r="V616" s="21" t="s">
        <v>2389</v>
      </c>
      <c r="W616" s="21" t="s">
        <v>2401</v>
      </c>
      <c r="X616" s="3" t="s">
        <v>127</v>
      </c>
      <c r="Y616" s="3" t="s">
        <v>38</v>
      </c>
      <c r="Z616" s="3" t="s">
        <v>2655</v>
      </c>
      <c r="AA616" s="4" t="s">
        <v>5069</v>
      </c>
      <c r="AB616" s="4" t="s">
        <v>5077</v>
      </c>
    </row>
    <row r="617" spans="1:28" ht="41.5" customHeight="1">
      <c r="A617" s="6" t="str">
        <f>'Reported burning'!A617</f>
        <v>64b</v>
      </c>
      <c r="B617" s="6" t="str">
        <f>'Reported burning'!B617</f>
        <v>64b.7</v>
      </c>
      <c r="C617" s="6" t="str">
        <f>'Reported burning'!C617</f>
        <v>Human, deliberate</v>
      </c>
      <c r="D617" s="6" t="str">
        <f>'Reported burning'!D617</f>
        <v>Rangeland management</v>
      </c>
      <c r="E617" s="6" t="str">
        <f>'Reported burning'!E617</f>
        <v>Pastoralism, Migratory</v>
      </c>
      <c r="F617" s="6" t="str">
        <f>'Reported burning'!F617</f>
        <v>Shrubland (Mixed forest &amp; grassland)</v>
      </c>
      <c r="G617" s="6" t="str">
        <f>'Reported burning'!G617</f>
        <v>Shrubland (Mixed forest &amp; grassland)</v>
      </c>
      <c r="H617" s="6" t="str">
        <f>'Reported burning'!H617</f>
        <v>Presence</v>
      </c>
      <c r="I617" s="3">
        <v>2017</v>
      </c>
      <c r="J617" s="103" t="s">
        <v>2276</v>
      </c>
      <c r="K617" s="103" t="s">
        <v>2276</v>
      </c>
      <c r="L617" s="21" t="s">
        <v>2362</v>
      </c>
      <c r="M617" s="21" t="s">
        <v>2276</v>
      </c>
      <c r="N617" s="21" t="s">
        <v>2379</v>
      </c>
      <c r="O617" s="21" t="s">
        <v>2276</v>
      </c>
      <c r="P617" s="21" t="s">
        <v>2374</v>
      </c>
      <c r="Q617" s="102" t="s">
        <v>2276</v>
      </c>
      <c r="R617" s="102" t="s">
        <v>2276</v>
      </c>
      <c r="S617" s="102" t="s">
        <v>2276</v>
      </c>
      <c r="T617" s="102" t="s">
        <v>2276</v>
      </c>
      <c r="U617" s="102" t="s">
        <v>2276</v>
      </c>
      <c r="V617" s="21" t="s">
        <v>2389</v>
      </c>
      <c r="W617" s="21" t="s">
        <v>2401</v>
      </c>
      <c r="X617" s="3" t="s">
        <v>127</v>
      </c>
      <c r="Y617" s="3" t="s">
        <v>38</v>
      </c>
      <c r="Z617" s="3" t="s">
        <v>2655</v>
      </c>
      <c r="AA617" s="4" t="s">
        <v>5069</v>
      </c>
      <c r="AB617" s="4" t="s">
        <v>5077</v>
      </c>
    </row>
    <row r="618" spans="1:28" ht="41.5" customHeight="1">
      <c r="A618" s="6" t="str">
        <f>'Reported burning'!A618</f>
        <v>64b</v>
      </c>
      <c r="B618" s="6" t="str">
        <f>'Reported burning'!B618</f>
        <v>64b.8</v>
      </c>
      <c r="C618" s="6" t="str">
        <f>'Reported burning'!C618</f>
        <v>Human, deliberate</v>
      </c>
      <c r="D618" s="6" t="str">
        <f>'Reported burning'!D618</f>
        <v>Arson</v>
      </c>
      <c r="E618" s="6" t="str">
        <f>'Reported burning'!E618</f>
        <v>Pastoralism, Migratory</v>
      </c>
      <c r="F618" s="6" t="str">
        <f>'Reported burning'!F618</f>
        <v>Shrubland (Mixed forest &amp; grassland)</v>
      </c>
      <c r="G618" s="6" t="str">
        <f>'Reported burning'!G618</f>
        <v>Shrubland (Mixed forest &amp; grassland)</v>
      </c>
      <c r="H618" s="6" t="str">
        <f>'Reported burning'!H618</f>
        <v>Presence</v>
      </c>
      <c r="I618" s="3">
        <v>2017</v>
      </c>
      <c r="J618" s="103" t="s">
        <v>2276</v>
      </c>
      <c r="K618" s="103" t="s">
        <v>2276</v>
      </c>
      <c r="L618" s="103" t="s">
        <v>2276</v>
      </c>
      <c r="M618" s="103" t="s">
        <v>2276</v>
      </c>
      <c r="N618" s="103" t="s">
        <v>2276</v>
      </c>
      <c r="O618" s="103" t="s">
        <v>2276</v>
      </c>
      <c r="P618" s="103" t="s">
        <v>2276</v>
      </c>
      <c r="Q618" s="103" t="s">
        <v>2276</v>
      </c>
      <c r="R618" s="103" t="s">
        <v>2276</v>
      </c>
      <c r="S618" s="103" t="s">
        <v>2276</v>
      </c>
      <c r="T618" s="103" t="s">
        <v>2276</v>
      </c>
      <c r="U618" s="103" t="s">
        <v>2276</v>
      </c>
      <c r="V618" s="103" t="s">
        <v>2276</v>
      </c>
      <c r="W618" s="103" t="s">
        <v>2276</v>
      </c>
      <c r="X618" s="3" t="s">
        <v>189</v>
      </c>
      <c r="Y618" s="3" t="s">
        <v>38</v>
      </c>
      <c r="Z618" s="3" t="s">
        <v>64</v>
      </c>
      <c r="AA618" s="4" t="s">
        <v>5078</v>
      </c>
      <c r="AB618" s="4"/>
    </row>
    <row r="619" spans="1:28" ht="41.5" customHeight="1">
      <c r="A619" s="6" t="str">
        <f>'Reported burning'!A619</f>
        <v>65a</v>
      </c>
      <c r="B619" s="6" t="str">
        <f>'Reported burning'!B619</f>
        <v>65a.1</v>
      </c>
      <c r="C619" s="6" t="str">
        <f>'Reported burning'!C619</f>
        <v>Human, deliberate</v>
      </c>
      <c r="D619" s="6" t="str">
        <f>'Reported burning'!D619</f>
        <v>Forest clearance</v>
      </c>
      <c r="E619" s="6" t="str">
        <f>'Reported burning'!E619</f>
        <v>Cattle, Extensive</v>
      </c>
      <c r="F619" s="6" t="str">
        <f>'Reported burning'!F619</f>
        <v>Forest</v>
      </c>
      <c r="G619" s="6">
        <f>'Reported burning'!G619</f>
        <v>0</v>
      </c>
      <c r="H619" s="6" t="str">
        <f>'Reported burning'!H619</f>
        <v>Presence</v>
      </c>
      <c r="I619" s="3"/>
      <c r="J619" s="103" t="s">
        <v>2276</v>
      </c>
      <c r="K619" s="103" t="s">
        <v>2276</v>
      </c>
      <c r="L619" s="21" t="s">
        <v>2276</v>
      </c>
      <c r="M619" s="21" t="s">
        <v>2276</v>
      </c>
      <c r="N619" s="21" t="s">
        <v>2276</v>
      </c>
      <c r="O619" s="21" t="s">
        <v>2276</v>
      </c>
      <c r="P619" s="21" t="s">
        <v>2276</v>
      </c>
      <c r="Q619" s="102" t="s">
        <v>2276</v>
      </c>
      <c r="R619" s="102" t="s">
        <v>2276</v>
      </c>
      <c r="S619" s="21" t="s">
        <v>2276</v>
      </c>
      <c r="T619" s="21" t="s">
        <v>2276</v>
      </c>
      <c r="U619" s="21" t="s">
        <v>2276</v>
      </c>
      <c r="V619" s="21" t="s">
        <v>2276</v>
      </c>
      <c r="W619" s="21" t="s">
        <v>2276</v>
      </c>
      <c r="X619" s="3" t="s">
        <v>2276</v>
      </c>
      <c r="Y619" s="3" t="s">
        <v>2276</v>
      </c>
      <c r="Z619" s="3" t="s">
        <v>2276</v>
      </c>
      <c r="AA619" s="3"/>
      <c r="AB619" s="3"/>
    </row>
    <row r="620" spans="1:28" ht="39.5" customHeight="1">
      <c r="A620" s="6" t="str">
        <f>'Reported burning'!A620</f>
        <v>65b</v>
      </c>
      <c r="B620" s="6" t="str">
        <f>'Reported burning'!B620</f>
        <v>65b.1</v>
      </c>
      <c r="C620" s="6" t="str">
        <f>'Reported burning'!C620</f>
        <v>Human, deliberate</v>
      </c>
      <c r="D620" s="6" t="str">
        <f>'Reported burning'!D620</f>
        <v>Crop field preparation</v>
      </c>
      <c r="E620" s="6" t="str">
        <f>'Reported burning'!E620</f>
        <v>Cropping, Swidden</v>
      </c>
      <c r="F620" s="6" t="str">
        <f>'Reported burning'!F620</f>
        <v>Secondary Vegetation</v>
      </c>
      <c r="G620" s="6">
        <f>'Reported burning'!G620</f>
        <v>0</v>
      </c>
      <c r="H620" s="6" t="str">
        <f>'Reported burning'!H620</f>
        <v>Presence</v>
      </c>
      <c r="I620" s="3"/>
      <c r="J620" s="103" t="s">
        <v>2276</v>
      </c>
      <c r="K620" s="103" t="s">
        <v>2276</v>
      </c>
      <c r="L620" s="21" t="s">
        <v>2276</v>
      </c>
      <c r="M620" s="21" t="s">
        <v>2276</v>
      </c>
      <c r="N620" s="21" t="s">
        <v>2276</v>
      </c>
      <c r="O620" s="21" t="s">
        <v>2276</v>
      </c>
      <c r="P620" s="21" t="s">
        <v>2276</v>
      </c>
      <c r="Q620" s="102" t="s">
        <v>2276</v>
      </c>
      <c r="R620" s="102" t="s">
        <v>2276</v>
      </c>
      <c r="S620" s="21" t="s">
        <v>2276</v>
      </c>
      <c r="T620" s="21" t="s">
        <v>2276</v>
      </c>
      <c r="U620" s="21" t="s">
        <v>2276</v>
      </c>
      <c r="V620" s="21" t="s">
        <v>2276</v>
      </c>
      <c r="W620" s="21" t="s">
        <v>2276</v>
      </c>
      <c r="X620" s="3" t="s">
        <v>2276</v>
      </c>
      <c r="Y620" s="3" t="s">
        <v>2276</v>
      </c>
      <c r="Z620" s="3" t="s">
        <v>2276</v>
      </c>
      <c r="AA620" s="3"/>
      <c r="AB620" s="3"/>
    </row>
    <row r="621" spans="1:28" ht="41" customHeight="1">
      <c r="A621" s="6" t="str">
        <f>'Reported burning'!A621</f>
        <v>66a</v>
      </c>
      <c r="B621" s="6" t="str">
        <f>'Reported burning'!B621</f>
        <v>66a.1</v>
      </c>
      <c r="C621" s="6" t="str">
        <f>'Reported burning'!C621</f>
        <v>Human, deliberate</v>
      </c>
      <c r="D621" s="6" t="str">
        <f>'Reported burning'!D621</f>
        <v>Crop field preparation</v>
      </c>
      <c r="E621" s="6" t="str">
        <f>'Reported burning'!E621</f>
        <v>Cropping, Swidden</v>
      </c>
      <c r="F621" s="6" t="str">
        <f>'Reported burning'!F621</f>
        <v>Secondary Vegetation</v>
      </c>
      <c r="G621" s="6">
        <f>'Reported burning'!G621</f>
        <v>0</v>
      </c>
      <c r="H621" s="6" t="str">
        <f>'Reported burning'!H621</f>
        <v>Presence</v>
      </c>
      <c r="I621" s="3"/>
      <c r="J621" s="103" t="s">
        <v>2276</v>
      </c>
      <c r="K621" s="103" t="s">
        <v>2362</v>
      </c>
      <c r="L621" s="21" t="s">
        <v>2276</v>
      </c>
      <c r="M621" s="21" t="s">
        <v>2374</v>
      </c>
      <c r="N621" s="21" t="s">
        <v>2276</v>
      </c>
      <c r="O621" s="21" t="s">
        <v>2276</v>
      </c>
      <c r="P621" s="21" t="s">
        <v>2276</v>
      </c>
      <c r="Q621" s="102" t="s">
        <v>2276</v>
      </c>
      <c r="R621" s="102" t="s">
        <v>2276</v>
      </c>
      <c r="S621" s="21" t="s">
        <v>2276</v>
      </c>
      <c r="T621" s="21" t="s">
        <v>2276</v>
      </c>
      <c r="U621" s="21" t="s">
        <v>2276</v>
      </c>
      <c r="V621" s="21" t="s">
        <v>2276</v>
      </c>
      <c r="W621" s="21" t="s">
        <v>2276</v>
      </c>
      <c r="X621" s="3" t="s">
        <v>2276</v>
      </c>
      <c r="Y621" s="3" t="s">
        <v>2276</v>
      </c>
      <c r="Z621" s="3" t="s">
        <v>2276</v>
      </c>
      <c r="AA621" s="3"/>
      <c r="AB621" s="4" t="s">
        <v>2215</v>
      </c>
    </row>
    <row r="622" spans="1:28" ht="52" customHeight="1">
      <c r="A622" s="6" t="str">
        <f>'Reported burning'!A622</f>
        <v>67a</v>
      </c>
      <c r="B622" s="6" t="str">
        <f>'Reported burning'!B622</f>
        <v>67a.1</v>
      </c>
      <c r="C622" s="6" t="str">
        <f>'Reported burning'!C622</f>
        <v>Human, deliberate</v>
      </c>
      <c r="D622" s="6" t="str">
        <f>'Reported burning'!D622</f>
        <v>Forest clearance</v>
      </c>
      <c r="E622" s="6" t="str">
        <f>'Reported burning'!E622</f>
        <v>Forestry, Small-scale</v>
      </c>
      <c r="F622" s="6" t="str">
        <f>'Reported burning'!F622</f>
        <v>Forest</v>
      </c>
      <c r="G622" s="6">
        <f>'Reported burning'!G622</f>
        <v>0</v>
      </c>
      <c r="H622" s="6" t="str">
        <f>'Reported burning'!H622</f>
        <v>Absence</v>
      </c>
      <c r="I622" s="3"/>
      <c r="J622" s="21" t="s">
        <v>2276</v>
      </c>
      <c r="K622" s="103" t="s">
        <v>2276</v>
      </c>
      <c r="L622" s="21" t="s">
        <v>2276</v>
      </c>
      <c r="M622" s="21" t="s">
        <v>2276</v>
      </c>
      <c r="N622" s="21" t="s">
        <v>2276</v>
      </c>
      <c r="O622" s="21" t="s">
        <v>2276</v>
      </c>
      <c r="P622" s="21" t="s">
        <v>2276</v>
      </c>
      <c r="Q622" s="102" t="s">
        <v>2276</v>
      </c>
      <c r="R622" s="102" t="s">
        <v>2276</v>
      </c>
      <c r="S622" s="21" t="s">
        <v>2276</v>
      </c>
      <c r="T622" s="21" t="s">
        <v>2276</v>
      </c>
      <c r="U622" s="21" t="s">
        <v>2276</v>
      </c>
      <c r="V622" s="21" t="s">
        <v>2276</v>
      </c>
      <c r="W622" s="21" t="s">
        <v>2276</v>
      </c>
      <c r="X622" s="3" t="s">
        <v>2276</v>
      </c>
      <c r="Y622" s="3" t="s">
        <v>2276</v>
      </c>
      <c r="Z622" s="3" t="s">
        <v>2276</v>
      </c>
      <c r="AA622" s="4" t="s">
        <v>2216</v>
      </c>
      <c r="AB622" s="3"/>
    </row>
    <row r="623" spans="1:28" ht="39.5" customHeight="1">
      <c r="A623" s="6" t="str">
        <f>'Reported burning'!A623</f>
        <v>67a</v>
      </c>
      <c r="B623" s="6" t="str">
        <f>'Reported burning'!B623</f>
        <v>67a.2</v>
      </c>
      <c r="C623" s="6" t="str">
        <f>'Reported burning'!C623</f>
        <v>Human, deliberate</v>
      </c>
      <c r="D623" s="6" t="str">
        <f>'Reported burning'!D623</f>
        <v>Crop field preparation</v>
      </c>
      <c r="E623" s="6" t="str">
        <f>'Reported burning'!E623</f>
        <v>Cropping, Swidden</v>
      </c>
      <c r="F623" s="6" t="str">
        <f>'Reported burning'!F623</f>
        <v>Secondary Vegetation</v>
      </c>
      <c r="G623" s="6">
        <f>'Reported burning'!G623</f>
        <v>0</v>
      </c>
      <c r="H623" s="6" t="str">
        <f>'Reported burning'!H623</f>
        <v>Presence</v>
      </c>
      <c r="I623" s="3"/>
      <c r="J623" s="21" t="s">
        <v>2276</v>
      </c>
      <c r="K623" s="103" t="s">
        <v>2276</v>
      </c>
      <c r="L623" s="21" t="s">
        <v>2276</v>
      </c>
      <c r="M623" s="21" t="s">
        <v>2276</v>
      </c>
      <c r="N623" s="21" t="s">
        <v>2276</v>
      </c>
      <c r="O623" s="21" t="s">
        <v>2276</v>
      </c>
      <c r="P623" s="21" t="s">
        <v>2276</v>
      </c>
      <c r="Q623" s="102" t="s">
        <v>2276</v>
      </c>
      <c r="R623" s="102" t="s">
        <v>2276</v>
      </c>
      <c r="S623" s="21" t="s">
        <v>2276</v>
      </c>
      <c r="T623" s="21" t="s">
        <v>2276</v>
      </c>
      <c r="U623" s="21" t="s">
        <v>2276</v>
      </c>
      <c r="V623" s="21" t="s">
        <v>2276</v>
      </c>
      <c r="W623" s="21" t="s">
        <v>2276</v>
      </c>
      <c r="X623" s="3" t="s">
        <v>2276</v>
      </c>
      <c r="Y623" s="3" t="s">
        <v>2276</v>
      </c>
      <c r="Z623" s="3" t="s">
        <v>2276</v>
      </c>
      <c r="AA623" s="4"/>
      <c r="AB623" s="3"/>
    </row>
    <row r="624" spans="1:28" ht="48.5" customHeight="1">
      <c r="A624" s="6" t="str">
        <f>'Reported burning'!A624</f>
        <v>67b</v>
      </c>
      <c r="B624" s="6" t="str">
        <f>'Reported burning'!B624</f>
        <v>67b.1</v>
      </c>
      <c r="C624" s="6" t="str">
        <f>'Reported burning'!C624</f>
        <v>Human, deliberate</v>
      </c>
      <c r="D624" s="6" t="str">
        <f>'Reported burning'!D624</f>
        <v>Forest clearance</v>
      </c>
      <c r="E624" s="6" t="str">
        <f>'Reported burning'!E624</f>
        <v>Forestry, Small-scale</v>
      </c>
      <c r="F624" s="6" t="str">
        <f>'Reported burning'!F624</f>
        <v>Forest</v>
      </c>
      <c r="G624" s="6">
        <f>'Reported burning'!G624</f>
        <v>0</v>
      </c>
      <c r="H624" s="6" t="str">
        <f>'Reported burning'!H624</f>
        <v>Absence</v>
      </c>
      <c r="I624" s="3"/>
      <c r="J624" s="21" t="s">
        <v>2276</v>
      </c>
      <c r="K624" s="103" t="s">
        <v>2276</v>
      </c>
      <c r="L624" s="21" t="s">
        <v>2276</v>
      </c>
      <c r="M624" s="21" t="s">
        <v>2276</v>
      </c>
      <c r="N624" s="21" t="s">
        <v>2276</v>
      </c>
      <c r="O624" s="21" t="s">
        <v>2276</v>
      </c>
      <c r="P624" s="21" t="s">
        <v>2276</v>
      </c>
      <c r="Q624" s="102" t="s">
        <v>2276</v>
      </c>
      <c r="R624" s="102" t="s">
        <v>2276</v>
      </c>
      <c r="S624" s="21" t="s">
        <v>2276</v>
      </c>
      <c r="T624" s="21" t="s">
        <v>2276</v>
      </c>
      <c r="U624" s="21" t="s">
        <v>2276</v>
      </c>
      <c r="V624" s="21" t="s">
        <v>2276</v>
      </c>
      <c r="W624" s="21" t="s">
        <v>2276</v>
      </c>
      <c r="X624" s="3" t="s">
        <v>2276</v>
      </c>
      <c r="Y624" s="3" t="s">
        <v>2276</v>
      </c>
      <c r="Z624" s="3" t="s">
        <v>2276</v>
      </c>
      <c r="AA624" s="4" t="s">
        <v>2216</v>
      </c>
      <c r="AB624" s="3"/>
    </row>
    <row r="625" spans="1:28" ht="55" customHeight="1">
      <c r="A625" s="6" t="str">
        <f>'Reported burning'!A625</f>
        <v>67b</v>
      </c>
      <c r="B625" s="6" t="str">
        <f>'Reported burning'!B625</f>
        <v>67b.2</v>
      </c>
      <c r="C625" s="6" t="str">
        <f>'Reported burning'!C625</f>
        <v>Human, deliberate</v>
      </c>
      <c r="D625" s="6" t="str">
        <f>'Reported burning'!D625</f>
        <v>Crop field preparation</v>
      </c>
      <c r="E625" s="6" t="str">
        <f>'Reported burning'!E625</f>
        <v>Cropping, Swidden</v>
      </c>
      <c r="F625" s="6" t="str">
        <f>'Reported burning'!F625</f>
        <v>Secondary Vegetation</v>
      </c>
      <c r="G625" s="6">
        <f>'Reported burning'!G625</f>
        <v>0</v>
      </c>
      <c r="H625" s="6" t="str">
        <f>'Reported burning'!H625</f>
        <v>Presence</v>
      </c>
      <c r="I625" s="3"/>
      <c r="J625" s="21" t="s">
        <v>2276</v>
      </c>
      <c r="K625" s="103" t="s">
        <v>2276</v>
      </c>
      <c r="L625" s="21" t="s">
        <v>2276</v>
      </c>
      <c r="M625" s="21" t="s">
        <v>2276</v>
      </c>
      <c r="N625" s="21" t="s">
        <v>2276</v>
      </c>
      <c r="O625" s="21" t="s">
        <v>2276</v>
      </c>
      <c r="P625" s="21" t="s">
        <v>2276</v>
      </c>
      <c r="Q625" s="102" t="s">
        <v>2276</v>
      </c>
      <c r="R625" s="102" t="s">
        <v>2276</v>
      </c>
      <c r="S625" s="21" t="s">
        <v>2276</v>
      </c>
      <c r="T625" s="21" t="s">
        <v>2276</v>
      </c>
      <c r="U625" s="21" t="s">
        <v>2276</v>
      </c>
      <c r="V625" s="21" t="s">
        <v>2276</v>
      </c>
      <c r="W625" s="21" t="s">
        <v>2276</v>
      </c>
      <c r="X625" s="3" t="s">
        <v>2276</v>
      </c>
      <c r="Y625" s="3" t="s">
        <v>2276</v>
      </c>
      <c r="Z625" s="3" t="s">
        <v>2276</v>
      </c>
      <c r="AA625" s="3"/>
      <c r="AB625" s="3"/>
    </row>
    <row r="626" spans="1:28" ht="72" customHeight="1">
      <c r="A626" s="6" t="str">
        <f>'Reported burning'!A626</f>
        <v>68a</v>
      </c>
      <c r="B626" s="6" t="str">
        <f>'Reported burning'!B626</f>
        <v>68a.1</v>
      </c>
      <c r="C626" s="6" t="str">
        <f>'Reported burning'!C626</f>
        <v>Human, deliberate</v>
      </c>
      <c r="D626" s="6" t="str">
        <f>'Reported burning'!D626</f>
        <v>Crop field preparation</v>
      </c>
      <c r="E626" s="6" t="str">
        <f>'Reported burning'!E626</f>
        <v>Cropping, Swidden</v>
      </c>
      <c r="F626" s="6" t="str">
        <f>'Reported burning'!F626</f>
        <v>Secondary Vegetation</v>
      </c>
      <c r="G626" s="6">
        <f>'Reported burning'!G626</f>
        <v>0</v>
      </c>
      <c r="H626" s="6" t="str">
        <f>'Reported burning'!H626</f>
        <v>Presence</v>
      </c>
      <c r="I626" s="3"/>
      <c r="J626" s="21" t="s">
        <v>2276</v>
      </c>
      <c r="K626" s="103" t="s">
        <v>2276</v>
      </c>
      <c r="L626" s="21" t="s">
        <v>2276</v>
      </c>
      <c r="M626" s="21" t="s">
        <v>2276</v>
      </c>
      <c r="N626" s="21" t="s">
        <v>2276</v>
      </c>
      <c r="O626" s="21" t="s">
        <v>2276</v>
      </c>
      <c r="P626" s="21" t="s">
        <v>2276</v>
      </c>
      <c r="Q626" s="102" t="s">
        <v>2276</v>
      </c>
      <c r="R626" s="102" t="s">
        <v>2276</v>
      </c>
      <c r="S626" s="21" t="s">
        <v>2276</v>
      </c>
      <c r="T626" s="21" t="s">
        <v>2276</v>
      </c>
      <c r="U626" s="21" t="s">
        <v>2276</v>
      </c>
      <c r="V626" s="21" t="s">
        <v>2276</v>
      </c>
      <c r="W626" s="21" t="s">
        <v>2402</v>
      </c>
      <c r="X626" s="3" t="s">
        <v>425</v>
      </c>
      <c r="Y626" s="3" t="s">
        <v>68</v>
      </c>
      <c r="Z626" s="3" t="s">
        <v>2276</v>
      </c>
      <c r="AA626" s="4" t="s">
        <v>957</v>
      </c>
      <c r="AB626" s="3" t="s">
        <v>2421</v>
      </c>
    </row>
    <row r="627" spans="1:28" ht="46.5" customHeight="1">
      <c r="A627" s="6" t="str">
        <f>'Reported burning'!A627</f>
        <v>68a</v>
      </c>
      <c r="B627" s="6" t="str">
        <f>'Reported burning'!B627</f>
        <v>68a.2</v>
      </c>
      <c r="C627" s="6" t="str">
        <f>'Reported burning'!C627</f>
        <v>Human, deliberate</v>
      </c>
      <c r="D627" s="6" t="str">
        <f>'Reported burning'!D627</f>
        <v>Forest clearance</v>
      </c>
      <c r="E627" s="6" t="str">
        <f>'Reported burning'!E627</f>
        <v>Cattle, Extensive</v>
      </c>
      <c r="F627" s="6" t="str">
        <f>'Reported burning'!F627</f>
        <v>Forest</v>
      </c>
      <c r="G627" s="6">
        <f>'Reported burning'!G627</f>
        <v>0</v>
      </c>
      <c r="H627" s="6" t="str">
        <f>'Reported burning'!H627</f>
        <v>Presence</v>
      </c>
      <c r="I627" s="3"/>
      <c r="J627" s="21" t="s">
        <v>2276</v>
      </c>
      <c r="K627" s="103" t="s">
        <v>2276</v>
      </c>
      <c r="L627" s="21" t="s">
        <v>2276</v>
      </c>
      <c r="M627" s="21" t="s">
        <v>2276</v>
      </c>
      <c r="N627" s="21" t="s">
        <v>2276</v>
      </c>
      <c r="O627" s="21" t="s">
        <v>2276</v>
      </c>
      <c r="P627" s="21" t="s">
        <v>2276</v>
      </c>
      <c r="Q627" s="102" t="s">
        <v>2276</v>
      </c>
      <c r="R627" s="102" t="s">
        <v>2276</v>
      </c>
      <c r="S627" s="21" t="s">
        <v>2276</v>
      </c>
      <c r="T627" s="21" t="s">
        <v>2276</v>
      </c>
      <c r="U627" s="21" t="s">
        <v>2276</v>
      </c>
      <c r="V627" s="21" t="s">
        <v>2276</v>
      </c>
      <c r="W627" s="74" t="s">
        <v>2276</v>
      </c>
      <c r="X627" s="3" t="s">
        <v>2276</v>
      </c>
      <c r="Y627" s="3" t="s">
        <v>2276</v>
      </c>
      <c r="Z627" s="3" t="s">
        <v>2276</v>
      </c>
      <c r="AA627" s="4" t="s">
        <v>958</v>
      </c>
      <c r="AB627" s="3"/>
    </row>
    <row r="628" spans="1:28" ht="71.5" customHeight="1">
      <c r="A628" s="6" t="str">
        <f>'Reported burning'!A628</f>
        <v>69a</v>
      </c>
      <c r="B628" s="6" t="str">
        <f>'Reported burning'!B628</f>
        <v>69a.1</v>
      </c>
      <c r="C628" s="6" t="str">
        <f>'Reported burning'!C628</f>
        <v>Human, deliberate</v>
      </c>
      <c r="D628" s="6" t="str">
        <f>'Reported burning'!D628</f>
        <v>Crop field preparation</v>
      </c>
      <c r="E628" s="6" t="str">
        <f>'Reported burning'!E628</f>
        <v>Cropping, Swidden</v>
      </c>
      <c r="F628" s="6" t="str">
        <f>'Reported burning'!F628</f>
        <v>Secondary Vegetation</v>
      </c>
      <c r="G628" s="6">
        <f>'Reported burning'!G628</f>
        <v>0</v>
      </c>
      <c r="H628" s="6" t="str">
        <f>'Reported burning'!H628</f>
        <v>Presence</v>
      </c>
      <c r="I628" s="3"/>
      <c r="J628" s="21" t="s">
        <v>2276</v>
      </c>
      <c r="K628" s="103" t="s">
        <v>2276</v>
      </c>
      <c r="L628" s="21" t="s">
        <v>2276</v>
      </c>
      <c r="M628" s="21" t="s">
        <v>2362</v>
      </c>
      <c r="N628" s="21" t="s">
        <v>2276</v>
      </c>
      <c r="O628" s="21" t="s">
        <v>2276</v>
      </c>
      <c r="P628" s="21" t="s">
        <v>2276</v>
      </c>
      <c r="Q628" s="102" t="s">
        <v>2276</v>
      </c>
      <c r="R628" s="102" t="s">
        <v>2276</v>
      </c>
      <c r="S628" s="21" t="s">
        <v>2276</v>
      </c>
      <c r="T628" s="21" t="s">
        <v>2276</v>
      </c>
      <c r="U628" s="21" t="s">
        <v>2374</v>
      </c>
      <c r="V628" s="21" t="s">
        <v>2276</v>
      </c>
      <c r="W628" s="21" t="s">
        <v>2402</v>
      </c>
      <c r="X628" s="3" t="s">
        <v>2276</v>
      </c>
      <c r="Y628" s="3" t="s">
        <v>2276</v>
      </c>
      <c r="Z628" s="3" t="s">
        <v>2276</v>
      </c>
      <c r="AA628" s="3" t="s">
        <v>968</v>
      </c>
      <c r="AB628" s="24" t="s">
        <v>2222</v>
      </c>
    </row>
    <row r="629" spans="1:28" ht="64.5" customHeight="1">
      <c r="A629" s="6" t="str">
        <f>'Reported burning'!A629</f>
        <v>69b</v>
      </c>
      <c r="B629" s="6" t="str">
        <f>'Reported burning'!B629</f>
        <v>69b.1</v>
      </c>
      <c r="C629" s="6" t="str">
        <f>'Reported burning'!C629</f>
        <v>Human, deliberate</v>
      </c>
      <c r="D629" s="6" t="str">
        <f>'Reported burning'!D629</f>
        <v>Crop field preparation</v>
      </c>
      <c r="E629" s="6" t="str">
        <f>'Reported burning'!E629</f>
        <v>Cropping, Swidden</v>
      </c>
      <c r="F629" s="6" t="str">
        <f>'Reported burning'!F629</f>
        <v>Secondary Vegetation</v>
      </c>
      <c r="G629" s="6">
        <f>'Reported burning'!G629</f>
        <v>0</v>
      </c>
      <c r="H629" s="6" t="str">
        <f>'Reported burning'!H629</f>
        <v>Presence</v>
      </c>
      <c r="I629" s="3"/>
      <c r="J629" s="21" t="s">
        <v>2276</v>
      </c>
      <c r="K629" s="103" t="s">
        <v>2276</v>
      </c>
      <c r="L629" s="21" t="s">
        <v>2276</v>
      </c>
      <c r="M629" s="21" t="s">
        <v>2362</v>
      </c>
      <c r="N629" s="21" t="s">
        <v>2276</v>
      </c>
      <c r="O629" s="21" t="s">
        <v>2276</v>
      </c>
      <c r="P629" s="21" t="s">
        <v>2276</v>
      </c>
      <c r="Q629" s="102" t="s">
        <v>2276</v>
      </c>
      <c r="R629" s="102" t="s">
        <v>2276</v>
      </c>
      <c r="S629" s="21" t="s">
        <v>2276</v>
      </c>
      <c r="T629" s="21" t="s">
        <v>2276</v>
      </c>
      <c r="U629" s="21" t="s">
        <v>2527</v>
      </c>
      <c r="V629" s="21" t="s">
        <v>2276</v>
      </c>
      <c r="W629" s="21" t="s">
        <v>2402</v>
      </c>
      <c r="X629" s="3" t="s">
        <v>2276</v>
      </c>
      <c r="Y629" s="3" t="s">
        <v>2276</v>
      </c>
      <c r="Z629" s="3" t="s">
        <v>2276</v>
      </c>
      <c r="AA629" s="3" t="s">
        <v>968</v>
      </c>
      <c r="AB629" s="4" t="s">
        <v>2223</v>
      </c>
    </row>
    <row r="630" spans="1:28" ht="70" customHeight="1">
      <c r="A630" s="6" t="str">
        <f>'Reported burning'!A630</f>
        <v>69c</v>
      </c>
      <c r="B630" s="6" t="str">
        <f>'Reported burning'!B630</f>
        <v>69c.1</v>
      </c>
      <c r="C630" s="6" t="str">
        <f>'Reported burning'!C630</f>
        <v>Human, deliberate</v>
      </c>
      <c r="D630" s="6" t="str">
        <f>'Reported burning'!D630</f>
        <v>Crop field preparation</v>
      </c>
      <c r="E630" s="6" t="str">
        <f>'Reported burning'!E630</f>
        <v>Cropping, Swidden</v>
      </c>
      <c r="F630" s="6" t="str">
        <f>'Reported burning'!F630</f>
        <v>Secondary Vegetation</v>
      </c>
      <c r="G630" s="6">
        <f>'Reported burning'!G630</f>
        <v>0</v>
      </c>
      <c r="H630" s="6" t="str">
        <f>'Reported burning'!H630</f>
        <v>Presence</v>
      </c>
      <c r="I630" s="3"/>
      <c r="J630" s="21" t="s">
        <v>2276</v>
      </c>
      <c r="K630" s="103" t="s">
        <v>2276</v>
      </c>
      <c r="L630" s="21" t="s">
        <v>2276</v>
      </c>
      <c r="M630" s="21" t="s">
        <v>2362</v>
      </c>
      <c r="N630" s="21" t="s">
        <v>2276</v>
      </c>
      <c r="O630" s="21" t="s">
        <v>2276</v>
      </c>
      <c r="P630" s="21" t="s">
        <v>2276</v>
      </c>
      <c r="Q630" s="102" t="s">
        <v>2276</v>
      </c>
      <c r="R630" s="102" t="s">
        <v>2276</v>
      </c>
      <c r="S630" s="21" t="s">
        <v>2276</v>
      </c>
      <c r="T630" s="21" t="s">
        <v>2276</v>
      </c>
      <c r="U630" s="21" t="s">
        <v>2374</v>
      </c>
      <c r="V630" s="21" t="s">
        <v>2276</v>
      </c>
      <c r="W630" s="21" t="s">
        <v>2402</v>
      </c>
      <c r="X630" s="3" t="s">
        <v>2276</v>
      </c>
      <c r="Y630" s="3" t="s">
        <v>2276</v>
      </c>
      <c r="Z630" s="3" t="s">
        <v>2276</v>
      </c>
      <c r="AA630" s="3" t="s">
        <v>968</v>
      </c>
      <c r="AB630" s="4" t="s">
        <v>2223</v>
      </c>
    </row>
    <row r="631" spans="1:28" ht="68.5" customHeight="1">
      <c r="A631" s="6" t="str">
        <f>'Reported burning'!A631</f>
        <v>70a</v>
      </c>
      <c r="B631" s="6" t="str">
        <f>'Reported burning'!B631</f>
        <v>70a.1</v>
      </c>
      <c r="C631" s="6" t="str">
        <f>'Reported burning'!C631</f>
        <v>Human, deliberate</v>
      </c>
      <c r="D631" s="6" t="str">
        <f>'Reported burning'!D631</f>
        <v>Crop field preparation</v>
      </c>
      <c r="E631" s="6" t="str">
        <f>'Reported burning'!E631</f>
        <v>Cropping, Swidden</v>
      </c>
      <c r="F631" s="6" t="str">
        <f>'Reported burning'!F631</f>
        <v>Secondary Vegetation</v>
      </c>
      <c r="G631" s="6">
        <f>'Reported burning'!G631</f>
        <v>0</v>
      </c>
      <c r="H631" s="6" t="str">
        <f>'Reported burning'!H631</f>
        <v>Presence</v>
      </c>
      <c r="I631" s="3"/>
      <c r="J631" s="21" t="s">
        <v>2276</v>
      </c>
      <c r="K631" s="103" t="s">
        <v>2276</v>
      </c>
      <c r="L631" s="21" t="s">
        <v>2276</v>
      </c>
      <c r="M631" s="21" t="s">
        <v>2276</v>
      </c>
      <c r="N631" s="21" t="s">
        <v>2276</v>
      </c>
      <c r="O631" s="21" t="s">
        <v>2276</v>
      </c>
      <c r="P631" s="21" t="s">
        <v>2276</v>
      </c>
      <c r="Q631" s="102" t="s">
        <v>2276</v>
      </c>
      <c r="R631" s="102" t="s">
        <v>2276</v>
      </c>
      <c r="S631" s="21" t="s">
        <v>2376</v>
      </c>
      <c r="T631" s="21" t="s">
        <v>2276</v>
      </c>
      <c r="U631" s="21" t="s">
        <v>2276</v>
      </c>
      <c r="V631" s="21" t="s">
        <v>2276</v>
      </c>
      <c r="W631" s="21" t="s">
        <v>2276</v>
      </c>
      <c r="X631" s="3" t="s">
        <v>2276</v>
      </c>
      <c r="Y631" s="3" t="s">
        <v>2276</v>
      </c>
      <c r="Z631" s="3" t="s">
        <v>2276</v>
      </c>
      <c r="AA631" s="3"/>
      <c r="AB631" s="4" t="s">
        <v>2225</v>
      </c>
    </row>
    <row r="632" spans="1:28" ht="38.5" customHeight="1">
      <c r="A632" s="6" t="str">
        <f>'Reported burning'!A632</f>
        <v>71a</v>
      </c>
      <c r="B632" s="6" t="str">
        <f>'Reported burning'!B632</f>
        <v xml:space="preserve">71a.1 </v>
      </c>
      <c r="C632" s="6" t="str">
        <f>'Reported burning'!C632</f>
        <v>Human, deliberate</v>
      </c>
      <c r="D632" s="6" t="str">
        <f>'Reported burning'!D632</f>
        <v>Forest clearance</v>
      </c>
      <c r="E632" s="6" t="str">
        <f>'Reported burning'!E632</f>
        <v>Cropping, Monoculture, Subsistence-oriented</v>
      </c>
      <c r="F632" s="6" t="str">
        <f>'Reported burning'!F632</f>
        <v>Forest</v>
      </c>
      <c r="G632" s="6">
        <f>'Reported burning'!G632</f>
        <v>0</v>
      </c>
      <c r="H632" s="6" t="str">
        <f>'Reported burning'!H632</f>
        <v>Presence</v>
      </c>
      <c r="I632" s="3"/>
      <c r="J632" s="21" t="s">
        <v>2276</v>
      </c>
      <c r="K632" s="103" t="s">
        <v>2276</v>
      </c>
      <c r="L632" s="21" t="s">
        <v>2276</v>
      </c>
      <c r="M632" s="21" t="s">
        <v>2276</v>
      </c>
      <c r="N632" s="21" t="s">
        <v>2276</v>
      </c>
      <c r="O632" s="21" t="s">
        <v>2276</v>
      </c>
      <c r="P632" s="21" t="s">
        <v>2276</v>
      </c>
      <c r="Q632" s="102" t="s">
        <v>2276</v>
      </c>
      <c r="R632" s="102" t="s">
        <v>2276</v>
      </c>
      <c r="S632" s="21" t="s">
        <v>2276</v>
      </c>
      <c r="T632" s="21" t="s">
        <v>2276</v>
      </c>
      <c r="U632" s="21" t="s">
        <v>2276</v>
      </c>
      <c r="V632" s="21" t="s">
        <v>2276</v>
      </c>
      <c r="W632" s="21" t="s">
        <v>2276</v>
      </c>
      <c r="X632" s="3" t="s">
        <v>2276</v>
      </c>
      <c r="Y632" s="3" t="s">
        <v>2276</v>
      </c>
      <c r="Z632" s="3" t="s">
        <v>2276</v>
      </c>
      <c r="AA632" s="3"/>
      <c r="AB632" s="3"/>
    </row>
    <row r="633" spans="1:28" ht="36" customHeight="1">
      <c r="A633" s="6" t="str">
        <f>'Reported burning'!A633</f>
        <v>71c</v>
      </c>
      <c r="B633" s="6" t="str">
        <f>'Reported burning'!B633</f>
        <v>71c.1</v>
      </c>
      <c r="C633" s="6" t="str">
        <f>'Reported burning'!C633</f>
        <v>Human, deliberate</v>
      </c>
      <c r="D633" s="6" t="str">
        <f>'Reported burning'!D633</f>
        <v>Crop field preparation</v>
      </c>
      <c r="E633" s="6" t="str">
        <f>'Reported burning'!E633</f>
        <v>Cropping, Swidden</v>
      </c>
      <c r="F633" s="6" t="str">
        <f>'Reported burning'!F633</f>
        <v>Secondary Vegetation</v>
      </c>
      <c r="G633" s="6">
        <f>'Reported burning'!G633</f>
        <v>0</v>
      </c>
      <c r="H633" s="6" t="str">
        <f>'Reported burning'!H633</f>
        <v>Presence</v>
      </c>
      <c r="I633" s="3"/>
      <c r="J633" s="21" t="s">
        <v>2276</v>
      </c>
      <c r="K633" s="103" t="s">
        <v>2276</v>
      </c>
      <c r="L633" s="21" t="s">
        <v>2276</v>
      </c>
      <c r="M633" s="21" t="s">
        <v>2276</v>
      </c>
      <c r="N633" s="21" t="s">
        <v>2276</v>
      </c>
      <c r="O633" s="21" t="s">
        <v>2276</v>
      </c>
      <c r="P633" s="21" t="s">
        <v>2276</v>
      </c>
      <c r="Q633" s="102" t="s">
        <v>2276</v>
      </c>
      <c r="R633" s="102" t="s">
        <v>2276</v>
      </c>
      <c r="S633" s="21" t="s">
        <v>2276</v>
      </c>
      <c r="T633" s="21" t="s">
        <v>2276</v>
      </c>
      <c r="U633" s="21" t="s">
        <v>2276</v>
      </c>
      <c r="V633" s="21" t="s">
        <v>2276</v>
      </c>
      <c r="W633" s="21" t="s">
        <v>2276</v>
      </c>
      <c r="X633" s="3" t="s">
        <v>2276</v>
      </c>
      <c r="Y633" s="3" t="s">
        <v>2276</v>
      </c>
      <c r="Z633" s="3" t="s">
        <v>2276</v>
      </c>
      <c r="AA633" s="3"/>
      <c r="AB633" s="3"/>
    </row>
    <row r="634" spans="1:28" ht="34.5" customHeight="1">
      <c r="A634" s="6" t="str">
        <f>'Reported burning'!A634</f>
        <v>72a</v>
      </c>
      <c r="B634" s="6" t="str">
        <f>'Reported burning'!B634</f>
        <v>72a.1</v>
      </c>
      <c r="C634" s="6" t="str">
        <f>'Reported burning'!C634</f>
        <v>Human, deliberate</v>
      </c>
      <c r="D634" s="6" t="str">
        <f>'Reported burning'!D634</f>
        <v>Crop field preparation</v>
      </c>
      <c r="E634" s="6" t="str">
        <f>'Reported burning'!E634</f>
        <v>Cropping, Swidden</v>
      </c>
      <c r="F634" s="6" t="str">
        <f>'Reported burning'!F634</f>
        <v>Secondary Vegetation</v>
      </c>
      <c r="G634" s="6">
        <f>'Reported burning'!G634</f>
        <v>0</v>
      </c>
      <c r="H634" s="6" t="str">
        <f>'Reported burning'!H634</f>
        <v>Presence</v>
      </c>
      <c r="I634" s="3"/>
      <c r="J634" s="21" t="s">
        <v>2276</v>
      </c>
      <c r="K634" s="103" t="s">
        <v>2276</v>
      </c>
      <c r="L634" s="21" t="s">
        <v>2276</v>
      </c>
      <c r="M634" s="21" t="s">
        <v>2276</v>
      </c>
      <c r="N634" s="21" t="s">
        <v>2276</v>
      </c>
      <c r="O634" s="21" t="s">
        <v>2276</v>
      </c>
      <c r="P634" s="21" t="s">
        <v>2276</v>
      </c>
      <c r="Q634" s="102" t="s">
        <v>2276</v>
      </c>
      <c r="R634" s="102" t="s">
        <v>2276</v>
      </c>
      <c r="S634" s="21" t="s">
        <v>2276</v>
      </c>
      <c r="T634" s="21" t="s">
        <v>2276</v>
      </c>
      <c r="U634" s="21" t="s">
        <v>2374</v>
      </c>
      <c r="V634" s="21" t="s">
        <v>2276</v>
      </c>
      <c r="W634" s="21" t="s">
        <v>2403</v>
      </c>
      <c r="X634" s="3" t="s">
        <v>2276</v>
      </c>
      <c r="Y634" s="3" t="s">
        <v>2276</v>
      </c>
      <c r="Z634" s="3" t="s">
        <v>2276</v>
      </c>
      <c r="AA634" s="3" t="s">
        <v>1007</v>
      </c>
      <c r="AB634" s="4" t="s">
        <v>718</v>
      </c>
    </row>
    <row r="635" spans="1:28" ht="61" customHeight="1">
      <c r="A635" s="6" t="str">
        <f>'Reported burning'!A635</f>
        <v>72a</v>
      </c>
      <c r="B635" s="6" t="str">
        <f>'Reported burning'!B635</f>
        <v>72a.2</v>
      </c>
      <c r="C635" s="6" t="str">
        <f>'Reported burning'!C635</f>
        <v>Human, deliberate</v>
      </c>
      <c r="D635" s="6" t="str">
        <f>'Reported burning'!D635</f>
        <v>Land clearance</v>
      </c>
      <c r="E635" s="6" t="str">
        <f>'Reported burning'!E635</f>
        <v>Cropping, Monoculture, Market-oriented</v>
      </c>
      <c r="F635" s="6" t="str">
        <f>'Reported burning'!F635</f>
        <v>Secondary Vegetation</v>
      </c>
      <c r="G635" s="6">
        <f>'Reported burning'!G635</f>
        <v>0</v>
      </c>
      <c r="H635" s="6" t="str">
        <f>'Reported burning'!H635</f>
        <v>Presence</v>
      </c>
      <c r="I635" s="3"/>
      <c r="J635" s="21" t="s">
        <v>2276</v>
      </c>
      <c r="K635" s="103" t="s">
        <v>2276</v>
      </c>
      <c r="L635" s="21" t="s">
        <v>2276</v>
      </c>
      <c r="M635" s="21" t="s">
        <v>2276</v>
      </c>
      <c r="N635" s="21" t="s">
        <v>2276</v>
      </c>
      <c r="O635" s="21" t="s">
        <v>2276</v>
      </c>
      <c r="P635" s="21" t="s">
        <v>2276</v>
      </c>
      <c r="Q635" s="102" t="s">
        <v>2276</v>
      </c>
      <c r="R635" s="102" t="s">
        <v>2276</v>
      </c>
      <c r="S635" s="21" t="s">
        <v>2276</v>
      </c>
      <c r="T635" s="21" t="s">
        <v>2276</v>
      </c>
      <c r="U635" s="21" t="s">
        <v>2276</v>
      </c>
      <c r="V635" s="21" t="s">
        <v>2276</v>
      </c>
      <c r="W635" s="21" t="s">
        <v>2276</v>
      </c>
      <c r="X635" s="3" t="s">
        <v>2276</v>
      </c>
      <c r="Y635" s="3" t="s">
        <v>2276</v>
      </c>
      <c r="Z635" s="3" t="s">
        <v>2276</v>
      </c>
      <c r="AA635" s="4" t="s">
        <v>2232</v>
      </c>
      <c r="AB635" s="4"/>
    </row>
    <row r="636" spans="1:28" ht="65" customHeight="1">
      <c r="A636" s="6" t="str">
        <f>'Reported burning'!A636</f>
        <v>72b</v>
      </c>
      <c r="B636" s="6" t="str">
        <f>'Reported burning'!B636</f>
        <v>72b.1</v>
      </c>
      <c r="C636" s="6" t="str">
        <f>'Reported burning'!C636</f>
        <v>Human, deliberate</v>
      </c>
      <c r="D636" s="6" t="str">
        <f>'Reported burning'!D636</f>
        <v>Crop field preparation</v>
      </c>
      <c r="E636" s="6" t="str">
        <f>'Reported burning'!E636</f>
        <v>Cropping, Swidden</v>
      </c>
      <c r="F636" s="6" t="str">
        <f>'Reported burning'!F636</f>
        <v>Secondary Vegetation</v>
      </c>
      <c r="G636" s="6">
        <f>'Reported burning'!G636</f>
        <v>0</v>
      </c>
      <c r="H636" s="6" t="str">
        <f>'Reported burning'!H636</f>
        <v>Presence</v>
      </c>
      <c r="I636" s="3"/>
      <c r="J636" s="21" t="s">
        <v>2276</v>
      </c>
      <c r="K636" s="103" t="s">
        <v>2276</v>
      </c>
      <c r="L636" s="21" t="s">
        <v>2276</v>
      </c>
      <c r="M636" s="21" t="s">
        <v>2276</v>
      </c>
      <c r="N636" s="21" t="s">
        <v>2276</v>
      </c>
      <c r="O636" s="21" t="s">
        <v>2276</v>
      </c>
      <c r="P636" s="21" t="s">
        <v>2276</v>
      </c>
      <c r="Q636" s="102" t="s">
        <v>2276</v>
      </c>
      <c r="R636" s="102" t="s">
        <v>2276</v>
      </c>
      <c r="S636" s="21" t="s">
        <v>2276</v>
      </c>
      <c r="T636" s="21" t="s">
        <v>2276</v>
      </c>
      <c r="U636" s="21" t="s">
        <v>2527</v>
      </c>
      <c r="V636" s="21" t="s">
        <v>2276</v>
      </c>
      <c r="W636" s="21" t="s">
        <v>2403</v>
      </c>
      <c r="X636" s="3" t="s">
        <v>2276</v>
      </c>
      <c r="Y636" s="3" t="s">
        <v>2276</v>
      </c>
      <c r="Z636" s="3" t="s">
        <v>2276</v>
      </c>
      <c r="AA636" s="3" t="s">
        <v>1007</v>
      </c>
      <c r="AB636" s="4" t="s">
        <v>1008</v>
      </c>
    </row>
    <row r="637" spans="1:28" ht="65" customHeight="1">
      <c r="A637" s="6" t="str">
        <f>'Reported burning'!A637</f>
        <v>72b</v>
      </c>
      <c r="B637" s="6" t="str">
        <f>'Reported burning'!B637</f>
        <v>72b.2</v>
      </c>
      <c r="C637" s="6" t="str">
        <f>'Reported burning'!C637</f>
        <v>Human, deliberate</v>
      </c>
      <c r="D637" s="6" t="str">
        <f>'Reported burning'!D637</f>
        <v>Land clearance</v>
      </c>
      <c r="E637" s="6" t="str">
        <f>'Reported burning'!E637</f>
        <v>Cropping, Monoculture, Market-oriented</v>
      </c>
      <c r="F637" s="6" t="str">
        <f>'Reported burning'!F637</f>
        <v>Secondary Vegetation</v>
      </c>
      <c r="G637" s="6">
        <f>'Reported burning'!G637</f>
        <v>0</v>
      </c>
      <c r="H637" s="6" t="str">
        <f>'Reported burning'!H637</f>
        <v>Presence</v>
      </c>
      <c r="I637" s="3"/>
      <c r="J637" s="21" t="s">
        <v>2276</v>
      </c>
      <c r="K637" s="103" t="s">
        <v>2276</v>
      </c>
      <c r="L637" s="21" t="s">
        <v>2276</v>
      </c>
      <c r="M637" s="21" t="s">
        <v>2276</v>
      </c>
      <c r="N637" s="21" t="s">
        <v>2276</v>
      </c>
      <c r="O637" s="21" t="s">
        <v>2276</v>
      </c>
      <c r="P637" s="21" t="s">
        <v>2276</v>
      </c>
      <c r="Q637" s="102" t="s">
        <v>2276</v>
      </c>
      <c r="R637" s="102" t="s">
        <v>2276</v>
      </c>
      <c r="S637" s="21" t="s">
        <v>2276</v>
      </c>
      <c r="T637" s="21" t="s">
        <v>2276</v>
      </c>
      <c r="U637" s="21" t="s">
        <v>2276</v>
      </c>
      <c r="V637" s="21" t="s">
        <v>2276</v>
      </c>
      <c r="W637" s="21" t="s">
        <v>2276</v>
      </c>
      <c r="X637" s="3" t="s">
        <v>2276</v>
      </c>
      <c r="Y637" s="3" t="s">
        <v>2276</v>
      </c>
      <c r="Z637" s="3" t="s">
        <v>2276</v>
      </c>
      <c r="AA637" s="4" t="s">
        <v>2237</v>
      </c>
      <c r="AB637" s="4"/>
    </row>
    <row r="638" spans="1:28" ht="60.5" customHeight="1">
      <c r="A638" s="6" t="str">
        <f>'Reported burning'!A638</f>
        <v>72c</v>
      </c>
      <c r="B638" s="6" t="str">
        <f>'Reported burning'!B638</f>
        <v>72c.1</v>
      </c>
      <c r="C638" s="6" t="str">
        <f>'Reported burning'!C638</f>
        <v>Human, deliberate</v>
      </c>
      <c r="D638" s="6" t="str">
        <f>'Reported burning'!D638</f>
        <v>Crop field preparation</v>
      </c>
      <c r="E638" s="6" t="str">
        <f>'Reported burning'!E638</f>
        <v>Cropping, Swidden</v>
      </c>
      <c r="F638" s="6" t="str">
        <f>'Reported burning'!F638</f>
        <v>Secondary Vegetation</v>
      </c>
      <c r="G638" s="6">
        <f>'Reported burning'!G638</f>
        <v>0</v>
      </c>
      <c r="H638" s="6" t="str">
        <f>'Reported burning'!H638</f>
        <v>Presence</v>
      </c>
      <c r="I638" s="3"/>
      <c r="J638" s="21" t="s">
        <v>2276</v>
      </c>
      <c r="K638" s="103" t="s">
        <v>2276</v>
      </c>
      <c r="L638" s="21" t="s">
        <v>2276</v>
      </c>
      <c r="M638" s="21" t="s">
        <v>2276</v>
      </c>
      <c r="N638" s="21" t="s">
        <v>2276</v>
      </c>
      <c r="O638" s="21" t="s">
        <v>2276</v>
      </c>
      <c r="P638" s="21" t="s">
        <v>2276</v>
      </c>
      <c r="Q638" s="102" t="s">
        <v>2276</v>
      </c>
      <c r="R638" s="102" t="s">
        <v>2276</v>
      </c>
      <c r="S638" s="21" t="s">
        <v>2276</v>
      </c>
      <c r="T638" s="21" t="s">
        <v>2276</v>
      </c>
      <c r="U638" s="21" t="s">
        <v>2374</v>
      </c>
      <c r="V638" s="21" t="s">
        <v>2276</v>
      </c>
      <c r="W638" s="21" t="s">
        <v>2403</v>
      </c>
      <c r="X638" s="3" t="s">
        <v>2276</v>
      </c>
      <c r="Y638" s="3" t="s">
        <v>2276</v>
      </c>
      <c r="Z638" s="3" t="s">
        <v>2276</v>
      </c>
      <c r="AA638" s="3" t="s">
        <v>1007</v>
      </c>
      <c r="AB638" s="4" t="s">
        <v>1008</v>
      </c>
    </row>
    <row r="639" spans="1:28" ht="60.5" customHeight="1">
      <c r="A639" s="6" t="str">
        <f>'Reported burning'!A639</f>
        <v>72c</v>
      </c>
      <c r="B639" s="6" t="str">
        <f>'Reported burning'!B639</f>
        <v>72c.2</v>
      </c>
      <c r="C639" s="6" t="str">
        <f>'Reported burning'!C639</f>
        <v>Human, deliberate</v>
      </c>
      <c r="D639" s="6" t="str">
        <f>'Reported burning'!D639</f>
        <v>Land clearance</v>
      </c>
      <c r="E639" s="6" t="str">
        <f>'Reported burning'!E639</f>
        <v>Cropping, Monoculture, Market-oriented</v>
      </c>
      <c r="F639" s="6" t="str">
        <f>'Reported burning'!F639</f>
        <v>Secondary Vegetation</v>
      </c>
      <c r="G639" s="6">
        <f>'Reported burning'!G639</f>
        <v>0</v>
      </c>
      <c r="H639" s="6" t="str">
        <f>'Reported burning'!H639</f>
        <v>Presence</v>
      </c>
      <c r="I639" s="3"/>
      <c r="J639" s="21" t="s">
        <v>2276</v>
      </c>
      <c r="K639" s="103" t="s">
        <v>2276</v>
      </c>
      <c r="L639" s="21" t="s">
        <v>2276</v>
      </c>
      <c r="M639" s="21" t="s">
        <v>2276</v>
      </c>
      <c r="N639" s="21" t="s">
        <v>2276</v>
      </c>
      <c r="O639" s="21" t="s">
        <v>2276</v>
      </c>
      <c r="P639" s="21" t="s">
        <v>2276</v>
      </c>
      <c r="Q639" s="102" t="s">
        <v>2276</v>
      </c>
      <c r="R639" s="102" t="s">
        <v>2276</v>
      </c>
      <c r="S639" s="21" t="s">
        <v>2276</v>
      </c>
      <c r="T639" s="21" t="s">
        <v>2276</v>
      </c>
      <c r="U639" s="21" t="s">
        <v>2276</v>
      </c>
      <c r="V639" s="21" t="s">
        <v>2276</v>
      </c>
      <c r="W639" s="21" t="s">
        <v>2276</v>
      </c>
      <c r="X639" s="3" t="s">
        <v>2276</v>
      </c>
      <c r="Y639" s="3" t="s">
        <v>2276</v>
      </c>
      <c r="Z639" s="3" t="s">
        <v>2276</v>
      </c>
      <c r="AA639" s="4" t="s">
        <v>2238</v>
      </c>
      <c r="AB639" s="4"/>
    </row>
    <row r="640" spans="1:28" ht="60" customHeight="1">
      <c r="A640" s="6" t="str">
        <f>'Reported burning'!A640</f>
        <v>72d</v>
      </c>
      <c r="B640" s="6" t="str">
        <f>'Reported burning'!B640</f>
        <v>72d.1</v>
      </c>
      <c r="C640" s="6" t="str">
        <f>'Reported burning'!C640</f>
        <v>Human, deliberate</v>
      </c>
      <c r="D640" s="6" t="str">
        <f>'Reported burning'!D640</f>
        <v>Crop field preparation</v>
      </c>
      <c r="E640" s="6" t="str">
        <f>'Reported burning'!E640</f>
        <v>Cropping, Swidden</v>
      </c>
      <c r="F640" s="6" t="str">
        <f>'Reported burning'!F640</f>
        <v>Secondary Vegetation</v>
      </c>
      <c r="G640" s="6">
        <f>'Reported burning'!G640</f>
        <v>0</v>
      </c>
      <c r="H640" s="6" t="str">
        <f>'Reported burning'!H640</f>
        <v>Presence</v>
      </c>
      <c r="I640" s="3"/>
      <c r="J640" s="21" t="s">
        <v>2276</v>
      </c>
      <c r="K640" s="103" t="s">
        <v>2276</v>
      </c>
      <c r="L640" s="21" t="s">
        <v>2276</v>
      </c>
      <c r="M640" s="21" t="s">
        <v>2276</v>
      </c>
      <c r="N640" s="21" t="s">
        <v>2276</v>
      </c>
      <c r="O640" s="21" t="s">
        <v>2276</v>
      </c>
      <c r="P640" s="21" t="s">
        <v>2276</v>
      </c>
      <c r="Q640" s="102" t="s">
        <v>2276</v>
      </c>
      <c r="R640" s="102" t="s">
        <v>2276</v>
      </c>
      <c r="S640" s="21" t="s">
        <v>2276</v>
      </c>
      <c r="T640" s="21" t="s">
        <v>2276</v>
      </c>
      <c r="U640" s="21" t="s">
        <v>2374</v>
      </c>
      <c r="V640" s="21" t="s">
        <v>2276</v>
      </c>
      <c r="W640" s="21" t="s">
        <v>2403</v>
      </c>
      <c r="X640" s="3" t="s">
        <v>2276</v>
      </c>
      <c r="Y640" s="3" t="s">
        <v>2276</v>
      </c>
      <c r="Z640" s="3" t="s">
        <v>2276</v>
      </c>
      <c r="AA640" s="3" t="s">
        <v>1007</v>
      </c>
      <c r="AB640" s="4" t="s">
        <v>1008</v>
      </c>
    </row>
    <row r="641" spans="1:28" ht="60" customHeight="1">
      <c r="A641" s="6" t="str">
        <f>'Reported burning'!A641</f>
        <v>72d</v>
      </c>
      <c r="B641" s="6" t="str">
        <f>'Reported burning'!B641</f>
        <v>72d.2</v>
      </c>
      <c r="C641" s="6" t="str">
        <f>'Reported burning'!C641</f>
        <v>Human, deliberate</v>
      </c>
      <c r="D641" s="6" t="str">
        <f>'Reported burning'!D641</f>
        <v>Land clearance</v>
      </c>
      <c r="E641" s="6" t="str">
        <f>'Reported burning'!E641</f>
        <v>Cropping, Monoculture, Market-oriented</v>
      </c>
      <c r="F641" s="6" t="str">
        <f>'Reported burning'!F641</f>
        <v>Secondary Vegetation</v>
      </c>
      <c r="G641" s="6">
        <f>'Reported burning'!G641</f>
        <v>0</v>
      </c>
      <c r="H641" s="6" t="str">
        <f>'Reported burning'!H641</f>
        <v>Presence</v>
      </c>
      <c r="I641" s="3"/>
      <c r="J641" s="21" t="s">
        <v>2276</v>
      </c>
      <c r="K641" s="103" t="s">
        <v>2276</v>
      </c>
      <c r="L641" s="21" t="s">
        <v>2276</v>
      </c>
      <c r="M641" s="21" t="s">
        <v>2276</v>
      </c>
      <c r="N641" s="21" t="s">
        <v>2276</v>
      </c>
      <c r="O641" s="21" t="s">
        <v>2276</v>
      </c>
      <c r="P641" s="21" t="s">
        <v>2276</v>
      </c>
      <c r="Q641" s="102" t="s">
        <v>2276</v>
      </c>
      <c r="R641" s="102" t="s">
        <v>2276</v>
      </c>
      <c r="S641" s="21" t="s">
        <v>2276</v>
      </c>
      <c r="T641" s="21" t="s">
        <v>2276</v>
      </c>
      <c r="U641" s="21" t="s">
        <v>2276</v>
      </c>
      <c r="V641" s="21" t="s">
        <v>2276</v>
      </c>
      <c r="W641" s="21" t="s">
        <v>2276</v>
      </c>
      <c r="X641" s="3" t="s">
        <v>2276</v>
      </c>
      <c r="Y641" s="3" t="s">
        <v>2276</v>
      </c>
      <c r="Z641" s="3" t="s">
        <v>2276</v>
      </c>
      <c r="AA641" s="4" t="s">
        <v>2239</v>
      </c>
      <c r="AB641" s="4"/>
    </row>
    <row r="642" spans="1:28" ht="57.5" customHeight="1">
      <c r="A642" s="6" t="str">
        <f>'Reported burning'!A642</f>
        <v>72e</v>
      </c>
      <c r="B642" s="6" t="str">
        <f>'Reported burning'!B642</f>
        <v>72e.1</v>
      </c>
      <c r="C642" s="6" t="str">
        <f>'Reported burning'!C642</f>
        <v>Human, deliberate</v>
      </c>
      <c r="D642" s="6" t="str">
        <f>'Reported burning'!D642</f>
        <v>Crop field preparation</v>
      </c>
      <c r="E642" s="6" t="str">
        <f>'Reported burning'!E642</f>
        <v>Cropping, Swidden</v>
      </c>
      <c r="F642" s="6" t="str">
        <f>'Reported burning'!F642</f>
        <v>Secondary Vegetation</v>
      </c>
      <c r="G642" s="6">
        <f>'Reported burning'!G642</f>
        <v>0</v>
      </c>
      <c r="H642" s="6" t="str">
        <f>'Reported burning'!H642</f>
        <v>Presence</v>
      </c>
      <c r="I642" s="3"/>
      <c r="J642" s="21" t="s">
        <v>2276</v>
      </c>
      <c r="K642" s="103" t="s">
        <v>2276</v>
      </c>
      <c r="L642" s="21" t="s">
        <v>2276</v>
      </c>
      <c r="M642" s="21" t="s">
        <v>2276</v>
      </c>
      <c r="N642" s="21" t="s">
        <v>2276</v>
      </c>
      <c r="O642" s="21" t="s">
        <v>2276</v>
      </c>
      <c r="P642" s="21" t="s">
        <v>2276</v>
      </c>
      <c r="Q642" s="102" t="s">
        <v>2276</v>
      </c>
      <c r="R642" s="102" t="s">
        <v>2276</v>
      </c>
      <c r="S642" s="21" t="s">
        <v>2276</v>
      </c>
      <c r="T642" s="21" t="s">
        <v>2276</v>
      </c>
      <c r="U642" s="21" t="s">
        <v>2527</v>
      </c>
      <c r="V642" s="21" t="s">
        <v>2276</v>
      </c>
      <c r="W642" s="21" t="s">
        <v>2402</v>
      </c>
      <c r="X642" s="3" t="s">
        <v>2276</v>
      </c>
      <c r="Y642" s="3" t="s">
        <v>2276</v>
      </c>
      <c r="Z642" s="3" t="s">
        <v>2276</v>
      </c>
      <c r="AA642" s="3" t="s">
        <v>1007</v>
      </c>
      <c r="AB642" s="4" t="s">
        <v>718</v>
      </c>
    </row>
    <row r="643" spans="1:28" ht="57.5" customHeight="1">
      <c r="A643" s="6" t="str">
        <f>'Reported burning'!A643</f>
        <v>72e</v>
      </c>
      <c r="B643" s="6" t="str">
        <f>'Reported burning'!B643</f>
        <v>72e.2</v>
      </c>
      <c r="C643" s="6" t="str">
        <f>'Reported burning'!C643</f>
        <v>Human, deliberate</v>
      </c>
      <c r="D643" s="6" t="str">
        <f>'Reported burning'!D643</f>
        <v>Land clearance</v>
      </c>
      <c r="E643" s="6" t="str">
        <f>'Reported burning'!E643</f>
        <v>Cropping, Monoculture, Market-oriented</v>
      </c>
      <c r="F643" s="6" t="str">
        <f>'Reported burning'!F643</f>
        <v>Secondary Vegetation</v>
      </c>
      <c r="G643" s="6">
        <f>'Reported burning'!G643</f>
        <v>0</v>
      </c>
      <c r="H643" s="6" t="str">
        <f>'Reported burning'!H643</f>
        <v>Presence</v>
      </c>
      <c r="I643" s="3"/>
      <c r="J643" s="21" t="s">
        <v>2276</v>
      </c>
      <c r="K643" s="103" t="s">
        <v>2276</v>
      </c>
      <c r="L643" s="21" t="s">
        <v>2276</v>
      </c>
      <c r="M643" s="21" t="s">
        <v>2276</v>
      </c>
      <c r="N643" s="21" t="s">
        <v>2276</v>
      </c>
      <c r="O643" s="21" t="s">
        <v>2276</v>
      </c>
      <c r="P643" s="21" t="s">
        <v>2276</v>
      </c>
      <c r="Q643" s="102" t="s">
        <v>2276</v>
      </c>
      <c r="R643" s="102" t="s">
        <v>2276</v>
      </c>
      <c r="S643" s="21" t="s">
        <v>2276</v>
      </c>
      <c r="T643" s="21" t="s">
        <v>2276</v>
      </c>
      <c r="U643" s="21" t="s">
        <v>2276</v>
      </c>
      <c r="V643" s="21" t="s">
        <v>2276</v>
      </c>
      <c r="W643" s="21" t="s">
        <v>2276</v>
      </c>
      <c r="X643" s="3" t="s">
        <v>2276</v>
      </c>
      <c r="Y643" s="3" t="s">
        <v>2276</v>
      </c>
      <c r="Z643" s="3" t="s">
        <v>2276</v>
      </c>
      <c r="AA643" s="4" t="s">
        <v>2240</v>
      </c>
      <c r="AB643" s="4"/>
    </row>
    <row r="644" spans="1:28" ht="61" customHeight="1">
      <c r="A644" s="6" t="str">
        <f>'Reported burning'!A644</f>
        <v>72f</v>
      </c>
      <c r="B644" s="6" t="str">
        <f>'Reported burning'!B644</f>
        <v>72f.1</v>
      </c>
      <c r="C644" s="6" t="str">
        <f>'Reported burning'!C644</f>
        <v>Human, deliberate</v>
      </c>
      <c r="D644" s="6" t="str">
        <f>'Reported burning'!D644</f>
        <v>Crop field preparation</v>
      </c>
      <c r="E644" s="6" t="str">
        <f>'Reported burning'!E644</f>
        <v>Cropping, Swidden</v>
      </c>
      <c r="F644" s="6" t="str">
        <f>'Reported burning'!F644</f>
        <v>Secondary Vegetation</v>
      </c>
      <c r="G644" s="6">
        <f>'Reported burning'!G644</f>
        <v>0</v>
      </c>
      <c r="H644" s="6" t="str">
        <f>'Reported burning'!H644</f>
        <v>Presence</v>
      </c>
      <c r="I644" s="3"/>
      <c r="J644" s="21" t="s">
        <v>2276</v>
      </c>
      <c r="K644" s="103" t="s">
        <v>2276</v>
      </c>
      <c r="L644" s="21" t="s">
        <v>2276</v>
      </c>
      <c r="M644" s="21" t="s">
        <v>2276</v>
      </c>
      <c r="N644" s="21" t="s">
        <v>2276</v>
      </c>
      <c r="O644" s="21" t="s">
        <v>2276</v>
      </c>
      <c r="P644" s="21" t="s">
        <v>2276</v>
      </c>
      <c r="Q644" s="102" t="s">
        <v>2276</v>
      </c>
      <c r="R644" s="102" t="s">
        <v>2276</v>
      </c>
      <c r="S644" s="21" t="s">
        <v>2276</v>
      </c>
      <c r="T644" s="21" t="s">
        <v>2276</v>
      </c>
      <c r="U644" s="21" t="s">
        <v>2527</v>
      </c>
      <c r="V644" s="21" t="s">
        <v>2276</v>
      </c>
      <c r="W644" s="21" t="s">
        <v>2404</v>
      </c>
      <c r="X644" s="3" t="s">
        <v>2276</v>
      </c>
      <c r="Y644" s="3" t="s">
        <v>2276</v>
      </c>
      <c r="Z644" s="3" t="s">
        <v>2276</v>
      </c>
      <c r="AA644" s="3" t="s">
        <v>1007</v>
      </c>
      <c r="AB644" s="4" t="s">
        <v>2228</v>
      </c>
    </row>
    <row r="645" spans="1:28" ht="71.5" customHeight="1">
      <c r="A645" s="6" t="str">
        <f>'Reported burning'!A645</f>
        <v>72g</v>
      </c>
      <c r="B645" s="6" t="str">
        <f>'Reported burning'!B645</f>
        <v>72g.1</v>
      </c>
      <c r="C645" s="6" t="str">
        <f>'Reported burning'!C645</f>
        <v>Human, deliberate</v>
      </c>
      <c r="D645" s="6" t="str">
        <f>'Reported burning'!D645</f>
        <v>Crop field preparation</v>
      </c>
      <c r="E645" s="6" t="str">
        <f>'Reported burning'!E645</f>
        <v>Cropping, Swidden</v>
      </c>
      <c r="F645" s="6" t="str">
        <f>'Reported burning'!F645</f>
        <v>Secondary Vegetation</v>
      </c>
      <c r="G645" s="6">
        <f>'Reported burning'!G645</f>
        <v>0</v>
      </c>
      <c r="H645" s="6" t="str">
        <f>'Reported burning'!H645</f>
        <v>Presence</v>
      </c>
      <c r="I645" s="3"/>
      <c r="J645" s="21" t="s">
        <v>2276</v>
      </c>
      <c r="K645" s="103" t="s">
        <v>2276</v>
      </c>
      <c r="L645" s="21" t="s">
        <v>2276</v>
      </c>
      <c r="M645" s="21" t="s">
        <v>2276</v>
      </c>
      <c r="N645" s="21" t="s">
        <v>2276</v>
      </c>
      <c r="O645" s="21" t="s">
        <v>2276</v>
      </c>
      <c r="P645" s="21" t="s">
        <v>2276</v>
      </c>
      <c r="Q645" s="102" t="s">
        <v>2276</v>
      </c>
      <c r="R645" s="102" t="s">
        <v>2276</v>
      </c>
      <c r="S645" s="21" t="s">
        <v>2276</v>
      </c>
      <c r="T645" s="21" t="s">
        <v>2276</v>
      </c>
      <c r="U645" s="21" t="s">
        <v>2374</v>
      </c>
      <c r="V645" s="21" t="s">
        <v>2276</v>
      </c>
      <c r="W645" s="21" t="s">
        <v>2403</v>
      </c>
      <c r="X645" s="3" t="s">
        <v>2276</v>
      </c>
      <c r="Y645" s="3" t="s">
        <v>2276</v>
      </c>
      <c r="Z645" s="3" t="s">
        <v>2276</v>
      </c>
      <c r="AA645" s="3" t="s">
        <v>1007</v>
      </c>
      <c r="AB645" s="4" t="s">
        <v>2229</v>
      </c>
    </row>
    <row r="646" spans="1:28" ht="74" customHeight="1">
      <c r="A646" s="6" t="str">
        <f>'Reported burning'!A646</f>
        <v>72h</v>
      </c>
      <c r="B646" s="6" t="str">
        <f>'Reported burning'!B646</f>
        <v>72h.1</v>
      </c>
      <c r="C646" s="6" t="str">
        <f>'Reported burning'!C646</f>
        <v>Human, deliberate</v>
      </c>
      <c r="D646" s="6" t="str">
        <f>'Reported burning'!D646</f>
        <v>Crop field preparation</v>
      </c>
      <c r="E646" s="6" t="str">
        <f>'Reported burning'!E646</f>
        <v>Cropping, Swidden</v>
      </c>
      <c r="F646" s="6" t="str">
        <f>'Reported burning'!F646</f>
        <v>Secondary Vegetation</v>
      </c>
      <c r="G646" s="6">
        <f>'Reported burning'!G646</f>
        <v>0</v>
      </c>
      <c r="H646" s="6" t="str">
        <f>'Reported burning'!H646</f>
        <v>Presence</v>
      </c>
      <c r="I646" s="3"/>
      <c r="J646" s="21" t="s">
        <v>2276</v>
      </c>
      <c r="K646" s="103" t="s">
        <v>2276</v>
      </c>
      <c r="L646" s="21" t="s">
        <v>2276</v>
      </c>
      <c r="M646" s="21" t="s">
        <v>2276</v>
      </c>
      <c r="N646" s="21" t="s">
        <v>2276</v>
      </c>
      <c r="O646" s="21" t="s">
        <v>2276</v>
      </c>
      <c r="P646" s="21" t="s">
        <v>2276</v>
      </c>
      <c r="Q646" s="102" t="s">
        <v>2276</v>
      </c>
      <c r="R646" s="102" t="s">
        <v>2276</v>
      </c>
      <c r="S646" s="21" t="s">
        <v>2276</v>
      </c>
      <c r="T646" s="21" t="s">
        <v>2276</v>
      </c>
      <c r="U646" s="21" t="s">
        <v>2527</v>
      </c>
      <c r="V646" s="21" t="s">
        <v>2276</v>
      </c>
      <c r="W646" s="21" t="s">
        <v>2403</v>
      </c>
      <c r="X646" s="3" t="s">
        <v>2276</v>
      </c>
      <c r="Y646" s="3" t="s">
        <v>2276</v>
      </c>
      <c r="Z646" s="3" t="s">
        <v>2276</v>
      </c>
      <c r="AA646" s="3" t="s">
        <v>1007</v>
      </c>
      <c r="AB646" s="4" t="s">
        <v>2229</v>
      </c>
    </row>
    <row r="647" spans="1:28" ht="74" customHeight="1">
      <c r="A647" s="6" t="str">
        <f>'Reported burning'!A647</f>
        <v>72h</v>
      </c>
      <c r="B647" s="6" t="str">
        <f>'Reported burning'!B647</f>
        <v>72h.2</v>
      </c>
      <c r="C647" s="6" t="str">
        <f>'Reported burning'!C647</f>
        <v>Human, deliberate</v>
      </c>
      <c r="D647" s="6" t="str">
        <f>'Reported burning'!D647</f>
        <v>Land clearance</v>
      </c>
      <c r="E647" s="6" t="str">
        <f>'Reported burning'!E647</f>
        <v>Cropping, Monoculture, Market-oriented</v>
      </c>
      <c r="F647" s="6" t="str">
        <f>'Reported burning'!F647</f>
        <v>Secondary Vegetation</v>
      </c>
      <c r="G647" s="6">
        <f>'Reported burning'!G647</f>
        <v>0</v>
      </c>
      <c r="H647" s="6" t="str">
        <f>'Reported burning'!H647</f>
        <v>Presence</v>
      </c>
      <c r="I647" s="3"/>
      <c r="J647" s="21" t="s">
        <v>2276</v>
      </c>
      <c r="K647" s="103" t="s">
        <v>2276</v>
      </c>
      <c r="L647" s="21" t="s">
        <v>2276</v>
      </c>
      <c r="M647" s="21" t="s">
        <v>2276</v>
      </c>
      <c r="N647" s="21" t="s">
        <v>2276</v>
      </c>
      <c r="O647" s="21" t="s">
        <v>2276</v>
      </c>
      <c r="P647" s="21" t="s">
        <v>2276</v>
      </c>
      <c r="Q647" s="102" t="s">
        <v>2276</v>
      </c>
      <c r="R647" s="102" t="s">
        <v>2276</v>
      </c>
      <c r="S647" s="21" t="s">
        <v>2276</v>
      </c>
      <c r="T647" s="21" t="s">
        <v>2276</v>
      </c>
      <c r="U647" s="21" t="s">
        <v>2276</v>
      </c>
      <c r="V647" s="21" t="s">
        <v>2276</v>
      </c>
      <c r="W647" s="21" t="s">
        <v>2276</v>
      </c>
      <c r="X647" s="3" t="s">
        <v>2276</v>
      </c>
      <c r="Y647" s="3" t="s">
        <v>2276</v>
      </c>
      <c r="Z647" s="3" t="s">
        <v>2276</v>
      </c>
      <c r="AA647" s="4" t="s">
        <v>2243</v>
      </c>
      <c r="AB647" s="4"/>
    </row>
    <row r="648" spans="1:28" ht="62.5" customHeight="1">
      <c r="A648" s="6" t="str">
        <f>'Reported burning'!A648</f>
        <v>72i</v>
      </c>
      <c r="B648" s="6" t="str">
        <f>'Reported burning'!B648</f>
        <v>72i.1</v>
      </c>
      <c r="C648" s="6" t="str">
        <f>'Reported burning'!C648</f>
        <v>Human, deliberate</v>
      </c>
      <c r="D648" s="6" t="str">
        <f>'Reported burning'!D648</f>
        <v>Crop field preparation</v>
      </c>
      <c r="E648" s="6" t="str">
        <f>'Reported burning'!E648</f>
        <v>Cropping, Swidden</v>
      </c>
      <c r="F648" s="6" t="str">
        <f>'Reported burning'!F648</f>
        <v>Secondary Vegetation</v>
      </c>
      <c r="G648" s="6">
        <f>'Reported burning'!G648</f>
        <v>0</v>
      </c>
      <c r="H648" s="6" t="str">
        <f>'Reported burning'!H648</f>
        <v>Presence</v>
      </c>
      <c r="I648" s="3"/>
      <c r="J648" s="21" t="s">
        <v>2276</v>
      </c>
      <c r="K648" s="103" t="s">
        <v>2276</v>
      </c>
      <c r="L648" s="21" t="s">
        <v>2276</v>
      </c>
      <c r="M648" s="21" t="s">
        <v>2276</v>
      </c>
      <c r="N648" s="21" t="s">
        <v>2276</v>
      </c>
      <c r="O648" s="21" t="s">
        <v>2276</v>
      </c>
      <c r="P648" s="21" t="s">
        <v>2276</v>
      </c>
      <c r="Q648" s="102" t="s">
        <v>2276</v>
      </c>
      <c r="R648" s="102" t="s">
        <v>2276</v>
      </c>
      <c r="S648" s="21" t="s">
        <v>2276</v>
      </c>
      <c r="T648" s="21" t="s">
        <v>2276</v>
      </c>
      <c r="U648" s="21" t="s">
        <v>2374</v>
      </c>
      <c r="V648" s="21" t="s">
        <v>2276</v>
      </c>
      <c r="W648" s="21" t="s">
        <v>2402</v>
      </c>
      <c r="X648" s="3" t="s">
        <v>2276</v>
      </c>
      <c r="Y648" s="3" t="s">
        <v>2276</v>
      </c>
      <c r="Z648" s="3" t="s">
        <v>2276</v>
      </c>
      <c r="AA648" s="3" t="s">
        <v>1007</v>
      </c>
      <c r="AB648" s="4" t="s">
        <v>2228</v>
      </c>
    </row>
    <row r="649" spans="1:28" ht="69" customHeight="1">
      <c r="A649" s="6" t="str">
        <f>'Reported burning'!A649</f>
        <v>72i</v>
      </c>
      <c r="B649" s="6" t="str">
        <f>'Reported burning'!B649</f>
        <v>72i.2</v>
      </c>
      <c r="C649" s="6" t="str">
        <f>'Reported burning'!C649</f>
        <v>Human, deliberate</v>
      </c>
      <c r="D649" s="6" t="str">
        <f>'Reported burning'!D649</f>
        <v>Land clearance</v>
      </c>
      <c r="E649" s="6" t="str">
        <f>'Reported burning'!E649</f>
        <v>Cropping, Monoculture, Market-oriented</v>
      </c>
      <c r="F649" s="6" t="str">
        <f>'Reported burning'!F649</f>
        <v>Secondary Vegetation</v>
      </c>
      <c r="G649" s="6">
        <f>'Reported burning'!G649</f>
        <v>0</v>
      </c>
      <c r="H649" s="6" t="str">
        <f>'Reported burning'!H649</f>
        <v>Presence</v>
      </c>
      <c r="I649" s="3"/>
      <c r="J649" s="21" t="s">
        <v>2276</v>
      </c>
      <c r="K649" s="103" t="s">
        <v>2276</v>
      </c>
      <c r="L649" s="21" t="s">
        <v>2276</v>
      </c>
      <c r="M649" s="21" t="s">
        <v>2276</v>
      </c>
      <c r="N649" s="21" t="s">
        <v>2276</v>
      </c>
      <c r="O649" s="21" t="s">
        <v>2276</v>
      </c>
      <c r="P649" s="21" t="s">
        <v>2276</v>
      </c>
      <c r="Q649" s="102" t="s">
        <v>2276</v>
      </c>
      <c r="R649" s="102" t="s">
        <v>2276</v>
      </c>
      <c r="S649" s="21" t="s">
        <v>2276</v>
      </c>
      <c r="T649" s="21" t="s">
        <v>2276</v>
      </c>
      <c r="U649" s="21" t="s">
        <v>2276</v>
      </c>
      <c r="V649" s="21" t="s">
        <v>2276</v>
      </c>
      <c r="W649" s="21" t="s">
        <v>2276</v>
      </c>
      <c r="X649" s="3" t="s">
        <v>2276</v>
      </c>
      <c r="Y649" s="3" t="s">
        <v>2276</v>
      </c>
      <c r="Z649" s="3" t="s">
        <v>2276</v>
      </c>
      <c r="AA649" s="4" t="s">
        <v>2240</v>
      </c>
      <c r="AB649" s="4"/>
    </row>
    <row r="650" spans="1:28" ht="70" customHeight="1">
      <c r="A650" s="6" t="str">
        <f>'Reported burning'!A650</f>
        <v>73a</v>
      </c>
      <c r="B650" s="6" t="str">
        <f>'Reported burning'!B650</f>
        <v>73a.1</v>
      </c>
      <c r="C650" s="6" t="str">
        <f>'Reported burning'!C650</f>
        <v>Human, deliberate</v>
      </c>
      <c r="D650" s="6" t="str">
        <f>'Reported burning'!D650</f>
        <v>Crop field preparation</v>
      </c>
      <c r="E650" s="6" t="str">
        <f>'Reported burning'!E650</f>
        <v>Cropping, Swidden</v>
      </c>
      <c r="F650" s="6" t="str">
        <f>'Reported burning'!F650</f>
        <v>Secondary Vegetation</v>
      </c>
      <c r="G650" s="6">
        <f>'Reported burning'!G650</f>
        <v>0</v>
      </c>
      <c r="H650" s="6" t="str">
        <f>'Reported burning'!H650</f>
        <v>Presence</v>
      </c>
      <c r="I650" s="3"/>
      <c r="J650" s="21" t="s">
        <v>2276</v>
      </c>
      <c r="K650" s="103" t="s">
        <v>2276</v>
      </c>
      <c r="L650" s="21" t="s">
        <v>2276</v>
      </c>
      <c r="M650" s="21" t="s">
        <v>2276</v>
      </c>
      <c r="N650" s="21" t="s">
        <v>2276</v>
      </c>
      <c r="O650" s="21" t="s">
        <v>2276</v>
      </c>
      <c r="P650" s="21" t="s">
        <v>2276</v>
      </c>
      <c r="Q650" s="102" t="s">
        <v>2276</v>
      </c>
      <c r="R650" s="102" t="s">
        <v>2276</v>
      </c>
      <c r="S650" s="21" t="s">
        <v>2276</v>
      </c>
      <c r="T650" s="21" t="s">
        <v>2276</v>
      </c>
      <c r="U650" s="21" t="s">
        <v>2527</v>
      </c>
      <c r="V650" s="21" t="s">
        <v>2276</v>
      </c>
      <c r="W650" s="21" t="s">
        <v>2403</v>
      </c>
      <c r="X650" s="3" t="s">
        <v>2276</v>
      </c>
      <c r="Y650" s="3" t="s">
        <v>2276</v>
      </c>
      <c r="Z650" s="3" t="s">
        <v>2276</v>
      </c>
      <c r="AA650" s="3" t="s">
        <v>1007</v>
      </c>
      <c r="AB650" s="4" t="s">
        <v>2244</v>
      </c>
    </row>
    <row r="651" spans="1:28" ht="67.5" customHeight="1">
      <c r="A651" s="6" t="str">
        <f>'Reported burning'!A651</f>
        <v>73b</v>
      </c>
      <c r="B651" s="6" t="str">
        <f>'Reported burning'!B651</f>
        <v>73b.1</v>
      </c>
      <c r="C651" s="6" t="str">
        <f>'Reported burning'!C651</f>
        <v>Human, deliberate</v>
      </c>
      <c r="D651" s="6" t="str">
        <f>'Reported burning'!D651</f>
        <v>Crop field preparation</v>
      </c>
      <c r="E651" s="6" t="str">
        <f>'Reported burning'!E651</f>
        <v>Cropping, Swidden</v>
      </c>
      <c r="F651" s="6" t="str">
        <f>'Reported burning'!F651</f>
        <v>Secondary Vegetation</v>
      </c>
      <c r="G651" s="6">
        <f>'Reported burning'!G651</f>
        <v>0</v>
      </c>
      <c r="H651" s="6" t="str">
        <f>'Reported burning'!H651</f>
        <v>Presence</v>
      </c>
      <c r="I651" s="3"/>
      <c r="J651" s="21" t="s">
        <v>2276</v>
      </c>
      <c r="K651" s="103" t="s">
        <v>2276</v>
      </c>
      <c r="L651" s="21" t="s">
        <v>2276</v>
      </c>
      <c r="M651" s="21" t="s">
        <v>2276</v>
      </c>
      <c r="N651" s="21" t="s">
        <v>2276</v>
      </c>
      <c r="O651" s="21" t="s">
        <v>2276</v>
      </c>
      <c r="P651" s="21" t="s">
        <v>2276</v>
      </c>
      <c r="Q651" s="102" t="s">
        <v>2276</v>
      </c>
      <c r="R651" s="102" t="s">
        <v>2276</v>
      </c>
      <c r="S651" s="21" t="s">
        <v>2276</v>
      </c>
      <c r="T651" s="21" t="s">
        <v>2276</v>
      </c>
      <c r="U651" s="21" t="s">
        <v>2527</v>
      </c>
      <c r="V651" s="21" t="s">
        <v>2276</v>
      </c>
      <c r="W651" s="21" t="s">
        <v>2402</v>
      </c>
      <c r="X651" s="3" t="s">
        <v>2276</v>
      </c>
      <c r="Y651" s="3" t="s">
        <v>2276</v>
      </c>
      <c r="Z651" s="3" t="s">
        <v>2276</v>
      </c>
      <c r="AA651" s="3" t="s">
        <v>1007</v>
      </c>
      <c r="AB651" s="4" t="s">
        <v>2244</v>
      </c>
    </row>
    <row r="652" spans="1:28" ht="48.5" customHeight="1">
      <c r="A652" s="6" t="str">
        <f>'Reported burning'!A652</f>
        <v>74a</v>
      </c>
      <c r="B652" s="6" t="str">
        <f>'Reported burning'!B652</f>
        <v>74a.1</v>
      </c>
      <c r="C652" s="6" t="str">
        <f>'Reported burning'!C652</f>
        <v>Human, deliberate</v>
      </c>
      <c r="D652" s="6" t="str">
        <f>'Reported burning'!D652</f>
        <v>Crop field preparation</v>
      </c>
      <c r="E652" s="6" t="str">
        <f>'Reported burning'!E652</f>
        <v>Cropping, Swidden</v>
      </c>
      <c r="F652" s="6" t="str">
        <f>'Reported burning'!F652</f>
        <v>Secondary Vegetation</v>
      </c>
      <c r="G652" s="6">
        <f>'Reported burning'!G652</f>
        <v>0</v>
      </c>
      <c r="H652" s="6" t="str">
        <f>'Reported burning'!H652</f>
        <v>Presence</v>
      </c>
      <c r="I652" s="3"/>
      <c r="J652" s="21" t="s">
        <v>2276</v>
      </c>
      <c r="K652" s="103" t="s">
        <v>2362</v>
      </c>
      <c r="L652" s="21" t="s">
        <v>2276</v>
      </c>
      <c r="M652" s="21" t="s">
        <v>2362</v>
      </c>
      <c r="N652" s="21" t="s">
        <v>2276</v>
      </c>
      <c r="O652" s="21" t="s">
        <v>2276</v>
      </c>
      <c r="P652" s="21" t="s">
        <v>2276</v>
      </c>
      <c r="Q652" s="102" t="s">
        <v>2276</v>
      </c>
      <c r="R652" s="102" t="s">
        <v>2276</v>
      </c>
      <c r="S652" s="21" t="s">
        <v>2276</v>
      </c>
      <c r="T652" s="21" t="s">
        <v>2276</v>
      </c>
      <c r="U652" s="21" t="s">
        <v>2276</v>
      </c>
      <c r="V652" s="21" t="s">
        <v>2276</v>
      </c>
      <c r="W652" s="21" t="s">
        <v>2402</v>
      </c>
      <c r="X652" s="3" t="s">
        <v>2276</v>
      </c>
      <c r="Y652" s="3" t="s">
        <v>2276</v>
      </c>
      <c r="Z652" s="3" t="s">
        <v>2276</v>
      </c>
      <c r="AA652" s="4" t="s">
        <v>2246</v>
      </c>
      <c r="AB652" s="4" t="s">
        <v>2071</v>
      </c>
    </row>
    <row r="653" spans="1:28" ht="54" customHeight="1">
      <c r="A653" s="6" t="str">
        <f>'Reported burning'!A653</f>
        <v>74b</v>
      </c>
      <c r="B653" s="6" t="str">
        <f>'Reported burning'!B653</f>
        <v>74b.1</v>
      </c>
      <c r="C653" s="6" t="str">
        <f>'Reported burning'!C653</f>
        <v>Human, deliberate</v>
      </c>
      <c r="D653" s="6" t="str">
        <f>'Reported burning'!D653</f>
        <v>Crop field preparation</v>
      </c>
      <c r="E653" s="6" t="str">
        <f>'Reported burning'!E653</f>
        <v>Cropping, Swidden</v>
      </c>
      <c r="F653" s="6" t="str">
        <f>'Reported burning'!F653</f>
        <v>Secondary Vegetation</v>
      </c>
      <c r="G653" s="6">
        <f>'Reported burning'!G653</f>
        <v>0</v>
      </c>
      <c r="H653" s="6" t="str">
        <f>'Reported burning'!H653</f>
        <v>Presence</v>
      </c>
      <c r="I653" s="3"/>
      <c r="J653" s="21" t="s">
        <v>2276</v>
      </c>
      <c r="K653" s="103" t="s">
        <v>2362</v>
      </c>
      <c r="L653" s="21" t="s">
        <v>2276</v>
      </c>
      <c r="M653" s="21" t="s">
        <v>2362</v>
      </c>
      <c r="N653" s="21" t="s">
        <v>2276</v>
      </c>
      <c r="O653" s="21" t="s">
        <v>2276</v>
      </c>
      <c r="P653" s="21" t="s">
        <v>2276</v>
      </c>
      <c r="Q653" s="102" t="s">
        <v>2276</v>
      </c>
      <c r="R653" s="102" t="s">
        <v>2276</v>
      </c>
      <c r="S653" s="21" t="s">
        <v>2276</v>
      </c>
      <c r="T653" s="21" t="s">
        <v>2276</v>
      </c>
      <c r="U653" s="21" t="s">
        <v>2276</v>
      </c>
      <c r="V653" s="21" t="s">
        <v>2276</v>
      </c>
      <c r="W653" s="21" t="s">
        <v>2402</v>
      </c>
      <c r="X653" s="3" t="s">
        <v>2276</v>
      </c>
      <c r="Y653" s="3" t="s">
        <v>2276</v>
      </c>
      <c r="Z653" s="3" t="s">
        <v>2276</v>
      </c>
      <c r="AA653" s="4" t="s">
        <v>2246</v>
      </c>
      <c r="AB653" s="4" t="s">
        <v>2071</v>
      </c>
    </row>
    <row r="654" spans="1:28" ht="47.5" customHeight="1">
      <c r="A654" s="6" t="str">
        <f>'Reported burning'!A654</f>
        <v>76a</v>
      </c>
      <c r="B654" s="6" t="str">
        <f>'Reported burning'!B654</f>
        <v>76a.1</v>
      </c>
      <c r="C654" s="6" t="str">
        <f>'Reported burning'!C654</f>
        <v>Human, deliberate</v>
      </c>
      <c r="D654" s="6" t="str">
        <f>'Reported burning'!D654</f>
        <v>Crop field preparation</v>
      </c>
      <c r="E654" s="6" t="str">
        <f>'Reported burning'!E654</f>
        <v>Cropping, Swidden</v>
      </c>
      <c r="F654" s="6" t="str">
        <f>'Reported burning'!F654</f>
        <v>Secondary Vegetation</v>
      </c>
      <c r="G654" s="6">
        <f>'Reported burning'!G654</f>
        <v>0</v>
      </c>
      <c r="H654" s="6" t="str">
        <f>'Reported burning'!H654</f>
        <v>Absence</v>
      </c>
      <c r="I654" s="3"/>
      <c r="J654" s="73" t="s">
        <v>2364</v>
      </c>
      <c r="K654" s="111" t="s">
        <v>2364</v>
      </c>
      <c r="L654" s="73" t="s">
        <v>2364</v>
      </c>
      <c r="M654" s="73" t="s">
        <v>2364</v>
      </c>
      <c r="N654" s="73" t="s">
        <v>2364</v>
      </c>
      <c r="O654" s="73" t="s">
        <v>2364</v>
      </c>
      <c r="P654" s="73" t="s">
        <v>2364</v>
      </c>
      <c r="Q654" s="102" t="s">
        <v>2276</v>
      </c>
      <c r="R654" s="102" t="s">
        <v>2276</v>
      </c>
      <c r="S654" s="73" t="s">
        <v>2364</v>
      </c>
      <c r="T654" s="73" t="s">
        <v>2364</v>
      </c>
      <c r="U654" s="73" t="s">
        <v>2364</v>
      </c>
      <c r="V654" s="73" t="s">
        <v>2364</v>
      </c>
      <c r="W654" s="3" t="s">
        <v>2276</v>
      </c>
      <c r="X654" s="3" t="s">
        <v>2276</v>
      </c>
      <c r="Y654" s="3" t="s">
        <v>2276</v>
      </c>
      <c r="Z654" s="3" t="s">
        <v>2276</v>
      </c>
      <c r="AA654" s="3"/>
      <c r="AB654" s="3"/>
    </row>
    <row r="655" spans="1:28" ht="46.5" customHeight="1">
      <c r="A655" s="6" t="str">
        <f>'Reported burning'!A655</f>
        <v>76a</v>
      </c>
      <c r="B655" s="6" t="str">
        <f>'Reported burning'!B655</f>
        <v>76a.2</v>
      </c>
      <c r="C655" s="6" t="str">
        <f>'Reported burning'!C655</f>
        <v>Human, deliberate</v>
      </c>
      <c r="D655" s="6" t="str">
        <f>'Reported burning'!D655</f>
        <v>Forest clearance</v>
      </c>
      <c r="E655" s="6" t="str">
        <f>'Reported burning'!E655</f>
        <v>Forestry</v>
      </c>
      <c r="F655" s="6" t="str">
        <f>'Reported burning'!F655</f>
        <v>Forest</v>
      </c>
      <c r="G655" s="6">
        <f>'Reported burning'!G655</f>
        <v>0</v>
      </c>
      <c r="H655" s="6" t="str">
        <f>'Reported burning'!H655</f>
        <v>Absence</v>
      </c>
      <c r="I655" s="3"/>
      <c r="J655" s="21" t="s">
        <v>2276</v>
      </c>
      <c r="K655" s="103" t="s">
        <v>2276</v>
      </c>
      <c r="L655" s="21" t="s">
        <v>2276</v>
      </c>
      <c r="M655" s="21" t="s">
        <v>2276</v>
      </c>
      <c r="N655" s="21" t="s">
        <v>2276</v>
      </c>
      <c r="O655" s="21" t="s">
        <v>2276</v>
      </c>
      <c r="P655" s="21" t="s">
        <v>2276</v>
      </c>
      <c r="Q655" s="102" t="s">
        <v>2276</v>
      </c>
      <c r="R655" s="102" t="s">
        <v>2276</v>
      </c>
      <c r="S655" s="21" t="s">
        <v>2276</v>
      </c>
      <c r="T655" s="21" t="s">
        <v>2276</v>
      </c>
      <c r="U655" s="21" t="s">
        <v>2276</v>
      </c>
      <c r="V655" s="21" t="s">
        <v>2276</v>
      </c>
      <c r="W655" s="21" t="s">
        <v>2276</v>
      </c>
      <c r="X655" s="3" t="s">
        <v>2276</v>
      </c>
      <c r="Y655" s="3" t="s">
        <v>2276</v>
      </c>
      <c r="Z655" s="3" t="s">
        <v>2276</v>
      </c>
      <c r="AA655" s="3"/>
      <c r="AB655" s="4" t="s">
        <v>1079</v>
      </c>
    </row>
    <row r="656" spans="1:28" ht="64" customHeight="1">
      <c r="A656" s="6" t="str">
        <f>'Reported burning'!A656</f>
        <v>76b</v>
      </c>
      <c r="B656" s="6" t="str">
        <f>'Reported burning'!B656</f>
        <v>76b.1</v>
      </c>
      <c r="C656" s="6" t="str">
        <f>'Reported burning'!C656</f>
        <v>Human, deliberate</v>
      </c>
      <c r="D656" s="6" t="str">
        <f>'Reported burning'!D656</f>
        <v>Crop field preparation</v>
      </c>
      <c r="E656" s="6" t="str">
        <f>'Reported burning'!E656</f>
        <v>Cropping, Swidden</v>
      </c>
      <c r="F656" s="6" t="str">
        <f>'Reported burning'!F656</f>
        <v>Secondary Vegetation</v>
      </c>
      <c r="G656" s="6">
        <f>'Reported burning'!G656</f>
        <v>0</v>
      </c>
      <c r="H656" s="6" t="str">
        <f>'Reported burning'!H656</f>
        <v>Presence</v>
      </c>
      <c r="I656" s="3"/>
      <c r="J656" s="21" t="s">
        <v>2276</v>
      </c>
      <c r="K656" s="103" t="s">
        <v>2276</v>
      </c>
      <c r="L656" s="21" t="s">
        <v>2276</v>
      </c>
      <c r="M656" s="21" t="s">
        <v>2276</v>
      </c>
      <c r="N656" s="21" t="s">
        <v>2276</v>
      </c>
      <c r="O656" s="21" t="s">
        <v>2276</v>
      </c>
      <c r="P656" s="21" t="s">
        <v>2276</v>
      </c>
      <c r="Q656" s="102" t="s">
        <v>2276</v>
      </c>
      <c r="R656" s="102" t="s">
        <v>2276</v>
      </c>
      <c r="S656" s="21" t="s">
        <v>2276</v>
      </c>
      <c r="T656" s="21" t="s">
        <v>2276</v>
      </c>
      <c r="U656" s="21" t="s">
        <v>2276</v>
      </c>
      <c r="V656" s="21" t="s">
        <v>2276</v>
      </c>
      <c r="W656" s="21" t="s">
        <v>2276</v>
      </c>
      <c r="X656" s="3" t="s">
        <v>189</v>
      </c>
      <c r="Y656" s="3" t="s">
        <v>189</v>
      </c>
      <c r="Z656" s="3" t="s">
        <v>2276</v>
      </c>
      <c r="AA656" s="3" t="s">
        <v>1007</v>
      </c>
      <c r="AB656" s="4" t="s">
        <v>2292</v>
      </c>
    </row>
    <row r="657" spans="1:28" ht="46" customHeight="1">
      <c r="A657" s="6" t="str">
        <f>'Reported burning'!A657</f>
        <v>76b</v>
      </c>
      <c r="B657" s="6" t="str">
        <f>'Reported burning'!B657</f>
        <v>76b.2</v>
      </c>
      <c r="C657" s="6" t="str">
        <f>'Reported burning'!C657</f>
        <v>Human, deliberate</v>
      </c>
      <c r="D657" s="6" t="str">
        <f>'Reported burning'!D657</f>
        <v>Pasture renewal</v>
      </c>
      <c r="E657" s="6" t="str">
        <f>'Reported burning'!E657</f>
        <v>Cattle, Extensive</v>
      </c>
      <c r="F657" s="6" t="str">
        <f>'Reported burning'!F657</f>
        <v>Secondary Vegetation</v>
      </c>
      <c r="G657" s="6">
        <f>'Reported burning'!G657</f>
        <v>0</v>
      </c>
      <c r="H657" s="6" t="str">
        <f>'Reported burning'!H657</f>
        <v>Presence</v>
      </c>
      <c r="I657" s="3"/>
      <c r="J657" s="21" t="s">
        <v>2276</v>
      </c>
      <c r="K657" s="103" t="s">
        <v>2276</v>
      </c>
      <c r="L657" s="21" t="s">
        <v>2276</v>
      </c>
      <c r="M657" s="21" t="s">
        <v>2276</v>
      </c>
      <c r="N657" s="21" t="s">
        <v>2276</v>
      </c>
      <c r="O657" s="21" t="s">
        <v>2276</v>
      </c>
      <c r="P657" s="21" t="s">
        <v>2276</v>
      </c>
      <c r="Q657" s="102" t="s">
        <v>2276</v>
      </c>
      <c r="R657" s="102" t="s">
        <v>2276</v>
      </c>
      <c r="S657" s="21" t="s">
        <v>2276</v>
      </c>
      <c r="T657" s="21" t="s">
        <v>2276</v>
      </c>
      <c r="U657" s="21" t="s">
        <v>2276</v>
      </c>
      <c r="V657" s="21" t="s">
        <v>2276</v>
      </c>
      <c r="W657" s="21" t="s">
        <v>2276</v>
      </c>
      <c r="X657" s="3" t="s">
        <v>1082</v>
      </c>
      <c r="Y657" s="3" t="s">
        <v>189</v>
      </c>
      <c r="Z657" s="3" t="s">
        <v>2276</v>
      </c>
      <c r="AA657" s="4" t="s">
        <v>2293</v>
      </c>
      <c r="AB657" s="3"/>
    </row>
    <row r="658" spans="1:28" ht="43.5" customHeight="1">
      <c r="A658" s="6" t="str">
        <f>'Reported burning'!A658</f>
        <v>78a</v>
      </c>
      <c r="B658" s="6" t="str">
        <f>'Reported burning'!B658</f>
        <v>78a.1</v>
      </c>
      <c r="C658" s="6" t="str">
        <f>'Reported burning'!C658</f>
        <v>Human, deliberate</v>
      </c>
      <c r="D658" s="6" t="str">
        <f>'Reported burning'!D658</f>
        <v>Pasture renewal</v>
      </c>
      <c r="E658" s="6" t="str">
        <f>'Reported burning'!E658</f>
        <v>Cattle, Extensive</v>
      </c>
      <c r="F658" s="6" t="str">
        <f>'Reported burning'!F658</f>
        <v>Pasture</v>
      </c>
      <c r="G658" s="6">
        <f>'Reported burning'!G658</f>
        <v>0</v>
      </c>
      <c r="H658" s="6" t="str">
        <f>'Reported burning'!H658</f>
        <v>Presence</v>
      </c>
      <c r="I658" s="38"/>
      <c r="J658" s="21" t="s">
        <v>2276</v>
      </c>
      <c r="K658" s="103" t="s">
        <v>2276</v>
      </c>
      <c r="L658" s="21" t="s">
        <v>2276</v>
      </c>
      <c r="M658" s="21" t="s">
        <v>2276</v>
      </c>
      <c r="N658" s="21" t="s">
        <v>2276</v>
      </c>
      <c r="O658" s="21" t="s">
        <v>2276</v>
      </c>
      <c r="P658" s="21" t="s">
        <v>2276</v>
      </c>
      <c r="Q658" s="102" t="s">
        <v>2276</v>
      </c>
      <c r="R658" s="102" t="s">
        <v>2276</v>
      </c>
      <c r="S658" s="21" t="s">
        <v>2276</v>
      </c>
      <c r="T658" s="21" t="s">
        <v>2276</v>
      </c>
      <c r="U658" s="21" t="s">
        <v>2276</v>
      </c>
      <c r="V658" s="21" t="s">
        <v>2276</v>
      </c>
      <c r="W658" s="21" t="s">
        <v>2276</v>
      </c>
      <c r="X658" s="38" t="s">
        <v>188</v>
      </c>
      <c r="Y658" s="38" t="s">
        <v>38</v>
      </c>
      <c r="Z658" s="38" t="s">
        <v>2276</v>
      </c>
      <c r="AA658" s="38"/>
      <c r="AB658" s="38"/>
    </row>
    <row r="659" spans="1:28" ht="44.5" customHeight="1">
      <c r="A659" s="6" t="str">
        <f>'Reported burning'!A659</f>
        <v>78a</v>
      </c>
      <c r="B659" s="6" t="str">
        <f>'Reported burning'!B659</f>
        <v>78a.2</v>
      </c>
      <c r="C659" s="6" t="str">
        <f>'Reported burning'!C659</f>
        <v>Human, deliberate</v>
      </c>
      <c r="D659" s="6" t="str">
        <f>'Reported burning'!D659</f>
        <v>Harvesting of NTFP</v>
      </c>
      <c r="E659" s="6" t="str">
        <f>'Reported burning'!E659</f>
        <v>Forestry, Traditional</v>
      </c>
      <c r="F659" s="6" t="str">
        <f>'Reported burning'!F659</f>
        <v>Forest</v>
      </c>
      <c r="G659" s="6">
        <f>'Reported burning'!G659</f>
        <v>0</v>
      </c>
      <c r="H659" s="6" t="str">
        <f>'Reported burning'!H659</f>
        <v>Presence</v>
      </c>
      <c r="I659" s="3"/>
      <c r="J659" s="21" t="s">
        <v>2276</v>
      </c>
      <c r="K659" s="103" t="s">
        <v>2276</v>
      </c>
      <c r="L659" s="21" t="s">
        <v>2276</v>
      </c>
      <c r="M659" s="21" t="s">
        <v>2276</v>
      </c>
      <c r="N659" s="21" t="s">
        <v>2276</v>
      </c>
      <c r="O659" s="21" t="s">
        <v>2276</v>
      </c>
      <c r="P659" s="21" t="s">
        <v>2276</v>
      </c>
      <c r="Q659" s="102" t="s">
        <v>2276</v>
      </c>
      <c r="R659" s="102" t="s">
        <v>2276</v>
      </c>
      <c r="S659" s="21" t="s">
        <v>2276</v>
      </c>
      <c r="T659" s="21" t="s">
        <v>2276</v>
      </c>
      <c r="U659" s="21" t="s">
        <v>2276</v>
      </c>
      <c r="V659" s="21" t="s">
        <v>2276</v>
      </c>
      <c r="W659" s="21" t="s">
        <v>2276</v>
      </c>
      <c r="X659" s="38" t="s">
        <v>188</v>
      </c>
      <c r="Y659" s="38" t="s">
        <v>38</v>
      </c>
      <c r="Z659" s="3" t="s">
        <v>2276</v>
      </c>
      <c r="AA659" s="4" t="s">
        <v>1103</v>
      </c>
      <c r="AB659" s="3"/>
    </row>
    <row r="660" spans="1:28" ht="44.5" customHeight="1">
      <c r="A660" s="6" t="str">
        <f>'Reported burning'!A660</f>
        <v>78a</v>
      </c>
      <c r="B660" s="6" t="str">
        <f>'Reported burning'!B660</f>
        <v>78a.3</v>
      </c>
      <c r="C660" s="6" t="str">
        <f>'Reported burning'!C660</f>
        <v>Human, deliberate</v>
      </c>
      <c r="D660" s="6" t="str">
        <f>'Reported burning'!D660</f>
        <v>Conservation</v>
      </c>
      <c r="E660" s="6" t="str">
        <f>'Reported burning'!E660</f>
        <v>Biodiversity conservation</v>
      </c>
      <c r="F660" s="6" t="str">
        <f>'Reported burning'!F660</f>
        <v>Forest</v>
      </c>
      <c r="G660" s="6">
        <f>'Reported burning'!G660</f>
        <v>0</v>
      </c>
      <c r="H660" s="6" t="str">
        <f>'Reported burning'!H660</f>
        <v>Absence</v>
      </c>
      <c r="I660" s="3"/>
      <c r="J660" s="21" t="s">
        <v>2276</v>
      </c>
      <c r="K660" s="103" t="s">
        <v>2276</v>
      </c>
      <c r="L660" s="21" t="s">
        <v>2276</v>
      </c>
      <c r="M660" s="21" t="s">
        <v>2276</v>
      </c>
      <c r="N660" s="21" t="s">
        <v>2276</v>
      </c>
      <c r="O660" s="21" t="s">
        <v>2276</v>
      </c>
      <c r="P660" s="21" t="s">
        <v>2276</v>
      </c>
      <c r="Q660" s="102" t="s">
        <v>2276</v>
      </c>
      <c r="R660" s="102" t="s">
        <v>2276</v>
      </c>
      <c r="S660" s="21" t="s">
        <v>2276</v>
      </c>
      <c r="T660" s="21" t="s">
        <v>2276</v>
      </c>
      <c r="U660" s="21" t="s">
        <v>2276</v>
      </c>
      <c r="V660" s="21" t="s">
        <v>2276</v>
      </c>
      <c r="W660" s="21" t="s">
        <v>2276</v>
      </c>
      <c r="X660" s="3" t="s">
        <v>2276</v>
      </c>
      <c r="Y660" s="3" t="s">
        <v>2276</v>
      </c>
      <c r="Z660" s="3" t="s">
        <v>2276</v>
      </c>
      <c r="AA660" s="4"/>
      <c r="AB660" s="3"/>
    </row>
    <row r="661" spans="1:28" ht="66" customHeight="1">
      <c r="A661" s="6" t="str">
        <f>'Reported burning'!A661</f>
        <v>78a</v>
      </c>
      <c r="B661" s="6" t="str">
        <f>'Reported burning'!B661</f>
        <v>78a.4</v>
      </c>
      <c r="C661" s="6" t="str">
        <f>'Reported burning'!C661</f>
        <v>Lightning</v>
      </c>
      <c r="D661" s="6" t="str">
        <f>'Reported burning'!D661</f>
        <v>ND</v>
      </c>
      <c r="E661" s="6" t="str">
        <f>'Reported burning'!E661</f>
        <v>ND</v>
      </c>
      <c r="F661" s="6" t="str">
        <f>'Reported burning'!F661</f>
        <v>ND</v>
      </c>
      <c r="G661" s="6" t="str">
        <f>'Reported burning'!G661</f>
        <v>Forest</v>
      </c>
      <c r="H661" s="6" t="str">
        <f>'Reported burning'!H661</f>
        <v>Absence</v>
      </c>
      <c r="I661" s="3">
        <v>1992</v>
      </c>
      <c r="J661" s="21" t="s">
        <v>2276</v>
      </c>
      <c r="K661" s="103" t="s">
        <v>2276</v>
      </c>
      <c r="L661" s="21" t="s">
        <v>2276</v>
      </c>
      <c r="M661" s="21" t="s">
        <v>2276</v>
      </c>
      <c r="N661" s="21" t="s">
        <v>2276</v>
      </c>
      <c r="O661" s="21" t="s">
        <v>2276</v>
      </c>
      <c r="P661" s="21" t="s">
        <v>2276</v>
      </c>
      <c r="Q661" s="102" t="s">
        <v>2276</v>
      </c>
      <c r="R661" s="102" t="s">
        <v>2276</v>
      </c>
      <c r="S661" s="21" t="s">
        <v>2276</v>
      </c>
      <c r="T661" s="21" t="s">
        <v>2276</v>
      </c>
      <c r="U661" s="21" t="s">
        <v>2276</v>
      </c>
      <c r="V661" s="21" t="s">
        <v>2276</v>
      </c>
      <c r="W661" s="21" t="s">
        <v>2276</v>
      </c>
      <c r="X661" s="3" t="s">
        <v>2276</v>
      </c>
      <c r="Y661" s="3" t="s">
        <v>2276</v>
      </c>
      <c r="Z661" s="3" t="s">
        <v>2276</v>
      </c>
      <c r="AA661" s="4" t="s">
        <v>1108</v>
      </c>
      <c r="AB661" s="3"/>
    </row>
    <row r="662" spans="1:28" ht="63" customHeight="1">
      <c r="A662" s="6" t="str">
        <f>'Reported burning'!A662</f>
        <v>78a</v>
      </c>
      <c r="B662" s="6" t="str">
        <f>'Reported burning'!B662</f>
        <v>78a.5</v>
      </c>
      <c r="C662" s="6" t="str">
        <f>'Reported burning'!C662</f>
        <v>Lightning</v>
      </c>
      <c r="D662" s="6" t="str">
        <f>'Reported burning'!D662</f>
        <v>ND</v>
      </c>
      <c r="E662" s="6" t="str">
        <f>'Reported burning'!E662</f>
        <v>ND</v>
      </c>
      <c r="F662" s="6" t="str">
        <f>'Reported burning'!F662</f>
        <v>ND</v>
      </c>
      <c r="G662" s="6" t="str">
        <f>'Reported burning'!G662</f>
        <v>Forest</v>
      </c>
      <c r="H662" s="6" t="str">
        <f>'Reported burning'!H662</f>
        <v>Absence</v>
      </c>
      <c r="I662" s="3">
        <v>1993</v>
      </c>
      <c r="J662" s="21" t="s">
        <v>2276</v>
      </c>
      <c r="K662" s="103" t="s">
        <v>2276</v>
      </c>
      <c r="L662" s="21" t="s">
        <v>2276</v>
      </c>
      <c r="M662" s="21" t="s">
        <v>2276</v>
      </c>
      <c r="N662" s="21" t="s">
        <v>2276</v>
      </c>
      <c r="O662" s="21" t="s">
        <v>2276</v>
      </c>
      <c r="P662" s="21" t="s">
        <v>2276</v>
      </c>
      <c r="Q662" s="102" t="s">
        <v>2276</v>
      </c>
      <c r="R662" s="102" t="s">
        <v>2276</v>
      </c>
      <c r="S662" s="21" t="s">
        <v>2276</v>
      </c>
      <c r="T662" s="21" t="s">
        <v>2276</v>
      </c>
      <c r="U662" s="21" t="s">
        <v>2276</v>
      </c>
      <c r="V662" s="21" t="s">
        <v>2276</v>
      </c>
      <c r="W662" s="21" t="s">
        <v>2276</v>
      </c>
      <c r="X662" s="3" t="s">
        <v>2276</v>
      </c>
      <c r="Y662" s="3" t="s">
        <v>2276</v>
      </c>
      <c r="Z662" s="3" t="s">
        <v>2276</v>
      </c>
      <c r="AA662" s="4" t="s">
        <v>1108</v>
      </c>
      <c r="AB662" s="3"/>
    </row>
    <row r="663" spans="1:28" ht="62" customHeight="1">
      <c r="A663" s="6" t="str">
        <f>'Reported burning'!A663</f>
        <v>78a</v>
      </c>
      <c r="B663" s="6" t="str">
        <f>'Reported burning'!B663</f>
        <v>78a.6</v>
      </c>
      <c r="C663" s="6" t="str">
        <f>'Reported burning'!C663</f>
        <v>Lightning</v>
      </c>
      <c r="D663" s="6" t="str">
        <f>'Reported burning'!D663</f>
        <v>ND</v>
      </c>
      <c r="E663" s="6" t="str">
        <f>'Reported burning'!E663</f>
        <v>ND</v>
      </c>
      <c r="F663" s="6" t="str">
        <f>'Reported burning'!F663</f>
        <v>ND</v>
      </c>
      <c r="G663" s="6" t="str">
        <f>'Reported burning'!G663</f>
        <v>Forest</v>
      </c>
      <c r="H663" s="6" t="str">
        <f>'Reported burning'!H663</f>
        <v>Absence</v>
      </c>
      <c r="I663" s="3">
        <v>1994</v>
      </c>
      <c r="J663" s="21" t="s">
        <v>2276</v>
      </c>
      <c r="K663" s="103" t="s">
        <v>2276</v>
      </c>
      <c r="L663" s="21" t="s">
        <v>2276</v>
      </c>
      <c r="M663" s="21" t="s">
        <v>2276</v>
      </c>
      <c r="N663" s="21" t="s">
        <v>2276</v>
      </c>
      <c r="O663" s="21" t="s">
        <v>2276</v>
      </c>
      <c r="P663" s="21" t="s">
        <v>2276</v>
      </c>
      <c r="Q663" s="102" t="s">
        <v>2276</v>
      </c>
      <c r="R663" s="102" t="s">
        <v>2276</v>
      </c>
      <c r="S663" s="21" t="s">
        <v>2276</v>
      </c>
      <c r="T663" s="21" t="s">
        <v>2276</v>
      </c>
      <c r="U663" s="21" t="s">
        <v>2276</v>
      </c>
      <c r="V663" s="21" t="s">
        <v>2276</v>
      </c>
      <c r="W663" s="21" t="s">
        <v>2276</v>
      </c>
      <c r="X663" s="3" t="s">
        <v>2276</v>
      </c>
      <c r="Y663" s="3" t="s">
        <v>2276</v>
      </c>
      <c r="Z663" s="3" t="s">
        <v>2276</v>
      </c>
      <c r="AA663" s="4" t="s">
        <v>1108</v>
      </c>
      <c r="AB663" s="3"/>
    </row>
    <row r="664" spans="1:28" ht="64.5" customHeight="1">
      <c r="A664" s="6" t="str">
        <f>'Reported burning'!A664</f>
        <v>78a</v>
      </c>
      <c r="B664" s="6" t="str">
        <f>'Reported burning'!B664</f>
        <v>78a.7</v>
      </c>
      <c r="C664" s="6" t="str">
        <f>'Reported burning'!C664</f>
        <v>Lightning</v>
      </c>
      <c r="D664" s="6" t="str">
        <f>'Reported burning'!D664</f>
        <v>ND</v>
      </c>
      <c r="E664" s="6" t="str">
        <f>'Reported burning'!E664</f>
        <v>ND</v>
      </c>
      <c r="F664" s="6" t="str">
        <f>'Reported burning'!F664</f>
        <v>ND</v>
      </c>
      <c r="G664" s="6" t="str">
        <f>'Reported burning'!G664</f>
        <v>Forest</v>
      </c>
      <c r="H664" s="6" t="str">
        <f>'Reported burning'!H664</f>
        <v>Absence</v>
      </c>
      <c r="I664" s="3">
        <v>1995</v>
      </c>
      <c r="J664" s="21" t="s">
        <v>2276</v>
      </c>
      <c r="K664" s="103" t="s">
        <v>2276</v>
      </c>
      <c r="L664" s="21" t="s">
        <v>2276</v>
      </c>
      <c r="M664" s="21" t="s">
        <v>2276</v>
      </c>
      <c r="N664" s="21" t="s">
        <v>2276</v>
      </c>
      <c r="O664" s="21" t="s">
        <v>2276</v>
      </c>
      <c r="P664" s="21" t="s">
        <v>2276</v>
      </c>
      <c r="Q664" s="102" t="s">
        <v>2276</v>
      </c>
      <c r="R664" s="102" t="s">
        <v>2276</v>
      </c>
      <c r="S664" s="21" t="s">
        <v>2276</v>
      </c>
      <c r="T664" s="21" t="s">
        <v>2276</v>
      </c>
      <c r="U664" s="21" t="s">
        <v>2276</v>
      </c>
      <c r="V664" s="21" t="s">
        <v>2276</v>
      </c>
      <c r="W664" s="21" t="s">
        <v>2276</v>
      </c>
      <c r="X664" s="3" t="s">
        <v>2276</v>
      </c>
      <c r="Y664" s="3" t="s">
        <v>2276</v>
      </c>
      <c r="Z664" s="3" t="s">
        <v>2276</v>
      </c>
      <c r="AA664" s="4" t="s">
        <v>1108</v>
      </c>
      <c r="AB664" s="3"/>
    </row>
    <row r="665" spans="1:28" ht="65.5" customHeight="1">
      <c r="A665" s="6" t="str">
        <f>'Reported burning'!A665</f>
        <v>78a</v>
      </c>
      <c r="B665" s="6" t="str">
        <f>'Reported burning'!B665</f>
        <v>78a.8</v>
      </c>
      <c r="C665" s="6" t="str">
        <f>'Reported burning'!C665</f>
        <v>Lightning</v>
      </c>
      <c r="D665" s="6" t="str">
        <f>'Reported burning'!D665</f>
        <v>ND</v>
      </c>
      <c r="E665" s="6" t="str">
        <f>'Reported burning'!E665</f>
        <v>ND</v>
      </c>
      <c r="F665" s="6" t="str">
        <f>'Reported burning'!F665</f>
        <v>ND</v>
      </c>
      <c r="G665" s="6" t="str">
        <f>'Reported burning'!G665</f>
        <v>Forest</v>
      </c>
      <c r="H665" s="6" t="str">
        <f>'Reported burning'!H665</f>
        <v>Absence</v>
      </c>
      <c r="I665" s="3">
        <v>1996</v>
      </c>
      <c r="J665" s="21" t="s">
        <v>2276</v>
      </c>
      <c r="K665" s="103" t="s">
        <v>2276</v>
      </c>
      <c r="L665" s="21" t="s">
        <v>2276</v>
      </c>
      <c r="M665" s="21" t="s">
        <v>2276</v>
      </c>
      <c r="N665" s="21" t="s">
        <v>2276</v>
      </c>
      <c r="O665" s="21" t="s">
        <v>2276</v>
      </c>
      <c r="P665" s="21" t="s">
        <v>2276</v>
      </c>
      <c r="Q665" s="102" t="s">
        <v>2276</v>
      </c>
      <c r="R665" s="102" t="s">
        <v>2276</v>
      </c>
      <c r="S665" s="21" t="s">
        <v>2276</v>
      </c>
      <c r="T665" s="21" t="s">
        <v>2276</v>
      </c>
      <c r="U665" s="21" t="s">
        <v>2276</v>
      </c>
      <c r="V665" s="21" t="s">
        <v>2276</v>
      </c>
      <c r="W665" s="21" t="s">
        <v>2276</v>
      </c>
      <c r="X665" s="3" t="s">
        <v>2276</v>
      </c>
      <c r="Y665" s="3" t="s">
        <v>2276</v>
      </c>
      <c r="Z665" s="3" t="s">
        <v>2276</v>
      </c>
      <c r="AA665" s="4" t="s">
        <v>1108</v>
      </c>
      <c r="AB665" s="3"/>
    </row>
    <row r="666" spans="1:28" ht="64.5" customHeight="1">
      <c r="A666" s="6" t="str">
        <f>'Reported burning'!A666</f>
        <v>78a</v>
      </c>
      <c r="B666" s="6" t="str">
        <f>'Reported burning'!B666</f>
        <v>78a.9</v>
      </c>
      <c r="C666" s="6" t="str">
        <f>'Reported burning'!C666</f>
        <v>Lightning</v>
      </c>
      <c r="D666" s="6" t="str">
        <f>'Reported burning'!D666</f>
        <v>ND</v>
      </c>
      <c r="E666" s="6" t="str">
        <f>'Reported burning'!E666</f>
        <v>ND</v>
      </c>
      <c r="F666" s="6" t="str">
        <f>'Reported burning'!F666</f>
        <v>ND</v>
      </c>
      <c r="G666" s="6" t="str">
        <f>'Reported burning'!G666</f>
        <v>Forest</v>
      </c>
      <c r="H666" s="6" t="str">
        <f>'Reported burning'!H666</f>
        <v>Absence</v>
      </c>
      <c r="I666" s="3">
        <v>1997</v>
      </c>
      <c r="J666" s="21" t="s">
        <v>2276</v>
      </c>
      <c r="K666" s="103" t="s">
        <v>2276</v>
      </c>
      <c r="L666" s="21" t="s">
        <v>2276</v>
      </c>
      <c r="M666" s="21" t="s">
        <v>2276</v>
      </c>
      <c r="N666" s="21" t="s">
        <v>2276</v>
      </c>
      <c r="O666" s="21" t="s">
        <v>2276</v>
      </c>
      <c r="P666" s="21" t="s">
        <v>2276</v>
      </c>
      <c r="Q666" s="102" t="s">
        <v>2276</v>
      </c>
      <c r="R666" s="102" t="s">
        <v>2276</v>
      </c>
      <c r="S666" s="21" t="s">
        <v>2276</v>
      </c>
      <c r="T666" s="21" t="s">
        <v>2276</v>
      </c>
      <c r="U666" s="21" t="s">
        <v>2276</v>
      </c>
      <c r="V666" s="21" t="s">
        <v>2276</v>
      </c>
      <c r="W666" s="21" t="s">
        <v>2276</v>
      </c>
      <c r="X666" s="3" t="s">
        <v>2276</v>
      </c>
      <c r="Y666" s="3" t="s">
        <v>2276</v>
      </c>
      <c r="Z666" s="3" t="s">
        <v>2276</v>
      </c>
      <c r="AA666" s="4" t="s">
        <v>1108</v>
      </c>
      <c r="AB666" s="3"/>
    </row>
    <row r="667" spans="1:28" ht="63" customHeight="1">
      <c r="A667" s="6" t="str">
        <f>'Reported burning'!A667</f>
        <v>78a</v>
      </c>
      <c r="B667" s="6" t="str">
        <f>'Reported burning'!B667</f>
        <v>78a.10</v>
      </c>
      <c r="C667" s="6" t="str">
        <f>'Reported burning'!C667</f>
        <v>Lightning</v>
      </c>
      <c r="D667" s="6" t="str">
        <f>'Reported burning'!D667</f>
        <v>ND</v>
      </c>
      <c r="E667" s="6" t="str">
        <f>'Reported burning'!E667</f>
        <v>ND</v>
      </c>
      <c r="F667" s="6" t="str">
        <f>'Reported burning'!F667</f>
        <v>ND</v>
      </c>
      <c r="G667" s="6" t="str">
        <f>'Reported burning'!G667</f>
        <v>Forest</v>
      </c>
      <c r="H667" s="6" t="str">
        <f>'Reported burning'!H667</f>
        <v>Absence</v>
      </c>
      <c r="I667" s="3">
        <v>1998</v>
      </c>
      <c r="J667" s="21" t="s">
        <v>2276</v>
      </c>
      <c r="K667" s="103" t="s">
        <v>2276</v>
      </c>
      <c r="L667" s="21" t="s">
        <v>2276</v>
      </c>
      <c r="M667" s="21" t="s">
        <v>2276</v>
      </c>
      <c r="N667" s="21" t="s">
        <v>2276</v>
      </c>
      <c r="O667" s="21" t="s">
        <v>2276</v>
      </c>
      <c r="P667" s="21" t="s">
        <v>2276</v>
      </c>
      <c r="Q667" s="102" t="s">
        <v>2276</v>
      </c>
      <c r="R667" s="102" t="s">
        <v>2276</v>
      </c>
      <c r="S667" s="21" t="s">
        <v>2276</v>
      </c>
      <c r="T667" s="21" t="s">
        <v>2276</v>
      </c>
      <c r="U667" s="21" t="s">
        <v>2276</v>
      </c>
      <c r="V667" s="21" t="s">
        <v>2276</v>
      </c>
      <c r="W667" s="21" t="s">
        <v>2276</v>
      </c>
      <c r="X667" s="3" t="s">
        <v>2276</v>
      </c>
      <c r="Y667" s="3" t="s">
        <v>2276</v>
      </c>
      <c r="Z667" s="3" t="s">
        <v>2276</v>
      </c>
      <c r="AA667" s="4" t="s">
        <v>1108</v>
      </c>
      <c r="AB667" s="3"/>
    </row>
    <row r="668" spans="1:28" ht="62" customHeight="1">
      <c r="A668" s="6" t="str">
        <f>'Reported burning'!A668</f>
        <v>78a</v>
      </c>
      <c r="B668" s="6" t="str">
        <f>'Reported burning'!B668</f>
        <v>78a.11</v>
      </c>
      <c r="C668" s="6" t="str">
        <f>'Reported burning'!C668</f>
        <v>Lightning</v>
      </c>
      <c r="D668" s="6" t="str">
        <f>'Reported burning'!D668</f>
        <v>ND</v>
      </c>
      <c r="E668" s="6" t="str">
        <f>'Reported burning'!E668</f>
        <v>ND</v>
      </c>
      <c r="F668" s="6" t="str">
        <f>'Reported burning'!F668</f>
        <v>ND</v>
      </c>
      <c r="G668" s="6" t="str">
        <f>'Reported burning'!G668</f>
        <v>Forest</v>
      </c>
      <c r="H668" s="6" t="str">
        <f>'Reported burning'!H668</f>
        <v>Absence</v>
      </c>
      <c r="I668" s="3">
        <v>1999</v>
      </c>
      <c r="J668" s="21" t="s">
        <v>2276</v>
      </c>
      <c r="K668" s="103" t="s">
        <v>2276</v>
      </c>
      <c r="L668" s="21" t="s">
        <v>2276</v>
      </c>
      <c r="M668" s="21" t="s">
        <v>2276</v>
      </c>
      <c r="N668" s="21" t="s">
        <v>2276</v>
      </c>
      <c r="O668" s="21" t="s">
        <v>2276</v>
      </c>
      <c r="P668" s="21" t="s">
        <v>2276</v>
      </c>
      <c r="Q668" s="102" t="s">
        <v>2276</v>
      </c>
      <c r="R668" s="102" t="s">
        <v>2276</v>
      </c>
      <c r="S668" s="21" t="s">
        <v>2276</v>
      </c>
      <c r="T668" s="21" t="s">
        <v>2276</v>
      </c>
      <c r="U668" s="21" t="s">
        <v>2276</v>
      </c>
      <c r="V668" s="21" t="s">
        <v>2276</v>
      </c>
      <c r="W668" s="21" t="s">
        <v>2276</v>
      </c>
      <c r="X668" s="3" t="s">
        <v>2276</v>
      </c>
      <c r="Y668" s="3" t="s">
        <v>2276</v>
      </c>
      <c r="Z668" s="3" t="s">
        <v>2276</v>
      </c>
      <c r="AA668" s="4" t="s">
        <v>1108</v>
      </c>
      <c r="AB668" s="3"/>
    </row>
    <row r="669" spans="1:28" ht="67" customHeight="1">
      <c r="A669" s="6" t="str">
        <f>'Reported burning'!A669</f>
        <v>78a</v>
      </c>
      <c r="B669" s="6" t="str">
        <f>'Reported burning'!B669</f>
        <v>78a.12</v>
      </c>
      <c r="C669" s="6" t="str">
        <f>'Reported burning'!C669</f>
        <v>Lightning</v>
      </c>
      <c r="D669" s="6" t="str">
        <f>'Reported burning'!D669</f>
        <v>ND</v>
      </c>
      <c r="E669" s="6" t="str">
        <f>'Reported burning'!E669</f>
        <v>ND</v>
      </c>
      <c r="F669" s="6" t="str">
        <f>'Reported burning'!F669</f>
        <v>ND</v>
      </c>
      <c r="G669" s="6" t="str">
        <f>'Reported burning'!G669</f>
        <v>Forest</v>
      </c>
      <c r="H669" s="6" t="str">
        <f>'Reported burning'!H669</f>
        <v>Absence</v>
      </c>
      <c r="I669" s="3">
        <v>2000</v>
      </c>
      <c r="J669" s="21" t="s">
        <v>2276</v>
      </c>
      <c r="K669" s="103" t="s">
        <v>2276</v>
      </c>
      <c r="L669" s="21" t="s">
        <v>2276</v>
      </c>
      <c r="M669" s="21" t="s">
        <v>2276</v>
      </c>
      <c r="N669" s="21" t="s">
        <v>2276</v>
      </c>
      <c r="O669" s="21" t="s">
        <v>2276</v>
      </c>
      <c r="P669" s="21" t="s">
        <v>2276</v>
      </c>
      <c r="Q669" s="102" t="s">
        <v>2276</v>
      </c>
      <c r="R669" s="102" t="s">
        <v>2276</v>
      </c>
      <c r="S669" s="21" t="s">
        <v>2276</v>
      </c>
      <c r="T669" s="21" t="s">
        <v>2276</v>
      </c>
      <c r="U669" s="21" t="s">
        <v>2276</v>
      </c>
      <c r="V669" s="21" t="s">
        <v>2276</v>
      </c>
      <c r="W669" s="21" t="s">
        <v>2276</v>
      </c>
      <c r="X669" s="3" t="s">
        <v>2276</v>
      </c>
      <c r="Y669" s="3" t="s">
        <v>2276</v>
      </c>
      <c r="Z669" s="3" t="s">
        <v>2276</v>
      </c>
      <c r="AA669" s="4" t="s">
        <v>1108</v>
      </c>
      <c r="AB669" s="3"/>
    </row>
    <row r="670" spans="1:28" ht="93.5" customHeight="1">
      <c r="A670" s="6" t="str">
        <f>'Reported burning'!A670</f>
        <v>79a</v>
      </c>
      <c r="B670" s="6" t="str">
        <f>'Reported burning'!B670</f>
        <v>79a.1</v>
      </c>
      <c r="C670" s="6" t="str">
        <f>'Reported burning'!C670</f>
        <v>Human, deliberate</v>
      </c>
      <c r="D670" s="6" t="str">
        <f>'Reported burning'!D670</f>
        <v>Crop field preparation</v>
      </c>
      <c r="E670" s="6" t="str">
        <f>'Reported burning'!E670</f>
        <v>Cropping, Swidden</v>
      </c>
      <c r="F670" s="6" t="str">
        <f>'Reported burning'!F670</f>
        <v>Secondary Vegetation</v>
      </c>
      <c r="G670" s="6">
        <f>'Reported burning'!G670</f>
        <v>0</v>
      </c>
      <c r="H670" s="6" t="str">
        <f>'Reported burning'!H670</f>
        <v>Presence</v>
      </c>
      <c r="I670" s="3"/>
      <c r="J670" s="21" t="s">
        <v>2276</v>
      </c>
      <c r="K670" s="103" t="s">
        <v>2276</v>
      </c>
      <c r="L670" s="21" t="s">
        <v>2276</v>
      </c>
      <c r="M670" s="21" t="s">
        <v>2276</v>
      </c>
      <c r="N670" s="21" t="s">
        <v>2276</v>
      </c>
      <c r="O670" s="21" t="s">
        <v>2276</v>
      </c>
      <c r="P670" s="21" t="s">
        <v>2276</v>
      </c>
      <c r="Q670" s="102" t="s">
        <v>2276</v>
      </c>
      <c r="R670" s="102" t="s">
        <v>2276</v>
      </c>
      <c r="S670" s="21" t="s">
        <v>2276</v>
      </c>
      <c r="T670" s="21" t="s">
        <v>2276</v>
      </c>
      <c r="U670" s="21" t="s">
        <v>2276</v>
      </c>
      <c r="V670" s="21" t="s">
        <v>2276</v>
      </c>
      <c r="W670" s="21" t="s">
        <v>2276</v>
      </c>
      <c r="X670" s="3" t="s">
        <v>68</v>
      </c>
      <c r="Y670" s="3" t="s">
        <v>35</v>
      </c>
      <c r="Z670" s="3" t="s">
        <v>2276</v>
      </c>
      <c r="AA670" s="4" t="s">
        <v>2349</v>
      </c>
      <c r="AB670" s="3"/>
    </row>
    <row r="671" spans="1:28" ht="93.5" customHeight="1">
      <c r="A671" s="6" t="str">
        <f>'Reported burning'!A671</f>
        <v>79a</v>
      </c>
      <c r="B671" s="6" t="str">
        <f>'Reported burning'!B671</f>
        <v>79a.2</v>
      </c>
      <c r="C671" s="6" t="str">
        <f>'Reported burning'!C671</f>
        <v>Human, deliberate</v>
      </c>
      <c r="D671" s="6" t="str">
        <f>'Reported burning'!D671</f>
        <v>Forest clearance</v>
      </c>
      <c r="E671" s="6" t="str">
        <f>'Reported burning'!E671</f>
        <v>Forestry, Small-scale</v>
      </c>
      <c r="F671" s="6" t="str">
        <f>'Reported burning'!F671</f>
        <v>Forest</v>
      </c>
      <c r="G671" s="6">
        <f>'Reported burning'!G671</f>
        <v>0</v>
      </c>
      <c r="H671" s="6" t="str">
        <f>'Reported burning'!H671</f>
        <v>Presence</v>
      </c>
      <c r="I671" s="3"/>
      <c r="J671" s="21" t="s">
        <v>2276</v>
      </c>
      <c r="K671" s="103" t="s">
        <v>2276</v>
      </c>
      <c r="L671" s="21" t="s">
        <v>2276</v>
      </c>
      <c r="M671" s="21" t="s">
        <v>2276</v>
      </c>
      <c r="N671" s="21" t="s">
        <v>2276</v>
      </c>
      <c r="O671" s="21" t="s">
        <v>2276</v>
      </c>
      <c r="P671" s="21" t="s">
        <v>2276</v>
      </c>
      <c r="Q671" s="102" t="s">
        <v>2276</v>
      </c>
      <c r="R671" s="102" t="s">
        <v>2276</v>
      </c>
      <c r="S671" s="21" t="s">
        <v>2276</v>
      </c>
      <c r="T671" s="21" t="s">
        <v>2276</v>
      </c>
      <c r="U671" s="21" t="s">
        <v>2276</v>
      </c>
      <c r="V671" s="21" t="s">
        <v>2276</v>
      </c>
      <c r="W671" s="21" t="s">
        <v>2276</v>
      </c>
      <c r="X671" s="21" t="s">
        <v>2276</v>
      </c>
      <c r="Y671" s="21" t="s">
        <v>2276</v>
      </c>
      <c r="Z671" s="21" t="s">
        <v>2276</v>
      </c>
      <c r="AA671" s="4" t="s">
        <v>2336</v>
      </c>
      <c r="AB671" s="3"/>
    </row>
    <row r="672" spans="1:28" ht="93.5" customHeight="1">
      <c r="A672" s="6" t="str">
        <f>'Reported burning'!A672</f>
        <v>79a</v>
      </c>
      <c r="B672" s="6" t="str">
        <f>'Reported burning'!B672</f>
        <v>79a.3</v>
      </c>
      <c r="C672" s="6" t="str">
        <f>'Reported burning'!C672</f>
        <v>Human, deliberate</v>
      </c>
      <c r="D672" s="6" t="str">
        <f>'Reported burning'!D672</f>
        <v>Forest management</v>
      </c>
      <c r="E672" s="6" t="str">
        <f>'Reported burning'!E672</f>
        <v>Forestry, Small-scale</v>
      </c>
      <c r="F672" s="6" t="str">
        <f>'Reported burning'!F672</f>
        <v>Secondary Vegetation</v>
      </c>
      <c r="G672" s="6">
        <f>'Reported burning'!G672</f>
        <v>0</v>
      </c>
      <c r="H672" s="6" t="str">
        <f>'Reported burning'!H672</f>
        <v>Presence</v>
      </c>
      <c r="I672" s="3"/>
      <c r="J672" s="21" t="s">
        <v>2276</v>
      </c>
      <c r="K672" s="103" t="s">
        <v>2276</v>
      </c>
      <c r="L672" s="21" t="s">
        <v>2276</v>
      </c>
      <c r="M672" s="21" t="s">
        <v>2276</v>
      </c>
      <c r="N672" s="21" t="s">
        <v>2276</v>
      </c>
      <c r="O672" s="21" t="s">
        <v>2276</v>
      </c>
      <c r="P672" s="21" t="s">
        <v>2276</v>
      </c>
      <c r="Q672" s="102" t="s">
        <v>2276</v>
      </c>
      <c r="R672" s="102" t="s">
        <v>2276</v>
      </c>
      <c r="S672" s="21" t="s">
        <v>2276</v>
      </c>
      <c r="T672" s="21" t="s">
        <v>2276</v>
      </c>
      <c r="U672" s="21" t="s">
        <v>2276</v>
      </c>
      <c r="V672" s="21" t="s">
        <v>2276</v>
      </c>
      <c r="W672" s="103" t="s">
        <v>2401</v>
      </c>
      <c r="X672" s="21" t="s">
        <v>2276</v>
      </c>
      <c r="Y672" s="21" t="s">
        <v>2276</v>
      </c>
      <c r="Z672" s="21" t="s">
        <v>2276</v>
      </c>
      <c r="AA672" s="4" t="s">
        <v>2348</v>
      </c>
      <c r="AB672" s="3"/>
    </row>
    <row r="673" spans="1:28" ht="93.5" customHeight="1">
      <c r="A673" s="6" t="str">
        <f>'Reported burning'!A673</f>
        <v>79a</v>
      </c>
      <c r="B673" s="6" t="str">
        <f>'Reported burning'!B673</f>
        <v>79a.4</v>
      </c>
      <c r="C673" s="6" t="str">
        <f>'Reported burning'!C673</f>
        <v>Human, deliberate</v>
      </c>
      <c r="D673" s="6" t="str">
        <f>'Reported burning'!D673</f>
        <v>Hunting</v>
      </c>
      <c r="E673" s="6" t="str">
        <f>'Reported burning'!E673</f>
        <v>Forestry, Traditional</v>
      </c>
      <c r="F673" s="6" t="str">
        <f>'Reported burning'!F673</f>
        <v>Forest</v>
      </c>
      <c r="G673" s="6">
        <f>'Reported burning'!G673</f>
        <v>0</v>
      </c>
      <c r="H673" s="6" t="str">
        <f>'Reported burning'!H673</f>
        <v>Presence</v>
      </c>
      <c r="I673" s="3"/>
      <c r="J673" s="21" t="s">
        <v>2276</v>
      </c>
      <c r="K673" s="103" t="s">
        <v>2276</v>
      </c>
      <c r="L673" s="21" t="s">
        <v>2276</v>
      </c>
      <c r="M673" s="21" t="s">
        <v>2276</v>
      </c>
      <c r="N673" s="21" t="s">
        <v>2276</v>
      </c>
      <c r="O673" s="21" t="s">
        <v>2276</v>
      </c>
      <c r="P673" s="21" t="s">
        <v>2276</v>
      </c>
      <c r="Q673" s="102" t="s">
        <v>2276</v>
      </c>
      <c r="R673" s="102" t="s">
        <v>2276</v>
      </c>
      <c r="S673" s="21" t="s">
        <v>2276</v>
      </c>
      <c r="T673" s="21" t="s">
        <v>2276</v>
      </c>
      <c r="U673" s="21" t="s">
        <v>2276</v>
      </c>
      <c r="V673" s="21" t="s">
        <v>2276</v>
      </c>
      <c r="W673" s="21" t="s">
        <v>2276</v>
      </c>
      <c r="X673" s="21" t="s">
        <v>2276</v>
      </c>
      <c r="Y673" s="21" t="s">
        <v>2276</v>
      </c>
      <c r="Z673" s="21" t="s">
        <v>2276</v>
      </c>
      <c r="AA673" s="4" t="s">
        <v>2352</v>
      </c>
      <c r="AB673" s="3"/>
    </row>
    <row r="674" spans="1:28" ht="93.5" customHeight="1">
      <c r="A674" s="6" t="str">
        <f>'Reported burning'!A674</f>
        <v>79a</v>
      </c>
      <c r="B674" s="6" t="str">
        <f>'Reported burning'!B674</f>
        <v>79a.5</v>
      </c>
      <c r="C674" s="6" t="str">
        <f>'Reported burning'!C674</f>
        <v>Human, deliberate</v>
      </c>
      <c r="D674" s="6" t="str">
        <f>'Reported burning'!D674</f>
        <v>Accessibility</v>
      </c>
      <c r="E674" s="6" t="str">
        <f>'Reported burning'!E674</f>
        <v>All</v>
      </c>
      <c r="F674" s="6" t="str">
        <f>'Reported burning'!F674</f>
        <v>Secondary Vegetation</v>
      </c>
      <c r="G674" s="6">
        <f>'Reported burning'!G674</f>
        <v>0</v>
      </c>
      <c r="H674" s="6" t="str">
        <f>'Reported burning'!H674</f>
        <v>Presence</v>
      </c>
      <c r="I674" s="3"/>
      <c r="J674" s="21" t="s">
        <v>2276</v>
      </c>
      <c r="K674" s="103" t="s">
        <v>2276</v>
      </c>
      <c r="L674" s="21" t="s">
        <v>2276</v>
      </c>
      <c r="M674" s="21" t="s">
        <v>2276</v>
      </c>
      <c r="N674" s="21" t="s">
        <v>2276</v>
      </c>
      <c r="O674" s="21" t="s">
        <v>2276</v>
      </c>
      <c r="P674" s="21" t="s">
        <v>2276</v>
      </c>
      <c r="Q674" s="102" t="s">
        <v>2276</v>
      </c>
      <c r="R674" s="102" t="s">
        <v>2276</v>
      </c>
      <c r="S674" s="21" t="s">
        <v>2276</v>
      </c>
      <c r="T674" s="21" t="s">
        <v>2276</v>
      </c>
      <c r="U674" s="21" t="s">
        <v>2276</v>
      </c>
      <c r="V674" s="21" t="s">
        <v>2276</v>
      </c>
      <c r="W674" s="21" t="s">
        <v>2276</v>
      </c>
      <c r="X674" s="21" t="s">
        <v>2276</v>
      </c>
      <c r="Y674" s="21" t="s">
        <v>2276</v>
      </c>
      <c r="Z674" s="21" t="s">
        <v>2276</v>
      </c>
      <c r="AA674" s="4" t="s">
        <v>2342</v>
      </c>
      <c r="AB674" s="3"/>
    </row>
    <row r="675" spans="1:28" ht="89.5" customHeight="1">
      <c r="A675" s="6" t="str">
        <f>'Reported burning'!A675</f>
        <v>79b</v>
      </c>
      <c r="B675" s="6" t="str">
        <f>'Reported burning'!B675</f>
        <v>79b.1</v>
      </c>
      <c r="C675" s="6" t="str">
        <f>'Reported burning'!C675</f>
        <v>Human, deliberate</v>
      </c>
      <c r="D675" s="6" t="str">
        <f>'Reported burning'!D675</f>
        <v>Crop field preparation</v>
      </c>
      <c r="E675" s="6" t="str">
        <f>'Reported burning'!E675</f>
        <v>Cropping, Swidden</v>
      </c>
      <c r="F675" s="6" t="str">
        <f>'Reported burning'!F675</f>
        <v>Secondary Vegetation</v>
      </c>
      <c r="G675" s="6">
        <f>'Reported burning'!G675</f>
        <v>0</v>
      </c>
      <c r="H675" s="6" t="str">
        <f>'Reported burning'!H675</f>
        <v>Presence</v>
      </c>
      <c r="I675" s="3"/>
      <c r="J675" s="21" t="s">
        <v>2276</v>
      </c>
      <c r="K675" s="103" t="s">
        <v>2276</v>
      </c>
      <c r="L675" s="21" t="s">
        <v>2276</v>
      </c>
      <c r="M675" s="21" t="s">
        <v>2276</v>
      </c>
      <c r="N675" s="21" t="s">
        <v>2276</v>
      </c>
      <c r="O675" s="21" t="s">
        <v>2276</v>
      </c>
      <c r="P675" s="21" t="s">
        <v>2276</v>
      </c>
      <c r="Q675" s="102" t="s">
        <v>2276</v>
      </c>
      <c r="R675" s="102" t="s">
        <v>2276</v>
      </c>
      <c r="S675" s="21" t="s">
        <v>2276</v>
      </c>
      <c r="T675" s="21" t="s">
        <v>2276</v>
      </c>
      <c r="U675" s="21" t="s">
        <v>2276</v>
      </c>
      <c r="V675" s="21" t="s">
        <v>2276</v>
      </c>
      <c r="W675" s="21" t="s">
        <v>2276</v>
      </c>
      <c r="X675" s="3" t="s">
        <v>68</v>
      </c>
      <c r="Y675" s="3" t="s">
        <v>35</v>
      </c>
      <c r="Z675" s="21" t="s">
        <v>2276</v>
      </c>
      <c r="AA675" s="4" t="s">
        <v>2349</v>
      </c>
      <c r="AB675" s="3"/>
    </row>
    <row r="676" spans="1:28" ht="102" customHeight="1">
      <c r="A676" s="6" t="str">
        <f>'Reported burning'!A676</f>
        <v>79b</v>
      </c>
      <c r="B676" s="6" t="str">
        <f>'Reported burning'!B676</f>
        <v>79b.2</v>
      </c>
      <c r="C676" s="6" t="str">
        <f>'Reported burning'!C676</f>
        <v>Human, deliberate</v>
      </c>
      <c r="D676" s="6" t="str">
        <f>'Reported burning'!D676</f>
        <v>Forest clearance</v>
      </c>
      <c r="E676" s="6" t="str">
        <f>'Reported burning'!E676</f>
        <v>Forestry, Small-scale</v>
      </c>
      <c r="F676" s="6" t="str">
        <f>'Reported burning'!F676</f>
        <v>Forest</v>
      </c>
      <c r="G676" s="6">
        <f>'Reported burning'!G676</f>
        <v>0</v>
      </c>
      <c r="H676" s="6" t="str">
        <f>'Reported burning'!H676</f>
        <v>Presence</v>
      </c>
      <c r="I676" s="3"/>
      <c r="J676" s="21" t="s">
        <v>2276</v>
      </c>
      <c r="K676" s="103" t="s">
        <v>2276</v>
      </c>
      <c r="L676" s="21" t="s">
        <v>2276</v>
      </c>
      <c r="M676" s="21" t="s">
        <v>2276</v>
      </c>
      <c r="N676" s="21" t="s">
        <v>2276</v>
      </c>
      <c r="O676" s="21" t="s">
        <v>2276</v>
      </c>
      <c r="P676" s="21" t="s">
        <v>2276</v>
      </c>
      <c r="Q676" s="102" t="s">
        <v>2276</v>
      </c>
      <c r="R676" s="102" t="s">
        <v>2276</v>
      </c>
      <c r="S676" s="21" t="s">
        <v>2276</v>
      </c>
      <c r="T676" s="21" t="s">
        <v>2276</v>
      </c>
      <c r="U676" s="21" t="s">
        <v>2276</v>
      </c>
      <c r="V676" s="21" t="s">
        <v>2276</v>
      </c>
      <c r="W676" s="21" t="s">
        <v>2276</v>
      </c>
      <c r="X676" s="21" t="s">
        <v>2276</v>
      </c>
      <c r="Y676" s="21" t="s">
        <v>2276</v>
      </c>
      <c r="Z676" s="21" t="s">
        <v>2276</v>
      </c>
      <c r="AA676" s="4" t="s">
        <v>2336</v>
      </c>
      <c r="AB676" s="3"/>
    </row>
    <row r="677" spans="1:28" ht="102" customHeight="1">
      <c r="A677" s="6" t="str">
        <f>'Reported burning'!A677</f>
        <v>79b</v>
      </c>
      <c r="B677" s="6" t="str">
        <f>'Reported burning'!B677</f>
        <v>79b.3</v>
      </c>
      <c r="C677" s="6" t="str">
        <f>'Reported burning'!C677</f>
        <v>Human, deliberate</v>
      </c>
      <c r="D677" s="6" t="str">
        <f>'Reported burning'!D677</f>
        <v>Hunting</v>
      </c>
      <c r="E677" s="6" t="str">
        <f>'Reported burning'!E677</f>
        <v>Forestry, Traditional</v>
      </c>
      <c r="F677" s="6" t="str">
        <f>'Reported burning'!F677</f>
        <v>Forest</v>
      </c>
      <c r="G677" s="6">
        <f>'Reported burning'!G677</f>
        <v>0</v>
      </c>
      <c r="H677" s="6" t="str">
        <f>'Reported burning'!H677</f>
        <v>Presence</v>
      </c>
      <c r="I677" s="3"/>
      <c r="J677" s="21" t="s">
        <v>2276</v>
      </c>
      <c r="K677" s="103" t="s">
        <v>2276</v>
      </c>
      <c r="L677" s="21" t="s">
        <v>2276</v>
      </c>
      <c r="M677" s="21" t="s">
        <v>2276</v>
      </c>
      <c r="N677" s="21" t="s">
        <v>2276</v>
      </c>
      <c r="O677" s="21" t="s">
        <v>2276</v>
      </c>
      <c r="P677" s="21" t="s">
        <v>2276</v>
      </c>
      <c r="Q677" s="102" t="s">
        <v>2276</v>
      </c>
      <c r="R677" s="102" t="s">
        <v>2276</v>
      </c>
      <c r="S677" s="21" t="s">
        <v>2276</v>
      </c>
      <c r="T677" s="21" t="s">
        <v>2276</v>
      </c>
      <c r="U677" s="21" t="s">
        <v>2276</v>
      </c>
      <c r="V677" s="21" t="s">
        <v>2276</v>
      </c>
      <c r="W677" s="21" t="s">
        <v>2276</v>
      </c>
      <c r="X677" s="21" t="s">
        <v>2276</v>
      </c>
      <c r="Y677" s="21" t="s">
        <v>2276</v>
      </c>
      <c r="Z677" s="21" t="s">
        <v>2276</v>
      </c>
      <c r="AA677" s="4" t="s">
        <v>2352</v>
      </c>
      <c r="AB677" s="3"/>
    </row>
    <row r="678" spans="1:28" ht="102" customHeight="1">
      <c r="A678" s="6" t="str">
        <f>'Reported burning'!A678</f>
        <v>79b</v>
      </c>
      <c r="B678" s="6" t="str">
        <f>'Reported burning'!B678</f>
        <v>79b.4</v>
      </c>
      <c r="C678" s="6" t="str">
        <f>'Reported burning'!C678</f>
        <v>Human, deliberate</v>
      </c>
      <c r="D678" s="6" t="str">
        <f>'Reported burning'!D678</f>
        <v>Accessibility</v>
      </c>
      <c r="E678" s="6" t="str">
        <f>'Reported burning'!E678</f>
        <v>All</v>
      </c>
      <c r="F678" s="6" t="str">
        <f>'Reported burning'!F678</f>
        <v>Secondary Vegetation</v>
      </c>
      <c r="G678" s="6">
        <f>'Reported burning'!G678</f>
        <v>0</v>
      </c>
      <c r="H678" s="6" t="str">
        <f>'Reported burning'!H678</f>
        <v>Presence</v>
      </c>
      <c r="I678" s="3"/>
      <c r="J678" s="21" t="s">
        <v>2276</v>
      </c>
      <c r="K678" s="103" t="s">
        <v>2276</v>
      </c>
      <c r="L678" s="21" t="s">
        <v>2276</v>
      </c>
      <c r="M678" s="21" t="s">
        <v>2276</v>
      </c>
      <c r="N678" s="21" t="s">
        <v>2276</v>
      </c>
      <c r="O678" s="21" t="s">
        <v>2276</v>
      </c>
      <c r="P678" s="21" t="s">
        <v>2276</v>
      </c>
      <c r="Q678" s="102" t="s">
        <v>2276</v>
      </c>
      <c r="R678" s="102" t="s">
        <v>2276</v>
      </c>
      <c r="S678" s="21" t="s">
        <v>2276</v>
      </c>
      <c r="T678" s="21" t="s">
        <v>2276</v>
      </c>
      <c r="U678" s="21" t="s">
        <v>2276</v>
      </c>
      <c r="V678" s="21" t="s">
        <v>2276</v>
      </c>
      <c r="W678" s="21" t="s">
        <v>2276</v>
      </c>
      <c r="X678" s="21" t="s">
        <v>2276</v>
      </c>
      <c r="Y678" s="21" t="s">
        <v>2276</v>
      </c>
      <c r="Z678" s="21" t="s">
        <v>2276</v>
      </c>
      <c r="AA678" s="4" t="s">
        <v>2342</v>
      </c>
      <c r="AB678" s="3"/>
    </row>
    <row r="679" spans="1:28" ht="102" customHeight="1">
      <c r="A679" s="6" t="str">
        <f>'Reported burning'!A679</f>
        <v>79b</v>
      </c>
      <c r="B679" s="6" t="str">
        <f>'Reported burning'!B679</f>
        <v>79b.5</v>
      </c>
      <c r="C679" s="6" t="str">
        <f>'Reported burning'!C679</f>
        <v>Human, deliberate</v>
      </c>
      <c r="D679" s="6" t="str">
        <f>'Reported burning'!D679</f>
        <v>Forest management</v>
      </c>
      <c r="E679" s="6" t="str">
        <f>'Reported burning'!E679</f>
        <v>Forestry, Small-scale</v>
      </c>
      <c r="F679" s="6" t="str">
        <f>'Reported burning'!F679</f>
        <v>Secondary Vegetation</v>
      </c>
      <c r="G679" s="6">
        <f>'Reported burning'!G679</f>
        <v>0</v>
      </c>
      <c r="H679" s="6" t="str">
        <f>'Reported burning'!H679</f>
        <v>Presence</v>
      </c>
      <c r="I679" s="3"/>
      <c r="J679" s="21" t="s">
        <v>2276</v>
      </c>
      <c r="K679" s="103" t="s">
        <v>2276</v>
      </c>
      <c r="L679" s="21" t="s">
        <v>2276</v>
      </c>
      <c r="M679" s="21" t="s">
        <v>2276</v>
      </c>
      <c r="N679" s="21" t="s">
        <v>2276</v>
      </c>
      <c r="O679" s="21" t="s">
        <v>2276</v>
      </c>
      <c r="P679" s="21" t="s">
        <v>2276</v>
      </c>
      <c r="Q679" s="102" t="s">
        <v>2276</v>
      </c>
      <c r="R679" s="102" t="s">
        <v>2276</v>
      </c>
      <c r="S679" s="21" t="s">
        <v>2276</v>
      </c>
      <c r="T679" s="21" t="s">
        <v>2276</v>
      </c>
      <c r="U679" s="21" t="s">
        <v>2276</v>
      </c>
      <c r="V679" s="21" t="s">
        <v>2276</v>
      </c>
      <c r="W679" s="103" t="s">
        <v>2401</v>
      </c>
      <c r="X679" s="21" t="s">
        <v>2276</v>
      </c>
      <c r="Y679" s="21" t="s">
        <v>2276</v>
      </c>
      <c r="Z679" s="21" t="s">
        <v>2276</v>
      </c>
      <c r="AA679" s="4" t="s">
        <v>2348</v>
      </c>
      <c r="AB679" s="3"/>
    </row>
    <row r="680" spans="1:28" ht="102" customHeight="1">
      <c r="A680" s="6" t="str">
        <f>'Reported burning'!A680</f>
        <v>79b</v>
      </c>
      <c r="B680" s="6" t="str">
        <f>'Reported burning'!B680</f>
        <v>79b.6</v>
      </c>
      <c r="C680" s="6" t="str">
        <f>'Reported burning'!C680</f>
        <v>Human, deliberate</v>
      </c>
      <c r="D680" s="6" t="str">
        <f>'Reported burning'!D680</f>
        <v>Crop field preparation</v>
      </c>
      <c r="E680" s="6" t="str">
        <f>'Reported burning'!E680</f>
        <v>Cropping, Intensive</v>
      </c>
      <c r="F680" s="6" t="str">
        <f>'Reported burning'!F680</f>
        <v>Cropland</v>
      </c>
      <c r="G680" s="6">
        <f>'Reported burning'!G680</f>
        <v>0</v>
      </c>
      <c r="H680" s="6" t="str">
        <f>'Reported burning'!H680</f>
        <v>Absence</v>
      </c>
      <c r="I680" s="3"/>
      <c r="J680" s="21" t="s">
        <v>2364</v>
      </c>
      <c r="K680" s="103" t="s">
        <v>2364</v>
      </c>
      <c r="L680" s="21" t="s">
        <v>2364</v>
      </c>
      <c r="M680" s="21" t="s">
        <v>2364</v>
      </c>
      <c r="N680" s="21" t="s">
        <v>2364</v>
      </c>
      <c r="O680" s="21" t="s">
        <v>2364</v>
      </c>
      <c r="P680" s="21" t="s">
        <v>2364</v>
      </c>
      <c r="Q680" s="102" t="s">
        <v>2276</v>
      </c>
      <c r="R680" s="102" t="s">
        <v>2276</v>
      </c>
      <c r="S680" s="21" t="s">
        <v>2364</v>
      </c>
      <c r="T680" s="21" t="s">
        <v>2364</v>
      </c>
      <c r="U680" s="21" t="s">
        <v>2364</v>
      </c>
      <c r="V680" s="21" t="s">
        <v>2364</v>
      </c>
      <c r="W680" s="21" t="s">
        <v>2276</v>
      </c>
      <c r="X680" s="21" t="s">
        <v>2276</v>
      </c>
      <c r="Y680" s="21" t="s">
        <v>2276</v>
      </c>
      <c r="Z680" s="21" t="s">
        <v>2276</v>
      </c>
      <c r="AA680" s="4" t="s">
        <v>2345</v>
      </c>
      <c r="AB680" s="3"/>
    </row>
    <row r="681" spans="1:28" ht="102" customHeight="1">
      <c r="A681" s="6" t="str">
        <f>'Reported burning'!A681</f>
        <v>79b</v>
      </c>
      <c r="B681" s="6" t="str">
        <f>'Reported burning'!B681</f>
        <v>79b.7</v>
      </c>
      <c r="C681" s="6" t="str">
        <f>'Reported burning'!C681</f>
        <v>Human, deliberate</v>
      </c>
      <c r="D681" s="6" t="str">
        <f>'Reported burning'!D681</f>
        <v>Arson</v>
      </c>
      <c r="E681" s="6" t="str">
        <f>'Reported burning'!E681</f>
        <v>Cropping, Swidden</v>
      </c>
      <c r="F681" s="6" t="str">
        <f>'Reported burning'!F681</f>
        <v>Cropland</v>
      </c>
      <c r="G681" s="6">
        <f>'Reported burning'!G681</f>
        <v>0</v>
      </c>
      <c r="H681" s="6" t="str">
        <f>'Reported burning'!H681</f>
        <v>Presence</v>
      </c>
      <c r="I681" s="3"/>
      <c r="J681" s="21" t="s">
        <v>2276</v>
      </c>
      <c r="K681" s="103" t="s">
        <v>2276</v>
      </c>
      <c r="L681" s="21" t="s">
        <v>2276</v>
      </c>
      <c r="M681" s="21" t="s">
        <v>2276</v>
      </c>
      <c r="N681" s="21" t="s">
        <v>2276</v>
      </c>
      <c r="O681" s="21" t="s">
        <v>2276</v>
      </c>
      <c r="P681" s="21" t="s">
        <v>2276</v>
      </c>
      <c r="Q681" s="102" t="s">
        <v>2276</v>
      </c>
      <c r="R681" s="102" t="s">
        <v>2276</v>
      </c>
      <c r="S681" s="21" t="s">
        <v>2276</v>
      </c>
      <c r="T681" s="21" t="s">
        <v>2276</v>
      </c>
      <c r="U681" s="21" t="s">
        <v>2276</v>
      </c>
      <c r="V681" s="21" t="s">
        <v>2276</v>
      </c>
      <c r="W681" s="21" t="s">
        <v>2276</v>
      </c>
      <c r="X681" s="21" t="s">
        <v>2276</v>
      </c>
      <c r="Y681" s="21" t="s">
        <v>2276</v>
      </c>
      <c r="Z681" s="21" t="s">
        <v>2276</v>
      </c>
      <c r="AA681" s="4" t="s">
        <v>2347</v>
      </c>
      <c r="AB681" s="3"/>
    </row>
    <row r="682" spans="1:28" ht="102" customHeight="1">
      <c r="A682" s="6" t="str">
        <f>'Reported burning'!A682</f>
        <v>79b</v>
      </c>
      <c r="B682" s="6" t="str">
        <f>'Reported burning'!B682</f>
        <v>79b.8</v>
      </c>
      <c r="C682" s="6" t="str">
        <f>'Reported burning'!C682</f>
        <v>Human, deliberate</v>
      </c>
      <c r="D682" s="6" t="str">
        <f>'Reported burning'!D682</f>
        <v>Arson</v>
      </c>
      <c r="E682" s="6" t="str">
        <f>'Reported burning'!E682</f>
        <v>Forestry, Small-scale</v>
      </c>
      <c r="F682" s="6" t="str">
        <f>'Reported burning'!F682</f>
        <v>Cropland</v>
      </c>
      <c r="G682" s="6">
        <f>'Reported burning'!G682</f>
        <v>0</v>
      </c>
      <c r="H682" s="6" t="str">
        <f>'Reported burning'!H682</f>
        <v>Presence</v>
      </c>
      <c r="I682" s="3"/>
      <c r="J682" s="21" t="s">
        <v>2276</v>
      </c>
      <c r="K682" s="103" t="s">
        <v>2276</v>
      </c>
      <c r="L682" s="21" t="s">
        <v>2276</v>
      </c>
      <c r="M682" s="21" t="s">
        <v>2276</v>
      </c>
      <c r="N682" s="21" t="s">
        <v>2276</v>
      </c>
      <c r="O682" s="21" t="s">
        <v>2276</v>
      </c>
      <c r="P682" s="21" t="s">
        <v>2276</v>
      </c>
      <c r="Q682" s="102" t="s">
        <v>2276</v>
      </c>
      <c r="R682" s="102" t="s">
        <v>2276</v>
      </c>
      <c r="S682" s="21" t="s">
        <v>2276</v>
      </c>
      <c r="T682" s="21" t="s">
        <v>2276</v>
      </c>
      <c r="U682" s="21" t="s">
        <v>2276</v>
      </c>
      <c r="V682" s="21" t="s">
        <v>2276</v>
      </c>
      <c r="W682" s="21" t="s">
        <v>2276</v>
      </c>
      <c r="X682" s="21" t="s">
        <v>2276</v>
      </c>
      <c r="Y682" s="21" t="s">
        <v>2276</v>
      </c>
      <c r="Z682" s="21" t="s">
        <v>2276</v>
      </c>
      <c r="AA682" s="4" t="s">
        <v>2347</v>
      </c>
      <c r="AB682" s="3"/>
    </row>
    <row r="683" spans="1:28" ht="52" customHeight="1">
      <c r="A683" s="6" t="str">
        <f>'Reported burning'!A683</f>
        <v>80a</v>
      </c>
      <c r="B683" s="6" t="str">
        <f>'Reported burning'!B683</f>
        <v>80a.1</v>
      </c>
      <c r="C683" s="6" t="str">
        <f>'Reported burning'!C683</f>
        <v>Human, deliberate</v>
      </c>
      <c r="D683" s="6" t="str">
        <f>'Reported burning'!D683</f>
        <v>Crop field preparation</v>
      </c>
      <c r="E683" s="6" t="str">
        <f>'Reported burning'!E683</f>
        <v>Cropping, Swidden</v>
      </c>
      <c r="F683" s="6" t="str">
        <f>'Reported burning'!F683</f>
        <v>Secondary Vegetation</v>
      </c>
      <c r="G683" s="6">
        <f>'Reported burning'!G683</f>
        <v>0</v>
      </c>
      <c r="H683" s="6" t="str">
        <f>'Reported burning'!H683</f>
        <v>Presence</v>
      </c>
      <c r="I683" s="3"/>
      <c r="J683" s="21" t="s">
        <v>2276</v>
      </c>
      <c r="K683" s="103" t="s">
        <v>2276</v>
      </c>
      <c r="L683" s="21" t="s">
        <v>2276</v>
      </c>
      <c r="M683" s="21" t="s">
        <v>2276</v>
      </c>
      <c r="N683" s="21" t="s">
        <v>2276</v>
      </c>
      <c r="O683" s="21" t="s">
        <v>2276</v>
      </c>
      <c r="P683" s="21" t="s">
        <v>2362</v>
      </c>
      <c r="Q683" s="102" t="s">
        <v>2276</v>
      </c>
      <c r="R683" s="102" t="s">
        <v>2276</v>
      </c>
      <c r="S683" s="21" t="s">
        <v>2276</v>
      </c>
      <c r="T683" s="21" t="s">
        <v>2276</v>
      </c>
      <c r="U683" s="21" t="s">
        <v>2276</v>
      </c>
      <c r="V683" s="21" t="s">
        <v>2276</v>
      </c>
      <c r="W683" s="21" t="s">
        <v>2276</v>
      </c>
      <c r="X683" s="3" t="s">
        <v>2276</v>
      </c>
      <c r="Y683" s="3" t="s">
        <v>2276</v>
      </c>
      <c r="Z683" s="3" t="s">
        <v>2276</v>
      </c>
      <c r="AA683" s="3"/>
      <c r="AB683" s="3"/>
    </row>
    <row r="684" spans="1:28" ht="80" customHeight="1">
      <c r="A684" s="6" t="str">
        <f>'Reported burning'!A684</f>
        <v>80a</v>
      </c>
      <c r="B684" s="6" t="str">
        <f>'Reported burning'!B684</f>
        <v>80a.2</v>
      </c>
      <c r="C684" s="6" t="str">
        <f>'Reported burning'!C684</f>
        <v>Human, deliberate</v>
      </c>
      <c r="D684" s="6" t="str">
        <f>'Reported burning'!D684</f>
        <v>Crop residue burning</v>
      </c>
      <c r="E684" s="6" t="str">
        <f>'Reported burning'!E684</f>
        <v>Cropping, Swidden</v>
      </c>
      <c r="F684" s="6" t="str">
        <f>'Reported burning'!F684</f>
        <v>Cropland</v>
      </c>
      <c r="G684" s="6">
        <f>'Reported burning'!G684</f>
        <v>0</v>
      </c>
      <c r="H684" s="6" t="str">
        <f>'Reported burning'!H684</f>
        <v>Presence</v>
      </c>
      <c r="I684" s="3"/>
      <c r="J684" s="21" t="s">
        <v>2276</v>
      </c>
      <c r="K684" s="103" t="s">
        <v>2276</v>
      </c>
      <c r="L684" s="21" t="s">
        <v>2276</v>
      </c>
      <c r="M684" s="21" t="s">
        <v>2276</v>
      </c>
      <c r="N684" s="21" t="s">
        <v>2276</v>
      </c>
      <c r="O684" s="21" t="s">
        <v>2276</v>
      </c>
      <c r="P684" s="21" t="s">
        <v>2362</v>
      </c>
      <c r="Q684" s="102" t="s">
        <v>2276</v>
      </c>
      <c r="R684" s="102" t="s">
        <v>2276</v>
      </c>
      <c r="S684" s="21" t="s">
        <v>2276</v>
      </c>
      <c r="T684" s="21" t="s">
        <v>2276</v>
      </c>
      <c r="U684" s="21" t="s">
        <v>2276</v>
      </c>
      <c r="V684" s="21" t="s">
        <v>2276</v>
      </c>
      <c r="W684" s="21" t="s">
        <v>2276</v>
      </c>
      <c r="X684" s="3" t="s">
        <v>2276</v>
      </c>
      <c r="Y684" s="3" t="s">
        <v>2276</v>
      </c>
      <c r="Z684" s="3" t="s">
        <v>2276</v>
      </c>
      <c r="AA684" s="4" t="s">
        <v>1128</v>
      </c>
      <c r="AB684" s="3"/>
    </row>
    <row r="685" spans="1:28" ht="70.5" customHeight="1">
      <c r="A685" s="6" t="str">
        <f>'Reported burning'!A685</f>
        <v>80a</v>
      </c>
      <c r="B685" s="6" t="str">
        <f>'Reported burning'!B685</f>
        <v>80a.3</v>
      </c>
      <c r="C685" s="6" t="str">
        <f>'Reported burning'!C685</f>
        <v>Human, deliberate</v>
      </c>
      <c r="D685" s="6" t="str">
        <f>'Reported burning'!D685</f>
        <v>Vegetation management</v>
      </c>
      <c r="E685" s="6" t="str">
        <f>'Reported burning'!E685</f>
        <v>Cropping, Swidden</v>
      </c>
      <c r="F685" s="6" t="str">
        <f>'Reported burning'!F685</f>
        <v>Forest</v>
      </c>
      <c r="G685" s="6">
        <f>'Reported burning'!G685</f>
        <v>0</v>
      </c>
      <c r="H685" s="6" t="str">
        <f>'Reported burning'!H685</f>
        <v>Presence</v>
      </c>
      <c r="I685" s="3"/>
      <c r="J685" s="21" t="s">
        <v>2276</v>
      </c>
      <c r="K685" s="103" t="s">
        <v>2276</v>
      </c>
      <c r="L685" s="21" t="s">
        <v>2276</v>
      </c>
      <c r="M685" s="21" t="s">
        <v>2276</v>
      </c>
      <c r="N685" s="21" t="s">
        <v>2276</v>
      </c>
      <c r="O685" s="21" t="s">
        <v>2276</v>
      </c>
      <c r="P685" s="21" t="s">
        <v>2276</v>
      </c>
      <c r="Q685" s="102" t="s">
        <v>2276</v>
      </c>
      <c r="R685" s="102" t="s">
        <v>2276</v>
      </c>
      <c r="S685" s="21" t="s">
        <v>2276</v>
      </c>
      <c r="T685" s="21" t="s">
        <v>2276</v>
      </c>
      <c r="U685" s="21" t="s">
        <v>2276</v>
      </c>
      <c r="V685" s="21" t="s">
        <v>2276</v>
      </c>
      <c r="W685" s="21" t="s">
        <v>2276</v>
      </c>
      <c r="X685" s="3" t="s">
        <v>2276</v>
      </c>
      <c r="Y685" s="3" t="s">
        <v>2276</v>
      </c>
      <c r="Z685" s="3" t="s">
        <v>2276</v>
      </c>
      <c r="AA685" s="3"/>
      <c r="AB685" s="3"/>
    </row>
    <row r="686" spans="1:28" ht="49.5" customHeight="1">
      <c r="A686" s="6" t="str">
        <f>'Reported burning'!A686</f>
        <v>80a</v>
      </c>
      <c r="B686" s="6" t="str">
        <f>'Reported burning'!B686</f>
        <v>80a.4</v>
      </c>
      <c r="C686" s="6" t="str">
        <f>'Reported burning'!C686</f>
        <v>Human, deliberate</v>
      </c>
      <c r="D686" s="6" t="str">
        <f>'Reported burning'!D686</f>
        <v>Vegetation management</v>
      </c>
      <c r="E686" s="6" t="str">
        <f>'Reported burning'!E686</f>
        <v>Cropping, Swidden</v>
      </c>
      <c r="F686" s="6" t="str">
        <f>'Reported burning'!F686</f>
        <v>Secondary Vegetation</v>
      </c>
      <c r="G686" s="6">
        <f>'Reported burning'!G686</f>
        <v>0</v>
      </c>
      <c r="H686" s="6" t="str">
        <f>'Reported burning'!H686</f>
        <v>Presence</v>
      </c>
      <c r="I686" s="3"/>
      <c r="J686" s="21" t="s">
        <v>2276</v>
      </c>
      <c r="K686" s="103" t="s">
        <v>2276</v>
      </c>
      <c r="L686" s="21" t="s">
        <v>2276</v>
      </c>
      <c r="M686" s="21" t="s">
        <v>2276</v>
      </c>
      <c r="N686" s="21" t="s">
        <v>2276</v>
      </c>
      <c r="O686" s="21" t="s">
        <v>2276</v>
      </c>
      <c r="P686" s="21" t="s">
        <v>2276</v>
      </c>
      <c r="Q686" s="102" t="s">
        <v>2276</v>
      </c>
      <c r="R686" s="102" t="s">
        <v>2276</v>
      </c>
      <c r="S686" s="21" t="s">
        <v>2276</v>
      </c>
      <c r="T686" s="21" t="s">
        <v>2276</v>
      </c>
      <c r="U686" s="21" t="s">
        <v>2276</v>
      </c>
      <c r="V686" s="21" t="s">
        <v>2276</v>
      </c>
      <c r="W686" s="21" t="s">
        <v>2276</v>
      </c>
      <c r="X686" s="3" t="s">
        <v>2276</v>
      </c>
      <c r="Y686" s="3" t="s">
        <v>2276</v>
      </c>
      <c r="Z686" s="3" t="s">
        <v>2276</v>
      </c>
      <c r="AA686" s="3"/>
      <c r="AB686" s="3"/>
    </row>
    <row r="687" spans="1:28" ht="49.5" customHeight="1">
      <c r="A687" s="6" t="str">
        <f>'Reported burning'!A687</f>
        <v>84a</v>
      </c>
      <c r="B687" s="6" t="str">
        <f>'Reported burning'!B687</f>
        <v>84a.1</v>
      </c>
      <c r="C687" s="6" t="str">
        <f>'Reported burning'!C687</f>
        <v>Human, deliberate</v>
      </c>
      <c r="D687" s="6" t="str">
        <f>'Reported burning'!D687</f>
        <v>Forest clearance</v>
      </c>
      <c r="E687" s="6" t="str">
        <f>'Reported burning'!E687</f>
        <v>Forestry, Small-scale</v>
      </c>
      <c r="F687" s="6" t="str">
        <f>'Reported burning'!F687</f>
        <v>Forest</v>
      </c>
      <c r="G687" s="6">
        <f>'Reported burning'!G687</f>
        <v>0</v>
      </c>
      <c r="H687" s="6" t="str">
        <f>'Reported burning'!H687</f>
        <v>Absence</v>
      </c>
      <c r="I687" s="3"/>
      <c r="J687" s="21" t="s">
        <v>2364</v>
      </c>
      <c r="K687" s="103" t="s">
        <v>2364</v>
      </c>
      <c r="L687" s="21" t="s">
        <v>2364</v>
      </c>
      <c r="M687" s="21" t="s">
        <v>2364</v>
      </c>
      <c r="N687" s="21" t="s">
        <v>2364</v>
      </c>
      <c r="O687" s="21" t="s">
        <v>2364</v>
      </c>
      <c r="P687" s="21" t="s">
        <v>2364</v>
      </c>
      <c r="Q687" s="102" t="s">
        <v>2276</v>
      </c>
      <c r="R687" s="102" t="s">
        <v>2276</v>
      </c>
      <c r="S687" s="21" t="s">
        <v>2364</v>
      </c>
      <c r="T687" s="21" t="s">
        <v>2364</v>
      </c>
      <c r="U687" s="21" t="s">
        <v>2364</v>
      </c>
      <c r="V687" s="21" t="s">
        <v>2364</v>
      </c>
      <c r="W687" s="21" t="s">
        <v>2276</v>
      </c>
      <c r="X687" s="3" t="s">
        <v>2276</v>
      </c>
      <c r="Y687" s="3" t="s">
        <v>2276</v>
      </c>
      <c r="Z687" s="3" t="s">
        <v>2276</v>
      </c>
      <c r="AA687" s="4" t="s">
        <v>1726</v>
      </c>
      <c r="AB687" s="3"/>
    </row>
    <row r="688" spans="1:28" ht="49.5" customHeight="1">
      <c r="A688" s="6" t="str">
        <f>'Reported burning'!A688</f>
        <v>84b</v>
      </c>
      <c r="B688" s="6" t="str">
        <f>'Reported burning'!B688</f>
        <v>84b.1</v>
      </c>
      <c r="C688" s="6" t="str">
        <f>'Reported burning'!C688</f>
        <v>Human, deliberate</v>
      </c>
      <c r="D688" s="6" t="str">
        <f>'Reported burning'!D688</f>
        <v>Forest clearance</v>
      </c>
      <c r="E688" s="6" t="str">
        <f>'Reported burning'!E688</f>
        <v>Forestry, Small-scale</v>
      </c>
      <c r="F688" s="6" t="str">
        <f>'Reported burning'!F688</f>
        <v>Forest</v>
      </c>
      <c r="G688" s="6">
        <f>'Reported burning'!G688</f>
        <v>0</v>
      </c>
      <c r="H688" s="6" t="str">
        <f>'Reported burning'!H688</f>
        <v>Absence</v>
      </c>
      <c r="I688" s="3"/>
      <c r="J688" s="21" t="s">
        <v>2364</v>
      </c>
      <c r="K688" s="103" t="s">
        <v>2364</v>
      </c>
      <c r="L688" s="21" t="s">
        <v>2364</v>
      </c>
      <c r="M688" s="21" t="s">
        <v>2364</v>
      </c>
      <c r="N688" s="21" t="s">
        <v>2364</v>
      </c>
      <c r="O688" s="21" t="s">
        <v>2364</v>
      </c>
      <c r="P688" s="21" t="s">
        <v>2364</v>
      </c>
      <c r="Q688" s="102" t="s">
        <v>2276</v>
      </c>
      <c r="R688" s="102" t="s">
        <v>2276</v>
      </c>
      <c r="S688" s="21" t="s">
        <v>2364</v>
      </c>
      <c r="T688" s="21" t="s">
        <v>2364</v>
      </c>
      <c r="U688" s="21" t="s">
        <v>2364</v>
      </c>
      <c r="V688" s="21" t="s">
        <v>2364</v>
      </c>
      <c r="W688" s="21" t="s">
        <v>2276</v>
      </c>
      <c r="X688" s="3" t="s">
        <v>2276</v>
      </c>
      <c r="Y688" s="3" t="s">
        <v>2276</v>
      </c>
      <c r="Z688" s="3" t="s">
        <v>2276</v>
      </c>
      <c r="AA688" s="4" t="s">
        <v>1726</v>
      </c>
      <c r="AB688" s="3"/>
    </row>
    <row r="689" spans="1:28" ht="49.5" customHeight="1">
      <c r="A689" s="6" t="str">
        <f>'Reported burning'!A689</f>
        <v>84c</v>
      </c>
      <c r="B689" s="6" t="str">
        <f>'Reported burning'!B689</f>
        <v>84c.1</v>
      </c>
      <c r="C689" s="6" t="str">
        <f>'Reported burning'!C689</f>
        <v>Human, deliberate</v>
      </c>
      <c r="D689" s="6" t="str">
        <f>'Reported burning'!D689</f>
        <v>Forest clearance</v>
      </c>
      <c r="E689" s="6" t="str">
        <f>'Reported burning'!E689</f>
        <v>Forestry, Small-scale</v>
      </c>
      <c r="F689" s="6" t="str">
        <f>'Reported burning'!F689</f>
        <v>Forest</v>
      </c>
      <c r="G689" s="6">
        <f>'Reported burning'!G689</f>
        <v>0</v>
      </c>
      <c r="H689" s="6" t="str">
        <f>'Reported burning'!H689</f>
        <v>Absence</v>
      </c>
      <c r="I689" s="3"/>
      <c r="J689" s="21" t="s">
        <v>2364</v>
      </c>
      <c r="K689" s="103" t="s">
        <v>2364</v>
      </c>
      <c r="L689" s="21" t="s">
        <v>2364</v>
      </c>
      <c r="M689" s="21" t="s">
        <v>2364</v>
      </c>
      <c r="N689" s="21" t="s">
        <v>2364</v>
      </c>
      <c r="O689" s="21" t="s">
        <v>2364</v>
      </c>
      <c r="P689" s="21" t="s">
        <v>2364</v>
      </c>
      <c r="Q689" s="102" t="s">
        <v>2276</v>
      </c>
      <c r="R689" s="102" t="s">
        <v>2276</v>
      </c>
      <c r="S689" s="21" t="s">
        <v>2364</v>
      </c>
      <c r="T689" s="21" t="s">
        <v>2364</v>
      </c>
      <c r="U689" s="21" t="s">
        <v>2364</v>
      </c>
      <c r="V689" s="21" t="s">
        <v>2364</v>
      </c>
      <c r="W689" s="21" t="s">
        <v>2276</v>
      </c>
      <c r="X689" s="3" t="s">
        <v>2276</v>
      </c>
      <c r="Y689" s="3" t="s">
        <v>2276</v>
      </c>
      <c r="Z689" s="3" t="s">
        <v>2276</v>
      </c>
      <c r="AA689" s="4" t="s">
        <v>1726</v>
      </c>
      <c r="AB689" s="3"/>
    </row>
    <row r="690" spans="1:28" ht="49.5" customHeight="1">
      <c r="A690" s="6" t="str">
        <f>'Reported burning'!A690</f>
        <v>84d</v>
      </c>
      <c r="B690" s="6" t="str">
        <f>'Reported burning'!B690</f>
        <v>84d.1</v>
      </c>
      <c r="C690" s="6" t="str">
        <f>'Reported burning'!C690</f>
        <v>Human, deliberate</v>
      </c>
      <c r="D690" s="6" t="str">
        <f>'Reported burning'!D690</f>
        <v>Forest clearance</v>
      </c>
      <c r="E690" s="6" t="str">
        <f>'Reported burning'!E690</f>
        <v>Forestry, Small-scale</v>
      </c>
      <c r="F690" s="6" t="str">
        <f>'Reported burning'!F690</f>
        <v>Forest</v>
      </c>
      <c r="G690" s="6">
        <f>'Reported burning'!G690</f>
        <v>0</v>
      </c>
      <c r="H690" s="6" t="str">
        <f>'Reported burning'!H690</f>
        <v>Absence</v>
      </c>
      <c r="I690" s="3"/>
      <c r="J690" s="21" t="s">
        <v>2364</v>
      </c>
      <c r="K690" s="103" t="s">
        <v>2364</v>
      </c>
      <c r="L690" s="21" t="s">
        <v>2364</v>
      </c>
      <c r="M690" s="21" t="s">
        <v>2364</v>
      </c>
      <c r="N690" s="21" t="s">
        <v>2364</v>
      </c>
      <c r="O690" s="21" t="s">
        <v>2364</v>
      </c>
      <c r="P690" s="21" t="s">
        <v>2364</v>
      </c>
      <c r="Q690" s="102" t="s">
        <v>2276</v>
      </c>
      <c r="R690" s="102" t="s">
        <v>2276</v>
      </c>
      <c r="S690" s="21" t="s">
        <v>2364</v>
      </c>
      <c r="T690" s="21" t="s">
        <v>2364</v>
      </c>
      <c r="U690" s="21" t="s">
        <v>2364</v>
      </c>
      <c r="V690" s="21" t="s">
        <v>2364</v>
      </c>
      <c r="W690" s="21" t="s">
        <v>2276</v>
      </c>
      <c r="X690" s="3" t="s">
        <v>2276</v>
      </c>
      <c r="Y690" s="3" t="s">
        <v>2276</v>
      </c>
      <c r="Z690" s="3" t="s">
        <v>2276</v>
      </c>
      <c r="AA690" s="4" t="s">
        <v>1726</v>
      </c>
      <c r="AB690" s="3"/>
    </row>
    <row r="691" spans="1:28" ht="49.5" customHeight="1">
      <c r="A691" s="6" t="str">
        <f>'Reported burning'!A691</f>
        <v>84e</v>
      </c>
      <c r="B691" s="6" t="str">
        <f>'Reported burning'!B691</f>
        <v>84e.1</v>
      </c>
      <c r="C691" s="6" t="str">
        <f>'Reported burning'!C691</f>
        <v>Human, deliberate</v>
      </c>
      <c r="D691" s="6" t="str">
        <f>'Reported burning'!D691</f>
        <v>Forest clearance</v>
      </c>
      <c r="E691" s="6" t="str">
        <f>'Reported burning'!E691</f>
        <v>Forestry, Small-scale</v>
      </c>
      <c r="F691" s="6" t="str">
        <f>'Reported burning'!F691</f>
        <v>Forest</v>
      </c>
      <c r="G691" s="6">
        <f>'Reported burning'!G691</f>
        <v>0</v>
      </c>
      <c r="H691" s="6" t="str">
        <f>'Reported burning'!H691</f>
        <v>Absence</v>
      </c>
      <c r="I691" s="3"/>
      <c r="J691" s="21" t="s">
        <v>2364</v>
      </c>
      <c r="K691" s="103" t="s">
        <v>2364</v>
      </c>
      <c r="L691" s="21" t="s">
        <v>2364</v>
      </c>
      <c r="M691" s="21" t="s">
        <v>2364</v>
      </c>
      <c r="N691" s="21" t="s">
        <v>2364</v>
      </c>
      <c r="O691" s="21" t="s">
        <v>2364</v>
      </c>
      <c r="P691" s="21" t="s">
        <v>2364</v>
      </c>
      <c r="Q691" s="102" t="s">
        <v>2276</v>
      </c>
      <c r="R691" s="102" t="s">
        <v>2276</v>
      </c>
      <c r="S691" s="21" t="s">
        <v>2364</v>
      </c>
      <c r="T691" s="21" t="s">
        <v>2364</v>
      </c>
      <c r="U691" s="21" t="s">
        <v>2364</v>
      </c>
      <c r="V691" s="21" t="s">
        <v>2364</v>
      </c>
      <c r="W691" s="21" t="s">
        <v>2276</v>
      </c>
      <c r="X691" s="3" t="s">
        <v>2276</v>
      </c>
      <c r="Y691" s="3" t="s">
        <v>2276</v>
      </c>
      <c r="Z691" s="3" t="s">
        <v>2276</v>
      </c>
      <c r="AA691" s="4" t="s">
        <v>1726</v>
      </c>
      <c r="AB691" s="3"/>
    </row>
    <row r="692" spans="1:28" ht="49.5" customHeight="1">
      <c r="A692" s="6" t="str">
        <f>'Reported burning'!A692</f>
        <v>84f</v>
      </c>
      <c r="B692" s="6" t="str">
        <f>'Reported burning'!B692</f>
        <v>84f.1</v>
      </c>
      <c r="C692" s="6" t="str">
        <f>'Reported burning'!C692</f>
        <v>Human, deliberate</v>
      </c>
      <c r="D692" s="6" t="str">
        <f>'Reported burning'!D692</f>
        <v>Forest clearance</v>
      </c>
      <c r="E692" s="6" t="str">
        <f>'Reported burning'!E692</f>
        <v>Forestry, Small-scale</v>
      </c>
      <c r="F692" s="6" t="str">
        <f>'Reported burning'!F692</f>
        <v>Forest</v>
      </c>
      <c r="G692" s="6">
        <f>'Reported burning'!G692</f>
        <v>0</v>
      </c>
      <c r="H692" s="6" t="str">
        <f>'Reported burning'!H692</f>
        <v>Absence</v>
      </c>
      <c r="I692" s="3"/>
      <c r="J692" s="21" t="s">
        <v>2364</v>
      </c>
      <c r="K692" s="103" t="s">
        <v>2364</v>
      </c>
      <c r="L692" s="21" t="s">
        <v>2364</v>
      </c>
      <c r="M692" s="21" t="s">
        <v>2364</v>
      </c>
      <c r="N692" s="21" t="s">
        <v>2364</v>
      </c>
      <c r="O692" s="21" t="s">
        <v>2364</v>
      </c>
      <c r="P692" s="21" t="s">
        <v>2364</v>
      </c>
      <c r="Q692" s="102" t="s">
        <v>2276</v>
      </c>
      <c r="R692" s="102" t="s">
        <v>2276</v>
      </c>
      <c r="S692" s="21" t="s">
        <v>2364</v>
      </c>
      <c r="T692" s="21" t="s">
        <v>2364</v>
      </c>
      <c r="U692" s="21" t="s">
        <v>2364</v>
      </c>
      <c r="V692" s="21" t="s">
        <v>2364</v>
      </c>
      <c r="W692" s="21" t="s">
        <v>2276</v>
      </c>
      <c r="X692" s="3" t="s">
        <v>2276</v>
      </c>
      <c r="Y692" s="3" t="s">
        <v>2276</v>
      </c>
      <c r="Z692" s="3" t="s">
        <v>2276</v>
      </c>
      <c r="AA692" s="4" t="s">
        <v>1726</v>
      </c>
      <c r="AB692" s="3"/>
    </row>
    <row r="693" spans="1:28" ht="49.5" customHeight="1">
      <c r="A693" s="6" t="str">
        <f>'Reported burning'!A693</f>
        <v>84g</v>
      </c>
      <c r="B693" s="6" t="str">
        <f>'Reported burning'!B693</f>
        <v>84g.1</v>
      </c>
      <c r="C693" s="6" t="str">
        <f>'Reported burning'!C693</f>
        <v>Human, deliberate</v>
      </c>
      <c r="D693" s="6" t="str">
        <f>'Reported burning'!D693</f>
        <v>Forest clearance</v>
      </c>
      <c r="E693" s="6" t="str">
        <f>'Reported burning'!E693</f>
        <v>Forestry, Small-scale</v>
      </c>
      <c r="F693" s="6" t="str">
        <f>'Reported burning'!F693</f>
        <v>Forest</v>
      </c>
      <c r="G693" s="6">
        <f>'Reported burning'!G693</f>
        <v>0</v>
      </c>
      <c r="H693" s="6" t="str">
        <f>'Reported burning'!H693</f>
        <v>Absence</v>
      </c>
      <c r="I693" s="3"/>
      <c r="J693" s="21" t="s">
        <v>2364</v>
      </c>
      <c r="K693" s="103" t="s">
        <v>2364</v>
      </c>
      <c r="L693" s="21" t="s">
        <v>2364</v>
      </c>
      <c r="M693" s="21" t="s">
        <v>2364</v>
      </c>
      <c r="N693" s="21" t="s">
        <v>2364</v>
      </c>
      <c r="O693" s="21" t="s">
        <v>2364</v>
      </c>
      <c r="P693" s="21" t="s">
        <v>2364</v>
      </c>
      <c r="Q693" s="102" t="s">
        <v>2276</v>
      </c>
      <c r="R693" s="102" t="s">
        <v>2276</v>
      </c>
      <c r="S693" s="21" t="s">
        <v>2364</v>
      </c>
      <c r="T693" s="21" t="s">
        <v>2364</v>
      </c>
      <c r="U693" s="21" t="s">
        <v>2364</v>
      </c>
      <c r="V693" s="21" t="s">
        <v>2364</v>
      </c>
      <c r="W693" s="21" t="s">
        <v>2276</v>
      </c>
      <c r="X693" s="3" t="s">
        <v>2276</v>
      </c>
      <c r="Y693" s="3" t="s">
        <v>2276</v>
      </c>
      <c r="Z693" s="3" t="s">
        <v>2276</v>
      </c>
      <c r="AA693" s="4" t="s">
        <v>1726</v>
      </c>
      <c r="AB693" s="3"/>
    </row>
    <row r="694" spans="1:28" ht="49.5" customHeight="1">
      <c r="A694" s="6" t="str">
        <f>'Reported burning'!A694</f>
        <v>84h</v>
      </c>
      <c r="B694" s="6" t="str">
        <f>'Reported burning'!B694</f>
        <v>84h.1</v>
      </c>
      <c r="C694" s="6" t="str">
        <f>'Reported burning'!C694</f>
        <v>Human, deliberate</v>
      </c>
      <c r="D694" s="6" t="str">
        <f>'Reported burning'!D694</f>
        <v>Forest clearance</v>
      </c>
      <c r="E694" s="6" t="str">
        <f>'Reported burning'!E694</f>
        <v>Forestry, Small-scale</v>
      </c>
      <c r="F694" s="6" t="str">
        <f>'Reported burning'!F694</f>
        <v>Forest</v>
      </c>
      <c r="G694" s="6">
        <f>'Reported burning'!G694</f>
        <v>0</v>
      </c>
      <c r="H694" s="6" t="str">
        <f>'Reported burning'!H694</f>
        <v>Absence</v>
      </c>
      <c r="I694" s="3"/>
      <c r="J694" s="21" t="s">
        <v>2364</v>
      </c>
      <c r="K694" s="103" t="s">
        <v>2364</v>
      </c>
      <c r="L694" s="21" t="s">
        <v>2364</v>
      </c>
      <c r="M694" s="21" t="s">
        <v>2364</v>
      </c>
      <c r="N694" s="21" t="s">
        <v>2364</v>
      </c>
      <c r="O694" s="21" t="s">
        <v>2364</v>
      </c>
      <c r="P694" s="21" t="s">
        <v>2364</v>
      </c>
      <c r="Q694" s="102" t="s">
        <v>2276</v>
      </c>
      <c r="R694" s="102" t="s">
        <v>2276</v>
      </c>
      <c r="S694" s="21" t="s">
        <v>2364</v>
      </c>
      <c r="T694" s="21" t="s">
        <v>2364</v>
      </c>
      <c r="U694" s="21" t="s">
        <v>2364</v>
      </c>
      <c r="V694" s="21" t="s">
        <v>2364</v>
      </c>
      <c r="W694" s="21" t="s">
        <v>2276</v>
      </c>
      <c r="X694" s="3" t="s">
        <v>2276</v>
      </c>
      <c r="Y694" s="3" t="s">
        <v>2276</v>
      </c>
      <c r="Z694" s="3" t="s">
        <v>2276</v>
      </c>
      <c r="AA694" s="4" t="s">
        <v>1726</v>
      </c>
      <c r="AB694" s="3"/>
    </row>
    <row r="695" spans="1:28" ht="49.5" customHeight="1">
      <c r="A695" s="6" t="str">
        <f>'Reported burning'!A695</f>
        <v>84i</v>
      </c>
      <c r="B695" s="6" t="str">
        <f>'Reported burning'!B695</f>
        <v>84i.1</v>
      </c>
      <c r="C695" s="6" t="str">
        <f>'Reported burning'!C695</f>
        <v>Human, deliberate</v>
      </c>
      <c r="D695" s="6" t="str">
        <f>'Reported burning'!D695</f>
        <v>Forest clearance</v>
      </c>
      <c r="E695" s="6" t="str">
        <f>'Reported burning'!E695</f>
        <v>Forestry, Small-scale</v>
      </c>
      <c r="F695" s="6" t="str">
        <f>'Reported burning'!F695</f>
        <v>Forest</v>
      </c>
      <c r="G695" s="6">
        <f>'Reported burning'!G695</f>
        <v>0</v>
      </c>
      <c r="H695" s="6" t="str">
        <f>'Reported burning'!H695</f>
        <v>Absence</v>
      </c>
      <c r="I695" s="3"/>
      <c r="J695" s="21" t="s">
        <v>2364</v>
      </c>
      <c r="K695" s="103" t="s">
        <v>2364</v>
      </c>
      <c r="L695" s="21" t="s">
        <v>2364</v>
      </c>
      <c r="M695" s="21" t="s">
        <v>2364</v>
      </c>
      <c r="N695" s="21" t="s">
        <v>2364</v>
      </c>
      <c r="O695" s="21" t="s">
        <v>2364</v>
      </c>
      <c r="P695" s="21" t="s">
        <v>2364</v>
      </c>
      <c r="Q695" s="102" t="s">
        <v>2276</v>
      </c>
      <c r="R695" s="102" t="s">
        <v>2276</v>
      </c>
      <c r="S695" s="21" t="s">
        <v>2364</v>
      </c>
      <c r="T695" s="21" t="s">
        <v>2364</v>
      </c>
      <c r="U695" s="21" t="s">
        <v>2364</v>
      </c>
      <c r="V695" s="21" t="s">
        <v>2364</v>
      </c>
      <c r="W695" s="21" t="s">
        <v>2276</v>
      </c>
      <c r="X695" s="3" t="s">
        <v>2276</v>
      </c>
      <c r="Y695" s="3" t="s">
        <v>2276</v>
      </c>
      <c r="Z695" s="3" t="s">
        <v>2276</v>
      </c>
      <c r="AA695" s="4" t="s">
        <v>1726</v>
      </c>
      <c r="AB695" s="3"/>
    </row>
    <row r="696" spans="1:28" ht="49.5" customHeight="1">
      <c r="A696" s="6" t="str">
        <f>'Reported burning'!A696</f>
        <v>84j</v>
      </c>
      <c r="B696" s="6" t="str">
        <f>'Reported burning'!B696</f>
        <v>84j.1</v>
      </c>
      <c r="C696" s="6" t="str">
        <f>'Reported burning'!C696</f>
        <v>Human, deliberate</v>
      </c>
      <c r="D696" s="6" t="str">
        <f>'Reported burning'!D696</f>
        <v>Forest clearance</v>
      </c>
      <c r="E696" s="6" t="str">
        <f>'Reported burning'!E696</f>
        <v>Forestry, Small-scale</v>
      </c>
      <c r="F696" s="6" t="str">
        <f>'Reported burning'!F696</f>
        <v>Forest</v>
      </c>
      <c r="G696" s="6">
        <f>'Reported burning'!G696</f>
        <v>0</v>
      </c>
      <c r="H696" s="6" t="str">
        <f>'Reported burning'!H696</f>
        <v>Absence</v>
      </c>
      <c r="I696" s="3"/>
      <c r="J696" s="21" t="s">
        <v>2364</v>
      </c>
      <c r="K696" s="103" t="s">
        <v>2364</v>
      </c>
      <c r="L696" s="21" t="s">
        <v>2364</v>
      </c>
      <c r="M696" s="21" t="s">
        <v>2364</v>
      </c>
      <c r="N696" s="21" t="s">
        <v>2364</v>
      </c>
      <c r="O696" s="21" t="s">
        <v>2364</v>
      </c>
      <c r="P696" s="21" t="s">
        <v>2364</v>
      </c>
      <c r="Q696" s="102" t="s">
        <v>2276</v>
      </c>
      <c r="R696" s="102" t="s">
        <v>2276</v>
      </c>
      <c r="S696" s="21" t="s">
        <v>2364</v>
      </c>
      <c r="T696" s="21" t="s">
        <v>2364</v>
      </c>
      <c r="U696" s="21" t="s">
        <v>2364</v>
      </c>
      <c r="V696" s="21" t="s">
        <v>2364</v>
      </c>
      <c r="W696" s="21" t="s">
        <v>2276</v>
      </c>
      <c r="X696" s="3" t="s">
        <v>2276</v>
      </c>
      <c r="Y696" s="3" t="s">
        <v>2276</v>
      </c>
      <c r="Z696" s="3" t="s">
        <v>2276</v>
      </c>
      <c r="AA696" s="4" t="s">
        <v>1726</v>
      </c>
      <c r="AB696" s="3"/>
    </row>
    <row r="697" spans="1:28" ht="49.5" customHeight="1">
      <c r="A697" s="6" t="str">
        <f>'Reported burning'!A697</f>
        <v>84k</v>
      </c>
      <c r="B697" s="6" t="str">
        <f>'Reported burning'!B697</f>
        <v>84k.1</v>
      </c>
      <c r="C697" s="6" t="str">
        <f>'Reported burning'!C697</f>
        <v>Human, deliberate</v>
      </c>
      <c r="D697" s="6" t="str">
        <f>'Reported burning'!D697</f>
        <v>Forest clearance</v>
      </c>
      <c r="E697" s="6" t="str">
        <f>'Reported burning'!E697</f>
        <v>Forestry, Small-scale</v>
      </c>
      <c r="F697" s="6" t="str">
        <f>'Reported burning'!F697</f>
        <v>Forest</v>
      </c>
      <c r="G697" s="6">
        <f>'Reported burning'!G697</f>
        <v>0</v>
      </c>
      <c r="H697" s="6" t="str">
        <f>'Reported burning'!H697</f>
        <v>Absence</v>
      </c>
      <c r="I697" s="3"/>
      <c r="J697" s="21" t="s">
        <v>2364</v>
      </c>
      <c r="K697" s="103" t="s">
        <v>2364</v>
      </c>
      <c r="L697" s="21" t="s">
        <v>2364</v>
      </c>
      <c r="M697" s="21" t="s">
        <v>2364</v>
      </c>
      <c r="N697" s="21" t="s">
        <v>2364</v>
      </c>
      <c r="O697" s="21" t="s">
        <v>2364</v>
      </c>
      <c r="P697" s="21" t="s">
        <v>2364</v>
      </c>
      <c r="Q697" s="102" t="s">
        <v>2276</v>
      </c>
      <c r="R697" s="102" t="s">
        <v>2276</v>
      </c>
      <c r="S697" s="21" t="s">
        <v>2364</v>
      </c>
      <c r="T697" s="21" t="s">
        <v>2364</v>
      </c>
      <c r="U697" s="21" t="s">
        <v>2364</v>
      </c>
      <c r="V697" s="21" t="s">
        <v>2364</v>
      </c>
      <c r="W697" s="21" t="s">
        <v>2276</v>
      </c>
      <c r="X697" s="3" t="s">
        <v>2276</v>
      </c>
      <c r="Y697" s="3" t="s">
        <v>2276</v>
      </c>
      <c r="Z697" s="3" t="s">
        <v>2276</v>
      </c>
      <c r="AA697" s="4" t="s">
        <v>1726</v>
      </c>
      <c r="AB697" s="3"/>
    </row>
    <row r="698" spans="1:28" ht="49.5" customHeight="1">
      <c r="A698" s="6" t="str">
        <f>'Reported burning'!A698</f>
        <v>84l</v>
      </c>
      <c r="B698" s="6" t="str">
        <f>'Reported burning'!B698</f>
        <v>84l.1</v>
      </c>
      <c r="C698" s="6" t="str">
        <f>'Reported burning'!C698</f>
        <v>Human, deliberate</v>
      </c>
      <c r="D698" s="6" t="str">
        <f>'Reported burning'!D698</f>
        <v>Forest clearance</v>
      </c>
      <c r="E698" s="6" t="str">
        <f>'Reported burning'!E698</f>
        <v>Forestry, Small-scale</v>
      </c>
      <c r="F698" s="6" t="str">
        <f>'Reported burning'!F698</f>
        <v>Forest</v>
      </c>
      <c r="G698" s="6">
        <f>'Reported burning'!G698</f>
        <v>0</v>
      </c>
      <c r="H698" s="6" t="str">
        <f>'Reported burning'!H698</f>
        <v>Absence</v>
      </c>
      <c r="I698" s="3"/>
      <c r="J698" s="21" t="s">
        <v>2364</v>
      </c>
      <c r="K698" s="103" t="s">
        <v>2364</v>
      </c>
      <c r="L698" s="21" t="s">
        <v>2364</v>
      </c>
      <c r="M698" s="21" t="s">
        <v>2364</v>
      </c>
      <c r="N698" s="21" t="s">
        <v>2364</v>
      </c>
      <c r="O698" s="21" t="s">
        <v>2364</v>
      </c>
      <c r="P698" s="21" t="s">
        <v>2364</v>
      </c>
      <c r="Q698" s="102" t="s">
        <v>2276</v>
      </c>
      <c r="R698" s="102" t="s">
        <v>2276</v>
      </c>
      <c r="S698" s="21" t="s">
        <v>2364</v>
      </c>
      <c r="T698" s="21" t="s">
        <v>2364</v>
      </c>
      <c r="U698" s="21" t="s">
        <v>2364</v>
      </c>
      <c r="V698" s="21" t="s">
        <v>2364</v>
      </c>
      <c r="W698" s="21" t="s">
        <v>2276</v>
      </c>
      <c r="X698" s="3" t="s">
        <v>2276</v>
      </c>
      <c r="Y698" s="3" t="s">
        <v>2276</v>
      </c>
      <c r="Z698" s="3" t="s">
        <v>2276</v>
      </c>
      <c r="AA698" s="4" t="s">
        <v>1726</v>
      </c>
      <c r="AB698" s="3"/>
    </row>
    <row r="699" spans="1:28" ht="49.5" customHeight="1">
      <c r="A699" s="6" t="str">
        <f>'Reported burning'!A699</f>
        <v>84m</v>
      </c>
      <c r="B699" s="6" t="str">
        <f>'Reported burning'!B699</f>
        <v>84m.1</v>
      </c>
      <c r="C699" s="6" t="str">
        <f>'Reported burning'!C699</f>
        <v>Human, deliberate</v>
      </c>
      <c r="D699" s="6" t="str">
        <f>'Reported burning'!D699</f>
        <v>Forest clearance</v>
      </c>
      <c r="E699" s="6" t="str">
        <f>'Reported burning'!E699</f>
        <v>Forestry, Small-scale</v>
      </c>
      <c r="F699" s="6" t="str">
        <f>'Reported burning'!F699</f>
        <v>Forest</v>
      </c>
      <c r="G699" s="6">
        <f>'Reported burning'!G699</f>
        <v>0</v>
      </c>
      <c r="H699" s="6" t="str">
        <f>'Reported burning'!H699</f>
        <v>Absence</v>
      </c>
      <c r="I699" s="3"/>
      <c r="J699" s="21" t="s">
        <v>2364</v>
      </c>
      <c r="K699" s="103" t="s">
        <v>2364</v>
      </c>
      <c r="L699" s="21" t="s">
        <v>2364</v>
      </c>
      <c r="M699" s="21" t="s">
        <v>2364</v>
      </c>
      <c r="N699" s="21" t="s">
        <v>2364</v>
      </c>
      <c r="O699" s="21" t="s">
        <v>2364</v>
      </c>
      <c r="P699" s="21" t="s">
        <v>2364</v>
      </c>
      <c r="Q699" s="102" t="s">
        <v>2276</v>
      </c>
      <c r="R699" s="102" t="s">
        <v>2276</v>
      </c>
      <c r="S699" s="21" t="s">
        <v>2364</v>
      </c>
      <c r="T699" s="21" t="s">
        <v>2364</v>
      </c>
      <c r="U699" s="21" t="s">
        <v>2364</v>
      </c>
      <c r="V699" s="21" t="s">
        <v>2364</v>
      </c>
      <c r="W699" s="21" t="s">
        <v>2276</v>
      </c>
      <c r="X699" s="3" t="s">
        <v>2276</v>
      </c>
      <c r="Y699" s="3" t="s">
        <v>2276</v>
      </c>
      <c r="Z699" s="3" t="s">
        <v>2276</v>
      </c>
      <c r="AA699" s="4" t="s">
        <v>1726</v>
      </c>
      <c r="AB699" s="3"/>
    </row>
    <row r="700" spans="1:28" ht="49.5" customHeight="1">
      <c r="A700" s="6" t="str">
        <f>'Reported burning'!A700</f>
        <v>84n</v>
      </c>
      <c r="B700" s="6" t="str">
        <f>'Reported burning'!B700</f>
        <v>84n.1</v>
      </c>
      <c r="C700" s="6" t="str">
        <f>'Reported burning'!C700</f>
        <v>Human, deliberate</v>
      </c>
      <c r="D700" s="6" t="str">
        <f>'Reported burning'!D700</f>
        <v>Forest clearance</v>
      </c>
      <c r="E700" s="6" t="str">
        <f>'Reported burning'!E700</f>
        <v>Forestry, Small-scale</v>
      </c>
      <c r="F700" s="6" t="str">
        <f>'Reported burning'!F700</f>
        <v>Forest</v>
      </c>
      <c r="G700" s="6">
        <f>'Reported burning'!G700</f>
        <v>0</v>
      </c>
      <c r="H700" s="6" t="str">
        <f>'Reported burning'!H700</f>
        <v>Absence</v>
      </c>
      <c r="I700" s="3"/>
      <c r="J700" s="21" t="s">
        <v>2364</v>
      </c>
      <c r="K700" s="103" t="s">
        <v>2364</v>
      </c>
      <c r="L700" s="21" t="s">
        <v>2364</v>
      </c>
      <c r="M700" s="21" t="s">
        <v>2364</v>
      </c>
      <c r="N700" s="21" t="s">
        <v>2364</v>
      </c>
      <c r="O700" s="21" t="s">
        <v>2364</v>
      </c>
      <c r="P700" s="21" t="s">
        <v>2364</v>
      </c>
      <c r="Q700" s="102" t="s">
        <v>2276</v>
      </c>
      <c r="R700" s="102" t="s">
        <v>2276</v>
      </c>
      <c r="S700" s="21" t="s">
        <v>2364</v>
      </c>
      <c r="T700" s="21" t="s">
        <v>2364</v>
      </c>
      <c r="U700" s="21" t="s">
        <v>2364</v>
      </c>
      <c r="V700" s="21" t="s">
        <v>2364</v>
      </c>
      <c r="W700" s="21" t="s">
        <v>2276</v>
      </c>
      <c r="X700" s="3" t="s">
        <v>2276</v>
      </c>
      <c r="Y700" s="3" t="s">
        <v>2276</v>
      </c>
      <c r="Z700" s="3" t="s">
        <v>2276</v>
      </c>
      <c r="AA700" s="4" t="s">
        <v>1726</v>
      </c>
      <c r="AB700" s="3"/>
    </row>
    <row r="701" spans="1:28" ht="49.5" customHeight="1">
      <c r="A701" s="6" t="str">
        <f>'Reported burning'!A701</f>
        <v>84o</v>
      </c>
      <c r="B701" s="6" t="str">
        <f>'Reported burning'!B701</f>
        <v>84o.1</v>
      </c>
      <c r="C701" s="6" t="str">
        <f>'Reported burning'!C701</f>
        <v>Human, deliberate</v>
      </c>
      <c r="D701" s="6" t="str">
        <f>'Reported burning'!D701</f>
        <v>Forest clearance</v>
      </c>
      <c r="E701" s="6" t="str">
        <f>'Reported burning'!E701</f>
        <v>Forestry, Small-scale</v>
      </c>
      <c r="F701" s="6" t="str">
        <f>'Reported burning'!F701</f>
        <v>Forest</v>
      </c>
      <c r="G701" s="6">
        <f>'Reported burning'!G701</f>
        <v>0</v>
      </c>
      <c r="H701" s="6" t="str">
        <f>'Reported burning'!H701</f>
        <v>Absence</v>
      </c>
      <c r="I701" s="3"/>
      <c r="J701" s="21" t="s">
        <v>2364</v>
      </c>
      <c r="K701" s="103" t="s">
        <v>2364</v>
      </c>
      <c r="L701" s="21" t="s">
        <v>2364</v>
      </c>
      <c r="M701" s="21" t="s">
        <v>2364</v>
      </c>
      <c r="N701" s="21" t="s">
        <v>2364</v>
      </c>
      <c r="O701" s="21" t="s">
        <v>2364</v>
      </c>
      <c r="P701" s="21" t="s">
        <v>2364</v>
      </c>
      <c r="Q701" s="102" t="s">
        <v>2276</v>
      </c>
      <c r="R701" s="102" t="s">
        <v>2276</v>
      </c>
      <c r="S701" s="21" t="s">
        <v>2364</v>
      </c>
      <c r="T701" s="21" t="s">
        <v>2364</v>
      </c>
      <c r="U701" s="21" t="s">
        <v>2364</v>
      </c>
      <c r="V701" s="21" t="s">
        <v>2364</v>
      </c>
      <c r="W701" s="21" t="s">
        <v>2276</v>
      </c>
      <c r="X701" s="3" t="s">
        <v>2276</v>
      </c>
      <c r="Y701" s="3" t="s">
        <v>2276</v>
      </c>
      <c r="Z701" s="3" t="s">
        <v>2276</v>
      </c>
      <c r="AA701" s="4" t="s">
        <v>1726</v>
      </c>
      <c r="AB701" s="3"/>
    </row>
    <row r="702" spans="1:28" ht="49.5" customHeight="1">
      <c r="A702" s="6" t="str">
        <f>'Reported burning'!A702</f>
        <v>84p</v>
      </c>
      <c r="B702" s="6" t="str">
        <f>'Reported burning'!B702</f>
        <v>84p.1</v>
      </c>
      <c r="C702" s="6" t="str">
        <f>'Reported burning'!C702</f>
        <v>Human, deliberate</v>
      </c>
      <c r="D702" s="6" t="str">
        <f>'Reported burning'!D702</f>
        <v>Forest clearance</v>
      </c>
      <c r="E702" s="6" t="str">
        <f>'Reported burning'!E702</f>
        <v>Forestry, Small-scale</v>
      </c>
      <c r="F702" s="6" t="str">
        <f>'Reported burning'!F702</f>
        <v>Forest</v>
      </c>
      <c r="G702" s="6">
        <f>'Reported burning'!G702</f>
        <v>0</v>
      </c>
      <c r="H702" s="6" t="str">
        <f>'Reported burning'!H702</f>
        <v>Absence</v>
      </c>
      <c r="I702" s="3"/>
      <c r="J702" s="21" t="s">
        <v>2364</v>
      </c>
      <c r="K702" s="103" t="s">
        <v>2364</v>
      </c>
      <c r="L702" s="21" t="s">
        <v>2364</v>
      </c>
      <c r="M702" s="21" t="s">
        <v>2364</v>
      </c>
      <c r="N702" s="21" t="s">
        <v>2364</v>
      </c>
      <c r="O702" s="21" t="s">
        <v>2364</v>
      </c>
      <c r="P702" s="21" t="s">
        <v>2364</v>
      </c>
      <c r="Q702" s="102" t="s">
        <v>2276</v>
      </c>
      <c r="R702" s="102" t="s">
        <v>2276</v>
      </c>
      <c r="S702" s="21" t="s">
        <v>2364</v>
      </c>
      <c r="T702" s="21" t="s">
        <v>2364</v>
      </c>
      <c r="U702" s="21" t="s">
        <v>2364</v>
      </c>
      <c r="V702" s="21" t="s">
        <v>2364</v>
      </c>
      <c r="W702" s="21" t="s">
        <v>2276</v>
      </c>
      <c r="X702" s="3" t="s">
        <v>2276</v>
      </c>
      <c r="Y702" s="3" t="s">
        <v>2276</v>
      </c>
      <c r="Z702" s="3" t="s">
        <v>2276</v>
      </c>
      <c r="AA702" s="4" t="s">
        <v>1726</v>
      </c>
      <c r="AB702" s="3"/>
    </row>
    <row r="703" spans="1:28" ht="49.5" customHeight="1">
      <c r="A703" s="6" t="str">
        <f>'Reported burning'!A703</f>
        <v>84q</v>
      </c>
      <c r="B703" s="6" t="str">
        <f>'Reported burning'!B703</f>
        <v>84q.1</v>
      </c>
      <c r="C703" s="6" t="str">
        <f>'Reported burning'!C703</f>
        <v>Human, deliberate</v>
      </c>
      <c r="D703" s="6" t="str">
        <f>'Reported burning'!D703</f>
        <v>Forest clearance</v>
      </c>
      <c r="E703" s="6" t="str">
        <f>'Reported burning'!E703</f>
        <v>Forestry, Small-scale</v>
      </c>
      <c r="F703" s="6" t="str">
        <f>'Reported burning'!F703</f>
        <v>Forest</v>
      </c>
      <c r="G703" s="6">
        <f>'Reported burning'!G703</f>
        <v>0</v>
      </c>
      <c r="H703" s="6" t="str">
        <f>'Reported burning'!H703</f>
        <v>Absence</v>
      </c>
      <c r="I703" s="3"/>
      <c r="J703" s="21" t="s">
        <v>2364</v>
      </c>
      <c r="K703" s="103" t="s">
        <v>2364</v>
      </c>
      <c r="L703" s="21" t="s">
        <v>2364</v>
      </c>
      <c r="M703" s="21" t="s">
        <v>2364</v>
      </c>
      <c r="N703" s="21" t="s">
        <v>2364</v>
      </c>
      <c r="O703" s="21" t="s">
        <v>2364</v>
      </c>
      <c r="P703" s="21" t="s">
        <v>2364</v>
      </c>
      <c r="Q703" s="102" t="s">
        <v>2276</v>
      </c>
      <c r="R703" s="102" t="s">
        <v>2276</v>
      </c>
      <c r="S703" s="21" t="s">
        <v>2364</v>
      </c>
      <c r="T703" s="21" t="s">
        <v>2364</v>
      </c>
      <c r="U703" s="21" t="s">
        <v>2364</v>
      </c>
      <c r="V703" s="21" t="s">
        <v>2364</v>
      </c>
      <c r="W703" s="21" t="s">
        <v>2276</v>
      </c>
      <c r="X703" s="3" t="s">
        <v>2276</v>
      </c>
      <c r="Y703" s="3" t="s">
        <v>2276</v>
      </c>
      <c r="Z703" s="3" t="s">
        <v>2276</v>
      </c>
      <c r="AA703" s="4" t="s">
        <v>1726</v>
      </c>
      <c r="AB703" s="3"/>
    </row>
    <row r="704" spans="1:28" ht="49.5" customHeight="1">
      <c r="A704" s="6" t="str">
        <f>'Reported burning'!A704</f>
        <v>84r</v>
      </c>
      <c r="B704" s="6" t="str">
        <f>'Reported burning'!B704</f>
        <v>84r.1</v>
      </c>
      <c r="C704" s="6" t="str">
        <f>'Reported burning'!C704</f>
        <v>Human, deliberate</v>
      </c>
      <c r="D704" s="6" t="str">
        <f>'Reported burning'!D704</f>
        <v>Forest clearance</v>
      </c>
      <c r="E704" s="6" t="str">
        <f>'Reported burning'!E704</f>
        <v>Forestry, Small-scale</v>
      </c>
      <c r="F704" s="6" t="str">
        <f>'Reported burning'!F704</f>
        <v>Forest</v>
      </c>
      <c r="G704" s="6">
        <f>'Reported burning'!G704</f>
        <v>0</v>
      </c>
      <c r="H704" s="6" t="str">
        <f>'Reported burning'!H704</f>
        <v>Absence</v>
      </c>
      <c r="I704" s="3"/>
      <c r="J704" s="21" t="s">
        <v>2364</v>
      </c>
      <c r="K704" s="103" t="s">
        <v>2364</v>
      </c>
      <c r="L704" s="21" t="s">
        <v>2364</v>
      </c>
      <c r="M704" s="21" t="s">
        <v>2364</v>
      </c>
      <c r="N704" s="21" t="s">
        <v>2364</v>
      </c>
      <c r="O704" s="21" t="s">
        <v>2364</v>
      </c>
      <c r="P704" s="21" t="s">
        <v>2364</v>
      </c>
      <c r="Q704" s="102" t="s">
        <v>2276</v>
      </c>
      <c r="R704" s="102" t="s">
        <v>2276</v>
      </c>
      <c r="S704" s="21" t="s">
        <v>2364</v>
      </c>
      <c r="T704" s="21" t="s">
        <v>2364</v>
      </c>
      <c r="U704" s="21" t="s">
        <v>2364</v>
      </c>
      <c r="V704" s="21" t="s">
        <v>2364</v>
      </c>
      <c r="W704" s="21" t="s">
        <v>2276</v>
      </c>
      <c r="X704" s="3" t="s">
        <v>2276</v>
      </c>
      <c r="Y704" s="3" t="s">
        <v>2276</v>
      </c>
      <c r="Z704" s="3" t="s">
        <v>2276</v>
      </c>
      <c r="AA704" s="4" t="s">
        <v>1726</v>
      </c>
      <c r="AB704" s="3"/>
    </row>
    <row r="705" spans="1:28" ht="49.5" customHeight="1">
      <c r="A705" s="6" t="str">
        <f>'Reported burning'!A705</f>
        <v>84s</v>
      </c>
      <c r="B705" s="6" t="str">
        <f>'Reported burning'!B705</f>
        <v>84s.1</v>
      </c>
      <c r="C705" s="6" t="str">
        <f>'Reported burning'!C705</f>
        <v>Human, deliberate</v>
      </c>
      <c r="D705" s="6" t="str">
        <f>'Reported burning'!D705</f>
        <v>Forest clearance</v>
      </c>
      <c r="E705" s="6" t="str">
        <f>'Reported burning'!E705</f>
        <v>Forestry, Small-scale</v>
      </c>
      <c r="F705" s="6" t="str">
        <f>'Reported burning'!F705</f>
        <v>Forest</v>
      </c>
      <c r="G705" s="6">
        <f>'Reported burning'!G705</f>
        <v>0</v>
      </c>
      <c r="H705" s="6" t="str">
        <f>'Reported burning'!H705</f>
        <v>Absence</v>
      </c>
      <c r="I705" s="3"/>
      <c r="J705" s="21" t="s">
        <v>2364</v>
      </c>
      <c r="K705" s="103" t="s">
        <v>2364</v>
      </c>
      <c r="L705" s="21" t="s">
        <v>2364</v>
      </c>
      <c r="M705" s="21" t="s">
        <v>2364</v>
      </c>
      <c r="N705" s="21" t="s">
        <v>2364</v>
      </c>
      <c r="O705" s="21" t="s">
        <v>2364</v>
      </c>
      <c r="P705" s="21" t="s">
        <v>2364</v>
      </c>
      <c r="Q705" s="102" t="s">
        <v>2276</v>
      </c>
      <c r="R705" s="102" t="s">
        <v>2276</v>
      </c>
      <c r="S705" s="21" t="s">
        <v>2364</v>
      </c>
      <c r="T705" s="21" t="s">
        <v>2364</v>
      </c>
      <c r="U705" s="21" t="s">
        <v>2364</v>
      </c>
      <c r="V705" s="21" t="s">
        <v>2364</v>
      </c>
      <c r="W705" s="21" t="s">
        <v>2276</v>
      </c>
      <c r="X705" s="3" t="s">
        <v>2276</v>
      </c>
      <c r="Y705" s="3" t="s">
        <v>2276</v>
      </c>
      <c r="Z705" s="3" t="s">
        <v>2276</v>
      </c>
      <c r="AA705" s="4" t="s">
        <v>1726</v>
      </c>
      <c r="AB705" s="3"/>
    </row>
    <row r="706" spans="1:28" ht="49.5" customHeight="1">
      <c r="A706" s="6" t="str">
        <f>'Reported burning'!A706</f>
        <v>84t</v>
      </c>
      <c r="B706" s="6" t="str">
        <f>'Reported burning'!B706</f>
        <v>84t.1</v>
      </c>
      <c r="C706" s="6" t="str">
        <f>'Reported burning'!C706</f>
        <v>Human, deliberate</v>
      </c>
      <c r="D706" s="6" t="str">
        <f>'Reported burning'!D706</f>
        <v>Forest clearance</v>
      </c>
      <c r="E706" s="6" t="str">
        <f>'Reported burning'!E706</f>
        <v>Forestry, Small-scale</v>
      </c>
      <c r="F706" s="6" t="str">
        <f>'Reported burning'!F706</f>
        <v>Forest</v>
      </c>
      <c r="G706" s="6">
        <f>'Reported burning'!G706</f>
        <v>0</v>
      </c>
      <c r="H706" s="6" t="str">
        <f>'Reported burning'!H706</f>
        <v>Absence</v>
      </c>
      <c r="I706" s="3"/>
      <c r="J706" s="21" t="s">
        <v>2364</v>
      </c>
      <c r="K706" s="103" t="s">
        <v>2364</v>
      </c>
      <c r="L706" s="21" t="s">
        <v>2364</v>
      </c>
      <c r="M706" s="21" t="s">
        <v>2364</v>
      </c>
      <c r="N706" s="21" t="s">
        <v>2364</v>
      </c>
      <c r="O706" s="21" t="s">
        <v>2364</v>
      </c>
      <c r="P706" s="21" t="s">
        <v>2364</v>
      </c>
      <c r="Q706" s="102" t="s">
        <v>2276</v>
      </c>
      <c r="R706" s="102" t="s">
        <v>2276</v>
      </c>
      <c r="S706" s="21" t="s">
        <v>2364</v>
      </c>
      <c r="T706" s="21" t="s">
        <v>2364</v>
      </c>
      <c r="U706" s="21" t="s">
        <v>2364</v>
      </c>
      <c r="V706" s="21" t="s">
        <v>2364</v>
      </c>
      <c r="W706" s="21" t="s">
        <v>2276</v>
      </c>
      <c r="X706" s="3" t="s">
        <v>2276</v>
      </c>
      <c r="Y706" s="3" t="s">
        <v>2276</v>
      </c>
      <c r="Z706" s="3" t="s">
        <v>2276</v>
      </c>
      <c r="AA706" s="4" t="s">
        <v>1726</v>
      </c>
      <c r="AB706" s="3"/>
    </row>
    <row r="707" spans="1:28" ht="49.5" customHeight="1">
      <c r="A707" s="6" t="str">
        <f>'Reported burning'!A707</f>
        <v>84u</v>
      </c>
      <c r="B707" s="6" t="str">
        <f>'Reported burning'!B707</f>
        <v>84u.1</v>
      </c>
      <c r="C707" s="6" t="str">
        <f>'Reported burning'!C707</f>
        <v>Human, deliberate</v>
      </c>
      <c r="D707" s="6" t="str">
        <f>'Reported burning'!D707</f>
        <v>Forest clearance</v>
      </c>
      <c r="E707" s="6" t="str">
        <f>'Reported burning'!E707</f>
        <v>Forestry, Small-scale</v>
      </c>
      <c r="F707" s="6" t="str">
        <f>'Reported burning'!F707</f>
        <v>Forest</v>
      </c>
      <c r="G707" s="6">
        <f>'Reported burning'!G707</f>
        <v>0</v>
      </c>
      <c r="H707" s="6" t="str">
        <f>'Reported burning'!H707</f>
        <v>Absence</v>
      </c>
      <c r="I707" s="3"/>
      <c r="J707" s="21" t="s">
        <v>2364</v>
      </c>
      <c r="K707" s="103" t="s">
        <v>2364</v>
      </c>
      <c r="L707" s="21" t="s">
        <v>2364</v>
      </c>
      <c r="M707" s="21" t="s">
        <v>2364</v>
      </c>
      <c r="N707" s="21" t="s">
        <v>2364</v>
      </c>
      <c r="O707" s="21" t="s">
        <v>2364</v>
      </c>
      <c r="P707" s="21" t="s">
        <v>2364</v>
      </c>
      <c r="Q707" s="102" t="s">
        <v>2276</v>
      </c>
      <c r="R707" s="102" t="s">
        <v>2276</v>
      </c>
      <c r="S707" s="21" t="s">
        <v>2364</v>
      </c>
      <c r="T707" s="21" t="s">
        <v>2364</v>
      </c>
      <c r="U707" s="21" t="s">
        <v>2364</v>
      </c>
      <c r="V707" s="21" t="s">
        <v>2364</v>
      </c>
      <c r="W707" s="21" t="s">
        <v>2276</v>
      </c>
      <c r="X707" s="3" t="s">
        <v>2276</v>
      </c>
      <c r="Y707" s="3" t="s">
        <v>2276</v>
      </c>
      <c r="Z707" s="3" t="s">
        <v>2276</v>
      </c>
      <c r="AA707" s="4" t="s">
        <v>1726</v>
      </c>
      <c r="AB707" s="3"/>
    </row>
    <row r="708" spans="1:28" ht="49.5" customHeight="1">
      <c r="A708" s="6" t="str">
        <f>'Reported burning'!A708</f>
        <v>84v</v>
      </c>
      <c r="B708" s="6" t="str">
        <f>'Reported burning'!B708</f>
        <v>84v.1</v>
      </c>
      <c r="C708" s="6" t="str">
        <f>'Reported burning'!C708</f>
        <v>Human, deliberate</v>
      </c>
      <c r="D708" s="6" t="str">
        <f>'Reported burning'!D708</f>
        <v>Forest clearance</v>
      </c>
      <c r="E708" s="6" t="str">
        <f>'Reported burning'!E708</f>
        <v>Forestry, Small-scale</v>
      </c>
      <c r="F708" s="6" t="str">
        <f>'Reported burning'!F708</f>
        <v>Forest</v>
      </c>
      <c r="G708" s="6">
        <f>'Reported burning'!G708</f>
        <v>0</v>
      </c>
      <c r="H708" s="6" t="str">
        <f>'Reported burning'!H708</f>
        <v>Absence</v>
      </c>
      <c r="I708" s="3"/>
      <c r="J708" s="21" t="s">
        <v>2364</v>
      </c>
      <c r="K708" s="103" t="s">
        <v>2364</v>
      </c>
      <c r="L708" s="21" t="s">
        <v>2364</v>
      </c>
      <c r="M708" s="21" t="s">
        <v>2364</v>
      </c>
      <c r="N708" s="21" t="s">
        <v>2364</v>
      </c>
      <c r="O708" s="21" t="s">
        <v>2364</v>
      </c>
      <c r="P708" s="21" t="s">
        <v>2364</v>
      </c>
      <c r="Q708" s="102" t="s">
        <v>2276</v>
      </c>
      <c r="R708" s="102" t="s">
        <v>2276</v>
      </c>
      <c r="S708" s="21" t="s">
        <v>2364</v>
      </c>
      <c r="T708" s="21" t="s">
        <v>2364</v>
      </c>
      <c r="U708" s="21" t="s">
        <v>2364</v>
      </c>
      <c r="V708" s="21" t="s">
        <v>2364</v>
      </c>
      <c r="W708" s="21" t="s">
        <v>2276</v>
      </c>
      <c r="X708" s="3" t="s">
        <v>2276</v>
      </c>
      <c r="Y708" s="3" t="s">
        <v>2276</v>
      </c>
      <c r="Z708" s="3" t="s">
        <v>2276</v>
      </c>
      <c r="AA708" s="4" t="s">
        <v>1726</v>
      </c>
      <c r="AB708" s="3"/>
    </row>
    <row r="709" spans="1:28" ht="49.5" customHeight="1">
      <c r="A709" s="6" t="str">
        <f>'Reported burning'!A709</f>
        <v>84w</v>
      </c>
      <c r="B709" s="6" t="str">
        <f>'Reported burning'!B709</f>
        <v>84w.1</v>
      </c>
      <c r="C709" s="6" t="str">
        <f>'Reported burning'!C709</f>
        <v>Human, deliberate</v>
      </c>
      <c r="D709" s="6" t="str">
        <f>'Reported burning'!D709</f>
        <v>Forest clearance</v>
      </c>
      <c r="E709" s="6" t="str">
        <f>'Reported burning'!E709</f>
        <v>Forestry, Small-scale</v>
      </c>
      <c r="F709" s="6" t="str">
        <f>'Reported burning'!F709</f>
        <v>Forest</v>
      </c>
      <c r="G709" s="6">
        <f>'Reported burning'!G709</f>
        <v>0</v>
      </c>
      <c r="H709" s="6" t="str">
        <f>'Reported burning'!H709</f>
        <v>Absence</v>
      </c>
      <c r="I709" s="3"/>
      <c r="J709" s="21" t="s">
        <v>2364</v>
      </c>
      <c r="K709" s="103" t="s">
        <v>2364</v>
      </c>
      <c r="L709" s="21" t="s">
        <v>2364</v>
      </c>
      <c r="M709" s="21" t="s">
        <v>2364</v>
      </c>
      <c r="N709" s="21" t="s">
        <v>2364</v>
      </c>
      <c r="O709" s="21" t="s">
        <v>2364</v>
      </c>
      <c r="P709" s="21" t="s">
        <v>2364</v>
      </c>
      <c r="Q709" s="102" t="s">
        <v>2276</v>
      </c>
      <c r="R709" s="102" t="s">
        <v>2276</v>
      </c>
      <c r="S709" s="21" t="s">
        <v>2364</v>
      </c>
      <c r="T709" s="21" t="s">
        <v>2364</v>
      </c>
      <c r="U709" s="21" t="s">
        <v>2364</v>
      </c>
      <c r="V709" s="21" t="s">
        <v>2364</v>
      </c>
      <c r="W709" s="21" t="s">
        <v>2276</v>
      </c>
      <c r="X709" s="3" t="s">
        <v>2276</v>
      </c>
      <c r="Y709" s="3" t="s">
        <v>2276</v>
      </c>
      <c r="Z709" s="3" t="s">
        <v>2276</v>
      </c>
      <c r="AA709" s="4" t="s">
        <v>1726</v>
      </c>
      <c r="AB709" s="3"/>
    </row>
    <row r="710" spans="1:28" ht="49.5" customHeight="1">
      <c r="A710" s="6" t="str">
        <f>'Reported burning'!A710</f>
        <v>84x</v>
      </c>
      <c r="B710" s="6" t="str">
        <f>'Reported burning'!B710</f>
        <v>84x.1</v>
      </c>
      <c r="C710" s="6" t="str">
        <f>'Reported burning'!C710</f>
        <v>Human, deliberate</v>
      </c>
      <c r="D710" s="6" t="str">
        <f>'Reported burning'!D710</f>
        <v>Forest clearance</v>
      </c>
      <c r="E710" s="6" t="str">
        <f>'Reported burning'!E710</f>
        <v>Forestry, Small-scale</v>
      </c>
      <c r="F710" s="6" t="str">
        <f>'Reported burning'!F710</f>
        <v>Forest</v>
      </c>
      <c r="G710" s="6">
        <f>'Reported burning'!G710</f>
        <v>0</v>
      </c>
      <c r="H710" s="6" t="str">
        <f>'Reported burning'!H710</f>
        <v>Absence</v>
      </c>
      <c r="I710" s="3"/>
      <c r="J710" s="21" t="s">
        <v>2364</v>
      </c>
      <c r="K710" s="103" t="s">
        <v>2364</v>
      </c>
      <c r="L710" s="21" t="s">
        <v>2364</v>
      </c>
      <c r="M710" s="21" t="s">
        <v>2364</v>
      </c>
      <c r="N710" s="21" t="s">
        <v>2364</v>
      </c>
      <c r="O710" s="21" t="s">
        <v>2364</v>
      </c>
      <c r="P710" s="21" t="s">
        <v>2364</v>
      </c>
      <c r="Q710" s="102" t="s">
        <v>2276</v>
      </c>
      <c r="R710" s="102" t="s">
        <v>2276</v>
      </c>
      <c r="S710" s="21" t="s">
        <v>2364</v>
      </c>
      <c r="T710" s="21" t="s">
        <v>2364</v>
      </c>
      <c r="U710" s="21" t="s">
        <v>2364</v>
      </c>
      <c r="V710" s="21" t="s">
        <v>2364</v>
      </c>
      <c r="W710" s="21" t="s">
        <v>2276</v>
      </c>
      <c r="X710" s="3" t="s">
        <v>2276</v>
      </c>
      <c r="Y710" s="3" t="s">
        <v>2276</v>
      </c>
      <c r="Z710" s="3" t="s">
        <v>2276</v>
      </c>
      <c r="AA710" s="4" t="s">
        <v>1726</v>
      </c>
      <c r="AB710" s="3"/>
    </row>
    <row r="711" spans="1:28" ht="49.5" customHeight="1">
      <c r="A711" s="6" t="str">
        <f>'Reported burning'!A711</f>
        <v>84y</v>
      </c>
      <c r="B711" s="6" t="str">
        <f>'Reported burning'!B711</f>
        <v>84y.1</v>
      </c>
      <c r="C711" s="6" t="str">
        <f>'Reported burning'!C711</f>
        <v>Human, deliberate</v>
      </c>
      <c r="D711" s="6" t="str">
        <f>'Reported burning'!D711</f>
        <v>Forest clearance</v>
      </c>
      <c r="E711" s="6" t="str">
        <f>'Reported burning'!E711</f>
        <v>Forestry, Small-scale</v>
      </c>
      <c r="F711" s="6" t="str">
        <f>'Reported burning'!F711</f>
        <v>Forest</v>
      </c>
      <c r="G711" s="6">
        <f>'Reported burning'!G711</f>
        <v>0</v>
      </c>
      <c r="H711" s="6" t="str">
        <f>'Reported burning'!H711</f>
        <v>Absence</v>
      </c>
      <c r="I711" s="3"/>
      <c r="J711" s="21" t="s">
        <v>2364</v>
      </c>
      <c r="K711" s="103" t="s">
        <v>2364</v>
      </c>
      <c r="L711" s="21" t="s">
        <v>2364</v>
      </c>
      <c r="M711" s="21" t="s">
        <v>2364</v>
      </c>
      <c r="N711" s="21" t="s">
        <v>2364</v>
      </c>
      <c r="O711" s="21" t="s">
        <v>2364</v>
      </c>
      <c r="P711" s="21" t="s">
        <v>2364</v>
      </c>
      <c r="Q711" s="102" t="s">
        <v>2276</v>
      </c>
      <c r="R711" s="102" t="s">
        <v>2276</v>
      </c>
      <c r="S711" s="21" t="s">
        <v>2364</v>
      </c>
      <c r="T711" s="21" t="s">
        <v>2364</v>
      </c>
      <c r="U711" s="21" t="s">
        <v>2364</v>
      </c>
      <c r="V711" s="21" t="s">
        <v>2364</v>
      </c>
      <c r="W711" s="21" t="s">
        <v>2276</v>
      </c>
      <c r="X711" s="3" t="s">
        <v>2276</v>
      </c>
      <c r="Y711" s="3" t="s">
        <v>2276</v>
      </c>
      <c r="Z711" s="3" t="s">
        <v>2276</v>
      </c>
      <c r="AA711" s="4" t="s">
        <v>1726</v>
      </c>
      <c r="AB711" s="3"/>
    </row>
    <row r="712" spans="1:28" ht="49.5" customHeight="1">
      <c r="A712" s="6" t="str">
        <f>'Reported burning'!A712</f>
        <v>84z</v>
      </c>
      <c r="B712" s="6" t="str">
        <f>'Reported burning'!B712</f>
        <v>84z.1</v>
      </c>
      <c r="C712" s="6" t="str">
        <f>'Reported burning'!C712</f>
        <v>Human, deliberate</v>
      </c>
      <c r="D712" s="6" t="str">
        <f>'Reported burning'!D712</f>
        <v>Forest clearance</v>
      </c>
      <c r="E712" s="6" t="str">
        <f>'Reported burning'!E712</f>
        <v>Forestry, Small-scale</v>
      </c>
      <c r="F712" s="6" t="str">
        <f>'Reported burning'!F712</f>
        <v>Forest</v>
      </c>
      <c r="G712" s="6">
        <f>'Reported burning'!G712</f>
        <v>0</v>
      </c>
      <c r="H712" s="6" t="str">
        <f>'Reported burning'!H712</f>
        <v>Absence</v>
      </c>
      <c r="I712" s="3"/>
      <c r="J712" s="21" t="s">
        <v>2364</v>
      </c>
      <c r="K712" s="103" t="s">
        <v>2364</v>
      </c>
      <c r="L712" s="21" t="s">
        <v>2364</v>
      </c>
      <c r="M712" s="21" t="s">
        <v>2364</v>
      </c>
      <c r="N712" s="21" t="s">
        <v>2364</v>
      </c>
      <c r="O712" s="21" t="s">
        <v>2364</v>
      </c>
      <c r="P712" s="21" t="s">
        <v>2364</v>
      </c>
      <c r="Q712" s="102" t="s">
        <v>2276</v>
      </c>
      <c r="R712" s="102" t="s">
        <v>2276</v>
      </c>
      <c r="S712" s="21" t="s">
        <v>2364</v>
      </c>
      <c r="T712" s="21" t="s">
        <v>2364</v>
      </c>
      <c r="U712" s="21" t="s">
        <v>2364</v>
      </c>
      <c r="V712" s="21" t="s">
        <v>2364</v>
      </c>
      <c r="W712" s="21" t="s">
        <v>2276</v>
      </c>
      <c r="X712" s="3" t="s">
        <v>2276</v>
      </c>
      <c r="Y712" s="3" t="s">
        <v>2276</v>
      </c>
      <c r="Z712" s="3" t="s">
        <v>2276</v>
      </c>
      <c r="AA712" s="4" t="s">
        <v>1726</v>
      </c>
      <c r="AB712" s="3"/>
    </row>
    <row r="713" spans="1:28" ht="49.5" customHeight="1">
      <c r="A713" s="6" t="str">
        <f>'Reported burning'!A713</f>
        <v>84aa</v>
      </c>
      <c r="B713" s="6" t="str">
        <f>'Reported burning'!B713</f>
        <v>84aa.1</v>
      </c>
      <c r="C713" s="6" t="str">
        <f>'Reported burning'!C713</f>
        <v>Human, deliberate</v>
      </c>
      <c r="D713" s="6" t="str">
        <f>'Reported burning'!D713</f>
        <v>Forest clearance</v>
      </c>
      <c r="E713" s="6" t="str">
        <f>'Reported burning'!E713</f>
        <v>Forestry, Small-scale</v>
      </c>
      <c r="F713" s="6" t="str">
        <f>'Reported burning'!F713</f>
        <v>Forest</v>
      </c>
      <c r="G713" s="6">
        <f>'Reported burning'!G713</f>
        <v>0</v>
      </c>
      <c r="H713" s="6" t="str">
        <f>'Reported burning'!H713</f>
        <v>Absence</v>
      </c>
      <c r="I713" s="3"/>
      <c r="J713" s="21" t="s">
        <v>2364</v>
      </c>
      <c r="K713" s="103" t="s">
        <v>2364</v>
      </c>
      <c r="L713" s="21" t="s">
        <v>2364</v>
      </c>
      <c r="M713" s="21" t="s">
        <v>2364</v>
      </c>
      <c r="N713" s="21" t="s">
        <v>2364</v>
      </c>
      <c r="O713" s="21" t="s">
        <v>2364</v>
      </c>
      <c r="P713" s="21" t="s">
        <v>2364</v>
      </c>
      <c r="Q713" s="102" t="s">
        <v>2276</v>
      </c>
      <c r="R713" s="102" t="s">
        <v>2276</v>
      </c>
      <c r="S713" s="21" t="s">
        <v>2364</v>
      </c>
      <c r="T713" s="21" t="s">
        <v>2364</v>
      </c>
      <c r="U713" s="21" t="s">
        <v>2364</v>
      </c>
      <c r="V713" s="21" t="s">
        <v>2364</v>
      </c>
      <c r="W713" s="21" t="s">
        <v>2276</v>
      </c>
      <c r="X713" s="3" t="s">
        <v>2276</v>
      </c>
      <c r="Y713" s="3" t="s">
        <v>2276</v>
      </c>
      <c r="Z713" s="3" t="s">
        <v>2276</v>
      </c>
      <c r="AA713" s="4" t="s">
        <v>1726</v>
      </c>
      <c r="AB713" s="3"/>
    </row>
    <row r="714" spans="1:28" ht="49.5" customHeight="1">
      <c r="A714" s="6" t="str">
        <f>'Reported burning'!A714</f>
        <v>84ab</v>
      </c>
      <c r="B714" s="6" t="str">
        <f>'Reported burning'!B714</f>
        <v>84ab.1</v>
      </c>
      <c r="C714" s="6" t="str">
        <f>'Reported burning'!C714</f>
        <v>Human, deliberate</v>
      </c>
      <c r="D714" s="6" t="str">
        <f>'Reported burning'!D714</f>
        <v>Forest clearance</v>
      </c>
      <c r="E714" s="6" t="str">
        <f>'Reported burning'!E714</f>
        <v>Forestry, Small-scale</v>
      </c>
      <c r="F714" s="6" t="str">
        <f>'Reported burning'!F714</f>
        <v>Forest</v>
      </c>
      <c r="G714" s="6">
        <f>'Reported burning'!G714</f>
        <v>0</v>
      </c>
      <c r="H714" s="6" t="str">
        <f>'Reported burning'!H714</f>
        <v>Absence</v>
      </c>
      <c r="I714" s="3"/>
      <c r="J714" s="21" t="s">
        <v>2364</v>
      </c>
      <c r="K714" s="103" t="s">
        <v>2364</v>
      </c>
      <c r="L714" s="21" t="s">
        <v>2364</v>
      </c>
      <c r="M714" s="21" t="s">
        <v>2364</v>
      </c>
      <c r="N714" s="21" t="s">
        <v>2364</v>
      </c>
      <c r="O714" s="21" t="s">
        <v>2364</v>
      </c>
      <c r="P714" s="21" t="s">
        <v>2364</v>
      </c>
      <c r="Q714" s="102" t="s">
        <v>2276</v>
      </c>
      <c r="R714" s="102" t="s">
        <v>2276</v>
      </c>
      <c r="S714" s="21" t="s">
        <v>2364</v>
      </c>
      <c r="T714" s="21" t="s">
        <v>2364</v>
      </c>
      <c r="U714" s="21" t="s">
        <v>2364</v>
      </c>
      <c r="V714" s="21" t="s">
        <v>2364</v>
      </c>
      <c r="W714" s="21" t="s">
        <v>2276</v>
      </c>
      <c r="X714" s="3" t="s">
        <v>2276</v>
      </c>
      <c r="Y714" s="3" t="s">
        <v>2276</v>
      </c>
      <c r="Z714" s="3" t="s">
        <v>2276</v>
      </c>
      <c r="AA714" s="4" t="s">
        <v>1726</v>
      </c>
      <c r="AB714" s="3"/>
    </row>
    <row r="715" spans="1:28" ht="49.5" customHeight="1">
      <c r="A715" s="6" t="str">
        <f>'Reported burning'!A715</f>
        <v>84ac</v>
      </c>
      <c r="B715" s="6" t="str">
        <f>'Reported burning'!B715</f>
        <v>84ac.1</v>
      </c>
      <c r="C715" s="6" t="str">
        <f>'Reported burning'!C715</f>
        <v>Human, deliberate</v>
      </c>
      <c r="D715" s="6" t="str">
        <f>'Reported burning'!D715</f>
        <v>Forest clearance</v>
      </c>
      <c r="E715" s="6" t="str">
        <f>'Reported burning'!E715</f>
        <v>Forestry, Small-scale</v>
      </c>
      <c r="F715" s="6" t="str">
        <f>'Reported burning'!F715</f>
        <v>Forest</v>
      </c>
      <c r="G715" s="6">
        <f>'Reported burning'!G715</f>
        <v>0</v>
      </c>
      <c r="H715" s="6" t="str">
        <f>'Reported burning'!H715</f>
        <v>Absence</v>
      </c>
      <c r="I715" s="3"/>
      <c r="J715" s="21" t="s">
        <v>2364</v>
      </c>
      <c r="K715" s="103" t="s">
        <v>2364</v>
      </c>
      <c r="L715" s="21" t="s">
        <v>2364</v>
      </c>
      <c r="M715" s="21" t="s">
        <v>2364</v>
      </c>
      <c r="N715" s="21" t="s">
        <v>2364</v>
      </c>
      <c r="O715" s="21" t="s">
        <v>2364</v>
      </c>
      <c r="P715" s="21" t="s">
        <v>2364</v>
      </c>
      <c r="Q715" s="102" t="s">
        <v>2276</v>
      </c>
      <c r="R715" s="102" t="s">
        <v>2276</v>
      </c>
      <c r="S715" s="21" t="s">
        <v>2364</v>
      </c>
      <c r="T715" s="21" t="s">
        <v>2364</v>
      </c>
      <c r="U715" s="21" t="s">
        <v>2364</v>
      </c>
      <c r="V715" s="21" t="s">
        <v>2364</v>
      </c>
      <c r="W715" s="21" t="s">
        <v>2276</v>
      </c>
      <c r="X715" s="3" t="s">
        <v>2276</v>
      </c>
      <c r="Y715" s="3" t="s">
        <v>2276</v>
      </c>
      <c r="Z715" s="3" t="s">
        <v>2276</v>
      </c>
      <c r="AA715" s="4" t="s">
        <v>1726</v>
      </c>
      <c r="AB715" s="3"/>
    </row>
    <row r="716" spans="1:28" ht="49.5" customHeight="1">
      <c r="A716" s="6" t="str">
        <f>'Reported burning'!A716</f>
        <v>84ad</v>
      </c>
      <c r="B716" s="6" t="str">
        <f>'Reported burning'!B716</f>
        <v>84ad.1</v>
      </c>
      <c r="C716" s="6" t="str">
        <f>'Reported burning'!C716</f>
        <v>Human, deliberate</v>
      </c>
      <c r="D716" s="6" t="str">
        <f>'Reported burning'!D716</f>
        <v>Forest clearance</v>
      </c>
      <c r="E716" s="6" t="str">
        <f>'Reported burning'!E716</f>
        <v>Forestry, Small-scale</v>
      </c>
      <c r="F716" s="6" t="str">
        <f>'Reported burning'!F716</f>
        <v>Forest</v>
      </c>
      <c r="G716" s="6">
        <f>'Reported burning'!G716</f>
        <v>0</v>
      </c>
      <c r="H716" s="6" t="str">
        <f>'Reported burning'!H716</f>
        <v>Absence</v>
      </c>
      <c r="I716" s="3"/>
      <c r="J716" s="21" t="s">
        <v>2364</v>
      </c>
      <c r="K716" s="103" t="s">
        <v>2364</v>
      </c>
      <c r="L716" s="21" t="s">
        <v>2364</v>
      </c>
      <c r="M716" s="21" t="s">
        <v>2364</v>
      </c>
      <c r="N716" s="21" t="s">
        <v>2364</v>
      </c>
      <c r="O716" s="21" t="s">
        <v>2364</v>
      </c>
      <c r="P716" s="21" t="s">
        <v>2364</v>
      </c>
      <c r="Q716" s="102" t="s">
        <v>2276</v>
      </c>
      <c r="R716" s="102" t="s">
        <v>2276</v>
      </c>
      <c r="S716" s="21" t="s">
        <v>2364</v>
      </c>
      <c r="T716" s="21" t="s">
        <v>2364</v>
      </c>
      <c r="U716" s="21" t="s">
        <v>2364</v>
      </c>
      <c r="V716" s="21" t="s">
        <v>2364</v>
      </c>
      <c r="W716" s="21" t="s">
        <v>2276</v>
      </c>
      <c r="X716" s="3" t="s">
        <v>2276</v>
      </c>
      <c r="Y716" s="3" t="s">
        <v>2276</v>
      </c>
      <c r="Z716" s="3" t="s">
        <v>2276</v>
      </c>
      <c r="AA716" s="4" t="s">
        <v>1726</v>
      </c>
      <c r="AB716" s="3"/>
    </row>
    <row r="717" spans="1:28" ht="49.5" customHeight="1">
      <c r="A717" s="6" t="str">
        <f>'Reported burning'!A717</f>
        <v>84ae</v>
      </c>
      <c r="B717" s="6" t="str">
        <f>'Reported burning'!B717</f>
        <v>84ae.1</v>
      </c>
      <c r="C717" s="6" t="str">
        <f>'Reported burning'!C717</f>
        <v>Human, deliberate</v>
      </c>
      <c r="D717" s="6" t="str">
        <f>'Reported burning'!D717</f>
        <v>Forest clearance</v>
      </c>
      <c r="E717" s="6" t="str">
        <f>'Reported burning'!E717</f>
        <v>Forestry, Small-scale</v>
      </c>
      <c r="F717" s="6" t="str">
        <f>'Reported burning'!F717</f>
        <v>Forest</v>
      </c>
      <c r="G717" s="6">
        <f>'Reported burning'!G717</f>
        <v>0</v>
      </c>
      <c r="H717" s="6" t="str">
        <f>'Reported burning'!H717</f>
        <v>Absence</v>
      </c>
      <c r="I717" s="3"/>
      <c r="J717" s="21" t="s">
        <v>2364</v>
      </c>
      <c r="K717" s="103" t="s">
        <v>2364</v>
      </c>
      <c r="L717" s="21" t="s">
        <v>2364</v>
      </c>
      <c r="M717" s="21" t="s">
        <v>2364</v>
      </c>
      <c r="N717" s="21" t="s">
        <v>2364</v>
      </c>
      <c r="O717" s="21" t="s">
        <v>2364</v>
      </c>
      <c r="P717" s="21" t="s">
        <v>2364</v>
      </c>
      <c r="Q717" s="102" t="s">
        <v>2276</v>
      </c>
      <c r="R717" s="102" t="s">
        <v>2276</v>
      </c>
      <c r="S717" s="21" t="s">
        <v>2364</v>
      </c>
      <c r="T717" s="21" t="s">
        <v>2364</v>
      </c>
      <c r="U717" s="21" t="s">
        <v>2364</v>
      </c>
      <c r="V717" s="21" t="s">
        <v>2364</v>
      </c>
      <c r="W717" s="21" t="s">
        <v>2276</v>
      </c>
      <c r="X717" s="3" t="s">
        <v>2276</v>
      </c>
      <c r="Y717" s="3" t="s">
        <v>2276</v>
      </c>
      <c r="Z717" s="3" t="s">
        <v>2276</v>
      </c>
      <c r="AA717" s="4" t="s">
        <v>1726</v>
      </c>
      <c r="AB717" s="3"/>
    </row>
    <row r="718" spans="1:28" ht="49.5" customHeight="1">
      <c r="A718" s="6" t="str">
        <f>'Reported burning'!A718</f>
        <v>84af</v>
      </c>
      <c r="B718" s="6" t="str">
        <f>'Reported burning'!B718</f>
        <v>84af.1</v>
      </c>
      <c r="C718" s="6" t="str">
        <f>'Reported burning'!C718</f>
        <v>Human, deliberate</v>
      </c>
      <c r="D718" s="6" t="str">
        <f>'Reported burning'!D718</f>
        <v>Forest clearance</v>
      </c>
      <c r="E718" s="6" t="str">
        <f>'Reported burning'!E718</f>
        <v>Forestry, Small-scale</v>
      </c>
      <c r="F718" s="6" t="str">
        <f>'Reported burning'!F718</f>
        <v>Forest</v>
      </c>
      <c r="G718" s="6">
        <f>'Reported burning'!G718</f>
        <v>0</v>
      </c>
      <c r="H718" s="6" t="str">
        <f>'Reported burning'!H718</f>
        <v>Absence</v>
      </c>
      <c r="I718" s="3"/>
      <c r="J718" s="21" t="s">
        <v>2364</v>
      </c>
      <c r="K718" s="103" t="s">
        <v>2364</v>
      </c>
      <c r="L718" s="21" t="s">
        <v>2364</v>
      </c>
      <c r="M718" s="21" t="s">
        <v>2364</v>
      </c>
      <c r="N718" s="21" t="s">
        <v>2364</v>
      </c>
      <c r="O718" s="21" t="s">
        <v>2364</v>
      </c>
      <c r="P718" s="21" t="s">
        <v>2364</v>
      </c>
      <c r="Q718" s="102" t="s">
        <v>2276</v>
      </c>
      <c r="R718" s="102" t="s">
        <v>2276</v>
      </c>
      <c r="S718" s="21" t="s">
        <v>2364</v>
      </c>
      <c r="T718" s="21" t="s">
        <v>2364</v>
      </c>
      <c r="U718" s="21" t="s">
        <v>2364</v>
      </c>
      <c r="V718" s="21" t="s">
        <v>2364</v>
      </c>
      <c r="W718" s="21" t="s">
        <v>2276</v>
      </c>
      <c r="X718" s="3" t="s">
        <v>2276</v>
      </c>
      <c r="Y718" s="3" t="s">
        <v>2276</v>
      </c>
      <c r="Z718" s="3" t="s">
        <v>2276</v>
      </c>
      <c r="AA718" s="4" t="s">
        <v>1726</v>
      </c>
      <c r="AB718" s="3"/>
    </row>
    <row r="719" spans="1:28" ht="49.5" customHeight="1">
      <c r="A719" s="6" t="str">
        <f>'Reported burning'!A719</f>
        <v>84ag</v>
      </c>
      <c r="B719" s="6" t="str">
        <f>'Reported burning'!B719</f>
        <v>84ag.1</v>
      </c>
      <c r="C719" s="6" t="str">
        <f>'Reported burning'!C719</f>
        <v>Human, deliberate</v>
      </c>
      <c r="D719" s="6" t="str">
        <f>'Reported burning'!D719</f>
        <v>Forest clearance</v>
      </c>
      <c r="E719" s="6" t="str">
        <f>'Reported burning'!E719</f>
        <v>Forestry, Small-scale</v>
      </c>
      <c r="F719" s="6" t="str">
        <f>'Reported burning'!F719</f>
        <v>Forest</v>
      </c>
      <c r="G719" s="6">
        <f>'Reported burning'!G719</f>
        <v>0</v>
      </c>
      <c r="H719" s="6" t="str">
        <f>'Reported burning'!H719</f>
        <v>Absence</v>
      </c>
      <c r="I719" s="3"/>
      <c r="J719" s="21" t="s">
        <v>2364</v>
      </c>
      <c r="K719" s="103" t="s">
        <v>2364</v>
      </c>
      <c r="L719" s="21" t="s">
        <v>2364</v>
      </c>
      <c r="M719" s="21" t="s">
        <v>2364</v>
      </c>
      <c r="N719" s="21" t="s">
        <v>2364</v>
      </c>
      <c r="O719" s="21" t="s">
        <v>2364</v>
      </c>
      <c r="P719" s="21" t="s">
        <v>2364</v>
      </c>
      <c r="Q719" s="102" t="s">
        <v>2276</v>
      </c>
      <c r="R719" s="102" t="s">
        <v>2276</v>
      </c>
      <c r="S719" s="21" t="s">
        <v>2364</v>
      </c>
      <c r="T719" s="21" t="s">
        <v>2364</v>
      </c>
      <c r="U719" s="21" t="s">
        <v>2364</v>
      </c>
      <c r="V719" s="21" t="s">
        <v>2364</v>
      </c>
      <c r="W719" s="21" t="s">
        <v>2276</v>
      </c>
      <c r="X719" s="3" t="s">
        <v>2276</v>
      </c>
      <c r="Y719" s="3" t="s">
        <v>2276</v>
      </c>
      <c r="Z719" s="3" t="s">
        <v>2276</v>
      </c>
      <c r="AA719" s="4" t="s">
        <v>1726</v>
      </c>
      <c r="AB719" s="3"/>
    </row>
    <row r="720" spans="1:28" ht="49.5" customHeight="1">
      <c r="A720" s="6" t="str">
        <f>'Reported burning'!A720</f>
        <v>84ah</v>
      </c>
      <c r="B720" s="6" t="str">
        <f>'Reported burning'!B720</f>
        <v>84ah.1</v>
      </c>
      <c r="C720" s="6" t="str">
        <f>'Reported burning'!C720</f>
        <v>Human, deliberate</v>
      </c>
      <c r="D720" s="6" t="str">
        <f>'Reported burning'!D720</f>
        <v>Forest clearance</v>
      </c>
      <c r="E720" s="6" t="str">
        <f>'Reported burning'!E720</f>
        <v>Forestry, Small-scale</v>
      </c>
      <c r="F720" s="6" t="str">
        <f>'Reported burning'!F720</f>
        <v>Forest</v>
      </c>
      <c r="G720" s="6">
        <f>'Reported burning'!G720</f>
        <v>0</v>
      </c>
      <c r="H720" s="6" t="str">
        <f>'Reported burning'!H720</f>
        <v>Absence</v>
      </c>
      <c r="I720" s="3"/>
      <c r="J720" s="21" t="s">
        <v>2364</v>
      </c>
      <c r="K720" s="103" t="s">
        <v>2364</v>
      </c>
      <c r="L720" s="21" t="s">
        <v>2364</v>
      </c>
      <c r="M720" s="21" t="s">
        <v>2364</v>
      </c>
      <c r="N720" s="21" t="s">
        <v>2364</v>
      </c>
      <c r="O720" s="21" t="s">
        <v>2364</v>
      </c>
      <c r="P720" s="21" t="s">
        <v>2364</v>
      </c>
      <c r="Q720" s="102" t="s">
        <v>2276</v>
      </c>
      <c r="R720" s="102" t="s">
        <v>2276</v>
      </c>
      <c r="S720" s="21" t="s">
        <v>2364</v>
      </c>
      <c r="T720" s="21" t="s">
        <v>2364</v>
      </c>
      <c r="U720" s="21" t="s">
        <v>2364</v>
      </c>
      <c r="V720" s="21" t="s">
        <v>2364</v>
      </c>
      <c r="W720" s="21" t="s">
        <v>2276</v>
      </c>
      <c r="X720" s="3" t="s">
        <v>2276</v>
      </c>
      <c r="Y720" s="3" t="s">
        <v>2276</v>
      </c>
      <c r="Z720" s="3" t="s">
        <v>2276</v>
      </c>
      <c r="AA720" s="4" t="s">
        <v>1726</v>
      </c>
      <c r="AB720" s="3"/>
    </row>
    <row r="721" spans="1:28" ht="49.5" customHeight="1">
      <c r="A721" s="6" t="str">
        <f>'Reported burning'!A721</f>
        <v>84ai</v>
      </c>
      <c r="B721" s="6" t="str">
        <f>'Reported burning'!B721</f>
        <v>84ai.1</v>
      </c>
      <c r="C721" s="6" t="str">
        <f>'Reported burning'!C721</f>
        <v>Human, deliberate</v>
      </c>
      <c r="D721" s="6" t="str">
        <f>'Reported burning'!D721</f>
        <v>Forest clearance</v>
      </c>
      <c r="E721" s="6" t="str">
        <f>'Reported burning'!E721</f>
        <v>Forestry, Small-scale</v>
      </c>
      <c r="F721" s="6" t="str">
        <f>'Reported burning'!F721</f>
        <v>Forest</v>
      </c>
      <c r="G721" s="6">
        <f>'Reported burning'!G721</f>
        <v>0</v>
      </c>
      <c r="H721" s="6" t="str">
        <f>'Reported burning'!H721</f>
        <v>Absence</v>
      </c>
      <c r="I721" s="3"/>
      <c r="J721" s="21" t="s">
        <v>2364</v>
      </c>
      <c r="K721" s="103" t="s">
        <v>2364</v>
      </c>
      <c r="L721" s="21" t="s">
        <v>2364</v>
      </c>
      <c r="M721" s="21" t="s">
        <v>2364</v>
      </c>
      <c r="N721" s="21" t="s">
        <v>2364</v>
      </c>
      <c r="O721" s="21" t="s">
        <v>2364</v>
      </c>
      <c r="P721" s="21" t="s">
        <v>2364</v>
      </c>
      <c r="Q721" s="102" t="s">
        <v>2276</v>
      </c>
      <c r="R721" s="102" t="s">
        <v>2276</v>
      </c>
      <c r="S721" s="21" t="s">
        <v>2364</v>
      </c>
      <c r="T721" s="21" t="s">
        <v>2364</v>
      </c>
      <c r="U721" s="21" t="s">
        <v>2364</v>
      </c>
      <c r="V721" s="21" t="s">
        <v>2364</v>
      </c>
      <c r="W721" s="21" t="s">
        <v>2276</v>
      </c>
      <c r="X721" s="3" t="s">
        <v>2276</v>
      </c>
      <c r="Y721" s="3" t="s">
        <v>2276</v>
      </c>
      <c r="Z721" s="3" t="s">
        <v>2276</v>
      </c>
      <c r="AA721" s="4" t="s">
        <v>1726</v>
      </c>
      <c r="AB721" s="3"/>
    </row>
    <row r="722" spans="1:28" ht="49.5" customHeight="1">
      <c r="A722" s="6" t="str">
        <f>'Reported burning'!A722</f>
        <v>84aj</v>
      </c>
      <c r="B722" s="6" t="str">
        <f>'Reported burning'!B722</f>
        <v>84aj.1</v>
      </c>
      <c r="C722" s="6" t="str">
        <f>'Reported burning'!C722</f>
        <v>Human, deliberate</v>
      </c>
      <c r="D722" s="6" t="str">
        <f>'Reported burning'!D722</f>
        <v>Forest clearance</v>
      </c>
      <c r="E722" s="6" t="str">
        <f>'Reported burning'!E722</f>
        <v>Forestry, Small-scale</v>
      </c>
      <c r="F722" s="6" t="str">
        <f>'Reported burning'!F722</f>
        <v>Forest</v>
      </c>
      <c r="G722" s="6">
        <f>'Reported burning'!G722</f>
        <v>0</v>
      </c>
      <c r="H722" s="6" t="str">
        <f>'Reported burning'!H722</f>
        <v>Absence</v>
      </c>
      <c r="I722" s="3"/>
      <c r="J722" s="21" t="s">
        <v>2364</v>
      </c>
      <c r="K722" s="103" t="s">
        <v>2364</v>
      </c>
      <c r="L722" s="21" t="s">
        <v>2364</v>
      </c>
      <c r="M722" s="21" t="s">
        <v>2364</v>
      </c>
      <c r="N722" s="21" t="s">
        <v>2364</v>
      </c>
      <c r="O722" s="21" t="s">
        <v>2364</v>
      </c>
      <c r="P722" s="21" t="s">
        <v>2364</v>
      </c>
      <c r="Q722" s="102" t="s">
        <v>2276</v>
      </c>
      <c r="R722" s="102" t="s">
        <v>2276</v>
      </c>
      <c r="S722" s="21" t="s">
        <v>2364</v>
      </c>
      <c r="T722" s="21" t="s">
        <v>2364</v>
      </c>
      <c r="U722" s="21" t="s">
        <v>2364</v>
      </c>
      <c r="V722" s="21" t="s">
        <v>2364</v>
      </c>
      <c r="W722" s="21" t="s">
        <v>2276</v>
      </c>
      <c r="X722" s="3" t="s">
        <v>2276</v>
      </c>
      <c r="Y722" s="3" t="s">
        <v>2276</v>
      </c>
      <c r="Z722" s="3" t="s">
        <v>2276</v>
      </c>
      <c r="AA722" s="4" t="s">
        <v>1726</v>
      </c>
      <c r="AB722" s="3"/>
    </row>
    <row r="723" spans="1:28" ht="49.5" customHeight="1">
      <c r="A723" s="6" t="str">
        <f>'Reported burning'!A723</f>
        <v>84ak</v>
      </c>
      <c r="B723" s="6" t="str">
        <f>'Reported burning'!B723</f>
        <v>84ak.1</v>
      </c>
      <c r="C723" s="6" t="str">
        <f>'Reported burning'!C723</f>
        <v>Human, deliberate</v>
      </c>
      <c r="D723" s="6" t="str">
        <f>'Reported burning'!D723</f>
        <v>Forest clearance</v>
      </c>
      <c r="E723" s="6" t="str">
        <f>'Reported burning'!E723</f>
        <v>Forestry, Small-scale</v>
      </c>
      <c r="F723" s="6" t="str">
        <f>'Reported burning'!F723</f>
        <v>Forest</v>
      </c>
      <c r="G723" s="6">
        <f>'Reported burning'!G723</f>
        <v>0</v>
      </c>
      <c r="H723" s="6" t="str">
        <f>'Reported burning'!H723</f>
        <v>Absence</v>
      </c>
      <c r="I723" s="3"/>
      <c r="J723" s="21" t="s">
        <v>2364</v>
      </c>
      <c r="K723" s="103" t="s">
        <v>2364</v>
      </c>
      <c r="L723" s="21" t="s">
        <v>2364</v>
      </c>
      <c r="M723" s="21" t="s">
        <v>2364</v>
      </c>
      <c r="N723" s="21" t="s">
        <v>2364</v>
      </c>
      <c r="O723" s="21" t="s">
        <v>2364</v>
      </c>
      <c r="P723" s="21" t="s">
        <v>2364</v>
      </c>
      <c r="Q723" s="102" t="s">
        <v>2276</v>
      </c>
      <c r="R723" s="102" t="s">
        <v>2276</v>
      </c>
      <c r="S723" s="21" t="s">
        <v>2364</v>
      </c>
      <c r="T723" s="21" t="s">
        <v>2364</v>
      </c>
      <c r="U723" s="21" t="s">
        <v>2364</v>
      </c>
      <c r="V723" s="21" t="s">
        <v>2364</v>
      </c>
      <c r="W723" s="21" t="s">
        <v>2276</v>
      </c>
      <c r="X723" s="3" t="s">
        <v>2276</v>
      </c>
      <c r="Y723" s="3" t="s">
        <v>2276</v>
      </c>
      <c r="Z723" s="3" t="s">
        <v>2276</v>
      </c>
      <c r="AA723" s="4" t="s">
        <v>1726</v>
      </c>
      <c r="AB723" s="3"/>
    </row>
    <row r="724" spans="1:28" ht="49.5" customHeight="1">
      <c r="A724" s="6" t="str">
        <f>'Reported burning'!A724</f>
        <v>84al</v>
      </c>
      <c r="B724" s="6" t="str">
        <f>'Reported burning'!B724</f>
        <v>84al.1</v>
      </c>
      <c r="C724" s="6" t="str">
        <f>'Reported burning'!C724</f>
        <v>Human, deliberate</v>
      </c>
      <c r="D724" s="6" t="str">
        <f>'Reported burning'!D724</f>
        <v>Forest clearance</v>
      </c>
      <c r="E724" s="6" t="str">
        <f>'Reported burning'!E724</f>
        <v>Forestry, Small-scale</v>
      </c>
      <c r="F724" s="6" t="str">
        <f>'Reported burning'!F724</f>
        <v>Forest</v>
      </c>
      <c r="G724" s="6">
        <f>'Reported burning'!G724</f>
        <v>0</v>
      </c>
      <c r="H724" s="6" t="str">
        <f>'Reported burning'!H724</f>
        <v>Absence</v>
      </c>
      <c r="I724" s="3"/>
      <c r="J724" s="21" t="s">
        <v>2364</v>
      </c>
      <c r="K724" s="103" t="s">
        <v>2364</v>
      </c>
      <c r="L724" s="21" t="s">
        <v>2364</v>
      </c>
      <c r="M724" s="21" t="s">
        <v>2364</v>
      </c>
      <c r="N724" s="21" t="s">
        <v>2364</v>
      </c>
      <c r="O724" s="21" t="s">
        <v>2364</v>
      </c>
      <c r="P724" s="21" t="s">
        <v>2364</v>
      </c>
      <c r="Q724" s="102" t="s">
        <v>2276</v>
      </c>
      <c r="R724" s="102" t="s">
        <v>2276</v>
      </c>
      <c r="S724" s="21" t="s">
        <v>2364</v>
      </c>
      <c r="T724" s="21" t="s">
        <v>2364</v>
      </c>
      <c r="U724" s="21" t="s">
        <v>2364</v>
      </c>
      <c r="V724" s="21" t="s">
        <v>2364</v>
      </c>
      <c r="W724" s="21" t="s">
        <v>2276</v>
      </c>
      <c r="X724" s="3" t="s">
        <v>2276</v>
      </c>
      <c r="Y724" s="3" t="s">
        <v>2276</v>
      </c>
      <c r="Z724" s="3" t="s">
        <v>2276</v>
      </c>
      <c r="AA724" s="4" t="s">
        <v>1726</v>
      </c>
      <c r="AB724" s="3"/>
    </row>
    <row r="725" spans="1:28" ht="49.5" customHeight="1">
      <c r="A725" s="6" t="str">
        <f>'Reported burning'!A725</f>
        <v>84am</v>
      </c>
      <c r="B725" s="6" t="str">
        <f>'Reported burning'!B725</f>
        <v>84am.1</v>
      </c>
      <c r="C725" s="6" t="str">
        <f>'Reported burning'!C725</f>
        <v>Human, deliberate</v>
      </c>
      <c r="D725" s="6" t="str">
        <f>'Reported burning'!D725</f>
        <v>Forest clearance</v>
      </c>
      <c r="E725" s="6" t="str">
        <f>'Reported burning'!E725</f>
        <v>Forestry, Small-scale</v>
      </c>
      <c r="F725" s="6" t="str">
        <f>'Reported burning'!F725</f>
        <v>Forest</v>
      </c>
      <c r="G725" s="6">
        <f>'Reported burning'!G725</f>
        <v>0</v>
      </c>
      <c r="H725" s="6" t="str">
        <f>'Reported burning'!H725</f>
        <v>Absence</v>
      </c>
      <c r="I725" s="3"/>
      <c r="J725" s="21" t="s">
        <v>2364</v>
      </c>
      <c r="K725" s="103" t="s">
        <v>2364</v>
      </c>
      <c r="L725" s="21" t="s">
        <v>2364</v>
      </c>
      <c r="M725" s="21" t="s">
        <v>2364</v>
      </c>
      <c r="N725" s="21" t="s">
        <v>2364</v>
      </c>
      <c r="O725" s="21" t="s">
        <v>2364</v>
      </c>
      <c r="P725" s="21" t="s">
        <v>2364</v>
      </c>
      <c r="Q725" s="102" t="s">
        <v>2276</v>
      </c>
      <c r="R725" s="102" t="s">
        <v>2276</v>
      </c>
      <c r="S725" s="21" t="s">
        <v>2364</v>
      </c>
      <c r="T725" s="21" t="s">
        <v>2364</v>
      </c>
      <c r="U725" s="21" t="s">
        <v>2364</v>
      </c>
      <c r="V725" s="21" t="s">
        <v>2364</v>
      </c>
      <c r="W725" s="21" t="s">
        <v>2276</v>
      </c>
      <c r="X725" s="3" t="s">
        <v>2276</v>
      </c>
      <c r="Y725" s="3" t="s">
        <v>2276</v>
      </c>
      <c r="Z725" s="3" t="s">
        <v>2276</v>
      </c>
      <c r="AA725" s="4" t="s">
        <v>1726</v>
      </c>
      <c r="AB725" s="3"/>
    </row>
    <row r="726" spans="1:28" ht="49.5" customHeight="1">
      <c r="A726" s="6" t="str">
        <f>'Reported burning'!A726</f>
        <v>84an</v>
      </c>
      <c r="B726" s="6" t="str">
        <f>'Reported burning'!B726</f>
        <v>84an.1</v>
      </c>
      <c r="C726" s="6" t="str">
        <f>'Reported burning'!C726</f>
        <v>Human, deliberate</v>
      </c>
      <c r="D726" s="6" t="str">
        <f>'Reported burning'!D726</f>
        <v>Forest clearance</v>
      </c>
      <c r="E726" s="6" t="str">
        <f>'Reported burning'!E726</f>
        <v>Forestry, Small-scale</v>
      </c>
      <c r="F726" s="6" t="str">
        <f>'Reported burning'!F726</f>
        <v>Forest</v>
      </c>
      <c r="G726" s="6">
        <f>'Reported burning'!G726</f>
        <v>0</v>
      </c>
      <c r="H726" s="6" t="str">
        <f>'Reported burning'!H726</f>
        <v>Absence</v>
      </c>
      <c r="I726" s="3"/>
      <c r="J726" s="21" t="s">
        <v>2364</v>
      </c>
      <c r="K726" s="103" t="s">
        <v>2364</v>
      </c>
      <c r="L726" s="21" t="s">
        <v>2364</v>
      </c>
      <c r="M726" s="21" t="s">
        <v>2364</v>
      </c>
      <c r="N726" s="21" t="s">
        <v>2364</v>
      </c>
      <c r="O726" s="21" t="s">
        <v>2364</v>
      </c>
      <c r="P726" s="21" t="s">
        <v>2364</v>
      </c>
      <c r="Q726" s="102" t="s">
        <v>2276</v>
      </c>
      <c r="R726" s="102" t="s">
        <v>2276</v>
      </c>
      <c r="S726" s="21" t="s">
        <v>2364</v>
      </c>
      <c r="T726" s="21" t="s">
        <v>2364</v>
      </c>
      <c r="U726" s="21" t="s">
        <v>2364</v>
      </c>
      <c r="V726" s="21" t="s">
        <v>2364</v>
      </c>
      <c r="W726" s="21" t="s">
        <v>2276</v>
      </c>
      <c r="X726" s="3" t="s">
        <v>2276</v>
      </c>
      <c r="Y726" s="3" t="s">
        <v>2276</v>
      </c>
      <c r="Z726" s="3" t="s">
        <v>2276</v>
      </c>
      <c r="AA726" s="4" t="s">
        <v>1726</v>
      </c>
      <c r="AB726" s="3"/>
    </row>
    <row r="727" spans="1:28" ht="49.5" customHeight="1">
      <c r="A727" s="6" t="str">
        <f>'Reported burning'!A727</f>
        <v>84ao</v>
      </c>
      <c r="B727" s="6" t="str">
        <f>'Reported burning'!B727</f>
        <v>84ao.1</v>
      </c>
      <c r="C727" s="6" t="str">
        <f>'Reported burning'!C727</f>
        <v>Human, deliberate</v>
      </c>
      <c r="D727" s="6" t="str">
        <f>'Reported burning'!D727</f>
        <v>Forest clearance</v>
      </c>
      <c r="E727" s="6" t="str">
        <f>'Reported burning'!E727</f>
        <v>Forestry, Small-scale</v>
      </c>
      <c r="F727" s="6" t="str">
        <f>'Reported burning'!F727</f>
        <v>Forest</v>
      </c>
      <c r="G727" s="6">
        <f>'Reported burning'!G727</f>
        <v>0</v>
      </c>
      <c r="H727" s="6" t="str">
        <f>'Reported burning'!H727</f>
        <v>Absence</v>
      </c>
      <c r="I727" s="3"/>
      <c r="J727" s="21" t="s">
        <v>2364</v>
      </c>
      <c r="K727" s="103" t="s">
        <v>2364</v>
      </c>
      <c r="L727" s="21" t="s">
        <v>2364</v>
      </c>
      <c r="M727" s="21" t="s">
        <v>2364</v>
      </c>
      <c r="N727" s="21" t="s">
        <v>2364</v>
      </c>
      <c r="O727" s="21" t="s">
        <v>2364</v>
      </c>
      <c r="P727" s="21" t="s">
        <v>2364</v>
      </c>
      <c r="Q727" s="102" t="s">
        <v>2276</v>
      </c>
      <c r="R727" s="102" t="s">
        <v>2276</v>
      </c>
      <c r="S727" s="21" t="s">
        <v>2364</v>
      </c>
      <c r="T727" s="21" t="s">
        <v>2364</v>
      </c>
      <c r="U727" s="21" t="s">
        <v>2364</v>
      </c>
      <c r="V727" s="21" t="s">
        <v>2364</v>
      </c>
      <c r="W727" s="21" t="s">
        <v>2276</v>
      </c>
      <c r="X727" s="3" t="s">
        <v>2276</v>
      </c>
      <c r="Y727" s="3" t="s">
        <v>2276</v>
      </c>
      <c r="Z727" s="3" t="s">
        <v>2276</v>
      </c>
      <c r="AA727" s="4" t="s">
        <v>1726</v>
      </c>
      <c r="AB727" s="3"/>
    </row>
    <row r="728" spans="1:28" ht="49.5" customHeight="1">
      <c r="A728" s="6" t="str">
        <f>'Reported burning'!A728</f>
        <v>84ap</v>
      </c>
      <c r="B728" s="6" t="str">
        <f>'Reported burning'!B728</f>
        <v>84ap.1</v>
      </c>
      <c r="C728" s="6" t="str">
        <f>'Reported burning'!C728</f>
        <v>Human, deliberate</v>
      </c>
      <c r="D728" s="6" t="str">
        <f>'Reported burning'!D728</f>
        <v>Forest clearance</v>
      </c>
      <c r="E728" s="6" t="str">
        <f>'Reported burning'!E728</f>
        <v>Forestry, Small-scale</v>
      </c>
      <c r="F728" s="6" t="str">
        <f>'Reported burning'!F728</f>
        <v>Forest</v>
      </c>
      <c r="G728" s="6">
        <f>'Reported burning'!G728</f>
        <v>0</v>
      </c>
      <c r="H728" s="6" t="str">
        <f>'Reported burning'!H728</f>
        <v>Absence</v>
      </c>
      <c r="I728" s="3"/>
      <c r="J728" s="21" t="s">
        <v>2364</v>
      </c>
      <c r="K728" s="103" t="s">
        <v>2364</v>
      </c>
      <c r="L728" s="21" t="s">
        <v>2364</v>
      </c>
      <c r="M728" s="21" t="s">
        <v>2364</v>
      </c>
      <c r="N728" s="21" t="s">
        <v>2364</v>
      </c>
      <c r="O728" s="21" t="s">
        <v>2364</v>
      </c>
      <c r="P728" s="21" t="s">
        <v>2364</v>
      </c>
      <c r="Q728" s="102" t="s">
        <v>2276</v>
      </c>
      <c r="R728" s="102" t="s">
        <v>2276</v>
      </c>
      <c r="S728" s="21" t="s">
        <v>2364</v>
      </c>
      <c r="T728" s="21" t="s">
        <v>2364</v>
      </c>
      <c r="U728" s="21" t="s">
        <v>2364</v>
      </c>
      <c r="V728" s="21" t="s">
        <v>2364</v>
      </c>
      <c r="W728" s="21" t="s">
        <v>2276</v>
      </c>
      <c r="X728" s="3" t="s">
        <v>2276</v>
      </c>
      <c r="Y728" s="3" t="s">
        <v>2276</v>
      </c>
      <c r="Z728" s="3" t="s">
        <v>2276</v>
      </c>
      <c r="AA728" s="4" t="s">
        <v>1726</v>
      </c>
      <c r="AB728" s="3"/>
    </row>
    <row r="729" spans="1:28" ht="49.5" customHeight="1">
      <c r="A729" s="6" t="str">
        <f>'Reported burning'!A729</f>
        <v>84aq</v>
      </c>
      <c r="B729" s="6" t="str">
        <f>'Reported burning'!B729</f>
        <v>84aq.1</v>
      </c>
      <c r="C729" s="6" t="str">
        <f>'Reported burning'!C729</f>
        <v>Human, deliberate</v>
      </c>
      <c r="D729" s="6" t="str">
        <f>'Reported burning'!D729</f>
        <v>Forest clearance</v>
      </c>
      <c r="E729" s="6" t="str">
        <f>'Reported burning'!E729</f>
        <v>Forestry, Small-scale</v>
      </c>
      <c r="F729" s="6" t="str">
        <f>'Reported burning'!F729</f>
        <v>Forest</v>
      </c>
      <c r="G729" s="6">
        <f>'Reported burning'!G729</f>
        <v>0</v>
      </c>
      <c r="H729" s="6" t="str">
        <f>'Reported burning'!H729</f>
        <v>Absence</v>
      </c>
      <c r="I729" s="3"/>
      <c r="J729" s="21" t="s">
        <v>2364</v>
      </c>
      <c r="K729" s="103" t="s">
        <v>2364</v>
      </c>
      <c r="L729" s="21" t="s">
        <v>2364</v>
      </c>
      <c r="M729" s="21" t="s">
        <v>2364</v>
      </c>
      <c r="N729" s="21" t="s">
        <v>2364</v>
      </c>
      <c r="O729" s="21" t="s">
        <v>2364</v>
      </c>
      <c r="P729" s="21" t="s">
        <v>2364</v>
      </c>
      <c r="Q729" s="102" t="s">
        <v>2276</v>
      </c>
      <c r="R729" s="102" t="s">
        <v>2276</v>
      </c>
      <c r="S729" s="21" t="s">
        <v>2364</v>
      </c>
      <c r="T729" s="21" t="s">
        <v>2364</v>
      </c>
      <c r="U729" s="21" t="s">
        <v>2364</v>
      </c>
      <c r="V729" s="21" t="s">
        <v>2364</v>
      </c>
      <c r="W729" s="21" t="s">
        <v>2276</v>
      </c>
      <c r="X729" s="3" t="s">
        <v>2276</v>
      </c>
      <c r="Y729" s="3" t="s">
        <v>2276</v>
      </c>
      <c r="Z729" s="3" t="s">
        <v>2276</v>
      </c>
      <c r="AA729" s="4" t="s">
        <v>1726</v>
      </c>
      <c r="AB729" s="3"/>
    </row>
    <row r="730" spans="1:28" ht="49.5" customHeight="1">
      <c r="A730" s="6" t="str">
        <f>'Reported burning'!A730</f>
        <v>84ar</v>
      </c>
      <c r="B730" s="6" t="str">
        <f>'Reported burning'!B730</f>
        <v>84ar.1</v>
      </c>
      <c r="C730" s="6" t="str">
        <f>'Reported burning'!C730</f>
        <v>Human, deliberate</v>
      </c>
      <c r="D730" s="6" t="str">
        <f>'Reported burning'!D730</f>
        <v>Forest clearance</v>
      </c>
      <c r="E730" s="6" t="str">
        <f>'Reported burning'!E730</f>
        <v>Forestry, Small-scale</v>
      </c>
      <c r="F730" s="6" t="str">
        <f>'Reported burning'!F730</f>
        <v>Forest</v>
      </c>
      <c r="G730" s="6">
        <f>'Reported burning'!G730</f>
        <v>0</v>
      </c>
      <c r="H730" s="6" t="str">
        <f>'Reported burning'!H730</f>
        <v>Absence</v>
      </c>
      <c r="I730" s="3"/>
      <c r="J730" s="21" t="s">
        <v>2364</v>
      </c>
      <c r="K730" s="103" t="s">
        <v>2364</v>
      </c>
      <c r="L730" s="21" t="s">
        <v>2364</v>
      </c>
      <c r="M730" s="21" t="s">
        <v>2364</v>
      </c>
      <c r="N730" s="21" t="s">
        <v>2364</v>
      </c>
      <c r="O730" s="21" t="s">
        <v>2364</v>
      </c>
      <c r="P730" s="21" t="s">
        <v>2364</v>
      </c>
      <c r="Q730" s="102" t="s">
        <v>2276</v>
      </c>
      <c r="R730" s="102" t="s">
        <v>2276</v>
      </c>
      <c r="S730" s="21" t="s">
        <v>2364</v>
      </c>
      <c r="T730" s="21" t="s">
        <v>2364</v>
      </c>
      <c r="U730" s="21" t="s">
        <v>2364</v>
      </c>
      <c r="V730" s="21" t="s">
        <v>2364</v>
      </c>
      <c r="W730" s="21" t="s">
        <v>2276</v>
      </c>
      <c r="X730" s="3" t="s">
        <v>2276</v>
      </c>
      <c r="Y730" s="3" t="s">
        <v>2276</v>
      </c>
      <c r="Z730" s="3" t="s">
        <v>2276</v>
      </c>
      <c r="AA730" s="4" t="s">
        <v>1726</v>
      </c>
      <c r="AB730" s="3"/>
    </row>
    <row r="731" spans="1:28" ht="49.5" customHeight="1">
      <c r="A731" s="6" t="str">
        <f>'Reported burning'!A731</f>
        <v>84as</v>
      </c>
      <c r="B731" s="6" t="str">
        <f>'Reported burning'!B731</f>
        <v>84as.1</v>
      </c>
      <c r="C731" s="6" t="str">
        <f>'Reported burning'!C731</f>
        <v>Human, deliberate</v>
      </c>
      <c r="D731" s="6" t="str">
        <f>'Reported burning'!D731</f>
        <v>Forest clearance</v>
      </c>
      <c r="E731" s="6" t="str">
        <f>'Reported burning'!E731</f>
        <v>Forestry, Small-scale</v>
      </c>
      <c r="F731" s="6" t="str">
        <f>'Reported burning'!F731</f>
        <v>Forest</v>
      </c>
      <c r="G731" s="6">
        <f>'Reported burning'!G731</f>
        <v>0</v>
      </c>
      <c r="H731" s="6" t="str">
        <f>'Reported burning'!H731</f>
        <v>Absence</v>
      </c>
      <c r="I731" s="3"/>
      <c r="J731" s="21" t="s">
        <v>2364</v>
      </c>
      <c r="K731" s="103" t="s">
        <v>2364</v>
      </c>
      <c r="L731" s="21" t="s">
        <v>2364</v>
      </c>
      <c r="M731" s="21" t="s">
        <v>2364</v>
      </c>
      <c r="N731" s="21" t="s">
        <v>2364</v>
      </c>
      <c r="O731" s="21" t="s">
        <v>2364</v>
      </c>
      <c r="P731" s="21" t="s">
        <v>2364</v>
      </c>
      <c r="Q731" s="102" t="s">
        <v>2276</v>
      </c>
      <c r="R731" s="102" t="s">
        <v>2276</v>
      </c>
      <c r="S731" s="21" t="s">
        <v>2364</v>
      </c>
      <c r="T731" s="21" t="s">
        <v>2364</v>
      </c>
      <c r="U731" s="21" t="s">
        <v>2364</v>
      </c>
      <c r="V731" s="21" t="s">
        <v>2364</v>
      </c>
      <c r="W731" s="21" t="s">
        <v>2276</v>
      </c>
      <c r="X731" s="3" t="s">
        <v>2276</v>
      </c>
      <c r="Y731" s="3" t="s">
        <v>2276</v>
      </c>
      <c r="Z731" s="3" t="s">
        <v>2276</v>
      </c>
      <c r="AA731" s="4" t="s">
        <v>1726</v>
      </c>
      <c r="AB731" s="3"/>
    </row>
    <row r="732" spans="1:28" ht="49.5" customHeight="1">
      <c r="A732" s="6" t="str">
        <f>'Reported burning'!A732</f>
        <v>84at</v>
      </c>
      <c r="B732" s="6" t="str">
        <f>'Reported burning'!B732</f>
        <v>84at.1</v>
      </c>
      <c r="C732" s="6" t="str">
        <f>'Reported burning'!C732</f>
        <v>Human, deliberate</v>
      </c>
      <c r="D732" s="6" t="str">
        <f>'Reported burning'!D732</f>
        <v>Forest clearance</v>
      </c>
      <c r="E732" s="6" t="str">
        <f>'Reported burning'!E732</f>
        <v>Forestry, Small-scale</v>
      </c>
      <c r="F732" s="6" t="str">
        <f>'Reported burning'!F732</f>
        <v>Forest</v>
      </c>
      <c r="G732" s="6">
        <f>'Reported burning'!G732</f>
        <v>0</v>
      </c>
      <c r="H732" s="6" t="str">
        <f>'Reported burning'!H732</f>
        <v>Absence</v>
      </c>
      <c r="I732" s="3"/>
      <c r="J732" s="21" t="s">
        <v>2364</v>
      </c>
      <c r="K732" s="103" t="s">
        <v>2364</v>
      </c>
      <c r="L732" s="21" t="s">
        <v>2364</v>
      </c>
      <c r="M732" s="21" t="s">
        <v>2364</v>
      </c>
      <c r="N732" s="21" t="s">
        <v>2364</v>
      </c>
      <c r="O732" s="21" t="s">
        <v>2364</v>
      </c>
      <c r="P732" s="21" t="s">
        <v>2364</v>
      </c>
      <c r="Q732" s="102" t="s">
        <v>2276</v>
      </c>
      <c r="R732" s="102" t="s">
        <v>2276</v>
      </c>
      <c r="S732" s="21" t="s">
        <v>2364</v>
      </c>
      <c r="T732" s="21" t="s">
        <v>2364</v>
      </c>
      <c r="U732" s="21" t="s">
        <v>2364</v>
      </c>
      <c r="V732" s="21" t="s">
        <v>2364</v>
      </c>
      <c r="W732" s="21" t="s">
        <v>2276</v>
      </c>
      <c r="X732" s="3" t="s">
        <v>2276</v>
      </c>
      <c r="Y732" s="3" t="s">
        <v>2276</v>
      </c>
      <c r="Z732" s="3" t="s">
        <v>2276</v>
      </c>
      <c r="AA732" s="4" t="s">
        <v>1726</v>
      </c>
      <c r="AB732" s="3"/>
    </row>
    <row r="733" spans="1:28" ht="49.5" customHeight="1">
      <c r="A733" s="6" t="str">
        <f>'Reported burning'!A733</f>
        <v>84au</v>
      </c>
      <c r="B733" s="6" t="str">
        <f>'Reported burning'!B733</f>
        <v>84au.1</v>
      </c>
      <c r="C733" s="6" t="str">
        <f>'Reported burning'!C733</f>
        <v>Human, deliberate</v>
      </c>
      <c r="D733" s="6" t="str">
        <f>'Reported burning'!D733</f>
        <v>Forest clearance</v>
      </c>
      <c r="E733" s="6" t="str">
        <f>'Reported burning'!E733</f>
        <v>Forestry, Small-scale</v>
      </c>
      <c r="F733" s="6" t="str">
        <f>'Reported burning'!F733</f>
        <v>Forest</v>
      </c>
      <c r="G733" s="6">
        <f>'Reported burning'!G733</f>
        <v>0</v>
      </c>
      <c r="H733" s="6" t="str">
        <f>'Reported burning'!H733</f>
        <v>Absence</v>
      </c>
      <c r="I733" s="3"/>
      <c r="J733" s="21" t="s">
        <v>2364</v>
      </c>
      <c r="K733" s="103" t="s">
        <v>2364</v>
      </c>
      <c r="L733" s="21" t="s">
        <v>2364</v>
      </c>
      <c r="M733" s="21" t="s">
        <v>2364</v>
      </c>
      <c r="N733" s="21" t="s">
        <v>2364</v>
      </c>
      <c r="O733" s="21" t="s">
        <v>2364</v>
      </c>
      <c r="P733" s="21" t="s">
        <v>2364</v>
      </c>
      <c r="Q733" s="102" t="s">
        <v>2276</v>
      </c>
      <c r="R733" s="102" t="s">
        <v>2276</v>
      </c>
      <c r="S733" s="21" t="s">
        <v>2364</v>
      </c>
      <c r="T733" s="21" t="s">
        <v>2364</v>
      </c>
      <c r="U733" s="21" t="s">
        <v>2364</v>
      </c>
      <c r="V733" s="21" t="s">
        <v>2364</v>
      </c>
      <c r="W733" s="21" t="s">
        <v>2276</v>
      </c>
      <c r="X733" s="3" t="s">
        <v>2276</v>
      </c>
      <c r="Y733" s="3" t="s">
        <v>2276</v>
      </c>
      <c r="Z733" s="3" t="s">
        <v>2276</v>
      </c>
      <c r="AA733" s="4" t="s">
        <v>1726</v>
      </c>
      <c r="AB733" s="3"/>
    </row>
    <row r="734" spans="1:28" ht="49.5" customHeight="1">
      <c r="A734" s="6" t="str">
        <f>'Reported burning'!A734</f>
        <v>84av</v>
      </c>
      <c r="B734" s="6" t="str">
        <f>'Reported burning'!B734</f>
        <v>84av.1</v>
      </c>
      <c r="C734" s="6" t="str">
        <f>'Reported burning'!C734</f>
        <v>Human, deliberate</v>
      </c>
      <c r="D734" s="6" t="str">
        <f>'Reported burning'!D734</f>
        <v>Forest clearance</v>
      </c>
      <c r="E734" s="6" t="str">
        <f>'Reported burning'!E734</f>
        <v>Forestry, Small-scale</v>
      </c>
      <c r="F734" s="6" t="str">
        <f>'Reported burning'!F734</f>
        <v>Forest</v>
      </c>
      <c r="G734" s="6">
        <f>'Reported burning'!G734</f>
        <v>0</v>
      </c>
      <c r="H734" s="6" t="str">
        <f>'Reported burning'!H734</f>
        <v>Absence</v>
      </c>
      <c r="I734" s="3"/>
      <c r="J734" s="21" t="s">
        <v>2364</v>
      </c>
      <c r="K734" s="103" t="s">
        <v>2364</v>
      </c>
      <c r="L734" s="21" t="s">
        <v>2364</v>
      </c>
      <c r="M734" s="21" t="s">
        <v>2364</v>
      </c>
      <c r="N734" s="21" t="s">
        <v>2364</v>
      </c>
      <c r="O734" s="21" t="s">
        <v>2364</v>
      </c>
      <c r="P734" s="21" t="s">
        <v>2364</v>
      </c>
      <c r="Q734" s="102" t="s">
        <v>2276</v>
      </c>
      <c r="R734" s="102" t="s">
        <v>2276</v>
      </c>
      <c r="S734" s="21" t="s">
        <v>2364</v>
      </c>
      <c r="T734" s="21" t="s">
        <v>2364</v>
      </c>
      <c r="U734" s="21" t="s">
        <v>2364</v>
      </c>
      <c r="V734" s="21" t="s">
        <v>2364</v>
      </c>
      <c r="W734" s="21" t="s">
        <v>2276</v>
      </c>
      <c r="X734" s="3" t="s">
        <v>2276</v>
      </c>
      <c r="Y734" s="3" t="s">
        <v>2276</v>
      </c>
      <c r="Z734" s="3" t="s">
        <v>2276</v>
      </c>
      <c r="AA734" s="4" t="s">
        <v>1726</v>
      </c>
      <c r="AB734" s="3"/>
    </row>
    <row r="735" spans="1:28" ht="49.5" customHeight="1">
      <c r="A735" s="6" t="str">
        <f>'Reported burning'!A735</f>
        <v>84aw</v>
      </c>
      <c r="B735" s="6" t="str">
        <f>'Reported burning'!B735</f>
        <v>84aw.1</v>
      </c>
      <c r="C735" s="6" t="str">
        <f>'Reported burning'!C735</f>
        <v>Human, deliberate</v>
      </c>
      <c r="D735" s="6" t="str">
        <f>'Reported burning'!D735</f>
        <v>Forest clearance</v>
      </c>
      <c r="E735" s="6" t="str">
        <f>'Reported burning'!E735</f>
        <v>Forestry, Small-scale</v>
      </c>
      <c r="F735" s="6" t="str">
        <f>'Reported burning'!F735</f>
        <v>Forest</v>
      </c>
      <c r="G735" s="6">
        <f>'Reported burning'!G735</f>
        <v>0</v>
      </c>
      <c r="H735" s="6" t="str">
        <f>'Reported burning'!H735</f>
        <v>Absence</v>
      </c>
      <c r="I735" s="3"/>
      <c r="J735" s="21" t="s">
        <v>2364</v>
      </c>
      <c r="K735" s="103" t="s">
        <v>2364</v>
      </c>
      <c r="L735" s="21" t="s">
        <v>2364</v>
      </c>
      <c r="M735" s="21" t="s">
        <v>2364</v>
      </c>
      <c r="N735" s="21" t="s">
        <v>2364</v>
      </c>
      <c r="O735" s="21" t="s">
        <v>2364</v>
      </c>
      <c r="P735" s="21" t="s">
        <v>2364</v>
      </c>
      <c r="Q735" s="102" t="s">
        <v>2276</v>
      </c>
      <c r="R735" s="102" t="s">
        <v>2276</v>
      </c>
      <c r="S735" s="21" t="s">
        <v>2364</v>
      </c>
      <c r="T735" s="21" t="s">
        <v>2364</v>
      </c>
      <c r="U735" s="21" t="s">
        <v>2364</v>
      </c>
      <c r="V735" s="21" t="s">
        <v>2364</v>
      </c>
      <c r="W735" s="21" t="s">
        <v>2276</v>
      </c>
      <c r="X735" s="3" t="s">
        <v>2276</v>
      </c>
      <c r="Y735" s="3" t="s">
        <v>2276</v>
      </c>
      <c r="Z735" s="3" t="s">
        <v>2276</v>
      </c>
      <c r="AA735" s="4" t="s">
        <v>1726</v>
      </c>
      <c r="AB735" s="3"/>
    </row>
    <row r="736" spans="1:28" ht="49.5" customHeight="1">
      <c r="A736" s="6" t="str">
        <f>'Reported burning'!A736</f>
        <v>84ax</v>
      </c>
      <c r="B736" s="6" t="str">
        <f>'Reported burning'!B736</f>
        <v>84ax.1</v>
      </c>
      <c r="C736" s="6" t="str">
        <f>'Reported burning'!C736</f>
        <v>Human, deliberate</v>
      </c>
      <c r="D736" s="6" t="str">
        <f>'Reported burning'!D736</f>
        <v>Forest clearance</v>
      </c>
      <c r="E736" s="6" t="str">
        <f>'Reported burning'!E736</f>
        <v>Forestry, Small-scale</v>
      </c>
      <c r="F736" s="6" t="str">
        <f>'Reported burning'!F736</f>
        <v>Forest</v>
      </c>
      <c r="G736" s="6">
        <f>'Reported burning'!G736</f>
        <v>0</v>
      </c>
      <c r="H736" s="6" t="str">
        <f>'Reported burning'!H736</f>
        <v>Absence</v>
      </c>
      <c r="I736" s="3"/>
      <c r="J736" s="21" t="s">
        <v>2364</v>
      </c>
      <c r="K736" s="103" t="s">
        <v>2364</v>
      </c>
      <c r="L736" s="21" t="s">
        <v>2364</v>
      </c>
      <c r="M736" s="21" t="s">
        <v>2364</v>
      </c>
      <c r="N736" s="21" t="s">
        <v>2364</v>
      </c>
      <c r="O736" s="21" t="s">
        <v>2364</v>
      </c>
      <c r="P736" s="21" t="s">
        <v>2364</v>
      </c>
      <c r="Q736" s="102" t="s">
        <v>2276</v>
      </c>
      <c r="R736" s="102" t="s">
        <v>2276</v>
      </c>
      <c r="S736" s="21" t="s">
        <v>2364</v>
      </c>
      <c r="T736" s="21" t="s">
        <v>2364</v>
      </c>
      <c r="U736" s="21" t="s">
        <v>2364</v>
      </c>
      <c r="V736" s="21" t="s">
        <v>2364</v>
      </c>
      <c r="W736" s="21" t="s">
        <v>2276</v>
      </c>
      <c r="X736" s="3" t="s">
        <v>2276</v>
      </c>
      <c r="Y736" s="3" t="s">
        <v>2276</v>
      </c>
      <c r="Z736" s="3" t="s">
        <v>2276</v>
      </c>
      <c r="AA736" s="4" t="s">
        <v>1726</v>
      </c>
      <c r="AB736" s="3"/>
    </row>
    <row r="737" spans="1:28" ht="49.5" customHeight="1">
      <c r="A737" s="6" t="str">
        <f>'Reported burning'!A737</f>
        <v>84ay</v>
      </c>
      <c r="B737" s="6" t="str">
        <f>'Reported burning'!B737</f>
        <v>84ay.1</v>
      </c>
      <c r="C737" s="6" t="str">
        <f>'Reported burning'!C737</f>
        <v>Human, deliberate</v>
      </c>
      <c r="D737" s="6" t="str">
        <f>'Reported burning'!D737</f>
        <v>Forest clearance</v>
      </c>
      <c r="E737" s="6" t="str">
        <f>'Reported burning'!E737</f>
        <v>Forestry, Small-scale</v>
      </c>
      <c r="F737" s="6" t="str">
        <f>'Reported burning'!F737</f>
        <v>Forest</v>
      </c>
      <c r="G737" s="6">
        <f>'Reported burning'!G737</f>
        <v>0</v>
      </c>
      <c r="H737" s="6" t="str">
        <f>'Reported burning'!H737</f>
        <v>Absence</v>
      </c>
      <c r="I737" s="3"/>
      <c r="J737" s="21" t="s">
        <v>2364</v>
      </c>
      <c r="K737" s="103" t="s">
        <v>2364</v>
      </c>
      <c r="L737" s="21" t="s">
        <v>2364</v>
      </c>
      <c r="M737" s="21" t="s">
        <v>2364</v>
      </c>
      <c r="N737" s="21" t="s">
        <v>2364</v>
      </c>
      <c r="O737" s="21" t="s">
        <v>2364</v>
      </c>
      <c r="P737" s="21" t="s">
        <v>2364</v>
      </c>
      <c r="Q737" s="102" t="s">
        <v>2276</v>
      </c>
      <c r="R737" s="102" t="s">
        <v>2276</v>
      </c>
      <c r="S737" s="21" t="s">
        <v>2364</v>
      </c>
      <c r="T737" s="21" t="s">
        <v>2364</v>
      </c>
      <c r="U737" s="21" t="s">
        <v>2364</v>
      </c>
      <c r="V737" s="21" t="s">
        <v>2364</v>
      </c>
      <c r="W737" s="21" t="s">
        <v>2276</v>
      </c>
      <c r="X737" s="3" t="s">
        <v>2276</v>
      </c>
      <c r="Y737" s="3" t="s">
        <v>2276</v>
      </c>
      <c r="Z737" s="3" t="s">
        <v>2276</v>
      </c>
      <c r="AA737" s="4" t="s">
        <v>1726</v>
      </c>
      <c r="AB737" s="3"/>
    </row>
    <row r="738" spans="1:28" ht="49.5" customHeight="1">
      <c r="A738" s="6" t="str">
        <f>'Reported burning'!A738</f>
        <v>84az</v>
      </c>
      <c r="B738" s="6" t="str">
        <f>'Reported burning'!B738</f>
        <v>84az.1</v>
      </c>
      <c r="C738" s="6" t="str">
        <f>'Reported burning'!C738</f>
        <v>Human, deliberate</v>
      </c>
      <c r="D738" s="6" t="str">
        <f>'Reported burning'!D738</f>
        <v>Forest clearance</v>
      </c>
      <c r="E738" s="6" t="str">
        <f>'Reported burning'!E738</f>
        <v>Forestry, Small-scale</v>
      </c>
      <c r="F738" s="6" t="str">
        <f>'Reported burning'!F738</f>
        <v>Forest</v>
      </c>
      <c r="G738" s="6">
        <f>'Reported burning'!G738</f>
        <v>0</v>
      </c>
      <c r="H738" s="6" t="str">
        <f>'Reported burning'!H738</f>
        <v>Absence</v>
      </c>
      <c r="I738" s="3"/>
      <c r="J738" s="21" t="s">
        <v>2364</v>
      </c>
      <c r="K738" s="103" t="s">
        <v>2364</v>
      </c>
      <c r="L738" s="21" t="s">
        <v>2364</v>
      </c>
      <c r="M738" s="21" t="s">
        <v>2364</v>
      </c>
      <c r="N738" s="21" t="s">
        <v>2364</v>
      </c>
      <c r="O738" s="21" t="s">
        <v>2364</v>
      </c>
      <c r="P738" s="21" t="s">
        <v>2364</v>
      </c>
      <c r="Q738" s="102" t="s">
        <v>2276</v>
      </c>
      <c r="R738" s="102" t="s">
        <v>2276</v>
      </c>
      <c r="S738" s="21" t="s">
        <v>2364</v>
      </c>
      <c r="T738" s="21" t="s">
        <v>2364</v>
      </c>
      <c r="U738" s="21" t="s">
        <v>2364</v>
      </c>
      <c r="V738" s="21" t="s">
        <v>2364</v>
      </c>
      <c r="W738" s="21" t="s">
        <v>2276</v>
      </c>
      <c r="X738" s="3" t="s">
        <v>2276</v>
      </c>
      <c r="Y738" s="3" t="s">
        <v>2276</v>
      </c>
      <c r="Z738" s="3" t="s">
        <v>2276</v>
      </c>
      <c r="AA738" s="4" t="s">
        <v>1726</v>
      </c>
      <c r="AB738" s="3"/>
    </row>
    <row r="739" spans="1:28" ht="49.5" customHeight="1">
      <c r="A739" s="6" t="str">
        <f>'Reported burning'!A739</f>
        <v>84ba</v>
      </c>
      <c r="B739" s="6" t="str">
        <f>'Reported burning'!B739</f>
        <v>84ba.1</v>
      </c>
      <c r="C739" s="6" t="str">
        <f>'Reported burning'!C739</f>
        <v>Human, deliberate</v>
      </c>
      <c r="D739" s="6" t="str">
        <f>'Reported burning'!D739</f>
        <v>Forest clearance</v>
      </c>
      <c r="E739" s="6" t="str">
        <f>'Reported burning'!E739</f>
        <v>Forestry, Small-scale</v>
      </c>
      <c r="F739" s="6" t="str">
        <f>'Reported burning'!F739</f>
        <v>Forest</v>
      </c>
      <c r="G739" s="6">
        <f>'Reported burning'!G739</f>
        <v>0</v>
      </c>
      <c r="H739" s="6" t="str">
        <f>'Reported burning'!H739</f>
        <v>Absence</v>
      </c>
      <c r="I739" s="3"/>
      <c r="J739" s="21" t="s">
        <v>2364</v>
      </c>
      <c r="K739" s="103" t="s">
        <v>2364</v>
      </c>
      <c r="L739" s="21" t="s">
        <v>2364</v>
      </c>
      <c r="M739" s="21" t="s">
        <v>2364</v>
      </c>
      <c r="N739" s="21" t="s">
        <v>2364</v>
      </c>
      <c r="O739" s="21" t="s">
        <v>2364</v>
      </c>
      <c r="P739" s="21" t="s">
        <v>2364</v>
      </c>
      <c r="Q739" s="102" t="s">
        <v>2276</v>
      </c>
      <c r="R739" s="102" t="s">
        <v>2276</v>
      </c>
      <c r="S739" s="21" t="s">
        <v>2364</v>
      </c>
      <c r="T739" s="21" t="s">
        <v>2364</v>
      </c>
      <c r="U739" s="21" t="s">
        <v>2364</v>
      </c>
      <c r="V739" s="21" t="s">
        <v>2364</v>
      </c>
      <c r="W739" s="21" t="s">
        <v>2276</v>
      </c>
      <c r="X739" s="3" t="s">
        <v>2276</v>
      </c>
      <c r="Y739" s="3" t="s">
        <v>2276</v>
      </c>
      <c r="Z739" s="3" t="s">
        <v>2276</v>
      </c>
      <c r="AA739" s="4" t="s">
        <v>1726</v>
      </c>
      <c r="AB739" s="3"/>
    </row>
    <row r="740" spans="1:28" ht="49.5" customHeight="1">
      <c r="A740" s="6" t="str">
        <f>'Reported burning'!A740</f>
        <v>84bb</v>
      </c>
      <c r="B740" s="6" t="str">
        <f>'Reported burning'!B740</f>
        <v>84bb.1</v>
      </c>
      <c r="C740" s="6" t="str">
        <f>'Reported burning'!C740</f>
        <v>Human, deliberate</v>
      </c>
      <c r="D740" s="6" t="str">
        <f>'Reported burning'!D740</f>
        <v>Forest clearance</v>
      </c>
      <c r="E740" s="6" t="str">
        <f>'Reported burning'!E740</f>
        <v>Forestry, Small-scale</v>
      </c>
      <c r="F740" s="6" t="str">
        <f>'Reported burning'!F740</f>
        <v>Forest</v>
      </c>
      <c r="G740" s="6">
        <f>'Reported burning'!G740</f>
        <v>0</v>
      </c>
      <c r="H740" s="6" t="str">
        <f>'Reported burning'!H740</f>
        <v>Absence</v>
      </c>
      <c r="I740" s="3"/>
      <c r="J740" s="21" t="s">
        <v>2364</v>
      </c>
      <c r="K740" s="103" t="s">
        <v>2364</v>
      </c>
      <c r="L740" s="21" t="s">
        <v>2364</v>
      </c>
      <c r="M740" s="21" t="s">
        <v>2364</v>
      </c>
      <c r="N740" s="21" t="s">
        <v>2364</v>
      </c>
      <c r="O740" s="21" t="s">
        <v>2364</v>
      </c>
      <c r="P740" s="21" t="s">
        <v>2364</v>
      </c>
      <c r="Q740" s="102" t="s">
        <v>2276</v>
      </c>
      <c r="R740" s="102" t="s">
        <v>2276</v>
      </c>
      <c r="S740" s="21" t="s">
        <v>2364</v>
      </c>
      <c r="T740" s="21" t="s">
        <v>2364</v>
      </c>
      <c r="U740" s="21" t="s">
        <v>2364</v>
      </c>
      <c r="V740" s="21" t="s">
        <v>2364</v>
      </c>
      <c r="W740" s="21" t="s">
        <v>2276</v>
      </c>
      <c r="X740" s="3" t="s">
        <v>2276</v>
      </c>
      <c r="Y740" s="3" t="s">
        <v>2276</v>
      </c>
      <c r="Z740" s="3" t="s">
        <v>2276</v>
      </c>
      <c r="AA740" s="4" t="s">
        <v>1726</v>
      </c>
      <c r="AB740" s="3"/>
    </row>
    <row r="741" spans="1:28" ht="49.5" customHeight="1">
      <c r="A741" s="6" t="str">
        <f>'Reported burning'!A741</f>
        <v>84bc</v>
      </c>
      <c r="B741" s="6" t="str">
        <f>'Reported burning'!B741</f>
        <v>84bc.1</v>
      </c>
      <c r="C741" s="6" t="str">
        <f>'Reported burning'!C741</f>
        <v>Human, deliberate</v>
      </c>
      <c r="D741" s="6" t="str">
        <f>'Reported burning'!D741</f>
        <v>Forest clearance</v>
      </c>
      <c r="E741" s="6" t="str">
        <f>'Reported burning'!E741</f>
        <v>Forestry, Small-scale</v>
      </c>
      <c r="F741" s="6" t="str">
        <f>'Reported burning'!F741</f>
        <v>Forest</v>
      </c>
      <c r="G741" s="6">
        <f>'Reported burning'!G741</f>
        <v>0</v>
      </c>
      <c r="H741" s="6" t="str">
        <f>'Reported burning'!H741</f>
        <v>Absence</v>
      </c>
      <c r="I741" s="3"/>
      <c r="J741" s="21" t="s">
        <v>2364</v>
      </c>
      <c r="K741" s="103" t="s">
        <v>2364</v>
      </c>
      <c r="L741" s="21" t="s">
        <v>2364</v>
      </c>
      <c r="M741" s="21" t="s">
        <v>2364</v>
      </c>
      <c r="N741" s="21" t="s">
        <v>2364</v>
      </c>
      <c r="O741" s="21" t="s">
        <v>2364</v>
      </c>
      <c r="P741" s="21" t="s">
        <v>2364</v>
      </c>
      <c r="Q741" s="102" t="s">
        <v>2276</v>
      </c>
      <c r="R741" s="102" t="s">
        <v>2276</v>
      </c>
      <c r="S741" s="21" t="s">
        <v>2364</v>
      </c>
      <c r="T741" s="21" t="s">
        <v>2364</v>
      </c>
      <c r="U741" s="21" t="s">
        <v>2364</v>
      </c>
      <c r="V741" s="21" t="s">
        <v>2364</v>
      </c>
      <c r="W741" s="21" t="s">
        <v>2276</v>
      </c>
      <c r="X741" s="3" t="s">
        <v>2276</v>
      </c>
      <c r="Y741" s="3" t="s">
        <v>2276</v>
      </c>
      <c r="Z741" s="3" t="s">
        <v>2276</v>
      </c>
      <c r="AA741" s="4" t="s">
        <v>1726</v>
      </c>
      <c r="AB741" s="3"/>
    </row>
    <row r="742" spans="1:28" ht="49.5" customHeight="1">
      <c r="A742" s="6" t="str">
        <f>'Reported burning'!A742</f>
        <v>84bd</v>
      </c>
      <c r="B742" s="6" t="str">
        <f>'Reported burning'!B742</f>
        <v>84bd.1</v>
      </c>
      <c r="C742" s="6" t="str">
        <f>'Reported burning'!C742</f>
        <v>Human, deliberate</v>
      </c>
      <c r="D742" s="6" t="str">
        <f>'Reported burning'!D742</f>
        <v>Forest clearance</v>
      </c>
      <c r="E742" s="6" t="str">
        <f>'Reported burning'!E742</f>
        <v>Forestry, Small-scale</v>
      </c>
      <c r="F742" s="6" t="str">
        <f>'Reported burning'!F742</f>
        <v>Forest</v>
      </c>
      <c r="G742" s="6">
        <f>'Reported burning'!G742</f>
        <v>0</v>
      </c>
      <c r="H742" s="6" t="str">
        <f>'Reported burning'!H742</f>
        <v>Absence</v>
      </c>
      <c r="I742" s="3"/>
      <c r="J742" s="21" t="s">
        <v>2364</v>
      </c>
      <c r="K742" s="103" t="s">
        <v>2364</v>
      </c>
      <c r="L742" s="21" t="s">
        <v>2364</v>
      </c>
      <c r="M742" s="21" t="s">
        <v>2364</v>
      </c>
      <c r="N742" s="21" t="s">
        <v>2364</v>
      </c>
      <c r="O742" s="21" t="s">
        <v>2364</v>
      </c>
      <c r="P742" s="21" t="s">
        <v>2364</v>
      </c>
      <c r="Q742" s="102" t="s">
        <v>2276</v>
      </c>
      <c r="R742" s="102" t="s">
        <v>2276</v>
      </c>
      <c r="S742" s="21" t="s">
        <v>2364</v>
      </c>
      <c r="T742" s="21" t="s">
        <v>2364</v>
      </c>
      <c r="U742" s="21" t="s">
        <v>2364</v>
      </c>
      <c r="V742" s="21" t="s">
        <v>2364</v>
      </c>
      <c r="W742" s="21" t="s">
        <v>2276</v>
      </c>
      <c r="X742" s="3" t="s">
        <v>2276</v>
      </c>
      <c r="Y742" s="3" t="s">
        <v>2276</v>
      </c>
      <c r="Z742" s="3" t="s">
        <v>2276</v>
      </c>
      <c r="AA742" s="4" t="s">
        <v>1726</v>
      </c>
      <c r="AB742" s="3"/>
    </row>
    <row r="743" spans="1:28" ht="49.5" customHeight="1">
      <c r="A743" s="6" t="str">
        <f>'Reported burning'!A743</f>
        <v>84be</v>
      </c>
      <c r="B743" s="6" t="str">
        <f>'Reported burning'!B743</f>
        <v>84be.1</v>
      </c>
      <c r="C743" s="6" t="str">
        <f>'Reported burning'!C743</f>
        <v>Human, deliberate</v>
      </c>
      <c r="D743" s="6" t="str">
        <f>'Reported burning'!D743</f>
        <v>Forest clearance</v>
      </c>
      <c r="E743" s="6" t="str">
        <f>'Reported burning'!E743</f>
        <v>Forestry, Small-scale</v>
      </c>
      <c r="F743" s="6" t="str">
        <f>'Reported burning'!F743</f>
        <v>Forest</v>
      </c>
      <c r="G743" s="6">
        <f>'Reported burning'!G743</f>
        <v>0</v>
      </c>
      <c r="H743" s="6" t="str">
        <f>'Reported burning'!H743</f>
        <v>Absence</v>
      </c>
      <c r="I743" s="3"/>
      <c r="J743" s="21" t="s">
        <v>2364</v>
      </c>
      <c r="K743" s="103" t="s">
        <v>2364</v>
      </c>
      <c r="L743" s="21" t="s">
        <v>2364</v>
      </c>
      <c r="M743" s="21" t="s">
        <v>2364</v>
      </c>
      <c r="N743" s="21" t="s">
        <v>2364</v>
      </c>
      <c r="O743" s="21" t="s">
        <v>2364</v>
      </c>
      <c r="P743" s="21" t="s">
        <v>2364</v>
      </c>
      <c r="Q743" s="102" t="s">
        <v>2276</v>
      </c>
      <c r="R743" s="102" t="s">
        <v>2276</v>
      </c>
      <c r="S743" s="21" t="s">
        <v>2364</v>
      </c>
      <c r="T743" s="21" t="s">
        <v>2364</v>
      </c>
      <c r="U743" s="21" t="s">
        <v>2364</v>
      </c>
      <c r="V743" s="21" t="s">
        <v>2364</v>
      </c>
      <c r="W743" s="21" t="s">
        <v>2276</v>
      </c>
      <c r="X743" s="3" t="s">
        <v>2276</v>
      </c>
      <c r="Y743" s="3" t="s">
        <v>2276</v>
      </c>
      <c r="Z743" s="3" t="s">
        <v>2276</v>
      </c>
      <c r="AA743" s="4" t="s">
        <v>1726</v>
      </c>
      <c r="AB743" s="3"/>
    </row>
    <row r="744" spans="1:28" ht="49.5" customHeight="1">
      <c r="A744" s="6" t="str">
        <f>'Reported burning'!A744</f>
        <v>84bf</v>
      </c>
      <c r="B744" s="6" t="str">
        <f>'Reported burning'!B744</f>
        <v>84bf.1</v>
      </c>
      <c r="C744" s="6" t="str">
        <f>'Reported burning'!C744</f>
        <v>Human, deliberate</v>
      </c>
      <c r="D744" s="6" t="str">
        <f>'Reported burning'!D744</f>
        <v>Forest clearance</v>
      </c>
      <c r="E744" s="6" t="str">
        <f>'Reported burning'!E744</f>
        <v>Forestry, Small-scale</v>
      </c>
      <c r="F744" s="6" t="str">
        <f>'Reported burning'!F744</f>
        <v>Forest</v>
      </c>
      <c r="G744" s="6">
        <f>'Reported burning'!G744</f>
        <v>0</v>
      </c>
      <c r="H744" s="6" t="str">
        <f>'Reported burning'!H744</f>
        <v>Absence</v>
      </c>
      <c r="I744" s="3"/>
      <c r="J744" s="21" t="s">
        <v>2364</v>
      </c>
      <c r="K744" s="103" t="s">
        <v>2364</v>
      </c>
      <c r="L744" s="21" t="s">
        <v>2364</v>
      </c>
      <c r="M744" s="21" t="s">
        <v>2364</v>
      </c>
      <c r="N744" s="21" t="s">
        <v>2364</v>
      </c>
      <c r="O744" s="21" t="s">
        <v>2364</v>
      </c>
      <c r="P744" s="21" t="s">
        <v>2364</v>
      </c>
      <c r="Q744" s="102" t="s">
        <v>2276</v>
      </c>
      <c r="R744" s="102" t="s">
        <v>2276</v>
      </c>
      <c r="S744" s="21" t="s">
        <v>2364</v>
      </c>
      <c r="T744" s="21" t="s">
        <v>2364</v>
      </c>
      <c r="U744" s="21" t="s">
        <v>2364</v>
      </c>
      <c r="V744" s="21" t="s">
        <v>2364</v>
      </c>
      <c r="W744" s="21" t="s">
        <v>2276</v>
      </c>
      <c r="X744" s="3" t="s">
        <v>2276</v>
      </c>
      <c r="Y744" s="3" t="s">
        <v>2276</v>
      </c>
      <c r="Z744" s="3" t="s">
        <v>2276</v>
      </c>
      <c r="AA744" s="4" t="s">
        <v>1726</v>
      </c>
      <c r="AB744" s="3"/>
    </row>
    <row r="745" spans="1:28" ht="49.5" customHeight="1">
      <c r="A745" s="6" t="str">
        <f>'Reported burning'!A745</f>
        <v>84bg</v>
      </c>
      <c r="B745" s="6" t="str">
        <f>'Reported burning'!B745</f>
        <v>84bg.1</v>
      </c>
      <c r="C745" s="6" t="str">
        <f>'Reported burning'!C745</f>
        <v>Human, deliberate</v>
      </c>
      <c r="D745" s="6" t="str">
        <f>'Reported burning'!D745</f>
        <v>Forest clearance</v>
      </c>
      <c r="E745" s="6" t="str">
        <f>'Reported burning'!E745</f>
        <v>Forestry, Small-scale</v>
      </c>
      <c r="F745" s="6" t="str">
        <f>'Reported burning'!F745</f>
        <v>Forest</v>
      </c>
      <c r="G745" s="6">
        <f>'Reported burning'!G745</f>
        <v>0</v>
      </c>
      <c r="H745" s="6" t="str">
        <f>'Reported burning'!H745</f>
        <v>Absence</v>
      </c>
      <c r="I745" s="3"/>
      <c r="J745" s="21" t="s">
        <v>2364</v>
      </c>
      <c r="K745" s="103" t="s">
        <v>2364</v>
      </c>
      <c r="L745" s="21" t="s">
        <v>2364</v>
      </c>
      <c r="M745" s="21" t="s">
        <v>2364</v>
      </c>
      <c r="N745" s="21" t="s">
        <v>2364</v>
      </c>
      <c r="O745" s="21" t="s">
        <v>2364</v>
      </c>
      <c r="P745" s="21" t="s">
        <v>2364</v>
      </c>
      <c r="Q745" s="102" t="s">
        <v>2276</v>
      </c>
      <c r="R745" s="102" t="s">
        <v>2276</v>
      </c>
      <c r="S745" s="21" t="s">
        <v>2364</v>
      </c>
      <c r="T745" s="21" t="s">
        <v>2364</v>
      </c>
      <c r="U745" s="21" t="s">
        <v>2364</v>
      </c>
      <c r="V745" s="21" t="s">
        <v>2364</v>
      </c>
      <c r="W745" s="21" t="s">
        <v>2276</v>
      </c>
      <c r="X745" s="3" t="s">
        <v>2276</v>
      </c>
      <c r="Y745" s="3" t="s">
        <v>2276</v>
      </c>
      <c r="Z745" s="3" t="s">
        <v>2276</v>
      </c>
      <c r="AA745" s="4" t="s">
        <v>1726</v>
      </c>
      <c r="AB745" s="3"/>
    </row>
    <row r="746" spans="1:28" ht="49.5" customHeight="1">
      <c r="A746" s="6" t="str">
        <f>'Reported burning'!A746</f>
        <v>84bh</v>
      </c>
      <c r="B746" s="6" t="str">
        <f>'Reported burning'!B746</f>
        <v>84bh.1</v>
      </c>
      <c r="C746" s="6" t="str">
        <f>'Reported burning'!C746</f>
        <v>Human, deliberate</v>
      </c>
      <c r="D746" s="6" t="str">
        <f>'Reported burning'!D746</f>
        <v>Forest clearance</v>
      </c>
      <c r="E746" s="6" t="str">
        <f>'Reported burning'!E746</f>
        <v>Forestry, Small-scale</v>
      </c>
      <c r="F746" s="6" t="str">
        <f>'Reported burning'!F746</f>
        <v>Forest</v>
      </c>
      <c r="G746" s="6">
        <f>'Reported burning'!G746</f>
        <v>0</v>
      </c>
      <c r="H746" s="6" t="str">
        <f>'Reported burning'!H746</f>
        <v>Absence</v>
      </c>
      <c r="I746" s="3"/>
      <c r="J746" s="21" t="s">
        <v>2364</v>
      </c>
      <c r="K746" s="103" t="s">
        <v>2364</v>
      </c>
      <c r="L746" s="21" t="s">
        <v>2364</v>
      </c>
      <c r="M746" s="21" t="s">
        <v>2364</v>
      </c>
      <c r="N746" s="21" t="s">
        <v>2364</v>
      </c>
      <c r="O746" s="21" t="s">
        <v>2364</v>
      </c>
      <c r="P746" s="21" t="s">
        <v>2364</v>
      </c>
      <c r="Q746" s="102" t="s">
        <v>2276</v>
      </c>
      <c r="R746" s="102" t="s">
        <v>2276</v>
      </c>
      <c r="S746" s="21" t="s">
        <v>2364</v>
      </c>
      <c r="T746" s="21" t="s">
        <v>2364</v>
      </c>
      <c r="U746" s="21" t="s">
        <v>2364</v>
      </c>
      <c r="V746" s="21" t="s">
        <v>2364</v>
      </c>
      <c r="W746" s="21" t="s">
        <v>2276</v>
      </c>
      <c r="X746" s="3" t="s">
        <v>2276</v>
      </c>
      <c r="Y746" s="3" t="s">
        <v>2276</v>
      </c>
      <c r="Z746" s="3" t="s">
        <v>2276</v>
      </c>
      <c r="AA746" s="4" t="s">
        <v>1726</v>
      </c>
      <c r="AB746" s="3"/>
    </row>
    <row r="747" spans="1:28" ht="49.5" customHeight="1">
      <c r="A747" s="6" t="str">
        <f>'Reported burning'!A747</f>
        <v>84bi</v>
      </c>
      <c r="B747" s="6" t="str">
        <f>'Reported burning'!B747</f>
        <v>84bi.1</v>
      </c>
      <c r="C747" s="6" t="str">
        <f>'Reported burning'!C747</f>
        <v>Human, deliberate</v>
      </c>
      <c r="D747" s="6" t="str">
        <f>'Reported burning'!D747</f>
        <v>Forest clearance</v>
      </c>
      <c r="E747" s="6" t="str">
        <f>'Reported burning'!E747</f>
        <v>Forestry, Small-scale</v>
      </c>
      <c r="F747" s="6" t="str">
        <f>'Reported burning'!F747</f>
        <v>Forest</v>
      </c>
      <c r="G747" s="6">
        <f>'Reported burning'!G747</f>
        <v>0</v>
      </c>
      <c r="H747" s="6" t="str">
        <f>'Reported burning'!H747</f>
        <v>Absence</v>
      </c>
      <c r="I747" s="3"/>
      <c r="J747" s="21" t="s">
        <v>2364</v>
      </c>
      <c r="K747" s="103" t="s">
        <v>2364</v>
      </c>
      <c r="L747" s="21" t="s">
        <v>2364</v>
      </c>
      <c r="M747" s="21" t="s">
        <v>2364</v>
      </c>
      <c r="N747" s="21" t="s">
        <v>2364</v>
      </c>
      <c r="O747" s="21" t="s">
        <v>2364</v>
      </c>
      <c r="P747" s="21" t="s">
        <v>2364</v>
      </c>
      <c r="Q747" s="102" t="s">
        <v>2276</v>
      </c>
      <c r="R747" s="102" t="s">
        <v>2276</v>
      </c>
      <c r="S747" s="21" t="s">
        <v>2364</v>
      </c>
      <c r="T747" s="21" t="s">
        <v>2364</v>
      </c>
      <c r="U747" s="21" t="s">
        <v>2364</v>
      </c>
      <c r="V747" s="21" t="s">
        <v>2364</v>
      </c>
      <c r="W747" s="21" t="s">
        <v>2276</v>
      </c>
      <c r="X747" s="3" t="s">
        <v>2276</v>
      </c>
      <c r="Y747" s="3" t="s">
        <v>2276</v>
      </c>
      <c r="Z747" s="3" t="s">
        <v>2276</v>
      </c>
      <c r="AA747" s="4" t="s">
        <v>1726</v>
      </c>
      <c r="AB747" s="3"/>
    </row>
    <row r="748" spans="1:28" ht="49.5" customHeight="1">
      <c r="A748" s="6" t="str">
        <f>'Reported burning'!A748</f>
        <v>84bj</v>
      </c>
      <c r="B748" s="6" t="str">
        <f>'Reported burning'!B748</f>
        <v>84bj.1</v>
      </c>
      <c r="C748" s="6" t="str">
        <f>'Reported burning'!C748</f>
        <v>Human, deliberate</v>
      </c>
      <c r="D748" s="6" t="str">
        <f>'Reported burning'!D748</f>
        <v>Forest clearance</v>
      </c>
      <c r="E748" s="6" t="str">
        <f>'Reported burning'!E748</f>
        <v>Forestry, Small-scale</v>
      </c>
      <c r="F748" s="6" t="str">
        <f>'Reported burning'!F748</f>
        <v>Forest</v>
      </c>
      <c r="G748" s="6">
        <f>'Reported burning'!G748</f>
        <v>0</v>
      </c>
      <c r="H748" s="6" t="str">
        <f>'Reported burning'!H748</f>
        <v>Absence</v>
      </c>
      <c r="I748" s="3"/>
      <c r="J748" s="21" t="s">
        <v>2364</v>
      </c>
      <c r="K748" s="103" t="s">
        <v>2364</v>
      </c>
      <c r="L748" s="21" t="s">
        <v>2364</v>
      </c>
      <c r="M748" s="21" t="s">
        <v>2364</v>
      </c>
      <c r="N748" s="21" t="s">
        <v>2364</v>
      </c>
      <c r="O748" s="21" t="s">
        <v>2364</v>
      </c>
      <c r="P748" s="21" t="s">
        <v>2364</v>
      </c>
      <c r="Q748" s="102" t="s">
        <v>2276</v>
      </c>
      <c r="R748" s="102" t="s">
        <v>2276</v>
      </c>
      <c r="S748" s="21" t="s">
        <v>2364</v>
      </c>
      <c r="T748" s="21" t="s">
        <v>2364</v>
      </c>
      <c r="U748" s="21" t="s">
        <v>2364</v>
      </c>
      <c r="V748" s="21" t="s">
        <v>2364</v>
      </c>
      <c r="W748" s="21" t="s">
        <v>2276</v>
      </c>
      <c r="X748" s="3" t="s">
        <v>2276</v>
      </c>
      <c r="Y748" s="3" t="s">
        <v>2276</v>
      </c>
      <c r="Z748" s="3" t="s">
        <v>2276</v>
      </c>
      <c r="AA748" s="4" t="s">
        <v>1726</v>
      </c>
      <c r="AB748" s="3"/>
    </row>
    <row r="749" spans="1:28" ht="49.5" customHeight="1">
      <c r="A749" s="6" t="str">
        <f>'Reported burning'!A749</f>
        <v>84bk</v>
      </c>
      <c r="B749" s="6" t="str">
        <f>'Reported burning'!B749</f>
        <v>84bk.1</v>
      </c>
      <c r="C749" s="6" t="str">
        <f>'Reported burning'!C749</f>
        <v>Human, deliberate</v>
      </c>
      <c r="D749" s="6" t="str">
        <f>'Reported burning'!D749</f>
        <v>Forest clearance</v>
      </c>
      <c r="E749" s="6" t="str">
        <f>'Reported burning'!E749</f>
        <v>Forestry, Small-scale</v>
      </c>
      <c r="F749" s="6" t="str">
        <f>'Reported burning'!F749</f>
        <v>Forest</v>
      </c>
      <c r="G749" s="6">
        <f>'Reported burning'!G749</f>
        <v>0</v>
      </c>
      <c r="H749" s="6" t="str">
        <f>'Reported burning'!H749</f>
        <v>Absence</v>
      </c>
      <c r="I749" s="3"/>
      <c r="J749" s="21" t="s">
        <v>2364</v>
      </c>
      <c r="K749" s="103" t="s">
        <v>2364</v>
      </c>
      <c r="L749" s="21" t="s">
        <v>2364</v>
      </c>
      <c r="M749" s="21" t="s">
        <v>2364</v>
      </c>
      <c r="N749" s="21" t="s">
        <v>2364</v>
      </c>
      <c r="O749" s="21" t="s">
        <v>2364</v>
      </c>
      <c r="P749" s="21" t="s">
        <v>2364</v>
      </c>
      <c r="Q749" s="102" t="s">
        <v>2276</v>
      </c>
      <c r="R749" s="102" t="s">
        <v>2276</v>
      </c>
      <c r="S749" s="21" t="s">
        <v>2364</v>
      </c>
      <c r="T749" s="21" t="s">
        <v>2364</v>
      </c>
      <c r="U749" s="21" t="s">
        <v>2364</v>
      </c>
      <c r="V749" s="21" t="s">
        <v>2364</v>
      </c>
      <c r="W749" s="21" t="s">
        <v>2276</v>
      </c>
      <c r="X749" s="3" t="s">
        <v>2276</v>
      </c>
      <c r="Y749" s="3" t="s">
        <v>2276</v>
      </c>
      <c r="Z749" s="3" t="s">
        <v>2276</v>
      </c>
      <c r="AA749" s="4" t="s">
        <v>1726</v>
      </c>
      <c r="AB749" s="3"/>
    </row>
    <row r="750" spans="1:28" ht="49.5" customHeight="1">
      <c r="A750" s="6" t="str">
        <f>'Reported burning'!A750</f>
        <v>84bl</v>
      </c>
      <c r="B750" s="6" t="str">
        <f>'Reported burning'!B750</f>
        <v>84bl.1</v>
      </c>
      <c r="C750" s="6" t="str">
        <f>'Reported burning'!C750</f>
        <v>Human, deliberate</v>
      </c>
      <c r="D750" s="6" t="str">
        <f>'Reported burning'!D750</f>
        <v>Forest clearance</v>
      </c>
      <c r="E750" s="6" t="str">
        <f>'Reported burning'!E750</f>
        <v>Forestry, Small-scale</v>
      </c>
      <c r="F750" s="6" t="str">
        <f>'Reported burning'!F750</f>
        <v>Forest</v>
      </c>
      <c r="G750" s="6">
        <f>'Reported burning'!G750</f>
        <v>0</v>
      </c>
      <c r="H750" s="6" t="str">
        <f>'Reported burning'!H750</f>
        <v>Absence</v>
      </c>
      <c r="I750" s="3"/>
      <c r="J750" s="21" t="s">
        <v>2364</v>
      </c>
      <c r="K750" s="103" t="s">
        <v>2364</v>
      </c>
      <c r="L750" s="21" t="s">
        <v>2364</v>
      </c>
      <c r="M750" s="21" t="s">
        <v>2364</v>
      </c>
      <c r="N750" s="21" t="s">
        <v>2364</v>
      </c>
      <c r="O750" s="21" t="s">
        <v>2364</v>
      </c>
      <c r="P750" s="21" t="s">
        <v>2364</v>
      </c>
      <c r="Q750" s="102" t="s">
        <v>2276</v>
      </c>
      <c r="R750" s="102" t="s">
        <v>2276</v>
      </c>
      <c r="S750" s="21" t="s">
        <v>2364</v>
      </c>
      <c r="T750" s="21" t="s">
        <v>2364</v>
      </c>
      <c r="U750" s="21" t="s">
        <v>2364</v>
      </c>
      <c r="V750" s="21" t="s">
        <v>2364</v>
      </c>
      <c r="W750" s="21" t="s">
        <v>2276</v>
      </c>
      <c r="X750" s="3" t="s">
        <v>2276</v>
      </c>
      <c r="Y750" s="3" t="s">
        <v>2276</v>
      </c>
      <c r="Z750" s="3" t="s">
        <v>2276</v>
      </c>
      <c r="AA750" s="4" t="s">
        <v>1726</v>
      </c>
      <c r="AB750" s="3"/>
    </row>
    <row r="751" spans="1:28" ht="49.5" customHeight="1">
      <c r="A751" s="6" t="str">
        <f>'Reported burning'!A751</f>
        <v>84bm</v>
      </c>
      <c r="B751" s="6" t="str">
        <f>'Reported burning'!B751</f>
        <v>84bm.1</v>
      </c>
      <c r="C751" s="6" t="str">
        <f>'Reported burning'!C751</f>
        <v>Human, deliberate</v>
      </c>
      <c r="D751" s="6" t="str">
        <f>'Reported burning'!D751</f>
        <v>Forest clearance</v>
      </c>
      <c r="E751" s="6" t="str">
        <f>'Reported burning'!E751</f>
        <v>Forestry, Small-scale</v>
      </c>
      <c r="F751" s="6" t="str">
        <f>'Reported burning'!F751</f>
        <v>Forest</v>
      </c>
      <c r="G751" s="6">
        <f>'Reported burning'!G751</f>
        <v>0</v>
      </c>
      <c r="H751" s="6" t="str">
        <f>'Reported burning'!H751</f>
        <v>Absence</v>
      </c>
      <c r="I751" s="3"/>
      <c r="J751" s="21" t="s">
        <v>2364</v>
      </c>
      <c r="K751" s="103" t="s">
        <v>2364</v>
      </c>
      <c r="L751" s="21" t="s">
        <v>2364</v>
      </c>
      <c r="M751" s="21" t="s">
        <v>2364</v>
      </c>
      <c r="N751" s="21" t="s">
        <v>2364</v>
      </c>
      <c r="O751" s="21" t="s">
        <v>2364</v>
      </c>
      <c r="P751" s="21" t="s">
        <v>2364</v>
      </c>
      <c r="Q751" s="102" t="s">
        <v>2276</v>
      </c>
      <c r="R751" s="102" t="s">
        <v>2276</v>
      </c>
      <c r="S751" s="21" t="s">
        <v>2364</v>
      </c>
      <c r="T751" s="21" t="s">
        <v>2364</v>
      </c>
      <c r="U751" s="21" t="s">
        <v>2364</v>
      </c>
      <c r="V751" s="21" t="s">
        <v>2364</v>
      </c>
      <c r="W751" s="21" t="s">
        <v>2276</v>
      </c>
      <c r="X751" s="3" t="s">
        <v>2276</v>
      </c>
      <c r="Y751" s="3" t="s">
        <v>2276</v>
      </c>
      <c r="Z751" s="3" t="s">
        <v>2276</v>
      </c>
      <c r="AA751" s="4" t="s">
        <v>1726</v>
      </c>
      <c r="AB751" s="3"/>
    </row>
    <row r="752" spans="1:28" ht="49.5" customHeight="1">
      <c r="A752" s="6" t="str">
        <f>'Reported burning'!A752</f>
        <v>84bn</v>
      </c>
      <c r="B752" s="6" t="str">
        <f>'Reported burning'!B752</f>
        <v>84bn.1</v>
      </c>
      <c r="C752" s="6" t="str">
        <f>'Reported burning'!C752</f>
        <v>Human, deliberate</v>
      </c>
      <c r="D752" s="6" t="str">
        <f>'Reported burning'!D752</f>
        <v>Forest clearance</v>
      </c>
      <c r="E752" s="6" t="str">
        <f>'Reported burning'!E752</f>
        <v>Forestry, Small-scale</v>
      </c>
      <c r="F752" s="6" t="str">
        <f>'Reported burning'!F752</f>
        <v>Forest</v>
      </c>
      <c r="G752" s="6">
        <f>'Reported burning'!G752</f>
        <v>0</v>
      </c>
      <c r="H752" s="6" t="str">
        <f>'Reported burning'!H752</f>
        <v>Absence</v>
      </c>
      <c r="I752" s="3"/>
      <c r="J752" s="21" t="s">
        <v>2364</v>
      </c>
      <c r="K752" s="103" t="s">
        <v>2364</v>
      </c>
      <c r="L752" s="21" t="s">
        <v>2364</v>
      </c>
      <c r="M752" s="21" t="s">
        <v>2364</v>
      </c>
      <c r="N752" s="21" t="s">
        <v>2364</v>
      </c>
      <c r="O752" s="21" t="s">
        <v>2364</v>
      </c>
      <c r="P752" s="21" t="s">
        <v>2364</v>
      </c>
      <c r="Q752" s="102" t="s">
        <v>2276</v>
      </c>
      <c r="R752" s="102" t="s">
        <v>2276</v>
      </c>
      <c r="S752" s="21" t="s">
        <v>2364</v>
      </c>
      <c r="T752" s="21" t="s">
        <v>2364</v>
      </c>
      <c r="U752" s="21" t="s">
        <v>2364</v>
      </c>
      <c r="V752" s="21" t="s">
        <v>2364</v>
      </c>
      <c r="W752" s="21" t="s">
        <v>2276</v>
      </c>
      <c r="X752" s="3" t="s">
        <v>2276</v>
      </c>
      <c r="Y752" s="3" t="s">
        <v>2276</v>
      </c>
      <c r="Z752" s="3" t="s">
        <v>2276</v>
      </c>
      <c r="AA752" s="4" t="s">
        <v>1726</v>
      </c>
      <c r="AB752" s="3"/>
    </row>
    <row r="753" spans="1:28" ht="49.5" customHeight="1">
      <c r="A753" s="6" t="str">
        <f>'Reported burning'!A753</f>
        <v>84bo</v>
      </c>
      <c r="B753" s="6" t="str">
        <f>'Reported burning'!B753</f>
        <v>84bo.1</v>
      </c>
      <c r="C753" s="6" t="str">
        <f>'Reported burning'!C753</f>
        <v>Human, deliberate</v>
      </c>
      <c r="D753" s="6" t="str">
        <f>'Reported burning'!D753</f>
        <v>Forest clearance</v>
      </c>
      <c r="E753" s="6" t="str">
        <f>'Reported burning'!E753</f>
        <v>Forestry, Small-scale</v>
      </c>
      <c r="F753" s="6" t="str">
        <f>'Reported burning'!F753</f>
        <v>Forest</v>
      </c>
      <c r="G753" s="6">
        <f>'Reported burning'!G753</f>
        <v>0</v>
      </c>
      <c r="H753" s="6" t="str">
        <f>'Reported burning'!H753</f>
        <v>Absence</v>
      </c>
      <c r="I753" s="3"/>
      <c r="J753" s="21" t="s">
        <v>2364</v>
      </c>
      <c r="K753" s="103" t="s">
        <v>2364</v>
      </c>
      <c r="L753" s="21" t="s">
        <v>2364</v>
      </c>
      <c r="M753" s="21" t="s">
        <v>2364</v>
      </c>
      <c r="N753" s="21" t="s">
        <v>2364</v>
      </c>
      <c r="O753" s="21" t="s">
        <v>2364</v>
      </c>
      <c r="P753" s="21" t="s">
        <v>2364</v>
      </c>
      <c r="Q753" s="102" t="s">
        <v>2276</v>
      </c>
      <c r="R753" s="102" t="s">
        <v>2276</v>
      </c>
      <c r="S753" s="21" t="s">
        <v>2364</v>
      </c>
      <c r="T753" s="21" t="s">
        <v>2364</v>
      </c>
      <c r="U753" s="21" t="s">
        <v>2364</v>
      </c>
      <c r="V753" s="21" t="s">
        <v>2364</v>
      </c>
      <c r="W753" s="21" t="s">
        <v>2276</v>
      </c>
      <c r="X753" s="3" t="s">
        <v>2276</v>
      </c>
      <c r="Y753" s="3" t="s">
        <v>2276</v>
      </c>
      <c r="Z753" s="3" t="s">
        <v>2276</v>
      </c>
      <c r="AA753" s="4" t="s">
        <v>1726</v>
      </c>
      <c r="AB753" s="3"/>
    </row>
    <row r="754" spans="1:28" ht="49.5" customHeight="1">
      <c r="A754" s="6" t="str">
        <f>'Reported burning'!A754</f>
        <v>84bp</v>
      </c>
      <c r="B754" s="6" t="str">
        <f>'Reported burning'!B754</f>
        <v>84bp.1</v>
      </c>
      <c r="C754" s="6" t="str">
        <f>'Reported burning'!C754</f>
        <v>Human, deliberate</v>
      </c>
      <c r="D754" s="6" t="str">
        <f>'Reported burning'!D754</f>
        <v>Forest clearance</v>
      </c>
      <c r="E754" s="6" t="str">
        <f>'Reported burning'!E754</f>
        <v>Forestry, Small-scale</v>
      </c>
      <c r="F754" s="6" t="str">
        <f>'Reported burning'!F754</f>
        <v>Forest</v>
      </c>
      <c r="G754" s="6">
        <f>'Reported burning'!G754</f>
        <v>0</v>
      </c>
      <c r="H754" s="6" t="str">
        <f>'Reported burning'!H754</f>
        <v>Absence</v>
      </c>
      <c r="I754" s="3"/>
      <c r="J754" s="21" t="s">
        <v>2364</v>
      </c>
      <c r="K754" s="103" t="s">
        <v>2364</v>
      </c>
      <c r="L754" s="21" t="s">
        <v>2364</v>
      </c>
      <c r="M754" s="21" t="s">
        <v>2364</v>
      </c>
      <c r="N754" s="21" t="s">
        <v>2364</v>
      </c>
      <c r="O754" s="21" t="s">
        <v>2364</v>
      </c>
      <c r="P754" s="21" t="s">
        <v>2364</v>
      </c>
      <c r="Q754" s="102" t="s">
        <v>2276</v>
      </c>
      <c r="R754" s="102" t="s">
        <v>2276</v>
      </c>
      <c r="S754" s="21" t="s">
        <v>2364</v>
      </c>
      <c r="T754" s="21" t="s">
        <v>2364</v>
      </c>
      <c r="U754" s="21" t="s">
        <v>2364</v>
      </c>
      <c r="V754" s="21" t="s">
        <v>2364</v>
      </c>
      <c r="W754" s="21" t="s">
        <v>2276</v>
      </c>
      <c r="X754" s="3" t="s">
        <v>2276</v>
      </c>
      <c r="Y754" s="3" t="s">
        <v>2276</v>
      </c>
      <c r="Z754" s="3" t="s">
        <v>2276</v>
      </c>
      <c r="AA754" s="4" t="s">
        <v>1726</v>
      </c>
      <c r="AB754" s="3"/>
    </row>
    <row r="755" spans="1:28" ht="49.5" customHeight="1">
      <c r="A755" s="6" t="str">
        <f>'Reported burning'!A755</f>
        <v>84bq</v>
      </c>
      <c r="B755" s="6" t="str">
        <f>'Reported burning'!B755</f>
        <v>84bq.1</v>
      </c>
      <c r="C755" s="6" t="str">
        <f>'Reported burning'!C755</f>
        <v>Human, deliberate</v>
      </c>
      <c r="D755" s="6" t="str">
        <f>'Reported burning'!D755</f>
        <v>Forest clearance</v>
      </c>
      <c r="E755" s="6" t="str">
        <f>'Reported burning'!E755</f>
        <v>Forestry, Small-scale</v>
      </c>
      <c r="F755" s="6" t="str">
        <f>'Reported burning'!F755</f>
        <v>Forest</v>
      </c>
      <c r="G755" s="6">
        <f>'Reported burning'!G755</f>
        <v>0</v>
      </c>
      <c r="H755" s="6" t="str">
        <f>'Reported burning'!H755</f>
        <v>Absence</v>
      </c>
      <c r="I755" s="3"/>
      <c r="J755" s="21" t="s">
        <v>2364</v>
      </c>
      <c r="K755" s="103" t="s">
        <v>2364</v>
      </c>
      <c r="L755" s="21" t="s">
        <v>2364</v>
      </c>
      <c r="M755" s="21" t="s">
        <v>2364</v>
      </c>
      <c r="N755" s="21" t="s">
        <v>2364</v>
      </c>
      <c r="O755" s="21" t="s">
        <v>2364</v>
      </c>
      <c r="P755" s="21" t="s">
        <v>2364</v>
      </c>
      <c r="Q755" s="102" t="s">
        <v>2276</v>
      </c>
      <c r="R755" s="102" t="s">
        <v>2276</v>
      </c>
      <c r="S755" s="21" t="s">
        <v>2364</v>
      </c>
      <c r="T755" s="21" t="s">
        <v>2364</v>
      </c>
      <c r="U755" s="21" t="s">
        <v>2364</v>
      </c>
      <c r="V755" s="21" t="s">
        <v>2364</v>
      </c>
      <c r="W755" s="21" t="s">
        <v>2276</v>
      </c>
      <c r="X755" s="3" t="s">
        <v>2276</v>
      </c>
      <c r="Y755" s="3" t="s">
        <v>2276</v>
      </c>
      <c r="Z755" s="3" t="s">
        <v>2276</v>
      </c>
      <c r="AA755" s="4" t="s">
        <v>1726</v>
      </c>
      <c r="AB755" s="3"/>
    </row>
    <row r="756" spans="1:28" ht="49.5" customHeight="1">
      <c r="A756" s="6" t="str">
        <f>'Reported burning'!A756</f>
        <v>84br</v>
      </c>
      <c r="B756" s="6" t="str">
        <f>'Reported burning'!B756</f>
        <v>84br.1</v>
      </c>
      <c r="C756" s="6" t="str">
        <f>'Reported burning'!C756</f>
        <v>Human, deliberate</v>
      </c>
      <c r="D756" s="6" t="str">
        <f>'Reported burning'!D756</f>
        <v>Forest clearance</v>
      </c>
      <c r="E756" s="6" t="str">
        <f>'Reported burning'!E756</f>
        <v>Forestry, Small-scale</v>
      </c>
      <c r="F756" s="6" t="str">
        <f>'Reported burning'!F756</f>
        <v>Forest</v>
      </c>
      <c r="G756" s="6">
        <f>'Reported burning'!G756</f>
        <v>0</v>
      </c>
      <c r="H756" s="6" t="str">
        <f>'Reported burning'!H756</f>
        <v>Absence</v>
      </c>
      <c r="I756" s="3"/>
      <c r="J756" s="21" t="s">
        <v>2364</v>
      </c>
      <c r="K756" s="103" t="s">
        <v>2364</v>
      </c>
      <c r="L756" s="21" t="s">
        <v>2364</v>
      </c>
      <c r="M756" s="21" t="s">
        <v>2364</v>
      </c>
      <c r="N756" s="21" t="s">
        <v>2364</v>
      </c>
      <c r="O756" s="21" t="s">
        <v>2364</v>
      </c>
      <c r="P756" s="21" t="s">
        <v>2364</v>
      </c>
      <c r="Q756" s="102" t="s">
        <v>2276</v>
      </c>
      <c r="R756" s="102" t="s">
        <v>2276</v>
      </c>
      <c r="S756" s="21" t="s">
        <v>2364</v>
      </c>
      <c r="T756" s="21" t="s">
        <v>2364</v>
      </c>
      <c r="U756" s="21" t="s">
        <v>2364</v>
      </c>
      <c r="V756" s="21" t="s">
        <v>2364</v>
      </c>
      <c r="W756" s="21" t="s">
        <v>2276</v>
      </c>
      <c r="X756" s="3" t="s">
        <v>2276</v>
      </c>
      <c r="Y756" s="3" t="s">
        <v>2276</v>
      </c>
      <c r="Z756" s="3" t="s">
        <v>2276</v>
      </c>
      <c r="AA756" s="4" t="s">
        <v>1726</v>
      </c>
      <c r="AB756" s="3"/>
    </row>
    <row r="757" spans="1:28" ht="49.5" customHeight="1">
      <c r="A757" s="6" t="str">
        <f>'Reported burning'!A757</f>
        <v>84bs</v>
      </c>
      <c r="B757" s="6" t="str">
        <f>'Reported burning'!B757</f>
        <v>84bs.1</v>
      </c>
      <c r="C757" s="6" t="str">
        <f>'Reported burning'!C757</f>
        <v>Human, deliberate</v>
      </c>
      <c r="D757" s="6" t="str">
        <f>'Reported burning'!D757</f>
        <v>Forest clearance</v>
      </c>
      <c r="E757" s="6" t="str">
        <f>'Reported burning'!E757</f>
        <v>Forestry, Small-scale</v>
      </c>
      <c r="F757" s="6" t="str">
        <f>'Reported burning'!F757</f>
        <v>Forest</v>
      </c>
      <c r="G757" s="6">
        <f>'Reported burning'!G757</f>
        <v>0</v>
      </c>
      <c r="H757" s="6" t="str">
        <f>'Reported burning'!H757</f>
        <v>Absence</v>
      </c>
      <c r="I757" s="3"/>
      <c r="J757" s="21" t="s">
        <v>2364</v>
      </c>
      <c r="K757" s="103" t="s">
        <v>2364</v>
      </c>
      <c r="L757" s="21" t="s">
        <v>2364</v>
      </c>
      <c r="M757" s="21" t="s">
        <v>2364</v>
      </c>
      <c r="N757" s="21" t="s">
        <v>2364</v>
      </c>
      <c r="O757" s="21" t="s">
        <v>2364</v>
      </c>
      <c r="P757" s="21" t="s">
        <v>2364</v>
      </c>
      <c r="Q757" s="102" t="s">
        <v>2276</v>
      </c>
      <c r="R757" s="102" t="s">
        <v>2276</v>
      </c>
      <c r="S757" s="21" t="s">
        <v>2364</v>
      </c>
      <c r="T757" s="21" t="s">
        <v>2364</v>
      </c>
      <c r="U757" s="21" t="s">
        <v>2364</v>
      </c>
      <c r="V757" s="21" t="s">
        <v>2364</v>
      </c>
      <c r="W757" s="21" t="s">
        <v>2276</v>
      </c>
      <c r="X757" s="3" t="s">
        <v>2276</v>
      </c>
      <c r="Y757" s="3" t="s">
        <v>2276</v>
      </c>
      <c r="Z757" s="3" t="s">
        <v>2276</v>
      </c>
      <c r="AA757" s="4" t="s">
        <v>1726</v>
      </c>
      <c r="AB757" s="3"/>
    </row>
    <row r="758" spans="1:28" ht="49.5" customHeight="1">
      <c r="A758" s="6" t="str">
        <f>'Reported burning'!A758</f>
        <v>84bt</v>
      </c>
      <c r="B758" s="6" t="str">
        <f>'Reported burning'!B758</f>
        <v>84bt.1</v>
      </c>
      <c r="C758" s="6" t="str">
        <f>'Reported burning'!C758</f>
        <v>Human, deliberate</v>
      </c>
      <c r="D758" s="6" t="str">
        <f>'Reported burning'!D758</f>
        <v>Forest clearance</v>
      </c>
      <c r="E758" s="6" t="str">
        <f>'Reported burning'!E758</f>
        <v>Forestry, Small-scale</v>
      </c>
      <c r="F758" s="6" t="str">
        <f>'Reported burning'!F758</f>
        <v>Forest</v>
      </c>
      <c r="G758" s="6">
        <f>'Reported burning'!G758</f>
        <v>0</v>
      </c>
      <c r="H758" s="6" t="str">
        <f>'Reported burning'!H758</f>
        <v>Absence</v>
      </c>
      <c r="I758" s="3"/>
      <c r="J758" s="21" t="s">
        <v>2364</v>
      </c>
      <c r="K758" s="103" t="s">
        <v>2364</v>
      </c>
      <c r="L758" s="21" t="s">
        <v>2364</v>
      </c>
      <c r="M758" s="21" t="s">
        <v>2364</v>
      </c>
      <c r="N758" s="21" t="s">
        <v>2364</v>
      </c>
      <c r="O758" s="21" t="s">
        <v>2364</v>
      </c>
      <c r="P758" s="21" t="s">
        <v>2364</v>
      </c>
      <c r="Q758" s="102" t="s">
        <v>2276</v>
      </c>
      <c r="R758" s="102" t="s">
        <v>2276</v>
      </c>
      <c r="S758" s="21" t="s">
        <v>2364</v>
      </c>
      <c r="T758" s="21" t="s">
        <v>2364</v>
      </c>
      <c r="U758" s="21" t="s">
        <v>2364</v>
      </c>
      <c r="V758" s="21" t="s">
        <v>2364</v>
      </c>
      <c r="W758" s="21" t="s">
        <v>2276</v>
      </c>
      <c r="X758" s="3" t="s">
        <v>2276</v>
      </c>
      <c r="Y758" s="3" t="s">
        <v>2276</v>
      </c>
      <c r="Z758" s="3" t="s">
        <v>2276</v>
      </c>
      <c r="AA758" s="4" t="s">
        <v>1726</v>
      </c>
      <c r="AB758" s="3"/>
    </row>
    <row r="759" spans="1:28" ht="49.5" customHeight="1">
      <c r="A759" s="6" t="str">
        <f>'Reported burning'!A759</f>
        <v>84bu</v>
      </c>
      <c r="B759" s="6" t="str">
        <f>'Reported burning'!B759</f>
        <v>84bu.1</v>
      </c>
      <c r="C759" s="6" t="str">
        <f>'Reported burning'!C759</f>
        <v>Human, deliberate</v>
      </c>
      <c r="D759" s="6" t="str">
        <f>'Reported burning'!D759</f>
        <v>Forest clearance</v>
      </c>
      <c r="E759" s="6" t="str">
        <f>'Reported burning'!E759</f>
        <v>Forestry, Small-scale</v>
      </c>
      <c r="F759" s="6" t="str">
        <f>'Reported burning'!F759</f>
        <v>Forest</v>
      </c>
      <c r="G759" s="6">
        <f>'Reported burning'!G759</f>
        <v>0</v>
      </c>
      <c r="H759" s="6" t="str">
        <f>'Reported burning'!H759</f>
        <v>Absence</v>
      </c>
      <c r="I759" s="3"/>
      <c r="J759" s="21" t="s">
        <v>2364</v>
      </c>
      <c r="K759" s="103" t="s">
        <v>2364</v>
      </c>
      <c r="L759" s="21" t="s">
        <v>2364</v>
      </c>
      <c r="M759" s="21" t="s">
        <v>2364</v>
      </c>
      <c r="N759" s="21" t="s">
        <v>2364</v>
      </c>
      <c r="O759" s="21" t="s">
        <v>2364</v>
      </c>
      <c r="P759" s="21" t="s">
        <v>2364</v>
      </c>
      <c r="Q759" s="102" t="s">
        <v>2276</v>
      </c>
      <c r="R759" s="102" t="s">
        <v>2276</v>
      </c>
      <c r="S759" s="21" t="s">
        <v>2364</v>
      </c>
      <c r="T759" s="21" t="s">
        <v>2364</v>
      </c>
      <c r="U759" s="21" t="s">
        <v>2364</v>
      </c>
      <c r="V759" s="21" t="s">
        <v>2364</v>
      </c>
      <c r="W759" s="21" t="s">
        <v>2276</v>
      </c>
      <c r="X759" s="3" t="s">
        <v>2276</v>
      </c>
      <c r="Y759" s="3" t="s">
        <v>2276</v>
      </c>
      <c r="Z759" s="3" t="s">
        <v>2276</v>
      </c>
      <c r="AA759" s="4" t="s">
        <v>1726</v>
      </c>
      <c r="AB759" s="3"/>
    </row>
    <row r="760" spans="1:28" ht="49.5" customHeight="1">
      <c r="A760" s="6" t="str">
        <f>'Reported burning'!A760</f>
        <v>84bv</v>
      </c>
      <c r="B760" s="6" t="str">
        <f>'Reported burning'!B760</f>
        <v>84bv.1</v>
      </c>
      <c r="C760" s="6" t="str">
        <f>'Reported burning'!C760</f>
        <v>Human, deliberate</v>
      </c>
      <c r="D760" s="6" t="str">
        <f>'Reported burning'!D760</f>
        <v>Forest clearance</v>
      </c>
      <c r="E760" s="6" t="str">
        <f>'Reported burning'!E760</f>
        <v>Forestry, Small-scale</v>
      </c>
      <c r="F760" s="6" t="str">
        <f>'Reported burning'!F760</f>
        <v>Forest</v>
      </c>
      <c r="G760" s="6">
        <f>'Reported burning'!G760</f>
        <v>0</v>
      </c>
      <c r="H760" s="6" t="str">
        <f>'Reported burning'!H760</f>
        <v>Absence</v>
      </c>
      <c r="I760" s="3"/>
      <c r="J760" s="21" t="s">
        <v>2364</v>
      </c>
      <c r="K760" s="103" t="s">
        <v>2364</v>
      </c>
      <c r="L760" s="21" t="s">
        <v>2364</v>
      </c>
      <c r="M760" s="21" t="s">
        <v>2364</v>
      </c>
      <c r="N760" s="21" t="s">
        <v>2364</v>
      </c>
      <c r="O760" s="21" t="s">
        <v>2364</v>
      </c>
      <c r="P760" s="21" t="s">
        <v>2364</v>
      </c>
      <c r="Q760" s="102" t="s">
        <v>2276</v>
      </c>
      <c r="R760" s="102" t="s">
        <v>2276</v>
      </c>
      <c r="S760" s="21" t="s">
        <v>2364</v>
      </c>
      <c r="T760" s="21" t="s">
        <v>2364</v>
      </c>
      <c r="U760" s="21" t="s">
        <v>2364</v>
      </c>
      <c r="V760" s="21" t="s">
        <v>2364</v>
      </c>
      <c r="W760" s="21" t="s">
        <v>2276</v>
      </c>
      <c r="X760" s="3" t="s">
        <v>2276</v>
      </c>
      <c r="Y760" s="3" t="s">
        <v>2276</v>
      </c>
      <c r="Z760" s="3" t="s">
        <v>2276</v>
      </c>
      <c r="AA760" s="4" t="s">
        <v>1726</v>
      </c>
      <c r="AB760" s="3"/>
    </row>
    <row r="761" spans="1:28" ht="40" customHeight="1">
      <c r="A761" s="6" t="str">
        <f>'Reported burning'!A761</f>
        <v>85a</v>
      </c>
      <c r="B761" s="6" t="str">
        <f>'Reported burning'!B761</f>
        <v>85a.1</v>
      </c>
      <c r="C761" s="6" t="str">
        <f>'Reported burning'!C761</f>
        <v>Human, deliberate</v>
      </c>
      <c r="D761" s="6" t="str">
        <f>'Reported burning'!D761</f>
        <v>Forest clearance</v>
      </c>
      <c r="E761" s="6" t="str">
        <f>'Reported burning'!E761</f>
        <v>Cropping, Monoculture, Market-oriented</v>
      </c>
      <c r="F761" s="6" t="str">
        <f>'Reported burning'!F761</f>
        <v>Forest</v>
      </c>
      <c r="G761" s="6">
        <f>'Reported burning'!G761</f>
        <v>0</v>
      </c>
      <c r="H761" s="6" t="str">
        <f>'Reported burning'!H761</f>
        <v>Presence</v>
      </c>
      <c r="I761" s="3"/>
      <c r="J761" s="21" t="s">
        <v>2276</v>
      </c>
      <c r="K761" s="103" t="s">
        <v>2276</v>
      </c>
      <c r="L761" s="21" t="s">
        <v>2276</v>
      </c>
      <c r="M761" s="21" t="s">
        <v>2276</v>
      </c>
      <c r="N761" s="21" t="s">
        <v>2276</v>
      </c>
      <c r="O761" s="21" t="s">
        <v>2276</v>
      </c>
      <c r="P761" s="21" t="s">
        <v>2276</v>
      </c>
      <c r="Q761" s="102" t="s">
        <v>2276</v>
      </c>
      <c r="R761" s="102" t="s">
        <v>2276</v>
      </c>
      <c r="S761" s="21" t="s">
        <v>2276</v>
      </c>
      <c r="T761" s="21" t="s">
        <v>2276</v>
      </c>
      <c r="U761" s="21" t="s">
        <v>2276</v>
      </c>
      <c r="V761" s="21" t="s">
        <v>2276</v>
      </c>
      <c r="W761" s="21" t="s">
        <v>2276</v>
      </c>
      <c r="X761" s="3" t="s">
        <v>2276</v>
      </c>
      <c r="Y761" s="3" t="s">
        <v>2276</v>
      </c>
      <c r="Z761" s="3" t="s">
        <v>2276</v>
      </c>
      <c r="AA761" s="3" t="s">
        <v>1176</v>
      </c>
      <c r="AB761" s="3"/>
    </row>
    <row r="762" spans="1:28" ht="37" customHeight="1">
      <c r="A762" s="6" t="str">
        <f>'Reported burning'!A762</f>
        <v>85b</v>
      </c>
      <c r="B762" s="6" t="str">
        <f>'Reported burning'!B762</f>
        <v>85b.1</v>
      </c>
      <c r="C762" s="6" t="str">
        <f>'Reported burning'!C762</f>
        <v>Human, deliberate</v>
      </c>
      <c r="D762" s="6" t="str">
        <f>'Reported burning'!D762</f>
        <v>Forest clearance</v>
      </c>
      <c r="E762" s="6" t="str">
        <f>'Reported burning'!E762</f>
        <v>Cropping, Monoculture, Market-oriented</v>
      </c>
      <c r="F762" s="6" t="str">
        <f>'Reported burning'!F762</f>
        <v>Forest</v>
      </c>
      <c r="G762" s="6">
        <f>'Reported burning'!G762</f>
        <v>0</v>
      </c>
      <c r="H762" s="6" t="str">
        <f>'Reported burning'!H762</f>
        <v>Presence</v>
      </c>
      <c r="I762" s="3"/>
      <c r="J762" s="21" t="s">
        <v>2276</v>
      </c>
      <c r="K762" s="103" t="s">
        <v>2276</v>
      </c>
      <c r="L762" s="21" t="s">
        <v>2276</v>
      </c>
      <c r="M762" s="21" t="s">
        <v>2276</v>
      </c>
      <c r="N762" s="21" t="s">
        <v>2276</v>
      </c>
      <c r="O762" s="21" t="s">
        <v>2276</v>
      </c>
      <c r="P762" s="21" t="s">
        <v>2276</v>
      </c>
      <c r="Q762" s="102" t="s">
        <v>2276</v>
      </c>
      <c r="R762" s="102" t="s">
        <v>2276</v>
      </c>
      <c r="S762" s="21" t="s">
        <v>2276</v>
      </c>
      <c r="T762" s="21" t="s">
        <v>2276</v>
      </c>
      <c r="U762" s="21" t="s">
        <v>2276</v>
      </c>
      <c r="V762" s="21" t="s">
        <v>2276</v>
      </c>
      <c r="W762" s="21" t="s">
        <v>2276</v>
      </c>
      <c r="X762" s="3" t="s">
        <v>2276</v>
      </c>
      <c r="Y762" s="3" t="s">
        <v>2276</v>
      </c>
      <c r="Z762" s="3" t="s">
        <v>2276</v>
      </c>
      <c r="AA762" s="3" t="s">
        <v>1176</v>
      </c>
      <c r="AB762" s="3"/>
    </row>
    <row r="763" spans="1:28" ht="38.5" customHeight="1">
      <c r="A763" s="6" t="str">
        <f>'Reported burning'!A763</f>
        <v>85c</v>
      </c>
      <c r="B763" s="6" t="str">
        <f>'Reported burning'!B763</f>
        <v>85c.1</v>
      </c>
      <c r="C763" s="6" t="str">
        <f>'Reported burning'!C763</f>
        <v>Human, deliberate</v>
      </c>
      <c r="D763" s="6" t="str">
        <f>'Reported burning'!D763</f>
        <v>Forest clearance</v>
      </c>
      <c r="E763" s="6" t="str">
        <f>'Reported burning'!E763</f>
        <v>Cropping, Monoculture, Market-oriented</v>
      </c>
      <c r="F763" s="6" t="str">
        <f>'Reported burning'!F763</f>
        <v>Forest</v>
      </c>
      <c r="G763" s="6">
        <f>'Reported burning'!G763</f>
        <v>0</v>
      </c>
      <c r="H763" s="6" t="str">
        <f>'Reported burning'!H763</f>
        <v>Presence</v>
      </c>
      <c r="I763" s="3"/>
      <c r="J763" s="21" t="s">
        <v>2276</v>
      </c>
      <c r="K763" s="103" t="s">
        <v>2276</v>
      </c>
      <c r="L763" s="21" t="s">
        <v>2276</v>
      </c>
      <c r="M763" s="21" t="s">
        <v>2276</v>
      </c>
      <c r="N763" s="21" t="s">
        <v>2276</v>
      </c>
      <c r="O763" s="21" t="s">
        <v>2276</v>
      </c>
      <c r="P763" s="21" t="s">
        <v>2276</v>
      </c>
      <c r="Q763" s="102" t="s">
        <v>2276</v>
      </c>
      <c r="R763" s="102" t="s">
        <v>2276</v>
      </c>
      <c r="S763" s="21" t="s">
        <v>2276</v>
      </c>
      <c r="T763" s="21" t="s">
        <v>2276</v>
      </c>
      <c r="U763" s="21" t="s">
        <v>2276</v>
      </c>
      <c r="V763" s="21" t="s">
        <v>2276</v>
      </c>
      <c r="W763" s="21" t="s">
        <v>2276</v>
      </c>
      <c r="X763" s="3" t="s">
        <v>2276</v>
      </c>
      <c r="Y763" s="3" t="s">
        <v>2276</v>
      </c>
      <c r="Z763" s="3" t="s">
        <v>2276</v>
      </c>
      <c r="AA763" s="3" t="s">
        <v>1176</v>
      </c>
      <c r="AB763" s="3"/>
    </row>
    <row r="764" spans="1:28" ht="38.5" customHeight="1">
      <c r="A764" s="6" t="str">
        <f>'Reported burning'!A764</f>
        <v>86a</v>
      </c>
      <c r="B764" s="6" t="str">
        <f>'Reported burning'!B764</f>
        <v>86a.1</v>
      </c>
      <c r="C764" s="6" t="str">
        <f>'Reported burning'!C764</f>
        <v>Human, deliberate</v>
      </c>
      <c r="D764" s="6" t="str">
        <f>'Reported burning'!D764</f>
        <v>Crop field preparation</v>
      </c>
      <c r="E764" s="6" t="str">
        <f>'Reported burning'!E764</f>
        <v>Cropping, Swidden</v>
      </c>
      <c r="F764" s="6" t="str">
        <f>'Reported burning'!F764</f>
        <v>Secondary Vegetation</v>
      </c>
      <c r="G764" s="6">
        <f>'Reported burning'!G764</f>
        <v>0</v>
      </c>
      <c r="H764" s="6" t="str">
        <f>'Reported burning'!H764</f>
        <v>Presence</v>
      </c>
      <c r="I764" s="3"/>
      <c r="J764" s="21" t="s">
        <v>2276</v>
      </c>
      <c r="K764" s="103" t="s">
        <v>2276</v>
      </c>
      <c r="L764" s="21" t="s">
        <v>2276</v>
      </c>
      <c r="M764" s="21" t="s">
        <v>2276</v>
      </c>
      <c r="N764" s="21" t="s">
        <v>2276</v>
      </c>
      <c r="O764" s="21" t="s">
        <v>2276</v>
      </c>
      <c r="P764" s="21" t="s">
        <v>2276</v>
      </c>
      <c r="Q764" s="102" t="s">
        <v>2276</v>
      </c>
      <c r="R764" s="102" t="s">
        <v>2276</v>
      </c>
      <c r="S764" s="21" t="s">
        <v>2276</v>
      </c>
      <c r="T764" s="21" t="s">
        <v>2276</v>
      </c>
      <c r="U764" s="21" t="s">
        <v>2276</v>
      </c>
      <c r="V764" s="21" t="s">
        <v>2276</v>
      </c>
      <c r="W764" s="21" t="s">
        <v>2276</v>
      </c>
      <c r="X764" s="3" t="s">
        <v>189</v>
      </c>
      <c r="Y764" s="3" t="s">
        <v>189</v>
      </c>
      <c r="Z764" s="3" t="s">
        <v>64</v>
      </c>
      <c r="AA764" s="3"/>
      <c r="AB764" s="3"/>
    </row>
    <row r="765" spans="1:28" ht="37" customHeight="1">
      <c r="A765" s="6" t="str">
        <f>'Reported burning'!A765</f>
        <v>86a</v>
      </c>
      <c r="B765" s="6" t="str">
        <f>'Reported burning'!B765</f>
        <v>86a.2</v>
      </c>
      <c r="C765" s="6" t="str">
        <f>'Reported burning'!C765</f>
        <v>Human, deliberate</v>
      </c>
      <c r="D765" s="6" t="str">
        <f>'Reported burning'!D765</f>
        <v>Crop field preparation</v>
      </c>
      <c r="E765" s="6" t="str">
        <f>'Reported burning'!E765</f>
        <v>Cropping, Swidden</v>
      </c>
      <c r="F765" s="6" t="str">
        <f>'Reported burning'!F765</f>
        <v>Forest</v>
      </c>
      <c r="G765" s="6">
        <f>'Reported burning'!G765</f>
        <v>0</v>
      </c>
      <c r="H765" s="6" t="str">
        <f>'Reported burning'!H765</f>
        <v>Presence</v>
      </c>
      <c r="I765" s="3"/>
      <c r="J765" s="21" t="s">
        <v>2276</v>
      </c>
      <c r="K765" s="103" t="s">
        <v>2276</v>
      </c>
      <c r="L765" s="21" t="s">
        <v>2276</v>
      </c>
      <c r="M765" s="21" t="s">
        <v>2276</v>
      </c>
      <c r="N765" s="21" t="s">
        <v>2276</v>
      </c>
      <c r="O765" s="21" t="s">
        <v>2276</v>
      </c>
      <c r="P765" s="21" t="s">
        <v>2276</v>
      </c>
      <c r="Q765" s="102" t="s">
        <v>2276</v>
      </c>
      <c r="R765" s="102" t="s">
        <v>2276</v>
      </c>
      <c r="S765" s="21" t="s">
        <v>2276</v>
      </c>
      <c r="T765" s="21" t="s">
        <v>2276</v>
      </c>
      <c r="U765" s="21" t="s">
        <v>2276</v>
      </c>
      <c r="V765" s="21" t="s">
        <v>2276</v>
      </c>
      <c r="W765" s="21" t="s">
        <v>2276</v>
      </c>
      <c r="X765" s="3" t="s">
        <v>189</v>
      </c>
      <c r="Y765" s="3" t="s">
        <v>189</v>
      </c>
      <c r="Z765" s="3" t="s">
        <v>64</v>
      </c>
      <c r="AA765" s="3"/>
      <c r="AB765" s="3"/>
    </row>
    <row r="766" spans="1:28" ht="36.5" customHeight="1">
      <c r="A766" s="6" t="str">
        <f>'Reported burning'!A766</f>
        <v>86a</v>
      </c>
      <c r="B766" s="6" t="str">
        <f>'Reported burning'!B766</f>
        <v>86a.3</v>
      </c>
      <c r="C766" s="6" t="str">
        <f>'Reported burning'!C766</f>
        <v>Human, deliberate</v>
      </c>
      <c r="D766" s="6" t="str">
        <f>'Reported burning'!D766</f>
        <v>Forest clearance</v>
      </c>
      <c r="E766" s="6" t="str">
        <f>'Reported burning'!E766</f>
        <v>Cattle, Extensive</v>
      </c>
      <c r="F766" s="6" t="str">
        <f>'Reported burning'!F766</f>
        <v>Forest</v>
      </c>
      <c r="G766" s="6">
        <f>'Reported burning'!G766</f>
        <v>0</v>
      </c>
      <c r="H766" s="6" t="str">
        <f>'Reported burning'!H766</f>
        <v>Presence</v>
      </c>
      <c r="I766" s="3"/>
      <c r="J766" s="21" t="s">
        <v>2276</v>
      </c>
      <c r="K766" s="103" t="s">
        <v>2276</v>
      </c>
      <c r="L766" s="21" t="s">
        <v>2276</v>
      </c>
      <c r="M766" s="21" t="s">
        <v>2276</v>
      </c>
      <c r="N766" s="21" t="s">
        <v>2276</v>
      </c>
      <c r="O766" s="21" t="s">
        <v>2276</v>
      </c>
      <c r="P766" s="21" t="s">
        <v>2276</v>
      </c>
      <c r="Q766" s="102" t="s">
        <v>2276</v>
      </c>
      <c r="R766" s="102" t="s">
        <v>2276</v>
      </c>
      <c r="S766" s="21" t="s">
        <v>2276</v>
      </c>
      <c r="T766" s="21" t="s">
        <v>2276</v>
      </c>
      <c r="U766" s="21" t="s">
        <v>2276</v>
      </c>
      <c r="V766" s="21" t="s">
        <v>2276</v>
      </c>
      <c r="W766" s="21" t="s">
        <v>2276</v>
      </c>
      <c r="X766" s="3" t="s">
        <v>189</v>
      </c>
      <c r="Y766" s="3" t="s">
        <v>189</v>
      </c>
      <c r="Z766" s="3" t="s">
        <v>64</v>
      </c>
      <c r="AA766" s="3"/>
      <c r="AB766" s="3"/>
    </row>
    <row r="767" spans="1:28" ht="36" customHeight="1">
      <c r="A767" s="6" t="str">
        <f>'Reported burning'!A767</f>
        <v>86a</v>
      </c>
      <c r="B767" s="6" t="str">
        <f>'Reported burning'!B767</f>
        <v>86a.4</v>
      </c>
      <c r="C767" s="6" t="str">
        <f>'Reported burning'!C767</f>
        <v>Human, deliberate</v>
      </c>
      <c r="D767" s="6" t="str">
        <f>'Reported burning'!D767</f>
        <v>Pasture renewal</v>
      </c>
      <c r="E767" s="6" t="str">
        <f>'Reported burning'!E767</f>
        <v>Cattle, Extensive</v>
      </c>
      <c r="F767" s="6" t="str">
        <f>'Reported burning'!F767</f>
        <v>Forest</v>
      </c>
      <c r="G767" s="6">
        <f>'Reported burning'!G767</f>
        <v>0</v>
      </c>
      <c r="H767" s="6" t="str">
        <f>'Reported burning'!H767</f>
        <v>Presence</v>
      </c>
      <c r="I767" s="3"/>
      <c r="J767" s="21" t="s">
        <v>2276</v>
      </c>
      <c r="K767" s="103" t="s">
        <v>2276</v>
      </c>
      <c r="L767" s="21" t="s">
        <v>2276</v>
      </c>
      <c r="M767" s="21" t="s">
        <v>2276</v>
      </c>
      <c r="N767" s="21" t="s">
        <v>2276</v>
      </c>
      <c r="O767" s="21" t="s">
        <v>2276</v>
      </c>
      <c r="P767" s="21" t="s">
        <v>2276</v>
      </c>
      <c r="Q767" s="102" t="s">
        <v>2276</v>
      </c>
      <c r="R767" s="102" t="s">
        <v>2276</v>
      </c>
      <c r="S767" s="21" t="s">
        <v>2276</v>
      </c>
      <c r="T767" s="21" t="s">
        <v>2276</v>
      </c>
      <c r="U767" s="21" t="s">
        <v>2276</v>
      </c>
      <c r="V767" s="21" t="s">
        <v>2276</v>
      </c>
      <c r="W767" s="21" t="s">
        <v>2276</v>
      </c>
      <c r="X767" s="3" t="s">
        <v>189</v>
      </c>
      <c r="Y767" s="3" t="s">
        <v>189</v>
      </c>
      <c r="Z767" s="3" t="s">
        <v>64</v>
      </c>
      <c r="AA767" s="3"/>
      <c r="AB767" s="3"/>
    </row>
    <row r="768" spans="1:28" ht="63.5" customHeight="1">
      <c r="A768" s="6" t="str">
        <f>'Reported burning'!A768</f>
        <v>86a</v>
      </c>
      <c r="B768" s="6" t="str">
        <f>'Reported burning'!B768</f>
        <v>86a.5</v>
      </c>
      <c r="C768" s="6" t="str">
        <f>'Reported burning'!C768</f>
        <v>Human, deliberate</v>
      </c>
      <c r="D768" s="6" t="str">
        <f>'Reported burning'!D768</f>
        <v>Arson</v>
      </c>
      <c r="E768" s="6" t="str">
        <f>'Reported burning'!E768</f>
        <v>ND</v>
      </c>
      <c r="F768" s="6" t="str">
        <f>'Reported burning'!F768</f>
        <v>Forest</v>
      </c>
      <c r="G768" s="6">
        <f>'Reported burning'!G768</f>
        <v>0</v>
      </c>
      <c r="H768" s="6" t="str">
        <f>'Reported burning'!H768</f>
        <v>Presence</v>
      </c>
      <c r="I768" s="3"/>
      <c r="J768" s="21" t="s">
        <v>2276</v>
      </c>
      <c r="K768" s="103" t="s">
        <v>2276</v>
      </c>
      <c r="L768" s="21" t="s">
        <v>2276</v>
      </c>
      <c r="M768" s="21" t="s">
        <v>2276</v>
      </c>
      <c r="N768" s="21" t="s">
        <v>2276</v>
      </c>
      <c r="O768" s="21" t="s">
        <v>2276</v>
      </c>
      <c r="P768" s="21" t="s">
        <v>2276</v>
      </c>
      <c r="Q768" s="102" t="s">
        <v>2276</v>
      </c>
      <c r="R768" s="102" t="s">
        <v>2276</v>
      </c>
      <c r="S768" s="21" t="s">
        <v>2276</v>
      </c>
      <c r="T768" s="21" t="s">
        <v>2276</v>
      </c>
      <c r="U768" s="21" t="s">
        <v>2276</v>
      </c>
      <c r="V768" s="21" t="s">
        <v>2276</v>
      </c>
      <c r="W768" s="21" t="s">
        <v>2276</v>
      </c>
      <c r="X768" s="3" t="s">
        <v>2276</v>
      </c>
      <c r="Y768" s="3" t="s">
        <v>2276</v>
      </c>
      <c r="Z768" s="11" t="s">
        <v>1188</v>
      </c>
      <c r="AA768" s="4" t="s">
        <v>1189</v>
      </c>
      <c r="AB768" s="3"/>
    </row>
    <row r="769" spans="1:28" ht="53" customHeight="1">
      <c r="A769" s="6" t="str">
        <f>'Reported burning'!A769</f>
        <v>87a</v>
      </c>
      <c r="B769" s="6" t="str">
        <f>'Reported burning'!B769</f>
        <v>87a.1</v>
      </c>
      <c r="C769" s="6" t="str">
        <f>'Reported burning'!C769</f>
        <v>Human, deliberate</v>
      </c>
      <c r="D769" s="6" t="str">
        <f>'Reported burning'!D769</f>
        <v>Crop field preparation</v>
      </c>
      <c r="E769" s="6" t="str">
        <f>'Reported burning'!E769</f>
        <v>Cropping, Swidden</v>
      </c>
      <c r="F769" s="6" t="str">
        <f>'Reported burning'!F769</f>
        <v>Secondary Vegetation</v>
      </c>
      <c r="G769" s="6">
        <f>'Reported burning'!G769</f>
        <v>0</v>
      </c>
      <c r="H769" s="6" t="str">
        <f>'Reported burning'!H769</f>
        <v>Presence</v>
      </c>
      <c r="I769" s="3"/>
      <c r="J769" s="21" t="s">
        <v>2276</v>
      </c>
      <c r="K769" s="103" t="s">
        <v>2276</v>
      </c>
      <c r="L769" s="21" t="s">
        <v>2276</v>
      </c>
      <c r="M769" s="21" t="s">
        <v>2276</v>
      </c>
      <c r="N769" s="21" t="s">
        <v>2362</v>
      </c>
      <c r="O769" s="21" t="s">
        <v>2276</v>
      </c>
      <c r="P769" s="21" t="s">
        <v>2276</v>
      </c>
      <c r="Q769" s="102" t="s">
        <v>2276</v>
      </c>
      <c r="R769" s="102" t="s">
        <v>2276</v>
      </c>
      <c r="S769" s="21" t="s">
        <v>2276</v>
      </c>
      <c r="T769" s="21" t="s">
        <v>2276</v>
      </c>
      <c r="U769" s="21" t="s">
        <v>2276</v>
      </c>
      <c r="V769" s="21" t="s">
        <v>2276</v>
      </c>
      <c r="W769" s="21" t="s">
        <v>2276</v>
      </c>
      <c r="X769" s="3" t="s">
        <v>2276</v>
      </c>
      <c r="Y769" s="3" t="s">
        <v>2276</v>
      </c>
      <c r="Z769" s="3" t="s">
        <v>2276</v>
      </c>
      <c r="AA769" s="3" t="s">
        <v>1202</v>
      </c>
      <c r="AB769" s="4" t="s">
        <v>1215</v>
      </c>
    </row>
    <row r="770" spans="1:28" ht="49.5" customHeight="1">
      <c r="A770" s="6" t="str">
        <f>'Reported burning'!A770</f>
        <v>87b</v>
      </c>
      <c r="B770" s="6" t="str">
        <f>'Reported burning'!B770</f>
        <v>87b.1</v>
      </c>
      <c r="C770" s="6" t="str">
        <f>'Reported burning'!C770</f>
        <v>Human, deliberate</v>
      </c>
      <c r="D770" s="6" t="str">
        <f>'Reported burning'!D770</f>
        <v>Crop field preparation</v>
      </c>
      <c r="E770" s="6" t="str">
        <f>'Reported burning'!E770</f>
        <v>Cropping, Swidden</v>
      </c>
      <c r="F770" s="6" t="str">
        <f>'Reported burning'!F770</f>
        <v>Secondary Vegetation</v>
      </c>
      <c r="G770" s="6">
        <f>'Reported burning'!G770</f>
        <v>0</v>
      </c>
      <c r="H770" s="6" t="str">
        <f>'Reported burning'!H770</f>
        <v>Presence</v>
      </c>
      <c r="I770" s="3"/>
      <c r="J770" s="21" t="s">
        <v>2276</v>
      </c>
      <c r="K770" s="103" t="s">
        <v>2276</v>
      </c>
      <c r="L770" s="21" t="s">
        <v>2276</v>
      </c>
      <c r="M770" s="21" t="s">
        <v>2276</v>
      </c>
      <c r="N770" s="21" t="s">
        <v>2362</v>
      </c>
      <c r="O770" s="21" t="s">
        <v>2276</v>
      </c>
      <c r="P770" s="21" t="s">
        <v>2276</v>
      </c>
      <c r="Q770" s="102" t="s">
        <v>2276</v>
      </c>
      <c r="R770" s="102" t="s">
        <v>2276</v>
      </c>
      <c r="S770" s="21" t="s">
        <v>2376</v>
      </c>
      <c r="T770" s="21" t="s">
        <v>2276</v>
      </c>
      <c r="U770" s="21" t="s">
        <v>2527</v>
      </c>
      <c r="V770" s="21" t="s">
        <v>2276</v>
      </c>
      <c r="W770" s="21" t="s">
        <v>2276</v>
      </c>
      <c r="X770" s="3" t="s">
        <v>2276</v>
      </c>
      <c r="Y770" s="3" t="s">
        <v>2276</v>
      </c>
      <c r="Z770" s="3" t="s">
        <v>2276</v>
      </c>
      <c r="AA770" s="3" t="s">
        <v>1202</v>
      </c>
      <c r="AB770" s="4" t="s">
        <v>1215</v>
      </c>
    </row>
    <row r="771" spans="1:28" ht="54" customHeight="1">
      <c r="A771" s="6" t="str">
        <f>'Reported burning'!A771</f>
        <v>87c</v>
      </c>
      <c r="B771" s="6" t="str">
        <f>'Reported burning'!B771</f>
        <v>87c.1</v>
      </c>
      <c r="C771" s="6" t="str">
        <f>'Reported burning'!C771</f>
        <v>Human, deliberate</v>
      </c>
      <c r="D771" s="6" t="str">
        <f>'Reported burning'!D771</f>
        <v>Crop field preparation</v>
      </c>
      <c r="E771" s="6" t="str">
        <f>'Reported burning'!E771</f>
        <v>Cropping, Swidden</v>
      </c>
      <c r="F771" s="6" t="str">
        <f>'Reported burning'!F771</f>
        <v>Secondary Vegetation</v>
      </c>
      <c r="G771" s="6">
        <f>'Reported burning'!G771</f>
        <v>0</v>
      </c>
      <c r="H771" s="6" t="str">
        <f>'Reported burning'!H771</f>
        <v>Presence</v>
      </c>
      <c r="I771" s="3"/>
      <c r="J771" s="21" t="s">
        <v>2276</v>
      </c>
      <c r="K771" s="103" t="s">
        <v>2276</v>
      </c>
      <c r="L771" s="21" t="s">
        <v>2276</v>
      </c>
      <c r="M771" s="21" t="s">
        <v>2276</v>
      </c>
      <c r="N771" s="21" t="s">
        <v>2362</v>
      </c>
      <c r="O771" s="21" t="s">
        <v>2276</v>
      </c>
      <c r="P771" s="21" t="s">
        <v>2276</v>
      </c>
      <c r="Q771" s="102" t="s">
        <v>2276</v>
      </c>
      <c r="R771" s="102" t="s">
        <v>2276</v>
      </c>
      <c r="S771" s="21" t="s">
        <v>2376</v>
      </c>
      <c r="T771" s="21" t="s">
        <v>2276</v>
      </c>
      <c r="U771" s="21" t="s">
        <v>2527</v>
      </c>
      <c r="V771" s="21" t="s">
        <v>2276</v>
      </c>
      <c r="W771" s="21" t="s">
        <v>2276</v>
      </c>
      <c r="X771" s="3" t="s">
        <v>2276</v>
      </c>
      <c r="Y771" s="3" t="s">
        <v>2276</v>
      </c>
      <c r="Z771" s="3" t="s">
        <v>2276</v>
      </c>
      <c r="AA771" s="4" t="s">
        <v>1203</v>
      </c>
      <c r="AB771" s="4" t="s">
        <v>1215</v>
      </c>
    </row>
    <row r="772" spans="1:28" ht="37" customHeight="1">
      <c r="A772" s="6" t="str">
        <f>'Reported burning'!A772</f>
        <v>88a</v>
      </c>
      <c r="B772" s="6" t="str">
        <f>'Reported burning'!B772</f>
        <v>88a.1</v>
      </c>
      <c r="C772" s="6" t="str">
        <f>'Reported burning'!C772</f>
        <v>Human, deliberate</v>
      </c>
      <c r="D772" s="6" t="str">
        <f>'Reported burning'!D772</f>
        <v>Crop field preparation</v>
      </c>
      <c r="E772" s="6" t="str">
        <f>'Reported burning'!E772</f>
        <v>Cropping, Swidden</v>
      </c>
      <c r="F772" s="6" t="str">
        <f>'Reported burning'!F772</f>
        <v>Secondary Vegetation</v>
      </c>
      <c r="G772" s="6">
        <f>'Reported burning'!G772</f>
        <v>0</v>
      </c>
      <c r="H772" s="6" t="str">
        <f>'Reported burning'!H772</f>
        <v>Presence</v>
      </c>
      <c r="I772" s="3"/>
      <c r="J772" s="21" t="s">
        <v>2276</v>
      </c>
      <c r="K772" s="103" t="s">
        <v>2276</v>
      </c>
      <c r="L772" s="21" t="s">
        <v>2276</v>
      </c>
      <c r="M772" s="21" t="s">
        <v>2276</v>
      </c>
      <c r="N772" s="21" t="s">
        <v>2276</v>
      </c>
      <c r="O772" s="21" t="s">
        <v>2276</v>
      </c>
      <c r="P772" s="21" t="s">
        <v>2276</v>
      </c>
      <c r="Q772" s="102" t="s">
        <v>2276</v>
      </c>
      <c r="R772" s="102" t="s">
        <v>2276</v>
      </c>
      <c r="S772" s="21" t="s">
        <v>2276</v>
      </c>
      <c r="T772" s="21" t="s">
        <v>2276</v>
      </c>
      <c r="U772" s="21" t="s">
        <v>2276</v>
      </c>
      <c r="V772" s="21" t="s">
        <v>2276</v>
      </c>
      <c r="W772" s="21" t="s">
        <v>2276</v>
      </c>
      <c r="X772" s="3" t="s">
        <v>2276</v>
      </c>
      <c r="Y772" s="3" t="s">
        <v>2276</v>
      </c>
      <c r="Z772" s="3" t="s">
        <v>2276</v>
      </c>
      <c r="AA772" s="3" t="s">
        <v>1213</v>
      </c>
      <c r="AB772" s="4" t="s">
        <v>1216</v>
      </c>
    </row>
    <row r="773" spans="1:28" ht="37" customHeight="1">
      <c r="A773" s="6" t="str">
        <f>'Reported burning'!A773</f>
        <v>88a</v>
      </c>
      <c r="B773" s="6" t="str">
        <f>'Reported burning'!B773</f>
        <v>88a.2</v>
      </c>
      <c r="C773" s="6" t="str">
        <f>'Reported burning'!C773</f>
        <v>Human, deliberate</v>
      </c>
      <c r="D773" s="6" t="str">
        <f>'Reported burning'!D773</f>
        <v>Crop residue burning</v>
      </c>
      <c r="E773" s="6" t="str">
        <f>'Reported burning'!E773</f>
        <v>Cropping, Swidden</v>
      </c>
      <c r="F773" s="6" t="str">
        <f>'Reported burning'!F773</f>
        <v>Secondary Vegetation</v>
      </c>
      <c r="G773" s="6">
        <f>'Reported burning'!G773</f>
        <v>0</v>
      </c>
      <c r="H773" s="6" t="str">
        <f>'Reported burning'!H773</f>
        <v>Presence</v>
      </c>
      <c r="I773" s="3"/>
      <c r="J773" s="21" t="s">
        <v>2276</v>
      </c>
      <c r="K773" s="103" t="s">
        <v>2276</v>
      </c>
      <c r="L773" s="21" t="s">
        <v>2276</v>
      </c>
      <c r="M773" s="21" t="s">
        <v>2276</v>
      </c>
      <c r="N773" s="21" t="s">
        <v>2276</v>
      </c>
      <c r="O773" s="21" t="s">
        <v>2276</v>
      </c>
      <c r="P773" s="21" t="s">
        <v>2276</v>
      </c>
      <c r="Q773" s="102" t="s">
        <v>2276</v>
      </c>
      <c r="R773" s="102" t="s">
        <v>2276</v>
      </c>
      <c r="S773" s="21" t="s">
        <v>2276</v>
      </c>
      <c r="T773" s="21" t="s">
        <v>2276</v>
      </c>
      <c r="U773" s="21" t="s">
        <v>2276</v>
      </c>
      <c r="V773" s="21" t="s">
        <v>2276</v>
      </c>
      <c r="W773" s="21" t="s">
        <v>2276</v>
      </c>
      <c r="X773" s="3" t="s">
        <v>2276</v>
      </c>
      <c r="Y773" s="3" t="s">
        <v>2276</v>
      </c>
      <c r="Z773" s="3" t="s">
        <v>2276</v>
      </c>
      <c r="AA773" s="3"/>
      <c r="AB773" s="4" t="s">
        <v>1221</v>
      </c>
    </row>
    <row r="774" spans="1:28" ht="41.5" customHeight="1">
      <c r="A774" s="6" t="str">
        <f>'Reported burning'!A774</f>
        <v>88b</v>
      </c>
      <c r="B774" s="6" t="str">
        <f>'Reported burning'!B774</f>
        <v>88b.1</v>
      </c>
      <c r="C774" s="6" t="str">
        <f>'Reported burning'!C774</f>
        <v>Human, deliberate</v>
      </c>
      <c r="D774" s="6" t="str">
        <f>'Reported burning'!D774</f>
        <v>Crop field preparation</v>
      </c>
      <c r="E774" s="6" t="str">
        <f>'Reported burning'!E774</f>
        <v>Cropping, Swidden</v>
      </c>
      <c r="F774" s="6" t="str">
        <f>'Reported burning'!F774</f>
        <v>Secondary Vegetation</v>
      </c>
      <c r="G774" s="6">
        <f>'Reported burning'!G774</f>
        <v>0</v>
      </c>
      <c r="H774" s="6" t="str">
        <f>'Reported burning'!H774</f>
        <v>Absence</v>
      </c>
      <c r="I774" s="3"/>
      <c r="J774" s="21" t="s">
        <v>2364</v>
      </c>
      <c r="K774" s="103" t="s">
        <v>2364</v>
      </c>
      <c r="L774" s="21" t="s">
        <v>2364</v>
      </c>
      <c r="M774" s="21" t="s">
        <v>2364</v>
      </c>
      <c r="N774" s="21" t="s">
        <v>2364</v>
      </c>
      <c r="O774" s="21" t="s">
        <v>2364</v>
      </c>
      <c r="P774" s="21" t="s">
        <v>2364</v>
      </c>
      <c r="Q774" s="102" t="s">
        <v>2276</v>
      </c>
      <c r="R774" s="102" t="s">
        <v>2276</v>
      </c>
      <c r="S774" s="21" t="s">
        <v>2364</v>
      </c>
      <c r="T774" s="21" t="s">
        <v>2364</v>
      </c>
      <c r="U774" s="21" t="s">
        <v>2276</v>
      </c>
      <c r="V774" s="21" t="s">
        <v>2364</v>
      </c>
      <c r="W774" s="21" t="s">
        <v>2276</v>
      </c>
      <c r="X774" s="3" t="s">
        <v>2276</v>
      </c>
      <c r="Y774" s="3" t="s">
        <v>2276</v>
      </c>
      <c r="Z774" s="3" t="s">
        <v>2276</v>
      </c>
      <c r="AA774" s="4" t="s">
        <v>1214</v>
      </c>
      <c r="AB774" s="3"/>
    </row>
    <row r="775" spans="1:28" ht="41.5" customHeight="1">
      <c r="A775" s="6" t="str">
        <f>'Reported burning'!A775</f>
        <v>88b</v>
      </c>
      <c r="B775" s="6" t="str">
        <f>'Reported burning'!B775</f>
        <v>88b.2</v>
      </c>
      <c r="C775" s="6" t="str">
        <f>'Reported burning'!C775</f>
        <v>Human, deliberate</v>
      </c>
      <c r="D775" s="6" t="str">
        <f>'Reported burning'!D775</f>
        <v>Crop residue burning</v>
      </c>
      <c r="E775" s="6" t="str">
        <f>'Reported burning'!E775</f>
        <v>Cropping, Swidden</v>
      </c>
      <c r="F775" s="6" t="str">
        <f>'Reported burning'!F775</f>
        <v>Secondary Vegetation</v>
      </c>
      <c r="G775" s="6">
        <f>'Reported burning'!G775</f>
        <v>0</v>
      </c>
      <c r="H775" s="6" t="str">
        <f>'Reported burning'!H775</f>
        <v>Absence</v>
      </c>
      <c r="I775" s="3"/>
      <c r="J775" s="21" t="s">
        <v>2364</v>
      </c>
      <c r="K775" s="103" t="s">
        <v>2364</v>
      </c>
      <c r="L775" s="21" t="s">
        <v>2364</v>
      </c>
      <c r="M775" s="21" t="s">
        <v>2364</v>
      </c>
      <c r="N775" s="21" t="s">
        <v>2364</v>
      </c>
      <c r="O775" s="21" t="s">
        <v>2364</v>
      </c>
      <c r="P775" s="21" t="s">
        <v>2364</v>
      </c>
      <c r="Q775" s="102" t="s">
        <v>2276</v>
      </c>
      <c r="R775" s="102" t="s">
        <v>2276</v>
      </c>
      <c r="S775" s="21" t="s">
        <v>2364</v>
      </c>
      <c r="T775" s="21" t="s">
        <v>2364</v>
      </c>
      <c r="U775" s="21" t="s">
        <v>2276</v>
      </c>
      <c r="V775" s="21" t="s">
        <v>2364</v>
      </c>
      <c r="W775" s="21" t="s">
        <v>2276</v>
      </c>
      <c r="X775" s="3" t="s">
        <v>2276</v>
      </c>
      <c r="Y775" s="3" t="s">
        <v>2276</v>
      </c>
      <c r="Z775" s="3" t="s">
        <v>2276</v>
      </c>
      <c r="AA775" s="4" t="s">
        <v>1214</v>
      </c>
      <c r="AB775" s="3"/>
    </row>
    <row r="776" spans="1:28" ht="39.5" customHeight="1">
      <c r="A776" s="6" t="str">
        <f>'Reported burning'!A776</f>
        <v>88c</v>
      </c>
      <c r="B776" s="6" t="str">
        <f>'Reported burning'!B776</f>
        <v>88c.1</v>
      </c>
      <c r="C776" s="6" t="str">
        <f>'Reported burning'!C776</f>
        <v>Human, deliberate</v>
      </c>
      <c r="D776" s="6" t="str">
        <f>'Reported burning'!D776</f>
        <v>Crop field preparation</v>
      </c>
      <c r="E776" s="6" t="str">
        <f>'Reported burning'!E776</f>
        <v>Cropping, Swidden</v>
      </c>
      <c r="F776" s="6" t="str">
        <f>'Reported burning'!F776</f>
        <v>Secondary Vegetation</v>
      </c>
      <c r="G776" s="6">
        <f>'Reported burning'!G776</f>
        <v>0</v>
      </c>
      <c r="H776" s="6" t="str">
        <f>'Reported burning'!H776</f>
        <v>Presence</v>
      </c>
      <c r="I776" s="3"/>
      <c r="J776" s="21" t="s">
        <v>2276</v>
      </c>
      <c r="K776" s="103" t="s">
        <v>2276</v>
      </c>
      <c r="L776" s="21" t="s">
        <v>2276</v>
      </c>
      <c r="M776" s="21" t="s">
        <v>2276</v>
      </c>
      <c r="N776" s="21" t="s">
        <v>2276</v>
      </c>
      <c r="O776" s="21" t="s">
        <v>2276</v>
      </c>
      <c r="P776" s="21" t="s">
        <v>2276</v>
      </c>
      <c r="Q776" s="102" t="s">
        <v>2276</v>
      </c>
      <c r="R776" s="102" t="s">
        <v>2276</v>
      </c>
      <c r="S776" s="21" t="s">
        <v>2276</v>
      </c>
      <c r="T776" s="21" t="s">
        <v>2276</v>
      </c>
      <c r="U776" s="21" t="s">
        <v>2276</v>
      </c>
      <c r="V776" s="21" t="s">
        <v>2276</v>
      </c>
      <c r="W776" s="21" t="s">
        <v>2276</v>
      </c>
      <c r="X776" s="3" t="s">
        <v>2276</v>
      </c>
      <c r="Y776" s="3" t="s">
        <v>2276</v>
      </c>
      <c r="Z776" s="3" t="s">
        <v>2276</v>
      </c>
      <c r="AA776" s="3" t="s">
        <v>1213</v>
      </c>
      <c r="AB776" s="4" t="s">
        <v>1216</v>
      </c>
    </row>
    <row r="777" spans="1:28" ht="39.5" customHeight="1">
      <c r="A777" s="6" t="str">
        <f>'Reported burning'!A777</f>
        <v>88c</v>
      </c>
      <c r="B777" s="6" t="str">
        <f>'Reported burning'!B777</f>
        <v>88c.2</v>
      </c>
      <c r="C777" s="6" t="str">
        <f>'Reported burning'!C777</f>
        <v>Human, deliberate</v>
      </c>
      <c r="D777" s="6" t="str">
        <f>'Reported burning'!D777</f>
        <v>Crop residue burning</v>
      </c>
      <c r="E777" s="6" t="str">
        <f>'Reported burning'!E777</f>
        <v>Cropping, Swidden</v>
      </c>
      <c r="F777" s="6" t="str">
        <f>'Reported burning'!F777</f>
        <v>Secondary Vegetation</v>
      </c>
      <c r="G777" s="6">
        <f>'Reported burning'!G777</f>
        <v>0</v>
      </c>
      <c r="H777" s="6" t="str">
        <f>'Reported burning'!H777</f>
        <v>Presence</v>
      </c>
      <c r="I777" s="3"/>
      <c r="J777" s="21" t="s">
        <v>2276</v>
      </c>
      <c r="K777" s="103" t="s">
        <v>2276</v>
      </c>
      <c r="L777" s="21" t="s">
        <v>2276</v>
      </c>
      <c r="M777" s="21" t="s">
        <v>2276</v>
      </c>
      <c r="N777" s="21" t="s">
        <v>2276</v>
      </c>
      <c r="O777" s="21" t="s">
        <v>2276</v>
      </c>
      <c r="P777" s="21" t="s">
        <v>2276</v>
      </c>
      <c r="Q777" s="102" t="s">
        <v>2276</v>
      </c>
      <c r="R777" s="102" t="s">
        <v>2276</v>
      </c>
      <c r="S777" s="21" t="s">
        <v>2276</v>
      </c>
      <c r="T777" s="21" t="s">
        <v>2276</v>
      </c>
      <c r="U777" s="21" t="s">
        <v>2276</v>
      </c>
      <c r="V777" s="21" t="s">
        <v>2276</v>
      </c>
      <c r="W777" s="21" t="s">
        <v>2276</v>
      </c>
      <c r="X777" s="3" t="s">
        <v>2276</v>
      </c>
      <c r="Y777" s="3" t="s">
        <v>2276</v>
      </c>
      <c r="Z777" s="3" t="s">
        <v>2276</v>
      </c>
      <c r="AA777" s="3"/>
      <c r="AB777" s="4" t="s">
        <v>1221</v>
      </c>
    </row>
    <row r="778" spans="1:28" ht="37" customHeight="1">
      <c r="A778" s="6" t="str">
        <f>'Reported burning'!A778</f>
        <v>88d</v>
      </c>
      <c r="B778" s="6" t="str">
        <f>'Reported burning'!B778</f>
        <v>88d.1</v>
      </c>
      <c r="C778" s="6" t="str">
        <f>'Reported burning'!C778</f>
        <v>Human, deliberate</v>
      </c>
      <c r="D778" s="6" t="str">
        <f>'Reported burning'!D778</f>
        <v>Crop field preparation</v>
      </c>
      <c r="E778" s="6" t="str">
        <f>'Reported burning'!E778</f>
        <v>Cropping, Swidden</v>
      </c>
      <c r="F778" s="6" t="str">
        <f>'Reported burning'!F778</f>
        <v>Secondary Vegetation</v>
      </c>
      <c r="G778" s="6">
        <f>'Reported burning'!G778</f>
        <v>0</v>
      </c>
      <c r="H778" s="6" t="str">
        <f>'Reported burning'!H778</f>
        <v>Absence</v>
      </c>
      <c r="I778" s="3"/>
      <c r="J778" s="21" t="s">
        <v>2364</v>
      </c>
      <c r="K778" s="103" t="s">
        <v>2364</v>
      </c>
      <c r="L778" s="21" t="s">
        <v>2364</v>
      </c>
      <c r="M778" s="21" t="s">
        <v>2364</v>
      </c>
      <c r="N778" s="21" t="s">
        <v>2364</v>
      </c>
      <c r="O778" s="21" t="s">
        <v>2364</v>
      </c>
      <c r="P778" s="21" t="s">
        <v>2364</v>
      </c>
      <c r="Q778" s="102" t="s">
        <v>2276</v>
      </c>
      <c r="R778" s="102" t="s">
        <v>2276</v>
      </c>
      <c r="S778" s="21" t="s">
        <v>2364</v>
      </c>
      <c r="T778" s="21" t="s">
        <v>2364</v>
      </c>
      <c r="U778" s="21" t="s">
        <v>2276</v>
      </c>
      <c r="V778" s="21" t="s">
        <v>2364</v>
      </c>
      <c r="W778" s="21" t="s">
        <v>2276</v>
      </c>
      <c r="X778" s="3" t="s">
        <v>2276</v>
      </c>
      <c r="Y778" s="3" t="s">
        <v>2276</v>
      </c>
      <c r="Z778" s="3" t="s">
        <v>2276</v>
      </c>
      <c r="AA778" s="4" t="s">
        <v>1214</v>
      </c>
      <c r="AB778" s="3"/>
    </row>
    <row r="779" spans="1:28" ht="37" customHeight="1">
      <c r="A779" s="6" t="str">
        <f>'Reported burning'!A779</f>
        <v>88d</v>
      </c>
      <c r="B779" s="6" t="str">
        <f>'Reported burning'!B779</f>
        <v>88d.2</v>
      </c>
      <c r="C779" s="6" t="str">
        <f>'Reported burning'!C779</f>
        <v>Human, deliberate</v>
      </c>
      <c r="D779" s="6" t="str">
        <f>'Reported burning'!D779</f>
        <v>Crop residue burning</v>
      </c>
      <c r="E779" s="6" t="str">
        <f>'Reported burning'!E779</f>
        <v>Cropping, Swidden</v>
      </c>
      <c r="F779" s="6" t="str">
        <f>'Reported burning'!F779</f>
        <v>Secondary Vegetation</v>
      </c>
      <c r="G779" s="6">
        <f>'Reported burning'!G779</f>
        <v>0</v>
      </c>
      <c r="H779" s="6" t="str">
        <f>'Reported burning'!H779</f>
        <v>Absence</v>
      </c>
      <c r="I779" s="3"/>
      <c r="J779" s="21" t="s">
        <v>2364</v>
      </c>
      <c r="K779" s="103" t="s">
        <v>2364</v>
      </c>
      <c r="L779" s="21" t="s">
        <v>2364</v>
      </c>
      <c r="M779" s="21" t="s">
        <v>2364</v>
      </c>
      <c r="N779" s="21" t="s">
        <v>2364</v>
      </c>
      <c r="O779" s="21" t="s">
        <v>2364</v>
      </c>
      <c r="P779" s="21" t="s">
        <v>2364</v>
      </c>
      <c r="Q779" s="102" t="s">
        <v>2276</v>
      </c>
      <c r="R779" s="102" t="s">
        <v>2276</v>
      </c>
      <c r="S779" s="21" t="s">
        <v>2364</v>
      </c>
      <c r="T779" s="21" t="s">
        <v>2364</v>
      </c>
      <c r="U779" s="21" t="s">
        <v>2276</v>
      </c>
      <c r="V779" s="21" t="s">
        <v>2364</v>
      </c>
      <c r="W779" s="21" t="s">
        <v>2276</v>
      </c>
      <c r="X779" s="3" t="s">
        <v>2276</v>
      </c>
      <c r="Y779" s="3" t="s">
        <v>2276</v>
      </c>
      <c r="Z779" s="3" t="s">
        <v>2276</v>
      </c>
      <c r="AA779" s="4" t="s">
        <v>1214</v>
      </c>
      <c r="AB779" s="3"/>
    </row>
    <row r="780" spans="1:28" ht="41" customHeight="1">
      <c r="A780" s="6" t="str">
        <f>'Reported burning'!A780</f>
        <v>89a</v>
      </c>
      <c r="B780" s="6" t="str">
        <f>'Reported burning'!B780</f>
        <v>89a.1</v>
      </c>
      <c r="C780" s="6" t="str">
        <f>'Reported burning'!C780</f>
        <v>Human, deliberate</v>
      </c>
      <c r="D780" s="6" t="str">
        <f>'Reported burning'!D780</f>
        <v>Pyrome management</v>
      </c>
      <c r="E780" s="6" t="str">
        <f>'Reported burning'!E780</f>
        <v>Pastoralism, Migratory</v>
      </c>
      <c r="F780" s="6" t="str">
        <f>'Reported burning'!F780</f>
        <v>Shrubland (Mixed forest &amp; grassland)</v>
      </c>
      <c r="G780" s="6">
        <f>'Reported burning'!G780</f>
        <v>0</v>
      </c>
      <c r="H780" s="6" t="str">
        <f>'Reported burning'!H780</f>
        <v>Presence</v>
      </c>
      <c r="I780" s="3"/>
      <c r="J780" s="21" t="s">
        <v>2276</v>
      </c>
      <c r="K780" s="103" t="s">
        <v>2276</v>
      </c>
      <c r="L780" s="21" t="s">
        <v>2276</v>
      </c>
      <c r="M780" s="21" t="s">
        <v>2276</v>
      </c>
      <c r="N780" s="21" t="s">
        <v>2276</v>
      </c>
      <c r="O780" s="21" t="s">
        <v>2276</v>
      </c>
      <c r="P780" s="21" t="s">
        <v>2276</v>
      </c>
      <c r="Q780" s="102" t="s">
        <v>2276</v>
      </c>
      <c r="R780" s="102" t="s">
        <v>2276</v>
      </c>
      <c r="S780" s="21" t="s">
        <v>2276</v>
      </c>
      <c r="T780" s="21" t="s">
        <v>2276</v>
      </c>
      <c r="U780" s="21" t="s">
        <v>2276</v>
      </c>
      <c r="V780" s="21" t="s">
        <v>2276</v>
      </c>
      <c r="W780" s="21" t="s">
        <v>2276</v>
      </c>
      <c r="X780" s="3" t="s">
        <v>404</v>
      </c>
      <c r="Y780" s="3" t="s">
        <v>35</v>
      </c>
      <c r="Z780" s="3" t="s">
        <v>64</v>
      </c>
      <c r="AA780" s="4" t="s">
        <v>1234</v>
      </c>
      <c r="AB780" s="3"/>
    </row>
    <row r="781" spans="1:28" ht="39" customHeight="1">
      <c r="A781" s="6" t="str">
        <f>'Reported burning'!A781</f>
        <v>89a</v>
      </c>
      <c r="B781" s="6" t="str">
        <f>'Reported burning'!B781</f>
        <v>89a.2</v>
      </c>
      <c r="C781" s="6" t="str">
        <f>'Reported burning'!C781</f>
        <v>Human, deliberate</v>
      </c>
      <c r="D781" s="6" t="str">
        <f>'Reported burning'!D781</f>
        <v>Conservation</v>
      </c>
      <c r="E781" s="6" t="str">
        <f>'Reported burning'!E781</f>
        <v>Biodiversity conservation</v>
      </c>
      <c r="F781" s="6" t="str">
        <f>'Reported burning'!F781</f>
        <v>Shrubland (Mixed forest &amp; grassland)</v>
      </c>
      <c r="G781" s="6">
        <f>'Reported burning'!G781</f>
        <v>0</v>
      </c>
      <c r="H781" s="6" t="str">
        <f>'Reported burning'!H781</f>
        <v>Absence</v>
      </c>
      <c r="I781" s="3"/>
      <c r="J781" s="21" t="s">
        <v>2364</v>
      </c>
      <c r="K781" s="103" t="s">
        <v>2364</v>
      </c>
      <c r="L781" s="21" t="s">
        <v>2364</v>
      </c>
      <c r="M781" s="21" t="s">
        <v>2364</v>
      </c>
      <c r="N781" s="21" t="s">
        <v>2364</v>
      </c>
      <c r="O781" s="21" t="s">
        <v>2364</v>
      </c>
      <c r="P781" s="21" t="s">
        <v>2364</v>
      </c>
      <c r="Q781" s="102" t="s">
        <v>2276</v>
      </c>
      <c r="R781" s="102" t="s">
        <v>2276</v>
      </c>
      <c r="S781" s="21" t="s">
        <v>2364</v>
      </c>
      <c r="T781" s="21" t="s">
        <v>2364</v>
      </c>
      <c r="U781" s="21" t="s">
        <v>2276</v>
      </c>
      <c r="V781" s="21" t="s">
        <v>2364</v>
      </c>
      <c r="W781" s="21" t="s">
        <v>2276</v>
      </c>
      <c r="X781" s="3" t="s">
        <v>2276</v>
      </c>
      <c r="Y781" s="3" t="s">
        <v>2276</v>
      </c>
      <c r="Z781" s="3" t="s">
        <v>2276</v>
      </c>
      <c r="AA781" s="4" t="s">
        <v>1236</v>
      </c>
      <c r="AB781" s="3"/>
    </row>
    <row r="782" spans="1:28" ht="39" customHeight="1">
      <c r="A782" s="6" t="str">
        <f>'Reported burning'!A782</f>
        <v>89a</v>
      </c>
      <c r="B782" s="6" t="str">
        <f>'Reported burning'!B782</f>
        <v>89a.3</v>
      </c>
      <c r="C782" s="6" t="str">
        <f>'Reported burning'!C782</f>
        <v>Human, deliberate</v>
      </c>
      <c r="D782" s="6" t="str">
        <f>'Reported burning'!D782</f>
        <v>Pest management</v>
      </c>
      <c r="E782" s="6" t="str">
        <f>'Reported burning'!E782</f>
        <v>Pastoralism, Migratory</v>
      </c>
      <c r="F782" s="6" t="str">
        <f>'Reported burning'!F782</f>
        <v>Shrubland (Mixed forest &amp; grassland)</v>
      </c>
      <c r="G782" s="6">
        <f>'Reported burning'!G782</f>
        <v>0</v>
      </c>
      <c r="H782" s="6" t="str">
        <f>'Reported burning'!H782</f>
        <v>Presence</v>
      </c>
      <c r="I782" s="3"/>
      <c r="J782" s="21" t="s">
        <v>2276</v>
      </c>
      <c r="K782" s="103" t="s">
        <v>2276</v>
      </c>
      <c r="L782" s="21" t="s">
        <v>2276</v>
      </c>
      <c r="M782" s="21" t="s">
        <v>2276</v>
      </c>
      <c r="N782" s="21" t="s">
        <v>2276</v>
      </c>
      <c r="O782" s="21" t="s">
        <v>2276</v>
      </c>
      <c r="P782" s="21" t="s">
        <v>2276</v>
      </c>
      <c r="Q782" s="102" t="s">
        <v>2276</v>
      </c>
      <c r="R782" s="102" t="s">
        <v>2276</v>
      </c>
      <c r="S782" s="21" t="s">
        <v>2276</v>
      </c>
      <c r="T782" s="21" t="s">
        <v>2276</v>
      </c>
      <c r="U782" s="21" t="s">
        <v>2276</v>
      </c>
      <c r="V782" s="21" t="s">
        <v>2276</v>
      </c>
      <c r="W782" s="21" t="s">
        <v>2276</v>
      </c>
      <c r="X782" s="3" t="s">
        <v>2276</v>
      </c>
      <c r="Y782" s="3" t="s">
        <v>2276</v>
      </c>
      <c r="Z782" s="3" t="s">
        <v>2276</v>
      </c>
      <c r="AA782" s="4"/>
      <c r="AB782" s="3"/>
    </row>
    <row r="783" spans="1:28" ht="43.5" customHeight="1">
      <c r="A783" s="6" t="str">
        <f>'Reported burning'!A783</f>
        <v>89b</v>
      </c>
      <c r="B783" s="6" t="str">
        <f>'Reported burning'!B783</f>
        <v>89b.1</v>
      </c>
      <c r="C783" s="6" t="str">
        <f>'Reported burning'!C783</f>
        <v>Human, deliberate</v>
      </c>
      <c r="D783" s="6" t="str">
        <f>'Reported burning'!D783</f>
        <v>Pyrome management</v>
      </c>
      <c r="E783" s="6" t="str">
        <f>'Reported burning'!E783</f>
        <v>Biodiversity conservation</v>
      </c>
      <c r="F783" s="6" t="str">
        <f>'Reported burning'!F783</f>
        <v>Shrubland (Mixed forest &amp; grassland)</v>
      </c>
      <c r="G783" s="6">
        <f>'Reported burning'!G783</f>
        <v>0</v>
      </c>
      <c r="H783" s="6" t="str">
        <f>'Reported burning'!H783</f>
        <v>Presence</v>
      </c>
      <c r="I783" s="3"/>
      <c r="J783" s="21" t="s">
        <v>2276</v>
      </c>
      <c r="K783" s="103" t="s">
        <v>2276</v>
      </c>
      <c r="L783" s="21" t="s">
        <v>2276</v>
      </c>
      <c r="M783" s="21" t="s">
        <v>2276</v>
      </c>
      <c r="N783" s="21" t="s">
        <v>2276</v>
      </c>
      <c r="O783" s="21" t="s">
        <v>2276</v>
      </c>
      <c r="P783" s="21" t="s">
        <v>2276</v>
      </c>
      <c r="Q783" s="102" t="s">
        <v>2276</v>
      </c>
      <c r="R783" s="102" t="s">
        <v>2276</v>
      </c>
      <c r="S783" s="21" t="s">
        <v>2390</v>
      </c>
      <c r="T783" s="21" t="s">
        <v>2276</v>
      </c>
      <c r="U783" s="21" t="s">
        <v>2276</v>
      </c>
      <c r="V783" s="21" t="s">
        <v>2276</v>
      </c>
      <c r="W783" s="21" t="s">
        <v>2276</v>
      </c>
      <c r="X783" s="3" t="s">
        <v>86</v>
      </c>
      <c r="Y783" s="3" t="s">
        <v>404</v>
      </c>
      <c r="Z783" s="3" t="s">
        <v>64</v>
      </c>
      <c r="AA783" s="4" t="s">
        <v>1243</v>
      </c>
      <c r="AB783" s="3"/>
    </row>
    <row r="784" spans="1:28" ht="36.5" customHeight="1">
      <c r="A784" s="6" t="str">
        <f>'Reported burning'!A784</f>
        <v>89b</v>
      </c>
      <c r="B784" s="6" t="str">
        <f>'Reported burning'!B784</f>
        <v>89b.2</v>
      </c>
      <c r="C784" s="6" t="str">
        <f>'Reported burning'!C784</f>
        <v>Human, deliberate</v>
      </c>
      <c r="D784" s="6" t="str">
        <f>'Reported burning'!D784</f>
        <v>Hunting</v>
      </c>
      <c r="E784" s="6" t="str">
        <f>'Reported burning'!E784</f>
        <v>Forestry, Traditional</v>
      </c>
      <c r="F784" s="6" t="str">
        <f>'Reported burning'!F784</f>
        <v>Shrubland (Mixed forest &amp; grassland)</v>
      </c>
      <c r="G784" s="6">
        <f>'Reported burning'!G784</f>
        <v>0</v>
      </c>
      <c r="H784" s="6" t="str">
        <f>'Reported burning'!H784</f>
        <v>Presence</v>
      </c>
      <c r="I784" s="3"/>
      <c r="J784" s="21" t="s">
        <v>2276</v>
      </c>
      <c r="K784" s="103" t="s">
        <v>2276</v>
      </c>
      <c r="L784" s="21" t="s">
        <v>2276</v>
      </c>
      <c r="M784" s="21" t="s">
        <v>2276</v>
      </c>
      <c r="N784" s="21" t="s">
        <v>2276</v>
      </c>
      <c r="O784" s="21" t="s">
        <v>2276</v>
      </c>
      <c r="P784" s="21" t="s">
        <v>2276</v>
      </c>
      <c r="Q784" s="102" t="s">
        <v>2276</v>
      </c>
      <c r="R784" s="102" t="s">
        <v>2276</v>
      </c>
      <c r="S784" s="21" t="s">
        <v>2276</v>
      </c>
      <c r="T784" s="21" t="s">
        <v>2276</v>
      </c>
      <c r="U784" s="21" t="s">
        <v>2276</v>
      </c>
      <c r="V784" s="21" t="s">
        <v>2276</v>
      </c>
      <c r="W784" s="21" t="s">
        <v>2276</v>
      </c>
      <c r="X784" s="3" t="s">
        <v>1246</v>
      </c>
      <c r="Y784" s="3" t="s">
        <v>405</v>
      </c>
      <c r="Z784" s="3" t="s">
        <v>64</v>
      </c>
      <c r="AA784" s="3"/>
      <c r="AB784" s="3"/>
    </row>
    <row r="785" spans="1:28" ht="58.5" customHeight="1">
      <c r="A785" s="6" t="str">
        <f>'Reported burning'!A785</f>
        <v>90a</v>
      </c>
      <c r="B785" s="6" t="str">
        <f>'Reported burning'!B785</f>
        <v>90a.1</v>
      </c>
      <c r="C785" s="6" t="str">
        <f>'Reported burning'!C785</f>
        <v>Human, deliberate</v>
      </c>
      <c r="D785" s="6" t="str">
        <f>'Reported burning'!D785</f>
        <v>Crop field preparation</v>
      </c>
      <c r="E785" s="6" t="str">
        <f>'Reported burning'!E785</f>
        <v>Cropping, Swidden</v>
      </c>
      <c r="F785" s="6" t="str">
        <f>'Reported burning'!F785</f>
        <v>Forest</v>
      </c>
      <c r="G785" s="6" t="str">
        <f>'Reported burning'!G785</f>
        <v>Forest</v>
      </c>
      <c r="H785" s="6" t="str">
        <f>'Reported burning'!H785</f>
        <v>Presence</v>
      </c>
      <c r="I785" s="3"/>
      <c r="J785" s="21" t="s">
        <v>2276</v>
      </c>
      <c r="K785" s="103" t="s">
        <v>2276</v>
      </c>
      <c r="L785" s="21" t="s">
        <v>2276</v>
      </c>
      <c r="M785" s="21" t="s">
        <v>2276</v>
      </c>
      <c r="N785" s="21" t="s">
        <v>2276</v>
      </c>
      <c r="O785" s="21" t="s">
        <v>2276</v>
      </c>
      <c r="P785" s="21" t="s">
        <v>2276</v>
      </c>
      <c r="Q785" s="21" t="s">
        <v>2276</v>
      </c>
      <c r="R785" s="21" t="s">
        <v>2276</v>
      </c>
      <c r="S785" s="21" t="s">
        <v>2276</v>
      </c>
      <c r="T785" s="21" t="s">
        <v>2276</v>
      </c>
      <c r="U785" s="21" t="s">
        <v>2276</v>
      </c>
      <c r="V785" s="21" t="s">
        <v>2276</v>
      </c>
      <c r="W785" s="103" t="s">
        <v>2402</v>
      </c>
      <c r="X785" s="21" t="s">
        <v>2276</v>
      </c>
      <c r="Y785" s="21" t="s">
        <v>2276</v>
      </c>
      <c r="Z785" s="21" t="s">
        <v>2276</v>
      </c>
      <c r="AA785" s="3"/>
      <c r="AB785" s="4" t="s">
        <v>2457</v>
      </c>
    </row>
    <row r="786" spans="1:28" ht="49.5" customHeight="1">
      <c r="A786" s="6" t="str">
        <f>'Reported burning'!A786</f>
        <v>90a</v>
      </c>
      <c r="B786" s="6" t="str">
        <f>'Reported burning'!B786</f>
        <v>90a.2</v>
      </c>
      <c r="C786" s="6" t="str">
        <f>'Reported burning'!C786</f>
        <v>Human, escaped</v>
      </c>
      <c r="D786" s="6" t="str">
        <f>'Reported burning'!D786</f>
        <v>Crop field preparation</v>
      </c>
      <c r="E786" s="6" t="str">
        <f>'Reported burning'!E786</f>
        <v>Cropping, Swidden</v>
      </c>
      <c r="F786" s="6" t="str">
        <f>'Reported burning'!F786</f>
        <v>ND</v>
      </c>
      <c r="G786" s="6" t="str">
        <f>'Reported burning'!G786</f>
        <v>Forest</v>
      </c>
      <c r="H786" s="6" t="str">
        <f>'Reported burning'!H786</f>
        <v>Presence</v>
      </c>
      <c r="I786" s="3"/>
      <c r="J786" s="21" t="s">
        <v>2276</v>
      </c>
      <c r="K786" s="103" t="s">
        <v>2276</v>
      </c>
      <c r="L786" s="21" t="s">
        <v>2276</v>
      </c>
      <c r="M786" s="21" t="s">
        <v>2276</v>
      </c>
      <c r="N786" s="21" t="s">
        <v>2276</v>
      </c>
      <c r="O786" s="21" t="s">
        <v>2276</v>
      </c>
      <c r="P786" s="21" t="s">
        <v>2276</v>
      </c>
      <c r="Q786" s="21" t="s">
        <v>2276</v>
      </c>
      <c r="R786" s="21" t="s">
        <v>2276</v>
      </c>
      <c r="S786" s="21" t="s">
        <v>2276</v>
      </c>
      <c r="T786" s="21" t="s">
        <v>2276</v>
      </c>
      <c r="U786" s="21" t="s">
        <v>2276</v>
      </c>
      <c r="V786" s="21" t="s">
        <v>2276</v>
      </c>
      <c r="W786" s="103" t="s">
        <v>2402</v>
      </c>
      <c r="X786" s="21" t="s">
        <v>2276</v>
      </c>
      <c r="Y786" s="21" t="s">
        <v>2276</v>
      </c>
      <c r="Z786" s="21" t="s">
        <v>2276</v>
      </c>
      <c r="AA786" s="3" t="s">
        <v>2456</v>
      </c>
      <c r="AB786" s="3"/>
    </row>
    <row r="787" spans="1:28" ht="43.5" customHeight="1">
      <c r="A787" s="6" t="str">
        <f>'Reported burning'!A787</f>
        <v>90b</v>
      </c>
      <c r="B787" s="6" t="str">
        <f>'Reported burning'!B787</f>
        <v>90b.1</v>
      </c>
      <c r="C787" s="6" t="str">
        <f>'Reported burning'!C787</f>
        <v>Human, deliberate</v>
      </c>
      <c r="D787" s="6" t="str">
        <f>'Reported burning'!D787</f>
        <v>Crop field preparation</v>
      </c>
      <c r="E787" s="6" t="str">
        <f>'Reported burning'!E787</f>
        <v>Cropping, Swidden</v>
      </c>
      <c r="F787" s="6" t="str">
        <f>'Reported burning'!F787</f>
        <v>Secondary Vegetation</v>
      </c>
      <c r="G787" s="6" t="str">
        <f>'Reported burning'!G787</f>
        <v>Secondary Vegetation</v>
      </c>
      <c r="H787" s="6" t="str">
        <f>'Reported burning'!H787</f>
        <v>Presence</v>
      </c>
      <c r="I787" s="3"/>
      <c r="J787" s="21" t="s">
        <v>2276</v>
      </c>
      <c r="K787" s="103" t="s">
        <v>2276</v>
      </c>
      <c r="L787" s="21" t="s">
        <v>2276</v>
      </c>
      <c r="M787" s="21" t="s">
        <v>2276</v>
      </c>
      <c r="N787" s="21" t="s">
        <v>2276</v>
      </c>
      <c r="O787" s="21" t="s">
        <v>2276</v>
      </c>
      <c r="P787" s="21" t="s">
        <v>2276</v>
      </c>
      <c r="Q787" s="21" t="s">
        <v>2276</v>
      </c>
      <c r="R787" s="21" t="s">
        <v>2276</v>
      </c>
      <c r="S787" s="21" t="s">
        <v>2276</v>
      </c>
      <c r="T787" s="21" t="s">
        <v>2276</v>
      </c>
      <c r="U787" s="21" t="s">
        <v>2276</v>
      </c>
      <c r="V787" s="21" t="s">
        <v>2276</v>
      </c>
      <c r="W787" s="103" t="s">
        <v>2402</v>
      </c>
      <c r="X787" s="21" t="s">
        <v>2276</v>
      </c>
      <c r="Y787" s="21" t="s">
        <v>2276</v>
      </c>
      <c r="Z787" s="21" t="s">
        <v>2276</v>
      </c>
      <c r="AA787" s="3"/>
      <c r="AB787" s="3"/>
    </row>
    <row r="788" spans="1:28" ht="42.5" customHeight="1">
      <c r="A788" s="6" t="str">
        <f>'Reported burning'!A788</f>
        <v>90b</v>
      </c>
      <c r="B788" s="6" t="str">
        <f>'Reported burning'!B788</f>
        <v>90b.2</v>
      </c>
      <c r="C788" s="6" t="str">
        <f>'Reported burning'!C788</f>
        <v>Human, deliberate</v>
      </c>
      <c r="D788" s="6" t="str">
        <f>'Reported burning'!D788</f>
        <v>Crop field preparation</v>
      </c>
      <c r="E788" s="6" t="str">
        <f>'Reported burning'!E788</f>
        <v>Cropping, Swidden</v>
      </c>
      <c r="F788" s="6" t="str">
        <f>'Reported burning'!F788</f>
        <v>Cropland</v>
      </c>
      <c r="G788" s="6" t="str">
        <f>'Reported burning'!G788</f>
        <v>Cropland</v>
      </c>
      <c r="H788" s="6" t="str">
        <f>'Reported burning'!H788</f>
        <v>Presence</v>
      </c>
      <c r="I788" s="3"/>
      <c r="J788" s="21" t="s">
        <v>2276</v>
      </c>
      <c r="K788" s="103" t="s">
        <v>2276</v>
      </c>
      <c r="L788" s="21" t="s">
        <v>2276</v>
      </c>
      <c r="M788" s="21" t="s">
        <v>2276</v>
      </c>
      <c r="N788" s="21" t="s">
        <v>2276</v>
      </c>
      <c r="O788" s="21" t="s">
        <v>2276</v>
      </c>
      <c r="P788" s="21" t="s">
        <v>2276</v>
      </c>
      <c r="Q788" s="21" t="s">
        <v>2276</v>
      </c>
      <c r="R788" s="21" t="s">
        <v>2276</v>
      </c>
      <c r="S788" s="21" t="s">
        <v>2276</v>
      </c>
      <c r="T788" s="21" t="s">
        <v>2276</v>
      </c>
      <c r="U788" s="21" t="s">
        <v>2276</v>
      </c>
      <c r="V788" s="21" t="s">
        <v>2276</v>
      </c>
      <c r="W788" s="103" t="s">
        <v>2402</v>
      </c>
      <c r="X788" s="21" t="s">
        <v>2276</v>
      </c>
      <c r="Y788" s="21" t="s">
        <v>2276</v>
      </c>
      <c r="Z788" s="21" t="s">
        <v>2276</v>
      </c>
      <c r="AA788" s="3"/>
      <c r="AB788" s="3"/>
    </row>
    <row r="789" spans="1:28">
      <c r="A789" s="6" t="str">
        <f>'Reported burning'!A789</f>
        <v>91a</v>
      </c>
      <c r="B789" s="6" t="str">
        <f>'Reported burning'!B789</f>
        <v>91a.1</v>
      </c>
      <c r="C789" s="6" t="str">
        <f>'Reported burning'!C789</f>
        <v>Human, deliberate</v>
      </c>
      <c r="D789" s="6" t="str">
        <f>'Reported burning'!D789</f>
        <v>Crop field preparation</v>
      </c>
      <c r="E789" s="6" t="str">
        <f>'Reported burning'!E789</f>
        <v>Cropping, Swidden</v>
      </c>
      <c r="F789" s="6" t="str">
        <f>'Reported burning'!F789</f>
        <v>Secondary Vegetation</v>
      </c>
      <c r="G789" s="6" t="str">
        <f>'Reported burning'!G789</f>
        <v>ND</v>
      </c>
      <c r="H789" s="6" t="str">
        <f>'Reported burning'!H789</f>
        <v>Presence</v>
      </c>
      <c r="I789" s="3"/>
      <c r="J789" s="21" t="s">
        <v>2276</v>
      </c>
      <c r="K789" s="103" t="s">
        <v>2362</v>
      </c>
      <c r="L789" s="21" t="s">
        <v>2276</v>
      </c>
      <c r="M789" s="103" t="s">
        <v>2362</v>
      </c>
      <c r="N789" s="21" t="s">
        <v>2276</v>
      </c>
      <c r="O789" s="103" t="s">
        <v>2362</v>
      </c>
      <c r="P789" s="21" t="s">
        <v>2276</v>
      </c>
      <c r="Q789" s="103" t="s">
        <v>2362</v>
      </c>
      <c r="R789" s="21" t="s">
        <v>2276</v>
      </c>
      <c r="S789" s="21" t="s">
        <v>2276</v>
      </c>
      <c r="T789" s="21" t="s">
        <v>2276</v>
      </c>
      <c r="U789" s="21" t="s">
        <v>2276</v>
      </c>
      <c r="V789" s="21" t="s">
        <v>2276</v>
      </c>
      <c r="W789" s="103" t="s">
        <v>2402</v>
      </c>
      <c r="X789" s="21" t="s">
        <v>188</v>
      </c>
      <c r="Y789" s="21" t="s">
        <v>189</v>
      </c>
      <c r="Z789" s="74" t="s">
        <v>64</v>
      </c>
      <c r="AA789" s="4" t="s">
        <v>2516</v>
      </c>
      <c r="AB789" s="3"/>
    </row>
    <row r="790" spans="1:28">
      <c r="A790" s="6" t="str">
        <f>'Reported burning'!A790</f>
        <v>91b</v>
      </c>
      <c r="B790" s="6" t="str">
        <f>'Reported burning'!B790</f>
        <v>91b.1</v>
      </c>
      <c r="C790" s="6" t="str">
        <f>'Reported burning'!C790</f>
        <v>Human, deliberate</v>
      </c>
      <c r="D790" s="6" t="str">
        <f>'Reported burning'!D790</f>
        <v>Crop field preparation</v>
      </c>
      <c r="E790" s="6" t="str">
        <f>'Reported burning'!E790</f>
        <v>Cropping, Swidden</v>
      </c>
      <c r="F790" s="6" t="str">
        <f>'Reported burning'!F790</f>
        <v>Secondary Vegetation</v>
      </c>
      <c r="G790" s="6" t="str">
        <f>'Reported burning'!G790</f>
        <v>ND</v>
      </c>
      <c r="H790" s="6" t="str">
        <f>'Reported burning'!H790</f>
        <v>Presence</v>
      </c>
      <c r="I790" s="3"/>
      <c r="J790" s="21" t="s">
        <v>2276</v>
      </c>
      <c r="K790" s="103" t="s">
        <v>2362</v>
      </c>
      <c r="L790" s="21" t="s">
        <v>2276</v>
      </c>
      <c r="M790" s="103" t="s">
        <v>2362</v>
      </c>
      <c r="N790" s="21" t="s">
        <v>2276</v>
      </c>
      <c r="O790" s="103" t="s">
        <v>2362</v>
      </c>
      <c r="P790" s="21" t="s">
        <v>2276</v>
      </c>
      <c r="Q790" s="103" t="s">
        <v>2362</v>
      </c>
      <c r="R790" s="21" t="s">
        <v>2276</v>
      </c>
      <c r="S790" s="21" t="s">
        <v>2276</v>
      </c>
      <c r="T790" s="21" t="s">
        <v>2276</v>
      </c>
      <c r="U790" s="21" t="s">
        <v>2276</v>
      </c>
      <c r="V790" s="21" t="s">
        <v>2276</v>
      </c>
      <c r="W790" s="103" t="s">
        <v>2402</v>
      </c>
      <c r="X790" s="21" t="s">
        <v>188</v>
      </c>
      <c r="Y790" s="21" t="s">
        <v>189</v>
      </c>
      <c r="Z790" s="74" t="s">
        <v>64</v>
      </c>
      <c r="AA790" s="4" t="s">
        <v>2516</v>
      </c>
      <c r="AB790" s="3"/>
    </row>
    <row r="791" spans="1:28">
      <c r="A791" s="6" t="str">
        <f>'Reported burning'!A791</f>
        <v>91c</v>
      </c>
      <c r="B791" s="6" t="str">
        <f>'Reported burning'!B791</f>
        <v>91c.1</v>
      </c>
      <c r="C791" s="6" t="str">
        <f>'Reported burning'!C791</f>
        <v>Human, deliberate</v>
      </c>
      <c r="D791" s="6" t="str">
        <f>'Reported burning'!D791</f>
        <v>Crop field preparation</v>
      </c>
      <c r="E791" s="6" t="str">
        <f>'Reported burning'!E791</f>
        <v>Cropping, Swidden</v>
      </c>
      <c r="F791" s="6" t="str">
        <f>'Reported burning'!F791</f>
        <v>Secondary Vegetation</v>
      </c>
      <c r="G791" s="6" t="str">
        <f>'Reported burning'!G791</f>
        <v>ND</v>
      </c>
      <c r="H791" s="6" t="str">
        <f>'Reported burning'!H791</f>
        <v>Presence</v>
      </c>
      <c r="I791" s="3"/>
      <c r="J791" s="21" t="s">
        <v>2276</v>
      </c>
      <c r="K791" s="103" t="s">
        <v>2362</v>
      </c>
      <c r="L791" s="21" t="s">
        <v>2276</v>
      </c>
      <c r="M791" s="103" t="s">
        <v>2362</v>
      </c>
      <c r="N791" s="21" t="s">
        <v>2276</v>
      </c>
      <c r="O791" s="103" t="s">
        <v>2362</v>
      </c>
      <c r="P791" s="21" t="s">
        <v>2276</v>
      </c>
      <c r="Q791" s="103" t="s">
        <v>2362</v>
      </c>
      <c r="R791" s="21" t="s">
        <v>2276</v>
      </c>
      <c r="S791" s="21" t="s">
        <v>2276</v>
      </c>
      <c r="T791" s="21" t="s">
        <v>2276</v>
      </c>
      <c r="U791" s="21" t="s">
        <v>2276</v>
      </c>
      <c r="V791" s="21" t="s">
        <v>2276</v>
      </c>
      <c r="W791" s="103" t="s">
        <v>2402</v>
      </c>
      <c r="X791" s="21" t="s">
        <v>188</v>
      </c>
      <c r="Y791" s="21" t="s">
        <v>189</v>
      </c>
      <c r="Z791" s="74" t="s">
        <v>64</v>
      </c>
      <c r="AA791" s="4" t="s">
        <v>2516</v>
      </c>
      <c r="AB791" s="3"/>
    </row>
    <row r="792" spans="1:28">
      <c r="A792" s="6" t="str">
        <f>'Reported burning'!A792</f>
        <v>91d</v>
      </c>
      <c r="B792" s="6" t="str">
        <f>'Reported burning'!B792</f>
        <v>91d.1</v>
      </c>
      <c r="C792" s="6" t="str">
        <f>'Reported burning'!C792</f>
        <v>Human, deliberate</v>
      </c>
      <c r="D792" s="6" t="str">
        <f>'Reported burning'!D792</f>
        <v>Crop field preparation</v>
      </c>
      <c r="E792" s="6" t="str">
        <f>'Reported burning'!E792</f>
        <v>Cropping, Swidden</v>
      </c>
      <c r="F792" s="6" t="str">
        <f>'Reported burning'!F792</f>
        <v>Secondary Vegetation</v>
      </c>
      <c r="G792" s="6" t="str">
        <f>'Reported burning'!G792</f>
        <v>ND</v>
      </c>
      <c r="H792" s="6" t="str">
        <f>'Reported burning'!H792</f>
        <v>Presence</v>
      </c>
      <c r="I792" s="3"/>
      <c r="J792" s="21" t="s">
        <v>2276</v>
      </c>
      <c r="K792" s="103" t="s">
        <v>2362</v>
      </c>
      <c r="L792" s="21" t="s">
        <v>2276</v>
      </c>
      <c r="M792" s="103" t="s">
        <v>2362</v>
      </c>
      <c r="N792" s="21" t="s">
        <v>2276</v>
      </c>
      <c r="O792" s="103" t="s">
        <v>2362</v>
      </c>
      <c r="P792" s="21" t="s">
        <v>2276</v>
      </c>
      <c r="Q792" s="103" t="s">
        <v>2362</v>
      </c>
      <c r="R792" s="21" t="s">
        <v>2276</v>
      </c>
      <c r="S792" s="21" t="s">
        <v>2276</v>
      </c>
      <c r="T792" s="21" t="s">
        <v>2276</v>
      </c>
      <c r="U792" s="21" t="s">
        <v>2276</v>
      </c>
      <c r="V792" s="21" t="s">
        <v>2276</v>
      </c>
      <c r="W792" s="103" t="s">
        <v>2402</v>
      </c>
      <c r="X792" s="21" t="s">
        <v>188</v>
      </c>
      <c r="Y792" s="21" t="s">
        <v>189</v>
      </c>
      <c r="Z792" s="74" t="s">
        <v>64</v>
      </c>
      <c r="AA792" s="4" t="s">
        <v>2516</v>
      </c>
      <c r="AB792" s="3"/>
    </row>
    <row r="793" spans="1:28">
      <c r="A793" s="6" t="str">
        <f>'Reported burning'!A793</f>
        <v>91e</v>
      </c>
      <c r="B793" s="6" t="str">
        <f>'Reported burning'!B793</f>
        <v>91e.1</v>
      </c>
      <c r="C793" s="6" t="str">
        <f>'Reported burning'!C793</f>
        <v>Human, deliberate</v>
      </c>
      <c r="D793" s="6" t="str">
        <f>'Reported burning'!D793</f>
        <v>Crop field preparation</v>
      </c>
      <c r="E793" s="6" t="str">
        <f>'Reported burning'!E793</f>
        <v>Cropping, Swidden</v>
      </c>
      <c r="F793" s="6" t="str">
        <f>'Reported burning'!F793</f>
        <v>Secondary Vegetation</v>
      </c>
      <c r="G793" s="6" t="str">
        <f>'Reported burning'!G793</f>
        <v>ND</v>
      </c>
      <c r="H793" s="6" t="str">
        <f>'Reported burning'!H793</f>
        <v>Presence</v>
      </c>
      <c r="I793" s="3"/>
      <c r="J793" s="21" t="s">
        <v>2276</v>
      </c>
      <c r="K793" s="103" t="s">
        <v>2362</v>
      </c>
      <c r="L793" s="21" t="s">
        <v>2276</v>
      </c>
      <c r="M793" s="103" t="s">
        <v>2362</v>
      </c>
      <c r="N793" s="21" t="s">
        <v>2276</v>
      </c>
      <c r="O793" s="103" t="s">
        <v>2362</v>
      </c>
      <c r="P793" s="21" t="s">
        <v>2276</v>
      </c>
      <c r="Q793" s="103" t="s">
        <v>2362</v>
      </c>
      <c r="R793" s="21" t="s">
        <v>2276</v>
      </c>
      <c r="S793" s="21" t="s">
        <v>2276</v>
      </c>
      <c r="T793" s="21" t="s">
        <v>2276</v>
      </c>
      <c r="U793" s="21" t="s">
        <v>2276</v>
      </c>
      <c r="V793" s="21" t="s">
        <v>2276</v>
      </c>
      <c r="W793" s="103" t="s">
        <v>2402</v>
      </c>
      <c r="X793" s="21" t="s">
        <v>188</v>
      </c>
      <c r="Y793" s="21" t="s">
        <v>189</v>
      </c>
      <c r="Z793" s="74" t="s">
        <v>64</v>
      </c>
      <c r="AA793" s="4" t="s">
        <v>2516</v>
      </c>
      <c r="AB793" s="3"/>
    </row>
    <row r="794" spans="1:28">
      <c r="A794" s="6" t="str">
        <f>'Reported burning'!A794</f>
        <v>91f</v>
      </c>
      <c r="B794" s="6" t="str">
        <f>'Reported burning'!B794</f>
        <v>91f.1</v>
      </c>
      <c r="C794" s="6" t="str">
        <f>'Reported burning'!C794</f>
        <v>Human, deliberate</v>
      </c>
      <c r="D794" s="6" t="str">
        <f>'Reported burning'!D794</f>
        <v>Crop field preparation</v>
      </c>
      <c r="E794" s="6" t="str">
        <f>'Reported burning'!E794</f>
        <v>Cropping, Swidden</v>
      </c>
      <c r="F794" s="6" t="str">
        <f>'Reported burning'!F794</f>
        <v>Secondary Vegetation</v>
      </c>
      <c r="G794" s="6" t="str">
        <f>'Reported burning'!G794</f>
        <v>ND</v>
      </c>
      <c r="H794" s="6" t="str">
        <f>'Reported burning'!H794</f>
        <v>Presence</v>
      </c>
      <c r="I794" s="3"/>
      <c r="J794" s="21" t="s">
        <v>2276</v>
      </c>
      <c r="K794" s="103" t="s">
        <v>2362</v>
      </c>
      <c r="L794" s="21" t="s">
        <v>2276</v>
      </c>
      <c r="M794" s="103" t="s">
        <v>2362</v>
      </c>
      <c r="N794" s="21" t="s">
        <v>2276</v>
      </c>
      <c r="O794" s="103" t="s">
        <v>2362</v>
      </c>
      <c r="P794" s="21" t="s">
        <v>2276</v>
      </c>
      <c r="Q794" s="103" t="s">
        <v>2362</v>
      </c>
      <c r="R794" s="21" t="s">
        <v>2276</v>
      </c>
      <c r="S794" s="21" t="s">
        <v>2276</v>
      </c>
      <c r="T794" s="21" t="s">
        <v>2276</v>
      </c>
      <c r="U794" s="21" t="s">
        <v>2276</v>
      </c>
      <c r="V794" s="21" t="s">
        <v>2276</v>
      </c>
      <c r="W794" s="103" t="s">
        <v>2402</v>
      </c>
      <c r="X794" s="21" t="s">
        <v>188</v>
      </c>
      <c r="Y794" s="21" t="s">
        <v>189</v>
      </c>
      <c r="Z794" s="74" t="s">
        <v>64</v>
      </c>
      <c r="AA794" s="4" t="s">
        <v>2516</v>
      </c>
      <c r="AB794" s="3"/>
    </row>
    <row r="795" spans="1:28">
      <c r="A795" s="6" t="str">
        <f>'Reported burning'!A795</f>
        <v>91g</v>
      </c>
      <c r="B795" s="6" t="str">
        <f>'Reported burning'!B795</f>
        <v>91g.1</v>
      </c>
      <c r="C795" s="6" t="str">
        <f>'Reported burning'!C795</f>
        <v>Human, deliberate</v>
      </c>
      <c r="D795" s="6" t="str">
        <f>'Reported burning'!D795</f>
        <v>Crop field preparation</v>
      </c>
      <c r="E795" s="6" t="str">
        <f>'Reported burning'!E795</f>
        <v>Cropping, Swidden</v>
      </c>
      <c r="F795" s="6" t="str">
        <f>'Reported burning'!F795</f>
        <v>Secondary Vegetation</v>
      </c>
      <c r="G795" s="6" t="str">
        <f>'Reported burning'!G795</f>
        <v>ND</v>
      </c>
      <c r="H795" s="6" t="str">
        <f>'Reported burning'!H795</f>
        <v>Presence</v>
      </c>
      <c r="I795" s="3"/>
      <c r="J795" s="21" t="s">
        <v>2276</v>
      </c>
      <c r="K795" s="103" t="s">
        <v>2362</v>
      </c>
      <c r="L795" s="21" t="s">
        <v>2276</v>
      </c>
      <c r="M795" s="103" t="s">
        <v>2362</v>
      </c>
      <c r="N795" s="21" t="s">
        <v>2276</v>
      </c>
      <c r="O795" s="103" t="s">
        <v>2362</v>
      </c>
      <c r="P795" s="21" t="s">
        <v>2276</v>
      </c>
      <c r="Q795" s="103" t="s">
        <v>2362</v>
      </c>
      <c r="R795" s="21" t="s">
        <v>2276</v>
      </c>
      <c r="S795" s="21" t="s">
        <v>2276</v>
      </c>
      <c r="T795" s="21" t="s">
        <v>2276</v>
      </c>
      <c r="U795" s="21" t="s">
        <v>2276</v>
      </c>
      <c r="V795" s="21" t="s">
        <v>2276</v>
      </c>
      <c r="W795" s="103" t="s">
        <v>2402</v>
      </c>
      <c r="X795" s="21" t="s">
        <v>188</v>
      </c>
      <c r="Y795" s="21" t="s">
        <v>189</v>
      </c>
      <c r="Z795" s="74" t="s">
        <v>64</v>
      </c>
      <c r="AA795" s="4" t="s">
        <v>2516</v>
      </c>
      <c r="AB795" s="3"/>
    </row>
    <row r="796" spans="1:28">
      <c r="A796" s="6" t="str">
        <f>'Reported burning'!A796</f>
        <v>91h</v>
      </c>
      <c r="B796" s="6" t="str">
        <f>'Reported burning'!B796</f>
        <v>91h.1</v>
      </c>
      <c r="C796" s="6" t="str">
        <f>'Reported burning'!C796</f>
        <v>Human, deliberate</v>
      </c>
      <c r="D796" s="6" t="str">
        <f>'Reported burning'!D796</f>
        <v>Crop field preparation</v>
      </c>
      <c r="E796" s="6" t="str">
        <f>'Reported burning'!E796</f>
        <v>Cropping, Swidden</v>
      </c>
      <c r="F796" s="6" t="str">
        <f>'Reported burning'!F796</f>
        <v>Secondary Vegetation</v>
      </c>
      <c r="G796" s="6" t="str">
        <f>'Reported burning'!G796</f>
        <v>ND</v>
      </c>
      <c r="H796" s="6" t="str">
        <f>'Reported burning'!H796</f>
        <v>Presence</v>
      </c>
      <c r="I796" s="3"/>
      <c r="J796" s="21" t="s">
        <v>2276</v>
      </c>
      <c r="K796" s="103" t="s">
        <v>2362</v>
      </c>
      <c r="L796" s="21" t="s">
        <v>2276</v>
      </c>
      <c r="M796" s="103" t="s">
        <v>2362</v>
      </c>
      <c r="N796" s="21" t="s">
        <v>2276</v>
      </c>
      <c r="O796" s="103" t="s">
        <v>2362</v>
      </c>
      <c r="P796" s="21" t="s">
        <v>2276</v>
      </c>
      <c r="Q796" s="103" t="s">
        <v>2362</v>
      </c>
      <c r="R796" s="21" t="s">
        <v>2276</v>
      </c>
      <c r="S796" s="21" t="s">
        <v>2276</v>
      </c>
      <c r="T796" s="21" t="s">
        <v>2276</v>
      </c>
      <c r="U796" s="21" t="s">
        <v>2276</v>
      </c>
      <c r="V796" s="21" t="s">
        <v>2276</v>
      </c>
      <c r="W796" s="103" t="s">
        <v>2402</v>
      </c>
      <c r="X796" s="21" t="s">
        <v>188</v>
      </c>
      <c r="Y796" s="21" t="s">
        <v>189</v>
      </c>
      <c r="Z796" s="74" t="s">
        <v>64</v>
      </c>
      <c r="AA796" s="4" t="s">
        <v>2516</v>
      </c>
      <c r="AB796" s="3"/>
    </row>
    <row r="797" spans="1:28">
      <c r="A797" s="6" t="str">
        <f>'Reported burning'!A797</f>
        <v>91i</v>
      </c>
      <c r="B797" s="6" t="str">
        <f>'Reported burning'!B797</f>
        <v>91i.1</v>
      </c>
      <c r="C797" s="6" t="str">
        <f>'Reported burning'!C797</f>
        <v>Human, deliberate</v>
      </c>
      <c r="D797" s="6" t="str">
        <f>'Reported burning'!D797</f>
        <v>Crop field preparation</v>
      </c>
      <c r="E797" s="6" t="str">
        <f>'Reported burning'!E797</f>
        <v>Cropping, Swidden</v>
      </c>
      <c r="F797" s="6" t="str">
        <f>'Reported burning'!F797</f>
        <v>Secondary Vegetation</v>
      </c>
      <c r="G797" s="6" t="str">
        <f>'Reported burning'!G797</f>
        <v>ND</v>
      </c>
      <c r="H797" s="6" t="str">
        <f>'Reported burning'!H797</f>
        <v>Presence</v>
      </c>
      <c r="I797" s="3"/>
      <c r="J797" s="21" t="s">
        <v>2276</v>
      </c>
      <c r="K797" s="103" t="s">
        <v>2362</v>
      </c>
      <c r="L797" s="21" t="s">
        <v>2276</v>
      </c>
      <c r="M797" s="103" t="s">
        <v>2362</v>
      </c>
      <c r="N797" s="21" t="s">
        <v>2276</v>
      </c>
      <c r="O797" s="103" t="s">
        <v>2362</v>
      </c>
      <c r="P797" s="21" t="s">
        <v>2276</v>
      </c>
      <c r="Q797" s="103" t="s">
        <v>2362</v>
      </c>
      <c r="R797" s="21" t="s">
        <v>2276</v>
      </c>
      <c r="S797" s="21" t="s">
        <v>2276</v>
      </c>
      <c r="T797" s="21" t="s">
        <v>2276</v>
      </c>
      <c r="U797" s="21" t="s">
        <v>2276</v>
      </c>
      <c r="V797" s="21" t="s">
        <v>2276</v>
      </c>
      <c r="W797" s="103" t="s">
        <v>2402</v>
      </c>
      <c r="X797" s="21" t="s">
        <v>188</v>
      </c>
      <c r="Y797" s="21" t="s">
        <v>189</v>
      </c>
      <c r="Z797" s="74" t="s">
        <v>64</v>
      </c>
      <c r="AA797" s="4" t="s">
        <v>2516</v>
      </c>
      <c r="AB797" s="3"/>
    </row>
    <row r="798" spans="1:28">
      <c r="A798" s="6" t="str">
        <f>'Reported burning'!A798</f>
        <v>91j</v>
      </c>
      <c r="B798" s="6" t="str">
        <f>'Reported burning'!B798</f>
        <v>91j.1</v>
      </c>
      <c r="C798" s="6" t="str">
        <f>'Reported burning'!C798</f>
        <v>Human, deliberate</v>
      </c>
      <c r="D798" s="6" t="str">
        <f>'Reported burning'!D798</f>
        <v>Crop field preparation</v>
      </c>
      <c r="E798" s="6" t="str">
        <f>'Reported burning'!E798</f>
        <v>Cropping, Swidden</v>
      </c>
      <c r="F798" s="6" t="str">
        <f>'Reported burning'!F798</f>
        <v>Secondary Vegetation</v>
      </c>
      <c r="G798" s="6" t="str">
        <f>'Reported burning'!G798</f>
        <v>ND</v>
      </c>
      <c r="H798" s="6" t="str">
        <f>'Reported burning'!H798</f>
        <v>Presence</v>
      </c>
      <c r="I798" s="3"/>
      <c r="J798" s="21" t="s">
        <v>2276</v>
      </c>
      <c r="K798" s="103" t="s">
        <v>2362</v>
      </c>
      <c r="L798" s="21" t="s">
        <v>2276</v>
      </c>
      <c r="M798" s="103" t="s">
        <v>2362</v>
      </c>
      <c r="N798" s="21" t="s">
        <v>2276</v>
      </c>
      <c r="O798" s="103" t="s">
        <v>2362</v>
      </c>
      <c r="P798" s="21" t="s">
        <v>2276</v>
      </c>
      <c r="Q798" s="103" t="s">
        <v>2362</v>
      </c>
      <c r="R798" s="21" t="s">
        <v>2276</v>
      </c>
      <c r="S798" s="21" t="s">
        <v>2276</v>
      </c>
      <c r="T798" s="21" t="s">
        <v>2276</v>
      </c>
      <c r="U798" s="21" t="s">
        <v>2276</v>
      </c>
      <c r="V798" s="21" t="s">
        <v>2276</v>
      </c>
      <c r="W798" s="103" t="s">
        <v>2402</v>
      </c>
      <c r="X798" s="21" t="s">
        <v>188</v>
      </c>
      <c r="Y798" s="21" t="s">
        <v>189</v>
      </c>
      <c r="Z798" s="74" t="s">
        <v>64</v>
      </c>
      <c r="AA798" s="4" t="s">
        <v>2516</v>
      </c>
      <c r="AB798" s="3"/>
    </row>
    <row r="799" spans="1:28">
      <c r="A799" s="6" t="str">
        <f>'Reported burning'!A799</f>
        <v>91k</v>
      </c>
      <c r="B799" s="6" t="str">
        <f>'Reported burning'!B799</f>
        <v>91k.1</v>
      </c>
      <c r="C799" s="6" t="str">
        <f>'Reported burning'!C799</f>
        <v>Human, deliberate</v>
      </c>
      <c r="D799" s="6" t="str">
        <f>'Reported burning'!D799</f>
        <v>Crop field preparation</v>
      </c>
      <c r="E799" s="6" t="str">
        <f>'Reported burning'!E799</f>
        <v>Cropping, Swidden</v>
      </c>
      <c r="F799" s="6" t="str">
        <f>'Reported burning'!F799</f>
        <v>Secondary Vegetation</v>
      </c>
      <c r="G799" s="6" t="str">
        <f>'Reported burning'!G799</f>
        <v>ND</v>
      </c>
      <c r="H799" s="6" t="str">
        <f>'Reported burning'!H799</f>
        <v>Presence</v>
      </c>
      <c r="I799" s="3"/>
      <c r="J799" s="21" t="s">
        <v>2276</v>
      </c>
      <c r="K799" s="103" t="s">
        <v>2362</v>
      </c>
      <c r="L799" s="21" t="s">
        <v>2276</v>
      </c>
      <c r="M799" s="103" t="s">
        <v>2362</v>
      </c>
      <c r="N799" s="21" t="s">
        <v>2276</v>
      </c>
      <c r="O799" s="103" t="s">
        <v>2362</v>
      </c>
      <c r="P799" s="21" t="s">
        <v>2276</v>
      </c>
      <c r="Q799" s="103" t="s">
        <v>2362</v>
      </c>
      <c r="R799" s="21" t="s">
        <v>2276</v>
      </c>
      <c r="S799" s="21" t="s">
        <v>2276</v>
      </c>
      <c r="T799" s="21" t="s">
        <v>2276</v>
      </c>
      <c r="U799" s="21" t="s">
        <v>2276</v>
      </c>
      <c r="V799" s="21" t="s">
        <v>2276</v>
      </c>
      <c r="W799" s="103" t="s">
        <v>2402</v>
      </c>
      <c r="X799" s="21" t="s">
        <v>188</v>
      </c>
      <c r="Y799" s="21" t="s">
        <v>189</v>
      </c>
      <c r="Z799" s="74" t="s">
        <v>64</v>
      </c>
      <c r="AA799" s="4" t="s">
        <v>2516</v>
      </c>
      <c r="AB799" s="3"/>
    </row>
    <row r="800" spans="1:28">
      <c r="A800" s="6" t="str">
        <f>'Reported burning'!A800</f>
        <v>91l</v>
      </c>
      <c r="B800" s="6" t="str">
        <f>'Reported burning'!B800</f>
        <v>91l.1</v>
      </c>
      <c r="C800" s="6" t="str">
        <f>'Reported burning'!C800</f>
        <v>Human, deliberate</v>
      </c>
      <c r="D800" s="6" t="str">
        <f>'Reported burning'!D800</f>
        <v>Crop field preparation</v>
      </c>
      <c r="E800" s="6" t="str">
        <f>'Reported burning'!E800</f>
        <v>Cropping, Swidden</v>
      </c>
      <c r="F800" s="6" t="str">
        <f>'Reported burning'!F800</f>
        <v>Secondary Vegetation</v>
      </c>
      <c r="G800" s="6" t="str">
        <f>'Reported burning'!G800</f>
        <v>ND</v>
      </c>
      <c r="H800" s="6" t="str">
        <f>'Reported burning'!H800</f>
        <v>Presence</v>
      </c>
      <c r="I800" s="3"/>
      <c r="J800" s="21" t="s">
        <v>2276</v>
      </c>
      <c r="K800" s="103" t="s">
        <v>2362</v>
      </c>
      <c r="L800" s="21" t="s">
        <v>2276</v>
      </c>
      <c r="M800" s="103" t="s">
        <v>2362</v>
      </c>
      <c r="N800" s="21" t="s">
        <v>2276</v>
      </c>
      <c r="O800" s="103" t="s">
        <v>2362</v>
      </c>
      <c r="P800" s="21" t="s">
        <v>2276</v>
      </c>
      <c r="Q800" s="103" t="s">
        <v>2362</v>
      </c>
      <c r="R800" s="21" t="s">
        <v>2276</v>
      </c>
      <c r="S800" s="21" t="s">
        <v>2276</v>
      </c>
      <c r="T800" s="21" t="s">
        <v>2276</v>
      </c>
      <c r="U800" s="21" t="s">
        <v>2276</v>
      </c>
      <c r="V800" s="21" t="s">
        <v>2276</v>
      </c>
      <c r="W800" s="103" t="s">
        <v>2402</v>
      </c>
      <c r="X800" s="21" t="s">
        <v>188</v>
      </c>
      <c r="Y800" s="21" t="s">
        <v>189</v>
      </c>
      <c r="Z800" s="74" t="s">
        <v>64</v>
      </c>
      <c r="AA800" s="4" t="s">
        <v>2516</v>
      </c>
      <c r="AB800" s="3"/>
    </row>
    <row r="801" spans="1:28">
      <c r="A801" s="6" t="str">
        <f>'Reported burning'!A801</f>
        <v>91m</v>
      </c>
      <c r="B801" s="6" t="str">
        <f>'Reported burning'!B801</f>
        <v>91m.1</v>
      </c>
      <c r="C801" s="6" t="str">
        <f>'Reported burning'!C801</f>
        <v>Human, deliberate</v>
      </c>
      <c r="D801" s="6" t="str">
        <f>'Reported burning'!D801</f>
        <v>Crop field preparation</v>
      </c>
      <c r="E801" s="6" t="str">
        <f>'Reported burning'!E801</f>
        <v>Cropping, Swidden</v>
      </c>
      <c r="F801" s="6" t="str">
        <f>'Reported burning'!F801</f>
        <v>Secondary Vegetation</v>
      </c>
      <c r="G801" s="6" t="str">
        <f>'Reported burning'!G801</f>
        <v>ND</v>
      </c>
      <c r="H801" s="6" t="str">
        <f>'Reported burning'!H801</f>
        <v>Presence</v>
      </c>
      <c r="I801" s="3"/>
      <c r="J801" s="21" t="s">
        <v>2276</v>
      </c>
      <c r="K801" s="103" t="s">
        <v>2362</v>
      </c>
      <c r="L801" s="21" t="s">
        <v>2276</v>
      </c>
      <c r="M801" s="103" t="s">
        <v>2362</v>
      </c>
      <c r="N801" s="21" t="s">
        <v>2276</v>
      </c>
      <c r="O801" s="103" t="s">
        <v>2362</v>
      </c>
      <c r="P801" s="21" t="s">
        <v>2276</v>
      </c>
      <c r="Q801" s="103" t="s">
        <v>2362</v>
      </c>
      <c r="R801" s="21" t="s">
        <v>2276</v>
      </c>
      <c r="S801" s="21" t="s">
        <v>2276</v>
      </c>
      <c r="T801" s="21" t="s">
        <v>2276</v>
      </c>
      <c r="U801" s="21" t="s">
        <v>2276</v>
      </c>
      <c r="V801" s="21" t="s">
        <v>2276</v>
      </c>
      <c r="W801" s="103" t="s">
        <v>2402</v>
      </c>
      <c r="X801" s="21" t="s">
        <v>188</v>
      </c>
      <c r="Y801" s="21" t="s">
        <v>189</v>
      </c>
      <c r="Z801" s="74" t="s">
        <v>64</v>
      </c>
      <c r="AA801" s="4" t="s">
        <v>2516</v>
      </c>
      <c r="AB801" s="3"/>
    </row>
    <row r="802" spans="1:28">
      <c r="A802" s="6" t="str">
        <f>'Reported burning'!A802</f>
        <v>91n</v>
      </c>
      <c r="B802" s="6" t="str">
        <f>'Reported burning'!B802</f>
        <v>91n.1</v>
      </c>
      <c r="C802" s="6" t="str">
        <f>'Reported burning'!C802</f>
        <v>Human, deliberate</v>
      </c>
      <c r="D802" s="6" t="str">
        <f>'Reported burning'!D802</f>
        <v>Crop field preparation</v>
      </c>
      <c r="E802" s="6" t="str">
        <f>'Reported burning'!E802</f>
        <v>Cropping, Swidden</v>
      </c>
      <c r="F802" s="6" t="str">
        <f>'Reported burning'!F802</f>
        <v>Secondary Vegetation</v>
      </c>
      <c r="G802" s="6" t="str">
        <f>'Reported burning'!G802</f>
        <v>ND</v>
      </c>
      <c r="H802" s="6" t="str">
        <f>'Reported burning'!H802</f>
        <v>Presence</v>
      </c>
      <c r="I802" s="3"/>
      <c r="J802" s="21" t="s">
        <v>2276</v>
      </c>
      <c r="K802" s="103" t="s">
        <v>2362</v>
      </c>
      <c r="L802" s="21" t="s">
        <v>2276</v>
      </c>
      <c r="M802" s="103" t="s">
        <v>2362</v>
      </c>
      <c r="N802" s="21" t="s">
        <v>2276</v>
      </c>
      <c r="O802" s="103" t="s">
        <v>2362</v>
      </c>
      <c r="P802" s="21" t="s">
        <v>2276</v>
      </c>
      <c r="Q802" s="103" t="s">
        <v>2362</v>
      </c>
      <c r="R802" s="21" t="s">
        <v>2276</v>
      </c>
      <c r="S802" s="21" t="s">
        <v>2276</v>
      </c>
      <c r="T802" s="21" t="s">
        <v>2276</v>
      </c>
      <c r="U802" s="21" t="s">
        <v>2276</v>
      </c>
      <c r="V802" s="21" t="s">
        <v>2276</v>
      </c>
      <c r="W802" s="103" t="s">
        <v>2402</v>
      </c>
      <c r="X802" s="21" t="s">
        <v>188</v>
      </c>
      <c r="Y802" s="21" t="s">
        <v>189</v>
      </c>
      <c r="Z802" s="74" t="s">
        <v>64</v>
      </c>
      <c r="AA802" s="4" t="s">
        <v>2516</v>
      </c>
      <c r="AB802" s="3"/>
    </row>
    <row r="803" spans="1:28">
      <c r="A803" s="6" t="str">
        <f>'Reported burning'!A803</f>
        <v>91o</v>
      </c>
      <c r="B803" s="6" t="str">
        <f>'Reported burning'!B803</f>
        <v>91o.1</v>
      </c>
      <c r="C803" s="6" t="str">
        <f>'Reported burning'!C803</f>
        <v>Human, deliberate</v>
      </c>
      <c r="D803" s="6" t="str">
        <f>'Reported burning'!D803</f>
        <v>Crop field preparation</v>
      </c>
      <c r="E803" s="6" t="str">
        <f>'Reported burning'!E803</f>
        <v>Cropping, Swidden</v>
      </c>
      <c r="F803" s="6" t="str">
        <f>'Reported burning'!F803</f>
        <v>Secondary Vegetation</v>
      </c>
      <c r="G803" s="6" t="str">
        <f>'Reported burning'!G803</f>
        <v>ND</v>
      </c>
      <c r="H803" s="6" t="str">
        <f>'Reported burning'!H803</f>
        <v>Presence</v>
      </c>
      <c r="I803" s="3"/>
      <c r="J803" s="21" t="s">
        <v>2276</v>
      </c>
      <c r="K803" s="103" t="s">
        <v>2362</v>
      </c>
      <c r="L803" s="21" t="s">
        <v>2276</v>
      </c>
      <c r="M803" s="103" t="s">
        <v>2362</v>
      </c>
      <c r="N803" s="21" t="s">
        <v>2276</v>
      </c>
      <c r="O803" s="103" t="s">
        <v>2362</v>
      </c>
      <c r="P803" s="21" t="s">
        <v>2276</v>
      </c>
      <c r="Q803" s="103" t="s">
        <v>2362</v>
      </c>
      <c r="R803" s="21" t="s">
        <v>2276</v>
      </c>
      <c r="S803" s="21" t="s">
        <v>2276</v>
      </c>
      <c r="T803" s="21" t="s">
        <v>2276</v>
      </c>
      <c r="U803" s="21" t="s">
        <v>2276</v>
      </c>
      <c r="V803" s="21" t="s">
        <v>2276</v>
      </c>
      <c r="W803" s="103" t="s">
        <v>2402</v>
      </c>
      <c r="X803" s="21" t="s">
        <v>188</v>
      </c>
      <c r="Y803" s="21" t="s">
        <v>189</v>
      </c>
      <c r="Z803" s="74" t="s">
        <v>64</v>
      </c>
      <c r="AA803" s="4" t="s">
        <v>2516</v>
      </c>
      <c r="AB803" s="3"/>
    </row>
    <row r="804" spans="1:28">
      <c r="A804" s="6" t="str">
        <f>'Reported burning'!A804</f>
        <v>91p</v>
      </c>
      <c r="B804" s="6" t="str">
        <f>'Reported burning'!B804</f>
        <v>91p.1</v>
      </c>
      <c r="C804" s="6" t="str">
        <f>'Reported burning'!C804</f>
        <v>Human, deliberate</v>
      </c>
      <c r="D804" s="6" t="str">
        <f>'Reported burning'!D804</f>
        <v>Crop field preparation</v>
      </c>
      <c r="E804" s="6" t="str">
        <f>'Reported burning'!E804</f>
        <v>Cropping, Swidden</v>
      </c>
      <c r="F804" s="6" t="str">
        <f>'Reported burning'!F804</f>
        <v>Secondary Vegetation</v>
      </c>
      <c r="G804" s="6" t="str">
        <f>'Reported burning'!G804</f>
        <v>ND</v>
      </c>
      <c r="H804" s="6" t="str">
        <f>'Reported burning'!H804</f>
        <v>Presence</v>
      </c>
      <c r="I804" s="3"/>
      <c r="J804" s="21" t="s">
        <v>2276</v>
      </c>
      <c r="K804" s="103" t="s">
        <v>2362</v>
      </c>
      <c r="L804" s="21" t="s">
        <v>2276</v>
      </c>
      <c r="M804" s="103" t="s">
        <v>2362</v>
      </c>
      <c r="N804" s="21" t="s">
        <v>2276</v>
      </c>
      <c r="O804" s="103" t="s">
        <v>2362</v>
      </c>
      <c r="P804" s="21" t="s">
        <v>2276</v>
      </c>
      <c r="Q804" s="103" t="s">
        <v>2362</v>
      </c>
      <c r="R804" s="21" t="s">
        <v>2276</v>
      </c>
      <c r="S804" s="21" t="s">
        <v>2276</v>
      </c>
      <c r="T804" s="21" t="s">
        <v>2276</v>
      </c>
      <c r="U804" s="21" t="s">
        <v>2276</v>
      </c>
      <c r="V804" s="21" t="s">
        <v>2276</v>
      </c>
      <c r="W804" s="103" t="s">
        <v>2402</v>
      </c>
      <c r="X804" s="21" t="s">
        <v>188</v>
      </c>
      <c r="Y804" s="21" t="s">
        <v>189</v>
      </c>
      <c r="Z804" s="74" t="s">
        <v>64</v>
      </c>
      <c r="AA804" s="4" t="s">
        <v>2516</v>
      </c>
      <c r="AB804" s="3"/>
    </row>
    <row r="805" spans="1:28" ht="69" customHeight="1">
      <c r="A805" s="6" t="str">
        <f>'Reported burning'!A805</f>
        <v>92a</v>
      </c>
      <c r="B805" s="6" t="str">
        <f>'Reported burning'!B805</f>
        <v>92a.1</v>
      </c>
      <c r="C805" s="6" t="str">
        <f>'Reported burning'!C805</f>
        <v>Human, deliberate</v>
      </c>
      <c r="D805" s="6" t="str">
        <f>'Reported burning'!D805</f>
        <v>Crop field preparation</v>
      </c>
      <c r="E805" s="6" t="str">
        <f>'Reported burning'!E805</f>
        <v>Cropping, Swidden</v>
      </c>
      <c r="F805" s="6" t="str">
        <f>'Reported burning'!F805</f>
        <v>Secondary Vegetation</v>
      </c>
      <c r="G805" s="6" t="str">
        <f>'Reported burning'!G805</f>
        <v>ND</v>
      </c>
      <c r="H805" s="6" t="str">
        <f>'Reported burning'!H805</f>
        <v>Presence</v>
      </c>
      <c r="I805" s="3"/>
      <c r="J805" s="21" t="s">
        <v>2276</v>
      </c>
      <c r="K805" s="21" t="s">
        <v>2362</v>
      </c>
      <c r="L805" s="21" t="s">
        <v>2276</v>
      </c>
      <c r="M805" s="21" t="s">
        <v>2276</v>
      </c>
      <c r="N805" s="21" t="s">
        <v>2276</v>
      </c>
      <c r="O805" s="21" t="s">
        <v>2362</v>
      </c>
      <c r="P805" s="21" t="s">
        <v>2276</v>
      </c>
      <c r="Q805" s="21" t="s">
        <v>2276</v>
      </c>
      <c r="R805" s="21" t="s">
        <v>2276</v>
      </c>
      <c r="S805" s="21" t="s">
        <v>2276</v>
      </c>
      <c r="T805" s="21" t="s">
        <v>2276</v>
      </c>
      <c r="U805" s="21" t="s">
        <v>2276</v>
      </c>
      <c r="V805" s="103" t="s">
        <v>2374</v>
      </c>
      <c r="W805" s="103" t="s">
        <v>2403</v>
      </c>
      <c r="X805" s="21" t="s">
        <v>2276</v>
      </c>
      <c r="Y805" s="21" t="s">
        <v>2276</v>
      </c>
      <c r="Z805" s="21" t="s">
        <v>2276</v>
      </c>
      <c r="AA805" s="3"/>
      <c r="AB805" s="4" t="s">
        <v>2529</v>
      </c>
    </row>
    <row r="806" spans="1:28" ht="65" customHeight="1">
      <c r="A806" s="6" t="str">
        <f>'Reported burning'!A806</f>
        <v>92a</v>
      </c>
      <c r="B806" s="6" t="str">
        <f>'Reported burning'!B806</f>
        <v>92a.2</v>
      </c>
      <c r="C806" s="6" t="str">
        <f>'Reported burning'!C806</f>
        <v>Human, deliberate</v>
      </c>
      <c r="D806" s="6" t="str">
        <f>'Reported burning'!D806</f>
        <v>Crop field preparation</v>
      </c>
      <c r="E806" s="6" t="str">
        <f>'Reported burning'!E806</f>
        <v>Cropping, Swidden</v>
      </c>
      <c r="F806" s="6" t="str">
        <f>'Reported burning'!F806</f>
        <v>Forest</v>
      </c>
      <c r="G806" s="6" t="str">
        <f>'Reported burning'!G806</f>
        <v>ND</v>
      </c>
      <c r="H806" s="6" t="str">
        <f>'Reported burning'!H806</f>
        <v>Presence</v>
      </c>
      <c r="I806" s="3"/>
      <c r="J806" s="21" t="s">
        <v>2276</v>
      </c>
      <c r="K806" s="21" t="s">
        <v>2362</v>
      </c>
      <c r="L806" s="21" t="s">
        <v>2276</v>
      </c>
      <c r="M806" s="21" t="s">
        <v>2276</v>
      </c>
      <c r="N806" s="21" t="s">
        <v>2276</v>
      </c>
      <c r="O806" s="21" t="s">
        <v>2362</v>
      </c>
      <c r="P806" s="21" t="s">
        <v>2276</v>
      </c>
      <c r="Q806" s="21" t="s">
        <v>2276</v>
      </c>
      <c r="R806" s="21" t="s">
        <v>2276</v>
      </c>
      <c r="S806" s="21" t="s">
        <v>2276</v>
      </c>
      <c r="T806" s="21" t="s">
        <v>2276</v>
      </c>
      <c r="U806" s="21" t="s">
        <v>2276</v>
      </c>
      <c r="V806" s="103" t="s">
        <v>2527</v>
      </c>
      <c r="W806" s="103" t="s">
        <v>2276</v>
      </c>
      <c r="X806" s="21" t="s">
        <v>2276</v>
      </c>
      <c r="Y806" s="21" t="s">
        <v>2276</v>
      </c>
      <c r="Z806" s="21" t="s">
        <v>2276</v>
      </c>
      <c r="AA806" s="3"/>
      <c r="AB806" s="4" t="s">
        <v>2529</v>
      </c>
    </row>
    <row r="807" spans="1:28" ht="66" customHeight="1">
      <c r="A807" s="6" t="str">
        <f>'Reported burning'!A807</f>
        <v>92b</v>
      </c>
      <c r="B807" s="6" t="str">
        <f>'Reported burning'!B807</f>
        <v>92b.1</v>
      </c>
      <c r="C807" s="6" t="str">
        <f>'Reported burning'!C807</f>
        <v>Human, deliberate</v>
      </c>
      <c r="D807" s="6" t="str">
        <f>'Reported burning'!D807</f>
        <v>Crop field preparation</v>
      </c>
      <c r="E807" s="6" t="str">
        <f>'Reported burning'!E807</f>
        <v>Cropping, Swidden</v>
      </c>
      <c r="F807" s="6" t="str">
        <f>'Reported burning'!F807</f>
        <v>Secondary Vegetation</v>
      </c>
      <c r="G807" s="6" t="str">
        <f>'Reported burning'!G807</f>
        <v>ND</v>
      </c>
      <c r="H807" s="6" t="str">
        <f>'Reported burning'!H807</f>
        <v>Presence</v>
      </c>
      <c r="I807" s="3"/>
      <c r="J807" s="21" t="s">
        <v>2276</v>
      </c>
      <c r="K807" s="21" t="s">
        <v>2362</v>
      </c>
      <c r="L807" s="21" t="s">
        <v>2276</v>
      </c>
      <c r="M807" s="21" t="s">
        <v>2276</v>
      </c>
      <c r="N807" s="21" t="s">
        <v>2276</v>
      </c>
      <c r="O807" s="21" t="s">
        <v>2362</v>
      </c>
      <c r="P807" s="21" t="s">
        <v>2276</v>
      </c>
      <c r="Q807" s="21" t="s">
        <v>2276</v>
      </c>
      <c r="R807" s="21" t="s">
        <v>2276</v>
      </c>
      <c r="S807" s="21" t="s">
        <v>2276</v>
      </c>
      <c r="T807" s="21" t="s">
        <v>2276</v>
      </c>
      <c r="U807" s="21" t="s">
        <v>2276</v>
      </c>
      <c r="V807" s="103" t="s">
        <v>2374</v>
      </c>
      <c r="W807" s="103" t="s">
        <v>2403</v>
      </c>
      <c r="X807" s="21" t="s">
        <v>2276</v>
      </c>
      <c r="Y807" s="21" t="s">
        <v>2276</v>
      </c>
      <c r="Z807" s="21" t="s">
        <v>2276</v>
      </c>
      <c r="AA807" s="3"/>
      <c r="AB807" s="4" t="s">
        <v>2529</v>
      </c>
    </row>
    <row r="808" spans="1:28" ht="68.5" customHeight="1">
      <c r="A808" s="6" t="str">
        <f>'Reported burning'!A808</f>
        <v>92b</v>
      </c>
      <c r="B808" s="6" t="str">
        <f>'Reported burning'!B808</f>
        <v>92b.2</v>
      </c>
      <c r="C808" s="6" t="str">
        <f>'Reported burning'!C808</f>
        <v>Human, deliberate</v>
      </c>
      <c r="D808" s="6" t="str">
        <f>'Reported burning'!D808</f>
        <v>Crop field preparation</v>
      </c>
      <c r="E808" s="6" t="str">
        <f>'Reported burning'!E808</f>
        <v>Cropping, Swidden</v>
      </c>
      <c r="F808" s="6" t="str">
        <f>'Reported burning'!F808</f>
        <v>Forest</v>
      </c>
      <c r="G808" s="6" t="str">
        <f>'Reported burning'!G808</f>
        <v>ND</v>
      </c>
      <c r="H808" s="6" t="str">
        <f>'Reported burning'!H808</f>
        <v>Presence</v>
      </c>
      <c r="I808" s="3"/>
      <c r="J808" s="21" t="s">
        <v>2276</v>
      </c>
      <c r="K808" s="21" t="s">
        <v>2362</v>
      </c>
      <c r="L808" s="21" t="s">
        <v>2276</v>
      </c>
      <c r="M808" s="21" t="s">
        <v>2276</v>
      </c>
      <c r="N808" s="21" t="s">
        <v>2276</v>
      </c>
      <c r="O808" s="21" t="s">
        <v>2362</v>
      </c>
      <c r="P808" s="21" t="s">
        <v>2276</v>
      </c>
      <c r="Q808" s="21" t="s">
        <v>2276</v>
      </c>
      <c r="R808" s="21" t="s">
        <v>2276</v>
      </c>
      <c r="S808" s="21" t="s">
        <v>2276</v>
      </c>
      <c r="T808" s="21" t="s">
        <v>2276</v>
      </c>
      <c r="U808" s="21" t="s">
        <v>2276</v>
      </c>
      <c r="V808" s="103" t="s">
        <v>2527</v>
      </c>
      <c r="W808" s="103" t="s">
        <v>2276</v>
      </c>
      <c r="X808" s="21" t="s">
        <v>2276</v>
      </c>
      <c r="Y808" s="21" t="s">
        <v>2276</v>
      </c>
      <c r="Z808" s="21" t="s">
        <v>2276</v>
      </c>
      <c r="AA808" s="3"/>
      <c r="AB808" s="4" t="s">
        <v>2529</v>
      </c>
    </row>
    <row r="809" spans="1:28" ht="68.5" customHeight="1">
      <c r="A809" s="6" t="str">
        <f>'Reported burning'!A809</f>
        <v>92b</v>
      </c>
      <c r="B809" s="6" t="str">
        <f>'Reported burning'!B809</f>
        <v>92b.3</v>
      </c>
      <c r="C809" s="6" t="str">
        <f>'Reported burning'!C809</f>
        <v>Human, deliberate</v>
      </c>
      <c r="D809" s="6" t="str">
        <f>'Reported burning'!D809</f>
        <v>Crop field preparation</v>
      </c>
      <c r="E809" s="6" t="str">
        <f>'Reported burning'!E809</f>
        <v>Cropping, Intensive</v>
      </c>
      <c r="F809" s="6" t="str">
        <f>'Reported burning'!F809</f>
        <v>Forest</v>
      </c>
      <c r="G809" s="6" t="str">
        <f>'Reported burning'!G809</f>
        <v>ND</v>
      </c>
      <c r="H809" s="6" t="str">
        <f>'Reported burning'!H809</f>
        <v>Absence</v>
      </c>
      <c r="I809" s="12"/>
      <c r="J809" s="88">
        <v>0</v>
      </c>
      <c r="K809" s="88">
        <v>0</v>
      </c>
      <c r="L809" s="88">
        <v>0</v>
      </c>
      <c r="M809" s="88">
        <v>0</v>
      </c>
      <c r="N809" s="88">
        <v>0</v>
      </c>
      <c r="O809" s="88">
        <v>0</v>
      </c>
      <c r="P809" s="88">
        <v>0</v>
      </c>
      <c r="Q809" s="88">
        <v>0</v>
      </c>
      <c r="R809" s="88">
        <v>0</v>
      </c>
      <c r="S809" s="88">
        <v>0</v>
      </c>
      <c r="T809" s="88">
        <v>0</v>
      </c>
      <c r="U809" s="88">
        <v>0</v>
      </c>
      <c r="V809" s="88">
        <v>0</v>
      </c>
      <c r="W809" s="88">
        <v>0</v>
      </c>
      <c r="X809" s="88" t="s">
        <v>2276</v>
      </c>
      <c r="Y809" s="88" t="s">
        <v>2276</v>
      </c>
      <c r="Z809" s="88" t="s">
        <v>2276</v>
      </c>
      <c r="AA809" s="88"/>
      <c r="AB809" s="88"/>
    </row>
    <row r="810" spans="1:28" ht="68.5" customHeight="1">
      <c r="A810" s="6" t="str">
        <f>'Reported burning'!A810</f>
        <v>92b</v>
      </c>
      <c r="B810" s="6" t="str">
        <f>'Reported burning'!B810</f>
        <v>92b.4</v>
      </c>
      <c r="C810" s="6" t="str">
        <f>'Reported burning'!C810</f>
        <v>Human, deliberate</v>
      </c>
      <c r="D810" s="6" t="str">
        <f>'Reported burning'!D810</f>
        <v>Forest clearance</v>
      </c>
      <c r="E810" s="6" t="str">
        <f>'Reported burning'!E810</f>
        <v>Cropping, Intensive</v>
      </c>
      <c r="F810" s="6" t="str">
        <f>'Reported burning'!F810</f>
        <v>Forest</v>
      </c>
      <c r="G810" s="6" t="str">
        <f>'Reported burning'!G810</f>
        <v>ND</v>
      </c>
      <c r="H810" s="6" t="str">
        <f>'Reported burning'!H810</f>
        <v>Absence</v>
      </c>
      <c r="I810" s="12"/>
      <c r="J810" s="88">
        <v>0</v>
      </c>
      <c r="K810" s="88">
        <v>0</v>
      </c>
      <c r="L810" s="88">
        <v>0</v>
      </c>
      <c r="M810" s="88">
        <v>0</v>
      </c>
      <c r="N810" s="88">
        <v>0</v>
      </c>
      <c r="O810" s="88">
        <v>0</v>
      </c>
      <c r="P810" s="88">
        <v>0</v>
      </c>
      <c r="Q810" s="88">
        <v>0</v>
      </c>
      <c r="R810" s="88">
        <v>0</v>
      </c>
      <c r="S810" s="88">
        <v>0</v>
      </c>
      <c r="T810" s="88">
        <v>0</v>
      </c>
      <c r="U810" s="88">
        <v>0</v>
      </c>
      <c r="V810" s="88">
        <v>0</v>
      </c>
      <c r="W810" s="88">
        <v>0</v>
      </c>
      <c r="X810" s="88" t="s">
        <v>2276</v>
      </c>
      <c r="Y810" s="88" t="s">
        <v>2276</v>
      </c>
      <c r="Z810" s="88" t="s">
        <v>2276</v>
      </c>
      <c r="AA810" s="88"/>
      <c r="AB810" s="88"/>
    </row>
    <row r="811" spans="1:28" ht="72.5" customHeight="1">
      <c r="A811" s="6" t="str">
        <f>'Reported burning'!A811</f>
        <v>93a</v>
      </c>
      <c r="B811" s="6" t="str">
        <f>'Reported burning'!B811</f>
        <v>93a.1</v>
      </c>
      <c r="C811" s="6" t="str">
        <f>'Reported burning'!C811</f>
        <v>Human, deliberate</v>
      </c>
      <c r="D811" s="6" t="str">
        <f>'Reported burning'!D811</f>
        <v>Crop field preparation</v>
      </c>
      <c r="E811" s="6" t="str">
        <f>'Reported burning'!E811</f>
        <v>Cropping, Swidden</v>
      </c>
      <c r="F811" s="6" t="str">
        <f>'Reported burning'!F811</f>
        <v>Secondary Vegetation</v>
      </c>
      <c r="G811" s="6" t="str">
        <f>'Reported burning'!G811</f>
        <v>ND</v>
      </c>
      <c r="H811" s="6" t="str">
        <f>'Reported burning'!H811</f>
        <v>Presence</v>
      </c>
      <c r="I811" s="3"/>
      <c r="J811" s="21" t="s">
        <v>2276</v>
      </c>
      <c r="K811" s="21" t="s">
        <v>2276</v>
      </c>
      <c r="L811" s="21" t="s">
        <v>2276</v>
      </c>
      <c r="M811" s="21" t="s">
        <v>2276</v>
      </c>
      <c r="N811" s="21" t="s">
        <v>2276</v>
      </c>
      <c r="O811" s="21" t="s">
        <v>2276</v>
      </c>
      <c r="P811" s="103" t="s">
        <v>2375</v>
      </c>
      <c r="Q811" s="21" t="s">
        <v>2276</v>
      </c>
      <c r="R811" s="21" t="s">
        <v>2276</v>
      </c>
      <c r="S811" s="21" t="s">
        <v>2276</v>
      </c>
      <c r="T811" s="21" t="s">
        <v>2276</v>
      </c>
      <c r="U811" s="21" t="s">
        <v>2276</v>
      </c>
      <c r="V811" s="21" t="s">
        <v>2276</v>
      </c>
      <c r="W811" s="103" t="s">
        <v>2403</v>
      </c>
      <c r="X811" s="21" t="s">
        <v>34</v>
      </c>
      <c r="Y811" s="21" t="s">
        <v>405</v>
      </c>
      <c r="Z811" s="21" t="s">
        <v>76</v>
      </c>
      <c r="AA811" s="4" t="s">
        <v>2536</v>
      </c>
      <c r="AB811" s="4"/>
    </row>
    <row r="812" spans="1:28" ht="67.5" customHeight="1">
      <c r="A812" s="6" t="str">
        <f>'Reported burning'!A812</f>
        <v>93b</v>
      </c>
      <c r="B812" s="6" t="str">
        <f>'Reported burning'!B812</f>
        <v>93b.1</v>
      </c>
      <c r="C812" s="6" t="str">
        <f>'Reported burning'!C812</f>
        <v>Human, deliberate</v>
      </c>
      <c r="D812" s="6" t="str">
        <f>'Reported burning'!D812</f>
        <v>Crop field preparation</v>
      </c>
      <c r="E812" s="6" t="str">
        <f>'Reported burning'!E812</f>
        <v>Cropping, Swidden</v>
      </c>
      <c r="F812" s="6" t="str">
        <f>'Reported burning'!F812</f>
        <v>Forest</v>
      </c>
      <c r="G812" s="6" t="str">
        <f>'Reported burning'!G812</f>
        <v>ND</v>
      </c>
      <c r="H812" s="6" t="str">
        <f>'Reported burning'!H812</f>
        <v>Presence</v>
      </c>
      <c r="I812" s="3"/>
      <c r="J812" s="21" t="s">
        <v>2276</v>
      </c>
      <c r="K812" s="21" t="s">
        <v>2276</v>
      </c>
      <c r="L812" s="21" t="s">
        <v>2276</v>
      </c>
      <c r="M812" s="21" t="s">
        <v>2276</v>
      </c>
      <c r="N812" s="21" t="s">
        <v>2276</v>
      </c>
      <c r="O812" s="21" t="s">
        <v>2276</v>
      </c>
      <c r="P812" s="103" t="s">
        <v>2375</v>
      </c>
      <c r="Q812" s="21" t="s">
        <v>2276</v>
      </c>
      <c r="R812" s="21" t="s">
        <v>2276</v>
      </c>
      <c r="S812" s="21" t="s">
        <v>2276</v>
      </c>
      <c r="T812" s="21" t="s">
        <v>2276</v>
      </c>
      <c r="U812" s="21" t="s">
        <v>2276</v>
      </c>
      <c r="V812" s="103" t="s">
        <v>2527</v>
      </c>
      <c r="W812" s="103" t="s">
        <v>2276</v>
      </c>
      <c r="X812" s="21" t="s">
        <v>34</v>
      </c>
      <c r="Y812" s="21" t="s">
        <v>405</v>
      </c>
      <c r="Z812" s="21" t="s">
        <v>76</v>
      </c>
      <c r="AA812" s="4" t="s">
        <v>2536</v>
      </c>
      <c r="AB812" s="4" t="s">
        <v>2538</v>
      </c>
    </row>
    <row r="813" spans="1:28" ht="32.5" customHeight="1">
      <c r="A813" s="6" t="str">
        <f>'Reported burning'!A813</f>
        <v>94a</v>
      </c>
      <c r="B813" s="6" t="str">
        <f>'Reported burning'!B813</f>
        <v>94a.1</v>
      </c>
      <c r="C813" s="6" t="str">
        <f>'Reported burning'!C813</f>
        <v>Human, deliberate</v>
      </c>
      <c r="D813" s="6" t="str">
        <f>'Reported burning'!D813</f>
        <v>Crop field preparation</v>
      </c>
      <c r="E813" s="6" t="str">
        <f>'Reported burning'!E813</f>
        <v>Cropping, Swidden</v>
      </c>
      <c r="F813" s="6" t="str">
        <f>'Reported burning'!F813</f>
        <v>Forest</v>
      </c>
      <c r="G813" s="6" t="str">
        <f>'Reported burning'!G813</f>
        <v>ND</v>
      </c>
      <c r="H813" s="6" t="str">
        <f>'Reported burning'!H813</f>
        <v>Presence</v>
      </c>
      <c r="I813" s="3"/>
      <c r="J813" s="21" t="s">
        <v>2276</v>
      </c>
      <c r="K813" s="21" t="s">
        <v>2276</v>
      </c>
      <c r="L813" s="21" t="s">
        <v>2276</v>
      </c>
      <c r="M813" s="21" t="s">
        <v>2276</v>
      </c>
      <c r="N813" s="21" t="s">
        <v>2276</v>
      </c>
      <c r="O813" s="21" t="s">
        <v>2276</v>
      </c>
      <c r="P813" s="21" t="s">
        <v>2276</v>
      </c>
      <c r="Q813" s="21" t="s">
        <v>2276</v>
      </c>
      <c r="R813" s="21" t="s">
        <v>2276</v>
      </c>
      <c r="S813" s="21" t="s">
        <v>2276</v>
      </c>
      <c r="T813" s="21" t="s">
        <v>2276</v>
      </c>
      <c r="U813" s="21" t="s">
        <v>2276</v>
      </c>
      <c r="V813" s="21" t="s">
        <v>2276</v>
      </c>
      <c r="W813" s="21" t="s">
        <v>2276</v>
      </c>
      <c r="X813" s="21" t="s">
        <v>2276</v>
      </c>
      <c r="Y813" s="21" t="s">
        <v>2276</v>
      </c>
      <c r="Z813" s="21" t="s">
        <v>2276</v>
      </c>
      <c r="AA813" s="3"/>
      <c r="AB813" s="3"/>
    </row>
    <row r="814" spans="1:28" ht="31" customHeight="1">
      <c r="A814" s="6" t="str">
        <f>'Reported burning'!A814</f>
        <v>94a</v>
      </c>
      <c r="B814" s="6" t="str">
        <f>'Reported burning'!B814</f>
        <v>94a.2</v>
      </c>
      <c r="C814" s="6" t="str">
        <f>'Reported burning'!C814</f>
        <v>Human, deliberate</v>
      </c>
      <c r="D814" s="6" t="str">
        <f>'Reported burning'!D814</f>
        <v>Crop field preparation</v>
      </c>
      <c r="E814" s="6" t="str">
        <f>'Reported burning'!E814</f>
        <v>Cropping, Swidden</v>
      </c>
      <c r="F814" s="6" t="str">
        <f>'Reported burning'!F814</f>
        <v>Secondary Vegetation</v>
      </c>
      <c r="G814" s="6" t="str">
        <f>'Reported burning'!G814</f>
        <v>ND</v>
      </c>
      <c r="H814" s="6" t="str">
        <f>'Reported burning'!H814</f>
        <v>Presence</v>
      </c>
      <c r="I814" s="3"/>
      <c r="J814" s="21" t="s">
        <v>2276</v>
      </c>
      <c r="K814" s="21" t="s">
        <v>2276</v>
      </c>
      <c r="L814" s="21" t="s">
        <v>2276</v>
      </c>
      <c r="M814" s="21" t="s">
        <v>2276</v>
      </c>
      <c r="N814" s="21" t="s">
        <v>2276</v>
      </c>
      <c r="O814" s="21" t="s">
        <v>2276</v>
      </c>
      <c r="P814" s="21" t="s">
        <v>2276</v>
      </c>
      <c r="Q814" s="21" t="s">
        <v>2276</v>
      </c>
      <c r="R814" s="21" t="s">
        <v>2276</v>
      </c>
      <c r="S814" s="21" t="s">
        <v>2276</v>
      </c>
      <c r="T814" s="21" t="s">
        <v>2276</v>
      </c>
      <c r="U814" s="21" t="s">
        <v>2276</v>
      </c>
      <c r="V814" s="21" t="s">
        <v>2276</v>
      </c>
      <c r="W814" s="21" t="s">
        <v>2276</v>
      </c>
      <c r="X814" s="21" t="s">
        <v>2276</v>
      </c>
      <c r="Y814" s="21" t="s">
        <v>2276</v>
      </c>
      <c r="Z814" s="21" t="s">
        <v>2276</v>
      </c>
      <c r="AA814" s="3"/>
      <c r="AB814" s="3"/>
    </row>
    <row r="815" spans="1:28" ht="36" customHeight="1">
      <c r="A815" s="6" t="str">
        <f>'Reported burning'!A815</f>
        <v>95a</v>
      </c>
      <c r="B815" s="6" t="str">
        <f>'Reported burning'!B815</f>
        <v>95a.1</v>
      </c>
      <c r="C815" s="6" t="str">
        <f>'Reported burning'!C815</f>
        <v>Human, deliberate</v>
      </c>
      <c r="D815" s="6" t="str">
        <f>'Reported burning'!D815</f>
        <v>Crop field preparation</v>
      </c>
      <c r="E815" s="6" t="str">
        <f>'Reported burning'!E815</f>
        <v>Cropping, Swidden</v>
      </c>
      <c r="F815" s="6" t="str">
        <f>'Reported burning'!F815</f>
        <v>Secondary Vegetation</v>
      </c>
      <c r="G815" s="6" t="str">
        <f>'Reported burning'!G815</f>
        <v>ND</v>
      </c>
      <c r="H815" s="6" t="str">
        <f>'Reported burning'!H815</f>
        <v>Presence</v>
      </c>
      <c r="I815" s="3">
        <v>2002</v>
      </c>
      <c r="J815" s="21" t="s">
        <v>2276</v>
      </c>
      <c r="K815" s="21" t="s">
        <v>2276</v>
      </c>
      <c r="L815" s="21" t="s">
        <v>2276</v>
      </c>
      <c r="M815" s="21" t="s">
        <v>2276</v>
      </c>
      <c r="N815" s="21" t="s">
        <v>2276</v>
      </c>
      <c r="O815" s="21" t="s">
        <v>2276</v>
      </c>
      <c r="P815" s="21" t="s">
        <v>2276</v>
      </c>
      <c r="Q815" s="21" t="s">
        <v>2276</v>
      </c>
      <c r="R815" s="21" t="s">
        <v>2276</v>
      </c>
      <c r="S815" s="21" t="s">
        <v>2276</v>
      </c>
      <c r="T815" s="21" t="s">
        <v>2276</v>
      </c>
      <c r="U815" s="21" t="s">
        <v>2276</v>
      </c>
      <c r="V815" s="21" t="s">
        <v>2276</v>
      </c>
      <c r="W815" s="21" t="s">
        <v>2276</v>
      </c>
      <c r="X815" s="3" t="s">
        <v>188</v>
      </c>
      <c r="Y815" s="3" t="s">
        <v>188</v>
      </c>
      <c r="Z815" s="3" t="s">
        <v>64</v>
      </c>
      <c r="AA815" s="3"/>
      <c r="AB815" s="3"/>
    </row>
    <row r="816" spans="1:28" ht="103.5" customHeight="1">
      <c r="A816" s="6" t="str">
        <f>'Reported burning'!A816</f>
        <v>95a</v>
      </c>
      <c r="B816" s="6" t="str">
        <f>'Reported burning'!B816</f>
        <v>95a.2</v>
      </c>
      <c r="C816" s="6" t="str">
        <f>'Reported burning'!C816</f>
        <v>Human, deliberate</v>
      </c>
      <c r="D816" s="6" t="str">
        <f>'Reported burning'!D816</f>
        <v>Crop field preparation</v>
      </c>
      <c r="E816" s="6" t="str">
        <f>'Reported burning'!E816</f>
        <v>Cropping, Monoculture, Subsistence-oriented</v>
      </c>
      <c r="F816" s="6" t="str">
        <f>'Reported burning'!F816</f>
        <v>Cropland</v>
      </c>
      <c r="G816" s="6" t="str">
        <f>'Reported burning'!G816</f>
        <v>ND</v>
      </c>
      <c r="H816" s="6" t="str">
        <f>'Reported burning'!H816</f>
        <v>Presence</v>
      </c>
      <c r="I816" s="3">
        <v>2002</v>
      </c>
      <c r="J816" s="21" t="s">
        <v>2276</v>
      </c>
      <c r="K816" s="21" t="s">
        <v>2276</v>
      </c>
      <c r="L816" s="21" t="s">
        <v>2276</v>
      </c>
      <c r="M816" s="21" t="s">
        <v>2276</v>
      </c>
      <c r="N816" s="21" t="s">
        <v>2276</v>
      </c>
      <c r="O816" s="21" t="s">
        <v>2276</v>
      </c>
      <c r="P816" s="21" t="s">
        <v>2276</v>
      </c>
      <c r="Q816" s="21" t="s">
        <v>2276</v>
      </c>
      <c r="R816" s="21" t="s">
        <v>2276</v>
      </c>
      <c r="S816" s="21" t="s">
        <v>2276</v>
      </c>
      <c r="T816" s="21" t="s">
        <v>2276</v>
      </c>
      <c r="U816" s="21" t="s">
        <v>2276</v>
      </c>
      <c r="V816" s="21" t="s">
        <v>2276</v>
      </c>
      <c r="W816" s="103" t="s">
        <v>2375</v>
      </c>
      <c r="X816" s="3" t="s">
        <v>399</v>
      </c>
      <c r="Y816" s="3" t="s">
        <v>399</v>
      </c>
      <c r="Z816" s="3" t="s">
        <v>76</v>
      </c>
      <c r="AA816" s="4" t="s">
        <v>2572</v>
      </c>
      <c r="AB816" s="4" t="s">
        <v>2573</v>
      </c>
    </row>
    <row r="817" spans="1:28">
      <c r="A817" s="6" t="str">
        <f>'Reported burning'!A817</f>
        <v>95b</v>
      </c>
      <c r="B817" s="6" t="str">
        <f>'Reported burning'!B817</f>
        <v>95b.1</v>
      </c>
      <c r="C817" s="6" t="str">
        <f>'Reported burning'!C817</f>
        <v>Human, deliberate</v>
      </c>
      <c r="D817" s="6" t="str">
        <f>'Reported burning'!D817</f>
        <v>Crop field preparation</v>
      </c>
      <c r="E817" s="6" t="str">
        <f>'Reported burning'!E817</f>
        <v>Cropping, Swidden</v>
      </c>
      <c r="F817" s="6" t="str">
        <f>'Reported burning'!F817</f>
        <v>Secondary Vegetation</v>
      </c>
      <c r="G817" s="6" t="str">
        <f>'Reported burning'!G817</f>
        <v>ND</v>
      </c>
      <c r="H817" s="6" t="str">
        <f>'Reported burning'!H817</f>
        <v>Presence</v>
      </c>
      <c r="I817" s="3">
        <v>1997</v>
      </c>
      <c r="J817" s="21" t="s">
        <v>2276</v>
      </c>
      <c r="K817" s="21" t="s">
        <v>2276</v>
      </c>
      <c r="L817" s="21" t="s">
        <v>2276</v>
      </c>
      <c r="M817" s="21" t="s">
        <v>2276</v>
      </c>
      <c r="N817" s="21" t="s">
        <v>2276</v>
      </c>
      <c r="O817" s="21" t="s">
        <v>2276</v>
      </c>
      <c r="P817" s="21" t="s">
        <v>2276</v>
      </c>
      <c r="Q817" s="21" t="s">
        <v>2276</v>
      </c>
      <c r="R817" s="21" t="s">
        <v>2276</v>
      </c>
      <c r="S817" s="21" t="s">
        <v>2276</v>
      </c>
      <c r="T817" s="21" t="s">
        <v>2276</v>
      </c>
      <c r="U817" s="21" t="s">
        <v>2276</v>
      </c>
      <c r="V817" s="21" t="s">
        <v>2276</v>
      </c>
      <c r="W817" s="103" t="s">
        <v>2402</v>
      </c>
      <c r="X817" s="3" t="s">
        <v>188</v>
      </c>
      <c r="Y817" s="3" t="s">
        <v>188</v>
      </c>
      <c r="Z817" s="3" t="s">
        <v>64</v>
      </c>
      <c r="AA817" s="3"/>
      <c r="AB817" s="3"/>
    </row>
    <row r="818" spans="1:28">
      <c r="A818" s="6" t="str">
        <f>'Reported burning'!A818</f>
        <v>95b</v>
      </c>
      <c r="B818" s="6" t="str">
        <f>'Reported burning'!B818</f>
        <v>95b.2</v>
      </c>
      <c r="C818" s="6" t="str">
        <f>'Reported burning'!C818</f>
        <v>Human, deliberate</v>
      </c>
      <c r="D818" s="6" t="str">
        <f>'Reported burning'!D818</f>
        <v>Crop field preparation</v>
      </c>
      <c r="E818" s="6" t="str">
        <f>'Reported burning'!E818</f>
        <v>Cropping, Swidden</v>
      </c>
      <c r="F818" s="6" t="str">
        <f>'Reported burning'!F818</f>
        <v>Secondary Vegetation</v>
      </c>
      <c r="G818" s="6" t="str">
        <f>'Reported burning'!G818</f>
        <v>ND</v>
      </c>
      <c r="H818" s="6" t="str">
        <f>'Reported burning'!H818</f>
        <v>Presence</v>
      </c>
      <c r="I818" s="3">
        <v>1992</v>
      </c>
      <c r="J818" s="21" t="s">
        <v>2276</v>
      </c>
      <c r="K818" s="21" t="s">
        <v>2276</v>
      </c>
      <c r="L818" s="21" t="s">
        <v>2276</v>
      </c>
      <c r="M818" s="21" t="s">
        <v>2276</v>
      </c>
      <c r="N818" s="21" t="s">
        <v>2276</v>
      </c>
      <c r="O818" s="21" t="s">
        <v>2276</v>
      </c>
      <c r="P818" s="21" t="s">
        <v>2276</v>
      </c>
      <c r="Q818" s="21" t="s">
        <v>2276</v>
      </c>
      <c r="R818" s="21" t="s">
        <v>2276</v>
      </c>
      <c r="S818" s="21" t="s">
        <v>2276</v>
      </c>
      <c r="T818" s="21" t="s">
        <v>2276</v>
      </c>
      <c r="U818" s="21" t="s">
        <v>2276</v>
      </c>
      <c r="V818" s="21" t="s">
        <v>2276</v>
      </c>
      <c r="W818" s="103" t="s">
        <v>2403</v>
      </c>
      <c r="X818" s="3" t="s">
        <v>188</v>
      </c>
      <c r="Y818" s="3" t="s">
        <v>188</v>
      </c>
      <c r="Z818" s="3" t="s">
        <v>64</v>
      </c>
      <c r="AA818" s="3"/>
      <c r="AB818" s="3"/>
    </row>
    <row r="819" spans="1:28">
      <c r="A819" s="6" t="str">
        <f>'Reported burning'!A819</f>
        <v>95b</v>
      </c>
      <c r="B819" s="6" t="str">
        <f>'Reported burning'!B819</f>
        <v>95b.3</v>
      </c>
      <c r="C819" s="6" t="str">
        <f>'Reported burning'!C819</f>
        <v>Human, deliberate</v>
      </c>
      <c r="D819" s="6" t="str">
        <f>'Reported burning'!D819</f>
        <v>Crop field preparation</v>
      </c>
      <c r="E819" s="6" t="str">
        <f>'Reported burning'!E819</f>
        <v>Cropping, Swidden</v>
      </c>
      <c r="F819" s="6" t="str">
        <f>'Reported burning'!F819</f>
        <v>Secondary Vegetation</v>
      </c>
      <c r="G819" s="6" t="str">
        <f>'Reported burning'!G819</f>
        <v>ND</v>
      </c>
      <c r="H819" s="6" t="str">
        <f>'Reported burning'!H819</f>
        <v>Presence</v>
      </c>
      <c r="I819" s="3">
        <v>1987</v>
      </c>
      <c r="J819" s="21" t="s">
        <v>2276</v>
      </c>
      <c r="K819" s="21" t="s">
        <v>2276</v>
      </c>
      <c r="L819" s="21" t="s">
        <v>2276</v>
      </c>
      <c r="M819" s="21" t="s">
        <v>2276</v>
      </c>
      <c r="N819" s="21" t="s">
        <v>2276</v>
      </c>
      <c r="O819" s="21" t="s">
        <v>2276</v>
      </c>
      <c r="P819" s="21" t="s">
        <v>2276</v>
      </c>
      <c r="Q819" s="21" t="s">
        <v>2276</v>
      </c>
      <c r="R819" s="21" t="s">
        <v>2276</v>
      </c>
      <c r="S819" s="21" t="s">
        <v>2276</v>
      </c>
      <c r="T819" s="21" t="s">
        <v>2276</v>
      </c>
      <c r="U819" s="21" t="s">
        <v>2276</v>
      </c>
      <c r="V819" s="21" t="s">
        <v>2276</v>
      </c>
      <c r="W819" s="103" t="s">
        <v>2403</v>
      </c>
      <c r="X819" s="3" t="s">
        <v>188</v>
      </c>
      <c r="Y819" s="3" t="s">
        <v>188</v>
      </c>
      <c r="Z819" s="3" t="s">
        <v>64</v>
      </c>
      <c r="AA819" s="3"/>
      <c r="AB819" s="3"/>
    </row>
    <row r="820" spans="1:28">
      <c r="A820" s="6" t="str">
        <f>'Reported burning'!A820</f>
        <v>95b</v>
      </c>
      <c r="B820" s="6" t="str">
        <f>'Reported burning'!B820</f>
        <v>95b.4</v>
      </c>
      <c r="C820" s="6" t="str">
        <f>'Reported burning'!C820</f>
        <v>Human, deliberate</v>
      </c>
      <c r="D820" s="6" t="str">
        <f>'Reported burning'!D820</f>
        <v>Crop field preparation</v>
      </c>
      <c r="E820" s="6" t="str">
        <f>'Reported burning'!E820</f>
        <v>Cropping, Swidden</v>
      </c>
      <c r="F820" s="6" t="str">
        <f>'Reported burning'!F820</f>
        <v>Secondary Vegetation</v>
      </c>
      <c r="G820" s="6" t="str">
        <f>'Reported burning'!G820</f>
        <v>ND</v>
      </c>
      <c r="H820" s="6" t="str">
        <f>'Reported burning'!H820</f>
        <v>Presence</v>
      </c>
      <c r="I820" s="3">
        <v>1982</v>
      </c>
      <c r="J820" s="21" t="s">
        <v>2276</v>
      </c>
      <c r="K820" s="21" t="s">
        <v>2276</v>
      </c>
      <c r="L820" s="21" t="s">
        <v>2276</v>
      </c>
      <c r="M820" s="21" t="s">
        <v>2276</v>
      </c>
      <c r="N820" s="21" t="s">
        <v>2276</v>
      </c>
      <c r="O820" s="21" t="s">
        <v>2276</v>
      </c>
      <c r="P820" s="21" t="s">
        <v>2276</v>
      </c>
      <c r="Q820" s="21" t="s">
        <v>2276</v>
      </c>
      <c r="R820" s="21" t="s">
        <v>2276</v>
      </c>
      <c r="S820" s="21" t="s">
        <v>2276</v>
      </c>
      <c r="T820" s="21" t="s">
        <v>2276</v>
      </c>
      <c r="U820" s="21" t="s">
        <v>2276</v>
      </c>
      <c r="V820" s="21" t="s">
        <v>2276</v>
      </c>
      <c r="W820" s="103" t="s">
        <v>2403</v>
      </c>
      <c r="X820" s="3" t="s">
        <v>188</v>
      </c>
      <c r="Y820" s="3" t="s">
        <v>188</v>
      </c>
      <c r="Z820" s="3" t="s">
        <v>64</v>
      </c>
      <c r="AA820" s="3"/>
      <c r="AB820" s="3"/>
    </row>
    <row r="821" spans="1:28">
      <c r="A821" s="6" t="str">
        <f>'Reported burning'!A821</f>
        <v>95b</v>
      </c>
      <c r="B821" s="6" t="str">
        <f>'Reported burning'!B821</f>
        <v>95b.5</v>
      </c>
      <c r="C821" s="6" t="str">
        <f>'Reported burning'!C821</f>
        <v>Human, deliberate</v>
      </c>
      <c r="D821" s="6" t="str">
        <f>'Reported burning'!D821</f>
        <v>Crop field preparation</v>
      </c>
      <c r="E821" s="6" t="str">
        <f>'Reported burning'!E821</f>
        <v>Cropping, Swidden</v>
      </c>
      <c r="F821" s="6" t="str">
        <f>'Reported burning'!F821</f>
        <v>Secondary Vegetation</v>
      </c>
      <c r="G821" s="6" t="str">
        <f>'Reported burning'!G821</f>
        <v>ND</v>
      </c>
      <c r="H821" s="6" t="str">
        <f>'Reported burning'!H821</f>
        <v>Presence</v>
      </c>
      <c r="I821" s="3">
        <v>1977</v>
      </c>
      <c r="J821" s="21" t="s">
        <v>2276</v>
      </c>
      <c r="K821" s="21" t="s">
        <v>2276</v>
      </c>
      <c r="L821" s="21" t="s">
        <v>2276</v>
      </c>
      <c r="M821" s="21" t="s">
        <v>2276</v>
      </c>
      <c r="N821" s="21" t="s">
        <v>2276</v>
      </c>
      <c r="O821" s="21" t="s">
        <v>2276</v>
      </c>
      <c r="P821" s="21" t="s">
        <v>2276</v>
      </c>
      <c r="Q821" s="21" t="s">
        <v>2276</v>
      </c>
      <c r="R821" s="21" t="s">
        <v>2276</v>
      </c>
      <c r="S821" s="21" t="s">
        <v>2276</v>
      </c>
      <c r="T821" s="21" t="s">
        <v>2276</v>
      </c>
      <c r="U821" s="21" t="s">
        <v>2276</v>
      </c>
      <c r="V821" s="21" t="s">
        <v>2276</v>
      </c>
      <c r="W821" s="103" t="s">
        <v>2404</v>
      </c>
      <c r="X821" s="3" t="s">
        <v>188</v>
      </c>
      <c r="Y821" s="3" t="s">
        <v>188</v>
      </c>
      <c r="Z821" s="3" t="s">
        <v>64</v>
      </c>
      <c r="AA821" s="3"/>
      <c r="AB821" s="3"/>
    </row>
    <row r="822" spans="1:28" ht="98.5" customHeight="1">
      <c r="A822" s="6" t="str">
        <f>'Reported burning'!A822</f>
        <v>96a</v>
      </c>
      <c r="B822" s="6" t="str">
        <f>'Reported burning'!B822</f>
        <v>96a.1</v>
      </c>
      <c r="C822" s="6" t="str">
        <f>'Reported burning'!C822</f>
        <v>Human, deliberate</v>
      </c>
      <c r="D822" s="6" t="str">
        <f>'Reported burning'!D822</f>
        <v>Crop field preparation</v>
      </c>
      <c r="E822" s="6" t="str">
        <f>'Reported burning'!E822</f>
        <v>Cropping, Monoculture, Subsistence-oriented</v>
      </c>
      <c r="F822" s="6" t="str">
        <f>'Reported burning'!F822</f>
        <v>Cropland</v>
      </c>
      <c r="G822" s="6" t="str">
        <f>'Reported burning'!G822</f>
        <v>ND</v>
      </c>
      <c r="H822" s="6" t="str">
        <f>'Reported burning'!H822</f>
        <v>Presence</v>
      </c>
      <c r="I822" s="3"/>
      <c r="J822" s="21" t="s">
        <v>2276</v>
      </c>
      <c r="K822" s="21" t="s">
        <v>2276</v>
      </c>
      <c r="L822" s="21" t="s">
        <v>2276</v>
      </c>
      <c r="M822" s="21" t="s">
        <v>2276</v>
      </c>
      <c r="N822" s="21" t="s">
        <v>2276</v>
      </c>
      <c r="O822" s="21" t="s">
        <v>2276</v>
      </c>
      <c r="P822" s="21" t="s">
        <v>2276</v>
      </c>
      <c r="Q822" s="21" t="s">
        <v>2276</v>
      </c>
      <c r="R822" s="21" t="s">
        <v>2276</v>
      </c>
      <c r="S822" s="21" t="s">
        <v>2276</v>
      </c>
      <c r="T822" s="21" t="s">
        <v>2276</v>
      </c>
      <c r="U822" s="21" t="s">
        <v>2276</v>
      </c>
      <c r="V822" s="21" t="s">
        <v>2276</v>
      </c>
      <c r="W822" s="103" t="s">
        <v>2375</v>
      </c>
      <c r="X822" s="3" t="s">
        <v>399</v>
      </c>
      <c r="Y822" s="3" t="s">
        <v>399</v>
      </c>
      <c r="Z822" s="3" t="s">
        <v>76</v>
      </c>
      <c r="AA822" s="4" t="s">
        <v>2572</v>
      </c>
      <c r="AB822" s="4" t="s">
        <v>2573</v>
      </c>
    </row>
    <row r="823" spans="1:28" ht="43.5" customHeight="1">
      <c r="A823" s="6" t="str">
        <f>'Reported burning'!A823</f>
        <v>97a</v>
      </c>
      <c r="B823" s="6" t="str">
        <f>'Reported burning'!B823</f>
        <v>97a.1</v>
      </c>
      <c r="C823" s="6" t="str">
        <f>'Reported burning'!C823</f>
        <v>Human, deliberate</v>
      </c>
      <c r="D823" s="6" t="str">
        <f>'Reported burning'!D823</f>
        <v>Crop field preparation</v>
      </c>
      <c r="E823" s="6" t="str">
        <f>'Reported burning'!E823</f>
        <v>Cropping, Swidden</v>
      </c>
      <c r="F823" s="6" t="str">
        <f>'Reported burning'!F823</f>
        <v>Secondary Vegetation</v>
      </c>
      <c r="G823" s="6" t="str">
        <f>'Reported burning'!G823</f>
        <v>ND</v>
      </c>
      <c r="H823" s="6" t="str">
        <f>'Reported burning'!H823</f>
        <v>Presence</v>
      </c>
      <c r="I823" s="3"/>
      <c r="J823" s="21" t="s">
        <v>2276</v>
      </c>
      <c r="K823" s="21" t="s">
        <v>2276</v>
      </c>
      <c r="L823" s="21" t="s">
        <v>2276</v>
      </c>
      <c r="M823" s="21" t="s">
        <v>2276</v>
      </c>
      <c r="N823" s="21" t="s">
        <v>2276</v>
      </c>
      <c r="O823" s="21" t="s">
        <v>2276</v>
      </c>
      <c r="P823" s="21" t="s">
        <v>2276</v>
      </c>
      <c r="Q823" s="21" t="s">
        <v>2276</v>
      </c>
      <c r="R823" s="21" t="s">
        <v>2276</v>
      </c>
      <c r="S823" s="21" t="s">
        <v>2276</v>
      </c>
      <c r="T823" s="21" t="s">
        <v>2276</v>
      </c>
      <c r="U823" s="21" t="s">
        <v>2276</v>
      </c>
      <c r="V823" s="21" t="s">
        <v>2276</v>
      </c>
      <c r="W823" s="21" t="s">
        <v>2276</v>
      </c>
      <c r="X823" s="21" t="s">
        <v>2276</v>
      </c>
      <c r="Y823" s="21" t="s">
        <v>2276</v>
      </c>
      <c r="Z823" s="21" t="s">
        <v>2276</v>
      </c>
      <c r="AA823" s="3"/>
      <c r="AB823" s="3"/>
    </row>
    <row r="824" spans="1:28" ht="51" customHeight="1">
      <c r="A824" s="6" t="str">
        <f>'Reported burning'!A824</f>
        <v>97a</v>
      </c>
      <c r="B824" s="6" t="str">
        <f>'Reported burning'!B824</f>
        <v>97a.2</v>
      </c>
      <c r="C824" s="6" t="str">
        <f>'Reported burning'!C824</f>
        <v>Human, deliberate</v>
      </c>
      <c r="D824" s="6" t="str">
        <f>'Reported burning'!D824</f>
        <v>Crop field preparation</v>
      </c>
      <c r="E824" s="6" t="str">
        <f>'Reported burning'!E824</f>
        <v>Cropping, Swidden</v>
      </c>
      <c r="F824" s="6" t="str">
        <f>'Reported burning'!F824</f>
        <v>Forest</v>
      </c>
      <c r="G824" s="6" t="str">
        <f>'Reported burning'!G824</f>
        <v>ND</v>
      </c>
      <c r="H824" s="6" t="str">
        <f>'Reported burning'!H824</f>
        <v>Presence</v>
      </c>
      <c r="I824" s="3"/>
      <c r="J824" s="21" t="s">
        <v>2276</v>
      </c>
      <c r="K824" s="21" t="s">
        <v>2276</v>
      </c>
      <c r="L824" s="21" t="s">
        <v>2276</v>
      </c>
      <c r="M824" s="21" t="s">
        <v>2276</v>
      </c>
      <c r="N824" s="21" t="s">
        <v>2276</v>
      </c>
      <c r="O824" s="21" t="s">
        <v>2276</v>
      </c>
      <c r="P824" s="21" t="s">
        <v>2276</v>
      </c>
      <c r="Q824" s="21" t="s">
        <v>2276</v>
      </c>
      <c r="R824" s="21" t="s">
        <v>2276</v>
      </c>
      <c r="S824" s="21" t="s">
        <v>2276</v>
      </c>
      <c r="T824" s="21" t="s">
        <v>2276</v>
      </c>
      <c r="U824" s="21" t="s">
        <v>2276</v>
      </c>
      <c r="V824" s="21" t="s">
        <v>2276</v>
      </c>
      <c r="W824" s="21" t="s">
        <v>2276</v>
      </c>
      <c r="X824" s="21" t="s">
        <v>2276</v>
      </c>
      <c r="Y824" s="21" t="s">
        <v>2276</v>
      </c>
      <c r="Z824" s="21" t="s">
        <v>2276</v>
      </c>
      <c r="AA824" s="3"/>
      <c r="AB824" s="3"/>
    </row>
    <row r="825" spans="1:28" ht="42" customHeight="1">
      <c r="A825" s="6" t="str">
        <f>'Reported burning'!A825</f>
        <v>97b</v>
      </c>
      <c r="B825" s="6" t="str">
        <f>'Reported burning'!B825</f>
        <v>97b.1</v>
      </c>
      <c r="C825" s="6" t="str">
        <f>'Reported burning'!C825</f>
        <v>Human, deliberate</v>
      </c>
      <c r="D825" s="6" t="str">
        <f>'Reported burning'!D825</f>
        <v>Crop field preparation</v>
      </c>
      <c r="E825" s="6" t="str">
        <f>'Reported burning'!E825</f>
        <v>Cropping, Swidden</v>
      </c>
      <c r="F825" s="6" t="str">
        <f>'Reported burning'!F825</f>
        <v>Secondary Vegetation</v>
      </c>
      <c r="G825" s="6" t="str">
        <f>'Reported burning'!G825</f>
        <v>ND</v>
      </c>
      <c r="H825" s="6" t="str">
        <f>'Reported burning'!H825</f>
        <v>Presence</v>
      </c>
      <c r="I825" s="3"/>
      <c r="J825" s="21" t="s">
        <v>2276</v>
      </c>
      <c r="K825" s="21" t="s">
        <v>2276</v>
      </c>
      <c r="L825" s="21" t="s">
        <v>2276</v>
      </c>
      <c r="M825" s="21" t="s">
        <v>2276</v>
      </c>
      <c r="N825" s="21" t="s">
        <v>2276</v>
      </c>
      <c r="O825" s="21" t="s">
        <v>2276</v>
      </c>
      <c r="P825" s="21" t="s">
        <v>2276</v>
      </c>
      <c r="Q825" s="21" t="s">
        <v>2276</v>
      </c>
      <c r="R825" s="21" t="s">
        <v>2276</v>
      </c>
      <c r="S825" s="21" t="s">
        <v>2276</v>
      </c>
      <c r="T825" s="21" t="s">
        <v>2276</v>
      </c>
      <c r="U825" s="21" t="s">
        <v>2276</v>
      </c>
      <c r="V825" s="21" t="s">
        <v>2276</v>
      </c>
      <c r="W825" s="21" t="s">
        <v>2276</v>
      </c>
      <c r="X825" s="21" t="s">
        <v>2276</v>
      </c>
      <c r="Y825" s="21" t="s">
        <v>2276</v>
      </c>
      <c r="Z825" s="21" t="s">
        <v>2276</v>
      </c>
      <c r="AA825" s="3"/>
      <c r="AB825" s="3"/>
    </row>
    <row r="826" spans="1:28" ht="42" customHeight="1">
      <c r="A826" s="6" t="str">
        <f>'Reported burning'!A826</f>
        <v>97b</v>
      </c>
      <c r="B826" s="6" t="str">
        <f>'Reported burning'!B826</f>
        <v>97b.2</v>
      </c>
      <c r="C826" s="6" t="str">
        <f>'Reported burning'!C826</f>
        <v>Human, deliberate</v>
      </c>
      <c r="D826" s="6" t="str">
        <f>'Reported burning'!D826</f>
        <v>Crop field preparation</v>
      </c>
      <c r="E826" s="6" t="str">
        <f>'Reported burning'!E826</f>
        <v>Cropping, Swidden</v>
      </c>
      <c r="F826" s="6" t="str">
        <f>'Reported burning'!F826</f>
        <v>Forest</v>
      </c>
      <c r="G826" s="6" t="str">
        <f>'Reported burning'!G826</f>
        <v>ND</v>
      </c>
      <c r="H826" s="6" t="str">
        <f>'Reported burning'!H826</f>
        <v>Presence</v>
      </c>
      <c r="I826" s="3"/>
      <c r="J826" s="21" t="s">
        <v>2276</v>
      </c>
      <c r="K826" s="21" t="s">
        <v>2276</v>
      </c>
      <c r="L826" s="21" t="s">
        <v>2276</v>
      </c>
      <c r="M826" s="21" t="s">
        <v>2276</v>
      </c>
      <c r="N826" s="21" t="s">
        <v>2276</v>
      </c>
      <c r="O826" s="21" t="s">
        <v>2276</v>
      </c>
      <c r="P826" s="21" t="s">
        <v>2276</v>
      </c>
      <c r="Q826" s="21" t="s">
        <v>2276</v>
      </c>
      <c r="R826" s="21" t="s">
        <v>2276</v>
      </c>
      <c r="S826" s="21" t="s">
        <v>2276</v>
      </c>
      <c r="T826" s="21" t="s">
        <v>2276</v>
      </c>
      <c r="U826" s="21" t="s">
        <v>2276</v>
      </c>
      <c r="V826" s="21" t="s">
        <v>2276</v>
      </c>
      <c r="W826" s="21" t="s">
        <v>2276</v>
      </c>
      <c r="X826" s="21" t="s">
        <v>2276</v>
      </c>
      <c r="Y826" s="21" t="s">
        <v>2276</v>
      </c>
      <c r="Z826" s="21" t="s">
        <v>2276</v>
      </c>
      <c r="AA826" s="3"/>
      <c r="AB826" s="3"/>
    </row>
    <row r="827" spans="1:28" ht="42" customHeight="1">
      <c r="A827" s="6" t="str">
        <f>'Reported burning'!A827</f>
        <v>97c</v>
      </c>
      <c r="B827" s="6" t="str">
        <f>'Reported burning'!B827</f>
        <v>97c.1</v>
      </c>
      <c r="C827" s="6" t="str">
        <f>'Reported burning'!C827</f>
        <v>Human, deliberate</v>
      </c>
      <c r="D827" s="6" t="str">
        <f>'Reported burning'!D827</f>
        <v>Crop field preparation</v>
      </c>
      <c r="E827" s="6" t="str">
        <f>'Reported burning'!E827</f>
        <v>Cropping, Swidden</v>
      </c>
      <c r="F827" s="6" t="str">
        <f>'Reported burning'!F827</f>
        <v>Secondary Vegetation</v>
      </c>
      <c r="G827" s="6" t="str">
        <f>'Reported burning'!G827</f>
        <v>ND</v>
      </c>
      <c r="H827" s="6" t="str">
        <f>'Reported burning'!H827</f>
        <v>Presence</v>
      </c>
      <c r="I827" s="3"/>
      <c r="J827" s="21" t="s">
        <v>2276</v>
      </c>
      <c r="K827" s="21" t="s">
        <v>2276</v>
      </c>
      <c r="L827" s="21" t="s">
        <v>2276</v>
      </c>
      <c r="M827" s="21" t="s">
        <v>2276</v>
      </c>
      <c r="N827" s="21" t="s">
        <v>2276</v>
      </c>
      <c r="O827" s="21" t="s">
        <v>2276</v>
      </c>
      <c r="P827" s="21" t="s">
        <v>2276</v>
      </c>
      <c r="Q827" s="21" t="s">
        <v>2276</v>
      </c>
      <c r="R827" s="21" t="s">
        <v>2276</v>
      </c>
      <c r="S827" s="21" t="s">
        <v>2276</v>
      </c>
      <c r="T827" s="21" t="s">
        <v>2276</v>
      </c>
      <c r="U827" s="21" t="s">
        <v>2276</v>
      </c>
      <c r="V827" s="21" t="s">
        <v>2276</v>
      </c>
      <c r="W827" s="21" t="s">
        <v>2276</v>
      </c>
      <c r="X827" s="21" t="s">
        <v>2276</v>
      </c>
      <c r="Y827" s="21" t="s">
        <v>2276</v>
      </c>
      <c r="Z827" s="21" t="s">
        <v>2276</v>
      </c>
      <c r="AA827" s="3"/>
      <c r="AB827" s="3"/>
    </row>
    <row r="828" spans="1:28" ht="42" customHeight="1">
      <c r="A828" s="6" t="str">
        <f>'Reported burning'!A828</f>
        <v>97c</v>
      </c>
      <c r="B828" s="6" t="str">
        <f>'Reported burning'!B828</f>
        <v>97c.2</v>
      </c>
      <c r="C828" s="6" t="str">
        <f>'Reported burning'!C828</f>
        <v>Human, deliberate</v>
      </c>
      <c r="D828" s="6" t="str">
        <f>'Reported burning'!D828</f>
        <v>Crop field preparation</v>
      </c>
      <c r="E828" s="6" t="str">
        <f>'Reported burning'!E828</f>
        <v>Cropping, Swidden</v>
      </c>
      <c r="F828" s="6" t="str">
        <f>'Reported burning'!F828</f>
        <v>Forest</v>
      </c>
      <c r="G828" s="6" t="str">
        <f>'Reported burning'!G828</f>
        <v>ND</v>
      </c>
      <c r="H828" s="6" t="str">
        <f>'Reported burning'!H828</f>
        <v>Presence</v>
      </c>
      <c r="I828" s="3"/>
      <c r="J828" s="21" t="s">
        <v>2276</v>
      </c>
      <c r="K828" s="21" t="s">
        <v>2276</v>
      </c>
      <c r="L828" s="21" t="s">
        <v>2276</v>
      </c>
      <c r="M828" s="21" t="s">
        <v>2276</v>
      </c>
      <c r="N828" s="21" t="s">
        <v>2276</v>
      </c>
      <c r="O828" s="21" t="s">
        <v>2276</v>
      </c>
      <c r="P828" s="21" t="s">
        <v>2276</v>
      </c>
      <c r="Q828" s="21" t="s">
        <v>2276</v>
      </c>
      <c r="R828" s="21" t="s">
        <v>2276</v>
      </c>
      <c r="S828" s="21" t="s">
        <v>2276</v>
      </c>
      <c r="T828" s="21" t="s">
        <v>2276</v>
      </c>
      <c r="U828" s="21" t="s">
        <v>2276</v>
      </c>
      <c r="V828" s="21" t="s">
        <v>2276</v>
      </c>
      <c r="W828" s="21" t="s">
        <v>2276</v>
      </c>
      <c r="X828" s="21" t="s">
        <v>2276</v>
      </c>
      <c r="Y828" s="21" t="s">
        <v>2276</v>
      </c>
      <c r="Z828" s="21" t="s">
        <v>2276</v>
      </c>
      <c r="AA828" s="3"/>
      <c r="AB828" s="3"/>
    </row>
    <row r="829" spans="1:28" ht="42" customHeight="1">
      <c r="A829" s="6" t="str">
        <f>'Reported burning'!A829</f>
        <v>97d</v>
      </c>
      <c r="B829" s="6" t="str">
        <f>'Reported burning'!B829</f>
        <v>97d.1</v>
      </c>
      <c r="C829" s="6" t="str">
        <f>'Reported burning'!C829</f>
        <v>Human, deliberate</v>
      </c>
      <c r="D829" s="6" t="str">
        <f>'Reported burning'!D829</f>
        <v>Crop field preparation</v>
      </c>
      <c r="E829" s="6" t="str">
        <f>'Reported burning'!E829</f>
        <v>Cropping, Swidden</v>
      </c>
      <c r="F829" s="6" t="str">
        <f>'Reported burning'!F829</f>
        <v>Secondary Vegetation</v>
      </c>
      <c r="G829" s="6" t="str">
        <f>'Reported burning'!G829</f>
        <v>ND</v>
      </c>
      <c r="H829" s="6" t="str">
        <f>'Reported burning'!H829</f>
        <v>Presence</v>
      </c>
      <c r="I829" s="3"/>
      <c r="J829" s="21" t="s">
        <v>2276</v>
      </c>
      <c r="K829" s="21" t="s">
        <v>2276</v>
      </c>
      <c r="L829" s="21" t="s">
        <v>2276</v>
      </c>
      <c r="M829" s="21" t="s">
        <v>2276</v>
      </c>
      <c r="N829" s="21" t="s">
        <v>2276</v>
      </c>
      <c r="O829" s="21" t="s">
        <v>2276</v>
      </c>
      <c r="P829" s="21" t="s">
        <v>2276</v>
      </c>
      <c r="Q829" s="21" t="s">
        <v>2276</v>
      </c>
      <c r="R829" s="21" t="s">
        <v>2276</v>
      </c>
      <c r="S829" s="21" t="s">
        <v>2276</v>
      </c>
      <c r="T829" s="21" t="s">
        <v>2276</v>
      </c>
      <c r="U829" s="21" t="s">
        <v>2276</v>
      </c>
      <c r="V829" s="21" t="s">
        <v>2276</v>
      </c>
      <c r="W829" s="21" t="s">
        <v>2276</v>
      </c>
      <c r="X829" s="21" t="s">
        <v>2276</v>
      </c>
      <c r="Y829" s="21" t="s">
        <v>2276</v>
      </c>
      <c r="Z829" s="21" t="s">
        <v>2276</v>
      </c>
      <c r="AA829" s="3"/>
      <c r="AB829" s="3"/>
    </row>
    <row r="830" spans="1:28" ht="42" customHeight="1">
      <c r="A830" s="6" t="str">
        <f>'Reported burning'!A830</f>
        <v>97d</v>
      </c>
      <c r="B830" s="6" t="str">
        <f>'Reported burning'!B830</f>
        <v>97d.2</v>
      </c>
      <c r="C830" s="6" t="str">
        <f>'Reported burning'!C830</f>
        <v>Human, deliberate</v>
      </c>
      <c r="D830" s="6" t="str">
        <f>'Reported burning'!D830</f>
        <v>Crop field preparation</v>
      </c>
      <c r="E830" s="6" t="str">
        <f>'Reported burning'!E830</f>
        <v>Cropping, Swidden</v>
      </c>
      <c r="F830" s="6" t="str">
        <f>'Reported burning'!F830</f>
        <v>Forest</v>
      </c>
      <c r="G830" s="6" t="str">
        <f>'Reported burning'!G830</f>
        <v>ND</v>
      </c>
      <c r="H830" s="6" t="str">
        <f>'Reported burning'!H830</f>
        <v>Presence</v>
      </c>
      <c r="I830" s="3"/>
      <c r="J830" s="21" t="s">
        <v>2276</v>
      </c>
      <c r="K830" s="21" t="s">
        <v>2276</v>
      </c>
      <c r="L830" s="21" t="s">
        <v>2276</v>
      </c>
      <c r="M830" s="21" t="s">
        <v>2276</v>
      </c>
      <c r="N830" s="21" t="s">
        <v>2276</v>
      </c>
      <c r="O830" s="21" t="s">
        <v>2276</v>
      </c>
      <c r="P830" s="21" t="s">
        <v>2276</v>
      </c>
      <c r="Q830" s="21" t="s">
        <v>2276</v>
      </c>
      <c r="R830" s="21" t="s">
        <v>2276</v>
      </c>
      <c r="S830" s="21" t="s">
        <v>2276</v>
      </c>
      <c r="T830" s="21" t="s">
        <v>2276</v>
      </c>
      <c r="U830" s="21" t="s">
        <v>2276</v>
      </c>
      <c r="V830" s="21" t="s">
        <v>2276</v>
      </c>
      <c r="W830" s="21" t="s">
        <v>2276</v>
      </c>
      <c r="X830" s="21" t="s">
        <v>2276</v>
      </c>
      <c r="Y830" s="21" t="s">
        <v>2276</v>
      </c>
      <c r="Z830" s="21" t="s">
        <v>2276</v>
      </c>
      <c r="AA830" s="3"/>
      <c r="AB830" s="3"/>
    </row>
    <row r="831" spans="1:28" ht="42" customHeight="1">
      <c r="A831" s="6" t="str">
        <f>'Reported burning'!A831</f>
        <v>97e</v>
      </c>
      <c r="B831" s="6" t="str">
        <f>'Reported burning'!B831</f>
        <v>97e.1</v>
      </c>
      <c r="C831" s="6" t="str">
        <f>'Reported burning'!C831</f>
        <v>Human, deliberate</v>
      </c>
      <c r="D831" s="6" t="str">
        <f>'Reported burning'!D831</f>
        <v>Crop field preparation</v>
      </c>
      <c r="E831" s="6" t="str">
        <f>'Reported burning'!E831</f>
        <v>Cropping, Swidden</v>
      </c>
      <c r="F831" s="6" t="str">
        <f>'Reported burning'!F831</f>
        <v>Secondary Vegetation</v>
      </c>
      <c r="G831" s="6" t="str">
        <f>'Reported burning'!G831</f>
        <v>ND</v>
      </c>
      <c r="H831" s="6" t="str">
        <f>'Reported burning'!H831</f>
        <v>Presence</v>
      </c>
      <c r="I831" s="3"/>
      <c r="J831" s="21" t="s">
        <v>2276</v>
      </c>
      <c r="K831" s="21" t="s">
        <v>2276</v>
      </c>
      <c r="L831" s="21" t="s">
        <v>2276</v>
      </c>
      <c r="M831" s="21" t="s">
        <v>2276</v>
      </c>
      <c r="N831" s="21" t="s">
        <v>2276</v>
      </c>
      <c r="O831" s="21" t="s">
        <v>2276</v>
      </c>
      <c r="P831" s="21" t="s">
        <v>2276</v>
      </c>
      <c r="Q831" s="21" t="s">
        <v>2276</v>
      </c>
      <c r="R831" s="21" t="s">
        <v>2276</v>
      </c>
      <c r="S831" s="21" t="s">
        <v>2276</v>
      </c>
      <c r="T831" s="21" t="s">
        <v>2276</v>
      </c>
      <c r="U831" s="21" t="s">
        <v>2276</v>
      </c>
      <c r="V831" s="21" t="s">
        <v>2276</v>
      </c>
      <c r="W831" s="21" t="s">
        <v>2276</v>
      </c>
      <c r="X831" s="21" t="s">
        <v>2276</v>
      </c>
      <c r="Y831" s="21" t="s">
        <v>2276</v>
      </c>
      <c r="Z831" s="21" t="s">
        <v>2276</v>
      </c>
      <c r="AA831" s="3"/>
      <c r="AB831" s="3"/>
    </row>
    <row r="832" spans="1:28" ht="42" customHeight="1">
      <c r="A832" s="6" t="str">
        <f>'Reported burning'!A832</f>
        <v>97e</v>
      </c>
      <c r="B832" s="6" t="str">
        <f>'Reported burning'!B832</f>
        <v>97e.2</v>
      </c>
      <c r="C832" s="6" t="str">
        <f>'Reported burning'!C832</f>
        <v>Human, deliberate</v>
      </c>
      <c r="D832" s="6" t="str">
        <f>'Reported burning'!D832</f>
        <v>Crop field preparation</v>
      </c>
      <c r="E832" s="6" t="str">
        <f>'Reported burning'!E832</f>
        <v>Cropping, Swidden</v>
      </c>
      <c r="F832" s="6" t="str">
        <f>'Reported burning'!F832</f>
        <v>Forest</v>
      </c>
      <c r="G832" s="6" t="str">
        <f>'Reported burning'!G832</f>
        <v>ND</v>
      </c>
      <c r="H832" s="6" t="str">
        <f>'Reported burning'!H832</f>
        <v>Presence</v>
      </c>
      <c r="I832" s="3"/>
      <c r="J832" s="21" t="s">
        <v>2276</v>
      </c>
      <c r="K832" s="21" t="s">
        <v>2276</v>
      </c>
      <c r="L832" s="21" t="s">
        <v>2276</v>
      </c>
      <c r="M832" s="21" t="s">
        <v>2276</v>
      </c>
      <c r="N832" s="21" t="s">
        <v>2276</v>
      </c>
      <c r="O832" s="21" t="s">
        <v>2276</v>
      </c>
      <c r="P832" s="21" t="s">
        <v>2276</v>
      </c>
      <c r="Q832" s="21" t="s">
        <v>2276</v>
      </c>
      <c r="R832" s="21" t="s">
        <v>2276</v>
      </c>
      <c r="S832" s="21" t="s">
        <v>2276</v>
      </c>
      <c r="T832" s="21" t="s">
        <v>2276</v>
      </c>
      <c r="U832" s="21" t="s">
        <v>2276</v>
      </c>
      <c r="V832" s="21" t="s">
        <v>2276</v>
      </c>
      <c r="W832" s="21" t="s">
        <v>2276</v>
      </c>
      <c r="X832" s="21" t="s">
        <v>2276</v>
      </c>
      <c r="Y832" s="21" t="s">
        <v>2276</v>
      </c>
      <c r="Z832" s="21" t="s">
        <v>2276</v>
      </c>
      <c r="AA832" s="3"/>
      <c r="AB832" s="3"/>
    </row>
    <row r="833" spans="1:30" ht="42" customHeight="1">
      <c r="A833" s="6" t="str">
        <f>'Reported burning'!A833</f>
        <v>97f</v>
      </c>
      <c r="B833" s="6" t="str">
        <f>'Reported burning'!B833</f>
        <v>97f.1</v>
      </c>
      <c r="C833" s="6" t="str">
        <f>'Reported burning'!C833</f>
        <v>Human, deliberate</v>
      </c>
      <c r="D833" s="6" t="str">
        <f>'Reported burning'!D833</f>
        <v>Crop field preparation</v>
      </c>
      <c r="E833" s="6" t="str">
        <f>'Reported burning'!E833</f>
        <v>Cropping, Swidden</v>
      </c>
      <c r="F833" s="6" t="str">
        <f>'Reported burning'!F833</f>
        <v>Secondary Vegetation</v>
      </c>
      <c r="G833" s="6" t="str">
        <f>'Reported burning'!G833</f>
        <v>ND</v>
      </c>
      <c r="H833" s="6" t="str">
        <f>'Reported burning'!H833</f>
        <v>Presence</v>
      </c>
      <c r="I833" s="3"/>
      <c r="J833" s="21" t="s">
        <v>2276</v>
      </c>
      <c r="K833" s="21" t="s">
        <v>2276</v>
      </c>
      <c r="L833" s="21" t="s">
        <v>2276</v>
      </c>
      <c r="M833" s="21" t="s">
        <v>2276</v>
      </c>
      <c r="N833" s="21" t="s">
        <v>2276</v>
      </c>
      <c r="O833" s="21" t="s">
        <v>2276</v>
      </c>
      <c r="P833" s="21" t="s">
        <v>2276</v>
      </c>
      <c r="Q833" s="21" t="s">
        <v>2276</v>
      </c>
      <c r="R833" s="21" t="s">
        <v>2276</v>
      </c>
      <c r="S833" s="21" t="s">
        <v>2276</v>
      </c>
      <c r="T833" s="21" t="s">
        <v>2276</v>
      </c>
      <c r="U833" s="21" t="s">
        <v>2276</v>
      </c>
      <c r="V833" s="21" t="s">
        <v>2276</v>
      </c>
      <c r="W833" s="21" t="s">
        <v>2276</v>
      </c>
      <c r="X833" s="21" t="s">
        <v>2276</v>
      </c>
      <c r="Y833" s="21" t="s">
        <v>2276</v>
      </c>
      <c r="Z833" s="21" t="s">
        <v>2276</v>
      </c>
      <c r="AA833" s="3"/>
      <c r="AB833" s="3"/>
    </row>
    <row r="834" spans="1:30" ht="42" customHeight="1">
      <c r="A834" s="6" t="str">
        <f>'Reported burning'!A834</f>
        <v>97f</v>
      </c>
      <c r="B834" s="6" t="str">
        <f>'Reported burning'!B834</f>
        <v>97f.2</v>
      </c>
      <c r="C834" s="6" t="str">
        <f>'Reported burning'!C834</f>
        <v>Human, deliberate</v>
      </c>
      <c r="D834" s="6" t="str">
        <f>'Reported burning'!D834</f>
        <v>Crop field preparation</v>
      </c>
      <c r="E834" s="6" t="str">
        <f>'Reported burning'!E834</f>
        <v>Cropping, Swidden</v>
      </c>
      <c r="F834" s="6" t="str">
        <f>'Reported burning'!F834</f>
        <v>Forest</v>
      </c>
      <c r="G834" s="6" t="str">
        <f>'Reported burning'!G834</f>
        <v>ND</v>
      </c>
      <c r="H834" s="6" t="str">
        <f>'Reported burning'!H834</f>
        <v>Presence</v>
      </c>
      <c r="I834" s="3"/>
      <c r="J834" s="21" t="s">
        <v>2276</v>
      </c>
      <c r="K834" s="21" t="s">
        <v>2276</v>
      </c>
      <c r="L834" s="21" t="s">
        <v>2276</v>
      </c>
      <c r="M834" s="21" t="s">
        <v>2276</v>
      </c>
      <c r="N834" s="21" t="s">
        <v>2276</v>
      </c>
      <c r="O834" s="21" t="s">
        <v>2276</v>
      </c>
      <c r="P834" s="21" t="s">
        <v>2276</v>
      </c>
      <c r="Q834" s="21" t="s">
        <v>2276</v>
      </c>
      <c r="R834" s="21" t="s">
        <v>2276</v>
      </c>
      <c r="S834" s="21" t="s">
        <v>2276</v>
      </c>
      <c r="T834" s="21" t="s">
        <v>2276</v>
      </c>
      <c r="U834" s="21" t="s">
        <v>2276</v>
      </c>
      <c r="V834" s="21" t="s">
        <v>2276</v>
      </c>
      <c r="W834" s="21" t="s">
        <v>2276</v>
      </c>
      <c r="X834" s="21" t="s">
        <v>2276</v>
      </c>
      <c r="Y834" s="21" t="s">
        <v>2276</v>
      </c>
      <c r="Z834" s="21" t="s">
        <v>2276</v>
      </c>
      <c r="AA834" s="3"/>
      <c r="AB834" s="3"/>
    </row>
    <row r="835" spans="1:30" ht="43.5">
      <c r="A835" s="6" t="str">
        <f>'Reported burning'!A835</f>
        <v>97g</v>
      </c>
      <c r="B835" s="6" t="str">
        <f>'Reported burning'!B835</f>
        <v>97g.1</v>
      </c>
      <c r="C835" s="6" t="str">
        <f>'Reported burning'!C835</f>
        <v>Human, deliberate</v>
      </c>
      <c r="D835" s="6" t="str">
        <f>'Reported burning'!D835</f>
        <v>Crop field preparation</v>
      </c>
      <c r="E835" s="6" t="str">
        <f>'Reported burning'!E835</f>
        <v>Cropping, Swidden</v>
      </c>
      <c r="F835" s="6" t="str">
        <f>'Reported burning'!F835</f>
        <v>Secondary Vegetation</v>
      </c>
      <c r="G835" s="6" t="str">
        <f>'Reported burning'!G835</f>
        <v>ND</v>
      </c>
      <c r="H835" s="6" t="str">
        <f>'Reported burning'!H835</f>
        <v>Presence</v>
      </c>
      <c r="I835" s="3"/>
      <c r="J835" s="21" t="s">
        <v>2276</v>
      </c>
      <c r="K835" s="103" t="s">
        <v>2375</v>
      </c>
      <c r="L835" s="21" t="s">
        <v>2276</v>
      </c>
      <c r="M835" s="103" t="s">
        <v>2375</v>
      </c>
      <c r="N835" s="21" t="s">
        <v>2276</v>
      </c>
      <c r="O835" s="103" t="s">
        <v>2375</v>
      </c>
      <c r="P835" s="21" t="s">
        <v>2276</v>
      </c>
      <c r="Q835" s="103" t="s">
        <v>2375</v>
      </c>
      <c r="R835" s="21" t="s">
        <v>2276</v>
      </c>
      <c r="S835" s="21" t="s">
        <v>2276</v>
      </c>
      <c r="T835" s="21" t="s">
        <v>2276</v>
      </c>
      <c r="U835" s="21" t="s">
        <v>2276</v>
      </c>
      <c r="V835" s="21" t="s">
        <v>2276</v>
      </c>
      <c r="W835" s="21" t="s">
        <v>2276</v>
      </c>
      <c r="X835" s="21" t="s">
        <v>2276</v>
      </c>
      <c r="Y835" s="21" t="s">
        <v>2276</v>
      </c>
      <c r="Z835" s="21" t="s">
        <v>2276</v>
      </c>
      <c r="AA835" s="4" t="s">
        <v>2622</v>
      </c>
      <c r="AB835" s="3"/>
    </row>
    <row r="836" spans="1:30" ht="43.5">
      <c r="A836" s="6" t="str">
        <f>'Reported burning'!A836</f>
        <v>97g</v>
      </c>
      <c r="B836" s="6" t="str">
        <f>'Reported burning'!B836</f>
        <v>97g.2</v>
      </c>
      <c r="C836" s="6" t="str">
        <f>'Reported burning'!C836</f>
        <v>Human, deliberate</v>
      </c>
      <c r="D836" s="6" t="str">
        <f>'Reported burning'!D836</f>
        <v>Crop field preparation</v>
      </c>
      <c r="E836" s="6" t="str">
        <f>'Reported burning'!E836</f>
        <v>Cropping, Swidden</v>
      </c>
      <c r="F836" s="6" t="str">
        <f>'Reported burning'!F836</f>
        <v>Forest</v>
      </c>
      <c r="G836" s="6" t="str">
        <f>'Reported burning'!G836</f>
        <v>ND</v>
      </c>
      <c r="H836" s="6" t="str">
        <f>'Reported burning'!H836</f>
        <v>Presence</v>
      </c>
      <c r="I836" s="3"/>
      <c r="J836" s="21" t="s">
        <v>2276</v>
      </c>
      <c r="K836" s="103" t="s">
        <v>2375</v>
      </c>
      <c r="L836" s="21" t="s">
        <v>2276</v>
      </c>
      <c r="M836" s="103" t="s">
        <v>2375</v>
      </c>
      <c r="N836" s="21" t="s">
        <v>2276</v>
      </c>
      <c r="O836" s="103" t="s">
        <v>2375</v>
      </c>
      <c r="P836" s="21" t="s">
        <v>2276</v>
      </c>
      <c r="Q836" s="103" t="s">
        <v>2375</v>
      </c>
      <c r="R836" s="21" t="s">
        <v>2276</v>
      </c>
      <c r="S836" s="21" t="s">
        <v>2276</v>
      </c>
      <c r="T836" s="21" t="s">
        <v>2276</v>
      </c>
      <c r="U836" s="21" t="s">
        <v>2276</v>
      </c>
      <c r="V836" s="21" t="s">
        <v>2276</v>
      </c>
      <c r="W836" s="21" t="s">
        <v>2276</v>
      </c>
      <c r="X836" s="21" t="s">
        <v>2276</v>
      </c>
      <c r="Y836" s="21" t="s">
        <v>2276</v>
      </c>
      <c r="Z836" s="21" t="s">
        <v>2276</v>
      </c>
      <c r="AA836" s="4" t="s">
        <v>2622</v>
      </c>
      <c r="AB836" s="3"/>
    </row>
    <row r="837" spans="1:30" ht="43.5">
      <c r="A837" s="6" t="str">
        <f>'Reported burning'!A837</f>
        <v>97h</v>
      </c>
      <c r="B837" s="6" t="str">
        <f>'Reported burning'!B837</f>
        <v>97h.1</v>
      </c>
      <c r="C837" s="6" t="str">
        <f>'Reported burning'!C837</f>
        <v>Human, deliberate</v>
      </c>
      <c r="D837" s="6" t="str">
        <f>'Reported burning'!D837</f>
        <v>Crop field preparation</v>
      </c>
      <c r="E837" s="6" t="str">
        <f>'Reported burning'!E837</f>
        <v>Cropping, Swidden</v>
      </c>
      <c r="F837" s="6" t="str">
        <f>'Reported burning'!F837</f>
        <v>Secondary Vegetation</v>
      </c>
      <c r="G837" s="6" t="str">
        <f>'Reported burning'!G837</f>
        <v>ND</v>
      </c>
      <c r="H837" s="6" t="str">
        <f>'Reported burning'!H837</f>
        <v>Presence</v>
      </c>
      <c r="I837" s="3"/>
      <c r="J837" s="21" t="s">
        <v>2276</v>
      </c>
      <c r="K837" s="103" t="s">
        <v>2375</v>
      </c>
      <c r="L837" s="21" t="s">
        <v>2276</v>
      </c>
      <c r="M837" s="103" t="s">
        <v>2375</v>
      </c>
      <c r="N837" s="21" t="s">
        <v>2276</v>
      </c>
      <c r="O837" s="103" t="s">
        <v>2375</v>
      </c>
      <c r="P837" s="21" t="s">
        <v>2276</v>
      </c>
      <c r="Q837" s="103" t="s">
        <v>2375</v>
      </c>
      <c r="R837" s="21" t="s">
        <v>2276</v>
      </c>
      <c r="S837" s="21" t="s">
        <v>2276</v>
      </c>
      <c r="T837" s="21" t="s">
        <v>2276</v>
      </c>
      <c r="U837" s="21" t="s">
        <v>2276</v>
      </c>
      <c r="V837" s="21" t="s">
        <v>2276</v>
      </c>
      <c r="W837" s="21" t="s">
        <v>2276</v>
      </c>
      <c r="X837" s="21" t="s">
        <v>2276</v>
      </c>
      <c r="Y837" s="21" t="s">
        <v>2276</v>
      </c>
      <c r="Z837" s="21" t="s">
        <v>2276</v>
      </c>
      <c r="AA837" s="4" t="s">
        <v>2622</v>
      </c>
      <c r="AB837" s="3"/>
    </row>
    <row r="838" spans="1:30" ht="43.5">
      <c r="A838" s="6" t="str">
        <f>'Reported burning'!A838</f>
        <v>97h</v>
      </c>
      <c r="B838" s="6" t="str">
        <f>'Reported burning'!B838</f>
        <v>97h.2</v>
      </c>
      <c r="C838" s="6" t="str">
        <f>'Reported burning'!C838</f>
        <v>Human, deliberate</v>
      </c>
      <c r="D838" s="6" t="str">
        <f>'Reported burning'!D838</f>
        <v>Crop field preparation</v>
      </c>
      <c r="E838" s="6" t="str">
        <f>'Reported burning'!E838</f>
        <v>Cropping, Swidden</v>
      </c>
      <c r="F838" s="6" t="str">
        <f>'Reported burning'!F838</f>
        <v>Forest</v>
      </c>
      <c r="G838" s="6" t="str">
        <f>'Reported burning'!G838</f>
        <v>ND</v>
      </c>
      <c r="H838" s="6" t="str">
        <f>'Reported burning'!H838</f>
        <v>Presence</v>
      </c>
      <c r="I838" s="3"/>
      <c r="J838" s="21" t="s">
        <v>2276</v>
      </c>
      <c r="K838" s="103" t="s">
        <v>2375</v>
      </c>
      <c r="L838" s="21" t="s">
        <v>2276</v>
      </c>
      <c r="M838" s="103" t="s">
        <v>2375</v>
      </c>
      <c r="N838" s="21" t="s">
        <v>2276</v>
      </c>
      <c r="O838" s="103" t="s">
        <v>2375</v>
      </c>
      <c r="P838" s="21" t="s">
        <v>2276</v>
      </c>
      <c r="Q838" s="103" t="s">
        <v>2375</v>
      </c>
      <c r="R838" s="21" t="s">
        <v>2276</v>
      </c>
      <c r="S838" s="21" t="s">
        <v>2276</v>
      </c>
      <c r="T838" s="21" t="s">
        <v>2276</v>
      </c>
      <c r="U838" s="21" t="s">
        <v>2276</v>
      </c>
      <c r="V838" s="21" t="s">
        <v>2276</v>
      </c>
      <c r="W838" s="21" t="s">
        <v>2276</v>
      </c>
      <c r="X838" s="21" t="s">
        <v>2276</v>
      </c>
      <c r="Y838" s="21" t="s">
        <v>2276</v>
      </c>
      <c r="Z838" s="21" t="s">
        <v>2276</v>
      </c>
      <c r="AA838" s="4" t="s">
        <v>2622</v>
      </c>
      <c r="AB838" s="3"/>
    </row>
    <row r="839" spans="1:30" ht="43.5">
      <c r="A839" s="6" t="str">
        <f>'Reported burning'!A839</f>
        <v>97i</v>
      </c>
      <c r="B839" s="6" t="str">
        <f>'Reported burning'!B839</f>
        <v>97i.1</v>
      </c>
      <c r="C839" s="6" t="str">
        <f>'Reported burning'!C839</f>
        <v>Human, deliberate</v>
      </c>
      <c r="D839" s="6" t="str">
        <f>'Reported burning'!D839</f>
        <v>Crop field preparation</v>
      </c>
      <c r="E839" s="6" t="str">
        <f>'Reported burning'!E839</f>
        <v>Cropping, Swidden</v>
      </c>
      <c r="F839" s="6" t="str">
        <f>'Reported burning'!F839</f>
        <v>Secondary Vegetation</v>
      </c>
      <c r="G839" s="6" t="str">
        <f>'Reported burning'!G839</f>
        <v>ND</v>
      </c>
      <c r="H839" s="6" t="str">
        <f>'Reported burning'!H839</f>
        <v>Presence</v>
      </c>
      <c r="I839" s="3"/>
      <c r="J839" s="21" t="s">
        <v>2276</v>
      </c>
      <c r="K839" s="103" t="s">
        <v>2375</v>
      </c>
      <c r="L839" s="21" t="s">
        <v>2276</v>
      </c>
      <c r="M839" s="103" t="s">
        <v>2375</v>
      </c>
      <c r="N839" s="21" t="s">
        <v>2276</v>
      </c>
      <c r="O839" s="103" t="s">
        <v>2375</v>
      </c>
      <c r="P839" s="21" t="s">
        <v>2276</v>
      </c>
      <c r="Q839" s="103" t="s">
        <v>2375</v>
      </c>
      <c r="R839" s="21" t="s">
        <v>2276</v>
      </c>
      <c r="S839" s="21" t="s">
        <v>2276</v>
      </c>
      <c r="T839" s="21" t="s">
        <v>2276</v>
      </c>
      <c r="U839" s="21" t="s">
        <v>2276</v>
      </c>
      <c r="V839" s="21" t="s">
        <v>2276</v>
      </c>
      <c r="W839" s="21" t="s">
        <v>2276</v>
      </c>
      <c r="X839" s="21" t="s">
        <v>2276</v>
      </c>
      <c r="Y839" s="21" t="s">
        <v>2276</v>
      </c>
      <c r="Z839" s="21" t="s">
        <v>2276</v>
      </c>
      <c r="AA839" s="4" t="s">
        <v>2622</v>
      </c>
      <c r="AB839" s="3"/>
    </row>
    <row r="840" spans="1:30" ht="43.5">
      <c r="A840" s="6" t="str">
        <f>'Reported burning'!A840</f>
        <v>97i</v>
      </c>
      <c r="B840" s="6" t="str">
        <f>'Reported burning'!B840</f>
        <v>97i.2</v>
      </c>
      <c r="C840" s="6" t="str">
        <f>'Reported burning'!C840</f>
        <v>Human, deliberate</v>
      </c>
      <c r="D840" s="6" t="str">
        <f>'Reported burning'!D840</f>
        <v>Crop field preparation</v>
      </c>
      <c r="E840" s="6" t="str">
        <f>'Reported burning'!E840</f>
        <v>Cropping, Swidden</v>
      </c>
      <c r="F840" s="6" t="str">
        <f>'Reported burning'!F840</f>
        <v>Forest</v>
      </c>
      <c r="G840" s="6" t="str">
        <f>'Reported burning'!G840</f>
        <v>ND</v>
      </c>
      <c r="H840" s="6" t="str">
        <f>'Reported burning'!H840</f>
        <v>Presence</v>
      </c>
      <c r="I840" s="3"/>
      <c r="J840" s="21" t="s">
        <v>2276</v>
      </c>
      <c r="K840" s="103" t="s">
        <v>2375</v>
      </c>
      <c r="L840" s="21" t="s">
        <v>2276</v>
      </c>
      <c r="M840" s="103" t="s">
        <v>2375</v>
      </c>
      <c r="N840" s="21" t="s">
        <v>2276</v>
      </c>
      <c r="O840" s="103" t="s">
        <v>2375</v>
      </c>
      <c r="P840" s="21" t="s">
        <v>2276</v>
      </c>
      <c r="Q840" s="103" t="s">
        <v>2375</v>
      </c>
      <c r="R840" s="21" t="s">
        <v>2276</v>
      </c>
      <c r="S840" s="21" t="s">
        <v>2276</v>
      </c>
      <c r="T840" s="21" t="s">
        <v>2276</v>
      </c>
      <c r="U840" s="21" t="s">
        <v>2276</v>
      </c>
      <c r="V840" s="21" t="s">
        <v>2276</v>
      </c>
      <c r="W840" s="21" t="s">
        <v>2276</v>
      </c>
      <c r="X840" s="21" t="s">
        <v>2276</v>
      </c>
      <c r="Y840" s="21" t="s">
        <v>2276</v>
      </c>
      <c r="Z840" s="21" t="s">
        <v>2276</v>
      </c>
      <c r="AA840" s="4" t="s">
        <v>2622</v>
      </c>
      <c r="AB840" s="3"/>
    </row>
    <row r="841" spans="1:30" ht="43.5">
      <c r="A841" s="6" t="str">
        <f>'Reported burning'!A841</f>
        <v>97j</v>
      </c>
      <c r="B841" s="6" t="str">
        <f>'Reported burning'!B841</f>
        <v>97j.1</v>
      </c>
      <c r="C841" s="6" t="str">
        <f>'Reported burning'!C841</f>
        <v>Human, deliberate</v>
      </c>
      <c r="D841" s="6" t="str">
        <f>'Reported burning'!D841</f>
        <v>Crop field preparation</v>
      </c>
      <c r="E841" s="6" t="str">
        <f>'Reported burning'!E841</f>
        <v>Cropping, Swidden</v>
      </c>
      <c r="F841" s="6" t="str">
        <f>'Reported burning'!F841</f>
        <v>Secondary Vegetation</v>
      </c>
      <c r="G841" s="6" t="str">
        <f>'Reported burning'!G841</f>
        <v>ND</v>
      </c>
      <c r="H841" s="6" t="str">
        <f>'Reported burning'!H841</f>
        <v>Presence</v>
      </c>
      <c r="I841" s="3"/>
      <c r="J841" s="21" t="s">
        <v>2276</v>
      </c>
      <c r="K841" s="103" t="s">
        <v>2375</v>
      </c>
      <c r="L841" s="21" t="s">
        <v>2276</v>
      </c>
      <c r="M841" s="103" t="s">
        <v>2375</v>
      </c>
      <c r="N841" s="21" t="s">
        <v>2276</v>
      </c>
      <c r="O841" s="103" t="s">
        <v>2375</v>
      </c>
      <c r="P841" s="21" t="s">
        <v>2276</v>
      </c>
      <c r="Q841" s="103" t="s">
        <v>2375</v>
      </c>
      <c r="R841" s="21" t="s">
        <v>2276</v>
      </c>
      <c r="S841" s="21" t="s">
        <v>2276</v>
      </c>
      <c r="T841" s="21" t="s">
        <v>2276</v>
      </c>
      <c r="U841" s="21" t="s">
        <v>2276</v>
      </c>
      <c r="V841" s="21" t="s">
        <v>2276</v>
      </c>
      <c r="W841" s="21" t="s">
        <v>2276</v>
      </c>
      <c r="X841" s="21" t="s">
        <v>2276</v>
      </c>
      <c r="Y841" s="21" t="s">
        <v>2276</v>
      </c>
      <c r="Z841" s="21" t="s">
        <v>2276</v>
      </c>
      <c r="AA841" s="4" t="s">
        <v>2622</v>
      </c>
      <c r="AB841" s="3"/>
    </row>
    <row r="842" spans="1:30" ht="43.5">
      <c r="A842" s="6" t="str">
        <f>'Reported burning'!A842</f>
        <v>97j</v>
      </c>
      <c r="B842" s="6" t="str">
        <f>'Reported burning'!B842</f>
        <v>97j.2</v>
      </c>
      <c r="C842" s="6" t="str">
        <f>'Reported burning'!C842</f>
        <v>Human, deliberate</v>
      </c>
      <c r="D842" s="6" t="str">
        <f>'Reported burning'!D842</f>
        <v>Crop field preparation</v>
      </c>
      <c r="E842" s="6" t="str">
        <f>'Reported burning'!E842</f>
        <v>Cropping, Swidden</v>
      </c>
      <c r="F842" s="6" t="str">
        <f>'Reported burning'!F842</f>
        <v>Forest</v>
      </c>
      <c r="G842" s="6" t="str">
        <f>'Reported burning'!G842</f>
        <v>ND</v>
      </c>
      <c r="H842" s="6" t="str">
        <f>'Reported burning'!H842</f>
        <v>Presence</v>
      </c>
      <c r="I842" s="3"/>
      <c r="J842" s="21" t="s">
        <v>2276</v>
      </c>
      <c r="K842" s="103" t="s">
        <v>2375</v>
      </c>
      <c r="L842" s="21" t="s">
        <v>2276</v>
      </c>
      <c r="M842" s="103" t="s">
        <v>2375</v>
      </c>
      <c r="N842" s="21" t="s">
        <v>2276</v>
      </c>
      <c r="O842" s="103" t="s">
        <v>2375</v>
      </c>
      <c r="P842" s="21" t="s">
        <v>2276</v>
      </c>
      <c r="Q842" s="103" t="s">
        <v>2375</v>
      </c>
      <c r="R842" s="21" t="s">
        <v>2276</v>
      </c>
      <c r="S842" s="21" t="s">
        <v>2276</v>
      </c>
      <c r="T842" s="21" t="s">
        <v>2276</v>
      </c>
      <c r="U842" s="21" t="s">
        <v>2276</v>
      </c>
      <c r="V842" s="21" t="s">
        <v>2276</v>
      </c>
      <c r="W842" s="21" t="s">
        <v>2276</v>
      </c>
      <c r="X842" s="21" t="s">
        <v>2276</v>
      </c>
      <c r="Y842" s="21" t="s">
        <v>2276</v>
      </c>
      <c r="Z842" s="21" t="s">
        <v>2276</v>
      </c>
      <c r="AA842" s="4" t="s">
        <v>2622</v>
      </c>
      <c r="AB842" s="3"/>
    </row>
    <row r="843" spans="1:30" ht="43.5">
      <c r="A843" s="6" t="str">
        <f>'Reported burning'!A843</f>
        <v>97k</v>
      </c>
      <c r="B843" s="6" t="str">
        <f>'Reported burning'!B843</f>
        <v>97k.1</v>
      </c>
      <c r="C843" s="6" t="str">
        <f>'Reported burning'!C843</f>
        <v>Human, deliberate</v>
      </c>
      <c r="D843" s="6" t="str">
        <f>'Reported burning'!D843</f>
        <v>Crop field preparation</v>
      </c>
      <c r="E843" s="6" t="str">
        <f>'Reported burning'!E843</f>
        <v>Cropping, Swidden</v>
      </c>
      <c r="F843" s="6" t="str">
        <f>'Reported burning'!F843</f>
        <v>Secondary Vegetation</v>
      </c>
      <c r="G843" s="6" t="str">
        <f>'Reported burning'!G843</f>
        <v>ND</v>
      </c>
      <c r="H843" s="6" t="str">
        <f>'Reported burning'!H843</f>
        <v>Presence</v>
      </c>
      <c r="I843" s="3"/>
      <c r="J843" s="21" t="s">
        <v>2276</v>
      </c>
      <c r="K843" s="103" t="s">
        <v>2375</v>
      </c>
      <c r="L843" s="21" t="s">
        <v>2276</v>
      </c>
      <c r="M843" s="103" t="s">
        <v>2375</v>
      </c>
      <c r="N843" s="21" t="s">
        <v>2276</v>
      </c>
      <c r="O843" s="103" t="s">
        <v>2375</v>
      </c>
      <c r="P843" s="21" t="s">
        <v>2276</v>
      </c>
      <c r="Q843" s="103" t="s">
        <v>2375</v>
      </c>
      <c r="R843" s="21" t="s">
        <v>2276</v>
      </c>
      <c r="S843" s="21" t="s">
        <v>2276</v>
      </c>
      <c r="T843" s="21" t="s">
        <v>2276</v>
      </c>
      <c r="U843" s="21" t="s">
        <v>2276</v>
      </c>
      <c r="V843" s="21" t="s">
        <v>2276</v>
      </c>
      <c r="W843" s="21" t="s">
        <v>2276</v>
      </c>
      <c r="X843" s="21" t="s">
        <v>2276</v>
      </c>
      <c r="Y843" s="21" t="s">
        <v>2276</v>
      </c>
      <c r="Z843" s="21" t="s">
        <v>2276</v>
      </c>
      <c r="AA843" s="4" t="s">
        <v>2622</v>
      </c>
      <c r="AB843" s="3"/>
    </row>
    <row r="844" spans="1:30" ht="43.5">
      <c r="A844" s="6" t="str">
        <f>'Reported burning'!A844</f>
        <v>97k</v>
      </c>
      <c r="B844" s="6" t="str">
        <f>'Reported burning'!B844</f>
        <v>97k.2</v>
      </c>
      <c r="C844" s="6" t="str">
        <f>'Reported burning'!C844</f>
        <v>Human, deliberate</v>
      </c>
      <c r="D844" s="6" t="str">
        <f>'Reported burning'!D844</f>
        <v>Crop field preparation</v>
      </c>
      <c r="E844" s="6" t="str">
        <f>'Reported burning'!E844</f>
        <v>Cropping, Swidden</v>
      </c>
      <c r="F844" s="6" t="str">
        <f>'Reported burning'!F844</f>
        <v>Secondary Vegetation</v>
      </c>
      <c r="G844" s="6" t="str">
        <f>'Reported burning'!G844</f>
        <v>ND</v>
      </c>
      <c r="H844" s="6" t="str">
        <f>'Reported burning'!H844</f>
        <v>Presence</v>
      </c>
      <c r="I844" s="3"/>
      <c r="J844" s="21" t="s">
        <v>2276</v>
      </c>
      <c r="K844" s="103" t="s">
        <v>2375</v>
      </c>
      <c r="L844" s="21" t="s">
        <v>2276</v>
      </c>
      <c r="M844" s="103" t="s">
        <v>2375</v>
      </c>
      <c r="N844" s="21" t="s">
        <v>2276</v>
      </c>
      <c r="O844" s="103" t="s">
        <v>2375</v>
      </c>
      <c r="P844" s="21" t="s">
        <v>2276</v>
      </c>
      <c r="Q844" s="103" t="s">
        <v>2375</v>
      </c>
      <c r="R844" s="21" t="s">
        <v>2276</v>
      </c>
      <c r="S844" s="21" t="s">
        <v>2276</v>
      </c>
      <c r="T844" s="21" t="s">
        <v>2276</v>
      </c>
      <c r="U844" s="21" t="s">
        <v>2276</v>
      </c>
      <c r="V844" s="21" t="s">
        <v>2276</v>
      </c>
      <c r="W844" s="21" t="s">
        <v>2276</v>
      </c>
      <c r="X844" s="21" t="s">
        <v>2276</v>
      </c>
      <c r="Y844" s="21" t="s">
        <v>2276</v>
      </c>
      <c r="Z844" s="21" t="s">
        <v>2276</v>
      </c>
      <c r="AA844" s="4" t="s">
        <v>2622</v>
      </c>
      <c r="AB844" s="3"/>
    </row>
    <row r="845" spans="1:30" ht="52.5" customHeight="1">
      <c r="A845" s="6" t="str">
        <f>'Reported burning'!A845</f>
        <v>98a</v>
      </c>
      <c r="B845" s="6" t="str">
        <f>'Reported burning'!B845</f>
        <v>98a.1</v>
      </c>
      <c r="C845" s="6" t="str">
        <f>'Reported burning'!C845</f>
        <v>Human, deliberate</v>
      </c>
      <c r="D845" s="6" t="str">
        <f>'Reported burning'!D845</f>
        <v>Crop field preparation</v>
      </c>
      <c r="E845" s="6" t="str">
        <f>'Reported burning'!E845</f>
        <v>Cropping, Swidden</v>
      </c>
      <c r="F845" s="6" t="str">
        <f>'Reported burning'!F845</f>
        <v>Forest</v>
      </c>
      <c r="G845" s="6" t="str">
        <f>'Reported burning'!G845</f>
        <v>ND</v>
      </c>
      <c r="H845" s="6" t="str">
        <f>'Reported burning'!H845</f>
        <v>Presence</v>
      </c>
      <c r="I845" s="3"/>
      <c r="J845" s="21" t="s">
        <v>2276</v>
      </c>
      <c r="K845" s="21" t="s">
        <v>2362</v>
      </c>
      <c r="L845" s="21" t="s">
        <v>2362</v>
      </c>
      <c r="M845" s="21" t="s">
        <v>2276</v>
      </c>
      <c r="N845" s="21" t="s">
        <v>2276</v>
      </c>
      <c r="O845" s="21" t="s">
        <v>2276</v>
      </c>
      <c r="P845" s="21" t="s">
        <v>2276</v>
      </c>
      <c r="Q845" s="21" t="s">
        <v>2362</v>
      </c>
      <c r="R845" s="21" t="s">
        <v>2362</v>
      </c>
      <c r="S845" s="21" t="s">
        <v>2276</v>
      </c>
      <c r="T845" s="21" t="s">
        <v>2276</v>
      </c>
      <c r="U845" s="21" t="s">
        <v>2276</v>
      </c>
      <c r="V845" s="21" t="s">
        <v>2276</v>
      </c>
      <c r="W845" s="21" t="s">
        <v>2276</v>
      </c>
      <c r="X845" s="21" t="s">
        <v>2276</v>
      </c>
      <c r="Y845" s="21" t="s">
        <v>2276</v>
      </c>
      <c r="Z845" s="21" t="s">
        <v>2276</v>
      </c>
      <c r="AA845" s="4" t="s">
        <v>2692</v>
      </c>
      <c r="AB845" s="3"/>
      <c r="AC845" s="122"/>
      <c r="AD845" s="122"/>
    </row>
    <row r="846" spans="1:30" ht="77" customHeight="1">
      <c r="A846" s="6" t="str">
        <f>'Reported burning'!A846</f>
        <v>98b</v>
      </c>
      <c r="B846" s="6" t="str">
        <f>'Reported burning'!B846</f>
        <v>98b.1</v>
      </c>
      <c r="C846" s="6" t="str">
        <f>'Reported burning'!C846</f>
        <v>Human, deliberate</v>
      </c>
      <c r="D846" s="6" t="str">
        <f>'Reported burning'!D846</f>
        <v>Crop field preparation</v>
      </c>
      <c r="E846" s="6" t="str">
        <f>'Reported burning'!E846</f>
        <v>Cropping, Swidden</v>
      </c>
      <c r="F846" s="6" t="str">
        <f>'Reported burning'!F846</f>
        <v>Forest</v>
      </c>
      <c r="G846" s="6" t="str">
        <f>'Reported burning'!G846</f>
        <v>ND</v>
      </c>
      <c r="H846" s="6" t="str">
        <f>'Reported burning'!H846</f>
        <v>Presence</v>
      </c>
      <c r="I846" s="3"/>
      <c r="J846" s="21" t="s">
        <v>2276</v>
      </c>
      <c r="K846" s="21" t="s">
        <v>2362</v>
      </c>
      <c r="L846" s="21" t="s">
        <v>2362</v>
      </c>
      <c r="M846" s="21" t="s">
        <v>2276</v>
      </c>
      <c r="N846" s="21" t="s">
        <v>2276</v>
      </c>
      <c r="O846" s="21" t="s">
        <v>2276</v>
      </c>
      <c r="P846" s="21" t="s">
        <v>2276</v>
      </c>
      <c r="Q846" s="21" t="s">
        <v>2362</v>
      </c>
      <c r="R846" s="21" t="s">
        <v>2362</v>
      </c>
      <c r="S846" s="21" t="s">
        <v>2276</v>
      </c>
      <c r="T846" s="21" t="s">
        <v>2276</v>
      </c>
      <c r="U846" s="21" t="s">
        <v>2527</v>
      </c>
      <c r="V846" s="21" t="s">
        <v>2276</v>
      </c>
      <c r="W846" s="21" t="s">
        <v>2276</v>
      </c>
      <c r="X846" s="21" t="s">
        <v>2276</v>
      </c>
      <c r="Y846" s="21" t="s">
        <v>2276</v>
      </c>
      <c r="Z846" s="21" t="s">
        <v>2276</v>
      </c>
      <c r="AA846" s="4" t="s">
        <v>2688</v>
      </c>
      <c r="AB846" s="3"/>
      <c r="AC846" s="122"/>
      <c r="AD846" s="122"/>
    </row>
    <row r="847" spans="1:30" ht="58" customHeight="1">
      <c r="A847" s="6" t="str">
        <f>'Reported burning'!A847</f>
        <v>98b</v>
      </c>
      <c r="B847" s="6" t="str">
        <f>'Reported burning'!B847</f>
        <v>98b.2</v>
      </c>
      <c r="C847" s="6" t="str">
        <f>'Reported burning'!C847</f>
        <v>Human, deliberate</v>
      </c>
      <c r="D847" s="6" t="str">
        <f>'Reported burning'!D847</f>
        <v>Crop field preparation</v>
      </c>
      <c r="E847" s="6" t="str">
        <f>'Reported burning'!E847</f>
        <v>Cropping, Swidden</v>
      </c>
      <c r="F847" s="6" t="str">
        <f>'Reported burning'!F847</f>
        <v>Secondary Vegetation</v>
      </c>
      <c r="G847" s="6" t="str">
        <f>'Reported burning'!G847</f>
        <v>ND</v>
      </c>
      <c r="H847" s="6" t="str">
        <f>'Reported burning'!H847</f>
        <v>Absence</v>
      </c>
      <c r="I847" s="3"/>
      <c r="J847" s="21" t="s">
        <v>2276</v>
      </c>
      <c r="K847" s="21" t="s">
        <v>2362</v>
      </c>
      <c r="L847" s="21" t="s">
        <v>2362</v>
      </c>
      <c r="M847" s="21" t="s">
        <v>2276</v>
      </c>
      <c r="N847" s="21" t="s">
        <v>2276</v>
      </c>
      <c r="O847" s="21" t="s">
        <v>2276</v>
      </c>
      <c r="P847" s="21" t="s">
        <v>2276</v>
      </c>
      <c r="Q847" s="21" t="s">
        <v>2362</v>
      </c>
      <c r="R847" s="21" t="s">
        <v>2362</v>
      </c>
      <c r="S847" s="21" t="s">
        <v>2276</v>
      </c>
      <c r="T847" s="21" t="s">
        <v>2276</v>
      </c>
      <c r="U847" s="21" t="s">
        <v>2276</v>
      </c>
      <c r="V847" s="21" t="s">
        <v>2276</v>
      </c>
      <c r="W847" s="21" t="s">
        <v>2276</v>
      </c>
      <c r="X847" s="21" t="s">
        <v>2276</v>
      </c>
      <c r="Y847" s="21" t="s">
        <v>2276</v>
      </c>
      <c r="Z847" s="21" t="s">
        <v>2276</v>
      </c>
      <c r="AA847" s="4" t="s">
        <v>2693</v>
      </c>
      <c r="AB847" s="3"/>
      <c r="AC847" s="122"/>
      <c r="AD847" s="122"/>
    </row>
    <row r="848" spans="1:30" ht="52.5" customHeight="1">
      <c r="A848" s="6" t="str">
        <f>'Reported burning'!A848</f>
        <v>98b</v>
      </c>
      <c r="B848" s="6" t="str">
        <f>'Reported burning'!B848</f>
        <v>98b.3</v>
      </c>
      <c r="C848" s="6" t="str">
        <f>'Reported burning'!C848</f>
        <v>Human, deliberate</v>
      </c>
      <c r="D848" s="6" t="str">
        <f>'Reported burning'!D848</f>
        <v>Land clearance</v>
      </c>
      <c r="E848" s="6" t="str">
        <f>'Reported burning'!E848</f>
        <v>Cropping, Swidden</v>
      </c>
      <c r="F848" s="6" t="str">
        <f>'Reported burning'!F848</f>
        <v>Forest</v>
      </c>
      <c r="G848" s="6" t="str">
        <f>'Reported burning'!G848</f>
        <v>ND</v>
      </c>
      <c r="H848" s="6" t="str">
        <f>'Reported burning'!H848</f>
        <v>Presence</v>
      </c>
      <c r="I848" s="3"/>
      <c r="J848" s="21" t="s">
        <v>2276</v>
      </c>
      <c r="K848" s="21" t="s">
        <v>2362</v>
      </c>
      <c r="L848" s="21" t="s">
        <v>2362</v>
      </c>
      <c r="M848" s="21" t="s">
        <v>2276</v>
      </c>
      <c r="N848" s="21" t="s">
        <v>2276</v>
      </c>
      <c r="O848" s="21" t="s">
        <v>2276</v>
      </c>
      <c r="P848" s="21" t="s">
        <v>2276</v>
      </c>
      <c r="Q848" s="21" t="s">
        <v>2362</v>
      </c>
      <c r="R848" s="21" t="s">
        <v>2362</v>
      </c>
      <c r="S848" s="21" t="s">
        <v>2276</v>
      </c>
      <c r="T848" s="21" t="s">
        <v>2276</v>
      </c>
      <c r="U848" s="21" t="s">
        <v>2527</v>
      </c>
      <c r="V848" s="21" t="s">
        <v>2276</v>
      </c>
      <c r="W848" s="21" t="s">
        <v>2276</v>
      </c>
      <c r="X848" s="21" t="s">
        <v>2276</v>
      </c>
      <c r="Y848" s="21" t="s">
        <v>2276</v>
      </c>
      <c r="Z848" s="21" t="s">
        <v>2276</v>
      </c>
      <c r="AA848" s="4" t="s">
        <v>2695</v>
      </c>
      <c r="AB848" s="3"/>
      <c r="AC848" s="122"/>
      <c r="AD848" s="122"/>
    </row>
    <row r="849" spans="1:30" ht="65.5" customHeight="1">
      <c r="A849" s="6" t="str">
        <f>'Reported burning'!A849</f>
        <v>98c</v>
      </c>
      <c r="B849" s="6" t="str">
        <f>'Reported burning'!B849</f>
        <v>98c.1</v>
      </c>
      <c r="C849" s="6" t="str">
        <f>'Reported burning'!C849</f>
        <v>Human, deliberate</v>
      </c>
      <c r="D849" s="6" t="str">
        <f>'Reported burning'!D849</f>
        <v>Crop field preparation</v>
      </c>
      <c r="E849" s="6" t="str">
        <f>'Reported burning'!E849</f>
        <v>Cropping, Swidden</v>
      </c>
      <c r="F849" s="6" t="str">
        <f>'Reported burning'!F849</f>
        <v>Forest</v>
      </c>
      <c r="G849" s="6" t="str">
        <f>'Reported burning'!G849</f>
        <v>ND</v>
      </c>
      <c r="H849" s="6" t="str">
        <f>'Reported burning'!H849</f>
        <v>Presence</v>
      </c>
      <c r="I849" s="3"/>
      <c r="J849" s="21" t="s">
        <v>2276</v>
      </c>
      <c r="K849" s="21" t="s">
        <v>2362</v>
      </c>
      <c r="L849" s="21" t="s">
        <v>2362</v>
      </c>
      <c r="M849" s="21" t="s">
        <v>2276</v>
      </c>
      <c r="N849" s="21" t="s">
        <v>2276</v>
      </c>
      <c r="O849" s="21" t="s">
        <v>2276</v>
      </c>
      <c r="P849" s="21" t="s">
        <v>2276</v>
      </c>
      <c r="Q849" s="21" t="s">
        <v>2362</v>
      </c>
      <c r="R849" s="21" t="s">
        <v>2362</v>
      </c>
      <c r="S849" s="21" t="s">
        <v>2276</v>
      </c>
      <c r="T849" s="21" t="s">
        <v>2276</v>
      </c>
      <c r="U849" s="21" t="s">
        <v>2276</v>
      </c>
      <c r="V849" s="21" t="s">
        <v>2276</v>
      </c>
      <c r="W849" s="21" t="s">
        <v>2402</v>
      </c>
      <c r="X849" s="21" t="s">
        <v>2276</v>
      </c>
      <c r="Y849" s="21" t="s">
        <v>2276</v>
      </c>
      <c r="Z849" s="21" t="s">
        <v>2276</v>
      </c>
      <c r="AA849" s="4" t="s">
        <v>2677</v>
      </c>
      <c r="AB849" s="3" t="s">
        <v>2676</v>
      </c>
      <c r="AC849" s="122"/>
      <c r="AD849" s="122"/>
    </row>
    <row r="850" spans="1:30" ht="64.5" customHeight="1">
      <c r="A850" s="6" t="str">
        <f>'Reported burning'!A850</f>
        <v>98d</v>
      </c>
      <c r="B850" s="6" t="str">
        <f>'Reported burning'!B850</f>
        <v>98d.1</v>
      </c>
      <c r="C850" s="6" t="str">
        <f>'Reported burning'!C850</f>
        <v>Human, deliberate</v>
      </c>
      <c r="D850" s="6" t="str">
        <f>'Reported burning'!D850</f>
        <v>Crop field preparation</v>
      </c>
      <c r="E850" s="6" t="str">
        <f>'Reported burning'!E850</f>
        <v>Cropping, Swidden</v>
      </c>
      <c r="F850" s="6" t="str">
        <f>'Reported burning'!F850</f>
        <v>Forest</v>
      </c>
      <c r="G850" s="6" t="str">
        <f>'Reported burning'!G850</f>
        <v>ND</v>
      </c>
      <c r="H850" s="6" t="str">
        <f>'Reported burning'!H850</f>
        <v>Presence</v>
      </c>
      <c r="I850" s="3"/>
      <c r="J850" s="21" t="s">
        <v>2276</v>
      </c>
      <c r="K850" s="21" t="s">
        <v>2362</v>
      </c>
      <c r="L850" s="21" t="s">
        <v>2362</v>
      </c>
      <c r="M850" s="21" t="s">
        <v>2276</v>
      </c>
      <c r="N850" s="21" t="s">
        <v>2276</v>
      </c>
      <c r="O850" s="21" t="s">
        <v>2276</v>
      </c>
      <c r="P850" s="21" t="s">
        <v>2276</v>
      </c>
      <c r="Q850" s="21" t="s">
        <v>2362</v>
      </c>
      <c r="R850" s="21" t="s">
        <v>2362</v>
      </c>
      <c r="S850" s="21" t="s">
        <v>2276</v>
      </c>
      <c r="T850" s="21" t="s">
        <v>2276</v>
      </c>
      <c r="U850" s="21" t="s">
        <v>2276</v>
      </c>
      <c r="V850" s="21" t="s">
        <v>2276</v>
      </c>
      <c r="W850" s="21" t="s">
        <v>2402</v>
      </c>
      <c r="X850" s="21" t="s">
        <v>2276</v>
      </c>
      <c r="Y850" s="21" t="s">
        <v>2276</v>
      </c>
      <c r="Z850" s="21" t="s">
        <v>2276</v>
      </c>
      <c r="AA850" s="4" t="s">
        <v>2677</v>
      </c>
      <c r="AB850" s="3" t="s">
        <v>2676</v>
      </c>
    </row>
    <row r="851" spans="1:30">
      <c r="A851" s="6" t="str">
        <f>'Reported burning'!A851</f>
        <v>99a</v>
      </c>
      <c r="B851" s="6" t="str">
        <f>'Reported burning'!B851</f>
        <v>99a.1</v>
      </c>
      <c r="C851" s="6" t="str">
        <f>'Reported burning'!C851</f>
        <v>Human, deliberate</v>
      </c>
      <c r="D851" s="6" t="str">
        <f>'Reported burning'!D851</f>
        <v>Crop field preparation</v>
      </c>
      <c r="E851" s="6" t="str">
        <f>'Reported burning'!E851</f>
        <v>Cropping, Swidden</v>
      </c>
      <c r="F851" s="6" t="str">
        <f>'Reported burning'!F851</f>
        <v>Forest</v>
      </c>
      <c r="G851" s="6" t="str">
        <f>'Reported burning'!G851</f>
        <v>ND</v>
      </c>
      <c r="H851" s="6" t="str">
        <f>'Reported burning'!H851</f>
        <v>Presence</v>
      </c>
      <c r="I851" s="3"/>
      <c r="J851" s="21" t="s">
        <v>2276</v>
      </c>
      <c r="K851" s="103" t="s">
        <v>2362</v>
      </c>
      <c r="L851" s="21" t="s">
        <v>2276</v>
      </c>
      <c r="M851" s="21" t="s">
        <v>2373</v>
      </c>
      <c r="N851" s="21" t="s">
        <v>2276</v>
      </c>
      <c r="O851" s="21" t="s">
        <v>2375</v>
      </c>
      <c r="P851" s="21" t="s">
        <v>2276</v>
      </c>
      <c r="Q851" s="21" t="s">
        <v>2276</v>
      </c>
      <c r="R851" s="21" t="s">
        <v>2276</v>
      </c>
      <c r="S851" s="21" t="s">
        <v>2276</v>
      </c>
      <c r="T851" s="21" t="s">
        <v>2276</v>
      </c>
      <c r="U851" s="21" t="s">
        <v>2276</v>
      </c>
      <c r="V851" s="21" t="s">
        <v>2276</v>
      </c>
      <c r="W851" s="21" t="s">
        <v>2276</v>
      </c>
      <c r="X851" s="21" t="s">
        <v>2276</v>
      </c>
      <c r="Y851" s="21" t="s">
        <v>2276</v>
      </c>
      <c r="Z851" s="21" t="s">
        <v>2276</v>
      </c>
      <c r="AA851" s="3"/>
      <c r="AB851" s="3" t="s">
        <v>2733</v>
      </c>
    </row>
    <row r="852" spans="1:30" ht="29">
      <c r="A852" s="6" t="str">
        <f>'Reported burning'!A852</f>
        <v>99a</v>
      </c>
      <c r="B852" s="6" t="str">
        <f>'Reported burning'!B852</f>
        <v>99a.2</v>
      </c>
      <c r="C852" s="6" t="str">
        <f>'Reported burning'!C852</f>
        <v>Human, escaped</v>
      </c>
      <c r="D852" s="6" t="str">
        <f>'Reported burning'!D852</f>
        <v>Crop field preparation</v>
      </c>
      <c r="E852" s="6" t="str">
        <f>'Reported burning'!E852</f>
        <v>Cropping, Swidden</v>
      </c>
      <c r="F852" s="6" t="str">
        <f>'Reported burning'!F852</f>
        <v>Forest</v>
      </c>
      <c r="G852" s="6" t="str">
        <f>'Reported burning'!G852</f>
        <v>Secondary Vegetation</v>
      </c>
      <c r="H852" s="6" t="str">
        <f>'Reported burning'!H852</f>
        <v>Presence</v>
      </c>
      <c r="I852" s="3"/>
      <c r="J852" s="21" t="s">
        <v>2276</v>
      </c>
      <c r="K852" s="21" t="s">
        <v>2276</v>
      </c>
      <c r="L852" s="21" t="s">
        <v>2276</v>
      </c>
      <c r="M852" s="21" t="s">
        <v>2276</v>
      </c>
      <c r="N852" s="21" t="s">
        <v>2276</v>
      </c>
      <c r="O852" s="21" t="s">
        <v>2276</v>
      </c>
      <c r="P852" s="21" t="s">
        <v>2276</v>
      </c>
      <c r="Q852" s="21" t="s">
        <v>2276</v>
      </c>
      <c r="R852" s="21" t="s">
        <v>2276</v>
      </c>
      <c r="S852" s="21" t="s">
        <v>2276</v>
      </c>
      <c r="T852" s="21" t="s">
        <v>2276</v>
      </c>
      <c r="U852" s="21" t="s">
        <v>2276</v>
      </c>
      <c r="V852" s="21" t="s">
        <v>2276</v>
      </c>
      <c r="W852" s="21" t="s">
        <v>2276</v>
      </c>
      <c r="X852" s="21" t="s">
        <v>2276</v>
      </c>
      <c r="Y852" s="21" t="s">
        <v>2276</v>
      </c>
      <c r="Z852" s="21" t="s">
        <v>2276</v>
      </c>
      <c r="AA852" s="4" t="s">
        <v>2732</v>
      </c>
      <c r="AB852" s="3"/>
    </row>
    <row r="853" spans="1:30" ht="29">
      <c r="A853" s="6" t="str">
        <f>'Reported burning'!A853</f>
        <v>99b</v>
      </c>
      <c r="B853" s="6" t="str">
        <f>'Reported burning'!B853</f>
        <v>99b.1</v>
      </c>
      <c r="C853" s="6" t="str">
        <f>'Reported burning'!C853</f>
        <v>Human, deliberate</v>
      </c>
      <c r="D853" s="6" t="str">
        <f>'Reported burning'!D853</f>
        <v>Crop field preparation</v>
      </c>
      <c r="E853" s="6" t="str">
        <f>'Reported burning'!E853</f>
        <v>Cropping, Swidden</v>
      </c>
      <c r="F853" s="6" t="str">
        <f>'Reported burning'!F853</f>
        <v>Forest</v>
      </c>
      <c r="G853" s="6" t="str">
        <f>'Reported burning'!G853</f>
        <v>ND</v>
      </c>
      <c r="H853" s="6" t="str">
        <f>'Reported burning'!H853</f>
        <v>Presence</v>
      </c>
      <c r="I853" s="3"/>
      <c r="J853" s="21" t="s">
        <v>2276</v>
      </c>
      <c r="K853" s="103" t="s">
        <v>2362</v>
      </c>
      <c r="L853" s="21" t="s">
        <v>2276</v>
      </c>
      <c r="M853" s="21" t="s">
        <v>2375</v>
      </c>
      <c r="N853" s="21" t="s">
        <v>2276</v>
      </c>
      <c r="O853" s="21" t="s">
        <v>2375</v>
      </c>
      <c r="P853" s="21" t="s">
        <v>2276</v>
      </c>
      <c r="Q853" s="21" t="s">
        <v>2276</v>
      </c>
      <c r="R853" s="21" t="s">
        <v>2276</v>
      </c>
      <c r="S853" s="21" t="s">
        <v>2276</v>
      </c>
      <c r="T853" s="21" t="s">
        <v>2276</v>
      </c>
      <c r="U853" s="21" t="s">
        <v>2276</v>
      </c>
      <c r="V853" s="21" t="s">
        <v>2276</v>
      </c>
      <c r="W853" s="21" t="s">
        <v>2276</v>
      </c>
      <c r="X853" s="21" t="s">
        <v>2276</v>
      </c>
      <c r="Y853" s="21" t="s">
        <v>2276</v>
      </c>
      <c r="Z853" s="21" t="s">
        <v>2276</v>
      </c>
      <c r="AA853" s="3"/>
      <c r="AB853" s="4" t="s">
        <v>2747</v>
      </c>
    </row>
    <row r="854" spans="1:30" ht="29">
      <c r="A854" s="6" t="str">
        <f>'Reported burning'!A854</f>
        <v>99b</v>
      </c>
      <c r="B854" s="6" t="str">
        <f>'Reported burning'!B854</f>
        <v>99b.2</v>
      </c>
      <c r="C854" s="6" t="str">
        <f>'Reported burning'!C854</f>
        <v>Human, escaped</v>
      </c>
      <c r="D854" s="6" t="str">
        <f>'Reported burning'!D854</f>
        <v>Crop field preparation</v>
      </c>
      <c r="E854" s="6" t="str">
        <f>'Reported burning'!E854</f>
        <v>Cropping, Swidden</v>
      </c>
      <c r="F854" s="6" t="str">
        <f>'Reported burning'!F854</f>
        <v>Forest</v>
      </c>
      <c r="G854" s="6" t="str">
        <f>'Reported burning'!G854</f>
        <v>Cropland</v>
      </c>
      <c r="H854" s="6" t="str">
        <f>'Reported burning'!H854</f>
        <v>Presence</v>
      </c>
      <c r="I854" s="3"/>
      <c r="J854" s="21" t="s">
        <v>2276</v>
      </c>
      <c r="K854" s="21" t="s">
        <v>2276</v>
      </c>
      <c r="L854" s="21" t="s">
        <v>2276</v>
      </c>
      <c r="M854" s="21" t="s">
        <v>2276</v>
      </c>
      <c r="N854" s="21" t="s">
        <v>2276</v>
      </c>
      <c r="O854" s="21" t="s">
        <v>2276</v>
      </c>
      <c r="P854" s="21" t="s">
        <v>2276</v>
      </c>
      <c r="Q854" s="21" t="s">
        <v>2276</v>
      </c>
      <c r="R854" s="21" t="s">
        <v>2276</v>
      </c>
      <c r="S854" s="21" t="s">
        <v>2276</v>
      </c>
      <c r="T854" s="21" t="s">
        <v>2276</v>
      </c>
      <c r="U854" s="21" t="s">
        <v>2276</v>
      </c>
      <c r="V854" s="21" t="s">
        <v>2276</v>
      </c>
      <c r="W854" s="21" t="s">
        <v>2402</v>
      </c>
      <c r="X854" s="21" t="s">
        <v>2276</v>
      </c>
      <c r="Y854" s="21" t="s">
        <v>2276</v>
      </c>
      <c r="Z854" s="21" t="s">
        <v>2276</v>
      </c>
      <c r="AA854" s="4" t="s">
        <v>2734</v>
      </c>
      <c r="AB854" s="3"/>
    </row>
    <row r="855" spans="1:30" ht="34" customHeight="1">
      <c r="A855" s="6" t="str">
        <f>'Reported burning'!A855</f>
        <v>99c</v>
      </c>
      <c r="B855" s="6" t="str">
        <f>'Reported burning'!B855</f>
        <v>99c.1</v>
      </c>
      <c r="C855" s="6" t="str">
        <f>'Reported burning'!C855</f>
        <v>Human, deliberate</v>
      </c>
      <c r="D855" s="6" t="str">
        <f>'Reported burning'!D855</f>
        <v>Crop field preparation</v>
      </c>
      <c r="E855" s="6" t="str">
        <f>'Reported burning'!E855</f>
        <v>Cropping, Swidden</v>
      </c>
      <c r="F855" s="6" t="str">
        <f>'Reported burning'!F855</f>
        <v>Forest</v>
      </c>
      <c r="G855" s="6" t="str">
        <f>'Reported burning'!G855</f>
        <v>ND</v>
      </c>
      <c r="H855" s="6" t="str">
        <f>'Reported burning'!H855</f>
        <v>Presence</v>
      </c>
      <c r="I855" s="3"/>
      <c r="J855" s="21" t="s">
        <v>2276</v>
      </c>
      <c r="K855" s="103" t="s">
        <v>2375</v>
      </c>
      <c r="L855" s="21" t="s">
        <v>2276</v>
      </c>
      <c r="M855" s="21" t="s">
        <v>2373</v>
      </c>
      <c r="N855" s="21" t="s">
        <v>2276</v>
      </c>
      <c r="O855" s="21" t="s">
        <v>2373</v>
      </c>
      <c r="P855" s="21" t="s">
        <v>2276</v>
      </c>
      <c r="Q855" s="21" t="s">
        <v>2276</v>
      </c>
      <c r="R855" s="21" t="s">
        <v>2276</v>
      </c>
      <c r="S855" s="21" t="s">
        <v>2276</v>
      </c>
      <c r="T855" s="21" t="s">
        <v>2276</v>
      </c>
      <c r="U855" s="21" t="s">
        <v>2276</v>
      </c>
      <c r="V855" s="21" t="s">
        <v>2276</v>
      </c>
      <c r="W855" s="21" t="s">
        <v>2276</v>
      </c>
      <c r="X855" s="21" t="s">
        <v>2276</v>
      </c>
      <c r="Y855" s="21" t="s">
        <v>2276</v>
      </c>
      <c r="Z855" s="21" t="s">
        <v>2276</v>
      </c>
      <c r="AA855" s="3"/>
      <c r="AB855" s="3" t="s">
        <v>2733</v>
      </c>
    </row>
    <row r="856" spans="1:30" ht="34" customHeight="1">
      <c r="A856" s="6" t="str">
        <f>'Reported burning'!A856</f>
        <v>99c</v>
      </c>
      <c r="B856" s="6" t="str">
        <f>'Reported burning'!B856</f>
        <v>99c.2</v>
      </c>
      <c r="C856" s="6" t="str">
        <f>'Reported burning'!C856</f>
        <v>Human, deliberate</v>
      </c>
      <c r="D856" s="6" t="str">
        <f>'Reported burning'!D856</f>
        <v>Crop field preparation</v>
      </c>
      <c r="E856" s="6" t="str">
        <f>'Reported burning'!E856</f>
        <v>Cropping, Intensive</v>
      </c>
      <c r="F856" s="6" t="str">
        <f>'Reported burning'!F856</f>
        <v>Forest</v>
      </c>
      <c r="G856" s="6" t="str">
        <f>'Reported burning'!G856</f>
        <v>ND</v>
      </c>
      <c r="H856" s="6" t="str">
        <f>'Reported burning'!H856</f>
        <v>Presence</v>
      </c>
      <c r="I856" s="3"/>
      <c r="J856" s="21" t="s">
        <v>2276</v>
      </c>
      <c r="K856" s="21" t="s">
        <v>2276</v>
      </c>
      <c r="L856" s="21" t="s">
        <v>2276</v>
      </c>
      <c r="M856" s="21" t="s">
        <v>2276</v>
      </c>
      <c r="N856" s="21" t="s">
        <v>2276</v>
      </c>
      <c r="O856" s="21" t="s">
        <v>2276</v>
      </c>
      <c r="P856" s="21" t="s">
        <v>2276</v>
      </c>
      <c r="Q856" s="21" t="s">
        <v>2276</v>
      </c>
      <c r="R856" s="21" t="s">
        <v>2276</v>
      </c>
      <c r="S856" s="21" t="s">
        <v>2276</v>
      </c>
      <c r="T856" s="21" t="s">
        <v>2276</v>
      </c>
      <c r="U856" s="21" t="s">
        <v>2276</v>
      </c>
      <c r="V856" s="21" t="s">
        <v>2276</v>
      </c>
      <c r="W856" s="21" t="s">
        <v>2276</v>
      </c>
      <c r="X856" s="21" t="s">
        <v>2276</v>
      </c>
      <c r="Y856" s="21" t="s">
        <v>2276</v>
      </c>
      <c r="Z856" s="21" t="s">
        <v>2276</v>
      </c>
      <c r="AA856" s="3"/>
      <c r="AB856" s="3"/>
    </row>
    <row r="857" spans="1:30" ht="34" customHeight="1">
      <c r="A857" s="6" t="str">
        <f>'Reported burning'!A857</f>
        <v>99c</v>
      </c>
      <c r="B857" s="6" t="str">
        <f>'Reported burning'!B857</f>
        <v>99c.3</v>
      </c>
      <c r="C857" s="6" t="str">
        <f>'Reported burning'!C857</f>
        <v>Human, deliberate</v>
      </c>
      <c r="D857" s="6" t="str">
        <f>'Reported burning'!D857</f>
        <v>Forest clearance</v>
      </c>
      <c r="E857" s="6" t="str">
        <f>'Reported burning'!E857</f>
        <v>Cropping, Intensive</v>
      </c>
      <c r="F857" s="6" t="str">
        <f>'Reported burning'!F857</f>
        <v>Forest</v>
      </c>
      <c r="G857" s="6" t="str">
        <f>'Reported burning'!G857</f>
        <v>ND</v>
      </c>
      <c r="H857" s="6" t="str">
        <f>'Reported burning'!H857</f>
        <v>Presence</v>
      </c>
      <c r="I857" s="3"/>
      <c r="J857" s="21" t="s">
        <v>2276</v>
      </c>
      <c r="K857" s="21" t="s">
        <v>2276</v>
      </c>
      <c r="L857" s="21" t="s">
        <v>2276</v>
      </c>
      <c r="M857" s="21" t="s">
        <v>2276</v>
      </c>
      <c r="N857" s="21" t="s">
        <v>2276</v>
      </c>
      <c r="O857" s="21" t="s">
        <v>2276</v>
      </c>
      <c r="P857" s="21" t="s">
        <v>2276</v>
      </c>
      <c r="Q857" s="21" t="s">
        <v>2276</v>
      </c>
      <c r="R857" s="21" t="s">
        <v>2276</v>
      </c>
      <c r="S857" s="21" t="s">
        <v>2276</v>
      </c>
      <c r="T857" s="21" t="s">
        <v>2276</v>
      </c>
      <c r="U857" s="21" t="s">
        <v>2276</v>
      </c>
      <c r="V857" s="21" t="s">
        <v>2276</v>
      </c>
      <c r="W857" s="21" t="s">
        <v>2276</v>
      </c>
      <c r="X857" s="21" t="s">
        <v>2276</v>
      </c>
      <c r="Y857" s="21" t="s">
        <v>2276</v>
      </c>
      <c r="Z857" s="21" t="s">
        <v>2276</v>
      </c>
      <c r="AA857" s="3"/>
      <c r="AB857" s="3"/>
    </row>
    <row r="858" spans="1:30" ht="29">
      <c r="A858" s="6" t="str">
        <f>'Reported burning'!A858</f>
        <v>99c</v>
      </c>
      <c r="B858" s="6" t="str">
        <f>'Reported burning'!B858</f>
        <v>99c.4</v>
      </c>
      <c r="C858" s="6" t="str">
        <f>'Reported burning'!C858</f>
        <v>Human, escaped</v>
      </c>
      <c r="D858" s="6" t="str">
        <f>'Reported burning'!D858</f>
        <v>Forest clearance</v>
      </c>
      <c r="E858" s="6" t="str">
        <f>'Reported burning'!E858</f>
        <v>Cropping, Intensive</v>
      </c>
      <c r="F858" s="6" t="str">
        <f>'Reported burning'!F858</f>
        <v>Forest</v>
      </c>
      <c r="G858" s="6" t="str">
        <f>'Reported burning'!G858</f>
        <v>Cropland</v>
      </c>
      <c r="H858" s="6" t="str">
        <f>'Reported burning'!H858</f>
        <v>Presence</v>
      </c>
      <c r="I858" s="3"/>
      <c r="J858" s="21" t="s">
        <v>2276</v>
      </c>
      <c r="K858" s="21" t="s">
        <v>2276</v>
      </c>
      <c r="L858" s="21" t="s">
        <v>2276</v>
      </c>
      <c r="M858" s="21" t="s">
        <v>2276</v>
      </c>
      <c r="N858" s="21" t="s">
        <v>2276</v>
      </c>
      <c r="O858" s="21" t="s">
        <v>2276</v>
      </c>
      <c r="P858" s="21" t="s">
        <v>2276</v>
      </c>
      <c r="Q858" s="21" t="s">
        <v>2276</v>
      </c>
      <c r="R858" s="21" t="s">
        <v>2276</v>
      </c>
      <c r="S858" s="21" t="s">
        <v>2276</v>
      </c>
      <c r="T858" s="21" t="s">
        <v>2276</v>
      </c>
      <c r="U858" s="21" t="s">
        <v>2276</v>
      </c>
      <c r="V858" s="21" t="s">
        <v>2276</v>
      </c>
      <c r="W858" s="21" t="s">
        <v>2375</v>
      </c>
      <c r="X858" s="21" t="s">
        <v>2276</v>
      </c>
      <c r="Y858" s="21" t="s">
        <v>2276</v>
      </c>
      <c r="Z858" s="21" t="s">
        <v>2276</v>
      </c>
      <c r="AA858" s="4" t="s">
        <v>2731</v>
      </c>
      <c r="AB858" s="3"/>
    </row>
    <row r="859" spans="1:30" ht="32" customHeight="1">
      <c r="A859" s="6" t="str">
        <f>'Reported burning'!A859</f>
        <v>99d</v>
      </c>
      <c r="B859" s="6" t="str">
        <f>'Reported burning'!B859</f>
        <v>99d.1</v>
      </c>
      <c r="C859" s="6" t="str">
        <f>'Reported burning'!C859</f>
        <v>Human, escaped</v>
      </c>
      <c r="D859" s="6" t="str">
        <f>'Reported burning'!D859</f>
        <v>All</v>
      </c>
      <c r="E859" s="6" t="str">
        <f>'Reported burning'!E859</f>
        <v>All</v>
      </c>
      <c r="F859" s="6" t="str">
        <f>'Reported burning'!F859</f>
        <v>ND</v>
      </c>
      <c r="G859" s="6" t="str">
        <f>'Reported burning'!G859</f>
        <v>Forest</v>
      </c>
      <c r="H859" s="6" t="str">
        <f>'Reported burning'!H859</f>
        <v>Presence</v>
      </c>
      <c r="I859" s="3"/>
      <c r="J859" s="21" t="s">
        <v>2276</v>
      </c>
      <c r="K859" s="21" t="s">
        <v>2276</v>
      </c>
      <c r="L859" s="21" t="s">
        <v>2276</v>
      </c>
      <c r="M859" s="21" t="s">
        <v>2276</v>
      </c>
      <c r="N859" s="21" t="s">
        <v>2276</v>
      </c>
      <c r="O859" s="21" t="s">
        <v>2276</v>
      </c>
      <c r="P859" s="21" t="s">
        <v>2276</v>
      </c>
      <c r="Q859" s="21" t="s">
        <v>2276</v>
      </c>
      <c r="R859" s="21" t="s">
        <v>2276</v>
      </c>
      <c r="S859" s="21" t="s">
        <v>2276</v>
      </c>
      <c r="T859" s="21" t="s">
        <v>2276</v>
      </c>
      <c r="U859" s="21" t="s">
        <v>2276</v>
      </c>
      <c r="V859" s="21" t="s">
        <v>2276</v>
      </c>
      <c r="W859" s="21" t="s">
        <v>2276</v>
      </c>
      <c r="X859" s="21" t="s">
        <v>2276</v>
      </c>
      <c r="Y859" s="21" t="s">
        <v>2276</v>
      </c>
      <c r="Z859" s="21" t="s">
        <v>2276</v>
      </c>
      <c r="AA859" s="3"/>
      <c r="AB859" s="3"/>
    </row>
    <row r="860" spans="1:30" ht="26.5" customHeight="1">
      <c r="A860" s="6" t="str">
        <f>'Reported burning'!A860</f>
        <v>100a</v>
      </c>
      <c r="B860" s="6" t="str">
        <f>'Reported burning'!B860</f>
        <v>100a.1</v>
      </c>
      <c r="C860" s="6" t="str">
        <f>'Reported burning'!C860</f>
        <v>Human, accidental</v>
      </c>
      <c r="D860" s="6" t="str">
        <f>'Reported burning'!D860</f>
        <v>All</v>
      </c>
      <c r="E860" s="6" t="str">
        <f>'Reported burning'!E860</f>
        <v>All</v>
      </c>
      <c r="F860" s="6" t="str">
        <f>'Reported burning'!F860</f>
        <v>ND</v>
      </c>
      <c r="G860" s="6" t="str">
        <f>'Reported burning'!G860</f>
        <v>Forest</v>
      </c>
      <c r="H860" s="6" t="str">
        <f>'Reported burning'!H860</f>
        <v>Presence</v>
      </c>
      <c r="I860" s="3"/>
      <c r="J860" s="21" t="s">
        <v>2276</v>
      </c>
      <c r="K860" s="21" t="s">
        <v>2276</v>
      </c>
      <c r="L860" s="21" t="s">
        <v>2276</v>
      </c>
      <c r="M860" s="21" t="s">
        <v>2276</v>
      </c>
      <c r="N860" s="21" t="s">
        <v>2276</v>
      </c>
      <c r="O860" s="21" t="s">
        <v>2276</v>
      </c>
      <c r="P860" s="21" t="s">
        <v>2276</v>
      </c>
      <c r="Q860" s="21" t="s">
        <v>2276</v>
      </c>
      <c r="R860" s="21" t="s">
        <v>2276</v>
      </c>
      <c r="S860" s="21" t="s">
        <v>2276</v>
      </c>
      <c r="T860" s="21" t="s">
        <v>2276</v>
      </c>
      <c r="U860" s="21" t="s">
        <v>2276</v>
      </c>
      <c r="V860" s="21" t="s">
        <v>2276</v>
      </c>
      <c r="W860" s="21" t="s">
        <v>2276</v>
      </c>
      <c r="X860" s="21" t="s">
        <v>2276</v>
      </c>
      <c r="Y860" s="21" t="s">
        <v>2276</v>
      </c>
      <c r="Z860" s="21" t="s">
        <v>2276</v>
      </c>
      <c r="AA860" s="3"/>
      <c r="AB860" s="3"/>
    </row>
    <row r="861" spans="1:30" ht="36.5" customHeight="1">
      <c r="A861" s="6" t="str">
        <f>'Reported burning'!A861</f>
        <v>101a</v>
      </c>
      <c r="B861" s="6" t="str">
        <f>'Reported burning'!B861</f>
        <v>101a.1</v>
      </c>
      <c r="C861" s="6" t="str">
        <f>'Reported burning'!C861</f>
        <v>Human, deliberate</v>
      </c>
      <c r="D861" s="6" t="str">
        <f>'Reported burning'!D861</f>
        <v>Crop field preparation</v>
      </c>
      <c r="E861" s="6" t="str">
        <f>'Reported burning'!E861</f>
        <v>Cropping, Swidden</v>
      </c>
      <c r="F861" s="6" t="str">
        <f>'Reported burning'!F861</f>
        <v>Secondary Vegetation</v>
      </c>
      <c r="G861" s="6" t="str">
        <f>'Reported burning'!G861</f>
        <v>ND</v>
      </c>
      <c r="H861" s="6" t="str">
        <f>'Reported burning'!H861</f>
        <v>Presence</v>
      </c>
      <c r="I861" s="3"/>
      <c r="J861" s="21" t="s">
        <v>2276</v>
      </c>
      <c r="K861" s="103" t="s">
        <v>2362</v>
      </c>
      <c r="L861" s="21" t="s">
        <v>2276</v>
      </c>
      <c r="M861" s="21" t="s">
        <v>2373</v>
      </c>
      <c r="N861" s="21" t="s">
        <v>2276</v>
      </c>
      <c r="O861" s="21" t="s">
        <v>2362</v>
      </c>
      <c r="P861" s="21" t="s">
        <v>2276</v>
      </c>
      <c r="Q861" s="21" t="s">
        <v>2362</v>
      </c>
      <c r="R861" s="21" t="s">
        <v>2276</v>
      </c>
      <c r="S861" s="21" t="s">
        <v>2276</v>
      </c>
      <c r="T861" s="21" t="s">
        <v>2276</v>
      </c>
      <c r="U861" s="21" t="s">
        <v>2276</v>
      </c>
      <c r="V861" s="21" t="s">
        <v>2276</v>
      </c>
      <c r="W861" s="21" t="s">
        <v>2402</v>
      </c>
      <c r="X861" s="21" t="s">
        <v>2276</v>
      </c>
      <c r="Y861" s="21" t="s">
        <v>2276</v>
      </c>
      <c r="Z861" s="21" t="s">
        <v>2276</v>
      </c>
      <c r="AA861" s="3"/>
      <c r="AB861" s="3" t="s">
        <v>2760</v>
      </c>
    </row>
    <row r="862" spans="1:30" ht="37" customHeight="1">
      <c r="A862" s="6" t="str">
        <f>'Reported burning'!A862</f>
        <v>101b</v>
      </c>
      <c r="B862" s="6" t="str">
        <f>'Reported burning'!B862</f>
        <v>101b.1</v>
      </c>
      <c r="C862" s="6" t="str">
        <f>'Reported burning'!C862</f>
        <v>Human, deliberate</v>
      </c>
      <c r="D862" s="6" t="str">
        <f>'Reported burning'!D862</f>
        <v>Crop field preparation</v>
      </c>
      <c r="E862" s="6" t="str">
        <f>'Reported burning'!E862</f>
        <v>Cropping, Swidden</v>
      </c>
      <c r="F862" s="6" t="str">
        <f>'Reported burning'!F862</f>
        <v>Secondary Vegetation</v>
      </c>
      <c r="G862" s="6" t="str">
        <f>'Reported burning'!G862</f>
        <v>ND</v>
      </c>
      <c r="H862" s="6" t="str">
        <f>'Reported burning'!H862</f>
        <v>Presence</v>
      </c>
      <c r="I862" s="3"/>
      <c r="J862" s="21" t="s">
        <v>2276</v>
      </c>
      <c r="K862" s="21" t="s">
        <v>2276</v>
      </c>
      <c r="L862" s="21" t="s">
        <v>2276</v>
      </c>
      <c r="M862" s="21" t="s">
        <v>2276</v>
      </c>
      <c r="N862" s="21" t="s">
        <v>2276</v>
      </c>
      <c r="O862" s="21" t="s">
        <v>2276</v>
      </c>
      <c r="P862" s="21" t="s">
        <v>2276</v>
      </c>
      <c r="Q862" s="21" t="s">
        <v>2276</v>
      </c>
      <c r="R862" s="21" t="s">
        <v>2276</v>
      </c>
      <c r="S862" s="21" t="s">
        <v>2276</v>
      </c>
      <c r="T862" s="21" t="s">
        <v>2276</v>
      </c>
      <c r="U862" s="21" t="s">
        <v>2276</v>
      </c>
      <c r="V862" s="21" t="s">
        <v>2276</v>
      </c>
      <c r="W862" s="21" t="s">
        <v>2403</v>
      </c>
      <c r="X862" s="21" t="s">
        <v>2276</v>
      </c>
      <c r="Y862" s="21" t="s">
        <v>2276</v>
      </c>
      <c r="Z862" s="21" t="s">
        <v>2276</v>
      </c>
      <c r="AA862" s="3"/>
      <c r="AB862" s="3" t="s">
        <v>2761</v>
      </c>
    </row>
    <row r="863" spans="1:30" ht="30" customHeight="1">
      <c r="A863" s="6" t="str">
        <f>'Reported burning'!A863</f>
        <v>102a</v>
      </c>
      <c r="B863" s="6" t="str">
        <f>'Reported burning'!B863</f>
        <v>102a.1</v>
      </c>
      <c r="C863" s="6" t="str">
        <f>'Reported burning'!C863</f>
        <v>Human, deliberate</v>
      </c>
      <c r="D863" s="6" t="str">
        <f>'Reported burning'!D863</f>
        <v>Crop field preparation</v>
      </c>
      <c r="E863" s="6" t="str">
        <f>'Reported burning'!E863</f>
        <v>Cropping, Swidden</v>
      </c>
      <c r="F863" s="6" t="str">
        <f>'Reported burning'!F863</f>
        <v>Secondary Vegetation</v>
      </c>
      <c r="G863" s="6" t="str">
        <f>'Reported burning'!G863</f>
        <v>ND</v>
      </c>
      <c r="H863" s="6" t="str">
        <f>'Reported burning'!H863</f>
        <v>Presence</v>
      </c>
      <c r="I863" s="3"/>
      <c r="J863" s="21" t="s">
        <v>2276</v>
      </c>
      <c r="K863" s="21" t="s">
        <v>2276</v>
      </c>
      <c r="L863" s="21" t="s">
        <v>2276</v>
      </c>
      <c r="M863" s="21" t="s">
        <v>2276</v>
      </c>
      <c r="N863" s="21" t="s">
        <v>2276</v>
      </c>
      <c r="O863" s="21" t="s">
        <v>2276</v>
      </c>
      <c r="P863" s="21" t="s">
        <v>2276</v>
      </c>
      <c r="Q863" s="21" t="s">
        <v>2276</v>
      </c>
      <c r="R863" s="21" t="s">
        <v>2276</v>
      </c>
      <c r="S863" s="21" t="s">
        <v>2276</v>
      </c>
      <c r="T863" s="21" t="s">
        <v>2276</v>
      </c>
      <c r="U863" s="21" t="s">
        <v>2276</v>
      </c>
      <c r="V863" s="21" t="s">
        <v>2276</v>
      </c>
      <c r="W863" s="21" t="s">
        <v>2276</v>
      </c>
      <c r="X863" s="3" t="s">
        <v>68</v>
      </c>
      <c r="Y863" s="3" t="s">
        <v>68</v>
      </c>
      <c r="Z863" s="3" t="s">
        <v>64</v>
      </c>
      <c r="AA863" s="3"/>
      <c r="AB863" s="3"/>
    </row>
    <row r="864" spans="1:30" ht="43.5">
      <c r="A864" s="6" t="str">
        <f>'Reported burning'!A864</f>
        <v>103a</v>
      </c>
      <c r="B864" s="6" t="str">
        <f>'Reported burning'!B864</f>
        <v>103a.1</v>
      </c>
      <c r="C864" s="6" t="str">
        <f>'Reported burning'!C864</f>
        <v>Human, deliberate</v>
      </c>
      <c r="D864" s="6" t="str">
        <f>'Reported burning'!D864</f>
        <v>Crop field preparation</v>
      </c>
      <c r="E864" s="6" t="str">
        <f>'Reported burning'!E864</f>
        <v>Cropping, Swidden</v>
      </c>
      <c r="F864" s="6" t="str">
        <f>'Reported burning'!F864</f>
        <v>Cropland</v>
      </c>
      <c r="G864" s="6" t="str">
        <f>'Reported burning'!G864</f>
        <v>ND</v>
      </c>
      <c r="H864" s="6" t="str">
        <f>'Reported burning'!H864</f>
        <v>Presence</v>
      </c>
      <c r="I864" s="3"/>
      <c r="J864" s="21" t="s">
        <v>2276</v>
      </c>
      <c r="K864" s="21" t="s">
        <v>2362</v>
      </c>
      <c r="L864" s="21" t="s">
        <v>2276</v>
      </c>
      <c r="M864" s="21" t="s">
        <v>2375</v>
      </c>
      <c r="N864" s="21" t="s">
        <v>2276</v>
      </c>
      <c r="O864" s="21" t="s">
        <v>2362</v>
      </c>
      <c r="P864" s="21" t="s">
        <v>2276</v>
      </c>
      <c r="Q864" s="21" t="s">
        <v>2362</v>
      </c>
      <c r="R864" s="21" t="s">
        <v>2276</v>
      </c>
      <c r="S864" s="21" t="s">
        <v>2394</v>
      </c>
      <c r="T864" s="21" t="s">
        <v>2276</v>
      </c>
      <c r="U864" s="21" t="s">
        <v>2276</v>
      </c>
      <c r="V864" s="21" t="s">
        <v>2276</v>
      </c>
      <c r="W864" s="21" t="s">
        <v>2375</v>
      </c>
      <c r="X864" s="74" t="s">
        <v>405</v>
      </c>
      <c r="Y864" s="74" t="s">
        <v>405</v>
      </c>
      <c r="Z864" s="74" t="s">
        <v>64</v>
      </c>
      <c r="AA864" s="3"/>
      <c r="AB864" s="4" t="s">
        <v>2789</v>
      </c>
    </row>
    <row r="865" spans="1:28" ht="43.5">
      <c r="A865" s="6" t="str">
        <f>'Reported burning'!A865</f>
        <v>103b</v>
      </c>
      <c r="B865" s="6" t="str">
        <f>'Reported burning'!B865</f>
        <v>103b.1</v>
      </c>
      <c r="C865" s="6" t="str">
        <f>'Reported burning'!C865</f>
        <v>Human, deliberate</v>
      </c>
      <c r="D865" s="6" t="str">
        <f>'Reported burning'!D865</f>
        <v>Crop field preparation</v>
      </c>
      <c r="E865" s="6" t="str">
        <f>'Reported burning'!E865</f>
        <v>Cropping, Swidden</v>
      </c>
      <c r="F865" s="6" t="str">
        <f>'Reported burning'!F865</f>
        <v>Cropland</v>
      </c>
      <c r="G865" s="6" t="str">
        <f>'Reported burning'!G865</f>
        <v>ND</v>
      </c>
      <c r="H865" s="6" t="str">
        <f>'Reported burning'!H865</f>
        <v>Presence</v>
      </c>
      <c r="I865" s="3"/>
      <c r="J865" s="21" t="s">
        <v>2276</v>
      </c>
      <c r="K865" s="21" t="s">
        <v>2362</v>
      </c>
      <c r="L865" s="21" t="s">
        <v>2276</v>
      </c>
      <c r="M865" s="21" t="s">
        <v>2375</v>
      </c>
      <c r="N865" s="21" t="s">
        <v>2276</v>
      </c>
      <c r="O865" s="21" t="s">
        <v>2362</v>
      </c>
      <c r="P865" s="21" t="s">
        <v>2276</v>
      </c>
      <c r="Q865" s="21" t="s">
        <v>2362</v>
      </c>
      <c r="R865" s="21" t="s">
        <v>2276</v>
      </c>
      <c r="S865" s="21" t="s">
        <v>2392</v>
      </c>
      <c r="T865" s="21" t="s">
        <v>2276</v>
      </c>
      <c r="U865" s="21" t="s">
        <v>2276</v>
      </c>
      <c r="V865" s="21" t="s">
        <v>2276</v>
      </c>
      <c r="W865" s="21" t="s">
        <v>2375</v>
      </c>
      <c r="X865" s="74" t="s">
        <v>405</v>
      </c>
      <c r="Y865" s="74" t="s">
        <v>405</v>
      </c>
      <c r="Z865" s="74" t="s">
        <v>64</v>
      </c>
      <c r="AA865" s="3"/>
      <c r="AB865" s="4" t="s">
        <v>2789</v>
      </c>
    </row>
    <row r="866" spans="1:28" ht="43.5">
      <c r="A866" s="6" t="str">
        <f>'Reported burning'!A866</f>
        <v>103c</v>
      </c>
      <c r="B866" s="6" t="str">
        <f>'Reported burning'!B866</f>
        <v>103c.1</v>
      </c>
      <c r="C866" s="6" t="str">
        <f>'Reported burning'!C866</f>
        <v>Human, deliberate</v>
      </c>
      <c r="D866" s="6" t="str">
        <f>'Reported burning'!D866</f>
        <v>Crop field preparation</v>
      </c>
      <c r="E866" s="6" t="str">
        <f>'Reported burning'!E866</f>
        <v>Cropping, Swidden</v>
      </c>
      <c r="F866" s="6" t="str">
        <f>'Reported burning'!F866</f>
        <v>Cropland</v>
      </c>
      <c r="G866" s="6" t="str">
        <f>'Reported burning'!G866</f>
        <v>ND</v>
      </c>
      <c r="H866" s="6" t="str">
        <f>'Reported burning'!H866</f>
        <v>Presence</v>
      </c>
      <c r="I866" s="3"/>
      <c r="J866" s="21" t="s">
        <v>2276</v>
      </c>
      <c r="K866" s="21" t="s">
        <v>2362</v>
      </c>
      <c r="L866" s="21" t="s">
        <v>2276</v>
      </c>
      <c r="M866" s="21" t="s">
        <v>2375</v>
      </c>
      <c r="N866" s="21" t="s">
        <v>2276</v>
      </c>
      <c r="O866" s="21" t="s">
        <v>2362</v>
      </c>
      <c r="P866" s="21" t="s">
        <v>2276</v>
      </c>
      <c r="Q866" s="21" t="s">
        <v>2362</v>
      </c>
      <c r="R866" s="21" t="s">
        <v>2276</v>
      </c>
      <c r="S866" s="21" t="s">
        <v>2393</v>
      </c>
      <c r="T866" s="21" t="s">
        <v>2276</v>
      </c>
      <c r="U866" s="21" t="s">
        <v>2276</v>
      </c>
      <c r="V866" s="21" t="s">
        <v>2276</v>
      </c>
      <c r="W866" s="21" t="s">
        <v>2375</v>
      </c>
      <c r="X866" s="74" t="s">
        <v>405</v>
      </c>
      <c r="Y866" s="74" t="s">
        <v>405</v>
      </c>
      <c r="Z866" s="74" t="s">
        <v>64</v>
      </c>
      <c r="AA866" s="3"/>
      <c r="AB866" s="4" t="s">
        <v>2789</v>
      </c>
    </row>
    <row r="867" spans="1:28" ht="43.5">
      <c r="A867" s="6" t="str">
        <f>'Reported burning'!A867</f>
        <v>103d</v>
      </c>
      <c r="B867" s="6" t="str">
        <f>'Reported burning'!B867</f>
        <v>103d.1</v>
      </c>
      <c r="C867" s="6" t="str">
        <f>'Reported burning'!C867</f>
        <v>Human, deliberate</v>
      </c>
      <c r="D867" s="6" t="str">
        <f>'Reported burning'!D867</f>
        <v>Crop field preparation</v>
      </c>
      <c r="E867" s="6" t="str">
        <f>'Reported burning'!E867</f>
        <v>Cropping, Swidden</v>
      </c>
      <c r="F867" s="6" t="str">
        <f>'Reported burning'!F867</f>
        <v>Cropland</v>
      </c>
      <c r="G867" s="6" t="str">
        <f>'Reported burning'!G867</f>
        <v>ND</v>
      </c>
      <c r="H867" s="6" t="str">
        <f>'Reported burning'!H867</f>
        <v>Presence</v>
      </c>
      <c r="I867" s="3"/>
      <c r="J867" s="21" t="s">
        <v>2276</v>
      </c>
      <c r="K867" s="21" t="s">
        <v>2362</v>
      </c>
      <c r="L867" s="21" t="s">
        <v>2276</v>
      </c>
      <c r="M867" s="21" t="s">
        <v>2375</v>
      </c>
      <c r="N867" s="21" t="s">
        <v>2276</v>
      </c>
      <c r="O867" s="21" t="s">
        <v>2362</v>
      </c>
      <c r="P867" s="21" t="s">
        <v>2276</v>
      </c>
      <c r="Q867" s="21" t="s">
        <v>2362</v>
      </c>
      <c r="R867" s="21" t="s">
        <v>2276</v>
      </c>
      <c r="S867" s="21" t="s">
        <v>2390</v>
      </c>
      <c r="T867" s="21" t="s">
        <v>2276</v>
      </c>
      <c r="U867" s="21" t="s">
        <v>2276</v>
      </c>
      <c r="V867" s="21" t="s">
        <v>2276</v>
      </c>
      <c r="W867" s="21" t="s">
        <v>2375</v>
      </c>
      <c r="X867" s="74" t="s">
        <v>405</v>
      </c>
      <c r="Y867" s="74" t="s">
        <v>405</v>
      </c>
      <c r="Z867" s="74" t="s">
        <v>64</v>
      </c>
      <c r="AA867" s="3"/>
      <c r="AB867" s="4" t="s">
        <v>2789</v>
      </c>
    </row>
    <row r="868" spans="1:28" ht="43.5">
      <c r="A868" s="6" t="str">
        <f>'Reported burning'!A868</f>
        <v>103e</v>
      </c>
      <c r="B868" s="6" t="str">
        <f>'Reported burning'!B868</f>
        <v>103e.1</v>
      </c>
      <c r="C868" s="6" t="str">
        <f>'Reported burning'!C868</f>
        <v>Human, deliberate</v>
      </c>
      <c r="D868" s="6" t="str">
        <f>'Reported burning'!D868</f>
        <v>Crop field preparation</v>
      </c>
      <c r="E868" s="6" t="str">
        <f>'Reported burning'!E868</f>
        <v>Cropping, Swidden</v>
      </c>
      <c r="F868" s="6" t="str">
        <f>'Reported burning'!F868</f>
        <v>Cropland</v>
      </c>
      <c r="G868" s="6" t="str">
        <f>'Reported burning'!G868</f>
        <v>ND</v>
      </c>
      <c r="H868" s="6" t="str">
        <f>'Reported burning'!H868</f>
        <v>Presence</v>
      </c>
      <c r="I868" s="3"/>
      <c r="J868" s="21" t="s">
        <v>2276</v>
      </c>
      <c r="K868" s="21" t="s">
        <v>2362</v>
      </c>
      <c r="L868" s="21" t="s">
        <v>2276</v>
      </c>
      <c r="M868" s="21" t="s">
        <v>2375</v>
      </c>
      <c r="N868" s="21" t="s">
        <v>2276</v>
      </c>
      <c r="O868" s="21" t="s">
        <v>2362</v>
      </c>
      <c r="P868" s="21" t="s">
        <v>2276</v>
      </c>
      <c r="Q868" s="21" t="s">
        <v>2362</v>
      </c>
      <c r="R868" s="21" t="s">
        <v>2276</v>
      </c>
      <c r="S868" s="21" t="s">
        <v>2389</v>
      </c>
      <c r="T868" s="21" t="s">
        <v>2276</v>
      </c>
      <c r="U868" s="21" t="s">
        <v>2276</v>
      </c>
      <c r="V868" s="21" t="s">
        <v>2276</v>
      </c>
      <c r="W868" s="21" t="s">
        <v>2375</v>
      </c>
      <c r="X868" s="74" t="s">
        <v>405</v>
      </c>
      <c r="Y868" s="74" t="s">
        <v>405</v>
      </c>
      <c r="Z868" s="74" t="s">
        <v>64</v>
      </c>
      <c r="AA868" s="3"/>
      <c r="AB868" s="4" t="s">
        <v>2789</v>
      </c>
    </row>
    <row r="869" spans="1:28" ht="34.5" customHeight="1">
      <c r="A869" s="6" t="str">
        <f>'Reported burning'!A869</f>
        <v>104a</v>
      </c>
      <c r="B869" s="6" t="str">
        <f>'Reported burning'!B869</f>
        <v>104a.1</v>
      </c>
      <c r="C869" s="6" t="str">
        <f>'Reported burning'!C869</f>
        <v>Human, deliberate</v>
      </c>
      <c r="D869" s="6" t="str">
        <f>'Reported burning'!D869</f>
        <v>Rangeland management</v>
      </c>
      <c r="E869" s="6" t="str">
        <f>'Reported burning'!E869</f>
        <v>Pastoralism, Migratory</v>
      </c>
      <c r="F869" s="6" t="str">
        <f>'Reported burning'!F869</f>
        <v>Grassland</v>
      </c>
      <c r="G869" s="6" t="str">
        <f>'Reported burning'!G869</f>
        <v>ND</v>
      </c>
      <c r="H869" s="6" t="str">
        <f>'Reported burning'!H869</f>
        <v>Absence</v>
      </c>
      <c r="I869" s="3"/>
      <c r="J869" s="21" t="s">
        <v>2276</v>
      </c>
      <c r="K869" s="21" t="s">
        <v>2276</v>
      </c>
      <c r="L869" s="21" t="s">
        <v>2276</v>
      </c>
      <c r="M869" s="21" t="s">
        <v>2276</v>
      </c>
      <c r="N869" s="21" t="s">
        <v>2276</v>
      </c>
      <c r="O869" s="21" t="s">
        <v>2276</v>
      </c>
      <c r="P869" s="21" t="s">
        <v>2276</v>
      </c>
      <c r="Q869" s="21" t="s">
        <v>2276</v>
      </c>
      <c r="R869" s="21" t="s">
        <v>2276</v>
      </c>
      <c r="S869" s="21" t="s">
        <v>2276</v>
      </c>
      <c r="T869" s="21" t="s">
        <v>2276</v>
      </c>
      <c r="U869" s="21" t="s">
        <v>2276</v>
      </c>
      <c r="V869" s="21" t="s">
        <v>2276</v>
      </c>
      <c r="W869" s="21" t="s">
        <v>2276</v>
      </c>
      <c r="X869" s="21" t="s">
        <v>2276</v>
      </c>
      <c r="Y869" s="21" t="s">
        <v>2276</v>
      </c>
      <c r="Z869" s="21" t="s">
        <v>2276</v>
      </c>
      <c r="AA869" s="21"/>
      <c r="AB869" s="21"/>
    </row>
    <row r="870" spans="1:28" ht="29">
      <c r="A870" s="6" t="str">
        <f>'Reported burning'!A870</f>
        <v>104a</v>
      </c>
      <c r="B870" s="6" t="str">
        <f>'Reported burning'!B870</f>
        <v>104a.2</v>
      </c>
      <c r="C870" s="6" t="str">
        <f>'Reported burning'!C870</f>
        <v>Human, deliberate</v>
      </c>
      <c r="D870" s="6" t="str">
        <f>'Reported burning'!D870</f>
        <v>Rangeland management</v>
      </c>
      <c r="E870" s="6" t="str">
        <f>'Reported burning'!E870</f>
        <v>Pastoralism, Migratory</v>
      </c>
      <c r="F870" s="6" t="str">
        <f>'Reported burning'!F870</f>
        <v>Shrubland (Mixed forest &amp; grassland)</v>
      </c>
      <c r="G870" s="6" t="str">
        <f>'Reported burning'!G870</f>
        <v>ND</v>
      </c>
      <c r="H870" s="6" t="str">
        <f>'Reported burning'!H870</f>
        <v>Absence</v>
      </c>
      <c r="I870" s="3"/>
      <c r="J870" s="21" t="s">
        <v>2276</v>
      </c>
      <c r="K870" s="21" t="s">
        <v>2276</v>
      </c>
      <c r="L870" s="21" t="s">
        <v>2276</v>
      </c>
      <c r="M870" s="21" t="s">
        <v>2276</v>
      </c>
      <c r="N870" s="21" t="s">
        <v>2276</v>
      </c>
      <c r="O870" s="21" t="s">
        <v>2276</v>
      </c>
      <c r="P870" s="21" t="s">
        <v>2276</v>
      </c>
      <c r="Q870" s="21" t="s">
        <v>2276</v>
      </c>
      <c r="R870" s="21" t="s">
        <v>2276</v>
      </c>
      <c r="S870" s="21" t="s">
        <v>2276</v>
      </c>
      <c r="T870" s="21" t="s">
        <v>2276</v>
      </c>
      <c r="U870" s="21" t="s">
        <v>2276</v>
      </c>
      <c r="V870" s="21" t="s">
        <v>2276</v>
      </c>
      <c r="W870" s="21" t="s">
        <v>2276</v>
      </c>
      <c r="X870" s="21" t="s">
        <v>2276</v>
      </c>
      <c r="Y870" s="21" t="s">
        <v>2276</v>
      </c>
      <c r="Z870" s="21" t="s">
        <v>2276</v>
      </c>
      <c r="AA870" s="21"/>
      <c r="AB870" s="21"/>
    </row>
    <row r="871" spans="1:28" ht="35" customHeight="1">
      <c r="A871" s="6" t="str">
        <f>'Reported burning'!A871</f>
        <v>104b</v>
      </c>
      <c r="B871" s="6" t="str">
        <f>'Reported burning'!B871</f>
        <v>104b.1</v>
      </c>
      <c r="C871" s="6" t="str">
        <f>'Reported burning'!C871</f>
        <v>Human, deliberate</v>
      </c>
      <c r="D871" s="6" t="str">
        <f>'Reported burning'!D871</f>
        <v>Rangeland management</v>
      </c>
      <c r="E871" s="6" t="str">
        <f>'Reported burning'!E871</f>
        <v>Pastoralism, Migratory</v>
      </c>
      <c r="F871" s="6" t="str">
        <f>'Reported burning'!F871</f>
        <v>Grassland</v>
      </c>
      <c r="G871" s="6" t="str">
        <f>'Reported burning'!G871</f>
        <v>ND</v>
      </c>
      <c r="H871" s="6" t="str">
        <f>'Reported burning'!H871</f>
        <v>Absence</v>
      </c>
      <c r="I871" s="3"/>
      <c r="J871" s="21" t="s">
        <v>2276</v>
      </c>
      <c r="K871" s="21" t="s">
        <v>2276</v>
      </c>
      <c r="L871" s="21" t="s">
        <v>2276</v>
      </c>
      <c r="M871" s="21" t="s">
        <v>2276</v>
      </c>
      <c r="N871" s="21" t="s">
        <v>2276</v>
      </c>
      <c r="O871" s="21" t="s">
        <v>2276</v>
      </c>
      <c r="P871" s="21" t="s">
        <v>2276</v>
      </c>
      <c r="Q871" s="21" t="s">
        <v>2276</v>
      </c>
      <c r="R871" s="21" t="s">
        <v>2276</v>
      </c>
      <c r="S871" s="21" t="s">
        <v>2276</v>
      </c>
      <c r="T871" s="21" t="s">
        <v>2276</v>
      </c>
      <c r="U871" s="21" t="s">
        <v>2276</v>
      </c>
      <c r="V871" s="21" t="s">
        <v>2276</v>
      </c>
      <c r="W871" s="21" t="s">
        <v>2276</v>
      </c>
      <c r="X871" s="21" t="s">
        <v>2276</v>
      </c>
      <c r="Y871" s="21" t="s">
        <v>2276</v>
      </c>
      <c r="Z871" s="21" t="s">
        <v>2276</v>
      </c>
      <c r="AA871" s="21"/>
      <c r="AB871" s="21"/>
    </row>
    <row r="872" spans="1:28" ht="29">
      <c r="A872" s="6" t="str">
        <f>'Reported burning'!A872</f>
        <v>104b</v>
      </c>
      <c r="B872" s="6" t="str">
        <f>'Reported burning'!B872</f>
        <v>104b.2</v>
      </c>
      <c r="C872" s="6" t="str">
        <f>'Reported burning'!C872</f>
        <v>Human, deliberate</v>
      </c>
      <c r="D872" s="6" t="str">
        <f>'Reported burning'!D872</f>
        <v>Rangeland management</v>
      </c>
      <c r="E872" s="6" t="str">
        <f>'Reported burning'!E872</f>
        <v>Pastoralism, Migratory</v>
      </c>
      <c r="F872" s="6" t="str">
        <f>'Reported burning'!F872</f>
        <v>Shrubland (Mixed forest &amp; grassland)</v>
      </c>
      <c r="G872" s="6" t="str">
        <f>'Reported burning'!G872</f>
        <v>ND</v>
      </c>
      <c r="H872" s="6" t="str">
        <f>'Reported burning'!H872</f>
        <v>Absence</v>
      </c>
      <c r="I872" s="3"/>
      <c r="J872" s="21" t="s">
        <v>2276</v>
      </c>
      <c r="K872" s="21" t="s">
        <v>2276</v>
      </c>
      <c r="L872" s="21" t="s">
        <v>2276</v>
      </c>
      <c r="M872" s="21" t="s">
        <v>2276</v>
      </c>
      <c r="N872" s="21" t="s">
        <v>2276</v>
      </c>
      <c r="O872" s="21" t="s">
        <v>2276</v>
      </c>
      <c r="P872" s="21" t="s">
        <v>2276</v>
      </c>
      <c r="Q872" s="21" t="s">
        <v>2276</v>
      </c>
      <c r="R872" s="21" t="s">
        <v>2276</v>
      </c>
      <c r="S872" s="21" t="s">
        <v>2276</v>
      </c>
      <c r="T872" s="21" t="s">
        <v>2276</v>
      </c>
      <c r="U872" s="21" t="s">
        <v>2276</v>
      </c>
      <c r="V872" s="21" t="s">
        <v>2276</v>
      </c>
      <c r="W872" s="21" t="s">
        <v>2276</v>
      </c>
      <c r="X872" s="21" t="s">
        <v>2276</v>
      </c>
      <c r="Y872" s="21" t="s">
        <v>2276</v>
      </c>
      <c r="Z872" s="21" t="s">
        <v>2276</v>
      </c>
      <c r="AA872" s="21"/>
      <c r="AB872" s="21"/>
    </row>
    <row r="873" spans="1:28" ht="26.5" customHeight="1">
      <c r="A873" s="6" t="str">
        <f>'Reported burning'!A873</f>
        <v>104c</v>
      </c>
      <c r="B873" s="6" t="str">
        <f>'Reported burning'!B873</f>
        <v>104c.1</v>
      </c>
      <c r="C873" s="6" t="str">
        <f>'Reported burning'!C873</f>
        <v>Human, deliberate</v>
      </c>
      <c r="D873" s="6" t="str">
        <f>'Reported burning'!D873</f>
        <v>Rangeland management</v>
      </c>
      <c r="E873" s="6" t="str">
        <f>'Reported burning'!E873</f>
        <v>Pastoralism, Migratory</v>
      </c>
      <c r="F873" s="6" t="str">
        <f>'Reported burning'!F873</f>
        <v>Grassland</v>
      </c>
      <c r="G873" s="6" t="str">
        <f>'Reported burning'!G873</f>
        <v>ND</v>
      </c>
      <c r="H873" s="6" t="str">
        <f>'Reported burning'!H873</f>
        <v>Absence</v>
      </c>
      <c r="I873" s="3"/>
      <c r="J873" s="21" t="s">
        <v>2276</v>
      </c>
      <c r="K873" s="21" t="s">
        <v>2276</v>
      </c>
      <c r="L873" s="21" t="s">
        <v>2276</v>
      </c>
      <c r="M873" s="21" t="s">
        <v>2276</v>
      </c>
      <c r="N873" s="21" t="s">
        <v>2276</v>
      </c>
      <c r="O873" s="21" t="s">
        <v>2276</v>
      </c>
      <c r="P873" s="21" t="s">
        <v>2276</v>
      </c>
      <c r="Q873" s="21" t="s">
        <v>2276</v>
      </c>
      <c r="R873" s="21" t="s">
        <v>2276</v>
      </c>
      <c r="S873" s="21" t="s">
        <v>2276</v>
      </c>
      <c r="T873" s="21" t="s">
        <v>2276</v>
      </c>
      <c r="U873" s="21" t="s">
        <v>2276</v>
      </c>
      <c r="V873" s="21" t="s">
        <v>2276</v>
      </c>
      <c r="W873" s="21" t="s">
        <v>2276</v>
      </c>
      <c r="X873" s="21" t="s">
        <v>2276</v>
      </c>
      <c r="Y873" s="21" t="s">
        <v>2276</v>
      </c>
      <c r="Z873" s="21" t="s">
        <v>2276</v>
      </c>
      <c r="AA873" s="3"/>
      <c r="AB873" s="3"/>
    </row>
    <row r="874" spans="1:28" ht="29">
      <c r="A874" s="6" t="str">
        <f>'Reported burning'!A874</f>
        <v>104c</v>
      </c>
      <c r="B874" s="6" t="str">
        <f>'Reported burning'!B874</f>
        <v>104c.2</v>
      </c>
      <c r="C874" s="6" t="str">
        <f>'Reported burning'!C874</f>
        <v>Human, deliberate</v>
      </c>
      <c r="D874" s="6" t="str">
        <f>'Reported burning'!D874</f>
        <v>Rangeland management</v>
      </c>
      <c r="E874" s="6" t="str">
        <f>'Reported burning'!E874</f>
        <v>Pastoralism, Migratory</v>
      </c>
      <c r="F874" s="6" t="str">
        <f>'Reported burning'!F874</f>
        <v>Shrubland (Mixed forest &amp; grassland)</v>
      </c>
      <c r="G874" s="6" t="str">
        <f>'Reported burning'!G874</f>
        <v>ND</v>
      </c>
      <c r="H874" s="6" t="str">
        <f>'Reported burning'!H874</f>
        <v>Absence</v>
      </c>
      <c r="I874" s="3"/>
      <c r="J874" s="21" t="s">
        <v>2276</v>
      </c>
      <c r="K874" s="21" t="s">
        <v>2276</v>
      </c>
      <c r="L874" s="21" t="s">
        <v>2276</v>
      </c>
      <c r="M874" s="21" t="s">
        <v>2276</v>
      </c>
      <c r="N874" s="21" t="s">
        <v>2276</v>
      </c>
      <c r="O874" s="21" t="s">
        <v>2276</v>
      </c>
      <c r="P874" s="21" t="s">
        <v>2276</v>
      </c>
      <c r="Q874" s="21" t="s">
        <v>2276</v>
      </c>
      <c r="R874" s="21" t="s">
        <v>2276</v>
      </c>
      <c r="S874" s="21" t="s">
        <v>2276</v>
      </c>
      <c r="T874" s="21" t="s">
        <v>2276</v>
      </c>
      <c r="U874" s="21" t="s">
        <v>2276</v>
      </c>
      <c r="V874" s="21" t="s">
        <v>2276</v>
      </c>
      <c r="W874" s="21" t="s">
        <v>2276</v>
      </c>
      <c r="X874" s="21" t="s">
        <v>2276</v>
      </c>
      <c r="Y874" s="21" t="s">
        <v>2276</v>
      </c>
      <c r="Z874" s="21" t="s">
        <v>2276</v>
      </c>
      <c r="AA874" s="3"/>
      <c r="AB874" s="3"/>
    </row>
    <row r="875" spans="1:28" ht="32.5" customHeight="1">
      <c r="A875" s="6" t="str">
        <f>'Reported burning'!A875</f>
        <v>105a</v>
      </c>
      <c r="B875" s="6" t="str">
        <f>'Reported burning'!B875</f>
        <v>105a.1</v>
      </c>
      <c r="C875" s="6" t="str">
        <f>'Reported burning'!C875</f>
        <v>Human, deliberate</v>
      </c>
      <c r="D875" s="6" t="str">
        <f>'Reported burning'!D875</f>
        <v>Rangeland management</v>
      </c>
      <c r="E875" s="6" t="str">
        <f>'Reported burning'!E875</f>
        <v>Pastoralism, Migratory</v>
      </c>
      <c r="F875" s="6" t="str">
        <f>'Reported burning'!F875</f>
        <v>Grassland</v>
      </c>
      <c r="G875" s="6" t="str">
        <f>'Reported burning'!G875</f>
        <v>ND</v>
      </c>
      <c r="H875" s="6" t="str">
        <f>'Reported burning'!H875</f>
        <v>Absence</v>
      </c>
      <c r="I875" s="3"/>
      <c r="J875" s="21" t="s">
        <v>2276</v>
      </c>
      <c r="K875" s="21" t="s">
        <v>2276</v>
      </c>
      <c r="L875" s="21" t="s">
        <v>2276</v>
      </c>
      <c r="M875" s="21" t="s">
        <v>2276</v>
      </c>
      <c r="N875" s="21" t="s">
        <v>2276</v>
      </c>
      <c r="O875" s="21" t="s">
        <v>2276</v>
      </c>
      <c r="P875" s="21" t="s">
        <v>2276</v>
      </c>
      <c r="Q875" s="21" t="s">
        <v>2276</v>
      </c>
      <c r="R875" s="21" t="s">
        <v>2276</v>
      </c>
      <c r="S875" s="21" t="s">
        <v>2276</v>
      </c>
      <c r="T875" s="21" t="s">
        <v>2276</v>
      </c>
      <c r="U875" s="21" t="s">
        <v>2276</v>
      </c>
      <c r="V875" s="21" t="s">
        <v>2276</v>
      </c>
      <c r="W875" s="21" t="s">
        <v>2276</v>
      </c>
      <c r="X875" s="21" t="s">
        <v>2276</v>
      </c>
      <c r="Y875" s="21" t="s">
        <v>2276</v>
      </c>
      <c r="Z875" s="21" t="s">
        <v>2276</v>
      </c>
      <c r="AA875" s="3"/>
      <c r="AB875" s="3"/>
    </row>
    <row r="876" spans="1:28" ht="29">
      <c r="A876" s="6" t="str">
        <f>'Reported burning'!A876</f>
        <v>105a</v>
      </c>
      <c r="B876" s="6" t="str">
        <f>'Reported burning'!B876</f>
        <v>105a.2</v>
      </c>
      <c r="C876" s="6" t="str">
        <f>'Reported burning'!C876</f>
        <v>Human, deliberate</v>
      </c>
      <c r="D876" s="6" t="str">
        <f>'Reported burning'!D876</f>
        <v>Rangeland management</v>
      </c>
      <c r="E876" s="6" t="str">
        <f>'Reported burning'!E876</f>
        <v>Pastoralism, Migratory</v>
      </c>
      <c r="F876" s="6" t="str">
        <f>'Reported burning'!F876</f>
        <v>Shrubland (Mixed forest &amp; grassland)</v>
      </c>
      <c r="G876" s="6" t="str">
        <f>'Reported burning'!G876</f>
        <v>ND</v>
      </c>
      <c r="H876" s="6" t="str">
        <f>'Reported burning'!H876</f>
        <v>Absence</v>
      </c>
      <c r="I876" s="3"/>
      <c r="J876" s="21" t="s">
        <v>2276</v>
      </c>
      <c r="K876" s="21" t="s">
        <v>2276</v>
      </c>
      <c r="L876" s="21" t="s">
        <v>2276</v>
      </c>
      <c r="M876" s="21" t="s">
        <v>2276</v>
      </c>
      <c r="N876" s="21" t="s">
        <v>2276</v>
      </c>
      <c r="O876" s="21" t="s">
        <v>2276</v>
      </c>
      <c r="P876" s="21" t="s">
        <v>2276</v>
      </c>
      <c r="Q876" s="21" t="s">
        <v>2276</v>
      </c>
      <c r="R876" s="21" t="s">
        <v>2276</v>
      </c>
      <c r="S876" s="21" t="s">
        <v>2276</v>
      </c>
      <c r="T876" s="21" t="s">
        <v>2276</v>
      </c>
      <c r="U876" s="21" t="s">
        <v>2276</v>
      </c>
      <c r="V876" s="21" t="s">
        <v>2276</v>
      </c>
      <c r="W876" s="21" t="s">
        <v>2276</v>
      </c>
      <c r="X876" s="21" t="s">
        <v>2276</v>
      </c>
      <c r="Y876" s="21" t="s">
        <v>2276</v>
      </c>
      <c r="Z876" s="21" t="s">
        <v>2276</v>
      </c>
      <c r="AA876" s="3"/>
      <c r="AB876" s="3"/>
    </row>
    <row r="877" spans="1:28" ht="32" customHeight="1">
      <c r="A877" s="6" t="str">
        <f>'Reported burning'!A877</f>
        <v>105b</v>
      </c>
      <c r="B877" s="6" t="str">
        <f>'Reported burning'!B877</f>
        <v>105b.1</v>
      </c>
      <c r="C877" s="6" t="str">
        <f>'Reported burning'!C877</f>
        <v>Human, deliberate</v>
      </c>
      <c r="D877" s="6" t="str">
        <f>'Reported burning'!D877</f>
        <v>Rangeland management</v>
      </c>
      <c r="E877" s="6" t="str">
        <f>'Reported burning'!E877</f>
        <v>Pastoralism, Migratory</v>
      </c>
      <c r="F877" s="6" t="str">
        <f>'Reported burning'!F877</f>
        <v>Grassland</v>
      </c>
      <c r="G877" s="6" t="str">
        <f>'Reported burning'!G877</f>
        <v>ND</v>
      </c>
      <c r="H877" s="6" t="str">
        <f>'Reported burning'!H877</f>
        <v>Absence</v>
      </c>
      <c r="I877" s="3"/>
      <c r="J877" s="21" t="s">
        <v>2276</v>
      </c>
      <c r="K877" s="21" t="s">
        <v>2276</v>
      </c>
      <c r="L877" s="21" t="s">
        <v>2276</v>
      </c>
      <c r="M877" s="21" t="s">
        <v>2276</v>
      </c>
      <c r="N877" s="21" t="s">
        <v>2276</v>
      </c>
      <c r="O877" s="21" t="s">
        <v>2276</v>
      </c>
      <c r="P877" s="21" t="s">
        <v>2276</v>
      </c>
      <c r="Q877" s="21" t="s">
        <v>2276</v>
      </c>
      <c r="R877" s="21" t="s">
        <v>2276</v>
      </c>
      <c r="S877" s="21" t="s">
        <v>2276</v>
      </c>
      <c r="T877" s="21" t="s">
        <v>2276</v>
      </c>
      <c r="U877" s="21" t="s">
        <v>2276</v>
      </c>
      <c r="V877" s="21" t="s">
        <v>2276</v>
      </c>
      <c r="W877" s="21" t="s">
        <v>2276</v>
      </c>
      <c r="X877" s="21" t="s">
        <v>2276</v>
      </c>
      <c r="Y877" s="21" t="s">
        <v>2276</v>
      </c>
      <c r="Z877" s="21" t="s">
        <v>2276</v>
      </c>
      <c r="AA877" s="3"/>
      <c r="AB877" s="3"/>
    </row>
    <row r="878" spans="1:28" ht="29">
      <c r="A878" s="6" t="str">
        <f>'Reported burning'!A878</f>
        <v>105b</v>
      </c>
      <c r="B878" s="6" t="str">
        <f>'Reported burning'!B878</f>
        <v>105b.2</v>
      </c>
      <c r="C878" s="6" t="str">
        <f>'Reported burning'!C878</f>
        <v>Human, deliberate</v>
      </c>
      <c r="D878" s="6" t="str">
        <f>'Reported burning'!D878</f>
        <v>Rangeland management</v>
      </c>
      <c r="E878" s="6" t="str">
        <f>'Reported burning'!E878</f>
        <v>Pastoralism, Migratory</v>
      </c>
      <c r="F878" s="6" t="str">
        <f>'Reported burning'!F878</f>
        <v>Shrubland (Mixed forest &amp; grassland)</v>
      </c>
      <c r="G878" s="6" t="str">
        <f>'Reported burning'!G878</f>
        <v>ND</v>
      </c>
      <c r="H878" s="6" t="str">
        <f>'Reported burning'!H878</f>
        <v>Absence</v>
      </c>
      <c r="I878" s="3"/>
      <c r="J878" s="21" t="s">
        <v>2276</v>
      </c>
      <c r="K878" s="21" t="s">
        <v>2276</v>
      </c>
      <c r="L878" s="21" t="s">
        <v>2276</v>
      </c>
      <c r="M878" s="21" t="s">
        <v>2276</v>
      </c>
      <c r="N878" s="21" t="s">
        <v>2276</v>
      </c>
      <c r="O878" s="21" t="s">
        <v>2276</v>
      </c>
      <c r="P878" s="21" t="s">
        <v>2276</v>
      </c>
      <c r="Q878" s="21" t="s">
        <v>2276</v>
      </c>
      <c r="R878" s="21" t="s">
        <v>2276</v>
      </c>
      <c r="S878" s="21" t="s">
        <v>2276</v>
      </c>
      <c r="T878" s="21" t="s">
        <v>2276</v>
      </c>
      <c r="U878" s="21" t="s">
        <v>2276</v>
      </c>
      <c r="V878" s="21" t="s">
        <v>2276</v>
      </c>
      <c r="W878" s="21" t="s">
        <v>2276</v>
      </c>
      <c r="X878" s="21" t="s">
        <v>2276</v>
      </c>
      <c r="Y878" s="21" t="s">
        <v>2276</v>
      </c>
      <c r="Z878" s="21" t="s">
        <v>2276</v>
      </c>
      <c r="AA878" s="3"/>
      <c r="AB878" s="3"/>
    </row>
    <row r="879" spans="1:28" ht="29" customHeight="1">
      <c r="A879" s="6" t="str">
        <f>'Reported burning'!A879</f>
        <v>105c</v>
      </c>
      <c r="B879" s="6" t="str">
        <f>'Reported burning'!B879</f>
        <v>105c.1</v>
      </c>
      <c r="C879" s="6" t="str">
        <f>'Reported burning'!C879</f>
        <v>Human, deliberate</v>
      </c>
      <c r="D879" s="6" t="str">
        <f>'Reported burning'!D879</f>
        <v>Rangeland management</v>
      </c>
      <c r="E879" s="6" t="str">
        <f>'Reported burning'!E879</f>
        <v>Pastoralism, Migratory</v>
      </c>
      <c r="F879" s="6" t="str">
        <f>'Reported burning'!F879</f>
        <v>Grassland</v>
      </c>
      <c r="G879" s="6" t="str">
        <f>'Reported burning'!G879</f>
        <v>ND</v>
      </c>
      <c r="H879" s="6" t="str">
        <f>'Reported burning'!H879</f>
        <v>Absence</v>
      </c>
      <c r="I879" s="3"/>
      <c r="J879" s="21" t="s">
        <v>2276</v>
      </c>
      <c r="K879" s="21" t="s">
        <v>2276</v>
      </c>
      <c r="L879" s="21" t="s">
        <v>2276</v>
      </c>
      <c r="M879" s="21" t="s">
        <v>2276</v>
      </c>
      <c r="N879" s="21" t="s">
        <v>2276</v>
      </c>
      <c r="O879" s="21" t="s">
        <v>2276</v>
      </c>
      <c r="P879" s="21" t="s">
        <v>2276</v>
      </c>
      <c r="Q879" s="21" t="s">
        <v>2276</v>
      </c>
      <c r="R879" s="21" t="s">
        <v>2276</v>
      </c>
      <c r="S879" s="21" t="s">
        <v>2276</v>
      </c>
      <c r="T879" s="21" t="s">
        <v>2276</v>
      </c>
      <c r="U879" s="21" t="s">
        <v>2276</v>
      </c>
      <c r="V879" s="21" t="s">
        <v>2276</v>
      </c>
      <c r="W879" s="21" t="s">
        <v>2276</v>
      </c>
      <c r="X879" s="21" t="s">
        <v>2276</v>
      </c>
      <c r="Y879" s="21" t="s">
        <v>2276</v>
      </c>
      <c r="Z879" s="21" t="s">
        <v>2276</v>
      </c>
      <c r="AA879" s="3"/>
      <c r="AB879" s="3"/>
    </row>
    <row r="880" spans="1:28" ht="29">
      <c r="A880" s="6" t="str">
        <f>'Reported burning'!A880</f>
        <v>105c</v>
      </c>
      <c r="B880" s="6" t="str">
        <f>'Reported burning'!B880</f>
        <v>105c.2</v>
      </c>
      <c r="C880" s="6" t="str">
        <f>'Reported burning'!C880</f>
        <v>Human, deliberate</v>
      </c>
      <c r="D880" s="6" t="str">
        <f>'Reported burning'!D880</f>
        <v>Rangeland management</v>
      </c>
      <c r="E880" s="6" t="str">
        <f>'Reported burning'!E880</f>
        <v>Pastoralism, Migratory</v>
      </c>
      <c r="F880" s="6" t="str">
        <f>'Reported burning'!F880</f>
        <v>Shrubland (Mixed forest &amp; grassland)</v>
      </c>
      <c r="G880" s="6" t="str">
        <f>'Reported burning'!G880</f>
        <v>ND</v>
      </c>
      <c r="H880" s="6" t="str">
        <f>'Reported burning'!H880</f>
        <v>Absence</v>
      </c>
      <c r="I880" s="3"/>
      <c r="J880" s="21" t="s">
        <v>2276</v>
      </c>
      <c r="K880" s="21" t="s">
        <v>2276</v>
      </c>
      <c r="L880" s="21" t="s">
        <v>2276</v>
      </c>
      <c r="M880" s="21" t="s">
        <v>2276</v>
      </c>
      <c r="N880" s="21" t="s">
        <v>2276</v>
      </c>
      <c r="O880" s="21" t="s">
        <v>2276</v>
      </c>
      <c r="P880" s="21" t="s">
        <v>2276</v>
      </c>
      <c r="Q880" s="21" t="s">
        <v>2276</v>
      </c>
      <c r="R880" s="21" t="s">
        <v>2276</v>
      </c>
      <c r="S880" s="21" t="s">
        <v>2276</v>
      </c>
      <c r="T880" s="21" t="s">
        <v>2276</v>
      </c>
      <c r="U880" s="21" t="s">
        <v>2276</v>
      </c>
      <c r="V880" s="21" t="s">
        <v>2276</v>
      </c>
      <c r="W880" s="21" t="s">
        <v>2276</v>
      </c>
      <c r="X880" s="21" t="s">
        <v>2276</v>
      </c>
      <c r="Y880" s="21" t="s">
        <v>2276</v>
      </c>
      <c r="Z880" s="21" t="s">
        <v>2276</v>
      </c>
      <c r="AA880" s="3"/>
      <c r="AB880" s="3"/>
    </row>
    <row r="881" spans="1:28" ht="25.5" customHeight="1">
      <c r="A881" s="6" t="str">
        <f>'Reported burning'!A881</f>
        <v>105d</v>
      </c>
      <c r="B881" s="6" t="str">
        <f>'Reported burning'!B881</f>
        <v>105d.1</v>
      </c>
      <c r="C881" s="6" t="str">
        <f>'Reported burning'!C881</f>
        <v>Human, deliberate</v>
      </c>
      <c r="D881" s="6" t="str">
        <f>'Reported burning'!D881</f>
        <v>Rangeland management</v>
      </c>
      <c r="E881" s="6" t="str">
        <f>'Reported burning'!E881</f>
        <v>Pastoralism, Migratory</v>
      </c>
      <c r="F881" s="6" t="str">
        <f>'Reported burning'!F881</f>
        <v>Grassland</v>
      </c>
      <c r="G881" s="6" t="str">
        <f>'Reported burning'!G881</f>
        <v>ND</v>
      </c>
      <c r="H881" s="6" t="str">
        <f>'Reported burning'!H881</f>
        <v>Absence</v>
      </c>
      <c r="I881" s="3"/>
      <c r="J881" s="21" t="s">
        <v>2276</v>
      </c>
      <c r="K881" s="21" t="s">
        <v>2276</v>
      </c>
      <c r="L881" s="21" t="s">
        <v>2276</v>
      </c>
      <c r="M881" s="21" t="s">
        <v>2276</v>
      </c>
      <c r="N881" s="21" t="s">
        <v>2276</v>
      </c>
      <c r="O881" s="21" t="s">
        <v>2276</v>
      </c>
      <c r="P881" s="21" t="s">
        <v>2276</v>
      </c>
      <c r="Q881" s="21" t="s">
        <v>2276</v>
      </c>
      <c r="R881" s="21" t="s">
        <v>2276</v>
      </c>
      <c r="S881" s="21" t="s">
        <v>2276</v>
      </c>
      <c r="T881" s="21" t="s">
        <v>2276</v>
      </c>
      <c r="U881" s="21" t="s">
        <v>2276</v>
      </c>
      <c r="V881" s="21" t="s">
        <v>2276</v>
      </c>
      <c r="W881" s="21" t="s">
        <v>2276</v>
      </c>
      <c r="X881" s="21" t="s">
        <v>2276</v>
      </c>
      <c r="Y881" s="21" t="s">
        <v>2276</v>
      </c>
      <c r="Z881" s="21" t="s">
        <v>2276</v>
      </c>
      <c r="AA881" s="3"/>
      <c r="AB881" s="3"/>
    </row>
    <row r="882" spans="1:28" ht="29">
      <c r="A882" s="6" t="str">
        <f>'Reported burning'!A882</f>
        <v>105d</v>
      </c>
      <c r="B882" s="6" t="str">
        <f>'Reported burning'!B882</f>
        <v>105d.2</v>
      </c>
      <c r="C882" s="6" t="str">
        <f>'Reported burning'!C882</f>
        <v>Human, deliberate</v>
      </c>
      <c r="D882" s="6" t="str">
        <f>'Reported burning'!D882</f>
        <v>Rangeland management</v>
      </c>
      <c r="E882" s="6" t="str">
        <f>'Reported burning'!E882</f>
        <v>Pastoralism, Migratory</v>
      </c>
      <c r="F882" s="6" t="str">
        <f>'Reported burning'!F882</f>
        <v>Shrubland (Mixed forest &amp; grassland)</v>
      </c>
      <c r="G882" s="6" t="str">
        <f>'Reported burning'!G882</f>
        <v>ND</v>
      </c>
      <c r="H882" s="6" t="str">
        <f>'Reported burning'!H882</f>
        <v>Absence</v>
      </c>
      <c r="I882" s="3"/>
      <c r="J882" s="21" t="s">
        <v>2276</v>
      </c>
      <c r="K882" s="21" t="s">
        <v>2276</v>
      </c>
      <c r="L882" s="21" t="s">
        <v>2276</v>
      </c>
      <c r="M882" s="21" t="s">
        <v>2276</v>
      </c>
      <c r="N882" s="21" t="s">
        <v>2276</v>
      </c>
      <c r="O882" s="21" t="s">
        <v>2276</v>
      </c>
      <c r="P882" s="21" t="s">
        <v>2276</v>
      </c>
      <c r="Q882" s="21" t="s">
        <v>2276</v>
      </c>
      <c r="R882" s="21" t="s">
        <v>2276</v>
      </c>
      <c r="S882" s="21" t="s">
        <v>2276</v>
      </c>
      <c r="T882" s="21" t="s">
        <v>2276</v>
      </c>
      <c r="U882" s="21" t="s">
        <v>2276</v>
      </c>
      <c r="V882" s="21" t="s">
        <v>2276</v>
      </c>
      <c r="W882" s="21" t="s">
        <v>2276</v>
      </c>
      <c r="X882" s="21" t="s">
        <v>2276</v>
      </c>
      <c r="Y882" s="21" t="s">
        <v>2276</v>
      </c>
      <c r="Z882" s="21" t="s">
        <v>2276</v>
      </c>
      <c r="AA882" s="3"/>
      <c r="AB882" s="3"/>
    </row>
    <row r="883" spans="1:28" ht="30" customHeight="1">
      <c r="A883" s="6" t="str">
        <f>'Reported burning'!A883</f>
        <v>105e</v>
      </c>
      <c r="B883" s="6" t="str">
        <f>'Reported burning'!B883</f>
        <v>105e.1</v>
      </c>
      <c r="C883" s="6" t="str">
        <f>'Reported burning'!C883</f>
        <v>Human, deliberate</v>
      </c>
      <c r="D883" s="6" t="str">
        <f>'Reported burning'!D883</f>
        <v>Rangeland management</v>
      </c>
      <c r="E883" s="6" t="str">
        <f>'Reported burning'!E883</f>
        <v>Pastoralism, Migratory</v>
      </c>
      <c r="F883" s="6" t="str">
        <f>'Reported burning'!F883</f>
        <v>Grassland</v>
      </c>
      <c r="G883" s="6" t="str">
        <f>'Reported burning'!G883</f>
        <v>ND</v>
      </c>
      <c r="H883" s="6" t="str">
        <f>'Reported burning'!H883</f>
        <v>Presence</v>
      </c>
      <c r="I883" s="3"/>
      <c r="J883" s="21" t="s">
        <v>2276</v>
      </c>
      <c r="K883" s="21" t="s">
        <v>2276</v>
      </c>
      <c r="L883" s="21" t="s">
        <v>2276</v>
      </c>
      <c r="M883" s="21" t="s">
        <v>2276</v>
      </c>
      <c r="N883" s="21" t="s">
        <v>2276</v>
      </c>
      <c r="O883" s="21" t="s">
        <v>2276</v>
      </c>
      <c r="P883" s="21" t="s">
        <v>2276</v>
      </c>
      <c r="Q883" s="21" t="s">
        <v>2276</v>
      </c>
      <c r="R883" s="21" t="s">
        <v>2276</v>
      </c>
      <c r="S883" s="21" t="s">
        <v>2276</v>
      </c>
      <c r="T883" s="21" t="s">
        <v>2276</v>
      </c>
      <c r="U883" s="21" t="s">
        <v>2276</v>
      </c>
      <c r="V883" s="21" t="s">
        <v>2276</v>
      </c>
      <c r="W883" s="21" t="s">
        <v>2276</v>
      </c>
      <c r="X883" s="21" t="s">
        <v>2276</v>
      </c>
      <c r="Y883" s="21" t="s">
        <v>2276</v>
      </c>
      <c r="Z883" s="21" t="s">
        <v>2276</v>
      </c>
      <c r="AA883" s="3"/>
      <c r="AB883" s="3"/>
    </row>
    <row r="884" spans="1:28" ht="29">
      <c r="A884" s="6" t="str">
        <f>'Reported burning'!A884</f>
        <v>105e</v>
      </c>
      <c r="B884" s="6" t="str">
        <f>'Reported burning'!B884</f>
        <v>105e.2</v>
      </c>
      <c r="C884" s="6" t="str">
        <f>'Reported burning'!C884</f>
        <v>Human, deliberate</v>
      </c>
      <c r="D884" s="6" t="str">
        <f>'Reported burning'!D884</f>
        <v>Rangeland management</v>
      </c>
      <c r="E884" s="6" t="str">
        <f>'Reported burning'!E884</f>
        <v>Pastoralism, Migratory</v>
      </c>
      <c r="F884" s="6" t="str">
        <f>'Reported burning'!F884</f>
        <v>Shrubland (Mixed forest &amp; grassland)</v>
      </c>
      <c r="G884" s="6" t="str">
        <f>'Reported burning'!G884</f>
        <v>ND</v>
      </c>
      <c r="H884" s="6" t="str">
        <f>'Reported burning'!H884</f>
        <v>Presence</v>
      </c>
      <c r="I884" s="3"/>
      <c r="J884" s="21" t="s">
        <v>2276</v>
      </c>
      <c r="K884" s="21" t="s">
        <v>2276</v>
      </c>
      <c r="L884" s="21" t="s">
        <v>2276</v>
      </c>
      <c r="M884" s="21" t="s">
        <v>2276</v>
      </c>
      <c r="N884" s="21" t="s">
        <v>2276</v>
      </c>
      <c r="O884" s="21" t="s">
        <v>2276</v>
      </c>
      <c r="P884" s="21" t="s">
        <v>2276</v>
      </c>
      <c r="Q884" s="21" t="s">
        <v>2276</v>
      </c>
      <c r="R884" s="21" t="s">
        <v>2276</v>
      </c>
      <c r="S884" s="21" t="s">
        <v>2276</v>
      </c>
      <c r="T884" s="21" t="s">
        <v>2276</v>
      </c>
      <c r="U884" s="21" t="s">
        <v>2276</v>
      </c>
      <c r="V884" s="21" t="s">
        <v>2276</v>
      </c>
      <c r="W884" s="21" t="s">
        <v>2276</v>
      </c>
      <c r="X884" s="21" t="s">
        <v>2276</v>
      </c>
      <c r="Y884" s="21" t="s">
        <v>2276</v>
      </c>
      <c r="Z884" s="21" t="s">
        <v>2276</v>
      </c>
      <c r="AA884" s="3"/>
      <c r="AB884" s="3"/>
    </row>
    <row r="885" spans="1:28" ht="66.5" customHeight="1">
      <c r="A885" s="6" t="str">
        <f>'Reported burning'!A885</f>
        <v>106a</v>
      </c>
      <c r="B885" s="6" t="str">
        <f>'Reported burning'!B885</f>
        <v>106a.1</v>
      </c>
      <c r="C885" s="6" t="str">
        <f>'Reported burning'!C885</f>
        <v>Human, deliberate</v>
      </c>
      <c r="D885" s="6" t="str">
        <f>'Reported burning'!D885</f>
        <v>Crop field preparation</v>
      </c>
      <c r="E885" s="6" t="str">
        <f>'Reported burning'!E885</f>
        <v>Cropping, Swidden</v>
      </c>
      <c r="F885" s="6" t="str">
        <f>'Reported burning'!F885</f>
        <v>Secondary Vegetation</v>
      </c>
      <c r="G885" s="6" t="str">
        <f>'Reported burning'!G885</f>
        <v>ND</v>
      </c>
      <c r="H885" s="6" t="str">
        <f>'Reported burning'!H885</f>
        <v>Presence</v>
      </c>
      <c r="I885" s="3"/>
      <c r="J885" s="21" t="s">
        <v>2373</v>
      </c>
      <c r="K885" s="103" t="s">
        <v>2362</v>
      </c>
      <c r="L885" s="21" t="s">
        <v>2276</v>
      </c>
      <c r="M885" s="21" t="s">
        <v>2362</v>
      </c>
      <c r="N885" s="21" t="s">
        <v>2276</v>
      </c>
      <c r="O885" s="21" t="s">
        <v>2276</v>
      </c>
      <c r="P885" s="21" t="s">
        <v>2276</v>
      </c>
      <c r="Q885" s="21" t="s">
        <v>2362</v>
      </c>
      <c r="R885" s="21" t="s">
        <v>2276</v>
      </c>
      <c r="S885" s="21" t="s">
        <v>2376</v>
      </c>
      <c r="T885" s="21" t="s">
        <v>2276</v>
      </c>
      <c r="U885" s="21" t="s">
        <v>2276</v>
      </c>
      <c r="V885" s="21" t="s">
        <v>2276</v>
      </c>
      <c r="W885" s="21" t="s">
        <v>2276</v>
      </c>
      <c r="X885" s="21" t="s">
        <v>2276</v>
      </c>
      <c r="Y885" s="21" t="s">
        <v>2276</v>
      </c>
      <c r="Z885" s="21" t="s">
        <v>2276</v>
      </c>
      <c r="AA885" s="4" t="s">
        <v>2952</v>
      </c>
      <c r="AB885" s="4" t="s">
        <v>2950</v>
      </c>
    </row>
    <row r="886" spans="1:28" ht="69" customHeight="1">
      <c r="A886" s="6" t="str">
        <f>'Reported burning'!A886</f>
        <v>106b</v>
      </c>
      <c r="B886" s="6" t="str">
        <f>'Reported burning'!B886</f>
        <v>106b.1</v>
      </c>
      <c r="C886" s="6" t="str">
        <f>'Reported burning'!C886</f>
        <v>Human, deliberate</v>
      </c>
      <c r="D886" s="6" t="str">
        <f>'Reported burning'!D886</f>
        <v>Crop field preparation</v>
      </c>
      <c r="E886" s="6" t="str">
        <f>'Reported burning'!E886</f>
        <v>Cropping, Swidden</v>
      </c>
      <c r="F886" s="6" t="str">
        <f>'Reported burning'!F886</f>
        <v>Secondary Vegetation</v>
      </c>
      <c r="G886" s="6" t="str">
        <f>'Reported burning'!G886</f>
        <v>ND</v>
      </c>
      <c r="H886" s="6" t="str">
        <f>'Reported burning'!H886</f>
        <v>Presence</v>
      </c>
      <c r="I886" s="3"/>
      <c r="J886" s="21" t="s">
        <v>2373</v>
      </c>
      <c r="K886" s="103" t="s">
        <v>2362</v>
      </c>
      <c r="L886" s="21" t="s">
        <v>2276</v>
      </c>
      <c r="M886" s="21" t="s">
        <v>2362</v>
      </c>
      <c r="N886" s="21" t="s">
        <v>2276</v>
      </c>
      <c r="O886" s="21" t="s">
        <v>2276</v>
      </c>
      <c r="P886" s="21" t="s">
        <v>2276</v>
      </c>
      <c r="Q886" s="21" t="s">
        <v>2362</v>
      </c>
      <c r="R886" s="21" t="s">
        <v>2276</v>
      </c>
      <c r="S886" s="21" t="s">
        <v>2376</v>
      </c>
      <c r="T886" s="21" t="s">
        <v>2276</v>
      </c>
      <c r="U886" s="21" t="s">
        <v>2276</v>
      </c>
      <c r="V886" s="21" t="s">
        <v>2276</v>
      </c>
      <c r="W886" s="21" t="s">
        <v>2276</v>
      </c>
      <c r="X886" s="21" t="s">
        <v>2276</v>
      </c>
      <c r="Y886" s="21" t="s">
        <v>2276</v>
      </c>
      <c r="Z886" s="21" t="s">
        <v>2276</v>
      </c>
      <c r="AA886" s="4" t="s">
        <v>2952</v>
      </c>
      <c r="AB886" s="4" t="s">
        <v>2951</v>
      </c>
    </row>
    <row r="887" spans="1:28" ht="57" customHeight="1">
      <c r="A887" s="6" t="str">
        <f>'Reported burning'!A887</f>
        <v>107a</v>
      </c>
      <c r="B887" s="6" t="str">
        <f>'Reported burning'!B887</f>
        <v>107a.1</v>
      </c>
      <c r="C887" s="6" t="str">
        <f>'Reported burning'!C887</f>
        <v>Human, deliberate</v>
      </c>
      <c r="D887" s="6" t="str">
        <f>'Reported burning'!D887</f>
        <v>Crop field preparation</v>
      </c>
      <c r="E887" s="6" t="str">
        <f>'Reported burning'!E887</f>
        <v>Cropping, Swidden</v>
      </c>
      <c r="F887" s="6" t="str">
        <f>'Reported burning'!F887</f>
        <v>Secondary Vegetation</v>
      </c>
      <c r="G887" s="6" t="str">
        <f>'Reported burning'!G887</f>
        <v>ND</v>
      </c>
      <c r="H887" s="6" t="str">
        <f>'Reported burning'!H887</f>
        <v>Absence</v>
      </c>
      <c r="I887" s="3"/>
      <c r="J887" s="21" t="s">
        <v>2276</v>
      </c>
      <c r="K887" s="21" t="s">
        <v>2276</v>
      </c>
      <c r="L887" s="21" t="s">
        <v>2276</v>
      </c>
      <c r="M887" s="21" t="s">
        <v>2276</v>
      </c>
      <c r="N887" s="21" t="s">
        <v>2276</v>
      </c>
      <c r="O887" s="21" t="s">
        <v>2276</v>
      </c>
      <c r="P887" s="21" t="s">
        <v>2276</v>
      </c>
      <c r="Q887" s="21" t="s">
        <v>2276</v>
      </c>
      <c r="R887" s="21" t="s">
        <v>2276</v>
      </c>
      <c r="S887" s="21" t="s">
        <v>2276</v>
      </c>
      <c r="T887" s="21" t="s">
        <v>2276</v>
      </c>
      <c r="U887" s="21" t="s">
        <v>2276</v>
      </c>
      <c r="V887" s="21" t="s">
        <v>2276</v>
      </c>
      <c r="W887" s="21" t="s">
        <v>2276</v>
      </c>
      <c r="X887" s="21" t="s">
        <v>2276</v>
      </c>
      <c r="Y887" s="21" t="s">
        <v>2276</v>
      </c>
      <c r="Z887" s="21" t="s">
        <v>2276</v>
      </c>
      <c r="AA887" s="4" t="s">
        <v>2855</v>
      </c>
      <c r="AB887" s="3"/>
    </row>
    <row r="888" spans="1:28" ht="62" customHeight="1">
      <c r="A888" s="6" t="str">
        <f>'Reported burning'!A888</f>
        <v>107a</v>
      </c>
      <c r="B888" s="6" t="str">
        <f>'Reported burning'!B888</f>
        <v>107a.2</v>
      </c>
      <c r="C888" s="6" t="str">
        <f>'Reported burning'!C888</f>
        <v>Human, deliberate</v>
      </c>
      <c r="D888" s="6" t="str">
        <f>'Reported burning'!D888</f>
        <v>Crop field preparation</v>
      </c>
      <c r="E888" s="6" t="str">
        <f>'Reported burning'!E888</f>
        <v>Cropping, Swidden</v>
      </c>
      <c r="F888" s="6" t="str">
        <f>'Reported burning'!F888</f>
        <v>Cropland</v>
      </c>
      <c r="G888" s="6" t="str">
        <f>'Reported burning'!G888</f>
        <v>ND</v>
      </c>
      <c r="H888" s="6" t="str">
        <f>'Reported burning'!H888</f>
        <v>Presence</v>
      </c>
      <c r="I888" s="3"/>
      <c r="J888" s="21" t="s">
        <v>2276</v>
      </c>
      <c r="K888" s="21" t="s">
        <v>2276</v>
      </c>
      <c r="L888" s="21" t="s">
        <v>2276</v>
      </c>
      <c r="M888" s="21" t="s">
        <v>2276</v>
      </c>
      <c r="N888" s="21" t="s">
        <v>2276</v>
      </c>
      <c r="O888" s="21" t="s">
        <v>2276</v>
      </c>
      <c r="P888" s="21" t="s">
        <v>2276</v>
      </c>
      <c r="Q888" s="21" t="s">
        <v>2276</v>
      </c>
      <c r="R888" s="21" t="s">
        <v>2276</v>
      </c>
      <c r="S888" s="21" t="s">
        <v>2527</v>
      </c>
      <c r="T888" s="21" t="s">
        <v>2276</v>
      </c>
      <c r="U888" s="21" t="s">
        <v>2276</v>
      </c>
      <c r="V888" s="21" t="s">
        <v>2276</v>
      </c>
      <c r="W888" s="21" t="s">
        <v>2401</v>
      </c>
      <c r="X888" s="21" t="s">
        <v>2276</v>
      </c>
      <c r="Y888" s="21" t="s">
        <v>2276</v>
      </c>
      <c r="Z888" s="21" t="s">
        <v>2276</v>
      </c>
      <c r="AA888" s="4" t="s">
        <v>2856</v>
      </c>
      <c r="AB888" s="4" t="s">
        <v>2860</v>
      </c>
    </row>
    <row r="889" spans="1:28" ht="42" customHeight="1">
      <c r="A889" s="6" t="str">
        <f>'Reported burning'!A889</f>
        <v>107a</v>
      </c>
      <c r="B889" s="6" t="str">
        <f>'Reported burning'!B889</f>
        <v>107a.3</v>
      </c>
      <c r="C889" s="6" t="str">
        <f>'Reported burning'!C889</f>
        <v>Human, deliberate</v>
      </c>
      <c r="D889" s="6" t="str">
        <f>'Reported burning'!D889</f>
        <v>Crop field preparation</v>
      </c>
      <c r="E889" s="6" t="str">
        <f>'Reported burning'!E889</f>
        <v>Cropping, Monoculture, Subsistence-oriented</v>
      </c>
      <c r="F889" s="6" t="str">
        <f>'Reported burning'!F889</f>
        <v>Cropland</v>
      </c>
      <c r="G889" s="6" t="str">
        <f>'Reported burning'!G889</f>
        <v>ND</v>
      </c>
      <c r="H889" s="6" t="str">
        <f>'Reported burning'!H889</f>
        <v>Absence</v>
      </c>
      <c r="I889" s="3"/>
      <c r="J889" s="21" t="s">
        <v>2276</v>
      </c>
      <c r="K889" s="21" t="s">
        <v>2276</v>
      </c>
      <c r="L889" s="21" t="s">
        <v>2276</v>
      </c>
      <c r="M889" s="21" t="s">
        <v>2276</v>
      </c>
      <c r="N889" s="21" t="s">
        <v>2276</v>
      </c>
      <c r="O889" s="21" t="s">
        <v>2276</v>
      </c>
      <c r="P889" s="21" t="s">
        <v>2276</v>
      </c>
      <c r="Q889" s="21" t="s">
        <v>2276</v>
      </c>
      <c r="R889" s="21" t="s">
        <v>2276</v>
      </c>
      <c r="S889" s="21" t="s">
        <v>2276</v>
      </c>
      <c r="T889" s="21" t="s">
        <v>2276</v>
      </c>
      <c r="U889" s="21" t="s">
        <v>2276</v>
      </c>
      <c r="V889" s="21" t="s">
        <v>2276</v>
      </c>
      <c r="W889" s="21" t="s">
        <v>2276</v>
      </c>
      <c r="X889" s="21" t="s">
        <v>2276</v>
      </c>
      <c r="Y889" s="21" t="s">
        <v>2276</v>
      </c>
      <c r="Z889" s="21" t="s">
        <v>2276</v>
      </c>
      <c r="AA889" s="4" t="s">
        <v>2857</v>
      </c>
      <c r="AB889" s="3"/>
    </row>
    <row r="890" spans="1:28" ht="54.5" customHeight="1">
      <c r="A890" s="6" t="str">
        <f>'Reported burning'!A890</f>
        <v>107a</v>
      </c>
      <c r="B890" s="6" t="str">
        <f>'Reported burning'!B890</f>
        <v>107a.4</v>
      </c>
      <c r="C890" s="6" t="str">
        <f>'Reported burning'!C890</f>
        <v>Human, deliberate</v>
      </c>
      <c r="D890" s="6" t="str">
        <f>'Reported burning'!D890</f>
        <v>Crop residue burning</v>
      </c>
      <c r="E890" s="6" t="str">
        <f>'Reported burning'!E890</f>
        <v>Cropping, Monoculture, Subsistence-oriented</v>
      </c>
      <c r="F890" s="6" t="str">
        <f>'Reported burning'!F890</f>
        <v>Cropland</v>
      </c>
      <c r="G890" s="6" t="str">
        <f>'Reported burning'!G890</f>
        <v>ND</v>
      </c>
      <c r="H890" s="6" t="str">
        <f>'Reported burning'!H890</f>
        <v>Presence</v>
      </c>
      <c r="I890" s="3"/>
      <c r="J890" s="21" t="s">
        <v>2276</v>
      </c>
      <c r="K890" s="21" t="s">
        <v>2276</v>
      </c>
      <c r="L890" s="21" t="s">
        <v>2276</v>
      </c>
      <c r="M890" s="21" t="s">
        <v>2276</v>
      </c>
      <c r="N890" s="21" t="s">
        <v>2276</v>
      </c>
      <c r="O890" s="21" t="s">
        <v>2276</v>
      </c>
      <c r="P890" s="21" t="s">
        <v>2276</v>
      </c>
      <c r="Q890" s="21" t="s">
        <v>2276</v>
      </c>
      <c r="R890" s="21" t="s">
        <v>2276</v>
      </c>
      <c r="S890" s="21" t="s">
        <v>2374</v>
      </c>
      <c r="T890" s="21" t="s">
        <v>2276</v>
      </c>
      <c r="U890" s="21" t="s">
        <v>2276</v>
      </c>
      <c r="V890" s="21" t="s">
        <v>2276</v>
      </c>
      <c r="W890" s="21" t="s">
        <v>2276</v>
      </c>
      <c r="X890" s="21" t="s">
        <v>2276</v>
      </c>
      <c r="Y890" s="21" t="s">
        <v>2276</v>
      </c>
      <c r="Z890" s="21" t="s">
        <v>2276</v>
      </c>
      <c r="AA890" s="3" t="s">
        <v>2859</v>
      </c>
      <c r="AB890" s="4" t="s">
        <v>2861</v>
      </c>
    </row>
    <row r="891" spans="1:28" ht="39" customHeight="1">
      <c r="A891" s="6" t="str">
        <f>'Reported burning'!A891</f>
        <v>108a</v>
      </c>
      <c r="B891" s="6" t="str">
        <f>'Reported burning'!B891</f>
        <v>108a.1</v>
      </c>
      <c r="C891" s="6" t="str">
        <f>'Reported burning'!C891</f>
        <v>Human, deliberate</v>
      </c>
      <c r="D891" s="6" t="str">
        <f>'Reported burning'!D891</f>
        <v>Crop field preparation</v>
      </c>
      <c r="E891" s="6" t="str">
        <f>'Reported burning'!E891</f>
        <v>Cropping, Swidden</v>
      </c>
      <c r="F891" s="6" t="str">
        <f>'Reported burning'!F891</f>
        <v>Secondary Vegetation</v>
      </c>
      <c r="G891" s="6" t="str">
        <f>'Reported burning'!G891</f>
        <v>ND</v>
      </c>
      <c r="H891" s="6" t="str">
        <f>'Reported burning'!H891</f>
        <v>Presence</v>
      </c>
      <c r="I891" s="3"/>
      <c r="J891" s="21" t="s">
        <v>2276</v>
      </c>
      <c r="K891" s="21" t="s">
        <v>2276</v>
      </c>
      <c r="L891" s="21" t="s">
        <v>2276</v>
      </c>
      <c r="M891" s="21" t="s">
        <v>2276</v>
      </c>
      <c r="N891" s="21" t="s">
        <v>2276</v>
      </c>
      <c r="O891" s="21" t="s">
        <v>2276</v>
      </c>
      <c r="P891" s="21" t="s">
        <v>2276</v>
      </c>
      <c r="Q891" s="21" t="s">
        <v>2276</v>
      </c>
      <c r="R891" s="21" t="s">
        <v>2276</v>
      </c>
      <c r="S891" s="21" t="s">
        <v>2276</v>
      </c>
      <c r="T891" s="21" t="s">
        <v>2276</v>
      </c>
      <c r="U891" s="21" t="s">
        <v>2276</v>
      </c>
      <c r="V891" s="21" t="s">
        <v>2276</v>
      </c>
      <c r="W891" s="21" t="s">
        <v>2402</v>
      </c>
      <c r="X891" s="21" t="s">
        <v>2276</v>
      </c>
      <c r="Y891" s="21" t="s">
        <v>2276</v>
      </c>
      <c r="Z891" s="21" t="s">
        <v>2276</v>
      </c>
      <c r="AB891" s="3" t="s">
        <v>2876</v>
      </c>
    </row>
    <row r="892" spans="1:28" ht="32" customHeight="1">
      <c r="A892" s="6" t="str">
        <f>'Reported burning'!A892</f>
        <v>108b</v>
      </c>
      <c r="B892" s="6" t="str">
        <f>'Reported burning'!B892</f>
        <v>108b.1</v>
      </c>
      <c r="C892" s="6" t="str">
        <f>'Reported burning'!C892</f>
        <v>Human, deliberate</v>
      </c>
      <c r="D892" s="6" t="str">
        <f>'Reported burning'!D892</f>
        <v>Crop field preparation</v>
      </c>
      <c r="E892" s="6" t="str">
        <f>'Reported burning'!E892</f>
        <v>Cropping, Swidden</v>
      </c>
      <c r="F892" s="6" t="str">
        <f>'Reported burning'!F892</f>
        <v>Secondary Vegetation</v>
      </c>
      <c r="G892" s="6" t="str">
        <f>'Reported burning'!G892</f>
        <v>ND</v>
      </c>
      <c r="H892" s="6" t="str">
        <f>'Reported burning'!H892</f>
        <v>Presence</v>
      </c>
      <c r="I892" s="3"/>
      <c r="J892" s="21" t="s">
        <v>2276</v>
      </c>
      <c r="K892" s="21" t="s">
        <v>2276</v>
      </c>
      <c r="L892" s="21" t="s">
        <v>2276</v>
      </c>
      <c r="M892" s="21" t="s">
        <v>2276</v>
      </c>
      <c r="N892" s="21" t="s">
        <v>2276</v>
      </c>
      <c r="O892" s="21" t="s">
        <v>2276</v>
      </c>
      <c r="P892" s="21" t="s">
        <v>2276</v>
      </c>
      <c r="Q892" s="21" t="s">
        <v>2276</v>
      </c>
      <c r="R892" s="21" t="s">
        <v>2276</v>
      </c>
      <c r="S892" s="21" t="s">
        <v>2276</v>
      </c>
      <c r="T892" s="21" t="s">
        <v>2276</v>
      </c>
      <c r="U892" s="21" t="s">
        <v>2276</v>
      </c>
      <c r="V892" s="21" t="s">
        <v>2276</v>
      </c>
      <c r="W892" s="21" t="s">
        <v>2403</v>
      </c>
      <c r="X892" s="21" t="s">
        <v>2276</v>
      </c>
      <c r="Y892" s="21" t="s">
        <v>2276</v>
      </c>
      <c r="Z892" s="21" t="s">
        <v>2276</v>
      </c>
      <c r="AA892" s="3"/>
      <c r="AB892" s="3" t="s">
        <v>2876</v>
      </c>
    </row>
    <row r="893" spans="1:28" ht="47" customHeight="1">
      <c r="A893" s="6" t="str">
        <f>'Reported burning'!A893</f>
        <v>108b</v>
      </c>
      <c r="B893" s="6" t="str">
        <f>'Reported burning'!B893</f>
        <v>108b.2</v>
      </c>
      <c r="C893" s="6" t="str">
        <f>'Reported burning'!C893</f>
        <v>Human, deliberate</v>
      </c>
      <c r="D893" s="6" t="str">
        <f>'Reported burning'!D893</f>
        <v>Crop field preparation</v>
      </c>
      <c r="E893" s="6" t="str">
        <f>'Reported burning'!E893</f>
        <v>Cropping, Swidden</v>
      </c>
      <c r="F893" s="6" t="str">
        <f>'Reported burning'!F893</f>
        <v>Forest</v>
      </c>
      <c r="G893" s="6" t="str">
        <f>'Reported burning'!G893</f>
        <v>ND</v>
      </c>
      <c r="H893" s="6" t="str">
        <f>'Reported burning'!H893</f>
        <v>Presence</v>
      </c>
      <c r="I893" s="3"/>
      <c r="J893" s="21" t="s">
        <v>2276</v>
      </c>
      <c r="K893" s="21" t="s">
        <v>2276</v>
      </c>
      <c r="L893" s="21" t="s">
        <v>2276</v>
      </c>
      <c r="M893" s="21" t="s">
        <v>2276</v>
      </c>
      <c r="N893" s="21" t="s">
        <v>2276</v>
      </c>
      <c r="O893" s="21" t="s">
        <v>2276</v>
      </c>
      <c r="P893" s="21" t="s">
        <v>2276</v>
      </c>
      <c r="Q893" s="21" t="s">
        <v>2276</v>
      </c>
      <c r="R893" s="21" t="s">
        <v>2276</v>
      </c>
      <c r="S893" s="21" t="s">
        <v>2276</v>
      </c>
      <c r="T893" s="21" t="s">
        <v>2276</v>
      </c>
      <c r="U893" s="21" t="s">
        <v>2276</v>
      </c>
      <c r="V893" s="21" t="s">
        <v>2276</v>
      </c>
      <c r="W893" s="21" t="s">
        <v>2276</v>
      </c>
      <c r="X893" s="21" t="s">
        <v>2276</v>
      </c>
      <c r="Y893" s="21" t="s">
        <v>2276</v>
      </c>
      <c r="Z893" s="21" t="s">
        <v>2276</v>
      </c>
      <c r="AA893" s="4" t="s">
        <v>2875</v>
      </c>
      <c r="AB893" s="3"/>
    </row>
    <row r="894" spans="1:28" ht="54" customHeight="1">
      <c r="A894" s="6" t="str">
        <f>'Reported burning'!A894</f>
        <v>108b</v>
      </c>
      <c r="B894" s="6" t="str">
        <f>'Reported burning'!B894</f>
        <v>108b.3</v>
      </c>
      <c r="C894" s="6" t="str">
        <f>'Reported burning'!C894</f>
        <v>Human, deliberate</v>
      </c>
      <c r="D894" s="6" t="str">
        <f>'Reported burning'!D894</f>
        <v>Forest clearance</v>
      </c>
      <c r="E894" s="6" t="str">
        <f>'Reported burning'!E894</f>
        <v>Cropping, Monoculture, Market-oriented</v>
      </c>
      <c r="F894" s="6" t="str">
        <f>'Reported burning'!F894</f>
        <v>Forest</v>
      </c>
      <c r="G894" s="6" t="str">
        <f>'Reported burning'!G894</f>
        <v>ND</v>
      </c>
      <c r="H894" s="6" t="str">
        <f>'Reported burning'!H894</f>
        <v>Presence</v>
      </c>
      <c r="I894" s="3"/>
      <c r="J894" s="21" t="s">
        <v>2276</v>
      </c>
      <c r="K894" s="21" t="s">
        <v>2276</v>
      </c>
      <c r="L894" s="21" t="s">
        <v>2276</v>
      </c>
      <c r="M894" s="21" t="s">
        <v>2276</v>
      </c>
      <c r="N894" s="21" t="s">
        <v>2276</v>
      </c>
      <c r="O894" s="21" t="s">
        <v>2276</v>
      </c>
      <c r="P894" s="21" t="s">
        <v>2276</v>
      </c>
      <c r="Q894" s="21" t="s">
        <v>2276</v>
      </c>
      <c r="R894" s="21" t="s">
        <v>2276</v>
      </c>
      <c r="S894" s="21" t="s">
        <v>2276</v>
      </c>
      <c r="T894" s="21" t="s">
        <v>2276</v>
      </c>
      <c r="U894" s="21" t="s">
        <v>2276</v>
      </c>
      <c r="V894" s="21" t="s">
        <v>2276</v>
      </c>
      <c r="W894" s="21" t="s">
        <v>2276</v>
      </c>
      <c r="X894" s="21" t="s">
        <v>2276</v>
      </c>
      <c r="Y894" s="21" t="s">
        <v>2276</v>
      </c>
      <c r="Z894" s="21" t="s">
        <v>2276</v>
      </c>
      <c r="AA894" s="4" t="s">
        <v>2878</v>
      </c>
      <c r="AB894" s="3"/>
    </row>
    <row r="895" spans="1:28" ht="42.5" customHeight="1">
      <c r="A895" s="6" t="str">
        <f>'Reported burning'!A895</f>
        <v>109a</v>
      </c>
      <c r="B895" s="6" t="str">
        <f>'Reported burning'!B895</f>
        <v>109a.1</v>
      </c>
      <c r="C895" s="6" t="str">
        <f>'Reported burning'!C895</f>
        <v>Human, deliberate</v>
      </c>
      <c r="D895" s="6" t="str">
        <f>'Reported burning'!D895</f>
        <v>Crop field preparation</v>
      </c>
      <c r="E895" s="6" t="str">
        <f>'Reported burning'!E895</f>
        <v>Cropping, Swidden</v>
      </c>
      <c r="F895" s="6" t="str">
        <f>'Reported burning'!F895</f>
        <v>Secondary Vegetation</v>
      </c>
      <c r="G895" s="6" t="str">
        <f>'Reported burning'!G895</f>
        <v>ND</v>
      </c>
      <c r="H895" s="6" t="str">
        <f>'Reported burning'!H895</f>
        <v>Presence</v>
      </c>
      <c r="I895" s="3"/>
      <c r="J895" s="21" t="s">
        <v>2276</v>
      </c>
      <c r="K895" s="21" t="s">
        <v>2276</v>
      </c>
      <c r="L895" s="21" t="s">
        <v>2276</v>
      </c>
      <c r="M895" s="21" t="s">
        <v>2276</v>
      </c>
      <c r="N895" s="21" t="s">
        <v>2276</v>
      </c>
      <c r="O895" s="21" t="s">
        <v>2276</v>
      </c>
      <c r="P895" s="21" t="s">
        <v>2276</v>
      </c>
      <c r="Q895" s="21" t="s">
        <v>2276</v>
      </c>
      <c r="R895" s="21" t="s">
        <v>2276</v>
      </c>
      <c r="S895" s="21" t="s">
        <v>2276</v>
      </c>
      <c r="T895" s="21" t="s">
        <v>2276</v>
      </c>
      <c r="U895" s="21" t="s">
        <v>2276</v>
      </c>
      <c r="V895" s="21" t="s">
        <v>2276</v>
      </c>
      <c r="W895" s="21" t="s">
        <v>2404</v>
      </c>
      <c r="X895" s="3" t="s">
        <v>399</v>
      </c>
      <c r="Y895" s="3" t="s">
        <v>188</v>
      </c>
      <c r="Z895" s="3" t="s">
        <v>64</v>
      </c>
      <c r="AA895" s="3"/>
      <c r="AB895" s="3" t="s">
        <v>2876</v>
      </c>
    </row>
    <row r="896" spans="1:28" ht="31" customHeight="1">
      <c r="A896" s="6" t="str">
        <f>'Reported burning'!A896</f>
        <v>110a</v>
      </c>
      <c r="B896" s="6" t="str">
        <f>'Reported burning'!B896</f>
        <v>110a.1</v>
      </c>
      <c r="C896" s="6" t="str">
        <f>'Reported burning'!C896</f>
        <v>Human, deliberate</v>
      </c>
      <c r="D896" s="6" t="str">
        <f>'Reported burning'!D896</f>
        <v>Hunting</v>
      </c>
      <c r="E896" s="6" t="str">
        <f>'Reported burning'!E896</f>
        <v>Forestry, Small-scale</v>
      </c>
      <c r="F896" s="6" t="str">
        <f>'Reported burning'!F896</f>
        <v>Shrubland (Mixed forest &amp; grassland)</v>
      </c>
      <c r="G896" s="6" t="str">
        <f>'Reported burning'!G896</f>
        <v>ND</v>
      </c>
      <c r="H896" s="6" t="str">
        <f>'Reported burning'!H896</f>
        <v>Presence</v>
      </c>
      <c r="I896" s="3"/>
      <c r="J896" s="21" t="s">
        <v>2276</v>
      </c>
      <c r="K896" s="21" t="s">
        <v>2276</v>
      </c>
      <c r="L896" s="21" t="s">
        <v>2276</v>
      </c>
      <c r="M896" s="21" t="s">
        <v>2276</v>
      </c>
      <c r="N896" s="21" t="s">
        <v>2276</v>
      </c>
      <c r="O896" s="21" t="s">
        <v>2276</v>
      </c>
      <c r="P896" s="21" t="s">
        <v>2276</v>
      </c>
      <c r="Q896" s="21" t="s">
        <v>2276</v>
      </c>
      <c r="R896" s="21" t="s">
        <v>2276</v>
      </c>
      <c r="S896" s="21" t="s">
        <v>2276</v>
      </c>
      <c r="T896" s="21" t="s">
        <v>2276</v>
      </c>
      <c r="U896" s="21" t="s">
        <v>2276</v>
      </c>
      <c r="V896" s="21" t="s">
        <v>2276</v>
      </c>
      <c r="W896" s="21" t="s">
        <v>2276</v>
      </c>
      <c r="X896" s="21" t="s">
        <v>2276</v>
      </c>
      <c r="Y896" s="21" t="s">
        <v>2276</v>
      </c>
      <c r="Z896" s="21" t="s">
        <v>2276</v>
      </c>
      <c r="AA896" s="3"/>
      <c r="AB896" s="3"/>
    </row>
    <row r="897" spans="1:28" ht="33.5" customHeight="1">
      <c r="A897" s="6" t="str">
        <f>'Reported burning'!A897</f>
        <v>110a</v>
      </c>
      <c r="B897" s="6" t="str">
        <f>'Reported burning'!B897</f>
        <v>110a.2</v>
      </c>
      <c r="C897" s="6" t="str">
        <f>'Reported burning'!C897</f>
        <v>Human, deliberate</v>
      </c>
      <c r="D897" s="6" t="str">
        <f>'Reported burning'!D897</f>
        <v>Pest management</v>
      </c>
      <c r="E897" s="6" t="str">
        <f>'Reported burning'!E897</f>
        <v>Forestry, Small-scale</v>
      </c>
      <c r="F897" s="6" t="str">
        <f>'Reported burning'!F897</f>
        <v>Shrubland (Mixed forest &amp; grassland)</v>
      </c>
      <c r="G897" s="6" t="str">
        <f>'Reported burning'!G897</f>
        <v>ND</v>
      </c>
      <c r="H897" s="6" t="str">
        <f>'Reported burning'!H897</f>
        <v>Presence</v>
      </c>
      <c r="I897" s="3"/>
      <c r="J897" s="21" t="s">
        <v>2276</v>
      </c>
      <c r="K897" s="21" t="s">
        <v>2276</v>
      </c>
      <c r="L897" s="21" t="s">
        <v>2276</v>
      </c>
      <c r="M897" s="21" t="s">
        <v>2276</v>
      </c>
      <c r="N897" s="21" t="s">
        <v>2276</v>
      </c>
      <c r="O897" s="21" t="s">
        <v>2276</v>
      </c>
      <c r="P897" s="21" t="s">
        <v>2276</v>
      </c>
      <c r="Q897" s="21" t="s">
        <v>2276</v>
      </c>
      <c r="R897" s="21" t="s">
        <v>2276</v>
      </c>
      <c r="S897" s="21" t="s">
        <v>2276</v>
      </c>
      <c r="T897" s="21" t="s">
        <v>2276</v>
      </c>
      <c r="U897" s="21" t="s">
        <v>2276</v>
      </c>
      <c r="V897" s="21" t="s">
        <v>2276</v>
      </c>
      <c r="W897" s="21" t="s">
        <v>2276</v>
      </c>
      <c r="X897" s="21" t="s">
        <v>2276</v>
      </c>
      <c r="Y897" s="21" t="s">
        <v>2276</v>
      </c>
      <c r="Z897" s="21" t="s">
        <v>2276</v>
      </c>
      <c r="AA897" s="4" t="s">
        <v>2904</v>
      </c>
      <c r="AB897" s="3"/>
    </row>
    <row r="898" spans="1:28" ht="32.5" customHeight="1">
      <c r="A898" s="6" t="str">
        <f>'Reported burning'!A898</f>
        <v>110a</v>
      </c>
      <c r="B898" s="6" t="str">
        <f>'Reported burning'!B898</f>
        <v>110a.3</v>
      </c>
      <c r="C898" s="6" t="str">
        <f>'Reported burning'!C898</f>
        <v>Human, deliberate</v>
      </c>
      <c r="D898" s="6" t="str">
        <f>'Reported burning'!D898</f>
        <v>Accessibility</v>
      </c>
      <c r="E898" s="6" t="str">
        <f>'Reported burning'!E898</f>
        <v>Forestry, Small-scale</v>
      </c>
      <c r="F898" s="6" t="str">
        <f>'Reported burning'!F898</f>
        <v>Shrubland (Mixed forest &amp; grassland)</v>
      </c>
      <c r="G898" s="6" t="str">
        <f>'Reported burning'!G898</f>
        <v>ND</v>
      </c>
      <c r="H898" s="6" t="str">
        <f>'Reported burning'!H898</f>
        <v>Presence</v>
      </c>
      <c r="I898" s="3"/>
      <c r="J898" s="21" t="s">
        <v>2276</v>
      </c>
      <c r="K898" s="21" t="s">
        <v>2276</v>
      </c>
      <c r="L898" s="21" t="s">
        <v>2276</v>
      </c>
      <c r="M898" s="21" t="s">
        <v>2276</v>
      </c>
      <c r="N898" s="21" t="s">
        <v>2276</v>
      </c>
      <c r="O898" s="21" t="s">
        <v>2276</v>
      </c>
      <c r="P898" s="21" t="s">
        <v>2276</v>
      </c>
      <c r="Q898" s="21" t="s">
        <v>2276</v>
      </c>
      <c r="R898" s="21" t="s">
        <v>2276</v>
      </c>
      <c r="S898" s="21" t="s">
        <v>2276</v>
      </c>
      <c r="T898" s="21" t="s">
        <v>2276</v>
      </c>
      <c r="U898" s="21" t="s">
        <v>2276</v>
      </c>
      <c r="V898" s="21" t="s">
        <v>2276</v>
      </c>
      <c r="W898" s="21" t="s">
        <v>2276</v>
      </c>
      <c r="X898" s="21" t="s">
        <v>2276</v>
      </c>
      <c r="Y898" s="21" t="s">
        <v>2276</v>
      </c>
      <c r="Z898" s="21" t="s">
        <v>2276</v>
      </c>
      <c r="AA898" s="4" t="s">
        <v>2905</v>
      </c>
      <c r="AB898" s="3"/>
    </row>
    <row r="899" spans="1:28" ht="28" customHeight="1">
      <c r="A899" s="6" t="str">
        <f>'Reported burning'!A899</f>
        <v>110a</v>
      </c>
      <c r="B899" s="6" t="str">
        <f>'Reported burning'!B899</f>
        <v>110a.4</v>
      </c>
      <c r="C899" s="6" t="str">
        <f>'Reported burning'!C899</f>
        <v>Human, escaped</v>
      </c>
      <c r="D899" s="6" t="str">
        <f>'Reported burning'!D899</f>
        <v>All</v>
      </c>
      <c r="E899" s="6" t="str">
        <f>'Reported burning'!E899</f>
        <v>All</v>
      </c>
      <c r="F899" s="6" t="str">
        <f>'Reported burning'!F899</f>
        <v>Shrubland (Mixed forest &amp; grassland)</v>
      </c>
      <c r="G899" s="6" t="str">
        <f>'Reported burning'!G899</f>
        <v>All</v>
      </c>
      <c r="H899" s="6" t="str">
        <f>'Reported burning'!H899</f>
        <v>Presence</v>
      </c>
      <c r="I899" s="3"/>
      <c r="J899" s="21" t="s">
        <v>2276</v>
      </c>
      <c r="K899" s="21" t="s">
        <v>2276</v>
      </c>
      <c r="L899" s="21" t="s">
        <v>2276</v>
      </c>
      <c r="M899" s="21" t="s">
        <v>2276</v>
      </c>
      <c r="N899" s="21" t="s">
        <v>2276</v>
      </c>
      <c r="O899" s="21" t="s">
        <v>2276</v>
      </c>
      <c r="P899" s="21" t="s">
        <v>2276</v>
      </c>
      <c r="Q899" s="21" t="s">
        <v>2276</v>
      </c>
      <c r="R899" s="21" t="s">
        <v>2276</v>
      </c>
      <c r="S899" s="21" t="s">
        <v>2276</v>
      </c>
      <c r="T899" s="21" t="s">
        <v>2276</v>
      </c>
      <c r="U899" s="21" t="s">
        <v>2276</v>
      </c>
      <c r="V899" s="21" t="s">
        <v>2276</v>
      </c>
      <c r="W899" s="21" t="s">
        <v>2402</v>
      </c>
      <c r="X899" s="3" t="s">
        <v>35</v>
      </c>
      <c r="Y899" s="3" t="s">
        <v>38</v>
      </c>
      <c r="Z899" s="3" t="s">
        <v>64</v>
      </c>
      <c r="AA899" s="4"/>
      <c r="AB899" s="3"/>
    </row>
    <row r="900" spans="1:28" ht="32.5" customHeight="1">
      <c r="A900" s="6" t="str">
        <f>'Reported burning'!A900</f>
        <v>110a</v>
      </c>
      <c r="B900" s="6" t="str">
        <f>'Reported burning'!B900</f>
        <v>110a.5</v>
      </c>
      <c r="C900" s="6" t="str">
        <f>'Reported burning'!C900</f>
        <v>Human, deliberate</v>
      </c>
      <c r="D900" s="6" t="str">
        <f>'Reported burning'!D900</f>
        <v>Crop field preparation</v>
      </c>
      <c r="E900" s="6" t="str">
        <f>'Reported burning'!E900</f>
        <v>Cropping, Swidden</v>
      </c>
      <c r="F900" s="6" t="str">
        <f>'Reported burning'!F900</f>
        <v>Secondary Vegetation</v>
      </c>
      <c r="G900" s="6" t="str">
        <f>'Reported burning'!G900</f>
        <v>ND</v>
      </c>
      <c r="H900" s="6" t="str">
        <f>'Reported burning'!H900</f>
        <v>Presence</v>
      </c>
      <c r="I900" s="3"/>
      <c r="J900" s="21" t="s">
        <v>2276</v>
      </c>
      <c r="K900" s="21" t="s">
        <v>2276</v>
      </c>
      <c r="L900" s="21" t="s">
        <v>2276</v>
      </c>
      <c r="M900" s="21" t="s">
        <v>2276</v>
      </c>
      <c r="N900" s="21" t="s">
        <v>2276</v>
      </c>
      <c r="O900" s="21" t="s">
        <v>2276</v>
      </c>
      <c r="P900" s="21" t="s">
        <v>2276</v>
      </c>
      <c r="Q900" s="21" t="s">
        <v>2276</v>
      </c>
      <c r="R900" s="21" t="s">
        <v>2276</v>
      </c>
      <c r="S900" s="21" t="s">
        <v>2276</v>
      </c>
      <c r="T900" s="21" t="s">
        <v>2276</v>
      </c>
      <c r="U900" s="21" t="s">
        <v>2276</v>
      </c>
      <c r="V900" s="21" t="s">
        <v>2276</v>
      </c>
      <c r="W900" s="21" t="s">
        <v>2276</v>
      </c>
      <c r="X900" s="3" t="s">
        <v>68</v>
      </c>
      <c r="Y900" s="3" t="s">
        <v>35</v>
      </c>
      <c r="Z900" s="3" t="s">
        <v>64</v>
      </c>
      <c r="AA900" s="4"/>
      <c r="AB900" s="3"/>
    </row>
    <row r="901" spans="1:28" ht="36.5" customHeight="1">
      <c r="A901" s="6" t="str">
        <f>'Reported burning'!A901</f>
        <v>110a</v>
      </c>
      <c r="B901" s="6" t="str">
        <f>'Reported burning'!B901</f>
        <v>110a.6</v>
      </c>
      <c r="C901" s="6" t="str">
        <f>'Reported burning'!C901</f>
        <v>Human, deliberate</v>
      </c>
      <c r="D901" s="6" t="str">
        <f>'Reported burning'!D901</f>
        <v>Land clearance</v>
      </c>
      <c r="E901" s="6" t="str">
        <f>'Reported burning'!E901</f>
        <v>Cropping, Monoculture, Market-oriented</v>
      </c>
      <c r="F901" s="6" t="str">
        <f>'Reported burning'!F901</f>
        <v>Shrubland (Mixed forest &amp; grassland)</v>
      </c>
      <c r="G901" s="6" t="str">
        <f>'Reported burning'!G901</f>
        <v>ND</v>
      </c>
      <c r="H901" s="6" t="str">
        <f>'Reported burning'!H901</f>
        <v>Presence</v>
      </c>
      <c r="I901" s="3"/>
      <c r="J901" s="21" t="s">
        <v>2276</v>
      </c>
      <c r="K901" s="21" t="s">
        <v>2276</v>
      </c>
      <c r="L901" s="21" t="s">
        <v>2276</v>
      </c>
      <c r="M901" s="21" t="s">
        <v>2276</v>
      </c>
      <c r="N901" s="21" t="s">
        <v>2276</v>
      </c>
      <c r="O901" s="21" t="s">
        <v>2276</v>
      </c>
      <c r="P901" s="21" t="s">
        <v>2276</v>
      </c>
      <c r="Q901" s="21" t="s">
        <v>2276</v>
      </c>
      <c r="R901" s="21" t="s">
        <v>2276</v>
      </c>
      <c r="S901" s="21" t="s">
        <v>2276</v>
      </c>
      <c r="T901" s="21" t="s">
        <v>2276</v>
      </c>
      <c r="U901" s="21" t="s">
        <v>2276</v>
      </c>
      <c r="V901" s="21" t="s">
        <v>2276</v>
      </c>
      <c r="W901" s="21" t="s">
        <v>2276</v>
      </c>
      <c r="X901" s="21" t="s">
        <v>2276</v>
      </c>
      <c r="Y901" s="21" t="s">
        <v>2276</v>
      </c>
      <c r="Z901" s="21" t="s">
        <v>2276</v>
      </c>
      <c r="AA901" s="4" t="s">
        <v>2906</v>
      </c>
      <c r="AB901" s="3"/>
    </row>
    <row r="902" spans="1:28" ht="36.5" customHeight="1">
      <c r="A902" s="6" t="str">
        <f>'Reported burning'!A902</f>
        <v>110a</v>
      </c>
      <c r="B902" s="6" t="str">
        <f>'Reported burning'!B902</f>
        <v>110a.7</v>
      </c>
      <c r="C902" s="6" t="str">
        <f>'Reported burning'!C902</f>
        <v>Human, deliberate</v>
      </c>
      <c r="D902" s="6" t="str">
        <f>'Reported burning'!D902</f>
        <v>Arson</v>
      </c>
      <c r="E902" s="6" t="str">
        <f>'Reported burning'!E902</f>
        <v>All</v>
      </c>
      <c r="F902" s="6" t="str">
        <f>'Reported burning'!F902</f>
        <v>Shrubland (Mixed forest &amp; grassland)</v>
      </c>
      <c r="G902" s="6" t="str">
        <f>'Reported burning'!G902</f>
        <v>ND</v>
      </c>
      <c r="H902" s="6" t="str">
        <f>'Reported burning'!H902</f>
        <v>Presence</v>
      </c>
      <c r="I902" s="3"/>
      <c r="J902" s="21" t="s">
        <v>2276</v>
      </c>
      <c r="K902" s="21" t="s">
        <v>2276</v>
      </c>
      <c r="L902" s="21" t="s">
        <v>2276</v>
      </c>
      <c r="M902" s="21" t="s">
        <v>2276</v>
      </c>
      <c r="N902" s="21" t="s">
        <v>2276</v>
      </c>
      <c r="O902" s="21" t="s">
        <v>2276</v>
      </c>
      <c r="P902" s="21" t="s">
        <v>2276</v>
      </c>
      <c r="Q902" s="21" t="s">
        <v>2276</v>
      </c>
      <c r="R902" s="21" t="s">
        <v>2276</v>
      </c>
      <c r="S902" s="21" t="s">
        <v>2276</v>
      </c>
      <c r="T902" s="21" t="s">
        <v>2276</v>
      </c>
      <c r="U902" s="21" t="s">
        <v>2276</v>
      </c>
      <c r="V902" s="21" t="s">
        <v>2276</v>
      </c>
      <c r="W902" s="21" t="s">
        <v>2276</v>
      </c>
      <c r="X902" s="21" t="s">
        <v>2276</v>
      </c>
      <c r="Y902" s="21" t="s">
        <v>2276</v>
      </c>
      <c r="Z902" s="21" t="s">
        <v>2276</v>
      </c>
      <c r="AA902" s="4" t="s">
        <v>2903</v>
      </c>
      <c r="AB902" s="3"/>
    </row>
    <row r="903" spans="1:28" ht="29">
      <c r="A903" s="6" t="str">
        <f>'Reported burning'!A903</f>
        <v>110b</v>
      </c>
      <c r="B903" s="6" t="str">
        <f>'Reported burning'!B903</f>
        <v>110b.1</v>
      </c>
      <c r="C903" s="6" t="str">
        <f>'Reported burning'!C903</f>
        <v>Human, deliberate</v>
      </c>
      <c r="D903" s="6" t="str">
        <f>'Reported burning'!D903</f>
        <v>Hunting</v>
      </c>
      <c r="E903" s="6" t="str">
        <f>'Reported burning'!E903</f>
        <v>Forestry, Small-scale</v>
      </c>
      <c r="F903" s="6" t="str">
        <f>'Reported burning'!F903</f>
        <v>Shrubland (Mixed forest &amp; grassland)</v>
      </c>
      <c r="G903" s="6" t="str">
        <f>'Reported burning'!G903</f>
        <v>ND</v>
      </c>
      <c r="H903" s="6" t="str">
        <f>'Reported burning'!H903</f>
        <v>Presence</v>
      </c>
      <c r="I903" s="3"/>
      <c r="J903" s="21" t="s">
        <v>2276</v>
      </c>
      <c r="K903" s="21" t="s">
        <v>2276</v>
      </c>
      <c r="L903" s="21" t="s">
        <v>2276</v>
      </c>
      <c r="M903" s="21" t="s">
        <v>2276</v>
      </c>
      <c r="N903" s="21" t="s">
        <v>2276</v>
      </c>
      <c r="O903" s="21" t="s">
        <v>2276</v>
      </c>
      <c r="P903" s="21" t="s">
        <v>2276</v>
      </c>
      <c r="Q903" s="21" t="s">
        <v>2276</v>
      </c>
      <c r="R903" s="21" t="s">
        <v>2276</v>
      </c>
      <c r="S903" s="21" t="s">
        <v>2276</v>
      </c>
      <c r="T903" s="21" t="s">
        <v>2276</v>
      </c>
      <c r="U903" s="21" t="s">
        <v>2276</v>
      </c>
      <c r="V903" s="21" t="s">
        <v>2276</v>
      </c>
      <c r="W903" s="21" t="s">
        <v>2276</v>
      </c>
      <c r="X903" s="21" t="s">
        <v>2276</v>
      </c>
      <c r="Y903" s="21" t="s">
        <v>2276</v>
      </c>
      <c r="Z903" s="21" t="s">
        <v>2276</v>
      </c>
      <c r="AA903" s="3"/>
      <c r="AB903" s="3"/>
    </row>
    <row r="904" spans="1:28" ht="29">
      <c r="A904" s="6" t="str">
        <f>'Reported burning'!A904</f>
        <v>110b</v>
      </c>
      <c r="B904" s="6" t="str">
        <f>'Reported burning'!B904</f>
        <v>110b.2</v>
      </c>
      <c r="C904" s="6" t="str">
        <f>'Reported burning'!C904</f>
        <v>Human, deliberate</v>
      </c>
      <c r="D904" s="6" t="str">
        <f>'Reported burning'!D904</f>
        <v>Pest management</v>
      </c>
      <c r="E904" s="6" t="str">
        <f>'Reported burning'!E904</f>
        <v>Forestry, Small-scale</v>
      </c>
      <c r="F904" s="6" t="str">
        <f>'Reported burning'!F904</f>
        <v>Shrubland (Mixed forest &amp; grassland)</v>
      </c>
      <c r="G904" s="6" t="str">
        <f>'Reported burning'!G904</f>
        <v>ND</v>
      </c>
      <c r="H904" s="6" t="str">
        <f>'Reported burning'!H904</f>
        <v>Presence</v>
      </c>
      <c r="I904" s="3"/>
      <c r="J904" s="21" t="s">
        <v>2276</v>
      </c>
      <c r="K904" s="21" t="s">
        <v>2276</v>
      </c>
      <c r="L904" s="21" t="s">
        <v>2276</v>
      </c>
      <c r="M904" s="21" t="s">
        <v>2276</v>
      </c>
      <c r="N904" s="21" t="s">
        <v>2276</v>
      </c>
      <c r="O904" s="21" t="s">
        <v>2276</v>
      </c>
      <c r="P904" s="21" t="s">
        <v>2276</v>
      </c>
      <c r="Q904" s="21" t="s">
        <v>2276</v>
      </c>
      <c r="R904" s="21" t="s">
        <v>2276</v>
      </c>
      <c r="S904" s="21" t="s">
        <v>2276</v>
      </c>
      <c r="T904" s="21" t="s">
        <v>2276</v>
      </c>
      <c r="U904" s="21" t="s">
        <v>2276</v>
      </c>
      <c r="V904" s="21" t="s">
        <v>2276</v>
      </c>
      <c r="W904" s="21" t="s">
        <v>2276</v>
      </c>
      <c r="X904" s="21" t="s">
        <v>2276</v>
      </c>
      <c r="Y904" s="21" t="s">
        <v>2276</v>
      </c>
      <c r="Z904" s="21" t="s">
        <v>2276</v>
      </c>
      <c r="AA904" s="4" t="s">
        <v>2904</v>
      </c>
      <c r="AB904" s="3"/>
    </row>
    <row r="905" spans="1:28" ht="29">
      <c r="A905" s="6" t="str">
        <f>'Reported burning'!A905</f>
        <v>110b</v>
      </c>
      <c r="B905" s="6" t="str">
        <f>'Reported burning'!B905</f>
        <v>110b.3</v>
      </c>
      <c r="C905" s="6" t="str">
        <f>'Reported burning'!C905</f>
        <v>Human, deliberate</v>
      </c>
      <c r="D905" s="6" t="str">
        <f>'Reported burning'!D905</f>
        <v>Accessibility</v>
      </c>
      <c r="E905" s="6" t="str">
        <f>'Reported burning'!E905</f>
        <v>Forestry, Small-scale</v>
      </c>
      <c r="F905" s="6" t="str">
        <f>'Reported burning'!F905</f>
        <v>Shrubland (Mixed forest &amp; grassland)</v>
      </c>
      <c r="G905" s="6" t="str">
        <f>'Reported burning'!G905</f>
        <v>ND</v>
      </c>
      <c r="H905" s="6" t="str">
        <f>'Reported burning'!H905</f>
        <v>Presence</v>
      </c>
      <c r="I905" s="3"/>
      <c r="J905" s="21" t="s">
        <v>2276</v>
      </c>
      <c r="K905" s="21" t="s">
        <v>2276</v>
      </c>
      <c r="L905" s="21" t="s">
        <v>2276</v>
      </c>
      <c r="M905" s="21" t="s">
        <v>2276</v>
      </c>
      <c r="N905" s="21" t="s">
        <v>2276</v>
      </c>
      <c r="O905" s="21" t="s">
        <v>2276</v>
      </c>
      <c r="P905" s="21" t="s">
        <v>2276</v>
      </c>
      <c r="Q905" s="21" t="s">
        <v>2276</v>
      </c>
      <c r="R905" s="21" t="s">
        <v>2276</v>
      </c>
      <c r="S905" s="21" t="s">
        <v>2276</v>
      </c>
      <c r="T905" s="21" t="s">
        <v>2276</v>
      </c>
      <c r="U905" s="21" t="s">
        <v>2276</v>
      </c>
      <c r="V905" s="21" t="s">
        <v>2276</v>
      </c>
      <c r="W905" s="21" t="s">
        <v>2276</v>
      </c>
      <c r="X905" s="21" t="s">
        <v>2276</v>
      </c>
      <c r="Y905" s="21" t="s">
        <v>2276</v>
      </c>
      <c r="Z905" s="21" t="s">
        <v>2276</v>
      </c>
      <c r="AA905" s="4" t="s">
        <v>2905</v>
      </c>
      <c r="AB905" s="3"/>
    </row>
    <row r="906" spans="1:28" ht="29">
      <c r="A906" s="6" t="str">
        <f>'Reported burning'!A906</f>
        <v>110b</v>
      </c>
      <c r="B906" s="6" t="str">
        <f>'Reported burning'!B906</f>
        <v>110b.4</v>
      </c>
      <c r="C906" s="6" t="str">
        <f>'Reported burning'!C906</f>
        <v>Human, escaped</v>
      </c>
      <c r="D906" s="6" t="str">
        <f>'Reported burning'!D906</f>
        <v>All</v>
      </c>
      <c r="E906" s="6" t="str">
        <f>'Reported burning'!E906</f>
        <v>All</v>
      </c>
      <c r="F906" s="6" t="str">
        <f>'Reported burning'!F906</f>
        <v>Shrubland (Mixed forest &amp; grassland)</v>
      </c>
      <c r="G906" s="6" t="str">
        <f>'Reported burning'!G906</f>
        <v>All</v>
      </c>
      <c r="H906" s="6" t="str">
        <f>'Reported burning'!H906</f>
        <v>Presence</v>
      </c>
      <c r="I906" s="3"/>
      <c r="J906" s="21" t="s">
        <v>2276</v>
      </c>
      <c r="K906" s="21" t="s">
        <v>2276</v>
      </c>
      <c r="L906" s="21" t="s">
        <v>2276</v>
      </c>
      <c r="M906" s="21" t="s">
        <v>2276</v>
      </c>
      <c r="N906" s="21" t="s">
        <v>2276</v>
      </c>
      <c r="O906" s="21" t="s">
        <v>2276</v>
      </c>
      <c r="P906" s="21" t="s">
        <v>2276</v>
      </c>
      <c r="Q906" s="21" t="s">
        <v>2276</v>
      </c>
      <c r="R906" s="21" t="s">
        <v>2276</v>
      </c>
      <c r="S906" s="21" t="s">
        <v>2276</v>
      </c>
      <c r="T906" s="21" t="s">
        <v>2276</v>
      </c>
      <c r="U906" s="21" t="s">
        <v>2276</v>
      </c>
      <c r="V906" s="21" t="s">
        <v>2276</v>
      </c>
      <c r="W906" s="21" t="s">
        <v>2402</v>
      </c>
      <c r="X906" s="3" t="s">
        <v>35</v>
      </c>
      <c r="Y906" s="3" t="s">
        <v>38</v>
      </c>
      <c r="Z906" s="3" t="s">
        <v>64</v>
      </c>
      <c r="AA906" s="4"/>
      <c r="AB906" s="3"/>
    </row>
    <row r="907" spans="1:28" ht="31" customHeight="1">
      <c r="A907" s="6" t="str">
        <f>'Reported burning'!A907</f>
        <v>110b</v>
      </c>
      <c r="B907" s="6" t="str">
        <f>'Reported burning'!B907</f>
        <v>110b.5</v>
      </c>
      <c r="C907" s="6" t="str">
        <f>'Reported burning'!C907</f>
        <v>Human, deliberate</v>
      </c>
      <c r="D907" s="6" t="str">
        <f>'Reported burning'!D907</f>
        <v>Crop field preparation</v>
      </c>
      <c r="E907" s="6" t="str">
        <f>'Reported burning'!E907</f>
        <v>Cropping, Swidden</v>
      </c>
      <c r="F907" s="6" t="str">
        <f>'Reported burning'!F907</f>
        <v>Secondary Vegetation</v>
      </c>
      <c r="G907" s="6" t="str">
        <f>'Reported burning'!G907</f>
        <v>ND</v>
      </c>
      <c r="H907" s="6" t="str">
        <f>'Reported burning'!H907</f>
        <v>Presence</v>
      </c>
      <c r="I907" s="3"/>
      <c r="J907" s="21" t="s">
        <v>2276</v>
      </c>
      <c r="K907" s="21" t="s">
        <v>2276</v>
      </c>
      <c r="L907" s="21" t="s">
        <v>2276</v>
      </c>
      <c r="M907" s="21" t="s">
        <v>2276</v>
      </c>
      <c r="N907" s="21" t="s">
        <v>2276</v>
      </c>
      <c r="O907" s="21" t="s">
        <v>2276</v>
      </c>
      <c r="P907" s="21" t="s">
        <v>2276</v>
      </c>
      <c r="Q907" s="21" t="s">
        <v>2276</v>
      </c>
      <c r="R907" s="21" t="s">
        <v>2276</v>
      </c>
      <c r="S907" s="21" t="s">
        <v>2276</v>
      </c>
      <c r="T907" s="21" t="s">
        <v>2276</v>
      </c>
      <c r="U907" s="21" t="s">
        <v>2276</v>
      </c>
      <c r="V907" s="21" t="s">
        <v>2276</v>
      </c>
      <c r="W907" s="21" t="s">
        <v>2276</v>
      </c>
      <c r="X907" s="3" t="s">
        <v>68</v>
      </c>
      <c r="Y907" s="3" t="s">
        <v>35</v>
      </c>
      <c r="Z907" s="3" t="s">
        <v>64</v>
      </c>
      <c r="AA907" s="4"/>
      <c r="AB907" s="3"/>
    </row>
    <row r="908" spans="1:28" ht="39" customHeight="1">
      <c r="A908" s="6" t="str">
        <f>'Reported burning'!A908</f>
        <v>110b</v>
      </c>
      <c r="B908" s="6" t="str">
        <f>'Reported burning'!B908</f>
        <v>110b.6</v>
      </c>
      <c r="C908" s="6" t="str">
        <f>'Reported burning'!C908</f>
        <v>Human, deliberate</v>
      </c>
      <c r="D908" s="6" t="str">
        <f>'Reported burning'!D908</f>
        <v>Land clearance</v>
      </c>
      <c r="E908" s="6" t="str">
        <f>'Reported burning'!E908</f>
        <v>Cropping, Monoculture, Market-oriented</v>
      </c>
      <c r="F908" s="6" t="str">
        <f>'Reported burning'!F908</f>
        <v>Shrubland (Mixed forest &amp; grassland)</v>
      </c>
      <c r="G908" s="6" t="str">
        <f>'Reported burning'!G908</f>
        <v>ND</v>
      </c>
      <c r="H908" s="6" t="str">
        <f>'Reported burning'!H908</f>
        <v>Presence</v>
      </c>
      <c r="I908" s="3"/>
      <c r="J908" s="21" t="s">
        <v>2276</v>
      </c>
      <c r="K908" s="21" t="s">
        <v>2276</v>
      </c>
      <c r="L908" s="21" t="s">
        <v>2276</v>
      </c>
      <c r="M908" s="21" t="s">
        <v>2276</v>
      </c>
      <c r="N908" s="21" t="s">
        <v>2276</v>
      </c>
      <c r="O908" s="21" t="s">
        <v>2276</v>
      </c>
      <c r="P908" s="21" t="s">
        <v>2276</v>
      </c>
      <c r="Q908" s="21" t="s">
        <v>2276</v>
      </c>
      <c r="R908" s="21" t="s">
        <v>2276</v>
      </c>
      <c r="S908" s="21" t="s">
        <v>2276</v>
      </c>
      <c r="T908" s="21" t="s">
        <v>2276</v>
      </c>
      <c r="U908" s="21" t="s">
        <v>2276</v>
      </c>
      <c r="V908" s="21" t="s">
        <v>2276</v>
      </c>
      <c r="W908" s="21" t="s">
        <v>2276</v>
      </c>
      <c r="X908" s="21" t="s">
        <v>2276</v>
      </c>
      <c r="Y908" s="21" t="s">
        <v>2276</v>
      </c>
      <c r="Z908" s="21" t="s">
        <v>2276</v>
      </c>
      <c r="AA908" s="4" t="s">
        <v>2906</v>
      </c>
      <c r="AB908" s="3"/>
    </row>
    <row r="909" spans="1:28" ht="41" customHeight="1">
      <c r="A909" s="6" t="str">
        <f>'Reported burning'!A909</f>
        <v>110b</v>
      </c>
      <c r="B909" s="6" t="str">
        <f>'Reported burning'!B909</f>
        <v>110b.7</v>
      </c>
      <c r="C909" s="6" t="str">
        <f>'Reported burning'!C909</f>
        <v>Human, deliberate</v>
      </c>
      <c r="D909" s="6" t="str">
        <f>'Reported burning'!D909</f>
        <v>Arson</v>
      </c>
      <c r="E909" s="6" t="str">
        <f>'Reported burning'!E909</f>
        <v>All</v>
      </c>
      <c r="F909" s="6" t="str">
        <f>'Reported burning'!F909</f>
        <v>Shrubland (Mixed forest &amp; grassland)</v>
      </c>
      <c r="G909" s="6" t="str">
        <f>'Reported burning'!G909</f>
        <v>ND</v>
      </c>
      <c r="H909" s="6" t="str">
        <f>'Reported burning'!H909</f>
        <v>Presence</v>
      </c>
      <c r="I909" s="3"/>
      <c r="J909" s="21" t="s">
        <v>2276</v>
      </c>
      <c r="K909" s="21" t="s">
        <v>2276</v>
      </c>
      <c r="L909" s="21" t="s">
        <v>2276</v>
      </c>
      <c r="M909" s="21" t="s">
        <v>2276</v>
      </c>
      <c r="N909" s="21" t="s">
        <v>2276</v>
      </c>
      <c r="O909" s="21" t="s">
        <v>2276</v>
      </c>
      <c r="P909" s="21" t="s">
        <v>2276</v>
      </c>
      <c r="Q909" s="21" t="s">
        <v>2276</v>
      </c>
      <c r="R909" s="21" t="s">
        <v>2276</v>
      </c>
      <c r="S909" s="21" t="s">
        <v>2276</v>
      </c>
      <c r="T909" s="21" t="s">
        <v>2276</v>
      </c>
      <c r="U909" s="21" t="s">
        <v>2276</v>
      </c>
      <c r="V909" s="21" t="s">
        <v>2276</v>
      </c>
      <c r="W909" s="21" t="s">
        <v>2276</v>
      </c>
      <c r="X909" s="21" t="s">
        <v>2276</v>
      </c>
      <c r="Y909" s="21" t="s">
        <v>2276</v>
      </c>
      <c r="Z909" s="21" t="s">
        <v>2276</v>
      </c>
      <c r="AA909" s="4" t="s">
        <v>2903</v>
      </c>
      <c r="AB909" s="3"/>
    </row>
    <row r="910" spans="1:28" ht="29">
      <c r="A910" s="6" t="str">
        <f>'Reported burning'!A910</f>
        <v>110c</v>
      </c>
      <c r="B910" s="6" t="str">
        <f>'Reported burning'!B910</f>
        <v>110c.1</v>
      </c>
      <c r="C910" s="6" t="str">
        <f>'Reported burning'!C910</f>
        <v>Human, deliberate</v>
      </c>
      <c r="D910" s="6" t="str">
        <f>'Reported burning'!D910</f>
        <v>Hunting</v>
      </c>
      <c r="E910" s="6" t="str">
        <f>'Reported burning'!E910</f>
        <v>Forestry, Small-scale</v>
      </c>
      <c r="F910" s="6" t="str">
        <f>'Reported burning'!F910</f>
        <v>Shrubland (Mixed forest &amp; grassland)</v>
      </c>
      <c r="G910" s="6" t="str">
        <f>'Reported burning'!G910</f>
        <v>ND</v>
      </c>
      <c r="H910" s="6" t="str">
        <f>'Reported burning'!H910</f>
        <v>Presence</v>
      </c>
      <c r="I910" s="3"/>
      <c r="J910" s="21" t="s">
        <v>2276</v>
      </c>
      <c r="K910" s="21" t="s">
        <v>2276</v>
      </c>
      <c r="L910" s="21" t="s">
        <v>2276</v>
      </c>
      <c r="M910" s="21" t="s">
        <v>2276</v>
      </c>
      <c r="N910" s="21" t="s">
        <v>2276</v>
      </c>
      <c r="O910" s="21" t="s">
        <v>2276</v>
      </c>
      <c r="P910" s="21" t="s">
        <v>2276</v>
      </c>
      <c r="Q910" s="21" t="s">
        <v>2276</v>
      </c>
      <c r="R910" s="21" t="s">
        <v>2276</v>
      </c>
      <c r="S910" s="21" t="s">
        <v>2276</v>
      </c>
      <c r="T910" s="21" t="s">
        <v>2276</v>
      </c>
      <c r="U910" s="21" t="s">
        <v>2276</v>
      </c>
      <c r="V910" s="21" t="s">
        <v>2276</v>
      </c>
      <c r="W910" s="21" t="s">
        <v>2276</v>
      </c>
      <c r="X910" s="21" t="s">
        <v>2276</v>
      </c>
      <c r="Y910" s="21" t="s">
        <v>2276</v>
      </c>
      <c r="Z910" s="21" t="s">
        <v>2276</v>
      </c>
      <c r="AA910" s="3"/>
      <c r="AB910" s="3"/>
    </row>
    <row r="911" spans="1:28" ht="29">
      <c r="A911" s="6" t="str">
        <f>'Reported burning'!A911</f>
        <v>110c</v>
      </c>
      <c r="B911" s="6" t="str">
        <f>'Reported burning'!B911</f>
        <v>110c.2</v>
      </c>
      <c r="C911" s="6" t="str">
        <f>'Reported burning'!C911</f>
        <v>Human, deliberate</v>
      </c>
      <c r="D911" s="6" t="str">
        <f>'Reported burning'!D911</f>
        <v>Pest management</v>
      </c>
      <c r="E911" s="6" t="str">
        <f>'Reported burning'!E911</f>
        <v>Forestry, Small-scale</v>
      </c>
      <c r="F911" s="6" t="str">
        <f>'Reported burning'!F911</f>
        <v>Shrubland (Mixed forest &amp; grassland)</v>
      </c>
      <c r="G911" s="6" t="str">
        <f>'Reported burning'!G911</f>
        <v>ND</v>
      </c>
      <c r="H911" s="6" t="str">
        <f>'Reported burning'!H911</f>
        <v>Presence</v>
      </c>
      <c r="I911" s="3"/>
      <c r="J911" s="21" t="s">
        <v>2276</v>
      </c>
      <c r="K911" s="21" t="s">
        <v>2276</v>
      </c>
      <c r="L911" s="21" t="s">
        <v>2276</v>
      </c>
      <c r="M911" s="21" t="s">
        <v>2276</v>
      </c>
      <c r="N911" s="21" t="s">
        <v>2276</v>
      </c>
      <c r="O911" s="21" t="s">
        <v>2276</v>
      </c>
      <c r="P911" s="21" t="s">
        <v>2276</v>
      </c>
      <c r="Q911" s="21" t="s">
        <v>2276</v>
      </c>
      <c r="R911" s="21" t="s">
        <v>2276</v>
      </c>
      <c r="S911" s="21" t="s">
        <v>2276</v>
      </c>
      <c r="T911" s="21" t="s">
        <v>2276</v>
      </c>
      <c r="U911" s="21" t="s">
        <v>2276</v>
      </c>
      <c r="V911" s="21" t="s">
        <v>2276</v>
      </c>
      <c r="W911" s="21" t="s">
        <v>2276</v>
      </c>
      <c r="X911" s="21" t="s">
        <v>2276</v>
      </c>
      <c r="Y911" s="21" t="s">
        <v>2276</v>
      </c>
      <c r="Z911" s="21" t="s">
        <v>2276</v>
      </c>
      <c r="AA911" s="4" t="s">
        <v>2904</v>
      </c>
      <c r="AB911" s="3"/>
    </row>
    <row r="912" spans="1:28" ht="29">
      <c r="A912" s="6" t="str">
        <f>'Reported burning'!A912</f>
        <v>110c</v>
      </c>
      <c r="B912" s="6" t="str">
        <f>'Reported burning'!B912</f>
        <v>110c.3</v>
      </c>
      <c r="C912" s="6" t="str">
        <f>'Reported burning'!C912</f>
        <v>Human, deliberate</v>
      </c>
      <c r="D912" s="6" t="str">
        <f>'Reported burning'!D912</f>
        <v>Accessibility</v>
      </c>
      <c r="E912" s="6" t="str">
        <f>'Reported burning'!E912</f>
        <v>Forestry, Small-scale</v>
      </c>
      <c r="F912" s="6" t="str">
        <f>'Reported burning'!F912</f>
        <v>Shrubland (Mixed forest &amp; grassland)</v>
      </c>
      <c r="G912" s="6" t="str">
        <f>'Reported burning'!G912</f>
        <v>ND</v>
      </c>
      <c r="H912" s="6" t="str">
        <f>'Reported burning'!H912</f>
        <v>Presence</v>
      </c>
      <c r="I912" s="3"/>
      <c r="J912" s="21" t="s">
        <v>2276</v>
      </c>
      <c r="K912" s="21" t="s">
        <v>2276</v>
      </c>
      <c r="L912" s="21" t="s">
        <v>2276</v>
      </c>
      <c r="M912" s="21" t="s">
        <v>2276</v>
      </c>
      <c r="N912" s="21" t="s">
        <v>2276</v>
      </c>
      <c r="O912" s="21" t="s">
        <v>2276</v>
      </c>
      <c r="P912" s="21" t="s">
        <v>2276</v>
      </c>
      <c r="Q912" s="21" t="s">
        <v>2276</v>
      </c>
      <c r="R912" s="21" t="s">
        <v>2276</v>
      </c>
      <c r="S912" s="21" t="s">
        <v>2276</v>
      </c>
      <c r="T912" s="21" t="s">
        <v>2276</v>
      </c>
      <c r="U912" s="21" t="s">
        <v>2276</v>
      </c>
      <c r="V912" s="21" t="s">
        <v>2276</v>
      </c>
      <c r="W912" s="21" t="s">
        <v>2276</v>
      </c>
      <c r="X912" s="21" t="s">
        <v>2276</v>
      </c>
      <c r="Y912" s="21" t="s">
        <v>2276</v>
      </c>
      <c r="Z912" s="21" t="s">
        <v>2276</v>
      </c>
      <c r="AA912" s="4" t="s">
        <v>2905</v>
      </c>
      <c r="AB912" s="3"/>
    </row>
    <row r="913" spans="1:28" ht="29">
      <c r="A913" s="6" t="str">
        <f>'Reported burning'!A913</f>
        <v>110c</v>
      </c>
      <c r="B913" s="6" t="str">
        <f>'Reported burning'!B913</f>
        <v>110c.4</v>
      </c>
      <c r="C913" s="6" t="str">
        <f>'Reported burning'!C913</f>
        <v>Human, escaped</v>
      </c>
      <c r="D913" s="6" t="str">
        <f>'Reported burning'!D913</f>
        <v>All</v>
      </c>
      <c r="E913" s="6" t="str">
        <f>'Reported burning'!E913</f>
        <v>All</v>
      </c>
      <c r="F913" s="6" t="str">
        <f>'Reported burning'!F913</f>
        <v>Shrubland (Mixed forest &amp; grassland)</v>
      </c>
      <c r="G913" s="6" t="str">
        <f>'Reported burning'!G913</f>
        <v>All</v>
      </c>
      <c r="H913" s="6" t="str">
        <f>'Reported burning'!H913</f>
        <v>Presence</v>
      </c>
      <c r="I913" s="3"/>
      <c r="J913" s="21" t="s">
        <v>2276</v>
      </c>
      <c r="K913" s="21" t="s">
        <v>2276</v>
      </c>
      <c r="L913" s="21" t="s">
        <v>2276</v>
      </c>
      <c r="M913" s="21" t="s">
        <v>2276</v>
      </c>
      <c r="N913" s="21" t="s">
        <v>2276</v>
      </c>
      <c r="O913" s="21" t="s">
        <v>2276</v>
      </c>
      <c r="P913" s="21" t="s">
        <v>2276</v>
      </c>
      <c r="Q913" s="21" t="s">
        <v>2276</v>
      </c>
      <c r="R913" s="21" t="s">
        <v>2276</v>
      </c>
      <c r="S913" s="21" t="s">
        <v>2276</v>
      </c>
      <c r="T913" s="21" t="s">
        <v>2276</v>
      </c>
      <c r="U913" s="21" t="s">
        <v>2276</v>
      </c>
      <c r="V913" s="21" t="s">
        <v>2276</v>
      </c>
      <c r="W913" s="21" t="s">
        <v>2402</v>
      </c>
      <c r="X913" s="3" t="s">
        <v>35</v>
      </c>
      <c r="Y913" s="3" t="s">
        <v>38</v>
      </c>
      <c r="Z913" s="3" t="s">
        <v>64</v>
      </c>
      <c r="AA913" s="4"/>
      <c r="AB913" s="3"/>
    </row>
    <row r="914" spans="1:28" ht="34.5" customHeight="1">
      <c r="A914" s="6" t="str">
        <f>'Reported burning'!A914</f>
        <v>110c</v>
      </c>
      <c r="B914" s="6" t="str">
        <f>'Reported burning'!B914</f>
        <v>110c.5</v>
      </c>
      <c r="C914" s="6" t="str">
        <f>'Reported burning'!C914</f>
        <v>Human, deliberate</v>
      </c>
      <c r="D914" s="6" t="str">
        <f>'Reported burning'!D914</f>
        <v>Crop field preparation</v>
      </c>
      <c r="E914" s="6" t="str">
        <f>'Reported burning'!E914</f>
        <v>Cropping, Swidden</v>
      </c>
      <c r="F914" s="6" t="str">
        <f>'Reported burning'!F914</f>
        <v>Secondary Vegetation</v>
      </c>
      <c r="G914" s="6" t="str">
        <f>'Reported burning'!G914</f>
        <v>ND</v>
      </c>
      <c r="H914" s="6" t="str">
        <f>'Reported burning'!H914</f>
        <v>Presence</v>
      </c>
      <c r="I914" s="3"/>
      <c r="J914" s="21" t="s">
        <v>2276</v>
      </c>
      <c r="K914" s="21" t="s">
        <v>2276</v>
      </c>
      <c r="L914" s="21" t="s">
        <v>2276</v>
      </c>
      <c r="M914" s="21" t="s">
        <v>2276</v>
      </c>
      <c r="N914" s="21" t="s">
        <v>2276</v>
      </c>
      <c r="O914" s="21" t="s">
        <v>2276</v>
      </c>
      <c r="P914" s="21" t="s">
        <v>2276</v>
      </c>
      <c r="Q914" s="21" t="s">
        <v>2276</v>
      </c>
      <c r="R914" s="21" t="s">
        <v>2276</v>
      </c>
      <c r="S914" s="21" t="s">
        <v>2276</v>
      </c>
      <c r="T914" s="21" t="s">
        <v>2276</v>
      </c>
      <c r="U914" s="21" t="s">
        <v>2276</v>
      </c>
      <c r="V914" s="21" t="s">
        <v>2276</v>
      </c>
      <c r="W914" s="21" t="s">
        <v>2276</v>
      </c>
      <c r="X914" s="3" t="s">
        <v>68</v>
      </c>
      <c r="Y914" s="3" t="s">
        <v>35</v>
      </c>
      <c r="Z914" s="3" t="s">
        <v>64</v>
      </c>
      <c r="AA914" s="4"/>
      <c r="AB914" s="3"/>
    </row>
    <row r="915" spans="1:28" ht="29">
      <c r="A915" s="6" t="str">
        <f>'Reported burning'!A915</f>
        <v>110c</v>
      </c>
      <c r="B915" s="6" t="str">
        <f>'Reported burning'!B915</f>
        <v>110c.6</v>
      </c>
      <c r="C915" s="6" t="str">
        <f>'Reported burning'!C915</f>
        <v>Human, deliberate</v>
      </c>
      <c r="D915" s="6" t="str">
        <f>'Reported burning'!D915</f>
        <v>Land clearance</v>
      </c>
      <c r="E915" s="6" t="str">
        <f>'Reported burning'!E915</f>
        <v>Cropping, Monoculture, Market-oriented</v>
      </c>
      <c r="F915" s="6" t="str">
        <f>'Reported burning'!F915</f>
        <v>Shrubland (Mixed forest &amp; grassland)</v>
      </c>
      <c r="G915" s="6" t="str">
        <f>'Reported burning'!G915</f>
        <v>ND</v>
      </c>
      <c r="H915" s="6" t="str">
        <f>'Reported burning'!H915</f>
        <v>Presence</v>
      </c>
      <c r="I915" s="3"/>
      <c r="J915" s="21" t="s">
        <v>2276</v>
      </c>
      <c r="K915" s="21" t="s">
        <v>2276</v>
      </c>
      <c r="L915" s="21" t="s">
        <v>2276</v>
      </c>
      <c r="M915" s="21" t="s">
        <v>2276</v>
      </c>
      <c r="N915" s="21" t="s">
        <v>2276</v>
      </c>
      <c r="O915" s="21" t="s">
        <v>2276</v>
      </c>
      <c r="P915" s="21" t="s">
        <v>2276</v>
      </c>
      <c r="Q915" s="21" t="s">
        <v>2276</v>
      </c>
      <c r="R915" s="21" t="s">
        <v>2276</v>
      </c>
      <c r="S915" s="21" t="s">
        <v>2276</v>
      </c>
      <c r="T915" s="21" t="s">
        <v>2276</v>
      </c>
      <c r="U915" s="21" t="s">
        <v>2276</v>
      </c>
      <c r="V915" s="21" t="s">
        <v>2276</v>
      </c>
      <c r="W915" s="21" t="s">
        <v>2276</v>
      </c>
      <c r="X915" s="21" t="s">
        <v>2276</v>
      </c>
      <c r="Y915" s="21" t="s">
        <v>2276</v>
      </c>
      <c r="Z915" s="21" t="s">
        <v>2276</v>
      </c>
      <c r="AA915" s="4" t="s">
        <v>2906</v>
      </c>
      <c r="AB915" s="3"/>
    </row>
    <row r="916" spans="1:28" ht="33.5" customHeight="1">
      <c r="A916" s="6" t="str">
        <f>'Reported burning'!A916</f>
        <v>110c</v>
      </c>
      <c r="B916" s="6" t="str">
        <f>'Reported burning'!B916</f>
        <v>110c.7</v>
      </c>
      <c r="C916" s="6" t="str">
        <f>'Reported burning'!C916</f>
        <v>Human, deliberate</v>
      </c>
      <c r="D916" s="6" t="str">
        <f>'Reported burning'!D916</f>
        <v>Arson</v>
      </c>
      <c r="E916" s="6" t="str">
        <f>'Reported burning'!E916</f>
        <v>All</v>
      </c>
      <c r="F916" s="6" t="str">
        <f>'Reported burning'!F916</f>
        <v>Shrubland (Mixed forest &amp; grassland)</v>
      </c>
      <c r="G916" s="6" t="str">
        <f>'Reported burning'!G916</f>
        <v>ND</v>
      </c>
      <c r="H916" s="6" t="str">
        <f>'Reported burning'!H916</f>
        <v>Presence</v>
      </c>
      <c r="I916" s="3"/>
      <c r="J916" s="21" t="s">
        <v>2276</v>
      </c>
      <c r="K916" s="21" t="s">
        <v>2276</v>
      </c>
      <c r="L916" s="21" t="s">
        <v>2276</v>
      </c>
      <c r="M916" s="21" t="s">
        <v>2276</v>
      </c>
      <c r="N916" s="21" t="s">
        <v>2276</v>
      </c>
      <c r="O916" s="21" t="s">
        <v>2276</v>
      </c>
      <c r="P916" s="21" t="s">
        <v>2276</v>
      </c>
      <c r="Q916" s="21" t="s">
        <v>2276</v>
      </c>
      <c r="R916" s="21" t="s">
        <v>2276</v>
      </c>
      <c r="S916" s="21" t="s">
        <v>2276</v>
      </c>
      <c r="T916" s="21" t="s">
        <v>2276</v>
      </c>
      <c r="U916" s="21" t="s">
        <v>2276</v>
      </c>
      <c r="V916" s="21" t="s">
        <v>2276</v>
      </c>
      <c r="W916" s="21" t="s">
        <v>2276</v>
      </c>
      <c r="X916" s="21" t="s">
        <v>2276</v>
      </c>
      <c r="Y916" s="21" t="s">
        <v>2276</v>
      </c>
      <c r="Z916" s="21" t="s">
        <v>2276</v>
      </c>
      <c r="AA916" s="4" t="s">
        <v>2903</v>
      </c>
      <c r="AB916" s="3"/>
    </row>
    <row r="917" spans="1:28" ht="46" customHeight="1">
      <c r="A917" s="6" t="str">
        <f>'Reported burning'!A917</f>
        <v>110d</v>
      </c>
      <c r="B917" s="6" t="str">
        <f>'Reported burning'!B917</f>
        <v>110d.1</v>
      </c>
      <c r="C917" s="6" t="str">
        <f>'Reported burning'!C917</f>
        <v>Human, deliberate</v>
      </c>
      <c r="D917" s="6" t="str">
        <f>'Reported burning'!D917</f>
        <v>Conservation</v>
      </c>
      <c r="E917" s="6" t="str">
        <f>'Reported burning'!E917</f>
        <v>Biodiversity conservation</v>
      </c>
      <c r="F917" s="6" t="str">
        <f>'Reported burning'!F917</f>
        <v>Shrubland (Mixed forest &amp; grassland)</v>
      </c>
      <c r="G917" s="6" t="str">
        <f>'Reported burning'!G917</f>
        <v>Shrubland (Mixed forest &amp; grassland)</v>
      </c>
      <c r="H917" s="6" t="str">
        <f>'Reported burning'!H917</f>
        <v>Presence</v>
      </c>
      <c r="I917" s="146"/>
      <c r="J917" s="21" t="s">
        <v>2276</v>
      </c>
      <c r="K917" s="21" t="s">
        <v>2276</v>
      </c>
      <c r="L917" s="21" t="s">
        <v>2276</v>
      </c>
      <c r="M917" s="21" t="s">
        <v>2276</v>
      </c>
      <c r="N917" s="21" t="s">
        <v>2276</v>
      </c>
      <c r="O917" s="21" t="s">
        <v>2276</v>
      </c>
      <c r="P917" s="21" t="s">
        <v>2276</v>
      </c>
      <c r="Q917" s="21" t="s">
        <v>2276</v>
      </c>
      <c r="R917" s="21" t="s">
        <v>2276</v>
      </c>
      <c r="S917" s="21" t="s">
        <v>2276</v>
      </c>
      <c r="T917" s="21" t="s">
        <v>2276</v>
      </c>
      <c r="U917" s="21" t="s">
        <v>2276</v>
      </c>
      <c r="V917" s="21" t="s">
        <v>2276</v>
      </c>
      <c r="W917" s="21" t="s">
        <v>2401</v>
      </c>
      <c r="X917" s="21" t="s">
        <v>2276</v>
      </c>
      <c r="Y917" s="21" t="s">
        <v>2276</v>
      </c>
      <c r="Z917" s="21" t="s">
        <v>2276</v>
      </c>
      <c r="AA917" s="146"/>
      <c r="AB917" s="148" t="s">
        <v>2929</v>
      </c>
    </row>
    <row r="918" spans="1:28" ht="64.5" customHeight="1">
      <c r="A918" s="6" t="str">
        <f>'Reported burning'!A918</f>
        <v>111a</v>
      </c>
      <c r="B918" s="6" t="str">
        <f>'Reported burning'!B918</f>
        <v>111a.1</v>
      </c>
      <c r="C918" s="6" t="str">
        <f>'Reported burning'!C918</f>
        <v>Human, deliberate</v>
      </c>
      <c r="D918" s="6" t="str">
        <f>'Reported burning'!D918</f>
        <v>Crop field preparation</v>
      </c>
      <c r="E918" s="6" t="str">
        <f>'Reported burning'!E918</f>
        <v>Cropping, Swidden</v>
      </c>
      <c r="F918" s="6" t="str">
        <f>'Reported burning'!F918</f>
        <v>Secondary Vegetation</v>
      </c>
      <c r="G918" s="6" t="str">
        <f>'Reported burning'!G918</f>
        <v>ND</v>
      </c>
      <c r="H918" s="6" t="str">
        <f>'Reported burning'!H918</f>
        <v>Presence</v>
      </c>
      <c r="I918" s="3"/>
      <c r="J918" s="21" t="s">
        <v>2373</v>
      </c>
      <c r="K918" s="103" t="s">
        <v>2362</v>
      </c>
      <c r="L918" s="21" t="s">
        <v>2276</v>
      </c>
      <c r="M918" s="21" t="s">
        <v>2276</v>
      </c>
      <c r="N918" s="21" t="s">
        <v>2276</v>
      </c>
      <c r="O918" s="21" t="s">
        <v>2375</v>
      </c>
      <c r="P918" s="21" t="s">
        <v>2276</v>
      </c>
      <c r="Q918" s="21" t="s">
        <v>2362</v>
      </c>
      <c r="R918" s="21" t="s">
        <v>2276</v>
      </c>
      <c r="S918" s="21" t="s">
        <v>2374</v>
      </c>
      <c r="T918" s="21" t="s">
        <v>2276</v>
      </c>
      <c r="U918" s="21" t="s">
        <v>2527</v>
      </c>
      <c r="V918" s="21" t="s">
        <v>2276</v>
      </c>
      <c r="W918" s="21" t="s">
        <v>2403</v>
      </c>
      <c r="X918" s="21" t="s">
        <v>2276</v>
      </c>
      <c r="Y918" s="21" t="s">
        <v>2276</v>
      </c>
      <c r="Z918" s="21" t="s">
        <v>2276</v>
      </c>
      <c r="AA918" s="3" t="s">
        <v>2733</v>
      </c>
      <c r="AB918" s="4" t="s">
        <v>2942</v>
      </c>
    </row>
    <row r="919" spans="1:28" ht="62.5" customHeight="1">
      <c r="A919" s="6" t="str">
        <f>'Reported burning'!A919</f>
        <v>111a</v>
      </c>
      <c r="B919" s="6" t="str">
        <f>'Reported burning'!B919</f>
        <v>111a.2</v>
      </c>
      <c r="C919" s="6" t="str">
        <f>'Reported burning'!C919</f>
        <v>Human, deliberate</v>
      </c>
      <c r="D919" s="6" t="str">
        <f>'Reported burning'!D919</f>
        <v>Crop field preparation</v>
      </c>
      <c r="E919" s="6" t="str">
        <f>'Reported burning'!E919</f>
        <v>Cropping, Swidden</v>
      </c>
      <c r="F919" s="6" t="str">
        <f>'Reported burning'!F919</f>
        <v>Secondary Vegetation</v>
      </c>
      <c r="G919" s="6" t="str">
        <f>'Reported burning'!G919</f>
        <v>ND</v>
      </c>
      <c r="H919" s="6" t="str">
        <f>'Reported burning'!H919</f>
        <v>Presence</v>
      </c>
      <c r="I919" s="3"/>
      <c r="J919" s="21" t="s">
        <v>2373</v>
      </c>
      <c r="K919" s="103" t="s">
        <v>2362</v>
      </c>
      <c r="L919" s="21" t="s">
        <v>2276</v>
      </c>
      <c r="M919" s="21" t="s">
        <v>2276</v>
      </c>
      <c r="N919" s="21" t="s">
        <v>2276</v>
      </c>
      <c r="O919" s="21" t="s">
        <v>2362</v>
      </c>
      <c r="P919" s="21" t="s">
        <v>2276</v>
      </c>
      <c r="Q919" s="21" t="s">
        <v>2362</v>
      </c>
      <c r="R919" s="21" t="s">
        <v>2276</v>
      </c>
      <c r="S919" s="21" t="s">
        <v>2374</v>
      </c>
      <c r="T919" s="21" t="s">
        <v>2276</v>
      </c>
      <c r="U919" s="21" t="s">
        <v>2527</v>
      </c>
      <c r="V919" s="21" t="s">
        <v>2276</v>
      </c>
      <c r="W919" s="21" t="s">
        <v>2403</v>
      </c>
      <c r="X919" s="21" t="s">
        <v>2276</v>
      </c>
      <c r="Y919" s="21" t="s">
        <v>2276</v>
      </c>
      <c r="Z919" s="21" t="s">
        <v>2276</v>
      </c>
      <c r="AA919" s="3" t="s">
        <v>2733</v>
      </c>
      <c r="AB919" s="4" t="s">
        <v>2942</v>
      </c>
    </row>
    <row r="920" spans="1:28" ht="70" customHeight="1">
      <c r="A920" s="6" t="str">
        <f>'Reported burning'!A920</f>
        <v>111b</v>
      </c>
      <c r="B920" s="6" t="str">
        <f>'Reported burning'!B920</f>
        <v>111b.1</v>
      </c>
      <c r="C920" s="6" t="str">
        <f>'Reported burning'!C920</f>
        <v>Human, deliberate</v>
      </c>
      <c r="D920" s="6" t="str">
        <f>'Reported burning'!D920</f>
        <v>Crop field preparation</v>
      </c>
      <c r="E920" s="6" t="str">
        <f>'Reported burning'!E920</f>
        <v>Cropping, Swidden</v>
      </c>
      <c r="F920" s="6" t="str">
        <f>'Reported burning'!F920</f>
        <v>Secondary Vegetation</v>
      </c>
      <c r="G920" s="6" t="str">
        <f>'Reported burning'!G920</f>
        <v>ND</v>
      </c>
      <c r="H920" s="6" t="str">
        <f>'Reported burning'!H920</f>
        <v>Presence</v>
      </c>
      <c r="I920" s="3"/>
      <c r="J920" s="21" t="s">
        <v>2373</v>
      </c>
      <c r="K920" s="103" t="s">
        <v>2362</v>
      </c>
      <c r="L920" s="21" t="s">
        <v>2276</v>
      </c>
      <c r="M920" s="21" t="s">
        <v>2276</v>
      </c>
      <c r="N920" s="21" t="s">
        <v>2276</v>
      </c>
      <c r="O920" s="21" t="s">
        <v>2362</v>
      </c>
      <c r="P920" s="21" t="s">
        <v>2276</v>
      </c>
      <c r="Q920" s="21" t="s">
        <v>2362</v>
      </c>
      <c r="R920" s="21" t="s">
        <v>2276</v>
      </c>
      <c r="S920" s="21" t="s">
        <v>2374</v>
      </c>
      <c r="T920" s="21" t="s">
        <v>2276</v>
      </c>
      <c r="U920" s="21" t="s">
        <v>2527</v>
      </c>
      <c r="V920" s="21" t="s">
        <v>2276</v>
      </c>
      <c r="W920" s="21" t="s">
        <v>2403</v>
      </c>
      <c r="X920" s="21" t="s">
        <v>2276</v>
      </c>
      <c r="Y920" s="21" t="s">
        <v>2276</v>
      </c>
      <c r="Z920" s="21" t="s">
        <v>2276</v>
      </c>
      <c r="AA920" s="3" t="s">
        <v>2733</v>
      </c>
      <c r="AB920" s="4" t="s">
        <v>2942</v>
      </c>
    </row>
    <row r="921" spans="1:28" ht="73.5" customHeight="1">
      <c r="A921" s="6" t="str">
        <f>'Reported burning'!A921</f>
        <v>111b</v>
      </c>
      <c r="B921" s="6" t="str">
        <f>'Reported burning'!B921</f>
        <v>111b.2</v>
      </c>
      <c r="C921" s="6" t="str">
        <f>'Reported burning'!C921</f>
        <v>Human, deliberate</v>
      </c>
      <c r="D921" s="6" t="str">
        <f>'Reported burning'!D921</f>
        <v>Crop field preparation</v>
      </c>
      <c r="E921" s="6" t="str">
        <f>'Reported burning'!E921</f>
        <v>Cropping, Swidden</v>
      </c>
      <c r="F921" s="6" t="str">
        <f>'Reported burning'!F921</f>
        <v>Secondary Vegetation</v>
      </c>
      <c r="G921" s="6" t="str">
        <f>'Reported burning'!G921</f>
        <v>ND</v>
      </c>
      <c r="H921" s="6" t="str">
        <f>'Reported burning'!H921</f>
        <v>Presence</v>
      </c>
      <c r="I921" s="3"/>
      <c r="J921" s="21" t="s">
        <v>2373</v>
      </c>
      <c r="K921" s="103" t="s">
        <v>2362</v>
      </c>
      <c r="L921" s="21" t="s">
        <v>2276</v>
      </c>
      <c r="M921" s="21" t="s">
        <v>2276</v>
      </c>
      <c r="N921" s="21" t="s">
        <v>2276</v>
      </c>
      <c r="O921" s="21" t="s">
        <v>2362</v>
      </c>
      <c r="P921" s="21" t="s">
        <v>2276</v>
      </c>
      <c r="Q921" s="21" t="s">
        <v>2362</v>
      </c>
      <c r="R921" s="21" t="s">
        <v>2276</v>
      </c>
      <c r="S921" s="21" t="s">
        <v>2374</v>
      </c>
      <c r="T921" s="21" t="s">
        <v>2276</v>
      </c>
      <c r="U921" s="21" t="s">
        <v>2527</v>
      </c>
      <c r="V921" s="21" t="s">
        <v>2276</v>
      </c>
      <c r="W921" s="21" t="s">
        <v>2403</v>
      </c>
      <c r="X921" s="21" t="s">
        <v>2276</v>
      </c>
      <c r="Y921" s="21" t="s">
        <v>2276</v>
      </c>
      <c r="Z921" s="21" t="s">
        <v>2276</v>
      </c>
      <c r="AA921" s="3" t="s">
        <v>2733</v>
      </c>
      <c r="AB921" s="4" t="s">
        <v>2942</v>
      </c>
    </row>
    <row r="922" spans="1:28" ht="45" customHeight="1">
      <c r="A922" s="6" t="str">
        <f>'Reported burning'!A922</f>
        <v>112a</v>
      </c>
      <c r="B922" s="6" t="str">
        <f>'Reported burning'!B922</f>
        <v>112a.1</v>
      </c>
      <c r="C922" s="6" t="str">
        <f>'Reported burning'!C922</f>
        <v>Human, deliberate</v>
      </c>
      <c r="D922" s="6" t="str">
        <f>'Reported burning'!D922</f>
        <v>Crop field preparation</v>
      </c>
      <c r="E922" s="6" t="str">
        <f>'Reported burning'!E922</f>
        <v>Cropping, Swidden</v>
      </c>
      <c r="F922" s="6" t="str">
        <f>'Reported burning'!F922</f>
        <v>Secondary Vegetation</v>
      </c>
      <c r="G922" s="6" t="str">
        <f>'Reported burning'!G922</f>
        <v>ND</v>
      </c>
      <c r="H922" s="6" t="str">
        <f>'Reported burning'!H922</f>
        <v>Presence</v>
      </c>
      <c r="I922" s="3"/>
      <c r="J922" s="21" t="s">
        <v>2276</v>
      </c>
      <c r="K922" s="103" t="s">
        <v>2362</v>
      </c>
      <c r="L922" s="21" t="s">
        <v>2276</v>
      </c>
      <c r="M922" s="21" t="s">
        <v>2276</v>
      </c>
      <c r="N922" s="21" t="s">
        <v>2276</v>
      </c>
      <c r="O922" s="21" t="s">
        <v>2375</v>
      </c>
      <c r="P922" s="21" t="s">
        <v>2276</v>
      </c>
      <c r="Q922" s="21" t="s">
        <v>2276</v>
      </c>
      <c r="R922" s="21" t="s">
        <v>2276</v>
      </c>
      <c r="S922" s="21" t="s">
        <v>2276</v>
      </c>
      <c r="T922" s="21" t="s">
        <v>2276</v>
      </c>
      <c r="U922" s="21" t="s">
        <v>2276</v>
      </c>
      <c r="V922" s="21" t="s">
        <v>2276</v>
      </c>
      <c r="W922" s="21" t="s">
        <v>2401</v>
      </c>
      <c r="X922" s="3" t="s">
        <v>38</v>
      </c>
      <c r="Y922" s="3" t="s">
        <v>86</v>
      </c>
      <c r="Z922" s="3" t="s">
        <v>64</v>
      </c>
      <c r="AA922" s="3"/>
      <c r="AB922" s="4" t="s">
        <v>2949</v>
      </c>
    </row>
    <row r="923" spans="1:28" ht="35.5" customHeight="1">
      <c r="A923" s="6" t="str">
        <f>'Reported burning'!A923</f>
        <v>113a</v>
      </c>
      <c r="B923" s="6" t="str">
        <f>'Reported burning'!B923</f>
        <v>113a.1</v>
      </c>
      <c r="C923" s="6" t="str">
        <f>'Reported burning'!C923</f>
        <v>Human, deliberate</v>
      </c>
      <c r="D923" s="6" t="str">
        <f>'Reported burning'!D923</f>
        <v>Pyrome management</v>
      </c>
      <c r="E923" s="6" t="str">
        <f>'Reported burning'!E923</f>
        <v>Cropping, Swidden</v>
      </c>
      <c r="F923" s="6" t="str">
        <f>'Reported burning'!F923</f>
        <v>Shrubland (Mixed forest &amp; grassland)</v>
      </c>
      <c r="G923" s="6" t="str">
        <f>'Reported burning'!G923</f>
        <v>ND</v>
      </c>
      <c r="H923" s="6" t="str">
        <f>'Reported burning'!H923</f>
        <v>Presence</v>
      </c>
      <c r="I923" s="4"/>
      <c r="J923" s="3" t="s">
        <v>2276</v>
      </c>
      <c r="K923" s="3" t="s">
        <v>2276</v>
      </c>
      <c r="L923" s="3" t="s">
        <v>2276</v>
      </c>
      <c r="M923" s="3" t="s">
        <v>2276</v>
      </c>
      <c r="N923" s="3" t="s">
        <v>2276</v>
      </c>
      <c r="O923" s="3" t="s">
        <v>2276</v>
      </c>
      <c r="P923" s="3" t="s">
        <v>2276</v>
      </c>
      <c r="Q923" s="3" t="s">
        <v>2276</v>
      </c>
      <c r="R923" s="3" t="s">
        <v>2276</v>
      </c>
      <c r="S923" s="3" t="s">
        <v>2276</v>
      </c>
      <c r="T923" s="3" t="s">
        <v>2276</v>
      </c>
      <c r="U923" s="3" t="s">
        <v>2276</v>
      </c>
      <c r="V923" s="3" t="s">
        <v>2276</v>
      </c>
      <c r="W923" s="3" t="s">
        <v>2276</v>
      </c>
      <c r="X923" s="3" t="s">
        <v>38</v>
      </c>
      <c r="Y923" s="3" t="s">
        <v>86</v>
      </c>
      <c r="Z923" s="3" t="s">
        <v>64</v>
      </c>
      <c r="AA923" s="4" t="s">
        <v>2959</v>
      </c>
      <c r="AB923" s="3"/>
    </row>
    <row r="924" spans="1:28" ht="42.5" customHeight="1">
      <c r="A924" s="6" t="str">
        <f>'Reported burning'!A924</f>
        <v>113a</v>
      </c>
      <c r="B924" s="6" t="str">
        <f>'Reported burning'!B924</f>
        <v>113a.2</v>
      </c>
      <c r="C924" s="6" t="str">
        <f>'Reported burning'!C924</f>
        <v>Human, deliberate</v>
      </c>
      <c r="D924" s="6" t="str">
        <f>'Reported burning'!D924</f>
        <v>Pyrome management</v>
      </c>
      <c r="E924" s="6" t="str">
        <f>'Reported burning'!E924</f>
        <v>Forestry, Traditional</v>
      </c>
      <c r="F924" s="6" t="str">
        <f>'Reported burning'!F924</f>
        <v>Shrubland (Mixed forest &amp; grassland)</v>
      </c>
      <c r="G924" s="6" t="str">
        <f>'Reported burning'!G924</f>
        <v>ND</v>
      </c>
      <c r="H924" s="6" t="str">
        <f>'Reported burning'!H924</f>
        <v>Presence</v>
      </c>
      <c r="I924" s="4"/>
      <c r="J924" s="3" t="s">
        <v>2276</v>
      </c>
      <c r="K924" s="3" t="s">
        <v>2276</v>
      </c>
      <c r="L924" s="3" t="s">
        <v>2276</v>
      </c>
      <c r="M924" s="3" t="s">
        <v>2276</v>
      </c>
      <c r="N924" s="3" t="s">
        <v>2276</v>
      </c>
      <c r="O924" s="3" t="s">
        <v>2276</v>
      </c>
      <c r="P924" s="3" t="s">
        <v>2276</v>
      </c>
      <c r="Q924" s="3" t="s">
        <v>2276</v>
      </c>
      <c r="R924" s="3" t="s">
        <v>2276</v>
      </c>
      <c r="S924" s="3" t="s">
        <v>2276</v>
      </c>
      <c r="T924" s="3" t="s">
        <v>2276</v>
      </c>
      <c r="U924" s="3" t="s">
        <v>2276</v>
      </c>
      <c r="V924" s="3" t="s">
        <v>2276</v>
      </c>
      <c r="W924" s="3" t="s">
        <v>2276</v>
      </c>
      <c r="X924" s="3" t="s">
        <v>38</v>
      </c>
      <c r="Y924" s="3" t="s">
        <v>86</v>
      </c>
      <c r="Z924" s="3" t="s">
        <v>64</v>
      </c>
      <c r="AA924" s="4" t="s">
        <v>2961</v>
      </c>
      <c r="AB924" s="3"/>
    </row>
    <row r="925" spans="1:28" ht="47" customHeight="1">
      <c r="A925" s="6" t="str">
        <f>'Reported burning'!A925</f>
        <v>113a</v>
      </c>
      <c r="B925" s="6" t="str">
        <f>'Reported burning'!B925</f>
        <v>113a.3</v>
      </c>
      <c r="C925" s="6" t="str">
        <f>'Reported burning'!C925</f>
        <v>Human, deliberate</v>
      </c>
      <c r="D925" s="6" t="str">
        <f>'Reported burning'!D925</f>
        <v>Hunting</v>
      </c>
      <c r="E925" s="6" t="str">
        <f>'Reported burning'!E925</f>
        <v>Forestry, Traditional</v>
      </c>
      <c r="F925" s="6" t="str">
        <f>'Reported burning'!F925</f>
        <v>Shrubland (Mixed forest &amp; grassland)</v>
      </c>
      <c r="G925" s="6" t="str">
        <f>'Reported burning'!G925</f>
        <v>ND</v>
      </c>
      <c r="H925" s="6" t="str">
        <f>'Reported burning'!H925</f>
        <v>Presence</v>
      </c>
      <c r="I925" s="4"/>
      <c r="J925" s="3" t="s">
        <v>2276</v>
      </c>
      <c r="K925" s="3" t="s">
        <v>2276</v>
      </c>
      <c r="L925" s="3" t="s">
        <v>2276</v>
      </c>
      <c r="M925" s="3" t="s">
        <v>2276</v>
      </c>
      <c r="N925" s="3" t="s">
        <v>2276</v>
      </c>
      <c r="O925" s="3" t="s">
        <v>2276</v>
      </c>
      <c r="P925" s="3" t="s">
        <v>2276</v>
      </c>
      <c r="Q925" s="3" t="s">
        <v>2276</v>
      </c>
      <c r="R925" s="3" t="s">
        <v>2276</v>
      </c>
      <c r="S925" s="3" t="s">
        <v>2276</v>
      </c>
      <c r="T925" s="3" t="s">
        <v>2276</v>
      </c>
      <c r="U925" s="3" t="s">
        <v>2276</v>
      </c>
      <c r="V925" s="3" t="s">
        <v>2276</v>
      </c>
      <c r="W925" s="3" t="s">
        <v>2276</v>
      </c>
      <c r="X925" s="3" t="s">
        <v>38</v>
      </c>
      <c r="Y925" s="3" t="s">
        <v>38</v>
      </c>
      <c r="Z925" s="3" t="s">
        <v>64</v>
      </c>
      <c r="AA925" s="4" t="s">
        <v>2974</v>
      </c>
      <c r="AB925" s="3"/>
    </row>
    <row r="926" spans="1:28" ht="51.5" customHeight="1">
      <c r="A926" s="6" t="str">
        <f>'Reported burning'!A926</f>
        <v>113a</v>
      </c>
      <c r="B926" s="6" t="str">
        <f>'Reported burning'!B926</f>
        <v>113a.4</v>
      </c>
      <c r="C926" s="6" t="str">
        <f>'Reported burning'!C926</f>
        <v>Human, deliberate</v>
      </c>
      <c r="D926" s="6" t="str">
        <f>'Reported burning'!D926</f>
        <v>Vegetation management</v>
      </c>
      <c r="E926" s="6" t="str">
        <f>'Reported burning'!E926</f>
        <v>Forestry, Traditional</v>
      </c>
      <c r="F926" s="6" t="str">
        <f>'Reported burning'!F926</f>
        <v>Shrubland (Mixed forest &amp; grassland)</v>
      </c>
      <c r="G926" s="6" t="str">
        <f>'Reported burning'!G926</f>
        <v>ND</v>
      </c>
      <c r="H926" s="6" t="str">
        <f>'Reported burning'!H926</f>
        <v>Presence</v>
      </c>
      <c r="I926" s="4"/>
      <c r="J926" s="3" t="s">
        <v>2276</v>
      </c>
      <c r="K926" s="3" t="s">
        <v>2276</v>
      </c>
      <c r="L926" s="3" t="s">
        <v>2276</v>
      </c>
      <c r="M926" s="3" t="s">
        <v>2276</v>
      </c>
      <c r="N926" s="3" t="s">
        <v>2276</v>
      </c>
      <c r="O926" s="3" t="s">
        <v>2276</v>
      </c>
      <c r="P926" s="3" t="s">
        <v>2276</v>
      </c>
      <c r="Q926" s="3" t="s">
        <v>2276</v>
      </c>
      <c r="R926" s="3" t="s">
        <v>2276</v>
      </c>
      <c r="S926" s="3" t="s">
        <v>2276</v>
      </c>
      <c r="T926" s="3" t="s">
        <v>2276</v>
      </c>
      <c r="U926" s="3" t="s">
        <v>2276</v>
      </c>
      <c r="V926" s="3" t="s">
        <v>2276</v>
      </c>
      <c r="W926" s="3" t="s">
        <v>2276</v>
      </c>
      <c r="X926" s="3" t="s">
        <v>38</v>
      </c>
      <c r="Y926" s="3" t="s">
        <v>86</v>
      </c>
      <c r="Z926" s="3" t="s">
        <v>64</v>
      </c>
      <c r="AA926" s="4" t="s">
        <v>2964</v>
      </c>
      <c r="AB926" s="3"/>
    </row>
    <row r="927" spans="1:28" ht="27" customHeight="1">
      <c r="A927" s="6" t="str">
        <f>'Reported burning'!A927</f>
        <v>113a</v>
      </c>
      <c r="B927" s="6" t="str">
        <f>'Reported burning'!B927</f>
        <v>113a.5</v>
      </c>
      <c r="C927" s="6" t="str">
        <f>'Reported burning'!C927</f>
        <v>Human, deliberate</v>
      </c>
      <c r="D927" s="6" t="str">
        <f>'Reported burning'!D927</f>
        <v>Pasture renewal</v>
      </c>
      <c r="E927" s="6" t="str">
        <f>'Reported burning'!E927</f>
        <v>Cattle, Extensive</v>
      </c>
      <c r="F927" s="6" t="str">
        <f>'Reported burning'!F927</f>
        <v>Pasture</v>
      </c>
      <c r="G927" s="6" t="str">
        <f>'Reported burning'!G927</f>
        <v>ND</v>
      </c>
      <c r="H927" s="6" t="str">
        <f>'Reported burning'!H927</f>
        <v>Presence</v>
      </c>
      <c r="I927" s="4"/>
      <c r="J927" s="3" t="s">
        <v>2276</v>
      </c>
      <c r="K927" s="3" t="s">
        <v>2276</v>
      </c>
      <c r="L927" s="3" t="s">
        <v>2276</v>
      </c>
      <c r="M927" s="3" t="s">
        <v>2276</v>
      </c>
      <c r="N927" s="3" t="s">
        <v>2276</v>
      </c>
      <c r="O927" s="3" t="s">
        <v>2276</v>
      </c>
      <c r="P927" s="3" t="s">
        <v>2276</v>
      </c>
      <c r="Q927" s="3" t="s">
        <v>2276</v>
      </c>
      <c r="R927" s="3" t="s">
        <v>2276</v>
      </c>
      <c r="S927" s="3" t="s">
        <v>2276</v>
      </c>
      <c r="T927" s="3" t="s">
        <v>2276</v>
      </c>
      <c r="U927" s="3" t="s">
        <v>2276</v>
      </c>
      <c r="V927" s="3" t="s">
        <v>2276</v>
      </c>
      <c r="W927" s="3" t="s">
        <v>2276</v>
      </c>
      <c r="X927" s="3" t="s">
        <v>86</v>
      </c>
      <c r="Y927" s="3" t="s">
        <v>86</v>
      </c>
      <c r="Z927" s="3" t="s">
        <v>64</v>
      </c>
      <c r="AA927" s="3" t="s">
        <v>2966</v>
      </c>
      <c r="AB927" s="3"/>
    </row>
    <row r="928" spans="1:28" ht="35.5" customHeight="1">
      <c r="A928" s="6" t="str">
        <f>'Reported burning'!A928</f>
        <v>113a</v>
      </c>
      <c r="B928" s="6" t="str">
        <f>'Reported burning'!B928</f>
        <v>113a.6</v>
      </c>
      <c r="C928" s="6" t="str">
        <f>'Reported burning'!C928</f>
        <v>Human, deliberate</v>
      </c>
      <c r="D928" s="6" t="str">
        <f>'Reported burning'!D928</f>
        <v>Crop field preparation</v>
      </c>
      <c r="E928" s="6" t="str">
        <f>'Reported burning'!E928</f>
        <v>Cropping, Swidden</v>
      </c>
      <c r="F928" s="6" t="str">
        <f>'Reported burning'!F928</f>
        <v>Secondary Vegetation</v>
      </c>
      <c r="G928" s="6" t="str">
        <f>'Reported burning'!G928</f>
        <v>ND</v>
      </c>
      <c r="H928" s="6" t="str">
        <f>'Reported burning'!H928</f>
        <v>Presence</v>
      </c>
      <c r="I928" s="4"/>
      <c r="J928" s="3" t="s">
        <v>2276</v>
      </c>
      <c r="K928" s="3" t="s">
        <v>2276</v>
      </c>
      <c r="L928" s="3" t="s">
        <v>2276</v>
      </c>
      <c r="M928" s="3" t="s">
        <v>2276</v>
      </c>
      <c r="N928" s="3" t="s">
        <v>2276</v>
      </c>
      <c r="O928" s="3" t="s">
        <v>2276</v>
      </c>
      <c r="P928" s="3" t="s">
        <v>2276</v>
      </c>
      <c r="Q928" s="3" t="s">
        <v>2276</v>
      </c>
      <c r="R928" s="3" t="s">
        <v>2276</v>
      </c>
      <c r="S928" s="3" t="s">
        <v>2276</v>
      </c>
      <c r="T928" s="3" t="s">
        <v>2276</v>
      </c>
      <c r="U928" s="3" t="s">
        <v>2276</v>
      </c>
      <c r="V928" s="3" t="s">
        <v>2276</v>
      </c>
      <c r="W928" s="3" t="s">
        <v>2276</v>
      </c>
      <c r="X928" s="3" t="s">
        <v>405</v>
      </c>
      <c r="Y928" s="3" t="s">
        <v>425</v>
      </c>
      <c r="Z928" s="3" t="s">
        <v>76</v>
      </c>
      <c r="AA928" s="4" t="s">
        <v>2968</v>
      </c>
      <c r="AB928" s="3"/>
    </row>
    <row r="929" spans="1:28" ht="49" customHeight="1">
      <c r="A929" s="6" t="str">
        <f>'Reported burning'!A929</f>
        <v>113a</v>
      </c>
      <c r="B929" s="6" t="str">
        <f>'Reported burning'!B929</f>
        <v>113a.7</v>
      </c>
      <c r="C929" s="6" t="str">
        <f>'Reported burning'!C929</f>
        <v>Human, deliberate</v>
      </c>
      <c r="D929" s="6" t="str">
        <f>'Reported burning'!D929</f>
        <v>Accessibility</v>
      </c>
      <c r="E929" s="6" t="str">
        <f>'Reported burning'!E929</f>
        <v>Forestry, Traditional</v>
      </c>
      <c r="F929" s="6" t="str">
        <f>'Reported burning'!F929</f>
        <v>Shrubland (Mixed forest &amp; grassland)</v>
      </c>
      <c r="G929" s="6" t="str">
        <f>'Reported burning'!G929</f>
        <v>ND</v>
      </c>
      <c r="H929" s="6" t="str">
        <f>'Reported burning'!H929</f>
        <v>Presence</v>
      </c>
      <c r="I929" s="4"/>
      <c r="J929" s="3" t="s">
        <v>2276</v>
      </c>
      <c r="K929" s="3" t="s">
        <v>2276</v>
      </c>
      <c r="L929" s="3" t="s">
        <v>2276</v>
      </c>
      <c r="M929" s="3" t="s">
        <v>2276</v>
      </c>
      <c r="N929" s="3" t="s">
        <v>2276</v>
      </c>
      <c r="O929" s="3" t="s">
        <v>2276</v>
      </c>
      <c r="P929" s="3" t="s">
        <v>2276</v>
      </c>
      <c r="Q929" s="3" t="s">
        <v>2276</v>
      </c>
      <c r="R929" s="3" t="s">
        <v>2276</v>
      </c>
      <c r="S929" s="3" t="s">
        <v>2276</v>
      </c>
      <c r="T929" s="3" t="s">
        <v>2276</v>
      </c>
      <c r="U929" s="3" t="s">
        <v>2276</v>
      </c>
      <c r="V929" s="3" t="s">
        <v>2276</v>
      </c>
      <c r="W929" s="21" t="s">
        <v>2401</v>
      </c>
      <c r="X929" s="3" t="s">
        <v>38</v>
      </c>
      <c r="Y929" s="3" t="s">
        <v>425</v>
      </c>
      <c r="Z929" s="3" t="s">
        <v>64</v>
      </c>
      <c r="AA929" s="4" t="s">
        <v>2978</v>
      </c>
      <c r="AB929" s="3"/>
    </row>
    <row r="930" spans="1:28" ht="70.5" customHeight="1">
      <c r="A930" s="6" t="str">
        <f>'Reported burning'!A930</f>
        <v>113a</v>
      </c>
      <c r="B930" s="6" t="str">
        <f>'Reported burning'!B930</f>
        <v>113a.8</v>
      </c>
      <c r="C930" s="6" t="str">
        <f>'Reported burning'!C930</f>
        <v>Human, deliberate</v>
      </c>
      <c r="D930" s="6" t="str">
        <f>'Reported burning'!D930</f>
        <v>Accessibility</v>
      </c>
      <c r="E930" s="6" t="str">
        <f>'Reported burning'!E930</f>
        <v>Cropping, Swidden</v>
      </c>
      <c r="F930" s="6" t="str">
        <f>'Reported burning'!F930</f>
        <v>Shrubland (Mixed forest &amp; grassland)</v>
      </c>
      <c r="G930" s="6" t="str">
        <f>'Reported burning'!G930</f>
        <v>ND</v>
      </c>
      <c r="H930" s="6" t="str">
        <f>'Reported burning'!H930</f>
        <v>Presence</v>
      </c>
      <c r="I930" s="4"/>
      <c r="J930" s="3" t="s">
        <v>2276</v>
      </c>
      <c r="K930" s="3" t="s">
        <v>2276</v>
      </c>
      <c r="L930" s="3" t="s">
        <v>2276</v>
      </c>
      <c r="M930" s="3" t="s">
        <v>2276</v>
      </c>
      <c r="N930" s="3" t="s">
        <v>2276</v>
      </c>
      <c r="O930" s="3" t="s">
        <v>2276</v>
      </c>
      <c r="P930" s="3" t="s">
        <v>2276</v>
      </c>
      <c r="Q930" s="3" t="s">
        <v>2276</v>
      </c>
      <c r="R930" s="3" t="s">
        <v>2276</v>
      </c>
      <c r="S930" s="3" t="s">
        <v>2276</v>
      </c>
      <c r="T930" s="3" t="s">
        <v>2276</v>
      </c>
      <c r="U930" s="3" t="s">
        <v>2276</v>
      </c>
      <c r="V930" s="3" t="s">
        <v>2276</v>
      </c>
      <c r="W930" s="21" t="s">
        <v>2401</v>
      </c>
      <c r="X930" s="3" t="s">
        <v>38</v>
      </c>
      <c r="Y930" s="3" t="s">
        <v>425</v>
      </c>
      <c r="Z930" s="3" t="s">
        <v>64</v>
      </c>
      <c r="AA930" s="4" t="s">
        <v>2979</v>
      </c>
      <c r="AB930" s="3"/>
    </row>
    <row r="931" spans="1:28" ht="29">
      <c r="A931" s="6" t="str">
        <f>'Reported burning'!A931</f>
        <v>113a</v>
      </c>
      <c r="B931" s="6" t="str">
        <f>'Reported burning'!B931</f>
        <v>113a.9</v>
      </c>
      <c r="C931" s="6" t="str">
        <f>'Reported burning'!C931</f>
        <v>Human, deliberate</v>
      </c>
      <c r="D931" s="6" t="str">
        <f>'Reported burning'!D931</f>
        <v>Pest management</v>
      </c>
      <c r="E931" s="6" t="str">
        <f>'Reported burning'!E931</f>
        <v>Cropping, Swidden</v>
      </c>
      <c r="F931" s="6" t="str">
        <f>'Reported burning'!F931</f>
        <v>Shrubland (Mixed forest &amp; grassland)</v>
      </c>
      <c r="G931" s="6" t="str">
        <f>'Reported burning'!G931</f>
        <v>ND</v>
      </c>
      <c r="H931" s="6" t="str">
        <f>'Reported burning'!H931</f>
        <v>Presence</v>
      </c>
      <c r="I931" s="4"/>
      <c r="J931" s="3" t="s">
        <v>2276</v>
      </c>
      <c r="K931" s="3" t="s">
        <v>2276</v>
      </c>
      <c r="L931" s="3" t="s">
        <v>2276</v>
      </c>
      <c r="M931" s="3" t="s">
        <v>2276</v>
      </c>
      <c r="N931" s="3" t="s">
        <v>2276</v>
      </c>
      <c r="O931" s="3" t="s">
        <v>2276</v>
      </c>
      <c r="P931" s="3" t="s">
        <v>2276</v>
      </c>
      <c r="Q931" s="3" t="s">
        <v>2276</v>
      </c>
      <c r="R931" s="3" t="s">
        <v>2276</v>
      </c>
      <c r="S931" s="3" t="s">
        <v>2276</v>
      </c>
      <c r="T931" s="3" t="s">
        <v>2276</v>
      </c>
      <c r="U931" s="3" t="s">
        <v>2276</v>
      </c>
      <c r="V931" s="3" t="s">
        <v>2276</v>
      </c>
      <c r="W931" s="3" t="s">
        <v>2276</v>
      </c>
      <c r="X931" s="3" t="s">
        <v>38</v>
      </c>
      <c r="Y931" s="3" t="s">
        <v>425</v>
      </c>
      <c r="Z931" s="3" t="s">
        <v>64</v>
      </c>
      <c r="AA931" s="3"/>
      <c r="AB931" s="3"/>
    </row>
    <row r="932" spans="1:28" ht="29">
      <c r="A932" s="6" t="str">
        <f>'Reported burning'!A932</f>
        <v>113a</v>
      </c>
      <c r="B932" s="6" t="str">
        <f>'Reported burning'!B932</f>
        <v>113a.10</v>
      </c>
      <c r="C932" s="6" t="str">
        <f>'Reported burning'!C932</f>
        <v>Human, deliberate</v>
      </c>
      <c r="D932" s="6" t="str">
        <f>'Reported burning'!D932</f>
        <v>Pest management</v>
      </c>
      <c r="E932" s="6" t="str">
        <f>'Reported burning'!E932</f>
        <v>Forestry, Traditional</v>
      </c>
      <c r="F932" s="6" t="str">
        <f>'Reported burning'!F932</f>
        <v>Shrubland (Mixed forest &amp; grassland)</v>
      </c>
      <c r="G932" s="6" t="str">
        <f>'Reported burning'!G932</f>
        <v>ND</v>
      </c>
      <c r="H932" s="6" t="str">
        <f>'Reported burning'!H932</f>
        <v>Presence</v>
      </c>
      <c r="I932" s="4"/>
      <c r="J932" s="3" t="s">
        <v>2276</v>
      </c>
      <c r="K932" s="3" t="s">
        <v>2276</v>
      </c>
      <c r="L932" s="3" t="s">
        <v>2276</v>
      </c>
      <c r="M932" s="3" t="s">
        <v>2276</v>
      </c>
      <c r="N932" s="3" t="s">
        <v>2276</v>
      </c>
      <c r="O932" s="3" t="s">
        <v>2276</v>
      </c>
      <c r="P932" s="3" t="s">
        <v>2276</v>
      </c>
      <c r="Q932" s="3" t="s">
        <v>2276</v>
      </c>
      <c r="R932" s="3" t="s">
        <v>2276</v>
      </c>
      <c r="S932" s="3" t="s">
        <v>2276</v>
      </c>
      <c r="T932" s="3" t="s">
        <v>2276</v>
      </c>
      <c r="U932" s="3" t="s">
        <v>2276</v>
      </c>
      <c r="V932" s="3" t="s">
        <v>2276</v>
      </c>
      <c r="W932" s="3" t="s">
        <v>2276</v>
      </c>
      <c r="X932" s="3" t="s">
        <v>38</v>
      </c>
      <c r="Y932" s="3" t="s">
        <v>425</v>
      </c>
      <c r="Z932" s="3" t="s">
        <v>64</v>
      </c>
      <c r="AA932" s="3"/>
      <c r="AB932" s="3"/>
    </row>
    <row r="933" spans="1:28" ht="29">
      <c r="A933" s="6" t="str">
        <f>'Reported burning'!A933</f>
        <v>113a</v>
      </c>
      <c r="B933" s="6" t="str">
        <f>'Reported burning'!B933</f>
        <v>113a.11</v>
      </c>
      <c r="C933" s="6" t="str">
        <f>'Reported burning'!C933</f>
        <v>Human, escaped</v>
      </c>
      <c r="D933" s="6" t="str">
        <f>'Reported burning'!D933</f>
        <v>Pasture renewal</v>
      </c>
      <c r="E933" s="6" t="str">
        <f>'Reported burning'!E933</f>
        <v>Cattle, Intensive</v>
      </c>
      <c r="F933" s="6" t="str">
        <f>'Reported burning'!F933</f>
        <v>Pasture</v>
      </c>
      <c r="G933" s="6" t="str">
        <f>'Reported burning'!G933</f>
        <v>Shrubland (Mixed forest &amp; grassland)</v>
      </c>
      <c r="H933" s="6" t="str">
        <f>'Reported burning'!H933</f>
        <v>Presence</v>
      </c>
      <c r="I933" s="3"/>
      <c r="J933" s="3" t="s">
        <v>2276</v>
      </c>
      <c r="K933" s="3" t="s">
        <v>2276</v>
      </c>
      <c r="L933" s="3" t="s">
        <v>2276</v>
      </c>
      <c r="M933" s="3" t="s">
        <v>2276</v>
      </c>
      <c r="N933" s="3" t="s">
        <v>2276</v>
      </c>
      <c r="O933" s="3" t="s">
        <v>2276</v>
      </c>
      <c r="P933" s="3" t="s">
        <v>2276</v>
      </c>
      <c r="Q933" s="3" t="s">
        <v>2276</v>
      </c>
      <c r="R933" s="3" t="s">
        <v>2276</v>
      </c>
      <c r="S933" s="3" t="s">
        <v>2276</v>
      </c>
      <c r="T933" s="3" t="s">
        <v>2276</v>
      </c>
      <c r="U933" s="3" t="s">
        <v>2276</v>
      </c>
      <c r="V933" s="3" t="s">
        <v>2276</v>
      </c>
      <c r="W933" s="3" t="s">
        <v>2276</v>
      </c>
      <c r="X933" s="3" t="s">
        <v>38</v>
      </c>
      <c r="Y933" s="3" t="s">
        <v>425</v>
      </c>
      <c r="Z933" s="3" t="s">
        <v>64</v>
      </c>
      <c r="AA933" s="4" t="s">
        <v>2973</v>
      </c>
      <c r="AB933" s="3"/>
    </row>
    <row r="934" spans="1:28" ht="29.5" customHeight="1">
      <c r="A934" s="6" t="str">
        <f>'Reported burning'!A934</f>
        <v>113a</v>
      </c>
      <c r="B934" s="6" t="str">
        <f>'Reported burning'!B934</f>
        <v>113a.12</v>
      </c>
      <c r="C934" s="6" t="str">
        <f>'Reported burning'!C934</f>
        <v>Human, escaped</v>
      </c>
      <c r="D934" s="6" t="str">
        <f>'Reported burning'!D934</f>
        <v>Crop field preparation</v>
      </c>
      <c r="E934" s="6" t="str">
        <f>'Reported burning'!E934</f>
        <v>Cropping, Swidden</v>
      </c>
      <c r="F934" s="6" t="str">
        <f>'Reported burning'!F934</f>
        <v>Secondary Vegetation</v>
      </c>
      <c r="G934" s="6" t="str">
        <f>'Reported burning'!G934</f>
        <v>Shrubland (Mixed forest &amp; grassland)</v>
      </c>
      <c r="H934" s="6" t="str">
        <f>'Reported burning'!H934</f>
        <v>Presence</v>
      </c>
      <c r="I934" s="3"/>
      <c r="J934" s="3" t="s">
        <v>2276</v>
      </c>
      <c r="K934" s="3" t="s">
        <v>2276</v>
      </c>
      <c r="L934" s="3" t="s">
        <v>2276</v>
      </c>
      <c r="M934" s="3" t="s">
        <v>2276</v>
      </c>
      <c r="N934" s="3" t="s">
        <v>2276</v>
      </c>
      <c r="O934" s="3" t="s">
        <v>2276</v>
      </c>
      <c r="P934" s="3" t="s">
        <v>2276</v>
      </c>
      <c r="Q934" s="3" t="s">
        <v>2276</v>
      </c>
      <c r="R934" s="3" t="s">
        <v>2276</v>
      </c>
      <c r="S934" s="3" t="s">
        <v>2276</v>
      </c>
      <c r="T934" s="3" t="s">
        <v>2276</v>
      </c>
      <c r="U934" s="3" t="s">
        <v>2276</v>
      </c>
      <c r="V934" s="3" t="s">
        <v>2276</v>
      </c>
      <c r="W934" s="3" t="s">
        <v>2276</v>
      </c>
      <c r="X934" s="3" t="s">
        <v>405</v>
      </c>
      <c r="Y934" s="3" t="s">
        <v>425</v>
      </c>
      <c r="Z934" s="3" t="s">
        <v>76</v>
      </c>
      <c r="AA934" s="4" t="s">
        <v>2982</v>
      </c>
      <c r="AB934" s="3"/>
    </row>
    <row r="935" spans="1:28" ht="43.5">
      <c r="A935" s="6" t="str">
        <f>'Reported burning'!A935</f>
        <v>114a</v>
      </c>
      <c r="B935" s="6" t="str">
        <f>'Reported burning'!B935</f>
        <v>114a.1</v>
      </c>
      <c r="C935" s="6" t="str">
        <f>'Reported burning'!C935</f>
        <v>Human, deliberate</v>
      </c>
      <c r="D935" s="6" t="str">
        <f>'Reported burning'!D935</f>
        <v>Pasture renewal</v>
      </c>
      <c r="E935" s="6" t="str">
        <f>'Reported burning'!E935</f>
        <v>Pastoralism, Migratory</v>
      </c>
      <c r="F935" s="6" t="str">
        <f>'Reported burning'!F935</f>
        <v>Shrubland (Mixed forest &amp; grassland)</v>
      </c>
      <c r="G935" s="6" t="str">
        <f>'Reported burning'!G935</f>
        <v>ND</v>
      </c>
      <c r="H935" s="6" t="str">
        <f>'Reported burning'!H935</f>
        <v>Presence</v>
      </c>
      <c r="I935" s="3"/>
      <c r="J935" s="3" t="s">
        <v>2276</v>
      </c>
      <c r="K935" s="3" t="s">
        <v>2276</v>
      </c>
      <c r="L935" s="3" t="s">
        <v>2276</v>
      </c>
      <c r="M935" s="3" t="s">
        <v>2276</v>
      </c>
      <c r="N935" s="3" t="s">
        <v>2276</v>
      </c>
      <c r="O935" s="3" t="s">
        <v>2276</v>
      </c>
      <c r="P935" s="3" t="s">
        <v>2276</v>
      </c>
      <c r="Q935" s="3" t="s">
        <v>2276</v>
      </c>
      <c r="R935" s="3" t="s">
        <v>2276</v>
      </c>
      <c r="S935" s="3" t="s">
        <v>2276</v>
      </c>
      <c r="T935" s="3" t="s">
        <v>2276</v>
      </c>
      <c r="U935" s="3" t="s">
        <v>2276</v>
      </c>
      <c r="V935" s="3" t="s">
        <v>2276</v>
      </c>
      <c r="W935" s="3" t="s">
        <v>2276</v>
      </c>
      <c r="X935" s="3" t="s">
        <v>68</v>
      </c>
      <c r="Y935" s="3" t="s">
        <v>35</v>
      </c>
      <c r="Z935" s="3" t="s">
        <v>64</v>
      </c>
      <c r="AA935" s="4" t="s">
        <v>3006</v>
      </c>
      <c r="AB935" s="3"/>
    </row>
    <row r="936" spans="1:28" ht="29">
      <c r="A936" s="6" t="str">
        <f>'Reported burning'!A936</f>
        <v>114a</v>
      </c>
      <c r="B936" s="6" t="str">
        <f>'Reported burning'!B936</f>
        <v>114a.2</v>
      </c>
      <c r="C936" s="6" t="str">
        <f>'Reported burning'!C936</f>
        <v>Human, deliberate</v>
      </c>
      <c r="D936" s="6" t="str">
        <f>'Reported burning'!D936</f>
        <v>Pest management</v>
      </c>
      <c r="E936" s="6" t="str">
        <f>'Reported burning'!E936</f>
        <v>Pastoralism, Migratory</v>
      </c>
      <c r="F936" s="6" t="str">
        <f>'Reported burning'!F936</f>
        <v>Shrubland (Mixed forest &amp; grassland)</v>
      </c>
      <c r="G936" s="6" t="str">
        <f>'Reported burning'!G936</f>
        <v>ND</v>
      </c>
      <c r="H936" s="6" t="str">
        <f>'Reported burning'!H936</f>
        <v>Presence</v>
      </c>
      <c r="I936" s="3"/>
      <c r="J936" s="3" t="s">
        <v>2276</v>
      </c>
      <c r="K936" s="3" t="s">
        <v>2276</v>
      </c>
      <c r="L936" s="3" t="s">
        <v>2276</v>
      </c>
      <c r="M936" s="3" t="s">
        <v>2276</v>
      </c>
      <c r="N936" s="3" t="s">
        <v>2276</v>
      </c>
      <c r="O936" s="3" t="s">
        <v>2276</v>
      </c>
      <c r="P936" s="3" t="s">
        <v>2276</v>
      </c>
      <c r="Q936" s="3" t="s">
        <v>2276</v>
      </c>
      <c r="R936" s="3" t="s">
        <v>2276</v>
      </c>
      <c r="S936" s="3" t="s">
        <v>2276</v>
      </c>
      <c r="T936" s="3" t="s">
        <v>2276</v>
      </c>
      <c r="U936" s="3" t="s">
        <v>2276</v>
      </c>
      <c r="V936" s="3" t="s">
        <v>2276</v>
      </c>
      <c r="W936" s="3" t="s">
        <v>2276</v>
      </c>
      <c r="X936" s="3"/>
      <c r="Y936" s="3"/>
      <c r="Z936" s="3"/>
      <c r="AA936" s="3"/>
      <c r="AB936" s="3"/>
    </row>
    <row r="937" spans="1:28" ht="43.5">
      <c r="A937" s="6" t="str">
        <f>'Reported burning'!A937</f>
        <v>114a</v>
      </c>
      <c r="B937" s="6" t="str">
        <f>'Reported burning'!B937</f>
        <v>114a.3</v>
      </c>
      <c r="C937" s="6" t="str">
        <f>'Reported burning'!C937</f>
        <v>Human, deliberate</v>
      </c>
      <c r="D937" s="6" t="str">
        <f>'Reported burning'!D937</f>
        <v>Accessibility</v>
      </c>
      <c r="E937" s="6" t="str">
        <f>'Reported burning'!E937</f>
        <v>Pastoralism, Migratory</v>
      </c>
      <c r="F937" s="6" t="str">
        <f>'Reported burning'!F937</f>
        <v>Shrubland (Mixed forest &amp; grassland)</v>
      </c>
      <c r="G937" s="6" t="str">
        <f>'Reported burning'!G937</f>
        <v>ND</v>
      </c>
      <c r="H937" s="6" t="str">
        <f>'Reported burning'!H937</f>
        <v>Presence</v>
      </c>
      <c r="I937" s="3"/>
      <c r="J937" s="3" t="s">
        <v>2276</v>
      </c>
      <c r="K937" s="3" t="s">
        <v>2276</v>
      </c>
      <c r="L937" s="3" t="s">
        <v>2276</v>
      </c>
      <c r="M937" s="3" t="s">
        <v>2276</v>
      </c>
      <c r="N937" s="3" t="s">
        <v>2276</v>
      </c>
      <c r="O937" s="3" t="s">
        <v>2276</v>
      </c>
      <c r="P937" s="3" t="s">
        <v>2276</v>
      </c>
      <c r="Q937" s="3" t="s">
        <v>2276</v>
      </c>
      <c r="R937" s="3" t="s">
        <v>2276</v>
      </c>
      <c r="S937" s="3" t="s">
        <v>2276</v>
      </c>
      <c r="T937" s="3" t="s">
        <v>2276</v>
      </c>
      <c r="U937" s="3" t="s">
        <v>2276</v>
      </c>
      <c r="V937" s="3" t="s">
        <v>2276</v>
      </c>
      <c r="W937" s="3" t="s">
        <v>2276</v>
      </c>
      <c r="X937" s="3" t="s">
        <v>68</v>
      </c>
      <c r="Y937" s="3" t="s">
        <v>35</v>
      </c>
      <c r="Z937" s="3" t="s">
        <v>64</v>
      </c>
      <c r="AA937" s="4" t="s">
        <v>3011</v>
      </c>
      <c r="AB937" s="3"/>
    </row>
    <row r="938" spans="1:28" ht="29">
      <c r="A938" s="6" t="str">
        <f>'Reported burning'!A938</f>
        <v>114a</v>
      </c>
      <c r="B938" s="6" t="str">
        <f>'Reported burning'!B938</f>
        <v>114a.4</v>
      </c>
      <c r="C938" s="6" t="str">
        <f>'Reported burning'!C938</f>
        <v>Human, escaped</v>
      </c>
      <c r="D938" s="6" t="str">
        <f>'Reported burning'!D938</f>
        <v>Domestic</v>
      </c>
      <c r="E938" s="6" t="str">
        <f>'Reported burning'!E938</f>
        <v>Pastoralism, Migratory</v>
      </c>
      <c r="F938" s="6" t="str">
        <f>'Reported burning'!F938</f>
        <v>ND</v>
      </c>
      <c r="G938" s="6" t="str">
        <f>'Reported burning'!G938</f>
        <v>Shrubland (Mixed forest &amp; grassland)</v>
      </c>
      <c r="H938" s="6" t="str">
        <f>'Reported burning'!H938</f>
        <v>Presence</v>
      </c>
      <c r="I938" s="3"/>
      <c r="J938" s="3" t="s">
        <v>2276</v>
      </c>
      <c r="K938" s="3" t="s">
        <v>2276</v>
      </c>
      <c r="L938" s="3" t="s">
        <v>2276</v>
      </c>
      <c r="M938" s="3" t="s">
        <v>2276</v>
      </c>
      <c r="N938" s="3" t="s">
        <v>2276</v>
      </c>
      <c r="O938" s="3" t="s">
        <v>2276</v>
      </c>
      <c r="P938" s="3" t="s">
        <v>2276</v>
      </c>
      <c r="Q938" s="3" t="s">
        <v>2276</v>
      </c>
      <c r="R938" s="3" t="s">
        <v>2276</v>
      </c>
      <c r="S938" s="3" t="s">
        <v>2276</v>
      </c>
      <c r="T938" s="3" t="s">
        <v>2276</v>
      </c>
      <c r="U938" s="3" t="s">
        <v>2276</v>
      </c>
      <c r="V938" s="3" t="s">
        <v>2276</v>
      </c>
      <c r="W938" s="3" t="s">
        <v>2276</v>
      </c>
      <c r="X938" s="3"/>
      <c r="Y938" s="3"/>
      <c r="Z938" s="3"/>
      <c r="AA938" s="3"/>
      <c r="AB938" s="3"/>
    </row>
    <row r="939" spans="1:28" ht="35.5" customHeight="1">
      <c r="A939" s="6" t="str">
        <f>'Reported burning'!A939</f>
        <v>114a</v>
      </c>
      <c r="B939" s="6" t="str">
        <f>'Reported burning'!B939</f>
        <v>114a.5</v>
      </c>
      <c r="C939" s="6" t="str">
        <f>'Reported burning'!C939</f>
        <v>Human, deliberate</v>
      </c>
      <c r="D939" s="6" t="str">
        <f>'Reported burning'!D939</f>
        <v>Crop field preparation</v>
      </c>
      <c r="E939" s="6" t="str">
        <f>'Reported burning'!E939</f>
        <v>Cropping, Swidden</v>
      </c>
      <c r="F939" s="6" t="str">
        <f>'Reported burning'!F939</f>
        <v>Shrubland (Mixed forest &amp; grassland)</v>
      </c>
      <c r="G939" s="6" t="str">
        <f>'Reported burning'!G939</f>
        <v>ND</v>
      </c>
      <c r="H939" s="6" t="str">
        <f>'Reported burning'!H939</f>
        <v>Presence</v>
      </c>
      <c r="I939" s="3"/>
      <c r="J939" s="3" t="s">
        <v>2276</v>
      </c>
      <c r="K939" s="3" t="s">
        <v>2276</v>
      </c>
      <c r="L939" s="3" t="s">
        <v>2276</v>
      </c>
      <c r="M939" s="3" t="s">
        <v>2276</v>
      </c>
      <c r="N939" s="3" t="s">
        <v>2276</v>
      </c>
      <c r="O939" s="3" t="s">
        <v>2276</v>
      </c>
      <c r="P939" s="3" t="s">
        <v>2276</v>
      </c>
      <c r="Q939" s="3" t="s">
        <v>2276</v>
      </c>
      <c r="R939" s="3" t="s">
        <v>2276</v>
      </c>
      <c r="S939" s="3" t="s">
        <v>2276</v>
      </c>
      <c r="T939" s="3" t="s">
        <v>2276</v>
      </c>
      <c r="U939" s="3" t="s">
        <v>2276</v>
      </c>
      <c r="V939" s="3" t="s">
        <v>2276</v>
      </c>
      <c r="W939" s="3" t="s">
        <v>2276</v>
      </c>
      <c r="X939" s="3" t="s">
        <v>34</v>
      </c>
      <c r="Y939" s="3" t="s">
        <v>34</v>
      </c>
      <c r="Z939" s="3" t="s">
        <v>2655</v>
      </c>
      <c r="AA939" s="4" t="s">
        <v>3007</v>
      </c>
      <c r="AB939" s="3"/>
    </row>
    <row r="940" spans="1:28" ht="42.5" customHeight="1">
      <c r="A940" s="6" t="str">
        <f>'Reported burning'!A940</f>
        <v>114a</v>
      </c>
      <c r="B940" s="6" t="str">
        <f>'Reported burning'!B940</f>
        <v>114a.6</v>
      </c>
      <c r="C940" s="6" t="str">
        <f>'Reported burning'!C940</f>
        <v>Human, deliberate</v>
      </c>
      <c r="D940" s="6" t="str">
        <f>'Reported burning'!D940</f>
        <v>Crop field preparation</v>
      </c>
      <c r="E940" s="6" t="str">
        <f>'Reported burning'!E940</f>
        <v>Cropping, Swidden</v>
      </c>
      <c r="F940" s="6" t="str">
        <f>'Reported burning'!F940</f>
        <v>Secondary Vegetation</v>
      </c>
      <c r="G940" s="6" t="str">
        <f>'Reported burning'!G940</f>
        <v>ND</v>
      </c>
      <c r="H940" s="6" t="str">
        <f>'Reported burning'!H940</f>
        <v>Presence</v>
      </c>
      <c r="I940" s="3"/>
      <c r="J940" s="3" t="s">
        <v>2276</v>
      </c>
      <c r="K940" s="3" t="s">
        <v>2276</v>
      </c>
      <c r="L940" s="3" t="s">
        <v>2276</v>
      </c>
      <c r="M940" s="3" t="s">
        <v>2276</v>
      </c>
      <c r="N940" s="3" t="s">
        <v>2276</v>
      </c>
      <c r="O940" s="3" t="s">
        <v>2276</v>
      </c>
      <c r="P940" s="3" t="s">
        <v>2276</v>
      </c>
      <c r="Q940" s="3" t="s">
        <v>2276</v>
      </c>
      <c r="R940" s="3" t="s">
        <v>2276</v>
      </c>
      <c r="S940" s="3" t="s">
        <v>2276</v>
      </c>
      <c r="T940" s="3" t="s">
        <v>2276</v>
      </c>
      <c r="U940" s="3" t="s">
        <v>2276</v>
      </c>
      <c r="V940" s="3" t="s">
        <v>2276</v>
      </c>
      <c r="W940" s="3" t="s">
        <v>2276</v>
      </c>
      <c r="X940" s="3" t="s">
        <v>34</v>
      </c>
      <c r="Y940" s="3" t="s">
        <v>34</v>
      </c>
      <c r="Z940" s="3" t="s">
        <v>2655</v>
      </c>
      <c r="AA940" s="4" t="s">
        <v>3007</v>
      </c>
      <c r="AB940" s="3"/>
    </row>
    <row r="941" spans="1:28" ht="51.5" customHeight="1">
      <c r="A941" s="6" t="str">
        <f>'Reported burning'!A941</f>
        <v>114a</v>
      </c>
      <c r="B941" s="6" t="str">
        <f>'Reported burning'!B941</f>
        <v>114a.7</v>
      </c>
      <c r="C941" s="6" t="str">
        <f>'Reported burning'!C941</f>
        <v>Human, deliberate</v>
      </c>
      <c r="D941" s="6" t="str">
        <f>'Reported burning'!D941</f>
        <v>Pyrome management</v>
      </c>
      <c r="E941" s="6" t="str">
        <f>'Reported burning'!E941</f>
        <v>Cropping, Swidden</v>
      </c>
      <c r="F941" s="6" t="str">
        <f>'Reported burning'!F941</f>
        <v>Shrubland (Mixed forest &amp; grassland)</v>
      </c>
      <c r="G941" s="6" t="str">
        <f>'Reported burning'!G941</f>
        <v>ND</v>
      </c>
      <c r="H941" s="6" t="str">
        <f>'Reported burning'!H941</f>
        <v>Presence</v>
      </c>
      <c r="I941" s="3"/>
      <c r="J941" s="3" t="s">
        <v>2276</v>
      </c>
      <c r="K941" s="3" t="s">
        <v>2276</v>
      </c>
      <c r="L941" s="3" t="s">
        <v>2276</v>
      </c>
      <c r="M941" s="3" t="s">
        <v>2276</v>
      </c>
      <c r="N941" s="3" t="s">
        <v>2276</v>
      </c>
      <c r="O941" s="3" t="s">
        <v>2276</v>
      </c>
      <c r="P941" s="3" t="s">
        <v>2276</v>
      </c>
      <c r="Q941" s="3" t="s">
        <v>2276</v>
      </c>
      <c r="R941" s="3" t="s">
        <v>2276</v>
      </c>
      <c r="S941" s="3" t="s">
        <v>2276</v>
      </c>
      <c r="T941" s="3" t="s">
        <v>2276</v>
      </c>
      <c r="U941" s="3" t="s">
        <v>2276</v>
      </c>
      <c r="V941" s="3" t="s">
        <v>2276</v>
      </c>
      <c r="W941" s="3" t="s">
        <v>2276</v>
      </c>
      <c r="X941" s="3" t="s">
        <v>68</v>
      </c>
      <c r="Y941" s="3" t="s">
        <v>35</v>
      </c>
      <c r="Z941" s="3" t="s">
        <v>64</v>
      </c>
      <c r="AA941" s="4" t="s">
        <v>3008</v>
      </c>
      <c r="AB941" s="3"/>
    </row>
    <row r="942" spans="1:28" ht="35.5" customHeight="1">
      <c r="A942" s="6" t="str">
        <f>'Reported burning'!A942</f>
        <v>114a</v>
      </c>
      <c r="B942" s="6" t="str">
        <f>'Reported burning'!B942</f>
        <v>114a.8</v>
      </c>
      <c r="C942" s="6" t="str">
        <f>'Reported burning'!C942</f>
        <v>Human, deliberate</v>
      </c>
      <c r="D942" s="6" t="str">
        <f>'Reported burning'!D942</f>
        <v>Vegetation management</v>
      </c>
      <c r="E942" s="6" t="str">
        <f>'Reported burning'!E942</f>
        <v>Cropping, Swidden</v>
      </c>
      <c r="F942" s="6" t="str">
        <f>'Reported burning'!F942</f>
        <v>Shrubland (Mixed forest &amp; grassland)</v>
      </c>
      <c r="G942" s="6" t="str">
        <f>'Reported burning'!G942</f>
        <v>ND</v>
      </c>
      <c r="H942" s="6" t="str">
        <f>'Reported burning'!H942</f>
        <v>Presence</v>
      </c>
      <c r="I942" s="3"/>
      <c r="J942" s="3" t="s">
        <v>2276</v>
      </c>
      <c r="K942" s="3" t="s">
        <v>2276</v>
      </c>
      <c r="L942" s="3" t="s">
        <v>2276</v>
      </c>
      <c r="M942" s="3" t="s">
        <v>2276</v>
      </c>
      <c r="N942" s="3" t="s">
        <v>2276</v>
      </c>
      <c r="O942" s="3" t="s">
        <v>2276</v>
      </c>
      <c r="P942" s="3" t="s">
        <v>2276</v>
      </c>
      <c r="Q942" s="3" t="s">
        <v>2276</v>
      </c>
      <c r="R942" s="3" t="s">
        <v>2276</v>
      </c>
      <c r="S942" s="3" t="s">
        <v>2276</v>
      </c>
      <c r="T942" s="3" t="s">
        <v>2276</v>
      </c>
      <c r="U942" s="3" t="s">
        <v>2276</v>
      </c>
      <c r="V942" s="3" t="s">
        <v>2276</v>
      </c>
      <c r="W942" s="3" t="s">
        <v>2276</v>
      </c>
      <c r="X942" s="3" t="s">
        <v>2276</v>
      </c>
      <c r="Y942" s="3" t="s">
        <v>2276</v>
      </c>
      <c r="Z942" s="3" t="s">
        <v>2276</v>
      </c>
      <c r="AA942" s="3"/>
      <c r="AB942" s="3"/>
    </row>
    <row r="943" spans="1:28" ht="37.5" customHeight="1">
      <c r="A943" s="6" t="str">
        <f>'Reported burning'!A943</f>
        <v>114a</v>
      </c>
      <c r="B943" s="6" t="str">
        <f>'Reported burning'!B943</f>
        <v>114a.9</v>
      </c>
      <c r="C943" s="6" t="str">
        <f>'Reported burning'!C943</f>
        <v>Human, deliberate</v>
      </c>
      <c r="D943" s="6" t="str">
        <f>'Reported burning'!D943</f>
        <v>Hunting</v>
      </c>
      <c r="E943" s="6" t="str">
        <f>'Reported burning'!E943</f>
        <v>Forestry, Traditional</v>
      </c>
      <c r="F943" s="6" t="str">
        <f>'Reported burning'!F943</f>
        <v>Shrubland (Mixed forest &amp; grassland)</v>
      </c>
      <c r="G943" s="6" t="str">
        <f>'Reported burning'!G943</f>
        <v>ND</v>
      </c>
      <c r="H943" s="6" t="str">
        <f>'Reported burning'!H943</f>
        <v>Presence</v>
      </c>
      <c r="I943" s="3"/>
      <c r="J943" s="3" t="s">
        <v>2276</v>
      </c>
      <c r="K943" s="3" t="s">
        <v>2276</v>
      </c>
      <c r="L943" s="3" t="s">
        <v>2276</v>
      </c>
      <c r="M943" s="3" t="s">
        <v>2276</v>
      </c>
      <c r="N943" s="3" t="s">
        <v>2276</v>
      </c>
      <c r="O943" s="3" t="s">
        <v>2276</v>
      </c>
      <c r="P943" s="3" t="s">
        <v>2276</v>
      </c>
      <c r="Q943" s="3" t="s">
        <v>2276</v>
      </c>
      <c r="R943" s="3" t="s">
        <v>2276</v>
      </c>
      <c r="S943" s="3" t="s">
        <v>2276</v>
      </c>
      <c r="T943" s="3" t="s">
        <v>2276</v>
      </c>
      <c r="U943" s="3" t="s">
        <v>2276</v>
      </c>
      <c r="V943" s="3" t="s">
        <v>2276</v>
      </c>
      <c r="W943" s="3" t="s">
        <v>2276</v>
      </c>
      <c r="X943" s="3" t="s">
        <v>2276</v>
      </c>
      <c r="Y943" s="3" t="s">
        <v>2276</v>
      </c>
      <c r="Z943" s="3" t="s">
        <v>2276</v>
      </c>
      <c r="AA943" s="3"/>
      <c r="AB943" s="3"/>
    </row>
    <row r="944" spans="1:28" ht="36.5" customHeight="1">
      <c r="A944" s="6" t="str">
        <f>'Reported burning'!A944</f>
        <v>114a</v>
      </c>
      <c r="B944" s="6" t="str">
        <f>'Reported burning'!B944</f>
        <v>114a.10</v>
      </c>
      <c r="C944" s="6" t="str">
        <f>'Reported burning'!C944</f>
        <v>Human, deliberate</v>
      </c>
      <c r="D944" s="6" t="str">
        <f>'Reported burning'!D944</f>
        <v>Harvesting of NTFP</v>
      </c>
      <c r="E944" s="6" t="str">
        <f>'Reported burning'!E944</f>
        <v>Forestry, Traditional</v>
      </c>
      <c r="F944" s="6" t="str">
        <f>'Reported burning'!F944</f>
        <v>Shrubland (Mixed forest &amp; grassland)</v>
      </c>
      <c r="G944" s="6" t="str">
        <f>'Reported burning'!G944</f>
        <v>ND</v>
      </c>
      <c r="H944" s="6" t="str">
        <f>'Reported burning'!H944</f>
        <v>Presence</v>
      </c>
      <c r="I944" s="3"/>
      <c r="J944" s="3" t="s">
        <v>2276</v>
      </c>
      <c r="K944" s="3" t="s">
        <v>2276</v>
      </c>
      <c r="L944" s="3" t="s">
        <v>2276</v>
      </c>
      <c r="M944" s="3" t="s">
        <v>2276</v>
      </c>
      <c r="N944" s="3" t="s">
        <v>2276</v>
      </c>
      <c r="O944" s="3" t="s">
        <v>2276</v>
      </c>
      <c r="P944" s="3" t="s">
        <v>2276</v>
      </c>
      <c r="Q944" s="3" t="s">
        <v>2276</v>
      </c>
      <c r="R944" s="3" t="s">
        <v>2276</v>
      </c>
      <c r="S944" s="3" t="s">
        <v>2276</v>
      </c>
      <c r="T944" s="3" t="s">
        <v>2276</v>
      </c>
      <c r="U944" s="3" t="s">
        <v>2276</v>
      </c>
      <c r="V944" s="3" t="s">
        <v>2276</v>
      </c>
      <c r="W944" s="3" t="s">
        <v>2276</v>
      </c>
      <c r="X944" s="3" t="s">
        <v>2276</v>
      </c>
      <c r="Y944" s="3" t="s">
        <v>2276</v>
      </c>
      <c r="Z944" s="3" t="s">
        <v>2276</v>
      </c>
      <c r="AA944" s="4" t="s">
        <v>3003</v>
      </c>
      <c r="AB944" s="3"/>
    </row>
    <row r="945" spans="1:28" ht="41" customHeight="1">
      <c r="A945" s="6" t="str">
        <f>'Reported burning'!A945</f>
        <v>114a</v>
      </c>
      <c r="B945" s="6" t="str">
        <f>'Reported burning'!B945</f>
        <v>114a.11</v>
      </c>
      <c r="C945" s="6" t="str">
        <f>'Reported burning'!C945</f>
        <v>Human, accidental</v>
      </c>
      <c r="D945" s="6" t="str">
        <f>'Reported burning'!D945</f>
        <v>All</v>
      </c>
      <c r="E945" s="6" t="str">
        <f>'Reported burning'!E945</f>
        <v>All</v>
      </c>
      <c r="F945" s="6" t="str">
        <f>'Reported burning'!F945</f>
        <v>ND</v>
      </c>
      <c r="G945" s="6" t="str">
        <f>'Reported burning'!G945</f>
        <v>Shrubland (Mixed forest &amp; grassland)</v>
      </c>
      <c r="H945" s="6" t="str">
        <f>'Reported burning'!H945</f>
        <v>Presence</v>
      </c>
      <c r="I945" s="3"/>
      <c r="J945" s="3" t="s">
        <v>2276</v>
      </c>
      <c r="K945" s="3" t="s">
        <v>2276</v>
      </c>
      <c r="L945" s="3" t="s">
        <v>2276</v>
      </c>
      <c r="M945" s="3" t="s">
        <v>2276</v>
      </c>
      <c r="N945" s="3" t="s">
        <v>2276</v>
      </c>
      <c r="O945" s="3" t="s">
        <v>2276</v>
      </c>
      <c r="P945" s="3" t="s">
        <v>2276</v>
      </c>
      <c r="Q945" s="3" t="s">
        <v>2276</v>
      </c>
      <c r="R945" s="3" t="s">
        <v>2276</v>
      </c>
      <c r="S945" s="3" t="s">
        <v>2276</v>
      </c>
      <c r="T945" s="3" t="s">
        <v>2276</v>
      </c>
      <c r="U945" s="3" t="s">
        <v>2276</v>
      </c>
      <c r="V945" s="3" t="s">
        <v>2276</v>
      </c>
      <c r="W945" s="3" t="s">
        <v>2276</v>
      </c>
      <c r="X945" s="3" t="s">
        <v>2276</v>
      </c>
      <c r="Y945" s="3" t="s">
        <v>2276</v>
      </c>
      <c r="Z945" s="3" t="s">
        <v>2276</v>
      </c>
      <c r="AA945" s="3" t="s">
        <v>3005</v>
      </c>
      <c r="AB945" s="3"/>
    </row>
    <row r="946" spans="1:28" ht="39" customHeight="1">
      <c r="A946" s="6" t="str">
        <f>'Reported burning'!A946</f>
        <v>114a</v>
      </c>
      <c r="B946" s="6" t="str">
        <f>'Reported burning'!B946</f>
        <v>114a.12</v>
      </c>
      <c r="C946" s="6" t="str">
        <f>'Reported burning'!C946</f>
        <v>Human, deliberate</v>
      </c>
      <c r="D946" s="6" t="str">
        <f>'Reported burning'!D946</f>
        <v>Pyrome management</v>
      </c>
      <c r="E946" s="6" t="str">
        <f>'Reported burning'!E946</f>
        <v>Forestry, Industrial</v>
      </c>
      <c r="F946" s="6" t="str">
        <f>'Reported burning'!F946</f>
        <v>ND</v>
      </c>
      <c r="G946" s="6" t="str">
        <f>'Reported burning'!G946</f>
        <v>Shrubland (Mixed forest &amp; grassland)</v>
      </c>
      <c r="H946" s="6" t="str">
        <f>'Reported burning'!H946</f>
        <v>Presence</v>
      </c>
      <c r="I946" s="3"/>
      <c r="J946" s="3" t="s">
        <v>2276</v>
      </c>
      <c r="K946" s="3" t="s">
        <v>2276</v>
      </c>
      <c r="L946" s="3" t="s">
        <v>2276</v>
      </c>
      <c r="M946" s="3" t="s">
        <v>2276</v>
      </c>
      <c r="N946" s="3" t="s">
        <v>2276</v>
      </c>
      <c r="O946" s="3" t="s">
        <v>2276</v>
      </c>
      <c r="P946" s="3" t="s">
        <v>2276</v>
      </c>
      <c r="Q946" s="3" t="s">
        <v>2276</v>
      </c>
      <c r="R946" s="3" t="s">
        <v>2276</v>
      </c>
      <c r="S946" s="3" t="s">
        <v>2276</v>
      </c>
      <c r="T946" s="3" t="s">
        <v>2276</v>
      </c>
      <c r="U946" s="3" t="s">
        <v>2276</v>
      </c>
      <c r="V946" s="3" t="s">
        <v>2276</v>
      </c>
      <c r="W946" s="3" t="s">
        <v>2276</v>
      </c>
      <c r="X946" s="3" t="s">
        <v>68</v>
      </c>
      <c r="Y946" s="3" t="s">
        <v>35</v>
      </c>
      <c r="Z946" s="3" t="s">
        <v>64</v>
      </c>
      <c r="AA946" s="4" t="s">
        <v>3010</v>
      </c>
      <c r="AB946" s="3"/>
    </row>
    <row r="947" spans="1:28" ht="45.5" customHeight="1">
      <c r="A947" s="6" t="str">
        <f>'Reported burning'!A947</f>
        <v>114a</v>
      </c>
      <c r="B947" s="6" t="str">
        <f>'Reported burning'!B947</f>
        <v>114a.13</v>
      </c>
      <c r="C947" s="6" t="str">
        <f>'Reported burning'!C947</f>
        <v>Human, escaped</v>
      </c>
      <c r="D947" s="6" t="str">
        <f>'Reported burning'!D947</f>
        <v>Crop field preparation</v>
      </c>
      <c r="E947" s="6" t="str">
        <f>'Reported burning'!E947</f>
        <v>Cropping, Swidden</v>
      </c>
      <c r="F947" s="6" t="str">
        <f>'Reported burning'!F947</f>
        <v>Shrubland (Mixed forest &amp; grassland)</v>
      </c>
      <c r="G947" s="6" t="str">
        <f>'Reported burning'!G947</f>
        <v>ND</v>
      </c>
      <c r="H947" s="6" t="str">
        <f>'Reported burning'!H947</f>
        <v>Presence</v>
      </c>
      <c r="I947" s="3"/>
      <c r="J947" s="3" t="s">
        <v>2276</v>
      </c>
      <c r="K947" s="3" t="s">
        <v>2276</v>
      </c>
      <c r="L947" s="3" t="s">
        <v>2276</v>
      </c>
      <c r="M947" s="3" t="s">
        <v>2276</v>
      </c>
      <c r="N947" s="3" t="s">
        <v>2276</v>
      </c>
      <c r="O947" s="3" t="s">
        <v>2276</v>
      </c>
      <c r="P947" s="3" t="s">
        <v>2276</v>
      </c>
      <c r="Q947" s="3" t="s">
        <v>2276</v>
      </c>
      <c r="R947" s="3" t="s">
        <v>2276</v>
      </c>
      <c r="S947" s="3" t="s">
        <v>2276</v>
      </c>
      <c r="T947" s="3" t="s">
        <v>2276</v>
      </c>
      <c r="U947" s="3" t="s">
        <v>2276</v>
      </c>
      <c r="V947" s="3" t="s">
        <v>2276</v>
      </c>
      <c r="W947" s="3" t="s">
        <v>2276</v>
      </c>
      <c r="X947" s="3" t="s">
        <v>34</v>
      </c>
      <c r="Y947" s="3" t="s">
        <v>34</v>
      </c>
      <c r="Z947" s="3" t="s">
        <v>2655</v>
      </c>
      <c r="AA947" s="3"/>
      <c r="AB947" s="3"/>
    </row>
    <row r="948" spans="1:28" ht="37" customHeight="1">
      <c r="A948" s="6" t="str">
        <f>'Reported burning'!A948</f>
        <v>114a</v>
      </c>
      <c r="B948" s="6" t="str">
        <f>'Reported burning'!B948</f>
        <v>114a.14</v>
      </c>
      <c r="C948" s="6" t="str">
        <f>'Reported burning'!C948</f>
        <v>Human, escaped</v>
      </c>
      <c r="D948" s="6" t="str">
        <f>'Reported burning'!D948</f>
        <v>Crop field preparation</v>
      </c>
      <c r="E948" s="6" t="str">
        <f>'Reported burning'!E948</f>
        <v>Cropping, Swidden</v>
      </c>
      <c r="F948" s="6" t="str">
        <f>'Reported burning'!F948</f>
        <v>Secondary Vegetation</v>
      </c>
      <c r="G948" s="6" t="str">
        <f>'Reported burning'!G948</f>
        <v>ND</v>
      </c>
      <c r="H948" s="6" t="str">
        <f>'Reported burning'!H948</f>
        <v>Presence</v>
      </c>
      <c r="I948" s="3"/>
      <c r="J948" s="3" t="s">
        <v>2276</v>
      </c>
      <c r="K948" s="3" t="s">
        <v>2276</v>
      </c>
      <c r="L948" s="3" t="s">
        <v>2276</v>
      </c>
      <c r="M948" s="3" t="s">
        <v>2276</v>
      </c>
      <c r="N948" s="3" t="s">
        <v>2276</v>
      </c>
      <c r="O948" s="3" t="s">
        <v>2276</v>
      </c>
      <c r="P948" s="3" t="s">
        <v>2276</v>
      </c>
      <c r="Q948" s="3" t="s">
        <v>2276</v>
      </c>
      <c r="R948" s="3" t="s">
        <v>2276</v>
      </c>
      <c r="S948" s="3" t="s">
        <v>2276</v>
      </c>
      <c r="T948" s="3" t="s">
        <v>2276</v>
      </c>
      <c r="U948" s="3" t="s">
        <v>2276</v>
      </c>
      <c r="V948" s="3" t="s">
        <v>2276</v>
      </c>
      <c r="W948" s="3" t="s">
        <v>2276</v>
      </c>
      <c r="X948" s="3" t="s">
        <v>34</v>
      </c>
      <c r="Y948" s="3" t="s">
        <v>34</v>
      </c>
      <c r="Z948" s="3" t="s">
        <v>2655</v>
      </c>
      <c r="AA948" s="3"/>
      <c r="AB948" s="3"/>
    </row>
    <row r="949" spans="1:28" ht="83.5" customHeight="1">
      <c r="A949" s="6" t="str">
        <f>'Reported burning'!A949</f>
        <v>115a</v>
      </c>
      <c r="B949" s="6" t="str">
        <f>'Reported burning'!B949</f>
        <v>115a.1</v>
      </c>
      <c r="C949" s="6" t="str">
        <f>'Reported burning'!C949</f>
        <v>Human, deliberate</v>
      </c>
      <c r="D949" s="6" t="str">
        <f>'Reported burning'!D949</f>
        <v>Pasture renewal</v>
      </c>
      <c r="E949" s="6" t="str">
        <f>'Reported burning'!E949</f>
        <v>Cattle, Extensive</v>
      </c>
      <c r="F949" s="6" t="str">
        <f>'Reported burning'!F949</f>
        <v>Pasture</v>
      </c>
      <c r="G949" s="6" t="str">
        <f>'Reported burning'!G949</f>
        <v>ND</v>
      </c>
      <c r="H949" s="6" t="str">
        <f>'Reported burning'!H949</f>
        <v>Presence</v>
      </c>
      <c r="I949" s="3"/>
      <c r="J949" s="3" t="s">
        <v>2276</v>
      </c>
      <c r="K949" s="3" t="s">
        <v>2276</v>
      </c>
      <c r="L949" s="3" t="s">
        <v>2276</v>
      </c>
      <c r="M949" s="3" t="s">
        <v>2276</v>
      </c>
      <c r="N949" s="3" t="s">
        <v>2276</v>
      </c>
      <c r="O949" s="3" t="s">
        <v>2276</v>
      </c>
      <c r="P949" s="3" t="s">
        <v>2276</v>
      </c>
      <c r="Q949" s="3" t="s">
        <v>2276</v>
      </c>
      <c r="R949" s="3" t="s">
        <v>2276</v>
      </c>
      <c r="S949" s="3" t="s">
        <v>2276</v>
      </c>
      <c r="T949" s="14" t="s">
        <v>2391</v>
      </c>
      <c r="U949" s="3" t="s">
        <v>2276</v>
      </c>
      <c r="V949" s="3" t="s">
        <v>2276</v>
      </c>
      <c r="W949" s="21" t="s">
        <v>2375</v>
      </c>
      <c r="X949" s="3" t="s">
        <v>86</v>
      </c>
      <c r="Y949" s="3" t="s">
        <v>425</v>
      </c>
      <c r="Z949" s="3" t="s">
        <v>64</v>
      </c>
      <c r="AA949" s="4" t="s">
        <v>3025</v>
      </c>
      <c r="AB949" s="4" t="s">
        <v>3031</v>
      </c>
    </row>
    <row r="950" spans="1:28" ht="64" customHeight="1">
      <c r="A950" s="6" t="str">
        <f>'Reported burning'!A950</f>
        <v>115a</v>
      </c>
      <c r="B950" s="6" t="str">
        <f>'Reported burning'!B950</f>
        <v>115a.2</v>
      </c>
      <c r="C950" s="6" t="str">
        <f>'Reported burning'!C950</f>
        <v>Human, deliberate</v>
      </c>
      <c r="D950" s="6" t="str">
        <f>'Reported burning'!D950</f>
        <v>Pasture renewal</v>
      </c>
      <c r="E950" s="6" t="str">
        <f>'Reported burning'!E950</f>
        <v>Cattle, Intensive</v>
      </c>
      <c r="F950" s="6" t="str">
        <f>'Reported burning'!F950</f>
        <v>Pasture</v>
      </c>
      <c r="G950" s="6" t="str">
        <f>'Reported burning'!G950</f>
        <v>ND</v>
      </c>
      <c r="H950" s="6" t="str">
        <f>'Reported burning'!H950</f>
        <v>Absence</v>
      </c>
      <c r="I950" s="3"/>
      <c r="J950" s="21" t="s">
        <v>2364</v>
      </c>
      <c r="K950" s="21" t="s">
        <v>2364</v>
      </c>
      <c r="L950" s="21" t="s">
        <v>2364</v>
      </c>
      <c r="M950" s="21" t="s">
        <v>2364</v>
      </c>
      <c r="N950" s="21" t="s">
        <v>2364</v>
      </c>
      <c r="O950" s="21" t="s">
        <v>2364</v>
      </c>
      <c r="P950" s="21" t="s">
        <v>2364</v>
      </c>
      <c r="Q950" s="21" t="s">
        <v>2364</v>
      </c>
      <c r="R950" s="21" t="s">
        <v>2364</v>
      </c>
      <c r="S950" s="21" t="s">
        <v>2364</v>
      </c>
      <c r="T950" s="21" t="s">
        <v>2364</v>
      </c>
      <c r="U950" s="21" t="s">
        <v>2364</v>
      </c>
      <c r="V950" s="21" t="s">
        <v>2364</v>
      </c>
      <c r="W950" s="21" t="s">
        <v>2364</v>
      </c>
      <c r="X950" s="3" t="s">
        <v>2276</v>
      </c>
      <c r="Y950" s="3" t="s">
        <v>2276</v>
      </c>
      <c r="Z950" s="3" t="s">
        <v>2276</v>
      </c>
      <c r="AA950" s="4" t="s">
        <v>3026</v>
      </c>
      <c r="AB950" s="3"/>
    </row>
    <row r="951" spans="1:28" ht="58" customHeight="1">
      <c r="A951" s="6" t="str">
        <f>'Reported burning'!A951</f>
        <v>115a</v>
      </c>
      <c r="B951" s="6" t="str">
        <f>'Reported burning'!B951</f>
        <v>115a.3</v>
      </c>
      <c r="C951" s="6" t="str">
        <f>'Reported burning'!C951</f>
        <v>Human, deliberate</v>
      </c>
      <c r="D951" s="6" t="str">
        <f>'Reported burning'!D951</f>
        <v>Land clearance</v>
      </c>
      <c r="E951" s="6" t="str">
        <f>'Reported burning'!E951</f>
        <v>Cattle, Extensive</v>
      </c>
      <c r="F951" s="6" t="str">
        <f>'Reported burning'!F951</f>
        <v>Shrubland (Mixed forest &amp; grassland)</v>
      </c>
      <c r="G951" s="6" t="str">
        <f>'Reported burning'!G951</f>
        <v>ND</v>
      </c>
      <c r="H951" s="6" t="str">
        <f>'Reported burning'!H951</f>
        <v>Presence</v>
      </c>
      <c r="I951" s="3"/>
      <c r="J951" s="3" t="s">
        <v>2276</v>
      </c>
      <c r="K951" s="3" t="s">
        <v>2276</v>
      </c>
      <c r="L951" s="3" t="s">
        <v>2276</v>
      </c>
      <c r="M951" s="3" t="s">
        <v>2276</v>
      </c>
      <c r="N951" s="3" t="s">
        <v>2276</v>
      </c>
      <c r="O951" s="3" t="s">
        <v>2276</v>
      </c>
      <c r="P951" s="3" t="s">
        <v>2276</v>
      </c>
      <c r="Q951" s="3" t="s">
        <v>2276</v>
      </c>
      <c r="R951" s="3" t="s">
        <v>2276</v>
      </c>
      <c r="S951" s="3" t="s">
        <v>2276</v>
      </c>
      <c r="T951" s="3" t="s">
        <v>2276</v>
      </c>
      <c r="U951" s="3" t="s">
        <v>2276</v>
      </c>
      <c r="V951" s="3" t="s">
        <v>2276</v>
      </c>
      <c r="W951" s="3" t="s">
        <v>2276</v>
      </c>
      <c r="X951" s="3" t="s">
        <v>86</v>
      </c>
      <c r="Y951" s="3" t="s">
        <v>425</v>
      </c>
      <c r="Z951" s="3" t="s">
        <v>64</v>
      </c>
      <c r="AA951" s="3"/>
      <c r="AB951" s="3"/>
    </row>
    <row r="952" spans="1:28" ht="66" customHeight="1">
      <c r="A952" s="6" t="str">
        <f>'Reported burning'!A952</f>
        <v>115a</v>
      </c>
      <c r="B952" s="6" t="str">
        <f>'Reported burning'!B952</f>
        <v>115a.4</v>
      </c>
      <c r="C952" s="6" t="str">
        <f>'Reported burning'!C952</f>
        <v>Human, deliberate</v>
      </c>
      <c r="D952" s="6" t="str">
        <f>'Reported burning'!D952</f>
        <v>Pyrome management</v>
      </c>
      <c r="E952" s="6" t="str">
        <f>'Reported burning'!E952</f>
        <v>Cattle, Extensive</v>
      </c>
      <c r="F952" s="6" t="str">
        <f>'Reported burning'!F952</f>
        <v>ND</v>
      </c>
      <c r="G952" s="6" t="str">
        <f>'Reported burning'!G952</f>
        <v>ND</v>
      </c>
      <c r="H952" s="6" t="str">
        <f>'Reported burning'!H952</f>
        <v>Presence</v>
      </c>
      <c r="I952" s="3"/>
      <c r="J952" s="3" t="s">
        <v>2276</v>
      </c>
      <c r="K952" s="3" t="s">
        <v>2276</v>
      </c>
      <c r="L952" s="3" t="s">
        <v>2276</v>
      </c>
      <c r="M952" s="3" t="s">
        <v>2276</v>
      </c>
      <c r="N952" s="3" t="s">
        <v>2276</v>
      </c>
      <c r="O952" s="3" t="s">
        <v>2276</v>
      </c>
      <c r="P952" s="3" t="s">
        <v>2276</v>
      </c>
      <c r="Q952" s="3" t="s">
        <v>2276</v>
      </c>
      <c r="R952" s="3" t="s">
        <v>2276</v>
      </c>
      <c r="S952" s="3" t="s">
        <v>2276</v>
      </c>
      <c r="T952" s="3" t="s">
        <v>2276</v>
      </c>
      <c r="U952" s="3" t="s">
        <v>2276</v>
      </c>
      <c r="V952" s="3" t="s">
        <v>2276</v>
      </c>
      <c r="W952" s="3" t="s">
        <v>2276</v>
      </c>
      <c r="X952" s="3" t="s">
        <v>86</v>
      </c>
      <c r="Y952" s="3" t="s">
        <v>425</v>
      </c>
      <c r="Z952" s="3" t="s">
        <v>64</v>
      </c>
      <c r="AA952" s="4" t="s">
        <v>3027</v>
      </c>
      <c r="AB952" s="3"/>
    </row>
    <row r="953" spans="1:28" ht="58" customHeight="1">
      <c r="A953" s="6" t="str">
        <f>'Reported burning'!A953</f>
        <v>115a</v>
      </c>
      <c r="B953" s="6" t="str">
        <f>'Reported burning'!B953</f>
        <v>115a.5</v>
      </c>
      <c r="C953" s="6" t="str">
        <f>'Reported burning'!C953</f>
        <v>Human, deliberate</v>
      </c>
      <c r="D953" s="6" t="str">
        <f>'Reported burning'!D953</f>
        <v>Crop field preparation</v>
      </c>
      <c r="E953" s="6" t="str">
        <f>'Reported burning'!E953</f>
        <v>Cropping, Swidden</v>
      </c>
      <c r="F953" s="6" t="str">
        <f>'Reported burning'!F953</f>
        <v>Secondary Vegetation</v>
      </c>
      <c r="G953" s="6" t="str">
        <f>'Reported burning'!G953</f>
        <v>ND</v>
      </c>
      <c r="H953" s="6" t="str">
        <f>'Reported burning'!H953</f>
        <v>Presence</v>
      </c>
      <c r="I953" s="3"/>
      <c r="J953" s="3" t="s">
        <v>2276</v>
      </c>
      <c r="K953" s="3" t="s">
        <v>2276</v>
      </c>
      <c r="L953" s="3" t="s">
        <v>2276</v>
      </c>
      <c r="M953" s="3" t="s">
        <v>2276</v>
      </c>
      <c r="N953" s="3" t="s">
        <v>2276</v>
      </c>
      <c r="O953" s="3" t="s">
        <v>2276</v>
      </c>
      <c r="P953" s="3" t="s">
        <v>2276</v>
      </c>
      <c r="Q953" s="3" t="s">
        <v>2276</v>
      </c>
      <c r="R953" s="3" t="s">
        <v>2276</v>
      </c>
      <c r="S953" s="3" t="s">
        <v>2276</v>
      </c>
      <c r="T953" s="14" t="s">
        <v>2389</v>
      </c>
      <c r="U953" s="3" t="s">
        <v>2276</v>
      </c>
      <c r="V953" s="3" t="s">
        <v>2276</v>
      </c>
      <c r="W953" s="21" t="s">
        <v>2401</v>
      </c>
      <c r="X953" s="3" t="s">
        <v>405</v>
      </c>
      <c r="Y953" s="3" t="s">
        <v>425</v>
      </c>
      <c r="Z953" s="3" t="s">
        <v>64</v>
      </c>
      <c r="AA953" s="4" t="s">
        <v>3032</v>
      </c>
      <c r="AB953" s="4" t="s">
        <v>3031</v>
      </c>
    </row>
    <row r="954" spans="1:28" ht="63" customHeight="1">
      <c r="A954" s="6" t="str">
        <f>'Reported burning'!A954</f>
        <v>115a</v>
      </c>
      <c r="B954" s="6" t="str">
        <f>'Reported burning'!B954</f>
        <v>115a.6</v>
      </c>
      <c r="C954" s="6" t="str">
        <f>'Reported burning'!C954</f>
        <v>Human, escaped</v>
      </c>
      <c r="D954" s="6" t="str">
        <f>'Reported burning'!D954</f>
        <v>Pasture renewal</v>
      </c>
      <c r="E954" s="6" t="str">
        <f>'Reported burning'!E954</f>
        <v>Cattle, Extensive</v>
      </c>
      <c r="F954" s="6" t="str">
        <f>'Reported burning'!F954</f>
        <v>Pasture</v>
      </c>
      <c r="G954" s="6" t="str">
        <f>'Reported burning'!G954</f>
        <v>ND</v>
      </c>
      <c r="H954" s="6" t="str">
        <f>'Reported burning'!H954</f>
        <v>Presence</v>
      </c>
      <c r="I954" s="3"/>
      <c r="J954" s="3" t="s">
        <v>2276</v>
      </c>
      <c r="K954" s="3" t="s">
        <v>2276</v>
      </c>
      <c r="L954" s="3" t="s">
        <v>2276</v>
      </c>
      <c r="M954" s="3" t="s">
        <v>2276</v>
      </c>
      <c r="N954" s="3" t="s">
        <v>2276</v>
      </c>
      <c r="O954" s="3" t="s">
        <v>2276</v>
      </c>
      <c r="P954" s="3" t="s">
        <v>2276</v>
      </c>
      <c r="Q954" s="3" t="s">
        <v>2276</v>
      </c>
      <c r="R954" s="3" t="s">
        <v>2276</v>
      </c>
      <c r="S954" s="3" t="s">
        <v>2276</v>
      </c>
      <c r="T954" s="3" t="s">
        <v>2276</v>
      </c>
      <c r="U954" s="3" t="s">
        <v>2276</v>
      </c>
      <c r="V954" s="3" t="s">
        <v>2276</v>
      </c>
      <c r="W954" s="3" t="s">
        <v>2276</v>
      </c>
      <c r="X954" s="3" t="s">
        <v>86</v>
      </c>
      <c r="Y954" s="3" t="s">
        <v>425</v>
      </c>
      <c r="Z954" s="3" t="s">
        <v>76</v>
      </c>
      <c r="AA954" s="3" t="s">
        <v>3030</v>
      </c>
      <c r="AB954" s="3"/>
    </row>
    <row r="955" spans="1:28" ht="39" customHeight="1">
      <c r="A955" s="6" t="str">
        <f>'Reported burning'!A955</f>
        <v>116a</v>
      </c>
      <c r="B955" s="6" t="str">
        <f>'Reported burning'!B955</f>
        <v>116a.1</v>
      </c>
      <c r="C955" s="6" t="str">
        <f>'Reported burning'!C955</f>
        <v>Human, deliberate</v>
      </c>
      <c r="D955" s="6" t="str">
        <f>'Reported burning'!D955</f>
        <v>Pyrome management</v>
      </c>
      <c r="E955" s="6" t="str">
        <f>'Reported burning'!E955</f>
        <v>Forestry, Industrial</v>
      </c>
      <c r="F955" s="6" t="str">
        <f>'Reported burning'!F955</f>
        <v>Shrubland (Mixed forest &amp; grassland)</v>
      </c>
      <c r="G955" s="6" t="str">
        <f>'Reported burning'!G955</f>
        <v>ND</v>
      </c>
      <c r="H955" s="6" t="str">
        <f>'Reported burning'!H955</f>
        <v>Presence</v>
      </c>
      <c r="I955" s="3"/>
      <c r="J955" s="3" t="s">
        <v>2276</v>
      </c>
      <c r="K955" s="3" t="s">
        <v>2276</v>
      </c>
      <c r="L955" s="3" t="s">
        <v>2276</v>
      </c>
      <c r="M955" s="3" t="s">
        <v>2276</v>
      </c>
      <c r="N955" s="3" t="s">
        <v>2276</v>
      </c>
      <c r="O955" s="3" t="s">
        <v>2276</v>
      </c>
      <c r="P955" s="3" t="s">
        <v>2276</v>
      </c>
      <c r="Q955" s="3" t="s">
        <v>2276</v>
      </c>
      <c r="R955" s="3" t="s">
        <v>2276</v>
      </c>
      <c r="S955" s="3" t="s">
        <v>2276</v>
      </c>
      <c r="T955" s="3" t="s">
        <v>2276</v>
      </c>
      <c r="U955" s="3" t="s">
        <v>2276</v>
      </c>
      <c r="V955" s="3" t="s">
        <v>2276</v>
      </c>
      <c r="W955" s="3" t="s">
        <v>2276</v>
      </c>
      <c r="X955" s="3" t="s">
        <v>68</v>
      </c>
      <c r="Y955" s="3" t="s">
        <v>35</v>
      </c>
      <c r="Z955" s="3" t="s">
        <v>64</v>
      </c>
      <c r="AA955" s="4" t="s">
        <v>3041</v>
      </c>
      <c r="AB955" s="3"/>
    </row>
    <row r="956" spans="1:28" ht="34.5" customHeight="1">
      <c r="A956" s="6" t="str">
        <f>'Reported burning'!A956</f>
        <v>116a</v>
      </c>
      <c r="B956" s="6" t="str">
        <f>'Reported burning'!B956</f>
        <v>116a.2</v>
      </c>
      <c r="C956" s="6" t="str">
        <f>'Reported burning'!C956</f>
        <v>Human, deliberate</v>
      </c>
      <c r="D956" s="6" t="str">
        <f>'Reported burning'!D956</f>
        <v>Pasture renewal</v>
      </c>
      <c r="E956" s="6" t="str">
        <f>'Reported burning'!E956</f>
        <v>Cattle, Extensive</v>
      </c>
      <c r="F956" s="6" t="str">
        <f>'Reported burning'!F956</f>
        <v>Pasture</v>
      </c>
      <c r="G956" s="6" t="str">
        <f>'Reported burning'!G956</f>
        <v>ND</v>
      </c>
      <c r="H956" s="6" t="str">
        <f>'Reported burning'!H956</f>
        <v>Presence</v>
      </c>
      <c r="I956" s="3"/>
      <c r="J956" s="3" t="s">
        <v>2276</v>
      </c>
      <c r="K956" s="3" t="s">
        <v>2276</v>
      </c>
      <c r="L956" s="3" t="s">
        <v>2276</v>
      </c>
      <c r="M956" s="3" t="s">
        <v>2276</v>
      </c>
      <c r="N956" s="3" t="s">
        <v>2276</v>
      </c>
      <c r="O956" s="3" t="s">
        <v>2276</v>
      </c>
      <c r="P956" s="3" t="s">
        <v>2276</v>
      </c>
      <c r="Q956" s="3" t="s">
        <v>2276</v>
      </c>
      <c r="R956" s="3" t="s">
        <v>2276</v>
      </c>
      <c r="S956" s="3" t="s">
        <v>2276</v>
      </c>
      <c r="T956" s="3" t="s">
        <v>2276</v>
      </c>
      <c r="U956" s="3" t="s">
        <v>2276</v>
      </c>
      <c r="V956" s="3" t="s">
        <v>2276</v>
      </c>
      <c r="W956" s="3" t="s">
        <v>2276</v>
      </c>
      <c r="X956" s="3" t="s">
        <v>68</v>
      </c>
      <c r="Y956" s="3" t="s">
        <v>38</v>
      </c>
      <c r="Z956" s="3" t="s">
        <v>2276</v>
      </c>
      <c r="AA956" s="3"/>
      <c r="AB956" s="3"/>
    </row>
    <row r="957" spans="1:28" ht="54.5" customHeight="1">
      <c r="A957" s="6" t="str">
        <f>'Reported burning'!A957</f>
        <v>117a</v>
      </c>
      <c r="B957" s="6" t="str">
        <f>'Reported burning'!B957</f>
        <v>117a.1</v>
      </c>
      <c r="C957" s="6" t="str">
        <f>'Reported burning'!C957</f>
        <v>Human, deliberate</v>
      </c>
      <c r="D957" s="6" t="str">
        <f>'Reported burning'!D957</f>
        <v>Pasture renewal</v>
      </c>
      <c r="E957" s="6" t="str">
        <f>'Reported burning'!E957</f>
        <v>Cattle, Extensive</v>
      </c>
      <c r="F957" s="6" t="str">
        <f>'Reported burning'!F957</f>
        <v>Shrubland (Mixed forest &amp; grassland)</v>
      </c>
      <c r="G957" s="6" t="str">
        <f>'Reported burning'!G957</f>
        <v>ND</v>
      </c>
      <c r="H957" s="6" t="str">
        <f>'Reported burning'!H957</f>
        <v>Presence</v>
      </c>
      <c r="I957" s="22"/>
      <c r="J957" s="3" t="s">
        <v>2276</v>
      </c>
      <c r="K957" s="3" t="s">
        <v>2276</v>
      </c>
      <c r="L957" s="3" t="s">
        <v>2276</v>
      </c>
      <c r="M957" s="3" t="s">
        <v>2276</v>
      </c>
      <c r="N957" s="3" t="s">
        <v>2276</v>
      </c>
      <c r="O957" s="3" t="s">
        <v>2276</v>
      </c>
      <c r="P957" s="77" t="s">
        <v>2377</v>
      </c>
      <c r="Q957" s="3" t="s">
        <v>2276</v>
      </c>
      <c r="R957" s="77" t="s">
        <v>2377</v>
      </c>
      <c r="S957" s="3" t="s">
        <v>2276</v>
      </c>
      <c r="T957" s="3" t="s">
        <v>2276</v>
      </c>
      <c r="U957" s="3" t="s">
        <v>2276</v>
      </c>
      <c r="V957" s="21" t="s">
        <v>2527</v>
      </c>
      <c r="W957" s="3" t="s">
        <v>2276</v>
      </c>
      <c r="X957" s="22" t="s">
        <v>86</v>
      </c>
      <c r="Y957" s="22" t="s">
        <v>34</v>
      </c>
      <c r="Z957" s="22" t="s">
        <v>64</v>
      </c>
      <c r="AA957" s="22" t="s">
        <v>3060</v>
      </c>
      <c r="AB957" s="24" t="s">
        <v>5036</v>
      </c>
    </row>
    <row r="958" spans="1:28" ht="54.5" customHeight="1">
      <c r="A958" s="6" t="str">
        <f>'Reported burning'!A958</f>
        <v>117a</v>
      </c>
      <c r="B958" s="6" t="str">
        <f>'Reported burning'!B958</f>
        <v>117a.2</v>
      </c>
      <c r="C958" s="6" t="str">
        <f>'Reported burning'!C958</f>
        <v>Human, deliberate</v>
      </c>
      <c r="D958" s="6" t="str">
        <f>'Reported burning'!D958</f>
        <v>Pasture renewal</v>
      </c>
      <c r="E958" s="6" t="str">
        <f>'Reported burning'!E958</f>
        <v>Cattle, Extensive</v>
      </c>
      <c r="F958" s="6" t="str">
        <f>'Reported burning'!F958</f>
        <v>Grassland</v>
      </c>
      <c r="G958" s="6" t="str">
        <f>'Reported burning'!G958</f>
        <v>ND</v>
      </c>
      <c r="H958" s="6" t="str">
        <f>'Reported burning'!H958</f>
        <v>Presence</v>
      </c>
      <c r="I958" s="22"/>
      <c r="J958" s="3" t="s">
        <v>2276</v>
      </c>
      <c r="K958" s="3" t="s">
        <v>2276</v>
      </c>
      <c r="L958" s="3" t="s">
        <v>2276</v>
      </c>
      <c r="M958" s="3" t="s">
        <v>2276</v>
      </c>
      <c r="N958" s="3" t="s">
        <v>2276</v>
      </c>
      <c r="O958" s="3" t="s">
        <v>2276</v>
      </c>
      <c r="P958" s="77" t="s">
        <v>2377</v>
      </c>
      <c r="Q958" s="3" t="s">
        <v>2276</v>
      </c>
      <c r="R958" s="3" t="s">
        <v>2376</v>
      </c>
      <c r="S958" s="3" t="s">
        <v>2276</v>
      </c>
      <c r="T958" s="3" t="s">
        <v>2276</v>
      </c>
      <c r="U958" s="3" t="s">
        <v>2276</v>
      </c>
      <c r="V958" s="21" t="s">
        <v>2527</v>
      </c>
      <c r="W958" s="3" t="s">
        <v>2276</v>
      </c>
      <c r="X958" s="22" t="s">
        <v>86</v>
      </c>
      <c r="Y958" s="22" t="s">
        <v>34</v>
      </c>
      <c r="Z958" s="22" t="s">
        <v>64</v>
      </c>
      <c r="AA958" s="22" t="s">
        <v>3059</v>
      </c>
      <c r="AB958" s="24" t="s">
        <v>5036</v>
      </c>
    </row>
    <row r="959" spans="1:28" ht="54.5" customHeight="1">
      <c r="A959" s="6" t="str">
        <f>'Reported burning'!A959</f>
        <v>117a</v>
      </c>
      <c r="B959" s="6" t="str">
        <f>'Reported burning'!B959</f>
        <v>117a.3</v>
      </c>
      <c r="C959" s="6" t="str">
        <f>'Reported burning'!C959</f>
        <v>Human, deliberate</v>
      </c>
      <c r="D959" s="6" t="str">
        <f>'Reported burning'!D959</f>
        <v>Pasture renewal</v>
      </c>
      <c r="E959" s="6" t="str">
        <f>'Reported burning'!E959</f>
        <v>Cattle, Extensive</v>
      </c>
      <c r="F959" s="6" t="str">
        <f>'Reported burning'!F959</f>
        <v>Grassland</v>
      </c>
      <c r="G959" s="6" t="str">
        <f>'Reported burning'!G959</f>
        <v>ND</v>
      </c>
      <c r="H959" s="6" t="str">
        <f>'Reported burning'!H959</f>
        <v>Presence</v>
      </c>
      <c r="I959" s="22"/>
      <c r="J959" s="3" t="s">
        <v>2276</v>
      </c>
      <c r="K959" s="3" t="s">
        <v>2276</v>
      </c>
      <c r="L959" s="3" t="s">
        <v>2276</v>
      </c>
      <c r="M959" s="3" t="s">
        <v>2276</v>
      </c>
      <c r="N959" s="3" t="s">
        <v>2276</v>
      </c>
      <c r="O959" s="3" t="s">
        <v>2276</v>
      </c>
      <c r="P959" s="77" t="s">
        <v>2377</v>
      </c>
      <c r="Q959" s="3" t="s">
        <v>2276</v>
      </c>
      <c r="R959" s="3" t="s">
        <v>2376</v>
      </c>
      <c r="S959" s="3" t="s">
        <v>2276</v>
      </c>
      <c r="T959" s="3" t="s">
        <v>2276</v>
      </c>
      <c r="U959" s="3" t="s">
        <v>2276</v>
      </c>
      <c r="V959" s="21" t="s">
        <v>2527</v>
      </c>
      <c r="W959" s="3" t="s">
        <v>2276</v>
      </c>
      <c r="X959" s="22" t="s">
        <v>404</v>
      </c>
      <c r="Y959" s="22" t="s">
        <v>405</v>
      </c>
      <c r="Z959" s="22" t="s">
        <v>64</v>
      </c>
      <c r="AA959" s="22" t="s">
        <v>3059</v>
      </c>
      <c r="AB959" s="24" t="s">
        <v>5036</v>
      </c>
    </row>
    <row r="960" spans="1:28" ht="54.5" customHeight="1">
      <c r="A960" s="6" t="str">
        <f>'Reported burning'!A960</f>
        <v>117a</v>
      </c>
      <c r="B960" s="6" t="str">
        <f>'Reported burning'!B960</f>
        <v>117a.4</v>
      </c>
      <c r="C960" s="6" t="str">
        <f>'Reported burning'!C960</f>
        <v>Human, deliberate</v>
      </c>
      <c r="D960" s="6" t="str">
        <f>'Reported burning'!D960</f>
        <v>Pasture renewal</v>
      </c>
      <c r="E960" s="6" t="str">
        <f>'Reported burning'!E960</f>
        <v>Cattle, Extensive</v>
      </c>
      <c r="F960" s="6" t="str">
        <f>'Reported burning'!F960</f>
        <v>Pasture</v>
      </c>
      <c r="G960" s="6" t="str">
        <f>'Reported burning'!G960</f>
        <v>ND</v>
      </c>
      <c r="H960" s="6" t="str">
        <f>'Reported burning'!H960</f>
        <v>Presence</v>
      </c>
      <c r="I960" s="22"/>
      <c r="J960" s="3" t="s">
        <v>2276</v>
      </c>
      <c r="K960" s="3" t="s">
        <v>2276</v>
      </c>
      <c r="L960" s="3" t="s">
        <v>2276</v>
      </c>
      <c r="M960" s="3" t="s">
        <v>2276</v>
      </c>
      <c r="N960" s="3" t="s">
        <v>2276</v>
      </c>
      <c r="O960" s="3" t="s">
        <v>2276</v>
      </c>
      <c r="P960" s="77" t="s">
        <v>2377</v>
      </c>
      <c r="Q960" s="3" t="s">
        <v>2276</v>
      </c>
      <c r="R960" s="3" t="s">
        <v>2376</v>
      </c>
      <c r="S960" s="3" t="s">
        <v>2276</v>
      </c>
      <c r="T960" s="3" t="s">
        <v>2276</v>
      </c>
      <c r="U960" s="3" t="s">
        <v>2276</v>
      </c>
      <c r="V960" s="21" t="s">
        <v>2527</v>
      </c>
      <c r="W960" s="3" t="s">
        <v>2276</v>
      </c>
      <c r="X960" s="22" t="s">
        <v>405</v>
      </c>
      <c r="Y960" s="22" t="s">
        <v>425</v>
      </c>
      <c r="Z960" s="22" t="s">
        <v>76</v>
      </c>
      <c r="AA960" s="24" t="s">
        <v>3078</v>
      </c>
      <c r="AB960" s="24" t="s">
        <v>5036</v>
      </c>
    </row>
    <row r="961" spans="1:28" ht="80.5" customHeight="1">
      <c r="A961" s="6" t="str">
        <f>'Reported burning'!A961</f>
        <v>117a</v>
      </c>
      <c r="B961" s="6" t="str">
        <f>'Reported burning'!B961</f>
        <v>117a.5</v>
      </c>
      <c r="C961" s="6" t="str">
        <f>'Reported burning'!C961</f>
        <v>Human, deliberate</v>
      </c>
      <c r="D961" s="6" t="str">
        <f>'Reported burning'!D961</f>
        <v>Pasture renewal</v>
      </c>
      <c r="E961" s="6" t="str">
        <f>'Reported burning'!E961</f>
        <v>Cattle, Extensive</v>
      </c>
      <c r="F961" s="6" t="str">
        <f>'Reported burning'!F961</f>
        <v>Pasture</v>
      </c>
      <c r="G961" s="6" t="str">
        <f>'Reported burning'!G961</f>
        <v>ND</v>
      </c>
      <c r="H961" s="6" t="str">
        <f>'Reported burning'!H961</f>
        <v>Presence</v>
      </c>
      <c r="I961" s="22"/>
      <c r="J961" s="3" t="s">
        <v>2276</v>
      </c>
      <c r="K961" s="3" t="s">
        <v>2276</v>
      </c>
      <c r="L961" s="3" t="s">
        <v>2276</v>
      </c>
      <c r="M961" s="3" t="s">
        <v>2276</v>
      </c>
      <c r="N961" s="77" t="s">
        <v>2377</v>
      </c>
      <c r="O961" s="3" t="s">
        <v>2276</v>
      </c>
      <c r="P961" s="3" t="s">
        <v>2276</v>
      </c>
      <c r="Q961" s="3" t="s">
        <v>2276</v>
      </c>
      <c r="R961" s="3" t="s">
        <v>2276</v>
      </c>
      <c r="S961" s="3" t="s">
        <v>2276</v>
      </c>
      <c r="T961" s="3" t="s">
        <v>2276</v>
      </c>
      <c r="U961" s="3" t="s">
        <v>2276</v>
      </c>
      <c r="V961" s="3" t="s">
        <v>2276</v>
      </c>
      <c r="W961" s="3" t="s">
        <v>2276</v>
      </c>
      <c r="X961" s="22" t="s">
        <v>68</v>
      </c>
      <c r="Y961" s="22" t="s">
        <v>35</v>
      </c>
      <c r="Z961" s="22" t="s">
        <v>64</v>
      </c>
      <c r="AA961" s="24" t="s">
        <v>3056</v>
      </c>
      <c r="AB961" s="22" t="s">
        <v>3079</v>
      </c>
    </row>
    <row r="962" spans="1:28" ht="64" customHeight="1">
      <c r="A962" s="6" t="str">
        <f>'Reported burning'!A962</f>
        <v>117a</v>
      </c>
      <c r="B962" s="6" t="str">
        <f>'Reported burning'!B962</f>
        <v>117a.6</v>
      </c>
      <c r="C962" s="6" t="str">
        <f>'Reported burning'!C962</f>
        <v>Human, deliberate</v>
      </c>
      <c r="D962" s="6" t="str">
        <f>'Reported burning'!D962</f>
        <v>Pyrome management</v>
      </c>
      <c r="E962" s="6" t="str">
        <f>'Reported burning'!E962</f>
        <v>Cattle, Extensive</v>
      </c>
      <c r="F962" s="6" t="str">
        <f>'Reported burning'!F962</f>
        <v>Shrubland (Mixed forest &amp; grassland)</v>
      </c>
      <c r="G962" s="6" t="str">
        <f>'Reported burning'!G962</f>
        <v>ND</v>
      </c>
      <c r="H962" s="6" t="str">
        <f>'Reported burning'!H962</f>
        <v>Presence</v>
      </c>
      <c r="I962" s="22"/>
      <c r="J962" s="3" t="s">
        <v>2276</v>
      </c>
      <c r="K962" s="3" t="s">
        <v>2276</v>
      </c>
      <c r="L962" s="3" t="s">
        <v>2276</v>
      </c>
      <c r="M962" s="3" t="s">
        <v>2276</v>
      </c>
      <c r="N962" s="3" t="s">
        <v>2276</v>
      </c>
      <c r="O962" s="3" t="s">
        <v>2276</v>
      </c>
      <c r="P962" s="77" t="s">
        <v>2377</v>
      </c>
      <c r="Q962" s="3" t="s">
        <v>2276</v>
      </c>
      <c r="R962" s="3" t="s">
        <v>2376</v>
      </c>
      <c r="S962" s="3" t="s">
        <v>2276</v>
      </c>
      <c r="T962" s="3" t="s">
        <v>2276</v>
      </c>
      <c r="U962" s="3" t="s">
        <v>2276</v>
      </c>
      <c r="V962" s="3" t="s">
        <v>2276</v>
      </c>
      <c r="W962" s="3" t="s">
        <v>2276</v>
      </c>
      <c r="X962" s="22" t="s">
        <v>68</v>
      </c>
      <c r="Y962" s="22" t="s">
        <v>35</v>
      </c>
      <c r="Z962" s="22" t="s">
        <v>64</v>
      </c>
      <c r="AA962" s="24" t="s">
        <v>3055</v>
      </c>
      <c r="AB962" s="24" t="s">
        <v>5036</v>
      </c>
    </row>
    <row r="963" spans="1:28" ht="60" customHeight="1">
      <c r="A963" s="6" t="str">
        <f>'Reported burning'!A963</f>
        <v>117a</v>
      </c>
      <c r="B963" s="6" t="str">
        <f>'Reported burning'!B963</f>
        <v>117a.7</v>
      </c>
      <c r="C963" s="6" t="str">
        <f>'Reported burning'!C963</f>
        <v>Human, escaped</v>
      </c>
      <c r="D963" s="6" t="str">
        <f>'Reported burning'!D963</f>
        <v>Pasture renewal</v>
      </c>
      <c r="E963" s="6" t="str">
        <f>'Reported burning'!E963</f>
        <v>Cattle, Extensive</v>
      </c>
      <c r="F963" s="6" t="str">
        <f>'Reported burning'!F963</f>
        <v>Grassland</v>
      </c>
      <c r="G963" s="6" t="str">
        <f>'Reported burning'!G963</f>
        <v>ND</v>
      </c>
      <c r="H963" s="6" t="str">
        <f>'Reported burning'!H963</f>
        <v>Presence</v>
      </c>
      <c r="I963" s="22"/>
      <c r="J963" s="3" t="s">
        <v>2276</v>
      </c>
      <c r="K963" s="3" t="s">
        <v>2276</v>
      </c>
      <c r="L963" s="3" t="s">
        <v>2276</v>
      </c>
      <c r="M963" s="3" t="s">
        <v>2276</v>
      </c>
      <c r="N963" s="77" t="s">
        <v>2384</v>
      </c>
      <c r="O963" s="3" t="s">
        <v>2276</v>
      </c>
      <c r="P963" s="3" t="s">
        <v>2276</v>
      </c>
      <c r="Q963" s="3" t="s">
        <v>2276</v>
      </c>
      <c r="R963" s="3" t="s">
        <v>2276</v>
      </c>
      <c r="S963" s="3" t="s">
        <v>2276</v>
      </c>
      <c r="T963" s="3" t="s">
        <v>2276</v>
      </c>
      <c r="U963" s="3" t="s">
        <v>2276</v>
      </c>
      <c r="V963" s="21" t="s">
        <v>2527</v>
      </c>
      <c r="W963" s="3" t="s">
        <v>2276</v>
      </c>
      <c r="X963" s="22" t="s">
        <v>405</v>
      </c>
      <c r="Y963" s="22" t="s">
        <v>425</v>
      </c>
      <c r="Z963" s="22" t="s">
        <v>76</v>
      </c>
      <c r="AA963" s="24" t="s">
        <v>3094</v>
      </c>
      <c r="AB963" s="22" t="s">
        <v>3080</v>
      </c>
    </row>
    <row r="964" spans="1:28" ht="69.5" customHeight="1">
      <c r="A964" s="6" t="str">
        <f>'Reported burning'!A964</f>
        <v>117b</v>
      </c>
      <c r="B964" s="6" t="str">
        <f>'Reported burning'!B964</f>
        <v>117b.1</v>
      </c>
      <c r="C964" s="6" t="str">
        <f>'Reported burning'!C964</f>
        <v>Human, deliberate</v>
      </c>
      <c r="D964" s="6" t="str">
        <f>'Reported burning'!D964</f>
        <v>Pasture renewal</v>
      </c>
      <c r="E964" s="6" t="str">
        <f>'Reported burning'!E964</f>
        <v>Cattle, Extensive</v>
      </c>
      <c r="F964" s="6" t="str">
        <f>'Reported burning'!F964</f>
        <v>Shrubland (Mixed forest &amp; grassland)</v>
      </c>
      <c r="G964" s="6" t="str">
        <f>'Reported burning'!G964</f>
        <v>ND</v>
      </c>
      <c r="H964" s="6" t="str">
        <f>'Reported burning'!H964</f>
        <v>Presence</v>
      </c>
      <c r="I964" s="22"/>
      <c r="J964" s="3" t="s">
        <v>2276</v>
      </c>
      <c r="K964" s="3" t="s">
        <v>2276</v>
      </c>
      <c r="L964" s="3" t="s">
        <v>2276</v>
      </c>
      <c r="M964" s="3" t="s">
        <v>2276</v>
      </c>
      <c r="N964" s="3" t="s">
        <v>2276</v>
      </c>
      <c r="O964" s="3" t="s">
        <v>2276</v>
      </c>
      <c r="P964" s="77" t="s">
        <v>2377</v>
      </c>
      <c r="Q964" s="3" t="s">
        <v>2276</v>
      </c>
      <c r="R964" s="3" t="s">
        <v>2376</v>
      </c>
      <c r="S964" s="3" t="s">
        <v>2276</v>
      </c>
      <c r="T964" s="3" t="s">
        <v>2276</v>
      </c>
      <c r="U964" s="3" t="s">
        <v>2276</v>
      </c>
      <c r="V964" s="21" t="s">
        <v>2527</v>
      </c>
      <c r="W964" s="3" t="s">
        <v>2276</v>
      </c>
      <c r="X964" s="22" t="s">
        <v>86</v>
      </c>
      <c r="Y964" s="22" t="s">
        <v>34</v>
      </c>
      <c r="Z964" s="22" t="s">
        <v>64</v>
      </c>
      <c r="AA964" s="22" t="s">
        <v>3060</v>
      </c>
      <c r="AB964" s="24" t="s">
        <v>5036</v>
      </c>
    </row>
    <row r="965" spans="1:28" ht="69.5" customHeight="1">
      <c r="A965" s="6" t="str">
        <f>'Reported burning'!A965</f>
        <v>117b</v>
      </c>
      <c r="B965" s="6" t="str">
        <f>'Reported burning'!B965</f>
        <v>117b.2</v>
      </c>
      <c r="C965" s="6" t="str">
        <f>'Reported burning'!C965</f>
        <v>Human, deliberate</v>
      </c>
      <c r="D965" s="6" t="str">
        <f>'Reported burning'!D965</f>
        <v>Pasture renewal</v>
      </c>
      <c r="E965" s="6" t="str">
        <f>'Reported burning'!E965</f>
        <v>Cattle, Extensive</v>
      </c>
      <c r="F965" s="6" t="str">
        <f>'Reported burning'!F965</f>
        <v>Grassland</v>
      </c>
      <c r="G965" s="6" t="str">
        <f>'Reported burning'!G965</f>
        <v>ND</v>
      </c>
      <c r="H965" s="6" t="str">
        <f>'Reported burning'!H965</f>
        <v>Presence</v>
      </c>
      <c r="I965" s="22"/>
      <c r="J965" s="3" t="s">
        <v>2276</v>
      </c>
      <c r="K965" s="3" t="s">
        <v>2276</v>
      </c>
      <c r="L965" s="3" t="s">
        <v>2276</v>
      </c>
      <c r="M965" s="3" t="s">
        <v>2276</v>
      </c>
      <c r="N965" s="3" t="s">
        <v>2276</v>
      </c>
      <c r="O965" s="3" t="s">
        <v>2276</v>
      </c>
      <c r="P965" s="77" t="s">
        <v>2377</v>
      </c>
      <c r="Q965" s="3" t="s">
        <v>2276</v>
      </c>
      <c r="R965" s="3" t="s">
        <v>2376</v>
      </c>
      <c r="S965" s="3" t="s">
        <v>2276</v>
      </c>
      <c r="T965" s="3" t="s">
        <v>2276</v>
      </c>
      <c r="U965" s="3" t="s">
        <v>2276</v>
      </c>
      <c r="V965" s="21" t="s">
        <v>2527</v>
      </c>
      <c r="W965" s="3" t="s">
        <v>2276</v>
      </c>
      <c r="X965" s="22" t="s">
        <v>86</v>
      </c>
      <c r="Y965" s="22" t="s">
        <v>34</v>
      </c>
      <c r="Z965" s="22" t="s">
        <v>64</v>
      </c>
      <c r="AA965" s="22" t="s">
        <v>3059</v>
      </c>
      <c r="AB965" s="24" t="s">
        <v>5036</v>
      </c>
    </row>
    <row r="966" spans="1:28" ht="69.5" customHeight="1">
      <c r="A966" s="6" t="str">
        <f>'Reported burning'!A966</f>
        <v>117b</v>
      </c>
      <c r="B966" s="6" t="str">
        <f>'Reported burning'!B966</f>
        <v>117b.3</v>
      </c>
      <c r="C966" s="6" t="str">
        <f>'Reported burning'!C966</f>
        <v>Human, deliberate</v>
      </c>
      <c r="D966" s="6" t="str">
        <f>'Reported burning'!D966</f>
        <v>Pasture renewal</v>
      </c>
      <c r="E966" s="6" t="str">
        <f>'Reported burning'!E966</f>
        <v>Cattle, Extensive</v>
      </c>
      <c r="F966" s="6" t="str">
        <f>'Reported burning'!F966</f>
        <v>Grassland</v>
      </c>
      <c r="G966" s="6" t="str">
        <f>'Reported burning'!G966</f>
        <v>ND</v>
      </c>
      <c r="H966" s="6" t="str">
        <f>'Reported burning'!H966</f>
        <v>Presence</v>
      </c>
      <c r="I966" s="22"/>
      <c r="J966" s="3" t="s">
        <v>2276</v>
      </c>
      <c r="K966" s="3" t="s">
        <v>2276</v>
      </c>
      <c r="L966" s="3" t="s">
        <v>2276</v>
      </c>
      <c r="M966" s="3" t="s">
        <v>2276</v>
      </c>
      <c r="N966" s="3" t="s">
        <v>2276</v>
      </c>
      <c r="O966" s="3" t="s">
        <v>2276</v>
      </c>
      <c r="P966" s="77" t="s">
        <v>2377</v>
      </c>
      <c r="Q966" s="3" t="s">
        <v>2276</v>
      </c>
      <c r="R966" s="3" t="s">
        <v>2376</v>
      </c>
      <c r="S966" s="3" t="s">
        <v>2276</v>
      </c>
      <c r="T966" s="3" t="s">
        <v>2276</v>
      </c>
      <c r="U966" s="3" t="s">
        <v>2276</v>
      </c>
      <c r="V966" s="21" t="s">
        <v>2374</v>
      </c>
      <c r="W966" s="3" t="s">
        <v>2276</v>
      </c>
      <c r="X966" s="22" t="s">
        <v>404</v>
      </c>
      <c r="Y966" s="22" t="s">
        <v>405</v>
      </c>
      <c r="Z966" s="22" t="s">
        <v>64</v>
      </c>
      <c r="AA966" s="22" t="s">
        <v>3059</v>
      </c>
      <c r="AB966" s="24" t="s">
        <v>5036</v>
      </c>
    </row>
    <row r="967" spans="1:28" ht="69.5" customHeight="1">
      <c r="A967" s="6" t="str">
        <f>'Reported burning'!A967</f>
        <v>117b</v>
      </c>
      <c r="B967" s="6" t="str">
        <f>'Reported burning'!B967</f>
        <v>117b.4</v>
      </c>
      <c r="C967" s="6" t="str">
        <f>'Reported burning'!C967</f>
        <v>Human, deliberate</v>
      </c>
      <c r="D967" s="6" t="str">
        <f>'Reported burning'!D967</f>
        <v>Pasture renewal</v>
      </c>
      <c r="E967" s="6" t="str">
        <f>'Reported burning'!E967</f>
        <v>Cattle, Extensive</v>
      </c>
      <c r="F967" s="6" t="str">
        <f>'Reported burning'!F967</f>
        <v>Pasture</v>
      </c>
      <c r="G967" s="6" t="str">
        <f>'Reported burning'!G967</f>
        <v>ND</v>
      </c>
      <c r="H967" s="6" t="str">
        <f>'Reported burning'!H967</f>
        <v>Presence</v>
      </c>
      <c r="I967" s="22"/>
      <c r="J967" s="3" t="s">
        <v>2276</v>
      </c>
      <c r="K967" s="3" t="s">
        <v>2276</v>
      </c>
      <c r="L967" s="3" t="s">
        <v>2276</v>
      </c>
      <c r="M967" s="3" t="s">
        <v>2276</v>
      </c>
      <c r="N967" s="3" t="s">
        <v>2276</v>
      </c>
      <c r="O967" s="3" t="s">
        <v>2276</v>
      </c>
      <c r="P967" s="77" t="s">
        <v>2377</v>
      </c>
      <c r="Q967" s="3" t="s">
        <v>2276</v>
      </c>
      <c r="R967" s="3" t="s">
        <v>2376</v>
      </c>
      <c r="S967" s="3" t="s">
        <v>2276</v>
      </c>
      <c r="T967" s="3" t="s">
        <v>2276</v>
      </c>
      <c r="U967" s="3" t="s">
        <v>2276</v>
      </c>
      <c r="V967" s="21" t="s">
        <v>2527</v>
      </c>
      <c r="W967" s="3" t="s">
        <v>2276</v>
      </c>
      <c r="X967" s="22" t="s">
        <v>405</v>
      </c>
      <c r="Y967" s="22" t="s">
        <v>425</v>
      </c>
      <c r="Z967" s="22" t="s">
        <v>76</v>
      </c>
      <c r="AA967" s="24" t="s">
        <v>3078</v>
      </c>
      <c r="AB967" s="24" t="s">
        <v>5036</v>
      </c>
    </row>
    <row r="968" spans="1:28" ht="91" customHeight="1">
      <c r="A968" s="6" t="str">
        <f>'Reported burning'!A968</f>
        <v>117b</v>
      </c>
      <c r="B968" s="6" t="str">
        <f>'Reported burning'!B968</f>
        <v>117b.5</v>
      </c>
      <c r="C968" s="6" t="str">
        <f>'Reported burning'!C968</f>
        <v>Human, deliberate</v>
      </c>
      <c r="D968" s="6" t="str">
        <f>'Reported burning'!D968</f>
        <v>Pasture renewal</v>
      </c>
      <c r="E968" s="6" t="str">
        <f>'Reported burning'!E968</f>
        <v>Cattle, Extensive</v>
      </c>
      <c r="F968" s="6" t="str">
        <f>'Reported burning'!F968</f>
        <v>Pasture</v>
      </c>
      <c r="G968" s="6" t="str">
        <f>'Reported burning'!G968</f>
        <v>ND</v>
      </c>
      <c r="H968" s="6" t="str">
        <f>'Reported burning'!H968</f>
        <v>Presence</v>
      </c>
      <c r="I968" s="22"/>
      <c r="J968" s="3" t="s">
        <v>2276</v>
      </c>
      <c r="K968" s="3" t="s">
        <v>2276</v>
      </c>
      <c r="L968" s="3" t="s">
        <v>2276</v>
      </c>
      <c r="M968" s="3" t="s">
        <v>2276</v>
      </c>
      <c r="N968" s="77" t="s">
        <v>2377</v>
      </c>
      <c r="O968" s="3" t="s">
        <v>2276</v>
      </c>
      <c r="P968" s="3" t="s">
        <v>2276</v>
      </c>
      <c r="Q968" s="3" t="s">
        <v>2276</v>
      </c>
      <c r="R968" s="3" t="s">
        <v>2276</v>
      </c>
      <c r="S968" s="3" t="s">
        <v>2276</v>
      </c>
      <c r="T968" s="3" t="s">
        <v>2276</v>
      </c>
      <c r="U968" s="3" t="s">
        <v>2276</v>
      </c>
      <c r="V968" s="3" t="s">
        <v>2276</v>
      </c>
      <c r="W968" s="3" t="s">
        <v>2276</v>
      </c>
      <c r="X968" s="22" t="s">
        <v>68</v>
      </c>
      <c r="Y968" s="22" t="s">
        <v>35</v>
      </c>
      <c r="Z968" s="22" t="s">
        <v>64</v>
      </c>
      <c r="AA968" s="24" t="s">
        <v>3056</v>
      </c>
      <c r="AB968" s="22" t="s">
        <v>3079</v>
      </c>
    </row>
    <row r="969" spans="1:28" ht="54" customHeight="1">
      <c r="A969" s="6" t="str">
        <f>'Reported burning'!A969</f>
        <v>117b</v>
      </c>
      <c r="B969" s="6" t="str">
        <f>'Reported burning'!B969</f>
        <v>117b.6</v>
      </c>
      <c r="C969" s="6" t="str">
        <f>'Reported burning'!C969</f>
        <v>Human, deliberate</v>
      </c>
      <c r="D969" s="6" t="str">
        <f>'Reported burning'!D969</f>
        <v>Pyrome management</v>
      </c>
      <c r="E969" s="6" t="str">
        <f>'Reported burning'!E969</f>
        <v>Cattle, Extensive</v>
      </c>
      <c r="F969" s="6" t="str">
        <f>'Reported burning'!F969</f>
        <v>Shrubland (Mixed forest &amp; grassland)</v>
      </c>
      <c r="G969" s="6" t="str">
        <f>'Reported burning'!G969</f>
        <v>ND</v>
      </c>
      <c r="H969" s="6" t="str">
        <f>'Reported burning'!H969</f>
        <v>Presence</v>
      </c>
      <c r="I969" s="22"/>
      <c r="J969" s="3" t="s">
        <v>2276</v>
      </c>
      <c r="K969" s="3" t="s">
        <v>2276</v>
      </c>
      <c r="L969" s="3" t="s">
        <v>2276</v>
      </c>
      <c r="M969" s="3" t="s">
        <v>2276</v>
      </c>
      <c r="N969" s="3" t="s">
        <v>2276</v>
      </c>
      <c r="O969" s="3" t="s">
        <v>2276</v>
      </c>
      <c r="P969" s="77" t="s">
        <v>2377</v>
      </c>
      <c r="Q969" s="3" t="s">
        <v>2276</v>
      </c>
      <c r="R969" s="3" t="s">
        <v>2376</v>
      </c>
      <c r="S969" s="3" t="s">
        <v>2276</v>
      </c>
      <c r="T969" s="3" t="s">
        <v>2276</v>
      </c>
      <c r="U969" s="3" t="s">
        <v>2276</v>
      </c>
      <c r="V969" s="3" t="s">
        <v>2276</v>
      </c>
      <c r="W969" s="3" t="s">
        <v>2276</v>
      </c>
      <c r="X969" s="22" t="s">
        <v>68</v>
      </c>
      <c r="Y969" s="22" t="s">
        <v>35</v>
      </c>
      <c r="Z969" s="22" t="s">
        <v>64</v>
      </c>
      <c r="AA969" s="24" t="s">
        <v>3055</v>
      </c>
      <c r="AB969" s="24" t="s">
        <v>5036</v>
      </c>
    </row>
    <row r="970" spans="1:28" ht="66.5" customHeight="1">
      <c r="A970" s="6" t="str">
        <f>'Reported burning'!A970</f>
        <v>117b</v>
      </c>
      <c r="B970" s="6" t="str">
        <f>'Reported burning'!B970</f>
        <v>117b.7</v>
      </c>
      <c r="C970" s="6" t="str">
        <f>'Reported burning'!C970</f>
        <v>Human, escaped</v>
      </c>
      <c r="D970" s="6" t="str">
        <f>'Reported burning'!D970</f>
        <v>Pasture renewal</v>
      </c>
      <c r="E970" s="6" t="str">
        <f>'Reported burning'!E970</f>
        <v>Cattle, Extensive</v>
      </c>
      <c r="F970" s="6" t="str">
        <f>'Reported burning'!F970</f>
        <v>Grassland</v>
      </c>
      <c r="G970" s="6" t="str">
        <f>'Reported burning'!G970</f>
        <v>ND</v>
      </c>
      <c r="H970" s="6" t="str">
        <f>'Reported burning'!H970</f>
        <v>Presence</v>
      </c>
      <c r="I970" s="22"/>
      <c r="J970" s="3" t="s">
        <v>2276</v>
      </c>
      <c r="K970" s="3" t="s">
        <v>2276</v>
      </c>
      <c r="L970" s="3" t="s">
        <v>2276</v>
      </c>
      <c r="M970" s="3" t="s">
        <v>2276</v>
      </c>
      <c r="N970" s="77" t="s">
        <v>2384</v>
      </c>
      <c r="O970" s="3" t="s">
        <v>2276</v>
      </c>
      <c r="P970" s="3" t="s">
        <v>2276</v>
      </c>
      <c r="Q970" s="3" t="s">
        <v>2276</v>
      </c>
      <c r="R970" s="3" t="s">
        <v>2276</v>
      </c>
      <c r="S970" s="3" t="s">
        <v>2276</v>
      </c>
      <c r="T970" s="3" t="s">
        <v>2276</v>
      </c>
      <c r="U970" s="3" t="s">
        <v>2276</v>
      </c>
      <c r="V970" s="21" t="s">
        <v>2374</v>
      </c>
      <c r="W970" s="3" t="s">
        <v>2276</v>
      </c>
      <c r="X970" s="22" t="s">
        <v>405</v>
      </c>
      <c r="Y970" s="22" t="s">
        <v>425</v>
      </c>
      <c r="Z970" s="22" t="s">
        <v>76</v>
      </c>
      <c r="AA970" s="24" t="s">
        <v>3094</v>
      </c>
      <c r="AB970" s="22" t="s">
        <v>3080</v>
      </c>
    </row>
    <row r="971" spans="1:28" ht="37" customHeight="1">
      <c r="A971" s="6" t="str">
        <f>'Reported burning'!A971</f>
        <v>117c</v>
      </c>
      <c r="B971" s="6" t="str">
        <f>'Reported burning'!B971</f>
        <v>117c.1</v>
      </c>
      <c r="C971" s="6" t="str">
        <f>'Reported burning'!C971</f>
        <v>Human, deliberate</v>
      </c>
      <c r="D971" s="6" t="str">
        <f>'Reported burning'!D971</f>
        <v>Pyrome management</v>
      </c>
      <c r="E971" s="6" t="str">
        <f>'Reported burning'!E971</f>
        <v>Biodiversity conservation</v>
      </c>
      <c r="F971" s="6" t="str">
        <f>'Reported burning'!F971</f>
        <v>Shrubland (Mixed forest &amp; grassland)</v>
      </c>
      <c r="G971" s="6" t="str">
        <f>'Reported burning'!G971</f>
        <v>ND</v>
      </c>
      <c r="H971" s="6" t="str">
        <f>'Reported burning'!H971</f>
        <v>Absence</v>
      </c>
      <c r="I971" s="22"/>
      <c r="J971" s="77">
        <v>0</v>
      </c>
      <c r="K971" s="77">
        <v>0</v>
      </c>
      <c r="L971" s="77">
        <v>0</v>
      </c>
      <c r="M971" s="77">
        <v>0</v>
      </c>
      <c r="N971" s="77">
        <v>0</v>
      </c>
      <c r="O971" s="77">
        <v>0</v>
      </c>
      <c r="P971" s="77">
        <v>0</v>
      </c>
      <c r="Q971" s="77">
        <v>0</v>
      </c>
      <c r="R971" s="77">
        <v>0</v>
      </c>
      <c r="S971" s="77">
        <v>0</v>
      </c>
      <c r="T971" s="77">
        <v>0</v>
      </c>
      <c r="U971" s="77">
        <v>0</v>
      </c>
      <c r="V971" s="77">
        <v>0</v>
      </c>
      <c r="W971" s="3" t="s">
        <v>2276</v>
      </c>
      <c r="X971" s="22" t="s">
        <v>399</v>
      </c>
      <c r="Y971" s="22" t="s">
        <v>127</v>
      </c>
      <c r="Z971" s="22"/>
      <c r="AA971" s="22" t="s">
        <v>3074</v>
      </c>
      <c r="AB971" s="22"/>
    </row>
    <row r="972" spans="1:28" ht="34.5" customHeight="1">
      <c r="A972" s="6" t="str">
        <f>'Reported burning'!A972</f>
        <v>117c</v>
      </c>
      <c r="B972" s="6" t="str">
        <f>'Reported burning'!B972</f>
        <v>117c.2</v>
      </c>
      <c r="C972" s="6" t="str">
        <f>'Reported burning'!C972</f>
        <v>All</v>
      </c>
      <c r="D972" s="6" t="str">
        <f>'Reported burning'!D972</f>
        <v>All</v>
      </c>
      <c r="E972" s="6" t="str">
        <f>'Reported burning'!E972</f>
        <v>All</v>
      </c>
      <c r="F972" s="6" t="str">
        <f>'Reported burning'!F972</f>
        <v>Shrubland (Mixed forest &amp; grassland)</v>
      </c>
      <c r="G972" s="6" t="str">
        <f>'Reported burning'!G972</f>
        <v>ND</v>
      </c>
      <c r="H972" s="6" t="str">
        <f>'Reported burning'!H972</f>
        <v>Presence</v>
      </c>
      <c r="I972" s="153">
        <v>2014</v>
      </c>
      <c r="J972" s="3" t="s">
        <v>2276</v>
      </c>
      <c r="K972" s="3" t="s">
        <v>2276</v>
      </c>
      <c r="L972" s="3" t="s">
        <v>2276</v>
      </c>
      <c r="M972" s="3" t="s">
        <v>2276</v>
      </c>
      <c r="N972" s="3" t="s">
        <v>2276</v>
      </c>
      <c r="O972" s="3" t="s">
        <v>2276</v>
      </c>
      <c r="P972" s="3" t="s">
        <v>2276</v>
      </c>
      <c r="Q972" s="3" t="s">
        <v>2276</v>
      </c>
      <c r="R972" s="3" t="s">
        <v>2276</v>
      </c>
      <c r="S972" s="3" t="s">
        <v>2276</v>
      </c>
      <c r="T972" s="3" t="s">
        <v>2276</v>
      </c>
      <c r="U972" s="3" t="s">
        <v>2276</v>
      </c>
      <c r="V972" s="21" t="s">
        <v>2374</v>
      </c>
      <c r="W972" s="3" t="s">
        <v>2276</v>
      </c>
      <c r="X972" s="22" t="s">
        <v>86</v>
      </c>
      <c r="Y972" s="22" t="s">
        <v>34</v>
      </c>
      <c r="Z972" s="22" t="s">
        <v>64</v>
      </c>
      <c r="AA972" s="24"/>
      <c r="AB972" s="24"/>
    </row>
    <row r="973" spans="1:28" ht="40" customHeight="1">
      <c r="A973" s="6" t="str">
        <f>'Reported burning'!A973</f>
        <v>117c</v>
      </c>
      <c r="B973" s="6" t="str">
        <f>'Reported burning'!B973</f>
        <v>117c.3</v>
      </c>
      <c r="C973" s="6" t="str">
        <f>'Reported burning'!C973</f>
        <v>All</v>
      </c>
      <c r="D973" s="6" t="str">
        <f>'Reported burning'!D973</f>
        <v>All</v>
      </c>
      <c r="E973" s="6" t="str">
        <f>'Reported burning'!E973</f>
        <v>All</v>
      </c>
      <c r="F973" s="6" t="str">
        <f>'Reported burning'!F973</f>
        <v>Shrubland (Mixed forest &amp; grassland)</v>
      </c>
      <c r="G973" s="6" t="str">
        <f>'Reported burning'!G973</f>
        <v>ND</v>
      </c>
      <c r="H973" s="6" t="str">
        <f>'Reported burning'!H973</f>
        <v>Presence</v>
      </c>
      <c r="I973" s="153">
        <v>2014</v>
      </c>
      <c r="J973" s="3" t="s">
        <v>2276</v>
      </c>
      <c r="K973" s="3" t="s">
        <v>2276</v>
      </c>
      <c r="L973" s="3" t="s">
        <v>2276</v>
      </c>
      <c r="M973" s="3" t="s">
        <v>2276</v>
      </c>
      <c r="N973" s="3" t="s">
        <v>2276</v>
      </c>
      <c r="O973" s="3" t="s">
        <v>2276</v>
      </c>
      <c r="P973" s="3" t="s">
        <v>2276</v>
      </c>
      <c r="Q973" s="3" t="s">
        <v>2276</v>
      </c>
      <c r="R973" s="3" t="s">
        <v>2276</v>
      </c>
      <c r="S973" s="3" t="s">
        <v>2276</v>
      </c>
      <c r="T973" s="3" t="s">
        <v>2276</v>
      </c>
      <c r="U973" s="3" t="s">
        <v>2276</v>
      </c>
      <c r="V973" s="21" t="s">
        <v>2374</v>
      </c>
      <c r="W973" s="3" t="s">
        <v>2276</v>
      </c>
      <c r="X973" s="22" t="s">
        <v>34</v>
      </c>
      <c r="Y973" s="22" t="s">
        <v>405</v>
      </c>
      <c r="Z973" s="22" t="s">
        <v>64</v>
      </c>
      <c r="AA973" s="24"/>
      <c r="AB973" s="24"/>
    </row>
    <row r="974" spans="1:28" ht="52" customHeight="1">
      <c r="A974" s="6" t="str">
        <f>'Reported burning'!A974</f>
        <v>117c</v>
      </c>
      <c r="B974" s="6" t="str">
        <f>'Reported burning'!B974</f>
        <v>117c.4</v>
      </c>
      <c r="C974" s="6" t="str">
        <f>'Reported burning'!C974</f>
        <v>All</v>
      </c>
      <c r="D974" s="6" t="str">
        <f>'Reported burning'!D974</f>
        <v>All</v>
      </c>
      <c r="E974" s="6" t="str">
        <f>'Reported burning'!E974</f>
        <v>All</v>
      </c>
      <c r="F974" s="6" t="str">
        <f>'Reported burning'!F974</f>
        <v>Shrubland (Mixed forest &amp; grassland)</v>
      </c>
      <c r="G974" s="6" t="str">
        <f>'Reported burning'!G974</f>
        <v>ND</v>
      </c>
      <c r="H974" s="6" t="str">
        <f>'Reported burning'!H974</f>
        <v>Presence</v>
      </c>
      <c r="I974" s="153">
        <v>2014</v>
      </c>
      <c r="J974" s="3" t="s">
        <v>2276</v>
      </c>
      <c r="K974" s="3" t="s">
        <v>2276</v>
      </c>
      <c r="L974" s="3" t="s">
        <v>2276</v>
      </c>
      <c r="M974" s="3" t="s">
        <v>2276</v>
      </c>
      <c r="N974" s="77" t="s">
        <v>2385</v>
      </c>
      <c r="O974" s="3" t="s">
        <v>2276</v>
      </c>
      <c r="P974" s="3" t="s">
        <v>2276</v>
      </c>
      <c r="Q974" s="3" t="s">
        <v>2276</v>
      </c>
      <c r="R974" s="3" t="s">
        <v>2276</v>
      </c>
      <c r="S974" s="3" t="s">
        <v>2276</v>
      </c>
      <c r="T974" s="3" t="s">
        <v>2276</v>
      </c>
      <c r="U974" s="3" t="s">
        <v>2276</v>
      </c>
      <c r="V974" s="3" t="s">
        <v>2276</v>
      </c>
      <c r="W974" s="3" t="s">
        <v>2276</v>
      </c>
      <c r="X974" s="22" t="s">
        <v>405</v>
      </c>
      <c r="Y974" s="22" t="s">
        <v>425</v>
      </c>
      <c r="Z974" s="22" t="s">
        <v>76</v>
      </c>
      <c r="AA974" s="24" t="s">
        <v>3083</v>
      </c>
      <c r="AB974" s="22"/>
    </row>
    <row r="975" spans="1:28" ht="41" customHeight="1">
      <c r="A975" s="6" t="str">
        <f>'Reported burning'!A975</f>
        <v>117c</v>
      </c>
      <c r="B975" s="6" t="str">
        <f>'Reported burning'!B975</f>
        <v>117c.5</v>
      </c>
      <c r="C975" s="6" t="str">
        <f>'Reported burning'!C975</f>
        <v>All</v>
      </c>
      <c r="D975" s="6" t="str">
        <f>'Reported burning'!D975</f>
        <v>All</v>
      </c>
      <c r="E975" s="6" t="str">
        <f>'Reported burning'!E975</f>
        <v>All</v>
      </c>
      <c r="F975" s="6" t="str">
        <f>'Reported burning'!F975</f>
        <v>Shrubland (Mixed forest &amp; grassland)</v>
      </c>
      <c r="G975" s="6" t="str">
        <f>'Reported burning'!G975</f>
        <v>ND</v>
      </c>
      <c r="H975" s="6" t="str">
        <f>'Reported burning'!H975</f>
        <v>Presence</v>
      </c>
      <c r="I975" s="153">
        <v>2015</v>
      </c>
      <c r="J975" s="3" t="s">
        <v>2276</v>
      </c>
      <c r="K975" s="3" t="s">
        <v>2276</v>
      </c>
      <c r="L975" s="3" t="s">
        <v>2276</v>
      </c>
      <c r="M975" s="3" t="s">
        <v>2276</v>
      </c>
      <c r="N975" s="3" t="s">
        <v>2276</v>
      </c>
      <c r="O975" s="3" t="s">
        <v>2276</v>
      </c>
      <c r="P975" s="3" t="s">
        <v>2276</v>
      </c>
      <c r="Q975" s="3" t="s">
        <v>2276</v>
      </c>
      <c r="R975" s="3" t="s">
        <v>2276</v>
      </c>
      <c r="S975" s="3" t="s">
        <v>2276</v>
      </c>
      <c r="T975" s="3" t="s">
        <v>2276</v>
      </c>
      <c r="U975" s="3" t="s">
        <v>2276</v>
      </c>
      <c r="V975" s="21" t="s">
        <v>2527</v>
      </c>
      <c r="W975" s="3" t="s">
        <v>2276</v>
      </c>
      <c r="X975" s="22" t="s">
        <v>86</v>
      </c>
      <c r="Y975" s="22" t="s">
        <v>34</v>
      </c>
      <c r="Z975" s="22" t="s">
        <v>64</v>
      </c>
      <c r="AA975" s="24"/>
      <c r="AB975" s="24"/>
    </row>
    <row r="976" spans="1:28" ht="42.5" customHeight="1">
      <c r="A976" s="6" t="str">
        <f>'Reported burning'!A976</f>
        <v>117c</v>
      </c>
      <c r="B976" s="6" t="str">
        <f>'Reported burning'!B976</f>
        <v>117c.6</v>
      </c>
      <c r="C976" s="6" t="str">
        <f>'Reported burning'!C976</f>
        <v>All</v>
      </c>
      <c r="D976" s="6" t="str">
        <f>'Reported burning'!D976</f>
        <v>All</v>
      </c>
      <c r="E976" s="6" t="str">
        <f>'Reported burning'!E976</f>
        <v>All</v>
      </c>
      <c r="F976" s="6" t="str">
        <f>'Reported burning'!F976</f>
        <v>Shrubland (Mixed forest &amp; grassland)</v>
      </c>
      <c r="G976" s="6" t="str">
        <f>'Reported burning'!G976</f>
        <v>ND</v>
      </c>
      <c r="H976" s="6" t="str">
        <f>'Reported burning'!H976</f>
        <v>Presence</v>
      </c>
      <c r="I976" s="153">
        <v>2015</v>
      </c>
      <c r="J976" s="3" t="s">
        <v>2276</v>
      </c>
      <c r="K976" s="3" t="s">
        <v>2276</v>
      </c>
      <c r="L976" s="3" t="s">
        <v>2276</v>
      </c>
      <c r="M976" s="3" t="s">
        <v>2276</v>
      </c>
      <c r="N976" s="3" t="s">
        <v>2276</v>
      </c>
      <c r="O976" s="3" t="s">
        <v>2276</v>
      </c>
      <c r="P976" s="3" t="s">
        <v>2276</v>
      </c>
      <c r="Q976" s="3" t="s">
        <v>2276</v>
      </c>
      <c r="R976" s="3" t="s">
        <v>2276</v>
      </c>
      <c r="S976" s="3" t="s">
        <v>2276</v>
      </c>
      <c r="T976" s="3" t="s">
        <v>2276</v>
      </c>
      <c r="U976" s="3" t="s">
        <v>2276</v>
      </c>
      <c r="V976" s="21" t="s">
        <v>2527</v>
      </c>
      <c r="W976" s="3" t="s">
        <v>2276</v>
      </c>
      <c r="X976" s="22" t="s">
        <v>34</v>
      </c>
      <c r="Y976" s="22" t="s">
        <v>405</v>
      </c>
      <c r="Z976" s="22" t="s">
        <v>64</v>
      </c>
      <c r="AA976" s="24"/>
      <c r="AB976" s="24"/>
    </row>
    <row r="977" spans="1:28" ht="56.5" customHeight="1">
      <c r="A977" s="6" t="str">
        <f>'Reported burning'!A977</f>
        <v>117c</v>
      </c>
      <c r="B977" s="6" t="str">
        <f>'Reported burning'!B977</f>
        <v>117c.7</v>
      </c>
      <c r="C977" s="6" t="str">
        <f>'Reported burning'!C977</f>
        <v>All</v>
      </c>
      <c r="D977" s="6" t="str">
        <f>'Reported burning'!D977</f>
        <v>All</v>
      </c>
      <c r="E977" s="6" t="str">
        <f>'Reported burning'!E977</f>
        <v>All</v>
      </c>
      <c r="F977" s="6" t="str">
        <f>'Reported burning'!F977</f>
        <v>Shrubland (Mixed forest &amp; grassland)</v>
      </c>
      <c r="G977" s="6" t="str">
        <f>'Reported burning'!G977</f>
        <v>ND</v>
      </c>
      <c r="H977" s="6" t="str">
        <f>'Reported burning'!H977</f>
        <v>Presence</v>
      </c>
      <c r="I977" s="153">
        <v>2015</v>
      </c>
      <c r="J977" s="3" t="s">
        <v>2276</v>
      </c>
      <c r="K977" s="3" t="s">
        <v>2276</v>
      </c>
      <c r="L977" s="3" t="s">
        <v>2276</v>
      </c>
      <c r="M977" s="3" t="s">
        <v>2276</v>
      </c>
      <c r="N977" s="21" t="s">
        <v>2384</v>
      </c>
      <c r="O977" s="3" t="s">
        <v>2276</v>
      </c>
      <c r="P977" s="3" t="s">
        <v>2276</v>
      </c>
      <c r="Q977" s="3" t="s">
        <v>2276</v>
      </c>
      <c r="R977" s="3" t="s">
        <v>2276</v>
      </c>
      <c r="S977" s="3" t="s">
        <v>2276</v>
      </c>
      <c r="T977" s="3" t="s">
        <v>2276</v>
      </c>
      <c r="U977" s="3" t="s">
        <v>2276</v>
      </c>
      <c r="V977" s="21" t="s">
        <v>2374</v>
      </c>
      <c r="W977" s="3" t="s">
        <v>2276</v>
      </c>
      <c r="X977" s="22" t="s">
        <v>405</v>
      </c>
      <c r="Y977" s="22" t="s">
        <v>425</v>
      </c>
      <c r="Z977" s="22" t="s">
        <v>76</v>
      </c>
      <c r="AA977" s="24" t="s">
        <v>3075</v>
      </c>
      <c r="AB977" s="22"/>
    </row>
    <row r="978" spans="1:28" ht="39" customHeight="1">
      <c r="A978" s="6" t="str">
        <f>'Reported burning'!A978</f>
        <v>117d</v>
      </c>
      <c r="B978" s="6" t="str">
        <f>'Reported burning'!B978</f>
        <v>117d.1</v>
      </c>
      <c r="C978" s="6" t="str">
        <f>'Reported burning'!C978</f>
        <v>Human, deliberate</v>
      </c>
      <c r="D978" s="6" t="str">
        <f>'Reported burning'!D978</f>
        <v>Pyrome management</v>
      </c>
      <c r="E978" s="6" t="str">
        <f>'Reported burning'!E978</f>
        <v>Biodiversity conservation</v>
      </c>
      <c r="F978" s="6" t="str">
        <f>'Reported burning'!F978</f>
        <v>Shrubland (Mixed forest &amp; grassland)</v>
      </c>
      <c r="G978" s="6" t="str">
        <f>'Reported burning'!G978</f>
        <v>ND</v>
      </c>
      <c r="H978" s="6" t="str">
        <f>'Reported burning'!H978</f>
        <v>Absence</v>
      </c>
      <c r="I978" s="3"/>
      <c r="J978" s="77">
        <v>0</v>
      </c>
      <c r="K978" s="77">
        <v>0</v>
      </c>
      <c r="L978" s="77">
        <v>0</v>
      </c>
      <c r="M978" s="77">
        <v>0</v>
      </c>
      <c r="N978" s="77">
        <v>0</v>
      </c>
      <c r="O978" s="77">
        <v>0</v>
      </c>
      <c r="P978" s="77">
        <v>0</v>
      </c>
      <c r="Q978" s="77">
        <v>0</v>
      </c>
      <c r="R978" s="77">
        <v>0</v>
      </c>
      <c r="S978" s="77">
        <v>0</v>
      </c>
      <c r="T978" s="77">
        <v>0</v>
      </c>
      <c r="U978" s="77">
        <v>0</v>
      </c>
      <c r="V978" s="77">
        <v>0</v>
      </c>
      <c r="W978" s="3" t="s">
        <v>2276</v>
      </c>
      <c r="X978" s="22" t="s">
        <v>399</v>
      </c>
      <c r="Y978" s="22" t="s">
        <v>127</v>
      </c>
      <c r="Z978" s="22" t="s">
        <v>2276</v>
      </c>
      <c r="AA978" s="22" t="s">
        <v>3074</v>
      </c>
      <c r="AB978" s="22"/>
    </row>
    <row r="979" spans="1:28" ht="38" customHeight="1">
      <c r="A979" s="6" t="str">
        <f>'Reported burning'!A979</f>
        <v>117d</v>
      </c>
      <c r="B979" s="6" t="str">
        <f>'Reported burning'!B979</f>
        <v>117d.2</v>
      </c>
      <c r="C979" s="6" t="str">
        <f>'Reported burning'!C979</f>
        <v>All</v>
      </c>
      <c r="D979" s="6" t="str">
        <f>'Reported burning'!D979</f>
        <v>All</v>
      </c>
      <c r="E979" s="6" t="str">
        <f>'Reported burning'!E979</f>
        <v>All</v>
      </c>
      <c r="F979" s="6" t="str">
        <f>'Reported burning'!F979</f>
        <v>Shrubland (Mixed forest &amp; grassland)</v>
      </c>
      <c r="G979" s="6" t="str">
        <f>'Reported burning'!G979</f>
        <v>ND</v>
      </c>
      <c r="H979" s="6" t="str">
        <f>'Reported burning'!H979</f>
        <v>Presence</v>
      </c>
      <c r="I979" s="3">
        <v>2014</v>
      </c>
      <c r="J979" s="3" t="s">
        <v>2276</v>
      </c>
      <c r="K979" s="3" t="s">
        <v>2276</v>
      </c>
      <c r="L979" s="3" t="s">
        <v>2276</v>
      </c>
      <c r="M979" s="3" t="s">
        <v>2276</v>
      </c>
      <c r="N979" s="3" t="s">
        <v>2276</v>
      </c>
      <c r="O979" s="3" t="s">
        <v>2276</v>
      </c>
      <c r="P979" s="3" t="s">
        <v>2276</v>
      </c>
      <c r="Q979" s="3" t="s">
        <v>2276</v>
      </c>
      <c r="R979" s="3" t="s">
        <v>2276</v>
      </c>
      <c r="S979" s="3" t="s">
        <v>2276</v>
      </c>
      <c r="T979" s="3" t="s">
        <v>2276</v>
      </c>
      <c r="U979" s="3" t="s">
        <v>2276</v>
      </c>
      <c r="V979" s="21" t="s">
        <v>2527</v>
      </c>
      <c r="W979" s="3" t="s">
        <v>2276</v>
      </c>
      <c r="X979" s="22" t="s">
        <v>86</v>
      </c>
      <c r="Y979" s="22" t="s">
        <v>34</v>
      </c>
      <c r="Z979" s="22" t="s">
        <v>64</v>
      </c>
      <c r="AA979" s="24"/>
      <c r="AB979" s="24"/>
    </row>
    <row r="980" spans="1:28" ht="37" customHeight="1">
      <c r="A980" s="6" t="str">
        <f>'Reported burning'!A980</f>
        <v>117d</v>
      </c>
      <c r="B980" s="6" t="str">
        <f>'Reported burning'!B980</f>
        <v>117d.3</v>
      </c>
      <c r="C980" s="6" t="str">
        <f>'Reported burning'!C980</f>
        <v>All</v>
      </c>
      <c r="D980" s="6" t="str">
        <f>'Reported burning'!D980</f>
        <v>All</v>
      </c>
      <c r="E980" s="6" t="str">
        <f>'Reported burning'!E980</f>
        <v>All</v>
      </c>
      <c r="F980" s="6" t="str">
        <f>'Reported burning'!F980</f>
        <v>Shrubland (Mixed forest &amp; grassland)</v>
      </c>
      <c r="G980" s="6" t="str">
        <f>'Reported burning'!G980</f>
        <v>ND</v>
      </c>
      <c r="H980" s="6" t="str">
        <f>'Reported burning'!H980</f>
        <v>Presence</v>
      </c>
      <c r="I980" s="3">
        <v>2014</v>
      </c>
      <c r="J980" s="3" t="s">
        <v>2276</v>
      </c>
      <c r="K980" s="3" t="s">
        <v>2276</v>
      </c>
      <c r="L980" s="3" t="s">
        <v>2276</v>
      </c>
      <c r="M980" s="3" t="s">
        <v>2276</v>
      </c>
      <c r="N980" s="3" t="s">
        <v>2276</v>
      </c>
      <c r="O980" s="3" t="s">
        <v>2276</v>
      </c>
      <c r="P980" s="3" t="s">
        <v>2276</v>
      </c>
      <c r="Q980" s="3" t="s">
        <v>2276</v>
      </c>
      <c r="R980" s="3" t="s">
        <v>2276</v>
      </c>
      <c r="S980" s="3" t="s">
        <v>2276</v>
      </c>
      <c r="T980" s="3" t="s">
        <v>2276</v>
      </c>
      <c r="U980" s="3" t="s">
        <v>2276</v>
      </c>
      <c r="V980" s="21" t="s">
        <v>2527</v>
      </c>
      <c r="W980" s="3" t="s">
        <v>2276</v>
      </c>
      <c r="X980" s="22" t="s">
        <v>34</v>
      </c>
      <c r="Y980" s="22" t="s">
        <v>405</v>
      </c>
      <c r="Z980" s="22" t="s">
        <v>64</v>
      </c>
      <c r="AA980" s="24"/>
      <c r="AB980" s="24"/>
    </row>
    <row r="981" spans="1:28" ht="50" customHeight="1">
      <c r="A981" s="6" t="str">
        <f>'Reported burning'!A981</f>
        <v>117d</v>
      </c>
      <c r="B981" s="6" t="str">
        <f>'Reported burning'!B981</f>
        <v>117d.4</v>
      </c>
      <c r="C981" s="6" t="str">
        <f>'Reported burning'!C981</f>
        <v>All</v>
      </c>
      <c r="D981" s="6" t="str">
        <f>'Reported burning'!D981</f>
        <v>All</v>
      </c>
      <c r="E981" s="6" t="str">
        <f>'Reported burning'!E981</f>
        <v>All</v>
      </c>
      <c r="F981" s="6" t="str">
        <f>'Reported burning'!F981</f>
        <v>Shrubland (Mixed forest &amp; grassland)</v>
      </c>
      <c r="G981" s="6" t="str">
        <f>'Reported burning'!G981</f>
        <v>ND</v>
      </c>
      <c r="H981" s="6" t="str">
        <f>'Reported burning'!H981</f>
        <v>Presence</v>
      </c>
      <c r="I981" s="3">
        <v>2014</v>
      </c>
      <c r="J981" s="3" t="s">
        <v>2276</v>
      </c>
      <c r="K981" s="3" t="s">
        <v>2276</v>
      </c>
      <c r="L981" s="3" t="s">
        <v>2276</v>
      </c>
      <c r="M981" s="3" t="s">
        <v>2276</v>
      </c>
      <c r="N981" s="21" t="s">
        <v>2384</v>
      </c>
      <c r="O981" s="3" t="s">
        <v>2276</v>
      </c>
      <c r="P981" s="3" t="s">
        <v>2276</v>
      </c>
      <c r="Q981" s="3" t="s">
        <v>2276</v>
      </c>
      <c r="R981" s="3" t="s">
        <v>2276</v>
      </c>
      <c r="S981" s="3" t="s">
        <v>2276</v>
      </c>
      <c r="T981" s="3" t="s">
        <v>2276</v>
      </c>
      <c r="U981" s="3" t="s">
        <v>2276</v>
      </c>
      <c r="V981" s="21" t="s">
        <v>2389</v>
      </c>
      <c r="W981" s="3" t="s">
        <v>2276</v>
      </c>
      <c r="X981" s="22" t="s">
        <v>405</v>
      </c>
      <c r="Y981" s="22" t="s">
        <v>425</v>
      </c>
      <c r="Z981" s="22" t="s">
        <v>76</v>
      </c>
      <c r="AA981" s="24" t="s">
        <v>3083</v>
      </c>
      <c r="AB981" s="22"/>
    </row>
    <row r="982" spans="1:28" ht="35" customHeight="1">
      <c r="A982" s="6" t="str">
        <f>'Reported burning'!A982</f>
        <v>117d</v>
      </c>
      <c r="B982" s="6" t="str">
        <f>'Reported burning'!B982</f>
        <v>117d.5</v>
      </c>
      <c r="C982" s="6" t="str">
        <f>'Reported burning'!C982</f>
        <v>All</v>
      </c>
      <c r="D982" s="6" t="str">
        <f>'Reported burning'!D982</f>
        <v>All</v>
      </c>
      <c r="E982" s="6" t="str">
        <f>'Reported burning'!E982</f>
        <v>All</v>
      </c>
      <c r="F982" s="6" t="str">
        <f>'Reported burning'!F982</f>
        <v>Shrubland (Mixed forest &amp; grassland)</v>
      </c>
      <c r="G982" s="6" t="str">
        <f>'Reported burning'!G982</f>
        <v>ND</v>
      </c>
      <c r="H982" s="6" t="str">
        <f>'Reported burning'!H982</f>
        <v>Presence</v>
      </c>
      <c r="I982" s="3">
        <v>2015</v>
      </c>
      <c r="J982" s="3" t="s">
        <v>2276</v>
      </c>
      <c r="K982" s="3" t="s">
        <v>2276</v>
      </c>
      <c r="L982" s="3" t="s">
        <v>2276</v>
      </c>
      <c r="M982" s="3" t="s">
        <v>2276</v>
      </c>
      <c r="N982" s="3" t="s">
        <v>2276</v>
      </c>
      <c r="O982" s="3" t="s">
        <v>2276</v>
      </c>
      <c r="P982" s="3" t="s">
        <v>2276</v>
      </c>
      <c r="Q982" s="3" t="s">
        <v>2276</v>
      </c>
      <c r="R982" s="3" t="s">
        <v>2276</v>
      </c>
      <c r="S982" s="3" t="s">
        <v>2276</v>
      </c>
      <c r="T982" s="3" t="s">
        <v>2276</v>
      </c>
      <c r="U982" s="3" t="s">
        <v>2276</v>
      </c>
      <c r="V982" s="21" t="s">
        <v>2374</v>
      </c>
      <c r="W982" s="3" t="s">
        <v>2276</v>
      </c>
      <c r="X982" s="22" t="s">
        <v>86</v>
      </c>
      <c r="Y982" s="22" t="s">
        <v>34</v>
      </c>
      <c r="Z982" s="22" t="s">
        <v>64</v>
      </c>
      <c r="AA982" s="24"/>
      <c r="AB982" s="24"/>
    </row>
    <row r="983" spans="1:28" ht="42" customHeight="1">
      <c r="A983" s="6" t="str">
        <f>'Reported burning'!A983</f>
        <v>117d</v>
      </c>
      <c r="B983" s="6" t="str">
        <f>'Reported burning'!B983</f>
        <v>117d.6</v>
      </c>
      <c r="C983" s="6" t="str">
        <f>'Reported burning'!C983</f>
        <v>All</v>
      </c>
      <c r="D983" s="6" t="str">
        <f>'Reported burning'!D983</f>
        <v>All</v>
      </c>
      <c r="E983" s="6" t="str">
        <f>'Reported burning'!E983</f>
        <v>All</v>
      </c>
      <c r="F983" s="6" t="str">
        <f>'Reported burning'!F983</f>
        <v>Shrubland (Mixed forest &amp; grassland)</v>
      </c>
      <c r="G983" s="6" t="str">
        <f>'Reported burning'!G983</f>
        <v>ND</v>
      </c>
      <c r="H983" s="6" t="str">
        <f>'Reported burning'!H983</f>
        <v>Presence</v>
      </c>
      <c r="I983" s="3">
        <v>2015</v>
      </c>
      <c r="J983" s="3" t="s">
        <v>2276</v>
      </c>
      <c r="K983" s="3" t="s">
        <v>2276</v>
      </c>
      <c r="L983" s="3" t="s">
        <v>2276</v>
      </c>
      <c r="M983" s="3" t="s">
        <v>2276</v>
      </c>
      <c r="N983" s="3" t="s">
        <v>2276</v>
      </c>
      <c r="O983" s="3" t="s">
        <v>2276</v>
      </c>
      <c r="P983" s="3" t="s">
        <v>2276</v>
      </c>
      <c r="Q983" s="3" t="s">
        <v>2276</v>
      </c>
      <c r="R983" s="3" t="s">
        <v>2276</v>
      </c>
      <c r="S983" s="3" t="s">
        <v>2276</v>
      </c>
      <c r="T983" s="3" t="s">
        <v>2276</v>
      </c>
      <c r="U983" s="3" t="s">
        <v>2276</v>
      </c>
      <c r="V983" s="3" t="s">
        <v>2527</v>
      </c>
      <c r="W983" s="3" t="s">
        <v>2276</v>
      </c>
      <c r="X983" s="22" t="s">
        <v>34</v>
      </c>
      <c r="Y983" s="22" t="s">
        <v>405</v>
      </c>
      <c r="Z983" s="22" t="s">
        <v>64</v>
      </c>
      <c r="AA983" s="24"/>
      <c r="AB983" s="24"/>
    </row>
    <row r="984" spans="1:28" ht="48" customHeight="1">
      <c r="A984" s="6" t="str">
        <f>'Reported burning'!A984</f>
        <v>117d</v>
      </c>
      <c r="B984" s="6" t="str">
        <f>'Reported burning'!B984</f>
        <v>117d.7</v>
      </c>
      <c r="C984" s="6" t="str">
        <f>'Reported burning'!C984</f>
        <v>All</v>
      </c>
      <c r="D984" s="6" t="str">
        <f>'Reported burning'!D984</f>
        <v>All</v>
      </c>
      <c r="E984" s="6" t="str">
        <f>'Reported burning'!E984</f>
        <v>All</v>
      </c>
      <c r="F984" s="6" t="str">
        <f>'Reported burning'!F984</f>
        <v>Shrubland (Mixed forest &amp; grassland)</v>
      </c>
      <c r="G984" s="6" t="str">
        <f>'Reported burning'!G984</f>
        <v>ND</v>
      </c>
      <c r="H984" s="6" t="str">
        <f>'Reported burning'!H984</f>
        <v>Presence</v>
      </c>
      <c r="I984" s="3">
        <v>2015</v>
      </c>
      <c r="J984" s="3" t="s">
        <v>2276</v>
      </c>
      <c r="K984" s="3" t="s">
        <v>2276</v>
      </c>
      <c r="L984" s="3" t="s">
        <v>2276</v>
      </c>
      <c r="M984" s="3" t="s">
        <v>2276</v>
      </c>
      <c r="N984" s="3" t="s">
        <v>2384</v>
      </c>
      <c r="O984" s="3" t="s">
        <v>2276</v>
      </c>
      <c r="P984" s="3" t="s">
        <v>2276</v>
      </c>
      <c r="Q984" s="3" t="s">
        <v>2276</v>
      </c>
      <c r="R984" s="3" t="s">
        <v>2276</v>
      </c>
      <c r="S984" s="3" t="s">
        <v>2276</v>
      </c>
      <c r="T984" s="3" t="s">
        <v>2276</v>
      </c>
      <c r="U984" s="3" t="s">
        <v>2276</v>
      </c>
      <c r="V984" s="3" t="s">
        <v>2376</v>
      </c>
      <c r="W984" s="3" t="s">
        <v>2276</v>
      </c>
      <c r="X984" s="22" t="s">
        <v>405</v>
      </c>
      <c r="Y984" s="22" t="s">
        <v>425</v>
      </c>
      <c r="Z984" s="22" t="s">
        <v>76</v>
      </c>
      <c r="AA984" s="24" t="s">
        <v>3075</v>
      </c>
      <c r="AB984" s="22"/>
    </row>
    <row r="985" spans="1:28" ht="58" customHeight="1">
      <c r="A985" s="6" t="str">
        <f>'Reported burning'!A985</f>
        <v>117e</v>
      </c>
      <c r="B985" s="6" t="str">
        <f>'Reported burning'!B985</f>
        <v>117e.1</v>
      </c>
      <c r="C985" s="6" t="str">
        <f>'Reported burning'!C985</f>
        <v>All</v>
      </c>
      <c r="D985" s="6" t="str">
        <f>'Reported burning'!D985</f>
        <v>All</v>
      </c>
      <c r="E985" s="6" t="str">
        <f>'Reported burning'!E985</f>
        <v>All</v>
      </c>
      <c r="F985" s="6" t="str">
        <f>'Reported burning'!F985</f>
        <v>Shrubland (Mixed forest &amp; grassland)</v>
      </c>
      <c r="G985" s="6" t="str">
        <f>'Reported burning'!G985</f>
        <v>ND</v>
      </c>
      <c r="H985" s="6" t="str">
        <f>'Reported burning'!H985</f>
        <v>Presence</v>
      </c>
      <c r="I985" s="3"/>
      <c r="J985" s="21" t="s">
        <v>2371</v>
      </c>
      <c r="K985" s="3" t="s">
        <v>2276</v>
      </c>
      <c r="L985" s="3" t="s">
        <v>2276</v>
      </c>
      <c r="M985" s="3" t="s">
        <v>2276</v>
      </c>
      <c r="N985" s="77" t="s">
        <v>2385</v>
      </c>
      <c r="O985" s="3" t="s">
        <v>2276</v>
      </c>
      <c r="P985" s="77" t="s">
        <v>2377</v>
      </c>
      <c r="Q985" s="3" t="s">
        <v>2276</v>
      </c>
      <c r="R985" s="3" t="s">
        <v>2376</v>
      </c>
      <c r="S985" s="3" t="s">
        <v>2276</v>
      </c>
      <c r="T985" s="3" t="s">
        <v>2276</v>
      </c>
      <c r="U985" s="3" t="s">
        <v>2276</v>
      </c>
      <c r="V985" s="3" t="s">
        <v>2276</v>
      </c>
      <c r="W985" s="3" t="s">
        <v>2276</v>
      </c>
      <c r="X985" s="22" t="s">
        <v>86</v>
      </c>
      <c r="Y985" s="22" t="s">
        <v>35</v>
      </c>
      <c r="Z985" s="3" t="s">
        <v>2276</v>
      </c>
      <c r="AA985" s="24"/>
      <c r="AB985" s="24" t="s">
        <v>5043</v>
      </c>
    </row>
    <row r="986" spans="1:28" ht="43" customHeight="1">
      <c r="A986" s="6" t="str">
        <f>'Reported burning'!A986</f>
        <v>118a</v>
      </c>
      <c r="B986" s="6" t="str">
        <f>'Reported burning'!B986</f>
        <v>118a.1</v>
      </c>
      <c r="C986" s="6" t="str">
        <f>'Reported burning'!C986</f>
        <v>Human, deliberate</v>
      </c>
      <c r="D986" s="6" t="str">
        <f>'Reported burning'!D986</f>
        <v>Crop field preparation</v>
      </c>
      <c r="E986" s="6" t="str">
        <f>'Reported burning'!E986</f>
        <v>Cropping, Swidden</v>
      </c>
      <c r="F986" s="6" t="str">
        <f>'Reported burning'!F986</f>
        <v>Forest</v>
      </c>
      <c r="G986" s="6" t="str">
        <f>'Reported burning'!G986</f>
        <v>ND</v>
      </c>
      <c r="H986" s="6" t="str">
        <f>'Reported burning'!H986</f>
        <v>Presence</v>
      </c>
      <c r="I986" s="3"/>
      <c r="J986" s="3" t="s">
        <v>2276</v>
      </c>
      <c r="K986" s="3" t="s">
        <v>2362</v>
      </c>
      <c r="L986" s="3" t="s">
        <v>2276</v>
      </c>
      <c r="M986" s="3" t="s">
        <v>2362</v>
      </c>
      <c r="N986" s="3" t="s">
        <v>2276</v>
      </c>
      <c r="O986" s="3" t="s">
        <v>2362</v>
      </c>
      <c r="P986" s="3" t="s">
        <v>2276</v>
      </c>
      <c r="Q986" s="3" t="s">
        <v>2362</v>
      </c>
      <c r="R986" s="3" t="s">
        <v>2276</v>
      </c>
      <c r="S986" s="3" t="s">
        <v>2276</v>
      </c>
      <c r="T986" s="3" t="s">
        <v>2276</v>
      </c>
      <c r="U986" s="3" t="s">
        <v>2276</v>
      </c>
      <c r="V986" s="3" t="s">
        <v>2276</v>
      </c>
      <c r="W986" s="3" t="s">
        <v>2404</v>
      </c>
      <c r="X986" s="3" t="s">
        <v>2276</v>
      </c>
      <c r="Y986" s="3" t="s">
        <v>2276</v>
      </c>
      <c r="Z986" s="3" t="s">
        <v>2276</v>
      </c>
      <c r="AA986" s="3"/>
      <c r="AB986" s="4" t="s">
        <v>3126</v>
      </c>
    </row>
    <row r="987" spans="1:28" ht="48.5" customHeight="1">
      <c r="A987" s="6" t="str">
        <f>'Reported burning'!A987</f>
        <v>118b</v>
      </c>
      <c r="B987" s="6" t="str">
        <f>'Reported burning'!B987</f>
        <v>118b.1</v>
      </c>
      <c r="C987" s="6" t="str">
        <f>'Reported burning'!C987</f>
        <v>Human, deliberate</v>
      </c>
      <c r="D987" s="6" t="str">
        <f>'Reported burning'!D987</f>
        <v>Crop field preparation</v>
      </c>
      <c r="E987" s="6" t="str">
        <f>'Reported burning'!E987</f>
        <v>Cropping, Swidden</v>
      </c>
      <c r="F987" s="6" t="str">
        <f>'Reported burning'!F987</f>
        <v>Forest</v>
      </c>
      <c r="G987" s="6" t="str">
        <f>'Reported burning'!G987</f>
        <v>ND</v>
      </c>
      <c r="H987" s="6" t="str">
        <f>'Reported burning'!H987</f>
        <v>Presence</v>
      </c>
      <c r="I987" s="3"/>
      <c r="J987" s="3" t="s">
        <v>2276</v>
      </c>
      <c r="K987" s="3" t="s">
        <v>2362</v>
      </c>
      <c r="L987" s="3" t="s">
        <v>2276</v>
      </c>
      <c r="M987" s="3" t="s">
        <v>2362</v>
      </c>
      <c r="N987" s="3" t="s">
        <v>2276</v>
      </c>
      <c r="O987" s="3" t="s">
        <v>2362</v>
      </c>
      <c r="P987" s="3" t="s">
        <v>2276</v>
      </c>
      <c r="Q987" s="3" t="s">
        <v>2362</v>
      </c>
      <c r="R987" s="3" t="s">
        <v>2276</v>
      </c>
      <c r="S987" s="3" t="s">
        <v>2276</v>
      </c>
      <c r="T987" s="3" t="s">
        <v>2276</v>
      </c>
      <c r="U987" s="3" t="s">
        <v>2276</v>
      </c>
      <c r="V987" s="3" t="s">
        <v>2276</v>
      </c>
      <c r="W987" s="3" t="s">
        <v>2846</v>
      </c>
      <c r="X987" s="3" t="s">
        <v>2276</v>
      </c>
      <c r="Y987" s="3" t="s">
        <v>2276</v>
      </c>
      <c r="Z987" s="3" t="s">
        <v>2276</v>
      </c>
      <c r="AA987" s="4" t="s">
        <v>3124</v>
      </c>
      <c r="AB987" s="4" t="s">
        <v>3125</v>
      </c>
    </row>
    <row r="988" spans="1:28" ht="32.5" customHeight="1">
      <c r="A988" s="6" t="str">
        <f>'Reported burning'!A988</f>
        <v>118c</v>
      </c>
      <c r="B988" s="6" t="str">
        <f>'Reported burning'!B988</f>
        <v>118c.1</v>
      </c>
      <c r="C988" s="6" t="str">
        <f>'Reported burning'!C988</f>
        <v>Human, deliberate</v>
      </c>
      <c r="D988" s="6" t="str">
        <f>'Reported burning'!D988</f>
        <v>Crop field preparation</v>
      </c>
      <c r="E988" s="6" t="str">
        <f>'Reported burning'!E988</f>
        <v>Cropping, Swidden</v>
      </c>
      <c r="F988" s="6" t="str">
        <f>'Reported burning'!F988</f>
        <v>Forest</v>
      </c>
      <c r="G988" s="6" t="str">
        <f>'Reported burning'!G988</f>
        <v>ND</v>
      </c>
      <c r="H988" s="6" t="str">
        <f>'Reported burning'!H988</f>
        <v>Presence</v>
      </c>
      <c r="I988" s="3"/>
      <c r="J988" s="3" t="s">
        <v>2276</v>
      </c>
      <c r="K988" s="3" t="s">
        <v>2362</v>
      </c>
      <c r="L988" s="3" t="s">
        <v>2276</v>
      </c>
      <c r="M988" s="3" t="s">
        <v>2362</v>
      </c>
      <c r="N988" s="3" t="s">
        <v>2276</v>
      </c>
      <c r="O988" s="3" t="s">
        <v>2362</v>
      </c>
      <c r="P988" s="3" t="s">
        <v>2276</v>
      </c>
      <c r="Q988" s="3" t="s">
        <v>2362</v>
      </c>
      <c r="R988" s="3" t="s">
        <v>2276</v>
      </c>
      <c r="S988" s="3" t="s">
        <v>2276</v>
      </c>
      <c r="T988" s="3" t="s">
        <v>2276</v>
      </c>
      <c r="U988" s="3" t="s">
        <v>2276</v>
      </c>
      <c r="V988" s="3" t="s">
        <v>2276</v>
      </c>
      <c r="W988" s="3" t="s">
        <v>2403</v>
      </c>
      <c r="X988" s="3" t="s">
        <v>2276</v>
      </c>
      <c r="Y988" s="3" t="s">
        <v>2276</v>
      </c>
      <c r="Z988" s="3" t="s">
        <v>2276</v>
      </c>
      <c r="AA988" s="3"/>
      <c r="AB988" s="4" t="s">
        <v>3126</v>
      </c>
    </row>
    <row r="989" spans="1:28" ht="34.5" customHeight="1">
      <c r="A989" s="6" t="str">
        <f>'Reported burning'!A989</f>
        <v>118d</v>
      </c>
      <c r="B989" s="6" t="str">
        <f>'Reported burning'!B989</f>
        <v>118d.1</v>
      </c>
      <c r="C989" s="6" t="str">
        <f>'Reported burning'!C989</f>
        <v>Human, deliberate</v>
      </c>
      <c r="D989" s="6" t="str">
        <f>'Reported burning'!D989</f>
        <v>Crop field preparation</v>
      </c>
      <c r="E989" s="6" t="str">
        <f>'Reported burning'!E989</f>
        <v>Cropping, Swidden</v>
      </c>
      <c r="F989" s="6" t="str">
        <f>'Reported burning'!F989</f>
        <v>Secondary Vegetation</v>
      </c>
      <c r="G989" s="6" t="str">
        <f>'Reported burning'!G989</f>
        <v>ND</v>
      </c>
      <c r="H989" s="6" t="str">
        <f>'Reported burning'!H989</f>
        <v>Presence</v>
      </c>
      <c r="I989" s="3"/>
      <c r="J989" s="3" t="s">
        <v>2276</v>
      </c>
      <c r="K989" s="3" t="s">
        <v>2362</v>
      </c>
      <c r="L989" s="3" t="s">
        <v>2276</v>
      </c>
      <c r="M989" s="3" t="s">
        <v>2362</v>
      </c>
      <c r="N989" s="3" t="s">
        <v>2276</v>
      </c>
      <c r="O989" s="3" t="s">
        <v>2362</v>
      </c>
      <c r="P989" s="3" t="s">
        <v>2276</v>
      </c>
      <c r="Q989" s="3" t="s">
        <v>2362</v>
      </c>
      <c r="R989" s="3" t="s">
        <v>2276</v>
      </c>
      <c r="S989" s="3" t="s">
        <v>2276</v>
      </c>
      <c r="T989" s="3" t="s">
        <v>2276</v>
      </c>
      <c r="U989" s="3" t="s">
        <v>2276</v>
      </c>
      <c r="V989" s="3" t="s">
        <v>2276</v>
      </c>
      <c r="W989" s="3" t="s">
        <v>2402</v>
      </c>
      <c r="X989" s="3" t="s">
        <v>2276</v>
      </c>
      <c r="Y989" s="3" t="s">
        <v>2276</v>
      </c>
      <c r="Z989" s="3" t="s">
        <v>2276</v>
      </c>
      <c r="AA989" s="3"/>
      <c r="AB989" s="4" t="s">
        <v>3127</v>
      </c>
    </row>
    <row r="990" spans="1:28" ht="35.5" customHeight="1">
      <c r="A990" s="6" t="str">
        <f>'Reported burning'!A990</f>
        <v>118e</v>
      </c>
      <c r="B990" s="6" t="str">
        <f>'Reported burning'!B990</f>
        <v>118e.1</v>
      </c>
      <c r="C990" s="6" t="str">
        <f>'Reported burning'!C990</f>
        <v>Human, deliberate</v>
      </c>
      <c r="D990" s="6" t="str">
        <f>'Reported burning'!D990</f>
        <v>Crop field preparation</v>
      </c>
      <c r="E990" s="6" t="str">
        <f>'Reported burning'!E990</f>
        <v>Cropping, Swidden</v>
      </c>
      <c r="F990" s="6" t="str">
        <f>'Reported burning'!F990</f>
        <v>Secondary Vegetation</v>
      </c>
      <c r="G990" s="6" t="str">
        <f>'Reported burning'!G990</f>
        <v>ND</v>
      </c>
      <c r="H990" s="6" t="str">
        <f>'Reported burning'!H990</f>
        <v>Presence</v>
      </c>
      <c r="I990" s="3"/>
      <c r="J990" s="3" t="s">
        <v>2276</v>
      </c>
      <c r="K990" s="3" t="s">
        <v>2362</v>
      </c>
      <c r="L990" s="3" t="s">
        <v>2276</v>
      </c>
      <c r="M990" s="3" t="s">
        <v>2362</v>
      </c>
      <c r="N990" s="3" t="s">
        <v>2276</v>
      </c>
      <c r="O990" s="3" t="s">
        <v>2362</v>
      </c>
      <c r="P990" s="3" t="s">
        <v>2276</v>
      </c>
      <c r="Q990" s="3" t="s">
        <v>2362</v>
      </c>
      <c r="R990" s="3" t="s">
        <v>2276</v>
      </c>
      <c r="S990" s="3" t="s">
        <v>2276</v>
      </c>
      <c r="T990" s="3" t="s">
        <v>2276</v>
      </c>
      <c r="U990" s="3" t="s">
        <v>2276</v>
      </c>
      <c r="V990" s="3" t="s">
        <v>2276</v>
      </c>
      <c r="W990" s="3" t="s">
        <v>2402</v>
      </c>
      <c r="X990" s="3" t="s">
        <v>2276</v>
      </c>
      <c r="Y990" s="3" t="s">
        <v>2276</v>
      </c>
      <c r="Z990" s="3" t="s">
        <v>2276</v>
      </c>
      <c r="AA990" s="3"/>
      <c r="AB990" s="4" t="s">
        <v>3127</v>
      </c>
    </row>
    <row r="991" spans="1:28" ht="35.5" customHeight="1">
      <c r="A991" s="6" t="str">
        <f>'Reported burning'!A991</f>
        <v>118f</v>
      </c>
      <c r="B991" s="6" t="str">
        <f>'Reported burning'!B991</f>
        <v>118f.1</v>
      </c>
      <c r="C991" s="6" t="str">
        <f>'Reported burning'!C991</f>
        <v>Human, deliberate</v>
      </c>
      <c r="D991" s="6" t="str">
        <f>'Reported burning'!D991</f>
        <v>Crop field preparation</v>
      </c>
      <c r="E991" s="6" t="str">
        <f>'Reported burning'!E991</f>
        <v>Cropping, Swidden</v>
      </c>
      <c r="F991" s="6" t="str">
        <f>'Reported burning'!F991</f>
        <v>Secondary Vegetation</v>
      </c>
      <c r="G991" s="6" t="str">
        <f>'Reported burning'!G991</f>
        <v>ND</v>
      </c>
      <c r="H991" s="6" t="str">
        <f>'Reported burning'!H991</f>
        <v>Presence</v>
      </c>
      <c r="I991" s="3"/>
      <c r="J991" s="3" t="s">
        <v>2276</v>
      </c>
      <c r="K991" s="3" t="s">
        <v>2362</v>
      </c>
      <c r="L991" s="3" t="s">
        <v>2276</v>
      </c>
      <c r="M991" s="3" t="s">
        <v>2362</v>
      </c>
      <c r="N991" s="3" t="s">
        <v>2276</v>
      </c>
      <c r="O991" s="3" t="s">
        <v>2362</v>
      </c>
      <c r="P991" s="3" t="s">
        <v>2276</v>
      </c>
      <c r="Q991" s="3" t="s">
        <v>2362</v>
      </c>
      <c r="R991" s="3" t="s">
        <v>2276</v>
      </c>
      <c r="S991" s="3" t="s">
        <v>2276</v>
      </c>
      <c r="T991" s="3" t="s">
        <v>2276</v>
      </c>
      <c r="U991" s="3" t="s">
        <v>2276</v>
      </c>
      <c r="V991" s="3" t="s">
        <v>2276</v>
      </c>
      <c r="W991" s="3" t="s">
        <v>2402</v>
      </c>
      <c r="X991" s="3" t="s">
        <v>2276</v>
      </c>
      <c r="Y991" s="3" t="s">
        <v>2276</v>
      </c>
      <c r="Z991" s="3" t="s">
        <v>2276</v>
      </c>
      <c r="AA991" s="3"/>
      <c r="AB991" s="4" t="s">
        <v>3127</v>
      </c>
    </row>
    <row r="992" spans="1:28" ht="42" customHeight="1">
      <c r="A992" s="6" t="str">
        <f>'Reported burning'!A992</f>
        <v>119a</v>
      </c>
      <c r="B992" s="6" t="str">
        <f>'Reported burning'!B992</f>
        <v>119a.1</v>
      </c>
      <c r="C992" s="6" t="str">
        <f>'Reported burning'!C992</f>
        <v>Human, deliberate</v>
      </c>
      <c r="D992" s="6" t="str">
        <f>'Reported burning'!D992</f>
        <v>Crop field preparation</v>
      </c>
      <c r="E992" s="6" t="str">
        <f>'Reported burning'!E992</f>
        <v>Cropping, Swidden</v>
      </c>
      <c r="F992" s="6" t="str">
        <f>'Reported burning'!F992</f>
        <v>Secondary Vegetation</v>
      </c>
      <c r="G992" s="6" t="str">
        <f>'Reported burning'!G992</f>
        <v>ND</v>
      </c>
      <c r="H992" s="6" t="str">
        <f>'Reported burning'!H992</f>
        <v>Presence</v>
      </c>
      <c r="I992" s="3"/>
      <c r="J992" s="3" t="s">
        <v>2276</v>
      </c>
      <c r="K992" s="3" t="s">
        <v>2276</v>
      </c>
      <c r="L992" s="3" t="s">
        <v>2276</v>
      </c>
      <c r="M992" s="3" t="s">
        <v>2276</v>
      </c>
      <c r="N992" s="3" t="s">
        <v>2276</v>
      </c>
      <c r="O992" s="3" t="s">
        <v>2276</v>
      </c>
      <c r="P992" s="3" t="s">
        <v>2276</v>
      </c>
      <c r="Q992" s="3" t="s">
        <v>2276</v>
      </c>
      <c r="R992" s="3" t="s">
        <v>2276</v>
      </c>
      <c r="S992" s="3" t="s">
        <v>2276</v>
      </c>
      <c r="T992" s="3" t="s">
        <v>2276</v>
      </c>
      <c r="U992" s="3" t="s">
        <v>2276</v>
      </c>
      <c r="V992" s="3" t="s">
        <v>2276</v>
      </c>
      <c r="W992" s="3" t="s">
        <v>2403</v>
      </c>
      <c r="X992" s="3" t="s">
        <v>2276</v>
      </c>
      <c r="Y992" s="3" t="s">
        <v>2276</v>
      </c>
      <c r="Z992" s="3" t="s">
        <v>2276</v>
      </c>
      <c r="AA992" s="3"/>
      <c r="AB992" s="3" t="s">
        <v>3146</v>
      </c>
    </row>
    <row r="993" spans="1:28" ht="42" customHeight="1">
      <c r="A993" s="6" t="str">
        <f>'Reported burning'!A993</f>
        <v>119a</v>
      </c>
      <c r="B993" s="6" t="str">
        <f>'Reported burning'!B993</f>
        <v>119a.2</v>
      </c>
      <c r="C993" s="6" t="str">
        <f>'Reported burning'!C993</f>
        <v>Human, deliberate</v>
      </c>
      <c r="D993" s="6" t="str">
        <f>'Reported burning'!D993</f>
        <v>Hunting</v>
      </c>
      <c r="E993" s="6" t="str">
        <f>'Reported burning'!E993</f>
        <v>Forestry, Traditional</v>
      </c>
      <c r="F993" s="6" t="str">
        <f>'Reported burning'!F993</f>
        <v>Forest</v>
      </c>
      <c r="G993" s="6" t="str">
        <f>'Reported burning'!G993</f>
        <v>ND</v>
      </c>
      <c r="H993" s="6" t="str">
        <f>'Reported burning'!H993</f>
        <v>Presence</v>
      </c>
      <c r="I993" s="3"/>
      <c r="J993" s="3" t="s">
        <v>2276</v>
      </c>
      <c r="K993" s="3" t="s">
        <v>2276</v>
      </c>
      <c r="L993" s="3" t="s">
        <v>2276</v>
      </c>
      <c r="M993" s="3" t="s">
        <v>2276</v>
      </c>
      <c r="N993" s="3" t="s">
        <v>2276</v>
      </c>
      <c r="O993" s="3" t="s">
        <v>2276</v>
      </c>
      <c r="P993" s="3" t="s">
        <v>2276</v>
      </c>
      <c r="Q993" s="3" t="s">
        <v>2276</v>
      </c>
      <c r="R993" s="3" t="s">
        <v>2276</v>
      </c>
      <c r="S993" s="3" t="s">
        <v>2276</v>
      </c>
      <c r="T993" s="3" t="s">
        <v>2276</v>
      </c>
      <c r="U993" s="3" t="s">
        <v>2276</v>
      </c>
      <c r="V993" s="3" t="s">
        <v>2276</v>
      </c>
      <c r="W993" s="3" t="s">
        <v>2276</v>
      </c>
      <c r="X993" s="3" t="s">
        <v>2276</v>
      </c>
      <c r="Y993" s="3" t="s">
        <v>2276</v>
      </c>
      <c r="Z993" s="3" t="s">
        <v>2276</v>
      </c>
      <c r="AA993" s="3"/>
      <c r="AB993" s="3"/>
    </row>
    <row r="994" spans="1:28" ht="42" customHeight="1">
      <c r="A994" s="6" t="str">
        <f>'Reported burning'!A994</f>
        <v>119a</v>
      </c>
      <c r="B994" s="6" t="str">
        <f>'Reported burning'!B994</f>
        <v>119a.3</v>
      </c>
      <c r="C994" s="6" t="str">
        <f>'Reported burning'!C994</f>
        <v>Human, deliberate</v>
      </c>
      <c r="D994" s="6" t="str">
        <f>'Reported burning'!D994</f>
        <v>Hunting</v>
      </c>
      <c r="E994" s="6" t="str">
        <f>'Reported burning'!E994</f>
        <v>Forestry, Traditional</v>
      </c>
      <c r="F994" s="6" t="str">
        <f>'Reported burning'!F994</f>
        <v>Shrubland (Mixed forest &amp; grassland)</v>
      </c>
      <c r="G994" s="6" t="str">
        <f>'Reported burning'!G994</f>
        <v>ND</v>
      </c>
      <c r="H994" s="6" t="str">
        <f>'Reported burning'!H994</f>
        <v>Presence</v>
      </c>
      <c r="I994" s="3"/>
      <c r="J994" s="3" t="s">
        <v>2276</v>
      </c>
      <c r="K994" s="3" t="s">
        <v>2276</v>
      </c>
      <c r="L994" s="3" t="s">
        <v>2276</v>
      </c>
      <c r="M994" s="3" t="s">
        <v>2276</v>
      </c>
      <c r="N994" s="3" t="s">
        <v>2276</v>
      </c>
      <c r="O994" s="3" t="s">
        <v>2276</v>
      </c>
      <c r="P994" s="3" t="s">
        <v>2276</v>
      </c>
      <c r="Q994" s="3" t="s">
        <v>2276</v>
      </c>
      <c r="R994" s="3" t="s">
        <v>2276</v>
      </c>
      <c r="S994" s="3" t="s">
        <v>2276</v>
      </c>
      <c r="T994" s="3" t="s">
        <v>2276</v>
      </c>
      <c r="U994" s="3" t="s">
        <v>2276</v>
      </c>
      <c r="V994" s="3" t="s">
        <v>2276</v>
      </c>
      <c r="W994" s="3" t="s">
        <v>2276</v>
      </c>
      <c r="X994" s="3" t="s">
        <v>2276</v>
      </c>
      <c r="Y994" s="3" t="s">
        <v>2276</v>
      </c>
      <c r="Z994" s="3" t="s">
        <v>2276</v>
      </c>
      <c r="AA994" s="3"/>
      <c r="AB994" s="3"/>
    </row>
    <row r="995" spans="1:28" ht="42" customHeight="1">
      <c r="A995" s="6" t="str">
        <f>'Reported burning'!A995</f>
        <v>119a</v>
      </c>
      <c r="B995" s="6" t="str">
        <f>'Reported burning'!B995</f>
        <v>119a.4</v>
      </c>
      <c r="C995" s="6" t="str">
        <f>'Reported burning'!C995</f>
        <v>Human, deliberate</v>
      </c>
      <c r="D995" s="6" t="str">
        <f>'Reported burning'!D995</f>
        <v>Fishing</v>
      </c>
      <c r="E995" s="6" t="str">
        <f>'Reported burning'!E995</f>
        <v>Forestry, Traditional</v>
      </c>
      <c r="F995" s="6" t="str">
        <f>'Reported burning'!F995</f>
        <v>ND</v>
      </c>
      <c r="G995" s="6" t="str">
        <f>'Reported burning'!G995</f>
        <v>ND</v>
      </c>
      <c r="H995" s="6" t="str">
        <f>'Reported burning'!H995</f>
        <v>Presence</v>
      </c>
      <c r="I995" s="3"/>
      <c r="J995" s="3" t="s">
        <v>2276</v>
      </c>
      <c r="K995" s="3" t="s">
        <v>2276</v>
      </c>
      <c r="L995" s="3" t="s">
        <v>2276</v>
      </c>
      <c r="M995" s="3" t="s">
        <v>2276</v>
      </c>
      <c r="N995" s="3" t="s">
        <v>2276</v>
      </c>
      <c r="O995" s="3" t="s">
        <v>2276</v>
      </c>
      <c r="P995" s="3" t="s">
        <v>2276</v>
      </c>
      <c r="Q995" s="3" t="s">
        <v>2276</v>
      </c>
      <c r="R995" s="3" t="s">
        <v>2276</v>
      </c>
      <c r="S995" s="3" t="s">
        <v>2276</v>
      </c>
      <c r="T995" s="3" t="s">
        <v>2276</v>
      </c>
      <c r="U995" s="3" t="s">
        <v>2276</v>
      </c>
      <c r="V995" s="3" t="s">
        <v>2276</v>
      </c>
      <c r="W995" s="3" t="s">
        <v>2276</v>
      </c>
      <c r="X995" s="3" t="s">
        <v>2276</v>
      </c>
      <c r="Y995" s="3" t="s">
        <v>2276</v>
      </c>
      <c r="Z995" s="3" t="s">
        <v>2276</v>
      </c>
      <c r="AA995" s="4" t="s">
        <v>3159</v>
      </c>
      <c r="AB995" s="3"/>
    </row>
    <row r="996" spans="1:28" ht="42" customHeight="1">
      <c r="A996" s="6" t="str">
        <f>'Reported burning'!A996</f>
        <v>119a</v>
      </c>
      <c r="B996" s="6" t="str">
        <f>'Reported burning'!B996</f>
        <v>119a.5</v>
      </c>
      <c r="C996" s="6" t="str">
        <f>'Reported burning'!C996</f>
        <v>Human, deliberate</v>
      </c>
      <c r="D996" s="6" t="str">
        <f>'Reported burning'!D996</f>
        <v>Pest management</v>
      </c>
      <c r="E996" s="6" t="str">
        <f>'Reported burning'!E996</f>
        <v>Forestry, Traditional</v>
      </c>
      <c r="F996" s="6" t="str">
        <f>'Reported burning'!F996</f>
        <v>ND</v>
      </c>
      <c r="G996" s="6" t="str">
        <f>'Reported burning'!G996</f>
        <v>ND</v>
      </c>
      <c r="H996" s="6" t="str">
        <f>'Reported burning'!H996</f>
        <v>Presence</v>
      </c>
      <c r="I996" s="3"/>
      <c r="J996" s="3" t="s">
        <v>2276</v>
      </c>
      <c r="K996" s="3" t="s">
        <v>2276</v>
      </c>
      <c r="L996" s="3" t="s">
        <v>2276</v>
      </c>
      <c r="M996" s="3" t="s">
        <v>2276</v>
      </c>
      <c r="N996" s="3" t="s">
        <v>2276</v>
      </c>
      <c r="O996" s="3" t="s">
        <v>2276</v>
      </c>
      <c r="P996" s="3" t="s">
        <v>2276</v>
      </c>
      <c r="Q996" s="3" t="s">
        <v>2276</v>
      </c>
      <c r="R996" s="3" t="s">
        <v>2276</v>
      </c>
      <c r="S996" s="3" t="s">
        <v>2276</v>
      </c>
      <c r="T996" s="3" t="s">
        <v>2276</v>
      </c>
      <c r="U996" s="3" t="s">
        <v>2276</v>
      </c>
      <c r="V996" s="3" t="s">
        <v>2276</v>
      </c>
      <c r="W996" s="3" t="s">
        <v>2276</v>
      </c>
      <c r="X996" s="3" t="s">
        <v>2276</v>
      </c>
      <c r="Y996" s="3" t="s">
        <v>2276</v>
      </c>
      <c r="Z996" s="3" t="s">
        <v>2276</v>
      </c>
      <c r="AA996" s="3"/>
      <c r="AB996" s="3"/>
    </row>
    <row r="997" spans="1:28" ht="42" customHeight="1">
      <c r="A997" s="6" t="str">
        <f>'Reported burning'!A997</f>
        <v>119a</v>
      </c>
      <c r="B997" s="6" t="str">
        <f>'Reported burning'!B997</f>
        <v>119a.6</v>
      </c>
      <c r="C997" s="6" t="str">
        <f>'Reported burning'!C997</f>
        <v>Human, deliberate</v>
      </c>
      <c r="D997" s="6" t="str">
        <f>'Reported burning'!D997</f>
        <v>Accessibility</v>
      </c>
      <c r="E997" s="6" t="str">
        <f>'Reported burning'!E997</f>
        <v>Forestry, Traditional</v>
      </c>
      <c r="F997" s="6" t="str">
        <f>'Reported burning'!F997</f>
        <v>ND</v>
      </c>
      <c r="G997" s="6" t="str">
        <f>'Reported burning'!G997</f>
        <v>ND</v>
      </c>
      <c r="H997" s="6" t="str">
        <f>'Reported burning'!H997</f>
        <v>Presence</v>
      </c>
      <c r="I997" s="3"/>
      <c r="J997" s="3" t="s">
        <v>2276</v>
      </c>
      <c r="K997" s="3" t="s">
        <v>2276</v>
      </c>
      <c r="L997" s="3" t="s">
        <v>2276</v>
      </c>
      <c r="M997" s="3" t="s">
        <v>2276</v>
      </c>
      <c r="N997" s="3" t="s">
        <v>2276</v>
      </c>
      <c r="O997" s="3" t="s">
        <v>2276</v>
      </c>
      <c r="P997" s="3" t="s">
        <v>2276</v>
      </c>
      <c r="Q997" s="3" t="s">
        <v>2276</v>
      </c>
      <c r="R997" s="3" t="s">
        <v>2276</v>
      </c>
      <c r="S997" s="3" t="s">
        <v>2276</v>
      </c>
      <c r="T997" s="3" t="s">
        <v>2276</v>
      </c>
      <c r="U997" s="3" t="s">
        <v>2276</v>
      </c>
      <c r="V997" s="3" t="s">
        <v>2276</v>
      </c>
      <c r="W997" s="3" t="s">
        <v>2276</v>
      </c>
      <c r="X997" s="3" t="s">
        <v>2276</v>
      </c>
      <c r="Y997" s="3" t="s">
        <v>2276</v>
      </c>
      <c r="Z997" s="3" t="s">
        <v>2276</v>
      </c>
      <c r="AA997" s="3"/>
      <c r="AB997" s="3"/>
    </row>
    <row r="998" spans="1:28" ht="42" customHeight="1">
      <c r="A998" s="6" t="str">
        <f>'Reported burning'!A998</f>
        <v>119a</v>
      </c>
      <c r="B998" s="6" t="str">
        <f>'Reported burning'!B998</f>
        <v>119a.7</v>
      </c>
      <c r="C998" s="6" t="str">
        <f>'Reported burning'!C998</f>
        <v>Human, deliberate</v>
      </c>
      <c r="D998" s="6" t="str">
        <f>'Reported burning'!D998</f>
        <v>Cultural &amp; Spiritual</v>
      </c>
      <c r="E998" s="6" t="str">
        <f>'Reported burning'!E998</f>
        <v>Forestry, Traditional</v>
      </c>
      <c r="F998" s="6" t="str">
        <f>'Reported burning'!F998</f>
        <v>ND</v>
      </c>
      <c r="G998" s="6" t="str">
        <f>'Reported burning'!G998</f>
        <v>ND</v>
      </c>
      <c r="H998" s="6" t="str">
        <f>'Reported burning'!H998</f>
        <v>Presence</v>
      </c>
      <c r="I998" s="3"/>
      <c r="J998" s="3" t="s">
        <v>2276</v>
      </c>
      <c r="K998" s="3" t="s">
        <v>2276</v>
      </c>
      <c r="L998" s="3" t="s">
        <v>2276</v>
      </c>
      <c r="M998" s="3" t="s">
        <v>2276</v>
      </c>
      <c r="N998" s="3" t="s">
        <v>2276</v>
      </c>
      <c r="O998" s="3" t="s">
        <v>2276</v>
      </c>
      <c r="P998" s="3" t="s">
        <v>2276</v>
      </c>
      <c r="Q998" s="3" t="s">
        <v>2276</v>
      </c>
      <c r="R998" s="3" t="s">
        <v>2276</v>
      </c>
      <c r="S998" s="3" t="s">
        <v>2276</v>
      </c>
      <c r="T998" s="3" t="s">
        <v>2276</v>
      </c>
      <c r="U998" s="3" t="s">
        <v>2276</v>
      </c>
      <c r="V998" s="3" t="s">
        <v>2276</v>
      </c>
      <c r="W998" s="3" t="s">
        <v>2276</v>
      </c>
      <c r="X998" s="3" t="s">
        <v>2276</v>
      </c>
      <c r="Y998" s="3" t="s">
        <v>2276</v>
      </c>
      <c r="Z998" s="3" t="s">
        <v>2276</v>
      </c>
      <c r="AA998" s="3"/>
      <c r="AB998" s="3"/>
    </row>
    <row r="999" spans="1:28" ht="42" customHeight="1">
      <c r="A999" s="6" t="str">
        <f>'Reported burning'!A999</f>
        <v>119a</v>
      </c>
      <c r="B999" s="6" t="str">
        <f>'Reported burning'!B999</f>
        <v>119a.8</v>
      </c>
      <c r="C999" s="6" t="str">
        <f>'Reported burning'!C999</f>
        <v>Human, deliberate</v>
      </c>
      <c r="D999" s="6" t="str">
        <f>'Reported burning'!D999</f>
        <v>Domestic</v>
      </c>
      <c r="E999" s="6" t="str">
        <f>'Reported burning'!E999</f>
        <v>Forestry, Traditional</v>
      </c>
      <c r="F999" s="6" t="str">
        <f>'Reported burning'!F999</f>
        <v>ND</v>
      </c>
      <c r="G999" s="6" t="str">
        <f>'Reported burning'!G999</f>
        <v>ND</v>
      </c>
      <c r="H999" s="6" t="str">
        <f>'Reported burning'!H999</f>
        <v>Presence</v>
      </c>
      <c r="I999" s="3"/>
      <c r="J999" s="3" t="s">
        <v>2276</v>
      </c>
      <c r="K999" s="3" t="s">
        <v>2276</v>
      </c>
      <c r="L999" s="3" t="s">
        <v>2276</v>
      </c>
      <c r="M999" s="3" t="s">
        <v>2276</v>
      </c>
      <c r="N999" s="3" t="s">
        <v>2276</v>
      </c>
      <c r="O999" s="3" t="s">
        <v>2276</v>
      </c>
      <c r="P999" s="3" t="s">
        <v>2276</v>
      </c>
      <c r="Q999" s="3" t="s">
        <v>2276</v>
      </c>
      <c r="R999" s="3" t="s">
        <v>2276</v>
      </c>
      <c r="S999" s="3" t="s">
        <v>2276</v>
      </c>
      <c r="T999" s="3" t="s">
        <v>2276</v>
      </c>
      <c r="U999" s="3" t="s">
        <v>2276</v>
      </c>
      <c r="V999" s="3" t="s">
        <v>2276</v>
      </c>
      <c r="W999" s="3" t="s">
        <v>2276</v>
      </c>
      <c r="X999" s="3" t="s">
        <v>2276</v>
      </c>
      <c r="Y999" s="3" t="s">
        <v>2276</v>
      </c>
      <c r="Z999" s="3" t="s">
        <v>2276</v>
      </c>
      <c r="AA999" s="3"/>
      <c r="AB999" s="3"/>
    </row>
    <row r="1000" spans="1:28" ht="42" customHeight="1">
      <c r="A1000" s="6" t="str">
        <f>'Reported burning'!A1000</f>
        <v>119a</v>
      </c>
      <c r="B1000" s="6" t="str">
        <f>'Reported burning'!B1000</f>
        <v>119a.9</v>
      </c>
      <c r="C1000" s="6" t="str">
        <f>'Reported burning'!C1000</f>
        <v>Human, deliberate</v>
      </c>
      <c r="D1000" s="6" t="str">
        <f>'Reported burning'!D1000</f>
        <v>Pest management</v>
      </c>
      <c r="E1000" s="6" t="str">
        <f>'Reported burning'!E1000</f>
        <v>Cropping, Swidden</v>
      </c>
      <c r="F1000" s="6" t="str">
        <f>'Reported burning'!F1000</f>
        <v>ND</v>
      </c>
      <c r="G1000" s="6" t="str">
        <f>'Reported burning'!G1000</f>
        <v>ND</v>
      </c>
      <c r="H1000" s="6" t="str">
        <f>'Reported burning'!H1000</f>
        <v>Presence</v>
      </c>
      <c r="I1000" s="3"/>
      <c r="J1000" s="3" t="s">
        <v>2276</v>
      </c>
      <c r="K1000" s="3" t="s">
        <v>2276</v>
      </c>
      <c r="L1000" s="3" t="s">
        <v>2276</v>
      </c>
      <c r="M1000" s="3" t="s">
        <v>2276</v>
      </c>
      <c r="N1000" s="3" t="s">
        <v>2276</v>
      </c>
      <c r="O1000" s="3" t="s">
        <v>2276</v>
      </c>
      <c r="P1000" s="3" t="s">
        <v>2276</v>
      </c>
      <c r="Q1000" s="3" t="s">
        <v>2276</v>
      </c>
      <c r="R1000" s="3" t="s">
        <v>2276</v>
      </c>
      <c r="S1000" s="3" t="s">
        <v>2276</v>
      </c>
      <c r="T1000" s="3" t="s">
        <v>2276</v>
      </c>
      <c r="U1000" s="3" t="s">
        <v>2276</v>
      </c>
      <c r="V1000" s="3" t="s">
        <v>2276</v>
      </c>
      <c r="W1000" s="3" t="s">
        <v>2276</v>
      </c>
      <c r="X1000" s="3" t="s">
        <v>2276</v>
      </c>
      <c r="Y1000" s="3" t="s">
        <v>2276</v>
      </c>
      <c r="Z1000" s="3" t="s">
        <v>2276</v>
      </c>
      <c r="AA1000" s="3"/>
      <c r="AB1000" s="3"/>
    </row>
    <row r="1001" spans="1:28" ht="42" customHeight="1">
      <c r="A1001" s="6" t="str">
        <f>'Reported burning'!A1001</f>
        <v>119a</v>
      </c>
      <c r="B1001" s="6" t="str">
        <f>'Reported burning'!B1001</f>
        <v>119a.10</v>
      </c>
      <c r="C1001" s="6" t="str">
        <f>'Reported burning'!C1001</f>
        <v>Human, deliberate</v>
      </c>
      <c r="D1001" s="6" t="str">
        <f>'Reported burning'!D1001</f>
        <v>Accessibility</v>
      </c>
      <c r="E1001" s="6" t="str">
        <f>'Reported burning'!E1001</f>
        <v>Cropping, Swidden</v>
      </c>
      <c r="F1001" s="6" t="str">
        <f>'Reported burning'!F1001</f>
        <v>ND</v>
      </c>
      <c r="G1001" s="6" t="str">
        <f>'Reported burning'!G1001</f>
        <v>ND</v>
      </c>
      <c r="H1001" s="6" t="str">
        <f>'Reported burning'!H1001</f>
        <v>Presence</v>
      </c>
      <c r="I1001" s="3"/>
      <c r="J1001" s="3" t="s">
        <v>2276</v>
      </c>
      <c r="K1001" s="3" t="s">
        <v>2276</v>
      </c>
      <c r="L1001" s="3" t="s">
        <v>2276</v>
      </c>
      <c r="M1001" s="3" t="s">
        <v>2276</v>
      </c>
      <c r="N1001" s="3" t="s">
        <v>2276</v>
      </c>
      <c r="O1001" s="3" t="s">
        <v>2276</v>
      </c>
      <c r="P1001" s="3" t="s">
        <v>2276</v>
      </c>
      <c r="Q1001" s="3" t="s">
        <v>2276</v>
      </c>
      <c r="R1001" s="3" t="s">
        <v>2276</v>
      </c>
      <c r="S1001" s="3" t="s">
        <v>2276</v>
      </c>
      <c r="T1001" s="3" t="s">
        <v>2276</v>
      </c>
      <c r="U1001" s="3" t="s">
        <v>2276</v>
      </c>
      <c r="V1001" s="3" t="s">
        <v>2276</v>
      </c>
      <c r="W1001" s="3" t="s">
        <v>2276</v>
      </c>
      <c r="X1001" s="3" t="s">
        <v>2276</v>
      </c>
      <c r="Y1001" s="3" t="s">
        <v>2276</v>
      </c>
      <c r="Z1001" s="3" t="s">
        <v>2276</v>
      </c>
      <c r="AA1001" s="3"/>
      <c r="AB1001" s="3"/>
    </row>
    <row r="1002" spans="1:28" ht="42" customHeight="1">
      <c r="A1002" s="6" t="str">
        <f>'Reported burning'!A1002</f>
        <v>119a</v>
      </c>
      <c r="B1002" s="6" t="str">
        <f>'Reported burning'!B1002</f>
        <v>119a.11</v>
      </c>
      <c r="C1002" s="6" t="str">
        <f>'Reported burning'!C1002</f>
        <v>Human, deliberate</v>
      </c>
      <c r="D1002" s="6" t="str">
        <f>'Reported burning'!D1002</f>
        <v>Cultural &amp; Spiritual</v>
      </c>
      <c r="E1002" s="6" t="str">
        <f>'Reported burning'!E1002</f>
        <v>Cropping, Swidden</v>
      </c>
      <c r="F1002" s="6" t="str">
        <f>'Reported burning'!F1002</f>
        <v>ND</v>
      </c>
      <c r="G1002" s="6" t="str">
        <f>'Reported burning'!G1002</f>
        <v>ND</v>
      </c>
      <c r="H1002" s="6" t="str">
        <f>'Reported burning'!H1002</f>
        <v>Presence</v>
      </c>
      <c r="I1002" s="3"/>
      <c r="J1002" s="3" t="s">
        <v>2276</v>
      </c>
      <c r="K1002" s="3" t="s">
        <v>2276</v>
      </c>
      <c r="L1002" s="3" t="s">
        <v>2276</v>
      </c>
      <c r="M1002" s="3" t="s">
        <v>2276</v>
      </c>
      <c r="N1002" s="3" t="s">
        <v>2276</v>
      </c>
      <c r="O1002" s="3" t="s">
        <v>2276</v>
      </c>
      <c r="P1002" s="3" t="s">
        <v>2276</v>
      </c>
      <c r="Q1002" s="3" t="s">
        <v>2276</v>
      </c>
      <c r="R1002" s="3" t="s">
        <v>2276</v>
      </c>
      <c r="S1002" s="3" t="s">
        <v>2276</v>
      </c>
      <c r="T1002" s="3" t="s">
        <v>2276</v>
      </c>
      <c r="U1002" s="3" t="s">
        <v>2276</v>
      </c>
      <c r="V1002" s="3" t="s">
        <v>2276</v>
      </c>
      <c r="W1002" s="3" t="s">
        <v>2276</v>
      </c>
      <c r="X1002" s="3" t="s">
        <v>2276</v>
      </c>
      <c r="Y1002" s="3" t="s">
        <v>2276</v>
      </c>
      <c r="Z1002" s="3" t="s">
        <v>2276</v>
      </c>
      <c r="AA1002" s="3"/>
      <c r="AB1002" s="3"/>
    </row>
    <row r="1003" spans="1:28" ht="42" customHeight="1">
      <c r="A1003" s="6" t="str">
        <f>'Reported burning'!A1003</f>
        <v>119a</v>
      </c>
      <c r="B1003" s="6" t="str">
        <f>'Reported burning'!B1003</f>
        <v>119a.12</v>
      </c>
      <c r="C1003" s="6" t="str">
        <f>'Reported burning'!C1003</f>
        <v>Human, deliberate</v>
      </c>
      <c r="D1003" s="6" t="str">
        <f>'Reported burning'!D1003</f>
        <v>Domestic</v>
      </c>
      <c r="E1003" s="6" t="str">
        <f>'Reported burning'!E1003</f>
        <v>Cropping, Swidden</v>
      </c>
      <c r="F1003" s="6" t="str">
        <f>'Reported burning'!F1003</f>
        <v>ND</v>
      </c>
      <c r="G1003" s="6" t="str">
        <f>'Reported burning'!G1003</f>
        <v>ND</v>
      </c>
      <c r="H1003" s="6" t="str">
        <f>'Reported burning'!H1003</f>
        <v>Presence</v>
      </c>
      <c r="I1003" s="3"/>
      <c r="J1003" s="3" t="s">
        <v>2276</v>
      </c>
      <c r="K1003" s="3" t="s">
        <v>2276</v>
      </c>
      <c r="L1003" s="3" t="s">
        <v>2276</v>
      </c>
      <c r="M1003" s="3" t="s">
        <v>2276</v>
      </c>
      <c r="N1003" s="3" t="s">
        <v>2276</v>
      </c>
      <c r="O1003" s="3" t="s">
        <v>2276</v>
      </c>
      <c r="P1003" s="3" t="s">
        <v>2276</v>
      </c>
      <c r="Q1003" s="3" t="s">
        <v>2276</v>
      </c>
      <c r="R1003" s="3" t="s">
        <v>2276</v>
      </c>
      <c r="S1003" s="3" t="s">
        <v>2276</v>
      </c>
      <c r="T1003" s="3" t="s">
        <v>2276</v>
      </c>
      <c r="U1003" s="3" t="s">
        <v>2276</v>
      </c>
      <c r="V1003" s="3" t="s">
        <v>2276</v>
      </c>
      <c r="W1003" s="3" t="s">
        <v>2276</v>
      </c>
      <c r="X1003" s="3" t="s">
        <v>2276</v>
      </c>
      <c r="Y1003" s="3" t="s">
        <v>2276</v>
      </c>
      <c r="Z1003" s="3" t="s">
        <v>2276</v>
      </c>
      <c r="AA1003" s="3"/>
      <c r="AB1003" s="3"/>
    </row>
    <row r="1004" spans="1:28" ht="42" customHeight="1">
      <c r="A1004" s="6" t="str">
        <f>'Reported burning'!A1004</f>
        <v>119a</v>
      </c>
      <c r="B1004" s="6" t="str">
        <f>'Reported burning'!B1004</f>
        <v>119a.13</v>
      </c>
      <c r="C1004" s="6" t="str">
        <f>'Reported burning'!C1004</f>
        <v>Human, accidental</v>
      </c>
      <c r="D1004" s="6" t="str">
        <f>'Reported burning'!D1004</f>
        <v>ND</v>
      </c>
      <c r="E1004" s="6" t="str">
        <f>'Reported burning'!E1004</f>
        <v>Tourism manager</v>
      </c>
      <c r="F1004" s="6" t="str">
        <f>'Reported burning'!F1004</f>
        <v>ND</v>
      </c>
      <c r="G1004" s="6" t="str">
        <f>'Reported burning'!G1004</f>
        <v>ND</v>
      </c>
      <c r="H1004" s="6" t="str">
        <f>'Reported burning'!H1004</f>
        <v>Presence</v>
      </c>
      <c r="I1004" s="3"/>
      <c r="J1004" s="3" t="s">
        <v>2276</v>
      </c>
      <c r="K1004" s="3" t="s">
        <v>2276</v>
      </c>
      <c r="L1004" s="3" t="s">
        <v>2276</v>
      </c>
      <c r="M1004" s="3" t="s">
        <v>2276</v>
      </c>
      <c r="N1004" s="3" t="s">
        <v>2276</v>
      </c>
      <c r="O1004" s="3" t="s">
        <v>2276</v>
      </c>
      <c r="P1004" s="3" t="s">
        <v>2276</v>
      </c>
      <c r="Q1004" s="3" t="s">
        <v>2276</v>
      </c>
      <c r="R1004" s="3" t="s">
        <v>2276</v>
      </c>
      <c r="S1004" s="3" t="s">
        <v>2276</v>
      </c>
      <c r="T1004" s="3" t="s">
        <v>2276</v>
      </c>
      <c r="U1004" s="3" t="s">
        <v>2276</v>
      </c>
      <c r="V1004" s="3" t="s">
        <v>2276</v>
      </c>
      <c r="W1004" s="3" t="s">
        <v>2276</v>
      </c>
      <c r="X1004" s="3" t="s">
        <v>2276</v>
      </c>
      <c r="Y1004" s="3" t="s">
        <v>2276</v>
      </c>
      <c r="Z1004" s="3" t="s">
        <v>2276</v>
      </c>
      <c r="AA1004" s="3"/>
      <c r="AB1004" s="3"/>
    </row>
    <row r="1005" spans="1:28" ht="42" customHeight="1">
      <c r="A1005" s="6" t="str">
        <f>'Reported burning'!A1005</f>
        <v>119a</v>
      </c>
      <c r="B1005" s="6" t="str">
        <f>'Reported burning'!B1005</f>
        <v>119a.14</v>
      </c>
      <c r="C1005" s="6" t="str">
        <f>'Reported burning'!C1005</f>
        <v>Human, deliberate</v>
      </c>
      <c r="D1005" s="6" t="str">
        <f>'Reported burning'!D1005</f>
        <v>Pyrome management</v>
      </c>
      <c r="E1005" s="6" t="str">
        <f>'Reported burning'!E1005</f>
        <v>Forestry, Traditional</v>
      </c>
      <c r="F1005" s="6" t="str">
        <f>'Reported burning'!F1005</f>
        <v>Shrubland (Mixed forest &amp; grassland)</v>
      </c>
      <c r="G1005" s="6" t="str">
        <f>'Reported burning'!G1005</f>
        <v>ND</v>
      </c>
      <c r="H1005" s="6" t="str">
        <f>'Reported burning'!H1005</f>
        <v>Presence</v>
      </c>
      <c r="I1005" s="3"/>
      <c r="J1005" s="3" t="s">
        <v>2276</v>
      </c>
      <c r="K1005" s="3" t="s">
        <v>2276</v>
      </c>
      <c r="L1005" s="3" t="s">
        <v>2276</v>
      </c>
      <c r="M1005" s="3" t="s">
        <v>2276</v>
      </c>
      <c r="N1005" s="3" t="s">
        <v>2276</v>
      </c>
      <c r="O1005" s="3" t="s">
        <v>2276</v>
      </c>
      <c r="P1005" s="3" t="s">
        <v>2276</v>
      </c>
      <c r="Q1005" s="3" t="s">
        <v>2276</v>
      </c>
      <c r="R1005" s="3" t="s">
        <v>2276</v>
      </c>
      <c r="S1005" s="3" t="s">
        <v>2276</v>
      </c>
      <c r="T1005" s="3" t="s">
        <v>2276</v>
      </c>
      <c r="U1005" s="3" t="s">
        <v>2276</v>
      </c>
      <c r="V1005" s="3" t="s">
        <v>2276</v>
      </c>
      <c r="W1005" s="3" t="s">
        <v>2276</v>
      </c>
      <c r="X1005" s="3" t="s">
        <v>2276</v>
      </c>
      <c r="Y1005" s="3" t="s">
        <v>2276</v>
      </c>
      <c r="Z1005" s="3" t="s">
        <v>2276</v>
      </c>
      <c r="AA1005" s="3"/>
      <c r="AB1005" s="3"/>
    </row>
    <row r="1006" spans="1:28" ht="42" customHeight="1">
      <c r="A1006" s="6" t="str">
        <f>'Reported burning'!A1006</f>
        <v>119a</v>
      </c>
      <c r="B1006" s="6" t="str">
        <f>'Reported burning'!B1006</f>
        <v>119a.15</v>
      </c>
      <c r="C1006" s="6" t="str">
        <f>'Reported burning'!C1006</f>
        <v>Human, deliberate</v>
      </c>
      <c r="D1006" s="6" t="str">
        <f>'Reported burning'!D1006</f>
        <v>Pyrome management</v>
      </c>
      <c r="E1006" s="6" t="str">
        <f>'Reported burning'!E1006</f>
        <v>Cropping, Swidden</v>
      </c>
      <c r="F1006" s="6" t="str">
        <f>'Reported burning'!F1006</f>
        <v>Shrubland (Mixed forest &amp; grassland)</v>
      </c>
      <c r="G1006" s="6" t="str">
        <f>'Reported burning'!G1006</f>
        <v>ND</v>
      </c>
      <c r="H1006" s="6" t="str">
        <f>'Reported burning'!H1006</f>
        <v>Presence</v>
      </c>
      <c r="I1006" s="3"/>
      <c r="J1006" s="3" t="s">
        <v>2276</v>
      </c>
      <c r="K1006" s="3" t="s">
        <v>2276</v>
      </c>
      <c r="L1006" s="3" t="s">
        <v>2276</v>
      </c>
      <c r="M1006" s="3" t="s">
        <v>2276</v>
      </c>
      <c r="N1006" s="3" t="s">
        <v>2276</v>
      </c>
      <c r="O1006" s="3" t="s">
        <v>2276</v>
      </c>
      <c r="P1006" s="3" t="s">
        <v>2276</v>
      </c>
      <c r="Q1006" s="3" t="s">
        <v>2276</v>
      </c>
      <c r="R1006" s="3" t="s">
        <v>2276</v>
      </c>
      <c r="S1006" s="3" t="s">
        <v>2276</v>
      </c>
      <c r="T1006" s="3" t="s">
        <v>2276</v>
      </c>
      <c r="U1006" s="3" t="s">
        <v>2276</v>
      </c>
      <c r="V1006" s="3" t="s">
        <v>2276</v>
      </c>
      <c r="W1006" s="3" t="s">
        <v>2276</v>
      </c>
      <c r="X1006" s="3" t="s">
        <v>2276</v>
      </c>
      <c r="Y1006" s="3" t="s">
        <v>2276</v>
      </c>
      <c r="Z1006" s="3" t="s">
        <v>2276</v>
      </c>
      <c r="AA1006" s="3"/>
      <c r="AB1006" s="3"/>
    </row>
    <row r="1007" spans="1:28" ht="42" customHeight="1">
      <c r="A1007" s="6" t="str">
        <f>'Reported burning'!A1007</f>
        <v>119a</v>
      </c>
      <c r="B1007" s="6" t="str">
        <f>'Reported burning'!B1007</f>
        <v>119a.16</v>
      </c>
      <c r="C1007" s="6" t="str">
        <f>'Reported burning'!C1007</f>
        <v>Human, deliberate</v>
      </c>
      <c r="D1007" s="6" t="str">
        <f>'Reported burning'!D1007</f>
        <v>Pasture renewal</v>
      </c>
      <c r="E1007" s="6" t="str">
        <f>'Reported burning'!E1007</f>
        <v>Cropping, Swidden</v>
      </c>
      <c r="F1007" s="6" t="str">
        <f>'Reported burning'!F1007</f>
        <v>Shrubland (Mixed forest &amp; grassland)</v>
      </c>
      <c r="G1007" s="6" t="str">
        <f>'Reported burning'!G1007</f>
        <v>ND</v>
      </c>
      <c r="H1007" s="6" t="str">
        <f>'Reported burning'!H1007</f>
        <v>Presence</v>
      </c>
      <c r="I1007" s="3"/>
      <c r="J1007" s="3" t="s">
        <v>2276</v>
      </c>
      <c r="K1007" s="3" t="s">
        <v>2276</v>
      </c>
      <c r="L1007" s="3" t="s">
        <v>2276</v>
      </c>
      <c r="M1007" s="3" t="s">
        <v>2276</v>
      </c>
      <c r="N1007" s="3" t="s">
        <v>2276</v>
      </c>
      <c r="O1007" s="3" t="s">
        <v>2276</v>
      </c>
      <c r="P1007" s="3" t="s">
        <v>2276</v>
      </c>
      <c r="Q1007" s="3" t="s">
        <v>2276</v>
      </c>
      <c r="R1007" s="3" t="s">
        <v>2276</v>
      </c>
      <c r="S1007" s="3" t="s">
        <v>2276</v>
      </c>
      <c r="T1007" s="3" t="s">
        <v>2276</v>
      </c>
      <c r="U1007" s="3" t="s">
        <v>2276</v>
      </c>
      <c r="V1007" s="3" t="s">
        <v>2276</v>
      </c>
      <c r="W1007" s="3" t="s">
        <v>2276</v>
      </c>
      <c r="X1007" s="3" t="s">
        <v>2276</v>
      </c>
      <c r="Y1007" s="3" t="s">
        <v>2276</v>
      </c>
      <c r="Z1007" s="3" t="s">
        <v>2276</v>
      </c>
      <c r="AA1007" s="4" t="s">
        <v>3163</v>
      </c>
      <c r="AB1007" s="3"/>
    </row>
    <row r="1008" spans="1:28" ht="42" customHeight="1">
      <c r="A1008" s="6" t="str">
        <f>'Reported burning'!A1008</f>
        <v>119b</v>
      </c>
      <c r="B1008" s="6" t="str">
        <f>'Reported burning'!B1008</f>
        <v>119b.1</v>
      </c>
      <c r="C1008" s="6" t="str">
        <f>'Reported burning'!C1008</f>
        <v>Human, deliberate</v>
      </c>
      <c r="D1008" s="6" t="str">
        <f>'Reported burning'!D1008</f>
        <v>Crop field preparation</v>
      </c>
      <c r="E1008" s="6" t="str">
        <f>'Reported burning'!E1008</f>
        <v>Cropping, Swidden</v>
      </c>
      <c r="F1008" s="6" t="str">
        <f>'Reported burning'!F1008</f>
        <v>Secondary Vegetation</v>
      </c>
      <c r="G1008" s="6" t="str">
        <f>'Reported burning'!G1008</f>
        <v>ND</v>
      </c>
      <c r="H1008" s="6" t="str">
        <f>'Reported burning'!H1008</f>
        <v>Presence</v>
      </c>
      <c r="I1008" s="3"/>
      <c r="J1008" s="3" t="s">
        <v>2276</v>
      </c>
      <c r="K1008" s="3" t="s">
        <v>2276</v>
      </c>
      <c r="L1008" s="3" t="s">
        <v>2276</v>
      </c>
      <c r="M1008" s="3" t="s">
        <v>2276</v>
      </c>
      <c r="N1008" s="3" t="s">
        <v>2276</v>
      </c>
      <c r="O1008" s="3" t="s">
        <v>2276</v>
      </c>
      <c r="P1008" s="3" t="s">
        <v>2276</v>
      </c>
      <c r="Q1008" s="3" t="s">
        <v>2276</v>
      </c>
      <c r="R1008" s="3" t="s">
        <v>2276</v>
      </c>
      <c r="S1008" s="3" t="s">
        <v>2276</v>
      </c>
      <c r="T1008" s="3" t="s">
        <v>2276</v>
      </c>
      <c r="U1008" s="3" t="s">
        <v>2276</v>
      </c>
      <c r="V1008" s="3" t="s">
        <v>2276</v>
      </c>
      <c r="W1008" s="3" t="s">
        <v>2403</v>
      </c>
      <c r="X1008" s="3" t="s">
        <v>2276</v>
      </c>
      <c r="Y1008" s="3" t="s">
        <v>2276</v>
      </c>
      <c r="Z1008" s="3" t="s">
        <v>2276</v>
      </c>
      <c r="AA1008" s="3"/>
      <c r="AB1008" s="3" t="s">
        <v>3146</v>
      </c>
    </row>
    <row r="1009" spans="1:28" ht="42" customHeight="1">
      <c r="A1009" s="6" t="str">
        <f>'Reported burning'!A1009</f>
        <v>119b</v>
      </c>
      <c r="B1009" s="6" t="str">
        <f>'Reported burning'!B1009</f>
        <v>119b.2</v>
      </c>
      <c r="C1009" s="6" t="str">
        <f>'Reported burning'!C1009</f>
        <v>Human, deliberate</v>
      </c>
      <c r="D1009" s="6" t="str">
        <f>'Reported burning'!D1009</f>
        <v>Hunting</v>
      </c>
      <c r="E1009" s="6" t="str">
        <f>'Reported burning'!E1009</f>
        <v>Forestry, Traditional</v>
      </c>
      <c r="F1009" s="6" t="str">
        <f>'Reported burning'!F1009</f>
        <v>Forest</v>
      </c>
      <c r="G1009" s="6" t="str">
        <f>'Reported burning'!G1009</f>
        <v>ND</v>
      </c>
      <c r="H1009" s="6" t="str">
        <f>'Reported burning'!H1009</f>
        <v>Presence</v>
      </c>
      <c r="I1009" s="3"/>
      <c r="J1009" s="3" t="s">
        <v>2276</v>
      </c>
      <c r="K1009" s="3" t="s">
        <v>2276</v>
      </c>
      <c r="L1009" s="3" t="s">
        <v>2276</v>
      </c>
      <c r="M1009" s="3" t="s">
        <v>2276</v>
      </c>
      <c r="N1009" s="3" t="s">
        <v>2276</v>
      </c>
      <c r="O1009" s="3" t="s">
        <v>2276</v>
      </c>
      <c r="P1009" s="3" t="s">
        <v>2276</v>
      </c>
      <c r="Q1009" s="3" t="s">
        <v>2276</v>
      </c>
      <c r="R1009" s="3" t="s">
        <v>2276</v>
      </c>
      <c r="S1009" s="3" t="s">
        <v>2276</v>
      </c>
      <c r="T1009" s="3" t="s">
        <v>2276</v>
      </c>
      <c r="U1009" s="3" t="s">
        <v>2276</v>
      </c>
      <c r="V1009" s="3" t="s">
        <v>2276</v>
      </c>
      <c r="W1009" s="3" t="s">
        <v>2276</v>
      </c>
      <c r="X1009" s="3" t="s">
        <v>2276</v>
      </c>
      <c r="Y1009" s="3" t="s">
        <v>2276</v>
      </c>
      <c r="Z1009" s="3" t="s">
        <v>2276</v>
      </c>
      <c r="AA1009" s="3"/>
      <c r="AB1009" s="3"/>
    </row>
    <row r="1010" spans="1:28" ht="42" customHeight="1">
      <c r="A1010" s="6" t="str">
        <f>'Reported burning'!A1010</f>
        <v>119b</v>
      </c>
      <c r="B1010" s="6" t="str">
        <f>'Reported burning'!B1010</f>
        <v>119b.3</v>
      </c>
      <c r="C1010" s="6" t="str">
        <f>'Reported burning'!C1010</f>
        <v>Human, deliberate</v>
      </c>
      <c r="D1010" s="6" t="str">
        <f>'Reported burning'!D1010</f>
        <v>Hunting</v>
      </c>
      <c r="E1010" s="6" t="str">
        <f>'Reported burning'!E1010</f>
        <v>Forestry, Traditional</v>
      </c>
      <c r="F1010" s="6" t="str">
        <f>'Reported burning'!F1010</f>
        <v>Shrubland (Mixed forest &amp; grassland)</v>
      </c>
      <c r="G1010" s="6" t="str">
        <f>'Reported burning'!G1010</f>
        <v>ND</v>
      </c>
      <c r="H1010" s="6" t="str">
        <f>'Reported burning'!H1010</f>
        <v>Presence</v>
      </c>
      <c r="I1010" s="3"/>
      <c r="J1010" s="3" t="s">
        <v>2276</v>
      </c>
      <c r="K1010" s="3" t="s">
        <v>2276</v>
      </c>
      <c r="L1010" s="3" t="s">
        <v>2276</v>
      </c>
      <c r="M1010" s="3" t="s">
        <v>2276</v>
      </c>
      <c r="N1010" s="3" t="s">
        <v>2276</v>
      </c>
      <c r="O1010" s="3" t="s">
        <v>2276</v>
      </c>
      <c r="P1010" s="3" t="s">
        <v>2276</v>
      </c>
      <c r="Q1010" s="3" t="s">
        <v>2276</v>
      </c>
      <c r="R1010" s="3" t="s">
        <v>2276</v>
      </c>
      <c r="S1010" s="3" t="s">
        <v>2276</v>
      </c>
      <c r="T1010" s="3" t="s">
        <v>2276</v>
      </c>
      <c r="U1010" s="3" t="s">
        <v>2276</v>
      </c>
      <c r="V1010" s="3" t="s">
        <v>2276</v>
      </c>
      <c r="W1010" s="3" t="s">
        <v>2276</v>
      </c>
      <c r="X1010" s="3" t="s">
        <v>2276</v>
      </c>
      <c r="Y1010" s="3" t="s">
        <v>2276</v>
      </c>
      <c r="Z1010" s="3" t="s">
        <v>2276</v>
      </c>
      <c r="AA1010" s="3"/>
      <c r="AB1010" s="3"/>
    </row>
    <row r="1011" spans="1:28" ht="42" customHeight="1">
      <c r="A1011" s="6" t="str">
        <f>'Reported burning'!A1011</f>
        <v>119b</v>
      </c>
      <c r="B1011" s="6" t="str">
        <f>'Reported burning'!B1011</f>
        <v>119b.4</v>
      </c>
      <c r="C1011" s="6" t="str">
        <f>'Reported burning'!C1011</f>
        <v>Human, deliberate</v>
      </c>
      <c r="D1011" s="6" t="str">
        <f>'Reported burning'!D1011</f>
        <v>Fishing</v>
      </c>
      <c r="E1011" s="6" t="str">
        <f>'Reported burning'!E1011</f>
        <v>Forestry, Traditional</v>
      </c>
      <c r="F1011" s="6" t="str">
        <f>'Reported burning'!F1011</f>
        <v>ND</v>
      </c>
      <c r="G1011" s="6" t="str">
        <f>'Reported burning'!G1011</f>
        <v>ND</v>
      </c>
      <c r="H1011" s="6" t="str">
        <f>'Reported burning'!H1011</f>
        <v>Presence</v>
      </c>
      <c r="I1011" s="3"/>
      <c r="J1011" s="3" t="s">
        <v>2276</v>
      </c>
      <c r="K1011" s="3" t="s">
        <v>2276</v>
      </c>
      <c r="L1011" s="3" t="s">
        <v>2276</v>
      </c>
      <c r="M1011" s="3" t="s">
        <v>2276</v>
      </c>
      <c r="N1011" s="3" t="s">
        <v>2276</v>
      </c>
      <c r="O1011" s="3" t="s">
        <v>2276</v>
      </c>
      <c r="P1011" s="3" t="s">
        <v>2276</v>
      </c>
      <c r="Q1011" s="3" t="s">
        <v>2276</v>
      </c>
      <c r="R1011" s="3" t="s">
        <v>2276</v>
      </c>
      <c r="S1011" s="3" t="s">
        <v>2276</v>
      </c>
      <c r="T1011" s="3" t="s">
        <v>2276</v>
      </c>
      <c r="U1011" s="3" t="s">
        <v>2276</v>
      </c>
      <c r="V1011" s="3" t="s">
        <v>2276</v>
      </c>
      <c r="W1011" s="3" t="s">
        <v>2276</v>
      </c>
      <c r="X1011" s="3" t="s">
        <v>2276</v>
      </c>
      <c r="Y1011" s="3" t="s">
        <v>2276</v>
      </c>
      <c r="Z1011" s="3" t="s">
        <v>2276</v>
      </c>
      <c r="AA1011" s="4" t="s">
        <v>3159</v>
      </c>
      <c r="AB1011" s="3"/>
    </row>
    <row r="1012" spans="1:28" ht="42" customHeight="1">
      <c r="A1012" s="6" t="str">
        <f>'Reported burning'!A1012</f>
        <v>119b</v>
      </c>
      <c r="B1012" s="6" t="str">
        <f>'Reported burning'!B1012</f>
        <v>119b.5</v>
      </c>
      <c r="C1012" s="6" t="str">
        <f>'Reported burning'!C1012</f>
        <v>Human, deliberate</v>
      </c>
      <c r="D1012" s="6" t="str">
        <f>'Reported burning'!D1012</f>
        <v>Pest management</v>
      </c>
      <c r="E1012" s="6" t="str">
        <f>'Reported burning'!E1012</f>
        <v>Forestry, Traditional</v>
      </c>
      <c r="F1012" s="6" t="str">
        <f>'Reported burning'!F1012</f>
        <v>ND</v>
      </c>
      <c r="G1012" s="6" t="str">
        <f>'Reported burning'!G1012</f>
        <v>ND</v>
      </c>
      <c r="H1012" s="6" t="str">
        <f>'Reported burning'!H1012</f>
        <v>Presence</v>
      </c>
      <c r="I1012" s="3"/>
      <c r="J1012" s="3" t="s">
        <v>2276</v>
      </c>
      <c r="K1012" s="3" t="s">
        <v>2276</v>
      </c>
      <c r="L1012" s="3" t="s">
        <v>2276</v>
      </c>
      <c r="M1012" s="3" t="s">
        <v>2276</v>
      </c>
      <c r="N1012" s="3" t="s">
        <v>2276</v>
      </c>
      <c r="O1012" s="3" t="s">
        <v>2276</v>
      </c>
      <c r="P1012" s="3" t="s">
        <v>2276</v>
      </c>
      <c r="Q1012" s="3" t="s">
        <v>2276</v>
      </c>
      <c r="R1012" s="3" t="s">
        <v>2276</v>
      </c>
      <c r="S1012" s="3" t="s">
        <v>2276</v>
      </c>
      <c r="T1012" s="3" t="s">
        <v>2276</v>
      </c>
      <c r="U1012" s="3" t="s">
        <v>2276</v>
      </c>
      <c r="V1012" s="3" t="s">
        <v>2276</v>
      </c>
      <c r="W1012" s="3" t="s">
        <v>2276</v>
      </c>
      <c r="X1012" s="3" t="s">
        <v>2276</v>
      </c>
      <c r="Y1012" s="3" t="s">
        <v>2276</v>
      </c>
      <c r="Z1012" s="3" t="s">
        <v>2276</v>
      </c>
      <c r="AA1012" s="3"/>
      <c r="AB1012" s="3"/>
    </row>
    <row r="1013" spans="1:28" ht="42" customHeight="1">
      <c r="A1013" s="6" t="str">
        <f>'Reported burning'!A1013</f>
        <v>119b</v>
      </c>
      <c r="B1013" s="6" t="str">
        <f>'Reported burning'!B1013</f>
        <v>119b.6</v>
      </c>
      <c r="C1013" s="6" t="str">
        <f>'Reported burning'!C1013</f>
        <v>Human, deliberate</v>
      </c>
      <c r="D1013" s="6" t="str">
        <f>'Reported burning'!D1013</f>
        <v>Accessibility</v>
      </c>
      <c r="E1013" s="6" t="str">
        <f>'Reported burning'!E1013</f>
        <v>Forestry, Traditional</v>
      </c>
      <c r="F1013" s="6" t="str">
        <f>'Reported burning'!F1013</f>
        <v>ND</v>
      </c>
      <c r="G1013" s="6" t="str">
        <f>'Reported burning'!G1013</f>
        <v>ND</v>
      </c>
      <c r="H1013" s="6" t="str">
        <f>'Reported burning'!H1013</f>
        <v>Presence</v>
      </c>
      <c r="I1013" s="3"/>
      <c r="J1013" s="3" t="s">
        <v>2276</v>
      </c>
      <c r="K1013" s="3" t="s">
        <v>2276</v>
      </c>
      <c r="L1013" s="3" t="s">
        <v>2276</v>
      </c>
      <c r="M1013" s="3" t="s">
        <v>2276</v>
      </c>
      <c r="N1013" s="3" t="s">
        <v>2276</v>
      </c>
      <c r="O1013" s="3" t="s">
        <v>2276</v>
      </c>
      <c r="P1013" s="3" t="s">
        <v>2276</v>
      </c>
      <c r="Q1013" s="3" t="s">
        <v>2276</v>
      </c>
      <c r="R1013" s="3" t="s">
        <v>2276</v>
      </c>
      <c r="S1013" s="3" t="s">
        <v>2276</v>
      </c>
      <c r="T1013" s="3" t="s">
        <v>2276</v>
      </c>
      <c r="U1013" s="3" t="s">
        <v>2276</v>
      </c>
      <c r="V1013" s="3" t="s">
        <v>2276</v>
      </c>
      <c r="W1013" s="3" t="s">
        <v>2276</v>
      </c>
      <c r="X1013" s="3" t="s">
        <v>2276</v>
      </c>
      <c r="Y1013" s="3" t="s">
        <v>2276</v>
      </c>
      <c r="Z1013" s="3" t="s">
        <v>2276</v>
      </c>
      <c r="AA1013" s="3"/>
      <c r="AB1013" s="3"/>
    </row>
    <row r="1014" spans="1:28" ht="42" customHeight="1">
      <c r="A1014" s="6" t="str">
        <f>'Reported burning'!A1014</f>
        <v>119b</v>
      </c>
      <c r="B1014" s="6" t="str">
        <f>'Reported burning'!B1014</f>
        <v>119b.7</v>
      </c>
      <c r="C1014" s="6" t="str">
        <f>'Reported burning'!C1014</f>
        <v>Human, deliberate</v>
      </c>
      <c r="D1014" s="6" t="str">
        <f>'Reported burning'!D1014</f>
        <v>Cultural &amp; Spiritual</v>
      </c>
      <c r="E1014" s="6" t="str">
        <f>'Reported burning'!E1014</f>
        <v>Forestry, Traditional</v>
      </c>
      <c r="F1014" s="6" t="str">
        <f>'Reported burning'!F1014</f>
        <v>ND</v>
      </c>
      <c r="G1014" s="6" t="str">
        <f>'Reported burning'!G1014</f>
        <v>ND</v>
      </c>
      <c r="H1014" s="6" t="str">
        <f>'Reported burning'!H1014</f>
        <v>Presence</v>
      </c>
      <c r="I1014" s="3"/>
      <c r="J1014" s="3" t="s">
        <v>2276</v>
      </c>
      <c r="K1014" s="3" t="s">
        <v>2276</v>
      </c>
      <c r="L1014" s="3" t="s">
        <v>2276</v>
      </c>
      <c r="M1014" s="3" t="s">
        <v>2276</v>
      </c>
      <c r="N1014" s="3" t="s">
        <v>2276</v>
      </c>
      <c r="O1014" s="3" t="s">
        <v>2276</v>
      </c>
      <c r="P1014" s="3" t="s">
        <v>2276</v>
      </c>
      <c r="Q1014" s="3" t="s">
        <v>2276</v>
      </c>
      <c r="R1014" s="3" t="s">
        <v>2276</v>
      </c>
      <c r="S1014" s="3" t="s">
        <v>2276</v>
      </c>
      <c r="T1014" s="3" t="s">
        <v>2276</v>
      </c>
      <c r="U1014" s="3" t="s">
        <v>2276</v>
      </c>
      <c r="V1014" s="3" t="s">
        <v>2276</v>
      </c>
      <c r="W1014" s="3" t="s">
        <v>2276</v>
      </c>
      <c r="X1014" s="3" t="s">
        <v>2276</v>
      </c>
      <c r="Y1014" s="3" t="s">
        <v>2276</v>
      </c>
      <c r="Z1014" s="3" t="s">
        <v>2276</v>
      </c>
      <c r="AA1014" s="3"/>
      <c r="AB1014" s="3"/>
    </row>
    <row r="1015" spans="1:28" ht="42" customHeight="1">
      <c r="A1015" s="6" t="str">
        <f>'Reported burning'!A1015</f>
        <v>119b</v>
      </c>
      <c r="B1015" s="6" t="str">
        <f>'Reported burning'!B1015</f>
        <v>119b.8</v>
      </c>
      <c r="C1015" s="6" t="str">
        <f>'Reported burning'!C1015</f>
        <v>Human, deliberate</v>
      </c>
      <c r="D1015" s="6" t="str">
        <f>'Reported burning'!D1015</f>
        <v>Domestic</v>
      </c>
      <c r="E1015" s="6" t="str">
        <f>'Reported burning'!E1015</f>
        <v>Forestry, Traditional</v>
      </c>
      <c r="F1015" s="6" t="str">
        <f>'Reported burning'!F1015</f>
        <v>ND</v>
      </c>
      <c r="G1015" s="6" t="str">
        <f>'Reported burning'!G1015</f>
        <v>ND</v>
      </c>
      <c r="H1015" s="6" t="str">
        <f>'Reported burning'!H1015</f>
        <v>Presence</v>
      </c>
      <c r="I1015" s="3"/>
      <c r="J1015" s="3" t="s">
        <v>2276</v>
      </c>
      <c r="K1015" s="3" t="s">
        <v>2276</v>
      </c>
      <c r="L1015" s="3" t="s">
        <v>2276</v>
      </c>
      <c r="M1015" s="3" t="s">
        <v>2276</v>
      </c>
      <c r="N1015" s="3" t="s">
        <v>2276</v>
      </c>
      <c r="O1015" s="3" t="s">
        <v>2276</v>
      </c>
      <c r="P1015" s="3" t="s">
        <v>2276</v>
      </c>
      <c r="Q1015" s="3" t="s">
        <v>2276</v>
      </c>
      <c r="R1015" s="3" t="s">
        <v>2276</v>
      </c>
      <c r="S1015" s="3" t="s">
        <v>2276</v>
      </c>
      <c r="T1015" s="3" t="s">
        <v>2276</v>
      </c>
      <c r="U1015" s="3" t="s">
        <v>2276</v>
      </c>
      <c r="V1015" s="3" t="s">
        <v>2276</v>
      </c>
      <c r="W1015" s="3" t="s">
        <v>2276</v>
      </c>
      <c r="X1015" s="3" t="s">
        <v>2276</v>
      </c>
      <c r="Y1015" s="3" t="s">
        <v>2276</v>
      </c>
      <c r="Z1015" s="3" t="s">
        <v>2276</v>
      </c>
      <c r="AA1015" s="3"/>
      <c r="AB1015" s="3"/>
    </row>
    <row r="1016" spans="1:28" ht="42" customHeight="1">
      <c r="A1016" s="6" t="str">
        <f>'Reported burning'!A1016</f>
        <v>119b</v>
      </c>
      <c r="B1016" s="6" t="str">
        <f>'Reported burning'!B1016</f>
        <v>119b.9</v>
      </c>
      <c r="C1016" s="6" t="str">
        <f>'Reported burning'!C1016</f>
        <v>Human, deliberate</v>
      </c>
      <c r="D1016" s="6" t="str">
        <f>'Reported burning'!D1016</f>
        <v>Pest management</v>
      </c>
      <c r="E1016" s="6" t="str">
        <f>'Reported burning'!E1016</f>
        <v>Cropping, Swidden</v>
      </c>
      <c r="F1016" s="6" t="str">
        <f>'Reported burning'!F1016</f>
        <v>ND</v>
      </c>
      <c r="G1016" s="6" t="str">
        <f>'Reported burning'!G1016</f>
        <v>ND</v>
      </c>
      <c r="H1016" s="6" t="str">
        <f>'Reported burning'!H1016</f>
        <v>Presence</v>
      </c>
      <c r="I1016" s="3"/>
      <c r="J1016" s="3" t="s">
        <v>2276</v>
      </c>
      <c r="K1016" s="3" t="s">
        <v>2276</v>
      </c>
      <c r="L1016" s="3" t="s">
        <v>2276</v>
      </c>
      <c r="M1016" s="3" t="s">
        <v>2276</v>
      </c>
      <c r="N1016" s="3" t="s">
        <v>2276</v>
      </c>
      <c r="O1016" s="3" t="s">
        <v>2276</v>
      </c>
      <c r="P1016" s="3" t="s">
        <v>2276</v>
      </c>
      <c r="Q1016" s="3" t="s">
        <v>2276</v>
      </c>
      <c r="R1016" s="3" t="s">
        <v>2276</v>
      </c>
      <c r="S1016" s="3" t="s">
        <v>2276</v>
      </c>
      <c r="T1016" s="3" t="s">
        <v>2276</v>
      </c>
      <c r="U1016" s="3" t="s">
        <v>2276</v>
      </c>
      <c r="V1016" s="3" t="s">
        <v>2276</v>
      </c>
      <c r="W1016" s="3" t="s">
        <v>2276</v>
      </c>
      <c r="X1016" s="3" t="s">
        <v>2276</v>
      </c>
      <c r="Y1016" s="3" t="s">
        <v>2276</v>
      </c>
      <c r="Z1016" s="3" t="s">
        <v>2276</v>
      </c>
      <c r="AA1016" s="3"/>
      <c r="AB1016" s="3"/>
    </row>
    <row r="1017" spans="1:28" ht="42" customHeight="1">
      <c r="A1017" s="6" t="str">
        <f>'Reported burning'!A1017</f>
        <v>119b</v>
      </c>
      <c r="B1017" s="6" t="str">
        <f>'Reported burning'!B1017</f>
        <v>119b.10</v>
      </c>
      <c r="C1017" s="6" t="str">
        <f>'Reported burning'!C1017</f>
        <v>Human, deliberate</v>
      </c>
      <c r="D1017" s="6" t="str">
        <f>'Reported burning'!D1017</f>
        <v>Accessibility</v>
      </c>
      <c r="E1017" s="6" t="str">
        <f>'Reported burning'!E1017</f>
        <v>Cropping, Swidden</v>
      </c>
      <c r="F1017" s="6" t="str">
        <f>'Reported burning'!F1017</f>
        <v>ND</v>
      </c>
      <c r="G1017" s="6" t="str">
        <f>'Reported burning'!G1017</f>
        <v>ND</v>
      </c>
      <c r="H1017" s="6" t="str">
        <f>'Reported burning'!H1017</f>
        <v>Presence</v>
      </c>
      <c r="I1017" s="3"/>
      <c r="J1017" s="3" t="s">
        <v>2276</v>
      </c>
      <c r="K1017" s="3" t="s">
        <v>2276</v>
      </c>
      <c r="L1017" s="3" t="s">
        <v>2276</v>
      </c>
      <c r="M1017" s="3" t="s">
        <v>2276</v>
      </c>
      <c r="N1017" s="3" t="s">
        <v>2276</v>
      </c>
      <c r="O1017" s="3" t="s">
        <v>2276</v>
      </c>
      <c r="P1017" s="3" t="s">
        <v>2276</v>
      </c>
      <c r="Q1017" s="3" t="s">
        <v>2276</v>
      </c>
      <c r="R1017" s="3" t="s">
        <v>2276</v>
      </c>
      <c r="S1017" s="3" t="s">
        <v>2276</v>
      </c>
      <c r="T1017" s="3" t="s">
        <v>2276</v>
      </c>
      <c r="U1017" s="3" t="s">
        <v>2276</v>
      </c>
      <c r="V1017" s="3" t="s">
        <v>2276</v>
      </c>
      <c r="W1017" s="3" t="s">
        <v>2276</v>
      </c>
      <c r="X1017" s="3" t="s">
        <v>2276</v>
      </c>
      <c r="Y1017" s="3" t="s">
        <v>2276</v>
      </c>
      <c r="Z1017" s="3" t="s">
        <v>2276</v>
      </c>
      <c r="AA1017" s="3"/>
      <c r="AB1017" s="3"/>
    </row>
    <row r="1018" spans="1:28" ht="42" customHeight="1">
      <c r="A1018" s="6" t="str">
        <f>'Reported burning'!A1018</f>
        <v>119b</v>
      </c>
      <c r="B1018" s="6" t="str">
        <f>'Reported burning'!B1018</f>
        <v>119b.11</v>
      </c>
      <c r="C1018" s="6" t="str">
        <f>'Reported burning'!C1018</f>
        <v>Human, deliberate</v>
      </c>
      <c r="D1018" s="6" t="str">
        <f>'Reported burning'!D1018</f>
        <v>Cultural &amp; Spiritual</v>
      </c>
      <c r="E1018" s="6" t="str">
        <f>'Reported burning'!E1018</f>
        <v>Cropping, Swidden</v>
      </c>
      <c r="F1018" s="6" t="str">
        <f>'Reported burning'!F1018</f>
        <v>ND</v>
      </c>
      <c r="G1018" s="6" t="str">
        <f>'Reported burning'!G1018</f>
        <v>ND</v>
      </c>
      <c r="H1018" s="6" t="str">
        <f>'Reported burning'!H1018</f>
        <v>Presence</v>
      </c>
      <c r="I1018" s="3"/>
      <c r="J1018" s="3" t="s">
        <v>2276</v>
      </c>
      <c r="K1018" s="3" t="s">
        <v>2276</v>
      </c>
      <c r="L1018" s="3" t="s">
        <v>2276</v>
      </c>
      <c r="M1018" s="3" t="s">
        <v>2276</v>
      </c>
      <c r="N1018" s="3" t="s">
        <v>2276</v>
      </c>
      <c r="O1018" s="3" t="s">
        <v>2276</v>
      </c>
      <c r="P1018" s="3" t="s">
        <v>2276</v>
      </c>
      <c r="Q1018" s="3" t="s">
        <v>2276</v>
      </c>
      <c r="R1018" s="3" t="s">
        <v>2276</v>
      </c>
      <c r="S1018" s="3" t="s">
        <v>2276</v>
      </c>
      <c r="T1018" s="3" t="s">
        <v>2276</v>
      </c>
      <c r="U1018" s="3" t="s">
        <v>2276</v>
      </c>
      <c r="V1018" s="3" t="s">
        <v>2276</v>
      </c>
      <c r="W1018" s="3" t="s">
        <v>2276</v>
      </c>
      <c r="X1018" s="3" t="s">
        <v>2276</v>
      </c>
      <c r="Y1018" s="3" t="s">
        <v>2276</v>
      </c>
      <c r="Z1018" s="3" t="s">
        <v>2276</v>
      </c>
      <c r="AA1018" s="3"/>
      <c r="AB1018" s="3"/>
    </row>
    <row r="1019" spans="1:28" ht="42" customHeight="1">
      <c r="A1019" s="6" t="str">
        <f>'Reported burning'!A1019</f>
        <v>119b</v>
      </c>
      <c r="B1019" s="6" t="str">
        <f>'Reported burning'!B1019</f>
        <v>119b.12</v>
      </c>
      <c r="C1019" s="6" t="str">
        <f>'Reported burning'!C1019</f>
        <v>Human, deliberate</v>
      </c>
      <c r="D1019" s="6" t="str">
        <f>'Reported burning'!D1019</f>
        <v>Domestic</v>
      </c>
      <c r="E1019" s="6" t="str">
        <f>'Reported burning'!E1019</f>
        <v>Cropping, Swidden</v>
      </c>
      <c r="F1019" s="6" t="str">
        <f>'Reported burning'!F1019</f>
        <v>ND</v>
      </c>
      <c r="G1019" s="6" t="str">
        <f>'Reported burning'!G1019</f>
        <v>ND</v>
      </c>
      <c r="H1019" s="6" t="str">
        <f>'Reported burning'!H1019</f>
        <v>Presence</v>
      </c>
      <c r="I1019" s="3"/>
      <c r="J1019" s="3" t="s">
        <v>2276</v>
      </c>
      <c r="K1019" s="3" t="s">
        <v>2276</v>
      </c>
      <c r="L1019" s="3" t="s">
        <v>2276</v>
      </c>
      <c r="M1019" s="3" t="s">
        <v>2276</v>
      </c>
      <c r="N1019" s="3" t="s">
        <v>2276</v>
      </c>
      <c r="O1019" s="3" t="s">
        <v>2276</v>
      </c>
      <c r="P1019" s="3" t="s">
        <v>2276</v>
      </c>
      <c r="Q1019" s="3" t="s">
        <v>2276</v>
      </c>
      <c r="R1019" s="3" t="s">
        <v>2276</v>
      </c>
      <c r="S1019" s="3" t="s">
        <v>2276</v>
      </c>
      <c r="T1019" s="3" t="s">
        <v>2276</v>
      </c>
      <c r="U1019" s="3" t="s">
        <v>2276</v>
      </c>
      <c r="V1019" s="3" t="s">
        <v>2276</v>
      </c>
      <c r="W1019" s="3" t="s">
        <v>2276</v>
      </c>
      <c r="X1019" s="3" t="s">
        <v>2276</v>
      </c>
      <c r="Y1019" s="3" t="s">
        <v>2276</v>
      </c>
      <c r="Z1019" s="3" t="s">
        <v>2276</v>
      </c>
      <c r="AA1019" s="3"/>
      <c r="AB1019" s="3"/>
    </row>
    <row r="1020" spans="1:28" ht="42" customHeight="1">
      <c r="A1020" s="6" t="str">
        <f>'Reported burning'!A1020</f>
        <v>119b</v>
      </c>
      <c r="B1020" s="6" t="str">
        <f>'Reported burning'!B1020</f>
        <v>119b.13</v>
      </c>
      <c r="C1020" s="6" t="str">
        <f>'Reported burning'!C1020</f>
        <v>Human, accidental</v>
      </c>
      <c r="D1020" s="6" t="str">
        <f>'Reported burning'!D1020</f>
        <v>ND</v>
      </c>
      <c r="E1020" s="6" t="str">
        <f>'Reported burning'!E1020</f>
        <v>Tourism manager</v>
      </c>
      <c r="F1020" s="6" t="str">
        <f>'Reported burning'!F1020</f>
        <v>ND</v>
      </c>
      <c r="G1020" s="6" t="str">
        <f>'Reported burning'!G1020</f>
        <v>ND</v>
      </c>
      <c r="H1020" s="6" t="str">
        <f>'Reported burning'!H1020</f>
        <v>Presence</v>
      </c>
      <c r="I1020" s="3"/>
      <c r="J1020" s="3" t="s">
        <v>2276</v>
      </c>
      <c r="K1020" s="3" t="s">
        <v>2276</v>
      </c>
      <c r="L1020" s="3" t="s">
        <v>2276</v>
      </c>
      <c r="M1020" s="3" t="s">
        <v>2276</v>
      </c>
      <c r="N1020" s="3" t="s">
        <v>2276</v>
      </c>
      <c r="O1020" s="3" t="s">
        <v>2276</v>
      </c>
      <c r="P1020" s="3" t="s">
        <v>2276</v>
      </c>
      <c r="Q1020" s="3" t="s">
        <v>2276</v>
      </c>
      <c r="R1020" s="3" t="s">
        <v>2276</v>
      </c>
      <c r="S1020" s="3" t="s">
        <v>2276</v>
      </c>
      <c r="T1020" s="3" t="s">
        <v>2276</v>
      </c>
      <c r="U1020" s="3" t="s">
        <v>2276</v>
      </c>
      <c r="V1020" s="3" t="s">
        <v>2276</v>
      </c>
      <c r="W1020" s="3" t="s">
        <v>2276</v>
      </c>
      <c r="X1020" s="3" t="s">
        <v>2276</v>
      </c>
      <c r="Y1020" s="3" t="s">
        <v>2276</v>
      </c>
      <c r="Z1020" s="3" t="s">
        <v>2276</v>
      </c>
      <c r="AA1020" s="3"/>
      <c r="AB1020" s="3"/>
    </row>
    <row r="1021" spans="1:28" ht="42" customHeight="1">
      <c r="A1021" s="6" t="str">
        <f>'Reported burning'!A1021</f>
        <v>119b</v>
      </c>
      <c r="B1021" s="6" t="str">
        <f>'Reported burning'!B1021</f>
        <v>119b.14</v>
      </c>
      <c r="C1021" s="6" t="str">
        <f>'Reported burning'!C1021</f>
        <v>Human, deliberate</v>
      </c>
      <c r="D1021" s="6" t="str">
        <f>'Reported burning'!D1021</f>
        <v>Pyrome management</v>
      </c>
      <c r="E1021" s="6" t="str">
        <f>'Reported burning'!E1021</f>
        <v>Forestry, Traditional</v>
      </c>
      <c r="F1021" s="6" t="str">
        <f>'Reported burning'!F1021</f>
        <v>Shrubland (Mixed forest &amp; grassland)</v>
      </c>
      <c r="G1021" s="6" t="str">
        <f>'Reported burning'!G1021</f>
        <v>ND</v>
      </c>
      <c r="H1021" s="6" t="str">
        <f>'Reported burning'!H1021</f>
        <v>Presence</v>
      </c>
      <c r="I1021" s="3"/>
      <c r="J1021" s="3" t="s">
        <v>2276</v>
      </c>
      <c r="K1021" s="3" t="s">
        <v>2276</v>
      </c>
      <c r="L1021" s="3" t="s">
        <v>2276</v>
      </c>
      <c r="M1021" s="3" t="s">
        <v>2276</v>
      </c>
      <c r="N1021" s="3" t="s">
        <v>2276</v>
      </c>
      <c r="O1021" s="3" t="s">
        <v>2276</v>
      </c>
      <c r="P1021" s="3" t="s">
        <v>2276</v>
      </c>
      <c r="Q1021" s="3" t="s">
        <v>2276</v>
      </c>
      <c r="R1021" s="3" t="s">
        <v>2276</v>
      </c>
      <c r="S1021" s="3" t="s">
        <v>2276</v>
      </c>
      <c r="T1021" s="3" t="s">
        <v>2276</v>
      </c>
      <c r="U1021" s="3" t="s">
        <v>2276</v>
      </c>
      <c r="V1021" s="3" t="s">
        <v>2276</v>
      </c>
      <c r="W1021" s="3" t="s">
        <v>2276</v>
      </c>
      <c r="X1021" s="3" t="s">
        <v>2276</v>
      </c>
      <c r="Y1021" s="3" t="s">
        <v>2276</v>
      </c>
      <c r="Z1021" s="3" t="s">
        <v>2276</v>
      </c>
      <c r="AA1021" s="3"/>
      <c r="AB1021" s="3"/>
    </row>
    <row r="1022" spans="1:28" ht="42" customHeight="1">
      <c r="A1022" s="6" t="str">
        <f>'Reported burning'!A1022</f>
        <v>119b</v>
      </c>
      <c r="B1022" s="6" t="str">
        <f>'Reported burning'!B1022</f>
        <v>119b.15</v>
      </c>
      <c r="C1022" s="6" t="str">
        <f>'Reported burning'!C1022</f>
        <v>Human, deliberate</v>
      </c>
      <c r="D1022" s="6" t="str">
        <f>'Reported burning'!D1022</f>
        <v>Pyrome management</v>
      </c>
      <c r="E1022" s="6" t="str">
        <f>'Reported burning'!E1022</f>
        <v>Cropping, Swidden</v>
      </c>
      <c r="F1022" s="6" t="str">
        <f>'Reported burning'!F1022</f>
        <v>Shrubland (Mixed forest &amp; grassland)</v>
      </c>
      <c r="G1022" s="6" t="str">
        <f>'Reported burning'!G1022</f>
        <v>ND</v>
      </c>
      <c r="H1022" s="6" t="str">
        <f>'Reported burning'!H1022</f>
        <v>Presence</v>
      </c>
      <c r="I1022" s="3"/>
      <c r="J1022" s="3" t="s">
        <v>2276</v>
      </c>
      <c r="K1022" s="3" t="s">
        <v>2276</v>
      </c>
      <c r="L1022" s="3" t="s">
        <v>2276</v>
      </c>
      <c r="M1022" s="3" t="s">
        <v>2276</v>
      </c>
      <c r="N1022" s="3" t="s">
        <v>2276</v>
      </c>
      <c r="O1022" s="3" t="s">
        <v>2276</v>
      </c>
      <c r="P1022" s="3" t="s">
        <v>2276</v>
      </c>
      <c r="Q1022" s="3" t="s">
        <v>2276</v>
      </c>
      <c r="R1022" s="3" t="s">
        <v>2276</v>
      </c>
      <c r="S1022" s="3" t="s">
        <v>2276</v>
      </c>
      <c r="T1022" s="3" t="s">
        <v>2276</v>
      </c>
      <c r="U1022" s="3" t="s">
        <v>2276</v>
      </c>
      <c r="V1022" s="3" t="s">
        <v>2276</v>
      </c>
      <c r="W1022" s="3" t="s">
        <v>2276</v>
      </c>
      <c r="X1022" s="3" t="s">
        <v>2276</v>
      </c>
      <c r="Y1022" s="3" t="s">
        <v>2276</v>
      </c>
      <c r="Z1022" s="3" t="s">
        <v>2276</v>
      </c>
      <c r="AA1022" s="3"/>
      <c r="AB1022" s="3"/>
    </row>
    <row r="1023" spans="1:28" ht="42" customHeight="1">
      <c r="A1023" s="6" t="str">
        <f>'Reported burning'!A1023</f>
        <v>119b</v>
      </c>
      <c r="B1023" s="6" t="str">
        <f>'Reported burning'!B1023</f>
        <v>119b.16</v>
      </c>
      <c r="C1023" s="6" t="str">
        <f>'Reported burning'!C1023</f>
        <v>Human, deliberate</v>
      </c>
      <c r="D1023" s="6" t="str">
        <f>'Reported burning'!D1023</f>
        <v>Pasture renewal</v>
      </c>
      <c r="E1023" s="6" t="str">
        <f>'Reported burning'!E1023</f>
        <v>Cropping, Swidden</v>
      </c>
      <c r="F1023" s="6" t="str">
        <f>'Reported burning'!F1023</f>
        <v>Shrubland (Mixed forest &amp; grassland)</v>
      </c>
      <c r="G1023" s="6" t="str">
        <f>'Reported burning'!G1023</f>
        <v>ND</v>
      </c>
      <c r="H1023" s="6" t="str">
        <f>'Reported burning'!H1023</f>
        <v>Presence</v>
      </c>
      <c r="I1023" s="3"/>
      <c r="J1023" s="3" t="s">
        <v>2276</v>
      </c>
      <c r="K1023" s="3" t="s">
        <v>2276</v>
      </c>
      <c r="L1023" s="3" t="s">
        <v>2276</v>
      </c>
      <c r="M1023" s="3" t="s">
        <v>2276</v>
      </c>
      <c r="N1023" s="3" t="s">
        <v>2276</v>
      </c>
      <c r="O1023" s="3" t="s">
        <v>2276</v>
      </c>
      <c r="P1023" s="3" t="s">
        <v>2276</v>
      </c>
      <c r="Q1023" s="3" t="s">
        <v>2276</v>
      </c>
      <c r="R1023" s="3" t="s">
        <v>2276</v>
      </c>
      <c r="S1023" s="3" t="s">
        <v>2276</v>
      </c>
      <c r="T1023" s="3" t="s">
        <v>2276</v>
      </c>
      <c r="U1023" s="3" t="s">
        <v>2276</v>
      </c>
      <c r="V1023" s="3" t="s">
        <v>2276</v>
      </c>
      <c r="W1023" s="3" t="s">
        <v>2276</v>
      </c>
      <c r="X1023" s="3" t="s">
        <v>2276</v>
      </c>
      <c r="Y1023" s="3" t="s">
        <v>2276</v>
      </c>
      <c r="Z1023" s="3" t="s">
        <v>2276</v>
      </c>
      <c r="AA1023" s="4" t="s">
        <v>3163</v>
      </c>
      <c r="AB1023" s="3"/>
    </row>
    <row r="1024" spans="1:28" ht="42" customHeight="1">
      <c r="A1024" s="6" t="str">
        <f>'Reported burning'!A1024</f>
        <v>119c</v>
      </c>
      <c r="B1024" s="6" t="str">
        <f>'Reported burning'!B1024</f>
        <v>119c.1</v>
      </c>
      <c r="C1024" s="6" t="str">
        <f>'Reported burning'!C1024</f>
        <v>Human, deliberate</v>
      </c>
      <c r="D1024" s="6" t="str">
        <f>'Reported burning'!D1024</f>
        <v>Crop field preparation</v>
      </c>
      <c r="E1024" s="6" t="str">
        <f>'Reported burning'!E1024</f>
        <v>Cropping, Swidden</v>
      </c>
      <c r="F1024" s="6" t="str">
        <f>'Reported burning'!F1024</f>
        <v>Secondary Vegetation</v>
      </c>
      <c r="G1024" s="6" t="str">
        <f>'Reported burning'!G1024</f>
        <v>ND</v>
      </c>
      <c r="H1024" s="6" t="str">
        <f>'Reported burning'!H1024</f>
        <v>Presence</v>
      </c>
      <c r="I1024" s="3"/>
      <c r="J1024" s="3" t="s">
        <v>2276</v>
      </c>
      <c r="K1024" s="3" t="s">
        <v>2276</v>
      </c>
      <c r="L1024" s="3" t="s">
        <v>2276</v>
      </c>
      <c r="M1024" s="3" t="s">
        <v>2276</v>
      </c>
      <c r="N1024" s="3" t="s">
        <v>2276</v>
      </c>
      <c r="O1024" s="3" t="s">
        <v>2276</v>
      </c>
      <c r="P1024" s="3" t="s">
        <v>2276</v>
      </c>
      <c r="Q1024" s="3" t="s">
        <v>2276</v>
      </c>
      <c r="R1024" s="3" t="s">
        <v>2276</v>
      </c>
      <c r="S1024" s="3" t="s">
        <v>2276</v>
      </c>
      <c r="T1024" s="3" t="s">
        <v>2276</v>
      </c>
      <c r="U1024" s="3" t="s">
        <v>2276</v>
      </c>
      <c r="V1024" s="3" t="s">
        <v>2276</v>
      </c>
      <c r="W1024" s="3" t="s">
        <v>2403</v>
      </c>
      <c r="X1024" s="3" t="s">
        <v>2276</v>
      </c>
      <c r="Y1024" s="3" t="s">
        <v>2276</v>
      </c>
      <c r="Z1024" s="3" t="s">
        <v>2276</v>
      </c>
      <c r="AA1024" s="3"/>
      <c r="AB1024" s="3" t="s">
        <v>3146</v>
      </c>
    </row>
    <row r="1025" spans="1:28" ht="42" customHeight="1">
      <c r="A1025" s="6" t="str">
        <f>'Reported burning'!A1025</f>
        <v>119c</v>
      </c>
      <c r="B1025" s="6" t="str">
        <f>'Reported burning'!B1025</f>
        <v>119c.2</v>
      </c>
      <c r="C1025" s="6" t="str">
        <f>'Reported burning'!C1025</f>
        <v>Human, deliberate</v>
      </c>
      <c r="D1025" s="6" t="str">
        <f>'Reported burning'!D1025</f>
        <v>Hunting</v>
      </c>
      <c r="E1025" s="6" t="str">
        <f>'Reported burning'!E1025</f>
        <v>Forestry, Traditional</v>
      </c>
      <c r="F1025" s="6" t="str">
        <f>'Reported burning'!F1025</f>
        <v>Forest</v>
      </c>
      <c r="G1025" s="6" t="str">
        <f>'Reported burning'!G1025</f>
        <v>ND</v>
      </c>
      <c r="H1025" s="6" t="str">
        <f>'Reported burning'!H1025</f>
        <v>Presence</v>
      </c>
      <c r="I1025" s="3"/>
      <c r="J1025" s="3" t="s">
        <v>2276</v>
      </c>
      <c r="K1025" s="3" t="s">
        <v>2276</v>
      </c>
      <c r="L1025" s="3" t="s">
        <v>2276</v>
      </c>
      <c r="M1025" s="3" t="s">
        <v>2276</v>
      </c>
      <c r="N1025" s="3" t="s">
        <v>2276</v>
      </c>
      <c r="O1025" s="3" t="s">
        <v>2276</v>
      </c>
      <c r="P1025" s="3" t="s">
        <v>2276</v>
      </c>
      <c r="Q1025" s="3" t="s">
        <v>2276</v>
      </c>
      <c r="R1025" s="3" t="s">
        <v>2276</v>
      </c>
      <c r="S1025" s="3" t="s">
        <v>2276</v>
      </c>
      <c r="T1025" s="3" t="s">
        <v>2276</v>
      </c>
      <c r="U1025" s="3" t="s">
        <v>2276</v>
      </c>
      <c r="V1025" s="3" t="s">
        <v>2276</v>
      </c>
      <c r="W1025" s="3" t="s">
        <v>2276</v>
      </c>
      <c r="X1025" s="3" t="s">
        <v>2276</v>
      </c>
      <c r="Y1025" s="3" t="s">
        <v>2276</v>
      </c>
      <c r="Z1025" s="3" t="s">
        <v>2276</v>
      </c>
      <c r="AA1025" s="3"/>
      <c r="AB1025" s="3"/>
    </row>
    <row r="1026" spans="1:28" ht="42" customHeight="1">
      <c r="A1026" s="6" t="str">
        <f>'Reported burning'!A1026</f>
        <v>119c</v>
      </c>
      <c r="B1026" s="6" t="str">
        <f>'Reported burning'!B1026</f>
        <v>119c.3</v>
      </c>
      <c r="C1026" s="6" t="str">
        <f>'Reported burning'!C1026</f>
        <v>Human, deliberate</v>
      </c>
      <c r="D1026" s="6" t="str">
        <f>'Reported burning'!D1026</f>
        <v>Hunting</v>
      </c>
      <c r="E1026" s="6" t="str">
        <f>'Reported burning'!E1026</f>
        <v>Forestry, Traditional</v>
      </c>
      <c r="F1026" s="6" t="str">
        <f>'Reported burning'!F1026</f>
        <v>Shrubland (Mixed forest &amp; grassland)</v>
      </c>
      <c r="G1026" s="6" t="str">
        <f>'Reported burning'!G1026</f>
        <v>ND</v>
      </c>
      <c r="H1026" s="6" t="str">
        <f>'Reported burning'!H1026</f>
        <v>Presence</v>
      </c>
      <c r="I1026" s="3"/>
      <c r="J1026" s="3" t="s">
        <v>2276</v>
      </c>
      <c r="K1026" s="3" t="s">
        <v>2276</v>
      </c>
      <c r="L1026" s="3" t="s">
        <v>2276</v>
      </c>
      <c r="M1026" s="3" t="s">
        <v>2276</v>
      </c>
      <c r="N1026" s="3" t="s">
        <v>2276</v>
      </c>
      <c r="O1026" s="3" t="s">
        <v>2276</v>
      </c>
      <c r="P1026" s="3" t="s">
        <v>2276</v>
      </c>
      <c r="Q1026" s="3" t="s">
        <v>2276</v>
      </c>
      <c r="R1026" s="3" t="s">
        <v>2276</v>
      </c>
      <c r="S1026" s="3" t="s">
        <v>2276</v>
      </c>
      <c r="T1026" s="3" t="s">
        <v>2276</v>
      </c>
      <c r="U1026" s="3" t="s">
        <v>2276</v>
      </c>
      <c r="V1026" s="3" t="s">
        <v>2276</v>
      </c>
      <c r="W1026" s="3" t="s">
        <v>2276</v>
      </c>
      <c r="X1026" s="3" t="s">
        <v>2276</v>
      </c>
      <c r="Y1026" s="3" t="s">
        <v>2276</v>
      </c>
      <c r="Z1026" s="3" t="s">
        <v>2276</v>
      </c>
      <c r="AA1026" s="3"/>
      <c r="AB1026" s="3"/>
    </row>
    <row r="1027" spans="1:28" ht="42" customHeight="1">
      <c r="A1027" s="6" t="str">
        <f>'Reported burning'!A1027</f>
        <v>119c</v>
      </c>
      <c r="B1027" s="6" t="str">
        <f>'Reported burning'!B1027</f>
        <v>119c.4</v>
      </c>
      <c r="C1027" s="6" t="str">
        <f>'Reported burning'!C1027</f>
        <v>Human, deliberate</v>
      </c>
      <c r="D1027" s="6" t="str">
        <f>'Reported burning'!D1027</f>
        <v>Fishing</v>
      </c>
      <c r="E1027" s="6" t="str">
        <f>'Reported burning'!E1027</f>
        <v>Forestry, Traditional</v>
      </c>
      <c r="F1027" s="6" t="str">
        <f>'Reported burning'!F1027</f>
        <v>ND</v>
      </c>
      <c r="G1027" s="6" t="str">
        <f>'Reported burning'!G1027</f>
        <v>ND</v>
      </c>
      <c r="H1027" s="6" t="str">
        <f>'Reported burning'!H1027</f>
        <v>Presence</v>
      </c>
      <c r="I1027" s="3"/>
      <c r="J1027" s="3" t="s">
        <v>2276</v>
      </c>
      <c r="K1027" s="3" t="s">
        <v>2276</v>
      </c>
      <c r="L1027" s="3" t="s">
        <v>2276</v>
      </c>
      <c r="M1027" s="3" t="s">
        <v>2276</v>
      </c>
      <c r="N1027" s="3" t="s">
        <v>2276</v>
      </c>
      <c r="O1027" s="3" t="s">
        <v>2276</v>
      </c>
      <c r="P1027" s="3" t="s">
        <v>2276</v>
      </c>
      <c r="Q1027" s="3" t="s">
        <v>2276</v>
      </c>
      <c r="R1027" s="3" t="s">
        <v>2276</v>
      </c>
      <c r="S1027" s="3" t="s">
        <v>2276</v>
      </c>
      <c r="T1027" s="3" t="s">
        <v>2276</v>
      </c>
      <c r="U1027" s="3" t="s">
        <v>2276</v>
      </c>
      <c r="V1027" s="3" t="s">
        <v>2276</v>
      </c>
      <c r="W1027" s="3" t="s">
        <v>2276</v>
      </c>
      <c r="X1027" s="3" t="s">
        <v>2276</v>
      </c>
      <c r="Y1027" s="3" t="s">
        <v>2276</v>
      </c>
      <c r="Z1027" s="3" t="s">
        <v>2276</v>
      </c>
      <c r="AA1027" s="4" t="s">
        <v>3159</v>
      </c>
      <c r="AB1027" s="3"/>
    </row>
    <row r="1028" spans="1:28" ht="42" customHeight="1">
      <c r="A1028" s="6" t="str">
        <f>'Reported burning'!A1028</f>
        <v>119c</v>
      </c>
      <c r="B1028" s="6" t="str">
        <f>'Reported burning'!B1028</f>
        <v>119c.5</v>
      </c>
      <c r="C1028" s="6" t="str">
        <f>'Reported burning'!C1028</f>
        <v>Human, deliberate</v>
      </c>
      <c r="D1028" s="6" t="str">
        <f>'Reported burning'!D1028</f>
        <v>Pest management</v>
      </c>
      <c r="E1028" s="6" t="str">
        <f>'Reported burning'!E1028</f>
        <v>Forestry, Traditional</v>
      </c>
      <c r="F1028" s="6" t="str">
        <f>'Reported burning'!F1028</f>
        <v>ND</v>
      </c>
      <c r="G1028" s="6" t="str">
        <f>'Reported burning'!G1028</f>
        <v>ND</v>
      </c>
      <c r="H1028" s="6" t="str">
        <f>'Reported burning'!H1028</f>
        <v>Presence</v>
      </c>
      <c r="I1028" s="3"/>
      <c r="J1028" s="3" t="s">
        <v>2276</v>
      </c>
      <c r="K1028" s="3" t="s">
        <v>2276</v>
      </c>
      <c r="L1028" s="3" t="s">
        <v>2276</v>
      </c>
      <c r="M1028" s="3" t="s">
        <v>2276</v>
      </c>
      <c r="N1028" s="3" t="s">
        <v>2276</v>
      </c>
      <c r="O1028" s="3" t="s">
        <v>2276</v>
      </c>
      <c r="P1028" s="3" t="s">
        <v>2276</v>
      </c>
      <c r="Q1028" s="3" t="s">
        <v>2276</v>
      </c>
      <c r="R1028" s="3" t="s">
        <v>2276</v>
      </c>
      <c r="S1028" s="3" t="s">
        <v>2276</v>
      </c>
      <c r="T1028" s="3" t="s">
        <v>2276</v>
      </c>
      <c r="U1028" s="3" t="s">
        <v>2276</v>
      </c>
      <c r="V1028" s="3" t="s">
        <v>2276</v>
      </c>
      <c r="W1028" s="3" t="s">
        <v>2276</v>
      </c>
      <c r="X1028" s="3" t="s">
        <v>2276</v>
      </c>
      <c r="Y1028" s="3" t="s">
        <v>2276</v>
      </c>
      <c r="Z1028" s="3" t="s">
        <v>2276</v>
      </c>
      <c r="AA1028" s="3"/>
      <c r="AB1028" s="3"/>
    </row>
    <row r="1029" spans="1:28" ht="42" customHeight="1">
      <c r="A1029" s="6" t="str">
        <f>'Reported burning'!A1029</f>
        <v>119c</v>
      </c>
      <c r="B1029" s="6" t="str">
        <f>'Reported burning'!B1029</f>
        <v>119c.6</v>
      </c>
      <c r="C1029" s="6" t="str">
        <f>'Reported burning'!C1029</f>
        <v>Human, deliberate</v>
      </c>
      <c r="D1029" s="6" t="str">
        <f>'Reported burning'!D1029</f>
        <v>Accessibility</v>
      </c>
      <c r="E1029" s="6" t="str">
        <f>'Reported burning'!E1029</f>
        <v>Forestry, Traditional</v>
      </c>
      <c r="F1029" s="6" t="str">
        <f>'Reported burning'!F1029</f>
        <v>ND</v>
      </c>
      <c r="G1029" s="6" t="str">
        <f>'Reported burning'!G1029</f>
        <v>ND</v>
      </c>
      <c r="H1029" s="6" t="str">
        <f>'Reported burning'!H1029</f>
        <v>Presence</v>
      </c>
      <c r="I1029" s="3"/>
      <c r="J1029" s="3" t="s">
        <v>2276</v>
      </c>
      <c r="K1029" s="3" t="s">
        <v>2276</v>
      </c>
      <c r="L1029" s="3" t="s">
        <v>2276</v>
      </c>
      <c r="M1029" s="3" t="s">
        <v>2276</v>
      </c>
      <c r="N1029" s="3" t="s">
        <v>2276</v>
      </c>
      <c r="O1029" s="3" t="s">
        <v>2276</v>
      </c>
      <c r="P1029" s="3" t="s">
        <v>2276</v>
      </c>
      <c r="Q1029" s="3" t="s">
        <v>2276</v>
      </c>
      <c r="R1029" s="3" t="s">
        <v>2276</v>
      </c>
      <c r="S1029" s="3" t="s">
        <v>2276</v>
      </c>
      <c r="T1029" s="3" t="s">
        <v>2276</v>
      </c>
      <c r="U1029" s="3" t="s">
        <v>2276</v>
      </c>
      <c r="V1029" s="3" t="s">
        <v>2276</v>
      </c>
      <c r="W1029" s="3" t="s">
        <v>2276</v>
      </c>
      <c r="X1029" s="3" t="s">
        <v>2276</v>
      </c>
      <c r="Y1029" s="3" t="s">
        <v>2276</v>
      </c>
      <c r="Z1029" s="3" t="s">
        <v>2276</v>
      </c>
      <c r="AA1029" s="3"/>
      <c r="AB1029" s="3"/>
    </row>
    <row r="1030" spans="1:28" ht="42" customHeight="1">
      <c r="A1030" s="6" t="str">
        <f>'Reported burning'!A1030</f>
        <v>119c</v>
      </c>
      <c r="B1030" s="6" t="str">
        <f>'Reported burning'!B1030</f>
        <v>119c.7</v>
      </c>
      <c r="C1030" s="6" t="str">
        <f>'Reported burning'!C1030</f>
        <v>Human, deliberate</v>
      </c>
      <c r="D1030" s="6" t="str">
        <f>'Reported burning'!D1030</f>
        <v>Cultural &amp; Spiritual</v>
      </c>
      <c r="E1030" s="6" t="str">
        <f>'Reported burning'!E1030</f>
        <v>Forestry, Traditional</v>
      </c>
      <c r="F1030" s="6" t="str">
        <f>'Reported burning'!F1030</f>
        <v>ND</v>
      </c>
      <c r="G1030" s="6" t="str">
        <f>'Reported burning'!G1030</f>
        <v>ND</v>
      </c>
      <c r="H1030" s="6" t="str">
        <f>'Reported burning'!H1030</f>
        <v>Presence</v>
      </c>
      <c r="I1030" s="3"/>
      <c r="J1030" s="3" t="s">
        <v>2276</v>
      </c>
      <c r="K1030" s="3" t="s">
        <v>2276</v>
      </c>
      <c r="L1030" s="3" t="s">
        <v>2276</v>
      </c>
      <c r="M1030" s="3" t="s">
        <v>2276</v>
      </c>
      <c r="N1030" s="3" t="s">
        <v>2276</v>
      </c>
      <c r="O1030" s="3" t="s">
        <v>2276</v>
      </c>
      <c r="P1030" s="3" t="s">
        <v>2276</v>
      </c>
      <c r="Q1030" s="3" t="s">
        <v>2276</v>
      </c>
      <c r="R1030" s="3" t="s">
        <v>2276</v>
      </c>
      <c r="S1030" s="3" t="s">
        <v>2276</v>
      </c>
      <c r="T1030" s="3" t="s">
        <v>2276</v>
      </c>
      <c r="U1030" s="3" t="s">
        <v>2276</v>
      </c>
      <c r="V1030" s="3" t="s">
        <v>2276</v>
      </c>
      <c r="W1030" s="3" t="s">
        <v>2276</v>
      </c>
      <c r="X1030" s="3" t="s">
        <v>2276</v>
      </c>
      <c r="Y1030" s="3" t="s">
        <v>2276</v>
      </c>
      <c r="Z1030" s="3" t="s">
        <v>2276</v>
      </c>
      <c r="AA1030" s="3"/>
      <c r="AB1030" s="3"/>
    </row>
    <row r="1031" spans="1:28" ht="42" customHeight="1">
      <c r="A1031" s="6" t="str">
        <f>'Reported burning'!A1031</f>
        <v>119c</v>
      </c>
      <c r="B1031" s="6" t="str">
        <f>'Reported burning'!B1031</f>
        <v>119c.8</v>
      </c>
      <c r="C1031" s="6" t="str">
        <f>'Reported burning'!C1031</f>
        <v>Human, deliberate</v>
      </c>
      <c r="D1031" s="6" t="str">
        <f>'Reported burning'!D1031</f>
        <v>Domestic</v>
      </c>
      <c r="E1031" s="6" t="str">
        <f>'Reported burning'!E1031</f>
        <v>Forestry, Traditional</v>
      </c>
      <c r="F1031" s="6" t="str">
        <f>'Reported burning'!F1031</f>
        <v>ND</v>
      </c>
      <c r="G1031" s="6" t="str">
        <f>'Reported burning'!G1031</f>
        <v>ND</v>
      </c>
      <c r="H1031" s="6" t="str">
        <f>'Reported burning'!H1031</f>
        <v>Presence</v>
      </c>
      <c r="I1031" s="3"/>
      <c r="J1031" s="3" t="s">
        <v>2276</v>
      </c>
      <c r="K1031" s="3" t="s">
        <v>2276</v>
      </c>
      <c r="L1031" s="3" t="s">
        <v>2276</v>
      </c>
      <c r="M1031" s="3" t="s">
        <v>2276</v>
      </c>
      <c r="N1031" s="3" t="s">
        <v>2276</v>
      </c>
      <c r="O1031" s="3" t="s">
        <v>2276</v>
      </c>
      <c r="P1031" s="3" t="s">
        <v>2276</v>
      </c>
      <c r="Q1031" s="3" t="s">
        <v>2276</v>
      </c>
      <c r="R1031" s="3" t="s">
        <v>2276</v>
      </c>
      <c r="S1031" s="3" t="s">
        <v>2276</v>
      </c>
      <c r="T1031" s="3" t="s">
        <v>2276</v>
      </c>
      <c r="U1031" s="3" t="s">
        <v>2276</v>
      </c>
      <c r="V1031" s="3" t="s">
        <v>2276</v>
      </c>
      <c r="W1031" s="3" t="s">
        <v>2276</v>
      </c>
      <c r="X1031" s="3" t="s">
        <v>2276</v>
      </c>
      <c r="Y1031" s="3" t="s">
        <v>2276</v>
      </c>
      <c r="Z1031" s="3" t="s">
        <v>2276</v>
      </c>
      <c r="AA1031" s="3"/>
      <c r="AB1031" s="3"/>
    </row>
    <row r="1032" spans="1:28" ht="42" customHeight="1">
      <c r="A1032" s="6" t="str">
        <f>'Reported burning'!A1032</f>
        <v>119c</v>
      </c>
      <c r="B1032" s="6" t="str">
        <f>'Reported burning'!B1032</f>
        <v>119c.9</v>
      </c>
      <c r="C1032" s="6" t="str">
        <f>'Reported burning'!C1032</f>
        <v>Human, deliberate</v>
      </c>
      <c r="D1032" s="6" t="str">
        <f>'Reported burning'!D1032</f>
        <v>Pest management</v>
      </c>
      <c r="E1032" s="6" t="str">
        <f>'Reported burning'!E1032</f>
        <v>Cropping, Swidden</v>
      </c>
      <c r="F1032" s="6" t="str">
        <f>'Reported burning'!F1032</f>
        <v>ND</v>
      </c>
      <c r="G1032" s="6" t="str">
        <f>'Reported burning'!G1032</f>
        <v>ND</v>
      </c>
      <c r="H1032" s="6" t="str">
        <f>'Reported burning'!H1032</f>
        <v>Presence</v>
      </c>
      <c r="I1032" s="3"/>
      <c r="J1032" s="3" t="s">
        <v>2276</v>
      </c>
      <c r="K1032" s="3" t="s">
        <v>2276</v>
      </c>
      <c r="L1032" s="3" t="s">
        <v>2276</v>
      </c>
      <c r="M1032" s="3" t="s">
        <v>2276</v>
      </c>
      <c r="N1032" s="3" t="s">
        <v>2276</v>
      </c>
      <c r="O1032" s="3" t="s">
        <v>2276</v>
      </c>
      <c r="P1032" s="3" t="s">
        <v>2276</v>
      </c>
      <c r="Q1032" s="3" t="s">
        <v>2276</v>
      </c>
      <c r="R1032" s="3" t="s">
        <v>2276</v>
      </c>
      <c r="S1032" s="3" t="s">
        <v>2276</v>
      </c>
      <c r="T1032" s="3" t="s">
        <v>2276</v>
      </c>
      <c r="U1032" s="3" t="s">
        <v>2276</v>
      </c>
      <c r="V1032" s="3" t="s">
        <v>2276</v>
      </c>
      <c r="W1032" s="3" t="s">
        <v>2276</v>
      </c>
      <c r="X1032" s="3" t="s">
        <v>2276</v>
      </c>
      <c r="Y1032" s="3" t="s">
        <v>2276</v>
      </c>
      <c r="Z1032" s="3" t="s">
        <v>2276</v>
      </c>
      <c r="AA1032" s="3"/>
      <c r="AB1032" s="3"/>
    </row>
    <row r="1033" spans="1:28" ht="42" customHeight="1">
      <c r="A1033" s="6" t="str">
        <f>'Reported burning'!A1033</f>
        <v>119c</v>
      </c>
      <c r="B1033" s="6" t="str">
        <f>'Reported burning'!B1033</f>
        <v>119c.10</v>
      </c>
      <c r="C1033" s="6" t="str">
        <f>'Reported burning'!C1033</f>
        <v>Human, deliberate</v>
      </c>
      <c r="D1033" s="6" t="str">
        <f>'Reported burning'!D1033</f>
        <v>Accessibility</v>
      </c>
      <c r="E1033" s="6" t="str">
        <f>'Reported burning'!E1033</f>
        <v>Cropping, Swidden</v>
      </c>
      <c r="F1033" s="6" t="str">
        <f>'Reported burning'!F1033</f>
        <v>ND</v>
      </c>
      <c r="G1033" s="6" t="str">
        <f>'Reported burning'!G1033</f>
        <v>ND</v>
      </c>
      <c r="H1033" s="6" t="str">
        <f>'Reported burning'!H1033</f>
        <v>Presence</v>
      </c>
      <c r="I1033" s="3"/>
      <c r="J1033" s="3" t="s">
        <v>2276</v>
      </c>
      <c r="K1033" s="3" t="s">
        <v>2276</v>
      </c>
      <c r="L1033" s="3" t="s">
        <v>2276</v>
      </c>
      <c r="M1033" s="3" t="s">
        <v>2276</v>
      </c>
      <c r="N1033" s="3" t="s">
        <v>2276</v>
      </c>
      <c r="O1033" s="3" t="s">
        <v>2276</v>
      </c>
      <c r="P1033" s="3" t="s">
        <v>2276</v>
      </c>
      <c r="Q1033" s="3" t="s">
        <v>2276</v>
      </c>
      <c r="R1033" s="3" t="s">
        <v>2276</v>
      </c>
      <c r="S1033" s="3" t="s">
        <v>2276</v>
      </c>
      <c r="T1033" s="3" t="s">
        <v>2276</v>
      </c>
      <c r="U1033" s="3" t="s">
        <v>2276</v>
      </c>
      <c r="V1033" s="3" t="s">
        <v>2276</v>
      </c>
      <c r="W1033" s="3" t="s">
        <v>2276</v>
      </c>
      <c r="X1033" s="3" t="s">
        <v>2276</v>
      </c>
      <c r="Y1033" s="3" t="s">
        <v>2276</v>
      </c>
      <c r="Z1033" s="3" t="s">
        <v>2276</v>
      </c>
      <c r="AA1033" s="3"/>
      <c r="AB1033" s="3"/>
    </row>
    <row r="1034" spans="1:28" ht="42" customHeight="1">
      <c r="A1034" s="6" t="str">
        <f>'Reported burning'!A1034</f>
        <v>119c</v>
      </c>
      <c r="B1034" s="6" t="str">
        <f>'Reported burning'!B1034</f>
        <v>119c.11</v>
      </c>
      <c r="C1034" s="6" t="str">
        <f>'Reported burning'!C1034</f>
        <v>Human, deliberate</v>
      </c>
      <c r="D1034" s="6" t="str">
        <f>'Reported burning'!D1034</f>
        <v>Cultural &amp; Spiritual</v>
      </c>
      <c r="E1034" s="6" t="str">
        <f>'Reported burning'!E1034</f>
        <v>Cropping, Swidden</v>
      </c>
      <c r="F1034" s="6" t="str">
        <f>'Reported burning'!F1034</f>
        <v>ND</v>
      </c>
      <c r="G1034" s="6" t="str">
        <f>'Reported burning'!G1034</f>
        <v>ND</v>
      </c>
      <c r="H1034" s="6" t="str">
        <f>'Reported burning'!H1034</f>
        <v>Presence</v>
      </c>
      <c r="I1034" s="3"/>
      <c r="J1034" s="3" t="s">
        <v>2276</v>
      </c>
      <c r="K1034" s="3" t="s">
        <v>2276</v>
      </c>
      <c r="L1034" s="3" t="s">
        <v>2276</v>
      </c>
      <c r="M1034" s="3" t="s">
        <v>2276</v>
      </c>
      <c r="N1034" s="3" t="s">
        <v>2276</v>
      </c>
      <c r="O1034" s="3" t="s">
        <v>2276</v>
      </c>
      <c r="P1034" s="3" t="s">
        <v>2276</v>
      </c>
      <c r="Q1034" s="3" t="s">
        <v>2276</v>
      </c>
      <c r="R1034" s="3" t="s">
        <v>2276</v>
      </c>
      <c r="S1034" s="3" t="s">
        <v>2276</v>
      </c>
      <c r="T1034" s="3" t="s">
        <v>2276</v>
      </c>
      <c r="U1034" s="3" t="s">
        <v>2276</v>
      </c>
      <c r="V1034" s="3" t="s">
        <v>2276</v>
      </c>
      <c r="W1034" s="3" t="s">
        <v>2276</v>
      </c>
      <c r="X1034" s="3" t="s">
        <v>2276</v>
      </c>
      <c r="Y1034" s="3" t="s">
        <v>2276</v>
      </c>
      <c r="Z1034" s="3" t="s">
        <v>2276</v>
      </c>
      <c r="AA1034" s="3"/>
      <c r="AB1034" s="3"/>
    </row>
    <row r="1035" spans="1:28" ht="42" customHeight="1">
      <c r="A1035" s="6" t="str">
        <f>'Reported burning'!A1035</f>
        <v>119c</v>
      </c>
      <c r="B1035" s="6" t="str">
        <f>'Reported burning'!B1035</f>
        <v>119c.12</v>
      </c>
      <c r="C1035" s="6" t="str">
        <f>'Reported burning'!C1035</f>
        <v>Human, deliberate</v>
      </c>
      <c r="D1035" s="6" t="str">
        <f>'Reported burning'!D1035</f>
        <v>Domestic</v>
      </c>
      <c r="E1035" s="6" t="str">
        <f>'Reported burning'!E1035</f>
        <v>Cropping, Swidden</v>
      </c>
      <c r="F1035" s="6" t="str">
        <f>'Reported burning'!F1035</f>
        <v>ND</v>
      </c>
      <c r="G1035" s="6" t="str">
        <f>'Reported burning'!G1035</f>
        <v>ND</v>
      </c>
      <c r="H1035" s="6" t="str">
        <f>'Reported burning'!H1035</f>
        <v>Presence</v>
      </c>
      <c r="I1035" s="3"/>
      <c r="J1035" s="3" t="s">
        <v>2276</v>
      </c>
      <c r="K1035" s="3" t="s">
        <v>2276</v>
      </c>
      <c r="L1035" s="3" t="s">
        <v>2276</v>
      </c>
      <c r="M1035" s="3" t="s">
        <v>2276</v>
      </c>
      <c r="N1035" s="3" t="s">
        <v>2276</v>
      </c>
      <c r="O1035" s="3" t="s">
        <v>2276</v>
      </c>
      <c r="P1035" s="3" t="s">
        <v>2276</v>
      </c>
      <c r="Q1035" s="3" t="s">
        <v>2276</v>
      </c>
      <c r="R1035" s="3" t="s">
        <v>2276</v>
      </c>
      <c r="S1035" s="3" t="s">
        <v>2276</v>
      </c>
      <c r="T1035" s="3" t="s">
        <v>2276</v>
      </c>
      <c r="U1035" s="3" t="s">
        <v>2276</v>
      </c>
      <c r="V1035" s="3" t="s">
        <v>2276</v>
      </c>
      <c r="W1035" s="3" t="s">
        <v>2276</v>
      </c>
      <c r="X1035" s="3" t="s">
        <v>2276</v>
      </c>
      <c r="Y1035" s="3" t="s">
        <v>2276</v>
      </c>
      <c r="Z1035" s="3" t="s">
        <v>2276</v>
      </c>
      <c r="AA1035" s="3"/>
      <c r="AB1035" s="3"/>
    </row>
    <row r="1036" spans="1:28" ht="42" customHeight="1">
      <c r="A1036" s="6" t="str">
        <f>'Reported burning'!A1036</f>
        <v>119c</v>
      </c>
      <c r="B1036" s="6" t="str">
        <f>'Reported burning'!B1036</f>
        <v>119c.13</v>
      </c>
      <c r="C1036" s="6" t="str">
        <f>'Reported burning'!C1036</f>
        <v>Human, deliberate</v>
      </c>
      <c r="D1036" s="6" t="str">
        <f>'Reported burning'!D1036</f>
        <v>Pyrome management</v>
      </c>
      <c r="E1036" s="6" t="str">
        <f>'Reported burning'!E1036</f>
        <v>Forestry, Traditional</v>
      </c>
      <c r="F1036" s="6" t="str">
        <f>'Reported burning'!F1036</f>
        <v>Shrubland (Mixed forest &amp; grassland)</v>
      </c>
      <c r="G1036" s="6" t="str">
        <f>'Reported burning'!G1036</f>
        <v>ND</v>
      </c>
      <c r="H1036" s="6" t="str">
        <f>'Reported burning'!H1036</f>
        <v>Presence</v>
      </c>
      <c r="I1036" s="3"/>
      <c r="J1036" s="3" t="s">
        <v>2276</v>
      </c>
      <c r="K1036" s="3" t="s">
        <v>2276</v>
      </c>
      <c r="L1036" s="3" t="s">
        <v>2276</v>
      </c>
      <c r="M1036" s="3" t="s">
        <v>2276</v>
      </c>
      <c r="N1036" s="3" t="s">
        <v>2276</v>
      </c>
      <c r="O1036" s="3" t="s">
        <v>2276</v>
      </c>
      <c r="P1036" s="3" t="s">
        <v>2276</v>
      </c>
      <c r="Q1036" s="3" t="s">
        <v>2276</v>
      </c>
      <c r="R1036" s="3" t="s">
        <v>2276</v>
      </c>
      <c r="S1036" s="3" t="s">
        <v>2276</v>
      </c>
      <c r="T1036" s="3" t="s">
        <v>2276</v>
      </c>
      <c r="U1036" s="3" t="s">
        <v>2276</v>
      </c>
      <c r="V1036" s="3" t="s">
        <v>2276</v>
      </c>
      <c r="W1036" s="3" t="s">
        <v>2276</v>
      </c>
      <c r="X1036" s="3" t="s">
        <v>2276</v>
      </c>
      <c r="Y1036" s="3" t="s">
        <v>2276</v>
      </c>
      <c r="Z1036" s="3" t="s">
        <v>2276</v>
      </c>
      <c r="AA1036" s="3"/>
      <c r="AB1036" s="3"/>
    </row>
    <row r="1037" spans="1:28" ht="42" customHeight="1">
      <c r="A1037" s="6" t="str">
        <f>'Reported burning'!A1037</f>
        <v>119c</v>
      </c>
      <c r="B1037" s="6" t="str">
        <f>'Reported burning'!B1037</f>
        <v>119c.14</v>
      </c>
      <c r="C1037" s="6" t="str">
        <f>'Reported burning'!C1037</f>
        <v>Human, deliberate</v>
      </c>
      <c r="D1037" s="6" t="str">
        <f>'Reported burning'!D1037</f>
        <v>Pyrome management</v>
      </c>
      <c r="E1037" s="6" t="str">
        <f>'Reported burning'!E1037</f>
        <v>Cropping, Swidden</v>
      </c>
      <c r="F1037" s="6" t="str">
        <f>'Reported burning'!F1037</f>
        <v>Shrubland (Mixed forest &amp; grassland)</v>
      </c>
      <c r="G1037" s="6" t="str">
        <f>'Reported burning'!G1037</f>
        <v>ND</v>
      </c>
      <c r="H1037" s="6" t="str">
        <f>'Reported burning'!H1037</f>
        <v>Presence</v>
      </c>
      <c r="I1037" s="3"/>
      <c r="J1037" s="3" t="s">
        <v>2276</v>
      </c>
      <c r="K1037" s="3" t="s">
        <v>2276</v>
      </c>
      <c r="L1037" s="3" t="s">
        <v>2276</v>
      </c>
      <c r="M1037" s="3" t="s">
        <v>2276</v>
      </c>
      <c r="N1037" s="3" t="s">
        <v>2276</v>
      </c>
      <c r="O1037" s="3" t="s">
        <v>2276</v>
      </c>
      <c r="P1037" s="3" t="s">
        <v>2276</v>
      </c>
      <c r="Q1037" s="3" t="s">
        <v>2276</v>
      </c>
      <c r="R1037" s="3" t="s">
        <v>2276</v>
      </c>
      <c r="S1037" s="3" t="s">
        <v>2276</v>
      </c>
      <c r="T1037" s="3" t="s">
        <v>2276</v>
      </c>
      <c r="U1037" s="3" t="s">
        <v>2276</v>
      </c>
      <c r="V1037" s="3" t="s">
        <v>2276</v>
      </c>
      <c r="W1037" s="3" t="s">
        <v>2276</v>
      </c>
      <c r="X1037" s="3" t="s">
        <v>2276</v>
      </c>
      <c r="Y1037" s="3" t="s">
        <v>2276</v>
      </c>
      <c r="Z1037" s="3" t="s">
        <v>2276</v>
      </c>
      <c r="AA1037" s="3"/>
      <c r="AB1037" s="3"/>
    </row>
    <row r="1038" spans="1:28" ht="42" customHeight="1">
      <c r="A1038" s="6" t="str">
        <f>'Reported burning'!A1038</f>
        <v>119d</v>
      </c>
      <c r="B1038" s="6" t="str">
        <f>'Reported burning'!B1038</f>
        <v>119d.1</v>
      </c>
      <c r="C1038" s="6" t="str">
        <f>'Reported burning'!C1038</f>
        <v>Human, deliberate</v>
      </c>
      <c r="D1038" s="6" t="str">
        <f>'Reported burning'!D1038</f>
        <v>Crop field preparation</v>
      </c>
      <c r="E1038" s="6" t="str">
        <f>'Reported burning'!E1038</f>
        <v>Cropping, Swidden</v>
      </c>
      <c r="F1038" s="6" t="str">
        <f>'Reported burning'!F1038</f>
        <v>Secondary Vegetation</v>
      </c>
      <c r="G1038" s="6" t="str">
        <f>'Reported burning'!G1038</f>
        <v>ND</v>
      </c>
      <c r="H1038" s="6" t="str">
        <f>'Reported burning'!H1038</f>
        <v>Presence</v>
      </c>
      <c r="I1038" s="3"/>
      <c r="J1038" s="3" t="s">
        <v>2276</v>
      </c>
      <c r="K1038" s="3" t="s">
        <v>2276</v>
      </c>
      <c r="L1038" s="3" t="s">
        <v>2276</v>
      </c>
      <c r="M1038" s="3" t="s">
        <v>2276</v>
      </c>
      <c r="N1038" s="3" t="s">
        <v>2276</v>
      </c>
      <c r="O1038" s="3" t="s">
        <v>2276</v>
      </c>
      <c r="P1038" s="3" t="s">
        <v>2276</v>
      </c>
      <c r="Q1038" s="3" t="s">
        <v>2276</v>
      </c>
      <c r="R1038" s="3" t="s">
        <v>2276</v>
      </c>
      <c r="S1038" s="3" t="s">
        <v>2276</v>
      </c>
      <c r="T1038" s="3" t="s">
        <v>2276</v>
      </c>
      <c r="U1038" s="3" t="s">
        <v>2276</v>
      </c>
      <c r="V1038" s="3" t="s">
        <v>2276</v>
      </c>
      <c r="W1038" s="3" t="s">
        <v>2276</v>
      </c>
      <c r="X1038" s="3" t="s">
        <v>2276</v>
      </c>
      <c r="Y1038" s="3" t="s">
        <v>2276</v>
      </c>
      <c r="Z1038" s="3" t="s">
        <v>2276</v>
      </c>
      <c r="AA1038" s="3"/>
      <c r="AB1038" s="3"/>
    </row>
    <row r="1039" spans="1:28" ht="42" customHeight="1">
      <c r="A1039" s="6" t="str">
        <f>'Reported burning'!A1039</f>
        <v>119d</v>
      </c>
      <c r="B1039" s="6" t="str">
        <f>'Reported burning'!B1039</f>
        <v>119d.2</v>
      </c>
      <c r="C1039" s="6" t="str">
        <f>'Reported burning'!C1039</f>
        <v>Human, deliberate</v>
      </c>
      <c r="D1039" s="6" t="str">
        <f>'Reported burning'!D1039</f>
        <v>Hunting</v>
      </c>
      <c r="E1039" s="6" t="str">
        <f>'Reported burning'!E1039</f>
        <v>Forestry, Traditional</v>
      </c>
      <c r="F1039" s="6" t="str">
        <f>'Reported burning'!F1039</f>
        <v>Forest</v>
      </c>
      <c r="G1039" s="6" t="str">
        <f>'Reported burning'!G1039</f>
        <v>ND</v>
      </c>
      <c r="H1039" s="6" t="str">
        <f>'Reported burning'!H1039</f>
        <v>Presence</v>
      </c>
      <c r="I1039" s="3"/>
      <c r="J1039" s="3" t="s">
        <v>2276</v>
      </c>
      <c r="K1039" s="3" t="s">
        <v>2276</v>
      </c>
      <c r="L1039" s="3" t="s">
        <v>2276</v>
      </c>
      <c r="M1039" s="3" t="s">
        <v>2276</v>
      </c>
      <c r="N1039" s="3" t="s">
        <v>2276</v>
      </c>
      <c r="O1039" s="3" t="s">
        <v>2276</v>
      </c>
      <c r="P1039" s="3" t="s">
        <v>2276</v>
      </c>
      <c r="Q1039" s="3" t="s">
        <v>2276</v>
      </c>
      <c r="R1039" s="3" t="s">
        <v>2276</v>
      </c>
      <c r="S1039" s="3" t="s">
        <v>2276</v>
      </c>
      <c r="T1039" s="3" t="s">
        <v>2276</v>
      </c>
      <c r="U1039" s="3" t="s">
        <v>2276</v>
      </c>
      <c r="V1039" s="3" t="s">
        <v>2276</v>
      </c>
      <c r="W1039" s="3" t="s">
        <v>2403</v>
      </c>
      <c r="X1039" s="3" t="s">
        <v>2276</v>
      </c>
      <c r="Y1039" s="3" t="s">
        <v>2276</v>
      </c>
      <c r="Z1039" s="3" t="s">
        <v>2276</v>
      </c>
      <c r="AA1039" s="3"/>
      <c r="AB1039" s="3" t="s">
        <v>3146</v>
      </c>
    </row>
    <row r="1040" spans="1:28" ht="42" customHeight="1">
      <c r="A1040" s="6" t="str">
        <f>'Reported burning'!A1040</f>
        <v>119d</v>
      </c>
      <c r="B1040" s="6" t="str">
        <f>'Reported burning'!B1040</f>
        <v>119d.3</v>
      </c>
      <c r="C1040" s="6" t="str">
        <f>'Reported burning'!C1040</f>
        <v>Human, deliberate</v>
      </c>
      <c r="D1040" s="6" t="str">
        <f>'Reported burning'!D1040</f>
        <v>Hunting</v>
      </c>
      <c r="E1040" s="6" t="str">
        <f>'Reported burning'!E1040</f>
        <v>Forestry, Traditional</v>
      </c>
      <c r="F1040" s="6" t="str">
        <f>'Reported burning'!F1040</f>
        <v>Shrubland (Mixed forest &amp; grassland)</v>
      </c>
      <c r="G1040" s="6" t="str">
        <f>'Reported burning'!G1040</f>
        <v>ND</v>
      </c>
      <c r="H1040" s="6" t="str">
        <f>'Reported burning'!H1040</f>
        <v>Presence</v>
      </c>
      <c r="I1040" s="3"/>
      <c r="J1040" s="3" t="s">
        <v>2276</v>
      </c>
      <c r="K1040" s="3" t="s">
        <v>2276</v>
      </c>
      <c r="L1040" s="3" t="s">
        <v>2276</v>
      </c>
      <c r="M1040" s="3" t="s">
        <v>2276</v>
      </c>
      <c r="N1040" s="3" t="s">
        <v>2276</v>
      </c>
      <c r="O1040" s="3" t="s">
        <v>2276</v>
      </c>
      <c r="P1040" s="3" t="s">
        <v>2276</v>
      </c>
      <c r="Q1040" s="3" t="s">
        <v>2276</v>
      </c>
      <c r="R1040" s="3" t="s">
        <v>2276</v>
      </c>
      <c r="S1040" s="3" t="s">
        <v>2276</v>
      </c>
      <c r="T1040" s="3" t="s">
        <v>2276</v>
      </c>
      <c r="U1040" s="3" t="s">
        <v>2276</v>
      </c>
      <c r="V1040" s="3" t="s">
        <v>2276</v>
      </c>
      <c r="W1040" s="3" t="s">
        <v>2276</v>
      </c>
      <c r="X1040" s="3" t="s">
        <v>2276</v>
      </c>
      <c r="Y1040" s="3" t="s">
        <v>2276</v>
      </c>
      <c r="Z1040" s="3" t="s">
        <v>2276</v>
      </c>
      <c r="AA1040" s="3"/>
      <c r="AB1040" s="3"/>
    </row>
    <row r="1041" spans="1:28" ht="42" customHeight="1">
      <c r="A1041" s="6" t="str">
        <f>'Reported burning'!A1041</f>
        <v>119d</v>
      </c>
      <c r="B1041" s="6" t="str">
        <f>'Reported burning'!B1041</f>
        <v>119d.4</v>
      </c>
      <c r="C1041" s="6" t="str">
        <f>'Reported burning'!C1041</f>
        <v>Human, deliberate</v>
      </c>
      <c r="D1041" s="6" t="str">
        <f>'Reported burning'!D1041</f>
        <v>Fishing</v>
      </c>
      <c r="E1041" s="6" t="str">
        <f>'Reported burning'!E1041</f>
        <v>Forestry, Traditional</v>
      </c>
      <c r="F1041" s="6" t="str">
        <f>'Reported burning'!F1041</f>
        <v>ND</v>
      </c>
      <c r="G1041" s="6" t="str">
        <f>'Reported burning'!G1041</f>
        <v>ND</v>
      </c>
      <c r="H1041" s="6" t="str">
        <f>'Reported burning'!H1041</f>
        <v>Presence</v>
      </c>
      <c r="I1041" s="3"/>
      <c r="J1041" s="3" t="s">
        <v>2276</v>
      </c>
      <c r="K1041" s="3" t="s">
        <v>2276</v>
      </c>
      <c r="L1041" s="3" t="s">
        <v>2276</v>
      </c>
      <c r="M1041" s="3" t="s">
        <v>2276</v>
      </c>
      <c r="N1041" s="3" t="s">
        <v>2276</v>
      </c>
      <c r="O1041" s="3" t="s">
        <v>2276</v>
      </c>
      <c r="P1041" s="3" t="s">
        <v>2276</v>
      </c>
      <c r="Q1041" s="3" t="s">
        <v>2276</v>
      </c>
      <c r="R1041" s="3" t="s">
        <v>2276</v>
      </c>
      <c r="S1041" s="3" t="s">
        <v>2276</v>
      </c>
      <c r="T1041" s="3" t="s">
        <v>2276</v>
      </c>
      <c r="U1041" s="3" t="s">
        <v>2276</v>
      </c>
      <c r="V1041" s="3" t="s">
        <v>2276</v>
      </c>
      <c r="W1041" s="3" t="s">
        <v>2276</v>
      </c>
      <c r="X1041" s="3" t="s">
        <v>2276</v>
      </c>
      <c r="Y1041" s="3" t="s">
        <v>2276</v>
      </c>
      <c r="Z1041" s="3" t="s">
        <v>2276</v>
      </c>
      <c r="AA1041" s="3"/>
      <c r="AB1041" s="3"/>
    </row>
    <row r="1042" spans="1:28" ht="42" customHeight="1">
      <c r="A1042" s="6" t="str">
        <f>'Reported burning'!A1042</f>
        <v>119d</v>
      </c>
      <c r="B1042" s="6" t="str">
        <f>'Reported burning'!B1042</f>
        <v>119d.5</v>
      </c>
      <c r="C1042" s="6" t="str">
        <f>'Reported burning'!C1042</f>
        <v>Human, deliberate</v>
      </c>
      <c r="D1042" s="6" t="str">
        <f>'Reported burning'!D1042</f>
        <v>Pest management</v>
      </c>
      <c r="E1042" s="6" t="str">
        <f>'Reported burning'!E1042</f>
        <v>Forestry, Traditional</v>
      </c>
      <c r="F1042" s="6" t="str">
        <f>'Reported burning'!F1042</f>
        <v>ND</v>
      </c>
      <c r="G1042" s="6" t="str">
        <f>'Reported burning'!G1042</f>
        <v>ND</v>
      </c>
      <c r="H1042" s="6" t="str">
        <f>'Reported burning'!H1042</f>
        <v>Presence</v>
      </c>
      <c r="I1042" s="3"/>
      <c r="J1042" s="3" t="s">
        <v>2276</v>
      </c>
      <c r="K1042" s="3" t="s">
        <v>2276</v>
      </c>
      <c r="L1042" s="3" t="s">
        <v>2276</v>
      </c>
      <c r="M1042" s="3" t="s">
        <v>2276</v>
      </c>
      <c r="N1042" s="3" t="s">
        <v>2276</v>
      </c>
      <c r="O1042" s="3" t="s">
        <v>2276</v>
      </c>
      <c r="P1042" s="3" t="s">
        <v>2276</v>
      </c>
      <c r="Q1042" s="3" t="s">
        <v>2276</v>
      </c>
      <c r="R1042" s="3" t="s">
        <v>2276</v>
      </c>
      <c r="S1042" s="3" t="s">
        <v>2276</v>
      </c>
      <c r="T1042" s="3" t="s">
        <v>2276</v>
      </c>
      <c r="U1042" s="3" t="s">
        <v>2276</v>
      </c>
      <c r="V1042" s="3" t="s">
        <v>2276</v>
      </c>
      <c r="W1042" s="3" t="s">
        <v>2276</v>
      </c>
      <c r="X1042" s="3" t="s">
        <v>2276</v>
      </c>
      <c r="Y1042" s="3" t="s">
        <v>2276</v>
      </c>
      <c r="Z1042" s="3" t="s">
        <v>2276</v>
      </c>
      <c r="AA1042" s="4" t="s">
        <v>3159</v>
      </c>
      <c r="AB1042" s="3"/>
    </row>
    <row r="1043" spans="1:28" ht="42" customHeight="1">
      <c r="A1043" s="6" t="str">
        <f>'Reported burning'!A1043</f>
        <v>119d</v>
      </c>
      <c r="B1043" s="6" t="str">
        <f>'Reported burning'!B1043</f>
        <v>119d.6</v>
      </c>
      <c r="C1043" s="6" t="str">
        <f>'Reported burning'!C1043</f>
        <v>Human, deliberate</v>
      </c>
      <c r="D1043" s="6" t="str">
        <f>'Reported burning'!D1043</f>
        <v>Accessibility</v>
      </c>
      <c r="E1043" s="6" t="str">
        <f>'Reported burning'!E1043</f>
        <v>Forestry, Traditional</v>
      </c>
      <c r="F1043" s="6" t="str">
        <f>'Reported burning'!F1043</f>
        <v>ND</v>
      </c>
      <c r="G1043" s="6" t="str">
        <f>'Reported burning'!G1043</f>
        <v>ND</v>
      </c>
      <c r="H1043" s="6" t="str">
        <f>'Reported burning'!H1043</f>
        <v>Presence</v>
      </c>
      <c r="I1043" s="3"/>
      <c r="J1043" s="3" t="s">
        <v>2276</v>
      </c>
      <c r="K1043" s="3" t="s">
        <v>2276</v>
      </c>
      <c r="L1043" s="3" t="s">
        <v>2276</v>
      </c>
      <c r="M1043" s="3" t="s">
        <v>2276</v>
      </c>
      <c r="N1043" s="3" t="s">
        <v>2276</v>
      </c>
      <c r="O1043" s="3" t="s">
        <v>2276</v>
      </c>
      <c r="P1043" s="3" t="s">
        <v>2276</v>
      </c>
      <c r="Q1043" s="3" t="s">
        <v>2276</v>
      </c>
      <c r="R1043" s="3" t="s">
        <v>2276</v>
      </c>
      <c r="S1043" s="3" t="s">
        <v>2276</v>
      </c>
      <c r="T1043" s="3" t="s">
        <v>2276</v>
      </c>
      <c r="U1043" s="3" t="s">
        <v>2276</v>
      </c>
      <c r="V1043" s="3" t="s">
        <v>2276</v>
      </c>
      <c r="W1043" s="3" t="s">
        <v>2276</v>
      </c>
      <c r="X1043" s="3" t="s">
        <v>2276</v>
      </c>
      <c r="Y1043" s="3" t="s">
        <v>2276</v>
      </c>
      <c r="Z1043" s="3" t="s">
        <v>2276</v>
      </c>
      <c r="AA1043" s="3"/>
      <c r="AB1043" s="3"/>
    </row>
    <row r="1044" spans="1:28" ht="42" customHeight="1">
      <c r="A1044" s="6" t="str">
        <f>'Reported burning'!A1044</f>
        <v>119d</v>
      </c>
      <c r="B1044" s="6" t="str">
        <f>'Reported burning'!B1044</f>
        <v>119d.7</v>
      </c>
      <c r="C1044" s="6" t="str">
        <f>'Reported burning'!C1044</f>
        <v>Human, deliberate</v>
      </c>
      <c r="D1044" s="6" t="str">
        <f>'Reported burning'!D1044</f>
        <v>Cultural &amp; Spiritual</v>
      </c>
      <c r="E1044" s="6" t="str">
        <f>'Reported burning'!E1044</f>
        <v>Forestry, Traditional</v>
      </c>
      <c r="F1044" s="6" t="str">
        <f>'Reported burning'!F1044</f>
        <v>ND</v>
      </c>
      <c r="G1044" s="6" t="str">
        <f>'Reported burning'!G1044</f>
        <v>ND</v>
      </c>
      <c r="H1044" s="6" t="str">
        <f>'Reported burning'!H1044</f>
        <v>Presence</v>
      </c>
      <c r="I1044" s="3"/>
      <c r="J1044" s="3" t="s">
        <v>2276</v>
      </c>
      <c r="K1044" s="3" t="s">
        <v>2276</v>
      </c>
      <c r="L1044" s="3" t="s">
        <v>2276</v>
      </c>
      <c r="M1044" s="3" t="s">
        <v>2276</v>
      </c>
      <c r="N1044" s="3" t="s">
        <v>2276</v>
      </c>
      <c r="O1044" s="3" t="s">
        <v>2276</v>
      </c>
      <c r="P1044" s="3" t="s">
        <v>2276</v>
      </c>
      <c r="Q1044" s="3" t="s">
        <v>2276</v>
      </c>
      <c r="R1044" s="3" t="s">
        <v>2276</v>
      </c>
      <c r="S1044" s="3" t="s">
        <v>2276</v>
      </c>
      <c r="T1044" s="3" t="s">
        <v>2276</v>
      </c>
      <c r="U1044" s="3" t="s">
        <v>2276</v>
      </c>
      <c r="V1044" s="3" t="s">
        <v>2276</v>
      </c>
      <c r="W1044" s="3" t="s">
        <v>2276</v>
      </c>
      <c r="X1044" s="3" t="s">
        <v>2276</v>
      </c>
      <c r="Y1044" s="3" t="s">
        <v>2276</v>
      </c>
      <c r="Z1044" s="3" t="s">
        <v>2276</v>
      </c>
      <c r="AA1044" s="3"/>
      <c r="AB1044" s="3"/>
    </row>
    <row r="1045" spans="1:28" ht="42" customHeight="1">
      <c r="A1045" s="6" t="str">
        <f>'Reported burning'!A1045</f>
        <v>119d</v>
      </c>
      <c r="B1045" s="6" t="str">
        <f>'Reported burning'!B1045</f>
        <v>119d.8</v>
      </c>
      <c r="C1045" s="6" t="str">
        <f>'Reported burning'!C1045</f>
        <v>Human, deliberate</v>
      </c>
      <c r="D1045" s="6" t="str">
        <f>'Reported burning'!D1045</f>
        <v>Domestic</v>
      </c>
      <c r="E1045" s="6" t="str">
        <f>'Reported burning'!E1045</f>
        <v>Forestry, Traditional</v>
      </c>
      <c r="F1045" s="6" t="str">
        <f>'Reported burning'!F1045</f>
        <v>ND</v>
      </c>
      <c r="G1045" s="6" t="str">
        <f>'Reported burning'!G1045</f>
        <v>ND</v>
      </c>
      <c r="H1045" s="6" t="str">
        <f>'Reported burning'!H1045</f>
        <v>Presence</v>
      </c>
      <c r="I1045" s="3"/>
      <c r="J1045" s="3" t="s">
        <v>2276</v>
      </c>
      <c r="K1045" s="3" t="s">
        <v>2276</v>
      </c>
      <c r="L1045" s="3" t="s">
        <v>2276</v>
      </c>
      <c r="M1045" s="3" t="s">
        <v>2276</v>
      </c>
      <c r="N1045" s="3" t="s">
        <v>2276</v>
      </c>
      <c r="O1045" s="3" t="s">
        <v>2276</v>
      </c>
      <c r="P1045" s="3" t="s">
        <v>2276</v>
      </c>
      <c r="Q1045" s="3" t="s">
        <v>2276</v>
      </c>
      <c r="R1045" s="3" t="s">
        <v>2276</v>
      </c>
      <c r="S1045" s="3" t="s">
        <v>2276</v>
      </c>
      <c r="T1045" s="3" t="s">
        <v>2276</v>
      </c>
      <c r="U1045" s="3" t="s">
        <v>2276</v>
      </c>
      <c r="V1045" s="3" t="s">
        <v>2276</v>
      </c>
      <c r="W1045" s="3" t="s">
        <v>2276</v>
      </c>
      <c r="X1045" s="3" t="s">
        <v>2276</v>
      </c>
      <c r="Y1045" s="3" t="s">
        <v>2276</v>
      </c>
      <c r="Z1045" s="3" t="s">
        <v>2276</v>
      </c>
      <c r="AA1045" s="3"/>
      <c r="AB1045" s="3"/>
    </row>
    <row r="1046" spans="1:28" ht="42" customHeight="1">
      <c r="A1046" s="6" t="str">
        <f>'Reported burning'!A1046</f>
        <v>119d</v>
      </c>
      <c r="B1046" s="6" t="str">
        <f>'Reported burning'!B1046</f>
        <v>119d.9</v>
      </c>
      <c r="C1046" s="6" t="str">
        <f>'Reported burning'!C1046</f>
        <v>Human, deliberate</v>
      </c>
      <c r="D1046" s="6" t="str">
        <f>'Reported burning'!D1046</f>
        <v>Pest management</v>
      </c>
      <c r="E1046" s="6" t="str">
        <f>'Reported burning'!E1046</f>
        <v>Cropping, Swidden</v>
      </c>
      <c r="F1046" s="6" t="str">
        <f>'Reported burning'!F1046</f>
        <v>ND</v>
      </c>
      <c r="G1046" s="6" t="str">
        <f>'Reported burning'!G1046</f>
        <v>ND</v>
      </c>
      <c r="H1046" s="6" t="str">
        <f>'Reported burning'!H1046</f>
        <v>Presence</v>
      </c>
      <c r="I1046" s="3"/>
      <c r="J1046" s="3" t="s">
        <v>2276</v>
      </c>
      <c r="K1046" s="3" t="s">
        <v>2276</v>
      </c>
      <c r="L1046" s="3" t="s">
        <v>2276</v>
      </c>
      <c r="M1046" s="3" t="s">
        <v>2276</v>
      </c>
      <c r="N1046" s="3" t="s">
        <v>2276</v>
      </c>
      <c r="O1046" s="3" t="s">
        <v>2276</v>
      </c>
      <c r="P1046" s="3" t="s">
        <v>2276</v>
      </c>
      <c r="Q1046" s="3" t="s">
        <v>2276</v>
      </c>
      <c r="R1046" s="3" t="s">
        <v>2276</v>
      </c>
      <c r="S1046" s="3" t="s">
        <v>2276</v>
      </c>
      <c r="T1046" s="3" t="s">
        <v>2276</v>
      </c>
      <c r="U1046" s="3" t="s">
        <v>2276</v>
      </c>
      <c r="V1046" s="3" t="s">
        <v>2276</v>
      </c>
      <c r="W1046" s="3" t="s">
        <v>2276</v>
      </c>
      <c r="X1046" s="3" t="s">
        <v>2276</v>
      </c>
      <c r="Y1046" s="3" t="s">
        <v>2276</v>
      </c>
      <c r="Z1046" s="3" t="s">
        <v>2276</v>
      </c>
      <c r="AA1046" s="3"/>
      <c r="AB1046" s="3"/>
    </row>
    <row r="1047" spans="1:28" ht="42" customHeight="1">
      <c r="A1047" s="6" t="str">
        <f>'Reported burning'!A1047</f>
        <v>119d</v>
      </c>
      <c r="B1047" s="6" t="str">
        <f>'Reported burning'!B1047</f>
        <v>119d.10</v>
      </c>
      <c r="C1047" s="6" t="str">
        <f>'Reported burning'!C1047</f>
        <v>Human, deliberate</v>
      </c>
      <c r="D1047" s="6" t="str">
        <f>'Reported burning'!D1047</f>
        <v>Accessibility</v>
      </c>
      <c r="E1047" s="6" t="str">
        <f>'Reported burning'!E1047</f>
        <v>Cropping, Swidden</v>
      </c>
      <c r="F1047" s="6" t="str">
        <f>'Reported burning'!F1047</f>
        <v>ND</v>
      </c>
      <c r="G1047" s="6" t="str">
        <f>'Reported burning'!G1047</f>
        <v>ND</v>
      </c>
      <c r="H1047" s="6" t="str">
        <f>'Reported burning'!H1047</f>
        <v>Presence</v>
      </c>
      <c r="I1047" s="3"/>
      <c r="J1047" s="3" t="s">
        <v>2276</v>
      </c>
      <c r="K1047" s="3" t="s">
        <v>2276</v>
      </c>
      <c r="L1047" s="3" t="s">
        <v>2276</v>
      </c>
      <c r="M1047" s="3" t="s">
        <v>2276</v>
      </c>
      <c r="N1047" s="3" t="s">
        <v>2276</v>
      </c>
      <c r="O1047" s="3" t="s">
        <v>2276</v>
      </c>
      <c r="P1047" s="3" t="s">
        <v>2276</v>
      </c>
      <c r="Q1047" s="3" t="s">
        <v>2276</v>
      </c>
      <c r="R1047" s="3" t="s">
        <v>2276</v>
      </c>
      <c r="S1047" s="3" t="s">
        <v>2276</v>
      </c>
      <c r="T1047" s="3" t="s">
        <v>2276</v>
      </c>
      <c r="U1047" s="3" t="s">
        <v>2276</v>
      </c>
      <c r="V1047" s="3" t="s">
        <v>2276</v>
      </c>
      <c r="W1047" s="3" t="s">
        <v>2276</v>
      </c>
      <c r="X1047" s="3" t="s">
        <v>2276</v>
      </c>
      <c r="Y1047" s="3" t="s">
        <v>2276</v>
      </c>
      <c r="Z1047" s="3" t="s">
        <v>2276</v>
      </c>
      <c r="AA1047" s="3"/>
      <c r="AB1047" s="3"/>
    </row>
    <row r="1048" spans="1:28" ht="42" customHeight="1">
      <c r="A1048" s="6" t="str">
        <f>'Reported burning'!A1048</f>
        <v>119d</v>
      </c>
      <c r="B1048" s="6" t="str">
        <f>'Reported burning'!B1048</f>
        <v>119d.11</v>
      </c>
      <c r="C1048" s="6" t="str">
        <f>'Reported burning'!C1048</f>
        <v>Human, deliberate</v>
      </c>
      <c r="D1048" s="6" t="str">
        <f>'Reported burning'!D1048</f>
        <v>Cultural &amp; Spiritual</v>
      </c>
      <c r="E1048" s="6" t="str">
        <f>'Reported burning'!E1048</f>
        <v>Cropping, Swidden</v>
      </c>
      <c r="F1048" s="6" t="str">
        <f>'Reported burning'!F1048</f>
        <v>ND</v>
      </c>
      <c r="G1048" s="6" t="str">
        <f>'Reported burning'!G1048</f>
        <v>ND</v>
      </c>
      <c r="H1048" s="6" t="str">
        <f>'Reported burning'!H1048</f>
        <v>Presence</v>
      </c>
      <c r="I1048" s="3"/>
      <c r="J1048" s="3" t="s">
        <v>2276</v>
      </c>
      <c r="K1048" s="3" t="s">
        <v>2276</v>
      </c>
      <c r="L1048" s="3" t="s">
        <v>2276</v>
      </c>
      <c r="M1048" s="3" t="s">
        <v>2276</v>
      </c>
      <c r="N1048" s="3" t="s">
        <v>2276</v>
      </c>
      <c r="O1048" s="3" t="s">
        <v>2276</v>
      </c>
      <c r="P1048" s="3" t="s">
        <v>2276</v>
      </c>
      <c r="Q1048" s="3" t="s">
        <v>2276</v>
      </c>
      <c r="R1048" s="3" t="s">
        <v>2276</v>
      </c>
      <c r="S1048" s="3" t="s">
        <v>2276</v>
      </c>
      <c r="T1048" s="3" t="s">
        <v>2276</v>
      </c>
      <c r="U1048" s="3" t="s">
        <v>2276</v>
      </c>
      <c r="V1048" s="3" t="s">
        <v>2276</v>
      </c>
      <c r="W1048" s="3" t="s">
        <v>2276</v>
      </c>
      <c r="X1048" s="3" t="s">
        <v>2276</v>
      </c>
      <c r="Y1048" s="3" t="s">
        <v>2276</v>
      </c>
      <c r="Z1048" s="3" t="s">
        <v>2276</v>
      </c>
      <c r="AA1048" s="3"/>
      <c r="AB1048" s="3"/>
    </row>
    <row r="1049" spans="1:28" ht="42" customHeight="1">
      <c r="A1049" s="6" t="str">
        <f>'Reported burning'!A1049</f>
        <v>119d</v>
      </c>
      <c r="B1049" s="6" t="str">
        <f>'Reported burning'!B1049</f>
        <v>119d.12</v>
      </c>
      <c r="C1049" s="6" t="str">
        <f>'Reported burning'!C1049</f>
        <v>Human, deliberate</v>
      </c>
      <c r="D1049" s="6" t="str">
        <f>'Reported burning'!D1049</f>
        <v>Domestic</v>
      </c>
      <c r="E1049" s="6" t="str">
        <f>'Reported burning'!E1049</f>
        <v>Cropping, Swidden</v>
      </c>
      <c r="F1049" s="6" t="str">
        <f>'Reported burning'!F1049</f>
        <v>ND</v>
      </c>
      <c r="G1049" s="6" t="str">
        <f>'Reported burning'!G1049</f>
        <v>ND</v>
      </c>
      <c r="H1049" s="6" t="str">
        <f>'Reported burning'!H1049</f>
        <v>Presence</v>
      </c>
      <c r="I1049" s="3"/>
      <c r="J1049" s="3" t="s">
        <v>2276</v>
      </c>
      <c r="K1049" s="3" t="s">
        <v>2276</v>
      </c>
      <c r="L1049" s="3" t="s">
        <v>2276</v>
      </c>
      <c r="M1049" s="3" t="s">
        <v>2276</v>
      </c>
      <c r="N1049" s="3" t="s">
        <v>2276</v>
      </c>
      <c r="O1049" s="3" t="s">
        <v>2276</v>
      </c>
      <c r="P1049" s="3" t="s">
        <v>2276</v>
      </c>
      <c r="Q1049" s="3" t="s">
        <v>2276</v>
      </c>
      <c r="R1049" s="3" t="s">
        <v>2276</v>
      </c>
      <c r="S1049" s="3" t="s">
        <v>2276</v>
      </c>
      <c r="T1049" s="3" t="s">
        <v>2276</v>
      </c>
      <c r="U1049" s="3" t="s">
        <v>2276</v>
      </c>
      <c r="V1049" s="3" t="s">
        <v>2276</v>
      </c>
      <c r="W1049" s="3" t="s">
        <v>2276</v>
      </c>
      <c r="X1049" s="3" t="s">
        <v>2276</v>
      </c>
      <c r="Y1049" s="3" t="s">
        <v>2276</v>
      </c>
      <c r="Z1049" s="3" t="s">
        <v>2276</v>
      </c>
      <c r="AA1049" s="3"/>
      <c r="AB1049" s="3"/>
    </row>
    <row r="1050" spans="1:28" ht="42" customHeight="1">
      <c r="A1050" s="6" t="str">
        <f>'Reported burning'!A1050</f>
        <v>119d</v>
      </c>
      <c r="B1050" s="6" t="str">
        <f>'Reported burning'!B1050</f>
        <v>119d.13</v>
      </c>
      <c r="C1050" s="6" t="str">
        <f>'Reported burning'!C1050</f>
        <v>Human, deliberate</v>
      </c>
      <c r="D1050" s="6" t="str">
        <f>'Reported burning'!D1050</f>
        <v>Pyrome management</v>
      </c>
      <c r="E1050" s="6" t="str">
        <f>'Reported burning'!E1050</f>
        <v>Forestry, Traditional</v>
      </c>
      <c r="F1050" s="6" t="str">
        <f>'Reported burning'!F1050</f>
        <v>Shrubland (Mixed forest &amp; grassland)</v>
      </c>
      <c r="G1050" s="6" t="str">
        <f>'Reported burning'!G1050</f>
        <v>ND</v>
      </c>
      <c r="H1050" s="6" t="str">
        <f>'Reported burning'!H1050</f>
        <v>Presence</v>
      </c>
      <c r="I1050" s="3"/>
      <c r="J1050" s="3" t="s">
        <v>2276</v>
      </c>
      <c r="K1050" s="3" t="s">
        <v>2276</v>
      </c>
      <c r="L1050" s="3" t="s">
        <v>2276</v>
      </c>
      <c r="M1050" s="3" t="s">
        <v>2276</v>
      </c>
      <c r="N1050" s="3" t="s">
        <v>2276</v>
      </c>
      <c r="O1050" s="3" t="s">
        <v>2276</v>
      </c>
      <c r="P1050" s="3" t="s">
        <v>2276</v>
      </c>
      <c r="Q1050" s="3" t="s">
        <v>2276</v>
      </c>
      <c r="R1050" s="3" t="s">
        <v>2276</v>
      </c>
      <c r="S1050" s="3" t="s">
        <v>2276</v>
      </c>
      <c r="T1050" s="3" t="s">
        <v>2276</v>
      </c>
      <c r="U1050" s="3" t="s">
        <v>2276</v>
      </c>
      <c r="V1050" s="3" t="s">
        <v>2276</v>
      </c>
      <c r="W1050" s="3" t="s">
        <v>2276</v>
      </c>
      <c r="X1050" s="3" t="s">
        <v>2276</v>
      </c>
      <c r="Y1050" s="3" t="s">
        <v>2276</v>
      </c>
      <c r="Z1050" s="3" t="s">
        <v>2276</v>
      </c>
      <c r="AA1050" s="3"/>
      <c r="AB1050" s="3"/>
    </row>
    <row r="1051" spans="1:28" ht="42" customHeight="1">
      <c r="A1051" s="6" t="str">
        <f>'Reported burning'!A1051</f>
        <v>119d</v>
      </c>
      <c r="B1051" s="6" t="str">
        <f>'Reported burning'!B1051</f>
        <v>119d.14</v>
      </c>
      <c r="C1051" s="6" t="str">
        <f>'Reported burning'!C1051</f>
        <v>Human, deliberate</v>
      </c>
      <c r="D1051" s="6" t="str">
        <f>'Reported burning'!D1051</f>
        <v>Pyrome management</v>
      </c>
      <c r="E1051" s="6" t="str">
        <f>'Reported burning'!E1051</f>
        <v>Cropping, Swidden</v>
      </c>
      <c r="F1051" s="6" t="str">
        <f>'Reported burning'!F1051</f>
        <v>Shrubland (Mixed forest &amp; grassland)</v>
      </c>
      <c r="G1051" s="6" t="str">
        <f>'Reported burning'!G1051</f>
        <v>ND</v>
      </c>
      <c r="H1051" s="6" t="str">
        <f>'Reported burning'!H1051</f>
        <v>Presence</v>
      </c>
      <c r="I1051" s="3"/>
      <c r="J1051" s="3" t="s">
        <v>2276</v>
      </c>
      <c r="K1051" s="3" t="s">
        <v>2276</v>
      </c>
      <c r="L1051" s="3" t="s">
        <v>2276</v>
      </c>
      <c r="M1051" s="3" t="s">
        <v>2276</v>
      </c>
      <c r="N1051" s="3" t="s">
        <v>2276</v>
      </c>
      <c r="O1051" s="3" t="s">
        <v>2276</v>
      </c>
      <c r="P1051" s="3" t="s">
        <v>2276</v>
      </c>
      <c r="Q1051" s="3" t="s">
        <v>2276</v>
      </c>
      <c r="R1051" s="3" t="s">
        <v>2276</v>
      </c>
      <c r="S1051" s="3" t="s">
        <v>2276</v>
      </c>
      <c r="T1051" s="3" t="s">
        <v>2276</v>
      </c>
      <c r="U1051" s="3" t="s">
        <v>2276</v>
      </c>
      <c r="V1051" s="3" t="s">
        <v>2276</v>
      </c>
      <c r="W1051" s="3"/>
      <c r="X1051" s="3" t="s">
        <v>2276</v>
      </c>
      <c r="Y1051" s="3" t="s">
        <v>2276</v>
      </c>
      <c r="Z1051" s="3" t="s">
        <v>2276</v>
      </c>
      <c r="AA1051" s="3"/>
      <c r="AB1051" s="3"/>
    </row>
    <row r="1052" spans="1:28" ht="31.5" customHeight="1">
      <c r="A1052" s="6" t="str">
        <f>'Reported burning'!A1052</f>
        <v>120a</v>
      </c>
      <c r="B1052" s="6" t="str">
        <f>'Reported burning'!B1052</f>
        <v xml:space="preserve">120a.1 </v>
      </c>
      <c r="C1052" s="6" t="str">
        <f>'Reported burning'!C1052</f>
        <v>Human, deliberate</v>
      </c>
      <c r="D1052" s="6" t="str">
        <f>'Reported burning'!D1052</f>
        <v>Crop field preparation</v>
      </c>
      <c r="E1052" s="6" t="str">
        <f>'Reported burning'!E1052</f>
        <v>Cropping, Swidden</v>
      </c>
      <c r="F1052" s="6" t="str">
        <f>'Reported burning'!F1052</f>
        <v>Forest</v>
      </c>
      <c r="G1052" s="6" t="str">
        <f>'Reported burning'!G1052</f>
        <v>ND</v>
      </c>
      <c r="H1052" s="6" t="str">
        <f>'Reported burning'!H1052</f>
        <v>Presence</v>
      </c>
      <c r="I1052" s="3"/>
      <c r="J1052" s="3" t="s">
        <v>2276</v>
      </c>
      <c r="K1052" s="3" t="s">
        <v>2276</v>
      </c>
      <c r="L1052" s="3" t="s">
        <v>2276</v>
      </c>
      <c r="M1052" s="3" t="s">
        <v>2276</v>
      </c>
      <c r="N1052" s="3" t="s">
        <v>2276</v>
      </c>
      <c r="O1052" s="3" t="s">
        <v>2276</v>
      </c>
      <c r="P1052" s="3" t="s">
        <v>2276</v>
      </c>
      <c r="Q1052" s="3" t="s">
        <v>2276</v>
      </c>
      <c r="R1052" s="3" t="s">
        <v>2276</v>
      </c>
      <c r="S1052" s="3" t="s">
        <v>2276</v>
      </c>
      <c r="T1052" s="3" t="s">
        <v>2276</v>
      </c>
      <c r="U1052" s="3" t="s">
        <v>2276</v>
      </c>
      <c r="V1052" s="3" t="s">
        <v>2276</v>
      </c>
      <c r="W1052" t="s">
        <v>2404</v>
      </c>
      <c r="X1052" s="3" t="s">
        <v>404</v>
      </c>
      <c r="Y1052" s="3" t="s">
        <v>405</v>
      </c>
      <c r="Z1052" s="22" t="s">
        <v>64</v>
      </c>
      <c r="AA1052" s="3"/>
      <c r="AB1052" s="3" t="s">
        <v>3236</v>
      </c>
    </row>
    <row r="1053" spans="1:28" ht="35.5" customHeight="1">
      <c r="A1053" s="6" t="str">
        <f>'Reported burning'!A1053</f>
        <v>120a</v>
      </c>
      <c r="B1053" s="6" t="str">
        <f>'Reported burning'!B1053</f>
        <v>120a.2</v>
      </c>
      <c r="C1053" s="6" t="str">
        <f>'Reported burning'!C1053</f>
        <v>Human, deliberate</v>
      </c>
      <c r="D1053" s="6" t="str">
        <f>'Reported burning'!D1053</f>
        <v>Crop field preparation</v>
      </c>
      <c r="E1053" s="6" t="str">
        <f>'Reported burning'!E1053</f>
        <v>Cropping, Swidden</v>
      </c>
      <c r="F1053" s="6" t="str">
        <f>'Reported burning'!F1053</f>
        <v>Cropland</v>
      </c>
      <c r="G1053" s="6" t="str">
        <f>'Reported burning'!G1053</f>
        <v>ND</v>
      </c>
      <c r="H1053" s="6" t="str">
        <f>'Reported burning'!H1053</f>
        <v>Presence</v>
      </c>
      <c r="I1053" s="3"/>
      <c r="J1053" s="3" t="s">
        <v>2276</v>
      </c>
      <c r="K1053" s="3" t="s">
        <v>2276</v>
      </c>
      <c r="L1053" s="3" t="s">
        <v>2276</v>
      </c>
      <c r="M1053" s="3" t="s">
        <v>2276</v>
      </c>
      <c r="N1053" s="3" t="s">
        <v>2276</v>
      </c>
      <c r="O1053" s="3" t="s">
        <v>2276</v>
      </c>
      <c r="P1053" s="3" t="s">
        <v>2276</v>
      </c>
      <c r="Q1053" s="3" t="s">
        <v>2276</v>
      </c>
      <c r="R1053" s="3" t="s">
        <v>2276</v>
      </c>
      <c r="S1053" s="3" t="s">
        <v>2396</v>
      </c>
      <c r="T1053" s="3" t="s">
        <v>2276</v>
      </c>
      <c r="U1053" s="3" t="s">
        <v>2276</v>
      </c>
      <c r="V1053" s="3" t="s">
        <v>2276</v>
      </c>
      <c r="W1053" s="3" t="s">
        <v>2276</v>
      </c>
      <c r="X1053" s="3" t="s">
        <v>34</v>
      </c>
      <c r="Y1053" s="3" t="s">
        <v>405</v>
      </c>
      <c r="Z1053" s="22" t="s">
        <v>64</v>
      </c>
      <c r="AA1053" s="4" t="s">
        <v>3235</v>
      </c>
      <c r="AB1053" s="3"/>
    </row>
    <row r="1054" spans="1:28" ht="33" customHeight="1">
      <c r="A1054" s="6" t="str">
        <f>'Reported burning'!A1054</f>
        <v>120b</v>
      </c>
      <c r="B1054" s="6" t="str">
        <f>'Reported burning'!B1054</f>
        <v>120b.1</v>
      </c>
      <c r="C1054" s="6" t="str">
        <f>'Reported burning'!C1054</f>
        <v>Human, deliberate</v>
      </c>
      <c r="D1054" s="6" t="str">
        <f>'Reported burning'!D1054</f>
        <v>Crop field preparation</v>
      </c>
      <c r="E1054" s="6" t="str">
        <f>'Reported burning'!E1054</f>
        <v>Cropping, Swidden</v>
      </c>
      <c r="F1054" s="6" t="str">
        <f>'Reported burning'!F1054</f>
        <v>Forest</v>
      </c>
      <c r="G1054" s="6" t="str">
        <f>'Reported burning'!G1054</f>
        <v>ND</v>
      </c>
      <c r="H1054" s="6" t="str">
        <f>'Reported burning'!H1054</f>
        <v>Presence</v>
      </c>
      <c r="I1054" s="3"/>
      <c r="J1054" s="3" t="s">
        <v>2276</v>
      </c>
      <c r="K1054" s="3" t="s">
        <v>2276</v>
      </c>
      <c r="L1054" s="3" t="s">
        <v>2276</v>
      </c>
      <c r="M1054" s="3" t="s">
        <v>2276</v>
      </c>
      <c r="N1054" s="3" t="s">
        <v>2276</v>
      </c>
      <c r="O1054" s="3" t="s">
        <v>2276</v>
      </c>
      <c r="P1054" s="3" t="s">
        <v>2276</v>
      </c>
      <c r="Q1054" s="3" t="s">
        <v>2276</v>
      </c>
      <c r="R1054" s="3" t="s">
        <v>2276</v>
      </c>
      <c r="S1054" s="3" t="s">
        <v>2276</v>
      </c>
      <c r="T1054" s="3" t="s">
        <v>2276</v>
      </c>
      <c r="U1054" s="3" t="s">
        <v>2276</v>
      </c>
      <c r="V1054" s="3" t="s">
        <v>2276</v>
      </c>
      <c r="W1054" t="s">
        <v>2404</v>
      </c>
      <c r="X1054" s="3" t="s">
        <v>404</v>
      </c>
      <c r="Y1054" s="3" t="s">
        <v>405</v>
      </c>
      <c r="Z1054" s="22" t="s">
        <v>64</v>
      </c>
      <c r="AA1054" s="3"/>
      <c r="AB1054" s="3" t="s">
        <v>3236</v>
      </c>
    </row>
    <row r="1055" spans="1:28" ht="32.5" customHeight="1">
      <c r="A1055" s="6" t="str">
        <f>'Reported burning'!A1055</f>
        <v>120b</v>
      </c>
      <c r="B1055" s="6" t="str">
        <f>'Reported burning'!B1055</f>
        <v>120b.2</v>
      </c>
      <c r="C1055" s="6" t="str">
        <f>'Reported burning'!C1055</f>
        <v>Human, deliberate</v>
      </c>
      <c r="D1055" s="6" t="str">
        <f>'Reported burning'!D1055</f>
        <v>Crop field preparation</v>
      </c>
      <c r="E1055" s="6" t="str">
        <f>'Reported burning'!E1055</f>
        <v>Cropping, Swidden</v>
      </c>
      <c r="F1055" s="6" t="str">
        <f>'Reported burning'!F1055</f>
        <v>Cropland</v>
      </c>
      <c r="G1055" s="6" t="str">
        <f>'Reported burning'!G1055</f>
        <v>ND</v>
      </c>
      <c r="H1055" s="6" t="str">
        <f>'Reported burning'!H1055</f>
        <v>Presence</v>
      </c>
      <c r="I1055" s="3"/>
      <c r="J1055" s="3" t="s">
        <v>2276</v>
      </c>
      <c r="K1055" s="3" t="s">
        <v>2276</v>
      </c>
      <c r="L1055" s="3" t="s">
        <v>2276</v>
      </c>
      <c r="M1055" s="3" t="s">
        <v>2276</v>
      </c>
      <c r="N1055" s="3" t="s">
        <v>2276</v>
      </c>
      <c r="O1055" s="3" t="s">
        <v>2276</v>
      </c>
      <c r="P1055" s="3" t="s">
        <v>2276</v>
      </c>
      <c r="Q1055" s="3" t="s">
        <v>2276</v>
      </c>
      <c r="R1055" s="3" t="s">
        <v>2276</v>
      </c>
      <c r="S1055" s="3" t="s">
        <v>2396</v>
      </c>
      <c r="T1055" s="3" t="s">
        <v>2276</v>
      </c>
      <c r="U1055" s="3" t="s">
        <v>2276</v>
      </c>
      <c r="V1055" s="3" t="s">
        <v>2276</v>
      </c>
      <c r="W1055" s="3" t="s">
        <v>2276</v>
      </c>
      <c r="X1055" s="3" t="s">
        <v>34</v>
      </c>
      <c r="Y1055" s="3" t="s">
        <v>405</v>
      </c>
      <c r="Z1055" s="22" t="s">
        <v>64</v>
      </c>
      <c r="AA1055" s="4" t="s">
        <v>3235</v>
      </c>
      <c r="AB1055" s="3"/>
    </row>
    <row r="1056" spans="1:28" ht="32.5" customHeight="1">
      <c r="A1056" s="6" t="str">
        <f>'Reported burning'!A1056</f>
        <v>121a</v>
      </c>
      <c r="B1056" s="6" t="str">
        <f>'Reported burning'!B1056</f>
        <v>121a.1</v>
      </c>
      <c r="C1056" s="6" t="str">
        <f>'Reported burning'!C1056</f>
        <v>Human, deliberate</v>
      </c>
      <c r="D1056" s="6" t="str">
        <f>'Reported burning'!D1056</f>
        <v>Crop field preparation</v>
      </c>
      <c r="E1056" s="6" t="str">
        <f>'Reported burning'!E1056</f>
        <v>Cropping, Swidden</v>
      </c>
      <c r="F1056" s="6" t="str">
        <f>'Reported burning'!F1056</f>
        <v>Secondary Vegetation</v>
      </c>
      <c r="G1056" s="6" t="str">
        <f>'Reported burning'!G1056</f>
        <v>ND</v>
      </c>
      <c r="H1056" s="6" t="str">
        <f>'Reported burning'!H1056</f>
        <v>Presence</v>
      </c>
      <c r="I1056" s="3"/>
      <c r="J1056" s="3" t="s">
        <v>2276</v>
      </c>
      <c r="K1056" s="3" t="s">
        <v>2276</v>
      </c>
      <c r="L1056" s="3" t="s">
        <v>2276</v>
      </c>
      <c r="M1056" s="3" t="s">
        <v>2276</v>
      </c>
      <c r="N1056" s="3" t="s">
        <v>2276</v>
      </c>
      <c r="O1056" s="3" t="s">
        <v>2276</v>
      </c>
      <c r="P1056" s="3" t="s">
        <v>2276</v>
      </c>
      <c r="Q1056" s="3" t="s">
        <v>2276</v>
      </c>
      <c r="R1056" s="3" t="s">
        <v>2276</v>
      </c>
      <c r="S1056" s="3" t="s">
        <v>2276</v>
      </c>
      <c r="T1056" s="3" t="s">
        <v>2276</v>
      </c>
      <c r="U1056" s="3" t="s">
        <v>2276</v>
      </c>
      <c r="V1056" s="3" t="s">
        <v>2276</v>
      </c>
      <c r="W1056" s="3" t="s">
        <v>2403</v>
      </c>
      <c r="X1056" s="3" t="s">
        <v>2276</v>
      </c>
      <c r="Y1056" s="3" t="s">
        <v>2276</v>
      </c>
      <c r="Z1056" s="3" t="s">
        <v>2276</v>
      </c>
      <c r="AA1056" s="3"/>
      <c r="AB1056" s="4" t="s">
        <v>3283</v>
      </c>
    </row>
    <row r="1057" spans="1:28" ht="32.5" customHeight="1">
      <c r="A1057" s="6" t="str">
        <f>'Reported burning'!A1057</f>
        <v>121b</v>
      </c>
      <c r="B1057" s="6" t="str">
        <f>'Reported burning'!B1057</f>
        <v>121b.1</v>
      </c>
      <c r="C1057" s="6" t="str">
        <f>'Reported burning'!C1057</f>
        <v>Human, deliberate</v>
      </c>
      <c r="D1057" s="6" t="str">
        <f>'Reported burning'!D1057</f>
        <v>Crop field preparation</v>
      </c>
      <c r="E1057" s="6" t="str">
        <f>'Reported burning'!E1057</f>
        <v>Cropping, Swidden</v>
      </c>
      <c r="F1057" s="6" t="str">
        <f>'Reported burning'!F1057</f>
        <v>Secondary Vegetation</v>
      </c>
      <c r="G1057" s="6" t="str">
        <f>'Reported burning'!G1057</f>
        <v>ND</v>
      </c>
      <c r="H1057" s="6" t="str">
        <f>'Reported burning'!H1057</f>
        <v>Presence</v>
      </c>
      <c r="I1057" s="3"/>
      <c r="J1057" s="3" t="s">
        <v>2276</v>
      </c>
      <c r="K1057" s="3" t="s">
        <v>2276</v>
      </c>
      <c r="L1057" s="3" t="s">
        <v>2276</v>
      </c>
      <c r="M1057" s="3" t="s">
        <v>2276</v>
      </c>
      <c r="N1057" s="3" t="s">
        <v>2276</v>
      </c>
      <c r="O1057" s="3" t="s">
        <v>2276</v>
      </c>
      <c r="P1057" s="3" t="s">
        <v>2276</v>
      </c>
      <c r="Q1057" s="3" t="s">
        <v>2276</v>
      </c>
      <c r="R1057" s="3" t="s">
        <v>2276</v>
      </c>
      <c r="S1057" s="3" t="s">
        <v>2276</v>
      </c>
      <c r="T1057" s="3" t="s">
        <v>2276</v>
      </c>
      <c r="U1057" s="3" t="s">
        <v>2276</v>
      </c>
      <c r="V1057" s="3" t="s">
        <v>2276</v>
      </c>
      <c r="W1057" s="3" t="s">
        <v>2402</v>
      </c>
      <c r="X1057" s="3" t="s">
        <v>2276</v>
      </c>
      <c r="Y1057" s="3" t="s">
        <v>2276</v>
      </c>
      <c r="Z1057" s="3" t="s">
        <v>2276</v>
      </c>
      <c r="AA1057" s="3"/>
      <c r="AB1057" s="4" t="s">
        <v>3283</v>
      </c>
    </row>
    <row r="1058" spans="1:28" ht="32.5" customHeight="1">
      <c r="A1058" s="6" t="str">
        <f>'Reported burning'!A1058</f>
        <v>121c</v>
      </c>
      <c r="B1058" s="6" t="str">
        <f>'Reported burning'!B1058</f>
        <v>121c.1</v>
      </c>
      <c r="C1058" s="6" t="str">
        <f>'Reported burning'!C1058</f>
        <v>Human, deliberate</v>
      </c>
      <c r="D1058" s="6" t="str">
        <f>'Reported burning'!D1058</f>
        <v>Crop field preparation</v>
      </c>
      <c r="E1058" s="6" t="str">
        <f>'Reported burning'!E1058</f>
        <v>Cropping, Swidden</v>
      </c>
      <c r="F1058" s="6" t="str">
        <f>'Reported burning'!F1058</f>
        <v>Secondary Vegetation</v>
      </c>
      <c r="G1058" s="6" t="str">
        <f>'Reported burning'!G1058</f>
        <v>ND</v>
      </c>
      <c r="H1058" s="6" t="str">
        <f>'Reported burning'!H1058</f>
        <v>Presence</v>
      </c>
      <c r="I1058" s="3"/>
      <c r="J1058" s="3" t="s">
        <v>2276</v>
      </c>
      <c r="K1058" s="3" t="s">
        <v>2276</v>
      </c>
      <c r="L1058" s="3" t="s">
        <v>2276</v>
      </c>
      <c r="M1058" s="3" t="s">
        <v>2276</v>
      </c>
      <c r="N1058" s="3" t="s">
        <v>2276</v>
      </c>
      <c r="O1058" s="3" t="s">
        <v>2276</v>
      </c>
      <c r="P1058" s="3" t="s">
        <v>2276</v>
      </c>
      <c r="Q1058" s="3" t="s">
        <v>2276</v>
      </c>
      <c r="R1058" s="3" t="s">
        <v>2276</v>
      </c>
      <c r="S1058" s="3" t="s">
        <v>2276</v>
      </c>
      <c r="T1058" s="3" t="s">
        <v>2276</v>
      </c>
      <c r="U1058" s="3" t="s">
        <v>2276</v>
      </c>
      <c r="V1058" s="3" t="s">
        <v>2276</v>
      </c>
      <c r="W1058" s="3" t="s">
        <v>2403</v>
      </c>
      <c r="X1058" s="3" t="s">
        <v>2276</v>
      </c>
      <c r="Y1058" s="3" t="s">
        <v>2276</v>
      </c>
      <c r="Z1058" s="3" t="s">
        <v>2276</v>
      </c>
      <c r="AA1058" s="3"/>
      <c r="AB1058" s="4" t="s">
        <v>3283</v>
      </c>
    </row>
    <row r="1059" spans="1:28" ht="32.5" customHeight="1">
      <c r="A1059" s="6" t="str">
        <f>'Reported burning'!A1059</f>
        <v>121d</v>
      </c>
      <c r="B1059" s="6" t="str">
        <f>'Reported burning'!B1059</f>
        <v>121d.1</v>
      </c>
      <c r="C1059" s="6" t="str">
        <f>'Reported burning'!C1059</f>
        <v>Human, deliberate</v>
      </c>
      <c r="D1059" s="6" t="str">
        <f>'Reported burning'!D1059</f>
        <v>Crop field preparation</v>
      </c>
      <c r="E1059" s="6" t="str">
        <f>'Reported burning'!E1059</f>
        <v>Cropping, Swidden</v>
      </c>
      <c r="F1059" s="6" t="str">
        <f>'Reported burning'!F1059</f>
        <v>Secondary Vegetation</v>
      </c>
      <c r="G1059" s="6" t="str">
        <f>'Reported burning'!G1059</f>
        <v>ND</v>
      </c>
      <c r="H1059" s="6" t="str">
        <f>'Reported burning'!H1059</f>
        <v>Presence</v>
      </c>
      <c r="I1059" s="3"/>
      <c r="J1059" s="3" t="s">
        <v>2276</v>
      </c>
      <c r="K1059" s="3" t="s">
        <v>2276</v>
      </c>
      <c r="L1059" s="3" t="s">
        <v>2276</v>
      </c>
      <c r="M1059" s="3" t="s">
        <v>2276</v>
      </c>
      <c r="N1059" s="3" t="s">
        <v>2276</v>
      </c>
      <c r="O1059" s="3" t="s">
        <v>2276</v>
      </c>
      <c r="P1059" s="3" t="s">
        <v>2276</v>
      </c>
      <c r="Q1059" s="3" t="s">
        <v>2276</v>
      </c>
      <c r="R1059" s="3" t="s">
        <v>2276</v>
      </c>
      <c r="S1059" s="3" t="s">
        <v>2276</v>
      </c>
      <c r="T1059" s="3" t="s">
        <v>2276</v>
      </c>
      <c r="U1059" s="3" t="s">
        <v>2276</v>
      </c>
      <c r="V1059" s="3" t="s">
        <v>2276</v>
      </c>
      <c r="W1059" s="3" t="s">
        <v>2403</v>
      </c>
      <c r="X1059" s="3" t="s">
        <v>2276</v>
      </c>
      <c r="Y1059" s="3" t="s">
        <v>2276</v>
      </c>
      <c r="Z1059" s="3" t="s">
        <v>2276</v>
      </c>
      <c r="AA1059" s="3"/>
      <c r="AB1059" s="4" t="s">
        <v>3283</v>
      </c>
    </row>
    <row r="1060" spans="1:28" ht="32.5" customHeight="1">
      <c r="A1060" s="6" t="str">
        <f>'Reported burning'!A1060</f>
        <v>121e</v>
      </c>
      <c r="B1060" s="6" t="str">
        <f>'Reported burning'!B1060</f>
        <v>121e.1</v>
      </c>
      <c r="C1060" s="6" t="str">
        <f>'Reported burning'!C1060</f>
        <v>Human, deliberate</v>
      </c>
      <c r="D1060" s="6" t="str">
        <f>'Reported burning'!D1060</f>
        <v>Crop field preparation</v>
      </c>
      <c r="E1060" s="6" t="str">
        <f>'Reported burning'!E1060</f>
        <v>Cropping, Swidden</v>
      </c>
      <c r="F1060" s="6" t="str">
        <f>'Reported burning'!F1060</f>
        <v>Secondary Vegetation</v>
      </c>
      <c r="G1060" s="6" t="str">
        <f>'Reported burning'!G1060</f>
        <v>ND</v>
      </c>
      <c r="H1060" s="6" t="str">
        <f>'Reported burning'!H1060</f>
        <v>Presence</v>
      </c>
      <c r="I1060" s="3"/>
      <c r="J1060" s="3" t="s">
        <v>2276</v>
      </c>
      <c r="K1060" s="3" t="s">
        <v>2276</v>
      </c>
      <c r="L1060" s="3" t="s">
        <v>2276</v>
      </c>
      <c r="M1060" s="3" t="s">
        <v>2276</v>
      </c>
      <c r="N1060" s="3" t="s">
        <v>2276</v>
      </c>
      <c r="O1060" s="3" t="s">
        <v>2276</v>
      </c>
      <c r="P1060" s="3" t="s">
        <v>2276</v>
      </c>
      <c r="Q1060" s="3" t="s">
        <v>2276</v>
      </c>
      <c r="R1060" s="3" t="s">
        <v>2276</v>
      </c>
      <c r="S1060" s="3" t="s">
        <v>2276</v>
      </c>
      <c r="T1060" s="3" t="s">
        <v>2276</v>
      </c>
      <c r="U1060" s="3" t="s">
        <v>2276</v>
      </c>
      <c r="V1060" s="3" t="s">
        <v>2276</v>
      </c>
      <c r="W1060" s="3" t="s">
        <v>2402</v>
      </c>
      <c r="X1060" s="3" t="s">
        <v>2276</v>
      </c>
      <c r="Y1060" s="3" t="s">
        <v>2276</v>
      </c>
      <c r="Z1060" s="3" t="s">
        <v>2276</v>
      </c>
      <c r="AA1060" s="3"/>
      <c r="AB1060" s="4" t="s">
        <v>3283</v>
      </c>
    </row>
    <row r="1061" spans="1:28" ht="32.5" customHeight="1">
      <c r="A1061" s="6" t="str">
        <f>'Reported burning'!A1061</f>
        <v>121f</v>
      </c>
      <c r="B1061" s="6" t="str">
        <f>'Reported burning'!B1061</f>
        <v>121f.1</v>
      </c>
      <c r="C1061" s="6" t="str">
        <f>'Reported burning'!C1061</f>
        <v>Human, deliberate</v>
      </c>
      <c r="D1061" s="6" t="str">
        <f>'Reported burning'!D1061</f>
        <v>Crop field preparation</v>
      </c>
      <c r="E1061" s="6" t="str">
        <f>'Reported burning'!E1061</f>
        <v>Cropping, Swidden</v>
      </c>
      <c r="F1061" s="6" t="str">
        <f>'Reported burning'!F1061</f>
        <v>Secondary Vegetation</v>
      </c>
      <c r="G1061" s="6" t="str">
        <f>'Reported burning'!G1061</f>
        <v>ND</v>
      </c>
      <c r="H1061" s="6" t="str">
        <f>'Reported burning'!H1061</f>
        <v>Presence</v>
      </c>
      <c r="I1061" s="3"/>
      <c r="J1061" s="3" t="s">
        <v>2276</v>
      </c>
      <c r="K1061" s="3" t="s">
        <v>2276</v>
      </c>
      <c r="L1061" s="3" t="s">
        <v>2276</v>
      </c>
      <c r="M1061" s="3" t="s">
        <v>2276</v>
      </c>
      <c r="N1061" s="3" t="s">
        <v>2276</v>
      </c>
      <c r="O1061" s="3" t="s">
        <v>2276</v>
      </c>
      <c r="P1061" s="3" t="s">
        <v>2276</v>
      </c>
      <c r="Q1061" s="3" t="s">
        <v>2276</v>
      </c>
      <c r="R1061" s="3" t="s">
        <v>2276</v>
      </c>
      <c r="S1061" s="3" t="s">
        <v>2276</v>
      </c>
      <c r="T1061" s="3" t="s">
        <v>2276</v>
      </c>
      <c r="U1061" s="3" t="s">
        <v>2276</v>
      </c>
      <c r="V1061" s="3" t="s">
        <v>2276</v>
      </c>
      <c r="W1061" s="3" t="s">
        <v>2403</v>
      </c>
      <c r="X1061" s="3" t="s">
        <v>2276</v>
      </c>
      <c r="Y1061" s="3" t="s">
        <v>2276</v>
      </c>
      <c r="Z1061" s="3" t="s">
        <v>2276</v>
      </c>
      <c r="AA1061" s="3"/>
      <c r="AB1061" s="4" t="s">
        <v>3283</v>
      </c>
    </row>
    <row r="1062" spans="1:28" ht="32.5" customHeight="1">
      <c r="A1062" s="6" t="str">
        <f>'Reported burning'!A1062</f>
        <v>121g</v>
      </c>
      <c r="B1062" s="6" t="str">
        <f>'Reported burning'!B1062</f>
        <v>121g.1</v>
      </c>
      <c r="C1062" s="6" t="str">
        <f>'Reported burning'!C1062</f>
        <v>Human, deliberate</v>
      </c>
      <c r="D1062" s="6" t="str">
        <f>'Reported burning'!D1062</f>
        <v>Crop field preparation</v>
      </c>
      <c r="E1062" s="6" t="str">
        <f>'Reported burning'!E1062</f>
        <v>Cropping, Swidden</v>
      </c>
      <c r="F1062" s="6" t="str">
        <f>'Reported burning'!F1062</f>
        <v>Secondary Vegetation</v>
      </c>
      <c r="G1062" s="6" t="str">
        <f>'Reported burning'!G1062</f>
        <v>ND</v>
      </c>
      <c r="H1062" s="6" t="str">
        <f>'Reported burning'!H1062</f>
        <v>Presence</v>
      </c>
      <c r="I1062" s="3"/>
      <c r="J1062" s="3" t="s">
        <v>2276</v>
      </c>
      <c r="K1062" s="3" t="s">
        <v>2276</v>
      </c>
      <c r="L1062" s="3" t="s">
        <v>2276</v>
      </c>
      <c r="M1062" s="3" t="s">
        <v>2276</v>
      </c>
      <c r="N1062" s="3" t="s">
        <v>2276</v>
      </c>
      <c r="O1062" s="3" t="s">
        <v>2276</v>
      </c>
      <c r="P1062" s="3" t="s">
        <v>2276</v>
      </c>
      <c r="Q1062" s="3" t="s">
        <v>2276</v>
      </c>
      <c r="R1062" s="3" t="s">
        <v>2276</v>
      </c>
      <c r="S1062" s="3" t="s">
        <v>2276</v>
      </c>
      <c r="T1062" s="3" t="s">
        <v>2276</v>
      </c>
      <c r="U1062" s="3" t="s">
        <v>2276</v>
      </c>
      <c r="V1062" s="3" t="s">
        <v>2276</v>
      </c>
      <c r="W1062" s="3" t="s">
        <v>2402</v>
      </c>
      <c r="X1062" s="3" t="s">
        <v>2276</v>
      </c>
      <c r="Y1062" s="3" t="s">
        <v>2276</v>
      </c>
      <c r="Z1062" s="3" t="s">
        <v>2276</v>
      </c>
      <c r="AA1062" s="3"/>
      <c r="AB1062" s="4" t="s">
        <v>3283</v>
      </c>
    </row>
    <row r="1063" spans="1:28" ht="32.5" customHeight="1">
      <c r="A1063" s="6" t="str">
        <f>'Reported burning'!A1063</f>
        <v>121h</v>
      </c>
      <c r="B1063" s="6" t="str">
        <f>'Reported burning'!B1063</f>
        <v>121h.1</v>
      </c>
      <c r="C1063" s="6" t="str">
        <f>'Reported burning'!C1063</f>
        <v>Human, deliberate</v>
      </c>
      <c r="D1063" s="6" t="str">
        <f>'Reported burning'!D1063</f>
        <v>Crop field preparation</v>
      </c>
      <c r="E1063" s="6" t="str">
        <f>'Reported burning'!E1063</f>
        <v>Cropping, Swidden</v>
      </c>
      <c r="F1063" s="6" t="str">
        <f>'Reported burning'!F1063</f>
        <v>Secondary Vegetation</v>
      </c>
      <c r="G1063" s="6" t="str">
        <f>'Reported burning'!G1063</f>
        <v>ND</v>
      </c>
      <c r="H1063" s="6" t="str">
        <f>'Reported burning'!H1063</f>
        <v>Presence</v>
      </c>
      <c r="I1063" s="3"/>
      <c r="J1063" s="3" t="s">
        <v>2276</v>
      </c>
      <c r="K1063" s="3" t="s">
        <v>2276</v>
      </c>
      <c r="L1063" s="3" t="s">
        <v>2276</v>
      </c>
      <c r="M1063" s="3" t="s">
        <v>2276</v>
      </c>
      <c r="N1063" s="3" t="s">
        <v>2276</v>
      </c>
      <c r="O1063" s="3" t="s">
        <v>2276</v>
      </c>
      <c r="P1063" s="3" t="s">
        <v>2276</v>
      </c>
      <c r="Q1063" s="3" t="s">
        <v>2276</v>
      </c>
      <c r="R1063" s="3" t="s">
        <v>2276</v>
      </c>
      <c r="S1063" s="3" t="s">
        <v>2276</v>
      </c>
      <c r="T1063" s="3" t="s">
        <v>2276</v>
      </c>
      <c r="U1063" s="3" t="s">
        <v>2276</v>
      </c>
      <c r="V1063" s="3" t="s">
        <v>2276</v>
      </c>
      <c r="W1063" s="3" t="s">
        <v>2403</v>
      </c>
      <c r="X1063" s="3" t="s">
        <v>2276</v>
      </c>
      <c r="Y1063" s="3" t="s">
        <v>2276</v>
      </c>
      <c r="Z1063" s="3" t="s">
        <v>2276</v>
      </c>
      <c r="AA1063" s="3"/>
      <c r="AB1063" s="4" t="s">
        <v>3283</v>
      </c>
    </row>
    <row r="1064" spans="1:28" ht="32.5" customHeight="1">
      <c r="A1064" s="6" t="str">
        <f>'Reported burning'!A1064</f>
        <v>121i</v>
      </c>
      <c r="B1064" s="6" t="str">
        <f>'Reported burning'!B1064</f>
        <v>121i.1</v>
      </c>
      <c r="C1064" s="6" t="str">
        <f>'Reported burning'!C1064</f>
        <v>Human, deliberate</v>
      </c>
      <c r="D1064" s="6" t="str">
        <f>'Reported burning'!D1064</f>
        <v>Crop field preparation</v>
      </c>
      <c r="E1064" s="6" t="str">
        <f>'Reported burning'!E1064</f>
        <v>Cropping, Swidden</v>
      </c>
      <c r="F1064" s="6" t="str">
        <f>'Reported burning'!F1064</f>
        <v>Secondary Vegetation</v>
      </c>
      <c r="G1064" s="6" t="str">
        <f>'Reported burning'!G1064</f>
        <v>ND</v>
      </c>
      <c r="H1064" s="6" t="str">
        <f>'Reported burning'!H1064</f>
        <v>Presence</v>
      </c>
      <c r="I1064" s="3"/>
      <c r="J1064" s="3" t="s">
        <v>2276</v>
      </c>
      <c r="K1064" s="3" t="s">
        <v>2276</v>
      </c>
      <c r="L1064" s="3" t="s">
        <v>2276</v>
      </c>
      <c r="M1064" s="3" t="s">
        <v>2276</v>
      </c>
      <c r="N1064" s="3" t="s">
        <v>2276</v>
      </c>
      <c r="O1064" s="3" t="s">
        <v>2276</v>
      </c>
      <c r="P1064" s="3" t="s">
        <v>2276</v>
      </c>
      <c r="Q1064" s="3" t="s">
        <v>2276</v>
      </c>
      <c r="R1064" s="3" t="s">
        <v>2276</v>
      </c>
      <c r="S1064" s="3" t="s">
        <v>2276</v>
      </c>
      <c r="T1064" s="3" t="s">
        <v>2276</v>
      </c>
      <c r="U1064" s="3" t="s">
        <v>2276</v>
      </c>
      <c r="V1064" s="3" t="s">
        <v>2276</v>
      </c>
      <c r="W1064" s="3" t="s">
        <v>2403</v>
      </c>
      <c r="X1064" s="3" t="s">
        <v>2276</v>
      </c>
      <c r="Y1064" s="3" t="s">
        <v>2276</v>
      </c>
      <c r="Z1064" s="3" t="s">
        <v>2276</v>
      </c>
      <c r="AA1064" s="3"/>
      <c r="AB1064" s="4" t="s">
        <v>3283</v>
      </c>
    </row>
    <row r="1065" spans="1:28" ht="32.5" customHeight="1">
      <c r="A1065" s="6" t="str">
        <f>'Reported burning'!A1065</f>
        <v>121j</v>
      </c>
      <c r="B1065" s="6" t="str">
        <f>'Reported burning'!B1065</f>
        <v>121j.1</v>
      </c>
      <c r="C1065" s="6" t="str">
        <f>'Reported burning'!C1065</f>
        <v>Human, deliberate</v>
      </c>
      <c r="D1065" s="6" t="str">
        <f>'Reported burning'!D1065</f>
        <v>Crop field preparation</v>
      </c>
      <c r="E1065" s="6" t="str">
        <f>'Reported burning'!E1065</f>
        <v>Cropping, Swidden</v>
      </c>
      <c r="F1065" s="6" t="str">
        <f>'Reported burning'!F1065</f>
        <v>Secondary Vegetation</v>
      </c>
      <c r="G1065" s="6" t="str">
        <f>'Reported burning'!G1065</f>
        <v>ND</v>
      </c>
      <c r="H1065" s="6" t="str">
        <f>'Reported burning'!H1065</f>
        <v>Presence</v>
      </c>
      <c r="I1065" s="3"/>
      <c r="J1065" s="3" t="s">
        <v>2276</v>
      </c>
      <c r="K1065" s="3" t="s">
        <v>2276</v>
      </c>
      <c r="L1065" s="3" t="s">
        <v>2276</v>
      </c>
      <c r="M1065" s="3" t="s">
        <v>2276</v>
      </c>
      <c r="N1065" s="3" t="s">
        <v>2276</v>
      </c>
      <c r="O1065" s="3" t="s">
        <v>2276</v>
      </c>
      <c r="P1065" s="3" t="s">
        <v>2276</v>
      </c>
      <c r="Q1065" s="3" t="s">
        <v>2276</v>
      </c>
      <c r="R1065" s="3" t="s">
        <v>2276</v>
      </c>
      <c r="S1065" s="3" t="s">
        <v>2276</v>
      </c>
      <c r="T1065" s="3" t="s">
        <v>2276</v>
      </c>
      <c r="U1065" s="3" t="s">
        <v>2276</v>
      </c>
      <c r="V1065" s="3" t="s">
        <v>2276</v>
      </c>
      <c r="W1065" s="3" t="s">
        <v>2403</v>
      </c>
      <c r="X1065" s="3" t="s">
        <v>2276</v>
      </c>
      <c r="Y1065" s="3" t="s">
        <v>2276</v>
      </c>
      <c r="Z1065" s="3" t="s">
        <v>2276</v>
      </c>
      <c r="AA1065" s="3"/>
      <c r="AB1065" s="4" t="s">
        <v>3283</v>
      </c>
    </row>
    <row r="1066" spans="1:28" ht="32.5" customHeight="1">
      <c r="A1066" s="6" t="str">
        <f>'Reported burning'!A1066</f>
        <v>121k</v>
      </c>
      <c r="B1066" s="6" t="str">
        <f>'Reported burning'!B1066</f>
        <v>121k.1</v>
      </c>
      <c r="C1066" s="6" t="str">
        <f>'Reported burning'!C1066</f>
        <v>Human, deliberate</v>
      </c>
      <c r="D1066" s="6" t="str">
        <f>'Reported burning'!D1066</f>
        <v>Crop field preparation</v>
      </c>
      <c r="E1066" s="6" t="str">
        <f>'Reported burning'!E1066</f>
        <v>Cropping, Swidden</v>
      </c>
      <c r="F1066" s="6" t="str">
        <f>'Reported burning'!F1066</f>
        <v>Secondary Vegetation</v>
      </c>
      <c r="G1066" s="6" t="str">
        <f>'Reported burning'!G1066</f>
        <v>ND</v>
      </c>
      <c r="H1066" s="6" t="str">
        <f>'Reported burning'!H1066</f>
        <v>Presence</v>
      </c>
      <c r="I1066" s="3"/>
      <c r="J1066" s="3" t="s">
        <v>2276</v>
      </c>
      <c r="K1066" s="3" t="s">
        <v>2276</v>
      </c>
      <c r="L1066" s="3" t="s">
        <v>2276</v>
      </c>
      <c r="M1066" s="3" t="s">
        <v>2276</v>
      </c>
      <c r="N1066" s="3" t="s">
        <v>2276</v>
      </c>
      <c r="O1066" s="3" t="s">
        <v>2276</v>
      </c>
      <c r="P1066" s="3" t="s">
        <v>2276</v>
      </c>
      <c r="Q1066" s="3" t="s">
        <v>2276</v>
      </c>
      <c r="R1066" s="3" t="s">
        <v>2276</v>
      </c>
      <c r="S1066" s="3" t="s">
        <v>2276</v>
      </c>
      <c r="T1066" s="3" t="s">
        <v>2276</v>
      </c>
      <c r="U1066" s="3" t="s">
        <v>2276</v>
      </c>
      <c r="V1066" s="3" t="s">
        <v>2276</v>
      </c>
      <c r="W1066" s="3" t="s">
        <v>2403</v>
      </c>
      <c r="X1066" s="3" t="s">
        <v>2276</v>
      </c>
      <c r="Y1066" s="3" t="s">
        <v>2276</v>
      </c>
      <c r="Z1066" s="3" t="s">
        <v>2276</v>
      </c>
      <c r="AA1066" s="3"/>
      <c r="AB1066" s="4" t="s">
        <v>3283</v>
      </c>
    </row>
    <row r="1067" spans="1:28" ht="32.5" customHeight="1">
      <c r="A1067" s="6" t="str">
        <f>'Reported burning'!A1067</f>
        <v>121l</v>
      </c>
      <c r="B1067" s="6" t="str">
        <f>'Reported burning'!B1067</f>
        <v>121l.1</v>
      </c>
      <c r="C1067" s="6" t="str">
        <f>'Reported burning'!C1067</f>
        <v>Human, deliberate</v>
      </c>
      <c r="D1067" s="6" t="str">
        <f>'Reported burning'!D1067</f>
        <v>Crop field preparation</v>
      </c>
      <c r="E1067" s="6" t="str">
        <f>'Reported burning'!E1067</f>
        <v>Cropping, Swidden</v>
      </c>
      <c r="F1067" s="6" t="str">
        <f>'Reported burning'!F1067</f>
        <v>Secondary Vegetation</v>
      </c>
      <c r="G1067" s="6" t="str">
        <f>'Reported burning'!G1067</f>
        <v>ND</v>
      </c>
      <c r="H1067" s="6" t="str">
        <f>'Reported burning'!H1067</f>
        <v>Presence</v>
      </c>
      <c r="I1067" s="3"/>
      <c r="J1067" s="3" t="s">
        <v>2276</v>
      </c>
      <c r="K1067" s="3" t="s">
        <v>2276</v>
      </c>
      <c r="L1067" s="3" t="s">
        <v>2276</v>
      </c>
      <c r="M1067" s="3" t="s">
        <v>2276</v>
      </c>
      <c r="N1067" s="3" t="s">
        <v>2276</v>
      </c>
      <c r="O1067" s="3" t="s">
        <v>2276</v>
      </c>
      <c r="P1067" s="3" t="s">
        <v>2276</v>
      </c>
      <c r="Q1067" s="3" t="s">
        <v>2276</v>
      </c>
      <c r="R1067" s="3" t="s">
        <v>2276</v>
      </c>
      <c r="S1067" s="3" t="s">
        <v>2276</v>
      </c>
      <c r="T1067" s="3" t="s">
        <v>2276</v>
      </c>
      <c r="U1067" s="3" t="s">
        <v>2276</v>
      </c>
      <c r="V1067" s="3" t="s">
        <v>2276</v>
      </c>
      <c r="W1067" s="3" t="s">
        <v>2403</v>
      </c>
      <c r="X1067" s="3" t="s">
        <v>2276</v>
      </c>
      <c r="Y1067" s="3" t="s">
        <v>2276</v>
      </c>
      <c r="Z1067" s="3" t="s">
        <v>2276</v>
      </c>
      <c r="AA1067" s="3"/>
      <c r="AB1067" s="4" t="s">
        <v>3283</v>
      </c>
    </row>
    <row r="1068" spans="1:28" ht="32.5" customHeight="1">
      <c r="A1068" s="6" t="str">
        <f>'Reported burning'!A1068</f>
        <v>121m</v>
      </c>
      <c r="B1068" s="6" t="str">
        <f>'Reported burning'!B1068</f>
        <v>121m.1</v>
      </c>
      <c r="C1068" s="6" t="str">
        <f>'Reported burning'!C1068</f>
        <v>Human, deliberate</v>
      </c>
      <c r="D1068" s="6" t="str">
        <f>'Reported burning'!D1068</f>
        <v>Crop field preparation</v>
      </c>
      <c r="E1068" s="6" t="str">
        <f>'Reported burning'!E1068</f>
        <v>Cropping, Swidden</v>
      </c>
      <c r="F1068" s="6" t="str">
        <f>'Reported burning'!F1068</f>
        <v>Secondary Vegetation</v>
      </c>
      <c r="G1068" s="6" t="str">
        <f>'Reported burning'!G1068</f>
        <v>ND</v>
      </c>
      <c r="H1068" s="6" t="str">
        <f>'Reported burning'!H1068</f>
        <v>Presence</v>
      </c>
      <c r="I1068" s="3"/>
      <c r="J1068" s="3" t="s">
        <v>2276</v>
      </c>
      <c r="K1068" s="3" t="s">
        <v>2276</v>
      </c>
      <c r="L1068" s="3" t="s">
        <v>2276</v>
      </c>
      <c r="M1068" s="3" t="s">
        <v>2276</v>
      </c>
      <c r="N1068" s="3" t="s">
        <v>2276</v>
      </c>
      <c r="O1068" s="3" t="s">
        <v>2276</v>
      </c>
      <c r="P1068" s="3" t="s">
        <v>2276</v>
      </c>
      <c r="Q1068" s="3" t="s">
        <v>2276</v>
      </c>
      <c r="R1068" s="3" t="s">
        <v>2276</v>
      </c>
      <c r="S1068" s="3" t="s">
        <v>2276</v>
      </c>
      <c r="T1068" s="3" t="s">
        <v>2276</v>
      </c>
      <c r="U1068" s="3" t="s">
        <v>2276</v>
      </c>
      <c r="V1068" s="3" t="s">
        <v>2276</v>
      </c>
      <c r="W1068" s="3" t="s">
        <v>2403</v>
      </c>
      <c r="X1068" s="3" t="s">
        <v>2276</v>
      </c>
      <c r="Y1068" s="3" t="s">
        <v>2276</v>
      </c>
      <c r="Z1068" s="3" t="s">
        <v>2276</v>
      </c>
      <c r="AA1068" s="3"/>
      <c r="AB1068" s="4" t="s">
        <v>3283</v>
      </c>
    </row>
    <row r="1069" spans="1:28" ht="32.5" customHeight="1">
      <c r="A1069" s="6" t="str">
        <f>'Reported burning'!A1069</f>
        <v>121n</v>
      </c>
      <c r="B1069" s="6" t="str">
        <f>'Reported burning'!B1069</f>
        <v>121n.1</v>
      </c>
      <c r="C1069" s="6" t="str">
        <f>'Reported burning'!C1069</f>
        <v>Human, deliberate</v>
      </c>
      <c r="D1069" s="6" t="str">
        <f>'Reported burning'!D1069</f>
        <v>Crop field preparation</v>
      </c>
      <c r="E1069" s="6" t="str">
        <f>'Reported burning'!E1069</f>
        <v>Cropping, Swidden</v>
      </c>
      <c r="F1069" s="6" t="str">
        <f>'Reported burning'!F1069</f>
        <v>Secondary Vegetation</v>
      </c>
      <c r="G1069" s="6" t="str">
        <f>'Reported burning'!G1069</f>
        <v>ND</v>
      </c>
      <c r="H1069" s="6" t="str">
        <f>'Reported burning'!H1069</f>
        <v>Presence</v>
      </c>
      <c r="I1069" s="3"/>
      <c r="J1069" s="3" t="s">
        <v>2276</v>
      </c>
      <c r="K1069" s="3" t="s">
        <v>2276</v>
      </c>
      <c r="L1069" s="3" t="s">
        <v>2276</v>
      </c>
      <c r="M1069" s="3" t="s">
        <v>2276</v>
      </c>
      <c r="N1069" s="3" t="s">
        <v>2276</v>
      </c>
      <c r="O1069" s="3" t="s">
        <v>2276</v>
      </c>
      <c r="P1069" s="3" t="s">
        <v>2276</v>
      </c>
      <c r="Q1069" s="3" t="s">
        <v>2276</v>
      </c>
      <c r="R1069" s="3" t="s">
        <v>2276</v>
      </c>
      <c r="S1069" s="3" t="s">
        <v>2276</v>
      </c>
      <c r="T1069" s="3" t="s">
        <v>2276</v>
      </c>
      <c r="U1069" s="3" t="s">
        <v>2276</v>
      </c>
      <c r="V1069" s="3" t="s">
        <v>2276</v>
      </c>
      <c r="W1069" s="3" t="s">
        <v>2403</v>
      </c>
      <c r="X1069" s="3" t="s">
        <v>2276</v>
      </c>
      <c r="Y1069" s="3" t="s">
        <v>2276</v>
      </c>
      <c r="Z1069" s="3" t="s">
        <v>2276</v>
      </c>
      <c r="AA1069" s="3"/>
      <c r="AB1069" s="4" t="s">
        <v>3283</v>
      </c>
    </row>
    <row r="1070" spans="1:28" ht="82" customHeight="1">
      <c r="A1070" s="6" t="str">
        <f>'Reported burning'!A1070</f>
        <v>122a</v>
      </c>
      <c r="B1070" s="6" t="str">
        <f>'Reported burning'!B1070</f>
        <v>122a.1</v>
      </c>
      <c r="C1070" s="6" t="str">
        <f>'Reported burning'!C1070</f>
        <v>Human, deliberate</v>
      </c>
      <c r="D1070" s="6" t="str">
        <f>'Reported burning'!D1070</f>
        <v>Hunting</v>
      </c>
      <c r="E1070" s="6" t="str">
        <f>'Reported burning'!E1070</f>
        <v>Forestry, Traditional</v>
      </c>
      <c r="F1070" s="6" t="str">
        <f>'Reported burning'!F1070</f>
        <v>Grassland</v>
      </c>
      <c r="G1070" s="6" t="str">
        <f>'Reported burning'!G1070</f>
        <v>ND</v>
      </c>
      <c r="H1070" s="6" t="str">
        <f>'Reported burning'!H1070</f>
        <v>Presence</v>
      </c>
      <c r="I1070" s="3"/>
      <c r="J1070" s="3" t="s">
        <v>2276</v>
      </c>
      <c r="K1070" s="3" t="s">
        <v>2276</v>
      </c>
      <c r="L1070" s="3" t="s">
        <v>2276</v>
      </c>
      <c r="M1070" s="3" t="s">
        <v>2276</v>
      </c>
      <c r="N1070" s="3" t="s">
        <v>2276</v>
      </c>
      <c r="O1070" s="3" t="s">
        <v>2276</v>
      </c>
      <c r="P1070" s="3" t="s">
        <v>2276</v>
      </c>
      <c r="Q1070" s="3" t="s">
        <v>2276</v>
      </c>
      <c r="R1070" s="3" t="s">
        <v>2276</v>
      </c>
      <c r="S1070" s="3" t="s">
        <v>2276</v>
      </c>
      <c r="T1070" s="3" t="s">
        <v>2276</v>
      </c>
      <c r="U1070" s="3" t="s">
        <v>2276</v>
      </c>
      <c r="V1070" s="3" t="s">
        <v>2276</v>
      </c>
      <c r="W1070" s="3" t="s">
        <v>2276</v>
      </c>
      <c r="X1070" s="3" t="s">
        <v>34</v>
      </c>
      <c r="Y1070" s="3" t="s">
        <v>404</v>
      </c>
      <c r="Z1070" s="3" t="s">
        <v>76</v>
      </c>
      <c r="AA1070" s="4" t="s">
        <v>3294</v>
      </c>
      <c r="AB1070" s="4" t="s">
        <v>3292</v>
      </c>
    </row>
    <row r="1071" spans="1:28" ht="76.5" customHeight="1">
      <c r="A1071" s="6" t="str">
        <f>'Reported burning'!A1071</f>
        <v>122a</v>
      </c>
      <c r="B1071" s="6" t="str">
        <f>'Reported burning'!B1071</f>
        <v>122a.2</v>
      </c>
      <c r="C1071" s="6" t="str">
        <f>'Reported burning'!C1071</f>
        <v>Human, deliberate</v>
      </c>
      <c r="D1071" s="6" t="str">
        <f>'Reported burning'!D1071</f>
        <v>Hunting</v>
      </c>
      <c r="E1071" s="6" t="str">
        <f>'Reported burning'!E1071</f>
        <v>Forestry, Traditional</v>
      </c>
      <c r="F1071" s="6" t="str">
        <f>'Reported burning'!F1071</f>
        <v>Shrubland (Mixed forest &amp; grassland)</v>
      </c>
      <c r="G1071" s="6" t="str">
        <f>'Reported burning'!G1071</f>
        <v>ND</v>
      </c>
      <c r="H1071" s="6" t="str">
        <f>'Reported burning'!H1071</f>
        <v>Presence</v>
      </c>
      <c r="I1071" s="3"/>
      <c r="J1071" s="3" t="s">
        <v>2276</v>
      </c>
      <c r="K1071" s="3" t="s">
        <v>2276</v>
      </c>
      <c r="L1071" s="3" t="s">
        <v>2276</v>
      </c>
      <c r="M1071" s="3" t="s">
        <v>2276</v>
      </c>
      <c r="N1071" s="3" t="s">
        <v>2276</v>
      </c>
      <c r="O1071" s="3" t="s">
        <v>2276</v>
      </c>
      <c r="P1071" s="3" t="s">
        <v>2276</v>
      </c>
      <c r="Q1071" s="3" t="s">
        <v>2276</v>
      </c>
      <c r="R1071" s="3" t="s">
        <v>2276</v>
      </c>
      <c r="S1071" s="3" t="s">
        <v>2276</v>
      </c>
      <c r="T1071" s="3" t="s">
        <v>2276</v>
      </c>
      <c r="U1071" s="3" t="s">
        <v>2276</v>
      </c>
      <c r="V1071" s="3" t="s">
        <v>2276</v>
      </c>
      <c r="W1071" s="3" t="s">
        <v>2276</v>
      </c>
      <c r="X1071" s="3" t="s">
        <v>405</v>
      </c>
      <c r="Y1071" s="3" t="s">
        <v>425</v>
      </c>
      <c r="Z1071" s="3" t="s">
        <v>76</v>
      </c>
      <c r="AA1071" s="3"/>
      <c r="AB1071" s="3"/>
    </row>
    <row r="1072" spans="1:28" ht="49.5" customHeight="1">
      <c r="A1072" s="6" t="str">
        <f>'Reported burning'!A1072</f>
        <v>123a</v>
      </c>
      <c r="B1072" s="6" t="str">
        <f>'Reported burning'!B1072</f>
        <v>123a.1</v>
      </c>
      <c r="C1072" s="6" t="str">
        <f>'Reported burning'!C1072</f>
        <v>Human, deliberate</v>
      </c>
      <c r="D1072" s="6" t="str">
        <f>'Reported burning'!D1072</f>
        <v>Pasture renewal</v>
      </c>
      <c r="E1072" s="6" t="str">
        <f>'Reported burning'!E1072</f>
        <v>Pastoralism, Migratory</v>
      </c>
      <c r="F1072" s="6" t="str">
        <f>'Reported burning'!F1072</f>
        <v>Grassland</v>
      </c>
      <c r="G1072" s="6" t="str">
        <f>'Reported burning'!G1072</f>
        <v>ND</v>
      </c>
      <c r="H1072" s="6" t="str">
        <f>'Reported burning'!H1072</f>
        <v>Presence</v>
      </c>
      <c r="I1072" s="3"/>
      <c r="J1072" s="3" t="s">
        <v>2276</v>
      </c>
      <c r="K1072" s="3" t="s">
        <v>2276</v>
      </c>
      <c r="L1072" s="3" t="s">
        <v>2276</v>
      </c>
      <c r="M1072" s="3" t="s">
        <v>2276</v>
      </c>
      <c r="N1072" s="3" t="s">
        <v>2276</v>
      </c>
      <c r="O1072" s="3" t="s">
        <v>2276</v>
      </c>
      <c r="P1072" s="3" t="s">
        <v>2276</v>
      </c>
      <c r="Q1072" s="3" t="s">
        <v>2276</v>
      </c>
      <c r="R1072" s="3" t="s">
        <v>2276</v>
      </c>
      <c r="S1072" s="3" t="s">
        <v>2276</v>
      </c>
      <c r="T1072" s="3" t="s">
        <v>2276</v>
      </c>
      <c r="U1072" s="3" t="s">
        <v>2276</v>
      </c>
      <c r="V1072" s="3" t="s">
        <v>2276</v>
      </c>
      <c r="W1072" s="3" t="s">
        <v>2276</v>
      </c>
      <c r="X1072" s="3" t="s">
        <v>188</v>
      </c>
      <c r="Y1072" s="3" t="s">
        <v>189</v>
      </c>
      <c r="Z1072" s="3" t="s">
        <v>2655</v>
      </c>
      <c r="AA1072" s="4" t="s">
        <v>3319</v>
      </c>
      <c r="AB1072" s="4" t="s">
        <v>3310</v>
      </c>
    </row>
    <row r="1073" spans="1:28" ht="49.5" customHeight="1">
      <c r="A1073" s="6" t="str">
        <f>'Reported burning'!A1073</f>
        <v>123a</v>
      </c>
      <c r="B1073" s="6" t="str">
        <f>'Reported burning'!B1073</f>
        <v>123a.2</v>
      </c>
      <c r="C1073" s="6" t="str">
        <f>'Reported burning'!C1073</f>
        <v>Human, deliberate</v>
      </c>
      <c r="D1073" s="6" t="str">
        <f>'Reported burning'!D1073</f>
        <v>Pasture renewal</v>
      </c>
      <c r="E1073" s="6" t="str">
        <f>'Reported burning'!E1073</f>
        <v>Pastoralism, Migratory</v>
      </c>
      <c r="F1073" s="6" t="str">
        <f>'Reported burning'!F1073</f>
        <v>Shrubland (Mixed forest &amp; grassland)</v>
      </c>
      <c r="G1073" s="6" t="str">
        <f>'Reported burning'!G1073</f>
        <v>ND</v>
      </c>
      <c r="H1073" s="6" t="str">
        <f>'Reported burning'!H1073</f>
        <v>Presence</v>
      </c>
      <c r="I1073" s="3"/>
      <c r="J1073" s="3" t="s">
        <v>2276</v>
      </c>
      <c r="K1073" s="3" t="s">
        <v>2276</v>
      </c>
      <c r="L1073" s="3" t="s">
        <v>2276</v>
      </c>
      <c r="M1073" s="3" t="s">
        <v>2276</v>
      </c>
      <c r="N1073" s="3" t="s">
        <v>2276</v>
      </c>
      <c r="O1073" s="3" t="s">
        <v>2276</v>
      </c>
      <c r="P1073" s="3" t="s">
        <v>2276</v>
      </c>
      <c r="Q1073" s="3" t="s">
        <v>2276</v>
      </c>
      <c r="R1073" s="3" t="s">
        <v>2276</v>
      </c>
      <c r="S1073" s="3" t="s">
        <v>2276</v>
      </c>
      <c r="T1073" s="3" t="s">
        <v>2276</v>
      </c>
      <c r="U1073" s="3" t="s">
        <v>2276</v>
      </c>
      <c r="V1073" s="3" t="s">
        <v>2276</v>
      </c>
      <c r="W1073" s="3" t="s">
        <v>2276</v>
      </c>
      <c r="X1073" s="3" t="s">
        <v>188</v>
      </c>
      <c r="Y1073" s="3" t="s">
        <v>189</v>
      </c>
      <c r="Z1073" s="3" t="s">
        <v>2655</v>
      </c>
      <c r="AA1073" s="4" t="s">
        <v>3319</v>
      </c>
      <c r="AB1073" s="4" t="s">
        <v>3310</v>
      </c>
    </row>
    <row r="1074" spans="1:28" ht="49.5" customHeight="1">
      <c r="A1074" s="6" t="str">
        <f>'Reported burning'!A1074</f>
        <v>123b</v>
      </c>
      <c r="B1074" s="6" t="str">
        <f>'Reported burning'!B1074</f>
        <v>123b.1</v>
      </c>
      <c r="C1074" s="6" t="str">
        <f>'Reported burning'!C1074</f>
        <v>Human, deliberate</v>
      </c>
      <c r="D1074" s="6" t="str">
        <f>'Reported burning'!D1074</f>
        <v>Pasture renewal</v>
      </c>
      <c r="E1074" s="6" t="str">
        <f>'Reported burning'!E1074</f>
        <v>Pastoralism, Migratory</v>
      </c>
      <c r="F1074" s="6" t="str">
        <f>'Reported burning'!F1074</f>
        <v>Grassland</v>
      </c>
      <c r="G1074" s="6" t="str">
        <f>'Reported burning'!G1074</f>
        <v>ND</v>
      </c>
      <c r="H1074" s="6" t="str">
        <f>'Reported burning'!H1074</f>
        <v>Presence</v>
      </c>
      <c r="I1074" s="3"/>
      <c r="J1074" s="3" t="s">
        <v>2276</v>
      </c>
      <c r="K1074" s="3" t="s">
        <v>2276</v>
      </c>
      <c r="L1074" s="3" t="s">
        <v>2276</v>
      </c>
      <c r="M1074" s="3" t="s">
        <v>2276</v>
      </c>
      <c r="N1074" s="3" t="s">
        <v>2276</v>
      </c>
      <c r="O1074" s="3" t="s">
        <v>2276</v>
      </c>
      <c r="P1074" s="3" t="s">
        <v>2276</v>
      </c>
      <c r="Q1074" s="3" t="s">
        <v>2276</v>
      </c>
      <c r="R1074" s="3" t="s">
        <v>2276</v>
      </c>
      <c r="S1074" s="3" t="s">
        <v>2276</v>
      </c>
      <c r="T1074" s="3" t="s">
        <v>2276</v>
      </c>
      <c r="U1074" s="3" t="s">
        <v>2276</v>
      </c>
      <c r="V1074" s="3" t="s">
        <v>2276</v>
      </c>
      <c r="W1074" s="3" t="s">
        <v>2276</v>
      </c>
      <c r="X1074" s="3" t="s">
        <v>188</v>
      </c>
      <c r="Y1074" s="3" t="s">
        <v>189</v>
      </c>
      <c r="Z1074" s="3" t="s">
        <v>2655</v>
      </c>
      <c r="AA1074" s="4" t="s">
        <v>3319</v>
      </c>
      <c r="AB1074" s="4" t="s">
        <v>3310</v>
      </c>
    </row>
    <row r="1075" spans="1:28" ht="49.5" customHeight="1">
      <c r="A1075" s="6" t="str">
        <f>'Reported burning'!A1075</f>
        <v>123b</v>
      </c>
      <c r="B1075" s="6" t="str">
        <f>'Reported burning'!B1075</f>
        <v>123b.2</v>
      </c>
      <c r="C1075" s="6" t="str">
        <f>'Reported burning'!C1075</f>
        <v>Human, deliberate</v>
      </c>
      <c r="D1075" s="6" t="str">
        <f>'Reported burning'!D1075</f>
        <v>Pasture renewal</v>
      </c>
      <c r="E1075" s="6" t="str">
        <f>'Reported burning'!E1075</f>
        <v>Pastoralism, Migratory</v>
      </c>
      <c r="F1075" s="6" t="str">
        <f>'Reported burning'!F1075</f>
        <v>Shrubland (Mixed forest &amp; grassland)</v>
      </c>
      <c r="G1075" s="6" t="str">
        <f>'Reported burning'!G1075</f>
        <v>ND</v>
      </c>
      <c r="H1075" s="6" t="str">
        <f>'Reported burning'!H1075</f>
        <v>Presence</v>
      </c>
      <c r="I1075" s="3"/>
      <c r="J1075" s="3" t="s">
        <v>2276</v>
      </c>
      <c r="K1075" s="3" t="s">
        <v>2276</v>
      </c>
      <c r="L1075" s="3" t="s">
        <v>2276</v>
      </c>
      <c r="M1075" s="3" t="s">
        <v>2276</v>
      </c>
      <c r="N1075" s="3" t="s">
        <v>2276</v>
      </c>
      <c r="O1075" s="3" t="s">
        <v>2276</v>
      </c>
      <c r="P1075" s="3" t="s">
        <v>2276</v>
      </c>
      <c r="Q1075" s="3" t="s">
        <v>2276</v>
      </c>
      <c r="R1075" s="3" t="s">
        <v>2276</v>
      </c>
      <c r="S1075" s="3" t="s">
        <v>2276</v>
      </c>
      <c r="T1075" s="3" t="s">
        <v>2276</v>
      </c>
      <c r="U1075" s="3" t="s">
        <v>2276</v>
      </c>
      <c r="V1075" s="3" t="s">
        <v>2276</v>
      </c>
      <c r="W1075" s="3" t="s">
        <v>2276</v>
      </c>
      <c r="X1075" s="3" t="s">
        <v>188</v>
      </c>
      <c r="Y1075" s="3" t="s">
        <v>189</v>
      </c>
      <c r="Z1075" s="3" t="s">
        <v>2655</v>
      </c>
      <c r="AA1075" s="4" t="s">
        <v>3319</v>
      </c>
      <c r="AB1075" s="4" t="s">
        <v>3310</v>
      </c>
    </row>
    <row r="1076" spans="1:28" ht="49.5" customHeight="1">
      <c r="A1076" s="6" t="str">
        <f>'Reported burning'!A1076</f>
        <v>123c</v>
      </c>
      <c r="B1076" s="6" t="str">
        <f>'Reported burning'!B1076</f>
        <v>123c.1</v>
      </c>
      <c r="C1076" s="6" t="str">
        <f>'Reported burning'!C1076</f>
        <v>Human, deliberate</v>
      </c>
      <c r="D1076" s="6" t="str">
        <f>'Reported burning'!D1076</f>
        <v>Pasture renewal</v>
      </c>
      <c r="E1076" s="6" t="str">
        <f>'Reported burning'!E1076</f>
        <v>Pastoralism, Migratory</v>
      </c>
      <c r="F1076" s="6" t="str">
        <f>'Reported burning'!F1076</f>
        <v>Grassland</v>
      </c>
      <c r="G1076" s="6" t="str">
        <f>'Reported burning'!G1076</f>
        <v>ND</v>
      </c>
      <c r="H1076" s="6" t="str">
        <f>'Reported burning'!H1076</f>
        <v>Presence</v>
      </c>
      <c r="I1076" s="3"/>
      <c r="J1076" s="3" t="s">
        <v>2276</v>
      </c>
      <c r="K1076" s="3" t="s">
        <v>2276</v>
      </c>
      <c r="L1076" s="3" t="s">
        <v>2276</v>
      </c>
      <c r="M1076" s="3" t="s">
        <v>2276</v>
      </c>
      <c r="N1076" s="3" t="s">
        <v>2276</v>
      </c>
      <c r="O1076" s="3" t="s">
        <v>2276</v>
      </c>
      <c r="P1076" s="3" t="s">
        <v>2276</v>
      </c>
      <c r="Q1076" s="3" t="s">
        <v>2276</v>
      </c>
      <c r="R1076" s="3" t="s">
        <v>2276</v>
      </c>
      <c r="S1076" s="3" t="s">
        <v>2276</v>
      </c>
      <c r="T1076" s="3" t="s">
        <v>2276</v>
      </c>
      <c r="U1076" s="3" t="s">
        <v>2276</v>
      </c>
      <c r="V1076" s="3" t="s">
        <v>2276</v>
      </c>
      <c r="W1076" s="3" t="s">
        <v>2276</v>
      </c>
      <c r="X1076" s="3" t="s">
        <v>188</v>
      </c>
      <c r="Y1076" s="3" t="s">
        <v>189</v>
      </c>
      <c r="Z1076" s="3" t="s">
        <v>2655</v>
      </c>
      <c r="AA1076" s="4" t="s">
        <v>3319</v>
      </c>
      <c r="AB1076" s="4" t="s">
        <v>3310</v>
      </c>
    </row>
    <row r="1077" spans="1:28" ht="49.5" customHeight="1">
      <c r="A1077" s="6" t="str">
        <f>'Reported burning'!A1077</f>
        <v>123c</v>
      </c>
      <c r="B1077" s="6" t="str">
        <f>'Reported burning'!B1077</f>
        <v>123c.2</v>
      </c>
      <c r="C1077" s="6" t="str">
        <f>'Reported burning'!C1077</f>
        <v>Human, deliberate</v>
      </c>
      <c r="D1077" s="6" t="str">
        <f>'Reported burning'!D1077</f>
        <v>Pasture renewal</v>
      </c>
      <c r="E1077" s="6" t="str">
        <f>'Reported burning'!E1077</f>
        <v>Pastoralism, Migratory</v>
      </c>
      <c r="F1077" s="6" t="str">
        <f>'Reported burning'!F1077</f>
        <v>Shrubland (Mixed forest &amp; grassland)</v>
      </c>
      <c r="G1077" s="6" t="str">
        <f>'Reported burning'!G1077</f>
        <v>ND</v>
      </c>
      <c r="H1077" s="6" t="str">
        <f>'Reported burning'!H1077</f>
        <v>Presence</v>
      </c>
      <c r="I1077" s="3"/>
      <c r="J1077" s="3" t="s">
        <v>2276</v>
      </c>
      <c r="K1077" s="3" t="s">
        <v>2276</v>
      </c>
      <c r="L1077" s="3" t="s">
        <v>2276</v>
      </c>
      <c r="M1077" s="3" t="s">
        <v>2276</v>
      </c>
      <c r="N1077" s="3" t="s">
        <v>2276</v>
      </c>
      <c r="O1077" s="3" t="s">
        <v>2276</v>
      </c>
      <c r="P1077" s="3" t="s">
        <v>2276</v>
      </c>
      <c r="Q1077" s="3" t="s">
        <v>2276</v>
      </c>
      <c r="R1077" s="3" t="s">
        <v>2276</v>
      </c>
      <c r="S1077" s="3" t="s">
        <v>2276</v>
      </c>
      <c r="T1077" s="3" t="s">
        <v>2276</v>
      </c>
      <c r="U1077" s="3" t="s">
        <v>2276</v>
      </c>
      <c r="V1077" s="3" t="s">
        <v>2276</v>
      </c>
      <c r="W1077" s="3" t="s">
        <v>2276</v>
      </c>
      <c r="X1077" s="3" t="s">
        <v>188</v>
      </c>
      <c r="Y1077" s="3" t="s">
        <v>189</v>
      </c>
      <c r="Z1077" s="3" t="s">
        <v>2655</v>
      </c>
      <c r="AA1077" s="4" t="s">
        <v>3319</v>
      </c>
      <c r="AB1077" s="4" t="s">
        <v>3310</v>
      </c>
    </row>
    <row r="1078" spans="1:28" ht="49.5" customHeight="1">
      <c r="A1078" s="6" t="str">
        <f>'Reported burning'!A1078</f>
        <v>123d</v>
      </c>
      <c r="B1078" s="6" t="str">
        <f>'Reported burning'!B1078</f>
        <v>123d.1</v>
      </c>
      <c r="C1078" s="6" t="str">
        <f>'Reported burning'!C1078</f>
        <v>Human, deliberate</v>
      </c>
      <c r="D1078" s="6" t="str">
        <f>'Reported burning'!D1078</f>
        <v>Pasture renewal</v>
      </c>
      <c r="E1078" s="6" t="str">
        <f>'Reported burning'!E1078</f>
        <v>Pastoralism, Migratory</v>
      </c>
      <c r="F1078" s="6" t="str">
        <f>'Reported burning'!F1078</f>
        <v>Grassland</v>
      </c>
      <c r="G1078" s="6" t="str">
        <f>'Reported burning'!G1078</f>
        <v>ND</v>
      </c>
      <c r="H1078" s="6" t="str">
        <f>'Reported burning'!H1078</f>
        <v>Presence</v>
      </c>
      <c r="I1078" s="3"/>
      <c r="J1078" s="3" t="s">
        <v>2276</v>
      </c>
      <c r="K1078" s="3" t="s">
        <v>2276</v>
      </c>
      <c r="L1078" s="3" t="s">
        <v>2276</v>
      </c>
      <c r="M1078" s="3" t="s">
        <v>2276</v>
      </c>
      <c r="N1078" s="3" t="s">
        <v>2276</v>
      </c>
      <c r="O1078" s="3" t="s">
        <v>2276</v>
      </c>
      <c r="P1078" s="3" t="s">
        <v>2276</v>
      </c>
      <c r="Q1078" s="3" t="s">
        <v>2276</v>
      </c>
      <c r="R1078" s="3" t="s">
        <v>2276</v>
      </c>
      <c r="S1078" s="3" t="s">
        <v>2276</v>
      </c>
      <c r="T1078" s="3" t="s">
        <v>2276</v>
      </c>
      <c r="U1078" s="3" t="s">
        <v>2276</v>
      </c>
      <c r="V1078" s="3" t="s">
        <v>2276</v>
      </c>
      <c r="W1078" s="3" t="s">
        <v>2401</v>
      </c>
      <c r="X1078" s="3" t="s">
        <v>188</v>
      </c>
      <c r="Y1078" s="3" t="s">
        <v>189</v>
      </c>
      <c r="Z1078" s="3" t="s">
        <v>2655</v>
      </c>
      <c r="AA1078" s="4" t="s">
        <v>3318</v>
      </c>
      <c r="AB1078" s="4" t="s">
        <v>3310</v>
      </c>
    </row>
    <row r="1079" spans="1:28" ht="43.5">
      <c r="A1079" s="6" t="str">
        <f>'Reported burning'!A1079</f>
        <v>123e</v>
      </c>
      <c r="B1079" s="6" t="str">
        <f>'Reported burning'!B1079</f>
        <v>123e.1</v>
      </c>
      <c r="C1079" s="6" t="str">
        <f>'Reported burning'!C1079</f>
        <v>Human, deliberate</v>
      </c>
      <c r="D1079" s="6" t="str">
        <f>'Reported burning'!D1079</f>
        <v>Pasture renewal</v>
      </c>
      <c r="E1079" s="6" t="str">
        <f>'Reported burning'!E1079</f>
        <v>Pastoralism, Migratory</v>
      </c>
      <c r="F1079" s="6" t="str">
        <f>'Reported burning'!F1079</f>
        <v>Grassland</v>
      </c>
      <c r="G1079" s="6" t="str">
        <f>'Reported burning'!G1079</f>
        <v>ND</v>
      </c>
      <c r="H1079" s="6" t="str">
        <f>'Reported burning'!H1079</f>
        <v>Presence</v>
      </c>
      <c r="I1079" s="3"/>
      <c r="J1079" s="3" t="s">
        <v>2276</v>
      </c>
      <c r="K1079" s="3" t="s">
        <v>2276</v>
      </c>
      <c r="L1079" s="3" t="s">
        <v>2276</v>
      </c>
      <c r="M1079" s="3" t="s">
        <v>2276</v>
      </c>
      <c r="N1079" s="3" t="s">
        <v>2276</v>
      </c>
      <c r="O1079" s="3" t="s">
        <v>2276</v>
      </c>
      <c r="P1079" s="3" t="s">
        <v>2276</v>
      </c>
      <c r="Q1079" s="3" t="s">
        <v>2276</v>
      </c>
      <c r="R1079" s="3" t="s">
        <v>2276</v>
      </c>
      <c r="S1079" s="3" t="s">
        <v>2276</v>
      </c>
      <c r="T1079" s="3" t="s">
        <v>2276</v>
      </c>
      <c r="U1079" s="3" t="s">
        <v>2276</v>
      </c>
      <c r="V1079" s="3" t="s">
        <v>2276</v>
      </c>
      <c r="W1079" s="3" t="s">
        <v>2401</v>
      </c>
      <c r="X1079" s="3" t="s">
        <v>188</v>
      </c>
      <c r="Y1079" s="3" t="s">
        <v>189</v>
      </c>
      <c r="Z1079" s="3" t="s">
        <v>2655</v>
      </c>
      <c r="AA1079" s="4" t="s">
        <v>3318</v>
      </c>
      <c r="AB1079" s="4" t="s">
        <v>3310</v>
      </c>
    </row>
    <row r="1080" spans="1:28" ht="43.5">
      <c r="A1080" s="6" t="str">
        <f>'Reported burning'!A1080</f>
        <v>123f</v>
      </c>
      <c r="B1080" s="6" t="str">
        <f>'Reported burning'!B1080</f>
        <v>123f.1</v>
      </c>
      <c r="C1080" s="6" t="str">
        <f>'Reported burning'!C1080</f>
        <v>Human, deliberate</v>
      </c>
      <c r="D1080" s="6" t="str">
        <f>'Reported burning'!D1080</f>
        <v>Pasture renewal</v>
      </c>
      <c r="E1080" s="6" t="str">
        <f>'Reported burning'!E1080</f>
        <v>Pastoralism, Migratory</v>
      </c>
      <c r="F1080" s="6" t="str">
        <f>'Reported burning'!F1080</f>
        <v>Grassland</v>
      </c>
      <c r="G1080" s="6" t="str">
        <f>'Reported burning'!G1080</f>
        <v>ND</v>
      </c>
      <c r="H1080" s="6" t="str">
        <f>'Reported burning'!H1080</f>
        <v>Presence</v>
      </c>
      <c r="I1080" s="3"/>
      <c r="J1080" s="3" t="s">
        <v>2276</v>
      </c>
      <c r="K1080" s="3" t="s">
        <v>2276</v>
      </c>
      <c r="L1080" s="3" t="s">
        <v>2276</v>
      </c>
      <c r="M1080" s="3" t="s">
        <v>2276</v>
      </c>
      <c r="N1080" s="3" t="s">
        <v>2276</v>
      </c>
      <c r="O1080" s="3" t="s">
        <v>2276</v>
      </c>
      <c r="P1080" s="3" t="s">
        <v>2276</v>
      </c>
      <c r="Q1080" s="3" t="s">
        <v>2276</v>
      </c>
      <c r="R1080" s="3" t="s">
        <v>2276</v>
      </c>
      <c r="S1080" s="3" t="s">
        <v>2276</v>
      </c>
      <c r="T1080" s="3" t="s">
        <v>2276</v>
      </c>
      <c r="U1080" s="3" t="s">
        <v>2276</v>
      </c>
      <c r="V1080" s="3" t="s">
        <v>2276</v>
      </c>
      <c r="W1080" s="3" t="s">
        <v>2401</v>
      </c>
      <c r="X1080" s="3" t="s">
        <v>188</v>
      </c>
      <c r="Y1080" s="3" t="s">
        <v>189</v>
      </c>
      <c r="Z1080" s="3" t="s">
        <v>2655</v>
      </c>
      <c r="AA1080" s="4" t="s">
        <v>3318</v>
      </c>
      <c r="AB1080" s="4" t="s">
        <v>3310</v>
      </c>
    </row>
    <row r="1081" spans="1:28" ht="32" customHeight="1">
      <c r="A1081" s="6" t="str">
        <f>'Reported burning'!A1081</f>
        <v>123a</v>
      </c>
      <c r="B1081" s="6" t="str">
        <f>'Reported burning'!B1081</f>
        <v>123a.3</v>
      </c>
      <c r="C1081" s="6" t="str">
        <f>'Reported burning'!C1081</f>
        <v>Human, deliberate</v>
      </c>
      <c r="D1081" s="6" t="str">
        <f>'Reported burning'!D1081</f>
        <v>Conservation</v>
      </c>
      <c r="E1081" s="6" t="str">
        <f>'Reported burning'!E1081</f>
        <v>Biodiversity conservation</v>
      </c>
      <c r="F1081" s="6" t="str">
        <f>'Reported burning'!F1081</f>
        <v>Grassland</v>
      </c>
      <c r="G1081" s="6" t="str">
        <f>'Reported burning'!G1081</f>
        <v>ND</v>
      </c>
      <c r="H1081" s="6" t="str">
        <f>'Reported burning'!H1081</f>
        <v>Presence</v>
      </c>
      <c r="I1081" s="3"/>
      <c r="J1081" s="3" t="s">
        <v>2276</v>
      </c>
      <c r="K1081" s="3" t="s">
        <v>2276</v>
      </c>
      <c r="L1081" s="3" t="s">
        <v>2276</v>
      </c>
      <c r="M1081" s="3" t="s">
        <v>2276</v>
      </c>
      <c r="N1081" s="3" t="s">
        <v>2276</v>
      </c>
      <c r="O1081" s="3" t="s">
        <v>2276</v>
      </c>
      <c r="P1081" s="3" t="s">
        <v>2276</v>
      </c>
      <c r="Q1081" s="3" t="s">
        <v>2276</v>
      </c>
      <c r="R1081" s="3" t="s">
        <v>2276</v>
      </c>
      <c r="S1081" s="3" t="s">
        <v>2276</v>
      </c>
      <c r="T1081" s="3" t="s">
        <v>2276</v>
      </c>
      <c r="U1081" s="3" t="s">
        <v>2276</v>
      </c>
      <c r="V1081" s="3" t="s">
        <v>2276</v>
      </c>
      <c r="W1081" s="3" t="s">
        <v>2276</v>
      </c>
      <c r="X1081" s="3" t="s">
        <v>2276</v>
      </c>
      <c r="Y1081" s="3" t="s">
        <v>2276</v>
      </c>
      <c r="Z1081" s="3" t="s">
        <v>2276</v>
      </c>
      <c r="AA1081" s="4" t="s">
        <v>3328</v>
      </c>
      <c r="AB1081" s="4"/>
    </row>
    <row r="1082" spans="1:28" ht="32" customHeight="1">
      <c r="A1082" s="6" t="str">
        <f>'Reported burning'!A1082</f>
        <v>123a</v>
      </c>
      <c r="B1082" s="6" t="str">
        <f>'Reported burning'!B1082</f>
        <v>123a.4</v>
      </c>
      <c r="C1082" s="6" t="str">
        <f>'Reported burning'!C1082</f>
        <v>Human, deliberate</v>
      </c>
      <c r="D1082" s="6" t="str">
        <f>'Reported burning'!D1082</f>
        <v>Conservation</v>
      </c>
      <c r="E1082" s="6" t="str">
        <f>'Reported burning'!E1082</f>
        <v>Biodiversity conservation</v>
      </c>
      <c r="F1082" s="6" t="str">
        <f>'Reported burning'!F1082</f>
        <v>Shrubland (Mixed forest &amp; grassland)</v>
      </c>
      <c r="G1082" s="6" t="str">
        <f>'Reported burning'!G1082</f>
        <v>ND</v>
      </c>
      <c r="H1082" s="6" t="str">
        <f>'Reported burning'!H1082</f>
        <v>Presence</v>
      </c>
      <c r="I1082" s="3"/>
      <c r="J1082" s="3" t="s">
        <v>2276</v>
      </c>
      <c r="K1082" s="3" t="s">
        <v>2276</v>
      </c>
      <c r="L1082" s="3" t="s">
        <v>2276</v>
      </c>
      <c r="M1082" s="3" t="s">
        <v>2276</v>
      </c>
      <c r="N1082" s="3" t="s">
        <v>2276</v>
      </c>
      <c r="O1082" s="3" t="s">
        <v>2276</v>
      </c>
      <c r="P1082" s="3" t="s">
        <v>2276</v>
      </c>
      <c r="Q1082" s="3" t="s">
        <v>2276</v>
      </c>
      <c r="R1082" s="3" t="s">
        <v>2276</v>
      </c>
      <c r="S1082" s="3" t="s">
        <v>2276</v>
      </c>
      <c r="T1082" s="3" t="s">
        <v>2276</v>
      </c>
      <c r="U1082" s="3" t="s">
        <v>2276</v>
      </c>
      <c r="V1082" s="3" t="s">
        <v>2276</v>
      </c>
      <c r="W1082" s="3" t="s">
        <v>2276</v>
      </c>
      <c r="X1082" s="3" t="s">
        <v>2276</v>
      </c>
      <c r="Y1082" s="3" t="s">
        <v>2276</v>
      </c>
      <c r="Z1082" s="3" t="s">
        <v>2276</v>
      </c>
      <c r="AA1082" s="4" t="s">
        <v>3328</v>
      </c>
      <c r="AB1082" s="4"/>
    </row>
    <row r="1083" spans="1:28" ht="32" customHeight="1">
      <c r="A1083" s="6" t="str">
        <f>'Reported burning'!A1083</f>
        <v>123b</v>
      </c>
      <c r="B1083" s="6" t="str">
        <f>'Reported burning'!B1083</f>
        <v>123b.3</v>
      </c>
      <c r="C1083" s="6" t="str">
        <f>'Reported burning'!C1083</f>
        <v>Human, deliberate</v>
      </c>
      <c r="D1083" s="6" t="str">
        <f>'Reported burning'!D1083</f>
        <v>Conservation</v>
      </c>
      <c r="E1083" s="6" t="str">
        <f>'Reported burning'!E1083</f>
        <v>Biodiversity conservation</v>
      </c>
      <c r="F1083" s="6" t="str">
        <f>'Reported burning'!F1083</f>
        <v>Grassland</v>
      </c>
      <c r="G1083" s="6" t="str">
        <f>'Reported burning'!G1083</f>
        <v>ND</v>
      </c>
      <c r="H1083" s="6" t="str">
        <f>'Reported burning'!H1083</f>
        <v>Presence</v>
      </c>
      <c r="I1083" s="3"/>
      <c r="J1083" s="3" t="s">
        <v>2276</v>
      </c>
      <c r="K1083" s="3" t="s">
        <v>2276</v>
      </c>
      <c r="L1083" s="3" t="s">
        <v>2276</v>
      </c>
      <c r="M1083" s="3" t="s">
        <v>2276</v>
      </c>
      <c r="N1083" s="3" t="s">
        <v>2276</v>
      </c>
      <c r="O1083" s="3" t="s">
        <v>2276</v>
      </c>
      <c r="P1083" s="3" t="s">
        <v>2276</v>
      </c>
      <c r="Q1083" s="3" t="s">
        <v>2276</v>
      </c>
      <c r="R1083" s="3" t="s">
        <v>2276</v>
      </c>
      <c r="S1083" s="3" t="s">
        <v>2276</v>
      </c>
      <c r="T1083" s="3" t="s">
        <v>2276</v>
      </c>
      <c r="U1083" s="3" t="s">
        <v>2276</v>
      </c>
      <c r="V1083" s="3" t="s">
        <v>2276</v>
      </c>
      <c r="W1083" s="3" t="s">
        <v>2276</v>
      </c>
      <c r="X1083" s="3" t="s">
        <v>2276</v>
      </c>
      <c r="Y1083" s="3" t="s">
        <v>2276</v>
      </c>
      <c r="Z1083" s="3" t="s">
        <v>2276</v>
      </c>
      <c r="AA1083" s="4" t="s">
        <v>3328</v>
      </c>
      <c r="AB1083" s="4"/>
    </row>
    <row r="1084" spans="1:28" ht="32" customHeight="1">
      <c r="A1084" s="6" t="str">
        <f>'Reported burning'!A1084</f>
        <v>123b</v>
      </c>
      <c r="B1084" s="6" t="str">
        <f>'Reported burning'!B1084</f>
        <v>123b.4</v>
      </c>
      <c r="C1084" s="6" t="str">
        <f>'Reported burning'!C1084</f>
        <v>Human, deliberate</v>
      </c>
      <c r="D1084" s="6" t="str">
        <f>'Reported burning'!D1084</f>
        <v>Conservation</v>
      </c>
      <c r="E1084" s="6" t="str">
        <f>'Reported burning'!E1084</f>
        <v>Biodiversity conservation</v>
      </c>
      <c r="F1084" s="6" t="str">
        <f>'Reported burning'!F1084</f>
        <v>Shrubland (Mixed forest &amp; grassland)</v>
      </c>
      <c r="G1084" s="6" t="str">
        <f>'Reported burning'!G1084</f>
        <v>ND</v>
      </c>
      <c r="H1084" s="6" t="str">
        <f>'Reported burning'!H1084</f>
        <v>Presence</v>
      </c>
      <c r="I1084" s="3"/>
      <c r="J1084" s="3" t="s">
        <v>2276</v>
      </c>
      <c r="K1084" s="3" t="s">
        <v>2276</v>
      </c>
      <c r="L1084" s="3" t="s">
        <v>2276</v>
      </c>
      <c r="M1084" s="3" t="s">
        <v>2276</v>
      </c>
      <c r="N1084" s="3" t="s">
        <v>2276</v>
      </c>
      <c r="O1084" s="3" t="s">
        <v>2276</v>
      </c>
      <c r="P1084" s="3" t="s">
        <v>2276</v>
      </c>
      <c r="Q1084" s="3" t="s">
        <v>2276</v>
      </c>
      <c r="R1084" s="3" t="s">
        <v>2276</v>
      </c>
      <c r="S1084" s="3" t="s">
        <v>2276</v>
      </c>
      <c r="T1084" s="3" t="s">
        <v>2276</v>
      </c>
      <c r="U1084" s="3" t="s">
        <v>2276</v>
      </c>
      <c r="V1084" s="3" t="s">
        <v>2276</v>
      </c>
      <c r="W1084" s="3" t="s">
        <v>2276</v>
      </c>
      <c r="X1084" s="3" t="s">
        <v>2276</v>
      </c>
      <c r="Y1084" s="3" t="s">
        <v>2276</v>
      </c>
      <c r="Z1084" s="3" t="s">
        <v>2276</v>
      </c>
      <c r="AA1084" s="4" t="s">
        <v>3328</v>
      </c>
      <c r="AB1084" s="3"/>
    </row>
    <row r="1085" spans="1:28" ht="32" customHeight="1">
      <c r="A1085" s="6" t="str">
        <f>'Reported burning'!A1085</f>
        <v>123c</v>
      </c>
      <c r="B1085" s="6" t="str">
        <f>'Reported burning'!B1085</f>
        <v>123c.3</v>
      </c>
      <c r="C1085" s="6" t="str">
        <f>'Reported burning'!C1085</f>
        <v>Human, deliberate</v>
      </c>
      <c r="D1085" s="6" t="str">
        <f>'Reported burning'!D1085</f>
        <v>Conservation</v>
      </c>
      <c r="E1085" s="6" t="str">
        <f>'Reported burning'!E1085</f>
        <v>Biodiversity conservation</v>
      </c>
      <c r="F1085" s="6" t="str">
        <f>'Reported burning'!F1085</f>
        <v>Grassland</v>
      </c>
      <c r="G1085" s="6" t="str">
        <f>'Reported burning'!G1085</f>
        <v>ND</v>
      </c>
      <c r="H1085" s="6" t="str">
        <f>'Reported burning'!H1085</f>
        <v>Presence</v>
      </c>
      <c r="I1085" s="3"/>
      <c r="J1085" s="3" t="s">
        <v>2276</v>
      </c>
      <c r="K1085" s="3" t="s">
        <v>2276</v>
      </c>
      <c r="L1085" s="3" t="s">
        <v>2276</v>
      </c>
      <c r="M1085" s="3" t="s">
        <v>2276</v>
      </c>
      <c r="N1085" s="3" t="s">
        <v>2276</v>
      </c>
      <c r="O1085" s="3" t="s">
        <v>2276</v>
      </c>
      <c r="P1085" s="3" t="s">
        <v>2276</v>
      </c>
      <c r="Q1085" s="3" t="s">
        <v>2276</v>
      </c>
      <c r="R1085" s="3" t="s">
        <v>2276</v>
      </c>
      <c r="S1085" s="3" t="s">
        <v>2276</v>
      </c>
      <c r="T1085" s="3" t="s">
        <v>2276</v>
      </c>
      <c r="U1085" s="3" t="s">
        <v>2276</v>
      </c>
      <c r="V1085" s="3" t="s">
        <v>2276</v>
      </c>
      <c r="W1085" s="3" t="s">
        <v>2276</v>
      </c>
      <c r="X1085" s="3" t="s">
        <v>2276</v>
      </c>
      <c r="Y1085" s="3" t="s">
        <v>2276</v>
      </c>
      <c r="Z1085" s="3" t="s">
        <v>2276</v>
      </c>
      <c r="AA1085" s="4" t="s">
        <v>3328</v>
      </c>
      <c r="AB1085" s="3"/>
    </row>
    <row r="1086" spans="1:28" ht="32" customHeight="1">
      <c r="A1086" s="6" t="str">
        <f>'Reported burning'!A1086</f>
        <v>123c</v>
      </c>
      <c r="B1086" s="6" t="str">
        <f>'Reported burning'!B1086</f>
        <v>123c.4</v>
      </c>
      <c r="C1086" s="6" t="str">
        <f>'Reported burning'!C1086</f>
        <v>Human, deliberate</v>
      </c>
      <c r="D1086" s="6" t="str">
        <f>'Reported burning'!D1086</f>
        <v>Conservation</v>
      </c>
      <c r="E1086" s="6" t="str">
        <f>'Reported burning'!E1086</f>
        <v>Biodiversity conservation</v>
      </c>
      <c r="F1086" s="6" t="str">
        <f>'Reported burning'!F1086</f>
        <v>Shrubland (Mixed forest &amp; grassland)</v>
      </c>
      <c r="G1086" s="6" t="str">
        <f>'Reported burning'!G1086</f>
        <v>ND</v>
      </c>
      <c r="H1086" s="6" t="str">
        <f>'Reported burning'!H1086</f>
        <v>Presence</v>
      </c>
      <c r="I1086" s="3"/>
      <c r="J1086" s="3" t="s">
        <v>2276</v>
      </c>
      <c r="K1086" s="3" t="s">
        <v>2276</v>
      </c>
      <c r="L1086" s="3" t="s">
        <v>2276</v>
      </c>
      <c r="M1086" s="3" t="s">
        <v>2276</v>
      </c>
      <c r="N1086" s="3" t="s">
        <v>2276</v>
      </c>
      <c r="O1086" s="3" t="s">
        <v>2276</v>
      </c>
      <c r="P1086" s="3" t="s">
        <v>2276</v>
      </c>
      <c r="Q1086" s="3" t="s">
        <v>2276</v>
      </c>
      <c r="R1086" s="3" t="s">
        <v>2276</v>
      </c>
      <c r="S1086" s="3" t="s">
        <v>2276</v>
      </c>
      <c r="T1086" s="3" t="s">
        <v>2276</v>
      </c>
      <c r="U1086" s="3" t="s">
        <v>2276</v>
      </c>
      <c r="V1086" s="3" t="s">
        <v>2276</v>
      </c>
      <c r="W1086" s="3" t="s">
        <v>2276</v>
      </c>
      <c r="X1086" s="3" t="s">
        <v>2276</v>
      </c>
      <c r="Y1086" s="3" t="s">
        <v>2276</v>
      </c>
      <c r="Z1086" s="3" t="s">
        <v>2276</v>
      </c>
      <c r="AA1086" s="4" t="s">
        <v>3328</v>
      </c>
      <c r="AB1086" s="3"/>
    </row>
    <row r="1087" spans="1:28" ht="27" customHeight="1">
      <c r="A1087" s="6" t="str">
        <f>'Reported burning'!A1087</f>
        <v>124a</v>
      </c>
      <c r="B1087" s="6" t="str">
        <f>'Reported burning'!B1087</f>
        <v>124a.1</v>
      </c>
      <c r="C1087" s="6" t="str">
        <f>'Reported burning'!C1087</f>
        <v>Human, deliberate</v>
      </c>
      <c r="D1087" s="6" t="str">
        <f>'Reported burning'!D1087</f>
        <v>Fishing</v>
      </c>
      <c r="E1087" s="6" t="str">
        <f>'Reported burning'!E1087</f>
        <v>Forestry, Traditional</v>
      </c>
      <c r="F1087" s="6" t="str">
        <f>'Reported burning'!F1087</f>
        <v>Grassland</v>
      </c>
      <c r="G1087" s="6" t="str">
        <f>'Reported burning'!G1087</f>
        <v>ND</v>
      </c>
      <c r="H1087" s="6" t="str">
        <f>'Reported burning'!H1087</f>
        <v>Presence</v>
      </c>
      <c r="I1087" s="3"/>
      <c r="J1087" s="3" t="s">
        <v>2276</v>
      </c>
      <c r="K1087" s="3" t="s">
        <v>2276</v>
      </c>
      <c r="L1087" s="3" t="s">
        <v>2276</v>
      </c>
      <c r="M1087" s="3" t="s">
        <v>2276</v>
      </c>
      <c r="N1087" s="3" t="s">
        <v>2276</v>
      </c>
      <c r="O1087" s="3" t="s">
        <v>2276</v>
      </c>
      <c r="P1087" s="3" t="s">
        <v>2276</v>
      </c>
      <c r="Q1087" s="3" t="s">
        <v>2276</v>
      </c>
      <c r="R1087" s="3" t="s">
        <v>2276</v>
      </c>
      <c r="S1087" s="3" t="s">
        <v>2276</v>
      </c>
      <c r="T1087" s="3" t="s">
        <v>2276</v>
      </c>
      <c r="U1087" s="3" t="s">
        <v>2276</v>
      </c>
      <c r="V1087" s="3" t="s">
        <v>2276</v>
      </c>
      <c r="W1087" s="3" t="s">
        <v>2276</v>
      </c>
      <c r="X1087" s="3" t="s">
        <v>2276</v>
      </c>
      <c r="Y1087" s="3" t="s">
        <v>2276</v>
      </c>
      <c r="Z1087" s="3" t="s">
        <v>2276</v>
      </c>
      <c r="AA1087" s="19" t="s">
        <v>3340</v>
      </c>
      <c r="AB1087" s="3"/>
    </row>
    <row r="1088" spans="1:28" ht="27" customHeight="1">
      <c r="A1088" s="6" t="str">
        <f>'Reported burning'!A1088</f>
        <v>124a</v>
      </c>
      <c r="B1088" s="6" t="str">
        <f>'Reported burning'!B1088</f>
        <v>124a.2</v>
      </c>
      <c r="C1088" s="6" t="str">
        <f>'Reported burning'!C1088</f>
        <v>Human, deliberate</v>
      </c>
      <c r="D1088" s="6" t="str">
        <f>'Reported burning'!D1088</f>
        <v>Fishing</v>
      </c>
      <c r="E1088" s="6" t="str">
        <f>'Reported burning'!E1088</f>
        <v>Forestry, Traditional</v>
      </c>
      <c r="F1088" s="6" t="str">
        <f>'Reported burning'!F1088</f>
        <v>Secondary Vegetation</v>
      </c>
      <c r="G1088" s="6" t="str">
        <f>'Reported burning'!G1088</f>
        <v>ND</v>
      </c>
      <c r="H1088" s="6" t="str">
        <f>'Reported burning'!H1088</f>
        <v>Presence</v>
      </c>
      <c r="I1088" s="3"/>
      <c r="J1088" s="3" t="s">
        <v>2276</v>
      </c>
      <c r="K1088" s="3" t="s">
        <v>2276</v>
      </c>
      <c r="L1088" s="3" t="s">
        <v>2276</v>
      </c>
      <c r="M1088" s="3" t="s">
        <v>2276</v>
      </c>
      <c r="N1088" s="3" t="s">
        <v>2276</v>
      </c>
      <c r="O1088" s="3" t="s">
        <v>2276</v>
      </c>
      <c r="P1088" s="3" t="s">
        <v>2276</v>
      </c>
      <c r="Q1088" s="3" t="s">
        <v>2276</v>
      </c>
      <c r="R1088" s="3" t="s">
        <v>2276</v>
      </c>
      <c r="S1088" s="3" t="s">
        <v>2276</v>
      </c>
      <c r="T1088" s="3" t="s">
        <v>2276</v>
      </c>
      <c r="U1088" s="3" t="s">
        <v>2276</v>
      </c>
      <c r="V1088" s="3" t="s">
        <v>2276</v>
      </c>
      <c r="W1088" s="3" t="s">
        <v>2276</v>
      </c>
      <c r="X1088" s="3" t="s">
        <v>2276</v>
      </c>
      <c r="Y1088" s="3" t="s">
        <v>2276</v>
      </c>
      <c r="Z1088" s="3" t="s">
        <v>2276</v>
      </c>
      <c r="AA1088" s="19" t="s">
        <v>3343</v>
      </c>
      <c r="AB1088" s="3"/>
    </row>
    <row r="1089" spans="1:28" ht="36" customHeight="1">
      <c r="A1089" s="6" t="str">
        <f>'Reported burning'!A1089</f>
        <v>124a</v>
      </c>
      <c r="B1089" s="6" t="str">
        <f>'Reported burning'!B1089</f>
        <v>124a.3</v>
      </c>
      <c r="C1089" s="6" t="str">
        <f>'Reported burning'!C1089</f>
        <v>Human, deliberate</v>
      </c>
      <c r="D1089" s="6" t="str">
        <f>'Reported burning'!D1089</f>
        <v>Land clearance</v>
      </c>
      <c r="E1089" s="6" t="str">
        <f>'Reported burning'!E1089</f>
        <v>Cropping, Monoculture, Subsistence-oriented</v>
      </c>
      <c r="F1089" s="6" t="str">
        <f>'Reported burning'!F1089</f>
        <v>Grassland</v>
      </c>
      <c r="G1089" s="6" t="str">
        <f>'Reported burning'!G1089</f>
        <v>ND</v>
      </c>
      <c r="H1089" s="6" t="str">
        <f>'Reported burning'!H1089</f>
        <v>Presence</v>
      </c>
      <c r="I1089" s="3"/>
      <c r="J1089" s="3" t="s">
        <v>2276</v>
      </c>
      <c r="K1089" s="3" t="s">
        <v>2276</v>
      </c>
      <c r="L1089" s="3" t="s">
        <v>2276</v>
      </c>
      <c r="M1089" s="3" t="s">
        <v>2276</v>
      </c>
      <c r="N1089" s="3" t="s">
        <v>2276</v>
      </c>
      <c r="O1089" s="3" t="s">
        <v>2276</v>
      </c>
      <c r="P1089" s="3" t="s">
        <v>2276</v>
      </c>
      <c r="Q1089" s="3" t="s">
        <v>2276</v>
      </c>
      <c r="R1089" s="3" t="s">
        <v>2276</v>
      </c>
      <c r="S1089" s="3" t="s">
        <v>2276</v>
      </c>
      <c r="T1089" s="3" t="s">
        <v>2276</v>
      </c>
      <c r="U1089" s="3" t="s">
        <v>2276</v>
      </c>
      <c r="V1089" s="3" t="s">
        <v>2276</v>
      </c>
      <c r="W1089" s="3" t="s">
        <v>2276</v>
      </c>
      <c r="X1089" s="3" t="s">
        <v>2276</v>
      </c>
      <c r="Y1089" s="3" t="s">
        <v>2276</v>
      </c>
      <c r="Z1089" s="3" t="s">
        <v>2276</v>
      </c>
      <c r="AA1089" s="19" t="s">
        <v>3346</v>
      </c>
      <c r="AB1089" s="3"/>
    </row>
    <row r="1090" spans="1:28" ht="36" customHeight="1">
      <c r="A1090" s="6" t="str">
        <f>'Reported burning'!A1090</f>
        <v>124a</v>
      </c>
      <c r="B1090" s="6" t="str">
        <f>'Reported burning'!B1090</f>
        <v>124a.4</v>
      </c>
      <c r="C1090" s="6" t="str">
        <f>'Reported burning'!C1090</f>
        <v>Human, deliberate</v>
      </c>
      <c r="D1090" s="6" t="str">
        <f>'Reported burning'!D1090</f>
        <v>Land clearance</v>
      </c>
      <c r="E1090" s="6" t="str">
        <f>'Reported burning'!E1090</f>
        <v>Cropping, Monoculture, Subsistence-oriented</v>
      </c>
      <c r="F1090" s="6" t="str">
        <f>'Reported burning'!F1090</f>
        <v>Secondary Vegetation</v>
      </c>
      <c r="G1090" s="6" t="str">
        <f>'Reported burning'!G1090</f>
        <v>ND</v>
      </c>
      <c r="H1090" s="6" t="str">
        <f>'Reported burning'!H1090</f>
        <v>Presence</v>
      </c>
      <c r="I1090" s="3"/>
      <c r="J1090" s="3" t="s">
        <v>2276</v>
      </c>
      <c r="K1090" s="3" t="s">
        <v>2276</v>
      </c>
      <c r="L1090" s="3" t="s">
        <v>2276</v>
      </c>
      <c r="M1090" s="3" t="s">
        <v>2276</v>
      </c>
      <c r="N1090" s="3" t="s">
        <v>2276</v>
      </c>
      <c r="O1090" s="3" t="s">
        <v>2276</v>
      </c>
      <c r="P1090" s="3" t="s">
        <v>2276</v>
      </c>
      <c r="Q1090" s="3" t="s">
        <v>2276</v>
      </c>
      <c r="R1090" s="3" t="s">
        <v>2276</v>
      </c>
      <c r="S1090" s="3" t="s">
        <v>2276</v>
      </c>
      <c r="T1090" s="3" t="s">
        <v>2276</v>
      </c>
      <c r="U1090" s="3" t="s">
        <v>2276</v>
      </c>
      <c r="V1090" s="3" t="s">
        <v>2276</v>
      </c>
      <c r="W1090" s="3" t="s">
        <v>2276</v>
      </c>
      <c r="X1090" s="3" t="s">
        <v>2276</v>
      </c>
      <c r="Y1090" s="3" t="s">
        <v>2276</v>
      </c>
      <c r="Z1090" s="3" t="s">
        <v>2276</v>
      </c>
      <c r="AA1090" s="19" t="s">
        <v>3345</v>
      </c>
      <c r="AB1090" s="3"/>
    </row>
    <row r="1091" spans="1:28" ht="27" customHeight="1">
      <c r="A1091" s="6" t="str">
        <f>'Reported burning'!A1091</f>
        <v>124a</v>
      </c>
      <c r="B1091" s="6" t="str">
        <f>'Reported burning'!B1091</f>
        <v>124a.5</v>
      </c>
      <c r="C1091" s="6" t="str">
        <f>'Reported burning'!C1091</f>
        <v>Human, deliberate</v>
      </c>
      <c r="D1091" s="6" t="str">
        <f>'Reported burning'!D1091</f>
        <v>Land clearance</v>
      </c>
      <c r="E1091" s="6" t="str">
        <f>'Reported burning'!E1091</f>
        <v>Cattle, Extensive</v>
      </c>
      <c r="F1091" s="6" t="str">
        <f>'Reported burning'!F1091</f>
        <v>ND</v>
      </c>
      <c r="G1091" s="6" t="str">
        <f>'Reported burning'!G1091</f>
        <v>ND</v>
      </c>
      <c r="H1091" s="6" t="str">
        <f>'Reported burning'!H1091</f>
        <v>Absence</v>
      </c>
      <c r="I1091" s="3"/>
      <c r="J1091" s="3" t="s">
        <v>2276</v>
      </c>
      <c r="K1091" s="3" t="s">
        <v>2276</v>
      </c>
      <c r="L1091" s="3" t="s">
        <v>2276</v>
      </c>
      <c r="M1091" s="3" t="s">
        <v>2276</v>
      </c>
      <c r="N1091" s="3" t="s">
        <v>2276</v>
      </c>
      <c r="O1091" s="3" t="s">
        <v>2276</v>
      </c>
      <c r="P1091" s="3" t="s">
        <v>2276</v>
      </c>
      <c r="Q1091" s="3" t="s">
        <v>2276</v>
      </c>
      <c r="R1091" s="3" t="s">
        <v>2276</v>
      </c>
      <c r="S1091" s="3" t="s">
        <v>2276</v>
      </c>
      <c r="T1091" s="3" t="s">
        <v>2276</v>
      </c>
      <c r="U1091" s="3" t="s">
        <v>2276</v>
      </c>
      <c r="V1091" s="3" t="s">
        <v>2276</v>
      </c>
      <c r="W1091" s="3" t="s">
        <v>2276</v>
      </c>
      <c r="X1091" s="3" t="s">
        <v>2276</v>
      </c>
      <c r="Y1091" s="3" t="s">
        <v>2276</v>
      </c>
      <c r="Z1091" s="3" t="s">
        <v>2276</v>
      </c>
      <c r="AA1091" s="3"/>
      <c r="AB1091" s="3"/>
    </row>
    <row r="1092" spans="1:28" ht="27" customHeight="1">
      <c r="A1092" s="6" t="str">
        <f>'Reported burning'!A1092</f>
        <v>124a</v>
      </c>
      <c r="B1092" s="6" t="str">
        <f>'Reported burning'!B1092</f>
        <v>124a.6</v>
      </c>
      <c r="C1092" s="6" t="str">
        <f>'Reported burning'!C1092</f>
        <v>Human, accidental</v>
      </c>
      <c r="D1092" s="6" t="str">
        <f>'Reported burning'!D1092</f>
        <v>All</v>
      </c>
      <c r="E1092" s="6" t="str">
        <f>'Reported burning'!E1092</f>
        <v>All</v>
      </c>
      <c r="F1092" s="6" t="str">
        <f>'Reported burning'!F1092</f>
        <v>ND</v>
      </c>
      <c r="G1092" s="6" t="str">
        <f>'Reported burning'!G1092</f>
        <v>ND</v>
      </c>
      <c r="H1092" s="6" t="str">
        <f>'Reported burning'!H1092</f>
        <v>Presence</v>
      </c>
      <c r="I1092" s="3"/>
      <c r="J1092" s="3" t="s">
        <v>2276</v>
      </c>
      <c r="K1092" s="3" t="s">
        <v>2276</v>
      </c>
      <c r="L1092" s="3" t="s">
        <v>2276</v>
      </c>
      <c r="M1092" s="3" t="s">
        <v>2276</v>
      </c>
      <c r="N1092" s="3" t="s">
        <v>2276</v>
      </c>
      <c r="O1092" s="3" t="s">
        <v>2276</v>
      </c>
      <c r="P1092" s="3" t="s">
        <v>2276</v>
      </c>
      <c r="Q1092" s="3" t="s">
        <v>2276</v>
      </c>
      <c r="R1092" s="3" t="s">
        <v>2276</v>
      </c>
      <c r="S1092" s="3" t="s">
        <v>2276</v>
      </c>
      <c r="T1092" s="3" t="s">
        <v>2276</v>
      </c>
      <c r="U1092" s="3" t="s">
        <v>2276</v>
      </c>
      <c r="V1092" s="3" t="s">
        <v>2276</v>
      </c>
      <c r="W1092" s="3" t="s">
        <v>2276</v>
      </c>
      <c r="X1092" s="3" t="s">
        <v>2276</v>
      </c>
      <c r="Y1092" s="3" t="s">
        <v>2276</v>
      </c>
      <c r="Z1092" s="3" t="s">
        <v>2276</v>
      </c>
      <c r="AA1092" s="3"/>
      <c r="AB1092" s="3"/>
    </row>
    <row r="1093" spans="1:28" ht="27" customHeight="1">
      <c r="A1093" s="6" t="str">
        <f>'Reported burning'!A1093</f>
        <v>124a</v>
      </c>
      <c r="B1093" s="6" t="str">
        <f>'Reported burning'!B1093</f>
        <v>124a.7</v>
      </c>
      <c r="C1093" s="6" t="str">
        <f>'Reported burning'!C1093</f>
        <v>Human, deliberate</v>
      </c>
      <c r="D1093" s="6" t="str">
        <f>'Reported burning'!D1093</f>
        <v>Hunting</v>
      </c>
      <c r="E1093" s="6" t="str">
        <f>'Reported burning'!E1093</f>
        <v>Forestry, Traditional</v>
      </c>
      <c r="F1093" s="6" t="str">
        <f>'Reported burning'!F1093</f>
        <v>Grassland</v>
      </c>
      <c r="G1093" s="6" t="str">
        <f>'Reported burning'!G1093</f>
        <v>ND</v>
      </c>
      <c r="H1093" s="6" t="str">
        <f>'Reported burning'!H1093</f>
        <v>Presence</v>
      </c>
      <c r="I1093" s="3"/>
      <c r="J1093" s="3" t="s">
        <v>2276</v>
      </c>
      <c r="K1093" s="3" t="s">
        <v>2276</v>
      </c>
      <c r="L1093" s="3" t="s">
        <v>2276</v>
      </c>
      <c r="M1093" s="3" t="s">
        <v>2276</v>
      </c>
      <c r="N1093" s="3" t="s">
        <v>2276</v>
      </c>
      <c r="O1093" s="3" t="s">
        <v>2276</v>
      </c>
      <c r="P1093" s="3" t="s">
        <v>2276</v>
      </c>
      <c r="Q1093" s="3" t="s">
        <v>2276</v>
      </c>
      <c r="R1093" s="3" t="s">
        <v>2276</v>
      </c>
      <c r="S1093" s="3" t="s">
        <v>2276</v>
      </c>
      <c r="T1093" s="3" t="s">
        <v>2276</v>
      </c>
      <c r="U1093" s="3" t="s">
        <v>2276</v>
      </c>
      <c r="V1093" s="3" t="s">
        <v>2276</v>
      </c>
      <c r="W1093" s="3" t="s">
        <v>2276</v>
      </c>
      <c r="X1093" s="3" t="s">
        <v>2276</v>
      </c>
      <c r="Y1093" s="3" t="s">
        <v>2276</v>
      </c>
      <c r="Z1093" s="3" t="s">
        <v>2276</v>
      </c>
      <c r="AA1093" s="3" t="s">
        <v>3350</v>
      </c>
      <c r="AB1093" s="3"/>
    </row>
    <row r="1094" spans="1:28" ht="33" customHeight="1">
      <c r="A1094" s="6" t="str">
        <f>'Reported burning'!A1094</f>
        <v>125a</v>
      </c>
      <c r="B1094" s="6" t="str">
        <f>'Reported burning'!B1094</f>
        <v>125a.1</v>
      </c>
      <c r="C1094" s="6" t="str">
        <f>'Reported burning'!C1094</f>
        <v>Human, deliberate</v>
      </c>
      <c r="D1094" s="6" t="str">
        <f>'Reported burning'!D1094</f>
        <v>Fishing</v>
      </c>
      <c r="E1094" s="6" t="str">
        <f>'Reported burning'!E1094</f>
        <v>Forestry, Traditional</v>
      </c>
      <c r="F1094" s="6" t="str">
        <f>'Reported burning'!F1094</f>
        <v>Grassland</v>
      </c>
      <c r="G1094" s="6" t="str">
        <f>'Reported burning'!G1094</f>
        <v>ND</v>
      </c>
      <c r="H1094" s="6" t="str">
        <f>'Reported burning'!H1094</f>
        <v>Presence</v>
      </c>
      <c r="I1094" s="3">
        <v>2000</v>
      </c>
      <c r="J1094" s="3" t="s">
        <v>2276</v>
      </c>
      <c r="K1094" s="3" t="s">
        <v>2276</v>
      </c>
      <c r="L1094" s="3" t="s">
        <v>2276</v>
      </c>
      <c r="M1094" s="3" t="s">
        <v>2276</v>
      </c>
      <c r="N1094" s="3" t="s">
        <v>2276</v>
      </c>
      <c r="O1094" s="3" t="s">
        <v>2276</v>
      </c>
      <c r="P1094" s="3" t="s">
        <v>2276</v>
      </c>
      <c r="Q1094" s="3" t="s">
        <v>2276</v>
      </c>
      <c r="R1094" s="3" t="s">
        <v>2276</v>
      </c>
      <c r="S1094" s="3" t="s">
        <v>2276</v>
      </c>
      <c r="T1094" s="3" t="s">
        <v>2389</v>
      </c>
      <c r="U1094" s="3" t="s">
        <v>2276</v>
      </c>
      <c r="V1094" s="3" t="s">
        <v>2276</v>
      </c>
      <c r="W1094" s="3" t="s">
        <v>2276</v>
      </c>
      <c r="X1094" s="3" t="s">
        <v>425</v>
      </c>
      <c r="Y1094" s="3" t="s">
        <v>127</v>
      </c>
      <c r="Z1094" s="3" t="s">
        <v>64</v>
      </c>
      <c r="AA1094" s="3"/>
      <c r="AB1094" s="4" t="s">
        <v>3359</v>
      </c>
    </row>
    <row r="1095" spans="1:28" ht="33" customHeight="1">
      <c r="A1095" s="6" t="str">
        <f>'Reported burning'!A1095</f>
        <v>125a</v>
      </c>
      <c r="B1095" s="6" t="str">
        <f>'Reported burning'!B1095</f>
        <v>125a.2</v>
      </c>
      <c r="C1095" s="6" t="str">
        <f>'Reported burning'!C1095</f>
        <v>Human, deliberate</v>
      </c>
      <c r="D1095" s="6" t="str">
        <f>'Reported burning'!D1095</f>
        <v>Land clearance</v>
      </c>
      <c r="E1095" s="6" t="str">
        <f>'Reported burning'!E1095</f>
        <v>Cropping, Monoculture, Subsistence-oriented</v>
      </c>
      <c r="F1095" s="6" t="str">
        <f>'Reported burning'!F1095</f>
        <v>Grassland</v>
      </c>
      <c r="G1095" s="6" t="str">
        <f>'Reported burning'!G1095</f>
        <v>ND</v>
      </c>
      <c r="H1095" s="6" t="str">
        <f>'Reported burning'!H1095</f>
        <v>Presence</v>
      </c>
      <c r="I1095" s="3">
        <v>2000</v>
      </c>
      <c r="J1095" s="3" t="s">
        <v>2276</v>
      </c>
      <c r="K1095" s="3" t="s">
        <v>2276</v>
      </c>
      <c r="L1095" s="3" t="s">
        <v>2276</v>
      </c>
      <c r="M1095" s="3" t="s">
        <v>2276</v>
      </c>
      <c r="N1095" s="3" t="s">
        <v>2276</v>
      </c>
      <c r="O1095" s="3" t="s">
        <v>2276</v>
      </c>
      <c r="P1095" s="3" t="s">
        <v>2276</v>
      </c>
      <c r="Q1095" s="3" t="s">
        <v>2276</v>
      </c>
      <c r="R1095" s="3" t="s">
        <v>2276</v>
      </c>
      <c r="S1095" s="3" t="s">
        <v>2276</v>
      </c>
      <c r="T1095" s="3" t="s">
        <v>2527</v>
      </c>
      <c r="U1095" s="3" t="s">
        <v>2276</v>
      </c>
      <c r="V1095" s="3" t="s">
        <v>2276</v>
      </c>
      <c r="W1095" s="3" t="s">
        <v>2276</v>
      </c>
      <c r="X1095" s="3" t="s">
        <v>425</v>
      </c>
      <c r="Y1095" s="3" t="s">
        <v>127</v>
      </c>
      <c r="Z1095" s="3" t="s">
        <v>64</v>
      </c>
      <c r="AA1095" s="3"/>
      <c r="AB1095" s="4" t="s">
        <v>3359</v>
      </c>
    </row>
    <row r="1096" spans="1:28" ht="33" customHeight="1">
      <c r="A1096" s="6" t="str">
        <f>'Reported burning'!A1096</f>
        <v>125a</v>
      </c>
      <c r="B1096" s="6" t="str">
        <f>'Reported burning'!B1096</f>
        <v>125a.3</v>
      </c>
      <c r="C1096" s="6" t="str">
        <f>'Reported burning'!C1096</f>
        <v>Human, accidental</v>
      </c>
      <c r="D1096" s="6" t="str">
        <f>'Reported burning'!D1096</f>
        <v>All</v>
      </c>
      <c r="E1096" s="6" t="str">
        <f>'Reported burning'!E1096</f>
        <v>All</v>
      </c>
      <c r="F1096" s="6" t="str">
        <f>'Reported burning'!F1096</f>
        <v>ND</v>
      </c>
      <c r="G1096" s="6" t="str">
        <f>'Reported burning'!G1096</f>
        <v>ND</v>
      </c>
      <c r="H1096" s="6" t="str">
        <f>'Reported burning'!H1096</f>
        <v>Presence</v>
      </c>
      <c r="I1096" s="3">
        <v>2000</v>
      </c>
      <c r="J1096" s="3" t="s">
        <v>2276</v>
      </c>
      <c r="K1096" s="3" t="s">
        <v>2276</v>
      </c>
      <c r="L1096" s="3" t="s">
        <v>2276</v>
      </c>
      <c r="M1096" s="3" t="s">
        <v>2276</v>
      </c>
      <c r="N1096" s="3" t="s">
        <v>2276</v>
      </c>
      <c r="O1096" s="3" t="s">
        <v>2276</v>
      </c>
      <c r="P1096" s="3" t="s">
        <v>2276</v>
      </c>
      <c r="Q1096" s="3" t="s">
        <v>2276</v>
      </c>
      <c r="R1096" s="3" t="s">
        <v>2276</v>
      </c>
      <c r="S1096" s="3" t="s">
        <v>2276</v>
      </c>
      <c r="T1096" s="3" t="s">
        <v>2527</v>
      </c>
      <c r="U1096" s="3" t="s">
        <v>2276</v>
      </c>
      <c r="V1096" s="3" t="s">
        <v>2276</v>
      </c>
      <c r="W1096" s="3" t="s">
        <v>2276</v>
      </c>
      <c r="X1096" s="3" t="s">
        <v>425</v>
      </c>
      <c r="Y1096" s="3" t="s">
        <v>127</v>
      </c>
      <c r="Z1096" s="3" t="s">
        <v>64</v>
      </c>
      <c r="AA1096" s="3"/>
      <c r="AB1096" s="4" t="s">
        <v>3359</v>
      </c>
    </row>
    <row r="1097" spans="1:28" ht="33" customHeight="1">
      <c r="A1097" s="6" t="str">
        <f>'Reported burning'!A1097</f>
        <v>125a</v>
      </c>
      <c r="B1097" s="6" t="str">
        <f>'Reported burning'!B1097</f>
        <v>125a.4</v>
      </c>
      <c r="C1097" s="6" t="str">
        <f>'Reported burning'!C1097</f>
        <v>Human, deliberate</v>
      </c>
      <c r="D1097" s="6" t="str">
        <f>'Reported burning'!D1097</f>
        <v>Hunting</v>
      </c>
      <c r="E1097" s="6" t="str">
        <f>'Reported burning'!E1097</f>
        <v>Forestry, Traditional</v>
      </c>
      <c r="F1097" s="6" t="str">
        <f>'Reported burning'!F1097</f>
        <v>Grassland</v>
      </c>
      <c r="G1097" s="6" t="str">
        <f>'Reported burning'!G1097</f>
        <v>ND</v>
      </c>
      <c r="H1097" s="6" t="str">
        <f>'Reported burning'!H1097</f>
        <v>Presence</v>
      </c>
      <c r="I1097" s="3">
        <v>2000</v>
      </c>
      <c r="J1097" s="3" t="s">
        <v>2276</v>
      </c>
      <c r="K1097" s="3" t="s">
        <v>2276</v>
      </c>
      <c r="L1097" s="3" t="s">
        <v>2276</v>
      </c>
      <c r="M1097" s="3" t="s">
        <v>2276</v>
      </c>
      <c r="N1097" s="3" t="s">
        <v>2276</v>
      </c>
      <c r="O1097" s="3" t="s">
        <v>2276</v>
      </c>
      <c r="P1097" s="3" t="s">
        <v>2276</v>
      </c>
      <c r="Q1097" s="3" t="s">
        <v>2276</v>
      </c>
      <c r="R1097" s="3" t="s">
        <v>2276</v>
      </c>
      <c r="S1097" s="3" t="s">
        <v>2276</v>
      </c>
      <c r="T1097" s="3" t="s">
        <v>2527</v>
      </c>
      <c r="U1097" s="3" t="s">
        <v>2276</v>
      </c>
      <c r="V1097" s="3" t="s">
        <v>2276</v>
      </c>
      <c r="W1097" s="3" t="s">
        <v>2276</v>
      </c>
      <c r="X1097" s="3" t="s">
        <v>425</v>
      </c>
      <c r="Y1097" s="3" t="s">
        <v>127</v>
      </c>
      <c r="Z1097" s="3" t="s">
        <v>64</v>
      </c>
      <c r="AA1097" s="3"/>
      <c r="AB1097" s="4" t="s">
        <v>3359</v>
      </c>
    </row>
    <row r="1098" spans="1:28" ht="29">
      <c r="A1098" s="6" t="str">
        <f>'Reported burning'!A1098</f>
        <v>125a</v>
      </c>
      <c r="B1098" s="6" t="str">
        <f>'Reported burning'!B1098</f>
        <v>125a.5</v>
      </c>
      <c r="C1098" s="6" t="str">
        <f>'Reported burning'!C1098</f>
        <v>Human, deliberate</v>
      </c>
      <c r="D1098" s="6" t="str">
        <f>'Reported burning'!D1098</f>
        <v>Fishing</v>
      </c>
      <c r="E1098" s="6" t="str">
        <f>'Reported burning'!E1098</f>
        <v>Forestry, Traditional</v>
      </c>
      <c r="F1098" s="6" t="str">
        <f>'Reported burning'!F1098</f>
        <v>Grassland</v>
      </c>
      <c r="G1098" s="6" t="str">
        <f>'Reported burning'!G1098</f>
        <v>ND</v>
      </c>
      <c r="H1098" s="6" t="str">
        <f>'Reported burning'!H1098</f>
        <v>Presence</v>
      </c>
      <c r="I1098" s="3">
        <v>2001</v>
      </c>
      <c r="J1098" s="3" t="s">
        <v>2276</v>
      </c>
      <c r="K1098" s="3" t="s">
        <v>2276</v>
      </c>
      <c r="L1098" s="3" t="s">
        <v>2276</v>
      </c>
      <c r="M1098" s="3" t="s">
        <v>2276</v>
      </c>
      <c r="N1098" s="3" t="s">
        <v>2276</v>
      </c>
      <c r="O1098" s="3" t="s">
        <v>2276</v>
      </c>
      <c r="P1098" s="3" t="s">
        <v>2276</v>
      </c>
      <c r="Q1098" s="3" t="s">
        <v>2276</v>
      </c>
      <c r="R1098" s="3" t="s">
        <v>2276</v>
      </c>
      <c r="S1098" s="3" t="s">
        <v>2276</v>
      </c>
      <c r="T1098" s="3" t="s">
        <v>2376</v>
      </c>
      <c r="U1098" s="3" t="s">
        <v>2276</v>
      </c>
      <c r="V1098" s="3" t="s">
        <v>2276</v>
      </c>
      <c r="W1098" s="3" t="s">
        <v>2276</v>
      </c>
      <c r="X1098" s="3" t="s">
        <v>425</v>
      </c>
      <c r="Y1098" s="3" t="s">
        <v>127</v>
      </c>
      <c r="Z1098" s="3" t="s">
        <v>64</v>
      </c>
      <c r="AA1098" s="3"/>
      <c r="AB1098" s="4" t="s">
        <v>3359</v>
      </c>
    </row>
    <row r="1099" spans="1:28" ht="29">
      <c r="A1099" s="6" t="str">
        <f>'Reported burning'!A1099</f>
        <v>125a</v>
      </c>
      <c r="B1099" s="6" t="str">
        <f>'Reported burning'!B1099</f>
        <v>125a.6</v>
      </c>
      <c r="C1099" s="6" t="str">
        <f>'Reported burning'!C1099</f>
        <v>Human, deliberate</v>
      </c>
      <c r="D1099" s="6" t="str">
        <f>'Reported burning'!D1099</f>
        <v>Land clearance</v>
      </c>
      <c r="E1099" s="6" t="str">
        <f>'Reported burning'!E1099</f>
        <v>Cropping, Monoculture, Subsistence-oriented</v>
      </c>
      <c r="F1099" s="6" t="str">
        <f>'Reported burning'!F1099</f>
        <v>Grassland</v>
      </c>
      <c r="G1099" s="6" t="str">
        <f>'Reported burning'!G1099</f>
        <v>ND</v>
      </c>
      <c r="H1099" s="6" t="str">
        <f>'Reported burning'!H1099</f>
        <v>Presence</v>
      </c>
      <c r="I1099" s="3">
        <v>2001</v>
      </c>
      <c r="J1099" s="3" t="s">
        <v>2276</v>
      </c>
      <c r="K1099" s="3" t="s">
        <v>2276</v>
      </c>
      <c r="L1099" s="3" t="s">
        <v>2276</v>
      </c>
      <c r="M1099" s="3" t="s">
        <v>2276</v>
      </c>
      <c r="N1099" s="3" t="s">
        <v>2276</v>
      </c>
      <c r="O1099" s="3" t="s">
        <v>2276</v>
      </c>
      <c r="P1099" s="3" t="s">
        <v>2276</v>
      </c>
      <c r="Q1099" s="3" t="s">
        <v>2276</v>
      </c>
      <c r="R1099" s="3" t="s">
        <v>2276</v>
      </c>
      <c r="S1099" s="3" t="s">
        <v>2276</v>
      </c>
      <c r="T1099" s="3" t="s">
        <v>2527</v>
      </c>
      <c r="U1099" s="3" t="s">
        <v>2276</v>
      </c>
      <c r="V1099" s="3" t="s">
        <v>2276</v>
      </c>
      <c r="W1099" s="3" t="s">
        <v>2276</v>
      </c>
      <c r="X1099" s="3" t="s">
        <v>425</v>
      </c>
      <c r="Y1099" s="3" t="s">
        <v>127</v>
      </c>
      <c r="Z1099" s="3" t="s">
        <v>64</v>
      </c>
      <c r="AA1099" s="3"/>
      <c r="AB1099" s="4" t="s">
        <v>3359</v>
      </c>
    </row>
    <row r="1100" spans="1:28" ht="29">
      <c r="A1100" s="6" t="str">
        <f>'Reported burning'!A1100</f>
        <v>125a</v>
      </c>
      <c r="B1100" s="6" t="str">
        <f>'Reported burning'!B1100</f>
        <v>125a.7</v>
      </c>
      <c r="C1100" s="6" t="str">
        <f>'Reported burning'!C1100</f>
        <v>Human, accidental</v>
      </c>
      <c r="D1100" s="6" t="str">
        <f>'Reported burning'!D1100</f>
        <v>All</v>
      </c>
      <c r="E1100" s="6" t="str">
        <f>'Reported burning'!E1100</f>
        <v>All</v>
      </c>
      <c r="F1100" s="6" t="str">
        <f>'Reported burning'!F1100</f>
        <v>ND</v>
      </c>
      <c r="G1100" s="6" t="str">
        <f>'Reported burning'!G1100</f>
        <v>ND</v>
      </c>
      <c r="H1100" s="6" t="str">
        <f>'Reported burning'!H1100</f>
        <v>Presence</v>
      </c>
      <c r="I1100" s="3">
        <v>2001</v>
      </c>
      <c r="J1100" s="3" t="s">
        <v>2276</v>
      </c>
      <c r="K1100" s="3" t="s">
        <v>2276</v>
      </c>
      <c r="L1100" s="3" t="s">
        <v>2276</v>
      </c>
      <c r="M1100" s="3" t="s">
        <v>2276</v>
      </c>
      <c r="N1100" s="3" t="s">
        <v>2276</v>
      </c>
      <c r="O1100" s="3" t="s">
        <v>2276</v>
      </c>
      <c r="P1100" s="3" t="s">
        <v>2276</v>
      </c>
      <c r="Q1100" s="3" t="s">
        <v>2276</v>
      </c>
      <c r="R1100" s="3" t="s">
        <v>2276</v>
      </c>
      <c r="S1100" s="3" t="s">
        <v>2276</v>
      </c>
      <c r="T1100" s="3" t="s">
        <v>2527</v>
      </c>
      <c r="U1100" s="3" t="s">
        <v>2276</v>
      </c>
      <c r="V1100" s="3" t="s">
        <v>2276</v>
      </c>
      <c r="W1100" s="3" t="s">
        <v>2276</v>
      </c>
      <c r="X1100" s="3" t="s">
        <v>425</v>
      </c>
      <c r="Y1100" s="3" t="s">
        <v>127</v>
      </c>
      <c r="Z1100" s="3" t="s">
        <v>64</v>
      </c>
      <c r="AA1100" s="3"/>
      <c r="AB1100" s="4" t="s">
        <v>3359</v>
      </c>
    </row>
    <row r="1101" spans="1:28" ht="29">
      <c r="A1101" s="6" t="str">
        <f>'Reported burning'!A1101</f>
        <v>125a</v>
      </c>
      <c r="B1101" s="6" t="str">
        <f>'Reported burning'!B1101</f>
        <v>125a.8</v>
      </c>
      <c r="C1101" s="6" t="str">
        <f>'Reported burning'!C1101</f>
        <v>Human, deliberate</v>
      </c>
      <c r="D1101" s="6" t="str">
        <f>'Reported burning'!D1101</f>
        <v>Hunting</v>
      </c>
      <c r="E1101" s="6" t="str">
        <f>'Reported burning'!E1101</f>
        <v>Forestry, Traditional</v>
      </c>
      <c r="F1101" s="6" t="str">
        <f>'Reported burning'!F1101</f>
        <v>Grassland</v>
      </c>
      <c r="G1101" s="6" t="str">
        <f>'Reported burning'!G1101</f>
        <v>ND</v>
      </c>
      <c r="H1101" s="6" t="str">
        <f>'Reported burning'!H1101</f>
        <v>Presence</v>
      </c>
      <c r="I1101" s="3">
        <v>2001</v>
      </c>
      <c r="J1101" s="3" t="s">
        <v>2276</v>
      </c>
      <c r="K1101" s="3" t="s">
        <v>2276</v>
      </c>
      <c r="L1101" s="3" t="s">
        <v>2276</v>
      </c>
      <c r="M1101" s="3" t="s">
        <v>2276</v>
      </c>
      <c r="N1101" s="3" t="s">
        <v>2276</v>
      </c>
      <c r="O1101" s="3" t="s">
        <v>2276</v>
      </c>
      <c r="P1101" s="3" t="s">
        <v>2276</v>
      </c>
      <c r="Q1101" s="3" t="s">
        <v>2276</v>
      </c>
      <c r="R1101" s="3" t="s">
        <v>2276</v>
      </c>
      <c r="S1101" s="3" t="s">
        <v>2276</v>
      </c>
      <c r="T1101" s="3" t="s">
        <v>2527</v>
      </c>
      <c r="U1101" s="3" t="s">
        <v>2276</v>
      </c>
      <c r="V1101" s="3" t="s">
        <v>2276</v>
      </c>
      <c r="W1101" s="3" t="s">
        <v>2276</v>
      </c>
      <c r="X1101" s="3" t="s">
        <v>425</v>
      </c>
      <c r="Y1101" s="3" t="s">
        <v>127</v>
      </c>
      <c r="Z1101" s="3" t="s">
        <v>64</v>
      </c>
      <c r="AA1101" s="3"/>
      <c r="AB1101" s="4" t="s">
        <v>3359</v>
      </c>
    </row>
    <row r="1102" spans="1:28" ht="29">
      <c r="A1102" s="6" t="str">
        <f>'Reported burning'!A1102</f>
        <v>125a</v>
      </c>
      <c r="B1102" s="6" t="str">
        <f>'Reported burning'!B1102</f>
        <v>125a.9</v>
      </c>
      <c r="C1102" s="6" t="str">
        <f>'Reported burning'!C1102</f>
        <v>Human, deliberate</v>
      </c>
      <c r="D1102" s="6" t="str">
        <f>'Reported burning'!D1102</f>
        <v>Fishing</v>
      </c>
      <c r="E1102" s="6" t="str">
        <f>'Reported burning'!E1102</f>
        <v>Forestry, Traditional</v>
      </c>
      <c r="F1102" s="6" t="str">
        <f>'Reported burning'!F1102</f>
        <v>Grassland</v>
      </c>
      <c r="G1102" s="6" t="str">
        <f>'Reported burning'!G1102</f>
        <v>ND</v>
      </c>
      <c r="H1102" s="6" t="str">
        <f>'Reported burning'!H1102</f>
        <v>Presence</v>
      </c>
      <c r="I1102" s="3">
        <v>2002</v>
      </c>
      <c r="J1102" s="3" t="s">
        <v>2276</v>
      </c>
      <c r="K1102" s="3" t="s">
        <v>2276</v>
      </c>
      <c r="L1102" s="3" t="s">
        <v>2276</v>
      </c>
      <c r="M1102" s="3" t="s">
        <v>2276</v>
      </c>
      <c r="N1102" s="3" t="s">
        <v>2276</v>
      </c>
      <c r="O1102" s="3" t="s">
        <v>2276</v>
      </c>
      <c r="P1102" s="3" t="s">
        <v>2276</v>
      </c>
      <c r="Q1102" s="3" t="s">
        <v>2276</v>
      </c>
      <c r="R1102" s="3" t="s">
        <v>2276</v>
      </c>
      <c r="S1102" s="3" t="s">
        <v>2276</v>
      </c>
      <c r="T1102" s="3" t="s">
        <v>2527</v>
      </c>
      <c r="U1102" s="3" t="s">
        <v>2276</v>
      </c>
      <c r="V1102" s="3" t="s">
        <v>2276</v>
      </c>
      <c r="W1102" s="3" t="s">
        <v>2276</v>
      </c>
      <c r="X1102" s="3" t="s">
        <v>425</v>
      </c>
      <c r="Y1102" s="3" t="s">
        <v>127</v>
      </c>
      <c r="Z1102" s="3" t="s">
        <v>64</v>
      </c>
      <c r="AA1102" s="3"/>
      <c r="AB1102" s="4" t="s">
        <v>3359</v>
      </c>
    </row>
    <row r="1103" spans="1:28" ht="29">
      <c r="A1103" s="6" t="str">
        <f>'Reported burning'!A1103</f>
        <v>125a</v>
      </c>
      <c r="B1103" s="6" t="str">
        <f>'Reported burning'!B1103</f>
        <v>125a.10</v>
      </c>
      <c r="C1103" s="6" t="str">
        <f>'Reported burning'!C1103</f>
        <v>Human, deliberate</v>
      </c>
      <c r="D1103" s="6" t="str">
        <f>'Reported burning'!D1103</f>
        <v>Land clearance</v>
      </c>
      <c r="E1103" s="6" t="str">
        <f>'Reported burning'!E1103</f>
        <v>Cropping, Monoculture, Subsistence-oriented</v>
      </c>
      <c r="F1103" s="6" t="str">
        <f>'Reported burning'!F1103</f>
        <v>Grassland</v>
      </c>
      <c r="G1103" s="6" t="str">
        <f>'Reported burning'!G1103</f>
        <v>ND</v>
      </c>
      <c r="H1103" s="6" t="str">
        <f>'Reported burning'!H1103</f>
        <v>Presence</v>
      </c>
      <c r="I1103" s="3">
        <v>2002</v>
      </c>
      <c r="J1103" s="3" t="s">
        <v>2276</v>
      </c>
      <c r="K1103" s="3" t="s">
        <v>2276</v>
      </c>
      <c r="L1103" s="3" t="s">
        <v>2276</v>
      </c>
      <c r="M1103" s="3" t="s">
        <v>2276</v>
      </c>
      <c r="N1103" s="3" t="s">
        <v>2276</v>
      </c>
      <c r="O1103" s="3" t="s">
        <v>2276</v>
      </c>
      <c r="P1103" s="3" t="s">
        <v>2276</v>
      </c>
      <c r="Q1103" s="3" t="s">
        <v>2276</v>
      </c>
      <c r="R1103" s="3" t="s">
        <v>2276</v>
      </c>
      <c r="S1103" s="3" t="s">
        <v>2276</v>
      </c>
      <c r="T1103" s="3" t="s">
        <v>2527</v>
      </c>
      <c r="U1103" s="3" t="s">
        <v>2276</v>
      </c>
      <c r="V1103" s="3" t="s">
        <v>2276</v>
      </c>
      <c r="W1103" s="3" t="s">
        <v>2276</v>
      </c>
      <c r="X1103" s="3" t="s">
        <v>425</v>
      </c>
      <c r="Y1103" s="3" t="s">
        <v>127</v>
      </c>
      <c r="Z1103" s="3" t="s">
        <v>64</v>
      </c>
      <c r="AA1103" s="3"/>
      <c r="AB1103" s="4" t="s">
        <v>3359</v>
      </c>
    </row>
    <row r="1104" spans="1:28" ht="29">
      <c r="A1104" s="6" t="str">
        <f>'Reported burning'!A1104</f>
        <v>125a</v>
      </c>
      <c r="B1104" s="6" t="str">
        <f>'Reported burning'!B1104</f>
        <v>125a.11</v>
      </c>
      <c r="C1104" s="6" t="str">
        <f>'Reported burning'!C1104</f>
        <v>Human, accidental</v>
      </c>
      <c r="D1104" s="6" t="str">
        <f>'Reported burning'!D1104</f>
        <v>All</v>
      </c>
      <c r="E1104" s="6" t="str">
        <f>'Reported burning'!E1104</f>
        <v>All</v>
      </c>
      <c r="F1104" s="6" t="str">
        <f>'Reported burning'!F1104</f>
        <v>ND</v>
      </c>
      <c r="G1104" s="6" t="str">
        <f>'Reported burning'!G1104</f>
        <v>ND</v>
      </c>
      <c r="H1104" s="6" t="str">
        <f>'Reported burning'!H1104</f>
        <v>Presence</v>
      </c>
      <c r="I1104" s="3">
        <v>2002</v>
      </c>
      <c r="J1104" s="3" t="s">
        <v>2276</v>
      </c>
      <c r="K1104" s="3" t="s">
        <v>2276</v>
      </c>
      <c r="L1104" s="3" t="s">
        <v>2276</v>
      </c>
      <c r="M1104" s="3" t="s">
        <v>2276</v>
      </c>
      <c r="N1104" s="3" t="s">
        <v>2276</v>
      </c>
      <c r="O1104" s="3" t="s">
        <v>2276</v>
      </c>
      <c r="P1104" s="3" t="s">
        <v>2276</v>
      </c>
      <c r="Q1104" s="3" t="s">
        <v>2276</v>
      </c>
      <c r="R1104" s="3" t="s">
        <v>2276</v>
      </c>
      <c r="S1104" s="3" t="s">
        <v>2276</v>
      </c>
      <c r="T1104" s="3" t="s">
        <v>2527</v>
      </c>
      <c r="U1104" s="3" t="s">
        <v>2276</v>
      </c>
      <c r="V1104" s="3" t="s">
        <v>2276</v>
      </c>
      <c r="W1104" s="3" t="s">
        <v>2276</v>
      </c>
      <c r="X1104" s="3" t="s">
        <v>425</v>
      </c>
      <c r="Y1104" s="3" t="s">
        <v>127</v>
      </c>
      <c r="Z1104" s="3" t="s">
        <v>64</v>
      </c>
      <c r="AA1104" s="3"/>
      <c r="AB1104" s="4" t="s">
        <v>3359</v>
      </c>
    </row>
    <row r="1105" spans="1:28" ht="45.5" customHeight="1">
      <c r="A1105" s="6" t="str">
        <f>'Reported burning'!A1105</f>
        <v>125a</v>
      </c>
      <c r="B1105" s="6" t="str">
        <f>'Reported burning'!B1105</f>
        <v>125a.12</v>
      </c>
      <c r="C1105" s="6" t="str">
        <f>'Reported burning'!C1105</f>
        <v>Human, deliberate</v>
      </c>
      <c r="D1105" s="6" t="str">
        <f>'Reported burning'!D1105</f>
        <v>Hunting</v>
      </c>
      <c r="E1105" s="6" t="str">
        <f>'Reported burning'!E1105</f>
        <v>Forestry, Traditional</v>
      </c>
      <c r="F1105" s="6" t="str">
        <f>'Reported burning'!F1105</f>
        <v>Grassland</v>
      </c>
      <c r="G1105" s="6" t="str">
        <f>'Reported burning'!G1105</f>
        <v>ND</v>
      </c>
      <c r="H1105" s="6" t="str">
        <f>'Reported burning'!H1105</f>
        <v>Presence</v>
      </c>
      <c r="I1105" s="3">
        <v>2002</v>
      </c>
      <c r="J1105" s="3" t="s">
        <v>2276</v>
      </c>
      <c r="K1105" s="3" t="s">
        <v>2276</v>
      </c>
      <c r="L1105" s="3" t="s">
        <v>2276</v>
      </c>
      <c r="M1105" s="3" t="s">
        <v>2276</v>
      </c>
      <c r="N1105" s="3" t="s">
        <v>2276</v>
      </c>
      <c r="O1105" s="3" t="s">
        <v>2276</v>
      </c>
      <c r="P1105" s="3" t="s">
        <v>2276</v>
      </c>
      <c r="Q1105" s="3" t="s">
        <v>2276</v>
      </c>
      <c r="R1105" s="3" t="s">
        <v>2276</v>
      </c>
      <c r="S1105" s="3" t="s">
        <v>2276</v>
      </c>
      <c r="T1105" s="3" t="s">
        <v>2527</v>
      </c>
      <c r="U1105" s="3" t="s">
        <v>2276</v>
      </c>
      <c r="V1105" s="3" t="s">
        <v>2276</v>
      </c>
      <c r="W1105" s="3" t="s">
        <v>2276</v>
      </c>
      <c r="X1105" s="3" t="s">
        <v>425</v>
      </c>
      <c r="Y1105" s="3" t="s">
        <v>127</v>
      </c>
      <c r="Z1105" s="3" t="s">
        <v>64</v>
      </c>
      <c r="AA1105" s="3"/>
      <c r="AB1105" s="4" t="s">
        <v>3359</v>
      </c>
    </row>
    <row r="1106" spans="1:28" ht="51.5" customHeight="1">
      <c r="A1106" s="6" t="str">
        <f>'Reported burning'!A1106</f>
        <v>125a</v>
      </c>
      <c r="B1106" s="6" t="str">
        <f>'Reported burning'!B1106</f>
        <v>125a.13</v>
      </c>
      <c r="C1106" s="6" t="str">
        <f>'Reported burning'!C1106</f>
        <v>Human, deliberate</v>
      </c>
      <c r="D1106" s="6" t="str">
        <f>'Reported burning'!D1106</f>
        <v>Fishing</v>
      </c>
      <c r="E1106" s="6" t="str">
        <f>'Reported burning'!E1106</f>
        <v>Forestry, Traditional</v>
      </c>
      <c r="F1106" s="6" t="str">
        <f>'Reported burning'!F1106</f>
        <v>Grassland</v>
      </c>
      <c r="G1106" s="6" t="str">
        <f>'Reported burning'!G1106</f>
        <v>ND</v>
      </c>
      <c r="H1106" s="6" t="str">
        <f>'Reported burning'!H1106</f>
        <v>Presence</v>
      </c>
      <c r="I1106" s="3">
        <v>2003</v>
      </c>
      <c r="J1106" s="3" t="s">
        <v>2276</v>
      </c>
      <c r="K1106" s="3" t="s">
        <v>2276</v>
      </c>
      <c r="L1106" s="3" t="s">
        <v>2276</v>
      </c>
      <c r="M1106" s="3" t="s">
        <v>2276</v>
      </c>
      <c r="N1106" s="3" t="s">
        <v>2276</v>
      </c>
      <c r="O1106" s="3" t="s">
        <v>2276</v>
      </c>
      <c r="P1106" s="3" t="s">
        <v>2276</v>
      </c>
      <c r="Q1106" s="3" t="s">
        <v>2276</v>
      </c>
      <c r="R1106" s="3" t="s">
        <v>2276</v>
      </c>
      <c r="S1106" s="3" t="s">
        <v>2276</v>
      </c>
      <c r="T1106" s="3" t="s">
        <v>2374</v>
      </c>
      <c r="U1106" s="3" t="s">
        <v>2276</v>
      </c>
      <c r="V1106" s="3" t="s">
        <v>2276</v>
      </c>
      <c r="W1106" s="3" t="s">
        <v>2276</v>
      </c>
      <c r="X1106" s="3" t="s">
        <v>425</v>
      </c>
      <c r="Y1106" s="3" t="s">
        <v>127</v>
      </c>
      <c r="Z1106" s="3" t="s">
        <v>64</v>
      </c>
      <c r="AA1106" s="3"/>
      <c r="AB1106" s="4" t="s">
        <v>3359</v>
      </c>
    </row>
    <row r="1107" spans="1:28" ht="51" customHeight="1">
      <c r="A1107" s="6" t="str">
        <f>'Reported burning'!A1107</f>
        <v>125a</v>
      </c>
      <c r="B1107" s="6" t="str">
        <f>'Reported burning'!B1107</f>
        <v>125a.14</v>
      </c>
      <c r="C1107" s="6" t="str">
        <f>'Reported burning'!C1107</f>
        <v>Human, deliberate</v>
      </c>
      <c r="D1107" s="6" t="str">
        <f>'Reported burning'!D1107</f>
        <v>Land clearance</v>
      </c>
      <c r="E1107" s="6" t="str">
        <f>'Reported burning'!E1107</f>
        <v>Cropping, Monoculture, Subsistence-oriented</v>
      </c>
      <c r="F1107" s="6" t="str">
        <f>'Reported burning'!F1107</f>
        <v>Grassland</v>
      </c>
      <c r="G1107" s="6" t="str">
        <f>'Reported burning'!G1107</f>
        <v>ND</v>
      </c>
      <c r="H1107" s="6" t="str">
        <f>'Reported burning'!H1107</f>
        <v>Presence</v>
      </c>
      <c r="I1107" s="3">
        <v>2003</v>
      </c>
      <c r="J1107" s="3" t="s">
        <v>2276</v>
      </c>
      <c r="K1107" s="3" t="s">
        <v>2276</v>
      </c>
      <c r="L1107" s="3" t="s">
        <v>2276</v>
      </c>
      <c r="M1107" s="3" t="s">
        <v>2276</v>
      </c>
      <c r="N1107" s="3" t="s">
        <v>2276</v>
      </c>
      <c r="O1107" s="3" t="s">
        <v>2276</v>
      </c>
      <c r="P1107" s="3" t="s">
        <v>2276</v>
      </c>
      <c r="Q1107" s="3" t="s">
        <v>2276</v>
      </c>
      <c r="R1107" s="3" t="s">
        <v>2276</v>
      </c>
      <c r="S1107" s="3" t="s">
        <v>2276</v>
      </c>
      <c r="T1107" s="3" t="s">
        <v>2527</v>
      </c>
      <c r="U1107" s="3" t="s">
        <v>2276</v>
      </c>
      <c r="V1107" s="3" t="s">
        <v>2276</v>
      </c>
      <c r="W1107" s="3" t="s">
        <v>2276</v>
      </c>
      <c r="X1107" s="3" t="s">
        <v>425</v>
      </c>
      <c r="Y1107" s="3" t="s">
        <v>127</v>
      </c>
      <c r="Z1107" s="3" t="s">
        <v>64</v>
      </c>
      <c r="AA1107" s="3"/>
      <c r="AB1107" s="4" t="s">
        <v>3359</v>
      </c>
    </row>
    <row r="1108" spans="1:28" ht="48" customHeight="1">
      <c r="A1108" s="6" t="str">
        <f>'Reported burning'!A1108</f>
        <v>125a</v>
      </c>
      <c r="B1108" s="6" t="str">
        <f>'Reported burning'!B1108</f>
        <v>125a.15</v>
      </c>
      <c r="C1108" s="6" t="str">
        <f>'Reported burning'!C1108</f>
        <v>Human, accidental</v>
      </c>
      <c r="D1108" s="6" t="str">
        <f>'Reported burning'!D1108</f>
        <v>All</v>
      </c>
      <c r="E1108" s="6" t="str">
        <f>'Reported burning'!E1108</f>
        <v>All</v>
      </c>
      <c r="F1108" s="6" t="str">
        <f>'Reported burning'!F1108</f>
        <v>ND</v>
      </c>
      <c r="G1108" s="6" t="str">
        <f>'Reported burning'!G1108</f>
        <v>ND</v>
      </c>
      <c r="H1108" s="6" t="str">
        <f>'Reported burning'!H1108</f>
        <v>Presence</v>
      </c>
      <c r="I1108" s="3">
        <v>2003</v>
      </c>
      <c r="J1108" s="3" t="s">
        <v>2276</v>
      </c>
      <c r="K1108" s="3" t="s">
        <v>2276</v>
      </c>
      <c r="L1108" s="3" t="s">
        <v>2276</v>
      </c>
      <c r="M1108" s="3" t="s">
        <v>2276</v>
      </c>
      <c r="N1108" s="3" t="s">
        <v>2276</v>
      </c>
      <c r="O1108" s="3" t="s">
        <v>2276</v>
      </c>
      <c r="P1108" s="3" t="s">
        <v>2276</v>
      </c>
      <c r="Q1108" s="3" t="s">
        <v>2276</v>
      </c>
      <c r="R1108" s="3" t="s">
        <v>2276</v>
      </c>
      <c r="S1108" s="3" t="s">
        <v>2276</v>
      </c>
      <c r="T1108" s="3" t="s">
        <v>2527</v>
      </c>
      <c r="U1108" s="3" t="s">
        <v>2276</v>
      </c>
      <c r="V1108" s="3" t="s">
        <v>2276</v>
      </c>
      <c r="W1108" s="3" t="s">
        <v>2276</v>
      </c>
      <c r="X1108" s="3" t="s">
        <v>425</v>
      </c>
      <c r="Y1108" s="3" t="s">
        <v>127</v>
      </c>
      <c r="Z1108" s="3" t="s">
        <v>64</v>
      </c>
      <c r="AA1108" s="3"/>
      <c r="AB1108" s="4" t="s">
        <v>3359</v>
      </c>
    </row>
    <row r="1109" spans="1:28" ht="47" customHeight="1">
      <c r="A1109" s="6" t="str">
        <f>'Reported burning'!A1109</f>
        <v>125a</v>
      </c>
      <c r="B1109" s="6" t="str">
        <f>'Reported burning'!B1109</f>
        <v>125a.16</v>
      </c>
      <c r="C1109" s="6" t="str">
        <f>'Reported burning'!C1109</f>
        <v>Human, deliberate</v>
      </c>
      <c r="D1109" s="6" t="str">
        <f>'Reported burning'!D1109</f>
        <v>Hunting</v>
      </c>
      <c r="E1109" s="6" t="str">
        <f>'Reported burning'!E1109</f>
        <v>Forestry, Traditional</v>
      </c>
      <c r="F1109" s="6" t="str">
        <f>'Reported burning'!F1109</f>
        <v>Grassland</v>
      </c>
      <c r="G1109" s="6" t="str">
        <f>'Reported burning'!G1109</f>
        <v>ND</v>
      </c>
      <c r="H1109" s="6" t="str">
        <f>'Reported burning'!H1109</f>
        <v>Presence</v>
      </c>
      <c r="I1109" s="3">
        <v>2003</v>
      </c>
      <c r="J1109" s="3" t="s">
        <v>2276</v>
      </c>
      <c r="K1109" s="3" t="s">
        <v>2276</v>
      </c>
      <c r="L1109" s="3" t="s">
        <v>2276</v>
      </c>
      <c r="M1109" s="3" t="s">
        <v>2276</v>
      </c>
      <c r="N1109" s="3" t="s">
        <v>2276</v>
      </c>
      <c r="O1109" s="3" t="s">
        <v>2276</v>
      </c>
      <c r="P1109" s="3" t="s">
        <v>2276</v>
      </c>
      <c r="Q1109" s="3" t="s">
        <v>2276</v>
      </c>
      <c r="R1109" s="3" t="s">
        <v>2276</v>
      </c>
      <c r="S1109" s="3" t="s">
        <v>2276</v>
      </c>
      <c r="T1109" s="3" t="s">
        <v>2527</v>
      </c>
      <c r="U1109" s="3" t="s">
        <v>2276</v>
      </c>
      <c r="V1109" s="3" t="s">
        <v>2276</v>
      </c>
      <c r="W1109" s="3" t="s">
        <v>2276</v>
      </c>
      <c r="X1109" s="3" t="s">
        <v>425</v>
      </c>
      <c r="Y1109" s="3" t="s">
        <v>127</v>
      </c>
      <c r="Z1109" s="3" t="s">
        <v>64</v>
      </c>
      <c r="AA1109" s="3"/>
      <c r="AB1109" s="4" t="s">
        <v>3359</v>
      </c>
    </row>
    <row r="1110" spans="1:28" ht="98" customHeight="1">
      <c r="A1110" s="6" t="str">
        <f>'Reported burning'!A1110</f>
        <v>126a</v>
      </c>
      <c r="B1110" s="6" t="str">
        <f>'Reported burning'!B1110</f>
        <v>126a.1</v>
      </c>
      <c r="C1110" s="6" t="str">
        <f>'Reported burning'!C1110</f>
        <v>Human, deliberate</v>
      </c>
      <c r="D1110" s="6" t="str">
        <f>'Reported burning'!D1110</f>
        <v>Conservation</v>
      </c>
      <c r="E1110" s="6" t="str">
        <f>'Reported burning'!E1110</f>
        <v>Biodiversity conservation</v>
      </c>
      <c r="F1110" s="6" t="str">
        <f>'Reported burning'!F1110</f>
        <v>Shrubland (Mixed forest &amp; grassland)</v>
      </c>
      <c r="G1110" s="6" t="str">
        <f>'Reported burning'!G1110</f>
        <v>ND</v>
      </c>
      <c r="H1110" s="6" t="str">
        <f>'Reported burning'!H1110</f>
        <v>Presence</v>
      </c>
      <c r="I1110" s="3"/>
      <c r="J1110" s="3" t="s">
        <v>2367</v>
      </c>
      <c r="K1110" s="3" t="s">
        <v>2276</v>
      </c>
      <c r="L1110" s="3" t="s">
        <v>2276</v>
      </c>
      <c r="M1110" s="3" t="s">
        <v>2276</v>
      </c>
      <c r="N1110" s="3" t="s">
        <v>2276</v>
      </c>
      <c r="O1110" s="3" t="s">
        <v>2276</v>
      </c>
      <c r="P1110" s="21" t="s">
        <v>2381</v>
      </c>
      <c r="Q1110" s="3" t="s">
        <v>2276</v>
      </c>
      <c r="R1110" s="3" t="s">
        <v>2276</v>
      </c>
      <c r="S1110" s="3" t="s">
        <v>2276</v>
      </c>
      <c r="T1110" s="3" t="s">
        <v>2276</v>
      </c>
      <c r="U1110" s="3" t="s">
        <v>2276</v>
      </c>
      <c r="V1110" s="3" t="s">
        <v>2276</v>
      </c>
      <c r="W1110" s="3" t="s">
        <v>2276</v>
      </c>
      <c r="X1110" s="3" t="s">
        <v>35</v>
      </c>
      <c r="Y1110" s="3" t="s">
        <v>188</v>
      </c>
      <c r="Z1110" s="3" t="s">
        <v>64</v>
      </c>
      <c r="AA1110" s="4"/>
      <c r="AB1110" s="4" t="s">
        <v>3367</v>
      </c>
    </row>
    <row r="1111" spans="1:28" ht="101.5" customHeight="1">
      <c r="A1111" s="6" t="str">
        <f>'Reported burning'!A1111</f>
        <v>127a</v>
      </c>
      <c r="B1111" s="6" t="str">
        <f>'Reported burning'!B1111</f>
        <v>127a.1</v>
      </c>
      <c r="C1111" s="6" t="str">
        <f>'Reported burning'!C1111</f>
        <v>Human, deliberate</v>
      </c>
      <c r="D1111" s="6" t="str">
        <f>'Reported burning'!D1111</f>
        <v>Pasture renewal</v>
      </c>
      <c r="E1111" s="6" t="str">
        <f>'Reported burning'!E1111</f>
        <v>Pastoralism, Migratory</v>
      </c>
      <c r="F1111" s="6" t="str">
        <f>'Reported burning'!F1111</f>
        <v>Shrubland (Mixed forest &amp; grassland)</v>
      </c>
      <c r="G1111" s="6" t="str">
        <f>'Reported burning'!G1111</f>
        <v>ND</v>
      </c>
      <c r="H1111" s="6" t="str">
        <f>'Reported burning'!H1111</f>
        <v>Absence</v>
      </c>
      <c r="I1111" s="3"/>
      <c r="J1111" s="21">
        <v>0</v>
      </c>
      <c r="K1111" s="21">
        <v>0</v>
      </c>
      <c r="L1111" s="21">
        <v>0</v>
      </c>
      <c r="M1111" s="21">
        <v>0</v>
      </c>
      <c r="N1111" s="21">
        <v>0</v>
      </c>
      <c r="O1111" s="21">
        <v>0</v>
      </c>
      <c r="P1111" s="21">
        <v>0</v>
      </c>
      <c r="Q1111" s="21">
        <v>0</v>
      </c>
      <c r="R1111" s="21">
        <v>0</v>
      </c>
      <c r="S1111" s="21">
        <v>0</v>
      </c>
      <c r="T1111" s="21">
        <v>0</v>
      </c>
      <c r="U1111" s="21">
        <v>0</v>
      </c>
      <c r="V1111" s="21">
        <v>0</v>
      </c>
      <c r="W1111" s="21">
        <v>0</v>
      </c>
      <c r="X1111" s="3" t="s">
        <v>2276</v>
      </c>
      <c r="Y1111" s="3" t="s">
        <v>2276</v>
      </c>
      <c r="Z1111" s="3" t="s">
        <v>2276</v>
      </c>
      <c r="AA1111" s="4" t="s">
        <v>3376</v>
      </c>
      <c r="AB1111" s="3"/>
    </row>
    <row r="1112" spans="1:28" ht="101.5" customHeight="1">
      <c r="A1112" s="6" t="str">
        <f>'Reported burning'!A1112</f>
        <v>127b</v>
      </c>
      <c r="B1112" s="6" t="str">
        <f>'Reported burning'!B1112</f>
        <v>127b.1</v>
      </c>
      <c r="C1112" s="6" t="str">
        <f>'Reported burning'!C1112</f>
        <v>Human, deliberate</v>
      </c>
      <c r="D1112" s="6" t="str">
        <f>'Reported burning'!D1112</f>
        <v>Pasture renewal</v>
      </c>
      <c r="E1112" s="6" t="str">
        <f>'Reported burning'!E1112</f>
        <v>Pastoralism, Migratory</v>
      </c>
      <c r="F1112" s="6" t="str">
        <f>'Reported burning'!F1112</f>
        <v>Shrubland (Mixed forest &amp; grassland)</v>
      </c>
      <c r="G1112" s="6" t="str">
        <f>'Reported burning'!G1112</f>
        <v>ND</v>
      </c>
      <c r="H1112" s="6" t="str">
        <f>'Reported burning'!H1112</f>
        <v>Absence</v>
      </c>
      <c r="I1112" s="3"/>
      <c r="J1112" s="21">
        <v>0</v>
      </c>
      <c r="K1112" s="21">
        <v>0</v>
      </c>
      <c r="L1112" s="21">
        <v>0</v>
      </c>
      <c r="M1112" s="21">
        <v>0</v>
      </c>
      <c r="N1112" s="21">
        <v>0</v>
      </c>
      <c r="O1112" s="21">
        <v>0</v>
      </c>
      <c r="P1112" s="21">
        <v>0</v>
      </c>
      <c r="Q1112" s="21">
        <v>0</v>
      </c>
      <c r="R1112" s="21">
        <v>0</v>
      </c>
      <c r="S1112" s="21">
        <v>0</v>
      </c>
      <c r="T1112" s="21">
        <v>0</v>
      </c>
      <c r="U1112" s="21">
        <v>0</v>
      </c>
      <c r="V1112" s="21">
        <v>0</v>
      </c>
      <c r="W1112" s="21">
        <v>0</v>
      </c>
      <c r="X1112" s="3" t="s">
        <v>2276</v>
      </c>
      <c r="Y1112" s="3" t="s">
        <v>2276</v>
      </c>
      <c r="Z1112" s="3" t="s">
        <v>2276</v>
      </c>
      <c r="AA1112" s="4" t="s">
        <v>3376</v>
      </c>
      <c r="AB1112" s="3"/>
    </row>
    <row r="1113" spans="1:28" ht="64.5" customHeight="1">
      <c r="A1113" s="6" t="str">
        <f>'Reported burning'!A1113</f>
        <v>128a</v>
      </c>
      <c r="B1113" s="6" t="str">
        <f>'Reported burning'!B1113</f>
        <v>128a.1</v>
      </c>
      <c r="C1113" s="6" t="str">
        <f>'Reported burning'!C1113</f>
        <v>Human, deliberate</v>
      </c>
      <c r="D1113" s="6" t="str">
        <f>'Reported burning'!D1113</f>
        <v>Rangeland management</v>
      </c>
      <c r="E1113" s="6" t="str">
        <f>'Reported burning'!E1113</f>
        <v>Pastoralism, Migratory</v>
      </c>
      <c r="F1113" s="6" t="str">
        <f>'Reported burning'!F1113</f>
        <v>Shrubland (Mixed forest &amp; grassland)</v>
      </c>
      <c r="G1113" s="6" t="str">
        <f>'Reported burning'!G1113</f>
        <v>ND</v>
      </c>
      <c r="H1113" s="6" t="str">
        <f>'Reported burning'!H1113</f>
        <v>Presence</v>
      </c>
      <c r="I1113" s="3"/>
      <c r="J1113" s="156" t="str">
        <f>'Reported burning'!J1113</f>
        <v>ND</v>
      </c>
      <c r="K1113" s="156" t="str">
        <f>'Reported burning'!K1113</f>
        <v>ND</v>
      </c>
      <c r="L1113" s="156" t="str">
        <f>'Reported burning'!L1113</f>
        <v>ND</v>
      </c>
      <c r="M1113" s="156" t="str">
        <f>'Reported burning'!M1113</f>
        <v>ND</v>
      </c>
      <c r="N1113" s="156" t="str">
        <f>'Reported burning'!N1113</f>
        <v>ND</v>
      </c>
      <c r="O1113" s="156" t="str">
        <f>'Reported burning'!O1113</f>
        <v>ND</v>
      </c>
      <c r="P1113" s="156" t="str">
        <f>'Reported burning'!P1113</f>
        <v>ND</v>
      </c>
      <c r="Q1113" s="156" t="str">
        <f>'Reported burning'!Q1113</f>
        <v>ND</v>
      </c>
      <c r="R1113" s="156" t="str">
        <f>'Reported burning'!R1113</f>
        <v>ND</v>
      </c>
      <c r="S1113" s="156" t="str">
        <f>'Reported burning'!S1113</f>
        <v>ND</v>
      </c>
      <c r="T1113" s="156" t="str">
        <f>'Reported burning'!T1113</f>
        <v>ND</v>
      </c>
      <c r="U1113" t="s">
        <v>2389</v>
      </c>
      <c r="V1113" s="156" t="str">
        <f>'Reported burning'!V1113</f>
        <v>ND</v>
      </c>
      <c r="W1113" s="3" t="s">
        <v>2401</v>
      </c>
      <c r="X1113" s="3" t="s">
        <v>127</v>
      </c>
      <c r="Y1113" s="3" t="s">
        <v>188</v>
      </c>
      <c r="Z1113" s="3" t="s">
        <v>64</v>
      </c>
      <c r="AA1113" s="4" t="s">
        <v>3398</v>
      </c>
      <c r="AB1113" s="4" t="s">
        <v>3399</v>
      </c>
    </row>
    <row r="1114" spans="1:28" ht="64.5" customHeight="1">
      <c r="A1114" s="6" t="str">
        <f>'Reported burning'!A1114</f>
        <v>128b</v>
      </c>
      <c r="B1114" s="6" t="str">
        <f>'Reported burning'!B1114</f>
        <v>128b.1</v>
      </c>
      <c r="C1114" s="6" t="str">
        <f>'Reported burning'!C1114</f>
        <v>Human, deliberate</v>
      </c>
      <c r="D1114" s="6" t="str">
        <f>'Reported burning'!D1114</f>
        <v>Rangeland management</v>
      </c>
      <c r="E1114" s="6" t="str">
        <f>'Reported burning'!E1114</f>
        <v>Pastoralism, Migratory</v>
      </c>
      <c r="F1114" s="6" t="str">
        <f>'Reported burning'!F1114</f>
        <v>Shrubland (Mixed forest &amp; grassland)</v>
      </c>
      <c r="G1114" s="6" t="str">
        <f>'Reported burning'!G1114</f>
        <v>ND</v>
      </c>
      <c r="H1114" s="6" t="str">
        <f>'Reported burning'!H1114</f>
        <v>Presence</v>
      </c>
      <c r="I1114" s="3"/>
      <c r="J1114" s="156" t="str">
        <f>'Reported burning'!J1114</f>
        <v>ND</v>
      </c>
      <c r="K1114" s="156" t="str">
        <f>'Reported burning'!K1114</f>
        <v>ND</v>
      </c>
      <c r="L1114" s="156" t="str">
        <f>'Reported burning'!L1114</f>
        <v>ND</v>
      </c>
      <c r="M1114" s="156" t="str">
        <f>'Reported burning'!M1114</f>
        <v>ND</v>
      </c>
      <c r="N1114" s="156" t="str">
        <f>'Reported burning'!N1114</f>
        <v>ND</v>
      </c>
      <c r="O1114" s="156" t="str">
        <f>'Reported burning'!O1114</f>
        <v>ND</v>
      </c>
      <c r="P1114" s="156" t="str">
        <f>'Reported burning'!P1114</f>
        <v>ND</v>
      </c>
      <c r="Q1114" s="156" t="str">
        <f>'Reported burning'!Q1114</f>
        <v>ND</v>
      </c>
      <c r="R1114" s="156" t="str">
        <f>'Reported burning'!R1114</f>
        <v>ND</v>
      </c>
      <c r="S1114" s="156" t="str">
        <f>'Reported burning'!S1114</f>
        <v>ND</v>
      </c>
      <c r="T1114" s="156" t="str">
        <f>'Reported burning'!T1114</f>
        <v>ND</v>
      </c>
      <c r="U1114" s="3" t="s">
        <v>2389</v>
      </c>
      <c r="V1114" s="156" t="str">
        <f>'Reported burning'!V1114</f>
        <v>ND</v>
      </c>
      <c r="W1114" s="3" t="s">
        <v>2401</v>
      </c>
      <c r="X1114" s="3" t="s">
        <v>127</v>
      </c>
      <c r="Y1114" s="3" t="s">
        <v>188</v>
      </c>
      <c r="Z1114" s="3" t="s">
        <v>64</v>
      </c>
      <c r="AA1114" s="4" t="s">
        <v>3398</v>
      </c>
      <c r="AB1114" s="4" t="s">
        <v>3399</v>
      </c>
    </row>
    <row r="1115" spans="1:28" ht="64.5" customHeight="1">
      <c r="A1115" s="6" t="str">
        <f>'Reported burning'!A1115</f>
        <v>128c</v>
      </c>
      <c r="B1115" s="6" t="str">
        <f>'Reported burning'!B1115</f>
        <v>128c.1</v>
      </c>
      <c r="C1115" s="6" t="str">
        <f>'Reported burning'!C1115</f>
        <v>Human, deliberate</v>
      </c>
      <c r="D1115" s="6" t="str">
        <f>'Reported burning'!D1115</f>
        <v>Rangeland management</v>
      </c>
      <c r="E1115" s="6" t="str">
        <f>'Reported burning'!E1115</f>
        <v>Pastoralism, Migratory</v>
      </c>
      <c r="F1115" s="6" t="str">
        <f>'Reported burning'!F1115</f>
        <v>Shrubland (Mixed forest &amp; grassland)</v>
      </c>
      <c r="G1115" s="6" t="str">
        <f>'Reported burning'!G1115</f>
        <v>ND</v>
      </c>
      <c r="H1115" s="6" t="str">
        <f>'Reported burning'!H1115</f>
        <v>Presence</v>
      </c>
      <c r="I1115" s="3"/>
      <c r="J1115" s="156" t="str">
        <f>'Reported burning'!J1115</f>
        <v>ND</v>
      </c>
      <c r="K1115" s="156" t="str">
        <f>'Reported burning'!K1115</f>
        <v>ND</v>
      </c>
      <c r="L1115" s="156" t="str">
        <f>'Reported burning'!L1115</f>
        <v>ND</v>
      </c>
      <c r="M1115" s="156" t="str">
        <f>'Reported burning'!M1115</f>
        <v>ND</v>
      </c>
      <c r="N1115" s="156" t="str">
        <f>'Reported burning'!N1115</f>
        <v>ND</v>
      </c>
      <c r="O1115" s="156" t="str">
        <f>'Reported burning'!O1115</f>
        <v>ND</v>
      </c>
      <c r="P1115" s="156" t="str">
        <f>'Reported burning'!P1115</f>
        <v>ND</v>
      </c>
      <c r="Q1115" s="156" t="str">
        <f>'Reported burning'!Q1115</f>
        <v>ND</v>
      </c>
      <c r="R1115" s="156" t="str">
        <f>'Reported burning'!R1115</f>
        <v>ND</v>
      </c>
      <c r="S1115" s="156" t="str">
        <f>'Reported burning'!S1115</f>
        <v>ND</v>
      </c>
      <c r="T1115" s="156" t="str">
        <f>'Reported burning'!T1115</f>
        <v>ND</v>
      </c>
      <c r="U1115" s="3" t="s">
        <v>2389</v>
      </c>
      <c r="V1115" s="156" t="str">
        <f>'Reported burning'!V1115</f>
        <v>ND</v>
      </c>
      <c r="W1115" s="3" t="s">
        <v>2401</v>
      </c>
      <c r="X1115" s="3" t="s">
        <v>127</v>
      </c>
      <c r="Y1115" s="3" t="s">
        <v>188</v>
      </c>
      <c r="Z1115" s="3" t="s">
        <v>64</v>
      </c>
      <c r="AA1115" s="4" t="s">
        <v>3398</v>
      </c>
      <c r="AB1115" s="4" t="s">
        <v>3399</v>
      </c>
    </row>
    <row r="1116" spans="1:28" ht="64.5" customHeight="1">
      <c r="A1116" s="6" t="str">
        <f>'Reported burning'!A1116</f>
        <v>128a</v>
      </c>
      <c r="B1116" s="6" t="str">
        <f>'Reported burning'!B1116</f>
        <v>128a.2</v>
      </c>
      <c r="C1116" s="6" t="str">
        <f>'Reported burning'!C1116</f>
        <v>Human, deliberate</v>
      </c>
      <c r="D1116" s="6" t="str">
        <f>'Reported burning'!D1116</f>
        <v>Pest management</v>
      </c>
      <c r="E1116" s="6" t="str">
        <f>'Reported burning'!E1116</f>
        <v>Pastoralism, Migratory</v>
      </c>
      <c r="F1116" s="6" t="str">
        <f>'Reported burning'!F1116</f>
        <v>Shrubland (Mixed forest &amp; grassland)</v>
      </c>
      <c r="G1116" s="6" t="str">
        <f>'Reported burning'!G1116</f>
        <v>ND</v>
      </c>
      <c r="H1116" s="6" t="str">
        <f>'Reported burning'!H1116</f>
        <v>Presence</v>
      </c>
      <c r="I1116" s="3"/>
      <c r="J1116" s="156" t="str">
        <f>'Reported burning'!J1116</f>
        <v>ND</v>
      </c>
      <c r="K1116" s="156" t="str">
        <f>'Reported burning'!K1116</f>
        <v>ND</v>
      </c>
      <c r="L1116" s="156" t="str">
        <f>'Reported burning'!L1116</f>
        <v>ND</v>
      </c>
      <c r="M1116" s="156" t="str">
        <f>'Reported burning'!M1116</f>
        <v>ND</v>
      </c>
      <c r="N1116" s="156" t="str">
        <f>'Reported burning'!N1116</f>
        <v>ND</v>
      </c>
      <c r="O1116" s="156" t="str">
        <f>'Reported burning'!O1116</f>
        <v>ND</v>
      </c>
      <c r="P1116" s="156" t="str">
        <f>'Reported burning'!P1116</f>
        <v>ND</v>
      </c>
      <c r="Q1116" s="156" t="str">
        <f>'Reported burning'!Q1116</f>
        <v>ND</v>
      </c>
      <c r="R1116" s="156" t="str">
        <f>'Reported burning'!R1116</f>
        <v>ND</v>
      </c>
      <c r="S1116" s="156" t="str">
        <f>'Reported burning'!S1116</f>
        <v>ND</v>
      </c>
      <c r="T1116" s="156" t="str">
        <f>'Reported burning'!T1116</f>
        <v>ND</v>
      </c>
      <c r="U1116" s="156" t="str">
        <f>'Reported burning'!U1116</f>
        <v>ND</v>
      </c>
      <c r="V1116" s="156" t="str">
        <f>'Reported burning'!V1116</f>
        <v>ND</v>
      </c>
      <c r="W1116" s="152" t="str">
        <f>'Reported burning'!W1116</f>
        <v>ND</v>
      </c>
      <c r="X1116" s="156" t="str">
        <f>'Reported burning'!X1116</f>
        <v>ND</v>
      </c>
      <c r="Y1116" s="156" t="str">
        <f>'Reported burning'!Y1116</f>
        <v>ND</v>
      </c>
      <c r="Z1116" s="156" t="str">
        <f>'Reported burning'!Z1116</f>
        <v>ND</v>
      </c>
      <c r="AA1116" s="4" t="s">
        <v>3398</v>
      </c>
      <c r="AB1116" s="3"/>
    </row>
    <row r="1117" spans="1:28" ht="64.5" customHeight="1">
      <c r="A1117" s="6" t="str">
        <f>'Reported burning'!A1117</f>
        <v>128b</v>
      </c>
      <c r="B1117" s="6" t="str">
        <f>'Reported burning'!B1117</f>
        <v>128b.2</v>
      </c>
      <c r="C1117" s="6" t="str">
        <f>'Reported burning'!C1117</f>
        <v>Human, deliberate</v>
      </c>
      <c r="D1117" s="6" t="str">
        <f>'Reported burning'!D1117</f>
        <v>Pest management</v>
      </c>
      <c r="E1117" s="6" t="str">
        <f>'Reported burning'!E1117</f>
        <v>Pastoralism, Migratory</v>
      </c>
      <c r="F1117" s="6" t="str">
        <f>'Reported burning'!F1117</f>
        <v>Shrubland (Mixed forest &amp; grassland)</v>
      </c>
      <c r="G1117" s="6" t="str">
        <f>'Reported burning'!G1117</f>
        <v>ND</v>
      </c>
      <c r="H1117" s="6" t="str">
        <f>'Reported burning'!H1117</f>
        <v>Presence</v>
      </c>
      <c r="I1117" s="3"/>
      <c r="J1117" s="156" t="str">
        <f>'Reported burning'!J1117</f>
        <v>ND</v>
      </c>
      <c r="K1117" s="156" t="str">
        <f>'Reported burning'!K1117</f>
        <v>ND</v>
      </c>
      <c r="L1117" s="156" t="str">
        <f>'Reported burning'!L1117</f>
        <v>ND</v>
      </c>
      <c r="M1117" s="156" t="str">
        <f>'Reported burning'!M1117</f>
        <v>ND</v>
      </c>
      <c r="N1117" s="156" t="str">
        <f>'Reported burning'!N1117</f>
        <v>ND</v>
      </c>
      <c r="O1117" s="156" t="str">
        <f>'Reported burning'!O1117</f>
        <v>ND</v>
      </c>
      <c r="P1117" s="156" t="str">
        <f>'Reported burning'!P1117</f>
        <v>ND</v>
      </c>
      <c r="Q1117" s="156" t="str">
        <f>'Reported burning'!Q1117</f>
        <v>ND</v>
      </c>
      <c r="R1117" s="156" t="str">
        <f>'Reported burning'!R1117</f>
        <v>ND</v>
      </c>
      <c r="S1117" s="156" t="str">
        <f>'Reported burning'!S1117</f>
        <v>ND</v>
      </c>
      <c r="T1117" s="156" t="str">
        <f>'Reported burning'!T1117</f>
        <v>ND</v>
      </c>
      <c r="U1117" s="156" t="str">
        <f>'Reported burning'!U1117</f>
        <v>ND</v>
      </c>
      <c r="V1117" s="156" t="str">
        <f>'Reported burning'!V1117</f>
        <v>ND</v>
      </c>
      <c r="W1117" s="152" t="str">
        <f>'Reported burning'!W1117</f>
        <v>ND</v>
      </c>
      <c r="X1117" s="156" t="str">
        <f>'Reported burning'!X1117</f>
        <v>ND</v>
      </c>
      <c r="Y1117" s="156" t="str">
        <f>'Reported burning'!Y1117</f>
        <v>ND</v>
      </c>
      <c r="Z1117" s="156" t="str">
        <f>'Reported burning'!Z1117</f>
        <v>ND</v>
      </c>
      <c r="AA1117" s="4" t="s">
        <v>3398</v>
      </c>
      <c r="AB1117" s="3"/>
    </row>
    <row r="1118" spans="1:28" ht="64.5" customHeight="1">
      <c r="A1118" s="6" t="str">
        <f>'Reported burning'!A1118</f>
        <v>128c</v>
      </c>
      <c r="B1118" s="6" t="str">
        <f>'Reported burning'!B1118</f>
        <v>128c.2</v>
      </c>
      <c r="C1118" s="6" t="str">
        <f>'Reported burning'!C1118</f>
        <v>Human, deliberate</v>
      </c>
      <c r="D1118" s="6" t="str">
        <f>'Reported burning'!D1118</f>
        <v>Pest management</v>
      </c>
      <c r="E1118" s="6" t="str">
        <f>'Reported burning'!E1118</f>
        <v>Pastoralism, Migratory</v>
      </c>
      <c r="F1118" s="6" t="str">
        <f>'Reported burning'!F1118</f>
        <v>Shrubland (Mixed forest &amp; grassland)</v>
      </c>
      <c r="G1118" s="6" t="str">
        <f>'Reported burning'!G1118</f>
        <v>ND</v>
      </c>
      <c r="H1118" s="6" t="str">
        <f>'Reported burning'!H1118</f>
        <v>Presence</v>
      </c>
      <c r="I1118" s="3"/>
      <c r="J1118" s="156" t="str">
        <f>'Reported burning'!J1118</f>
        <v>ND</v>
      </c>
      <c r="K1118" s="156" t="str">
        <f>'Reported burning'!K1118</f>
        <v>ND</v>
      </c>
      <c r="L1118" s="156" t="str">
        <f>'Reported burning'!L1118</f>
        <v>ND</v>
      </c>
      <c r="M1118" s="156" t="str">
        <f>'Reported burning'!M1118</f>
        <v>ND</v>
      </c>
      <c r="N1118" s="156" t="str">
        <f>'Reported burning'!N1118</f>
        <v>ND</v>
      </c>
      <c r="O1118" s="156" t="str">
        <f>'Reported burning'!O1118</f>
        <v>ND</v>
      </c>
      <c r="P1118" s="156" t="str">
        <f>'Reported burning'!P1118</f>
        <v>ND</v>
      </c>
      <c r="Q1118" s="156" t="str">
        <f>'Reported burning'!Q1118</f>
        <v>ND</v>
      </c>
      <c r="R1118" s="156" t="str">
        <f>'Reported burning'!R1118</f>
        <v>ND</v>
      </c>
      <c r="S1118" s="156" t="str">
        <f>'Reported burning'!S1118</f>
        <v>ND</v>
      </c>
      <c r="T1118" s="156" t="str">
        <f>'Reported burning'!T1118</f>
        <v>ND</v>
      </c>
      <c r="U1118" s="156" t="str">
        <f>'Reported burning'!U1118</f>
        <v>ND</v>
      </c>
      <c r="V1118" s="156" t="str">
        <f>'Reported burning'!V1118</f>
        <v>ND</v>
      </c>
      <c r="W1118" s="156" t="str">
        <f>'Reported burning'!W1118</f>
        <v>ND</v>
      </c>
      <c r="X1118" s="156" t="str">
        <f>'Reported burning'!X1118</f>
        <v>ND</v>
      </c>
      <c r="Y1118" s="156" t="str">
        <f>'Reported burning'!Y1118</f>
        <v>ND</v>
      </c>
      <c r="Z1118" s="156" t="str">
        <f>'Reported burning'!Z1118</f>
        <v>ND</v>
      </c>
      <c r="AA1118" s="4" t="s">
        <v>3398</v>
      </c>
      <c r="AB1118" s="3"/>
    </row>
    <row r="1119" spans="1:28" ht="64.5" customHeight="1">
      <c r="A1119" s="6" t="str">
        <f>'Reported burning'!A1119</f>
        <v>128a</v>
      </c>
      <c r="B1119" s="6" t="str">
        <f>'Reported burning'!B1119</f>
        <v>128a.3</v>
      </c>
      <c r="C1119" s="6" t="str">
        <f>'Reported burning'!C1119</f>
        <v>Human, deliberate</v>
      </c>
      <c r="D1119" s="6" t="str">
        <f>'Reported burning'!D1119</f>
        <v>Accessibility</v>
      </c>
      <c r="E1119" s="6" t="str">
        <f>'Reported burning'!E1119</f>
        <v>Pastoralism, Migratory</v>
      </c>
      <c r="F1119" s="6" t="str">
        <f>'Reported burning'!F1119</f>
        <v>Shrubland (Mixed forest &amp; grassland)</v>
      </c>
      <c r="G1119" s="6" t="str">
        <f>'Reported burning'!G1119</f>
        <v>ND</v>
      </c>
      <c r="H1119" s="6" t="str">
        <f>'Reported burning'!H1119</f>
        <v>Presence</v>
      </c>
      <c r="I1119" s="3"/>
      <c r="J1119" s="156" t="str">
        <f>'Reported burning'!J1119</f>
        <v>ND</v>
      </c>
      <c r="K1119" s="156" t="str">
        <f>'Reported burning'!K1119</f>
        <v>ND</v>
      </c>
      <c r="L1119" s="156" t="str">
        <f>'Reported burning'!L1119</f>
        <v>ND</v>
      </c>
      <c r="M1119" s="156" t="str">
        <f>'Reported burning'!M1119</f>
        <v>ND</v>
      </c>
      <c r="N1119" s="156" t="str">
        <f>'Reported burning'!N1119</f>
        <v>ND</v>
      </c>
      <c r="O1119" s="156" t="str">
        <f>'Reported burning'!O1119</f>
        <v>ND</v>
      </c>
      <c r="P1119" s="156" t="str">
        <f>'Reported burning'!P1119</f>
        <v>ND</v>
      </c>
      <c r="Q1119" s="156" t="str">
        <f>'Reported burning'!Q1119</f>
        <v>ND</v>
      </c>
      <c r="R1119" s="156" t="str">
        <f>'Reported burning'!R1119</f>
        <v>ND</v>
      </c>
      <c r="S1119" s="156" t="str">
        <f>'Reported burning'!S1119</f>
        <v>ND</v>
      </c>
      <c r="T1119" s="156" t="str">
        <f>'Reported burning'!T1119</f>
        <v>ND</v>
      </c>
      <c r="U1119" s="156" t="str">
        <f>'Reported burning'!U1119</f>
        <v>ND</v>
      </c>
      <c r="V1119" s="156" t="str">
        <f>'Reported burning'!V1119</f>
        <v>ND</v>
      </c>
      <c r="W1119" s="156" t="str">
        <f>'Reported burning'!W1119</f>
        <v>ND</v>
      </c>
      <c r="X1119" s="156" t="str">
        <f>'Reported burning'!X1119</f>
        <v>ND</v>
      </c>
      <c r="Y1119" s="156" t="str">
        <f>'Reported burning'!Y1119</f>
        <v>ND</v>
      </c>
      <c r="Z1119" s="156" t="str">
        <f>'Reported burning'!Z1119</f>
        <v>ND</v>
      </c>
      <c r="AA1119" s="4" t="s">
        <v>3398</v>
      </c>
      <c r="AB1119" s="3"/>
    </row>
    <row r="1120" spans="1:28" ht="64.5" customHeight="1">
      <c r="A1120" s="6" t="str">
        <f>'Reported burning'!A1120</f>
        <v>128b</v>
      </c>
      <c r="B1120" s="6" t="str">
        <f>'Reported burning'!B1120</f>
        <v>128b.3</v>
      </c>
      <c r="C1120" s="6" t="str">
        <f>'Reported burning'!C1120</f>
        <v>Human, deliberate</v>
      </c>
      <c r="D1120" s="6" t="str">
        <f>'Reported burning'!D1120</f>
        <v>Accessibility</v>
      </c>
      <c r="E1120" s="6" t="str">
        <f>'Reported burning'!E1120</f>
        <v>Pastoralism, Migratory</v>
      </c>
      <c r="F1120" s="6" t="str">
        <f>'Reported burning'!F1120</f>
        <v>Shrubland (Mixed forest &amp; grassland)</v>
      </c>
      <c r="G1120" s="6" t="str">
        <f>'Reported burning'!G1120</f>
        <v>ND</v>
      </c>
      <c r="H1120" s="6" t="str">
        <f>'Reported burning'!H1120</f>
        <v>Presence</v>
      </c>
      <c r="I1120" s="3"/>
      <c r="J1120" s="156" t="str">
        <f>'Reported burning'!J1120</f>
        <v>ND</v>
      </c>
      <c r="K1120" s="156" t="str">
        <f>'Reported burning'!K1120</f>
        <v>ND</v>
      </c>
      <c r="L1120" s="156" t="str">
        <f>'Reported burning'!L1120</f>
        <v>ND</v>
      </c>
      <c r="M1120" s="156" t="str">
        <f>'Reported burning'!M1120</f>
        <v>ND</v>
      </c>
      <c r="N1120" s="156" t="str">
        <f>'Reported burning'!N1120</f>
        <v>ND</v>
      </c>
      <c r="O1120" s="156" t="str">
        <f>'Reported burning'!O1120</f>
        <v>ND</v>
      </c>
      <c r="P1120" s="156" t="str">
        <f>'Reported burning'!P1120</f>
        <v>ND</v>
      </c>
      <c r="Q1120" s="156" t="str">
        <f>'Reported burning'!Q1120</f>
        <v>ND</v>
      </c>
      <c r="R1120" s="156" t="str">
        <f>'Reported burning'!R1120</f>
        <v>ND</v>
      </c>
      <c r="S1120" s="156" t="str">
        <f>'Reported burning'!S1120</f>
        <v>ND</v>
      </c>
      <c r="T1120" s="156" t="str">
        <f>'Reported burning'!T1120</f>
        <v>ND</v>
      </c>
      <c r="U1120" s="156" t="str">
        <f>'Reported burning'!U1120</f>
        <v>ND</v>
      </c>
      <c r="V1120" s="156" t="str">
        <f>'Reported burning'!V1120</f>
        <v>ND</v>
      </c>
      <c r="W1120" s="156" t="str">
        <f>'Reported burning'!W1120</f>
        <v>ND</v>
      </c>
      <c r="X1120" s="156" t="str">
        <f>'Reported burning'!X1120</f>
        <v>ND</v>
      </c>
      <c r="Y1120" s="156" t="str">
        <f>'Reported burning'!Y1120</f>
        <v>ND</v>
      </c>
      <c r="Z1120" s="156" t="str">
        <f>'Reported burning'!Z1120</f>
        <v>ND</v>
      </c>
      <c r="AA1120" s="4" t="s">
        <v>3398</v>
      </c>
      <c r="AB1120" s="3"/>
    </row>
    <row r="1121" spans="1:30" ht="64.5" customHeight="1">
      <c r="A1121" s="6" t="str">
        <f>'Reported burning'!A1121</f>
        <v>128c</v>
      </c>
      <c r="B1121" s="6" t="str">
        <f>'Reported burning'!B1121</f>
        <v>128c.3</v>
      </c>
      <c r="C1121" s="6" t="str">
        <f>'Reported burning'!C1121</f>
        <v>Human, deliberate</v>
      </c>
      <c r="D1121" s="6" t="str">
        <f>'Reported burning'!D1121</f>
        <v>Accessibility</v>
      </c>
      <c r="E1121" s="6" t="str">
        <f>'Reported burning'!E1121</f>
        <v>Pastoralism, Migratory</v>
      </c>
      <c r="F1121" s="6" t="str">
        <f>'Reported burning'!F1121</f>
        <v>Shrubland (Mixed forest &amp; grassland)</v>
      </c>
      <c r="G1121" s="6" t="str">
        <f>'Reported burning'!G1121</f>
        <v>ND</v>
      </c>
      <c r="H1121" s="6" t="str">
        <f>'Reported burning'!H1121</f>
        <v>Presence</v>
      </c>
      <c r="I1121" s="3"/>
      <c r="J1121" s="156" t="str">
        <f>'Reported burning'!J1121</f>
        <v>ND</v>
      </c>
      <c r="K1121" s="156" t="str">
        <f>'Reported burning'!K1121</f>
        <v>ND</v>
      </c>
      <c r="L1121" s="156" t="str">
        <f>'Reported burning'!L1121</f>
        <v>ND</v>
      </c>
      <c r="M1121" s="156" t="str">
        <f>'Reported burning'!M1121</f>
        <v>ND</v>
      </c>
      <c r="N1121" s="156" t="str">
        <f>'Reported burning'!N1121</f>
        <v>ND</v>
      </c>
      <c r="O1121" s="156" t="str">
        <f>'Reported burning'!O1121</f>
        <v>ND</v>
      </c>
      <c r="P1121" s="156" t="str">
        <f>'Reported burning'!P1121</f>
        <v>ND</v>
      </c>
      <c r="Q1121" s="156" t="str">
        <f>'Reported burning'!Q1121</f>
        <v>ND</v>
      </c>
      <c r="R1121" s="156" t="str">
        <f>'Reported burning'!R1121</f>
        <v>ND</v>
      </c>
      <c r="S1121" s="156" t="str">
        <f>'Reported burning'!S1121</f>
        <v>ND</v>
      </c>
      <c r="T1121" s="156" t="str">
        <f>'Reported burning'!T1121</f>
        <v>ND</v>
      </c>
      <c r="U1121" s="156" t="str">
        <f>'Reported burning'!U1121</f>
        <v>ND</v>
      </c>
      <c r="V1121" s="156" t="str">
        <f>'Reported burning'!V1121</f>
        <v>ND</v>
      </c>
      <c r="W1121" s="156" t="str">
        <f>'Reported burning'!W1121</f>
        <v>ND</v>
      </c>
      <c r="X1121" s="156" t="str">
        <f>'Reported burning'!X1121</f>
        <v>ND</v>
      </c>
      <c r="Y1121" s="156" t="str">
        <f>'Reported burning'!Y1121</f>
        <v>ND</v>
      </c>
      <c r="Z1121" s="156" t="str">
        <f>'Reported burning'!Z1121</f>
        <v>ND</v>
      </c>
      <c r="AA1121" s="4" t="s">
        <v>3398</v>
      </c>
      <c r="AB1121" s="3"/>
    </row>
    <row r="1122" spans="1:30" ht="35" customHeight="1">
      <c r="A1122" s="6" t="str">
        <f>'Reported burning'!A1122</f>
        <v>129a</v>
      </c>
      <c r="B1122" s="6" t="str">
        <f>'Reported burning'!B1122</f>
        <v>129a.1</v>
      </c>
      <c r="C1122" s="6" t="str">
        <f>'Reported burning'!C1122</f>
        <v>Human, deliberate</v>
      </c>
      <c r="D1122" s="6" t="str">
        <f>'Reported burning'!D1122</f>
        <v>Rangeland management</v>
      </c>
      <c r="E1122" s="6" t="str">
        <f>'Reported burning'!E1122</f>
        <v>Pastoralism, Migratory</v>
      </c>
      <c r="F1122" s="6" t="str">
        <f>'Reported burning'!F1122</f>
        <v>Shrubland (Mixed forest &amp; grassland)</v>
      </c>
      <c r="G1122" s="6" t="str">
        <f>'Reported burning'!G1122</f>
        <v>ND</v>
      </c>
      <c r="H1122" s="6" t="str">
        <f>'Reported burning'!H1122</f>
        <v>Presence</v>
      </c>
      <c r="I1122" s="3"/>
      <c r="J1122" s="3" t="s">
        <v>2276</v>
      </c>
      <c r="K1122" s="3" t="s">
        <v>2276</v>
      </c>
      <c r="L1122" s="3" t="s">
        <v>2276</v>
      </c>
      <c r="M1122" s="3" t="s">
        <v>2276</v>
      </c>
      <c r="N1122" s="3" t="s">
        <v>2276</v>
      </c>
      <c r="O1122" s="3" t="s">
        <v>2276</v>
      </c>
      <c r="P1122" s="3" t="s">
        <v>2276</v>
      </c>
      <c r="Q1122" s="3" t="s">
        <v>2276</v>
      </c>
      <c r="R1122" s="3" t="s">
        <v>2276</v>
      </c>
      <c r="S1122" s="3" t="s">
        <v>2276</v>
      </c>
      <c r="T1122" s="3" t="s">
        <v>2276</v>
      </c>
      <c r="U1122" s="3" t="s">
        <v>2276</v>
      </c>
      <c r="V1122" s="3" t="s">
        <v>2276</v>
      </c>
      <c r="W1122" s="3" t="s">
        <v>2276</v>
      </c>
      <c r="X1122" s="3" t="s">
        <v>127</v>
      </c>
      <c r="Y1122" s="3" t="s">
        <v>188</v>
      </c>
      <c r="Z1122" s="3" t="s">
        <v>64</v>
      </c>
      <c r="AA1122" s="3"/>
      <c r="AB1122" s="3"/>
      <c r="AC1122" s="122"/>
      <c r="AD1122" s="122"/>
    </row>
    <row r="1123" spans="1:30" ht="131.5" customHeight="1">
      <c r="A1123" s="6" t="str">
        <f>'Reported burning'!A1123</f>
        <v>129b</v>
      </c>
      <c r="B1123" s="6" t="str">
        <f>'Reported burning'!B1123</f>
        <v>129b.1</v>
      </c>
      <c r="C1123" s="6" t="str">
        <f>'Reported burning'!C1123</f>
        <v>Human, deliberate</v>
      </c>
      <c r="D1123" s="6" t="str">
        <f>'Reported burning'!D1123</f>
        <v>Rangeland management</v>
      </c>
      <c r="E1123" s="6" t="str">
        <f>'Reported burning'!E1123</f>
        <v>Pastoralism, Migratory</v>
      </c>
      <c r="F1123" s="6" t="str">
        <f>'Reported burning'!F1123</f>
        <v>Shrubland (Mixed forest &amp; grassland)</v>
      </c>
      <c r="G1123" s="6" t="str">
        <f>'Reported burning'!G1123</f>
        <v>ND</v>
      </c>
      <c r="H1123" s="6" t="str">
        <f>'Reported burning'!H1123</f>
        <v>Absence</v>
      </c>
      <c r="I1123" s="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3" t="s">
        <v>2276</v>
      </c>
      <c r="Z1123" s="3" t="s">
        <v>2276</v>
      </c>
      <c r="AA1123" s="4" t="s">
        <v>3410</v>
      </c>
      <c r="AB1123" s="3" t="s">
        <v>2276</v>
      </c>
      <c r="AC1123" s="122"/>
      <c r="AD1123" s="122"/>
    </row>
    <row r="1124" spans="1:30" ht="44" customHeight="1">
      <c r="A1124" s="6" t="str">
        <f>'Reported burning'!A1124</f>
        <v>129c</v>
      </c>
      <c r="B1124" s="6" t="str">
        <f>'Reported burning'!B1124</f>
        <v>129c.1</v>
      </c>
      <c r="C1124" s="6" t="str">
        <f>'Reported burning'!C1124</f>
        <v>Human, deliberate</v>
      </c>
      <c r="D1124" s="6" t="str">
        <f>'Reported burning'!D1124</f>
        <v>Rangeland management</v>
      </c>
      <c r="E1124" s="6" t="str">
        <f>'Reported burning'!E1124</f>
        <v>Pastoralism, Migratory</v>
      </c>
      <c r="F1124" s="6" t="str">
        <f>'Reported burning'!F1124</f>
        <v>Shrubland (Mixed forest &amp; grassland)</v>
      </c>
      <c r="G1124" s="6" t="str">
        <f>'Reported burning'!G1124</f>
        <v>ND</v>
      </c>
      <c r="H1124" s="6" t="str">
        <f>'Reported burning'!H1124</f>
        <v>Absence</v>
      </c>
      <c r="I1124" s="3"/>
      <c r="J1124" s="21">
        <v>0</v>
      </c>
      <c r="K1124" s="21">
        <v>0</v>
      </c>
      <c r="L1124" s="21">
        <v>0</v>
      </c>
      <c r="M1124" s="21">
        <v>0</v>
      </c>
      <c r="N1124" s="21">
        <v>0</v>
      </c>
      <c r="O1124" s="21">
        <v>0</v>
      </c>
      <c r="P1124" s="21">
        <v>0</v>
      </c>
      <c r="Q1124" s="21">
        <v>0</v>
      </c>
      <c r="R1124" s="21">
        <v>0</v>
      </c>
      <c r="S1124" s="21">
        <v>0</v>
      </c>
      <c r="T1124" s="21">
        <v>0</v>
      </c>
      <c r="U1124" s="21">
        <v>0</v>
      </c>
      <c r="V1124" s="21">
        <v>0</v>
      </c>
      <c r="W1124" s="21">
        <v>0</v>
      </c>
      <c r="X1124" s="3" t="s">
        <v>2276</v>
      </c>
      <c r="Y1124" s="3" t="s">
        <v>2276</v>
      </c>
      <c r="Z1124" s="3" t="s">
        <v>2276</v>
      </c>
      <c r="AA1124" s="4" t="s">
        <v>3411</v>
      </c>
      <c r="AB1124" s="3" t="s">
        <v>2276</v>
      </c>
      <c r="AC1124" s="122"/>
      <c r="AD1124" s="122"/>
    </row>
    <row r="1125" spans="1:30" ht="105.5" customHeight="1">
      <c r="A1125" s="6" t="str">
        <f>'Reported burning'!A1125</f>
        <v>130a</v>
      </c>
      <c r="B1125" s="6" t="str">
        <f>'Reported burning'!B1125</f>
        <v>130a.1</v>
      </c>
      <c r="C1125" s="6" t="str">
        <f>'Reported burning'!C1125</f>
        <v>Human, deliberate</v>
      </c>
      <c r="D1125" s="6" t="str">
        <f>'Reported burning'!D1125</f>
        <v>Hunting</v>
      </c>
      <c r="E1125" s="6" t="str">
        <f>'Reported burning'!E1125</f>
        <v>Forestry, Traditional</v>
      </c>
      <c r="F1125" s="6" t="str">
        <f>'Reported burning'!F1125</f>
        <v>Shrubland (Mixed forest &amp; grassland)</v>
      </c>
      <c r="G1125" s="6" t="str">
        <f>'Reported burning'!G1125</f>
        <v>Shrubland (Mixed forest &amp; grassland)</v>
      </c>
      <c r="H1125" s="6" t="str">
        <f>'Reported burning'!H1125</f>
        <v>Presence</v>
      </c>
      <c r="I1125" s="3"/>
      <c r="J1125" s="3" t="s">
        <v>2276</v>
      </c>
      <c r="K1125" s="3" t="s">
        <v>2276</v>
      </c>
      <c r="L1125" s="3" t="s">
        <v>2374</v>
      </c>
      <c r="M1125" s="3" t="s">
        <v>2276</v>
      </c>
      <c r="N1125" s="3" t="s">
        <v>2385</v>
      </c>
      <c r="O1125" s="3" t="s">
        <v>2276</v>
      </c>
      <c r="P1125" s="3" t="s">
        <v>2276</v>
      </c>
      <c r="Q1125" s="3" t="s">
        <v>2276</v>
      </c>
      <c r="R1125" s="3" t="s">
        <v>2276</v>
      </c>
      <c r="S1125" s="3" t="s">
        <v>2276</v>
      </c>
      <c r="T1125" s="3" t="s">
        <v>2276</v>
      </c>
      <c r="U1125" s="3" t="s">
        <v>2276</v>
      </c>
      <c r="V1125" s="3" t="s">
        <v>2276</v>
      </c>
      <c r="W1125" s="3" t="s">
        <v>2402</v>
      </c>
      <c r="X1125" s="3" t="s">
        <v>86</v>
      </c>
      <c r="Y1125" s="3" t="s">
        <v>405</v>
      </c>
      <c r="Z1125" s="3" t="s">
        <v>64</v>
      </c>
      <c r="AA1125" s="4" t="s">
        <v>3421</v>
      </c>
      <c r="AB1125" s="4" t="s">
        <v>5022</v>
      </c>
    </row>
    <row r="1126" spans="1:30" ht="90.5" customHeight="1">
      <c r="A1126" s="6" t="str">
        <f>'Reported burning'!A1126</f>
        <v>130a</v>
      </c>
      <c r="B1126" s="6" t="str">
        <f>'Reported burning'!B1126</f>
        <v>130a.2</v>
      </c>
      <c r="C1126" s="6" t="str">
        <f>'Reported burning'!C1126</f>
        <v>Human, deliberate</v>
      </c>
      <c r="D1126" s="6" t="str">
        <f>'Reported burning'!D1126</f>
        <v>Accessibility</v>
      </c>
      <c r="E1126" s="6" t="str">
        <f>'Reported burning'!E1126</f>
        <v>Forestry, Traditional</v>
      </c>
      <c r="F1126" s="6" t="str">
        <f>'Reported burning'!F1126</f>
        <v>Shrubland (Mixed forest &amp; grassland)</v>
      </c>
      <c r="G1126" s="6" t="str">
        <f>'Reported burning'!G1126</f>
        <v>Shrubland (Mixed forest &amp; grassland)</v>
      </c>
      <c r="H1126" s="6" t="str">
        <f>'Reported burning'!H1126</f>
        <v>Presence</v>
      </c>
      <c r="I1126" s="3"/>
      <c r="J1126" s="3" t="s">
        <v>2276</v>
      </c>
      <c r="K1126" s="3" t="s">
        <v>2276</v>
      </c>
      <c r="L1126" s="3" t="s">
        <v>2276</v>
      </c>
      <c r="M1126" s="3" t="s">
        <v>2276</v>
      </c>
      <c r="N1126" s="3" t="s">
        <v>2276</v>
      </c>
      <c r="O1126" s="3" t="s">
        <v>2276</v>
      </c>
      <c r="P1126" s="3" t="s">
        <v>2276</v>
      </c>
      <c r="Q1126" s="3" t="s">
        <v>2276</v>
      </c>
      <c r="R1126" s="3" t="s">
        <v>2276</v>
      </c>
      <c r="S1126" s="3" t="s">
        <v>2276</v>
      </c>
      <c r="T1126" s="3" t="s">
        <v>2276</v>
      </c>
      <c r="U1126" s="3" t="s">
        <v>2276</v>
      </c>
      <c r="V1126" s="3" t="s">
        <v>2276</v>
      </c>
      <c r="W1126" s="3" t="s">
        <v>2276</v>
      </c>
      <c r="X1126" s="3" t="s">
        <v>86</v>
      </c>
      <c r="Y1126" s="3" t="s">
        <v>405</v>
      </c>
      <c r="Z1126" s="3" t="s">
        <v>64</v>
      </c>
      <c r="AA1126" s="4" t="s">
        <v>3421</v>
      </c>
      <c r="AB1126" s="3"/>
    </row>
    <row r="1127" spans="1:30" ht="114" customHeight="1">
      <c r="A1127" s="6" t="str">
        <f>'Reported burning'!A1127</f>
        <v>131a</v>
      </c>
      <c r="B1127" s="6" t="str">
        <f>'Reported burning'!B1127</f>
        <v>131a.1</v>
      </c>
      <c r="C1127" s="6" t="str">
        <f>'Reported burning'!C1127</f>
        <v>Human, deliberate</v>
      </c>
      <c r="D1127" s="6" t="str">
        <f>'Reported burning'!D1127</f>
        <v>Hunting</v>
      </c>
      <c r="E1127" s="6" t="str">
        <f>'Reported burning'!E1127</f>
        <v>Forestry, Traditional</v>
      </c>
      <c r="F1127" s="6" t="str">
        <f>'Reported burning'!F1127</f>
        <v>Shrubland (Mixed forest &amp; grassland)</v>
      </c>
      <c r="G1127" s="6" t="str">
        <f>'Reported burning'!G1127</f>
        <v>Shrubland (Mixed forest &amp; grassland)</v>
      </c>
      <c r="H1127" s="6" t="str">
        <f>'Reported burning'!H1127</f>
        <v>Presence</v>
      </c>
      <c r="I1127" s="3">
        <v>1953</v>
      </c>
      <c r="J1127" s="3" t="s">
        <v>2369</v>
      </c>
      <c r="K1127" s="3" t="s">
        <v>2276</v>
      </c>
      <c r="L1127" s="3" t="s">
        <v>2276</v>
      </c>
      <c r="M1127" s="3" t="s">
        <v>2276</v>
      </c>
      <c r="N1127" s="3" t="s">
        <v>2276</v>
      </c>
      <c r="O1127" s="3" t="s">
        <v>2276</v>
      </c>
      <c r="P1127" s="3" t="s">
        <v>2276</v>
      </c>
      <c r="Q1127" s="3" t="s">
        <v>2276</v>
      </c>
      <c r="R1127" s="3" t="s">
        <v>2276</v>
      </c>
      <c r="S1127" s="3" t="s">
        <v>2276</v>
      </c>
      <c r="T1127" s="3" t="s">
        <v>2276</v>
      </c>
      <c r="U1127" s="3" t="s">
        <v>2276</v>
      </c>
      <c r="V1127" s="3" t="s">
        <v>2276</v>
      </c>
      <c r="W1127" s="3" t="s">
        <v>2402</v>
      </c>
      <c r="X1127" s="3" t="s">
        <v>399</v>
      </c>
      <c r="Y1127" s="3" t="s">
        <v>127</v>
      </c>
      <c r="Z1127" s="3" t="s">
        <v>2312</v>
      </c>
      <c r="AA1127" s="4" t="s">
        <v>3442</v>
      </c>
      <c r="AB1127" s="4" t="s">
        <v>3443</v>
      </c>
    </row>
    <row r="1128" spans="1:30" ht="114" customHeight="1">
      <c r="A1128" s="6" t="str">
        <f>'Reported burning'!A1128</f>
        <v>131a</v>
      </c>
      <c r="B1128" s="6" t="str">
        <f>'Reported burning'!B1128</f>
        <v>131a.2</v>
      </c>
      <c r="C1128" s="6" t="str">
        <f>'Reported burning'!C1128</f>
        <v>All</v>
      </c>
      <c r="D1128" s="6" t="str">
        <f>'Reported burning'!D1128</f>
        <v>All</v>
      </c>
      <c r="E1128" s="6" t="str">
        <f>'Reported burning'!E1128</f>
        <v>ND</v>
      </c>
      <c r="F1128" s="6" t="str">
        <f>'Reported burning'!F1128</f>
        <v>ND</v>
      </c>
      <c r="G1128" s="6" t="str">
        <f>'Reported burning'!G1128</f>
        <v>Shrubland (Mixed forest &amp; grassland)</v>
      </c>
      <c r="H1128" s="6" t="str">
        <f>'Reported burning'!H1128</f>
        <v>Presence</v>
      </c>
      <c r="I1128" s="3">
        <v>1953</v>
      </c>
      <c r="J1128" s="3" t="s">
        <v>2276</v>
      </c>
      <c r="K1128" s="3" t="s">
        <v>2276</v>
      </c>
      <c r="L1128" s="3" t="s">
        <v>2276</v>
      </c>
      <c r="M1128" s="3" t="s">
        <v>2276</v>
      </c>
      <c r="N1128" s="3" t="s">
        <v>2276</v>
      </c>
      <c r="O1128" s="3" t="s">
        <v>2276</v>
      </c>
      <c r="P1128" s="3" t="s">
        <v>2276</v>
      </c>
      <c r="Q1128" s="3" t="s">
        <v>2276</v>
      </c>
      <c r="R1128" s="3" t="s">
        <v>2276</v>
      </c>
      <c r="S1128" s="3" t="s">
        <v>2276</v>
      </c>
      <c r="T1128" s="3" t="s">
        <v>2276</v>
      </c>
      <c r="U1128" s="3" t="s">
        <v>2276</v>
      </c>
      <c r="V1128" s="3" t="s">
        <v>2276</v>
      </c>
      <c r="W1128" s="3" t="s">
        <v>2276</v>
      </c>
      <c r="X1128" s="3" t="s">
        <v>399</v>
      </c>
      <c r="Y1128" s="3" t="s">
        <v>127</v>
      </c>
      <c r="Z1128" s="3" t="s">
        <v>2312</v>
      </c>
      <c r="AA1128" s="4"/>
      <c r="AB1128" s="4"/>
    </row>
    <row r="1129" spans="1:30" ht="44.5" customHeight="1">
      <c r="A1129" s="6" t="str">
        <f>'Reported burning'!A1129</f>
        <v>131a</v>
      </c>
      <c r="B1129" s="6" t="str">
        <f>'Reported burning'!B1129</f>
        <v>131a.3</v>
      </c>
      <c r="C1129" s="6" t="str">
        <f>'Reported burning'!C1129</f>
        <v>Human, deliberate</v>
      </c>
      <c r="D1129" s="6" t="str">
        <f>'Reported burning'!D1129</f>
        <v>Hunting</v>
      </c>
      <c r="E1129" s="6" t="str">
        <f>'Reported burning'!E1129</f>
        <v>Forestry, Traditional</v>
      </c>
      <c r="F1129" s="6" t="str">
        <f>'Reported burning'!F1129</f>
        <v>Shrubland (Mixed forest &amp; grassland)</v>
      </c>
      <c r="G1129" s="6" t="str">
        <f>'Reported burning'!G1129</f>
        <v>Shrubland (Mixed forest &amp; grassland)</v>
      </c>
      <c r="H1129" s="6" t="str">
        <f>'Reported burning'!H1129</f>
        <v>Absence</v>
      </c>
      <c r="I1129" s="3">
        <f>'Reported burning'!I1129</f>
        <v>1973</v>
      </c>
      <c r="J1129" s="3" t="s">
        <v>2276</v>
      </c>
      <c r="K1129" s="3" t="s">
        <v>2276</v>
      </c>
      <c r="L1129" s="3" t="s">
        <v>2276</v>
      </c>
      <c r="M1129" s="3" t="s">
        <v>2276</v>
      </c>
      <c r="N1129" s="3" t="s">
        <v>2276</v>
      </c>
      <c r="O1129" s="3" t="s">
        <v>2276</v>
      </c>
      <c r="P1129" s="3" t="s">
        <v>2276</v>
      </c>
      <c r="Q1129" s="3" t="s">
        <v>2276</v>
      </c>
      <c r="R1129" s="3" t="s">
        <v>2276</v>
      </c>
      <c r="S1129" s="3" t="s">
        <v>2276</v>
      </c>
      <c r="T1129" s="3" t="s">
        <v>2276</v>
      </c>
      <c r="U1129" s="3" t="s">
        <v>2276</v>
      </c>
      <c r="V1129" s="3" t="s">
        <v>2276</v>
      </c>
      <c r="W1129" s="3" t="s">
        <v>2276</v>
      </c>
      <c r="X1129" s="3" t="s">
        <v>2276</v>
      </c>
      <c r="Y1129" s="3" t="s">
        <v>2276</v>
      </c>
      <c r="Z1129" s="3" t="s">
        <v>2276</v>
      </c>
      <c r="AA1129" s="4" t="s">
        <v>3423</v>
      </c>
      <c r="AB1129" s="3"/>
    </row>
    <row r="1130" spans="1:30" ht="44.5" customHeight="1">
      <c r="A1130" s="6" t="str">
        <f>'Reported burning'!A1130</f>
        <v>131a</v>
      </c>
      <c r="B1130" s="6" t="str">
        <f>'Reported burning'!B1130</f>
        <v>131a.4</v>
      </c>
      <c r="C1130" s="6" t="str">
        <f>'Reported burning'!C1130</f>
        <v>All</v>
      </c>
      <c r="D1130" s="6" t="str">
        <f>'Reported burning'!D1130</f>
        <v>All</v>
      </c>
      <c r="E1130" s="6" t="str">
        <f>'Reported burning'!E1130</f>
        <v>All</v>
      </c>
      <c r="F1130" s="6" t="str">
        <f>'Reported burning'!F1130</f>
        <v>All</v>
      </c>
      <c r="G1130" s="6" t="str">
        <f>'Reported burning'!G1130</f>
        <v>ND</v>
      </c>
      <c r="H1130" s="6" t="str">
        <f>'Reported burning'!H1130</f>
        <v>Presence</v>
      </c>
      <c r="I1130" s="3">
        <f>'Reported burning'!I1130</f>
        <v>1973</v>
      </c>
      <c r="J1130" s="3" t="s">
        <v>2276</v>
      </c>
      <c r="K1130" s="3" t="s">
        <v>2276</v>
      </c>
      <c r="L1130" s="3" t="s">
        <v>2276</v>
      </c>
      <c r="M1130" s="3" t="s">
        <v>2276</v>
      </c>
      <c r="N1130" s="3" t="s">
        <v>2276</v>
      </c>
      <c r="O1130" s="3" t="s">
        <v>2276</v>
      </c>
      <c r="P1130" s="3" t="s">
        <v>2276</v>
      </c>
      <c r="Q1130" s="3" t="s">
        <v>2276</v>
      </c>
      <c r="R1130" s="3" t="s">
        <v>2276</v>
      </c>
      <c r="S1130" s="3" t="s">
        <v>2276</v>
      </c>
      <c r="T1130" s="3" t="s">
        <v>2276</v>
      </c>
      <c r="U1130" s="3" t="s">
        <v>2276</v>
      </c>
      <c r="V1130" s="3" t="s">
        <v>2276</v>
      </c>
      <c r="W1130" s="3" t="s">
        <v>2276</v>
      </c>
      <c r="X1130" s="3" t="s">
        <v>2276</v>
      </c>
      <c r="Y1130" s="3" t="s">
        <v>2276</v>
      </c>
      <c r="Z1130" s="3" t="s">
        <v>2276</v>
      </c>
      <c r="AA1130" s="4" t="s">
        <v>3424</v>
      </c>
      <c r="AB1130" s="3"/>
    </row>
    <row r="1131" spans="1:30" ht="44.5" customHeight="1">
      <c r="A1131" s="6" t="str">
        <f>'Reported burning'!A1131</f>
        <v>131a</v>
      </c>
      <c r="B1131" s="6" t="str">
        <f>'Reported burning'!B1131</f>
        <v>131a.5</v>
      </c>
      <c r="C1131" s="6" t="str">
        <f>'Reported burning'!C1131</f>
        <v>Human, deliberate</v>
      </c>
      <c r="D1131" s="6" t="str">
        <f>'Reported burning'!D1131</f>
        <v>Hunting</v>
      </c>
      <c r="E1131" s="6" t="str">
        <f>'Reported burning'!E1131</f>
        <v>Forestry, Traditional</v>
      </c>
      <c r="F1131" s="6" t="str">
        <f>'Reported burning'!F1131</f>
        <v>Shrubland (Mixed forest &amp; grassland)</v>
      </c>
      <c r="G1131" s="6" t="str">
        <f>'Reported burning'!G1131</f>
        <v>Shrubland (Mixed forest &amp; grassland)</v>
      </c>
      <c r="H1131" s="6" t="str">
        <f>'Reported burning'!H1131</f>
        <v>Absence</v>
      </c>
      <c r="I1131" s="3">
        <f>'Reported burning'!I1131</f>
        <v>1981</v>
      </c>
      <c r="J1131" s="3" t="s">
        <v>2276</v>
      </c>
      <c r="K1131" s="3" t="s">
        <v>2276</v>
      </c>
      <c r="L1131" s="3" t="s">
        <v>2276</v>
      </c>
      <c r="M1131" s="3" t="s">
        <v>2276</v>
      </c>
      <c r="N1131" s="3" t="s">
        <v>2276</v>
      </c>
      <c r="O1131" s="3" t="s">
        <v>2276</v>
      </c>
      <c r="P1131" s="3" t="s">
        <v>2276</v>
      </c>
      <c r="Q1131" s="3" t="s">
        <v>2276</v>
      </c>
      <c r="R1131" s="3" t="s">
        <v>2276</v>
      </c>
      <c r="S1131" s="3" t="s">
        <v>2276</v>
      </c>
      <c r="T1131" s="3" t="s">
        <v>2276</v>
      </c>
      <c r="U1131" s="3" t="s">
        <v>2276</v>
      </c>
      <c r="V1131" s="3" t="s">
        <v>2276</v>
      </c>
      <c r="W1131" s="3" t="s">
        <v>2276</v>
      </c>
      <c r="X1131" s="3" t="s">
        <v>2276</v>
      </c>
      <c r="Y1131" s="3" t="s">
        <v>2276</v>
      </c>
      <c r="Z1131" s="3" t="s">
        <v>2276</v>
      </c>
      <c r="AA1131" s="4" t="s">
        <v>3423</v>
      </c>
      <c r="AB1131" s="3"/>
    </row>
    <row r="1132" spans="1:30" ht="44.5" customHeight="1">
      <c r="A1132" s="6" t="str">
        <f>'Reported burning'!A1132</f>
        <v>131a</v>
      </c>
      <c r="B1132" s="6" t="str">
        <f>'Reported burning'!B1132</f>
        <v>131a.6</v>
      </c>
      <c r="C1132" s="6" t="str">
        <f>'Reported burning'!C1132</f>
        <v>All</v>
      </c>
      <c r="D1132" s="6" t="str">
        <f>'Reported burning'!D1132</f>
        <v>All</v>
      </c>
      <c r="E1132" s="6" t="str">
        <f>'Reported burning'!E1132</f>
        <v>All</v>
      </c>
      <c r="F1132" s="6" t="str">
        <f>'Reported burning'!F1132</f>
        <v>All</v>
      </c>
      <c r="G1132" s="6" t="str">
        <f>'Reported burning'!G1132</f>
        <v>ND</v>
      </c>
      <c r="H1132" s="6" t="str">
        <f>'Reported burning'!H1132</f>
        <v>Presence</v>
      </c>
      <c r="I1132" s="3">
        <f>'Reported burning'!I1132</f>
        <v>1981</v>
      </c>
      <c r="J1132" s="3" t="s">
        <v>2276</v>
      </c>
      <c r="K1132" s="3" t="s">
        <v>2276</v>
      </c>
      <c r="L1132" s="3" t="s">
        <v>2276</v>
      </c>
      <c r="M1132" s="3" t="s">
        <v>2276</v>
      </c>
      <c r="N1132" s="3" t="s">
        <v>2276</v>
      </c>
      <c r="O1132" s="3" t="s">
        <v>2276</v>
      </c>
      <c r="P1132" s="3" t="s">
        <v>2276</v>
      </c>
      <c r="Q1132" s="3" t="s">
        <v>2276</v>
      </c>
      <c r="R1132" s="3" t="s">
        <v>2276</v>
      </c>
      <c r="S1132" s="3" t="s">
        <v>2276</v>
      </c>
      <c r="T1132" s="3" t="s">
        <v>2276</v>
      </c>
      <c r="U1132" s="3" t="s">
        <v>2276</v>
      </c>
      <c r="V1132" s="3" t="s">
        <v>2276</v>
      </c>
      <c r="W1132" s="3" t="s">
        <v>2276</v>
      </c>
      <c r="X1132" s="3" t="s">
        <v>2276</v>
      </c>
      <c r="Y1132" s="3" t="s">
        <v>2276</v>
      </c>
      <c r="Z1132" s="3" t="s">
        <v>2276</v>
      </c>
      <c r="AA1132" s="4" t="s">
        <v>3424</v>
      </c>
      <c r="AB1132" s="3"/>
    </row>
    <row r="1133" spans="1:30" ht="47" customHeight="1">
      <c r="A1133" s="6" t="str">
        <f>'Reported burning'!A1133</f>
        <v>131a</v>
      </c>
      <c r="B1133" s="6" t="str">
        <f>'Reported burning'!B1133</f>
        <v>131a.7</v>
      </c>
      <c r="C1133" s="6" t="str">
        <f>'Reported burning'!C1133</f>
        <v>Human, deliberate</v>
      </c>
      <c r="D1133" s="6" t="str">
        <f>'Reported burning'!D1133</f>
        <v>Hunting</v>
      </c>
      <c r="E1133" s="6" t="str">
        <f>'Reported burning'!E1133</f>
        <v>Forestry, Traditional</v>
      </c>
      <c r="F1133" s="6" t="str">
        <f>'Reported burning'!F1133</f>
        <v>Shrubland (Mixed forest &amp; grassland)</v>
      </c>
      <c r="G1133" s="6" t="str">
        <f>'Reported burning'!G1133</f>
        <v>Shrubland (Mixed forest &amp; grassland)</v>
      </c>
      <c r="H1133" s="6" t="str">
        <f>'Reported burning'!H1133</f>
        <v>Absence</v>
      </c>
      <c r="I1133" s="3">
        <f>'Reported burning'!I1133</f>
        <v>1988</v>
      </c>
      <c r="J1133" s="3" t="s">
        <v>2276</v>
      </c>
      <c r="K1133" s="3" t="s">
        <v>2276</v>
      </c>
      <c r="L1133" s="3" t="s">
        <v>2276</v>
      </c>
      <c r="M1133" s="3" t="s">
        <v>2276</v>
      </c>
      <c r="N1133" s="3" t="s">
        <v>2276</v>
      </c>
      <c r="O1133" s="3" t="s">
        <v>2276</v>
      </c>
      <c r="P1133" s="3" t="s">
        <v>2276</v>
      </c>
      <c r="Q1133" s="3" t="s">
        <v>2276</v>
      </c>
      <c r="R1133" s="3" t="s">
        <v>2276</v>
      </c>
      <c r="S1133" s="3" t="s">
        <v>2276</v>
      </c>
      <c r="T1133" s="3" t="s">
        <v>2276</v>
      </c>
      <c r="U1133" s="3" t="s">
        <v>2276</v>
      </c>
      <c r="V1133" s="3" t="s">
        <v>2276</v>
      </c>
      <c r="W1133" s="3" t="s">
        <v>2276</v>
      </c>
      <c r="X1133" s="3" t="s">
        <v>2276</v>
      </c>
      <c r="Y1133" s="3" t="s">
        <v>2276</v>
      </c>
      <c r="Z1133" s="3" t="s">
        <v>2276</v>
      </c>
      <c r="AA1133" s="4" t="s">
        <v>3423</v>
      </c>
      <c r="AB1133" s="3"/>
    </row>
    <row r="1134" spans="1:30" ht="47" customHeight="1">
      <c r="A1134" s="6" t="str">
        <f>'Reported burning'!A1134</f>
        <v>131a</v>
      </c>
      <c r="B1134" s="6" t="str">
        <f>'Reported burning'!B1134</f>
        <v>131a.8</v>
      </c>
      <c r="C1134" s="6" t="str">
        <f>'Reported burning'!C1134</f>
        <v>All</v>
      </c>
      <c r="D1134" s="6" t="str">
        <f>'Reported burning'!D1134</f>
        <v>All</v>
      </c>
      <c r="E1134" s="6" t="str">
        <f>'Reported burning'!E1134</f>
        <v>All</v>
      </c>
      <c r="F1134" s="6" t="str">
        <f>'Reported burning'!F1134</f>
        <v>All</v>
      </c>
      <c r="G1134" s="6" t="str">
        <f>'Reported burning'!G1134</f>
        <v>ND</v>
      </c>
      <c r="H1134" s="6" t="str">
        <f>'Reported burning'!H1134</f>
        <v>Presence</v>
      </c>
      <c r="I1134" s="3">
        <f>'Reported burning'!I1134</f>
        <v>1988</v>
      </c>
      <c r="J1134" s="3" t="s">
        <v>2276</v>
      </c>
      <c r="K1134" s="3" t="s">
        <v>2276</v>
      </c>
      <c r="L1134" s="3" t="s">
        <v>2276</v>
      </c>
      <c r="M1134" s="3" t="s">
        <v>2276</v>
      </c>
      <c r="N1134" s="3" t="s">
        <v>2276</v>
      </c>
      <c r="O1134" s="3" t="s">
        <v>2276</v>
      </c>
      <c r="P1134" s="3" t="s">
        <v>2276</v>
      </c>
      <c r="Q1134" s="3" t="s">
        <v>2276</v>
      </c>
      <c r="R1134" s="3" t="s">
        <v>2276</v>
      </c>
      <c r="S1134" s="3" t="s">
        <v>2276</v>
      </c>
      <c r="T1134" s="3" t="s">
        <v>2276</v>
      </c>
      <c r="U1134" s="3" t="s">
        <v>2276</v>
      </c>
      <c r="V1134" s="3" t="s">
        <v>2276</v>
      </c>
      <c r="W1134" s="3" t="s">
        <v>2276</v>
      </c>
      <c r="X1134" s="3" t="s">
        <v>2276</v>
      </c>
      <c r="Y1134" s="3" t="s">
        <v>2276</v>
      </c>
      <c r="Z1134" s="3" t="s">
        <v>2276</v>
      </c>
      <c r="AA1134" s="4" t="s">
        <v>3424</v>
      </c>
      <c r="AB1134" s="3"/>
    </row>
    <row r="1135" spans="1:30" ht="47" customHeight="1">
      <c r="A1135" s="6" t="str">
        <f>'Reported burning'!A1135</f>
        <v>131a</v>
      </c>
      <c r="B1135" s="6" t="str">
        <f>'Reported burning'!B1135</f>
        <v>131a.9</v>
      </c>
      <c r="C1135" s="6" t="str">
        <f>'Reported burning'!C1135</f>
        <v>Human, deliberate</v>
      </c>
      <c r="D1135" s="6" t="str">
        <f>'Reported burning'!D1135</f>
        <v>Hunting</v>
      </c>
      <c r="E1135" s="6" t="str">
        <f>'Reported burning'!E1135</f>
        <v>Forestry, Traditional</v>
      </c>
      <c r="F1135" s="6" t="str">
        <f>'Reported burning'!F1135</f>
        <v>Shrubland (Mixed forest &amp; grassland)</v>
      </c>
      <c r="G1135" s="6" t="str">
        <f>'Reported burning'!G1135</f>
        <v>Shrubland (Mixed forest &amp; grassland)</v>
      </c>
      <c r="H1135" s="6" t="str">
        <f>'Reported burning'!H1135</f>
        <v>Absence</v>
      </c>
      <c r="I1135" s="3">
        <f>'Reported burning'!I1135</f>
        <v>1994</v>
      </c>
      <c r="J1135" s="3" t="s">
        <v>2276</v>
      </c>
      <c r="K1135" s="3" t="s">
        <v>2276</v>
      </c>
      <c r="L1135" s="3" t="s">
        <v>2276</v>
      </c>
      <c r="M1135" s="3" t="s">
        <v>2276</v>
      </c>
      <c r="N1135" s="3" t="s">
        <v>2276</v>
      </c>
      <c r="O1135" s="3" t="s">
        <v>2276</v>
      </c>
      <c r="P1135" s="3" t="s">
        <v>2276</v>
      </c>
      <c r="Q1135" s="3" t="s">
        <v>2276</v>
      </c>
      <c r="R1135" s="3" t="s">
        <v>2276</v>
      </c>
      <c r="S1135" s="3" t="s">
        <v>2276</v>
      </c>
      <c r="T1135" s="3" t="s">
        <v>2276</v>
      </c>
      <c r="U1135" s="3" t="s">
        <v>2276</v>
      </c>
      <c r="V1135" s="3" t="s">
        <v>2276</v>
      </c>
      <c r="W1135" s="3" t="s">
        <v>2276</v>
      </c>
      <c r="X1135" s="3" t="s">
        <v>2276</v>
      </c>
      <c r="Y1135" s="3" t="s">
        <v>2276</v>
      </c>
      <c r="Z1135" s="3" t="s">
        <v>2276</v>
      </c>
      <c r="AA1135" s="4" t="s">
        <v>3423</v>
      </c>
      <c r="AB1135" s="3"/>
    </row>
    <row r="1136" spans="1:30" ht="47" customHeight="1">
      <c r="A1136" s="6" t="str">
        <f>'Reported burning'!A1136</f>
        <v>131a</v>
      </c>
      <c r="B1136" s="6" t="str">
        <f>'Reported burning'!B1136</f>
        <v>131a.10</v>
      </c>
      <c r="C1136" s="6" t="str">
        <f>'Reported burning'!C1136</f>
        <v>All</v>
      </c>
      <c r="D1136" s="6" t="str">
        <f>'Reported burning'!D1136</f>
        <v>All</v>
      </c>
      <c r="E1136" s="6" t="str">
        <f>'Reported burning'!E1136</f>
        <v>All</v>
      </c>
      <c r="F1136" s="6" t="str">
        <f>'Reported burning'!F1136</f>
        <v>All</v>
      </c>
      <c r="G1136" s="6" t="str">
        <f>'Reported burning'!G1136</f>
        <v>ND</v>
      </c>
      <c r="H1136" s="6" t="str">
        <f>'Reported burning'!H1136</f>
        <v>Presence</v>
      </c>
      <c r="I1136" s="3">
        <f>'Reported burning'!I1136</f>
        <v>1994</v>
      </c>
      <c r="J1136" s="3" t="s">
        <v>2276</v>
      </c>
      <c r="K1136" s="3" t="s">
        <v>2276</v>
      </c>
      <c r="L1136" s="3" t="s">
        <v>2276</v>
      </c>
      <c r="M1136" s="3" t="s">
        <v>2276</v>
      </c>
      <c r="N1136" s="3" t="s">
        <v>2276</v>
      </c>
      <c r="O1136" s="3" t="s">
        <v>2276</v>
      </c>
      <c r="P1136" s="3" t="s">
        <v>2276</v>
      </c>
      <c r="Q1136" s="3" t="s">
        <v>2276</v>
      </c>
      <c r="R1136" s="3" t="s">
        <v>2276</v>
      </c>
      <c r="S1136" s="3" t="s">
        <v>2276</v>
      </c>
      <c r="T1136" s="3" t="s">
        <v>2276</v>
      </c>
      <c r="U1136" s="3" t="s">
        <v>2276</v>
      </c>
      <c r="V1136" s="3" t="s">
        <v>2276</v>
      </c>
      <c r="W1136" s="3" t="s">
        <v>2276</v>
      </c>
      <c r="X1136" s="3" t="s">
        <v>2276</v>
      </c>
      <c r="Y1136" s="3" t="s">
        <v>2276</v>
      </c>
      <c r="Z1136" s="3" t="s">
        <v>2276</v>
      </c>
      <c r="AA1136" s="4" t="s">
        <v>3424</v>
      </c>
      <c r="AB1136" s="3"/>
    </row>
    <row r="1137" spans="1:28" ht="47" customHeight="1">
      <c r="A1137" s="6" t="str">
        <f>'Reported burning'!A1137</f>
        <v>131a</v>
      </c>
      <c r="B1137" s="6" t="str">
        <f>'Reported burning'!B1137</f>
        <v>131a.11</v>
      </c>
      <c r="C1137" s="6" t="str">
        <f>'Reported burning'!C1137</f>
        <v>Human, deliberate</v>
      </c>
      <c r="D1137" s="6" t="str">
        <f>'Reported burning'!D1137</f>
        <v>Hunting</v>
      </c>
      <c r="E1137" s="6" t="str">
        <f>'Reported burning'!E1137</f>
        <v>Forestry, Traditional</v>
      </c>
      <c r="F1137" s="6" t="str">
        <f>'Reported burning'!F1137</f>
        <v>Shrubland (Mixed forest &amp; grassland)</v>
      </c>
      <c r="G1137" s="6" t="str">
        <f>'Reported burning'!G1137</f>
        <v>Shrubland (Mixed forest &amp; grassland)</v>
      </c>
      <c r="H1137" s="6" t="str">
        <f>'Reported burning'!H1137</f>
        <v>Absence</v>
      </c>
      <c r="I1137" s="3">
        <f>'Reported burning'!I1137</f>
        <v>2000</v>
      </c>
      <c r="J1137" s="3" t="s">
        <v>2276</v>
      </c>
      <c r="K1137" s="3" t="s">
        <v>2276</v>
      </c>
      <c r="L1137" s="3" t="s">
        <v>2276</v>
      </c>
      <c r="M1137" s="3" t="s">
        <v>2276</v>
      </c>
      <c r="N1137" s="3" t="s">
        <v>2276</v>
      </c>
      <c r="O1137" s="3" t="s">
        <v>2276</v>
      </c>
      <c r="P1137" s="3" t="s">
        <v>2276</v>
      </c>
      <c r="Q1137" s="3" t="s">
        <v>2276</v>
      </c>
      <c r="R1137" s="3" t="s">
        <v>2276</v>
      </c>
      <c r="S1137" s="3" t="s">
        <v>2276</v>
      </c>
      <c r="T1137" s="3" t="s">
        <v>2276</v>
      </c>
      <c r="U1137" s="3" t="s">
        <v>2276</v>
      </c>
      <c r="V1137" s="3" t="s">
        <v>2276</v>
      </c>
      <c r="W1137" s="3" t="s">
        <v>2276</v>
      </c>
      <c r="X1137" s="3" t="s">
        <v>2276</v>
      </c>
      <c r="Y1137" s="3" t="s">
        <v>2276</v>
      </c>
      <c r="Z1137" s="3" t="s">
        <v>2276</v>
      </c>
      <c r="AA1137" s="4" t="s">
        <v>3423</v>
      </c>
      <c r="AB1137" s="3"/>
    </row>
    <row r="1138" spans="1:28" ht="47" customHeight="1">
      <c r="A1138" s="6" t="str">
        <f>'Reported burning'!A1138</f>
        <v>131a</v>
      </c>
      <c r="B1138" s="6" t="str">
        <f>'Reported burning'!B1138</f>
        <v>131a.12</v>
      </c>
      <c r="C1138" s="6" t="str">
        <f>'Reported burning'!C1138</f>
        <v>All</v>
      </c>
      <c r="D1138" s="6" t="str">
        <f>'Reported burning'!D1138</f>
        <v>All</v>
      </c>
      <c r="E1138" s="6" t="str">
        <f>'Reported burning'!E1138</f>
        <v>All</v>
      </c>
      <c r="F1138" s="6" t="str">
        <f>'Reported burning'!F1138</f>
        <v>All</v>
      </c>
      <c r="G1138" s="6" t="str">
        <f>'Reported burning'!G1138</f>
        <v>ND</v>
      </c>
      <c r="H1138" s="6" t="str">
        <f>'Reported burning'!H1138</f>
        <v>Presence</v>
      </c>
      <c r="I1138" s="3">
        <f>'Reported burning'!I1138</f>
        <v>2000</v>
      </c>
      <c r="J1138" s="3" t="s">
        <v>2276</v>
      </c>
      <c r="K1138" s="3" t="s">
        <v>2276</v>
      </c>
      <c r="L1138" s="3" t="s">
        <v>2276</v>
      </c>
      <c r="M1138" s="3" t="s">
        <v>2276</v>
      </c>
      <c r="N1138" s="3" t="s">
        <v>2276</v>
      </c>
      <c r="O1138" s="3" t="s">
        <v>2276</v>
      </c>
      <c r="P1138" s="3" t="s">
        <v>2276</v>
      </c>
      <c r="Q1138" s="3" t="s">
        <v>2276</v>
      </c>
      <c r="R1138" s="3" t="s">
        <v>2276</v>
      </c>
      <c r="S1138" s="3" t="s">
        <v>2276</v>
      </c>
      <c r="T1138" s="3" t="s">
        <v>2276</v>
      </c>
      <c r="U1138" s="3" t="s">
        <v>2276</v>
      </c>
      <c r="V1138" s="3" t="s">
        <v>2276</v>
      </c>
      <c r="W1138" s="3" t="s">
        <v>2276</v>
      </c>
      <c r="X1138" s="3" t="s">
        <v>2276</v>
      </c>
      <c r="Y1138" s="3" t="s">
        <v>2276</v>
      </c>
      <c r="Z1138" s="3" t="s">
        <v>2276</v>
      </c>
      <c r="AA1138" s="4" t="s">
        <v>3424</v>
      </c>
      <c r="AB1138" s="3"/>
    </row>
    <row r="1139" spans="1:28" ht="42.5" customHeight="1">
      <c r="A1139" s="6" t="str">
        <f>'Reported burning'!A1139</f>
        <v>132a</v>
      </c>
      <c r="B1139" s="6" t="str">
        <f>'Reported burning'!B1139</f>
        <v>132a.1</v>
      </c>
      <c r="C1139" s="6" t="str">
        <f>'Reported burning'!C1139</f>
        <v>Human, deliberate</v>
      </c>
      <c r="D1139" s="6" t="str">
        <f>'Reported burning'!D1139</f>
        <v>Hunting</v>
      </c>
      <c r="E1139" s="6" t="str">
        <f>'Reported burning'!E1139</f>
        <v>Forestry, Traditional</v>
      </c>
      <c r="F1139" s="6" t="str">
        <f>'Reported burning'!F1139</f>
        <v>Shrubland (Mixed forest &amp; grassland)</v>
      </c>
      <c r="G1139" s="6" t="str">
        <f>'Reported burning'!G1139</f>
        <v>Shrubland (Mixed forest &amp; grassland)</v>
      </c>
      <c r="H1139" s="6" t="str">
        <f>'Reported burning'!H1139</f>
        <v>Presence</v>
      </c>
      <c r="I1139" s="3"/>
      <c r="J1139" s="3" t="s">
        <v>2276</v>
      </c>
      <c r="K1139" s="3" t="s">
        <v>2276</v>
      </c>
      <c r="L1139" s="3" t="s">
        <v>2276</v>
      </c>
      <c r="M1139" s="3" t="s">
        <v>2276</v>
      </c>
      <c r="N1139" s="3" t="s">
        <v>2276</v>
      </c>
      <c r="O1139" s="3" t="s">
        <v>2276</v>
      </c>
      <c r="P1139" s="3" t="s">
        <v>2276</v>
      </c>
      <c r="Q1139" s="3" t="s">
        <v>2276</v>
      </c>
      <c r="R1139" s="3" t="s">
        <v>2276</v>
      </c>
      <c r="S1139" s="3" t="s">
        <v>2276</v>
      </c>
      <c r="T1139" s="3" t="s">
        <v>2276</v>
      </c>
      <c r="U1139" s="3" t="s">
        <v>2276</v>
      </c>
      <c r="V1139" s="3" t="s">
        <v>2276</v>
      </c>
      <c r="W1139" s="3" t="s">
        <v>2276</v>
      </c>
      <c r="X1139" s="3" t="s">
        <v>2276</v>
      </c>
      <c r="Y1139" s="3" t="s">
        <v>86</v>
      </c>
      <c r="Z1139" s="3" t="s">
        <v>68</v>
      </c>
      <c r="AA1139" s="3" t="s">
        <v>2655</v>
      </c>
      <c r="AB1139" s="4" t="s">
        <v>3449</v>
      </c>
    </row>
    <row r="1140" spans="1:28" ht="42.5" customHeight="1">
      <c r="A1140" s="6" t="str">
        <f>'Reported burning'!A1140</f>
        <v>132a</v>
      </c>
      <c r="B1140" s="6" t="str">
        <f>'Reported burning'!B1140</f>
        <v>132a.2</v>
      </c>
      <c r="C1140" s="6" t="str">
        <f>'Reported burning'!C1140</f>
        <v>Human, deliberate</v>
      </c>
      <c r="D1140" s="6" t="str">
        <f>'Reported burning'!D1140</f>
        <v>Pyrome management</v>
      </c>
      <c r="E1140" s="6" t="str">
        <f>'Reported burning'!E1140</f>
        <v>Forestry, Traditional</v>
      </c>
      <c r="F1140" s="6" t="str">
        <f>'Reported burning'!F1140</f>
        <v>Shrubland (Mixed forest &amp; grassland)</v>
      </c>
      <c r="G1140" s="6" t="str">
        <f>'Reported burning'!G1140</f>
        <v>Shrubland (Mixed forest &amp; grassland)</v>
      </c>
      <c r="H1140" s="6" t="str">
        <f>'Reported burning'!H1140</f>
        <v>Presence</v>
      </c>
      <c r="I1140" s="3"/>
      <c r="J1140" s="3" t="s">
        <v>2276</v>
      </c>
      <c r="K1140" s="3" t="s">
        <v>2276</v>
      </c>
      <c r="L1140" s="3" t="s">
        <v>2276</v>
      </c>
      <c r="M1140" s="3" t="s">
        <v>2276</v>
      </c>
      <c r="N1140" s="3" t="s">
        <v>2276</v>
      </c>
      <c r="O1140" s="3" t="s">
        <v>2276</v>
      </c>
      <c r="P1140" s="3" t="s">
        <v>2276</v>
      </c>
      <c r="Q1140" s="3" t="s">
        <v>2276</v>
      </c>
      <c r="R1140" s="3" t="s">
        <v>2276</v>
      </c>
      <c r="S1140" s="3" t="s">
        <v>2276</v>
      </c>
      <c r="T1140" s="3" t="s">
        <v>2276</v>
      </c>
      <c r="U1140" s="3" t="s">
        <v>2276</v>
      </c>
      <c r="V1140" s="3" t="s">
        <v>2276</v>
      </c>
      <c r="W1140" s="3" t="s">
        <v>2276</v>
      </c>
      <c r="X1140" s="3" t="s">
        <v>2276</v>
      </c>
      <c r="Y1140" s="3" t="s">
        <v>86</v>
      </c>
      <c r="Z1140" s="3" t="s">
        <v>405</v>
      </c>
      <c r="AA1140" s="3" t="s">
        <v>2655</v>
      </c>
      <c r="AB1140" s="4" t="s">
        <v>3450</v>
      </c>
    </row>
    <row r="1141" spans="1:28" ht="42.5" customHeight="1">
      <c r="A1141" s="6" t="str">
        <f>'Reported burning'!A1141</f>
        <v>132a</v>
      </c>
      <c r="B1141" s="6" t="str">
        <f>'Reported burning'!B1141</f>
        <v>132a.3</v>
      </c>
      <c r="C1141" s="6" t="str">
        <f>'Reported burning'!C1141</f>
        <v>Human, deliberate</v>
      </c>
      <c r="D1141" s="6" t="str">
        <f>'Reported burning'!D1141</f>
        <v>Fishing</v>
      </c>
      <c r="E1141" s="6" t="str">
        <f>'Reported burning'!E1141</f>
        <v>Forestry, Traditional</v>
      </c>
      <c r="F1141" s="6" t="str">
        <f>'Reported burning'!F1141</f>
        <v>Grassland</v>
      </c>
      <c r="G1141" s="6" t="str">
        <f>'Reported burning'!G1141</f>
        <v>Grassland</v>
      </c>
      <c r="H1141" s="6" t="str">
        <f>'Reported burning'!H1141</f>
        <v>Presence</v>
      </c>
      <c r="I1141" s="3"/>
      <c r="J1141" s="3" t="s">
        <v>2276</v>
      </c>
      <c r="K1141" s="3" t="s">
        <v>2276</v>
      </c>
      <c r="L1141" s="3" t="s">
        <v>2276</v>
      </c>
      <c r="M1141" s="3" t="s">
        <v>2276</v>
      </c>
      <c r="N1141" s="3" t="s">
        <v>2276</v>
      </c>
      <c r="O1141" s="3" t="s">
        <v>2276</v>
      </c>
      <c r="P1141" s="3" t="s">
        <v>2276</v>
      </c>
      <c r="Q1141" s="3" t="s">
        <v>2276</v>
      </c>
      <c r="R1141" s="3" t="s">
        <v>2276</v>
      </c>
      <c r="S1141" s="3" t="s">
        <v>2276</v>
      </c>
      <c r="T1141" s="3" t="s">
        <v>2276</v>
      </c>
      <c r="U1141" s="3" t="s">
        <v>2276</v>
      </c>
      <c r="V1141" s="3" t="s">
        <v>2276</v>
      </c>
      <c r="W1141" s="3" t="s">
        <v>2276</v>
      </c>
      <c r="X1141" s="3" t="s">
        <v>2276</v>
      </c>
      <c r="Y1141" s="3" t="s">
        <v>86</v>
      </c>
      <c r="Z1141" s="3" t="s">
        <v>68</v>
      </c>
      <c r="AA1141" s="3" t="s">
        <v>64</v>
      </c>
      <c r="AB1141" s="4" t="s">
        <v>3453</v>
      </c>
    </row>
    <row r="1142" spans="1:28" ht="42.5" customHeight="1">
      <c r="A1142" s="6" t="str">
        <f>'Reported burning'!A1142</f>
        <v>132a</v>
      </c>
      <c r="B1142" s="6" t="str">
        <f>'Reported burning'!B1142</f>
        <v>132a.4</v>
      </c>
      <c r="C1142" s="6" t="str">
        <f>'Reported burning'!C1142</f>
        <v>Lightning</v>
      </c>
      <c r="D1142" s="6" t="str">
        <f>'Reported burning'!D1142</f>
        <v>ND</v>
      </c>
      <c r="E1142" s="6" t="str">
        <f>'Reported burning'!E1142</f>
        <v>ND</v>
      </c>
      <c r="F1142" s="6" t="str">
        <f>'Reported burning'!F1142</f>
        <v>ND</v>
      </c>
      <c r="G1142" s="6" t="str">
        <f>'Reported burning'!G1142</f>
        <v>ND</v>
      </c>
      <c r="H1142" s="6" t="str">
        <f>'Reported burning'!H1142</f>
        <v>Presence</v>
      </c>
      <c r="I1142" s="3"/>
      <c r="J1142" s="3" t="s">
        <v>2276</v>
      </c>
      <c r="K1142" s="3" t="s">
        <v>2276</v>
      </c>
      <c r="L1142" s="3" t="s">
        <v>2276</v>
      </c>
      <c r="M1142" s="3" t="s">
        <v>2276</v>
      </c>
      <c r="N1142" s="3" t="s">
        <v>2276</v>
      </c>
      <c r="O1142" s="3" t="s">
        <v>2276</v>
      </c>
      <c r="P1142" s="3" t="s">
        <v>2276</v>
      </c>
      <c r="Q1142" s="3" t="s">
        <v>2276</v>
      </c>
      <c r="R1142" s="3" t="s">
        <v>2276</v>
      </c>
      <c r="S1142" s="3" t="s">
        <v>2276</v>
      </c>
      <c r="T1142" s="3" t="s">
        <v>2276</v>
      </c>
      <c r="U1142" s="3" t="s">
        <v>2276</v>
      </c>
      <c r="V1142" s="3" t="s">
        <v>2276</v>
      </c>
      <c r="W1142" s="3" t="s">
        <v>2276</v>
      </c>
      <c r="X1142" s="3" t="s">
        <v>2276</v>
      </c>
      <c r="Y1142" s="11" t="s">
        <v>68</v>
      </c>
      <c r="Z1142" s="11" t="s">
        <v>127</v>
      </c>
      <c r="AA1142" s="11" t="s">
        <v>64</v>
      </c>
      <c r="AB1142" s="4" t="s">
        <v>3456</v>
      </c>
    </row>
    <row r="1143" spans="1:28" ht="44.5" customHeight="1">
      <c r="A1143" s="6" t="str">
        <f>'Reported burning'!A1143</f>
        <v>132a</v>
      </c>
      <c r="B1143" s="6" t="str">
        <f>'Reported burning'!B1143</f>
        <v>132a.5</v>
      </c>
      <c r="C1143" s="6" t="str">
        <f>'Reported burning'!C1143</f>
        <v>Human, escaped</v>
      </c>
      <c r="D1143" s="6" t="str">
        <f>'Reported burning'!D1143</f>
        <v>Hunting</v>
      </c>
      <c r="E1143" s="6" t="str">
        <f>'Reported burning'!E1143</f>
        <v>Forestry, Traditional</v>
      </c>
      <c r="F1143" s="6" t="str">
        <f>'Reported burning'!F1143</f>
        <v>Shrubland (Mixed forest &amp; grassland)</v>
      </c>
      <c r="G1143" s="6" t="str">
        <f>'Reported burning'!G1143</f>
        <v>ND</v>
      </c>
      <c r="H1143" s="6" t="str">
        <f>'Reported burning'!H1143</f>
        <v>Presence</v>
      </c>
      <c r="I1143" s="3"/>
      <c r="J1143" s="3" t="s">
        <v>2276</v>
      </c>
      <c r="K1143" s="3" t="s">
        <v>2276</v>
      </c>
      <c r="L1143" s="3" t="s">
        <v>2276</v>
      </c>
      <c r="M1143" s="3" t="s">
        <v>2276</v>
      </c>
      <c r="N1143" s="3" t="s">
        <v>2276</v>
      </c>
      <c r="O1143" s="3" t="s">
        <v>2276</v>
      </c>
      <c r="P1143" s="3" t="s">
        <v>2276</v>
      </c>
      <c r="Q1143" s="3" t="s">
        <v>2276</v>
      </c>
      <c r="R1143" s="3" t="s">
        <v>2276</v>
      </c>
      <c r="S1143" s="3" t="s">
        <v>2276</v>
      </c>
      <c r="T1143" s="3" t="s">
        <v>2276</v>
      </c>
      <c r="U1143" s="3" t="s">
        <v>2276</v>
      </c>
      <c r="V1143" s="3" t="s">
        <v>2276</v>
      </c>
      <c r="W1143" s="3" t="s">
        <v>2276</v>
      </c>
      <c r="X1143" s="3" t="s">
        <v>2276</v>
      </c>
      <c r="Y1143" s="3" t="s">
        <v>425</v>
      </c>
      <c r="Z1143" s="3" t="s">
        <v>68</v>
      </c>
      <c r="AA1143" s="3" t="s">
        <v>64</v>
      </c>
      <c r="AB1143" s="4" t="s">
        <v>3455</v>
      </c>
    </row>
    <row r="1144" spans="1:28" ht="44.5" customHeight="1">
      <c r="A1144" s="6" t="str">
        <f>'Reported burning'!A1144</f>
        <v>133a</v>
      </c>
      <c r="B1144" s="6" t="str">
        <f>'Reported burning'!B1144</f>
        <v>133a.1</v>
      </c>
      <c r="C1144" s="6" t="str">
        <f>'Reported burning'!C1144</f>
        <v>Human, deliberate</v>
      </c>
      <c r="D1144" s="6" t="str">
        <f>'Reported burning'!D1144</f>
        <v>Rangeland management</v>
      </c>
      <c r="E1144" s="6" t="str">
        <f>'Reported burning'!E1144</f>
        <v>Pastoralism, Migratory</v>
      </c>
      <c r="F1144" s="6" t="str">
        <f>'Reported burning'!F1144</f>
        <v>Shrubland (Mixed forest &amp; grassland)</v>
      </c>
      <c r="G1144" s="6" t="str">
        <f>'Reported burning'!G1144</f>
        <v>ND</v>
      </c>
      <c r="H1144" s="6" t="str">
        <f>'Reported burning'!H1144</f>
        <v>Presence</v>
      </c>
      <c r="I1144" s="3"/>
      <c r="J1144" s="3" t="s">
        <v>2276</v>
      </c>
      <c r="K1144" s="3" t="s">
        <v>2276</v>
      </c>
      <c r="L1144" s="3" t="s">
        <v>2276</v>
      </c>
      <c r="M1144" s="3" t="s">
        <v>2276</v>
      </c>
      <c r="N1144" s="3" t="s">
        <v>2276</v>
      </c>
      <c r="O1144" s="3" t="s">
        <v>2276</v>
      </c>
      <c r="P1144" s="3" t="s">
        <v>2276</v>
      </c>
      <c r="Q1144" s="3" t="s">
        <v>2276</v>
      </c>
      <c r="R1144" s="3" t="s">
        <v>2276</v>
      </c>
      <c r="S1144" s="3" t="s">
        <v>2276</v>
      </c>
      <c r="T1144" s="3" t="s">
        <v>2276</v>
      </c>
      <c r="U1144" s="3" t="s">
        <v>2276</v>
      </c>
      <c r="V1144" s="3" t="s">
        <v>2276</v>
      </c>
      <c r="W1144" s="3" t="s">
        <v>2401</v>
      </c>
      <c r="X1144" s="3" t="s">
        <v>189</v>
      </c>
      <c r="Y1144" s="3" t="s">
        <v>38</v>
      </c>
      <c r="Z1144" s="3" t="s">
        <v>64</v>
      </c>
      <c r="AA1144" s="4" t="s">
        <v>3466</v>
      </c>
      <c r="AB1144" s="3"/>
    </row>
    <row r="1145" spans="1:28" ht="44.5" customHeight="1">
      <c r="A1145" s="6" t="str">
        <f>'Reported burning'!A1145</f>
        <v>133a</v>
      </c>
      <c r="B1145" s="6" t="str">
        <f>'Reported burning'!B1145</f>
        <v>133a.2</v>
      </c>
      <c r="C1145" s="6" t="str">
        <f>'Reported burning'!C1145</f>
        <v>Human, deliberate</v>
      </c>
      <c r="D1145" s="6" t="str">
        <f>'Reported burning'!D1145</f>
        <v>Pasture renewal</v>
      </c>
      <c r="E1145" s="6" t="str">
        <f>'Reported burning'!E1145</f>
        <v>Pastoralism, Migratory</v>
      </c>
      <c r="F1145" s="6" t="str">
        <f>'Reported burning'!F1145</f>
        <v>Shrubland (Mixed forest &amp; grassland)</v>
      </c>
      <c r="G1145" s="6" t="str">
        <f>'Reported burning'!G1145</f>
        <v>ND</v>
      </c>
      <c r="H1145" s="6" t="str">
        <f>'Reported burning'!H1145</f>
        <v>Absence</v>
      </c>
      <c r="I1145" s="3"/>
      <c r="J1145" s="3" t="s">
        <v>2276</v>
      </c>
      <c r="K1145" s="3" t="s">
        <v>2276</v>
      </c>
      <c r="L1145" s="3" t="s">
        <v>2276</v>
      </c>
      <c r="M1145" s="3" t="s">
        <v>2276</v>
      </c>
      <c r="N1145" s="3" t="s">
        <v>2276</v>
      </c>
      <c r="O1145" s="3" t="s">
        <v>2276</v>
      </c>
      <c r="P1145" s="3" t="s">
        <v>2276</v>
      </c>
      <c r="Q1145" s="3" t="s">
        <v>2276</v>
      </c>
      <c r="R1145" s="3" t="s">
        <v>2276</v>
      </c>
      <c r="S1145" s="3" t="s">
        <v>2276</v>
      </c>
      <c r="T1145" s="3" t="s">
        <v>2276</v>
      </c>
      <c r="U1145" s="3" t="s">
        <v>2276</v>
      </c>
      <c r="V1145" s="3" t="s">
        <v>2276</v>
      </c>
      <c r="W1145" s="3" t="s">
        <v>2276</v>
      </c>
      <c r="X1145" s="3" t="s">
        <v>68</v>
      </c>
      <c r="Y1145" s="3" t="s">
        <v>35</v>
      </c>
      <c r="Z1145" s="3" t="s">
        <v>2276</v>
      </c>
      <c r="AA1145" s="4" t="s">
        <v>3468</v>
      </c>
      <c r="AB1145" s="3"/>
    </row>
    <row r="1146" spans="1:28" ht="44.5" customHeight="1">
      <c r="A1146" s="6" t="str">
        <f>'Reported burning'!A1146</f>
        <v>133a</v>
      </c>
      <c r="B1146" s="6" t="str">
        <f>'Reported burning'!B1146</f>
        <v>133a.3</v>
      </c>
      <c r="C1146" s="6" t="str">
        <f>'Reported burning'!C1146</f>
        <v>Human, deliberate</v>
      </c>
      <c r="D1146" s="6" t="str">
        <f>'Reported burning'!D1146</f>
        <v>Forest clearance</v>
      </c>
      <c r="E1146" s="6" t="str">
        <f>'Reported burning'!E1146</f>
        <v>Cropping, Swidden</v>
      </c>
      <c r="F1146" s="6" t="str">
        <f>'Reported burning'!F1146</f>
        <v>Forest</v>
      </c>
      <c r="G1146" s="6" t="str">
        <f>'Reported burning'!G1146</f>
        <v>ND</v>
      </c>
      <c r="H1146" s="6" t="str">
        <f>'Reported burning'!H1146</f>
        <v>Presence</v>
      </c>
      <c r="I1146" s="3"/>
      <c r="J1146" s="3" t="s">
        <v>2276</v>
      </c>
      <c r="K1146" s="3" t="s">
        <v>2276</v>
      </c>
      <c r="L1146" s="3" t="s">
        <v>2276</v>
      </c>
      <c r="M1146" s="3" t="s">
        <v>2276</v>
      </c>
      <c r="N1146" s="3" t="s">
        <v>2276</v>
      </c>
      <c r="O1146" s="3" t="s">
        <v>2276</v>
      </c>
      <c r="P1146" s="3" t="s">
        <v>2276</v>
      </c>
      <c r="Q1146" s="3" t="s">
        <v>2276</v>
      </c>
      <c r="R1146" s="3" t="s">
        <v>2276</v>
      </c>
      <c r="S1146" s="3" t="s">
        <v>2276</v>
      </c>
      <c r="T1146" s="3" t="s">
        <v>2276</v>
      </c>
      <c r="U1146" s="3" t="s">
        <v>2276</v>
      </c>
      <c r="V1146" s="3" t="s">
        <v>2276</v>
      </c>
      <c r="W1146" s="3" t="s">
        <v>2276</v>
      </c>
      <c r="X1146" s="3" t="s">
        <v>2276</v>
      </c>
      <c r="Y1146" s="3" t="s">
        <v>2276</v>
      </c>
      <c r="Z1146" s="3" t="s">
        <v>2276</v>
      </c>
      <c r="AA1146" s="3"/>
      <c r="AB1146" s="3"/>
    </row>
    <row r="1147" spans="1:28" ht="44.5" customHeight="1">
      <c r="A1147" s="6" t="str">
        <f>'Reported burning'!A1147</f>
        <v>133a</v>
      </c>
      <c r="B1147" s="6" t="str">
        <f>'Reported burning'!B1147</f>
        <v>133a.4</v>
      </c>
      <c r="C1147" s="6" t="str">
        <f>'Reported burning'!C1147</f>
        <v>Human, deliberate</v>
      </c>
      <c r="D1147" s="6" t="str">
        <f>'Reported burning'!D1147</f>
        <v>Crop residue burning</v>
      </c>
      <c r="E1147" s="6" t="str">
        <f>'Reported burning'!E1147</f>
        <v>Cropping, Swidden</v>
      </c>
      <c r="F1147" s="6" t="str">
        <f>'Reported burning'!F1147</f>
        <v>Cropland</v>
      </c>
      <c r="G1147" s="6" t="str">
        <f>'Reported burning'!G1147</f>
        <v>ND</v>
      </c>
      <c r="H1147" s="6" t="str">
        <f>'Reported burning'!H1147</f>
        <v>Presence</v>
      </c>
      <c r="I1147" s="3"/>
      <c r="J1147" s="3" t="s">
        <v>2276</v>
      </c>
      <c r="K1147" s="3" t="s">
        <v>2276</v>
      </c>
      <c r="L1147" s="3" t="s">
        <v>2276</v>
      </c>
      <c r="M1147" s="3" t="s">
        <v>2276</v>
      </c>
      <c r="N1147" s="3" t="s">
        <v>2276</v>
      </c>
      <c r="O1147" s="3" t="s">
        <v>2276</v>
      </c>
      <c r="P1147" s="3" t="s">
        <v>2276</v>
      </c>
      <c r="Q1147" s="3" t="s">
        <v>2276</v>
      </c>
      <c r="R1147" s="3" t="s">
        <v>2276</v>
      </c>
      <c r="S1147" s="3" t="s">
        <v>2276</v>
      </c>
      <c r="T1147" s="3" t="s">
        <v>2276</v>
      </c>
      <c r="U1147" s="3" t="s">
        <v>2276</v>
      </c>
      <c r="V1147" s="3" t="s">
        <v>2276</v>
      </c>
      <c r="W1147" s="3" t="s">
        <v>2276</v>
      </c>
      <c r="X1147" s="3" t="s">
        <v>189</v>
      </c>
      <c r="Y1147" s="3" t="s">
        <v>38</v>
      </c>
      <c r="Z1147" s="3" t="s">
        <v>64</v>
      </c>
      <c r="AA1147" s="3" t="s">
        <v>3472</v>
      </c>
      <c r="AB1147" s="3"/>
    </row>
    <row r="1148" spans="1:28" ht="44.5" customHeight="1">
      <c r="A1148" s="6" t="str">
        <f>'Reported burning'!A1148</f>
        <v>133a</v>
      </c>
      <c r="B1148" s="6" t="str">
        <f>'Reported burning'!B1148</f>
        <v>133a.5</v>
      </c>
      <c r="C1148" s="6" t="str">
        <f>'Reported burning'!C1148</f>
        <v>Human, deliberate</v>
      </c>
      <c r="D1148" s="6" t="str">
        <f>'Reported burning'!D1148</f>
        <v>Crop field preparation</v>
      </c>
      <c r="E1148" s="6" t="str">
        <f>'Reported burning'!E1148</f>
        <v>Cropping, Swidden</v>
      </c>
      <c r="F1148" s="6" t="str">
        <f>'Reported burning'!F1148</f>
        <v>Secondary Vegetation</v>
      </c>
      <c r="G1148" s="6" t="str">
        <f>'Reported burning'!G1148</f>
        <v>ND</v>
      </c>
      <c r="H1148" s="6" t="str">
        <f>'Reported burning'!H1148</f>
        <v>Presence</v>
      </c>
      <c r="I1148" s="3"/>
      <c r="J1148" s="3" t="s">
        <v>2276</v>
      </c>
      <c r="K1148" s="3" t="s">
        <v>2276</v>
      </c>
      <c r="L1148" s="3" t="s">
        <v>2276</v>
      </c>
      <c r="M1148" s="3" t="s">
        <v>2276</v>
      </c>
      <c r="N1148" s="3" t="s">
        <v>2276</v>
      </c>
      <c r="O1148" s="3" t="s">
        <v>2276</v>
      </c>
      <c r="P1148" s="3" t="s">
        <v>2276</v>
      </c>
      <c r="Q1148" s="3" t="s">
        <v>2276</v>
      </c>
      <c r="R1148" s="3" t="s">
        <v>2276</v>
      </c>
      <c r="S1148" s="3" t="s">
        <v>2276</v>
      </c>
      <c r="T1148" s="3" t="s">
        <v>2276</v>
      </c>
      <c r="U1148" s="3" t="s">
        <v>2276</v>
      </c>
      <c r="V1148" s="3" t="s">
        <v>2276</v>
      </c>
      <c r="W1148" s="3" t="s">
        <v>2276</v>
      </c>
      <c r="X1148" s="3" t="s">
        <v>189</v>
      </c>
      <c r="Y1148" s="3" t="s">
        <v>38</v>
      </c>
      <c r="Z1148" s="3" t="s">
        <v>64</v>
      </c>
      <c r="AA1148" s="3" t="s">
        <v>3472</v>
      </c>
      <c r="AB1148" s="3"/>
    </row>
    <row r="1149" spans="1:28" ht="44.5" customHeight="1">
      <c r="A1149" s="6" t="str">
        <f>'Reported burning'!A1149</f>
        <v>133a</v>
      </c>
      <c r="B1149" s="6" t="str">
        <f>'Reported burning'!B1149</f>
        <v>133a.6</v>
      </c>
      <c r="C1149" s="6" t="str">
        <f>'Reported burning'!C1149</f>
        <v>Human, deliberate</v>
      </c>
      <c r="D1149" s="6" t="str">
        <f>'Reported burning'!D1149</f>
        <v>Charcoal production</v>
      </c>
      <c r="E1149" s="6" t="str">
        <f>'Reported burning'!E1149</f>
        <v>Forestry, Small-scale</v>
      </c>
      <c r="F1149" s="6" t="str">
        <f>'Reported burning'!F1149</f>
        <v>Secondary Vegetation</v>
      </c>
      <c r="G1149" s="6" t="str">
        <f>'Reported burning'!G1149</f>
        <v>ND</v>
      </c>
      <c r="H1149" s="6" t="str">
        <f>'Reported burning'!H1149</f>
        <v>Presence</v>
      </c>
      <c r="I1149" s="3"/>
      <c r="J1149" s="3" t="s">
        <v>2276</v>
      </c>
      <c r="K1149" s="3" t="s">
        <v>2276</v>
      </c>
      <c r="L1149" s="3" t="s">
        <v>2276</v>
      </c>
      <c r="M1149" s="3" t="s">
        <v>2276</v>
      </c>
      <c r="N1149" s="3" t="s">
        <v>2276</v>
      </c>
      <c r="O1149" s="3" t="s">
        <v>2276</v>
      </c>
      <c r="P1149" s="3" t="s">
        <v>2276</v>
      </c>
      <c r="Q1149" s="3" t="s">
        <v>2276</v>
      </c>
      <c r="R1149" s="3" t="s">
        <v>2276</v>
      </c>
      <c r="S1149" s="3" t="s">
        <v>2276</v>
      </c>
      <c r="T1149" s="3" t="s">
        <v>2276</v>
      </c>
      <c r="U1149" s="3" t="s">
        <v>2276</v>
      </c>
      <c r="V1149" s="3" t="s">
        <v>2276</v>
      </c>
      <c r="W1149" s="3" t="s">
        <v>2276</v>
      </c>
      <c r="X1149" s="3" t="s">
        <v>2276</v>
      </c>
      <c r="Y1149" s="3" t="s">
        <v>2276</v>
      </c>
      <c r="Z1149" s="3" t="s">
        <v>2276</v>
      </c>
      <c r="AA1149" s="3"/>
      <c r="AB1149" s="3"/>
    </row>
    <row r="1150" spans="1:28" ht="44.5" customHeight="1">
      <c r="A1150" s="6" t="str">
        <f>'Reported burning'!A1150</f>
        <v>133a</v>
      </c>
      <c r="B1150" s="6" t="str">
        <f>'Reported burning'!B1150</f>
        <v>133a.7</v>
      </c>
      <c r="C1150" s="6" t="str">
        <f>'Reported burning'!C1150</f>
        <v>Human, escaped</v>
      </c>
      <c r="D1150" s="6" t="str">
        <f>'Reported burning'!D1150</f>
        <v>Charcoal production</v>
      </c>
      <c r="E1150" s="6" t="str">
        <f>'Reported burning'!E1150</f>
        <v>Forestry, Small-scale</v>
      </c>
      <c r="F1150" s="6" t="str">
        <f>'Reported burning'!F1150</f>
        <v>Secondary Vegetation</v>
      </c>
      <c r="G1150" s="6" t="str">
        <f>'Reported burning'!G1150</f>
        <v>Forest</v>
      </c>
      <c r="H1150" s="6" t="str">
        <f>'Reported burning'!H1150</f>
        <v>Presence</v>
      </c>
      <c r="I1150" s="3"/>
      <c r="J1150" s="3" t="s">
        <v>2276</v>
      </c>
      <c r="K1150" s="3" t="s">
        <v>2276</v>
      </c>
      <c r="L1150" s="3" t="s">
        <v>2276</v>
      </c>
      <c r="M1150" s="3" t="s">
        <v>2276</v>
      </c>
      <c r="N1150" s="3" t="s">
        <v>2276</v>
      </c>
      <c r="O1150" s="3" t="s">
        <v>2276</v>
      </c>
      <c r="P1150" s="3" t="s">
        <v>2276</v>
      </c>
      <c r="Q1150" s="3" t="s">
        <v>2276</v>
      </c>
      <c r="R1150" s="3" t="s">
        <v>2276</v>
      </c>
      <c r="S1150" s="3" t="s">
        <v>2276</v>
      </c>
      <c r="T1150" s="3" t="s">
        <v>2276</v>
      </c>
      <c r="U1150" s="3" t="s">
        <v>2276</v>
      </c>
      <c r="V1150" s="3" t="s">
        <v>2276</v>
      </c>
      <c r="W1150" s="3" t="s">
        <v>2276</v>
      </c>
      <c r="X1150" s="3" t="s">
        <v>2276</v>
      </c>
      <c r="Y1150" s="3" t="s">
        <v>2276</v>
      </c>
      <c r="Z1150" s="3" t="s">
        <v>2276</v>
      </c>
      <c r="AA1150" s="11" t="s">
        <v>3477</v>
      </c>
      <c r="AB1150" s="3"/>
    </row>
    <row r="1151" spans="1:28" ht="48.5" customHeight="1">
      <c r="A1151" s="6" t="str">
        <f>'Reported burning'!A1151</f>
        <v>133a</v>
      </c>
      <c r="B1151" s="6" t="str">
        <f>'Reported burning'!B1151</f>
        <v>133a.8</v>
      </c>
      <c r="C1151" s="6" t="str">
        <f>'Reported burning'!C1151</f>
        <v>Human, deliberate</v>
      </c>
      <c r="D1151" s="6" t="str">
        <f>'Reported burning'!D1151</f>
        <v>Harvesting of NTFP</v>
      </c>
      <c r="E1151" s="6" t="str">
        <f>'Reported burning'!E1151</f>
        <v>Forestry, Traditional</v>
      </c>
      <c r="F1151" s="6" t="str">
        <f>'Reported burning'!F1151</f>
        <v>Forest</v>
      </c>
      <c r="G1151" s="6" t="str">
        <f>'Reported burning'!G1151</f>
        <v>Forest</v>
      </c>
      <c r="H1151" s="6" t="str">
        <f>'Reported burning'!H1151</f>
        <v>Presence</v>
      </c>
      <c r="I1151" s="3"/>
      <c r="J1151" s="3" t="s">
        <v>2276</v>
      </c>
      <c r="K1151" s="3" t="s">
        <v>2276</v>
      </c>
      <c r="L1151" s="3" t="s">
        <v>2276</v>
      </c>
      <c r="M1151" s="3" t="s">
        <v>2276</v>
      </c>
      <c r="N1151" s="3" t="s">
        <v>2276</v>
      </c>
      <c r="O1151" s="3" t="s">
        <v>2276</v>
      </c>
      <c r="P1151" s="3" t="s">
        <v>2276</v>
      </c>
      <c r="Q1151" s="3" t="s">
        <v>2276</v>
      </c>
      <c r="R1151" s="3" t="s">
        <v>2276</v>
      </c>
      <c r="S1151" s="3" t="s">
        <v>2276</v>
      </c>
      <c r="T1151" s="3" t="s">
        <v>2276</v>
      </c>
      <c r="U1151" s="3" t="s">
        <v>2276</v>
      </c>
      <c r="V1151" s="3" t="s">
        <v>2276</v>
      </c>
      <c r="W1151" s="3" t="s">
        <v>2276</v>
      </c>
      <c r="X1151" s="3" t="s">
        <v>2276</v>
      </c>
      <c r="Y1151" s="3" t="s">
        <v>2276</v>
      </c>
      <c r="Z1151" s="3" t="s">
        <v>2276</v>
      </c>
      <c r="AA1151" s="19" t="s">
        <v>3481</v>
      </c>
      <c r="AB1151" s="3"/>
    </row>
    <row r="1152" spans="1:28" ht="46" customHeight="1">
      <c r="A1152" s="6" t="str">
        <f>'Reported burning'!A1152</f>
        <v>133a</v>
      </c>
      <c r="B1152" s="6" t="str">
        <f>'Reported burning'!B1152</f>
        <v>133a.9</v>
      </c>
      <c r="C1152" s="6" t="str">
        <f>'Reported burning'!C1152</f>
        <v>Human, escaped</v>
      </c>
      <c r="D1152" s="6" t="str">
        <f>'Reported burning'!D1152</f>
        <v>Harvesting of NTFP</v>
      </c>
      <c r="E1152" s="6" t="str">
        <f>'Reported burning'!E1152</f>
        <v>Forestry, Traditional</v>
      </c>
      <c r="F1152" s="6" t="str">
        <f>'Reported burning'!F1152</f>
        <v>Forest</v>
      </c>
      <c r="G1152" s="6" t="str">
        <f>'Reported burning'!G1152</f>
        <v>Forest</v>
      </c>
      <c r="H1152" s="6" t="str">
        <f>'Reported burning'!H1152</f>
        <v>Presence</v>
      </c>
      <c r="I1152" s="3"/>
      <c r="J1152" s="3" t="s">
        <v>2276</v>
      </c>
      <c r="K1152" s="3" t="s">
        <v>2276</v>
      </c>
      <c r="L1152" s="3" t="s">
        <v>2276</v>
      </c>
      <c r="M1152" s="3" t="s">
        <v>2276</v>
      </c>
      <c r="N1152" s="3" t="s">
        <v>2276</v>
      </c>
      <c r="O1152" s="3" t="s">
        <v>2276</v>
      </c>
      <c r="P1152" s="3" t="s">
        <v>2276</v>
      </c>
      <c r="Q1152" s="3" t="s">
        <v>2276</v>
      </c>
      <c r="R1152" s="3" t="s">
        <v>2276</v>
      </c>
      <c r="S1152" s="3" t="s">
        <v>2276</v>
      </c>
      <c r="T1152" s="3" t="s">
        <v>2276</v>
      </c>
      <c r="U1152" s="3" t="s">
        <v>2276</v>
      </c>
      <c r="V1152" s="3" t="s">
        <v>2276</v>
      </c>
      <c r="W1152" s="3" t="s">
        <v>2276</v>
      </c>
      <c r="X1152" s="3" t="s">
        <v>2276</v>
      </c>
      <c r="Y1152" s="3" t="s">
        <v>2276</v>
      </c>
      <c r="Z1152" s="3" t="s">
        <v>2276</v>
      </c>
      <c r="AA1152" s="19" t="s">
        <v>3481</v>
      </c>
      <c r="AB1152" s="3"/>
    </row>
    <row r="1153" spans="1:28" ht="98.5" customHeight="1">
      <c r="A1153" s="6" t="str">
        <f>'Reported burning'!A1153</f>
        <v>133a</v>
      </c>
      <c r="B1153" s="6" t="str">
        <f>'Reported burning'!B1153</f>
        <v>133a.10</v>
      </c>
      <c r="C1153" s="6" t="str">
        <f>'Reported burning'!C1153</f>
        <v>Human, deliberate</v>
      </c>
      <c r="D1153" s="6" t="str">
        <f>'Reported burning'!D1153</f>
        <v>Arson</v>
      </c>
      <c r="E1153" s="6" t="str">
        <f>'Reported burning'!E1153</f>
        <v>Pastoralism, Migratory</v>
      </c>
      <c r="F1153" s="6" t="str">
        <f>'Reported burning'!F1153</f>
        <v>Cropland</v>
      </c>
      <c r="G1153" s="6" t="str">
        <f>'Reported burning'!G1153</f>
        <v>ND</v>
      </c>
      <c r="H1153" s="6" t="str">
        <f>'Reported burning'!H1153</f>
        <v>Presence</v>
      </c>
      <c r="I1153" s="3"/>
      <c r="J1153" s="3" t="s">
        <v>2276</v>
      </c>
      <c r="K1153" s="3" t="s">
        <v>2276</v>
      </c>
      <c r="L1153" s="3" t="s">
        <v>2276</v>
      </c>
      <c r="M1153" s="3" t="s">
        <v>2276</v>
      </c>
      <c r="N1153" s="3" t="s">
        <v>2276</v>
      </c>
      <c r="O1153" s="3" t="s">
        <v>2276</v>
      </c>
      <c r="P1153" s="3" t="s">
        <v>2276</v>
      </c>
      <c r="Q1153" s="3" t="s">
        <v>2276</v>
      </c>
      <c r="R1153" s="3" t="s">
        <v>2276</v>
      </c>
      <c r="S1153" s="3" t="s">
        <v>2276</v>
      </c>
      <c r="T1153" s="3" t="s">
        <v>2276</v>
      </c>
      <c r="U1153" s="3" t="s">
        <v>2276</v>
      </c>
      <c r="V1153" s="3" t="s">
        <v>2276</v>
      </c>
      <c r="W1153" s="3" t="s">
        <v>2276</v>
      </c>
      <c r="X1153" s="3" t="s">
        <v>2276</v>
      </c>
      <c r="Y1153" s="3" t="s">
        <v>2276</v>
      </c>
      <c r="Z1153" s="3" t="s">
        <v>2276</v>
      </c>
      <c r="AA1153" s="4" t="s">
        <v>3484</v>
      </c>
      <c r="AB1153" s="3"/>
    </row>
    <row r="1154" spans="1:28" ht="32" customHeight="1">
      <c r="A1154" s="6" t="str">
        <f>'Reported burning'!A1154</f>
        <v>134a</v>
      </c>
      <c r="B1154" s="6" t="str">
        <f>'Reported burning'!B1154</f>
        <v>134a.1</v>
      </c>
      <c r="C1154" s="6" t="str">
        <f>'Reported burning'!C1154</f>
        <v>All</v>
      </c>
      <c r="D1154" s="6" t="str">
        <f>'Reported burning'!D1154</f>
        <v>All</v>
      </c>
      <c r="E1154" s="6" t="str">
        <f>'Reported burning'!E1154</f>
        <v>All</v>
      </c>
      <c r="F1154" s="6" t="str">
        <f>'Reported burning'!F1154</f>
        <v>All</v>
      </c>
      <c r="G1154" s="6" t="str">
        <f>'Reported burning'!G1154</f>
        <v>All</v>
      </c>
      <c r="H1154" s="6" t="str">
        <f>'Reported burning'!H1154</f>
        <v>Presence</v>
      </c>
      <c r="I1154" s="3">
        <f>'Reported burning'!I1154</f>
        <v>2009</v>
      </c>
      <c r="J1154" s="3" t="s">
        <v>2276</v>
      </c>
      <c r="K1154" s="3" t="s">
        <v>2276</v>
      </c>
      <c r="L1154" s="3" t="s">
        <v>2276</v>
      </c>
      <c r="M1154" s="3" t="s">
        <v>2276</v>
      </c>
      <c r="N1154" s="3" t="s">
        <v>2276</v>
      </c>
      <c r="O1154" s="3" t="s">
        <v>2276</v>
      </c>
      <c r="P1154" s="3" t="s">
        <v>2276</v>
      </c>
      <c r="Q1154" s="3" t="s">
        <v>2276</v>
      </c>
      <c r="R1154" s="3" t="s">
        <v>2276</v>
      </c>
      <c r="S1154" s="3" t="s">
        <v>2276</v>
      </c>
      <c r="T1154" s="3" t="s">
        <v>2276</v>
      </c>
      <c r="U1154" s="3" t="s">
        <v>2276</v>
      </c>
      <c r="V1154" s="3" t="s">
        <v>2276</v>
      </c>
      <c r="W1154" s="3" t="s">
        <v>2276</v>
      </c>
      <c r="X1154" s="3" t="s">
        <v>2276</v>
      </c>
      <c r="Y1154" s="3" t="s">
        <v>2276</v>
      </c>
      <c r="Z1154" s="3" t="s">
        <v>2276</v>
      </c>
      <c r="AA1154" s="3"/>
      <c r="AB1154" s="3"/>
    </row>
    <row r="1155" spans="1:28" ht="32" customHeight="1">
      <c r="A1155" s="6" t="str">
        <f>'Reported burning'!A1155</f>
        <v>134a</v>
      </c>
      <c r="B1155" s="6" t="str">
        <f>'Reported burning'!B1155</f>
        <v>134a.2</v>
      </c>
      <c r="C1155" s="6" t="str">
        <f>'Reported burning'!C1155</f>
        <v>All</v>
      </c>
      <c r="D1155" s="6" t="str">
        <f>'Reported burning'!D1155</f>
        <v>All</v>
      </c>
      <c r="E1155" s="6" t="str">
        <f>'Reported burning'!E1155</f>
        <v>All</v>
      </c>
      <c r="F1155" s="6" t="str">
        <f>'Reported burning'!F1155</f>
        <v>All</v>
      </c>
      <c r="G1155" s="6" t="str">
        <f>'Reported burning'!G1155</f>
        <v>All</v>
      </c>
      <c r="H1155" s="6" t="str">
        <f>'Reported burning'!H1155</f>
        <v>Presence</v>
      </c>
      <c r="I1155" s="3">
        <f>'Reported burning'!I1155</f>
        <v>2010</v>
      </c>
      <c r="J1155" s="3" t="s">
        <v>2276</v>
      </c>
      <c r="K1155" s="3" t="s">
        <v>2276</v>
      </c>
      <c r="L1155" s="3" t="s">
        <v>2276</v>
      </c>
      <c r="M1155" s="3" t="s">
        <v>2276</v>
      </c>
      <c r="N1155" s="3" t="s">
        <v>2276</v>
      </c>
      <c r="O1155" s="3" t="s">
        <v>2276</v>
      </c>
      <c r="P1155" s="3" t="s">
        <v>2276</v>
      </c>
      <c r="Q1155" s="3" t="s">
        <v>2276</v>
      </c>
      <c r="R1155" s="3" t="s">
        <v>2276</v>
      </c>
      <c r="S1155" s="3" t="s">
        <v>2276</v>
      </c>
      <c r="T1155" s="3" t="s">
        <v>2276</v>
      </c>
      <c r="U1155" s="3" t="s">
        <v>2276</v>
      </c>
      <c r="V1155" s="3" t="s">
        <v>2276</v>
      </c>
      <c r="W1155" s="3" t="s">
        <v>2276</v>
      </c>
      <c r="X1155" s="3" t="s">
        <v>2276</v>
      </c>
      <c r="Y1155" s="3" t="s">
        <v>2276</v>
      </c>
      <c r="Z1155" s="3" t="s">
        <v>2276</v>
      </c>
      <c r="AA1155" s="3"/>
      <c r="AB1155" s="3"/>
    </row>
    <row r="1156" spans="1:28" ht="32" customHeight="1">
      <c r="A1156" s="6" t="str">
        <f>'Reported burning'!A1156</f>
        <v>134a</v>
      </c>
      <c r="B1156" s="6" t="str">
        <f>'Reported burning'!B1156</f>
        <v>134a.3</v>
      </c>
      <c r="C1156" s="6" t="str">
        <f>'Reported burning'!C1156</f>
        <v>All</v>
      </c>
      <c r="D1156" s="6" t="str">
        <f>'Reported burning'!D1156</f>
        <v>All</v>
      </c>
      <c r="E1156" s="6" t="str">
        <f>'Reported burning'!E1156</f>
        <v>All</v>
      </c>
      <c r="F1156" s="6" t="str">
        <f>'Reported burning'!F1156</f>
        <v>All</v>
      </c>
      <c r="G1156" s="6" t="str">
        <f>'Reported burning'!G1156</f>
        <v>All</v>
      </c>
      <c r="H1156" s="6" t="str">
        <f>'Reported burning'!H1156</f>
        <v>Presence</v>
      </c>
      <c r="I1156" s="3">
        <f>'Reported burning'!I1156</f>
        <v>2011</v>
      </c>
      <c r="J1156" s="3" t="s">
        <v>2276</v>
      </c>
      <c r="K1156" s="3" t="s">
        <v>2276</v>
      </c>
      <c r="L1156" s="3" t="s">
        <v>2276</v>
      </c>
      <c r="M1156" s="3" t="s">
        <v>2276</v>
      </c>
      <c r="N1156" s="3" t="s">
        <v>2276</v>
      </c>
      <c r="O1156" s="3" t="s">
        <v>2276</v>
      </c>
      <c r="P1156" s="3" t="s">
        <v>2276</v>
      </c>
      <c r="Q1156" s="3" t="s">
        <v>2276</v>
      </c>
      <c r="R1156" s="3" t="s">
        <v>2276</v>
      </c>
      <c r="S1156" s="3" t="s">
        <v>2276</v>
      </c>
      <c r="T1156" s="3" t="s">
        <v>2276</v>
      </c>
      <c r="U1156" s="3" t="s">
        <v>2276</v>
      </c>
      <c r="V1156" s="3" t="s">
        <v>2276</v>
      </c>
      <c r="W1156" s="3" t="s">
        <v>2276</v>
      </c>
      <c r="X1156" s="3" t="s">
        <v>2276</v>
      </c>
      <c r="Y1156" s="3" t="s">
        <v>2276</v>
      </c>
      <c r="Z1156" s="3" t="s">
        <v>2276</v>
      </c>
      <c r="AA1156" s="3"/>
      <c r="AB1156" s="3"/>
    </row>
    <row r="1157" spans="1:28" ht="32" customHeight="1">
      <c r="A1157" s="6" t="str">
        <f>'Reported burning'!A1157</f>
        <v>134a</v>
      </c>
      <c r="B1157" s="6" t="str">
        <f>'Reported burning'!B1157</f>
        <v>134a.4</v>
      </c>
      <c r="C1157" s="6" t="str">
        <f>'Reported burning'!C1157</f>
        <v>All</v>
      </c>
      <c r="D1157" s="6" t="str">
        <f>'Reported burning'!D1157</f>
        <v>All</v>
      </c>
      <c r="E1157" s="6" t="str">
        <f>'Reported burning'!E1157</f>
        <v>All</v>
      </c>
      <c r="F1157" s="6" t="str">
        <f>'Reported burning'!F1157</f>
        <v>All</v>
      </c>
      <c r="G1157" s="6" t="str">
        <f>'Reported burning'!G1157</f>
        <v>All</v>
      </c>
      <c r="H1157" s="6" t="str">
        <f>'Reported burning'!H1157</f>
        <v>Presence</v>
      </c>
      <c r="I1157" s="3">
        <f>'Reported burning'!I1157</f>
        <v>2012</v>
      </c>
      <c r="J1157" s="3" t="s">
        <v>2276</v>
      </c>
      <c r="K1157" s="3" t="s">
        <v>2276</v>
      </c>
      <c r="L1157" s="3" t="s">
        <v>2276</v>
      </c>
      <c r="M1157" s="3" t="s">
        <v>2276</v>
      </c>
      <c r="N1157" s="3" t="s">
        <v>2276</v>
      </c>
      <c r="O1157" s="3" t="s">
        <v>2276</v>
      </c>
      <c r="P1157" s="3" t="s">
        <v>2276</v>
      </c>
      <c r="Q1157" s="3" t="s">
        <v>2276</v>
      </c>
      <c r="R1157" s="3" t="s">
        <v>2276</v>
      </c>
      <c r="S1157" s="3" t="s">
        <v>2276</v>
      </c>
      <c r="T1157" s="3" t="s">
        <v>2276</v>
      </c>
      <c r="U1157" s="3" t="s">
        <v>2276</v>
      </c>
      <c r="V1157" s="3" t="s">
        <v>2276</v>
      </c>
      <c r="W1157" s="3" t="s">
        <v>2276</v>
      </c>
      <c r="X1157" s="3" t="s">
        <v>2276</v>
      </c>
      <c r="Y1157" s="3" t="s">
        <v>2276</v>
      </c>
      <c r="Z1157" s="3" t="s">
        <v>2276</v>
      </c>
      <c r="AA1157" s="3"/>
      <c r="AB1157" s="3"/>
    </row>
    <row r="1158" spans="1:28" ht="32" customHeight="1">
      <c r="A1158" s="6" t="str">
        <f>'Reported burning'!A1158</f>
        <v>134a</v>
      </c>
      <c r="B1158" s="6" t="str">
        <f>'Reported burning'!B1158</f>
        <v>134a.5</v>
      </c>
      <c r="C1158" s="6" t="str">
        <f>'Reported burning'!C1158</f>
        <v>All</v>
      </c>
      <c r="D1158" s="6" t="str">
        <f>'Reported burning'!D1158</f>
        <v>All</v>
      </c>
      <c r="E1158" s="6" t="str">
        <f>'Reported burning'!E1158</f>
        <v>All</v>
      </c>
      <c r="F1158" s="6" t="str">
        <f>'Reported burning'!F1158</f>
        <v>All</v>
      </c>
      <c r="G1158" s="6" t="str">
        <f>'Reported burning'!G1158</f>
        <v>All</v>
      </c>
      <c r="H1158" s="6" t="str">
        <f>'Reported burning'!H1158</f>
        <v>Presence</v>
      </c>
      <c r="I1158" s="3">
        <f>'Reported burning'!I1158</f>
        <v>2013</v>
      </c>
      <c r="J1158" s="3" t="s">
        <v>2276</v>
      </c>
      <c r="K1158" s="3" t="s">
        <v>2276</v>
      </c>
      <c r="L1158" s="3" t="s">
        <v>2276</v>
      </c>
      <c r="M1158" s="3" t="s">
        <v>2276</v>
      </c>
      <c r="N1158" s="3" t="s">
        <v>2276</v>
      </c>
      <c r="O1158" s="3" t="s">
        <v>2276</v>
      </c>
      <c r="P1158" s="3" t="s">
        <v>2276</v>
      </c>
      <c r="Q1158" s="3" t="s">
        <v>2276</v>
      </c>
      <c r="R1158" s="3" t="s">
        <v>2276</v>
      </c>
      <c r="S1158" s="3" t="s">
        <v>2276</v>
      </c>
      <c r="T1158" s="3" t="s">
        <v>2276</v>
      </c>
      <c r="U1158" s="3" t="s">
        <v>2276</v>
      </c>
      <c r="V1158" s="3" t="s">
        <v>2276</v>
      </c>
      <c r="W1158" s="3" t="s">
        <v>2276</v>
      </c>
      <c r="X1158" s="3" t="s">
        <v>2276</v>
      </c>
      <c r="Y1158" s="3" t="s">
        <v>2276</v>
      </c>
      <c r="Z1158" s="3" t="s">
        <v>2276</v>
      </c>
      <c r="AA1158" s="3"/>
      <c r="AB1158" s="3"/>
    </row>
    <row r="1159" spans="1:28" ht="32" customHeight="1">
      <c r="A1159" s="6" t="str">
        <f>'Reported burning'!A1159</f>
        <v>134a</v>
      </c>
      <c r="B1159" s="6" t="str">
        <f>'Reported burning'!B1159</f>
        <v>134a.6</v>
      </c>
      <c r="C1159" s="6" t="str">
        <f>'Reported burning'!C1159</f>
        <v>All</v>
      </c>
      <c r="D1159" s="6" t="str">
        <f>'Reported burning'!D1159</f>
        <v>All</v>
      </c>
      <c r="E1159" s="6" t="str">
        <f>'Reported burning'!E1159</f>
        <v>All</v>
      </c>
      <c r="F1159" s="6" t="str">
        <f>'Reported burning'!F1159</f>
        <v>All</v>
      </c>
      <c r="G1159" s="6" t="str">
        <f>'Reported burning'!G1159</f>
        <v>All</v>
      </c>
      <c r="H1159" s="6" t="str">
        <f>'Reported burning'!H1159</f>
        <v>Presence</v>
      </c>
      <c r="I1159" s="3">
        <f>'Reported burning'!I1159</f>
        <v>2014</v>
      </c>
      <c r="J1159" s="3" t="s">
        <v>2276</v>
      </c>
      <c r="K1159" s="3" t="s">
        <v>2276</v>
      </c>
      <c r="L1159" s="3" t="s">
        <v>2276</v>
      </c>
      <c r="M1159" s="3" t="s">
        <v>2276</v>
      </c>
      <c r="N1159" s="3" t="s">
        <v>2276</v>
      </c>
      <c r="O1159" s="3" t="s">
        <v>2276</v>
      </c>
      <c r="P1159" s="3" t="s">
        <v>2276</v>
      </c>
      <c r="Q1159" s="3" t="s">
        <v>2276</v>
      </c>
      <c r="R1159" s="3" t="s">
        <v>2276</v>
      </c>
      <c r="S1159" s="3" t="s">
        <v>2276</v>
      </c>
      <c r="T1159" s="3" t="s">
        <v>2276</v>
      </c>
      <c r="U1159" s="3" t="s">
        <v>2276</v>
      </c>
      <c r="V1159" s="3" t="s">
        <v>2276</v>
      </c>
      <c r="W1159" s="3" t="s">
        <v>2276</v>
      </c>
      <c r="X1159" s="3" t="s">
        <v>2276</v>
      </c>
      <c r="Y1159" s="3" t="s">
        <v>2276</v>
      </c>
      <c r="Z1159" s="3" t="s">
        <v>2276</v>
      </c>
      <c r="AA1159" s="3"/>
      <c r="AB1159" s="3"/>
    </row>
    <row r="1160" spans="1:28" ht="32.5" customHeight="1">
      <c r="A1160" s="6" t="str">
        <f>'Reported burning'!A1160</f>
        <v>135a</v>
      </c>
      <c r="B1160" s="6" t="str">
        <f>'Reported burning'!B1160</f>
        <v>135a.1</v>
      </c>
      <c r="C1160" s="6" t="str">
        <f>'Reported burning'!C1160</f>
        <v>Human, deliberate</v>
      </c>
      <c r="D1160" s="6" t="str">
        <f>'Reported burning'!D1160</f>
        <v>Pyrome management</v>
      </c>
      <c r="E1160" s="6" t="str">
        <f>'Reported burning'!E1160</f>
        <v>Pastoralism, Migratory</v>
      </c>
      <c r="F1160" s="6" t="str">
        <f>'Reported burning'!F1160</f>
        <v>Shrubland (Mixed forest &amp; grassland)</v>
      </c>
      <c r="G1160" s="6" t="str">
        <f>'Reported burning'!G1160</f>
        <v>ND</v>
      </c>
      <c r="H1160" s="6" t="str">
        <f>'Reported burning'!H1160</f>
        <v>Presence</v>
      </c>
      <c r="I1160" s="3"/>
      <c r="J1160" s="3" t="s">
        <v>2276</v>
      </c>
      <c r="K1160" s="3" t="s">
        <v>2276</v>
      </c>
      <c r="L1160" s="3" t="s">
        <v>2276</v>
      </c>
      <c r="M1160" s="3" t="s">
        <v>2276</v>
      </c>
      <c r="N1160" s="3" t="s">
        <v>2276</v>
      </c>
      <c r="O1160" s="3" t="s">
        <v>2276</v>
      </c>
      <c r="P1160" s="3" t="s">
        <v>2276</v>
      </c>
      <c r="Q1160" s="3" t="s">
        <v>2276</v>
      </c>
      <c r="R1160" s="3" t="s">
        <v>2276</v>
      </c>
      <c r="S1160" s="3" t="s">
        <v>2276</v>
      </c>
      <c r="T1160" s="3" t="s">
        <v>2276</v>
      </c>
      <c r="U1160" s="3" t="s">
        <v>2276</v>
      </c>
      <c r="V1160" s="3" t="s">
        <v>2276</v>
      </c>
      <c r="W1160" s="3" t="s">
        <v>2276</v>
      </c>
      <c r="X1160" s="3" t="s">
        <v>425</v>
      </c>
      <c r="Y1160" s="3" t="s">
        <v>68</v>
      </c>
      <c r="Z1160" s="3" t="s">
        <v>64</v>
      </c>
      <c r="AA1160" s="3"/>
      <c r="AB1160" s="3"/>
    </row>
    <row r="1161" spans="1:28">
      <c r="A1161" s="6" t="str">
        <f>'Reported burning'!A1161</f>
        <v>135a</v>
      </c>
      <c r="B1161" s="6" t="str">
        <f>'Reported burning'!B1161</f>
        <v>135a.2</v>
      </c>
      <c r="C1161" s="6" t="str">
        <f>'Reported burning'!C1161</f>
        <v>Human, deliberate</v>
      </c>
      <c r="D1161" s="6" t="str">
        <f>'Reported burning'!D1161</f>
        <v>Pyrome management</v>
      </c>
      <c r="E1161" s="6" t="str">
        <f>'Reported burning'!E1161</f>
        <v>Pastoralism, Migratory</v>
      </c>
      <c r="F1161" s="6" t="str">
        <f>'Reported burning'!F1161</f>
        <v>Forest</v>
      </c>
      <c r="G1161" s="6" t="str">
        <f>'Reported burning'!G1161</f>
        <v>ND</v>
      </c>
      <c r="H1161" s="6" t="str">
        <f>'Reported burning'!H1161</f>
        <v>Absence</v>
      </c>
      <c r="I1161" s="3"/>
      <c r="J1161" s="3" t="s">
        <v>2276</v>
      </c>
      <c r="K1161" s="3" t="s">
        <v>2276</v>
      </c>
      <c r="L1161" s="3" t="s">
        <v>2276</v>
      </c>
      <c r="M1161" s="3" t="s">
        <v>2276</v>
      </c>
      <c r="N1161" s="3" t="s">
        <v>2276</v>
      </c>
      <c r="O1161" s="3" t="s">
        <v>2276</v>
      </c>
      <c r="P1161" s="3" t="s">
        <v>2276</v>
      </c>
      <c r="Q1161" s="3" t="s">
        <v>2276</v>
      </c>
      <c r="R1161" s="3" t="s">
        <v>2276</v>
      </c>
      <c r="S1161" s="3" t="s">
        <v>2276</v>
      </c>
      <c r="T1161" s="3" t="s">
        <v>2276</v>
      </c>
      <c r="U1161" s="3" t="s">
        <v>2276</v>
      </c>
      <c r="V1161" s="3" t="s">
        <v>2276</v>
      </c>
      <c r="W1161" s="3" t="s">
        <v>2276</v>
      </c>
      <c r="X1161" s="3" t="s">
        <v>2276</v>
      </c>
      <c r="Y1161" s="3" t="s">
        <v>2276</v>
      </c>
      <c r="Z1161" s="3" t="s">
        <v>2276</v>
      </c>
      <c r="AA1161" s="3"/>
      <c r="AB1161" s="3"/>
    </row>
    <row r="1162" spans="1:28" ht="29">
      <c r="A1162" s="6" t="str">
        <f>'Reported burning'!A1162</f>
        <v>135a</v>
      </c>
      <c r="B1162" s="6" t="str">
        <f>'Reported burning'!B1162</f>
        <v>135a.3</v>
      </c>
      <c r="C1162" s="6" t="str">
        <f>'Reported burning'!C1162</f>
        <v>Human, deliberate</v>
      </c>
      <c r="D1162" s="6" t="str">
        <f>'Reported burning'!D1162</f>
        <v>Rangeland management</v>
      </c>
      <c r="E1162" s="6" t="str">
        <f>'Reported burning'!E1162</f>
        <v>Pastoralism, Migratory</v>
      </c>
      <c r="F1162" s="6" t="str">
        <f>'Reported burning'!F1162</f>
        <v>Shrubland (Mixed forest &amp; grassland)</v>
      </c>
      <c r="G1162" s="6" t="str">
        <f>'Reported burning'!G1162</f>
        <v>ND</v>
      </c>
      <c r="H1162" s="6" t="str">
        <f>'Reported burning'!H1162</f>
        <v>Presence</v>
      </c>
      <c r="I1162" s="3"/>
      <c r="J1162" s="3" t="s">
        <v>2276</v>
      </c>
      <c r="K1162" s="3" t="s">
        <v>2276</v>
      </c>
      <c r="L1162" s="3" t="s">
        <v>2276</v>
      </c>
      <c r="M1162" s="3" t="s">
        <v>2276</v>
      </c>
      <c r="N1162" s="3" t="s">
        <v>2276</v>
      </c>
      <c r="O1162" s="3" t="s">
        <v>2276</v>
      </c>
      <c r="P1162" s="3" t="s">
        <v>2276</v>
      </c>
      <c r="Q1162" s="3" t="s">
        <v>2276</v>
      </c>
      <c r="R1162" s="3" t="s">
        <v>2276</v>
      </c>
      <c r="S1162" s="3" t="s">
        <v>2276</v>
      </c>
      <c r="T1162" s="3" t="s">
        <v>2276</v>
      </c>
      <c r="U1162" s="3" t="s">
        <v>2276</v>
      </c>
      <c r="V1162" s="3" t="s">
        <v>2276</v>
      </c>
      <c r="W1162" s="3" t="s">
        <v>2276</v>
      </c>
      <c r="X1162" s="3" t="s">
        <v>404</v>
      </c>
      <c r="Y1162" s="3" t="s">
        <v>68</v>
      </c>
      <c r="Z1162" s="3" t="s">
        <v>64</v>
      </c>
      <c r="AA1162" s="3"/>
      <c r="AB1162" s="3"/>
    </row>
    <row r="1163" spans="1:28" ht="29">
      <c r="A1163" s="6" t="str">
        <f>'Reported burning'!A1163</f>
        <v>135a</v>
      </c>
      <c r="B1163" s="6" t="str">
        <f>'Reported burning'!B1163</f>
        <v>135a.4</v>
      </c>
      <c r="C1163" s="6" t="str">
        <f>'Reported burning'!C1163</f>
        <v>Human, deliberate</v>
      </c>
      <c r="D1163" s="6" t="str">
        <f>'Reported burning'!D1163</f>
        <v>Rangeland management</v>
      </c>
      <c r="E1163" s="6" t="str">
        <f>'Reported burning'!E1163</f>
        <v>Pastoralism, Migratory</v>
      </c>
      <c r="F1163" s="6" t="str">
        <f>'Reported burning'!F1163</f>
        <v>Shrubland (Mixed forest &amp; grassland)</v>
      </c>
      <c r="G1163" s="6" t="str">
        <f>'Reported burning'!G1163</f>
        <v>ND</v>
      </c>
      <c r="H1163" s="6" t="str">
        <f>'Reported burning'!H1163</f>
        <v>Presence</v>
      </c>
      <c r="I1163" s="3"/>
      <c r="J1163" s="3" t="s">
        <v>2276</v>
      </c>
      <c r="K1163" s="3" t="s">
        <v>2276</v>
      </c>
      <c r="L1163" s="3" t="s">
        <v>2276</v>
      </c>
      <c r="M1163" s="3" t="s">
        <v>2276</v>
      </c>
      <c r="N1163" s="3" t="s">
        <v>2276</v>
      </c>
      <c r="O1163" s="3" t="s">
        <v>2276</v>
      </c>
      <c r="P1163" s="3" t="s">
        <v>2276</v>
      </c>
      <c r="Q1163" s="3" t="s">
        <v>2276</v>
      </c>
      <c r="R1163" s="3" t="s">
        <v>2276</v>
      </c>
      <c r="S1163" s="3" t="s">
        <v>2276</v>
      </c>
      <c r="T1163" s="3" t="s">
        <v>2276</v>
      </c>
      <c r="U1163" s="3" t="s">
        <v>2276</v>
      </c>
      <c r="V1163" s="3" t="s">
        <v>2276</v>
      </c>
      <c r="W1163" s="3" t="s">
        <v>2276</v>
      </c>
      <c r="X1163" s="3" t="s">
        <v>399</v>
      </c>
      <c r="Y1163" s="3" t="s">
        <v>38</v>
      </c>
      <c r="Z1163" s="3" t="s">
        <v>64</v>
      </c>
      <c r="AA1163" s="3"/>
      <c r="AB1163" s="3"/>
    </row>
    <row r="1164" spans="1:28" ht="29">
      <c r="A1164" s="6" t="str">
        <f>'Reported burning'!A1164</f>
        <v>135a</v>
      </c>
      <c r="B1164" s="6" t="str">
        <f>'Reported burning'!B1164</f>
        <v>135a.5</v>
      </c>
      <c r="C1164" s="6" t="str">
        <f>'Reported burning'!C1164</f>
        <v>Human, deliberate</v>
      </c>
      <c r="D1164" s="6" t="str">
        <f>'Reported burning'!D1164</f>
        <v>Pasture renewal</v>
      </c>
      <c r="E1164" s="6" t="str">
        <f>'Reported burning'!E1164</f>
        <v>Pastoralism, Migratory</v>
      </c>
      <c r="F1164" s="6" t="str">
        <f>'Reported burning'!F1164</f>
        <v>Shrubland (Mixed forest &amp; grassland)</v>
      </c>
      <c r="G1164" s="6" t="str">
        <f>'Reported burning'!G1164</f>
        <v>ND</v>
      </c>
      <c r="H1164" s="6" t="str">
        <f>'Reported burning'!H1164</f>
        <v>Presence</v>
      </c>
      <c r="I1164" s="3"/>
      <c r="J1164" s="3" t="s">
        <v>2276</v>
      </c>
      <c r="K1164" s="3" t="s">
        <v>2276</v>
      </c>
      <c r="L1164" s="3" t="s">
        <v>2276</v>
      </c>
      <c r="M1164" s="3" t="s">
        <v>2276</v>
      </c>
      <c r="N1164" s="3" t="s">
        <v>2276</v>
      </c>
      <c r="O1164" s="3" t="s">
        <v>2276</v>
      </c>
      <c r="P1164" s="3" t="s">
        <v>2276</v>
      </c>
      <c r="Q1164" s="3" t="s">
        <v>2276</v>
      </c>
      <c r="R1164" s="3" t="s">
        <v>2276</v>
      </c>
      <c r="S1164" s="3" t="s">
        <v>2276</v>
      </c>
      <c r="T1164" s="3" t="s">
        <v>2276</v>
      </c>
      <c r="U1164" s="3" t="s">
        <v>2276</v>
      </c>
      <c r="V1164" s="3" t="s">
        <v>2276</v>
      </c>
      <c r="W1164" s="3" t="s">
        <v>2276</v>
      </c>
      <c r="X1164" s="3" t="s">
        <v>404</v>
      </c>
      <c r="Y1164" s="3" t="s">
        <v>68</v>
      </c>
      <c r="Z1164" s="3" t="s">
        <v>64</v>
      </c>
      <c r="AA1164" s="3"/>
      <c r="AB1164" s="3"/>
    </row>
    <row r="1165" spans="1:28" ht="29">
      <c r="A1165" s="6" t="str">
        <f>'Reported burning'!A1165</f>
        <v>135a</v>
      </c>
      <c r="B1165" s="6" t="str">
        <f>'Reported burning'!B1165</f>
        <v>135a.6</v>
      </c>
      <c r="C1165" s="6" t="str">
        <f>'Reported burning'!C1165</f>
        <v>Human, deliberate</v>
      </c>
      <c r="D1165" s="6" t="str">
        <f>'Reported burning'!D1165</f>
        <v>Pasture renewal</v>
      </c>
      <c r="E1165" s="6" t="str">
        <f>'Reported burning'!E1165</f>
        <v>Pastoralism, Migratory</v>
      </c>
      <c r="F1165" s="6" t="str">
        <f>'Reported burning'!F1165</f>
        <v>Shrubland (Mixed forest &amp; grassland)</v>
      </c>
      <c r="G1165" s="6" t="str">
        <f>'Reported burning'!G1165</f>
        <v>ND</v>
      </c>
      <c r="H1165" s="6" t="str">
        <f>'Reported burning'!H1165</f>
        <v>Presence</v>
      </c>
      <c r="I1165" s="3"/>
      <c r="J1165" s="3" t="s">
        <v>2276</v>
      </c>
      <c r="K1165" s="3" t="s">
        <v>2276</v>
      </c>
      <c r="L1165" s="3" t="s">
        <v>2276</v>
      </c>
      <c r="M1165" s="3" t="s">
        <v>2276</v>
      </c>
      <c r="N1165" s="3" t="s">
        <v>2276</v>
      </c>
      <c r="O1165" s="3" t="s">
        <v>2276</v>
      </c>
      <c r="P1165" s="3" t="s">
        <v>2276</v>
      </c>
      <c r="Q1165" s="3" t="s">
        <v>2276</v>
      </c>
      <c r="R1165" s="3" t="s">
        <v>2276</v>
      </c>
      <c r="S1165" s="3" t="s">
        <v>2276</v>
      </c>
      <c r="T1165" s="3" t="s">
        <v>2276</v>
      </c>
      <c r="U1165" s="3" t="s">
        <v>2276</v>
      </c>
      <c r="V1165" s="3" t="s">
        <v>2276</v>
      </c>
      <c r="W1165" s="3" t="s">
        <v>2276</v>
      </c>
      <c r="X1165" s="3" t="s">
        <v>399</v>
      </c>
      <c r="Y1165" s="3" t="s">
        <v>38</v>
      </c>
      <c r="Z1165" s="3" t="s">
        <v>64</v>
      </c>
      <c r="AA1165" s="3"/>
      <c r="AB1165" s="3"/>
    </row>
    <row r="1166" spans="1:28" ht="29">
      <c r="A1166" s="6" t="str">
        <f>'Reported burning'!A1166</f>
        <v>135a</v>
      </c>
      <c r="B1166" s="6" t="str">
        <f>'Reported burning'!B1166</f>
        <v>135a.7</v>
      </c>
      <c r="C1166" s="6" t="str">
        <f>'Reported burning'!C1166</f>
        <v>Human, deliberate</v>
      </c>
      <c r="D1166" s="6" t="str">
        <f>'Reported burning'!D1166</f>
        <v>Pest management</v>
      </c>
      <c r="E1166" s="6" t="str">
        <f>'Reported burning'!E1166</f>
        <v>Pastoralism, Migratory</v>
      </c>
      <c r="F1166" s="6" t="str">
        <f>'Reported burning'!F1166</f>
        <v>Shrubland (Mixed forest &amp; grassland)</v>
      </c>
      <c r="G1166" s="6" t="str">
        <f>'Reported burning'!G1166</f>
        <v>ND</v>
      </c>
      <c r="H1166" s="6" t="str">
        <f>'Reported burning'!H1166</f>
        <v>Presence</v>
      </c>
      <c r="I1166" s="3"/>
      <c r="J1166" s="3" t="s">
        <v>2276</v>
      </c>
      <c r="K1166" s="3" t="s">
        <v>2276</v>
      </c>
      <c r="L1166" s="3" t="s">
        <v>2276</v>
      </c>
      <c r="M1166" s="3" t="s">
        <v>2276</v>
      </c>
      <c r="N1166" s="3" t="s">
        <v>2276</v>
      </c>
      <c r="O1166" s="3" t="s">
        <v>2276</v>
      </c>
      <c r="P1166" s="3" t="s">
        <v>2276</v>
      </c>
      <c r="Q1166" s="3" t="s">
        <v>2276</v>
      </c>
      <c r="R1166" s="3" t="s">
        <v>2276</v>
      </c>
      <c r="S1166" s="3" t="s">
        <v>2276</v>
      </c>
      <c r="T1166" s="3" t="s">
        <v>2276</v>
      </c>
      <c r="U1166" s="3" t="s">
        <v>2276</v>
      </c>
      <c r="V1166" s="3" t="s">
        <v>2276</v>
      </c>
      <c r="W1166" s="3" t="s">
        <v>2276</v>
      </c>
      <c r="X1166" s="3" t="s">
        <v>404</v>
      </c>
      <c r="Y1166" s="3" t="s">
        <v>68</v>
      </c>
      <c r="Z1166" s="3" t="s">
        <v>64</v>
      </c>
      <c r="AA1166" s="3"/>
      <c r="AB1166" s="3"/>
    </row>
    <row r="1167" spans="1:28" ht="29">
      <c r="A1167" s="6" t="str">
        <f>'Reported burning'!A1167</f>
        <v>135a</v>
      </c>
      <c r="B1167" s="6" t="str">
        <f>'Reported burning'!B1167</f>
        <v>135a.8</v>
      </c>
      <c r="C1167" s="6" t="str">
        <f>'Reported burning'!C1167</f>
        <v>Human, deliberate</v>
      </c>
      <c r="D1167" s="6" t="str">
        <f>'Reported burning'!D1167</f>
        <v>Pest management</v>
      </c>
      <c r="E1167" s="6" t="str">
        <f>'Reported burning'!E1167</f>
        <v>Pastoralism, Migratory</v>
      </c>
      <c r="F1167" s="6" t="str">
        <f>'Reported burning'!F1167</f>
        <v>Shrubland (Mixed forest &amp; grassland)</v>
      </c>
      <c r="G1167" s="6" t="str">
        <f>'Reported burning'!G1167</f>
        <v>ND</v>
      </c>
      <c r="H1167" s="6" t="str">
        <f>'Reported burning'!H1167</f>
        <v>Presence</v>
      </c>
      <c r="I1167" s="3"/>
      <c r="J1167" s="3" t="s">
        <v>2276</v>
      </c>
      <c r="K1167" s="3" t="s">
        <v>2276</v>
      </c>
      <c r="L1167" s="3" t="s">
        <v>2276</v>
      </c>
      <c r="M1167" s="3" t="s">
        <v>2276</v>
      </c>
      <c r="N1167" s="3" t="s">
        <v>2276</v>
      </c>
      <c r="O1167" s="3" t="s">
        <v>2276</v>
      </c>
      <c r="P1167" s="3" t="s">
        <v>2276</v>
      </c>
      <c r="Q1167" s="3" t="s">
        <v>2276</v>
      </c>
      <c r="R1167" s="3" t="s">
        <v>2276</v>
      </c>
      <c r="S1167" s="3" t="s">
        <v>2276</v>
      </c>
      <c r="T1167" s="3" t="s">
        <v>2276</v>
      </c>
      <c r="U1167" s="3" t="s">
        <v>2276</v>
      </c>
      <c r="V1167" s="3" t="s">
        <v>2276</v>
      </c>
      <c r="W1167" s="3" t="s">
        <v>2276</v>
      </c>
      <c r="X1167" s="3" t="s">
        <v>399</v>
      </c>
      <c r="Y1167" s="3" t="s">
        <v>38</v>
      </c>
      <c r="Z1167" s="3" t="s">
        <v>64</v>
      </c>
      <c r="AA1167" s="3"/>
      <c r="AB1167" s="3"/>
    </row>
    <row r="1168" spans="1:28" ht="29">
      <c r="A1168" s="6" t="str">
        <f>'Reported burning'!A1168</f>
        <v>135a</v>
      </c>
      <c r="B1168" s="6" t="str">
        <f>'Reported burning'!B1168</f>
        <v>135a.9</v>
      </c>
      <c r="C1168" s="6" t="str">
        <f>'Reported burning'!C1168</f>
        <v>Human, deliberate</v>
      </c>
      <c r="D1168" s="6" t="str">
        <f>'Reported burning'!D1168</f>
        <v>Accessibility</v>
      </c>
      <c r="E1168" s="6" t="str">
        <f>'Reported burning'!E1168</f>
        <v>Pastoralism, Migratory</v>
      </c>
      <c r="F1168" s="6" t="str">
        <f>'Reported burning'!F1168</f>
        <v>Shrubland (Mixed forest &amp; grassland)</v>
      </c>
      <c r="G1168" s="6" t="str">
        <f>'Reported burning'!G1168</f>
        <v>ND</v>
      </c>
      <c r="H1168" s="6" t="str">
        <f>'Reported burning'!H1168</f>
        <v>Presence</v>
      </c>
      <c r="I1168" s="3"/>
      <c r="J1168" s="3" t="s">
        <v>2276</v>
      </c>
      <c r="K1168" s="3" t="s">
        <v>2276</v>
      </c>
      <c r="L1168" s="3" t="s">
        <v>2276</v>
      </c>
      <c r="M1168" s="3" t="s">
        <v>2276</v>
      </c>
      <c r="N1168" s="3" t="s">
        <v>2276</v>
      </c>
      <c r="O1168" s="3" t="s">
        <v>2276</v>
      </c>
      <c r="P1168" s="3" t="s">
        <v>2276</v>
      </c>
      <c r="Q1168" s="3" t="s">
        <v>2276</v>
      </c>
      <c r="R1168" s="3" t="s">
        <v>2276</v>
      </c>
      <c r="S1168" s="3" t="s">
        <v>2276</v>
      </c>
      <c r="T1168" s="3" t="s">
        <v>2276</v>
      </c>
      <c r="U1168" s="3" t="s">
        <v>2276</v>
      </c>
      <c r="V1168" s="3" t="s">
        <v>2276</v>
      </c>
      <c r="W1168" s="3" t="s">
        <v>2276</v>
      </c>
      <c r="X1168" s="3" t="s">
        <v>404</v>
      </c>
      <c r="Y1168" s="3" t="s">
        <v>68</v>
      </c>
      <c r="Z1168" s="3" t="s">
        <v>64</v>
      </c>
      <c r="AA1168" s="3"/>
      <c r="AB1168" s="3"/>
    </row>
    <row r="1169" spans="1:28" ht="29">
      <c r="A1169" s="6" t="str">
        <f>'Reported burning'!A1169</f>
        <v>135a</v>
      </c>
      <c r="B1169" s="6" t="str">
        <f>'Reported burning'!B1169</f>
        <v>135a.10</v>
      </c>
      <c r="C1169" s="6" t="str">
        <f>'Reported burning'!C1169</f>
        <v>Human, deliberate</v>
      </c>
      <c r="D1169" s="6" t="str">
        <f>'Reported burning'!D1169</f>
        <v>Accessibility</v>
      </c>
      <c r="E1169" s="6" t="str">
        <f>'Reported burning'!E1169</f>
        <v>Pastoralism, Migratory</v>
      </c>
      <c r="F1169" s="6" t="str">
        <f>'Reported burning'!F1169</f>
        <v>Shrubland (Mixed forest &amp; grassland)</v>
      </c>
      <c r="G1169" s="6" t="str">
        <f>'Reported burning'!G1169</f>
        <v>ND</v>
      </c>
      <c r="H1169" s="6" t="str">
        <f>'Reported burning'!H1169</f>
        <v>Presence</v>
      </c>
      <c r="I1169" s="3"/>
      <c r="J1169" s="3" t="s">
        <v>2276</v>
      </c>
      <c r="K1169" s="3" t="s">
        <v>2276</v>
      </c>
      <c r="L1169" s="3" t="s">
        <v>2276</v>
      </c>
      <c r="M1169" s="3" t="s">
        <v>2276</v>
      </c>
      <c r="N1169" s="3" t="s">
        <v>2276</v>
      </c>
      <c r="O1169" s="3" t="s">
        <v>2276</v>
      </c>
      <c r="P1169" s="3" t="s">
        <v>2276</v>
      </c>
      <c r="Q1169" s="3" t="s">
        <v>2276</v>
      </c>
      <c r="R1169" s="3" t="s">
        <v>2276</v>
      </c>
      <c r="S1169" s="3" t="s">
        <v>2276</v>
      </c>
      <c r="T1169" s="3" t="s">
        <v>2276</v>
      </c>
      <c r="U1169" s="3" t="s">
        <v>2276</v>
      </c>
      <c r="V1169" s="3" t="s">
        <v>2276</v>
      </c>
      <c r="W1169" s="3" t="s">
        <v>2276</v>
      </c>
      <c r="X1169" s="3" t="s">
        <v>399</v>
      </c>
      <c r="Y1169" s="3" t="s">
        <v>38</v>
      </c>
      <c r="Z1169" s="3" t="s">
        <v>64</v>
      </c>
      <c r="AA1169" s="3"/>
      <c r="AB1169" s="3"/>
    </row>
    <row r="1170" spans="1:28" ht="29">
      <c r="A1170" s="6" t="str">
        <f>'Reported burning'!A1170</f>
        <v>135a</v>
      </c>
      <c r="B1170" s="6" t="str">
        <f>'Reported burning'!B1170</f>
        <v>135a.11</v>
      </c>
      <c r="C1170" s="6" t="str">
        <f>'Reported burning'!C1170</f>
        <v>Human, deliberate</v>
      </c>
      <c r="D1170" s="6" t="str">
        <f>'Reported burning'!D1170</f>
        <v>Vegetation management</v>
      </c>
      <c r="E1170" s="6" t="str">
        <f>'Reported burning'!E1170</f>
        <v>Pastoralism, Migratory</v>
      </c>
      <c r="F1170" s="6" t="str">
        <f>'Reported burning'!F1170</f>
        <v>Shrubland (Mixed forest &amp; grassland)</v>
      </c>
      <c r="G1170" s="6" t="str">
        <f>'Reported burning'!G1170</f>
        <v>ND</v>
      </c>
      <c r="H1170" s="6" t="str">
        <f>'Reported burning'!H1170</f>
        <v>Presence</v>
      </c>
      <c r="I1170" s="3"/>
      <c r="J1170" s="3" t="s">
        <v>2276</v>
      </c>
      <c r="K1170" s="3" t="s">
        <v>2276</v>
      </c>
      <c r="L1170" s="3" t="s">
        <v>2276</v>
      </c>
      <c r="M1170" s="3" t="s">
        <v>2276</v>
      </c>
      <c r="N1170" s="3" t="s">
        <v>2276</v>
      </c>
      <c r="O1170" s="3" t="s">
        <v>2276</v>
      </c>
      <c r="P1170" s="3" t="s">
        <v>2276</v>
      </c>
      <c r="Q1170" s="3" t="s">
        <v>2276</v>
      </c>
      <c r="R1170" s="3" t="s">
        <v>2276</v>
      </c>
      <c r="S1170" s="3" t="s">
        <v>2276</v>
      </c>
      <c r="T1170" s="3" t="s">
        <v>2276</v>
      </c>
      <c r="U1170" s="3" t="s">
        <v>2276</v>
      </c>
      <c r="V1170" s="3" t="s">
        <v>2276</v>
      </c>
      <c r="W1170" s="3" t="s">
        <v>2276</v>
      </c>
      <c r="X1170" s="3" t="s">
        <v>404</v>
      </c>
      <c r="Y1170" s="3" t="s">
        <v>68</v>
      </c>
      <c r="Z1170" s="3" t="s">
        <v>64</v>
      </c>
      <c r="AA1170" s="3"/>
      <c r="AB1170" s="3"/>
    </row>
    <row r="1171" spans="1:28" ht="29">
      <c r="A1171" s="6" t="str">
        <f>'Reported burning'!A1171</f>
        <v>135a</v>
      </c>
      <c r="B1171" s="6" t="str">
        <f>'Reported burning'!B1171</f>
        <v>135a.12</v>
      </c>
      <c r="C1171" s="6" t="str">
        <f>'Reported burning'!C1171</f>
        <v>Human, deliberate</v>
      </c>
      <c r="D1171" s="6" t="str">
        <f>'Reported burning'!D1171</f>
        <v>Vegetation management</v>
      </c>
      <c r="E1171" s="6" t="str">
        <f>'Reported burning'!E1171</f>
        <v>Pastoralism, Migratory</v>
      </c>
      <c r="F1171" s="6" t="str">
        <f>'Reported burning'!F1171</f>
        <v>Shrubland (Mixed forest &amp; grassland)</v>
      </c>
      <c r="G1171" s="6" t="str">
        <f>'Reported burning'!G1171</f>
        <v>ND</v>
      </c>
      <c r="H1171" s="6" t="str">
        <f>'Reported burning'!H1171</f>
        <v>Presence</v>
      </c>
      <c r="I1171" s="3"/>
      <c r="J1171" s="3" t="s">
        <v>2276</v>
      </c>
      <c r="K1171" s="3" t="s">
        <v>2276</v>
      </c>
      <c r="L1171" s="3" t="s">
        <v>2276</v>
      </c>
      <c r="M1171" s="3" t="s">
        <v>2276</v>
      </c>
      <c r="N1171" s="3" t="s">
        <v>2276</v>
      </c>
      <c r="O1171" s="3" t="s">
        <v>2276</v>
      </c>
      <c r="P1171" s="3" t="s">
        <v>2276</v>
      </c>
      <c r="Q1171" s="3" t="s">
        <v>2276</v>
      </c>
      <c r="R1171" s="3" t="s">
        <v>2276</v>
      </c>
      <c r="S1171" s="3" t="s">
        <v>2276</v>
      </c>
      <c r="T1171" s="3" t="s">
        <v>2276</v>
      </c>
      <c r="U1171" s="3" t="s">
        <v>2276</v>
      </c>
      <c r="V1171" s="3" t="s">
        <v>2276</v>
      </c>
      <c r="W1171" s="3" t="s">
        <v>2276</v>
      </c>
      <c r="X1171" s="3" t="s">
        <v>399</v>
      </c>
      <c r="Y1171" s="3" t="s">
        <v>38</v>
      </c>
      <c r="Z1171" s="3" t="s">
        <v>64</v>
      </c>
      <c r="AA1171" s="3"/>
      <c r="AB1171" s="3"/>
    </row>
    <row r="1172" spans="1:28" ht="42" customHeight="1">
      <c r="A1172" s="6" t="str">
        <f>'Reported burning'!A1172</f>
        <v>135a</v>
      </c>
      <c r="B1172" s="6" t="str">
        <f>'Reported burning'!B1172</f>
        <v>135a.13</v>
      </c>
      <c r="C1172" s="6" t="str">
        <f>'Reported burning'!C1172</f>
        <v>Human, deliberate</v>
      </c>
      <c r="D1172" s="6" t="str">
        <f>'Reported burning'!D1172</f>
        <v>All</v>
      </c>
      <c r="E1172" s="6" t="str">
        <f>'Reported burning'!E1172</f>
        <v>Forestry, Traditional</v>
      </c>
      <c r="F1172" s="6" t="str">
        <f>'Reported burning'!F1172</f>
        <v>Forest</v>
      </c>
      <c r="G1172" s="6" t="str">
        <f>'Reported burning'!G1172</f>
        <v>ND</v>
      </c>
      <c r="H1172" s="6" t="str">
        <f>'Reported burning'!H1172</f>
        <v>Absence</v>
      </c>
      <c r="I1172" s="3"/>
      <c r="J1172" s="21">
        <v>0</v>
      </c>
      <c r="K1172" s="21">
        <v>0</v>
      </c>
      <c r="L1172" s="21">
        <v>0</v>
      </c>
      <c r="M1172" s="21">
        <v>0</v>
      </c>
      <c r="N1172" s="21">
        <v>0</v>
      </c>
      <c r="O1172" s="21">
        <v>0</v>
      </c>
      <c r="P1172" s="21">
        <v>0</v>
      </c>
      <c r="Q1172" s="21">
        <v>0</v>
      </c>
      <c r="R1172" s="21">
        <v>0</v>
      </c>
      <c r="S1172" s="21">
        <v>0</v>
      </c>
      <c r="T1172" s="21">
        <v>0</v>
      </c>
      <c r="U1172" s="21">
        <v>0</v>
      </c>
      <c r="V1172" s="21">
        <v>0</v>
      </c>
      <c r="W1172" s="21">
        <v>0</v>
      </c>
      <c r="X1172" s="3" t="s">
        <v>2276</v>
      </c>
      <c r="Y1172" s="3" t="s">
        <v>2276</v>
      </c>
      <c r="Z1172" s="3" t="s">
        <v>2276</v>
      </c>
      <c r="AA1172" s="3"/>
      <c r="AB1172" s="3"/>
    </row>
    <row r="1173" spans="1:28" ht="93" customHeight="1">
      <c r="A1173" s="6" t="str">
        <f>'Reported burning'!A1173</f>
        <v>135b</v>
      </c>
      <c r="B1173" s="6" t="str">
        <f>'Reported burning'!B1173</f>
        <v xml:space="preserve">135b.1 </v>
      </c>
      <c r="C1173" s="6" t="str">
        <f>'Reported burning'!C1173</f>
        <v>Human, deliberate</v>
      </c>
      <c r="D1173" s="6" t="str">
        <f>'Reported burning'!D1173</f>
        <v>Pyrome management</v>
      </c>
      <c r="E1173" s="6" t="str">
        <f>'Reported burning'!E1173</f>
        <v>Pastoralism, Migratory</v>
      </c>
      <c r="F1173" s="6" t="str">
        <f>'Reported burning'!F1173</f>
        <v>Shrubland (Mixed forest &amp; grassland)</v>
      </c>
      <c r="G1173" s="6" t="str">
        <f>'Reported burning'!G1173</f>
        <v>ND</v>
      </c>
      <c r="H1173" s="6" t="str">
        <f>'Reported burning'!H1173</f>
        <v>Absence</v>
      </c>
      <c r="I1173" s="3"/>
      <c r="J1173" s="21">
        <v>0</v>
      </c>
      <c r="K1173" s="21">
        <v>0</v>
      </c>
      <c r="L1173" s="21">
        <v>0</v>
      </c>
      <c r="M1173" s="21">
        <v>0</v>
      </c>
      <c r="N1173" s="21">
        <v>0</v>
      </c>
      <c r="O1173" s="21">
        <v>0</v>
      </c>
      <c r="P1173" s="21">
        <v>0</v>
      </c>
      <c r="Q1173" s="21">
        <v>0</v>
      </c>
      <c r="R1173" s="21">
        <v>0</v>
      </c>
      <c r="S1173" s="21">
        <v>0</v>
      </c>
      <c r="T1173" s="21">
        <v>0</v>
      </c>
      <c r="U1173" s="21">
        <v>0</v>
      </c>
      <c r="V1173" s="21">
        <v>0</v>
      </c>
      <c r="W1173" s="21">
        <v>0</v>
      </c>
      <c r="X1173" s="3" t="s">
        <v>2276</v>
      </c>
      <c r="Y1173" s="3" t="s">
        <v>2276</v>
      </c>
      <c r="Z1173" s="3" t="s">
        <v>2276</v>
      </c>
      <c r="AA1173" s="4" t="s">
        <v>3554</v>
      </c>
      <c r="AB1173" s="3"/>
    </row>
    <row r="1174" spans="1:28" ht="93" customHeight="1">
      <c r="A1174" s="6" t="str">
        <f>'Reported burning'!A1174</f>
        <v>135b</v>
      </c>
      <c r="B1174" s="6" t="str">
        <f>'Reported burning'!B1174</f>
        <v>135b.2</v>
      </c>
      <c r="C1174" s="6" t="str">
        <f>'Reported burning'!C1174</f>
        <v>Human, deliberate</v>
      </c>
      <c r="D1174" s="6" t="str">
        <f>'Reported burning'!D1174</f>
        <v>Rangeland management</v>
      </c>
      <c r="E1174" s="6" t="str">
        <f>'Reported burning'!E1174</f>
        <v>Pastoralism, Migratory</v>
      </c>
      <c r="F1174" s="6" t="str">
        <f>'Reported burning'!F1174</f>
        <v>Shrubland (Mixed forest &amp; grassland)</v>
      </c>
      <c r="G1174" s="6" t="str">
        <f>'Reported burning'!G1174</f>
        <v>ND</v>
      </c>
      <c r="H1174" s="6" t="str">
        <f>'Reported burning'!H1174</f>
        <v>Absence</v>
      </c>
      <c r="I1174" s="3"/>
      <c r="J1174" s="21">
        <v>0</v>
      </c>
      <c r="K1174" s="21">
        <v>0</v>
      </c>
      <c r="L1174" s="21">
        <v>0</v>
      </c>
      <c r="M1174" s="21">
        <v>0</v>
      </c>
      <c r="N1174" s="21">
        <v>0</v>
      </c>
      <c r="O1174" s="21">
        <v>0</v>
      </c>
      <c r="P1174" s="21">
        <v>0</v>
      </c>
      <c r="Q1174" s="21">
        <v>0</v>
      </c>
      <c r="R1174" s="21">
        <v>0</v>
      </c>
      <c r="S1174" s="21">
        <v>0</v>
      </c>
      <c r="T1174" s="21">
        <v>0</v>
      </c>
      <c r="U1174" s="21">
        <v>0</v>
      </c>
      <c r="V1174" s="21">
        <v>0</v>
      </c>
      <c r="W1174" s="21">
        <v>0</v>
      </c>
      <c r="X1174" s="3" t="s">
        <v>2276</v>
      </c>
      <c r="Y1174" s="3" t="s">
        <v>2276</v>
      </c>
      <c r="Z1174" s="3" t="s">
        <v>2276</v>
      </c>
      <c r="AA1174" s="4" t="s">
        <v>3554</v>
      </c>
      <c r="AB1174" s="3"/>
    </row>
    <row r="1175" spans="1:28" ht="93" customHeight="1">
      <c r="A1175" s="6" t="str">
        <f>'Reported burning'!A1175</f>
        <v>135b</v>
      </c>
      <c r="B1175" s="6" t="str">
        <f>'Reported burning'!B1175</f>
        <v>135b.3</v>
      </c>
      <c r="C1175" s="6" t="str">
        <f>'Reported burning'!C1175</f>
        <v>Human, deliberate</v>
      </c>
      <c r="D1175" s="6" t="str">
        <f>'Reported burning'!D1175</f>
        <v>Pest management</v>
      </c>
      <c r="E1175" s="6" t="str">
        <f>'Reported burning'!E1175</f>
        <v>Pastoralism, Migratory</v>
      </c>
      <c r="F1175" s="6" t="str">
        <f>'Reported burning'!F1175</f>
        <v>Shrubland (Mixed forest &amp; grassland)</v>
      </c>
      <c r="G1175" s="6" t="str">
        <f>'Reported burning'!G1175</f>
        <v>ND</v>
      </c>
      <c r="H1175" s="6" t="str">
        <f>'Reported burning'!H1175</f>
        <v>Absence</v>
      </c>
      <c r="I1175" s="3"/>
      <c r="J1175" s="21">
        <v>0</v>
      </c>
      <c r="K1175" s="21">
        <v>0</v>
      </c>
      <c r="L1175" s="21">
        <v>0</v>
      </c>
      <c r="M1175" s="21">
        <v>0</v>
      </c>
      <c r="N1175" s="21">
        <v>0</v>
      </c>
      <c r="O1175" s="21">
        <v>0</v>
      </c>
      <c r="P1175" s="21">
        <v>0</v>
      </c>
      <c r="Q1175" s="21">
        <v>0</v>
      </c>
      <c r="R1175" s="21">
        <v>0</v>
      </c>
      <c r="S1175" s="21">
        <v>0</v>
      </c>
      <c r="T1175" s="21">
        <v>0</v>
      </c>
      <c r="U1175" s="21">
        <v>0</v>
      </c>
      <c r="V1175" s="21">
        <v>0</v>
      </c>
      <c r="W1175" s="21">
        <v>0</v>
      </c>
      <c r="X1175" s="3" t="s">
        <v>2276</v>
      </c>
      <c r="Y1175" s="3" t="s">
        <v>2276</v>
      </c>
      <c r="Z1175" s="3" t="s">
        <v>2276</v>
      </c>
      <c r="AA1175" s="4" t="s">
        <v>3554</v>
      </c>
      <c r="AB1175" s="3"/>
    </row>
    <row r="1176" spans="1:28" ht="93" customHeight="1">
      <c r="A1176" s="6" t="str">
        <f>'Reported burning'!A1176</f>
        <v>135b</v>
      </c>
      <c r="B1176" s="6" t="str">
        <f>'Reported burning'!B1176</f>
        <v>135b.4</v>
      </c>
      <c r="C1176" s="6" t="str">
        <f>'Reported burning'!C1176</f>
        <v>Human, deliberate</v>
      </c>
      <c r="D1176" s="6" t="str">
        <f>'Reported burning'!D1176</f>
        <v>Pasture renewal</v>
      </c>
      <c r="E1176" s="6" t="str">
        <f>'Reported burning'!E1176</f>
        <v>Pastoralism, Migratory</v>
      </c>
      <c r="F1176" s="6" t="str">
        <f>'Reported burning'!F1176</f>
        <v>Shrubland (Mixed forest &amp; grassland)</v>
      </c>
      <c r="G1176" s="6" t="str">
        <f>'Reported burning'!G1176</f>
        <v>ND</v>
      </c>
      <c r="H1176" s="6" t="str">
        <f>'Reported burning'!H1176</f>
        <v>Absence</v>
      </c>
      <c r="I1176" s="3"/>
      <c r="J1176" s="21">
        <v>0</v>
      </c>
      <c r="K1176" s="21">
        <v>0</v>
      </c>
      <c r="L1176" s="21">
        <v>0</v>
      </c>
      <c r="M1176" s="21">
        <v>0</v>
      </c>
      <c r="N1176" s="21">
        <v>0</v>
      </c>
      <c r="O1176" s="21">
        <v>0</v>
      </c>
      <c r="P1176" s="21">
        <v>0</v>
      </c>
      <c r="Q1176" s="21">
        <v>0</v>
      </c>
      <c r="R1176" s="21">
        <v>0</v>
      </c>
      <c r="S1176" s="21">
        <v>0</v>
      </c>
      <c r="T1176" s="21">
        <v>0</v>
      </c>
      <c r="U1176" s="21">
        <v>0</v>
      </c>
      <c r="V1176" s="21">
        <v>0</v>
      </c>
      <c r="W1176" s="21">
        <v>0</v>
      </c>
      <c r="X1176" s="3" t="s">
        <v>2276</v>
      </c>
      <c r="Y1176" s="3" t="s">
        <v>2276</v>
      </c>
      <c r="Z1176" s="3" t="s">
        <v>2276</v>
      </c>
      <c r="AA1176" s="4" t="s">
        <v>3554</v>
      </c>
      <c r="AB1176" s="3"/>
    </row>
    <row r="1177" spans="1:28" ht="93" customHeight="1">
      <c r="A1177" s="6" t="str">
        <f>'Reported burning'!A1177</f>
        <v>135b</v>
      </c>
      <c r="B1177" s="6" t="str">
        <f>'Reported burning'!B1177</f>
        <v>135b.5</v>
      </c>
      <c r="C1177" s="6" t="str">
        <f>'Reported burning'!C1177</f>
        <v>Human, deliberate</v>
      </c>
      <c r="D1177" s="6" t="str">
        <f>'Reported burning'!D1177</f>
        <v>Accessibility</v>
      </c>
      <c r="E1177" s="6" t="str">
        <f>'Reported burning'!E1177</f>
        <v>Pastoralism, Migratory</v>
      </c>
      <c r="F1177" s="6" t="str">
        <f>'Reported burning'!F1177</f>
        <v>Shrubland (Mixed forest &amp; grassland)</v>
      </c>
      <c r="G1177" s="6" t="str">
        <f>'Reported burning'!G1177</f>
        <v>ND</v>
      </c>
      <c r="H1177" s="6" t="str">
        <f>'Reported burning'!H1177</f>
        <v>Absence</v>
      </c>
      <c r="I1177" s="3"/>
      <c r="J1177" s="21">
        <v>0</v>
      </c>
      <c r="K1177" s="21">
        <v>0</v>
      </c>
      <c r="L1177" s="21">
        <v>0</v>
      </c>
      <c r="M1177" s="21">
        <v>0</v>
      </c>
      <c r="N1177" s="21">
        <v>0</v>
      </c>
      <c r="O1177" s="21">
        <v>0</v>
      </c>
      <c r="P1177" s="21">
        <v>0</v>
      </c>
      <c r="Q1177" s="21">
        <v>0</v>
      </c>
      <c r="R1177" s="21">
        <v>0</v>
      </c>
      <c r="S1177" s="21">
        <v>0</v>
      </c>
      <c r="T1177" s="21">
        <v>0</v>
      </c>
      <c r="U1177" s="21">
        <v>0</v>
      </c>
      <c r="V1177" s="21">
        <v>0</v>
      </c>
      <c r="W1177" s="21">
        <v>0</v>
      </c>
      <c r="X1177" s="3" t="s">
        <v>2276</v>
      </c>
      <c r="Y1177" s="3" t="s">
        <v>2276</v>
      </c>
      <c r="Z1177" s="3" t="s">
        <v>2276</v>
      </c>
      <c r="AA1177" s="4" t="s">
        <v>3554</v>
      </c>
      <c r="AB1177" s="3"/>
    </row>
    <row r="1178" spans="1:28" ht="93" customHeight="1">
      <c r="A1178" s="6" t="str">
        <f>'Reported burning'!A1178</f>
        <v>135b</v>
      </c>
      <c r="B1178" s="6" t="str">
        <f>'Reported burning'!B1178</f>
        <v>135b.6</v>
      </c>
      <c r="C1178" s="6" t="str">
        <f>'Reported burning'!C1178</f>
        <v>Human, deliberate</v>
      </c>
      <c r="D1178" s="6" t="str">
        <f>'Reported burning'!D1178</f>
        <v>Vegetation management</v>
      </c>
      <c r="E1178" s="6" t="str">
        <f>'Reported burning'!E1178</f>
        <v>Pastoralism, Migratory</v>
      </c>
      <c r="F1178" s="6" t="str">
        <f>'Reported burning'!F1178</f>
        <v>Shrubland (Mixed forest &amp; grassland)</v>
      </c>
      <c r="G1178" s="6" t="str">
        <f>'Reported burning'!G1178</f>
        <v>ND</v>
      </c>
      <c r="H1178" s="6" t="str">
        <f>'Reported burning'!H1178</f>
        <v>Absence</v>
      </c>
      <c r="I1178" s="3"/>
      <c r="J1178" s="21">
        <v>0</v>
      </c>
      <c r="K1178" s="21">
        <v>0</v>
      </c>
      <c r="L1178" s="21">
        <v>0</v>
      </c>
      <c r="M1178" s="21">
        <v>0</v>
      </c>
      <c r="N1178" s="21">
        <v>0</v>
      </c>
      <c r="O1178" s="21">
        <v>0</v>
      </c>
      <c r="P1178" s="21">
        <v>0</v>
      </c>
      <c r="Q1178" s="21">
        <v>0</v>
      </c>
      <c r="R1178" s="21">
        <v>0</v>
      </c>
      <c r="S1178" s="21">
        <v>0</v>
      </c>
      <c r="T1178" s="21">
        <v>0</v>
      </c>
      <c r="U1178" s="21">
        <v>0</v>
      </c>
      <c r="V1178" s="21">
        <v>0</v>
      </c>
      <c r="W1178" s="21">
        <v>0</v>
      </c>
      <c r="X1178" s="3" t="s">
        <v>2276</v>
      </c>
      <c r="Y1178" s="3" t="s">
        <v>2276</v>
      </c>
      <c r="Z1178" s="3" t="s">
        <v>2276</v>
      </c>
      <c r="AA1178" s="4" t="s">
        <v>3554</v>
      </c>
      <c r="AB1178" s="3"/>
    </row>
    <row r="1179" spans="1:28" ht="31" customHeight="1">
      <c r="A1179" s="6" t="str">
        <f>'Reported burning'!A1179</f>
        <v>135b</v>
      </c>
      <c r="B1179" s="6" t="str">
        <f>'Reported burning'!B1179</f>
        <v>135b.7</v>
      </c>
      <c r="C1179" s="6" t="str">
        <f>'Reported burning'!C1179</f>
        <v>Human, deliberate</v>
      </c>
      <c r="D1179" s="6" t="str">
        <f>'Reported burning'!D1179</f>
        <v>Pasture renewal</v>
      </c>
      <c r="E1179" s="6" t="str">
        <f>'Reported burning'!E1179</f>
        <v>Pastoralism, Migratory</v>
      </c>
      <c r="F1179" s="6" t="str">
        <f>'Reported burning'!F1179</f>
        <v>Shrubland (Mixed forest &amp; grassland)</v>
      </c>
      <c r="G1179" s="6" t="str">
        <f>'Reported burning'!G1179</f>
        <v>ND</v>
      </c>
      <c r="H1179" s="6" t="str">
        <f>'Reported burning'!H1179</f>
        <v>Presence</v>
      </c>
      <c r="I1179" s="3"/>
      <c r="J1179" s="3" t="s">
        <v>2276</v>
      </c>
      <c r="K1179" s="3" t="s">
        <v>2276</v>
      </c>
      <c r="L1179" s="3" t="s">
        <v>2276</v>
      </c>
      <c r="M1179" s="3" t="s">
        <v>2276</v>
      </c>
      <c r="N1179" s="3" t="s">
        <v>2276</v>
      </c>
      <c r="O1179" s="3" t="s">
        <v>2276</v>
      </c>
      <c r="P1179" s="3" t="s">
        <v>2276</v>
      </c>
      <c r="Q1179" s="3" t="s">
        <v>2276</v>
      </c>
      <c r="R1179" s="3" t="s">
        <v>2276</v>
      </c>
      <c r="S1179" s="3" t="s">
        <v>2276</v>
      </c>
      <c r="T1179" s="3" t="s">
        <v>2276</v>
      </c>
      <c r="U1179" s="3" t="s">
        <v>2276</v>
      </c>
      <c r="V1179" s="3" t="s">
        <v>2276</v>
      </c>
      <c r="W1179" s="3" t="s">
        <v>2276</v>
      </c>
      <c r="X1179" s="3" t="s">
        <v>68</v>
      </c>
      <c r="Y1179" s="3" t="s">
        <v>68</v>
      </c>
      <c r="Z1179" s="3" t="s">
        <v>2276</v>
      </c>
      <c r="AA1179" s="3" t="s">
        <v>3568</v>
      </c>
      <c r="AB1179" s="3"/>
    </row>
    <row r="1180" spans="1:28" ht="31" customHeight="1">
      <c r="A1180" s="6" t="str">
        <f>'Reported burning'!A1180</f>
        <v>135b</v>
      </c>
      <c r="B1180" s="6" t="str">
        <f>'Reported burning'!B1180</f>
        <v>135b.8</v>
      </c>
      <c r="C1180" s="6" t="str">
        <f>'Reported burning'!C1180</f>
        <v>Human, accidental</v>
      </c>
      <c r="D1180" s="6" t="str">
        <f>'Reported burning'!D1180</f>
        <v>ND</v>
      </c>
      <c r="E1180" s="6" t="str">
        <f>'Reported burning'!E1180</f>
        <v>Tourism manager</v>
      </c>
      <c r="F1180" s="6" t="str">
        <f>'Reported burning'!F1180</f>
        <v>ND</v>
      </c>
      <c r="G1180" s="6" t="str">
        <f>'Reported burning'!G1180</f>
        <v>ND</v>
      </c>
      <c r="H1180" s="6" t="str">
        <f>'Reported burning'!H1180</f>
        <v>Presence</v>
      </c>
      <c r="I1180" s="3"/>
      <c r="J1180" s="3" t="s">
        <v>2276</v>
      </c>
      <c r="K1180" s="3" t="s">
        <v>2276</v>
      </c>
      <c r="L1180" s="3" t="s">
        <v>2276</v>
      </c>
      <c r="M1180" s="3" t="s">
        <v>2276</v>
      </c>
      <c r="N1180" s="3" t="s">
        <v>2276</v>
      </c>
      <c r="O1180" s="3" t="s">
        <v>2276</v>
      </c>
      <c r="P1180" s="3" t="s">
        <v>2276</v>
      </c>
      <c r="Q1180" s="3" t="s">
        <v>2276</v>
      </c>
      <c r="R1180" s="3" t="s">
        <v>2276</v>
      </c>
      <c r="S1180" s="3" t="s">
        <v>2276</v>
      </c>
      <c r="T1180" s="3" t="s">
        <v>2276</v>
      </c>
      <c r="U1180" s="3" t="s">
        <v>2276</v>
      </c>
      <c r="V1180" s="3" t="s">
        <v>2276</v>
      </c>
      <c r="W1180" s="3" t="s">
        <v>2276</v>
      </c>
      <c r="X1180" s="3" t="s">
        <v>425</v>
      </c>
      <c r="Y1180" s="3" t="s">
        <v>425</v>
      </c>
      <c r="Z1180" s="3" t="s">
        <v>2276</v>
      </c>
      <c r="AA1180" s="4" t="s">
        <v>3569</v>
      </c>
      <c r="AB1180" s="3"/>
    </row>
    <row r="1181" spans="1:28" ht="31" customHeight="1">
      <c r="A1181" s="6" t="str">
        <f>'Reported burning'!A1181</f>
        <v>135b</v>
      </c>
      <c r="B1181" s="6" t="str">
        <f>'Reported burning'!B1181</f>
        <v>135b.9</v>
      </c>
      <c r="C1181" s="6" t="str">
        <f>'Reported burning'!C1181</f>
        <v>Human, escaped</v>
      </c>
      <c r="D1181" s="6" t="str">
        <f>'Reported burning'!D1181</f>
        <v>Domestic</v>
      </c>
      <c r="E1181" s="6" t="str">
        <f>'Reported burning'!E1181</f>
        <v>Pastoralism, Migratory</v>
      </c>
      <c r="F1181" s="6" t="str">
        <f>'Reported burning'!F1181</f>
        <v>Shrubland (Mixed forest &amp; grassland)</v>
      </c>
      <c r="G1181" s="6" t="str">
        <f>'Reported burning'!G1181</f>
        <v>ND</v>
      </c>
      <c r="H1181" s="6" t="str">
        <f>'Reported burning'!H1181</f>
        <v>Presence</v>
      </c>
      <c r="I1181" s="3"/>
      <c r="J1181" s="3" t="s">
        <v>2276</v>
      </c>
      <c r="K1181" s="3" t="s">
        <v>2276</v>
      </c>
      <c r="L1181" s="3" t="s">
        <v>2276</v>
      </c>
      <c r="M1181" s="3" t="s">
        <v>2276</v>
      </c>
      <c r="N1181" s="3" t="s">
        <v>2276</v>
      </c>
      <c r="O1181" s="3" t="s">
        <v>2276</v>
      </c>
      <c r="P1181" s="3" t="s">
        <v>2276</v>
      </c>
      <c r="Q1181" s="3" t="s">
        <v>2276</v>
      </c>
      <c r="R1181" s="3" t="s">
        <v>2276</v>
      </c>
      <c r="S1181" s="3" t="s">
        <v>2276</v>
      </c>
      <c r="T1181" s="3" t="s">
        <v>2276</v>
      </c>
      <c r="U1181" s="3" t="s">
        <v>2276</v>
      </c>
      <c r="V1181" s="3" t="s">
        <v>2276</v>
      </c>
      <c r="W1181" s="3" t="s">
        <v>2276</v>
      </c>
      <c r="X1181" s="3" t="s">
        <v>405</v>
      </c>
      <c r="Y1181" s="3" t="s">
        <v>405</v>
      </c>
      <c r="Z1181" s="3" t="s">
        <v>2276</v>
      </c>
      <c r="AA1181" s="3" t="s">
        <v>3570</v>
      </c>
      <c r="AB1181" s="3"/>
    </row>
    <row r="1182" spans="1:28" ht="31" customHeight="1">
      <c r="A1182" s="6" t="str">
        <f>'Reported burning'!A1182</f>
        <v>135b</v>
      </c>
      <c r="B1182" s="6" t="str">
        <f>'Reported burning'!B1182</f>
        <v>135b.10</v>
      </c>
      <c r="C1182" s="6" t="str">
        <f>'Reported burning'!C1182</f>
        <v>Human, deliberate</v>
      </c>
      <c r="D1182" s="6" t="str">
        <f>'Reported burning'!D1182</f>
        <v>ND</v>
      </c>
      <c r="E1182" s="6" t="str">
        <f>'Reported burning'!E1182</f>
        <v>Pastoralism, Migratory</v>
      </c>
      <c r="F1182" s="6" t="str">
        <f>'Reported burning'!F1182</f>
        <v>Shrubland (Mixed forest &amp; grassland)</v>
      </c>
      <c r="G1182" s="6" t="str">
        <f>'Reported burning'!G1182</f>
        <v>ND</v>
      </c>
      <c r="H1182" s="6" t="str">
        <f>'Reported burning'!H1182</f>
        <v>Presence</v>
      </c>
      <c r="I1182" s="3"/>
      <c r="J1182" s="3" t="s">
        <v>2276</v>
      </c>
      <c r="K1182" s="3" t="s">
        <v>2276</v>
      </c>
      <c r="L1182" s="3" t="s">
        <v>2276</v>
      </c>
      <c r="M1182" s="3" t="s">
        <v>2276</v>
      </c>
      <c r="N1182" s="3" t="s">
        <v>2276</v>
      </c>
      <c r="O1182" s="3" t="s">
        <v>2276</v>
      </c>
      <c r="P1182" s="3" t="s">
        <v>2276</v>
      </c>
      <c r="Q1182" s="3" t="s">
        <v>2276</v>
      </c>
      <c r="R1182" s="3" t="s">
        <v>2276</v>
      </c>
      <c r="S1182" s="3" t="s">
        <v>2276</v>
      </c>
      <c r="T1182" s="3" t="s">
        <v>2276</v>
      </c>
      <c r="U1182" s="3" t="s">
        <v>2276</v>
      </c>
      <c r="V1182" s="3" t="s">
        <v>2276</v>
      </c>
      <c r="W1182" s="3" t="s">
        <v>2276</v>
      </c>
      <c r="X1182" s="3" t="s">
        <v>405</v>
      </c>
      <c r="Y1182" s="3" t="s">
        <v>405</v>
      </c>
      <c r="Z1182" s="3" t="s">
        <v>2276</v>
      </c>
      <c r="AA1182" s="3" t="s">
        <v>3571</v>
      </c>
      <c r="AB1182" s="3"/>
    </row>
    <row r="1183" spans="1:28" ht="31" customHeight="1">
      <c r="A1183" s="6" t="str">
        <f>'Reported burning'!A1183</f>
        <v>135b</v>
      </c>
      <c r="B1183" s="6" t="str">
        <f>'Reported burning'!B1183</f>
        <v>135b.11</v>
      </c>
      <c r="C1183" s="6" t="str">
        <f>'Reported burning'!C1183</f>
        <v>Human, escaped</v>
      </c>
      <c r="D1183" s="6" t="str">
        <f>'Reported burning'!D1183</f>
        <v>Domestic</v>
      </c>
      <c r="E1183" s="6" t="str">
        <f>'Reported burning'!E1183</f>
        <v>Pastoralism, Migratory</v>
      </c>
      <c r="F1183" s="6" t="str">
        <f>'Reported burning'!F1183</f>
        <v>Shrubland (Mixed forest &amp; grassland)</v>
      </c>
      <c r="G1183" s="6" t="str">
        <f>'Reported burning'!G1183</f>
        <v>ND</v>
      </c>
      <c r="H1183" s="6" t="str">
        <f>'Reported burning'!H1183</f>
        <v>Presence</v>
      </c>
      <c r="I1183" s="3"/>
      <c r="J1183" s="3" t="s">
        <v>2276</v>
      </c>
      <c r="K1183" s="3" t="s">
        <v>2276</v>
      </c>
      <c r="L1183" s="3" t="s">
        <v>2276</v>
      </c>
      <c r="M1183" s="3" t="s">
        <v>2276</v>
      </c>
      <c r="N1183" s="3" t="s">
        <v>2276</v>
      </c>
      <c r="O1183" s="3" t="s">
        <v>2276</v>
      </c>
      <c r="P1183" s="3" t="s">
        <v>2276</v>
      </c>
      <c r="Q1183" s="3" t="s">
        <v>2276</v>
      </c>
      <c r="R1183" s="3" t="s">
        <v>2276</v>
      </c>
      <c r="S1183" s="3" t="s">
        <v>2276</v>
      </c>
      <c r="T1183" s="3" t="s">
        <v>2276</v>
      </c>
      <c r="U1183" s="3" t="s">
        <v>2276</v>
      </c>
      <c r="V1183" s="3" t="s">
        <v>2276</v>
      </c>
      <c r="W1183" s="3" t="s">
        <v>2276</v>
      </c>
      <c r="X1183" s="3" t="s">
        <v>34</v>
      </c>
      <c r="Y1183" s="3" t="s">
        <v>34</v>
      </c>
      <c r="Z1183" s="3" t="s">
        <v>2276</v>
      </c>
      <c r="AA1183" s="3" t="s">
        <v>3570</v>
      </c>
      <c r="AB1183" s="3"/>
    </row>
    <row r="1184" spans="1:28" ht="31" customHeight="1">
      <c r="A1184" s="6" t="str">
        <f>'Reported burning'!A1184</f>
        <v>135b</v>
      </c>
      <c r="B1184" s="6" t="str">
        <f>'Reported burning'!B1184</f>
        <v>135b.12</v>
      </c>
      <c r="C1184" s="6" t="str">
        <f>'Reported burning'!C1184</f>
        <v>Human, accidental</v>
      </c>
      <c r="D1184" s="6" t="str">
        <f>'Reported burning'!D1184</f>
        <v>ND</v>
      </c>
      <c r="E1184" s="6" t="str">
        <f>'Reported burning'!E1184</f>
        <v>Tourism manager</v>
      </c>
      <c r="F1184" s="6" t="str">
        <f>'Reported burning'!F1184</f>
        <v>Shrubland (Mixed forest &amp; grassland)</v>
      </c>
      <c r="G1184" s="6" t="str">
        <f>'Reported burning'!G1184</f>
        <v>ND</v>
      </c>
      <c r="H1184" s="6" t="str">
        <f>'Reported burning'!H1184</f>
        <v>Presence</v>
      </c>
      <c r="I1184" s="3"/>
      <c r="J1184" s="3" t="s">
        <v>2276</v>
      </c>
      <c r="K1184" s="3" t="s">
        <v>2276</v>
      </c>
      <c r="L1184" s="3" t="s">
        <v>2276</v>
      </c>
      <c r="M1184" s="3" t="s">
        <v>2276</v>
      </c>
      <c r="N1184" s="3" t="s">
        <v>2276</v>
      </c>
      <c r="O1184" s="3" t="s">
        <v>2276</v>
      </c>
      <c r="P1184" s="3" t="s">
        <v>2276</v>
      </c>
      <c r="Q1184" s="3" t="s">
        <v>2276</v>
      </c>
      <c r="R1184" s="3" t="s">
        <v>2276</v>
      </c>
      <c r="S1184" s="3" t="s">
        <v>2276</v>
      </c>
      <c r="T1184" s="3" t="s">
        <v>2276</v>
      </c>
      <c r="U1184" s="3" t="s">
        <v>2276</v>
      </c>
      <c r="V1184" s="3" t="s">
        <v>2276</v>
      </c>
      <c r="W1184" s="3" t="s">
        <v>2276</v>
      </c>
      <c r="X1184" s="3" t="s">
        <v>425</v>
      </c>
      <c r="Y1184" s="3" t="s">
        <v>425</v>
      </c>
      <c r="Z1184" s="3" t="s">
        <v>2276</v>
      </c>
      <c r="AA1184" s="3" t="s">
        <v>3572</v>
      </c>
      <c r="AB1184" s="3"/>
    </row>
    <row r="1185" spans="1:28" ht="31" customHeight="1">
      <c r="A1185" s="6" t="str">
        <f>'Reported burning'!A1185</f>
        <v>135b</v>
      </c>
      <c r="B1185" s="6" t="str">
        <f>'Reported burning'!B1185</f>
        <v>135b.13</v>
      </c>
      <c r="C1185" s="6" t="str">
        <f>'Reported burning'!C1185</f>
        <v>Human, escaped</v>
      </c>
      <c r="D1185" s="6" t="str">
        <f>'Reported burning'!D1185</f>
        <v>Charcoal production</v>
      </c>
      <c r="E1185" s="6" t="str">
        <f>'Reported burning'!E1185</f>
        <v>Forestry, Traditional</v>
      </c>
      <c r="F1185" s="6" t="str">
        <f>'Reported burning'!F1185</f>
        <v>Shrubland (Mixed forest &amp; grassland)</v>
      </c>
      <c r="G1185" s="6" t="str">
        <f>'Reported burning'!G1185</f>
        <v>ND</v>
      </c>
      <c r="H1185" s="6" t="str">
        <f>'Reported burning'!H1185</f>
        <v>Presence</v>
      </c>
      <c r="I1185" s="3"/>
      <c r="J1185" s="3" t="s">
        <v>2276</v>
      </c>
      <c r="K1185" s="3" t="s">
        <v>2276</v>
      </c>
      <c r="L1185" s="3" t="s">
        <v>2276</v>
      </c>
      <c r="M1185" s="3" t="s">
        <v>2276</v>
      </c>
      <c r="N1185" s="3" t="s">
        <v>2276</v>
      </c>
      <c r="O1185" s="3" t="s">
        <v>2276</v>
      </c>
      <c r="P1185" s="3" t="s">
        <v>2276</v>
      </c>
      <c r="Q1185" s="3" t="s">
        <v>2276</v>
      </c>
      <c r="R1185" s="3" t="s">
        <v>2276</v>
      </c>
      <c r="S1185" s="3" t="s">
        <v>2276</v>
      </c>
      <c r="T1185" s="3" t="s">
        <v>2276</v>
      </c>
      <c r="U1185" s="3" t="s">
        <v>2276</v>
      </c>
      <c r="V1185" s="3" t="s">
        <v>2276</v>
      </c>
      <c r="W1185" s="3" t="s">
        <v>2276</v>
      </c>
      <c r="X1185" s="3" t="s">
        <v>404</v>
      </c>
      <c r="Y1185" s="3" t="s">
        <v>404</v>
      </c>
      <c r="Z1185" s="3" t="s">
        <v>2276</v>
      </c>
      <c r="AA1185" s="3" t="s">
        <v>3476</v>
      </c>
      <c r="AB1185" s="3"/>
    </row>
    <row r="1186" spans="1:28" ht="31" customHeight="1">
      <c r="A1186" s="6" t="str">
        <f>'Reported burning'!A1186</f>
        <v>135b</v>
      </c>
      <c r="B1186" s="6" t="str">
        <f>'Reported burning'!B1186</f>
        <v>135b.14</v>
      </c>
      <c r="C1186" s="6" t="str">
        <f>'Reported burning'!C1186</f>
        <v>Human, escaped</v>
      </c>
      <c r="D1186" s="6" t="str">
        <f>'Reported burning'!D1186</f>
        <v>Charcoal production</v>
      </c>
      <c r="E1186" s="6" t="str">
        <f>'Reported burning'!E1186</f>
        <v>Forestry, Traditional</v>
      </c>
      <c r="F1186" s="6" t="str">
        <f>'Reported burning'!F1186</f>
        <v>Shrubland (Mixed forest &amp; grassland)</v>
      </c>
      <c r="G1186" s="6" t="str">
        <f>'Reported burning'!G1186</f>
        <v>ND</v>
      </c>
      <c r="H1186" s="6" t="str">
        <f>'Reported burning'!H1186</f>
        <v>Presence</v>
      </c>
      <c r="I1186" s="3"/>
      <c r="J1186" s="3" t="s">
        <v>2276</v>
      </c>
      <c r="K1186" s="3" t="s">
        <v>2276</v>
      </c>
      <c r="L1186" s="3" t="s">
        <v>2276</v>
      </c>
      <c r="M1186" s="3" t="s">
        <v>2276</v>
      </c>
      <c r="N1186" s="3" t="s">
        <v>2276</v>
      </c>
      <c r="O1186" s="3" t="s">
        <v>2276</v>
      </c>
      <c r="P1186" s="3" t="s">
        <v>2276</v>
      </c>
      <c r="Q1186" s="3" t="s">
        <v>2276</v>
      </c>
      <c r="R1186" s="3" t="s">
        <v>2276</v>
      </c>
      <c r="S1186" s="3" t="s">
        <v>2276</v>
      </c>
      <c r="T1186" s="3" t="s">
        <v>2276</v>
      </c>
      <c r="U1186" s="3" t="s">
        <v>2276</v>
      </c>
      <c r="V1186" s="3" t="s">
        <v>2276</v>
      </c>
      <c r="W1186" s="3" t="s">
        <v>2276</v>
      </c>
      <c r="X1186" s="3" t="s">
        <v>399</v>
      </c>
      <c r="Y1186" s="3" t="s">
        <v>399</v>
      </c>
      <c r="Z1186" s="3" t="s">
        <v>2276</v>
      </c>
      <c r="AA1186" s="3" t="s">
        <v>3476</v>
      </c>
      <c r="AB1186" s="3"/>
    </row>
    <row r="1187" spans="1:28" ht="35.5" customHeight="1">
      <c r="A1187" s="6" t="str">
        <f>'Reported burning'!A1187</f>
        <v>137a</v>
      </c>
      <c r="B1187" s="6" t="str">
        <f>'Reported burning'!B1187</f>
        <v>137a.1</v>
      </c>
      <c r="C1187" s="6" t="str">
        <f>'Reported burning'!C1187</f>
        <v>Human, deliberate</v>
      </c>
      <c r="D1187" s="6" t="str">
        <f>'Reported burning'!D1187</f>
        <v>Crop field preparation</v>
      </c>
      <c r="E1187" s="6" t="str">
        <f>'Reported burning'!E1187</f>
        <v>Cropping, Swidden</v>
      </c>
      <c r="F1187" s="6" t="str">
        <f>'Reported burning'!F1187</f>
        <v>Secondary Vegetation</v>
      </c>
      <c r="G1187" s="6" t="str">
        <f>'Reported burning'!G1187</f>
        <v>ND</v>
      </c>
      <c r="H1187" s="6" t="str">
        <f>'Reported burning'!H1187</f>
        <v>Presence</v>
      </c>
      <c r="I1187" s="5"/>
      <c r="J1187" s="3" t="s">
        <v>2276</v>
      </c>
      <c r="K1187" s="3" t="s">
        <v>2276</v>
      </c>
      <c r="L1187" s="3" t="s">
        <v>2276</v>
      </c>
      <c r="M1187" s="3" t="s">
        <v>2276</v>
      </c>
      <c r="N1187" s="3" t="s">
        <v>2276</v>
      </c>
      <c r="O1187" s="3" t="s">
        <v>2276</v>
      </c>
      <c r="P1187" s="3" t="s">
        <v>2276</v>
      </c>
      <c r="Q1187" s="3" t="s">
        <v>2276</v>
      </c>
      <c r="R1187" s="3" t="s">
        <v>2276</v>
      </c>
      <c r="S1187" s="3" t="s">
        <v>2276</v>
      </c>
      <c r="T1187" s="3" t="s">
        <v>2276</v>
      </c>
      <c r="U1187" s="3" t="s">
        <v>2276</v>
      </c>
      <c r="V1187" s="3" t="s">
        <v>2276</v>
      </c>
      <c r="W1187" s="3" t="s">
        <v>2276</v>
      </c>
      <c r="X1187" s="3" t="s">
        <v>2276</v>
      </c>
      <c r="Y1187" s="3" t="s">
        <v>2276</v>
      </c>
      <c r="Z1187" s="3" t="s">
        <v>2276</v>
      </c>
      <c r="AA1187" s="4" t="s">
        <v>3609</v>
      </c>
      <c r="AB1187" s="3"/>
    </row>
    <row r="1188" spans="1:28" ht="40" customHeight="1">
      <c r="A1188" s="6" t="str">
        <f>'Reported burning'!A1188</f>
        <v>137b</v>
      </c>
      <c r="B1188" s="6" t="str">
        <f>'Reported burning'!B1188</f>
        <v>137b.1</v>
      </c>
      <c r="C1188" s="6" t="str">
        <f>'Reported burning'!C1188</f>
        <v>Human, deliberate</v>
      </c>
      <c r="D1188" s="6" t="str">
        <f>'Reported burning'!D1188</f>
        <v>Crop field preparation</v>
      </c>
      <c r="E1188" s="6" t="str">
        <f>'Reported burning'!E1188</f>
        <v>Cropping, Swidden</v>
      </c>
      <c r="F1188" s="6" t="str">
        <f>'Reported burning'!F1188</f>
        <v>Secondary Vegetation</v>
      </c>
      <c r="G1188" s="6" t="str">
        <f>'Reported burning'!G1188</f>
        <v>ND</v>
      </c>
      <c r="H1188" s="6" t="str">
        <f>'Reported burning'!H1188</f>
        <v>Presence</v>
      </c>
      <c r="I1188" s="3"/>
      <c r="J1188" s="3" t="s">
        <v>2276</v>
      </c>
      <c r="K1188" s="3" t="s">
        <v>2276</v>
      </c>
      <c r="L1188" s="3" t="s">
        <v>2276</v>
      </c>
      <c r="M1188" s="3" t="s">
        <v>2276</v>
      </c>
      <c r="N1188" s="3" t="s">
        <v>2276</v>
      </c>
      <c r="O1188" s="3" t="s">
        <v>2276</v>
      </c>
      <c r="P1188" s="3" t="s">
        <v>2276</v>
      </c>
      <c r="Q1188" s="3" t="s">
        <v>2276</v>
      </c>
      <c r="R1188" s="3" t="s">
        <v>2276</v>
      </c>
      <c r="S1188" s="3" t="s">
        <v>2276</v>
      </c>
      <c r="T1188" s="3" t="s">
        <v>2276</v>
      </c>
      <c r="U1188" s="3" t="s">
        <v>2276</v>
      </c>
      <c r="V1188" s="3" t="s">
        <v>2276</v>
      </c>
      <c r="W1188" s="3" t="s">
        <v>2276</v>
      </c>
      <c r="X1188" s="3" t="s">
        <v>2276</v>
      </c>
      <c r="Y1188" s="3" t="s">
        <v>2276</v>
      </c>
      <c r="Z1188" s="3" t="s">
        <v>2276</v>
      </c>
      <c r="AA1188" s="4" t="s">
        <v>3610</v>
      </c>
      <c r="AB1188" s="3"/>
    </row>
    <row r="1189" spans="1:28" ht="38" customHeight="1">
      <c r="A1189" s="6" t="str">
        <f>'Reported burning'!A1189</f>
        <v>137c</v>
      </c>
      <c r="B1189" s="6" t="str">
        <f>'Reported burning'!B1189</f>
        <v>137c.1</v>
      </c>
      <c r="C1189" s="6" t="str">
        <f>'Reported burning'!C1189</f>
        <v>Human, deliberate</v>
      </c>
      <c r="D1189" s="6" t="str">
        <f>'Reported burning'!D1189</f>
        <v>Crop field preparation</v>
      </c>
      <c r="E1189" s="6" t="str">
        <f>'Reported burning'!E1189</f>
        <v>Cropping, Swidden</v>
      </c>
      <c r="F1189" s="6" t="str">
        <f>'Reported burning'!F1189</f>
        <v>Secondary Vegetation</v>
      </c>
      <c r="G1189" s="6" t="str">
        <f>'Reported burning'!G1189</f>
        <v>ND</v>
      </c>
      <c r="H1189" s="6" t="str">
        <f>'Reported burning'!H1189</f>
        <v>Presence</v>
      </c>
      <c r="I1189" s="3"/>
      <c r="J1189" s="3" t="s">
        <v>2276</v>
      </c>
      <c r="K1189" s="3" t="s">
        <v>2276</v>
      </c>
      <c r="L1189" s="3" t="s">
        <v>2276</v>
      </c>
      <c r="M1189" s="3" t="s">
        <v>2276</v>
      </c>
      <c r="N1189" s="3" t="s">
        <v>2276</v>
      </c>
      <c r="O1189" s="3" t="s">
        <v>2276</v>
      </c>
      <c r="P1189" s="3" t="s">
        <v>2276</v>
      </c>
      <c r="Q1189" s="3" t="s">
        <v>2276</v>
      </c>
      <c r="R1189" s="3" t="s">
        <v>2276</v>
      </c>
      <c r="S1189" s="3" t="s">
        <v>2276</v>
      </c>
      <c r="T1189" s="3" t="s">
        <v>2276</v>
      </c>
      <c r="U1189" s="3" t="s">
        <v>2276</v>
      </c>
      <c r="V1189" s="3" t="s">
        <v>2276</v>
      </c>
      <c r="W1189" s="3" t="s">
        <v>2276</v>
      </c>
      <c r="X1189" s="3" t="s">
        <v>2276</v>
      </c>
      <c r="Y1189" s="3" t="s">
        <v>2276</v>
      </c>
      <c r="Z1189" s="3" t="s">
        <v>2276</v>
      </c>
      <c r="AA1189" s="4" t="s">
        <v>3611</v>
      </c>
      <c r="AB1189" s="3"/>
    </row>
    <row r="1190" spans="1:28" ht="35.5" customHeight="1">
      <c r="A1190" s="6" t="str">
        <f>'Reported burning'!A1190</f>
        <v>137d</v>
      </c>
      <c r="B1190" s="6" t="str">
        <f>'Reported burning'!B1190</f>
        <v>137d.1</v>
      </c>
      <c r="C1190" s="6" t="str">
        <f>'Reported burning'!C1190</f>
        <v>Human, deliberate</v>
      </c>
      <c r="D1190" s="6" t="str">
        <f>'Reported burning'!D1190</f>
        <v>Crop field preparation</v>
      </c>
      <c r="E1190" s="6" t="str">
        <f>'Reported burning'!E1190</f>
        <v>Cropping, Swidden</v>
      </c>
      <c r="F1190" s="6" t="str">
        <f>'Reported burning'!F1190</f>
        <v>Secondary Vegetation</v>
      </c>
      <c r="G1190" s="6" t="str">
        <f>'Reported burning'!G1190</f>
        <v>ND</v>
      </c>
      <c r="H1190" s="6" t="str">
        <f>'Reported burning'!H1190</f>
        <v>Presence</v>
      </c>
      <c r="I1190" s="3"/>
      <c r="J1190" s="3" t="s">
        <v>2276</v>
      </c>
      <c r="K1190" s="3" t="s">
        <v>2276</v>
      </c>
      <c r="L1190" s="3" t="s">
        <v>2276</v>
      </c>
      <c r="M1190" s="3" t="s">
        <v>2276</v>
      </c>
      <c r="N1190" s="3" t="s">
        <v>2276</v>
      </c>
      <c r="O1190" s="3" t="s">
        <v>2276</v>
      </c>
      <c r="P1190" s="3" t="s">
        <v>2276</v>
      </c>
      <c r="Q1190" s="3" t="s">
        <v>2276</v>
      </c>
      <c r="R1190" s="3" t="s">
        <v>2276</v>
      </c>
      <c r="S1190" s="3" t="s">
        <v>2276</v>
      </c>
      <c r="T1190" s="3" t="s">
        <v>2276</v>
      </c>
      <c r="U1190" s="3" t="s">
        <v>2276</v>
      </c>
      <c r="V1190" s="3" t="s">
        <v>2276</v>
      </c>
      <c r="W1190" s="3" t="s">
        <v>2276</v>
      </c>
      <c r="X1190" s="3" t="s">
        <v>2276</v>
      </c>
      <c r="Y1190" s="3" t="s">
        <v>2276</v>
      </c>
      <c r="Z1190" s="3" t="s">
        <v>2276</v>
      </c>
      <c r="AA1190" s="4" t="s">
        <v>3611</v>
      </c>
      <c r="AB1190" s="3"/>
    </row>
    <row r="1191" spans="1:28" ht="35.5" customHeight="1">
      <c r="A1191" s="6" t="str">
        <f>'Reported burning'!A1191</f>
        <v>137e</v>
      </c>
      <c r="B1191" s="6" t="str">
        <f>'Reported burning'!B1191</f>
        <v>137e.1</v>
      </c>
      <c r="C1191" s="6" t="str">
        <f>'Reported burning'!C1191</f>
        <v>Human, deliberate</v>
      </c>
      <c r="D1191" s="6" t="str">
        <f>'Reported burning'!D1191</f>
        <v>Crop field preparation</v>
      </c>
      <c r="E1191" s="6" t="str">
        <f>'Reported burning'!E1191</f>
        <v>Cropping, Swidden</v>
      </c>
      <c r="F1191" s="6" t="str">
        <f>'Reported burning'!F1191</f>
        <v>Secondary Vegetation</v>
      </c>
      <c r="G1191" s="6" t="str">
        <f>'Reported burning'!G1191</f>
        <v>ND</v>
      </c>
      <c r="H1191" s="6" t="str">
        <f>'Reported burning'!H1191</f>
        <v>Absence</v>
      </c>
      <c r="I1191" s="3"/>
      <c r="J1191" s="152">
        <f>'Reported burning'!J1191</f>
        <v>0</v>
      </c>
      <c r="K1191" s="152">
        <f>'Reported burning'!K1191</f>
        <v>0</v>
      </c>
      <c r="L1191" s="152">
        <f>'Reported burning'!L1191</f>
        <v>0</v>
      </c>
      <c r="M1191" s="152">
        <f>'Reported burning'!M1191</f>
        <v>0</v>
      </c>
      <c r="N1191" s="152">
        <f>'Reported burning'!N1191</f>
        <v>0</v>
      </c>
      <c r="O1191" s="152">
        <f>'Reported burning'!O1191</f>
        <v>0</v>
      </c>
      <c r="P1191" s="152">
        <f>'Reported burning'!P1191</f>
        <v>0</v>
      </c>
      <c r="Q1191" s="152">
        <f>'Reported burning'!Q1191</f>
        <v>0</v>
      </c>
      <c r="R1191" s="152">
        <f>'Reported burning'!R1191</f>
        <v>0</v>
      </c>
      <c r="S1191" s="152">
        <f>'Reported burning'!S1191</f>
        <v>0</v>
      </c>
      <c r="T1191" s="152">
        <f>'Reported burning'!T1191</f>
        <v>0</v>
      </c>
      <c r="U1191" s="152">
        <f>'Reported burning'!U1191</f>
        <v>0</v>
      </c>
      <c r="V1191" s="152">
        <f>'Reported burning'!V1191</f>
        <v>0</v>
      </c>
      <c r="W1191" s="152">
        <f>'Reported burning'!W1191</f>
        <v>0</v>
      </c>
      <c r="X1191" s="3" t="s">
        <v>2276</v>
      </c>
      <c r="Y1191" s="3" t="s">
        <v>2276</v>
      </c>
      <c r="Z1191" s="3" t="s">
        <v>2276</v>
      </c>
      <c r="AA1191" s="3"/>
      <c r="AB1191" s="3"/>
    </row>
    <row r="1192" spans="1:28" ht="36" customHeight="1">
      <c r="A1192" s="6" t="str">
        <f>'Reported burning'!A1192</f>
        <v>137a</v>
      </c>
      <c r="B1192" s="6" t="str">
        <f>'Reported burning'!B1192</f>
        <v>137a.2</v>
      </c>
      <c r="C1192" s="6" t="str">
        <f>'Reported burning'!C1192</f>
        <v>Human, deliberate</v>
      </c>
      <c r="D1192" s="6" t="str">
        <f>'Reported burning'!D1192</f>
        <v>Crop residue burning</v>
      </c>
      <c r="E1192" s="6" t="str">
        <f>'Reported burning'!E1192</f>
        <v>Cropping, Swidden</v>
      </c>
      <c r="F1192" s="6" t="str">
        <f>'Reported burning'!F1192</f>
        <v>Cropland</v>
      </c>
      <c r="G1192" s="6" t="str">
        <f>'Reported burning'!G1192</f>
        <v>ND</v>
      </c>
      <c r="H1192" s="6" t="str">
        <f>'Reported burning'!H1192</f>
        <v>Presence</v>
      </c>
      <c r="I1192" s="3"/>
      <c r="J1192" s="3" t="s">
        <v>2276</v>
      </c>
      <c r="K1192" s="3" t="s">
        <v>2276</v>
      </c>
      <c r="L1192" s="3" t="s">
        <v>2276</v>
      </c>
      <c r="M1192" s="3" t="s">
        <v>2276</v>
      </c>
      <c r="N1192" s="3" t="s">
        <v>2276</v>
      </c>
      <c r="O1192" s="3" t="s">
        <v>2276</v>
      </c>
      <c r="P1192" s="3" t="s">
        <v>2276</v>
      </c>
      <c r="Q1192" s="3" t="s">
        <v>2276</v>
      </c>
      <c r="R1192" s="3" t="s">
        <v>2276</v>
      </c>
      <c r="S1192" s="3" t="s">
        <v>2376</v>
      </c>
      <c r="T1192" s="3" t="s">
        <v>2276</v>
      </c>
      <c r="U1192" s="3" t="s">
        <v>2527</v>
      </c>
      <c r="V1192" s="3" t="s">
        <v>2276</v>
      </c>
      <c r="W1192" s="3" t="s">
        <v>2375</v>
      </c>
      <c r="X1192" s="3" t="s">
        <v>2276</v>
      </c>
      <c r="Y1192" s="3" t="s">
        <v>2276</v>
      </c>
      <c r="Z1192" s="3" t="s">
        <v>2276</v>
      </c>
      <c r="AA1192" s="4" t="s">
        <v>3612</v>
      </c>
      <c r="AB1192" s="3"/>
    </row>
    <row r="1193" spans="1:28" ht="36" customHeight="1">
      <c r="A1193" s="6" t="str">
        <f>'Reported burning'!A1193</f>
        <v>137b</v>
      </c>
      <c r="B1193" s="6" t="str">
        <f>'Reported burning'!B1193</f>
        <v>137b.2</v>
      </c>
      <c r="C1193" s="6" t="str">
        <f>'Reported burning'!C1193</f>
        <v>Human, deliberate</v>
      </c>
      <c r="D1193" s="6" t="str">
        <f>'Reported burning'!D1193</f>
        <v>Crop residue burning</v>
      </c>
      <c r="E1193" s="6" t="str">
        <f>'Reported burning'!E1193</f>
        <v>Cropping, Swidden</v>
      </c>
      <c r="F1193" s="6" t="str">
        <f>'Reported burning'!F1193</f>
        <v>Cropland</v>
      </c>
      <c r="G1193" s="6" t="str">
        <f>'Reported burning'!G1193</f>
        <v>ND</v>
      </c>
      <c r="H1193" s="6" t="str">
        <f>'Reported burning'!H1193</f>
        <v>Presence</v>
      </c>
      <c r="I1193" s="3"/>
      <c r="J1193" s="3" t="s">
        <v>2276</v>
      </c>
      <c r="K1193" s="3" t="s">
        <v>2276</v>
      </c>
      <c r="L1193" s="3" t="s">
        <v>2276</v>
      </c>
      <c r="M1193" s="3" t="s">
        <v>2276</v>
      </c>
      <c r="N1193" s="3" t="s">
        <v>2276</v>
      </c>
      <c r="O1193" s="3" t="s">
        <v>2276</v>
      </c>
      <c r="P1193" s="3" t="s">
        <v>2276</v>
      </c>
      <c r="Q1193" s="3" t="s">
        <v>2276</v>
      </c>
      <c r="R1193" s="3" t="s">
        <v>2276</v>
      </c>
      <c r="S1193" s="3" t="s">
        <v>2392</v>
      </c>
      <c r="T1193" s="3" t="s">
        <v>2276</v>
      </c>
      <c r="U1193" s="3" t="s">
        <v>2374</v>
      </c>
      <c r="V1193" s="3" t="s">
        <v>2276</v>
      </c>
      <c r="W1193" s="3" t="s">
        <v>2375</v>
      </c>
      <c r="X1193" s="3" t="s">
        <v>2276</v>
      </c>
      <c r="Y1193" s="3" t="s">
        <v>2276</v>
      </c>
      <c r="Z1193" s="3" t="s">
        <v>2276</v>
      </c>
      <c r="AA1193" s="4" t="s">
        <v>3612</v>
      </c>
      <c r="AB1193" s="3"/>
    </row>
    <row r="1194" spans="1:28" ht="36" customHeight="1">
      <c r="A1194" s="6" t="str">
        <f>'Reported burning'!A1194</f>
        <v>137c</v>
      </c>
      <c r="B1194" s="6" t="str">
        <f>'Reported burning'!B1194</f>
        <v>137c.2</v>
      </c>
      <c r="C1194" s="6" t="str">
        <f>'Reported burning'!C1194</f>
        <v>Human, deliberate</v>
      </c>
      <c r="D1194" s="6" t="str">
        <f>'Reported burning'!D1194</f>
        <v>Crop residue burning</v>
      </c>
      <c r="E1194" s="6" t="str">
        <f>'Reported burning'!E1194</f>
        <v>Cropping, Swidden</v>
      </c>
      <c r="F1194" s="6" t="str">
        <f>'Reported burning'!F1194</f>
        <v>Cropland</v>
      </c>
      <c r="G1194" s="6" t="str">
        <f>'Reported burning'!G1194</f>
        <v>ND</v>
      </c>
      <c r="H1194" s="6" t="str">
        <f>'Reported burning'!H1194</f>
        <v>Presence</v>
      </c>
      <c r="I1194" s="3"/>
      <c r="J1194" s="3" t="s">
        <v>2276</v>
      </c>
      <c r="K1194" s="3" t="s">
        <v>2276</v>
      </c>
      <c r="L1194" s="3" t="s">
        <v>2276</v>
      </c>
      <c r="M1194" s="3" t="s">
        <v>2276</v>
      </c>
      <c r="N1194" s="3" t="s">
        <v>2276</v>
      </c>
      <c r="O1194" s="3" t="s">
        <v>2276</v>
      </c>
      <c r="P1194" s="3" t="s">
        <v>2276</v>
      </c>
      <c r="Q1194" s="3" t="s">
        <v>2276</v>
      </c>
      <c r="R1194" s="3" t="s">
        <v>2276</v>
      </c>
      <c r="S1194" s="3" t="s">
        <v>2390</v>
      </c>
      <c r="T1194" s="3" t="s">
        <v>2276</v>
      </c>
      <c r="U1194" s="3" t="s">
        <v>2527</v>
      </c>
      <c r="V1194" s="3" t="s">
        <v>2276</v>
      </c>
      <c r="W1194" s="3" t="s">
        <v>2375</v>
      </c>
      <c r="X1194" s="3" t="s">
        <v>2276</v>
      </c>
      <c r="Y1194" s="3" t="s">
        <v>2276</v>
      </c>
      <c r="Z1194" s="3" t="s">
        <v>2276</v>
      </c>
      <c r="AA1194" s="4" t="s">
        <v>3612</v>
      </c>
      <c r="AB1194" s="3"/>
    </row>
    <row r="1195" spans="1:28" ht="36" customHeight="1">
      <c r="A1195" s="6" t="str">
        <f>'Reported burning'!A1195</f>
        <v>137d</v>
      </c>
      <c r="B1195" s="6" t="str">
        <f>'Reported burning'!B1195</f>
        <v>137d.2</v>
      </c>
      <c r="C1195" s="6" t="str">
        <f>'Reported burning'!C1195</f>
        <v>Human, deliberate</v>
      </c>
      <c r="D1195" s="6" t="str">
        <f>'Reported burning'!D1195</f>
        <v>Crop residue burning</v>
      </c>
      <c r="E1195" s="6" t="str">
        <f>'Reported burning'!E1195</f>
        <v>Cropping, Swidden</v>
      </c>
      <c r="F1195" s="6" t="str">
        <f>'Reported burning'!F1195</f>
        <v>Cropland</v>
      </c>
      <c r="G1195" s="6" t="str">
        <f>'Reported burning'!G1195</f>
        <v>ND</v>
      </c>
      <c r="H1195" s="6" t="str">
        <f>'Reported burning'!H1195</f>
        <v>Presence</v>
      </c>
      <c r="I1195" s="3"/>
      <c r="J1195" s="3" t="s">
        <v>2276</v>
      </c>
      <c r="K1195" s="3" t="s">
        <v>2276</v>
      </c>
      <c r="L1195" s="3" t="s">
        <v>2276</v>
      </c>
      <c r="M1195" s="3" t="s">
        <v>2276</v>
      </c>
      <c r="N1195" s="3" t="s">
        <v>2276</v>
      </c>
      <c r="O1195" s="3" t="s">
        <v>2276</v>
      </c>
      <c r="P1195" s="3" t="s">
        <v>2276</v>
      </c>
      <c r="Q1195" s="3" t="s">
        <v>2276</v>
      </c>
      <c r="R1195" s="3" t="s">
        <v>2276</v>
      </c>
      <c r="S1195" s="3" t="s">
        <v>2376</v>
      </c>
      <c r="T1195" s="3" t="s">
        <v>2276</v>
      </c>
      <c r="U1195" s="3" t="s">
        <v>2527</v>
      </c>
      <c r="V1195" s="3" t="s">
        <v>2276</v>
      </c>
      <c r="W1195" s="3" t="s">
        <v>2375</v>
      </c>
      <c r="X1195" s="3" t="s">
        <v>2276</v>
      </c>
      <c r="Y1195" s="3" t="s">
        <v>2276</v>
      </c>
      <c r="Z1195" s="3" t="s">
        <v>2276</v>
      </c>
      <c r="AA1195" s="4" t="s">
        <v>3612</v>
      </c>
      <c r="AB1195" s="3"/>
    </row>
    <row r="1196" spans="1:28" ht="36" customHeight="1">
      <c r="A1196" s="6" t="str">
        <f>'Reported burning'!A1196</f>
        <v>137e</v>
      </c>
      <c r="B1196" s="6" t="str">
        <f>'Reported burning'!B1196</f>
        <v>137e.2</v>
      </c>
      <c r="C1196" s="6" t="str">
        <f>'Reported burning'!C1196</f>
        <v>Human, deliberate</v>
      </c>
      <c r="D1196" s="6" t="str">
        <f>'Reported burning'!D1196</f>
        <v>Crop residue burning</v>
      </c>
      <c r="E1196" s="6" t="str">
        <f>'Reported burning'!E1196</f>
        <v>Cropping, Swidden</v>
      </c>
      <c r="F1196" s="6" t="str">
        <f>'Reported burning'!F1196</f>
        <v>Cropland</v>
      </c>
      <c r="G1196" s="6" t="str">
        <f>'Reported burning'!G1196</f>
        <v>ND</v>
      </c>
      <c r="H1196" s="6" t="str">
        <f>'Reported burning'!H1196</f>
        <v>Presence</v>
      </c>
      <c r="I1196" s="3"/>
      <c r="J1196" s="3" t="s">
        <v>2276</v>
      </c>
      <c r="K1196" s="3" t="s">
        <v>2276</v>
      </c>
      <c r="L1196" s="3" t="s">
        <v>2276</v>
      </c>
      <c r="M1196" s="3" t="s">
        <v>2276</v>
      </c>
      <c r="N1196" s="3" t="s">
        <v>2276</v>
      </c>
      <c r="O1196" s="3" t="s">
        <v>2276</v>
      </c>
      <c r="P1196" s="3" t="s">
        <v>2276</v>
      </c>
      <c r="Q1196" s="3" t="s">
        <v>2276</v>
      </c>
      <c r="R1196" s="3" t="s">
        <v>2276</v>
      </c>
      <c r="S1196" s="3" t="s">
        <v>2527</v>
      </c>
      <c r="T1196" s="3" t="s">
        <v>2276</v>
      </c>
      <c r="U1196" s="3" t="s">
        <v>2527</v>
      </c>
      <c r="V1196" s="3" t="s">
        <v>2276</v>
      </c>
      <c r="W1196" s="3" t="s">
        <v>2375</v>
      </c>
      <c r="X1196" s="3" t="s">
        <v>2276</v>
      </c>
      <c r="Y1196" s="3" t="s">
        <v>2276</v>
      </c>
      <c r="Z1196" s="3" t="s">
        <v>2276</v>
      </c>
      <c r="AA1196" s="4" t="s">
        <v>3612</v>
      </c>
      <c r="AB1196" s="3"/>
    </row>
    <row r="1197" spans="1:28" ht="29">
      <c r="A1197" s="6" t="str">
        <f>'Reported burning'!A1197</f>
        <v>138a</v>
      </c>
      <c r="B1197" s="6" t="str">
        <f>'Reported burning'!B1197</f>
        <v>138a.1</v>
      </c>
      <c r="C1197" s="6" t="str">
        <f>'Reported burning'!C1197</f>
        <v>Human, deliberate</v>
      </c>
      <c r="D1197" s="6" t="str">
        <f>'Reported burning'!D1197</f>
        <v>Rangeland management</v>
      </c>
      <c r="E1197" s="6" t="str">
        <f>'Reported burning'!E1197</f>
        <v>Pastoralism, Migratory</v>
      </c>
      <c r="F1197" s="6" t="str">
        <f>'Reported burning'!F1197</f>
        <v>ND</v>
      </c>
      <c r="G1197" s="6" t="str">
        <f>'Reported burning'!G1197</f>
        <v>ND</v>
      </c>
      <c r="H1197" s="6" t="str">
        <f>'Reported burning'!H1197</f>
        <v>Absence</v>
      </c>
      <c r="I1197" s="3"/>
      <c r="J1197" s="21">
        <v>0</v>
      </c>
      <c r="K1197" s="21">
        <v>0</v>
      </c>
      <c r="L1197" s="21">
        <v>0</v>
      </c>
      <c r="M1197" s="21">
        <v>0</v>
      </c>
      <c r="N1197" s="21">
        <v>0</v>
      </c>
      <c r="O1197" s="21">
        <v>0</v>
      </c>
      <c r="P1197" s="21">
        <v>0</v>
      </c>
      <c r="Q1197" s="21">
        <v>0</v>
      </c>
      <c r="R1197" s="21">
        <v>0</v>
      </c>
      <c r="S1197" s="21">
        <v>0</v>
      </c>
      <c r="T1197" s="21">
        <v>0</v>
      </c>
      <c r="U1197" s="21">
        <v>0</v>
      </c>
      <c r="V1197" s="21">
        <v>0</v>
      </c>
      <c r="W1197" s="3" t="s">
        <v>2276</v>
      </c>
      <c r="X1197" s="3" t="s">
        <v>2276</v>
      </c>
      <c r="Y1197" s="3" t="s">
        <v>2276</v>
      </c>
      <c r="Z1197" s="3" t="s">
        <v>2276</v>
      </c>
      <c r="AA1197" s="3"/>
      <c r="AB1197" s="4" t="s">
        <v>3620</v>
      </c>
    </row>
    <row r="1198" spans="1:28" ht="29">
      <c r="A1198" s="6" t="str">
        <f>'Reported burning'!A1198</f>
        <v>138a</v>
      </c>
      <c r="B1198" s="6" t="str">
        <f>'Reported burning'!B1198</f>
        <v>138a.2</v>
      </c>
      <c r="C1198" s="6" t="str">
        <f>'Reported burning'!C1198</f>
        <v>Human, deliberate</v>
      </c>
      <c r="D1198" s="6" t="str">
        <f>'Reported burning'!D1198</f>
        <v>Pasture renewal</v>
      </c>
      <c r="E1198" s="6" t="str">
        <f>'Reported burning'!E1198</f>
        <v>Pastoralism, Migratory</v>
      </c>
      <c r="F1198" s="6" t="str">
        <f>'Reported burning'!F1198</f>
        <v>ND</v>
      </c>
      <c r="G1198" s="6" t="str">
        <f>'Reported burning'!G1198</f>
        <v>ND</v>
      </c>
      <c r="H1198" s="6" t="str">
        <f>'Reported burning'!H1198</f>
        <v>Absence</v>
      </c>
      <c r="I1198" s="3"/>
      <c r="J1198" s="21">
        <v>0</v>
      </c>
      <c r="K1198" s="21">
        <v>0</v>
      </c>
      <c r="L1198" s="21">
        <v>0</v>
      </c>
      <c r="M1198" s="21">
        <v>0</v>
      </c>
      <c r="N1198" s="21">
        <v>0</v>
      </c>
      <c r="O1198" s="21">
        <v>0</v>
      </c>
      <c r="P1198" s="21">
        <v>0</v>
      </c>
      <c r="Q1198" s="21">
        <v>0</v>
      </c>
      <c r="R1198" s="21">
        <v>0</v>
      </c>
      <c r="S1198" s="21">
        <v>0</v>
      </c>
      <c r="T1198" s="21">
        <v>0</v>
      </c>
      <c r="U1198" s="21">
        <v>0</v>
      </c>
      <c r="V1198" s="21">
        <v>0</v>
      </c>
      <c r="W1198" s="3" t="s">
        <v>2276</v>
      </c>
      <c r="X1198" s="3" t="s">
        <v>2276</v>
      </c>
      <c r="Y1198" s="3" t="s">
        <v>2276</v>
      </c>
      <c r="Z1198" s="3" t="s">
        <v>2276</v>
      </c>
      <c r="AA1198" s="3"/>
      <c r="AB1198" s="4" t="s">
        <v>3620</v>
      </c>
    </row>
    <row r="1199" spans="1:28" ht="29">
      <c r="A1199" s="6" t="str">
        <f>'Reported burning'!A1199</f>
        <v>138a</v>
      </c>
      <c r="B1199" s="6" t="str">
        <f>'Reported burning'!B1199</f>
        <v>138a.3</v>
      </c>
      <c r="C1199" s="6" t="str">
        <f>'Reported burning'!C1199</f>
        <v>Human, deliberate</v>
      </c>
      <c r="D1199" s="6" t="str">
        <f>'Reported burning'!D1199</f>
        <v>Rangeland management</v>
      </c>
      <c r="E1199" s="6" t="str">
        <f>'Reported burning'!E1199</f>
        <v>Cattle, Extensive</v>
      </c>
      <c r="F1199" s="6" t="str">
        <f>'Reported burning'!F1199</f>
        <v>ND</v>
      </c>
      <c r="G1199" s="6" t="str">
        <f>'Reported burning'!G1199</f>
        <v>ND</v>
      </c>
      <c r="H1199" s="6" t="str">
        <f>'Reported burning'!H1199</f>
        <v>Absence</v>
      </c>
      <c r="I1199" s="3"/>
      <c r="J1199" s="21">
        <v>0</v>
      </c>
      <c r="K1199" s="21">
        <v>0</v>
      </c>
      <c r="L1199" s="21">
        <v>0</v>
      </c>
      <c r="M1199" s="21">
        <v>0</v>
      </c>
      <c r="N1199" s="21">
        <v>0</v>
      </c>
      <c r="O1199" s="21">
        <v>0</v>
      </c>
      <c r="P1199" s="21">
        <v>0</v>
      </c>
      <c r="Q1199" s="21">
        <v>0</v>
      </c>
      <c r="R1199" s="21">
        <v>0</v>
      </c>
      <c r="S1199" s="21">
        <v>0</v>
      </c>
      <c r="T1199" s="21">
        <v>0</v>
      </c>
      <c r="U1199" s="21">
        <v>0</v>
      </c>
      <c r="V1199" s="21">
        <v>0</v>
      </c>
      <c r="W1199" s="3" t="s">
        <v>2276</v>
      </c>
      <c r="X1199" s="3" t="s">
        <v>2276</v>
      </c>
      <c r="Y1199" s="3" t="s">
        <v>2276</v>
      </c>
      <c r="Z1199" s="3" t="s">
        <v>2276</v>
      </c>
      <c r="AA1199" s="3"/>
      <c r="AB1199" s="4" t="s">
        <v>3620</v>
      </c>
    </row>
    <row r="1200" spans="1:28" ht="32.5" customHeight="1">
      <c r="A1200" s="6" t="str">
        <f>'Reported burning'!A1200</f>
        <v>138a</v>
      </c>
      <c r="B1200" s="6" t="str">
        <f>'Reported burning'!B1200</f>
        <v>138a.4</v>
      </c>
      <c r="C1200" s="6" t="str">
        <f>'Reported burning'!C1200</f>
        <v>Human, deliberate</v>
      </c>
      <c r="D1200" s="6" t="str">
        <f>'Reported burning'!D1200</f>
        <v>Pasture renewal</v>
      </c>
      <c r="E1200" s="6" t="str">
        <f>'Reported burning'!E1200</f>
        <v>Cattle, Extensive</v>
      </c>
      <c r="F1200" s="6" t="str">
        <f>'Reported burning'!F1200</f>
        <v>ND</v>
      </c>
      <c r="G1200" s="6" t="str">
        <f>'Reported burning'!G1200</f>
        <v>ND</v>
      </c>
      <c r="H1200" s="6" t="str">
        <f>'Reported burning'!H1200</f>
        <v>Absence</v>
      </c>
      <c r="I1200" s="3"/>
      <c r="J1200" s="21">
        <v>0</v>
      </c>
      <c r="K1200" s="21">
        <v>0</v>
      </c>
      <c r="L1200" s="21">
        <v>0</v>
      </c>
      <c r="M1200" s="21">
        <v>0</v>
      </c>
      <c r="N1200" s="21">
        <v>0</v>
      </c>
      <c r="O1200" s="21">
        <v>0</v>
      </c>
      <c r="P1200" s="21">
        <v>0</v>
      </c>
      <c r="Q1200" s="21">
        <v>0</v>
      </c>
      <c r="R1200" s="21">
        <v>0</v>
      </c>
      <c r="S1200" s="21">
        <v>0</v>
      </c>
      <c r="T1200" s="21">
        <v>0</v>
      </c>
      <c r="U1200" s="21">
        <v>0</v>
      </c>
      <c r="V1200" s="21">
        <v>0</v>
      </c>
      <c r="W1200" s="3" t="s">
        <v>2276</v>
      </c>
      <c r="X1200" s="3" t="s">
        <v>2276</v>
      </c>
      <c r="Y1200" s="3" t="s">
        <v>2276</v>
      </c>
      <c r="Z1200" s="3" t="s">
        <v>2276</v>
      </c>
      <c r="AA1200" s="3"/>
      <c r="AB1200" s="4" t="s">
        <v>3620</v>
      </c>
    </row>
    <row r="1201" spans="1:28" ht="32.5" customHeight="1">
      <c r="A1201" s="6" t="str">
        <f>'Reported burning'!A1201</f>
        <v>139a</v>
      </c>
      <c r="B1201" s="6" t="str">
        <f>'Reported burning'!B1201</f>
        <v>139a.1</v>
      </c>
      <c r="C1201" s="6" t="str">
        <f>'Reported burning'!C1201</f>
        <v>Human, deliberate</v>
      </c>
      <c r="D1201" s="6" t="str">
        <f>'Reported burning'!D1201</f>
        <v>Crop field preparation</v>
      </c>
      <c r="E1201" s="6" t="str">
        <f>'Reported burning'!E1201</f>
        <v>Cropping, Swidden</v>
      </c>
      <c r="F1201" s="6" t="str">
        <f>'Reported burning'!F1201</f>
        <v>ND</v>
      </c>
      <c r="G1201" s="6" t="str">
        <f>'Reported burning'!G1201</f>
        <v>ND</v>
      </c>
      <c r="H1201" s="6" t="str">
        <f>'Reported burning'!H1201</f>
        <v>Presence</v>
      </c>
      <c r="I1201" s="3"/>
      <c r="J1201" s="3" t="s">
        <v>2276</v>
      </c>
      <c r="K1201" s="3" t="s">
        <v>2276</v>
      </c>
      <c r="L1201" s="3" t="s">
        <v>2276</v>
      </c>
      <c r="M1201" s="3" t="s">
        <v>2276</v>
      </c>
      <c r="N1201" s="3" t="s">
        <v>2276</v>
      </c>
      <c r="O1201" s="3" t="s">
        <v>2276</v>
      </c>
      <c r="P1201" s="3" t="s">
        <v>2276</v>
      </c>
      <c r="Q1201" s="3" t="s">
        <v>2276</v>
      </c>
      <c r="R1201" s="3" t="s">
        <v>2276</v>
      </c>
      <c r="S1201" s="3" t="s">
        <v>2276</v>
      </c>
      <c r="T1201" s="3" t="s">
        <v>2276</v>
      </c>
      <c r="U1201" s="3" t="s">
        <v>2276</v>
      </c>
      <c r="V1201" s="3" t="s">
        <v>2276</v>
      </c>
      <c r="W1201" s="3" t="s">
        <v>2276</v>
      </c>
      <c r="X1201" s="3" t="s">
        <v>2276</v>
      </c>
      <c r="Y1201" s="3" t="s">
        <v>2276</v>
      </c>
      <c r="Z1201" s="3" t="s">
        <v>2276</v>
      </c>
      <c r="AA1201" s="3"/>
      <c r="AB1201" s="3"/>
    </row>
    <row r="1202" spans="1:28" ht="32.5" customHeight="1">
      <c r="A1202" s="6" t="str">
        <f>'Reported burning'!A1202</f>
        <v>139b</v>
      </c>
      <c r="B1202" s="6" t="str">
        <f>'Reported burning'!B1202</f>
        <v>139b.1</v>
      </c>
      <c r="C1202" s="6" t="str">
        <f>'Reported burning'!C1202</f>
        <v>Human, deliberate</v>
      </c>
      <c r="D1202" s="6" t="str">
        <f>'Reported burning'!D1202</f>
        <v>Crop field preparation</v>
      </c>
      <c r="E1202" s="6" t="str">
        <f>'Reported burning'!E1202</f>
        <v>Cropping, Swidden</v>
      </c>
      <c r="F1202" s="6" t="str">
        <f>'Reported burning'!F1202</f>
        <v>ND</v>
      </c>
      <c r="G1202" s="6" t="str">
        <f>'Reported burning'!G1202</f>
        <v>ND</v>
      </c>
      <c r="H1202" s="6" t="str">
        <f>'Reported burning'!H1202</f>
        <v>Presence</v>
      </c>
      <c r="I1202" s="3"/>
      <c r="J1202" s="3" t="s">
        <v>2276</v>
      </c>
      <c r="K1202" s="3" t="s">
        <v>2276</v>
      </c>
      <c r="L1202" s="3" t="s">
        <v>2276</v>
      </c>
      <c r="M1202" s="3" t="s">
        <v>2276</v>
      </c>
      <c r="N1202" s="3" t="s">
        <v>2276</v>
      </c>
      <c r="O1202" s="3" t="s">
        <v>2276</v>
      </c>
      <c r="P1202" s="3" t="s">
        <v>2276</v>
      </c>
      <c r="Q1202" s="3" t="s">
        <v>2276</v>
      </c>
      <c r="R1202" s="3" t="s">
        <v>2276</v>
      </c>
      <c r="S1202" s="3" t="s">
        <v>2276</v>
      </c>
      <c r="T1202" s="3" t="s">
        <v>2276</v>
      </c>
      <c r="U1202" s="3" t="s">
        <v>2276</v>
      </c>
      <c r="V1202" s="3" t="s">
        <v>2276</v>
      </c>
      <c r="W1202" s="3" t="s">
        <v>2276</v>
      </c>
      <c r="X1202" s="3" t="s">
        <v>2276</v>
      </c>
      <c r="Y1202" s="3" t="s">
        <v>2276</v>
      </c>
      <c r="Z1202" s="3" t="s">
        <v>2276</v>
      </c>
      <c r="AA1202" s="3"/>
      <c r="AB1202" s="3"/>
    </row>
    <row r="1203" spans="1:28" ht="32.5" customHeight="1">
      <c r="A1203" s="6" t="str">
        <f>'Reported burning'!A1203</f>
        <v>139c</v>
      </c>
      <c r="B1203" s="6" t="str">
        <f>'Reported burning'!B1203</f>
        <v>139c.1</v>
      </c>
      <c r="C1203" s="6" t="str">
        <f>'Reported burning'!C1203</f>
        <v>Human, deliberate</v>
      </c>
      <c r="D1203" s="6" t="str">
        <f>'Reported burning'!D1203</f>
        <v>Crop field preparation</v>
      </c>
      <c r="E1203" s="6" t="str">
        <f>'Reported burning'!E1203</f>
        <v>Cropping, Swidden</v>
      </c>
      <c r="F1203" s="6" t="str">
        <f>'Reported burning'!F1203</f>
        <v>ND</v>
      </c>
      <c r="G1203" s="6" t="str">
        <f>'Reported burning'!G1203</f>
        <v>ND</v>
      </c>
      <c r="H1203" s="6" t="str">
        <f>'Reported burning'!H1203</f>
        <v>Presence</v>
      </c>
      <c r="I1203" s="3"/>
      <c r="J1203" s="3" t="s">
        <v>2276</v>
      </c>
      <c r="K1203" s="3" t="s">
        <v>2276</v>
      </c>
      <c r="L1203" s="3" t="s">
        <v>2276</v>
      </c>
      <c r="M1203" s="3" t="s">
        <v>2276</v>
      </c>
      <c r="N1203" s="3" t="s">
        <v>2276</v>
      </c>
      <c r="O1203" s="3" t="s">
        <v>2276</v>
      </c>
      <c r="P1203" s="3" t="s">
        <v>2276</v>
      </c>
      <c r="Q1203" s="3" t="s">
        <v>2276</v>
      </c>
      <c r="R1203" s="3" t="s">
        <v>2276</v>
      </c>
      <c r="S1203" s="3" t="s">
        <v>2276</v>
      </c>
      <c r="T1203" s="3" t="s">
        <v>2276</v>
      </c>
      <c r="U1203" s="3" t="s">
        <v>2276</v>
      </c>
      <c r="V1203" s="3" t="s">
        <v>2276</v>
      </c>
      <c r="W1203" s="3" t="s">
        <v>2276</v>
      </c>
      <c r="X1203" s="3" t="s">
        <v>2276</v>
      </c>
      <c r="Y1203" s="3" t="s">
        <v>2276</v>
      </c>
      <c r="Z1203" s="3" t="s">
        <v>2276</v>
      </c>
      <c r="AA1203" s="3"/>
      <c r="AB1203" s="3"/>
    </row>
    <row r="1204" spans="1:28" ht="32.5" customHeight="1">
      <c r="A1204" s="6" t="str">
        <f>'Reported burning'!A1204</f>
        <v>139d</v>
      </c>
      <c r="B1204" s="6" t="str">
        <f>'Reported burning'!B1204</f>
        <v>139d.1</v>
      </c>
      <c r="C1204" s="6" t="str">
        <f>'Reported burning'!C1204</f>
        <v>Human, deliberate</v>
      </c>
      <c r="D1204" s="6" t="str">
        <f>'Reported burning'!D1204</f>
        <v>Crop field preparation</v>
      </c>
      <c r="E1204" s="6" t="str">
        <f>'Reported burning'!E1204</f>
        <v>Cropping, Swidden</v>
      </c>
      <c r="F1204" s="6" t="str">
        <f>'Reported burning'!F1204</f>
        <v>ND</v>
      </c>
      <c r="G1204" s="6" t="str">
        <f>'Reported burning'!G1204</f>
        <v>ND</v>
      </c>
      <c r="H1204" s="6" t="str">
        <f>'Reported burning'!H1204</f>
        <v>Presence</v>
      </c>
      <c r="I1204" s="3"/>
      <c r="J1204" s="3" t="s">
        <v>2276</v>
      </c>
      <c r="K1204" s="3" t="s">
        <v>2276</v>
      </c>
      <c r="L1204" s="3" t="s">
        <v>2276</v>
      </c>
      <c r="M1204" s="3" t="s">
        <v>2276</v>
      </c>
      <c r="N1204" s="3" t="s">
        <v>2276</v>
      </c>
      <c r="O1204" s="3" t="s">
        <v>2276</v>
      </c>
      <c r="P1204" s="3" t="s">
        <v>2276</v>
      </c>
      <c r="Q1204" s="3" t="s">
        <v>2276</v>
      </c>
      <c r="R1204" s="3" t="s">
        <v>2276</v>
      </c>
      <c r="S1204" s="3" t="s">
        <v>2276</v>
      </c>
      <c r="T1204" s="3" t="s">
        <v>2276</v>
      </c>
      <c r="U1204" s="3" t="s">
        <v>2276</v>
      </c>
      <c r="V1204" s="3" t="s">
        <v>2276</v>
      </c>
      <c r="W1204" s="3" t="s">
        <v>2276</v>
      </c>
      <c r="X1204" s="3" t="s">
        <v>2276</v>
      </c>
      <c r="Y1204" s="3" t="s">
        <v>2276</v>
      </c>
      <c r="Z1204" s="3" t="s">
        <v>2276</v>
      </c>
      <c r="AA1204" s="3"/>
      <c r="AB1204" s="3"/>
    </row>
    <row r="1205" spans="1:28" ht="32.5" customHeight="1">
      <c r="A1205" s="6" t="str">
        <f>'Reported burning'!A1205</f>
        <v>139a</v>
      </c>
      <c r="B1205" s="6" t="str">
        <f>'Reported burning'!B1205</f>
        <v>139a.2</v>
      </c>
      <c r="C1205" s="6" t="str">
        <f>'Reported burning'!C1205</f>
        <v>Human, deliberate</v>
      </c>
      <c r="D1205" s="6" t="str">
        <f>'Reported burning'!D1205</f>
        <v>Conservation</v>
      </c>
      <c r="E1205" s="6" t="str">
        <f>'Reported burning'!E1205</f>
        <v>Biodiversity conservation</v>
      </c>
      <c r="F1205" s="6" t="str">
        <f>'Reported burning'!F1205</f>
        <v>ND</v>
      </c>
      <c r="G1205" s="6" t="str">
        <f>'Reported burning'!G1205</f>
        <v>ND</v>
      </c>
      <c r="H1205" s="6" t="str">
        <f>'Reported burning'!H1205</f>
        <v>Presence</v>
      </c>
      <c r="I1205" s="3"/>
      <c r="J1205" s="3" t="s">
        <v>2276</v>
      </c>
      <c r="K1205" s="3" t="s">
        <v>2276</v>
      </c>
      <c r="L1205" s="3" t="s">
        <v>2276</v>
      </c>
      <c r="M1205" s="3" t="s">
        <v>2276</v>
      </c>
      <c r="N1205" s="3" t="s">
        <v>2276</v>
      </c>
      <c r="O1205" s="3" t="s">
        <v>2276</v>
      </c>
      <c r="P1205" s="3" t="s">
        <v>2276</v>
      </c>
      <c r="Q1205" s="3" t="s">
        <v>2276</v>
      </c>
      <c r="R1205" s="3" t="s">
        <v>2276</v>
      </c>
      <c r="S1205" s="3" t="s">
        <v>2276</v>
      </c>
      <c r="T1205" s="3" t="s">
        <v>2276</v>
      </c>
      <c r="U1205" s="3" t="s">
        <v>2276</v>
      </c>
      <c r="V1205" s="3" t="s">
        <v>2276</v>
      </c>
      <c r="W1205" s="3" t="s">
        <v>2276</v>
      </c>
      <c r="X1205" s="3" t="s">
        <v>2276</v>
      </c>
      <c r="Y1205" s="3" t="s">
        <v>2276</v>
      </c>
      <c r="Z1205" s="3" t="s">
        <v>2276</v>
      </c>
      <c r="AA1205" s="3"/>
      <c r="AB1205" s="3"/>
    </row>
    <row r="1206" spans="1:28" ht="32.5" customHeight="1">
      <c r="A1206" s="6" t="str">
        <f>'Reported burning'!A1206</f>
        <v>139b</v>
      </c>
      <c r="B1206" s="6" t="str">
        <f>'Reported burning'!B1206</f>
        <v>139b.2</v>
      </c>
      <c r="C1206" s="6" t="str">
        <f>'Reported burning'!C1206</f>
        <v>Human, deliberate</v>
      </c>
      <c r="D1206" s="6" t="str">
        <f>'Reported burning'!D1206</f>
        <v>Conservation</v>
      </c>
      <c r="E1206" s="6" t="str">
        <f>'Reported burning'!E1206</f>
        <v>Biodiversity conservation</v>
      </c>
      <c r="F1206" s="6" t="str">
        <f>'Reported burning'!F1206</f>
        <v>ND</v>
      </c>
      <c r="G1206" s="6" t="str">
        <f>'Reported burning'!G1206</f>
        <v>ND</v>
      </c>
      <c r="H1206" s="6" t="str">
        <f>'Reported burning'!H1206</f>
        <v>Presence</v>
      </c>
      <c r="I1206" s="3"/>
      <c r="J1206" s="3" t="s">
        <v>2276</v>
      </c>
      <c r="K1206" s="3" t="s">
        <v>2276</v>
      </c>
      <c r="L1206" s="3" t="s">
        <v>2276</v>
      </c>
      <c r="M1206" s="3" t="s">
        <v>2276</v>
      </c>
      <c r="N1206" s="3" t="s">
        <v>2276</v>
      </c>
      <c r="O1206" s="3" t="s">
        <v>2276</v>
      </c>
      <c r="P1206" s="3" t="s">
        <v>2276</v>
      </c>
      <c r="Q1206" s="3" t="s">
        <v>2276</v>
      </c>
      <c r="R1206" s="3" t="s">
        <v>2276</v>
      </c>
      <c r="S1206" s="3" t="s">
        <v>2276</v>
      </c>
      <c r="T1206" s="3" t="s">
        <v>2276</v>
      </c>
      <c r="U1206" s="3" t="s">
        <v>2276</v>
      </c>
      <c r="V1206" s="3" t="s">
        <v>2276</v>
      </c>
      <c r="W1206" s="3" t="s">
        <v>2276</v>
      </c>
      <c r="X1206" s="3" t="s">
        <v>2276</v>
      </c>
      <c r="Y1206" s="3" t="s">
        <v>2276</v>
      </c>
      <c r="Z1206" s="3" t="s">
        <v>2276</v>
      </c>
      <c r="AA1206" s="3"/>
      <c r="AB1206" s="3"/>
    </row>
    <row r="1207" spans="1:28" ht="32.5" customHeight="1">
      <c r="A1207" s="6" t="str">
        <f>'Reported burning'!A1207</f>
        <v>139c</v>
      </c>
      <c r="B1207" s="6" t="str">
        <f>'Reported burning'!B1207</f>
        <v>139c.2</v>
      </c>
      <c r="C1207" s="6" t="str">
        <f>'Reported burning'!C1207</f>
        <v>Human, deliberate</v>
      </c>
      <c r="D1207" s="6" t="str">
        <f>'Reported burning'!D1207</f>
        <v>Conservation</v>
      </c>
      <c r="E1207" s="6" t="str">
        <f>'Reported burning'!E1207</f>
        <v>Biodiversity conservation</v>
      </c>
      <c r="F1207" s="6" t="str">
        <f>'Reported burning'!F1207</f>
        <v>ND</v>
      </c>
      <c r="G1207" s="6" t="str">
        <f>'Reported burning'!G1207</f>
        <v>ND</v>
      </c>
      <c r="H1207" s="6" t="str">
        <f>'Reported burning'!H1207</f>
        <v>Presence</v>
      </c>
      <c r="I1207" s="3"/>
      <c r="J1207" s="3" t="s">
        <v>2276</v>
      </c>
      <c r="K1207" s="3" t="s">
        <v>2276</v>
      </c>
      <c r="L1207" s="3" t="s">
        <v>2276</v>
      </c>
      <c r="M1207" s="3" t="s">
        <v>2276</v>
      </c>
      <c r="N1207" s="3" t="s">
        <v>2276</v>
      </c>
      <c r="O1207" s="3" t="s">
        <v>2276</v>
      </c>
      <c r="P1207" s="3" t="s">
        <v>2276</v>
      </c>
      <c r="Q1207" s="3" t="s">
        <v>2276</v>
      </c>
      <c r="R1207" s="3" t="s">
        <v>2276</v>
      </c>
      <c r="S1207" s="3" t="s">
        <v>2276</v>
      </c>
      <c r="T1207" s="3" t="s">
        <v>2276</v>
      </c>
      <c r="U1207" s="3" t="s">
        <v>2276</v>
      </c>
      <c r="V1207" s="3" t="s">
        <v>2276</v>
      </c>
      <c r="W1207" s="3" t="s">
        <v>2276</v>
      </c>
      <c r="X1207" s="3" t="s">
        <v>2276</v>
      </c>
      <c r="Y1207" s="3" t="s">
        <v>2276</v>
      </c>
      <c r="Z1207" s="3" t="s">
        <v>2276</v>
      </c>
      <c r="AA1207" s="3"/>
      <c r="AB1207" s="3"/>
    </row>
    <row r="1208" spans="1:28" ht="32.5" customHeight="1">
      <c r="A1208" s="6" t="str">
        <f>'Reported burning'!A1208</f>
        <v>140a</v>
      </c>
      <c r="B1208" s="6" t="str">
        <f>'Reported burning'!B1208</f>
        <v>140a.1</v>
      </c>
      <c r="C1208" s="6" t="str">
        <f>'Reported burning'!C1208</f>
        <v>Human, deliberate</v>
      </c>
      <c r="D1208" s="6" t="str">
        <f>'Reported burning'!D1208</f>
        <v>Crop field preparation</v>
      </c>
      <c r="E1208" s="6" t="str">
        <f>'Reported burning'!E1208</f>
        <v>Cropping, Monoculture, Subsistence-oriented</v>
      </c>
      <c r="F1208" s="6" t="str">
        <f>'Reported burning'!F1208</f>
        <v>Cropland</v>
      </c>
      <c r="G1208" s="6" t="str">
        <f>'Reported burning'!G1208</f>
        <v>Cropland</v>
      </c>
      <c r="H1208" s="6" t="str">
        <f>'Reported burning'!H1208</f>
        <v>Presence</v>
      </c>
      <c r="I1208" s="3"/>
      <c r="J1208" s="3" t="s">
        <v>2276</v>
      </c>
      <c r="K1208" s="3" t="s">
        <v>2276</v>
      </c>
      <c r="L1208" s="3" t="s">
        <v>2276</v>
      </c>
      <c r="M1208" s="3" t="s">
        <v>2276</v>
      </c>
      <c r="N1208" s="3" t="s">
        <v>2276</v>
      </c>
      <c r="O1208" s="3" t="s">
        <v>2276</v>
      </c>
      <c r="P1208" s="3" t="s">
        <v>2276</v>
      </c>
      <c r="Q1208" s="3" t="s">
        <v>2276</v>
      </c>
      <c r="R1208" s="3" t="s">
        <v>2276</v>
      </c>
      <c r="S1208" s="3" t="s">
        <v>2276</v>
      </c>
      <c r="T1208" s="3" t="s">
        <v>2276</v>
      </c>
      <c r="U1208" s="3" t="s">
        <v>2276</v>
      </c>
      <c r="V1208" s="3" t="s">
        <v>2276</v>
      </c>
      <c r="W1208" s="3" t="s">
        <v>2276</v>
      </c>
      <c r="X1208" s="3" t="s">
        <v>2276</v>
      </c>
      <c r="Y1208" s="3" t="s">
        <v>2276</v>
      </c>
      <c r="Z1208" s="3" t="s">
        <v>2276</v>
      </c>
      <c r="AA1208" s="3"/>
      <c r="AB1208" s="3"/>
    </row>
    <row r="1209" spans="1:28" ht="29">
      <c r="A1209" s="6" t="str">
        <f>'Reported burning'!A1209</f>
        <v>140a</v>
      </c>
      <c r="B1209" s="6" t="str">
        <f>'Reported burning'!B1209</f>
        <v>140a.2</v>
      </c>
      <c r="C1209" s="6" t="str">
        <f>'Reported burning'!C1209</f>
        <v>Human, escaped</v>
      </c>
      <c r="D1209" s="6" t="str">
        <f>'Reported burning'!D1209</f>
        <v>Land clearance</v>
      </c>
      <c r="E1209" s="6" t="str">
        <f>'Reported burning'!E1209</f>
        <v>Cropping, Monoculture, Subsistence-oriented</v>
      </c>
      <c r="F1209" s="6" t="str">
        <f>'Reported burning'!F1209</f>
        <v>ND</v>
      </c>
      <c r="G1209" s="6" t="str">
        <f>'Reported burning'!G1209</f>
        <v>ND</v>
      </c>
      <c r="H1209" s="6" t="str">
        <f>'Reported burning'!H1209</f>
        <v>Presence</v>
      </c>
      <c r="I1209" s="3"/>
      <c r="J1209" s="3" t="s">
        <v>2276</v>
      </c>
      <c r="K1209" s="3" t="s">
        <v>2276</v>
      </c>
      <c r="L1209" s="3" t="s">
        <v>2276</v>
      </c>
      <c r="M1209" s="3" t="s">
        <v>2276</v>
      </c>
      <c r="N1209" s="3" t="s">
        <v>2276</v>
      </c>
      <c r="O1209" s="3" t="s">
        <v>2276</v>
      </c>
      <c r="P1209" s="3" t="s">
        <v>2276</v>
      </c>
      <c r="Q1209" s="3" t="s">
        <v>2276</v>
      </c>
      <c r="R1209" s="3" t="s">
        <v>2276</v>
      </c>
      <c r="S1209" s="3" t="s">
        <v>2276</v>
      </c>
      <c r="T1209" s="3" t="s">
        <v>2276</v>
      </c>
      <c r="U1209" s="3" t="s">
        <v>2276</v>
      </c>
      <c r="V1209" s="3" t="s">
        <v>2276</v>
      </c>
      <c r="W1209" s="3" t="s">
        <v>2276</v>
      </c>
      <c r="X1209" s="3" t="s">
        <v>2276</v>
      </c>
      <c r="Y1209" s="3" t="s">
        <v>2276</v>
      </c>
      <c r="Z1209" s="3" t="s">
        <v>2276</v>
      </c>
      <c r="AA1209" s="3"/>
      <c r="AB1209" s="3"/>
    </row>
    <row r="1210" spans="1:28" ht="29">
      <c r="A1210" s="6" t="str">
        <f>'Reported burning'!A1210</f>
        <v>140a</v>
      </c>
      <c r="B1210" s="6" t="str">
        <f>'Reported burning'!B1210</f>
        <v>140a.3</v>
      </c>
      <c r="C1210" s="6" t="str">
        <f>'Reported burning'!C1210</f>
        <v>Human, escaped</v>
      </c>
      <c r="D1210" s="6" t="str">
        <f>'Reported burning'!D1210</f>
        <v>Land clearance</v>
      </c>
      <c r="E1210" s="6" t="str">
        <f>'Reported burning'!E1210</f>
        <v>Cropping, Monoculture, Market-oriented</v>
      </c>
      <c r="F1210" s="6" t="str">
        <f>'Reported burning'!F1210</f>
        <v>ND</v>
      </c>
      <c r="G1210" s="6" t="str">
        <f>'Reported burning'!G1210</f>
        <v>ND</v>
      </c>
      <c r="H1210" s="6" t="str">
        <f>'Reported burning'!H1210</f>
        <v>Presence</v>
      </c>
      <c r="I1210" s="3"/>
      <c r="J1210" s="3" t="s">
        <v>2276</v>
      </c>
      <c r="K1210" s="3" t="s">
        <v>2276</v>
      </c>
      <c r="L1210" s="3" t="s">
        <v>2276</v>
      </c>
      <c r="M1210" s="3" t="s">
        <v>2276</v>
      </c>
      <c r="N1210" s="3" t="s">
        <v>2276</v>
      </c>
      <c r="O1210" s="3" t="s">
        <v>2276</v>
      </c>
      <c r="P1210" s="3" t="s">
        <v>2276</v>
      </c>
      <c r="Q1210" s="3" t="s">
        <v>2276</v>
      </c>
      <c r="R1210" s="3" t="s">
        <v>2276</v>
      </c>
      <c r="S1210" s="3" t="s">
        <v>2276</v>
      </c>
      <c r="T1210" s="3" t="s">
        <v>2276</v>
      </c>
      <c r="U1210" s="3" t="s">
        <v>2276</v>
      </c>
      <c r="V1210" s="3" t="s">
        <v>2276</v>
      </c>
      <c r="W1210" s="3" t="s">
        <v>2276</v>
      </c>
      <c r="X1210" s="3" t="s">
        <v>2276</v>
      </c>
      <c r="Y1210" s="3" t="s">
        <v>2276</v>
      </c>
      <c r="Z1210" s="3" t="s">
        <v>2276</v>
      </c>
      <c r="AA1210" s="3"/>
      <c r="AB1210" s="3"/>
    </row>
    <row r="1211" spans="1:28" ht="99" customHeight="1">
      <c r="A1211" s="6" t="str">
        <f>'Reported burning'!A1211</f>
        <v>140a</v>
      </c>
      <c r="B1211" s="6" t="str">
        <f>'Reported burning'!B1211</f>
        <v>140a.4</v>
      </c>
      <c r="C1211" s="6" t="str">
        <f>'Reported burning'!C1211</f>
        <v>Unknown</v>
      </c>
      <c r="D1211" s="6" t="str">
        <f>'Reported burning'!D1211</f>
        <v>All</v>
      </c>
      <c r="E1211" s="6" t="str">
        <f>'Reported burning'!E1211</f>
        <v>Cropping, Monoculture, Subsistence-oriented</v>
      </c>
      <c r="F1211" s="6" t="str">
        <f>'Reported burning'!F1211</f>
        <v>ND</v>
      </c>
      <c r="G1211" s="6" t="str">
        <f>'Reported burning'!G1211</f>
        <v>ND</v>
      </c>
      <c r="H1211" s="6" t="str">
        <f>'Reported burning'!H1211</f>
        <v>Presence</v>
      </c>
      <c r="I1211" s="3">
        <v>2009</v>
      </c>
      <c r="J1211" s="3" t="s">
        <v>2369</v>
      </c>
      <c r="K1211" s="3" t="s">
        <v>2276</v>
      </c>
      <c r="L1211" s="3" t="s">
        <v>2276</v>
      </c>
      <c r="M1211" s="3" t="s">
        <v>2374</v>
      </c>
      <c r="N1211" s="3" t="s">
        <v>2276</v>
      </c>
      <c r="O1211" s="3" t="s">
        <v>2276</v>
      </c>
      <c r="P1211" s="3" t="s">
        <v>2276</v>
      </c>
      <c r="Q1211" s="3" t="s">
        <v>2276</v>
      </c>
      <c r="R1211" s="3" t="s">
        <v>2276</v>
      </c>
      <c r="S1211" s="3" t="s">
        <v>2276</v>
      </c>
      <c r="T1211" s="3" t="s">
        <v>2376</v>
      </c>
      <c r="U1211" s="3" t="s">
        <v>2276</v>
      </c>
      <c r="V1211" s="3" t="s">
        <v>2276</v>
      </c>
      <c r="W1211" s="3" t="s">
        <v>2276</v>
      </c>
      <c r="X1211" s="3" t="s">
        <v>2276</v>
      </c>
      <c r="Y1211" s="3" t="s">
        <v>2276</v>
      </c>
      <c r="Z1211" s="3" t="s">
        <v>2276</v>
      </c>
      <c r="AA1211" s="4" t="s">
        <v>3689</v>
      </c>
      <c r="AB1211" s="4" t="s">
        <v>3690</v>
      </c>
    </row>
    <row r="1212" spans="1:28" ht="65" customHeight="1">
      <c r="A1212" s="6" t="str">
        <f>'Reported burning'!A1212</f>
        <v>140a</v>
      </c>
      <c r="B1212" s="6" t="str">
        <f>'Reported burning'!B1212</f>
        <v>140a.5</v>
      </c>
      <c r="C1212" s="6" t="str">
        <f>'Reported burning'!C1212</f>
        <v>Unknown</v>
      </c>
      <c r="D1212" s="6" t="str">
        <f>'Reported burning'!D1212</f>
        <v>Land clearance</v>
      </c>
      <c r="E1212" s="6" t="str">
        <f>'Reported burning'!E1212</f>
        <v>Cropping, Monoculture, Market-oriented</v>
      </c>
      <c r="F1212" s="6" t="str">
        <f>'Reported burning'!F1212</f>
        <v>ND</v>
      </c>
      <c r="G1212" s="6" t="str">
        <f>'Reported burning'!G1212</f>
        <v>ND</v>
      </c>
      <c r="H1212" s="6" t="str">
        <f>'Reported burning'!H1212</f>
        <v>Presence</v>
      </c>
      <c r="I1212" s="3">
        <v>2009</v>
      </c>
      <c r="J1212" s="3" t="s">
        <v>2369</v>
      </c>
      <c r="K1212" s="3" t="s">
        <v>2276</v>
      </c>
      <c r="L1212" s="3" t="s">
        <v>2276</v>
      </c>
      <c r="M1212" s="3" t="s">
        <v>2276</v>
      </c>
      <c r="N1212" s="3" t="s">
        <v>2276</v>
      </c>
      <c r="O1212" s="3" t="s">
        <v>2276</v>
      </c>
      <c r="P1212" s="3" t="s">
        <v>2276</v>
      </c>
      <c r="Q1212" s="3" t="s">
        <v>2276</v>
      </c>
      <c r="R1212" s="3" t="s">
        <v>2276</v>
      </c>
      <c r="S1212" s="3" t="s">
        <v>2276</v>
      </c>
      <c r="T1212" s="3" t="s">
        <v>2376</v>
      </c>
      <c r="U1212" s="3" t="s">
        <v>2276</v>
      </c>
      <c r="V1212" s="3" t="s">
        <v>2276</v>
      </c>
      <c r="W1212" s="3" t="s">
        <v>2276</v>
      </c>
      <c r="X1212" s="3" t="s">
        <v>2276</v>
      </c>
      <c r="Y1212" s="3" t="s">
        <v>2276</v>
      </c>
      <c r="Z1212" s="3" t="s">
        <v>2276</v>
      </c>
      <c r="AA1212" s="4" t="s">
        <v>3689</v>
      </c>
      <c r="AB1212" s="4" t="s">
        <v>3691</v>
      </c>
    </row>
    <row r="1213" spans="1:28" ht="96" customHeight="1">
      <c r="A1213" s="6" t="str">
        <f>'Reported burning'!A1213</f>
        <v>140a</v>
      </c>
      <c r="B1213" s="6" t="str">
        <f>'Reported burning'!B1213</f>
        <v>140a.6</v>
      </c>
      <c r="C1213" s="6" t="str">
        <f>'Reported burning'!C1213</f>
        <v>Unknown</v>
      </c>
      <c r="D1213" s="6" t="str">
        <f>'Reported burning'!D1213</f>
        <v>All</v>
      </c>
      <c r="E1213" s="6" t="str">
        <f>'Reported burning'!E1213</f>
        <v>Cropping, Monoculture, Subsistence-oriented</v>
      </c>
      <c r="F1213" s="6" t="str">
        <f>'Reported burning'!F1213</f>
        <v>ND</v>
      </c>
      <c r="G1213" s="6" t="str">
        <f>'Reported burning'!G1213</f>
        <v>ND</v>
      </c>
      <c r="H1213" s="6" t="str">
        <f>'Reported burning'!H1213</f>
        <v>Presence</v>
      </c>
      <c r="I1213" s="3">
        <v>2010</v>
      </c>
      <c r="J1213" s="3" t="s">
        <v>2369</v>
      </c>
      <c r="K1213" s="3" t="s">
        <v>2276</v>
      </c>
      <c r="L1213" s="3" t="s">
        <v>2276</v>
      </c>
      <c r="M1213" s="3" t="s">
        <v>2374</v>
      </c>
      <c r="N1213" s="3" t="s">
        <v>2276</v>
      </c>
      <c r="O1213" s="3" t="s">
        <v>2276</v>
      </c>
      <c r="P1213" s="3" t="s">
        <v>2276</v>
      </c>
      <c r="Q1213" s="3" t="s">
        <v>2276</v>
      </c>
      <c r="R1213" s="3" t="s">
        <v>2276</v>
      </c>
      <c r="S1213" s="3" t="s">
        <v>2276</v>
      </c>
      <c r="T1213" s="3" t="s">
        <v>2376</v>
      </c>
      <c r="U1213" s="3" t="s">
        <v>2276</v>
      </c>
      <c r="V1213" s="3" t="s">
        <v>2276</v>
      </c>
      <c r="W1213" s="3" t="s">
        <v>2276</v>
      </c>
      <c r="X1213" s="3" t="s">
        <v>2276</v>
      </c>
      <c r="Y1213" s="3" t="s">
        <v>2276</v>
      </c>
      <c r="Z1213" s="3" t="s">
        <v>2276</v>
      </c>
      <c r="AA1213" s="4" t="s">
        <v>3689</v>
      </c>
      <c r="AB1213" s="4" t="s">
        <v>3690</v>
      </c>
    </row>
    <row r="1214" spans="1:28" ht="70" customHeight="1">
      <c r="A1214" s="6" t="str">
        <f>'Reported burning'!A1214</f>
        <v>140a</v>
      </c>
      <c r="B1214" s="6" t="str">
        <f>'Reported burning'!B1214</f>
        <v>140a.7</v>
      </c>
      <c r="C1214" s="6" t="str">
        <f>'Reported burning'!C1214</f>
        <v>Unknown</v>
      </c>
      <c r="D1214" s="6" t="str">
        <f>'Reported burning'!D1214</f>
        <v>Land clearance</v>
      </c>
      <c r="E1214" s="6" t="str">
        <f>'Reported burning'!E1214</f>
        <v>Cropping, Monoculture, Market-oriented</v>
      </c>
      <c r="F1214" s="6" t="str">
        <f>'Reported burning'!F1214</f>
        <v>ND</v>
      </c>
      <c r="G1214" s="6" t="str">
        <f>'Reported burning'!G1214</f>
        <v>ND</v>
      </c>
      <c r="H1214" s="6" t="str">
        <f>'Reported burning'!H1214</f>
        <v>Presence</v>
      </c>
      <c r="I1214" s="3">
        <v>2010</v>
      </c>
      <c r="J1214" s="3" t="s">
        <v>2369</v>
      </c>
      <c r="K1214" s="3" t="s">
        <v>2276</v>
      </c>
      <c r="L1214" s="3" t="s">
        <v>2276</v>
      </c>
      <c r="M1214" s="3" t="s">
        <v>2276</v>
      </c>
      <c r="N1214" s="3" t="s">
        <v>2276</v>
      </c>
      <c r="O1214" s="3" t="s">
        <v>2276</v>
      </c>
      <c r="P1214" s="3" t="s">
        <v>2276</v>
      </c>
      <c r="Q1214" s="3" t="s">
        <v>2276</v>
      </c>
      <c r="R1214" s="3" t="s">
        <v>2276</v>
      </c>
      <c r="S1214" s="3" t="s">
        <v>2276</v>
      </c>
      <c r="T1214" s="3" t="s">
        <v>2376</v>
      </c>
      <c r="U1214" s="3" t="s">
        <v>2276</v>
      </c>
      <c r="V1214" s="3" t="s">
        <v>2276</v>
      </c>
      <c r="W1214" s="3" t="s">
        <v>2276</v>
      </c>
      <c r="X1214" s="3" t="s">
        <v>2276</v>
      </c>
      <c r="Y1214" s="3" t="s">
        <v>2276</v>
      </c>
      <c r="Z1214" s="3" t="s">
        <v>2276</v>
      </c>
      <c r="AA1214" s="4" t="s">
        <v>3689</v>
      </c>
      <c r="AB1214" s="4" t="s">
        <v>3691</v>
      </c>
    </row>
    <row r="1215" spans="1:28" ht="91.5" customHeight="1">
      <c r="A1215" s="6" t="str">
        <f>'Reported burning'!A1215</f>
        <v>140a</v>
      </c>
      <c r="B1215" s="6" t="str">
        <f>'Reported burning'!B1215</f>
        <v>140a.8</v>
      </c>
      <c r="C1215" s="6" t="str">
        <f>'Reported burning'!C1215</f>
        <v>Unknown</v>
      </c>
      <c r="D1215" s="6" t="str">
        <f>'Reported burning'!D1215</f>
        <v>All</v>
      </c>
      <c r="E1215" s="6" t="str">
        <f>'Reported burning'!E1215</f>
        <v>Cropping, Monoculture, Subsistence-oriented</v>
      </c>
      <c r="F1215" s="6" t="str">
        <f>'Reported burning'!F1215</f>
        <v>ND</v>
      </c>
      <c r="G1215" s="6" t="str">
        <f>'Reported burning'!G1215</f>
        <v>ND</v>
      </c>
      <c r="H1215" s="6" t="str">
        <f>'Reported burning'!H1215</f>
        <v>Presence</v>
      </c>
      <c r="I1215" s="3">
        <v>2011</v>
      </c>
      <c r="J1215" s="3" t="s">
        <v>2369</v>
      </c>
      <c r="K1215" s="3" t="s">
        <v>2276</v>
      </c>
      <c r="L1215" s="3" t="s">
        <v>2276</v>
      </c>
      <c r="M1215" s="3" t="s">
        <v>2374</v>
      </c>
      <c r="N1215" s="3" t="s">
        <v>2276</v>
      </c>
      <c r="O1215" s="3" t="s">
        <v>2276</v>
      </c>
      <c r="P1215" s="3" t="s">
        <v>2276</v>
      </c>
      <c r="Q1215" s="3" t="s">
        <v>2276</v>
      </c>
      <c r="R1215" s="3" t="s">
        <v>2276</v>
      </c>
      <c r="S1215" s="3" t="s">
        <v>2276</v>
      </c>
      <c r="T1215" s="3" t="s">
        <v>2374</v>
      </c>
      <c r="U1215" s="3" t="s">
        <v>2276</v>
      </c>
      <c r="V1215" s="3" t="s">
        <v>2276</v>
      </c>
      <c r="W1215" s="3" t="s">
        <v>2276</v>
      </c>
      <c r="X1215" s="3" t="s">
        <v>2276</v>
      </c>
      <c r="Y1215" s="3" t="s">
        <v>2276</v>
      </c>
      <c r="Z1215" s="3" t="s">
        <v>2276</v>
      </c>
      <c r="AA1215" s="4" t="s">
        <v>3689</v>
      </c>
      <c r="AB1215" s="4" t="s">
        <v>3690</v>
      </c>
    </row>
    <row r="1216" spans="1:28" ht="75" customHeight="1">
      <c r="A1216" s="6" t="str">
        <f>'Reported burning'!A1216</f>
        <v>140a</v>
      </c>
      <c r="B1216" s="6" t="str">
        <f>'Reported burning'!B1216</f>
        <v>140a.9</v>
      </c>
      <c r="C1216" s="6" t="str">
        <f>'Reported burning'!C1216</f>
        <v>Unknown</v>
      </c>
      <c r="D1216" s="6" t="str">
        <f>'Reported burning'!D1216</f>
        <v>Land clearance</v>
      </c>
      <c r="E1216" s="6" t="str">
        <f>'Reported burning'!E1216</f>
        <v>Cropping, Monoculture, Market-oriented</v>
      </c>
      <c r="F1216" s="6" t="str">
        <f>'Reported burning'!F1216</f>
        <v>ND</v>
      </c>
      <c r="G1216" s="6" t="str">
        <f>'Reported burning'!G1216</f>
        <v>ND</v>
      </c>
      <c r="H1216" s="6" t="str">
        <f>'Reported burning'!H1216</f>
        <v>Presence</v>
      </c>
      <c r="I1216" s="3">
        <v>2011</v>
      </c>
      <c r="J1216" s="3" t="s">
        <v>2369</v>
      </c>
      <c r="K1216" s="3" t="s">
        <v>2276</v>
      </c>
      <c r="L1216" s="3" t="s">
        <v>2276</v>
      </c>
      <c r="M1216" s="3" t="s">
        <v>2276</v>
      </c>
      <c r="N1216" s="3" t="s">
        <v>2276</v>
      </c>
      <c r="O1216" s="3" t="s">
        <v>2276</v>
      </c>
      <c r="P1216" s="3" t="s">
        <v>2276</v>
      </c>
      <c r="Q1216" s="3" t="s">
        <v>2276</v>
      </c>
      <c r="R1216" s="3" t="s">
        <v>2276</v>
      </c>
      <c r="S1216" s="3" t="s">
        <v>2276</v>
      </c>
      <c r="T1216" s="3" t="s">
        <v>2374</v>
      </c>
      <c r="U1216" s="3" t="s">
        <v>2276</v>
      </c>
      <c r="V1216" s="3" t="s">
        <v>2276</v>
      </c>
      <c r="W1216" s="3" t="s">
        <v>2276</v>
      </c>
      <c r="X1216" s="3" t="s">
        <v>2276</v>
      </c>
      <c r="Y1216" s="3" t="s">
        <v>2276</v>
      </c>
      <c r="Z1216" s="3" t="s">
        <v>2276</v>
      </c>
      <c r="AA1216" s="4" t="s">
        <v>3689</v>
      </c>
      <c r="AB1216" s="4" t="s">
        <v>3691</v>
      </c>
    </row>
    <row r="1217" spans="1:29" ht="90" customHeight="1">
      <c r="A1217" s="6" t="str">
        <f>'Reported burning'!A1217</f>
        <v>140a</v>
      </c>
      <c r="B1217" s="6" t="str">
        <f>'Reported burning'!B1217</f>
        <v>140a.10</v>
      </c>
      <c r="C1217" s="6" t="str">
        <f>'Reported burning'!C1217</f>
        <v>Unknown</v>
      </c>
      <c r="D1217" s="6" t="str">
        <f>'Reported burning'!D1217</f>
        <v>All</v>
      </c>
      <c r="E1217" s="6" t="str">
        <f>'Reported burning'!E1217</f>
        <v>Cropping, Monoculture, Subsistence-oriented</v>
      </c>
      <c r="F1217" s="6" t="str">
        <f>'Reported burning'!F1217</f>
        <v>ND</v>
      </c>
      <c r="G1217" s="6" t="str">
        <f>'Reported burning'!G1217</f>
        <v>ND</v>
      </c>
      <c r="H1217" s="6" t="str">
        <f>'Reported burning'!H1217</f>
        <v>Presence</v>
      </c>
      <c r="I1217" s="3">
        <v>2012</v>
      </c>
      <c r="J1217" s="3" t="s">
        <v>2367</v>
      </c>
      <c r="K1217" s="3" t="s">
        <v>2276</v>
      </c>
      <c r="L1217" s="3" t="s">
        <v>2276</v>
      </c>
      <c r="M1217" s="3" t="s">
        <v>2374</v>
      </c>
      <c r="N1217" s="3" t="s">
        <v>2276</v>
      </c>
      <c r="O1217" s="3" t="s">
        <v>2276</v>
      </c>
      <c r="P1217" s="3" t="s">
        <v>2276</v>
      </c>
      <c r="Q1217" s="3" t="s">
        <v>2276</v>
      </c>
      <c r="R1217" s="3" t="s">
        <v>2276</v>
      </c>
      <c r="S1217" s="3" t="s">
        <v>2276</v>
      </c>
      <c r="T1217" s="3" t="s">
        <v>2376</v>
      </c>
      <c r="U1217" s="3" t="s">
        <v>2276</v>
      </c>
      <c r="V1217" s="3" t="s">
        <v>2276</v>
      </c>
      <c r="W1217" s="3" t="s">
        <v>2276</v>
      </c>
      <c r="X1217" s="3" t="s">
        <v>2276</v>
      </c>
      <c r="Y1217" s="3" t="s">
        <v>2276</v>
      </c>
      <c r="Z1217" s="3" t="s">
        <v>2276</v>
      </c>
      <c r="AA1217" s="4" t="s">
        <v>3689</v>
      </c>
      <c r="AB1217" s="4" t="s">
        <v>3690</v>
      </c>
    </row>
    <row r="1218" spans="1:29" ht="69.5" customHeight="1">
      <c r="A1218" s="6" t="str">
        <f>'Reported burning'!A1218</f>
        <v>140a</v>
      </c>
      <c r="B1218" s="6" t="str">
        <f>'Reported burning'!B1218</f>
        <v>140a.11</v>
      </c>
      <c r="C1218" s="6" t="str">
        <f>'Reported burning'!C1218</f>
        <v>Unknown</v>
      </c>
      <c r="D1218" s="6" t="str">
        <f>'Reported burning'!D1218</f>
        <v>Land clearance</v>
      </c>
      <c r="E1218" s="6" t="str">
        <f>'Reported burning'!E1218</f>
        <v>Cropping, Monoculture, Market-oriented</v>
      </c>
      <c r="F1218" s="6" t="str">
        <f>'Reported burning'!F1218</f>
        <v>ND</v>
      </c>
      <c r="G1218" s="6" t="str">
        <f>'Reported burning'!G1218</f>
        <v>ND</v>
      </c>
      <c r="H1218" s="6" t="str">
        <f>'Reported burning'!H1218</f>
        <v>Presence</v>
      </c>
      <c r="I1218" s="3">
        <v>2012</v>
      </c>
      <c r="J1218" s="3" t="s">
        <v>2367</v>
      </c>
      <c r="K1218" s="3" t="s">
        <v>2276</v>
      </c>
      <c r="L1218" s="3" t="s">
        <v>2276</v>
      </c>
      <c r="M1218" s="3" t="s">
        <v>2276</v>
      </c>
      <c r="N1218" s="3" t="s">
        <v>2276</v>
      </c>
      <c r="O1218" s="3" t="s">
        <v>2276</v>
      </c>
      <c r="P1218" s="3" t="s">
        <v>2276</v>
      </c>
      <c r="Q1218" s="3" t="s">
        <v>2276</v>
      </c>
      <c r="R1218" s="3" t="s">
        <v>2276</v>
      </c>
      <c r="S1218" s="3" t="s">
        <v>2276</v>
      </c>
      <c r="T1218" s="3" t="s">
        <v>2376</v>
      </c>
      <c r="U1218" s="3" t="s">
        <v>2276</v>
      </c>
      <c r="V1218" s="3" t="s">
        <v>2276</v>
      </c>
      <c r="W1218" s="3" t="s">
        <v>2276</v>
      </c>
      <c r="X1218" s="3" t="s">
        <v>2276</v>
      </c>
      <c r="Y1218" s="3" t="s">
        <v>2276</v>
      </c>
      <c r="Z1218" s="3" t="s">
        <v>2276</v>
      </c>
      <c r="AA1218" s="4" t="s">
        <v>3689</v>
      </c>
      <c r="AB1218" s="4" t="s">
        <v>3691</v>
      </c>
    </row>
    <row r="1219" spans="1:29">
      <c r="A1219" s="6" t="str">
        <f>'Reported burning'!A1219</f>
        <v>140a</v>
      </c>
      <c r="B1219" s="6" t="str">
        <f>'Reported burning'!B1219</f>
        <v>140a.12</v>
      </c>
      <c r="C1219" s="6" t="str">
        <f>'Reported burning'!C1219</f>
        <v>Human, deliberate</v>
      </c>
      <c r="D1219" s="6" t="str">
        <f>'Reported burning'!D1219</f>
        <v>Arson</v>
      </c>
      <c r="E1219" s="6" t="str">
        <f>'Reported burning'!E1219</f>
        <v>ND</v>
      </c>
      <c r="F1219" s="6" t="str">
        <f>'Reported burning'!F1219</f>
        <v>Plantation forest</v>
      </c>
      <c r="G1219" s="6" t="str">
        <f>'Reported burning'!G1219</f>
        <v>ND</v>
      </c>
      <c r="H1219" s="6" t="str">
        <f>'Reported burning'!H1219</f>
        <v>Presence</v>
      </c>
      <c r="I1219" s="3"/>
      <c r="J1219" s="3" t="s">
        <v>2276</v>
      </c>
      <c r="K1219" s="3" t="s">
        <v>2276</v>
      </c>
      <c r="L1219" s="3" t="s">
        <v>2276</v>
      </c>
      <c r="M1219" s="3" t="s">
        <v>2276</v>
      </c>
      <c r="N1219" s="3" t="s">
        <v>2276</v>
      </c>
      <c r="O1219" s="3" t="s">
        <v>2276</v>
      </c>
      <c r="P1219" s="3" t="s">
        <v>2276</v>
      </c>
      <c r="Q1219" s="3" t="s">
        <v>2276</v>
      </c>
      <c r="R1219" s="3" t="s">
        <v>2276</v>
      </c>
      <c r="S1219" s="3" t="s">
        <v>2276</v>
      </c>
      <c r="T1219" s="3" t="s">
        <v>2276</v>
      </c>
      <c r="U1219" s="3" t="s">
        <v>2276</v>
      </c>
      <c r="V1219" s="3" t="s">
        <v>2276</v>
      </c>
      <c r="W1219" s="3" t="s">
        <v>2276</v>
      </c>
      <c r="X1219" s="3" t="s">
        <v>2276</v>
      </c>
      <c r="Y1219" s="3" t="s">
        <v>2276</v>
      </c>
      <c r="Z1219" s="3" t="s">
        <v>2276</v>
      </c>
      <c r="AA1219" s="3"/>
      <c r="AB1219" s="3"/>
    </row>
    <row r="1220" spans="1:29">
      <c r="A1220" s="6" t="str">
        <f>'Reported burning'!A1220</f>
        <v>140a</v>
      </c>
      <c r="B1220" s="6" t="str">
        <f>'Reported burning'!B1220</f>
        <v>140a.13</v>
      </c>
      <c r="C1220" s="6" t="str">
        <f>'Reported burning'!C1220</f>
        <v>Human, deliberate</v>
      </c>
      <c r="D1220" s="6" t="str">
        <f>'Reported burning'!D1220</f>
        <v>Pasture renewal</v>
      </c>
      <c r="E1220" s="6" t="str">
        <f>'Reported burning'!E1220</f>
        <v>Cattle, Extensive</v>
      </c>
      <c r="F1220" s="6" t="str">
        <f>'Reported burning'!F1220</f>
        <v>Pasture</v>
      </c>
      <c r="G1220" s="6" t="str">
        <f>'Reported burning'!G1220</f>
        <v>ND</v>
      </c>
      <c r="H1220" s="6" t="str">
        <f>'Reported burning'!H1220</f>
        <v>Presence</v>
      </c>
      <c r="I1220" s="3"/>
      <c r="J1220" s="3" t="s">
        <v>2276</v>
      </c>
      <c r="K1220" s="3" t="s">
        <v>2276</v>
      </c>
      <c r="L1220" s="3" t="s">
        <v>2276</v>
      </c>
      <c r="M1220" s="3" t="s">
        <v>2276</v>
      </c>
      <c r="N1220" s="3" t="s">
        <v>2276</v>
      </c>
      <c r="O1220" s="3" t="s">
        <v>2276</v>
      </c>
      <c r="P1220" s="3" t="s">
        <v>2276</v>
      </c>
      <c r="Q1220" s="3" t="s">
        <v>2276</v>
      </c>
      <c r="R1220" s="3" t="s">
        <v>2276</v>
      </c>
      <c r="S1220" s="3" t="s">
        <v>2276</v>
      </c>
      <c r="T1220" s="3" t="s">
        <v>2276</v>
      </c>
      <c r="U1220" s="3" t="s">
        <v>2276</v>
      </c>
      <c r="V1220" s="3" t="s">
        <v>2276</v>
      </c>
      <c r="W1220" s="3" t="s">
        <v>2276</v>
      </c>
      <c r="X1220" s="3" t="s">
        <v>2276</v>
      </c>
      <c r="Y1220" s="3" t="s">
        <v>2276</v>
      </c>
      <c r="Z1220" s="3" t="s">
        <v>2276</v>
      </c>
      <c r="AA1220" s="3"/>
      <c r="AB1220" s="3"/>
    </row>
    <row r="1221" spans="1:29">
      <c r="A1221" s="6" t="str">
        <f>'Reported burning'!A1221</f>
        <v>140a</v>
      </c>
      <c r="B1221" s="6" t="str">
        <f>'Reported burning'!B1221</f>
        <v>140a.14</v>
      </c>
      <c r="C1221" s="6" t="str">
        <f>'Reported burning'!C1221</f>
        <v>Human, deliberate</v>
      </c>
      <c r="D1221" s="6" t="str">
        <f>'Reported burning'!D1221</f>
        <v>Pyrome management</v>
      </c>
      <c r="E1221" s="6" t="str">
        <f>'Reported burning'!E1221</f>
        <v>ND</v>
      </c>
      <c r="F1221" s="6" t="str">
        <f>'Reported burning'!F1221</f>
        <v>ND</v>
      </c>
      <c r="G1221" s="6" t="str">
        <f>'Reported burning'!G1221</f>
        <v>ND</v>
      </c>
      <c r="H1221" s="6" t="str">
        <f>'Reported burning'!H1221</f>
        <v>Presence</v>
      </c>
      <c r="I1221" s="3"/>
      <c r="J1221" s="3" t="s">
        <v>2276</v>
      </c>
      <c r="K1221" s="3" t="s">
        <v>2276</v>
      </c>
      <c r="L1221" s="3" t="s">
        <v>2276</v>
      </c>
      <c r="M1221" s="3" t="s">
        <v>2276</v>
      </c>
      <c r="N1221" s="3" t="s">
        <v>2276</v>
      </c>
      <c r="O1221" s="3" t="s">
        <v>2276</v>
      </c>
      <c r="P1221" s="3" t="s">
        <v>2276</v>
      </c>
      <c r="Q1221" s="3" t="s">
        <v>2276</v>
      </c>
      <c r="R1221" s="3" t="s">
        <v>2276</v>
      </c>
      <c r="S1221" s="3" t="s">
        <v>2276</v>
      </c>
      <c r="T1221" s="3" t="s">
        <v>2276</v>
      </c>
      <c r="U1221" s="3" t="s">
        <v>2276</v>
      </c>
      <c r="V1221" s="3" t="s">
        <v>2276</v>
      </c>
      <c r="W1221" s="3" t="s">
        <v>2276</v>
      </c>
      <c r="X1221" s="3" t="s">
        <v>2276</v>
      </c>
      <c r="Y1221" s="3" t="s">
        <v>2276</v>
      </c>
      <c r="Z1221" s="3" t="s">
        <v>2276</v>
      </c>
      <c r="AA1221" s="3"/>
      <c r="AB1221" s="3"/>
    </row>
    <row r="1222" spans="1:29">
      <c r="A1222" s="6" t="str">
        <f>'Reported burning'!A1222</f>
        <v>140a</v>
      </c>
      <c r="B1222" s="6" t="str">
        <f>'Reported burning'!B1222</f>
        <v>140a.15</v>
      </c>
      <c r="C1222" s="6" t="str">
        <f>'Reported burning'!C1222</f>
        <v>Human, escaped</v>
      </c>
      <c r="D1222" s="6" t="str">
        <f>'Reported burning'!D1222</f>
        <v>Domestic</v>
      </c>
      <c r="E1222" s="6" t="str">
        <f>'Reported burning'!E1222</f>
        <v>Tourism manager</v>
      </c>
      <c r="F1222" s="6" t="str">
        <f>'Reported burning'!F1222</f>
        <v>ND</v>
      </c>
      <c r="G1222" s="6" t="str">
        <f>'Reported burning'!G1222</f>
        <v>ND</v>
      </c>
      <c r="H1222" s="6" t="str">
        <f>'Reported burning'!H1222</f>
        <v>Presence</v>
      </c>
      <c r="I1222" s="3"/>
      <c r="J1222" s="3" t="s">
        <v>2276</v>
      </c>
      <c r="K1222" s="3" t="s">
        <v>2276</v>
      </c>
      <c r="L1222" s="3" t="s">
        <v>2276</v>
      </c>
      <c r="M1222" s="3" t="s">
        <v>2276</v>
      </c>
      <c r="N1222" s="3" t="s">
        <v>2276</v>
      </c>
      <c r="O1222" s="3" t="s">
        <v>2276</v>
      </c>
      <c r="P1222" s="3" t="s">
        <v>2276</v>
      </c>
      <c r="Q1222" s="3" t="s">
        <v>2276</v>
      </c>
      <c r="R1222" s="3" t="s">
        <v>2276</v>
      </c>
      <c r="S1222" s="3" t="s">
        <v>2276</v>
      </c>
      <c r="T1222" s="3" t="s">
        <v>2276</v>
      </c>
      <c r="U1222" s="3" t="s">
        <v>2276</v>
      </c>
      <c r="V1222" s="3" t="s">
        <v>2276</v>
      </c>
      <c r="W1222" s="3" t="s">
        <v>2276</v>
      </c>
      <c r="X1222" s="3" t="s">
        <v>2276</v>
      </c>
      <c r="Y1222" s="3" t="s">
        <v>2276</v>
      </c>
      <c r="Z1222" s="3" t="s">
        <v>2276</v>
      </c>
      <c r="AA1222" s="3"/>
      <c r="AB1222" s="3"/>
    </row>
    <row r="1223" spans="1:29">
      <c r="A1223" s="6" t="str">
        <f>'Reported burning'!A1223</f>
        <v>140a</v>
      </c>
      <c r="B1223" s="6" t="str">
        <f>'Reported burning'!B1223</f>
        <v>140a.16</v>
      </c>
      <c r="C1223" s="6" t="str">
        <f>'Reported burning'!C1223</f>
        <v>Human, accidental</v>
      </c>
      <c r="D1223" s="6" t="str">
        <f>'Reported burning'!D1223</f>
        <v>ND</v>
      </c>
      <c r="E1223" s="6" t="str">
        <f>'Reported burning'!E1223</f>
        <v>Urban planner</v>
      </c>
      <c r="F1223" s="6" t="str">
        <f>'Reported burning'!F1223</f>
        <v>ND</v>
      </c>
      <c r="G1223" s="6" t="str">
        <f>'Reported burning'!G1223</f>
        <v>ND</v>
      </c>
      <c r="H1223" s="6" t="str">
        <f>'Reported burning'!H1223</f>
        <v>Presence</v>
      </c>
      <c r="I1223" s="3"/>
      <c r="J1223" s="3" t="s">
        <v>2276</v>
      </c>
      <c r="K1223" s="3" t="s">
        <v>2276</v>
      </c>
      <c r="L1223" s="3" t="s">
        <v>2276</v>
      </c>
      <c r="M1223" s="3" t="s">
        <v>2276</v>
      </c>
      <c r="N1223" s="3" t="s">
        <v>2276</v>
      </c>
      <c r="O1223" s="3" t="s">
        <v>2276</v>
      </c>
      <c r="P1223" s="3" t="s">
        <v>2276</v>
      </c>
      <c r="Q1223" s="3" t="s">
        <v>2276</v>
      </c>
      <c r="R1223" s="3" t="s">
        <v>2276</v>
      </c>
      <c r="S1223" s="3" t="s">
        <v>2276</v>
      </c>
      <c r="T1223" s="3" t="s">
        <v>2276</v>
      </c>
      <c r="U1223" s="3" t="s">
        <v>2276</v>
      </c>
      <c r="V1223" s="3" t="s">
        <v>2276</v>
      </c>
      <c r="W1223" s="3" t="s">
        <v>2276</v>
      </c>
      <c r="X1223" s="3" t="s">
        <v>2276</v>
      </c>
      <c r="Y1223" s="3" t="s">
        <v>2276</v>
      </c>
      <c r="Z1223" s="3" t="s">
        <v>2276</v>
      </c>
      <c r="AA1223" s="3"/>
      <c r="AB1223" s="3"/>
    </row>
    <row r="1224" spans="1:29" ht="35.5" customHeight="1">
      <c r="A1224" s="6" t="str">
        <f>'Reported burning'!A1224</f>
        <v>140b</v>
      </c>
      <c r="B1224" s="6" t="str">
        <f>'Reported burning'!B1224</f>
        <v>140b.1</v>
      </c>
      <c r="C1224" s="6" t="str">
        <f>'Reported burning'!C1224</f>
        <v>Human, deliberate</v>
      </c>
      <c r="D1224" s="6" t="str">
        <f>'Reported burning'!D1224</f>
        <v>Crop field preparation</v>
      </c>
      <c r="E1224" s="6" t="str">
        <f>'Reported burning'!E1224</f>
        <v>Cropping, Intensive</v>
      </c>
      <c r="F1224" s="6" t="str">
        <f>'Reported burning'!F1224</f>
        <v>Cropland</v>
      </c>
      <c r="G1224" s="6" t="str">
        <f>'Reported burning'!G1224</f>
        <v>ND</v>
      </c>
      <c r="H1224" s="6" t="str">
        <f>'Reported burning'!H1224</f>
        <v>Absence</v>
      </c>
      <c r="I1224" s="3"/>
      <c r="J1224" s="3" t="s">
        <v>2276</v>
      </c>
      <c r="K1224" s="3" t="s">
        <v>2276</v>
      </c>
      <c r="L1224" s="3" t="s">
        <v>2276</v>
      </c>
      <c r="M1224" s="3" t="s">
        <v>2276</v>
      </c>
      <c r="N1224" s="3" t="s">
        <v>2276</v>
      </c>
      <c r="O1224" s="3" t="s">
        <v>2276</v>
      </c>
      <c r="P1224" s="3" t="s">
        <v>2276</v>
      </c>
      <c r="Q1224" s="3" t="s">
        <v>2276</v>
      </c>
      <c r="R1224" s="3" t="s">
        <v>2276</v>
      </c>
      <c r="S1224" s="3" t="s">
        <v>2276</v>
      </c>
      <c r="T1224" s="3" t="s">
        <v>2276</v>
      </c>
      <c r="U1224" s="3" t="s">
        <v>2276</v>
      </c>
      <c r="V1224" s="3" t="s">
        <v>2276</v>
      </c>
      <c r="W1224" s="3" t="s">
        <v>2276</v>
      </c>
      <c r="X1224" s="3" t="s">
        <v>2276</v>
      </c>
      <c r="Y1224" s="3" t="s">
        <v>2276</v>
      </c>
      <c r="Z1224" s="3" t="s">
        <v>2276</v>
      </c>
      <c r="AA1224" s="4" t="s">
        <v>3707</v>
      </c>
      <c r="AB1224" s="3"/>
    </row>
    <row r="1225" spans="1:29" ht="41" customHeight="1">
      <c r="A1225" s="6" t="str">
        <f>'Reported burning'!A1225</f>
        <v>141a</v>
      </c>
      <c r="B1225" s="6" t="str">
        <f>'Reported burning'!B1225</f>
        <v>141a.1</v>
      </c>
      <c r="C1225" s="6" t="str">
        <f>'Reported burning'!C1225</f>
        <v>All</v>
      </c>
      <c r="D1225" s="6" t="str">
        <f>'Reported burning'!D1225</f>
        <v>All</v>
      </c>
      <c r="E1225" s="6" t="str">
        <f>'Reported burning'!E1225</f>
        <v>All</v>
      </c>
      <c r="F1225" s="6" t="str">
        <f>'Reported burning'!F1225</f>
        <v>ND</v>
      </c>
      <c r="G1225" s="6" t="str">
        <f>'Reported burning'!G1225</f>
        <v>Forest</v>
      </c>
      <c r="H1225" s="6" t="str">
        <f>'Reported burning'!H1225</f>
        <v>Absence</v>
      </c>
      <c r="I1225" s="3"/>
      <c r="J1225" s="3" t="s">
        <v>2276</v>
      </c>
      <c r="K1225" s="3" t="s">
        <v>2276</v>
      </c>
      <c r="L1225" s="3" t="s">
        <v>2276</v>
      </c>
      <c r="M1225" s="3" t="s">
        <v>2276</v>
      </c>
      <c r="N1225" s="3" t="s">
        <v>2276</v>
      </c>
      <c r="O1225" s="3" t="s">
        <v>2276</v>
      </c>
      <c r="P1225" s="3" t="s">
        <v>2276</v>
      </c>
      <c r="Q1225" s="3" t="s">
        <v>2276</v>
      </c>
      <c r="R1225" s="3" t="s">
        <v>2276</v>
      </c>
      <c r="S1225" s="3" t="s">
        <v>2276</v>
      </c>
      <c r="T1225" s="3" t="s">
        <v>2276</v>
      </c>
      <c r="U1225" s="3" t="s">
        <v>2276</v>
      </c>
      <c r="V1225" s="3" t="s">
        <v>2276</v>
      </c>
      <c r="W1225" s="3" t="s">
        <v>2276</v>
      </c>
      <c r="X1225" s="3" t="s">
        <v>2276</v>
      </c>
      <c r="Y1225" s="3" t="s">
        <v>2276</v>
      </c>
      <c r="Z1225" s="3" t="s">
        <v>2276</v>
      </c>
      <c r="AA1225" s="4" t="s">
        <v>3708</v>
      </c>
      <c r="AB1225" s="3"/>
    </row>
    <row r="1226" spans="1:29" ht="41" customHeight="1">
      <c r="A1226" s="6" t="str">
        <f>'Reported burning'!A1226</f>
        <v>141a</v>
      </c>
      <c r="B1226" s="6" t="str">
        <f>'Reported burning'!B1226</f>
        <v>141a.2</v>
      </c>
      <c r="C1226" s="6" t="str">
        <f>'Reported burning'!C1226</f>
        <v>All</v>
      </c>
      <c r="D1226" s="6" t="str">
        <f>'Reported burning'!D1226</f>
        <v>All</v>
      </c>
      <c r="E1226" s="6" t="str">
        <f>'Reported burning'!E1226</f>
        <v>All</v>
      </c>
      <c r="F1226" s="6" t="str">
        <f>'Reported burning'!F1226</f>
        <v>ND</v>
      </c>
      <c r="G1226" s="6" t="str">
        <f>'Reported burning'!G1226</f>
        <v>Grassland</v>
      </c>
      <c r="H1226" s="6" t="str">
        <f>'Reported burning'!H1226</f>
        <v>Presence</v>
      </c>
      <c r="I1226" s="3"/>
      <c r="J1226" s="3" t="s">
        <v>2276</v>
      </c>
      <c r="K1226" s="3" t="s">
        <v>2276</v>
      </c>
      <c r="L1226" s="3" t="s">
        <v>2276</v>
      </c>
      <c r="M1226" s="3" t="s">
        <v>2276</v>
      </c>
      <c r="N1226" s="3" t="s">
        <v>2276</v>
      </c>
      <c r="O1226" s="3" t="s">
        <v>2276</v>
      </c>
      <c r="P1226" s="3" t="s">
        <v>2276</v>
      </c>
      <c r="Q1226" s="3" t="s">
        <v>2276</v>
      </c>
      <c r="R1226" s="3" t="s">
        <v>2276</v>
      </c>
      <c r="S1226" s="3" t="s">
        <v>2276</v>
      </c>
      <c r="T1226" s="3" t="s">
        <v>2276</v>
      </c>
      <c r="U1226" s="3" t="s">
        <v>2276</v>
      </c>
      <c r="V1226" s="3" t="s">
        <v>2276</v>
      </c>
      <c r="W1226" s="3" t="s">
        <v>2276</v>
      </c>
      <c r="X1226" s="3" t="s">
        <v>2276</v>
      </c>
      <c r="Y1226" s="3" t="s">
        <v>2276</v>
      </c>
      <c r="Z1226" s="3" t="s">
        <v>2276</v>
      </c>
      <c r="AA1226" s="4" t="s">
        <v>3708</v>
      </c>
      <c r="AB1226" s="3"/>
      <c r="AC1226" s="137"/>
    </row>
    <row r="1227" spans="1:29" ht="34.5" customHeight="1">
      <c r="A1227" s="6" t="str">
        <f>'Reported burning'!A1227</f>
        <v>141a</v>
      </c>
      <c r="B1227" s="6" t="str">
        <f>'Reported burning'!B1227</f>
        <v>141a.3</v>
      </c>
      <c r="C1227" s="6" t="str">
        <f>'Reported burning'!C1227</f>
        <v>All</v>
      </c>
      <c r="D1227" s="6" t="str">
        <f>'Reported burning'!D1227</f>
        <v>ND</v>
      </c>
      <c r="E1227" s="6" t="str">
        <f>'Reported burning'!E1227</f>
        <v>All</v>
      </c>
      <c r="F1227" s="6" t="str">
        <f>'Reported burning'!F1227</f>
        <v>ND</v>
      </c>
      <c r="G1227" s="6" t="str">
        <f>'Reported burning'!G1227</f>
        <v>Plantation forest</v>
      </c>
      <c r="H1227" s="6" t="str">
        <f>'Reported burning'!H1227</f>
        <v>Absence</v>
      </c>
      <c r="I1227" s="3"/>
      <c r="J1227" s="3" t="s">
        <v>2276</v>
      </c>
      <c r="K1227" s="3" t="s">
        <v>2276</v>
      </c>
      <c r="L1227" s="3" t="s">
        <v>2276</v>
      </c>
      <c r="M1227" s="3" t="s">
        <v>2276</v>
      </c>
      <c r="N1227" s="3" t="s">
        <v>2276</v>
      </c>
      <c r="O1227" s="3" t="s">
        <v>2276</v>
      </c>
      <c r="P1227" s="3" t="s">
        <v>2276</v>
      </c>
      <c r="Q1227" s="3" t="s">
        <v>2276</v>
      </c>
      <c r="R1227" s="3" t="s">
        <v>2276</v>
      </c>
      <c r="S1227" s="3" t="s">
        <v>2276</v>
      </c>
      <c r="T1227" s="3" t="s">
        <v>2276</v>
      </c>
      <c r="U1227" s="3" t="s">
        <v>2276</v>
      </c>
      <c r="V1227" s="3" t="s">
        <v>2276</v>
      </c>
      <c r="W1227" s="3" t="s">
        <v>2276</v>
      </c>
      <c r="X1227" s="3" t="s">
        <v>2276</v>
      </c>
      <c r="Y1227" s="3" t="s">
        <v>2276</v>
      </c>
      <c r="Z1227" s="3" t="s">
        <v>2276</v>
      </c>
      <c r="AA1227" s="4" t="s">
        <v>3707</v>
      </c>
      <c r="AB1227" s="3"/>
    </row>
    <row r="1228" spans="1:29" ht="38" customHeight="1">
      <c r="A1228" s="6" t="str">
        <f>'Reported burning'!A1228</f>
        <v>141b</v>
      </c>
      <c r="B1228" s="6" t="str">
        <f>'Reported burning'!B1228</f>
        <v>141b.1</v>
      </c>
      <c r="C1228" s="6" t="str">
        <f>'Reported burning'!C1228</f>
        <v>All</v>
      </c>
      <c r="D1228" s="6" t="str">
        <f>'Reported burning'!D1228</f>
        <v>ND</v>
      </c>
      <c r="E1228" s="6" t="str">
        <f>'Reported burning'!E1228</f>
        <v>All</v>
      </c>
      <c r="F1228" s="6" t="str">
        <f>'Reported burning'!F1228</f>
        <v>ND</v>
      </c>
      <c r="G1228" s="6" t="str">
        <f>'Reported burning'!G1228</f>
        <v>ND</v>
      </c>
      <c r="H1228" s="6" t="str">
        <f>'Reported burning'!H1228</f>
        <v>Presence</v>
      </c>
      <c r="I1228" s="3"/>
      <c r="J1228" s="3" t="s">
        <v>2276</v>
      </c>
      <c r="K1228" s="3" t="s">
        <v>2276</v>
      </c>
      <c r="L1228" s="3" t="s">
        <v>2276</v>
      </c>
      <c r="M1228" s="3" t="s">
        <v>2276</v>
      </c>
      <c r="N1228" s="3" t="s">
        <v>2276</v>
      </c>
      <c r="O1228" s="3" t="s">
        <v>2276</v>
      </c>
      <c r="P1228" s="3" t="s">
        <v>2276</v>
      </c>
      <c r="Q1228" s="3" t="s">
        <v>2276</v>
      </c>
      <c r="R1228" s="3" t="s">
        <v>2276</v>
      </c>
      <c r="S1228" s="3" t="s">
        <v>2276</v>
      </c>
      <c r="T1228" s="3" t="s">
        <v>2276</v>
      </c>
      <c r="U1228" s="3" t="s">
        <v>2276</v>
      </c>
      <c r="V1228" s="3" t="s">
        <v>2276</v>
      </c>
      <c r="W1228" s="3" t="s">
        <v>2276</v>
      </c>
      <c r="X1228" s="3" t="s">
        <v>2276</v>
      </c>
      <c r="Y1228" s="3" t="s">
        <v>2276</v>
      </c>
      <c r="Z1228" s="3" t="s">
        <v>2276</v>
      </c>
      <c r="AA1228" s="4" t="s">
        <v>3708</v>
      </c>
      <c r="AB1228" s="3"/>
    </row>
    <row r="1229" spans="1:29" ht="31" customHeight="1">
      <c r="A1229" s="6" t="str">
        <f>'Reported burning'!A1229</f>
        <v>142a</v>
      </c>
      <c r="B1229" s="6" t="str">
        <f>'Reported burning'!B1229</f>
        <v>142a.1</v>
      </c>
      <c r="C1229" s="6" t="str">
        <f>'Reported burning'!C1229</f>
        <v>Human, deliberate</v>
      </c>
      <c r="D1229" s="6" t="str">
        <f>'Reported burning'!D1229</f>
        <v>Pyrome management</v>
      </c>
      <c r="E1229" s="6" t="str">
        <f>'Reported burning'!E1229</f>
        <v>Forestry, Traditional</v>
      </c>
      <c r="F1229" s="6" t="str">
        <f>'Reported burning'!F1229</f>
        <v>Shrubland (Mixed forest &amp; grassland)</v>
      </c>
      <c r="G1229" s="6" t="str">
        <f>'Reported burning'!G1229</f>
        <v>ND</v>
      </c>
      <c r="H1229" s="6" t="str">
        <f>'Reported burning'!H1229</f>
        <v>Presence</v>
      </c>
      <c r="I1229" s="3"/>
      <c r="J1229" s="3" t="s">
        <v>2276</v>
      </c>
      <c r="K1229" s="3" t="s">
        <v>2276</v>
      </c>
      <c r="L1229" s="3" t="s">
        <v>2276</v>
      </c>
      <c r="M1229" s="3" t="s">
        <v>2276</v>
      </c>
      <c r="N1229" s="3" t="s">
        <v>2276</v>
      </c>
      <c r="O1229" s="3" t="s">
        <v>2276</v>
      </c>
      <c r="P1229" s="3" t="s">
        <v>2276</v>
      </c>
      <c r="Q1229" s="3" t="s">
        <v>2276</v>
      </c>
      <c r="R1229" s="3" t="s">
        <v>2276</v>
      </c>
      <c r="S1229" s="3" t="s">
        <v>2276</v>
      </c>
      <c r="T1229" s="3" t="s">
        <v>2276</v>
      </c>
      <c r="U1229" s="3" t="s">
        <v>2276</v>
      </c>
      <c r="V1229" s="3" t="s">
        <v>2276</v>
      </c>
      <c r="W1229" s="3" t="s">
        <v>2276</v>
      </c>
      <c r="X1229" s="3" t="s">
        <v>2276</v>
      </c>
      <c r="Y1229" s="3" t="s">
        <v>2276</v>
      </c>
      <c r="Z1229" s="3" t="s">
        <v>2276</v>
      </c>
      <c r="AA1229" s="163"/>
      <c r="AB1229" s="3"/>
    </row>
    <row r="1230" spans="1:29" ht="31" customHeight="1">
      <c r="A1230" s="6" t="str">
        <f>'Reported burning'!A1230</f>
        <v>142a</v>
      </c>
      <c r="B1230" s="6" t="str">
        <f>'Reported burning'!B1230</f>
        <v>142a.2</v>
      </c>
      <c r="C1230" s="6" t="str">
        <f>'Reported burning'!C1230</f>
        <v>Human, deliberate</v>
      </c>
      <c r="D1230" s="6" t="str">
        <f>'Reported burning'!D1230</f>
        <v>Cultural &amp; Spiritual</v>
      </c>
      <c r="E1230" s="6" t="str">
        <f>'Reported burning'!E1230</f>
        <v>Cropping, Swidden</v>
      </c>
      <c r="F1230" s="6" t="str">
        <f>'Reported burning'!F1230</f>
        <v>ND</v>
      </c>
      <c r="G1230" s="6" t="str">
        <f>'Reported burning'!G1230</f>
        <v>ND</v>
      </c>
      <c r="H1230" s="6" t="str">
        <f>'Reported burning'!H1230</f>
        <v>Presence</v>
      </c>
      <c r="I1230" s="3"/>
      <c r="J1230" s="3" t="s">
        <v>2276</v>
      </c>
      <c r="K1230" s="3" t="s">
        <v>2276</v>
      </c>
      <c r="L1230" s="3" t="s">
        <v>2276</v>
      </c>
      <c r="M1230" s="3" t="s">
        <v>2276</v>
      </c>
      <c r="N1230" s="3" t="s">
        <v>2276</v>
      </c>
      <c r="O1230" s="3" t="s">
        <v>2276</v>
      </c>
      <c r="P1230" s="3" t="s">
        <v>2276</v>
      </c>
      <c r="Q1230" s="3" t="s">
        <v>2276</v>
      </c>
      <c r="R1230" s="3" t="s">
        <v>2276</v>
      </c>
      <c r="S1230" s="3" t="s">
        <v>2276</v>
      </c>
      <c r="T1230" s="3" t="s">
        <v>2276</v>
      </c>
      <c r="U1230" s="3" t="s">
        <v>2276</v>
      </c>
      <c r="V1230" s="3" t="s">
        <v>2276</v>
      </c>
      <c r="W1230" s="3" t="s">
        <v>2276</v>
      </c>
      <c r="X1230" s="3" t="s">
        <v>2276</v>
      </c>
      <c r="Y1230" s="3" t="s">
        <v>2276</v>
      </c>
      <c r="Z1230" s="3" t="s">
        <v>2276</v>
      </c>
      <c r="AA1230" s="163"/>
      <c r="AB1230" s="3"/>
    </row>
    <row r="1231" spans="1:29" ht="31" customHeight="1">
      <c r="A1231" s="6" t="str">
        <f>'Reported burning'!A1231</f>
        <v>142a</v>
      </c>
      <c r="B1231" s="6" t="str">
        <f>'Reported burning'!B1231</f>
        <v>142a.3</v>
      </c>
      <c r="C1231" s="6" t="str">
        <f>'Reported burning'!C1231</f>
        <v>Human, deliberate</v>
      </c>
      <c r="D1231" s="6" t="str">
        <f>'Reported burning'!D1231</f>
        <v>Cultural &amp; Spiritual</v>
      </c>
      <c r="E1231" s="6" t="str">
        <f>'Reported burning'!E1231</f>
        <v>Forestry, Traditional</v>
      </c>
      <c r="F1231" s="6" t="str">
        <f>'Reported burning'!F1231</f>
        <v>ND</v>
      </c>
      <c r="G1231" s="6" t="str">
        <f>'Reported burning'!G1231</f>
        <v>ND</v>
      </c>
      <c r="H1231" s="6" t="str">
        <f>'Reported burning'!H1231</f>
        <v>Presence</v>
      </c>
      <c r="I1231" s="3"/>
      <c r="J1231" s="3" t="s">
        <v>2276</v>
      </c>
      <c r="K1231" s="3" t="s">
        <v>2276</v>
      </c>
      <c r="L1231" s="3" t="s">
        <v>2276</v>
      </c>
      <c r="M1231" s="3" t="s">
        <v>2276</v>
      </c>
      <c r="N1231" s="3" t="s">
        <v>2276</v>
      </c>
      <c r="O1231" s="3" t="s">
        <v>2276</v>
      </c>
      <c r="P1231" s="3" t="s">
        <v>2276</v>
      </c>
      <c r="Q1231" s="3" t="s">
        <v>2276</v>
      </c>
      <c r="R1231" s="3" t="s">
        <v>2276</v>
      </c>
      <c r="S1231" s="3" t="s">
        <v>2276</v>
      </c>
      <c r="T1231" s="3" t="s">
        <v>2276</v>
      </c>
      <c r="U1231" s="3" t="s">
        <v>2276</v>
      </c>
      <c r="V1231" s="3" t="s">
        <v>2276</v>
      </c>
      <c r="W1231" s="3" t="s">
        <v>2276</v>
      </c>
      <c r="X1231" s="3" t="s">
        <v>2276</v>
      </c>
      <c r="Y1231" s="3" t="s">
        <v>2276</v>
      </c>
      <c r="Z1231" s="3" t="s">
        <v>2276</v>
      </c>
      <c r="AA1231" s="163"/>
      <c r="AB1231" s="3"/>
    </row>
    <row r="1232" spans="1:29" ht="31" customHeight="1">
      <c r="A1232" s="6" t="str">
        <f>'Reported burning'!A1232</f>
        <v>142a</v>
      </c>
      <c r="B1232" s="6" t="str">
        <f>'Reported burning'!B1232</f>
        <v>142a.4</v>
      </c>
      <c r="C1232" s="6" t="str">
        <f>'Reported burning'!C1232</f>
        <v>Human, deliberate</v>
      </c>
      <c r="D1232" s="6" t="str">
        <f>'Reported burning'!D1232</f>
        <v>Crop field preparation</v>
      </c>
      <c r="E1232" s="6" t="str">
        <f>'Reported burning'!E1232</f>
        <v>Cropping, Swidden</v>
      </c>
      <c r="F1232" s="6" t="str">
        <f>'Reported burning'!F1232</f>
        <v>Cropland</v>
      </c>
      <c r="G1232" s="6" t="str">
        <f>'Reported burning'!G1232</f>
        <v>ND</v>
      </c>
      <c r="H1232" s="6" t="str">
        <f>'Reported burning'!H1232</f>
        <v>Presence</v>
      </c>
      <c r="I1232" s="3"/>
      <c r="J1232" s="3" t="s">
        <v>2276</v>
      </c>
      <c r="K1232" s="3" t="s">
        <v>2276</v>
      </c>
      <c r="L1232" s="3" t="s">
        <v>2276</v>
      </c>
      <c r="M1232" s="3" t="s">
        <v>2276</v>
      </c>
      <c r="N1232" s="3" t="s">
        <v>2276</v>
      </c>
      <c r="O1232" s="3" t="s">
        <v>2276</v>
      </c>
      <c r="P1232" s="3" t="s">
        <v>2276</v>
      </c>
      <c r="Q1232" s="3" t="s">
        <v>2276</v>
      </c>
      <c r="R1232" s="3" t="s">
        <v>2276</v>
      </c>
      <c r="S1232" s="3" t="s">
        <v>2276</v>
      </c>
      <c r="T1232" s="3" t="s">
        <v>2276</v>
      </c>
      <c r="U1232" s="3" t="s">
        <v>2276</v>
      </c>
      <c r="V1232" s="3" t="s">
        <v>2276</v>
      </c>
      <c r="W1232" s="3" t="s">
        <v>2276</v>
      </c>
      <c r="X1232" s="3" t="s">
        <v>2276</v>
      </c>
      <c r="Y1232" s="3" t="s">
        <v>2276</v>
      </c>
      <c r="Z1232" s="3" t="s">
        <v>2276</v>
      </c>
      <c r="AA1232" s="163"/>
      <c r="AB1232" s="3"/>
    </row>
    <row r="1233" spans="1:28" ht="31" customHeight="1">
      <c r="A1233" s="6" t="str">
        <f>'Reported burning'!A1233</f>
        <v>142a</v>
      </c>
      <c r="B1233" s="6" t="str">
        <f>'Reported burning'!B1233</f>
        <v>142a.5</v>
      </c>
      <c r="C1233" s="6" t="str">
        <f>'Reported burning'!C1233</f>
        <v>Human, deliberate</v>
      </c>
      <c r="D1233" s="6" t="str">
        <f>'Reported burning'!D1233</f>
        <v>Hunting</v>
      </c>
      <c r="E1233" s="6" t="str">
        <f>'Reported burning'!E1233</f>
        <v>Forestry, Traditional</v>
      </c>
      <c r="F1233" s="6" t="str">
        <f>'Reported burning'!F1233</f>
        <v>Shrubland (Mixed forest &amp; grassland)</v>
      </c>
      <c r="G1233" s="6" t="str">
        <f>'Reported burning'!G1233</f>
        <v>ND</v>
      </c>
      <c r="H1233" s="6" t="str">
        <f>'Reported burning'!H1233</f>
        <v>Presence</v>
      </c>
      <c r="I1233" s="3"/>
      <c r="J1233" s="3" t="s">
        <v>2276</v>
      </c>
      <c r="K1233" s="3" t="s">
        <v>2276</v>
      </c>
      <c r="L1233" s="3" t="s">
        <v>2276</v>
      </c>
      <c r="M1233" s="3" t="s">
        <v>2276</v>
      </c>
      <c r="N1233" s="3" t="s">
        <v>2276</v>
      </c>
      <c r="O1233" s="3" t="s">
        <v>2276</v>
      </c>
      <c r="P1233" s="3" t="s">
        <v>2276</v>
      </c>
      <c r="Q1233" s="3" t="s">
        <v>2276</v>
      </c>
      <c r="R1233" s="3" t="s">
        <v>2276</v>
      </c>
      <c r="S1233" s="3" t="s">
        <v>2276</v>
      </c>
      <c r="T1233" s="3" t="s">
        <v>2276</v>
      </c>
      <c r="U1233" s="3" t="s">
        <v>2276</v>
      </c>
      <c r="V1233" s="3" t="s">
        <v>2276</v>
      </c>
      <c r="W1233" s="3" t="s">
        <v>2276</v>
      </c>
      <c r="X1233" s="3" t="s">
        <v>2276</v>
      </c>
      <c r="Y1233" s="3" t="s">
        <v>2276</v>
      </c>
      <c r="Z1233" s="3" t="s">
        <v>2276</v>
      </c>
      <c r="AA1233" s="163"/>
      <c r="AB1233" s="3"/>
    </row>
    <row r="1234" spans="1:28" ht="31" customHeight="1">
      <c r="A1234" s="6" t="str">
        <f>'Reported burning'!A1234</f>
        <v>142a</v>
      </c>
      <c r="B1234" s="6" t="str">
        <f>'Reported burning'!B1234</f>
        <v>142a.6</v>
      </c>
      <c r="C1234" s="6" t="str">
        <f>'Reported burning'!C1234</f>
        <v>Human, deliberate</v>
      </c>
      <c r="D1234" s="6" t="str">
        <f>'Reported burning'!D1234</f>
        <v>Harvesting of NTFP</v>
      </c>
      <c r="E1234" s="6" t="str">
        <f>'Reported burning'!E1234</f>
        <v>Forestry, Traditional</v>
      </c>
      <c r="F1234" s="6" t="str">
        <f>'Reported burning'!F1234</f>
        <v>Shrubland (Mixed forest &amp; grassland)</v>
      </c>
      <c r="G1234" s="6" t="str">
        <f>'Reported burning'!G1234</f>
        <v>ND</v>
      </c>
      <c r="H1234" s="6" t="str">
        <f>'Reported burning'!H1234</f>
        <v>Presence</v>
      </c>
      <c r="I1234" s="3"/>
      <c r="J1234" s="3" t="s">
        <v>2276</v>
      </c>
      <c r="K1234" s="3" t="s">
        <v>2276</v>
      </c>
      <c r="L1234" s="3" t="s">
        <v>2276</v>
      </c>
      <c r="M1234" s="3" t="s">
        <v>2276</v>
      </c>
      <c r="N1234" s="3" t="s">
        <v>2276</v>
      </c>
      <c r="O1234" s="3" t="s">
        <v>2276</v>
      </c>
      <c r="P1234" s="3" t="s">
        <v>2276</v>
      </c>
      <c r="Q1234" s="3" t="s">
        <v>2276</v>
      </c>
      <c r="R1234" s="3" t="s">
        <v>2276</v>
      </c>
      <c r="S1234" s="3" t="s">
        <v>2276</v>
      </c>
      <c r="T1234" s="3" t="s">
        <v>2276</v>
      </c>
      <c r="U1234" s="3" t="s">
        <v>2276</v>
      </c>
      <c r="V1234" s="3" t="s">
        <v>2276</v>
      </c>
      <c r="W1234" s="3" t="s">
        <v>2276</v>
      </c>
      <c r="X1234" s="3" t="s">
        <v>2276</v>
      </c>
      <c r="Y1234" s="3" t="s">
        <v>2276</v>
      </c>
      <c r="Z1234" s="3" t="s">
        <v>2276</v>
      </c>
      <c r="AA1234" s="163"/>
      <c r="AB1234" s="3"/>
    </row>
    <row r="1235" spans="1:28" ht="31" customHeight="1">
      <c r="A1235" s="6" t="str">
        <f>'Reported burning'!A1235</f>
        <v>142a</v>
      </c>
      <c r="B1235" s="6" t="str">
        <f>'Reported burning'!B1235</f>
        <v>142a.7</v>
      </c>
      <c r="C1235" s="6" t="str">
        <f>'Reported burning'!C1235</f>
        <v>Human, deliberate</v>
      </c>
      <c r="D1235" s="6" t="str">
        <f>'Reported burning'!D1235</f>
        <v>Pasture renewal</v>
      </c>
      <c r="E1235" s="6" t="str">
        <f>'Reported burning'!E1235</f>
        <v>Pastoralism, Migratory</v>
      </c>
      <c r="F1235" s="6" t="str">
        <f>'Reported burning'!F1235</f>
        <v>Grassland</v>
      </c>
      <c r="G1235" s="6" t="str">
        <f>'Reported burning'!G1235</f>
        <v>ND</v>
      </c>
      <c r="H1235" s="6" t="str">
        <f>'Reported burning'!H1235</f>
        <v>Presence</v>
      </c>
      <c r="I1235" s="3"/>
      <c r="J1235" s="3" t="s">
        <v>2276</v>
      </c>
      <c r="K1235" s="3" t="s">
        <v>2276</v>
      </c>
      <c r="L1235" s="3" t="s">
        <v>2276</v>
      </c>
      <c r="M1235" s="3" t="s">
        <v>2276</v>
      </c>
      <c r="N1235" s="3" t="s">
        <v>2276</v>
      </c>
      <c r="O1235" s="3" t="s">
        <v>2276</v>
      </c>
      <c r="P1235" s="3" t="s">
        <v>2276</v>
      </c>
      <c r="Q1235" s="3" t="s">
        <v>2276</v>
      </c>
      <c r="R1235" s="3" t="s">
        <v>2276</v>
      </c>
      <c r="S1235" s="3" t="s">
        <v>2276</v>
      </c>
      <c r="T1235" s="3" t="s">
        <v>2276</v>
      </c>
      <c r="U1235" s="3" t="s">
        <v>2276</v>
      </c>
      <c r="V1235" s="3" t="s">
        <v>2276</v>
      </c>
      <c r="W1235" s="3" t="s">
        <v>2276</v>
      </c>
      <c r="X1235" s="3" t="s">
        <v>2276</v>
      </c>
      <c r="Y1235" s="3" t="s">
        <v>2276</v>
      </c>
      <c r="Z1235" s="3" t="s">
        <v>2276</v>
      </c>
      <c r="AA1235" s="163"/>
      <c r="AB1235" s="3"/>
    </row>
    <row r="1236" spans="1:28" ht="31" customHeight="1">
      <c r="A1236" s="6" t="str">
        <f>'Reported burning'!A1236</f>
        <v>142a</v>
      </c>
      <c r="B1236" s="6" t="str">
        <f>'Reported burning'!B1236</f>
        <v>142a.8</v>
      </c>
      <c r="C1236" s="6" t="str">
        <f>'Reported burning'!C1236</f>
        <v>Human, deliberate</v>
      </c>
      <c r="D1236" s="6" t="str">
        <f>'Reported burning'!D1236</f>
        <v>Pest management</v>
      </c>
      <c r="E1236" s="6" t="str">
        <f>'Reported burning'!E1236</f>
        <v>Pastoralism, Migratory</v>
      </c>
      <c r="F1236" s="6" t="str">
        <f>'Reported burning'!F1236</f>
        <v>ND</v>
      </c>
      <c r="G1236" s="6" t="str">
        <f>'Reported burning'!G1236</f>
        <v>ND</v>
      </c>
      <c r="H1236" s="6" t="str">
        <f>'Reported burning'!H1236</f>
        <v>Presence</v>
      </c>
      <c r="I1236" s="3"/>
      <c r="J1236" s="3" t="s">
        <v>2276</v>
      </c>
      <c r="K1236" s="3" t="s">
        <v>2276</v>
      </c>
      <c r="L1236" s="3" t="s">
        <v>2276</v>
      </c>
      <c r="M1236" s="3" t="s">
        <v>2276</v>
      </c>
      <c r="N1236" s="3" t="s">
        <v>2276</v>
      </c>
      <c r="O1236" s="3" t="s">
        <v>2276</v>
      </c>
      <c r="P1236" s="3" t="s">
        <v>2276</v>
      </c>
      <c r="Q1236" s="3" t="s">
        <v>2276</v>
      </c>
      <c r="R1236" s="3" t="s">
        <v>2276</v>
      </c>
      <c r="S1236" s="3" t="s">
        <v>2276</v>
      </c>
      <c r="T1236" s="3" t="s">
        <v>2276</v>
      </c>
      <c r="U1236" s="3" t="s">
        <v>2276</v>
      </c>
      <c r="V1236" s="3" t="s">
        <v>2276</v>
      </c>
      <c r="W1236" s="3" t="s">
        <v>2276</v>
      </c>
      <c r="X1236" s="3" t="s">
        <v>2276</v>
      </c>
      <c r="Y1236" s="3" t="s">
        <v>2276</v>
      </c>
      <c r="Z1236" s="3" t="s">
        <v>2276</v>
      </c>
      <c r="AA1236" s="163"/>
      <c r="AB1236" s="3"/>
    </row>
    <row r="1237" spans="1:28" ht="31" customHeight="1">
      <c r="A1237" s="6" t="str">
        <f>'Reported burning'!A1237</f>
        <v>142a</v>
      </c>
      <c r="B1237" s="6" t="str">
        <f>'Reported burning'!B1237</f>
        <v>142a.9</v>
      </c>
      <c r="C1237" s="6" t="str">
        <f>'Reported burning'!C1237</f>
        <v>Human, deliberate</v>
      </c>
      <c r="D1237" s="6" t="str">
        <f>'Reported burning'!D1237</f>
        <v>Accessibility</v>
      </c>
      <c r="E1237" s="6" t="str">
        <f>'Reported burning'!E1237</f>
        <v>Forestry, Traditional</v>
      </c>
      <c r="F1237" s="6" t="str">
        <f>'Reported burning'!F1237</f>
        <v>Shrubland (Mixed forest &amp; grassland)</v>
      </c>
      <c r="G1237" s="6" t="str">
        <f>'Reported burning'!G1237</f>
        <v>ND</v>
      </c>
      <c r="H1237" s="6" t="str">
        <f>'Reported burning'!H1237</f>
        <v>Presence</v>
      </c>
      <c r="I1237" s="3"/>
      <c r="J1237" s="3" t="s">
        <v>2276</v>
      </c>
      <c r="K1237" s="3" t="s">
        <v>2276</v>
      </c>
      <c r="L1237" s="3" t="s">
        <v>2276</v>
      </c>
      <c r="M1237" s="3" t="s">
        <v>2276</v>
      </c>
      <c r="N1237" s="3" t="s">
        <v>2276</v>
      </c>
      <c r="O1237" s="3" t="s">
        <v>2276</v>
      </c>
      <c r="P1237" s="3" t="s">
        <v>2276</v>
      </c>
      <c r="Q1237" s="3" t="s">
        <v>2276</v>
      </c>
      <c r="R1237" s="3" t="s">
        <v>2276</v>
      </c>
      <c r="S1237" s="3" t="s">
        <v>2276</v>
      </c>
      <c r="T1237" s="3" t="s">
        <v>2276</v>
      </c>
      <c r="U1237" s="3" t="s">
        <v>2276</v>
      </c>
      <c r="V1237" s="3" t="s">
        <v>2276</v>
      </c>
      <c r="W1237" s="3" t="s">
        <v>2276</v>
      </c>
      <c r="X1237" s="3" t="s">
        <v>2276</v>
      </c>
      <c r="Y1237" s="3" t="s">
        <v>2276</v>
      </c>
      <c r="Z1237" s="3" t="s">
        <v>2276</v>
      </c>
      <c r="AA1237" s="163"/>
      <c r="AB1237" s="3"/>
    </row>
    <row r="1238" spans="1:28" ht="66" customHeight="1">
      <c r="A1238" s="6" t="str">
        <f>'Reported burning'!A1238</f>
        <v>142a</v>
      </c>
      <c r="B1238" s="6" t="str">
        <f>'Reported burning'!B1238</f>
        <v>142a.10</v>
      </c>
      <c r="C1238" s="6" t="str">
        <f>'Reported burning'!C1238</f>
        <v>All</v>
      </c>
      <c r="D1238" s="6" t="str">
        <f>'Reported burning'!D1238</f>
        <v>All</v>
      </c>
      <c r="E1238" s="6" t="str">
        <f>'Reported burning'!E1238</f>
        <v>All</v>
      </c>
      <c r="F1238" s="6" t="str">
        <f>'Reported burning'!F1238</f>
        <v>All</v>
      </c>
      <c r="G1238" s="6" t="str">
        <f>'Reported burning'!G1238</f>
        <v>All</v>
      </c>
      <c r="H1238" s="6" t="str">
        <f>'Reported burning'!H1238</f>
        <v>Presence</v>
      </c>
      <c r="I1238" s="3">
        <v>2000</v>
      </c>
      <c r="J1238" s="3" t="s">
        <v>2276</v>
      </c>
      <c r="K1238" s="3" t="s">
        <v>2276</v>
      </c>
      <c r="L1238" s="3" t="s">
        <v>2276</v>
      </c>
      <c r="M1238" s="3" t="s">
        <v>2276</v>
      </c>
      <c r="N1238" s="3" t="s">
        <v>2276</v>
      </c>
      <c r="O1238" s="3" t="s">
        <v>2276</v>
      </c>
      <c r="P1238" s="3" t="s">
        <v>2276</v>
      </c>
      <c r="Q1238" s="3" t="s">
        <v>2276</v>
      </c>
      <c r="R1238" s="3" t="s">
        <v>2276</v>
      </c>
      <c r="S1238" s="3" t="s">
        <v>2276</v>
      </c>
      <c r="T1238" s="3" t="s">
        <v>2276</v>
      </c>
      <c r="U1238" s="3" t="s">
        <v>2276</v>
      </c>
      <c r="V1238" s="3" t="s">
        <v>2376</v>
      </c>
      <c r="W1238" s="3" t="s">
        <v>2401</v>
      </c>
      <c r="X1238" s="3" t="s">
        <v>38</v>
      </c>
      <c r="Y1238" s="3" t="s">
        <v>68</v>
      </c>
      <c r="Z1238" s="3" t="s">
        <v>76</v>
      </c>
      <c r="AA1238" s="4" t="s">
        <v>3733</v>
      </c>
      <c r="AB1238" s="4" t="s">
        <v>3735</v>
      </c>
    </row>
    <row r="1239" spans="1:28" ht="70.5" customHeight="1">
      <c r="A1239" s="6" t="str">
        <f>'Reported burning'!A1239</f>
        <v>142a</v>
      </c>
      <c r="B1239" s="6" t="str">
        <f>'Reported burning'!B1239</f>
        <v>142a.11</v>
      </c>
      <c r="C1239" s="6" t="str">
        <f>'Reported burning'!C1239</f>
        <v>All</v>
      </c>
      <c r="D1239" s="6" t="str">
        <f>'Reported burning'!D1239</f>
        <v>All</v>
      </c>
      <c r="E1239" s="6" t="str">
        <f>'Reported burning'!E1239</f>
        <v>All</v>
      </c>
      <c r="F1239" s="6" t="str">
        <f>'Reported burning'!F1239</f>
        <v>All</v>
      </c>
      <c r="G1239" s="6" t="str">
        <f>'Reported burning'!G1239</f>
        <v>All</v>
      </c>
      <c r="H1239" s="6" t="str">
        <f>'Reported burning'!H1239</f>
        <v>Presence</v>
      </c>
      <c r="I1239" s="3">
        <v>2006</v>
      </c>
      <c r="J1239" s="3" t="s">
        <v>2276</v>
      </c>
      <c r="K1239" s="3" t="s">
        <v>2276</v>
      </c>
      <c r="L1239" s="3" t="s">
        <v>2276</v>
      </c>
      <c r="M1239" s="3" t="s">
        <v>2276</v>
      </c>
      <c r="N1239" s="3" t="s">
        <v>2276</v>
      </c>
      <c r="O1239" s="3" t="s">
        <v>2276</v>
      </c>
      <c r="P1239" s="3" t="s">
        <v>2276</v>
      </c>
      <c r="Q1239" s="3" t="s">
        <v>2276</v>
      </c>
      <c r="R1239" s="3" t="s">
        <v>2276</v>
      </c>
      <c r="S1239" s="3" t="s">
        <v>2276</v>
      </c>
      <c r="T1239" s="3" t="s">
        <v>2276</v>
      </c>
      <c r="U1239" s="3" t="s">
        <v>2276</v>
      </c>
      <c r="V1239" s="3" t="s">
        <v>2376</v>
      </c>
      <c r="W1239" s="3" t="s">
        <v>2402</v>
      </c>
      <c r="X1239" s="3" t="s">
        <v>38</v>
      </c>
      <c r="Y1239" s="3" t="s">
        <v>68</v>
      </c>
      <c r="Z1239" s="3" t="s">
        <v>2655</v>
      </c>
      <c r="AA1239" s="3" t="s">
        <v>3734</v>
      </c>
      <c r="AB1239" s="4" t="s">
        <v>3736</v>
      </c>
    </row>
    <row r="1240" spans="1:28" ht="40.5" customHeight="1">
      <c r="A1240" s="6" t="str">
        <f>'Reported burning'!A1240</f>
        <v>143a</v>
      </c>
      <c r="B1240" s="6" t="str">
        <f>'Reported burning'!B1240</f>
        <v>143a.1</v>
      </c>
      <c r="C1240" s="6" t="str">
        <f>'Reported burning'!C1240</f>
        <v>Human, deliberate</v>
      </c>
      <c r="D1240" s="6" t="str">
        <f>'Reported burning'!D1240</f>
        <v>Rangeland management</v>
      </c>
      <c r="E1240" s="6" t="str">
        <f>'Reported burning'!E1240</f>
        <v>Pastoralism, Migratory</v>
      </c>
      <c r="F1240" s="6" t="str">
        <f>'Reported burning'!F1240</f>
        <v>Shrubland (Mixed forest &amp; grassland)</v>
      </c>
      <c r="G1240" s="6" t="str">
        <f>'Reported burning'!G1240</f>
        <v>Shrubland (Mixed forest &amp; grassland)</v>
      </c>
      <c r="H1240" s="6" t="str">
        <f>'Reported burning'!H1240</f>
        <v>Presence</v>
      </c>
      <c r="I1240" s="3"/>
      <c r="J1240" s="3" t="s">
        <v>2276</v>
      </c>
      <c r="K1240" s="3" t="s">
        <v>2276</v>
      </c>
      <c r="L1240" s="3" t="s">
        <v>2276</v>
      </c>
      <c r="M1240" s="3" t="s">
        <v>2276</v>
      </c>
      <c r="N1240" s="3" t="s">
        <v>2377</v>
      </c>
      <c r="O1240" s="3" t="s">
        <v>2276</v>
      </c>
      <c r="P1240" s="3" t="s">
        <v>2276</v>
      </c>
      <c r="Q1240" s="3" t="s">
        <v>2276</v>
      </c>
      <c r="R1240" s="3" t="s">
        <v>2276</v>
      </c>
      <c r="S1240" s="3" t="s">
        <v>2276</v>
      </c>
      <c r="T1240" s="3" t="s">
        <v>2276</v>
      </c>
      <c r="U1240" s="3" t="s">
        <v>2276</v>
      </c>
      <c r="V1240" s="3" t="s">
        <v>2276</v>
      </c>
      <c r="W1240" s="3" t="s">
        <v>2276</v>
      </c>
      <c r="X1240" s="3" t="s">
        <v>68</v>
      </c>
      <c r="Y1240" s="3" t="s">
        <v>188</v>
      </c>
      <c r="Z1240" s="3" t="s">
        <v>76</v>
      </c>
      <c r="AA1240" s="4"/>
      <c r="AB1240" s="3"/>
    </row>
    <row r="1241" spans="1:28" ht="40.5" customHeight="1">
      <c r="A1241" s="6" t="str">
        <f>'Reported burning'!A1241</f>
        <v>143a</v>
      </c>
      <c r="B1241" s="6" t="str">
        <f>'Reported burning'!B1241</f>
        <v>143a.2</v>
      </c>
      <c r="C1241" s="6" t="str">
        <f>'Reported burning'!C1241</f>
        <v>Human, deliberate</v>
      </c>
      <c r="D1241" s="6" t="str">
        <f>'Reported burning'!D1241</f>
        <v>Pest management</v>
      </c>
      <c r="E1241" s="6" t="str">
        <f>'Reported burning'!E1241</f>
        <v>Pastoralism, Migratory</v>
      </c>
      <c r="F1241" s="6" t="str">
        <f>'Reported burning'!F1241</f>
        <v>Shrubland (Mixed forest &amp; grassland)</v>
      </c>
      <c r="G1241" s="6" t="str">
        <f>'Reported burning'!G1241</f>
        <v>Shrubland (Mixed forest &amp; grassland)</v>
      </c>
      <c r="H1241" s="6" t="str">
        <f>'Reported burning'!H1241</f>
        <v>Presence</v>
      </c>
      <c r="I1241" s="3"/>
      <c r="J1241" s="3" t="s">
        <v>2276</v>
      </c>
      <c r="K1241" s="3" t="s">
        <v>2276</v>
      </c>
      <c r="L1241" s="3" t="s">
        <v>2276</v>
      </c>
      <c r="M1241" s="3" t="s">
        <v>2276</v>
      </c>
      <c r="N1241" s="3" t="s">
        <v>2377</v>
      </c>
      <c r="O1241" s="3" t="s">
        <v>2276</v>
      </c>
      <c r="P1241" s="3" t="s">
        <v>2276</v>
      </c>
      <c r="Q1241" s="3" t="s">
        <v>2276</v>
      </c>
      <c r="R1241" s="3" t="s">
        <v>2276</v>
      </c>
      <c r="S1241" s="3" t="s">
        <v>2276</v>
      </c>
      <c r="T1241" s="3" t="s">
        <v>2276</v>
      </c>
      <c r="U1241" s="3" t="s">
        <v>2276</v>
      </c>
      <c r="V1241" s="3" t="s">
        <v>2276</v>
      </c>
      <c r="W1241" s="3" t="s">
        <v>2276</v>
      </c>
      <c r="X1241" s="3" t="s">
        <v>68</v>
      </c>
      <c r="Y1241" s="3" t="s">
        <v>188</v>
      </c>
      <c r="Z1241" s="3" t="s">
        <v>76</v>
      </c>
      <c r="AA1241" s="4" t="s">
        <v>3745</v>
      </c>
      <c r="AB1241" s="3"/>
    </row>
    <row r="1242" spans="1:28" ht="93" customHeight="1">
      <c r="A1242" s="6" t="str">
        <f>'Reported burning'!A1242</f>
        <v>143a</v>
      </c>
      <c r="B1242" s="6" t="str">
        <f>'Reported burning'!B1242</f>
        <v>143a.3</v>
      </c>
      <c r="C1242" s="6" t="str">
        <f>'Reported burning'!C1242</f>
        <v>Human, deliberate</v>
      </c>
      <c r="D1242" s="6" t="str">
        <f>'Reported burning'!D1242</f>
        <v>All</v>
      </c>
      <c r="E1242" s="6" t="str">
        <f>'Reported burning'!E1242</f>
        <v>Pastoralism, Migratory</v>
      </c>
      <c r="F1242" s="6" t="str">
        <f>'Reported burning'!F1242</f>
        <v>Shrubland (Mixed forest &amp; grassland)</v>
      </c>
      <c r="G1242" s="6" t="str">
        <f>'Reported burning'!G1242</f>
        <v>Shrubland (Mixed forest &amp; grassland)</v>
      </c>
      <c r="H1242" s="6" t="str">
        <f>'Reported burning'!H1242</f>
        <v>Presence</v>
      </c>
      <c r="I1242" s="3"/>
      <c r="J1242" s="3" t="s">
        <v>2370</v>
      </c>
      <c r="K1242" s="3" t="s">
        <v>2276</v>
      </c>
      <c r="L1242" s="3" t="s">
        <v>2276</v>
      </c>
      <c r="M1242" s="3" t="s">
        <v>2276</v>
      </c>
      <c r="N1242" s="3" t="s">
        <v>2377</v>
      </c>
      <c r="O1242" s="3" t="s">
        <v>2276</v>
      </c>
      <c r="P1242" s="3" t="s">
        <v>2276</v>
      </c>
      <c r="Q1242" s="3" t="s">
        <v>2276</v>
      </c>
      <c r="R1242" s="3" t="s">
        <v>2276</v>
      </c>
      <c r="S1242" s="3" t="s">
        <v>2276</v>
      </c>
      <c r="T1242" s="3" t="s">
        <v>2376</v>
      </c>
      <c r="U1242" s="3" t="s">
        <v>2276</v>
      </c>
      <c r="V1242" s="3" t="s">
        <v>2276</v>
      </c>
      <c r="W1242" s="3" t="s">
        <v>2276</v>
      </c>
      <c r="X1242" s="3" t="s">
        <v>68</v>
      </c>
      <c r="Y1242" s="3" t="s">
        <v>188</v>
      </c>
      <c r="Z1242" s="3" t="s">
        <v>76</v>
      </c>
      <c r="AA1242" s="4" t="s">
        <v>3744</v>
      </c>
      <c r="AB1242" s="4" t="s">
        <v>5004</v>
      </c>
    </row>
    <row r="1243" spans="1:28" ht="43.5">
      <c r="A1243" s="6" t="str">
        <f>'Reported burning'!A1243</f>
        <v>143a</v>
      </c>
      <c r="B1243" s="6" t="str">
        <f>'Reported burning'!B1243</f>
        <v>143a.4</v>
      </c>
      <c r="C1243" s="6" t="str">
        <f>'Reported burning'!C1243</f>
        <v>Human, deliberate</v>
      </c>
      <c r="D1243" s="6" t="str">
        <f>'Reported burning'!D1243</f>
        <v>All</v>
      </c>
      <c r="E1243" s="6" t="str">
        <f>'Reported burning'!E1243</f>
        <v>Pastoralism, Migratory</v>
      </c>
      <c r="F1243" s="6" t="str">
        <f>'Reported burning'!F1243</f>
        <v>Grassland</v>
      </c>
      <c r="G1243" s="6" t="str">
        <f>'Reported burning'!G1243</f>
        <v>Grassland</v>
      </c>
      <c r="H1243" s="6" t="str">
        <f>'Reported burning'!H1243</f>
        <v>Absence</v>
      </c>
      <c r="I1243" s="3"/>
      <c r="J1243" s="3">
        <v>0</v>
      </c>
      <c r="K1243" s="3">
        <v>0</v>
      </c>
      <c r="L1243" s="3">
        <v>0</v>
      </c>
      <c r="M1243" s="3">
        <v>0</v>
      </c>
      <c r="N1243" s="3">
        <v>0</v>
      </c>
      <c r="O1243" s="3">
        <v>0</v>
      </c>
      <c r="P1243" s="3">
        <v>0</v>
      </c>
      <c r="Q1243" s="3">
        <v>0</v>
      </c>
      <c r="R1243" s="3">
        <v>0</v>
      </c>
      <c r="S1243" s="3">
        <v>0</v>
      </c>
      <c r="T1243" s="3">
        <v>0</v>
      </c>
      <c r="U1243" s="3">
        <v>0</v>
      </c>
      <c r="V1243" s="3">
        <v>0</v>
      </c>
      <c r="W1243" s="3">
        <v>0</v>
      </c>
      <c r="X1243" s="3" t="s">
        <v>2276</v>
      </c>
      <c r="Y1243" s="3" t="s">
        <v>2276</v>
      </c>
      <c r="Z1243" s="3" t="s">
        <v>2276</v>
      </c>
      <c r="AA1243" s="4" t="s">
        <v>3746</v>
      </c>
      <c r="AB1243" s="3"/>
    </row>
    <row r="1244" spans="1:28" ht="29">
      <c r="A1244" s="6" t="str">
        <f>'Reported burning'!A1244</f>
        <v>143a</v>
      </c>
      <c r="B1244" s="6" t="str">
        <f>'Reported burning'!B1244</f>
        <v>143a.5</v>
      </c>
      <c r="C1244" s="6" t="str">
        <f>'Reported burning'!C1244</f>
        <v>Lightning</v>
      </c>
      <c r="D1244" s="6" t="str">
        <f>'Reported burning'!D1244</f>
        <v>ND</v>
      </c>
      <c r="E1244" s="6" t="str">
        <f>'Reported burning'!E1244</f>
        <v>ND</v>
      </c>
      <c r="F1244" s="6" t="str">
        <f>'Reported burning'!F1244</f>
        <v>ND</v>
      </c>
      <c r="G1244" s="6" t="str">
        <f>'Reported burning'!G1244</f>
        <v>ND</v>
      </c>
      <c r="H1244" s="6" t="str">
        <f>'Reported burning'!H1244</f>
        <v>Absence</v>
      </c>
      <c r="I1244" s="3"/>
      <c r="J1244" s="3">
        <v>0</v>
      </c>
      <c r="K1244" s="3">
        <v>0</v>
      </c>
      <c r="L1244" s="3">
        <v>0</v>
      </c>
      <c r="M1244" s="3">
        <v>0</v>
      </c>
      <c r="N1244" s="3">
        <v>0</v>
      </c>
      <c r="O1244" s="3">
        <v>0</v>
      </c>
      <c r="P1244" s="3">
        <v>0</v>
      </c>
      <c r="Q1244" s="3">
        <v>0</v>
      </c>
      <c r="R1244" s="3">
        <v>0</v>
      </c>
      <c r="S1244" s="3">
        <v>0</v>
      </c>
      <c r="T1244" s="3">
        <v>0</v>
      </c>
      <c r="U1244" s="3">
        <v>0</v>
      </c>
      <c r="V1244" s="3">
        <v>0</v>
      </c>
      <c r="W1244" s="3">
        <v>0</v>
      </c>
      <c r="X1244" s="3" t="s">
        <v>2276</v>
      </c>
      <c r="Y1244" s="3" t="s">
        <v>2276</v>
      </c>
      <c r="Z1244" s="3" t="s">
        <v>2276</v>
      </c>
      <c r="AA1244" s="4" t="s">
        <v>3747</v>
      </c>
      <c r="AB1244" s="3"/>
    </row>
    <row r="1245" spans="1:28" ht="30" customHeight="1">
      <c r="A1245" s="6" t="str">
        <f>'Reported burning'!A1245</f>
        <v>144a</v>
      </c>
      <c r="B1245" s="6" t="str">
        <f>'Reported burning'!B1245</f>
        <v>144a.1</v>
      </c>
      <c r="C1245" s="6" t="str">
        <f>'Reported burning'!C1245</f>
        <v>Human, deliberate</v>
      </c>
      <c r="D1245" s="6" t="str">
        <f>'Reported burning'!D1245</f>
        <v>Pasture renewal</v>
      </c>
      <c r="E1245" s="6" t="str">
        <f>'Reported burning'!E1245</f>
        <v>Pastoralism, Migratory</v>
      </c>
      <c r="F1245" s="6" t="str">
        <f>'Reported burning'!F1245</f>
        <v>Shrubland (Mixed forest &amp; grassland)</v>
      </c>
      <c r="G1245" s="6" t="str">
        <f>'Reported burning'!G1245</f>
        <v>ND</v>
      </c>
      <c r="H1245" s="6" t="str">
        <f>'Reported burning'!H1245</f>
        <v>Absence</v>
      </c>
      <c r="I1245" s="3"/>
      <c r="J1245" s="3">
        <v>0</v>
      </c>
      <c r="K1245" s="3">
        <v>0</v>
      </c>
      <c r="L1245" s="3">
        <v>0</v>
      </c>
      <c r="M1245" s="3">
        <v>0</v>
      </c>
      <c r="N1245" s="3">
        <v>0</v>
      </c>
      <c r="O1245" s="3">
        <v>0</v>
      </c>
      <c r="P1245" s="3">
        <v>0</v>
      </c>
      <c r="Q1245" s="3">
        <v>0</v>
      </c>
      <c r="R1245" s="3">
        <v>0</v>
      </c>
      <c r="S1245" s="3">
        <v>0</v>
      </c>
      <c r="T1245" s="3">
        <v>0</v>
      </c>
      <c r="U1245" s="3">
        <v>0</v>
      </c>
      <c r="V1245" s="3">
        <v>0</v>
      </c>
      <c r="W1245" s="3">
        <v>0</v>
      </c>
      <c r="X1245" s="3" t="s">
        <v>2276</v>
      </c>
      <c r="Y1245" s="3" t="s">
        <v>2276</v>
      </c>
      <c r="Z1245" s="3" t="s">
        <v>2276</v>
      </c>
      <c r="AA1245" s="3"/>
      <c r="AB1245" s="3"/>
    </row>
    <row r="1246" spans="1:28" ht="30" customHeight="1">
      <c r="A1246" s="6" t="str">
        <f>'Reported burning'!A1246</f>
        <v>144a</v>
      </c>
      <c r="B1246" s="6" t="str">
        <f>'Reported burning'!B1246</f>
        <v>144a.2</v>
      </c>
      <c r="C1246" s="6" t="str">
        <f>'Reported burning'!C1246</f>
        <v>Human, deliberate</v>
      </c>
      <c r="D1246" s="6" t="str">
        <f>'Reported burning'!D1246</f>
        <v>Forest clearance</v>
      </c>
      <c r="E1246" s="6" t="str">
        <f>'Reported burning'!E1246</f>
        <v>Pastoralism, Migratory</v>
      </c>
      <c r="F1246" s="6" t="str">
        <f>'Reported burning'!F1246</f>
        <v>Forest</v>
      </c>
      <c r="G1246" s="6" t="str">
        <f>'Reported burning'!G1246</f>
        <v>ND</v>
      </c>
      <c r="H1246" s="6" t="str">
        <f>'Reported burning'!H1246</f>
        <v>Absence</v>
      </c>
      <c r="I1246" s="3"/>
      <c r="J1246" s="3">
        <v>0</v>
      </c>
      <c r="K1246" s="3">
        <v>0</v>
      </c>
      <c r="L1246" s="3">
        <v>0</v>
      </c>
      <c r="M1246" s="3">
        <v>0</v>
      </c>
      <c r="N1246" s="3">
        <v>0</v>
      </c>
      <c r="O1246" s="3">
        <v>0</v>
      </c>
      <c r="P1246" s="3">
        <v>0</v>
      </c>
      <c r="Q1246" s="3">
        <v>0</v>
      </c>
      <c r="R1246" s="3">
        <v>0</v>
      </c>
      <c r="S1246" s="3">
        <v>0</v>
      </c>
      <c r="T1246" s="3">
        <v>0</v>
      </c>
      <c r="U1246" s="3">
        <v>0</v>
      </c>
      <c r="V1246" s="3">
        <v>0</v>
      </c>
      <c r="W1246" s="3">
        <v>0</v>
      </c>
      <c r="X1246" s="3" t="s">
        <v>2276</v>
      </c>
      <c r="Y1246" s="3" t="s">
        <v>2276</v>
      </c>
      <c r="Z1246" s="3" t="s">
        <v>2276</v>
      </c>
      <c r="AA1246" s="3"/>
      <c r="AB1246" s="3"/>
    </row>
    <row r="1247" spans="1:28" ht="30" customHeight="1">
      <c r="A1247" s="6" t="str">
        <f>'Reported burning'!A1247</f>
        <v>144a</v>
      </c>
      <c r="B1247" s="6" t="str">
        <f>'Reported burning'!B1247</f>
        <v>144a.3</v>
      </c>
      <c r="C1247" s="6" t="str">
        <f>'Reported burning'!C1247</f>
        <v>Human, deliberate</v>
      </c>
      <c r="D1247" s="6" t="str">
        <f>'Reported burning'!D1247</f>
        <v>Pasture renewal</v>
      </c>
      <c r="E1247" s="6" t="str">
        <f>'Reported burning'!E1247</f>
        <v>Pastoralism, Migratory</v>
      </c>
      <c r="F1247" s="6" t="str">
        <f>'Reported burning'!F1247</f>
        <v>Pasture</v>
      </c>
      <c r="G1247" s="6" t="str">
        <f>'Reported burning'!G1247</f>
        <v>ND</v>
      </c>
      <c r="H1247" s="6" t="str">
        <f>'Reported burning'!H1247</f>
        <v>Absence</v>
      </c>
      <c r="I1247" s="3"/>
      <c r="J1247" s="3">
        <v>0</v>
      </c>
      <c r="K1247" s="3">
        <v>0</v>
      </c>
      <c r="L1247" s="3">
        <v>0</v>
      </c>
      <c r="M1247" s="3">
        <v>0</v>
      </c>
      <c r="N1247" s="3">
        <v>0</v>
      </c>
      <c r="O1247" s="3">
        <v>0</v>
      </c>
      <c r="P1247" s="3">
        <v>0</v>
      </c>
      <c r="Q1247" s="3">
        <v>0</v>
      </c>
      <c r="R1247" s="3">
        <v>0</v>
      </c>
      <c r="S1247" s="3">
        <v>0</v>
      </c>
      <c r="T1247" s="3">
        <v>0</v>
      </c>
      <c r="U1247" s="3">
        <v>0</v>
      </c>
      <c r="V1247" s="3">
        <v>0</v>
      </c>
      <c r="W1247" s="3">
        <v>0</v>
      </c>
      <c r="X1247" s="3" t="s">
        <v>2276</v>
      </c>
      <c r="Y1247" s="3" t="s">
        <v>2276</v>
      </c>
      <c r="Z1247" s="3" t="s">
        <v>2276</v>
      </c>
      <c r="AA1247" s="3"/>
      <c r="AB1247" s="3"/>
    </row>
    <row r="1248" spans="1:28" ht="30" customHeight="1">
      <c r="A1248" s="6" t="str">
        <f>'Reported burning'!A1248</f>
        <v>144b</v>
      </c>
      <c r="B1248" s="6" t="str">
        <f>'Reported burning'!B1248</f>
        <v>144b.1</v>
      </c>
      <c r="C1248" s="6" t="str">
        <f>'Reported burning'!C1248</f>
        <v>Human, deliberate</v>
      </c>
      <c r="D1248" s="6" t="str">
        <f>'Reported burning'!D1248</f>
        <v>Pasture renewal</v>
      </c>
      <c r="E1248" s="6" t="str">
        <f>'Reported burning'!E1248</f>
        <v>Pastoralism, Migratory</v>
      </c>
      <c r="F1248" s="6" t="str">
        <f>'Reported burning'!F1248</f>
        <v>Shrubland (Mixed forest &amp; grassland)</v>
      </c>
      <c r="G1248" s="6" t="str">
        <f>'Reported burning'!G1248</f>
        <v>ND</v>
      </c>
      <c r="H1248" s="6" t="str">
        <f>'Reported burning'!H1248</f>
        <v>Absence</v>
      </c>
      <c r="I1248" s="3"/>
      <c r="J1248" s="3">
        <v>0</v>
      </c>
      <c r="K1248" s="3">
        <v>0</v>
      </c>
      <c r="L1248" s="3">
        <v>0</v>
      </c>
      <c r="M1248" s="3">
        <v>0</v>
      </c>
      <c r="N1248" s="3">
        <v>0</v>
      </c>
      <c r="O1248" s="3">
        <v>0</v>
      </c>
      <c r="P1248" s="3">
        <v>0</v>
      </c>
      <c r="Q1248" s="3">
        <v>0</v>
      </c>
      <c r="R1248" s="3">
        <v>0</v>
      </c>
      <c r="S1248" s="3">
        <v>0</v>
      </c>
      <c r="T1248" s="3">
        <v>0</v>
      </c>
      <c r="U1248" s="3">
        <v>0</v>
      </c>
      <c r="V1248" s="3">
        <v>0</v>
      </c>
      <c r="W1248" s="3">
        <v>0</v>
      </c>
      <c r="X1248" s="3" t="s">
        <v>2276</v>
      </c>
      <c r="Y1248" s="3" t="s">
        <v>2276</v>
      </c>
      <c r="Z1248" s="3" t="s">
        <v>2276</v>
      </c>
      <c r="AA1248" s="3"/>
      <c r="AB1248" s="3"/>
    </row>
    <row r="1249" spans="1:28" ht="30" customHeight="1">
      <c r="A1249" s="6" t="str">
        <f>'Reported burning'!A1249</f>
        <v>144b</v>
      </c>
      <c r="B1249" s="6" t="str">
        <f>'Reported burning'!B1249</f>
        <v>144b.2</v>
      </c>
      <c r="C1249" s="6" t="str">
        <f>'Reported burning'!C1249</f>
        <v>Human, deliberate</v>
      </c>
      <c r="D1249" s="6" t="str">
        <f>'Reported burning'!D1249</f>
        <v>Forest clearance</v>
      </c>
      <c r="E1249" s="6" t="str">
        <f>'Reported burning'!E1249</f>
        <v>Pastoralism, Migratory</v>
      </c>
      <c r="F1249" s="6" t="str">
        <f>'Reported burning'!F1249</f>
        <v>Forest</v>
      </c>
      <c r="G1249" s="6" t="str">
        <f>'Reported burning'!G1249</f>
        <v>ND</v>
      </c>
      <c r="H1249" s="6" t="str">
        <f>'Reported burning'!H1249</f>
        <v>Absence</v>
      </c>
      <c r="I1249" s="3"/>
      <c r="J1249" s="3">
        <v>0</v>
      </c>
      <c r="K1249" s="3">
        <v>0</v>
      </c>
      <c r="L1249" s="3">
        <v>0</v>
      </c>
      <c r="M1249" s="3">
        <v>0</v>
      </c>
      <c r="N1249" s="3">
        <v>0</v>
      </c>
      <c r="O1249" s="3">
        <v>0</v>
      </c>
      <c r="P1249" s="3">
        <v>0</v>
      </c>
      <c r="Q1249" s="3">
        <v>0</v>
      </c>
      <c r="R1249" s="3">
        <v>0</v>
      </c>
      <c r="S1249" s="3">
        <v>0</v>
      </c>
      <c r="T1249" s="3">
        <v>0</v>
      </c>
      <c r="U1249" s="3">
        <v>0</v>
      </c>
      <c r="V1249" s="3">
        <v>0</v>
      </c>
      <c r="W1249" s="3">
        <v>0</v>
      </c>
      <c r="X1249" s="3" t="s">
        <v>2276</v>
      </c>
      <c r="Y1249" s="3" t="s">
        <v>2276</v>
      </c>
      <c r="Z1249" s="3" t="s">
        <v>2276</v>
      </c>
      <c r="AA1249" s="3"/>
      <c r="AB1249" s="3"/>
    </row>
    <row r="1250" spans="1:28" ht="30" customHeight="1">
      <c r="A1250" s="6" t="str">
        <f>'Reported burning'!A1250</f>
        <v>144b</v>
      </c>
      <c r="B1250" s="6" t="str">
        <f>'Reported burning'!B1250</f>
        <v>144b.3</v>
      </c>
      <c r="C1250" s="6" t="str">
        <f>'Reported burning'!C1250</f>
        <v>Human, deliberate</v>
      </c>
      <c r="D1250" s="6" t="str">
        <f>'Reported burning'!D1250</f>
        <v>Pasture renewal</v>
      </c>
      <c r="E1250" s="6" t="str">
        <f>'Reported burning'!E1250</f>
        <v>Pastoralism, Migratory</v>
      </c>
      <c r="F1250" s="6" t="str">
        <f>'Reported burning'!F1250</f>
        <v>Pasture</v>
      </c>
      <c r="G1250" s="6" t="str">
        <f>'Reported burning'!G1250</f>
        <v>ND</v>
      </c>
      <c r="H1250" s="6" t="str">
        <f>'Reported burning'!H1250</f>
        <v>Absence</v>
      </c>
      <c r="I1250" s="3"/>
      <c r="J1250" s="3">
        <v>0</v>
      </c>
      <c r="K1250" s="3">
        <v>0</v>
      </c>
      <c r="L1250" s="3">
        <v>0</v>
      </c>
      <c r="M1250" s="3">
        <v>0</v>
      </c>
      <c r="N1250" s="3">
        <v>0</v>
      </c>
      <c r="O1250" s="3">
        <v>0</v>
      </c>
      <c r="P1250" s="3">
        <v>0</v>
      </c>
      <c r="Q1250" s="3">
        <v>0</v>
      </c>
      <c r="R1250" s="3">
        <v>0</v>
      </c>
      <c r="S1250" s="3">
        <v>0</v>
      </c>
      <c r="T1250" s="3">
        <v>0</v>
      </c>
      <c r="U1250" s="3">
        <v>0</v>
      </c>
      <c r="V1250" s="3">
        <v>0</v>
      </c>
      <c r="W1250" s="3">
        <v>0</v>
      </c>
      <c r="X1250" s="3" t="s">
        <v>2276</v>
      </c>
      <c r="Y1250" s="3" t="s">
        <v>2276</v>
      </c>
      <c r="Z1250" s="3" t="s">
        <v>2276</v>
      </c>
      <c r="AA1250" s="3"/>
      <c r="AB1250" s="3"/>
    </row>
    <row r="1251" spans="1:28" ht="30" customHeight="1">
      <c r="A1251" s="6" t="str">
        <f>'Reported burning'!A1251</f>
        <v>144b</v>
      </c>
      <c r="B1251" s="6" t="str">
        <f>'Reported burning'!B1251</f>
        <v>144b.4</v>
      </c>
      <c r="C1251" s="6" t="str">
        <f>'Reported burning'!C1251</f>
        <v>Human, deliberate</v>
      </c>
      <c r="D1251" s="6" t="str">
        <f>'Reported burning'!D1251</f>
        <v>Crop field preparation</v>
      </c>
      <c r="E1251" s="6" t="str">
        <f>'Reported burning'!E1251</f>
        <v>Cropping, Swidden</v>
      </c>
      <c r="F1251" s="6" t="str">
        <f>'Reported burning'!F1251</f>
        <v>Forest</v>
      </c>
      <c r="G1251" s="6" t="str">
        <f>'Reported burning'!G1251</f>
        <v>ND</v>
      </c>
      <c r="H1251" s="6" t="str">
        <f>'Reported burning'!H1251</f>
        <v>Presence</v>
      </c>
      <c r="I1251" s="3"/>
      <c r="J1251" s="3" t="s">
        <v>2276</v>
      </c>
      <c r="K1251" s="3" t="s">
        <v>2276</v>
      </c>
      <c r="L1251" s="3" t="s">
        <v>2276</v>
      </c>
      <c r="M1251" s="3" t="s">
        <v>2276</v>
      </c>
      <c r="N1251" s="3" t="s">
        <v>2276</v>
      </c>
      <c r="O1251" s="3" t="s">
        <v>2276</v>
      </c>
      <c r="P1251" s="3" t="s">
        <v>2276</v>
      </c>
      <c r="Q1251" s="3" t="s">
        <v>2276</v>
      </c>
      <c r="R1251" s="3" t="s">
        <v>2276</v>
      </c>
      <c r="S1251" s="3" t="s">
        <v>2276</v>
      </c>
      <c r="T1251" s="3" t="s">
        <v>2276</v>
      </c>
      <c r="U1251" s="3" t="s">
        <v>2276</v>
      </c>
      <c r="V1251" s="3" t="s">
        <v>2276</v>
      </c>
      <c r="W1251" s="3" t="s">
        <v>2276</v>
      </c>
      <c r="X1251" s="3" t="s">
        <v>2276</v>
      </c>
      <c r="Y1251" s="3" t="s">
        <v>2276</v>
      </c>
      <c r="Z1251" s="3" t="s">
        <v>2276</v>
      </c>
      <c r="AA1251" s="3"/>
      <c r="AB1251" s="3"/>
    </row>
    <row r="1252" spans="1:28" ht="30" customHeight="1">
      <c r="A1252" s="6" t="str">
        <f>'Reported burning'!A1252</f>
        <v>144b</v>
      </c>
      <c r="B1252" s="6" t="str">
        <f>'Reported burning'!B1252</f>
        <v>144b.5</v>
      </c>
      <c r="C1252" s="6" t="str">
        <f>'Reported burning'!C1252</f>
        <v>Human, deliberate</v>
      </c>
      <c r="D1252" s="6" t="str">
        <f>'Reported burning'!D1252</f>
        <v>Crop field preparation</v>
      </c>
      <c r="E1252" s="6" t="str">
        <f>'Reported burning'!E1252</f>
        <v>Cropping, Swidden</v>
      </c>
      <c r="F1252" s="6" t="str">
        <f>'Reported burning'!F1252</f>
        <v>Secondary Vegetation</v>
      </c>
      <c r="G1252" s="6" t="str">
        <f>'Reported burning'!G1252</f>
        <v>ND</v>
      </c>
      <c r="H1252" s="6" t="str">
        <f>'Reported burning'!H1252</f>
        <v>Presence</v>
      </c>
      <c r="I1252" s="3"/>
      <c r="J1252" s="3" t="s">
        <v>2276</v>
      </c>
      <c r="K1252" s="3" t="s">
        <v>2276</v>
      </c>
      <c r="L1252" s="3" t="s">
        <v>2276</v>
      </c>
      <c r="M1252" s="3" t="s">
        <v>2276</v>
      </c>
      <c r="N1252" s="3" t="s">
        <v>2276</v>
      </c>
      <c r="O1252" s="3" t="s">
        <v>2276</v>
      </c>
      <c r="P1252" s="3" t="s">
        <v>2276</v>
      </c>
      <c r="Q1252" s="3" t="s">
        <v>2276</v>
      </c>
      <c r="R1252" s="3" t="s">
        <v>2276</v>
      </c>
      <c r="S1252" s="3" t="s">
        <v>2276</v>
      </c>
      <c r="T1252" s="3" t="s">
        <v>2276</v>
      </c>
      <c r="U1252" s="3" t="s">
        <v>2276</v>
      </c>
      <c r="V1252" s="3" t="s">
        <v>2276</v>
      </c>
      <c r="W1252" s="3" t="s">
        <v>2276</v>
      </c>
      <c r="X1252" s="3" t="s">
        <v>2276</v>
      </c>
      <c r="Y1252" s="3" t="s">
        <v>2276</v>
      </c>
      <c r="Z1252" s="3" t="s">
        <v>2276</v>
      </c>
      <c r="AA1252" s="3"/>
      <c r="AB1252" s="3"/>
    </row>
    <row r="1253" spans="1:28" ht="51" customHeight="1">
      <c r="A1253" s="6" t="str">
        <f>'Reported burning'!A1253</f>
        <v>145a</v>
      </c>
      <c r="B1253" s="6" t="str">
        <f>'Reported burning'!B1253</f>
        <v>145a.1</v>
      </c>
      <c r="C1253" s="6" t="str">
        <f>'Reported burning'!C1253</f>
        <v>Human, deliberate</v>
      </c>
      <c r="D1253" s="6" t="str">
        <f>'Reported burning'!D1253</f>
        <v>Pasture renewal</v>
      </c>
      <c r="E1253" s="6" t="str">
        <f>'Reported burning'!E1253</f>
        <v>Cattle, Extensive</v>
      </c>
      <c r="F1253" s="6" t="str">
        <f>'Reported burning'!F1253</f>
        <v>Pasture</v>
      </c>
      <c r="G1253" s="6" t="str">
        <f>'Reported burning'!G1253</f>
        <v>ND</v>
      </c>
      <c r="H1253" s="6" t="str">
        <f>'Reported burning'!H1253</f>
        <v>Presence</v>
      </c>
      <c r="I1253" s="3"/>
      <c r="J1253" s="3" t="s">
        <v>2276</v>
      </c>
      <c r="K1253" s="3" t="s">
        <v>2276</v>
      </c>
      <c r="L1253" s="3" t="s">
        <v>2276</v>
      </c>
      <c r="M1253" s="3" t="s">
        <v>2276</v>
      </c>
      <c r="N1253" s="3" t="s">
        <v>2276</v>
      </c>
      <c r="O1253" s="3" t="s">
        <v>2276</v>
      </c>
      <c r="P1253" s="3" t="s">
        <v>2276</v>
      </c>
      <c r="Q1253" s="3" t="s">
        <v>2276</v>
      </c>
      <c r="R1253" s="3" t="s">
        <v>2276</v>
      </c>
      <c r="S1253" s="3" t="s">
        <v>2276</v>
      </c>
      <c r="T1253" s="3" t="s">
        <v>2276</v>
      </c>
      <c r="U1253" s="3" t="s">
        <v>2276</v>
      </c>
      <c r="V1253" s="3" t="s">
        <v>2276</v>
      </c>
      <c r="W1253" s="3" t="s">
        <v>2401</v>
      </c>
      <c r="X1253" s="3" t="s">
        <v>2276</v>
      </c>
      <c r="Y1253" s="3" t="s">
        <v>2276</v>
      </c>
      <c r="Z1253" s="3" t="s">
        <v>2276</v>
      </c>
      <c r="AA1253" s="4"/>
      <c r="AB1253" s="4" t="s">
        <v>3777</v>
      </c>
    </row>
    <row r="1254" spans="1:28" ht="48" customHeight="1">
      <c r="A1254" s="6" t="str">
        <f>'Reported burning'!A1254</f>
        <v>145a</v>
      </c>
      <c r="B1254" s="6" t="str">
        <f>'Reported burning'!B1254</f>
        <v>145a.2</v>
      </c>
      <c r="C1254" s="6" t="str">
        <f>'Reported burning'!C1254</f>
        <v>Human, deliberate</v>
      </c>
      <c r="D1254" s="6" t="str">
        <f>'Reported burning'!D1254</f>
        <v>Hunting</v>
      </c>
      <c r="E1254" s="6" t="str">
        <f>'Reported burning'!E1254</f>
        <v>Forestry, Traditional</v>
      </c>
      <c r="F1254" s="6" t="str">
        <f>'Reported burning'!F1254</f>
        <v>Grassland</v>
      </c>
      <c r="G1254" s="6" t="str">
        <f>'Reported burning'!G1254</f>
        <v>ND</v>
      </c>
      <c r="H1254" s="6" t="str">
        <f>'Reported burning'!H1254</f>
        <v>Presence</v>
      </c>
      <c r="I1254" s="3"/>
      <c r="J1254" s="3" t="s">
        <v>2276</v>
      </c>
      <c r="K1254" s="3" t="s">
        <v>2276</v>
      </c>
      <c r="L1254" s="3" t="s">
        <v>2276</v>
      </c>
      <c r="M1254" s="3" t="s">
        <v>2276</v>
      </c>
      <c r="N1254" s="3" t="s">
        <v>2276</v>
      </c>
      <c r="O1254" s="3" t="s">
        <v>2276</v>
      </c>
      <c r="P1254" s="3" t="s">
        <v>2276</v>
      </c>
      <c r="Q1254" s="3" t="s">
        <v>2276</v>
      </c>
      <c r="R1254" s="3" t="s">
        <v>2276</v>
      </c>
      <c r="S1254" s="3" t="s">
        <v>2276</v>
      </c>
      <c r="T1254" s="3" t="s">
        <v>2276</v>
      </c>
      <c r="U1254" s="3" t="s">
        <v>2276</v>
      </c>
      <c r="V1254" s="3" t="s">
        <v>2276</v>
      </c>
      <c r="W1254" s="3" t="s">
        <v>2276</v>
      </c>
      <c r="X1254" s="3" t="s">
        <v>2276</v>
      </c>
      <c r="Y1254" s="3" t="s">
        <v>2276</v>
      </c>
      <c r="Z1254" s="3" t="s">
        <v>2276</v>
      </c>
      <c r="AA1254" s="4" t="s">
        <v>3778</v>
      </c>
      <c r="AB1254" s="3"/>
    </row>
    <row r="1255" spans="1:28" ht="55.5" customHeight="1">
      <c r="A1255" s="6" t="str">
        <f>'Reported burning'!A1255</f>
        <v>145a</v>
      </c>
      <c r="B1255" s="6" t="str">
        <f>'Reported burning'!B1255</f>
        <v>145a.3</v>
      </c>
      <c r="C1255" s="6" t="str">
        <f>'Reported burning'!C1255</f>
        <v>Human, deliberate</v>
      </c>
      <c r="D1255" s="6" t="str">
        <f>'Reported burning'!D1255</f>
        <v>Conservation</v>
      </c>
      <c r="E1255" s="6" t="str">
        <f>'Reported burning'!E1255</f>
        <v>Biodiversity conservation</v>
      </c>
      <c r="F1255" s="6" t="str">
        <f>'Reported burning'!F1255</f>
        <v>Grassland</v>
      </c>
      <c r="G1255" s="6" t="str">
        <f>'Reported burning'!G1255</f>
        <v>ND</v>
      </c>
      <c r="H1255" s="6" t="str">
        <f>'Reported burning'!H1255</f>
        <v>Presence</v>
      </c>
      <c r="I1255" s="3"/>
      <c r="J1255" s="3" t="s">
        <v>2276</v>
      </c>
      <c r="K1255" s="3" t="s">
        <v>2276</v>
      </c>
      <c r="L1255" s="3" t="s">
        <v>2276</v>
      </c>
      <c r="M1255" s="3" t="s">
        <v>2276</v>
      </c>
      <c r="N1255" s="3" t="s">
        <v>2276</v>
      </c>
      <c r="O1255" s="3" t="s">
        <v>2276</v>
      </c>
      <c r="P1255" s="3" t="s">
        <v>2276</v>
      </c>
      <c r="Q1255" s="3" t="s">
        <v>2276</v>
      </c>
      <c r="R1255" s="3" t="s">
        <v>2276</v>
      </c>
      <c r="S1255" s="3" t="s">
        <v>2276</v>
      </c>
      <c r="T1255" s="3" t="s">
        <v>2276</v>
      </c>
      <c r="U1255" s="3" t="s">
        <v>2276</v>
      </c>
      <c r="V1255" s="3" t="s">
        <v>2276</v>
      </c>
      <c r="W1255" s="3" t="s">
        <v>2276</v>
      </c>
      <c r="X1255" s="3" t="s">
        <v>2276</v>
      </c>
      <c r="Y1255" s="3" t="s">
        <v>2276</v>
      </c>
      <c r="Z1255" s="3" t="s">
        <v>2276</v>
      </c>
      <c r="AA1255" s="4" t="s">
        <v>3779</v>
      </c>
      <c r="AB1255" s="3"/>
    </row>
    <row r="1256" spans="1:28" ht="48" customHeight="1">
      <c r="A1256" s="6" t="str">
        <f>'Reported burning'!A1256</f>
        <v>146a</v>
      </c>
      <c r="B1256" s="6" t="str">
        <f>'Reported burning'!B1256</f>
        <v>146a.1</v>
      </c>
      <c r="C1256" s="6" t="str">
        <f>'Reported burning'!C1256</f>
        <v>Human, deliberate</v>
      </c>
      <c r="D1256" s="6" t="str">
        <f>'Reported burning'!D1256</f>
        <v>Pasture renewal</v>
      </c>
      <c r="E1256" s="6" t="str">
        <f>'Reported burning'!E1256</f>
        <v>Cattle, Extensive</v>
      </c>
      <c r="F1256" s="6" t="str">
        <f>'Reported burning'!F1256</f>
        <v>Pasture</v>
      </c>
      <c r="G1256" s="6" t="str">
        <f>'Reported burning'!G1256</f>
        <v>ND</v>
      </c>
      <c r="H1256" s="6" t="str">
        <f>'Reported burning'!H1256</f>
        <v>Presence</v>
      </c>
      <c r="I1256" s="3"/>
      <c r="J1256" s="3" t="s">
        <v>2276</v>
      </c>
      <c r="K1256" s="3" t="s">
        <v>2276</v>
      </c>
      <c r="L1256" s="3" t="s">
        <v>2276</v>
      </c>
      <c r="M1256" s="3" t="s">
        <v>2276</v>
      </c>
      <c r="N1256" s="3" t="s">
        <v>2276</v>
      </c>
      <c r="O1256" s="3" t="s">
        <v>2276</v>
      </c>
      <c r="P1256" s="3" t="s">
        <v>2276</v>
      </c>
      <c r="Q1256" s="3" t="s">
        <v>2276</v>
      </c>
      <c r="R1256" s="3" t="s">
        <v>2276</v>
      </c>
      <c r="S1256" s="3" t="s">
        <v>2276</v>
      </c>
      <c r="T1256" s="3" t="s">
        <v>2276</v>
      </c>
      <c r="U1256" s="3" t="s">
        <v>2276</v>
      </c>
      <c r="V1256" s="3" t="s">
        <v>2276</v>
      </c>
      <c r="W1256" s="3" t="s">
        <v>2276</v>
      </c>
      <c r="X1256" s="3" t="s">
        <v>399</v>
      </c>
      <c r="Y1256" s="3" t="s">
        <v>127</v>
      </c>
      <c r="Z1256" s="3" t="s">
        <v>2312</v>
      </c>
      <c r="AA1256" s="4" t="s">
        <v>3787</v>
      </c>
      <c r="AB1256" s="3"/>
    </row>
    <row r="1257" spans="1:28" ht="48" customHeight="1">
      <c r="A1257" s="6" t="str">
        <f>'Reported burning'!A1257</f>
        <v>146a</v>
      </c>
      <c r="B1257" s="6" t="str">
        <f>'Reported burning'!B1257</f>
        <v>146a.2</v>
      </c>
      <c r="C1257" s="6" t="str">
        <f>'Reported burning'!C1257</f>
        <v>Human, deliberate</v>
      </c>
      <c r="D1257" s="6" t="str">
        <f>'Reported burning'!D1257</f>
        <v>Crop field preparation</v>
      </c>
      <c r="E1257" s="6" t="str">
        <f>'Reported burning'!E1257</f>
        <v>Cropping, Swidden</v>
      </c>
      <c r="F1257" s="6" t="str">
        <f>'Reported burning'!F1257</f>
        <v>ND</v>
      </c>
      <c r="G1257" s="6" t="str">
        <f>'Reported burning'!G1257</f>
        <v>ND</v>
      </c>
      <c r="H1257" s="6" t="str">
        <f>'Reported burning'!H1257</f>
        <v>Presence</v>
      </c>
      <c r="I1257" s="3"/>
      <c r="J1257" s="3" t="s">
        <v>2276</v>
      </c>
      <c r="K1257" s="3" t="s">
        <v>2276</v>
      </c>
      <c r="L1257" s="3" t="s">
        <v>2276</v>
      </c>
      <c r="M1257" s="3" t="s">
        <v>2276</v>
      </c>
      <c r="N1257" s="3" t="s">
        <v>2276</v>
      </c>
      <c r="O1257" s="3" t="s">
        <v>2276</v>
      </c>
      <c r="P1257" s="3" t="s">
        <v>2276</v>
      </c>
      <c r="Q1257" s="3" t="s">
        <v>2276</v>
      </c>
      <c r="R1257" s="3" t="s">
        <v>2276</v>
      </c>
      <c r="S1257" s="3" t="s">
        <v>2276</v>
      </c>
      <c r="T1257" s="3" t="s">
        <v>2276</v>
      </c>
      <c r="U1257" s="3" t="s">
        <v>2276</v>
      </c>
      <c r="V1257" s="3" t="s">
        <v>2276</v>
      </c>
      <c r="W1257" s="3" t="s">
        <v>2276</v>
      </c>
      <c r="X1257" s="3" t="s">
        <v>2276</v>
      </c>
      <c r="Y1257" s="3" t="s">
        <v>2276</v>
      </c>
      <c r="Z1257" s="3" t="s">
        <v>2276</v>
      </c>
      <c r="AA1257" s="4"/>
      <c r="AB1257" s="3"/>
    </row>
    <row r="1258" spans="1:28" ht="48" customHeight="1">
      <c r="A1258" s="6" t="str">
        <f>'Reported burning'!A1258</f>
        <v>146a</v>
      </c>
      <c r="B1258" s="6" t="str">
        <f>'Reported burning'!B1258</f>
        <v>146a.3</v>
      </c>
      <c r="C1258" s="6" t="str">
        <f>'Reported burning'!C1258</f>
        <v>Human, deliberate</v>
      </c>
      <c r="D1258" s="6" t="str">
        <f>'Reported burning'!D1258</f>
        <v>Pyrome management</v>
      </c>
      <c r="E1258" s="6" t="str">
        <f>'Reported burning'!E1258</f>
        <v>All</v>
      </c>
      <c r="F1258" s="6" t="str">
        <f>'Reported burning'!F1258</f>
        <v>Grassland</v>
      </c>
      <c r="G1258" s="6" t="str">
        <f>'Reported burning'!G1258</f>
        <v>ND</v>
      </c>
      <c r="H1258" s="6" t="str">
        <f>'Reported burning'!H1258</f>
        <v>Presence</v>
      </c>
      <c r="I1258" s="3"/>
      <c r="J1258" s="3" t="s">
        <v>2276</v>
      </c>
      <c r="K1258" s="3" t="s">
        <v>2276</v>
      </c>
      <c r="L1258" s="3" t="s">
        <v>2276</v>
      </c>
      <c r="M1258" s="3" t="s">
        <v>2276</v>
      </c>
      <c r="N1258" s="3" t="s">
        <v>2276</v>
      </c>
      <c r="O1258" s="3" t="s">
        <v>2276</v>
      </c>
      <c r="P1258" s="3" t="s">
        <v>2276</v>
      </c>
      <c r="Q1258" s="3" t="s">
        <v>2276</v>
      </c>
      <c r="R1258" s="3" t="s">
        <v>2276</v>
      </c>
      <c r="S1258" s="3" t="s">
        <v>2276</v>
      </c>
      <c r="T1258" s="3" t="s">
        <v>2276</v>
      </c>
      <c r="U1258" s="3" t="s">
        <v>2276</v>
      </c>
      <c r="V1258" s="3" t="s">
        <v>2276</v>
      </c>
      <c r="W1258" s="3" t="s">
        <v>2276</v>
      </c>
      <c r="X1258" s="3" t="s">
        <v>2276</v>
      </c>
      <c r="Y1258" s="3" t="s">
        <v>2276</v>
      </c>
      <c r="Z1258" s="3" t="s">
        <v>2276</v>
      </c>
      <c r="AA1258" s="4"/>
      <c r="AB1258" s="3"/>
    </row>
    <row r="1259" spans="1:28" ht="48" customHeight="1">
      <c r="A1259" s="6" t="str">
        <f>'Reported burning'!A1259</f>
        <v>146a</v>
      </c>
      <c r="B1259" s="6" t="str">
        <f>'Reported burning'!B1259</f>
        <v>146a.4</v>
      </c>
      <c r="C1259" s="6" t="str">
        <f>'Reported burning'!C1259</f>
        <v>Human, deliberate</v>
      </c>
      <c r="D1259" s="6" t="str">
        <f>'Reported burning'!D1259</f>
        <v>Pest management</v>
      </c>
      <c r="E1259" s="6" t="str">
        <f>'Reported burning'!E1259</f>
        <v>Cattle, Extensive</v>
      </c>
      <c r="F1259" s="6" t="str">
        <f>'Reported burning'!F1259</f>
        <v>Pasture</v>
      </c>
      <c r="G1259" s="6" t="str">
        <f>'Reported burning'!G1259</f>
        <v>ND</v>
      </c>
      <c r="H1259" s="6" t="str">
        <f>'Reported burning'!H1259</f>
        <v>Presence</v>
      </c>
      <c r="I1259" s="3"/>
      <c r="J1259" s="3" t="s">
        <v>2276</v>
      </c>
      <c r="K1259" s="3" t="s">
        <v>2276</v>
      </c>
      <c r="L1259" s="3" t="s">
        <v>2276</v>
      </c>
      <c r="M1259" s="3" t="s">
        <v>2276</v>
      </c>
      <c r="N1259" s="3" t="s">
        <v>2276</v>
      </c>
      <c r="O1259" s="3" t="s">
        <v>2276</v>
      </c>
      <c r="P1259" s="3" t="s">
        <v>2276</v>
      </c>
      <c r="Q1259" s="3" t="s">
        <v>2276</v>
      </c>
      <c r="R1259" s="3" t="s">
        <v>2276</v>
      </c>
      <c r="S1259" s="3" t="s">
        <v>2276</v>
      </c>
      <c r="T1259" s="3" t="s">
        <v>2276</v>
      </c>
      <c r="U1259" s="3" t="s">
        <v>2276</v>
      </c>
      <c r="V1259" s="3" t="s">
        <v>2276</v>
      </c>
      <c r="W1259" s="3" t="s">
        <v>2276</v>
      </c>
      <c r="X1259" s="3" t="s">
        <v>34</v>
      </c>
      <c r="Y1259" s="3" t="s">
        <v>405</v>
      </c>
      <c r="Z1259" s="3" t="s">
        <v>64</v>
      </c>
      <c r="AA1259" s="4" t="s">
        <v>3791</v>
      </c>
      <c r="AB1259" s="3"/>
    </row>
    <row r="1260" spans="1:28" ht="48" customHeight="1">
      <c r="A1260" s="6" t="str">
        <f>'Reported burning'!A1260</f>
        <v>146a</v>
      </c>
      <c r="B1260" s="6" t="str">
        <f>'Reported burning'!B1260</f>
        <v>146a.5</v>
      </c>
      <c r="C1260" s="6" t="str">
        <f>'Reported burning'!C1260</f>
        <v>Human, deliberate</v>
      </c>
      <c r="D1260" s="6" t="str">
        <f>'Reported burning'!D1260</f>
        <v>Hunting</v>
      </c>
      <c r="E1260" s="6" t="str">
        <f>'Reported burning'!E1260</f>
        <v>Forestry, Traditional</v>
      </c>
      <c r="F1260" s="6" t="str">
        <f>'Reported burning'!F1260</f>
        <v>Grassland</v>
      </c>
      <c r="G1260" s="6" t="str">
        <f>'Reported burning'!G1260</f>
        <v>ND</v>
      </c>
      <c r="H1260" s="6" t="str">
        <f>'Reported burning'!H1260</f>
        <v>Presence</v>
      </c>
      <c r="I1260" s="3"/>
      <c r="J1260" s="3" t="s">
        <v>2276</v>
      </c>
      <c r="K1260" s="3" t="s">
        <v>2276</v>
      </c>
      <c r="L1260" s="3" t="s">
        <v>2276</v>
      </c>
      <c r="M1260" s="3" t="s">
        <v>2276</v>
      </c>
      <c r="N1260" s="3" t="s">
        <v>2276</v>
      </c>
      <c r="O1260" s="3" t="s">
        <v>2276</v>
      </c>
      <c r="P1260" s="3" t="s">
        <v>2276</v>
      </c>
      <c r="Q1260" s="3" t="s">
        <v>2276</v>
      </c>
      <c r="R1260" s="3" t="s">
        <v>2276</v>
      </c>
      <c r="S1260" s="3" t="s">
        <v>2276</v>
      </c>
      <c r="T1260" s="3" t="s">
        <v>2276</v>
      </c>
      <c r="U1260" s="3" t="s">
        <v>2276</v>
      </c>
      <c r="V1260" s="3" t="s">
        <v>2276</v>
      </c>
      <c r="W1260" s="3" t="s">
        <v>2276</v>
      </c>
      <c r="X1260" s="3" t="s">
        <v>2276</v>
      </c>
      <c r="Y1260" s="3" t="s">
        <v>2276</v>
      </c>
      <c r="Z1260" s="3" t="s">
        <v>2276</v>
      </c>
      <c r="AA1260" s="4" t="s">
        <v>3778</v>
      </c>
      <c r="AB1260" s="3"/>
    </row>
    <row r="1261" spans="1:28" ht="59" customHeight="1">
      <c r="A1261" s="6" t="str">
        <f>'Reported burning'!A1261</f>
        <v>146a</v>
      </c>
      <c r="B1261" s="6" t="str">
        <f>'Reported burning'!B1261</f>
        <v>146a.6</v>
      </c>
      <c r="C1261" s="6" t="str">
        <f>'Reported burning'!C1261</f>
        <v>Human, deliberate</v>
      </c>
      <c r="D1261" s="6" t="str">
        <f>'Reported burning'!D1261</f>
        <v>Conservation</v>
      </c>
      <c r="E1261" s="6" t="str">
        <f>'Reported burning'!E1261</f>
        <v>Biodiversity conservation</v>
      </c>
      <c r="F1261" s="6" t="str">
        <f>'Reported burning'!F1261</f>
        <v>Grassland</v>
      </c>
      <c r="G1261" s="6" t="str">
        <f>'Reported burning'!G1261</f>
        <v>ND</v>
      </c>
      <c r="H1261" s="6" t="str">
        <f>'Reported burning'!H1261</f>
        <v>Presence</v>
      </c>
      <c r="I1261" s="3"/>
      <c r="J1261" s="3" t="s">
        <v>2276</v>
      </c>
      <c r="K1261" s="3" t="s">
        <v>2276</v>
      </c>
      <c r="L1261" s="3" t="s">
        <v>2276</v>
      </c>
      <c r="M1261" s="3" t="s">
        <v>2276</v>
      </c>
      <c r="N1261" s="3" t="s">
        <v>2276</v>
      </c>
      <c r="O1261" s="3" t="s">
        <v>2276</v>
      </c>
      <c r="P1261" s="3" t="s">
        <v>2276</v>
      </c>
      <c r="Q1261" s="3" t="s">
        <v>2276</v>
      </c>
      <c r="R1261" s="3" t="s">
        <v>2276</v>
      </c>
      <c r="S1261" s="3" t="s">
        <v>2276</v>
      </c>
      <c r="T1261" s="3" t="s">
        <v>2276</v>
      </c>
      <c r="U1261" s="3" t="s">
        <v>2276</v>
      </c>
      <c r="V1261" s="3" t="s">
        <v>2276</v>
      </c>
      <c r="W1261" s="3" t="s">
        <v>2276</v>
      </c>
      <c r="X1261" s="3" t="s">
        <v>2276</v>
      </c>
      <c r="Y1261" s="3" t="s">
        <v>2276</v>
      </c>
      <c r="Z1261" s="3" t="s">
        <v>2276</v>
      </c>
      <c r="AA1261" s="4" t="s">
        <v>3779</v>
      </c>
      <c r="AB1261" s="3"/>
    </row>
    <row r="1262" spans="1:28" ht="69" customHeight="1">
      <c r="A1262" s="6" t="str">
        <f>'Reported burning'!A1262</f>
        <v>147a</v>
      </c>
      <c r="B1262" s="6" t="str">
        <f>'Reported burning'!B1262</f>
        <v>147a.1</v>
      </c>
      <c r="C1262" s="6" t="str">
        <f>'Reported burning'!C1262</f>
        <v>Human, deliberate</v>
      </c>
      <c r="D1262" s="6" t="str">
        <f>'Reported burning'!D1262</f>
        <v>Pyrome management</v>
      </c>
      <c r="E1262" s="6" t="str">
        <f>'Reported burning'!E1262</f>
        <v>All</v>
      </c>
      <c r="F1262" s="6" t="str">
        <f>'Reported burning'!F1262</f>
        <v>Shrubland (Mixed forest &amp; grassland)</v>
      </c>
      <c r="G1262" s="6" t="str">
        <f>'Reported burning'!G1262</f>
        <v>ND</v>
      </c>
      <c r="H1262" s="6" t="str">
        <f>'Reported burning'!H1262</f>
        <v>Presence</v>
      </c>
      <c r="I1262" s="3"/>
      <c r="J1262" s="3" t="s">
        <v>2276</v>
      </c>
      <c r="K1262" s="3" t="s">
        <v>2276</v>
      </c>
      <c r="L1262" s="3" t="s">
        <v>2276</v>
      </c>
      <c r="M1262" s="3" t="s">
        <v>2276</v>
      </c>
      <c r="N1262" s="3" t="s">
        <v>2276</v>
      </c>
      <c r="O1262" s="3" t="s">
        <v>2276</v>
      </c>
      <c r="P1262" s="3" t="s">
        <v>2276</v>
      </c>
      <c r="Q1262" s="3" t="s">
        <v>2276</v>
      </c>
      <c r="R1262" s="3" t="s">
        <v>2276</v>
      </c>
      <c r="S1262" s="3" t="s">
        <v>2276</v>
      </c>
      <c r="T1262" s="3" t="s">
        <v>2276</v>
      </c>
      <c r="U1262" s="3" t="s">
        <v>2276</v>
      </c>
      <c r="V1262" s="3" t="s">
        <v>2276</v>
      </c>
      <c r="W1262" s="3" t="s">
        <v>2375</v>
      </c>
      <c r="X1262" s="3" t="s">
        <v>68</v>
      </c>
      <c r="Y1262" s="3" t="s">
        <v>35</v>
      </c>
      <c r="Z1262" s="3" t="s">
        <v>64</v>
      </c>
      <c r="AA1262" s="4" t="s">
        <v>3814</v>
      </c>
      <c r="AB1262" s="3"/>
    </row>
    <row r="1263" spans="1:28" ht="67.5" customHeight="1">
      <c r="A1263" s="6" t="str">
        <f>'Reported burning'!A1263</f>
        <v>147a</v>
      </c>
      <c r="B1263" s="6" t="str">
        <f>'Reported burning'!B1263</f>
        <v>147a.2</v>
      </c>
      <c r="C1263" s="6" t="str">
        <f>'Reported burning'!C1263</f>
        <v>Human, deliberate</v>
      </c>
      <c r="D1263" s="6" t="str">
        <f>'Reported burning'!D1263</f>
        <v>Crop field preparation</v>
      </c>
      <c r="E1263" s="6" t="str">
        <f>'Reported burning'!E1263</f>
        <v>Cropping, Swidden</v>
      </c>
      <c r="F1263" s="6" t="str">
        <f>'Reported burning'!F1263</f>
        <v>Secondary Vegetation</v>
      </c>
      <c r="G1263" s="6" t="str">
        <f>'Reported burning'!G1263</f>
        <v>ND</v>
      </c>
      <c r="H1263" s="6" t="str">
        <f>'Reported burning'!H1263</f>
        <v>Presence</v>
      </c>
      <c r="I1263" s="3"/>
      <c r="J1263" s="3" t="s">
        <v>2276</v>
      </c>
      <c r="K1263" s="3" t="s">
        <v>2276</v>
      </c>
      <c r="L1263" s="3" t="s">
        <v>2276</v>
      </c>
      <c r="M1263" s="3" t="s">
        <v>2276</v>
      </c>
      <c r="N1263" s="3" t="s">
        <v>2276</v>
      </c>
      <c r="O1263" s="3" t="s">
        <v>2276</v>
      </c>
      <c r="P1263" s="3" t="s">
        <v>2276</v>
      </c>
      <c r="Q1263" s="3" t="s">
        <v>2276</v>
      </c>
      <c r="R1263" s="3" t="s">
        <v>2276</v>
      </c>
      <c r="S1263" s="3" t="s">
        <v>2276</v>
      </c>
      <c r="T1263" s="3" t="s">
        <v>2276</v>
      </c>
      <c r="U1263" s="3" t="s">
        <v>2276</v>
      </c>
      <c r="V1263" s="3" t="s">
        <v>2276</v>
      </c>
      <c r="W1263" s="3" t="s">
        <v>2276</v>
      </c>
      <c r="X1263" s="3" t="s">
        <v>127</v>
      </c>
      <c r="Y1263" s="3" t="s">
        <v>399</v>
      </c>
      <c r="Z1263" s="3" t="s">
        <v>64</v>
      </c>
      <c r="AA1263" s="4" t="s">
        <v>3808</v>
      </c>
      <c r="AB1263" s="4" t="s">
        <v>3803</v>
      </c>
    </row>
    <row r="1264" spans="1:28" ht="65.5" customHeight="1">
      <c r="A1264" s="6" t="str">
        <f>'Reported burning'!A1264</f>
        <v>147a</v>
      </c>
      <c r="B1264" s="6" t="str">
        <f>'Reported burning'!B1264</f>
        <v>147a.3</v>
      </c>
      <c r="C1264" s="6" t="str">
        <f>'Reported burning'!C1264</f>
        <v>Human, deliberate</v>
      </c>
      <c r="D1264" s="6" t="str">
        <f>'Reported burning'!D1264</f>
        <v>Crop field preparation</v>
      </c>
      <c r="E1264" s="6" t="str">
        <f>'Reported burning'!E1264</f>
        <v>Cropping, Swidden</v>
      </c>
      <c r="F1264" s="6" t="str">
        <f>'Reported burning'!F1264</f>
        <v>Cropland</v>
      </c>
      <c r="G1264" s="6" t="str">
        <f>'Reported burning'!G1264</f>
        <v>ND</v>
      </c>
      <c r="H1264" s="6" t="str">
        <f>'Reported burning'!H1264</f>
        <v>Presence</v>
      </c>
      <c r="I1264" s="3"/>
      <c r="J1264" s="3" t="s">
        <v>2276</v>
      </c>
      <c r="K1264" s="3" t="s">
        <v>2276</v>
      </c>
      <c r="L1264" s="3" t="s">
        <v>2276</v>
      </c>
      <c r="M1264" s="3" t="s">
        <v>2276</v>
      </c>
      <c r="N1264" s="3" t="s">
        <v>2276</v>
      </c>
      <c r="O1264" s="3" t="s">
        <v>2276</v>
      </c>
      <c r="P1264" s="3" t="s">
        <v>2276</v>
      </c>
      <c r="Q1264" s="3" t="s">
        <v>2276</v>
      </c>
      <c r="R1264" s="3" t="s">
        <v>2276</v>
      </c>
      <c r="S1264" s="3" t="s">
        <v>2276</v>
      </c>
      <c r="T1264" s="3" t="s">
        <v>2276</v>
      </c>
      <c r="U1264" s="3" t="s">
        <v>2276</v>
      </c>
      <c r="V1264" s="3" t="s">
        <v>2276</v>
      </c>
      <c r="W1264" s="3" t="s">
        <v>2375</v>
      </c>
      <c r="X1264" s="3" t="s">
        <v>38</v>
      </c>
      <c r="Y1264" s="3" t="s">
        <v>86</v>
      </c>
      <c r="Z1264" s="3" t="s">
        <v>64</v>
      </c>
      <c r="AA1264" s="4" t="s">
        <v>3810</v>
      </c>
      <c r="AB1264" s="3"/>
    </row>
    <row r="1265" spans="1:28" ht="39" customHeight="1">
      <c r="A1265" s="6" t="str">
        <f>'Reported burning'!A1265</f>
        <v>147a</v>
      </c>
      <c r="B1265" s="6" t="str">
        <f>'Reported burning'!B1265</f>
        <v>147a.4</v>
      </c>
      <c r="C1265" s="6" t="str">
        <f>'Reported burning'!C1265</f>
        <v>Human, deliberate</v>
      </c>
      <c r="D1265" s="6" t="str">
        <f>'Reported burning'!D1265</f>
        <v>Pasture renewal</v>
      </c>
      <c r="E1265" s="6" t="str">
        <f>'Reported burning'!E1265</f>
        <v>Cattle, Extensive</v>
      </c>
      <c r="F1265" s="6" t="str">
        <f>'Reported burning'!F1265</f>
        <v>Shrubland (Mixed forest &amp; grassland)</v>
      </c>
      <c r="G1265" s="6" t="str">
        <f>'Reported burning'!G1265</f>
        <v>ND</v>
      </c>
      <c r="H1265" s="6" t="str">
        <f>'Reported burning'!H1265</f>
        <v>Presence</v>
      </c>
      <c r="I1265" s="3"/>
      <c r="J1265" s="3" t="s">
        <v>2276</v>
      </c>
      <c r="K1265" s="3" t="s">
        <v>2276</v>
      </c>
      <c r="L1265" s="3" t="s">
        <v>2276</v>
      </c>
      <c r="M1265" s="3" t="s">
        <v>2276</v>
      </c>
      <c r="N1265" s="3" t="s">
        <v>2276</v>
      </c>
      <c r="O1265" s="3" t="s">
        <v>2276</v>
      </c>
      <c r="P1265" s="3" t="s">
        <v>2276</v>
      </c>
      <c r="Q1265" s="3" t="s">
        <v>2276</v>
      </c>
      <c r="R1265" s="3" t="s">
        <v>2276</v>
      </c>
      <c r="S1265" s="3" t="s">
        <v>2276</v>
      </c>
      <c r="T1265" s="3" t="s">
        <v>2276</v>
      </c>
      <c r="U1265" s="3" t="s">
        <v>2276</v>
      </c>
      <c r="V1265" s="3" t="s">
        <v>2276</v>
      </c>
      <c r="W1265" s="3" t="s">
        <v>2276</v>
      </c>
      <c r="X1265" s="3" t="s">
        <v>2276</v>
      </c>
      <c r="Y1265" s="3" t="s">
        <v>2276</v>
      </c>
      <c r="Z1265" s="3" t="s">
        <v>2276</v>
      </c>
      <c r="AA1265" s="3"/>
      <c r="AB1265" s="3"/>
    </row>
    <row r="1266" spans="1:28" ht="39" customHeight="1">
      <c r="A1266" s="6" t="str">
        <f>'Reported burning'!A1266</f>
        <v>147a</v>
      </c>
      <c r="B1266" s="6" t="str">
        <f>'Reported burning'!B1266</f>
        <v>147a.5</v>
      </c>
      <c r="C1266" s="6" t="str">
        <f>'Reported burning'!C1266</f>
        <v>Human, deliberate</v>
      </c>
      <c r="D1266" s="6" t="str">
        <f>'Reported burning'!D1266</f>
        <v>Hunting</v>
      </c>
      <c r="E1266" s="6" t="str">
        <f>'Reported burning'!E1266</f>
        <v>Forestry, Traditional</v>
      </c>
      <c r="F1266" s="6" t="str">
        <f>'Reported burning'!F1266</f>
        <v>Shrubland (Mixed forest &amp; grassland)</v>
      </c>
      <c r="G1266" s="6" t="str">
        <f>'Reported burning'!G1266</f>
        <v>ND</v>
      </c>
      <c r="H1266" s="6" t="str">
        <f>'Reported burning'!H1266</f>
        <v>Presence</v>
      </c>
      <c r="I1266" s="3"/>
      <c r="J1266" s="3" t="s">
        <v>2276</v>
      </c>
      <c r="K1266" s="3" t="s">
        <v>2276</v>
      </c>
      <c r="L1266" s="3" t="s">
        <v>2276</v>
      </c>
      <c r="M1266" s="3" t="s">
        <v>2276</v>
      </c>
      <c r="N1266" s="3" t="s">
        <v>2276</v>
      </c>
      <c r="O1266" s="3" t="s">
        <v>2276</v>
      </c>
      <c r="P1266" s="3" t="s">
        <v>2276</v>
      </c>
      <c r="Q1266" s="3" t="s">
        <v>2276</v>
      </c>
      <c r="R1266" s="3" t="s">
        <v>2276</v>
      </c>
      <c r="S1266" s="3" t="s">
        <v>2276</v>
      </c>
      <c r="T1266" s="3" t="s">
        <v>2276</v>
      </c>
      <c r="U1266" s="3" t="s">
        <v>2276</v>
      </c>
      <c r="V1266" s="3" t="s">
        <v>2276</v>
      </c>
      <c r="W1266" s="3" t="s">
        <v>2276</v>
      </c>
      <c r="X1266" s="3" t="s">
        <v>2276</v>
      </c>
      <c r="Y1266" s="3" t="s">
        <v>2276</v>
      </c>
      <c r="Z1266" s="3" t="s">
        <v>2276</v>
      </c>
      <c r="AA1266" s="3"/>
      <c r="AB1266" s="4" t="s">
        <v>3807</v>
      </c>
    </row>
    <row r="1267" spans="1:28" ht="38" customHeight="1">
      <c r="A1267" s="6" t="str">
        <f>'Reported burning'!A1267</f>
        <v>147a</v>
      </c>
      <c r="B1267" s="6" t="str">
        <f>'Reported burning'!B1267</f>
        <v>147a.6</v>
      </c>
      <c r="C1267" s="6" t="str">
        <f>'Reported burning'!C1267</f>
        <v>Unknown</v>
      </c>
      <c r="D1267" s="6" t="str">
        <f>'Reported burning'!D1267</f>
        <v>ND</v>
      </c>
      <c r="E1267" s="6" t="str">
        <f>'Reported burning'!E1267</f>
        <v>ND</v>
      </c>
      <c r="F1267" s="6" t="str">
        <f>'Reported burning'!F1267</f>
        <v>Forest</v>
      </c>
      <c r="G1267" s="6" t="str">
        <f>'Reported burning'!G1267</f>
        <v>Forest</v>
      </c>
      <c r="H1267" s="6" t="str">
        <f>'Reported burning'!H1267</f>
        <v>Presence</v>
      </c>
      <c r="I1267" s="3"/>
      <c r="J1267" s="3" t="s">
        <v>2276</v>
      </c>
      <c r="K1267" s="3" t="s">
        <v>2276</v>
      </c>
      <c r="L1267" s="3" t="s">
        <v>2276</v>
      </c>
      <c r="M1267" s="3" t="s">
        <v>2276</v>
      </c>
      <c r="N1267" s="3" t="s">
        <v>2276</v>
      </c>
      <c r="O1267" s="3" t="s">
        <v>2276</v>
      </c>
      <c r="P1267" s="3" t="s">
        <v>2276</v>
      </c>
      <c r="Q1267" s="3" t="s">
        <v>2276</v>
      </c>
      <c r="R1267" s="3" t="s">
        <v>2276</v>
      </c>
      <c r="S1267" s="3" t="s">
        <v>2276</v>
      </c>
      <c r="T1267" s="3" t="s">
        <v>2276</v>
      </c>
      <c r="U1267" s="3" t="s">
        <v>2276</v>
      </c>
      <c r="V1267" s="3" t="s">
        <v>2276</v>
      </c>
      <c r="W1267" s="3" t="s">
        <v>2276</v>
      </c>
      <c r="X1267" s="3" t="s">
        <v>68</v>
      </c>
      <c r="Y1267" s="3" t="s">
        <v>38</v>
      </c>
      <c r="Z1267" s="3" t="s">
        <v>76</v>
      </c>
      <c r="AA1267" s="3"/>
      <c r="AB1267" s="3"/>
    </row>
    <row r="1268" spans="1:28" ht="67.5" customHeight="1">
      <c r="A1268" s="6" t="str">
        <f>'Reported burning'!A1268</f>
        <v>148a</v>
      </c>
      <c r="B1268" s="6" t="str">
        <f>'Reported burning'!B1268</f>
        <v>148a.1</v>
      </c>
      <c r="C1268" s="6" t="str">
        <f>'Reported burning'!C1268</f>
        <v>Human, deliberate</v>
      </c>
      <c r="D1268" s="6" t="str">
        <f>'Reported burning'!D1268</f>
        <v>Pyrome management</v>
      </c>
      <c r="E1268" s="6" t="str">
        <f>'Reported burning'!E1268</f>
        <v>All</v>
      </c>
      <c r="F1268" s="6" t="str">
        <f>'Reported burning'!F1268</f>
        <v>Shrubland (Mixed forest &amp; grassland)</v>
      </c>
      <c r="G1268" s="6" t="str">
        <f>'Reported burning'!G1268</f>
        <v>ND</v>
      </c>
      <c r="H1268" s="6" t="str">
        <f>'Reported burning'!H1268</f>
        <v>Presence</v>
      </c>
      <c r="I1268" s="3"/>
      <c r="J1268" s="3" t="s">
        <v>2276</v>
      </c>
      <c r="K1268" s="3" t="s">
        <v>2276</v>
      </c>
      <c r="L1268" s="3" t="s">
        <v>2276</v>
      </c>
      <c r="M1268" s="3" t="s">
        <v>2276</v>
      </c>
      <c r="N1268" s="3" t="s">
        <v>2276</v>
      </c>
      <c r="O1268" s="3" t="s">
        <v>2276</v>
      </c>
      <c r="P1268" s="3" t="s">
        <v>2276</v>
      </c>
      <c r="Q1268" s="3" t="s">
        <v>2276</v>
      </c>
      <c r="R1268" s="3" t="s">
        <v>2276</v>
      </c>
      <c r="S1268" s="3" t="s">
        <v>2276</v>
      </c>
      <c r="T1268" s="3" t="s">
        <v>2276</v>
      </c>
      <c r="U1268" s="3" t="s">
        <v>2276</v>
      </c>
      <c r="V1268" s="3" t="s">
        <v>2376</v>
      </c>
      <c r="W1268" s="3" t="s">
        <v>2375</v>
      </c>
      <c r="X1268" s="3" t="s">
        <v>68</v>
      </c>
      <c r="Y1268" s="3" t="s">
        <v>127</v>
      </c>
      <c r="Z1268" s="3" t="s">
        <v>64</v>
      </c>
      <c r="AA1268" s="3"/>
      <c r="AB1268" s="4" t="s">
        <v>3829</v>
      </c>
    </row>
    <row r="1269" spans="1:28" ht="67.5" customHeight="1">
      <c r="A1269" s="6" t="str">
        <f>'Reported burning'!A1269</f>
        <v>148a</v>
      </c>
      <c r="B1269" s="6" t="str">
        <f>'Reported burning'!B1269</f>
        <v>148a.2</v>
      </c>
      <c r="C1269" s="6" t="str">
        <f>'Reported burning'!C1269</f>
        <v>Human, deliberate</v>
      </c>
      <c r="D1269" s="6" t="str">
        <f>'Reported burning'!D1269</f>
        <v>Pasture renewal</v>
      </c>
      <c r="E1269" s="6" t="str">
        <f>'Reported burning'!E1269</f>
        <v>Cattle, Extensive</v>
      </c>
      <c r="F1269" s="6" t="str">
        <f>'Reported burning'!F1269</f>
        <v>Shrubland (Mixed forest &amp; grassland)</v>
      </c>
      <c r="G1269" s="6" t="str">
        <f>'Reported burning'!G1269</f>
        <v>ND</v>
      </c>
      <c r="H1269" s="6" t="str">
        <f>'Reported burning'!H1269</f>
        <v>Presence</v>
      </c>
      <c r="I1269" s="3"/>
      <c r="J1269" s="3" t="s">
        <v>2276</v>
      </c>
      <c r="K1269" s="3" t="s">
        <v>2276</v>
      </c>
      <c r="L1269" s="3" t="s">
        <v>2276</v>
      </c>
      <c r="M1269" s="3" t="s">
        <v>2276</v>
      </c>
      <c r="N1269" s="3" t="s">
        <v>2276</v>
      </c>
      <c r="O1269" s="3" t="s">
        <v>2276</v>
      </c>
      <c r="P1269" s="3" t="s">
        <v>2276</v>
      </c>
      <c r="Q1269" s="3" t="s">
        <v>2276</v>
      </c>
      <c r="R1269" s="3" t="s">
        <v>2276</v>
      </c>
      <c r="S1269" s="3" t="s">
        <v>2276</v>
      </c>
      <c r="T1269" s="3" t="s">
        <v>2276</v>
      </c>
      <c r="U1269" s="3" t="s">
        <v>2276</v>
      </c>
      <c r="V1269" s="3" t="s">
        <v>2527</v>
      </c>
      <c r="W1269" s="3" t="s">
        <v>2375</v>
      </c>
      <c r="X1269" s="3" t="s">
        <v>68</v>
      </c>
      <c r="Y1269" s="3" t="s">
        <v>127</v>
      </c>
      <c r="Z1269" s="3" t="s">
        <v>64</v>
      </c>
      <c r="AA1269" s="3"/>
      <c r="AB1269" s="4" t="s">
        <v>3829</v>
      </c>
    </row>
    <row r="1270" spans="1:28" ht="67.5" customHeight="1">
      <c r="A1270" s="6" t="str">
        <f>'Reported burning'!A1270</f>
        <v>148a</v>
      </c>
      <c r="B1270" s="6" t="str">
        <f>'Reported burning'!B1270</f>
        <v>148a.3</v>
      </c>
      <c r="C1270" s="6" t="str">
        <f>'Reported burning'!C1270</f>
        <v>Human, deliberate</v>
      </c>
      <c r="D1270" s="6" t="str">
        <f>'Reported burning'!D1270</f>
        <v>Pest management</v>
      </c>
      <c r="E1270" s="6" t="str">
        <f>'Reported burning'!E1270</f>
        <v>All</v>
      </c>
      <c r="F1270" s="6" t="str">
        <f>'Reported burning'!F1270</f>
        <v>Shrubland (Mixed forest &amp; grassland)</v>
      </c>
      <c r="G1270" s="6" t="str">
        <f>'Reported burning'!G1270</f>
        <v>ND</v>
      </c>
      <c r="H1270" s="6" t="str">
        <f>'Reported burning'!H1270</f>
        <v>Presence</v>
      </c>
      <c r="I1270" s="3"/>
      <c r="J1270" s="3" t="s">
        <v>2276</v>
      </c>
      <c r="K1270" s="3" t="s">
        <v>2276</v>
      </c>
      <c r="L1270" s="3" t="s">
        <v>2276</v>
      </c>
      <c r="M1270" s="3" t="s">
        <v>2276</v>
      </c>
      <c r="N1270" s="3" t="s">
        <v>2276</v>
      </c>
      <c r="O1270" s="3" t="s">
        <v>2276</v>
      </c>
      <c r="P1270" s="3" t="s">
        <v>2276</v>
      </c>
      <c r="Q1270" s="3" t="s">
        <v>2276</v>
      </c>
      <c r="R1270" s="3" t="s">
        <v>2276</v>
      </c>
      <c r="S1270" s="3" t="s">
        <v>2276</v>
      </c>
      <c r="T1270" s="3" t="s">
        <v>2276</v>
      </c>
      <c r="U1270" s="3" t="s">
        <v>2276</v>
      </c>
      <c r="V1270" s="3" t="s">
        <v>2527</v>
      </c>
      <c r="W1270" s="3" t="s">
        <v>2375</v>
      </c>
      <c r="X1270" s="3" t="s">
        <v>68</v>
      </c>
      <c r="Y1270" s="3" t="s">
        <v>127</v>
      </c>
      <c r="Z1270" s="3" t="s">
        <v>64</v>
      </c>
      <c r="AA1270" s="3"/>
      <c r="AB1270" s="4" t="s">
        <v>3829</v>
      </c>
    </row>
    <row r="1271" spans="1:28" ht="67.5" customHeight="1">
      <c r="A1271" s="6" t="str">
        <f>'Reported burning'!A1271</f>
        <v>148a</v>
      </c>
      <c r="B1271" s="6" t="str">
        <f>'Reported burning'!B1271</f>
        <v>148a.4</v>
      </c>
      <c r="C1271" s="6" t="str">
        <f>'Reported burning'!C1271</f>
        <v>Human, deliberate</v>
      </c>
      <c r="D1271" s="6" t="str">
        <f>'Reported burning'!D1271</f>
        <v>Hunting</v>
      </c>
      <c r="E1271" s="6" t="str">
        <f>'Reported burning'!E1271</f>
        <v>Forestry, Traditional</v>
      </c>
      <c r="F1271" s="6" t="str">
        <f>'Reported burning'!F1271</f>
        <v>Shrubland (Mixed forest &amp; grassland)</v>
      </c>
      <c r="G1271" s="6" t="str">
        <f>'Reported burning'!G1271</f>
        <v>ND</v>
      </c>
      <c r="H1271" s="6" t="str">
        <f>'Reported burning'!H1271</f>
        <v>Presence</v>
      </c>
      <c r="I1271" s="3"/>
      <c r="J1271" s="3" t="s">
        <v>2276</v>
      </c>
      <c r="K1271" s="3" t="s">
        <v>2276</v>
      </c>
      <c r="L1271" s="3" t="s">
        <v>2276</v>
      </c>
      <c r="M1271" s="3" t="s">
        <v>2276</v>
      </c>
      <c r="N1271" s="3" t="s">
        <v>2276</v>
      </c>
      <c r="O1271" s="3" t="s">
        <v>2276</v>
      </c>
      <c r="P1271" s="3" t="s">
        <v>2276</v>
      </c>
      <c r="Q1271" s="3" t="s">
        <v>2276</v>
      </c>
      <c r="R1271" s="3" t="s">
        <v>2276</v>
      </c>
      <c r="S1271" s="3" t="s">
        <v>2276</v>
      </c>
      <c r="T1271" s="3" t="s">
        <v>2276</v>
      </c>
      <c r="U1271" s="3" t="s">
        <v>2276</v>
      </c>
      <c r="V1271" s="3" t="s">
        <v>2527</v>
      </c>
      <c r="W1271" s="3" t="s">
        <v>2375</v>
      </c>
      <c r="X1271" s="3" t="s">
        <v>68</v>
      </c>
      <c r="Y1271" s="3" t="s">
        <v>127</v>
      </c>
      <c r="Z1271" s="3" t="s">
        <v>64</v>
      </c>
      <c r="AA1271" s="3"/>
      <c r="AB1271" s="4" t="s">
        <v>3829</v>
      </c>
    </row>
    <row r="1272" spans="1:28" ht="67.5" customHeight="1">
      <c r="A1272" s="6" t="str">
        <f>'Reported burning'!A1272</f>
        <v>148a</v>
      </c>
      <c r="B1272" s="6" t="str">
        <f>'Reported burning'!B1272</f>
        <v>148a.5</v>
      </c>
      <c r="C1272" s="6" t="str">
        <f>'Reported burning'!C1272</f>
        <v>Human, deliberate</v>
      </c>
      <c r="D1272" s="6" t="str">
        <f>'Reported burning'!D1272</f>
        <v>Crop field preparation</v>
      </c>
      <c r="E1272" s="6" t="str">
        <f>'Reported burning'!E1272</f>
        <v>Cropping, Swidden</v>
      </c>
      <c r="F1272" s="6" t="str">
        <f>'Reported burning'!F1272</f>
        <v>Secondary Vegetation</v>
      </c>
      <c r="G1272" s="6" t="str">
        <f>'Reported burning'!G1272</f>
        <v>ND</v>
      </c>
      <c r="H1272" s="6" t="str">
        <f>'Reported burning'!H1272</f>
        <v>Presence</v>
      </c>
      <c r="I1272" s="3"/>
      <c r="J1272" s="3" t="s">
        <v>2276</v>
      </c>
      <c r="K1272" s="3" t="s">
        <v>2276</v>
      </c>
      <c r="L1272" s="3" t="s">
        <v>2276</v>
      </c>
      <c r="M1272" s="3" t="s">
        <v>2276</v>
      </c>
      <c r="N1272" s="3" t="s">
        <v>2276</v>
      </c>
      <c r="O1272" s="3" t="s">
        <v>2276</v>
      </c>
      <c r="P1272" s="3" t="s">
        <v>2276</v>
      </c>
      <c r="Q1272" s="3" t="s">
        <v>2276</v>
      </c>
      <c r="R1272" s="3" t="s">
        <v>2276</v>
      </c>
      <c r="S1272" s="3" t="s">
        <v>2276</v>
      </c>
      <c r="T1272" s="3" t="s">
        <v>2276</v>
      </c>
      <c r="U1272" s="3" t="s">
        <v>2276</v>
      </c>
      <c r="V1272" s="3" t="s">
        <v>2374</v>
      </c>
      <c r="W1272" s="3" t="s">
        <v>2401</v>
      </c>
      <c r="X1272" s="3" t="s">
        <v>127</v>
      </c>
      <c r="Y1272" s="3" t="s">
        <v>399</v>
      </c>
      <c r="Z1272" s="3" t="s">
        <v>64</v>
      </c>
      <c r="AA1272" s="3"/>
      <c r="AB1272" s="4" t="s">
        <v>3829</v>
      </c>
    </row>
    <row r="1273" spans="1:28" ht="67.5" customHeight="1">
      <c r="A1273" s="6" t="str">
        <f>'Reported burning'!A1273</f>
        <v>148a</v>
      </c>
      <c r="B1273" s="6" t="str">
        <f>'Reported burning'!B1273</f>
        <v>148a.6</v>
      </c>
      <c r="C1273" s="6" t="str">
        <f>'Reported burning'!C1273</f>
        <v>Human, deliberate</v>
      </c>
      <c r="D1273" s="6" t="str">
        <f>'Reported burning'!D1273</f>
        <v>Pyrome management</v>
      </c>
      <c r="E1273" s="6" t="str">
        <f>'Reported burning'!E1273</f>
        <v>Cropping, Swidden</v>
      </c>
      <c r="F1273" s="6" t="str">
        <f>'Reported burning'!F1273</f>
        <v>Secondary Vegetation</v>
      </c>
      <c r="G1273" s="6" t="str">
        <f>'Reported burning'!G1273</f>
        <v>ND</v>
      </c>
      <c r="H1273" s="6" t="str">
        <f>'Reported burning'!H1273</f>
        <v>Presence</v>
      </c>
      <c r="I1273" s="3"/>
      <c r="J1273" s="3" t="s">
        <v>2276</v>
      </c>
      <c r="K1273" s="3" t="s">
        <v>2276</v>
      </c>
      <c r="L1273" s="3" t="s">
        <v>2276</v>
      </c>
      <c r="M1273" s="3" t="s">
        <v>2276</v>
      </c>
      <c r="N1273" s="3" t="s">
        <v>2276</v>
      </c>
      <c r="O1273" s="3" t="s">
        <v>2276</v>
      </c>
      <c r="P1273" s="3" t="s">
        <v>2276</v>
      </c>
      <c r="Q1273" s="3" t="s">
        <v>2276</v>
      </c>
      <c r="R1273" s="3" t="s">
        <v>2276</v>
      </c>
      <c r="S1273" s="3" t="s">
        <v>2276</v>
      </c>
      <c r="T1273" s="3" t="s">
        <v>2276</v>
      </c>
      <c r="U1273" s="3" t="s">
        <v>2276</v>
      </c>
      <c r="V1273" s="3" t="s">
        <v>2376</v>
      </c>
      <c r="W1273" s="3" t="s">
        <v>2375</v>
      </c>
      <c r="X1273" s="3" t="s">
        <v>127</v>
      </c>
      <c r="Y1273" s="3" t="s">
        <v>399</v>
      </c>
      <c r="Z1273" s="3" t="s">
        <v>64</v>
      </c>
      <c r="AA1273" s="4" t="s">
        <v>3828</v>
      </c>
      <c r="AB1273" s="4" t="s">
        <v>3829</v>
      </c>
    </row>
    <row r="1274" spans="1:28" ht="67.5" customHeight="1">
      <c r="A1274" s="6" t="str">
        <f>'Reported burning'!A1274</f>
        <v>148a</v>
      </c>
      <c r="B1274" s="6" t="str">
        <f>'Reported burning'!B1274</f>
        <v>148a.7</v>
      </c>
      <c r="C1274" s="6" t="str">
        <f>'Reported burning'!C1274</f>
        <v>Human, deliberate</v>
      </c>
      <c r="D1274" s="6" t="str">
        <f>'Reported burning'!D1274</f>
        <v>Forest management</v>
      </c>
      <c r="E1274" s="6" t="str">
        <f>'Reported burning'!E1274</f>
        <v>Forestry, Traditional</v>
      </c>
      <c r="F1274" s="6" t="str">
        <f>'Reported burning'!F1274</f>
        <v>Forest</v>
      </c>
      <c r="G1274" s="6" t="str">
        <f>'Reported burning'!G1274</f>
        <v>Forest</v>
      </c>
      <c r="H1274" s="6" t="str">
        <f>'Reported burning'!H1274</f>
        <v>Presence</v>
      </c>
      <c r="I1274" s="3"/>
      <c r="J1274" s="3" t="s">
        <v>2276</v>
      </c>
      <c r="K1274" s="3" t="s">
        <v>2276</v>
      </c>
      <c r="L1274" s="3" t="s">
        <v>2276</v>
      </c>
      <c r="M1274" s="3" t="s">
        <v>2276</v>
      </c>
      <c r="N1274" s="3" t="s">
        <v>2276</v>
      </c>
      <c r="O1274" s="3" t="s">
        <v>2276</v>
      </c>
      <c r="P1274" s="3" t="s">
        <v>2276</v>
      </c>
      <c r="Q1274" s="3" t="s">
        <v>2276</v>
      </c>
      <c r="R1274" s="3" t="s">
        <v>2276</v>
      </c>
      <c r="S1274" s="3" t="s">
        <v>2276</v>
      </c>
      <c r="T1274" s="3" t="s">
        <v>2276</v>
      </c>
      <c r="U1274" s="3" t="s">
        <v>2276</v>
      </c>
      <c r="V1274" s="3" t="s">
        <v>2374</v>
      </c>
      <c r="W1274" s="3" t="s">
        <v>2375</v>
      </c>
      <c r="X1274" s="3" t="s">
        <v>399</v>
      </c>
      <c r="Y1274" s="3" t="s">
        <v>38</v>
      </c>
      <c r="Z1274" s="3" t="s">
        <v>64</v>
      </c>
      <c r="AA1274" s="3"/>
      <c r="AB1274" s="4" t="s">
        <v>3829</v>
      </c>
    </row>
    <row r="1275" spans="1:28" ht="67.5" customHeight="1">
      <c r="A1275" s="6" t="str">
        <f>'Reported burning'!A1275</f>
        <v>148a</v>
      </c>
      <c r="B1275" s="6" t="str">
        <f>'Reported burning'!B1275</f>
        <v>148a.8</v>
      </c>
      <c r="C1275" s="6" t="str">
        <f>'Reported burning'!C1275</f>
        <v>Human, accidental</v>
      </c>
      <c r="D1275" s="6" t="str">
        <f>'Reported burning'!D1275</f>
        <v>ND</v>
      </c>
      <c r="E1275" s="6" t="str">
        <f>'Reported burning'!E1275</f>
        <v>All</v>
      </c>
      <c r="F1275" s="6" t="str">
        <f>'Reported burning'!F1275</f>
        <v>ND</v>
      </c>
      <c r="G1275" s="6" t="str">
        <f>'Reported burning'!G1275</f>
        <v>Forest</v>
      </c>
      <c r="H1275" s="6" t="str">
        <f>'Reported burning'!H1275</f>
        <v>Presence</v>
      </c>
      <c r="I1275" s="3"/>
      <c r="J1275" s="3" t="s">
        <v>2276</v>
      </c>
      <c r="K1275" s="3" t="s">
        <v>2276</v>
      </c>
      <c r="L1275" s="3" t="s">
        <v>2276</v>
      </c>
      <c r="M1275" s="3" t="s">
        <v>2276</v>
      </c>
      <c r="N1275" s="3" t="s">
        <v>2276</v>
      </c>
      <c r="O1275" s="3" t="s">
        <v>2276</v>
      </c>
      <c r="P1275" s="3" t="s">
        <v>2276</v>
      </c>
      <c r="Q1275" s="3" t="s">
        <v>2276</v>
      </c>
      <c r="R1275" s="3" t="s">
        <v>2276</v>
      </c>
      <c r="S1275" s="3" t="s">
        <v>2276</v>
      </c>
      <c r="T1275" s="3" t="s">
        <v>2276</v>
      </c>
      <c r="U1275" s="3" t="s">
        <v>2276</v>
      </c>
      <c r="V1275" s="3" t="s">
        <v>2374</v>
      </c>
      <c r="W1275" s="3" t="s">
        <v>2375</v>
      </c>
      <c r="X1275" s="3" t="s">
        <v>399</v>
      </c>
      <c r="Y1275" s="3" t="s">
        <v>38</v>
      </c>
      <c r="Z1275" s="3" t="s">
        <v>64</v>
      </c>
      <c r="AA1275" s="3"/>
      <c r="AB1275" s="4" t="s">
        <v>3829</v>
      </c>
    </row>
    <row r="1276" spans="1:28" ht="67.5" customHeight="1">
      <c r="A1276" s="6" t="str">
        <f>'Reported burning'!A1276</f>
        <v>148a</v>
      </c>
      <c r="B1276" s="6" t="str">
        <f>'Reported burning'!B1276</f>
        <v>148a.9</v>
      </c>
      <c r="C1276" s="6" t="str">
        <f>'Reported burning'!C1276</f>
        <v>Human, deliberate</v>
      </c>
      <c r="D1276" s="6" t="str">
        <f>'Reported burning'!D1276</f>
        <v>Crop field preparation</v>
      </c>
      <c r="E1276" s="6" t="str">
        <f>'Reported burning'!E1276</f>
        <v>Cropping, Swidden</v>
      </c>
      <c r="F1276" s="6" t="str">
        <f>'Reported burning'!F1276</f>
        <v>Forest</v>
      </c>
      <c r="G1276" s="6" t="str">
        <f>'Reported burning'!G1276</f>
        <v>ND</v>
      </c>
      <c r="H1276" s="6" t="str">
        <f>'Reported burning'!H1276</f>
        <v>Presence</v>
      </c>
      <c r="I1276" s="3"/>
      <c r="J1276" s="3" t="s">
        <v>2276</v>
      </c>
      <c r="K1276" s="3" t="s">
        <v>2276</v>
      </c>
      <c r="L1276" s="3" t="s">
        <v>2276</v>
      </c>
      <c r="M1276" s="3" t="s">
        <v>2276</v>
      </c>
      <c r="N1276" s="3" t="s">
        <v>2276</v>
      </c>
      <c r="O1276" s="3" t="s">
        <v>2276</v>
      </c>
      <c r="P1276" s="3" t="s">
        <v>2276</v>
      </c>
      <c r="Q1276" s="3" t="s">
        <v>2276</v>
      </c>
      <c r="R1276" s="3" t="s">
        <v>2276</v>
      </c>
      <c r="S1276" s="3" t="s">
        <v>2276</v>
      </c>
      <c r="T1276" s="3" t="s">
        <v>2276</v>
      </c>
      <c r="U1276" s="3" t="s">
        <v>2276</v>
      </c>
      <c r="V1276" s="3" t="s">
        <v>2374</v>
      </c>
      <c r="W1276" s="3" t="s">
        <v>2375</v>
      </c>
      <c r="X1276" s="3" t="s">
        <v>188</v>
      </c>
      <c r="Y1276" s="3" t="s">
        <v>38</v>
      </c>
      <c r="Z1276" s="3" t="s">
        <v>64</v>
      </c>
      <c r="AA1276" s="3"/>
      <c r="AB1276" s="4" t="s">
        <v>3829</v>
      </c>
    </row>
    <row r="1277" spans="1:28" ht="45" customHeight="1">
      <c r="A1277" s="6" t="str">
        <f>'Reported burning'!A1277</f>
        <v>149a</v>
      </c>
      <c r="B1277" s="6" t="str">
        <f>'Reported burning'!B1277</f>
        <v>149a.1</v>
      </c>
      <c r="C1277" s="6" t="str">
        <f>'Reported burning'!C1277</f>
        <v>Human, deliberate</v>
      </c>
      <c r="D1277" s="6" t="str">
        <f>'Reported burning'!D1277</f>
        <v>Charcoal production</v>
      </c>
      <c r="E1277" s="6" t="str">
        <f>'Reported burning'!E1277</f>
        <v>Forestry, Traditional</v>
      </c>
      <c r="F1277" s="6" t="str">
        <f>'Reported burning'!F1277</f>
        <v>Shrubland (Mixed forest &amp; grassland)</v>
      </c>
      <c r="G1277" s="6" t="str">
        <f>'Reported burning'!G1277</f>
        <v>ND</v>
      </c>
      <c r="H1277" s="6" t="str">
        <f>'Reported burning'!H1277</f>
        <v>Absence</v>
      </c>
      <c r="I1277" s="3"/>
      <c r="J1277" s="3" t="s">
        <v>2364</v>
      </c>
      <c r="K1277" s="3" t="s">
        <v>2364</v>
      </c>
      <c r="L1277" s="3" t="s">
        <v>2364</v>
      </c>
      <c r="M1277" s="3" t="s">
        <v>2364</v>
      </c>
      <c r="N1277" s="3" t="s">
        <v>2364</v>
      </c>
      <c r="O1277" s="3" t="s">
        <v>2364</v>
      </c>
      <c r="P1277" s="3" t="s">
        <v>2364</v>
      </c>
      <c r="Q1277" s="3" t="s">
        <v>2364</v>
      </c>
      <c r="R1277" s="3" t="s">
        <v>2364</v>
      </c>
      <c r="S1277" s="3" t="s">
        <v>2364</v>
      </c>
      <c r="T1277" s="3" t="s">
        <v>2364</v>
      </c>
      <c r="U1277" s="3" t="s">
        <v>2364</v>
      </c>
      <c r="V1277" s="3" t="s">
        <v>2364</v>
      </c>
      <c r="W1277" s="3" t="s">
        <v>2276</v>
      </c>
      <c r="X1277" s="3" t="s">
        <v>2276</v>
      </c>
      <c r="Y1277" s="3" t="s">
        <v>2276</v>
      </c>
      <c r="Z1277" s="3" t="s">
        <v>2276</v>
      </c>
      <c r="AA1277" s="3"/>
      <c r="AB1277" s="3"/>
    </row>
    <row r="1278" spans="1:28" ht="72" customHeight="1">
      <c r="A1278" s="6" t="str">
        <f>'Reported burning'!A1278</f>
        <v>150a</v>
      </c>
      <c r="B1278" s="6" t="str">
        <f>'Reported burning'!B1278</f>
        <v>150a.1</v>
      </c>
      <c r="C1278" s="6" t="str">
        <f>'Reported burning'!C1278</f>
        <v>Human, deliberate</v>
      </c>
      <c r="D1278" s="6" t="str">
        <f>'Reported burning'!D1278</f>
        <v>Rangeland management</v>
      </c>
      <c r="E1278" s="6" t="str">
        <f>'Reported burning'!E1278</f>
        <v>Pastoralism, Migratory</v>
      </c>
      <c r="F1278" s="6" t="str">
        <f>'Reported burning'!F1278</f>
        <v>Shrubland (Mixed forest &amp; grassland)</v>
      </c>
      <c r="G1278" s="6" t="str">
        <f>'Reported burning'!G1278</f>
        <v>Shrubland (Mixed forest &amp; grassland)</v>
      </c>
      <c r="H1278" s="6" t="str">
        <f>'Reported burning'!H1278</f>
        <v>Presence</v>
      </c>
      <c r="I1278" s="3"/>
      <c r="J1278" s="3" t="s">
        <v>2276</v>
      </c>
      <c r="K1278" s="3" t="s">
        <v>2276</v>
      </c>
      <c r="L1278" s="3" t="s">
        <v>2276</v>
      </c>
      <c r="M1278" s="3" t="s">
        <v>2276</v>
      </c>
      <c r="N1278" s="3" t="s">
        <v>2276</v>
      </c>
      <c r="O1278" s="3" t="s">
        <v>2276</v>
      </c>
      <c r="P1278" s="3" t="s">
        <v>2276</v>
      </c>
      <c r="Q1278" s="3" t="s">
        <v>2276</v>
      </c>
      <c r="R1278" s="3" t="s">
        <v>2276</v>
      </c>
      <c r="S1278" s="3" t="s">
        <v>2276</v>
      </c>
      <c r="T1278" s="3" t="s">
        <v>2276</v>
      </c>
      <c r="U1278" s="3" t="s">
        <v>2276</v>
      </c>
      <c r="V1278" s="3" t="s">
        <v>2276</v>
      </c>
      <c r="W1278" s="3" t="s">
        <v>2401</v>
      </c>
      <c r="X1278" s="3" t="s">
        <v>2276</v>
      </c>
      <c r="Y1278" s="3" t="s">
        <v>2276</v>
      </c>
      <c r="Z1278" s="3" t="s">
        <v>2276</v>
      </c>
      <c r="AA1278" s="3"/>
      <c r="AB1278" s="4" t="s">
        <v>3846</v>
      </c>
    </row>
    <row r="1279" spans="1:28" ht="52" customHeight="1">
      <c r="A1279" s="6" t="str">
        <f>'Reported burning'!A1279</f>
        <v>150a</v>
      </c>
      <c r="B1279" s="6" t="str">
        <f>'Reported burning'!B1279</f>
        <v>150a.2</v>
      </c>
      <c r="C1279" s="6" t="str">
        <f>'Reported burning'!C1279</f>
        <v>Lightning</v>
      </c>
      <c r="D1279" s="6" t="str">
        <f>'Reported burning'!D1279</f>
        <v>ND</v>
      </c>
      <c r="E1279" s="6" t="str">
        <f>'Reported burning'!E1279</f>
        <v>ND</v>
      </c>
      <c r="F1279" s="6" t="str">
        <f>'Reported burning'!F1279</f>
        <v>ND</v>
      </c>
      <c r="G1279" s="6" t="str">
        <f>'Reported burning'!G1279</f>
        <v>ND</v>
      </c>
      <c r="H1279" s="6" t="str">
        <f>'Reported burning'!H1279</f>
        <v>Absence</v>
      </c>
      <c r="I1279" s="3"/>
      <c r="J1279" s="3" t="s">
        <v>2364</v>
      </c>
      <c r="K1279" s="3" t="s">
        <v>2364</v>
      </c>
      <c r="L1279" s="3" t="s">
        <v>2364</v>
      </c>
      <c r="M1279" s="3" t="s">
        <v>2364</v>
      </c>
      <c r="N1279" s="3" t="s">
        <v>2364</v>
      </c>
      <c r="O1279" s="3" t="s">
        <v>2364</v>
      </c>
      <c r="P1279" s="3" t="s">
        <v>2364</v>
      </c>
      <c r="Q1279" s="3" t="s">
        <v>2364</v>
      </c>
      <c r="R1279" s="3" t="s">
        <v>2364</v>
      </c>
      <c r="S1279" s="3" t="s">
        <v>2364</v>
      </c>
      <c r="T1279" s="3" t="s">
        <v>2364</v>
      </c>
      <c r="U1279" s="3" t="s">
        <v>2364</v>
      </c>
      <c r="V1279" s="3" t="s">
        <v>2364</v>
      </c>
      <c r="W1279" s="3" t="s">
        <v>2276</v>
      </c>
      <c r="X1279" s="3" t="s">
        <v>2276</v>
      </c>
      <c r="Y1279" s="3" t="s">
        <v>2276</v>
      </c>
      <c r="Z1279" s="3" t="s">
        <v>2276</v>
      </c>
      <c r="AA1279" s="3"/>
      <c r="AB1279" s="4" t="s">
        <v>3848</v>
      </c>
    </row>
    <row r="1280" spans="1:28" ht="94.5" customHeight="1">
      <c r="A1280" s="6" t="str">
        <f>'Reported burning'!A1280</f>
        <v>151a</v>
      </c>
      <c r="B1280" s="6" t="str">
        <f>'Reported burning'!B1280</f>
        <v>151a.1</v>
      </c>
      <c r="C1280" s="6" t="str">
        <f>'Reported burning'!C1280</f>
        <v>Human, deliberate</v>
      </c>
      <c r="D1280" s="6" t="str">
        <f>'Reported burning'!D1280</f>
        <v>Pasture renewal</v>
      </c>
      <c r="E1280" s="6" t="str">
        <f>'Reported burning'!E1280</f>
        <v>ND</v>
      </c>
      <c r="F1280" s="6" t="str">
        <f>'Reported burning'!F1280</f>
        <v>Grassland</v>
      </c>
      <c r="G1280" s="6" t="str">
        <f>'Reported burning'!G1280</f>
        <v>ND</v>
      </c>
      <c r="H1280" s="6" t="str">
        <f>'Reported burning'!H1280</f>
        <v>Absence</v>
      </c>
      <c r="I1280" s="5"/>
      <c r="J1280" s="3" t="s">
        <v>2364</v>
      </c>
      <c r="K1280" s="3" t="s">
        <v>2364</v>
      </c>
      <c r="L1280" s="3" t="s">
        <v>2364</v>
      </c>
      <c r="M1280" s="3" t="s">
        <v>2364</v>
      </c>
      <c r="N1280" s="3" t="s">
        <v>2364</v>
      </c>
      <c r="O1280" s="3" t="s">
        <v>2364</v>
      </c>
      <c r="P1280" s="3" t="s">
        <v>2364</v>
      </c>
      <c r="Q1280" s="3" t="s">
        <v>2364</v>
      </c>
      <c r="R1280" s="3" t="s">
        <v>2364</v>
      </c>
      <c r="S1280" s="3" t="s">
        <v>2364</v>
      </c>
      <c r="T1280" s="3" t="s">
        <v>2364</v>
      </c>
      <c r="U1280" s="3" t="s">
        <v>2364</v>
      </c>
      <c r="V1280" s="3" t="s">
        <v>2364</v>
      </c>
      <c r="W1280" s="3" t="s">
        <v>2276</v>
      </c>
      <c r="X1280" s="3" t="s">
        <v>2276</v>
      </c>
      <c r="Y1280" s="3" t="s">
        <v>2276</v>
      </c>
      <c r="Z1280" s="3" t="s">
        <v>2276</v>
      </c>
      <c r="AA1280" s="9" t="s">
        <v>3858</v>
      </c>
      <c r="AB1280" s="8" t="s">
        <v>3859</v>
      </c>
    </row>
    <row r="1281" spans="1:29" ht="60.5" customHeight="1">
      <c r="A1281" s="6" t="str">
        <f>'Reported burning'!A1281</f>
        <v>152a</v>
      </c>
      <c r="B1281" s="6" t="str">
        <f>'Reported burning'!B1281</f>
        <v>152a.1</v>
      </c>
      <c r="C1281" s="6" t="str">
        <f>'Reported burning'!C1281</f>
        <v>All</v>
      </c>
      <c r="D1281" s="6" t="str">
        <f>'Reported burning'!D1281</f>
        <v>All</v>
      </c>
      <c r="E1281" s="6" t="str">
        <f>'Reported burning'!E1281</f>
        <v>Forestry, Traditional</v>
      </c>
      <c r="F1281" s="6" t="str">
        <f>'Reported burning'!F1281</f>
        <v>ND</v>
      </c>
      <c r="G1281" s="6" t="str">
        <f>'Reported burning'!G1281</f>
        <v>ND</v>
      </c>
      <c r="H1281" s="6" t="str">
        <f>'Reported burning'!H1281</f>
        <v>Presence</v>
      </c>
      <c r="I1281" s="3">
        <v>1992</v>
      </c>
      <c r="J1281" s="3" t="s">
        <v>2371</v>
      </c>
      <c r="K1281" s="3" t="s">
        <v>2276</v>
      </c>
      <c r="L1281" s="3" t="s">
        <v>2276</v>
      </c>
      <c r="M1281" s="3" t="s">
        <v>2276</v>
      </c>
      <c r="N1281" s="3" t="s">
        <v>2276</v>
      </c>
      <c r="O1281" s="3" t="s">
        <v>2276</v>
      </c>
      <c r="P1281" s="3" t="s">
        <v>2276</v>
      </c>
      <c r="Q1281" s="3" t="s">
        <v>2276</v>
      </c>
      <c r="R1281" s="3" t="s">
        <v>2276</v>
      </c>
      <c r="S1281" s="3" t="s">
        <v>2276</v>
      </c>
      <c r="T1281" s="3" t="s">
        <v>2276</v>
      </c>
      <c r="U1281" s="3" t="s">
        <v>2276</v>
      </c>
      <c r="V1281" s="3" t="s">
        <v>2276</v>
      </c>
      <c r="W1281" s="3" t="s">
        <v>2276</v>
      </c>
      <c r="X1281" s="3" t="s">
        <v>399</v>
      </c>
      <c r="Y1281" s="3" t="s">
        <v>86</v>
      </c>
      <c r="Z1281" s="3" t="s">
        <v>2276</v>
      </c>
      <c r="AA1281" s="4" t="s">
        <v>3866</v>
      </c>
      <c r="AB1281" s="3"/>
      <c r="AC1281" s="164"/>
    </row>
    <row r="1282" spans="1:29" ht="43.5">
      <c r="A1282" s="6" t="str">
        <f>'Reported burning'!A1282</f>
        <v>152a</v>
      </c>
      <c r="B1282" s="6" t="str">
        <f>'Reported burning'!B1282</f>
        <v>152a.2</v>
      </c>
      <c r="C1282" s="6" t="str">
        <f>'Reported burning'!C1282</f>
        <v>All</v>
      </c>
      <c r="D1282" s="6" t="str">
        <f>'Reported burning'!D1282</f>
        <v>All</v>
      </c>
      <c r="E1282" s="6" t="str">
        <f>'Reported burning'!E1282</f>
        <v>Forestry, Traditional</v>
      </c>
      <c r="F1282" s="6" t="str">
        <f>'Reported burning'!F1282</f>
        <v>ND</v>
      </c>
      <c r="G1282" s="6" t="str">
        <f>'Reported burning'!G1282</f>
        <v>ND</v>
      </c>
      <c r="H1282" s="6" t="str">
        <f>'Reported burning'!H1282</f>
        <v>Presence</v>
      </c>
      <c r="I1282" s="3">
        <v>1993</v>
      </c>
      <c r="J1282" s="3" t="s">
        <v>2371</v>
      </c>
      <c r="K1282" s="3" t="s">
        <v>2276</v>
      </c>
      <c r="L1282" s="3" t="s">
        <v>2276</v>
      </c>
      <c r="M1282" s="3" t="s">
        <v>2276</v>
      </c>
      <c r="N1282" s="3" t="s">
        <v>2276</v>
      </c>
      <c r="O1282" s="3" t="s">
        <v>2276</v>
      </c>
      <c r="P1282" s="3" t="s">
        <v>2276</v>
      </c>
      <c r="Q1282" s="3" t="s">
        <v>2276</v>
      </c>
      <c r="R1282" s="3" t="s">
        <v>2276</v>
      </c>
      <c r="S1282" s="3" t="s">
        <v>2276</v>
      </c>
      <c r="T1282" s="3" t="s">
        <v>2276</v>
      </c>
      <c r="U1282" s="3" t="s">
        <v>2276</v>
      </c>
      <c r="V1282" s="3" t="s">
        <v>2276</v>
      </c>
      <c r="W1282" s="3" t="s">
        <v>2276</v>
      </c>
      <c r="X1282" s="3" t="s">
        <v>399</v>
      </c>
      <c r="Y1282" s="3" t="s">
        <v>86</v>
      </c>
      <c r="Z1282" s="3" t="s">
        <v>2276</v>
      </c>
      <c r="AA1282" s="4" t="s">
        <v>3866</v>
      </c>
      <c r="AB1282" s="3"/>
      <c r="AC1282" s="164"/>
    </row>
    <row r="1283" spans="1:29" ht="43.5">
      <c r="A1283" s="6" t="str">
        <f>'Reported burning'!A1283</f>
        <v>152a</v>
      </c>
      <c r="B1283" s="6" t="str">
        <f>'Reported burning'!B1283</f>
        <v>152a.3</v>
      </c>
      <c r="C1283" s="6" t="str">
        <f>'Reported burning'!C1283</f>
        <v>All</v>
      </c>
      <c r="D1283" s="6" t="str">
        <f>'Reported burning'!D1283</f>
        <v>All</v>
      </c>
      <c r="E1283" s="6" t="str">
        <f>'Reported burning'!E1283</f>
        <v>Forestry, Traditional</v>
      </c>
      <c r="F1283" s="6" t="str">
        <f>'Reported burning'!F1283</f>
        <v>ND</v>
      </c>
      <c r="G1283" s="6" t="str">
        <f>'Reported burning'!G1283</f>
        <v>ND</v>
      </c>
      <c r="H1283" s="6" t="str">
        <f>'Reported burning'!H1283</f>
        <v>Presence</v>
      </c>
      <c r="I1283" s="3">
        <v>1994</v>
      </c>
      <c r="J1283" s="3" t="s">
        <v>2371</v>
      </c>
      <c r="K1283" s="3" t="s">
        <v>2276</v>
      </c>
      <c r="L1283" s="3" t="s">
        <v>2276</v>
      </c>
      <c r="M1283" s="3" t="s">
        <v>2276</v>
      </c>
      <c r="N1283" s="3" t="s">
        <v>2276</v>
      </c>
      <c r="O1283" s="3" t="s">
        <v>2276</v>
      </c>
      <c r="P1283" s="3" t="s">
        <v>2276</v>
      </c>
      <c r="Q1283" s="3" t="s">
        <v>2276</v>
      </c>
      <c r="R1283" s="3" t="s">
        <v>2276</v>
      </c>
      <c r="S1283" s="3" t="s">
        <v>2276</v>
      </c>
      <c r="T1283" s="3" t="s">
        <v>2276</v>
      </c>
      <c r="U1283" s="3" t="s">
        <v>2276</v>
      </c>
      <c r="V1283" s="3" t="s">
        <v>2276</v>
      </c>
      <c r="W1283" s="3" t="s">
        <v>2276</v>
      </c>
      <c r="X1283" s="3" t="s">
        <v>399</v>
      </c>
      <c r="Y1283" s="3" t="s">
        <v>86</v>
      </c>
      <c r="Z1283" s="3" t="s">
        <v>2276</v>
      </c>
      <c r="AA1283" s="4" t="s">
        <v>3866</v>
      </c>
      <c r="AB1283" s="3"/>
      <c r="AC1283" s="164"/>
    </row>
    <row r="1284" spans="1:29" ht="43.5">
      <c r="A1284" s="6" t="str">
        <f>'Reported burning'!A1284</f>
        <v>152a</v>
      </c>
      <c r="B1284" s="6" t="str">
        <f>'Reported burning'!B1284</f>
        <v>152a.4</v>
      </c>
      <c r="C1284" s="6" t="str">
        <f>'Reported burning'!C1284</f>
        <v>All</v>
      </c>
      <c r="D1284" s="6" t="str">
        <f>'Reported burning'!D1284</f>
        <v>All</v>
      </c>
      <c r="E1284" s="6" t="str">
        <f>'Reported burning'!E1284</f>
        <v>Forestry, Traditional</v>
      </c>
      <c r="F1284" s="6" t="str">
        <f>'Reported burning'!F1284</f>
        <v>ND</v>
      </c>
      <c r="G1284" s="6" t="str">
        <f>'Reported burning'!G1284</f>
        <v>ND</v>
      </c>
      <c r="H1284" s="6" t="str">
        <f>'Reported burning'!H1284</f>
        <v>Presence</v>
      </c>
      <c r="I1284" s="3">
        <v>1995</v>
      </c>
      <c r="J1284" s="3" t="s">
        <v>2371</v>
      </c>
      <c r="K1284" s="3" t="s">
        <v>2276</v>
      </c>
      <c r="L1284" s="3" t="s">
        <v>2276</v>
      </c>
      <c r="M1284" s="3" t="s">
        <v>2276</v>
      </c>
      <c r="N1284" s="3" t="s">
        <v>2276</v>
      </c>
      <c r="O1284" s="3" t="s">
        <v>2276</v>
      </c>
      <c r="P1284" s="3" t="s">
        <v>2276</v>
      </c>
      <c r="Q1284" s="3" t="s">
        <v>2276</v>
      </c>
      <c r="R1284" s="3" t="s">
        <v>2276</v>
      </c>
      <c r="S1284" s="3" t="s">
        <v>2276</v>
      </c>
      <c r="T1284" s="3" t="s">
        <v>2276</v>
      </c>
      <c r="U1284" s="3" t="s">
        <v>2276</v>
      </c>
      <c r="V1284" s="3" t="s">
        <v>2276</v>
      </c>
      <c r="W1284" s="3" t="s">
        <v>2276</v>
      </c>
      <c r="X1284" s="3" t="s">
        <v>399</v>
      </c>
      <c r="Y1284" s="3" t="s">
        <v>86</v>
      </c>
      <c r="Z1284" s="3" t="s">
        <v>2276</v>
      </c>
      <c r="AA1284" s="4" t="s">
        <v>3866</v>
      </c>
      <c r="AB1284" s="3"/>
      <c r="AC1284" s="164"/>
    </row>
    <row r="1285" spans="1:29" ht="43.5">
      <c r="A1285" s="6" t="str">
        <f>'Reported burning'!A1285</f>
        <v>152a</v>
      </c>
      <c r="B1285" s="6" t="str">
        <f>'Reported burning'!B1285</f>
        <v>152a.5</v>
      </c>
      <c r="C1285" s="6" t="str">
        <f>'Reported burning'!C1285</f>
        <v>All</v>
      </c>
      <c r="D1285" s="6" t="str">
        <f>'Reported burning'!D1285</f>
        <v>All</v>
      </c>
      <c r="E1285" s="6" t="str">
        <f>'Reported burning'!E1285</f>
        <v>Forestry, Traditional</v>
      </c>
      <c r="F1285" s="6" t="str">
        <f>'Reported burning'!F1285</f>
        <v>ND</v>
      </c>
      <c r="G1285" s="6" t="str">
        <f>'Reported burning'!G1285</f>
        <v>ND</v>
      </c>
      <c r="H1285" s="6" t="str">
        <f>'Reported burning'!H1285</f>
        <v>Presence</v>
      </c>
      <c r="I1285" s="3">
        <v>1996</v>
      </c>
      <c r="J1285" s="3" t="s">
        <v>2370</v>
      </c>
      <c r="K1285" s="3" t="s">
        <v>2276</v>
      </c>
      <c r="L1285" s="3" t="s">
        <v>2276</v>
      </c>
      <c r="M1285" s="3" t="s">
        <v>2276</v>
      </c>
      <c r="N1285" s="3" t="s">
        <v>2276</v>
      </c>
      <c r="O1285" s="3" t="s">
        <v>2276</v>
      </c>
      <c r="P1285" s="3" t="s">
        <v>2276</v>
      </c>
      <c r="Q1285" s="3" t="s">
        <v>2276</v>
      </c>
      <c r="R1285" s="3" t="s">
        <v>2276</v>
      </c>
      <c r="S1285" s="3" t="s">
        <v>2276</v>
      </c>
      <c r="T1285" s="3" t="s">
        <v>2276</v>
      </c>
      <c r="U1285" s="3" t="s">
        <v>2276</v>
      </c>
      <c r="V1285" s="3" t="s">
        <v>2276</v>
      </c>
      <c r="W1285" s="3" t="s">
        <v>2276</v>
      </c>
      <c r="X1285" s="3" t="s">
        <v>399</v>
      </c>
      <c r="Y1285" s="3" t="s">
        <v>86</v>
      </c>
      <c r="Z1285" s="3" t="s">
        <v>2276</v>
      </c>
      <c r="AA1285" s="4" t="s">
        <v>3866</v>
      </c>
      <c r="AB1285" s="3"/>
      <c r="AC1285" s="164"/>
    </row>
    <row r="1286" spans="1:29" ht="43.5">
      <c r="A1286" s="6" t="str">
        <f>'Reported burning'!A1286</f>
        <v>152a</v>
      </c>
      <c r="B1286" s="6" t="str">
        <f>'Reported burning'!B1286</f>
        <v>152a.6</v>
      </c>
      <c r="C1286" s="6" t="str">
        <f>'Reported burning'!C1286</f>
        <v>All</v>
      </c>
      <c r="D1286" s="6" t="str">
        <f>'Reported burning'!D1286</f>
        <v>All</v>
      </c>
      <c r="E1286" s="6" t="str">
        <f>'Reported burning'!E1286</f>
        <v>Forestry, Traditional</v>
      </c>
      <c r="F1286" s="6" t="str">
        <f>'Reported burning'!F1286</f>
        <v>ND</v>
      </c>
      <c r="G1286" s="6" t="str">
        <f>'Reported burning'!G1286</f>
        <v>ND</v>
      </c>
      <c r="H1286" s="6" t="str">
        <f>'Reported burning'!H1286</f>
        <v>Presence</v>
      </c>
      <c r="I1286" s="3">
        <v>1997</v>
      </c>
      <c r="J1286" s="3" t="s">
        <v>2370</v>
      </c>
      <c r="K1286" s="3" t="s">
        <v>2276</v>
      </c>
      <c r="L1286" s="3" t="s">
        <v>2276</v>
      </c>
      <c r="M1286" s="3" t="s">
        <v>2276</v>
      </c>
      <c r="N1286" s="3" t="s">
        <v>2276</v>
      </c>
      <c r="O1286" s="3" t="s">
        <v>2276</v>
      </c>
      <c r="P1286" s="3" t="s">
        <v>2276</v>
      </c>
      <c r="Q1286" s="3" t="s">
        <v>2276</v>
      </c>
      <c r="R1286" s="3" t="s">
        <v>2276</v>
      </c>
      <c r="S1286" s="3" t="s">
        <v>2276</v>
      </c>
      <c r="T1286" s="3" t="s">
        <v>2276</v>
      </c>
      <c r="U1286" s="3" t="s">
        <v>2276</v>
      </c>
      <c r="V1286" s="3" t="s">
        <v>2276</v>
      </c>
      <c r="W1286" s="3" t="s">
        <v>2276</v>
      </c>
      <c r="X1286" s="3" t="s">
        <v>399</v>
      </c>
      <c r="Y1286" s="3" t="s">
        <v>86</v>
      </c>
      <c r="Z1286" s="3" t="s">
        <v>2276</v>
      </c>
      <c r="AA1286" s="4" t="s">
        <v>3866</v>
      </c>
      <c r="AB1286" s="3"/>
      <c r="AC1286" s="164"/>
    </row>
    <row r="1287" spans="1:29" ht="43.5">
      <c r="A1287" s="6" t="str">
        <f>'Reported burning'!A1287</f>
        <v>152a</v>
      </c>
      <c r="B1287" s="6" t="str">
        <f>'Reported burning'!B1287</f>
        <v>152a.7</v>
      </c>
      <c r="C1287" s="6" t="str">
        <f>'Reported burning'!C1287</f>
        <v>All</v>
      </c>
      <c r="D1287" s="6" t="str">
        <f>'Reported burning'!D1287</f>
        <v>All</v>
      </c>
      <c r="E1287" s="6" t="str">
        <f>'Reported burning'!E1287</f>
        <v>Forestry, Traditional</v>
      </c>
      <c r="F1287" s="6" t="str">
        <f>'Reported burning'!F1287</f>
        <v>ND</v>
      </c>
      <c r="G1287" s="6" t="str">
        <f>'Reported burning'!G1287</f>
        <v>ND</v>
      </c>
      <c r="H1287" s="6" t="str">
        <f>'Reported burning'!H1287</f>
        <v>Presence</v>
      </c>
      <c r="I1287" s="3">
        <v>1998</v>
      </c>
      <c r="J1287" s="3" t="s">
        <v>2369</v>
      </c>
      <c r="K1287" s="3" t="s">
        <v>2276</v>
      </c>
      <c r="L1287" s="3" t="s">
        <v>2276</v>
      </c>
      <c r="M1287" s="3" t="s">
        <v>2276</v>
      </c>
      <c r="N1287" s="3" t="s">
        <v>2276</v>
      </c>
      <c r="O1287" s="3" t="s">
        <v>2276</v>
      </c>
      <c r="P1287" s="3" t="s">
        <v>2276</v>
      </c>
      <c r="Q1287" s="3" t="s">
        <v>2276</v>
      </c>
      <c r="R1287" s="3" t="s">
        <v>2276</v>
      </c>
      <c r="S1287" s="3" t="s">
        <v>2276</v>
      </c>
      <c r="T1287" s="3" t="s">
        <v>2276</v>
      </c>
      <c r="U1287" s="3" t="s">
        <v>2276</v>
      </c>
      <c r="V1287" s="3" t="s">
        <v>2276</v>
      </c>
      <c r="W1287" s="3" t="s">
        <v>2276</v>
      </c>
      <c r="X1287" s="3" t="s">
        <v>399</v>
      </c>
      <c r="Y1287" s="3" t="s">
        <v>86</v>
      </c>
      <c r="Z1287" s="3" t="s">
        <v>2276</v>
      </c>
      <c r="AA1287" s="4" t="s">
        <v>3866</v>
      </c>
      <c r="AB1287" s="3"/>
      <c r="AC1287" s="164"/>
    </row>
    <row r="1288" spans="1:29" ht="43.5">
      <c r="A1288" s="6" t="str">
        <f>'Reported burning'!A1288</f>
        <v>152a</v>
      </c>
      <c r="B1288" s="6" t="str">
        <f>'Reported burning'!B1288</f>
        <v>152a.8</v>
      </c>
      <c r="C1288" s="6" t="str">
        <f>'Reported burning'!C1288</f>
        <v>All</v>
      </c>
      <c r="D1288" s="6" t="str">
        <f>'Reported burning'!D1288</f>
        <v>All</v>
      </c>
      <c r="E1288" s="6" t="str">
        <f>'Reported burning'!E1288</f>
        <v>Forestry, Traditional</v>
      </c>
      <c r="F1288" s="6" t="str">
        <f>'Reported burning'!F1288</f>
        <v>ND</v>
      </c>
      <c r="G1288" s="6" t="str">
        <f>'Reported burning'!G1288</f>
        <v>ND</v>
      </c>
      <c r="H1288" s="6" t="str">
        <f>'Reported burning'!H1288</f>
        <v>Presence</v>
      </c>
      <c r="I1288" s="3">
        <v>1999</v>
      </c>
      <c r="J1288" s="3" t="s">
        <v>2371</v>
      </c>
      <c r="K1288" s="3" t="s">
        <v>2276</v>
      </c>
      <c r="L1288" s="3" t="s">
        <v>2276</v>
      </c>
      <c r="M1288" s="3" t="s">
        <v>2276</v>
      </c>
      <c r="N1288" s="3" t="s">
        <v>2276</v>
      </c>
      <c r="O1288" s="3" t="s">
        <v>2276</v>
      </c>
      <c r="P1288" s="3" t="s">
        <v>2276</v>
      </c>
      <c r="Q1288" s="3" t="s">
        <v>2276</v>
      </c>
      <c r="R1288" s="3" t="s">
        <v>2276</v>
      </c>
      <c r="S1288" s="3" t="s">
        <v>2276</v>
      </c>
      <c r="T1288" s="3" t="s">
        <v>2276</v>
      </c>
      <c r="U1288" s="3" t="s">
        <v>2276</v>
      </c>
      <c r="V1288" s="3" t="s">
        <v>2276</v>
      </c>
      <c r="W1288" s="3" t="s">
        <v>2276</v>
      </c>
      <c r="X1288" s="3" t="s">
        <v>399</v>
      </c>
      <c r="Y1288" s="3" t="s">
        <v>86</v>
      </c>
      <c r="Z1288" s="3" t="s">
        <v>2276</v>
      </c>
      <c r="AA1288" s="4" t="s">
        <v>3866</v>
      </c>
      <c r="AB1288" s="3"/>
      <c r="AC1288" s="164"/>
    </row>
    <row r="1289" spans="1:29" ht="43.5">
      <c r="A1289" s="6" t="str">
        <f>'Reported burning'!A1289</f>
        <v>152a</v>
      </c>
      <c r="B1289" s="6" t="str">
        <f>'Reported burning'!B1289</f>
        <v>152a.9</v>
      </c>
      <c r="C1289" s="6" t="str">
        <f>'Reported burning'!C1289</f>
        <v>All</v>
      </c>
      <c r="D1289" s="6" t="str">
        <f>'Reported burning'!D1289</f>
        <v>All</v>
      </c>
      <c r="E1289" s="6" t="str">
        <f>'Reported burning'!E1289</f>
        <v>Forestry, Traditional</v>
      </c>
      <c r="F1289" s="6" t="str">
        <f>'Reported burning'!F1289</f>
        <v>ND</v>
      </c>
      <c r="G1289" s="6" t="str">
        <f>'Reported burning'!G1289</f>
        <v>ND</v>
      </c>
      <c r="H1289" s="6" t="str">
        <f>'Reported burning'!H1289</f>
        <v>Presence</v>
      </c>
      <c r="I1289" s="3">
        <v>2000</v>
      </c>
      <c r="J1289" s="3" t="s">
        <v>2371</v>
      </c>
      <c r="K1289" s="3" t="s">
        <v>2276</v>
      </c>
      <c r="L1289" s="3" t="s">
        <v>2276</v>
      </c>
      <c r="M1289" s="3" t="s">
        <v>2276</v>
      </c>
      <c r="N1289" s="3" t="s">
        <v>2276</v>
      </c>
      <c r="O1289" s="3" t="s">
        <v>2276</v>
      </c>
      <c r="P1289" s="3" t="s">
        <v>2276</v>
      </c>
      <c r="Q1289" s="3" t="s">
        <v>2276</v>
      </c>
      <c r="R1289" s="3" t="s">
        <v>2276</v>
      </c>
      <c r="S1289" s="3" t="s">
        <v>2276</v>
      </c>
      <c r="T1289" s="3" t="s">
        <v>2276</v>
      </c>
      <c r="U1289" s="3" t="s">
        <v>2276</v>
      </c>
      <c r="V1289" s="3" t="s">
        <v>2276</v>
      </c>
      <c r="W1289" s="3" t="s">
        <v>2276</v>
      </c>
      <c r="X1289" s="3" t="s">
        <v>399</v>
      </c>
      <c r="Y1289" s="3" t="s">
        <v>86</v>
      </c>
      <c r="Z1289" s="3" t="s">
        <v>2276</v>
      </c>
      <c r="AA1289" s="4" t="s">
        <v>3866</v>
      </c>
      <c r="AB1289" s="3"/>
      <c r="AC1289" s="164"/>
    </row>
    <row r="1290" spans="1:29" ht="43.5">
      <c r="A1290" s="6" t="str">
        <f>'Reported burning'!A1290</f>
        <v>152a</v>
      </c>
      <c r="B1290" s="6" t="str">
        <f>'Reported burning'!B1290</f>
        <v>152a.10</v>
      </c>
      <c r="C1290" s="6" t="str">
        <f>'Reported burning'!C1290</f>
        <v>All</v>
      </c>
      <c r="D1290" s="6" t="str">
        <f>'Reported burning'!D1290</f>
        <v>All</v>
      </c>
      <c r="E1290" s="6" t="str">
        <f>'Reported burning'!E1290</f>
        <v>Forestry, Traditional</v>
      </c>
      <c r="F1290" s="6" t="str">
        <f>'Reported burning'!F1290</f>
        <v>ND</v>
      </c>
      <c r="G1290" s="6" t="str">
        <f>'Reported burning'!G1290</f>
        <v>ND</v>
      </c>
      <c r="H1290" s="6" t="str">
        <f>'Reported burning'!H1290</f>
        <v>Presence</v>
      </c>
      <c r="I1290" s="3">
        <v>2001</v>
      </c>
      <c r="J1290" s="3" t="s">
        <v>2371</v>
      </c>
      <c r="K1290" s="3" t="s">
        <v>2276</v>
      </c>
      <c r="L1290" s="3" t="s">
        <v>2276</v>
      </c>
      <c r="M1290" s="3" t="s">
        <v>2276</v>
      </c>
      <c r="N1290" s="3" t="s">
        <v>2276</v>
      </c>
      <c r="O1290" s="3" t="s">
        <v>2276</v>
      </c>
      <c r="P1290" s="3" t="s">
        <v>2276</v>
      </c>
      <c r="Q1290" s="3" t="s">
        <v>2276</v>
      </c>
      <c r="R1290" s="3" t="s">
        <v>2276</v>
      </c>
      <c r="S1290" s="3" t="s">
        <v>2276</v>
      </c>
      <c r="T1290" s="3" t="s">
        <v>2276</v>
      </c>
      <c r="U1290" s="3" t="s">
        <v>2276</v>
      </c>
      <c r="V1290" s="3" t="s">
        <v>2276</v>
      </c>
      <c r="W1290" s="3" t="s">
        <v>2276</v>
      </c>
      <c r="X1290" s="3" t="s">
        <v>399</v>
      </c>
      <c r="Y1290" s="3" t="s">
        <v>86</v>
      </c>
      <c r="Z1290" s="3" t="s">
        <v>2276</v>
      </c>
      <c r="AA1290" s="4" t="s">
        <v>3866</v>
      </c>
      <c r="AB1290" s="3"/>
      <c r="AC1290" s="164"/>
    </row>
    <row r="1291" spans="1:29" ht="43.5">
      <c r="A1291" s="6" t="str">
        <f>'Reported burning'!A1291</f>
        <v>152a</v>
      </c>
      <c r="B1291" s="6" t="str">
        <f>'Reported burning'!B1291</f>
        <v>152a.11</v>
      </c>
      <c r="C1291" s="6" t="str">
        <f>'Reported burning'!C1291</f>
        <v>All</v>
      </c>
      <c r="D1291" s="6" t="str">
        <f>'Reported burning'!D1291</f>
        <v>All</v>
      </c>
      <c r="E1291" s="6" t="str">
        <f>'Reported burning'!E1291</f>
        <v>Forestry, Traditional</v>
      </c>
      <c r="F1291" s="6" t="str">
        <f>'Reported burning'!F1291</f>
        <v>ND</v>
      </c>
      <c r="G1291" s="6" t="str">
        <f>'Reported burning'!G1291</f>
        <v>ND</v>
      </c>
      <c r="H1291" s="6" t="str">
        <f>'Reported burning'!H1291</f>
        <v>Presence</v>
      </c>
      <c r="I1291" s="3">
        <v>2002</v>
      </c>
      <c r="J1291" s="3" t="s">
        <v>2371</v>
      </c>
      <c r="K1291" s="3" t="s">
        <v>2276</v>
      </c>
      <c r="L1291" s="3" t="s">
        <v>2276</v>
      </c>
      <c r="M1291" s="3" t="s">
        <v>2276</v>
      </c>
      <c r="N1291" s="3" t="s">
        <v>2276</v>
      </c>
      <c r="O1291" s="3" t="s">
        <v>2276</v>
      </c>
      <c r="P1291" s="3" t="s">
        <v>2276</v>
      </c>
      <c r="Q1291" s="3" t="s">
        <v>2276</v>
      </c>
      <c r="R1291" s="3" t="s">
        <v>2276</v>
      </c>
      <c r="S1291" s="3" t="s">
        <v>2276</v>
      </c>
      <c r="T1291" s="3" t="s">
        <v>2276</v>
      </c>
      <c r="U1291" s="3" t="s">
        <v>2276</v>
      </c>
      <c r="V1291" s="3" t="s">
        <v>2276</v>
      </c>
      <c r="W1291" s="3" t="s">
        <v>2276</v>
      </c>
      <c r="X1291" s="3" t="s">
        <v>399</v>
      </c>
      <c r="Y1291" s="3" t="s">
        <v>86</v>
      </c>
      <c r="Z1291" s="3" t="s">
        <v>2276</v>
      </c>
      <c r="AA1291" s="4" t="s">
        <v>3866</v>
      </c>
      <c r="AB1291" s="3"/>
      <c r="AC1291" s="164"/>
    </row>
    <row r="1292" spans="1:29" ht="43.5">
      <c r="A1292" s="6" t="str">
        <f>'Reported burning'!A1292</f>
        <v>152a</v>
      </c>
      <c r="B1292" s="6" t="str">
        <f>'Reported burning'!B1292</f>
        <v>152a.12</v>
      </c>
      <c r="C1292" s="6" t="str">
        <f>'Reported burning'!C1292</f>
        <v>All</v>
      </c>
      <c r="D1292" s="6" t="str">
        <f>'Reported burning'!D1292</f>
        <v>All</v>
      </c>
      <c r="E1292" s="6" t="str">
        <f>'Reported burning'!E1292</f>
        <v>Forestry, Traditional</v>
      </c>
      <c r="F1292" s="6" t="str">
        <f>'Reported burning'!F1292</f>
        <v>ND</v>
      </c>
      <c r="G1292" s="6" t="str">
        <f>'Reported burning'!G1292</f>
        <v>ND</v>
      </c>
      <c r="H1292" s="6" t="str">
        <f>'Reported burning'!H1292</f>
        <v>Presence</v>
      </c>
      <c r="I1292" s="3">
        <v>2003</v>
      </c>
      <c r="J1292" s="3" t="s">
        <v>2371</v>
      </c>
      <c r="K1292" s="3" t="s">
        <v>2276</v>
      </c>
      <c r="L1292" s="3" t="s">
        <v>2276</v>
      </c>
      <c r="M1292" s="3" t="s">
        <v>2276</v>
      </c>
      <c r="N1292" s="3" t="s">
        <v>2276</v>
      </c>
      <c r="O1292" s="3" t="s">
        <v>2276</v>
      </c>
      <c r="P1292" s="3" t="s">
        <v>2276</v>
      </c>
      <c r="Q1292" s="3" t="s">
        <v>2276</v>
      </c>
      <c r="R1292" s="3" t="s">
        <v>2276</v>
      </c>
      <c r="S1292" s="3" t="s">
        <v>2276</v>
      </c>
      <c r="T1292" s="3" t="s">
        <v>2276</v>
      </c>
      <c r="U1292" s="3" t="s">
        <v>2276</v>
      </c>
      <c r="V1292" s="3" t="s">
        <v>2276</v>
      </c>
      <c r="W1292" s="3" t="s">
        <v>2276</v>
      </c>
      <c r="X1292" s="3" t="s">
        <v>399</v>
      </c>
      <c r="Y1292" s="3" t="s">
        <v>86</v>
      </c>
      <c r="Z1292" s="3" t="s">
        <v>2276</v>
      </c>
      <c r="AA1292" s="4" t="s">
        <v>3866</v>
      </c>
      <c r="AB1292" s="3"/>
      <c r="AC1292" s="164"/>
    </row>
    <row r="1293" spans="1:29" ht="40" customHeight="1">
      <c r="A1293" s="6" t="str">
        <f>'Reported burning'!A1293</f>
        <v>152a</v>
      </c>
      <c r="B1293" s="6" t="str">
        <f>'Reported burning'!B1293</f>
        <v>152a.13</v>
      </c>
      <c r="C1293" s="6" t="str">
        <f>'Reported burning'!C1293</f>
        <v>Human, deliberate</v>
      </c>
      <c r="D1293" s="6" t="str">
        <f>'Reported burning'!D1293</f>
        <v>Hunting</v>
      </c>
      <c r="E1293" s="6" t="str">
        <f>'Reported burning'!E1293</f>
        <v>Forestry, Traditional</v>
      </c>
      <c r="F1293" s="6" t="str">
        <f>'Reported burning'!F1293</f>
        <v>Shrubland (Mixed forest &amp; grassland)</v>
      </c>
      <c r="G1293" s="6" t="str">
        <f>'Reported burning'!G1293</f>
        <v>Shrubland (Mixed forest &amp; grassland)</v>
      </c>
      <c r="H1293" s="6" t="str">
        <f>'Reported burning'!H1293</f>
        <v>Presence</v>
      </c>
      <c r="I1293" s="3"/>
      <c r="J1293" s="3" t="s">
        <v>2276</v>
      </c>
      <c r="K1293" s="3" t="s">
        <v>2276</v>
      </c>
      <c r="L1293" s="3" t="s">
        <v>2276</v>
      </c>
      <c r="M1293" s="3" t="s">
        <v>2276</v>
      </c>
      <c r="N1293" s="3" t="s">
        <v>2276</v>
      </c>
      <c r="O1293" s="3" t="s">
        <v>2276</v>
      </c>
      <c r="P1293" s="3" t="s">
        <v>2276</v>
      </c>
      <c r="Q1293" s="3" t="s">
        <v>2276</v>
      </c>
      <c r="R1293" s="3" t="s">
        <v>2276</v>
      </c>
      <c r="S1293" s="3" t="s">
        <v>2276</v>
      </c>
      <c r="T1293" s="3" t="s">
        <v>2276</v>
      </c>
      <c r="U1293" s="3" t="s">
        <v>2276</v>
      </c>
      <c r="V1293" s="3" t="s">
        <v>2276</v>
      </c>
      <c r="W1293" s="3" t="s">
        <v>2276</v>
      </c>
      <c r="X1293" s="3" t="s">
        <v>2276</v>
      </c>
      <c r="Y1293" s="3" t="s">
        <v>2276</v>
      </c>
      <c r="Z1293" s="3" t="s">
        <v>2276</v>
      </c>
      <c r="AA1293" s="4" t="s">
        <v>3886</v>
      </c>
      <c r="AB1293" s="3"/>
    </row>
    <row r="1294" spans="1:29" ht="40" customHeight="1">
      <c r="A1294" s="6" t="str">
        <f>'Reported burning'!A1294</f>
        <v>152a</v>
      </c>
      <c r="B1294" s="6" t="str">
        <f>'Reported burning'!B1294</f>
        <v>152a.14</v>
      </c>
      <c r="C1294" s="6" t="str">
        <f>'Reported burning'!C1294</f>
        <v>Human, deliberate</v>
      </c>
      <c r="D1294" s="6" t="str">
        <f>'Reported burning'!D1294</f>
        <v>Fishing</v>
      </c>
      <c r="E1294" s="6" t="str">
        <f>'Reported burning'!E1294</f>
        <v>Forestry, Traditional</v>
      </c>
      <c r="F1294" s="6" t="str">
        <f>'Reported burning'!F1294</f>
        <v>Shrubland (Mixed forest &amp; grassland)</v>
      </c>
      <c r="G1294" s="6" t="str">
        <f>'Reported burning'!G1294</f>
        <v>Shrubland (Mixed forest &amp; grassland)</v>
      </c>
      <c r="H1294" s="6" t="str">
        <f>'Reported burning'!H1294</f>
        <v>Presence</v>
      </c>
      <c r="I1294" s="3"/>
      <c r="J1294" s="3" t="s">
        <v>2276</v>
      </c>
      <c r="K1294" s="3" t="s">
        <v>2276</v>
      </c>
      <c r="L1294" s="3" t="s">
        <v>2276</v>
      </c>
      <c r="M1294" s="3" t="s">
        <v>2276</v>
      </c>
      <c r="N1294" s="3" t="s">
        <v>2276</v>
      </c>
      <c r="O1294" s="3" t="s">
        <v>2276</v>
      </c>
      <c r="P1294" s="3" t="s">
        <v>2276</v>
      </c>
      <c r="Q1294" s="3" t="s">
        <v>2276</v>
      </c>
      <c r="R1294" s="3" t="s">
        <v>2276</v>
      </c>
      <c r="S1294" s="3" t="s">
        <v>2276</v>
      </c>
      <c r="T1294" s="3" t="s">
        <v>2276</v>
      </c>
      <c r="U1294" s="3" t="s">
        <v>2276</v>
      </c>
      <c r="V1294" s="3" t="s">
        <v>2276</v>
      </c>
      <c r="W1294" s="3" t="s">
        <v>2276</v>
      </c>
      <c r="X1294" s="3" t="s">
        <v>2276</v>
      </c>
      <c r="Y1294" s="3" t="s">
        <v>2276</v>
      </c>
      <c r="Z1294" s="3" t="s">
        <v>2276</v>
      </c>
      <c r="AA1294" s="3"/>
      <c r="AB1294" s="3"/>
    </row>
    <row r="1295" spans="1:29" ht="40" customHeight="1">
      <c r="A1295" s="6" t="str">
        <f>'Reported burning'!A1295</f>
        <v>152a</v>
      </c>
      <c r="B1295" s="6" t="str">
        <f>'Reported burning'!B1295</f>
        <v>152a.15</v>
      </c>
      <c r="C1295" s="6" t="str">
        <f>'Reported burning'!C1295</f>
        <v>Human, deliberate</v>
      </c>
      <c r="D1295" s="6" t="str">
        <f>'Reported burning'!D1295</f>
        <v>Accessibility</v>
      </c>
      <c r="E1295" s="6" t="str">
        <f>'Reported burning'!E1295</f>
        <v>Forestry, Traditional</v>
      </c>
      <c r="F1295" s="6" t="str">
        <f>'Reported burning'!F1295</f>
        <v>Shrubland (Mixed forest &amp; grassland)</v>
      </c>
      <c r="G1295" s="6" t="str">
        <f>'Reported burning'!G1295</f>
        <v>Shrubland (Mixed forest &amp; grassland)</v>
      </c>
      <c r="H1295" s="6" t="str">
        <f>'Reported burning'!H1295</f>
        <v>Presence</v>
      </c>
      <c r="I1295" s="3"/>
      <c r="J1295" s="3" t="s">
        <v>2276</v>
      </c>
      <c r="K1295" s="3" t="s">
        <v>2276</v>
      </c>
      <c r="L1295" s="3" t="s">
        <v>2276</v>
      </c>
      <c r="M1295" s="3" t="s">
        <v>2276</v>
      </c>
      <c r="N1295" s="3" t="s">
        <v>2276</v>
      </c>
      <c r="O1295" s="3" t="s">
        <v>2276</v>
      </c>
      <c r="P1295" s="3" t="s">
        <v>2276</v>
      </c>
      <c r="Q1295" s="3" t="s">
        <v>2276</v>
      </c>
      <c r="R1295" s="3" t="s">
        <v>2276</v>
      </c>
      <c r="S1295" s="3" t="s">
        <v>2276</v>
      </c>
      <c r="T1295" s="3" t="s">
        <v>2276</v>
      </c>
      <c r="U1295" s="3" t="s">
        <v>2276</v>
      </c>
      <c r="V1295" s="3" t="s">
        <v>2276</v>
      </c>
      <c r="W1295" s="3" t="s">
        <v>2276</v>
      </c>
      <c r="X1295" s="3" t="s">
        <v>2276</v>
      </c>
      <c r="Y1295" s="3" t="s">
        <v>2276</v>
      </c>
      <c r="Z1295" s="3" t="s">
        <v>2276</v>
      </c>
      <c r="AA1295" s="3"/>
      <c r="AB1295" s="3"/>
    </row>
    <row r="1296" spans="1:29" ht="40" customHeight="1">
      <c r="A1296" s="6" t="str">
        <f>'Reported burning'!A1296</f>
        <v>152a</v>
      </c>
      <c r="B1296" s="6" t="str">
        <f>'Reported burning'!B1296</f>
        <v>152a.16</v>
      </c>
      <c r="C1296" s="6" t="str">
        <f>'Reported burning'!C1296</f>
        <v>Human, deliberate</v>
      </c>
      <c r="D1296" s="6" t="str">
        <f>'Reported burning'!D1296</f>
        <v>Pest management</v>
      </c>
      <c r="E1296" s="6" t="str">
        <f>'Reported burning'!E1296</f>
        <v>Forestry, Traditional</v>
      </c>
      <c r="F1296" s="6" t="str">
        <f>'Reported burning'!F1296</f>
        <v>Shrubland (Mixed forest &amp; grassland)</v>
      </c>
      <c r="G1296" s="6" t="str">
        <f>'Reported burning'!G1296</f>
        <v>Shrubland (Mixed forest &amp; grassland)</v>
      </c>
      <c r="H1296" s="6" t="str">
        <f>'Reported burning'!H1296</f>
        <v>Presence</v>
      </c>
      <c r="I1296" s="3"/>
      <c r="J1296" s="3" t="s">
        <v>2276</v>
      </c>
      <c r="K1296" s="3" t="s">
        <v>2276</v>
      </c>
      <c r="L1296" s="3" t="s">
        <v>2276</v>
      </c>
      <c r="M1296" s="3" t="s">
        <v>2276</v>
      </c>
      <c r="N1296" s="3" t="s">
        <v>2276</v>
      </c>
      <c r="O1296" s="3" t="s">
        <v>2276</v>
      </c>
      <c r="P1296" s="3" t="s">
        <v>2276</v>
      </c>
      <c r="Q1296" s="3" t="s">
        <v>2276</v>
      </c>
      <c r="R1296" s="3" t="s">
        <v>2276</v>
      </c>
      <c r="S1296" s="3" t="s">
        <v>2276</v>
      </c>
      <c r="T1296" s="3" t="s">
        <v>2276</v>
      </c>
      <c r="U1296" s="3" t="s">
        <v>2276</v>
      </c>
      <c r="V1296" s="3" t="s">
        <v>2276</v>
      </c>
      <c r="W1296" s="3" t="s">
        <v>2276</v>
      </c>
      <c r="X1296" s="3" t="s">
        <v>2276</v>
      </c>
      <c r="Y1296" s="3" t="s">
        <v>2276</v>
      </c>
      <c r="Z1296" s="3" t="s">
        <v>2276</v>
      </c>
      <c r="AA1296" s="3"/>
      <c r="AB1296" s="3"/>
    </row>
    <row r="1297" spans="1:28" ht="40" customHeight="1">
      <c r="A1297" s="6" t="str">
        <f>'Reported burning'!A1297</f>
        <v>152a</v>
      </c>
      <c r="B1297" s="6" t="str">
        <f>'Reported burning'!B1297</f>
        <v>152a.17</v>
      </c>
      <c r="C1297" s="6" t="str">
        <f>'Reported burning'!C1297</f>
        <v>Human, deliberate</v>
      </c>
      <c r="D1297" s="6" t="str">
        <f>'Reported burning'!D1297</f>
        <v>Pyrome management</v>
      </c>
      <c r="E1297" s="6" t="str">
        <f>'Reported burning'!E1297</f>
        <v>Forestry, Traditional</v>
      </c>
      <c r="F1297" s="6" t="str">
        <f>'Reported burning'!F1297</f>
        <v>Shrubland (Mixed forest &amp; grassland)</v>
      </c>
      <c r="G1297" s="6" t="str">
        <f>'Reported burning'!G1297</f>
        <v>Shrubland (Mixed forest &amp; grassland)</v>
      </c>
      <c r="H1297" s="6" t="str">
        <f>'Reported burning'!H1297</f>
        <v>Presence</v>
      </c>
      <c r="I1297" s="3"/>
      <c r="J1297" s="3" t="s">
        <v>2276</v>
      </c>
      <c r="K1297" s="3" t="s">
        <v>2276</v>
      </c>
      <c r="L1297" s="3" t="s">
        <v>2276</v>
      </c>
      <c r="M1297" s="3" t="s">
        <v>2276</v>
      </c>
      <c r="N1297" s="3" t="s">
        <v>2276</v>
      </c>
      <c r="O1297" s="3" t="s">
        <v>2276</v>
      </c>
      <c r="P1297" s="3" t="s">
        <v>2276</v>
      </c>
      <c r="Q1297" s="3" t="s">
        <v>2276</v>
      </c>
      <c r="R1297" s="3" t="s">
        <v>2276</v>
      </c>
      <c r="S1297" s="3" t="s">
        <v>2276</v>
      </c>
      <c r="T1297" s="3" t="s">
        <v>2276</v>
      </c>
      <c r="U1297" s="3" t="s">
        <v>2276</v>
      </c>
      <c r="V1297" s="3" t="s">
        <v>2276</v>
      </c>
      <c r="W1297" s="3" t="s">
        <v>2276</v>
      </c>
      <c r="X1297" s="3" t="s">
        <v>2276</v>
      </c>
      <c r="Y1297" s="3" t="s">
        <v>2276</v>
      </c>
      <c r="Z1297" s="3" t="s">
        <v>2276</v>
      </c>
      <c r="AA1297" s="3"/>
      <c r="AB1297" s="3"/>
    </row>
    <row r="1298" spans="1:28" ht="40" customHeight="1">
      <c r="A1298" s="6" t="str">
        <f>'Reported burning'!A1298</f>
        <v>152a</v>
      </c>
      <c r="B1298" s="6" t="str">
        <f>'Reported burning'!B1298</f>
        <v>152a.17</v>
      </c>
      <c r="C1298" s="6" t="str">
        <f>'Reported burning'!C1298</f>
        <v>Human, deliberate</v>
      </c>
      <c r="D1298" s="6" t="str">
        <f>'Reported burning'!D1298</f>
        <v>Crop field preparation</v>
      </c>
      <c r="E1298" s="6" t="str">
        <f>'Reported burning'!E1298</f>
        <v>Cropping, Swidden</v>
      </c>
      <c r="F1298" s="6" t="str">
        <f>'Reported burning'!F1298</f>
        <v>Shrubland (Mixed forest &amp; grassland)</v>
      </c>
      <c r="G1298" s="6" t="str">
        <f>'Reported burning'!G1298</f>
        <v>Shrubland (Mixed forest &amp; grassland)</v>
      </c>
      <c r="H1298" s="6" t="str">
        <f>'Reported burning'!H1298</f>
        <v>Presence</v>
      </c>
      <c r="I1298" s="3"/>
      <c r="J1298" s="3" t="s">
        <v>2276</v>
      </c>
      <c r="K1298" s="3" t="s">
        <v>2276</v>
      </c>
      <c r="L1298" s="3" t="s">
        <v>2276</v>
      </c>
      <c r="M1298" s="3" t="s">
        <v>2276</v>
      </c>
      <c r="N1298" s="3" t="s">
        <v>2276</v>
      </c>
      <c r="O1298" s="3" t="s">
        <v>2276</v>
      </c>
      <c r="P1298" s="3" t="s">
        <v>2276</v>
      </c>
      <c r="Q1298" s="3" t="s">
        <v>2276</v>
      </c>
      <c r="R1298" s="3" t="s">
        <v>2276</v>
      </c>
      <c r="S1298" s="3" t="s">
        <v>2276</v>
      </c>
      <c r="T1298" s="3" t="s">
        <v>2276</v>
      </c>
      <c r="U1298" s="3" t="s">
        <v>2276</v>
      </c>
      <c r="V1298" s="3" t="s">
        <v>2276</v>
      </c>
      <c r="W1298" s="3" t="s">
        <v>2276</v>
      </c>
      <c r="X1298" s="3" t="s">
        <v>2276</v>
      </c>
      <c r="Y1298" s="3" t="s">
        <v>2276</v>
      </c>
      <c r="Z1298" s="3" t="s">
        <v>2276</v>
      </c>
      <c r="AA1298" s="3"/>
      <c r="AB1298" s="3"/>
    </row>
    <row r="1299" spans="1:28" ht="40" customHeight="1">
      <c r="A1299" s="6" t="str">
        <f>'Reported burning'!A1299</f>
        <v>152a</v>
      </c>
      <c r="B1299" s="6" t="str">
        <f>'Reported burning'!B1299</f>
        <v>152a.18</v>
      </c>
      <c r="C1299" s="6" t="str">
        <f>'Reported burning'!C1299</f>
        <v>Human, escaped</v>
      </c>
      <c r="D1299" s="6" t="str">
        <f>'Reported burning'!D1299</f>
        <v>ND</v>
      </c>
      <c r="E1299" s="6" t="str">
        <f>'Reported burning'!E1299</f>
        <v>Forestry, Traditional</v>
      </c>
      <c r="F1299" s="6" t="str">
        <f>'Reported burning'!F1299</f>
        <v>Shrubland (Mixed forest &amp; grassland)</v>
      </c>
      <c r="G1299" s="6" t="str">
        <f>'Reported burning'!G1299</f>
        <v>Forest</v>
      </c>
      <c r="H1299" s="6" t="str">
        <f>'Reported burning'!H1299</f>
        <v>Presence</v>
      </c>
      <c r="I1299" s="3"/>
      <c r="J1299" s="3" t="s">
        <v>2276</v>
      </c>
      <c r="K1299" s="3" t="s">
        <v>2276</v>
      </c>
      <c r="L1299" s="3" t="s">
        <v>2276</v>
      </c>
      <c r="M1299" s="3" t="s">
        <v>2276</v>
      </c>
      <c r="N1299" s="3" t="s">
        <v>2276</v>
      </c>
      <c r="O1299" s="3" t="s">
        <v>2276</v>
      </c>
      <c r="P1299" s="3" t="s">
        <v>2276</v>
      </c>
      <c r="Q1299" s="3" t="s">
        <v>2276</v>
      </c>
      <c r="R1299" s="3" t="s">
        <v>2276</v>
      </c>
      <c r="S1299" s="3" t="s">
        <v>2276</v>
      </c>
      <c r="T1299" s="3" t="s">
        <v>2276</v>
      </c>
      <c r="U1299" s="3" t="s">
        <v>2276</v>
      </c>
      <c r="V1299" s="3" t="s">
        <v>2276</v>
      </c>
      <c r="W1299" s="3" t="s">
        <v>2276</v>
      </c>
      <c r="X1299" s="3" t="s">
        <v>2276</v>
      </c>
      <c r="Y1299" s="3" t="s">
        <v>2276</v>
      </c>
      <c r="Z1299" s="3" t="s">
        <v>2276</v>
      </c>
      <c r="AA1299" s="3"/>
      <c r="AB1299" s="3"/>
    </row>
    <row r="1300" spans="1:28" ht="37" customHeight="1">
      <c r="A1300" s="6" t="str">
        <f>'Reported burning'!A1300</f>
        <v>153a</v>
      </c>
      <c r="B1300" s="6" t="str">
        <f>'Reported burning'!B1300</f>
        <v>153a.1</v>
      </c>
      <c r="C1300" s="6" t="str">
        <f>'Reported burning'!C1300</f>
        <v>Human, deliberate</v>
      </c>
      <c r="D1300" s="6" t="str">
        <f>'Reported burning'!D1300</f>
        <v>Rangeland management</v>
      </c>
      <c r="E1300" s="6" t="str">
        <f>'Reported burning'!E1300</f>
        <v>Pastoralism, Migratory</v>
      </c>
      <c r="F1300" s="6" t="str">
        <f>'Reported burning'!F1300</f>
        <v>ND</v>
      </c>
      <c r="G1300" s="6" t="str">
        <f>'Reported burning'!G1300</f>
        <v>ND</v>
      </c>
      <c r="H1300" s="6" t="str">
        <f>'Reported burning'!H1300</f>
        <v>Presence</v>
      </c>
      <c r="I1300" s="3"/>
      <c r="J1300" s="3" t="s">
        <v>2276</v>
      </c>
      <c r="K1300" s="3" t="s">
        <v>2276</v>
      </c>
      <c r="L1300" s="3" t="s">
        <v>2276</v>
      </c>
      <c r="M1300" s="3" t="s">
        <v>2276</v>
      </c>
      <c r="N1300" s="3" t="s">
        <v>2276</v>
      </c>
      <c r="O1300" s="3" t="s">
        <v>2276</v>
      </c>
      <c r="P1300" s="3" t="s">
        <v>2276</v>
      </c>
      <c r="Q1300" s="3" t="s">
        <v>2276</v>
      </c>
      <c r="R1300" s="3" t="s">
        <v>2276</v>
      </c>
      <c r="S1300" s="3" t="s">
        <v>2276</v>
      </c>
      <c r="T1300" s="3" t="s">
        <v>2276</v>
      </c>
      <c r="U1300" s="3" t="s">
        <v>2276</v>
      </c>
      <c r="V1300" s="3" t="s">
        <v>2276</v>
      </c>
      <c r="W1300" s="3" t="s">
        <v>2276</v>
      </c>
      <c r="X1300" s="3" t="s">
        <v>188</v>
      </c>
      <c r="Y1300" s="3" t="s">
        <v>38</v>
      </c>
      <c r="Z1300" s="3" t="s">
        <v>2276</v>
      </c>
      <c r="AA1300" s="3"/>
      <c r="AB1300" s="3"/>
    </row>
    <row r="1301" spans="1:28" ht="37" customHeight="1">
      <c r="A1301" s="6" t="str">
        <f>'Reported burning'!A1301</f>
        <v>153b</v>
      </c>
      <c r="B1301" s="6" t="str">
        <f>'Reported burning'!B1301</f>
        <v>153b.1</v>
      </c>
      <c r="C1301" s="6" t="str">
        <f>'Reported burning'!C1301</f>
        <v>Human, deliberate</v>
      </c>
      <c r="D1301" s="6" t="str">
        <f>'Reported burning'!D1301</f>
        <v>Rangeland management</v>
      </c>
      <c r="E1301" s="6" t="str">
        <f>'Reported burning'!E1301</f>
        <v>Pastoralism, Migratory</v>
      </c>
      <c r="F1301" s="6" t="str">
        <f>'Reported burning'!F1301</f>
        <v>ND</v>
      </c>
      <c r="G1301" s="6" t="str">
        <f>'Reported burning'!G1301</f>
        <v>ND</v>
      </c>
      <c r="H1301" s="6" t="str">
        <f>'Reported burning'!H1301</f>
        <v>Presence</v>
      </c>
      <c r="I1301" s="3"/>
      <c r="J1301" s="3" t="s">
        <v>2276</v>
      </c>
      <c r="K1301" s="3" t="s">
        <v>2276</v>
      </c>
      <c r="L1301" s="3" t="s">
        <v>2276</v>
      </c>
      <c r="M1301" s="3" t="s">
        <v>2276</v>
      </c>
      <c r="N1301" s="3" t="s">
        <v>2276</v>
      </c>
      <c r="O1301" s="3" t="s">
        <v>2276</v>
      </c>
      <c r="P1301" s="3" t="s">
        <v>2276</v>
      </c>
      <c r="Q1301" s="3" t="s">
        <v>2276</v>
      </c>
      <c r="R1301" s="3" t="s">
        <v>2276</v>
      </c>
      <c r="S1301" s="3" t="s">
        <v>2276</v>
      </c>
      <c r="T1301" s="3" t="s">
        <v>2276</v>
      </c>
      <c r="U1301" s="3" t="s">
        <v>2276</v>
      </c>
      <c r="V1301" s="3" t="s">
        <v>2276</v>
      </c>
      <c r="W1301" s="3" t="s">
        <v>2276</v>
      </c>
      <c r="X1301" s="3" t="s">
        <v>188</v>
      </c>
      <c r="Y1301" s="3" t="s">
        <v>38</v>
      </c>
      <c r="Z1301" s="3" t="s">
        <v>2276</v>
      </c>
      <c r="AA1301" s="3"/>
      <c r="AB1301" s="3"/>
    </row>
    <row r="1302" spans="1:28" ht="43" customHeight="1">
      <c r="A1302" s="6" t="str">
        <f>'Reported burning'!A1302</f>
        <v>154a</v>
      </c>
      <c r="B1302" s="6" t="str">
        <f>'Reported burning'!B1302</f>
        <v>154a.1</v>
      </c>
      <c r="C1302" s="6" t="str">
        <f>'Reported burning'!C1302</f>
        <v>Human, deliberate</v>
      </c>
      <c r="D1302" s="6" t="str">
        <f>'Reported burning'!D1302</f>
        <v>Pest management</v>
      </c>
      <c r="E1302" s="6" t="str">
        <f>'Reported burning'!E1302</f>
        <v>Pastoralism, Migratory</v>
      </c>
      <c r="F1302" s="6" t="str">
        <f>'Reported burning'!F1302</f>
        <v>ND</v>
      </c>
      <c r="G1302" s="6" t="str">
        <f>'Reported burning'!G1302</f>
        <v>ND</v>
      </c>
      <c r="H1302" s="6" t="str">
        <f>'Reported burning'!H1302</f>
        <v>Presence</v>
      </c>
      <c r="I1302" s="5"/>
      <c r="J1302" s="3" t="s">
        <v>2276</v>
      </c>
      <c r="K1302" s="3" t="s">
        <v>2276</v>
      </c>
      <c r="L1302" s="3" t="s">
        <v>2276</v>
      </c>
      <c r="M1302" s="3" t="s">
        <v>2276</v>
      </c>
      <c r="N1302" s="3" t="s">
        <v>2276</v>
      </c>
      <c r="O1302" s="3" t="s">
        <v>2276</v>
      </c>
      <c r="P1302" s="3" t="s">
        <v>2276</v>
      </c>
      <c r="Q1302" s="3" t="s">
        <v>2276</v>
      </c>
      <c r="R1302" s="3" t="s">
        <v>2276</v>
      </c>
      <c r="S1302" s="3" t="s">
        <v>2276</v>
      </c>
      <c r="T1302" s="3" t="s">
        <v>2276</v>
      </c>
      <c r="U1302" s="3" t="s">
        <v>2276</v>
      </c>
      <c r="V1302" s="3" t="s">
        <v>2276</v>
      </c>
      <c r="W1302" s="3" t="s">
        <v>2276</v>
      </c>
      <c r="X1302" s="3" t="s">
        <v>35</v>
      </c>
      <c r="Y1302" s="3" t="s">
        <v>34</v>
      </c>
      <c r="Z1302" s="3" t="s">
        <v>2276</v>
      </c>
      <c r="AA1302" s="3"/>
      <c r="AB1302" s="4" t="s">
        <v>3915</v>
      </c>
    </row>
    <row r="1303" spans="1:28" ht="43" customHeight="1">
      <c r="A1303" s="6" t="str">
        <f>'Reported burning'!A1303</f>
        <v>154b</v>
      </c>
      <c r="B1303" s="6" t="str">
        <f>'Reported burning'!B1303</f>
        <v>154b.1</v>
      </c>
      <c r="C1303" s="6" t="str">
        <f>'Reported burning'!C1303</f>
        <v>Human, deliberate</v>
      </c>
      <c r="D1303" s="6" t="str">
        <f>'Reported burning'!D1303</f>
        <v>Pest management</v>
      </c>
      <c r="E1303" s="6" t="str">
        <f>'Reported burning'!E1303</f>
        <v>Pastoralism, Migratory</v>
      </c>
      <c r="F1303" s="6" t="str">
        <f>'Reported burning'!F1303</f>
        <v>ND</v>
      </c>
      <c r="G1303" s="6" t="str">
        <f>'Reported burning'!G1303</f>
        <v>ND</v>
      </c>
      <c r="H1303" s="6" t="str">
        <f>'Reported burning'!H1303</f>
        <v>Presence</v>
      </c>
      <c r="I1303" s="3"/>
      <c r="J1303" s="3" t="s">
        <v>2276</v>
      </c>
      <c r="K1303" s="3" t="s">
        <v>2276</v>
      </c>
      <c r="L1303" s="3" t="s">
        <v>2276</v>
      </c>
      <c r="M1303" s="3" t="s">
        <v>2276</v>
      </c>
      <c r="N1303" s="3" t="s">
        <v>2276</v>
      </c>
      <c r="O1303" s="3" t="s">
        <v>2276</v>
      </c>
      <c r="P1303" s="3" t="s">
        <v>2276</v>
      </c>
      <c r="Q1303" s="3" t="s">
        <v>2276</v>
      </c>
      <c r="R1303" s="3" t="s">
        <v>2276</v>
      </c>
      <c r="S1303" s="3" t="s">
        <v>2276</v>
      </c>
      <c r="T1303" s="3" t="s">
        <v>2276</v>
      </c>
      <c r="U1303" s="3" t="s">
        <v>2276</v>
      </c>
      <c r="V1303" s="3" t="s">
        <v>2276</v>
      </c>
      <c r="W1303" s="3" t="s">
        <v>2276</v>
      </c>
      <c r="X1303" s="3" t="s">
        <v>35</v>
      </c>
      <c r="Y1303" s="3" t="s">
        <v>34</v>
      </c>
      <c r="Z1303" s="3" t="s">
        <v>2276</v>
      </c>
      <c r="AA1303" s="3"/>
      <c r="AB1303" s="4" t="s">
        <v>3915</v>
      </c>
    </row>
    <row r="1304" spans="1:28" ht="43" customHeight="1">
      <c r="A1304" s="6" t="str">
        <f>'Reported burning'!A1304</f>
        <v>154c</v>
      </c>
      <c r="B1304" s="6" t="str">
        <f>'Reported burning'!B1304</f>
        <v>154c.1</v>
      </c>
      <c r="C1304" s="6" t="str">
        <f>'Reported burning'!C1304</f>
        <v>Human, deliberate</v>
      </c>
      <c r="D1304" s="6" t="str">
        <f>'Reported burning'!D1304</f>
        <v>Pest management</v>
      </c>
      <c r="E1304" s="6" t="str">
        <f>'Reported burning'!E1304</f>
        <v>Pastoralism, Migratory</v>
      </c>
      <c r="F1304" s="6" t="str">
        <f>'Reported burning'!F1304</f>
        <v>ND</v>
      </c>
      <c r="G1304" s="6" t="str">
        <f>'Reported burning'!G1304</f>
        <v>ND</v>
      </c>
      <c r="H1304" s="6" t="str">
        <f>'Reported burning'!H1304</f>
        <v>Presence</v>
      </c>
      <c r="I1304" s="3"/>
      <c r="J1304" s="3" t="s">
        <v>2276</v>
      </c>
      <c r="K1304" s="3" t="s">
        <v>2276</v>
      </c>
      <c r="L1304" s="3" t="s">
        <v>2276</v>
      </c>
      <c r="M1304" s="3" t="s">
        <v>2276</v>
      </c>
      <c r="N1304" s="3" t="s">
        <v>2276</v>
      </c>
      <c r="O1304" s="3" t="s">
        <v>2276</v>
      </c>
      <c r="P1304" s="3" t="s">
        <v>2276</v>
      </c>
      <c r="Q1304" s="3" t="s">
        <v>2276</v>
      </c>
      <c r="R1304" s="3" t="s">
        <v>2276</v>
      </c>
      <c r="S1304" s="3" t="s">
        <v>2276</v>
      </c>
      <c r="T1304" s="3" t="s">
        <v>2276</v>
      </c>
      <c r="U1304" s="3" t="s">
        <v>2276</v>
      </c>
      <c r="V1304" s="3" t="s">
        <v>2276</v>
      </c>
      <c r="W1304" s="3" t="s">
        <v>2276</v>
      </c>
      <c r="X1304" s="3" t="s">
        <v>35</v>
      </c>
      <c r="Y1304" s="3" t="s">
        <v>34</v>
      </c>
      <c r="Z1304" s="3" t="s">
        <v>2276</v>
      </c>
      <c r="AA1304" s="3"/>
      <c r="AB1304" s="4" t="s">
        <v>3915</v>
      </c>
    </row>
    <row r="1305" spans="1:28" ht="43" customHeight="1">
      <c r="A1305" s="6" t="str">
        <f>'Reported burning'!A1305</f>
        <v>154d</v>
      </c>
      <c r="B1305" s="6" t="str">
        <f>'Reported burning'!B1305</f>
        <v>154d.1</v>
      </c>
      <c r="C1305" s="6" t="str">
        <f>'Reported burning'!C1305</f>
        <v>Human, deliberate</v>
      </c>
      <c r="D1305" s="6" t="str">
        <f>'Reported burning'!D1305</f>
        <v>Pest management</v>
      </c>
      <c r="E1305" s="6" t="str">
        <f>'Reported burning'!E1305</f>
        <v>Pastoralism, Migratory</v>
      </c>
      <c r="F1305" s="6" t="str">
        <f>'Reported burning'!F1305</f>
        <v>ND</v>
      </c>
      <c r="G1305" s="6" t="str">
        <f>'Reported burning'!G1305</f>
        <v>ND</v>
      </c>
      <c r="H1305" s="6" t="str">
        <f>'Reported burning'!H1305</f>
        <v>Presence</v>
      </c>
      <c r="I1305" s="3"/>
      <c r="J1305" s="3" t="s">
        <v>2276</v>
      </c>
      <c r="K1305" s="3" t="s">
        <v>2276</v>
      </c>
      <c r="L1305" s="3" t="s">
        <v>2276</v>
      </c>
      <c r="M1305" s="3" t="s">
        <v>2276</v>
      </c>
      <c r="N1305" s="3" t="s">
        <v>2276</v>
      </c>
      <c r="O1305" s="3" t="s">
        <v>2276</v>
      </c>
      <c r="P1305" s="3" t="s">
        <v>2276</v>
      </c>
      <c r="Q1305" s="3" t="s">
        <v>2276</v>
      </c>
      <c r="R1305" s="3" t="s">
        <v>2276</v>
      </c>
      <c r="S1305" s="3" t="s">
        <v>2276</v>
      </c>
      <c r="T1305" s="3" t="s">
        <v>2276</v>
      </c>
      <c r="U1305" s="3" t="s">
        <v>2276</v>
      </c>
      <c r="V1305" s="3" t="s">
        <v>2276</v>
      </c>
      <c r="W1305" s="3" t="s">
        <v>2276</v>
      </c>
      <c r="X1305" s="3" t="s">
        <v>35</v>
      </c>
      <c r="Y1305" s="3" t="s">
        <v>34</v>
      </c>
      <c r="Z1305" s="3" t="s">
        <v>2276</v>
      </c>
      <c r="AA1305" s="3"/>
      <c r="AB1305" s="4" t="s">
        <v>3915</v>
      </c>
    </row>
    <row r="1306" spans="1:28" ht="43" customHeight="1">
      <c r="A1306" s="6" t="str">
        <f>'Reported burning'!A1306</f>
        <v>154e</v>
      </c>
      <c r="B1306" s="6" t="str">
        <f>'Reported burning'!B1306</f>
        <v>154e.1</v>
      </c>
      <c r="C1306" s="6" t="str">
        <f>'Reported burning'!C1306</f>
        <v>Human, deliberate</v>
      </c>
      <c r="D1306" s="6" t="str">
        <f>'Reported burning'!D1306</f>
        <v>Pest management</v>
      </c>
      <c r="E1306" s="6" t="str">
        <f>'Reported burning'!E1306</f>
        <v>Pastoralism, Migratory</v>
      </c>
      <c r="F1306" s="6" t="str">
        <f>'Reported burning'!F1306</f>
        <v>ND</v>
      </c>
      <c r="G1306" s="6" t="str">
        <f>'Reported burning'!G1306</f>
        <v>ND</v>
      </c>
      <c r="H1306" s="6" t="str">
        <f>'Reported burning'!H1306</f>
        <v>Presence</v>
      </c>
      <c r="I1306" s="3"/>
      <c r="J1306" s="3" t="s">
        <v>2276</v>
      </c>
      <c r="K1306" s="3" t="s">
        <v>2276</v>
      </c>
      <c r="L1306" s="3" t="s">
        <v>2276</v>
      </c>
      <c r="M1306" s="3" t="s">
        <v>2276</v>
      </c>
      <c r="N1306" s="3" t="s">
        <v>2276</v>
      </c>
      <c r="O1306" s="3" t="s">
        <v>2276</v>
      </c>
      <c r="P1306" s="3" t="s">
        <v>2276</v>
      </c>
      <c r="Q1306" s="3" t="s">
        <v>2276</v>
      </c>
      <c r="R1306" s="3" t="s">
        <v>2276</v>
      </c>
      <c r="S1306" s="3" t="s">
        <v>2276</v>
      </c>
      <c r="T1306" s="3" t="s">
        <v>2276</v>
      </c>
      <c r="U1306" s="3" t="s">
        <v>2276</v>
      </c>
      <c r="V1306" s="3" t="s">
        <v>2276</v>
      </c>
      <c r="W1306" s="3" t="s">
        <v>2276</v>
      </c>
      <c r="X1306" s="3" t="s">
        <v>35</v>
      </c>
      <c r="Y1306" s="3" t="s">
        <v>34</v>
      </c>
      <c r="Z1306" s="3" t="s">
        <v>2276</v>
      </c>
      <c r="AA1306" s="3"/>
      <c r="AB1306" s="4" t="s">
        <v>3915</v>
      </c>
    </row>
    <row r="1307" spans="1:28" ht="43" customHeight="1">
      <c r="A1307" s="6" t="str">
        <f>'Reported burning'!A1307</f>
        <v>154f</v>
      </c>
      <c r="B1307" s="6" t="str">
        <f>'Reported burning'!B1307</f>
        <v>154f.1</v>
      </c>
      <c r="C1307" s="6" t="str">
        <f>'Reported burning'!C1307</f>
        <v>Human, deliberate</v>
      </c>
      <c r="D1307" s="6" t="str">
        <f>'Reported burning'!D1307</f>
        <v>Pest management</v>
      </c>
      <c r="E1307" s="6" t="str">
        <f>'Reported burning'!E1307</f>
        <v>Pastoralism, Migratory</v>
      </c>
      <c r="F1307" s="6" t="str">
        <f>'Reported burning'!F1307</f>
        <v>ND</v>
      </c>
      <c r="G1307" s="6" t="str">
        <f>'Reported burning'!G1307</f>
        <v>ND</v>
      </c>
      <c r="H1307" s="6" t="str">
        <f>'Reported burning'!H1307</f>
        <v>Presence</v>
      </c>
      <c r="I1307" s="3"/>
      <c r="J1307" s="3" t="s">
        <v>2276</v>
      </c>
      <c r="K1307" s="3" t="s">
        <v>2276</v>
      </c>
      <c r="L1307" s="3" t="s">
        <v>2276</v>
      </c>
      <c r="M1307" s="3" t="s">
        <v>2276</v>
      </c>
      <c r="N1307" s="3" t="s">
        <v>2276</v>
      </c>
      <c r="O1307" s="3" t="s">
        <v>2276</v>
      </c>
      <c r="P1307" s="3" t="s">
        <v>2276</v>
      </c>
      <c r="Q1307" s="3" t="s">
        <v>2276</v>
      </c>
      <c r="R1307" s="3" t="s">
        <v>2276</v>
      </c>
      <c r="S1307" s="3" t="s">
        <v>2276</v>
      </c>
      <c r="T1307" s="3" t="s">
        <v>2276</v>
      </c>
      <c r="U1307" s="3" t="s">
        <v>2276</v>
      </c>
      <c r="V1307" s="3" t="s">
        <v>2276</v>
      </c>
      <c r="W1307" s="3" t="s">
        <v>2276</v>
      </c>
      <c r="X1307" s="3" t="s">
        <v>35</v>
      </c>
      <c r="Y1307" s="3" t="s">
        <v>34</v>
      </c>
      <c r="Z1307" s="3" t="s">
        <v>2276</v>
      </c>
      <c r="AA1307" s="3"/>
      <c r="AB1307" s="4" t="s">
        <v>3915</v>
      </c>
    </row>
    <row r="1308" spans="1:28" ht="43.5">
      <c r="A1308" s="6" t="str">
        <f>'Reported burning'!A1308</f>
        <v>155b</v>
      </c>
      <c r="B1308" s="6" t="str">
        <f>'Reported burning'!B1308</f>
        <v>155b.1</v>
      </c>
      <c r="C1308" s="6" t="str">
        <f>'Reported burning'!C1308</f>
        <v>Human, deliberate</v>
      </c>
      <c r="D1308" s="6" t="str">
        <f>'Reported burning'!D1308</f>
        <v>Pasture renewal</v>
      </c>
      <c r="E1308" s="6" t="str">
        <f>'Reported burning'!E1308</f>
        <v>Pastoralism, Migratory</v>
      </c>
      <c r="F1308" s="6" t="str">
        <f>'Reported burning'!F1308</f>
        <v>Shrubland (Mixed forest &amp; grassland)</v>
      </c>
      <c r="G1308" s="6" t="str">
        <f>'Reported burning'!G1308</f>
        <v>ND</v>
      </c>
      <c r="H1308" s="6" t="str">
        <f>'Reported burning'!H1308</f>
        <v>Presence</v>
      </c>
      <c r="I1308" s="3"/>
      <c r="J1308" s="3" t="s">
        <v>2276</v>
      </c>
      <c r="K1308" s="3" t="s">
        <v>2276</v>
      </c>
      <c r="L1308" s="3" t="s">
        <v>2276</v>
      </c>
      <c r="M1308" s="3" t="s">
        <v>2276</v>
      </c>
      <c r="N1308" s="3" t="s">
        <v>2276</v>
      </c>
      <c r="O1308" s="3" t="s">
        <v>2276</v>
      </c>
      <c r="P1308" s="3" t="s">
        <v>2276</v>
      </c>
      <c r="Q1308" s="3" t="s">
        <v>2276</v>
      </c>
      <c r="R1308" s="3" t="s">
        <v>2276</v>
      </c>
      <c r="S1308" s="3" t="s">
        <v>2276</v>
      </c>
      <c r="T1308" s="3" t="s">
        <v>2276</v>
      </c>
      <c r="U1308" s="3" t="s">
        <v>2276</v>
      </c>
      <c r="V1308" s="3" t="s">
        <v>2276</v>
      </c>
      <c r="W1308" s="3" t="s">
        <v>2276</v>
      </c>
      <c r="X1308" s="3" t="s">
        <v>2276</v>
      </c>
      <c r="Y1308" s="3" t="s">
        <v>2276</v>
      </c>
      <c r="Z1308" s="3" t="s">
        <v>2276</v>
      </c>
      <c r="AA1308" s="4" t="s">
        <v>4383</v>
      </c>
      <c r="AB1308" s="4" t="s">
        <v>3960</v>
      </c>
    </row>
    <row r="1309" spans="1:28" ht="43.5">
      <c r="A1309" s="6" t="str">
        <f>'Reported burning'!A1309</f>
        <v>155c</v>
      </c>
      <c r="B1309" s="6" t="str">
        <f>'Reported burning'!B1309</f>
        <v>155c.1</v>
      </c>
      <c r="C1309" s="6" t="str">
        <f>'Reported burning'!C1309</f>
        <v>Human, deliberate</v>
      </c>
      <c r="D1309" s="6" t="str">
        <f>'Reported burning'!D1309</f>
        <v>Pasture renewal</v>
      </c>
      <c r="E1309" s="6" t="str">
        <f>'Reported burning'!E1309</f>
        <v>Pastoralism, Migratory</v>
      </c>
      <c r="F1309" s="6" t="str">
        <f>'Reported burning'!F1309</f>
        <v>Shrubland (Mixed forest &amp; grassland)</v>
      </c>
      <c r="G1309" s="6" t="str">
        <f>'Reported burning'!G1309</f>
        <v>ND</v>
      </c>
      <c r="H1309" s="6" t="str">
        <f>'Reported burning'!H1309</f>
        <v>Presence</v>
      </c>
      <c r="I1309" s="3"/>
      <c r="J1309" s="3" t="s">
        <v>2276</v>
      </c>
      <c r="K1309" s="3" t="s">
        <v>2276</v>
      </c>
      <c r="L1309" s="3" t="s">
        <v>2276</v>
      </c>
      <c r="M1309" s="3" t="s">
        <v>2276</v>
      </c>
      <c r="N1309" s="3" t="s">
        <v>2276</v>
      </c>
      <c r="O1309" s="3" t="s">
        <v>2276</v>
      </c>
      <c r="P1309" s="3" t="s">
        <v>2276</v>
      </c>
      <c r="Q1309" s="3" t="s">
        <v>2276</v>
      </c>
      <c r="R1309" s="3" t="s">
        <v>2276</v>
      </c>
      <c r="S1309" s="3" t="s">
        <v>2276</v>
      </c>
      <c r="T1309" s="3" t="s">
        <v>2276</v>
      </c>
      <c r="U1309" s="3" t="s">
        <v>2276</v>
      </c>
      <c r="V1309" s="3" t="s">
        <v>2276</v>
      </c>
      <c r="W1309" s="3" t="s">
        <v>2276</v>
      </c>
      <c r="X1309" s="3" t="s">
        <v>2276</v>
      </c>
      <c r="Y1309" s="3" t="s">
        <v>2276</v>
      </c>
      <c r="Z1309" s="3" t="s">
        <v>2276</v>
      </c>
      <c r="AA1309" s="4" t="s">
        <v>4383</v>
      </c>
      <c r="AB1309" s="4" t="s">
        <v>3960</v>
      </c>
    </row>
    <row r="1310" spans="1:28" ht="43.5">
      <c r="A1310" s="6" t="str">
        <f>'Reported burning'!A1310</f>
        <v>155e</v>
      </c>
      <c r="B1310" s="6" t="str">
        <f>'Reported burning'!B1310</f>
        <v>155e.1</v>
      </c>
      <c r="C1310" s="6" t="str">
        <f>'Reported burning'!C1310</f>
        <v>Human, deliberate</v>
      </c>
      <c r="D1310" s="6" t="str">
        <f>'Reported burning'!D1310</f>
        <v>Pasture renewal</v>
      </c>
      <c r="E1310" s="6" t="str">
        <f>'Reported burning'!E1310</f>
        <v>Pastoralism, Migratory</v>
      </c>
      <c r="F1310" s="6" t="str">
        <f>'Reported burning'!F1310</f>
        <v>Shrubland (Mixed forest &amp; grassland)</v>
      </c>
      <c r="G1310" s="6" t="str">
        <f>'Reported burning'!G1310</f>
        <v>ND</v>
      </c>
      <c r="H1310" s="6" t="str">
        <f>'Reported burning'!H1310</f>
        <v>Presence</v>
      </c>
      <c r="I1310" s="3"/>
      <c r="J1310" s="3" t="s">
        <v>2276</v>
      </c>
      <c r="K1310" s="3" t="s">
        <v>2276</v>
      </c>
      <c r="L1310" s="3" t="s">
        <v>2276</v>
      </c>
      <c r="M1310" s="3" t="s">
        <v>2276</v>
      </c>
      <c r="N1310" s="3" t="s">
        <v>2276</v>
      </c>
      <c r="O1310" s="3" t="s">
        <v>2276</v>
      </c>
      <c r="P1310" s="3" t="s">
        <v>2276</v>
      </c>
      <c r="Q1310" s="3" t="s">
        <v>2276</v>
      </c>
      <c r="R1310" s="3" t="s">
        <v>2276</v>
      </c>
      <c r="S1310" s="3" t="s">
        <v>2276</v>
      </c>
      <c r="T1310" s="3" t="s">
        <v>2276</v>
      </c>
      <c r="U1310" s="3" t="s">
        <v>2276</v>
      </c>
      <c r="V1310" s="3" t="s">
        <v>2276</v>
      </c>
      <c r="W1310" s="3" t="s">
        <v>2276</v>
      </c>
      <c r="X1310" s="3" t="s">
        <v>2276</v>
      </c>
      <c r="Y1310" s="3" t="s">
        <v>2276</v>
      </c>
      <c r="Z1310" s="3" t="s">
        <v>2276</v>
      </c>
      <c r="AA1310" s="4" t="s">
        <v>4383</v>
      </c>
      <c r="AB1310" s="4" t="s">
        <v>3960</v>
      </c>
    </row>
    <row r="1311" spans="1:28" ht="43.5">
      <c r="A1311" s="6" t="str">
        <f>'Reported burning'!A1311</f>
        <v>155f</v>
      </c>
      <c r="B1311" s="6" t="str">
        <f>'Reported burning'!B1311</f>
        <v>155f.1</v>
      </c>
      <c r="C1311" s="6" t="str">
        <f>'Reported burning'!C1311</f>
        <v>Human, deliberate</v>
      </c>
      <c r="D1311" s="6" t="str">
        <f>'Reported burning'!D1311</f>
        <v>Pasture renewal</v>
      </c>
      <c r="E1311" s="6" t="str">
        <f>'Reported burning'!E1311</f>
        <v>Pastoralism, Migratory</v>
      </c>
      <c r="F1311" s="6" t="str">
        <f>'Reported burning'!F1311</f>
        <v>Shrubland (Mixed forest &amp; grassland)</v>
      </c>
      <c r="G1311" s="6" t="str">
        <f>'Reported burning'!G1311</f>
        <v>ND</v>
      </c>
      <c r="H1311" s="6" t="str">
        <f>'Reported burning'!H1311</f>
        <v>Presence</v>
      </c>
      <c r="I1311" s="3"/>
      <c r="J1311" s="3" t="s">
        <v>2276</v>
      </c>
      <c r="K1311" s="3" t="s">
        <v>2276</v>
      </c>
      <c r="L1311" s="3" t="s">
        <v>2276</v>
      </c>
      <c r="M1311" s="3" t="s">
        <v>2276</v>
      </c>
      <c r="N1311" s="3" t="s">
        <v>2276</v>
      </c>
      <c r="O1311" s="3" t="s">
        <v>2276</v>
      </c>
      <c r="P1311" s="3" t="s">
        <v>2276</v>
      </c>
      <c r="Q1311" s="3" t="s">
        <v>2276</v>
      </c>
      <c r="R1311" s="3" t="s">
        <v>2276</v>
      </c>
      <c r="S1311" s="3" t="s">
        <v>2276</v>
      </c>
      <c r="T1311" s="3" t="s">
        <v>2276</v>
      </c>
      <c r="U1311" s="3" t="s">
        <v>2276</v>
      </c>
      <c r="V1311" s="3" t="s">
        <v>2276</v>
      </c>
      <c r="W1311" s="3" t="s">
        <v>2276</v>
      </c>
      <c r="X1311" s="3" t="s">
        <v>2276</v>
      </c>
      <c r="Y1311" s="3" t="s">
        <v>2276</v>
      </c>
      <c r="Z1311" s="3" t="s">
        <v>2276</v>
      </c>
      <c r="AA1311" s="4" t="s">
        <v>4383</v>
      </c>
      <c r="AB1311" s="4" t="s">
        <v>3960</v>
      </c>
    </row>
    <row r="1312" spans="1:28" ht="43.5">
      <c r="A1312" s="6" t="str">
        <f>'Reported burning'!A1312</f>
        <v>155j</v>
      </c>
      <c r="B1312" s="6" t="str">
        <f>'Reported burning'!B1312</f>
        <v>155j.1</v>
      </c>
      <c r="C1312" s="6" t="str">
        <f>'Reported burning'!C1312</f>
        <v>Human, deliberate</v>
      </c>
      <c r="D1312" s="6" t="str">
        <f>'Reported burning'!D1312</f>
        <v>Pasture renewal</v>
      </c>
      <c r="E1312" s="6" t="str">
        <f>'Reported burning'!E1312</f>
        <v>Pastoralism, Migratory</v>
      </c>
      <c r="F1312" s="6" t="str">
        <f>'Reported burning'!F1312</f>
        <v>Shrubland (Mixed forest &amp; grassland)</v>
      </c>
      <c r="G1312" s="6" t="str">
        <f>'Reported burning'!G1312</f>
        <v>ND</v>
      </c>
      <c r="H1312" s="6" t="str">
        <f>'Reported burning'!H1312</f>
        <v>Presence</v>
      </c>
      <c r="I1312" s="3"/>
      <c r="J1312" s="3" t="s">
        <v>2276</v>
      </c>
      <c r="K1312" s="3" t="s">
        <v>2276</v>
      </c>
      <c r="L1312" s="3" t="s">
        <v>2276</v>
      </c>
      <c r="M1312" s="3" t="s">
        <v>2276</v>
      </c>
      <c r="N1312" s="3" t="s">
        <v>2276</v>
      </c>
      <c r="O1312" s="3" t="s">
        <v>2276</v>
      </c>
      <c r="P1312" s="3" t="s">
        <v>2276</v>
      </c>
      <c r="Q1312" s="3" t="s">
        <v>2276</v>
      </c>
      <c r="R1312" s="3" t="s">
        <v>2276</v>
      </c>
      <c r="S1312" s="3" t="s">
        <v>2276</v>
      </c>
      <c r="T1312" s="3" t="s">
        <v>2276</v>
      </c>
      <c r="U1312" s="3" t="s">
        <v>2276</v>
      </c>
      <c r="V1312" s="3" t="s">
        <v>2276</v>
      </c>
      <c r="W1312" s="3" t="s">
        <v>2276</v>
      </c>
      <c r="X1312" s="3" t="s">
        <v>2276</v>
      </c>
      <c r="Y1312" s="3" t="s">
        <v>2276</v>
      </c>
      <c r="Z1312" s="3" t="s">
        <v>2276</v>
      </c>
      <c r="AA1312" s="4" t="s">
        <v>4384</v>
      </c>
      <c r="AB1312" s="4" t="s">
        <v>3960</v>
      </c>
    </row>
    <row r="1313" spans="1:28" ht="43.5">
      <c r="A1313" s="6" t="str">
        <f>'Reported burning'!A1313</f>
        <v>155k</v>
      </c>
      <c r="B1313" s="6" t="str">
        <f>'Reported burning'!B1313</f>
        <v>155k.1</v>
      </c>
      <c r="C1313" s="6" t="str">
        <f>'Reported burning'!C1313</f>
        <v>Human, deliberate</v>
      </c>
      <c r="D1313" s="6" t="str">
        <f>'Reported burning'!D1313</f>
        <v>Pasture renewal</v>
      </c>
      <c r="E1313" s="6" t="str">
        <f>'Reported burning'!E1313</f>
        <v>Pastoralism, Migratory</v>
      </c>
      <c r="F1313" s="6" t="str">
        <f>'Reported burning'!F1313</f>
        <v>Shrubland (Mixed forest &amp; grassland)</v>
      </c>
      <c r="G1313" s="6" t="str">
        <f>'Reported burning'!G1313</f>
        <v>ND</v>
      </c>
      <c r="H1313" s="6" t="str">
        <f>'Reported burning'!H1313</f>
        <v>Presence</v>
      </c>
      <c r="I1313" s="3"/>
      <c r="J1313" s="3" t="s">
        <v>2276</v>
      </c>
      <c r="K1313" s="3" t="s">
        <v>2276</v>
      </c>
      <c r="L1313" s="3" t="s">
        <v>2276</v>
      </c>
      <c r="M1313" s="3" t="s">
        <v>2276</v>
      </c>
      <c r="N1313" s="3" t="s">
        <v>2276</v>
      </c>
      <c r="O1313" s="3" t="s">
        <v>2276</v>
      </c>
      <c r="P1313" s="3" t="s">
        <v>2276</v>
      </c>
      <c r="Q1313" s="3" t="s">
        <v>2276</v>
      </c>
      <c r="R1313" s="3" t="s">
        <v>2276</v>
      </c>
      <c r="S1313" s="3" t="s">
        <v>2276</v>
      </c>
      <c r="T1313" s="3" t="s">
        <v>2276</v>
      </c>
      <c r="U1313" s="3" t="s">
        <v>2276</v>
      </c>
      <c r="V1313" s="3" t="s">
        <v>2276</v>
      </c>
      <c r="W1313" s="3" t="s">
        <v>2276</v>
      </c>
      <c r="X1313" s="3" t="s">
        <v>2276</v>
      </c>
      <c r="Y1313" s="3" t="s">
        <v>2276</v>
      </c>
      <c r="Z1313" s="3" t="s">
        <v>2276</v>
      </c>
      <c r="AA1313" s="4" t="s">
        <v>4384</v>
      </c>
      <c r="AB1313" s="4" t="s">
        <v>3960</v>
      </c>
    </row>
    <row r="1314" spans="1:28" ht="43.5">
      <c r="A1314" s="6" t="str">
        <f>'Reported burning'!A1314</f>
        <v>155l</v>
      </c>
      <c r="B1314" s="6" t="str">
        <f>'Reported burning'!B1314</f>
        <v>155l.1</v>
      </c>
      <c r="C1314" s="6" t="str">
        <f>'Reported burning'!C1314</f>
        <v>Human, deliberate</v>
      </c>
      <c r="D1314" s="6" t="str">
        <f>'Reported burning'!D1314</f>
        <v>Pasture renewal</v>
      </c>
      <c r="E1314" s="6" t="str">
        <f>'Reported burning'!E1314</f>
        <v>Pastoralism, Migratory</v>
      </c>
      <c r="F1314" s="6" t="str">
        <f>'Reported burning'!F1314</f>
        <v>Shrubland (Mixed forest &amp; grassland)</v>
      </c>
      <c r="G1314" s="6" t="str">
        <f>'Reported burning'!G1314</f>
        <v>ND</v>
      </c>
      <c r="H1314" s="6" t="str">
        <f>'Reported burning'!H1314</f>
        <v>Presence</v>
      </c>
      <c r="I1314" s="3"/>
      <c r="J1314" s="3" t="s">
        <v>2276</v>
      </c>
      <c r="K1314" s="3" t="s">
        <v>2276</v>
      </c>
      <c r="L1314" s="3" t="s">
        <v>2276</v>
      </c>
      <c r="M1314" s="3" t="s">
        <v>2276</v>
      </c>
      <c r="N1314" s="3" t="s">
        <v>2276</v>
      </c>
      <c r="O1314" s="3" t="s">
        <v>2276</v>
      </c>
      <c r="P1314" s="3" t="s">
        <v>2276</v>
      </c>
      <c r="Q1314" s="3" t="s">
        <v>2276</v>
      </c>
      <c r="R1314" s="3" t="s">
        <v>2276</v>
      </c>
      <c r="S1314" s="3" t="s">
        <v>2276</v>
      </c>
      <c r="T1314" s="3" t="s">
        <v>2276</v>
      </c>
      <c r="U1314" s="3" t="s">
        <v>2276</v>
      </c>
      <c r="V1314" s="3" t="s">
        <v>2276</v>
      </c>
      <c r="W1314" s="3" t="s">
        <v>2276</v>
      </c>
      <c r="X1314" s="3" t="s">
        <v>2276</v>
      </c>
      <c r="Y1314" s="3" t="s">
        <v>2276</v>
      </c>
      <c r="Z1314" s="3" t="s">
        <v>2276</v>
      </c>
      <c r="AA1314" s="4" t="s">
        <v>4385</v>
      </c>
      <c r="AB1314" s="4" t="s">
        <v>3960</v>
      </c>
    </row>
    <row r="1315" spans="1:28" ht="43.5">
      <c r="A1315" s="6" t="str">
        <f>'Reported burning'!A1315</f>
        <v>155b</v>
      </c>
      <c r="B1315" s="6" t="str">
        <f>'Reported burning'!B1315</f>
        <v>155b.2</v>
      </c>
      <c r="C1315" s="6" t="str">
        <f>'Reported burning'!C1315</f>
        <v>Human, escaped</v>
      </c>
      <c r="D1315" s="6" t="str">
        <f>'Reported burning'!D1315</f>
        <v>Pasture renewal</v>
      </c>
      <c r="E1315" s="6" t="str">
        <f>'Reported burning'!E1315</f>
        <v>Pastoralism, Migratory</v>
      </c>
      <c r="F1315" s="6" t="str">
        <f>'Reported burning'!F1315</f>
        <v>Shrubland (Mixed forest &amp; grassland)</v>
      </c>
      <c r="G1315" s="6" t="str">
        <f>'Reported burning'!G1315</f>
        <v>ND</v>
      </c>
      <c r="H1315" s="6" t="str">
        <f>'Reported burning'!H1315</f>
        <v>Presence</v>
      </c>
      <c r="I1315" s="3"/>
      <c r="J1315" s="3" t="s">
        <v>2276</v>
      </c>
      <c r="K1315" s="3" t="s">
        <v>2276</v>
      </c>
      <c r="L1315" s="3" t="s">
        <v>2276</v>
      </c>
      <c r="M1315" s="3" t="s">
        <v>2276</v>
      </c>
      <c r="N1315" s="3" t="s">
        <v>2276</v>
      </c>
      <c r="O1315" s="3" t="s">
        <v>2276</v>
      </c>
      <c r="P1315" s="3" t="s">
        <v>2276</v>
      </c>
      <c r="Q1315" s="3" t="s">
        <v>2276</v>
      </c>
      <c r="R1315" s="3" t="s">
        <v>2276</v>
      </c>
      <c r="S1315" s="3" t="s">
        <v>2276</v>
      </c>
      <c r="T1315" s="3" t="s">
        <v>2276</v>
      </c>
      <c r="U1315" s="3" t="s">
        <v>2276</v>
      </c>
      <c r="V1315" s="3" t="s">
        <v>2276</v>
      </c>
      <c r="W1315" s="3" t="s">
        <v>2276</v>
      </c>
      <c r="X1315" s="3" t="s">
        <v>2276</v>
      </c>
      <c r="Y1315" s="3" t="s">
        <v>2276</v>
      </c>
      <c r="Z1315" s="3" t="s">
        <v>2276</v>
      </c>
      <c r="AA1315" s="4" t="s">
        <v>4383</v>
      </c>
      <c r="AB1315" s="4" t="s">
        <v>3960</v>
      </c>
    </row>
    <row r="1316" spans="1:28" ht="43.5">
      <c r="A1316" s="6" t="str">
        <f>'Reported burning'!A1316</f>
        <v>155c</v>
      </c>
      <c r="B1316" s="6" t="str">
        <f>'Reported burning'!B1316</f>
        <v>155c.2</v>
      </c>
      <c r="C1316" s="6" t="str">
        <f>'Reported burning'!C1316</f>
        <v>Human, escaped</v>
      </c>
      <c r="D1316" s="6" t="str">
        <f>'Reported burning'!D1316</f>
        <v>Pasture renewal</v>
      </c>
      <c r="E1316" s="6" t="str">
        <f>'Reported burning'!E1316</f>
        <v>Pastoralism, Migratory</v>
      </c>
      <c r="F1316" s="6" t="str">
        <f>'Reported burning'!F1316</f>
        <v>Shrubland (Mixed forest &amp; grassland)</v>
      </c>
      <c r="G1316" s="6" t="str">
        <f>'Reported burning'!G1316</f>
        <v>ND</v>
      </c>
      <c r="H1316" s="6" t="str">
        <f>'Reported burning'!H1316</f>
        <v>Presence</v>
      </c>
      <c r="I1316" s="3"/>
      <c r="J1316" s="3" t="s">
        <v>2276</v>
      </c>
      <c r="K1316" s="3" t="s">
        <v>2276</v>
      </c>
      <c r="L1316" s="3" t="s">
        <v>2276</v>
      </c>
      <c r="M1316" s="3" t="s">
        <v>2276</v>
      </c>
      <c r="N1316" s="3" t="s">
        <v>2276</v>
      </c>
      <c r="O1316" s="3" t="s">
        <v>2276</v>
      </c>
      <c r="P1316" s="3" t="s">
        <v>2276</v>
      </c>
      <c r="Q1316" s="3" t="s">
        <v>2276</v>
      </c>
      <c r="R1316" s="3" t="s">
        <v>2276</v>
      </c>
      <c r="S1316" s="3" t="s">
        <v>2276</v>
      </c>
      <c r="T1316" s="3" t="s">
        <v>2276</v>
      </c>
      <c r="U1316" s="3" t="s">
        <v>2276</v>
      </c>
      <c r="V1316" s="3" t="s">
        <v>2276</v>
      </c>
      <c r="W1316" s="3" t="s">
        <v>2276</v>
      </c>
      <c r="X1316" s="3" t="s">
        <v>2276</v>
      </c>
      <c r="Y1316" s="3" t="s">
        <v>2276</v>
      </c>
      <c r="Z1316" s="3" t="s">
        <v>2276</v>
      </c>
      <c r="AA1316" s="4" t="s">
        <v>4383</v>
      </c>
      <c r="AB1316" s="4" t="s">
        <v>3960</v>
      </c>
    </row>
    <row r="1317" spans="1:28" ht="43.5">
      <c r="A1317" s="6" t="str">
        <f>'Reported burning'!A1317</f>
        <v>155e</v>
      </c>
      <c r="B1317" s="6" t="str">
        <f>'Reported burning'!B1317</f>
        <v>155e.2</v>
      </c>
      <c r="C1317" s="6" t="str">
        <f>'Reported burning'!C1317</f>
        <v>Human, escaped</v>
      </c>
      <c r="D1317" s="6" t="str">
        <f>'Reported burning'!D1317</f>
        <v>Pasture renewal</v>
      </c>
      <c r="E1317" s="6" t="str">
        <f>'Reported burning'!E1317</f>
        <v>Pastoralism, Migratory</v>
      </c>
      <c r="F1317" s="6" t="str">
        <f>'Reported burning'!F1317</f>
        <v>Shrubland (Mixed forest &amp; grassland)</v>
      </c>
      <c r="G1317" s="6" t="str">
        <f>'Reported burning'!G1317</f>
        <v>ND</v>
      </c>
      <c r="H1317" s="6" t="str">
        <f>'Reported burning'!H1317</f>
        <v>Presence</v>
      </c>
      <c r="I1317" s="3"/>
      <c r="J1317" s="3" t="s">
        <v>2276</v>
      </c>
      <c r="K1317" s="3" t="s">
        <v>2276</v>
      </c>
      <c r="L1317" s="3" t="s">
        <v>2276</v>
      </c>
      <c r="M1317" s="3" t="s">
        <v>2276</v>
      </c>
      <c r="N1317" s="3" t="s">
        <v>2276</v>
      </c>
      <c r="O1317" s="3" t="s">
        <v>2276</v>
      </c>
      <c r="P1317" s="3" t="s">
        <v>2276</v>
      </c>
      <c r="Q1317" s="3" t="s">
        <v>2276</v>
      </c>
      <c r="R1317" s="3" t="s">
        <v>2276</v>
      </c>
      <c r="S1317" s="3" t="s">
        <v>2276</v>
      </c>
      <c r="T1317" s="3" t="s">
        <v>2276</v>
      </c>
      <c r="U1317" s="3" t="s">
        <v>2276</v>
      </c>
      <c r="V1317" s="3" t="s">
        <v>2276</v>
      </c>
      <c r="W1317" s="3" t="s">
        <v>2276</v>
      </c>
      <c r="X1317" s="3" t="s">
        <v>2276</v>
      </c>
      <c r="Y1317" s="3" t="s">
        <v>2276</v>
      </c>
      <c r="Z1317" s="3" t="s">
        <v>2276</v>
      </c>
      <c r="AA1317" s="4" t="s">
        <v>4383</v>
      </c>
      <c r="AB1317" s="4" t="s">
        <v>3960</v>
      </c>
    </row>
    <row r="1318" spans="1:28" ht="43.5">
      <c r="A1318" s="6" t="str">
        <f>'Reported burning'!A1318</f>
        <v>155f</v>
      </c>
      <c r="B1318" s="6" t="str">
        <f>'Reported burning'!B1318</f>
        <v>155f.2</v>
      </c>
      <c r="C1318" s="6" t="str">
        <f>'Reported burning'!C1318</f>
        <v>Human, escaped</v>
      </c>
      <c r="D1318" s="6" t="str">
        <f>'Reported burning'!D1318</f>
        <v>Pasture renewal</v>
      </c>
      <c r="E1318" s="6" t="str">
        <f>'Reported burning'!E1318</f>
        <v>Pastoralism, Migratory</v>
      </c>
      <c r="F1318" s="6" t="str">
        <f>'Reported burning'!F1318</f>
        <v>Shrubland (Mixed forest &amp; grassland)</v>
      </c>
      <c r="G1318" s="6" t="str">
        <f>'Reported burning'!G1318</f>
        <v>ND</v>
      </c>
      <c r="H1318" s="6" t="str">
        <f>'Reported burning'!H1318</f>
        <v>Presence</v>
      </c>
      <c r="I1318" s="3"/>
      <c r="J1318" s="3" t="s">
        <v>2276</v>
      </c>
      <c r="K1318" s="3" t="s">
        <v>2276</v>
      </c>
      <c r="L1318" s="3" t="s">
        <v>2276</v>
      </c>
      <c r="M1318" s="3" t="s">
        <v>2276</v>
      </c>
      <c r="N1318" s="3" t="s">
        <v>2276</v>
      </c>
      <c r="O1318" s="3" t="s">
        <v>2276</v>
      </c>
      <c r="P1318" s="3" t="s">
        <v>2276</v>
      </c>
      <c r="Q1318" s="3" t="s">
        <v>2276</v>
      </c>
      <c r="R1318" s="3" t="s">
        <v>2276</v>
      </c>
      <c r="S1318" s="3" t="s">
        <v>2276</v>
      </c>
      <c r="T1318" s="3" t="s">
        <v>2276</v>
      </c>
      <c r="U1318" s="3" t="s">
        <v>2276</v>
      </c>
      <c r="V1318" s="3" t="s">
        <v>2276</v>
      </c>
      <c r="W1318" s="3" t="s">
        <v>2276</v>
      </c>
      <c r="X1318" s="3" t="s">
        <v>2276</v>
      </c>
      <c r="Y1318" s="3" t="s">
        <v>2276</v>
      </c>
      <c r="Z1318" s="3" t="s">
        <v>2276</v>
      </c>
      <c r="AA1318" s="4" t="s">
        <v>4386</v>
      </c>
      <c r="AB1318" s="4" t="s">
        <v>3960</v>
      </c>
    </row>
    <row r="1319" spans="1:28" ht="43.5">
      <c r="A1319" s="6" t="str">
        <f>'Reported burning'!A1319</f>
        <v>155j</v>
      </c>
      <c r="B1319" s="6" t="str">
        <f>'Reported burning'!B1319</f>
        <v>155j.2</v>
      </c>
      <c r="C1319" s="6" t="str">
        <f>'Reported burning'!C1319</f>
        <v>Human, escaped</v>
      </c>
      <c r="D1319" s="6" t="str">
        <f>'Reported burning'!D1319</f>
        <v>Pasture renewal</v>
      </c>
      <c r="E1319" s="6" t="str">
        <f>'Reported burning'!E1319</f>
        <v>Pastoralism, Migratory</v>
      </c>
      <c r="F1319" s="6" t="str">
        <f>'Reported burning'!F1319</f>
        <v>Shrubland (Mixed forest &amp; grassland)</v>
      </c>
      <c r="G1319" s="6" t="str">
        <f>'Reported burning'!G1319</f>
        <v>ND</v>
      </c>
      <c r="H1319" s="6" t="str">
        <f>'Reported burning'!H1319</f>
        <v>Presence</v>
      </c>
      <c r="I1319" s="3"/>
      <c r="J1319" s="3" t="s">
        <v>2276</v>
      </c>
      <c r="K1319" s="3" t="s">
        <v>2276</v>
      </c>
      <c r="L1319" s="3" t="s">
        <v>2276</v>
      </c>
      <c r="M1319" s="3" t="s">
        <v>2276</v>
      </c>
      <c r="N1319" s="3" t="s">
        <v>2276</v>
      </c>
      <c r="O1319" s="3" t="s">
        <v>2276</v>
      </c>
      <c r="P1319" s="3" t="s">
        <v>2276</v>
      </c>
      <c r="Q1319" s="3" t="s">
        <v>2276</v>
      </c>
      <c r="R1319" s="3" t="s">
        <v>2276</v>
      </c>
      <c r="S1319" s="3" t="s">
        <v>2276</v>
      </c>
      <c r="T1319" s="3" t="s">
        <v>2276</v>
      </c>
      <c r="U1319" s="3" t="s">
        <v>2276</v>
      </c>
      <c r="V1319" s="3" t="s">
        <v>2276</v>
      </c>
      <c r="W1319" s="3" t="s">
        <v>2276</v>
      </c>
      <c r="X1319" s="3" t="s">
        <v>2276</v>
      </c>
      <c r="Y1319" s="3" t="s">
        <v>2276</v>
      </c>
      <c r="Z1319" s="3" t="s">
        <v>2276</v>
      </c>
      <c r="AA1319" s="4" t="s">
        <v>4384</v>
      </c>
      <c r="AB1319" s="4" t="s">
        <v>3960</v>
      </c>
    </row>
    <row r="1320" spans="1:28" ht="43.5">
      <c r="A1320" s="6" t="str">
        <f>'Reported burning'!A1320</f>
        <v>155k</v>
      </c>
      <c r="B1320" s="6" t="str">
        <f>'Reported burning'!B1320</f>
        <v>155k.2</v>
      </c>
      <c r="C1320" s="6" t="str">
        <f>'Reported burning'!C1320</f>
        <v>Human, escaped</v>
      </c>
      <c r="D1320" s="6" t="str">
        <f>'Reported burning'!D1320</f>
        <v>Pasture renewal</v>
      </c>
      <c r="E1320" s="6" t="str">
        <f>'Reported burning'!E1320</f>
        <v>Pastoralism, Migratory</v>
      </c>
      <c r="F1320" s="6" t="str">
        <f>'Reported burning'!F1320</f>
        <v>Shrubland (Mixed forest &amp; grassland)</v>
      </c>
      <c r="G1320" s="6" t="str">
        <f>'Reported burning'!G1320</f>
        <v>ND</v>
      </c>
      <c r="H1320" s="6" t="str">
        <f>'Reported burning'!H1320</f>
        <v>Presence</v>
      </c>
      <c r="I1320" s="3"/>
      <c r="J1320" s="3" t="s">
        <v>2276</v>
      </c>
      <c r="K1320" s="3" t="s">
        <v>2276</v>
      </c>
      <c r="L1320" s="3" t="s">
        <v>2276</v>
      </c>
      <c r="M1320" s="3" t="s">
        <v>2276</v>
      </c>
      <c r="N1320" s="3" t="s">
        <v>2276</v>
      </c>
      <c r="O1320" s="3" t="s">
        <v>2276</v>
      </c>
      <c r="P1320" s="3" t="s">
        <v>2276</v>
      </c>
      <c r="Q1320" s="3" t="s">
        <v>2276</v>
      </c>
      <c r="R1320" s="3" t="s">
        <v>2276</v>
      </c>
      <c r="S1320" s="3" t="s">
        <v>2276</v>
      </c>
      <c r="T1320" s="3" t="s">
        <v>2276</v>
      </c>
      <c r="U1320" s="3" t="s">
        <v>2276</v>
      </c>
      <c r="V1320" s="3" t="s">
        <v>2276</v>
      </c>
      <c r="W1320" s="3" t="s">
        <v>2276</v>
      </c>
      <c r="X1320" s="3" t="s">
        <v>2276</v>
      </c>
      <c r="Y1320" s="3" t="s">
        <v>2276</v>
      </c>
      <c r="Z1320" s="3" t="s">
        <v>2276</v>
      </c>
      <c r="AA1320" s="4" t="s">
        <v>4384</v>
      </c>
      <c r="AB1320" s="4" t="s">
        <v>3960</v>
      </c>
    </row>
    <row r="1321" spans="1:28" ht="43.5">
      <c r="A1321" s="6" t="str">
        <f>'Reported burning'!A1321</f>
        <v>155l</v>
      </c>
      <c r="B1321" s="6" t="str">
        <f>'Reported burning'!B1321</f>
        <v>155l.2</v>
      </c>
      <c r="C1321" s="6" t="str">
        <f>'Reported burning'!C1321</f>
        <v>Human, escaped</v>
      </c>
      <c r="D1321" s="6" t="str">
        <f>'Reported burning'!D1321</f>
        <v>Pasture renewal</v>
      </c>
      <c r="E1321" s="6" t="str">
        <f>'Reported burning'!E1321</f>
        <v>Pastoralism, Migratory</v>
      </c>
      <c r="F1321" s="6" t="str">
        <f>'Reported burning'!F1321</f>
        <v>Shrubland (Mixed forest &amp; grassland)</v>
      </c>
      <c r="G1321" s="6" t="str">
        <f>'Reported burning'!G1321</f>
        <v>ND</v>
      </c>
      <c r="H1321" s="6" t="str">
        <f>'Reported burning'!H1321</f>
        <v>Presence</v>
      </c>
      <c r="I1321" s="3"/>
      <c r="J1321" s="3" t="s">
        <v>2276</v>
      </c>
      <c r="K1321" s="3" t="s">
        <v>2276</v>
      </c>
      <c r="L1321" s="3" t="s">
        <v>2276</v>
      </c>
      <c r="M1321" s="3" t="s">
        <v>2276</v>
      </c>
      <c r="N1321" s="3" t="s">
        <v>2276</v>
      </c>
      <c r="O1321" s="3" t="s">
        <v>2276</v>
      </c>
      <c r="P1321" s="3" t="s">
        <v>2276</v>
      </c>
      <c r="Q1321" s="3" t="s">
        <v>2276</v>
      </c>
      <c r="R1321" s="3" t="s">
        <v>2276</v>
      </c>
      <c r="S1321" s="3" t="s">
        <v>2276</v>
      </c>
      <c r="T1321" s="3" t="s">
        <v>2276</v>
      </c>
      <c r="U1321" s="3" t="s">
        <v>2276</v>
      </c>
      <c r="V1321" s="3" t="s">
        <v>2276</v>
      </c>
      <c r="W1321" s="3" t="s">
        <v>2276</v>
      </c>
      <c r="X1321" s="3" t="s">
        <v>2276</v>
      </c>
      <c r="Y1321" s="3" t="s">
        <v>2276</v>
      </c>
      <c r="Z1321" s="3" t="s">
        <v>2276</v>
      </c>
      <c r="AA1321" s="4" t="s">
        <v>4385</v>
      </c>
      <c r="AB1321" s="4" t="s">
        <v>3960</v>
      </c>
    </row>
    <row r="1322" spans="1:28" ht="34.5" customHeight="1">
      <c r="A1322" s="6" t="str">
        <f>'Reported burning'!A1322</f>
        <v>156b</v>
      </c>
      <c r="B1322" s="6" t="str">
        <f>'Reported burning'!B1322</f>
        <v>156b.1</v>
      </c>
      <c r="C1322" s="6" t="str">
        <f>'Reported burning'!C1322</f>
        <v>Human, deliberate</v>
      </c>
      <c r="D1322" s="6" t="str">
        <f>'Reported burning'!D1322</f>
        <v>Pest management</v>
      </c>
      <c r="E1322" s="6" t="str">
        <f>'Reported burning'!E1322</f>
        <v>Pastoralism, Migratory</v>
      </c>
      <c r="F1322" s="6" t="str">
        <f>'Reported burning'!F1322</f>
        <v>Shrubland (Mixed forest &amp; grassland)</v>
      </c>
      <c r="G1322" s="6" t="str">
        <f>'Reported burning'!G1322</f>
        <v>ND</v>
      </c>
      <c r="H1322" s="6" t="str">
        <f>'Reported burning'!H1322</f>
        <v>Presence</v>
      </c>
      <c r="I1322" s="3"/>
      <c r="J1322" s="3" t="s">
        <v>2276</v>
      </c>
      <c r="K1322" s="3" t="s">
        <v>2276</v>
      </c>
      <c r="L1322" s="3" t="s">
        <v>2276</v>
      </c>
      <c r="M1322" s="3" t="s">
        <v>2276</v>
      </c>
      <c r="N1322" s="3" t="s">
        <v>2276</v>
      </c>
      <c r="O1322" s="3" t="s">
        <v>2276</v>
      </c>
      <c r="P1322" s="3" t="s">
        <v>2276</v>
      </c>
      <c r="Q1322" s="3" t="s">
        <v>2276</v>
      </c>
      <c r="R1322" s="3" t="s">
        <v>2276</v>
      </c>
      <c r="S1322" s="3" t="s">
        <v>2276</v>
      </c>
      <c r="T1322" s="3" t="s">
        <v>2276</v>
      </c>
      <c r="U1322" s="3" t="s">
        <v>2276</v>
      </c>
      <c r="V1322" s="3" t="s">
        <v>2276</v>
      </c>
      <c r="W1322" s="3" t="s">
        <v>2276</v>
      </c>
      <c r="X1322" s="3" t="s">
        <v>2276</v>
      </c>
      <c r="Y1322" s="3" t="s">
        <v>2276</v>
      </c>
      <c r="Z1322" s="3" t="s">
        <v>2276</v>
      </c>
      <c r="AA1322" s="3" t="s">
        <v>3979</v>
      </c>
      <c r="AB1322" s="3"/>
    </row>
    <row r="1323" spans="1:28" ht="34.5" customHeight="1">
      <c r="A1323" s="6" t="str">
        <f>'Reported burning'!A1323</f>
        <v>156b</v>
      </c>
      <c r="B1323" s="6" t="str">
        <f>'Reported burning'!B1323</f>
        <v>156b.2</v>
      </c>
      <c r="C1323" s="6" t="str">
        <f>'Reported burning'!C1323</f>
        <v>Human, deliberate</v>
      </c>
      <c r="D1323" s="6" t="str">
        <f>'Reported burning'!D1323</f>
        <v>Pest management</v>
      </c>
      <c r="E1323" s="6" t="str">
        <f>'Reported burning'!E1323</f>
        <v>Cattle, Extensive</v>
      </c>
      <c r="F1323" s="6" t="str">
        <f>'Reported burning'!F1323</f>
        <v>Shrubland (Mixed forest &amp; grassland)</v>
      </c>
      <c r="G1323" s="6" t="str">
        <f>'Reported burning'!G1323</f>
        <v>ND</v>
      </c>
      <c r="H1323" s="6" t="str">
        <f>'Reported burning'!H1323</f>
        <v>Presence</v>
      </c>
      <c r="I1323" s="3"/>
      <c r="J1323" s="3" t="s">
        <v>2276</v>
      </c>
      <c r="K1323" s="3" t="s">
        <v>2276</v>
      </c>
      <c r="L1323" s="3" t="s">
        <v>2276</v>
      </c>
      <c r="M1323" s="3" t="s">
        <v>2276</v>
      </c>
      <c r="N1323" s="3" t="s">
        <v>2276</v>
      </c>
      <c r="O1323" s="3" t="s">
        <v>2276</v>
      </c>
      <c r="P1323" s="3" t="s">
        <v>2276</v>
      </c>
      <c r="Q1323" s="3" t="s">
        <v>2276</v>
      </c>
      <c r="R1323" s="3" t="s">
        <v>2276</v>
      </c>
      <c r="S1323" s="3" t="s">
        <v>2276</v>
      </c>
      <c r="T1323" s="3" t="s">
        <v>2276</v>
      </c>
      <c r="U1323" s="3" t="s">
        <v>2276</v>
      </c>
      <c r="V1323" s="3" t="s">
        <v>2276</v>
      </c>
      <c r="W1323" s="3" t="s">
        <v>2276</v>
      </c>
      <c r="X1323" s="3" t="s">
        <v>2276</v>
      </c>
      <c r="Y1323" s="3" t="s">
        <v>2276</v>
      </c>
      <c r="Z1323" s="3" t="s">
        <v>2276</v>
      </c>
      <c r="AA1323" s="3" t="s">
        <v>3979</v>
      </c>
      <c r="AB1323" s="3"/>
    </row>
    <row r="1324" spans="1:28" ht="34.5" customHeight="1">
      <c r="A1324" s="6" t="str">
        <f>'Reported burning'!A1324</f>
        <v>156b</v>
      </c>
      <c r="B1324" s="6" t="str">
        <f>'Reported burning'!B1324</f>
        <v>156b.3</v>
      </c>
      <c r="C1324" s="6" t="str">
        <f>'Reported burning'!C1324</f>
        <v>Human, deliberate</v>
      </c>
      <c r="D1324" s="6" t="str">
        <f>'Reported burning'!D1324</f>
        <v>Pest management</v>
      </c>
      <c r="E1324" s="6" t="str">
        <f>'Reported burning'!E1324</f>
        <v>Pastoralism, Migratory</v>
      </c>
      <c r="F1324" s="6" t="str">
        <f>'Reported burning'!F1324</f>
        <v>Forest</v>
      </c>
      <c r="G1324" s="6" t="str">
        <f>'Reported burning'!G1324</f>
        <v>ND</v>
      </c>
      <c r="H1324" s="6" t="str">
        <f>'Reported burning'!H1324</f>
        <v>Presence</v>
      </c>
      <c r="I1324" s="3"/>
      <c r="J1324" s="3" t="s">
        <v>2276</v>
      </c>
      <c r="K1324" s="3" t="s">
        <v>2276</v>
      </c>
      <c r="L1324" s="3" t="s">
        <v>2276</v>
      </c>
      <c r="M1324" s="3" t="s">
        <v>2276</v>
      </c>
      <c r="N1324" s="3" t="s">
        <v>2276</v>
      </c>
      <c r="O1324" s="3" t="s">
        <v>2276</v>
      </c>
      <c r="P1324" s="3" t="s">
        <v>2276</v>
      </c>
      <c r="Q1324" s="3" t="s">
        <v>2276</v>
      </c>
      <c r="R1324" s="3" t="s">
        <v>2276</v>
      </c>
      <c r="S1324" s="3" t="s">
        <v>2276</v>
      </c>
      <c r="T1324" s="3" t="s">
        <v>2276</v>
      </c>
      <c r="U1324" s="3" t="s">
        <v>2276</v>
      </c>
      <c r="V1324" s="3" t="s">
        <v>2276</v>
      </c>
      <c r="W1324" s="3" t="s">
        <v>2276</v>
      </c>
      <c r="X1324" s="3" t="s">
        <v>2276</v>
      </c>
      <c r="Y1324" s="3" t="s">
        <v>2276</v>
      </c>
      <c r="Z1324" s="3" t="s">
        <v>2276</v>
      </c>
      <c r="AA1324" s="3" t="s">
        <v>3979</v>
      </c>
      <c r="AB1324" s="3"/>
    </row>
    <row r="1325" spans="1:28" ht="34.5" customHeight="1">
      <c r="A1325" s="6" t="str">
        <f>'Reported burning'!A1325</f>
        <v>156b</v>
      </c>
      <c r="B1325" s="6" t="str">
        <f>'Reported burning'!B1325</f>
        <v>156b.4</v>
      </c>
      <c r="C1325" s="6" t="str">
        <f>'Reported burning'!C1325</f>
        <v>Human, deliberate</v>
      </c>
      <c r="D1325" s="6" t="str">
        <f>'Reported burning'!D1325</f>
        <v>Pest management</v>
      </c>
      <c r="E1325" s="6" t="str">
        <f>'Reported burning'!E1325</f>
        <v>Cattle, Extensive</v>
      </c>
      <c r="F1325" s="6" t="str">
        <f>'Reported burning'!F1325</f>
        <v>Forest</v>
      </c>
      <c r="G1325" s="6" t="str">
        <f>'Reported burning'!G1325</f>
        <v>ND</v>
      </c>
      <c r="H1325" s="6" t="str">
        <f>'Reported burning'!H1325</f>
        <v>Presence</v>
      </c>
      <c r="I1325" s="3"/>
      <c r="J1325" s="3" t="s">
        <v>2276</v>
      </c>
      <c r="K1325" s="3" t="s">
        <v>2276</v>
      </c>
      <c r="L1325" s="3" t="s">
        <v>2276</v>
      </c>
      <c r="M1325" s="3" t="s">
        <v>2276</v>
      </c>
      <c r="N1325" s="3" t="s">
        <v>2276</v>
      </c>
      <c r="O1325" s="3" t="s">
        <v>2276</v>
      </c>
      <c r="P1325" s="3" t="s">
        <v>2276</v>
      </c>
      <c r="Q1325" s="3" t="s">
        <v>2276</v>
      </c>
      <c r="R1325" s="3" t="s">
        <v>2276</v>
      </c>
      <c r="S1325" s="3" t="s">
        <v>2276</v>
      </c>
      <c r="T1325" s="3" t="s">
        <v>2276</v>
      </c>
      <c r="U1325" s="3" t="s">
        <v>2276</v>
      </c>
      <c r="V1325" s="3" t="s">
        <v>2276</v>
      </c>
      <c r="W1325" s="3" t="s">
        <v>2276</v>
      </c>
      <c r="X1325" s="3" t="s">
        <v>2276</v>
      </c>
      <c r="Y1325" s="3" t="s">
        <v>2276</v>
      </c>
      <c r="Z1325" s="3" t="s">
        <v>2276</v>
      </c>
      <c r="AA1325" s="3" t="s">
        <v>3979</v>
      </c>
      <c r="AB1325" s="3"/>
    </row>
    <row r="1326" spans="1:28" ht="34.5" customHeight="1">
      <c r="A1326" s="6" t="str">
        <f>'Reported burning'!A1326</f>
        <v>156c</v>
      </c>
      <c r="B1326" s="6" t="str">
        <f>'Reported burning'!B1326</f>
        <v>156c.1</v>
      </c>
      <c r="C1326" s="6" t="str">
        <f>'Reported burning'!C1326</f>
        <v>Human, deliberate</v>
      </c>
      <c r="D1326" s="6" t="str">
        <f>'Reported burning'!D1326</f>
        <v>Pest management</v>
      </c>
      <c r="E1326" s="6" t="str">
        <f>'Reported burning'!E1326</f>
        <v>Pastoralism, Migratory</v>
      </c>
      <c r="F1326" s="6" t="str">
        <f>'Reported burning'!F1326</f>
        <v>Shrubland (Mixed forest &amp; grassland)</v>
      </c>
      <c r="G1326" s="6" t="str">
        <f>'Reported burning'!G1326</f>
        <v>ND</v>
      </c>
      <c r="H1326" s="6" t="str">
        <f>'Reported burning'!H1326</f>
        <v>Absence</v>
      </c>
      <c r="I1326" s="3"/>
      <c r="J1326" s="152">
        <v>0</v>
      </c>
      <c r="K1326" s="152">
        <v>0</v>
      </c>
      <c r="L1326" s="152">
        <v>0</v>
      </c>
      <c r="M1326" s="152">
        <v>0</v>
      </c>
      <c r="N1326" s="152">
        <v>0</v>
      </c>
      <c r="O1326" s="152">
        <v>0</v>
      </c>
      <c r="P1326" s="152">
        <v>0</v>
      </c>
      <c r="Q1326" s="152">
        <v>0</v>
      </c>
      <c r="R1326" s="152">
        <v>0</v>
      </c>
      <c r="S1326" s="152">
        <v>0</v>
      </c>
      <c r="T1326" s="152">
        <v>0</v>
      </c>
      <c r="U1326" s="152">
        <v>0</v>
      </c>
      <c r="V1326" s="152">
        <v>0</v>
      </c>
      <c r="W1326" s="3" t="s">
        <v>2276</v>
      </c>
      <c r="X1326" s="3" t="s">
        <v>2276</v>
      </c>
      <c r="Y1326" s="3" t="s">
        <v>2276</v>
      </c>
      <c r="Z1326" s="3" t="s">
        <v>2276</v>
      </c>
      <c r="AA1326" s="4" t="s">
        <v>3980</v>
      </c>
      <c r="AB1326" s="3"/>
    </row>
    <row r="1327" spans="1:28" ht="34.5" customHeight="1">
      <c r="A1327" s="6" t="str">
        <f>'Reported burning'!A1327</f>
        <v>156c</v>
      </c>
      <c r="B1327" s="6" t="str">
        <f>'Reported burning'!B1327</f>
        <v>156c.2</v>
      </c>
      <c r="C1327" s="6" t="str">
        <f>'Reported burning'!C1327</f>
        <v>Human, deliberate</v>
      </c>
      <c r="D1327" s="6" t="str">
        <f>'Reported burning'!D1327</f>
        <v>Pest management</v>
      </c>
      <c r="E1327" s="6" t="str">
        <f>'Reported burning'!E1327</f>
        <v>Cattle, Extensive</v>
      </c>
      <c r="F1327" s="6" t="str">
        <f>'Reported burning'!F1327</f>
        <v>Shrubland (Mixed forest &amp; grassland)</v>
      </c>
      <c r="G1327" s="6" t="str">
        <f>'Reported burning'!G1327</f>
        <v>ND</v>
      </c>
      <c r="H1327" s="6" t="str">
        <f>'Reported burning'!H1327</f>
        <v>Absence</v>
      </c>
      <c r="I1327" s="3"/>
      <c r="J1327" s="152">
        <v>0</v>
      </c>
      <c r="K1327" s="152">
        <v>0</v>
      </c>
      <c r="L1327" s="152">
        <v>0</v>
      </c>
      <c r="M1327" s="152">
        <v>0</v>
      </c>
      <c r="N1327" s="152">
        <v>0</v>
      </c>
      <c r="O1327" s="152">
        <v>0</v>
      </c>
      <c r="P1327" s="152">
        <v>0</v>
      </c>
      <c r="Q1327" s="152">
        <v>0</v>
      </c>
      <c r="R1327" s="152">
        <v>0</v>
      </c>
      <c r="S1327" s="152">
        <v>0</v>
      </c>
      <c r="T1327" s="152">
        <v>0</v>
      </c>
      <c r="U1327" s="152">
        <v>0</v>
      </c>
      <c r="V1327" s="152">
        <v>0</v>
      </c>
      <c r="W1327" s="3" t="s">
        <v>2276</v>
      </c>
      <c r="X1327" s="3" t="s">
        <v>2276</v>
      </c>
      <c r="Y1327" s="3" t="s">
        <v>2276</v>
      </c>
      <c r="Z1327" s="3" t="s">
        <v>2276</v>
      </c>
      <c r="AA1327" s="4" t="s">
        <v>3980</v>
      </c>
      <c r="AB1327" s="3"/>
    </row>
    <row r="1328" spans="1:28" ht="34.5" customHeight="1">
      <c r="A1328" s="6" t="str">
        <f>'Reported burning'!A1328</f>
        <v>156c</v>
      </c>
      <c r="B1328" s="6" t="str">
        <f>'Reported burning'!B1328</f>
        <v>156c.3</v>
      </c>
      <c r="C1328" s="6" t="str">
        <f>'Reported burning'!C1328</f>
        <v>Human, deliberate</v>
      </c>
      <c r="D1328" s="6" t="str">
        <f>'Reported burning'!D1328</f>
        <v>Pest management</v>
      </c>
      <c r="E1328" s="6" t="str">
        <f>'Reported burning'!E1328</f>
        <v>Pastoralism, Migratory</v>
      </c>
      <c r="F1328" s="6" t="str">
        <f>'Reported burning'!F1328</f>
        <v>Forest</v>
      </c>
      <c r="G1328" s="6" t="str">
        <f>'Reported burning'!G1328</f>
        <v>ND</v>
      </c>
      <c r="H1328" s="6" t="str">
        <f>'Reported burning'!H1328</f>
        <v>Absence</v>
      </c>
      <c r="I1328" s="3"/>
      <c r="J1328" s="152">
        <v>0</v>
      </c>
      <c r="K1328" s="152">
        <v>0</v>
      </c>
      <c r="L1328" s="152">
        <v>0</v>
      </c>
      <c r="M1328" s="152">
        <v>0</v>
      </c>
      <c r="N1328" s="152">
        <v>0</v>
      </c>
      <c r="O1328" s="152">
        <v>0</v>
      </c>
      <c r="P1328" s="152">
        <v>0</v>
      </c>
      <c r="Q1328" s="152">
        <v>0</v>
      </c>
      <c r="R1328" s="152">
        <v>0</v>
      </c>
      <c r="S1328" s="152">
        <v>0</v>
      </c>
      <c r="T1328" s="152">
        <v>0</v>
      </c>
      <c r="U1328" s="152">
        <v>0</v>
      </c>
      <c r="V1328" s="152">
        <v>0</v>
      </c>
      <c r="W1328" s="3" t="s">
        <v>2276</v>
      </c>
      <c r="X1328" s="3" t="s">
        <v>2276</v>
      </c>
      <c r="Y1328" s="3" t="s">
        <v>2276</v>
      </c>
      <c r="Z1328" s="3" t="s">
        <v>2276</v>
      </c>
      <c r="AA1328" s="4" t="s">
        <v>3980</v>
      </c>
      <c r="AB1328" s="3"/>
    </row>
    <row r="1329" spans="1:28" ht="34.5" customHeight="1">
      <c r="A1329" s="6" t="str">
        <f>'Reported burning'!A1329</f>
        <v>156c</v>
      </c>
      <c r="B1329" s="6" t="str">
        <f>'Reported burning'!B1329</f>
        <v>156c.4</v>
      </c>
      <c r="C1329" s="6" t="str">
        <f>'Reported burning'!C1329</f>
        <v>Human, deliberate</v>
      </c>
      <c r="D1329" s="6" t="str">
        <f>'Reported burning'!D1329</f>
        <v>Pest management</v>
      </c>
      <c r="E1329" s="6" t="str">
        <f>'Reported burning'!E1329</f>
        <v>Cattle, Extensive</v>
      </c>
      <c r="F1329" s="6" t="str">
        <f>'Reported burning'!F1329</f>
        <v>Forest</v>
      </c>
      <c r="G1329" s="6" t="str">
        <f>'Reported burning'!G1329</f>
        <v>ND</v>
      </c>
      <c r="H1329" s="6" t="str">
        <f>'Reported burning'!H1329</f>
        <v>Absence</v>
      </c>
      <c r="I1329" s="3"/>
      <c r="J1329" s="152">
        <v>0</v>
      </c>
      <c r="K1329" s="152">
        <v>0</v>
      </c>
      <c r="L1329" s="152">
        <v>0</v>
      </c>
      <c r="M1329" s="152">
        <v>0</v>
      </c>
      <c r="N1329" s="152">
        <v>0</v>
      </c>
      <c r="O1329" s="152">
        <v>0</v>
      </c>
      <c r="P1329" s="152">
        <v>0</v>
      </c>
      <c r="Q1329" s="152">
        <v>0</v>
      </c>
      <c r="R1329" s="152">
        <v>0</v>
      </c>
      <c r="S1329" s="152">
        <v>0</v>
      </c>
      <c r="T1329" s="152">
        <v>0</v>
      </c>
      <c r="U1329" s="152">
        <v>0</v>
      </c>
      <c r="V1329" s="152">
        <v>0</v>
      </c>
      <c r="W1329" s="3" t="s">
        <v>2276</v>
      </c>
      <c r="X1329" s="3" t="s">
        <v>2276</v>
      </c>
      <c r="Y1329" s="3" t="s">
        <v>2276</v>
      </c>
      <c r="Z1329" s="3" t="s">
        <v>2276</v>
      </c>
      <c r="AA1329" s="4" t="s">
        <v>3980</v>
      </c>
      <c r="AB1329" s="3"/>
    </row>
    <row r="1330" spans="1:28" ht="29" customHeight="1">
      <c r="A1330" s="6" t="str">
        <f>'Reported burning'!A1330</f>
        <v>156c</v>
      </c>
      <c r="B1330" s="6" t="str">
        <f>'Reported burning'!B1330</f>
        <v>156c.5</v>
      </c>
      <c r="C1330" s="6" t="str">
        <f>'Reported burning'!C1330</f>
        <v>Human, deliberate</v>
      </c>
      <c r="D1330" s="6" t="str">
        <f>'Reported burning'!D1330</f>
        <v>Charcoal production</v>
      </c>
      <c r="E1330" s="6" t="str">
        <f>'Reported burning'!E1330</f>
        <v>Forestry, Traditional</v>
      </c>
      <c r="F1330" s="6" t="str">
        <f>'Reported burning'!F1330</f>
        <v>Shrubland (Mixed forest &amp; grassland)</v>
      </c>
      <c r="G1330" s="6" t="str">
        <f>'Reported burning'!G1330</f>
        <v>ND</v>
      </c>
      <c r="H1330" s="6" t="str">
        <f>'Reported burning'!H1330</f>
        <v>Presence</v>
      </c>
      <c r="I1330" s="3"/>
      <c r="J1330" s="3" t="s">
        <v>2276</v>
      </c>
      <c r="K1330" s="3" t="s">
        <v>2276</v>
      </c>
      <c r="L1330" s="3" t="s">
        <v>2276</v>
      </c>
      <c r="M1330" s="3" t="s">
        <v>2276</v>
      </c>
      <c r="N1330" s="3" t="s">
        <v>2276</v>
      </c>
      <c r="O1330" s="3" t="s">
        <v>2276</v>
      </c>
      <c r="P1330" s="3" t="s">
        <v>2276</v>
      </c>
      <c r="Q1330" s="3" t="s">
        <v>2276</v>
      </c>
      <c r="R1330" s="3" t="s">
        <v>2276</v>
      </c>
      <c r="S1330" s="3" t="s">
        <v>2276</v>
      </c>
      <c r="T1330" s="3" t="s">
        <v>2276</v>
      </c>
      <c r="U1330" s="3" t="s">
        <v>2276</v>
      </c>
      <c r="V1330" s="3" t="s">
        <v>2276</v>
      </c>
      <c r="W1330" s="3" t="s">
        <v>2276</v>
      </c>
      <c r="X1330" s="3" t="s">
        <v>2276</v>
      </c>
      <c r="Y1330" s="3" t="s">
        <v>2276</v>
      </c>
      <c r="Z1330" s="3" t="s">
        <v>2276</v>
      </c>
      <c r="AA1330" s="3"/>
      <c r="AB1330" s="3"/>
    </row>
    <row r="1331" spans="1:28" ht="47" customHeight="1">
      <c r="A1331" s="6" t="str">
        <f>'Reported burning'!A1331</f>
        <v>157a</v>
      </c>
      <c r="B1331" s="6" t="str">
        <f>'Reported burning'!B1331</f>
        <v>157a.1</v>
      </c>
      <c r="C1331" s="6" t="str">
        <f>'Reported burning'!C1331</f>
        <v>Human, deliberate</v>
      </c>
      <c r="D1331" s="6" t="str">
        <f>'Reported burning'!D1331</f>
        <v>Pasture renewal</v>
      </c>
      <c r="E1331" s="6" t="str">
        <f>'Reported burning'!E1331</f>
        <v>Pastoralism, Migratory</v>
      </c>
      <c r="F1331" s="6" t="str">
        <f>'Reported burning'!F1331</f>
        <v>Pasture</v>
      </c>
      <c r="G1331" s="6" t="str">
        <f>'Reported burning'!G1331</f>
        <v>ND</v>
      </c>
      <c r="H1331" s="6" t="str">
        <f>'Reported burning'!H1331</f>
        <v>Presence</v>
      </c>
      <c r="I1331" s="3"/>
      <c r="J1331" s="3" t="s">
        <v>2276</v>
      </c>
      <c r="K1331" s="3" t="s">
        <v>2276</v>
      </c>
      <c r="L1331" s="3" t="s">
        <v>2276</v>
      </c>
      <c r="M1331" s="3" t="s">
        <v>2276</v>
      </c>
      <c r="N1331" s="3" t="s">
        <v>2276</v>
      </c>
      <c r="O1331" s="3" t="s">
        <v>2276</v>
      </c>
      <c r="P1331" s="3" t="s">
        <v>2276</v>
      </c>
      <c r="Q1331" s="3" t="s">
        <v>2276</v>
      </c>
      <c r="R1331" s="3" t="s">
        <v>2276</v>
      </c>
      <c r="S1331" s="3" t="s">
        <v>2276</v>
      </c>
      <c r="T1331" s="3" t="s">
        <v>2276</v>
      </c>
      <c r="U1331" s="3" t="s">
        <v>2276</v>
      </c>
      <c r="V1331" s="3" t="s">
        <v>2276</v>
      </c>
      <c r="W1331" s="3" t="s">
        <v>2276</v>
      </c>
      <c r="X1331" s="3" t="s">
        <v>2276</v>
      </c>
      <c r="Y1331" s="3" t="s">
        <v>2276</v>
      </c>
      <c r="Z1331" s="3" t="s">
        <v>2276</v>
      </c>
      <c r="AA1331" s="4" t="s">
        <v>4010</v>
      </c>
      <c r="AB1331" s="3"/>
    </row>
    <row r="1332" spans="1:28" ht="47" customHeight="1">
      <c r="A1332" s="6" t="str">
        <f>'Reported burning'!A1332</f>
        <v>157a</v>
      </c>
      <c r="B1332" s="6" t="str">
        <f>'Reported burning'!B1332</f>
        <v>157a.2</v>
      </c>
      <c r="C1332" s="6" t="str">
        <f>'Reported burning'!C1332</f>
        <v>Human, deliberate</v>
      </c>
      <c r="D1332" s="6" t="str">
        <f>'Reported burning'!D1332</f>
        <v>Rangeland management</v>
      </c>
      <c r="E1332" s="6" t="str">
        <f>'Reported burning'!E1332</f>
        <v>Pastoralism, Migratory</v>
      </c>
      <c r="F1332" s="6" t="str">
        <f>'Reported burning'!F1332</f>
        <v>Shrubland (Mixed forest &amp; grassland)</v>
      </c>
      <c r="G1332" s="6" t="str">
        <f>'Reported burning'!G1332</f>
        <v>ND</v>
      </c>
      <c r="H1332" s="6" t="str">
        <f>'Reported burning'!H1332</f>
        <v>Presence</v>
      </c>
      <c r="I1332" s="3"/>
      <c r="J1332" s="3" t="s">
        <v>2276</v>
      </c>
      <c r="K1332" s="3" t="s">
        <v>2276</v>
      </c>
      <c r="L1332" s="3" t="s">
        <v>2276</v>
      </c>
      <c r="M1332" s="3" t="s">
        <v>2276</v>
      </c>
      <c r="N1332" s="3" t="s">
        <v>2276</v>
      </c>
      <c r="O1332" s="3" t="s">
        <v>2276</v>
      </c>
      <c r="P1332" s="3" t="s">
        <v>2276</v>
      </c>
      <c r="Q1332" s="3" t="s">
        <v>2276</v>
      </c>
      <c r="R1332" s="3" t="s">
        <v>2276</v>
      </c>
      <c r="S1332" s="3" t="s">
        <v>2276</v>
      </c>
      <c r="T1332" s="3" t="s">
        <v>2276</v>
      </c>
      <c r="U1332" s="3" t="s">
        <v>2276</v>
      </c>
      <c r="V1332" s="3" t="s">
        <v>2276</v>
      </c>
      <c r="W1332" s="3" t="s">
        <v>2276</v>
      </c>
      <c r="X1332" s="3" t="s">
        <v>2276</v>
      </c>
      <c r="Y1332" s="3" t="s">
        <v>2276</v>
      </c>
      <c r="Z1332" s="3" t="s">
        <v>2276</v>
      </c>
      <c r="AA1332" s="4" t="s">
        <v>4011</v>
      </c>
      <c r="AB1332" s="3"/>
    </row>
    <row r="1333" spans="1:28" ht="47" customHeight="1">
      <c r="A1333" s="6" t="str">
        <f>'Reported burning'!A1333</f>
        <v>157b</v>
      </c>
      <c r="B1333" s="6" t="str">
        <f>'Reported burning'!B1333</f>
        <v>157a.3</v>
      </c>
      <c r="C1333" s="6" t="str">
        <f>'Reported burning'!C1333</f>
        <v>Human, deliberate</v>
      </c>
      <c r="D1333" s="6" t="str">
        <f>'Reported burning'!D1333</f>
        <v>Pasture renewal</v>
      </c>
      <c r="E1333" s="6" t="str">
        <f>'Reported burning'!E1333</f>
        <v>Mixed cropping-livestock small holder, Subsistence-oriented</v>
      </c>
      <c r="F1333" s="6" t="str">
        <f>'Reported burning'!F1333</f>
        <v>Pasture</v>
      </c>
      <c r="G1333" s="6" t="str">
        <f>'Reported burning'!G1333</f>
        <v>ND</v>
      </c>
      <c r="H1333" s="6" t="str">
        <f>'Reported burning'!H1333</f>
        <v>Presence</v>
      </c>
      <c r="I1333" s="3"/>
      <c r="J1333" s="3" t="s">
        <v>2276</v>
      </c>
      <c r="K1333" s="3" t="s">
        <v>2276</v>
      </c>
      <c r="L1333" s="3" t="s">
        <v>2276</v>
      </c>
      <c r="M1333" s="3" t="s">
        <v>2276</v>
      </c>
      <c r="N1333" s="3" t="s">
        <v>2276</v>
      </c>
      <c r="O1333" s="3" t="s">
        <v>2276</v>
      </c>
      <c r="P1333" s="3" t="s">
        <v>2276</v>
      </c>
      <c r="Q1333" s="3" t="s">
        <v>2276</v>
      </c>
      <c r="R1333" s="3" t="s">
        <v>2276</v>
      </c>
      <c r="S1333" s="3" t="s">
        <v>2276</v>
      </c>
      <c r="T1333" s="3" t="s">
        <v>2276</v>
      </c>
      <c r="U1333" s="3" t="s">
        <v>2276</v>
      </c>
      <c r="V1333" s="3" t="s">
        <v>2276</v>
      </c>
      <c r="W1333" s="3" t="s">
        <v>2276</v>
      </c>
      <c r="X1333" s="3" t="s">
        <v>2276</v>
      </c>
      <c r="Y1333" s="3" t="s">
        <v>2276</v>
      </c>
      <c r="Z1333" s="3" t="s">
        <v>2276</v>
      </c>
      <c r="AA1333" s="4" t="s">
        <v>4010</v>
      </c>
      <c r="AB1333" s="3"/>
    </row>
    <row r="1334" spans="1:28" ht="47" customHeight="1">
      <c r="A1334" s="6" t="str">
        <f>'Reported burning'!A1334</f>
        <v>157b</v>
      </c>
      <c r="B1334" s="6" t="str">
        <f>'Reported burning'!B1334</f>
        <v>157a.4</v>
      </c>
      <c r="C1334" s="6" t="str">
        <f>'Reported burning'!C1334</f>
        <v>Human, deliberate</v>
      </c>
      <c r="D1334" s="6" t="str">
        <f>'Reported burning'!D1334</f>
        <v>Rangeland management</v>
      </c>
      <c r="E1334" s="6" t="str">
        <f>'Reported burning'!E1334</f>
        <v>Mixed cropping-livestock small holder, Subsistence-oriented</v>
      </c>
      <c r="F1334" s="6" t="str">
        <f>'Reported burning'!F1334</f>
        <v>Shrubland (Mixed forest &amp; grassland)</v>
      </c>
      <c r="G1334" s="6" t="str">
        <f>'Reported burning'!G1334</f>
        <v>ND</v>
      </c>
      <c r="H1334" s="6" t="str">
        <f>'Reported burning'!H1334</f>
        <v>Presence</v>
      </c>
      <c r="I1334" s="3"/>
      <c r="J1334" s="3" t="s">
        <v>2276</v>
      </c>
      <c r="K1334" s="3" t="s">
        <v>2276</v>
      </c>
      <c r="L1334" s="3" t="s">
        <v>2276</v>
      </c>
      <c r="M1334" s="3" t="s">
        <v>2276</v>
      </c>
      <c r="N1334" s="3" t="s">
        <v>2276</v>
      </c>
      <c r="O1334" s="3" t="s">
        <v>2276</v>
      </c>
      <c r="P1334" s="3" t="s">
        <v>2276</v>
      </c>
      <c r="Q1334" s="3" t="s">
        <v>2276</v>
      </c>
      <c r="R1334" s="3" t="s">
        <v>2276</v>
      </c>
      <c r="S1334" s="3" t="s">
        <v>2276</v>
      </c>
      <c r="T1334" s="3" t="s">
        <v>2276</v>
      </c>
      <c r="U1334" s="3" t="s">
        <v>2276</v>
      </c>
      <c r="V1334" s="3" t="s">
        <v>2276</v>
      </c>
      <c r="W1334" s="3" t="s">
        <v>2276</v>
      </c>
      <c r="X1334" s="3" t="s">
        <v>2276</v>
      </c>
      <c r="Y1334" s="3" t="s">
        <v>2276</v>
      </c>
      <c r="Z1334" s="3" t="s">
        <v>2276</v>
      </c>
      <c r="AA1334" s="4" t="s">
        <v>4011</v>
      </c>
      <c r="AB1334" s="3"/>
    </row>
    <row r="1335" spans="1:28" ht="47" customHeight="1">
      <c r="A1335" s="6" t="str">
        <f>'Reported burning'!A1335</f>
        <v>157b</v>
      </c>
      <c r="B1335" s="6" t="str">
        <f>'Reported burning'!B1335</f>
        <v>157b.1</v>
      </c>
      <c r="C1335" s="6" t="str">
        <f>'Reported burning'!C1335</f>
        <v>Human, deliberate</v>
      </c>
      <c r="D1335" s="6" t="str">
        <f>'Reported burning'!D1335</f>
        <v>Pasture renewal</v>
      </c>
      <c r="E1335" s="6" t="str">
        <f>'Reported burning'!E1335</f>
        <v>Pastoralism, Migratory</v>
      </c>
      <c r="F1335" s="6" t="str">
        <f>'Reported burning'!F1335</f>
        <v>Pasture</v>
      </c>
      <c r="G1335" s="6" t="str">
        <f>'Reported burning'!G1335</f>
        <v>ND</v>
      </c>
      <c r="H1335" s="6" t="str">
        <f>'Reported burning'!H1335</f>
        <v>Presence</v>
      </c>
      <c r="I1335" s="3"/>
      <c r="J1335" s="3" t="s">
        <v>2276</v>
      </c>
      <c r="K1335" s="3" t="s">
        <v>2276</v>
      </c>
      <c r="L1335" s="3" t="s">
        <v>2276</v>
      </c>
      <c r="M1335" s="3" t="s">
        <v>2276</v>
      </c>
      <c r="N1335" s="3" t="s">
        <v>2276</v>
      </c>
      <c r="O1335" s="3" t="s">
        <v>2276</v>
      </c>
      <c r="P1335" s="3" t="s">
        <v>2276</v>
      </c>
      <c r="Q1335" s="3" t="s">
        <v>2276</v>
      </c>
      <c r="R1335" s="3" t="s">
        <v>2276</v>
      </c>
      <c r="S1335" s="3" t="s">
        <v>2276</v>
      </c>
      <c r="T1335" s="3" t="s">
        <v>2276</v>
      </c>
      <c r="U1335" s="3" t="s">
        <v>2276</v>
      </c>
      <c r="V1335" s="3" t="s">
        <v>2276</v>
      </c>
      <c r="W1335" s="3" t="s">
        <v>2276</v>
      </c>
      <c r="X1335" s="3" t="s">
        <v>2276</v>
      </c>
      <c r="Y1335" s="3" t="s">
        <v>2276</v>
      </c>
      <c r="Z1335" s="3" t="s">
        <v>2276</v>
      </c>
      <c r="AA1335" s="4" t="s">
        <v>4012</v>
      </c>
      <c r="AB1335" s="3"/>
    </row>
    <row r="1336" spans="1:28" ht="47" customHeight="1">
      <c r="A1336" s="6" t="str">
        <f>'Reported burning'!A1336</f>
        <v>157b</v>
      </c>
      <c r="B1336" s="6" t="str">
        <f>'Reported burning'!B1336</f>
        <v>157b.2</v>
      </c>
      <c r="C1336" s="6" t="str">
        <f>'Reported burning'!C1336</f>
        <v>Human, deliberate</v>
      </c>
      <c r="D1336" s="6" t="str">
        <f>'Reported burning'!D1336</f>
        <v>Rangeland management</v>
      </c>
      <c r="E1336" s="6" t="str">
        <f>'Reported burning'!E1336</f>
        <v>Pastoralism, Migratory</v>
      </c>
      <c r="F1336" s="6" t="str">
        <f>'Reported burning'!F1336</f>
        <v>Shrubland (Mixed forest &amp; grassland)</v>
      </c>
      <c r="G1336" s="6" t="str">
        <f>'Reported burning'!G1336</f>
        <v>ND</v>
      </c>
      <c r="H1336" s="6" t="str">
        <f>'Reported burning'!H1336</f>
        <v>Presence</v>
      </c>
      <c r="I1336" s="3"/>
      <c r="J1336" s="3" t="s">
        <v>2276</v>
      </c>
      <c r="K1336" s="3" t="s">
        <v>2276</v>
      </c>
      <c r="L1336" s="3" t="s">
        <v>2276</v>
      </c>
      <c r="M1336" s="3" t="s">
        <v>2276</v>
      </c>
      <c r="N1336" s="3" t="s">
        <v>2276</v>
      </c>
      <c r="O1336" s="3" t="s">
        <v>2276</v>
      </c>
      <c r="P1336" s="3" t="s">
        <v>2276</v>
      </c>
      <c r="Q1336" s="3" t="s">
        <v>2276</v>
      </c>
      <c r="R1336" s="3" t="s">
        <v>2276</v>
      </c>
      <c r="S1336" s="3" t="s">
        <v>2276</v>
      </c>
      <c r="T1336" s="3" t="s">
        <v>2276</v>
      </c>
      <c r="U1336" s="3" t="s">
        <v>2276</v>
      </c>
      <c r="V1336" s="3" t="s">
        <v>2276</v>
      </c>
      <c r="W1336" s="3" t="s">
        <v>2276</v>
      </c>
      <c r="X1336" s="3" t="s">
        <v>2276</v>
      </c>
      <c r="Y1336" s="3" t="s">
        <v>2276</v>
      </c>
      <c r="Z1336" s="3" t="s">
        <v>2276</v>
      </c>
      <c r="AA1336" s="4" t="s">
        <v>4014</v>
      </c>
      <c r="AB1336" s="3"/>
    </row>
    <row r="1337" spans="1:28" ht="47" customHeight="1">
      <c r="A1337" s="6" t="str">
        <f>'Reported burning'!A1337</f>
        <v>157b</v>
      </c>
      <c r="B1337" s="6" t="str">
        <f>'Reported burning'!B1337</f>
        <v>157b.3</v>
      </c>
      <c r="C1337" s="6" t="str">
        <f>'Reported burning'!C1337</f>
        <v>Human, deliberate</v>
      </c>
      <c r="D1337" s="6" t="str">
        <f>'Reported burning'!D1337</f>
        <v>Pasture renewal</v>
      </c>
      <c r="E1337" s="6" t="str">
        <f>'Reported burning'!E1337</f>
        <v>Mixed cropping-livestock small holder, Subsistence-oriented</v>
      </c>
      <c r="F1337" s="6" t="str">
        <f>'Reported burning'!F1337</f>
        <v>Pasture</v>
      </c>
      <c r="G1337" s="6" t="str">
        <f>'Reported burning'!G1337</f>
        <v>ND</v>
      </c>
      <c r="H1337" s="6" t="str">
        <f>'Reported burning'!H1337</f>
        <v>Presence</v>
      </c>
      <c r="I1337" s="3"/>
      <c r="J1337" s="3" t="s">
        <v>2276</v>
      </c>
      <c r="K1337" s="3" t="s">
        <v>2276</v>
      </c>
      <c r="L1337" s="3" t="s">
        <v>2276</v>
      </c>
      <c r="M1337" s="3" t="s">
        <v>2276</v>
      </c>
      <c r="N1337" s="3" t="s">
        <v>2276</v>
      </c>
      <c r="O1337" s="3" t="s">
        <v>2276</v>
      </c>
      <c r="P1337" s="3" t="s">
        <v>2276</v>
      </c>
      <c r="Q1337" s="3" t="s">
        <v>2276</v>
      </c>
      <c r="R1337" s="3" t="s">
        <v>2276</v>
      </c>
      <c r="S1337" s="3" t="s">
        <v>2276</v>
      </c>
      <c r="T1337" s="3" t="s">
        <v>2276</v>
      </c>
      <c r="U1337" s="3" t="s">
        <v>2276</v>
      </c>
      <c r="V1337" s="3" t="s">
        <v>2276</v>
      </c>
      <c r="W1337" s="3" t="s">
        <v>2276</v>
      </c>
      <c r="X1337" s="3" t="s">
        <v>2276</v>
      </c>
      <c r="Y1337" s="3" t="s">
        <v>2276</v>
      </c>
      <c r="Z1337" s="3" t="s">
        <v>2276</v>
      </c>
      <c r="AA1337" s="4" t="s">
        <v>4012</v>
      </c>
      <c r="AB1337" s="3"/>
    </row>
    <row r="1338" spans="1:28" ht="47" customHeight="1">
      <c r="A1338" s="6" t="str">
        <f>'Reported burning'!A1338</f>
        <v>157b</v>
      </c>
      <c r="B1338" s="6" t="str">
        <f>'Reported burning'!B1338</f>
        <v>157b.4</v>
      </c>
      <c r="C1338" s="6" t="str">
        <f>'Reported burning'!C1338</f>
        <v>Human, deliberate</v>
      </c>
      <c r="D1338" s="6" t="str">
        <f>'Reported burning'!D1338</f>
        <v>Rangeland management</v>
      </c>
      <c r="E1338" s="6" t="str">
        <f>'Reported burning'!E1338</f>
        <v>Mixed cropping-livestock small holder, Subsistence-oriented</v>
      </c>
      <c r="F1338" s="6" t="str">
        <f>'Reported burning'!F1338</f>
        <v>Shrubland (Mixed forest &amp; grassland)</v>
      </c>
      <c r="G1338" s="6" t="str">
        <f>'Reported burning'!G1338</f>
        <v>ND</v>
      </c>
      <c r="H1338" s="6" t="str">
        <f>'Reported burning'!H1338</f>
        <v>Presence</v>
      </c>
      <c r="I1338" s="3"/>
      <c r="J1338" s="3" t="s">
        <v>2276</v>
      </c>
      <c r="K1338" s="3" t="s">
        <v>2276</v>
      </c>
      <c r="L1338" s="3" t="s">
        <v>2276</v>
      </c>
      <c r="M1338" s="3" t="s">
        <v>2276</v>
      </c>
      <c r="N1338" s="3" t="s">
        <v>2276</v>
      </c>
      <c r="O1338" s="3" t="s">
        <v>2276</v>
      </c>
      <c r="P1338" s="3" t="s">
        <v>2276</v>
      </c>
      <c r="Q1338" s="3" t="s">
        <v>2276</v>
      </c>
      <c r="R1338" s="3" t="s">
        <v>2276</v>
      </c>
      <c r="S1338" s="3" t="s">
        <v>2276</v>
      </c>
      <c r="T1338" s="3" t="s">
        <v>2276</v>
      </c>
      <c r="U1338" s="3" t="s">
        <v>2276</v>
      </c>
      <c r="V1338" s="3" t="s">
        <v>2276</v>
      </c>
      <c r="W1338" s="3" t="s">
        <v>2276</v>
      </c>
      <c r="X1338" s="3" t="s">
        <v>2276</v>
      </c>
      <c r="Y1338" s="3" t="s">
        <v>2276</v>
      </c>
      <c r="Z1338" s="3" t="s">
        <v>2276</v>
      </c>
      <c r="AA1338" s="4" t="s">
        <v>4014</v>
      </c>
      <c r="AB1338" s="3"/>
    </row>
    <row r="1339" spans="1:28" ht="47" customHeight="1">
      <c r="A1339" s="6" t="str">
        <f>'Reported burning'!A1339</f>
        <v>157c</v>
      </c>
      <c r="B1339" s="6" t="str">
        <f>'Reported burning'!B1339</f>
        <v>157c.1</v>
      </c>
      <c r="C1339" s="6" t="str">
        <f>'Reported burning'!C1339</f>
        <v>Human, deliberate</v>
      </c>
      <c r="D1339" s="6" t="str">
        <f>'Reported burning'!D1339</f>
        <v>Pasture renewal</v>
      </c>
      <c r="E1339" s="6" t="str">
        <f>'Reported burning'!E1339</f>
        <v>Pastoralism, Migratory</v>
      </c>
      <c r="F1339" s="6" t="str">
        <f>'Reported burning'!F1339</f>
        <v>Pasture</v>
      </c>
      <c r="G1339" s="6" t="str">
        <f>'Reported burning'!G1339</f>
        <v>ND</v>
      </c>
      <c r="H1339" s="6" t="str">
        <f>'Reported burning'!H1339</f>
        <v>Presence</v>
      </c>
      <c r="I1339" s="3"/>
      <c r="J1339" s="3" t="s">
        <v>2276</v>
      </c>
      <c r="K1339" s="3" t="s">
        <v>2276</v>
      </c>
      <c r="L1339" s="3" t="s">
        <v>2276</v>
      </c>
      <c r="M1339" s="3" t="s">
        <v>2276</v>
      </c>
      <c r="N1339" s="3" t="s">
        <v>2276</v>
      </c>
      <c r="O1339" s="3" t="s">
        <v>2276</v>
      </c>
      <c r="P1339" s="3" t="s">
        <v>2276</v>
      </c>
      <c r="Q1339" s="3" t="s">
        <v>2276</v>
      </c>
      <c r="R1339" s="3" t="s">
        <v>2276</v>
      </c>
      <c r="S1339" s="3" t="s">
        <v>2276</v>
      </c>
      <c r="T1339" s="3" t="s">
        <v>2276</v>
      </c>
      <c r="U1339" s="3" t="s">
        <v>2276</v>
      </c>
      <c r="V1339" s="3" t="s">
        <v>2276</v>
      </c>
      <c r="W1339" s="3" t="s">
        <v>2276</v>
      </c>
      <c r="X1339" s="3" t="s">
        <v>2276</v>
      </c>
      <c r="Y1339" s="3" t="s">
        <v>2276</v>
      </c>
      <c r="Z1339" s="3" t="s">
        <v>2276</v>
      </c>
      <c r="AA1339" s="4" t="s">
        <v>4013</v>
      </c>
      <c r="AB1339" s="3"/>
    </row>
    <row r="1340" spans="1:28" ht="47" customHeight="1">
      <c r="A1340" s="6" t="str">
        <f>'Reported burning'!A1340</f>
        <v>157c</v>
      </c>
      <c r="B1340" s="6" t="str">
        <f>'Reported burning'!B1340</f>
        <v>157c.2</v>
      </c>
      <c r="C1340" s="6" t="str">
        <f>'Reported burning'!C1340</f>
        <v>Human, deliberate</v>
      </c>
      <c r="D1340" s="6" t="str">
        <f>'Reported burning'!D1340</f>
        <v>Rangeland management</v>
      </c>
      <c r="E1340" s="6" t="str">
        <f>'Reported burning'!E1340</f>
        <v>Pastoralism, Migratory</v>
      </c>
      <c r="F1340" s="6" t="str">
        <f>'Reported burning'!F1340</f>
        <v>Shrubland (Mixed forest &amp; grassland)</v>
      </c>
      <c r="G1340" s="6" t="str">
        <f>'Reported burning'!G1340</f>
        <v>ND</v>
      </c>
      <c r="H1340" s="6" t="str">
        <f>'Reported burning'!H1340</f>
        <v>Presence</v>
      </c>
      <c r="I1340" s="3"/>
      <c r="J1340" s="3" t="s">
        <v>2276</v>
      </c>
      <c r="K1340" s="3" t="s">
        <v>2276</v>
      </c>
      <c r="L1340" s="3" t="s">
        <v>2276</v>
      </c>
      <c r="M1340" s="3" t="s">
        <v>2276</v>
      </c>
      <c r="N1340" s="3" t="s">
        <v>2276</v>
      </c>
      <c r="O1340" s="3" t="s">
        <v>2276</v>
      </c>
      <c r="P1340" s="3" t="s">
        <v>2276</v>
      </c>
      <c r="Q1340" s="3" t="s">
        <v>2276</v>
      </c>
      <c r="R1340" s="3" t="s">
        <v>2276</v>
      </c>
      <c r="S1340" s="3" t="s">
        <v>2276</v>
      </c>
      <c r="T1340" s="3" t="s">
        <v>2276</v>
      </c>
      <c r="U1340" s="3" t="s">
        <v>2276</v>
      </c>
      <c r="V1340" s="3" t="s">
        <v>2276</v>
      </c>
      <c r="W1340" s="3" t="s">
        <v>2276</v>
      </c>
      <c r="X1340" s="3" t="s">
        <v>2276</v>
      </c>
      <c r="Y1340" s="3" t="s">
        <v>2276</v>
      </c>
      <c r="Z1340" s="3" t="s">
        <v>2276</v>
      </c>
      <c r="AA1340" s="4" t="s">
        <v>4014</v>
      </c>
      <c r="AB1340" s="3"/>
    </row>
    <row r="1341" spans="1:28" ht="47" customHeight="1">
      <c r="A1341" s="6" t="str">
        <f>'Reported burning'!A1341</f>
        <v>157c</v>
      </c>
      <c r="B1341" s="6" t="str">
        <f>'Reported burning'!B1341</f>
        <v>157c.3</v>
      </c>
      <c r="C1341" s="6" t="str">
        <f>'Reported burning'!C1341</f>
        <v>Human, deliberate</v>
      </c>
      <c r="D1341" s="6" t="str">
        <f>'Reported burning'!D1341</f>
        <v>Pasture renewal</v>
      </c>
      <c r="E1341" s="6" t="str">
        <f>'Reported burning'!E1341</f>
        <v>Mixed cropping-livestock small holder, Subsistence-oriented</v>
      </c>
      <c r="F1341" s="6" t="str">
        <f>'Reported burning'!F1341</f>
        <v>Pasture</v>
      </c>
      <c r="G1341" s="6" t="str">
        <f>'Reported burning'!G1341</f>
        <v>ND</v>
      </c>
      <c r="H1341" s="6" t="str">
        <f>'Reported burning'!H1341</f>
        <v>Presence</v>
      </c>
      <c r="I1341" s="3"/>
      <c r="J1341" s="3" t="s">
        <v>2276</v>
      </c>
      <c r="K1341" s="3" t="s">
        <v>2276</v>
      </c>
      <c r="L1341" s="3" t="s">
        <v>2276</v>
      </c>
      <c r="M1341" s="3" t="s">
        <v>2276</v>
      </c>
      <c r="N1341" s="3" t="s">
        <v>2276</v>
      </c>
      <c r="O1341" s="3" t="s">
        <v>2276</v>
      </c>
      <c r="P1341" s="3" t="s">
        <v>2276</v>
      </c>
      <c r="Q1341" s="3" t="s">
        <v>2276</v>
      </c>
      <c r="R1341" s="3" t="s">
        <v>2276</v>
      </c>
      <c r="S1341" s="3" t="s">
        <v>2276</v>
      </c>
      <c r="T1341" s="3" t="s">
        <v>2276</v>
      </c>
      <c r="U1341" s="3" t="s">
        <v>2276</v>
      </c>
      <c r="V1341" s="3" t="s">
        <v>2276</v>
      </c>
      <c r="W1341" s="3" t="s">
        <v>2276</v>
      </c>
      <c r="X1341" s="3" t="s">
        <v>2276</v>
      </c>
      <c r="Y1341" s="3" t="s">
        <v>2276</v>
      </c>
      <c r="Z1341" s="3" t="s">
        <v>2276</v>
      </c>
      <c r="AA1341" s="4" t="s">
        <v>4013</v>
      </c>
      <c r="AB1341" s="3"/>
    </row>
    <row r="1342" spans="1:28" ht="47" customHeight="1">
      <c r="A1342" s="6" t="str">
        <f>'Reported burning'!A1342</f>
        <v>157c</v>
      </c>
      <c r="B1342" s="6" t="str">
        <f>'Reported burning'!B1342</f>
        <v>157c.4</v>
      </c>
      <c r="C1342" s="6" t="str">
        <f>'Reported burning'!C1342</f>
        <v>Human, deliberate</v>
      </c>
      <c r="D1342" s="6" t="str">
        <f>'Reported burning'!D1342</f>
        <v>Rangeland management</v>
      </c>
      <c r="E1342" s="6" t="str">
        <f>'Reported burning'!E1342</f>
        <v>Mixed cropping-livestock small holder, Subsistence-oriented</v>
      </c>
      <c r="F1342" s="6" t="str">
        <f>'Reported burning'!F1342</f>
        <v>Shrubland (Mixed forest &amp; grassland)</v>
      </c>
      <c r="G1342" s="6" t="str">
        <f>'Reported burning'!G1342</f>
        <v>ND</v>
      </c>
      <c r="H1342" s="6" t="str">
        <f>'Reported burning'!H1342</f>
        <v>Presence</v>
      </c>
      <c r="I1342" s="3"/>
      <c r="J1342" s="3" t="s">
        <v>2276</v>
      </c>
      <c r="K1342" s="3" t="s">
        <v>2276</v>
      </c>
      <c r="L1342" s="3" t="s">
        <v>2276</v>
      </c>
      <c r="M1342" s="3" t="s">
        <v>2276</v>
      </c>
      <c r="N1342" s="3" t="s">
        <v>2276</v>
      </c>
      <c r="O1342" s="3" t="s">
        <v>2276</v>
      </c>
      <c r="P1342" s="3" t="s">
        <v>2276</v>
      </c>
      <c r="Q1342" s="3" t="s">
        <v>2276</v>
      </c>
      <c r="R1342" s="3" t="s">
        <v>2276</v>
      </c>
      <c r="S1342" s="3" t="s">
        <v>2276</v>
      </c>
      <c r="T1342" s="3" t="s">
        <v>2276</v>
      </c>
      <c r="U1342" s="3" t="s">
        <v>2276</v>
      </c>
      <c r="V1342" s="3" t="s">
        <v>2276</v>
      </c>
      <c r="W1342" s="3" t="s">
        <v>2276</v>
      </c>
      <c r="X1342" s="3" t="s">
        <v>2276</v>
      </c>
      <c r="Y1342" s="3" t="s">
        <v>2276</v>
      </c>
      <c r="Z1342" s="3" t="s">
        <v>2276</v>
      </c>
      <c r="AA1342" s="4" t="s">
        <v>4014</v>
      </c>
      <c r="AB1342" s="3"/>
    </row>
    <row r="1343" spans="1:28" ht="33" customHeight="1">
      <c r="A1343" s="6" t="str">
        <f>'Reported burning'!A1343</f>
        <v>158a</v>
      </c>
      <c r="B1343" s="6" t="str">
        <f>'Reported burning'!B1343</f>
        <v>158a.1</v>
      </c>
      <c r="C1343" s="6" t="str">
        <f>'Reported burning'!C1343</f>
        <v>Human, deliberate</v>
      </c>
      <c r="D1343" s="6" t="str">
        <f>'Reported burning'!D1343</f>
        <v>Rangeland management</v>
      </c>
      <c r="E1343" s="6" t="str">
        <f>'Reported burning'!E1343</f>
        <v>Pastoralism, Migratory</v>
      </c>
      <c r="F1343" s="6" t="str">
        <f>'Reported burning'!F1343</f>
        <v>Shrubland (Mixed forest &amp; grassland)</v>
      </c>
      <c r="G1343" s="6" t="str">
        <f>'Reported burning'!G1343</f>
        <v>ND</v>
      </c>
      <c r="H1343" s="6" t="str">
        <f>'Reported burning'!H1343</f>
        <v>Presence</v>
      </c>
      <c r="I1343" s="3"/>
      <c r="J1343" s="3" t="s">
        <v>2276</v>
      </c>
      <c r="K1343" s="3" t="s">
        <v>2276</v>
      </c>
      <c r="L1343" s="3" t="s">
        <v>2276</v>
      </c>
      <c r="M1343" s="3" t="s">
        <v>2276</v>
      </c>
      <c r="N1343" s="3" t="s">
        <v>2276</v>
      </c>
      <c r="O1343" s="3" t="s">
        <v>2276</v>
      </c>
      <c r="P1343" s="3" t="s">
        <v>2276</v>
      </c>
      <c r="Q1343" s="3" t="s">
        <v>2276</v>
      </c>
      <c r="R1343" s="3" t="s">
        <v>2276</v>
      </c>
      <c r="S1343" s="3" t="s">
        <v>2276</v>
      </c>
      <c r="T1343" s="3" t="s">
        <v>2276</v>
      </c>
      <c r="U1343" s="3" t="s">
        <v>2276</v>
      </c>
      <c r="V1343" s="3" t="s">
        <v>2276</v>
      </c>
      <c r="W1343" s="3" t="s">
        <v>2276</v>
      </c>
      <c r="X1343" s="3" t="s">
        <v>35</v>
      </c>
      <c r="Y1343" s="3" t="s">
        <v>38</v>
      </c>
      <c r="Z1343" s="3" t="s">
        <v>2276</v>
      </c>
      <c r="AA1343" s="3"/>
      <c r="AB1343" s="3"/>
    </row>
    <row r="1344" spans="1:28" ht="33" customHeight="1">
      <c r="A1344" s="6" t="str">
        <f>'Reported burning'!A1344</f>
        <v>158a</v>
      </c>
      <c r="B1344" s="6" t="str">
        <f>'Reported burning'!B1344</f>
        <v>158a.2</v>
      </c>
      <c r="C1344" s="6" t="str">
        <f>'Reported burning'!C1344</f>
        <v>Human, deliberate</v>
      </c>
      <c r="D1344" s="6" t="str">
        <f>'Reported burning'!D1344</f>
        <v>Pasture renewal</v>
      </c>
      <c r="E1344" s="6" t="str">
        <f>'Reported burning'!E1344</f>
        <v>Pastoralism, Migratory</v>
      </c>
      <c r="F1344" s="6" t="str">
        <f>'Reported burning'!F1344</f>
        <v>Pasture</v>
      </c>
      <c r="G1344" s="6" t="str">
        <f>'Reported burning'!G1344</f>
        <v>ND</v>
      </c>
      <c r="H1344" s="6" t="str">
        <f>'Reported burning'!H1344</f>
        <v>Presence</v>
      </c>
      <c r="I1344" s="3"/>
      <c r="J1344" s="3" t="s">
        <v>2276</v>
      </c>
      <c r="K1344" s="3" t="s">
        <v>2276</v>
      </c>
      <c r="L1344" s="3" t="s">
        <v>2276</v>
      </c>
      <c r="M1344" s="3" t="s">
        <v>2276</v>
      </c>
      <c r="N1344" s="3" t="s">
        <v>2276</v>
      </c>
      <c r="O1344" s="3" t="s">
        <v>2276</v>
      </c>
      <c r="P1344" s="3" t="s">
        <v>2276</v>
      </c>
      <c r="Q1344" s="3" t="s">
        <v>2276</v>
      </c>
      <c r="R1344" s="3" t="s">
        <v>2276</v>
      </c>
      <c r="S1344" s="3" t="s">
        <v>2276</v>
      </c>
      <c r="T1344" s="3" t="s">
        <v>2276</v>
      </c>
      <c r="U1344" s="3" t="s">
        <v>2276</v>
      </c>
      <c r="V1344" s="3" t="s">
        <v>2276</v>
      </c>
      <c r="W1344" s="3" t="s">
        <v>2276</v>
      </c>
      <c r="X1344" s="3" t="s">
        <v>35</v>
      </c>
      <c r="Y1344" s="3" t="s">
        <v>38</v>
      </c>
      <c r="Z1344" s="3" t="s">
        <v>2276</v>
      </c>
      <c r="AA1344" s="3"/>
      <c r="AB1344" s="3"/>
    </row>
    <row r="1345" spans="1:28" ht="33" customHeight="1">
      <c r="A1345" s="6" t="str">
        <f>'Reported burning'!A1345</f>
        <v>158a</v>
      </c>
      <c r="B1345" s="6" t="str">
        <f>'Reported burning'!B1345</f>
        <v>158a.3</v>
      </c>
      <c r="C1345" s="6" t="str">
        <f>'Reported burning'!C1345</f>
        <v>Human, escaped</v>
      </c>
      <c r="D1345" s="6" t="str">
        <f>'Reported burning'!D1345</f>
        <v>ND</v>
      </c>
      <c r="E1345" s="6" t="str">
        <f>'Reported burning'!E1345</f>
        <v>Pastoralism, Migratory</v>
      </c>
      <c r="F1345" s="6" t="str">
        <f>'Reported burning'!F1345</f>
        <v>ND</v>
      </c>
      <c r="G1345" s="6" t="str">
        <f>'Reported burning'!G1345</f>
        <v>Forest</v>
      </c>
      <c r="H1345" s="6" t="str">
        <f>'Reported burning'!H1345</f>
        <v>Presence</v>
      </c>
      <c r="I1345" s="3"/>
      <c r="J1345" s="3" t="s">
        <v>2276</v>
      </c>
      <c r="K1345" s="3" t="s">
        <v>2276</v>
      </c>
      <c r="L1345" s="3" t="s">
        <v>2276</v>
      </c>
      <c r="M1345" s="3" t="s">
        <v>2276</v>
      </c>
      <c r="N1345" s="3" t="s">
        <v>2276</v>
      </c>
      <c r="O1345" s="3" t="s">
        <v>2276</v>
      </c>
      <c r="P1345" s="3" t="s">
        <v>2276</v>
      </c>
      <c r="Q1345" s="3" t="s">
        <v>2276</v>
      </c>
      <c r="R1345" s="3" t="s">
        <v>2276</v>
      </c>
      <c r="S1345" s="3" t="s">
        <v>2276</v>
      </c>
      <c r="T1345" s="3" t="s">
        <v>2276</v>
      </c>
      <c r="U1345" s="3" t="s">
        <v>2276</v>
      </c>
      <c r="V1345" s="3" t="s">
        <v>2276</v>
      </c>
      <c r="W1345" s="3" t="s">
        <v>2276</v>
      </c>
      <c r="X1345" s="3" t="s">
        <v>35</v>
      </c>
      <c r="Y1345" s="3" t="s">
        <v>38</v>
      </c>
      <c r="Z1345" s="3" t="s">
        <v>2276</v>
      </c>
      <c r="AA1345" s="3"/>
      <c r="AB1345" s="3"/>
    </row>
    <row r="1346" spans="1:28" ht="33" customHeight="1">
      <c r="A1346" s="6" t="str">
        <f>'Reported burning'!A1346</f>
        <v>158a</v>
      </c>
      <c r="B1346" s="6" t="str">
        <f>'Reported burning'!B1346</f>
        <v>158a.4</v>
      </c>
      <c r="C1346" s="6" t="str">
        <f>'Reported burning'!C1346</f>
        <v>Human, deliberate</v>
      </c>
      <c r="D1346" s="6" t="str">
        <f>'Reported burning'!D1346</f>
        <v>Rangeland management</v>
      </c>
      <c r="E1346" s="6" t="str">
        <f>'Reported burning'!E1346</f>
        <v>Cattle, Extensive</v>
      </c>
      <c r="F1346" s="6" t="str">
        <f>'Reported burning'!F1346</f>
        <v>Shrubland (Mixed forest &amp; grassland)</v>
      </c>
      <c r="G1346" s="6" t="str">
        <f>'Reported burning'!G1346</f>
        <v>ND</v>
      </c>
      <c r="H1346" s="6" t="str">
        <f>'Reported burning'!H1346</f>
        <v>Presence</v>
      </c>
      <c r="I1346" s="3"/>
      <c r="J1346" s="3" t="s">
        <v>2276</v>
      </c>
      <c r="K1346" s="3" t="s">
        <v>2276</v>
      </c>
      <c r="L1346" s="3" t="s">
        <v>2276</v>
      </c>
      <c r="M1346" s="3" t="s">
        <v>2276</v>
      </c>
      <c r="N1346" s="3" t="s">
        <v>2276</v>
      </c>
      <c r="O1346" s="3" t="s">
        <v>2276</v>
      </c>
      <c r="P1346" s="3" t="s">
        <v>2276</v>
      </c>
      <c r="Q1346" s="3" t="s">
        <v>2276</v>
      </c>
      <c r="R1346" s="3" t="s">
        <v>2276</v>
      </c>
      <c r="S1346" s="3" t="s">
        <v>2276</v>
      </c>
      <c r="T1346" s="3" t="s">
        <v>2276</v>
      </c>
      <c r="U1346" s="3" t="s">
        <v>2276</v>
      </c>
      <c r="V1346" s="3" t="s">
        <v>2276</v>
      </c>
      <c r="W1346" s="3" t="s">
        <v>2276</v>
      </c>
      <c r="X1346" s="3" t="s">
        <v>2276</v>
      </c>
      <c r="Y1346" s="3" t="s">
        <v>2276</v>
      </c>
      <c r="Z1346" s="3" t="s">
        <v>2276</v>
      </c>
      <c r="AA1346" s="3"/>
      <c r="AB1346" s="3"/>
    </row>
    <row r="1347" spans="1:28" ht="33" customHeight="1">
      <c r="A1347" s="6" t="str">
        <f>'Reported burning'!A1347</f>
        <v>158a</v>
      </c>
      <c r="B1347" s="6" t="str">
        <f>'Reported burning'!B1347</f>
        <v>158a.5</v>
      </c>
      <c r="C1347" s="6" t="str">
        <f>'Reported burning'!C1347</f>
        <v>Human, deliberate</v>
      </c>
      <c r="D1347" s="6" t="str">
        <f>'Reported burning'!D1347</f>
        <v>Pasture renewal</v>
      </c>
      <c r="E1347" s="6" t="str">
        <f>'Reported burning'!E1347</f>
        <v>Cattle, Extensive</v>
      </c>
      <c r="F1347" s="6" t="str">
        <f>'Reported burning'!F1347</f>
        <v>Pasture</v>
      </c>
      <c r="G1347" s="6" t="str">
        <f>'Reported burning'!G1347</f>
        <v>ND</v>
      </c>
      <c r="H1347" s="6" t="str">
        <f>'Reported burning'!H1347</f>
        <v>Presence</v>
      </c>
      <c r="I1347" s="3"/>
      <c r="J1347" s="3" t="s">
        <v>2276</v>
      </c>
      <c r="K1347" s="3" t="s">
        <v>2276</v>
      </c>
      <c r="L1347" s="3" t="s">
        <v>2276</v>
      </c>
      <c r="M1347" s="3" t="s">
        <v>2276</v>
      </c>
      <c r="N1347" s="3" t="s">
        <v>2276</v>
      </c>
      <c r="O1347" s="3" t="s">
        <v>2276</v>
      </c>
      <c r="P1347" s="3" t="s">
        <v>2276</v>
      </c>
      <c r="Q1347" s="3" t="s">
        <v>2276</v>
      </c>
      <c r="R1347" s="3" t="s">
        <v>2276</v>
      </c>
      <c r="S1347" s="3" t="s">
        <v>2276</v>
      </c>
      <c r="T1347" s="3" t="s">
        <v>2276</v>
      </c>
      <c r="U1347" s="3" t="s">
        <v>2276</v>
      </c>
      <c r="V1347" s="3" t="s">
        <v>2276</v>
      </c>
      <c r="W1347" s="3" t="s">
        <v>2276</v>
      </c>
      <c r="X1347" s="3" t="s">
        <v>2276</v>
      </c>
      <c r="Y1347" s="3" t="s">
        <v>2276</v>
      </c>
      <c r="Z1347" s="3" t="s">
        <v>2276</v>
      </c>
      <c r="AA1347" s="3"/>
      <c r="AB1347" s="3"/>
    </row>
    <row r="1348" spans="1:28" ht="33" customHeight="1">
      <c r="A1348" s="6" t="str">
        <f>'Reported burning'!A1348</f>
        <v>158a</v>
      </c>
      <c r="B1348" s="6" t="str">
        <f>'Reported burning'!B1348</f>
        <v>158a.6</v>
      </c>
      <c r="C1348" s="6" t="str">
        <f>'Reported burning'!C1348</f>
        <v>Human, deliberate</v>
      </c>
      <c r="D1348" s="6" t="str">
        <f>'Reported burning'!D1348</f>
        <v>ND</v>
      </c>
      <c r="E1348" s="6" t="str">
        <f>'Reported burning'!E1348</f>
        <v>Cattle, Extensive</v>
      </c>
      <c r="F1348" s="6" t="str">
        <f>'Reported burning'!F1348</f>
        <v>Forest</v>
      </c>
      <c r="G1348" s="6" t="str">
        <f>'Reported burning'!G1348</f>
        <v>Forest</v>
      </c>
      <c r="H1348" s="6" t="str">
        <f>'Reported burning'!H1348</f>
        <v>Presence</v>
      </c>
      <c r="I1348" s="3"/>
      <c r="J1348" s="3" t="s">
        <v>2276</v>
      </c>
      <c r="K1348" s="3" t="s">
        <v>2276</v>
      </c>
      <c r="L1348" s="3" t="s">
        <v>2276</v>
      </c>
      <c r="M1348" s="3" t="s">
        <v>2276</v>
      </c>
      <c r="N1348" s="3" t="s">
        <v>2276</v>
      </c>
      <c r="O1348" s="3" t="s">
        <v>2276</v>
      </c>
      <c r="P1348" s="3" t="s">
        <v>2276</v>
      </c>
      <c r="Q1348" s="3" t="s">
        <v>2276</v>
      </c>
      <c r="R1348" s="3" t="s">
        <v>2276</v>
      </c>
      <c r="S1348" s="3" t="s">
        <v>2276</v>
      </c>
      <c r="T1348" s="3" t="s">
        <v>2276</v>
      </c>
      <c r="U1348" s="3" t="s">
        <v>2276</v>
      </c>
      <c r="V1348" s="3" t="s">
        <v>2276</v>
      </c>
      <c r="W1348" s="3" t="s">
        <v>2276</v>
      </c>
      <c r="X1348" s="3" t="s">
        <v>2276</v>
      </c>
      <c r="Y1348" s="3" t="s">
        <v>2276</v>
      </c>
      <c r="Z1348" s="3" t="s">
        <v>2276</v>
      </c>
      <c r="AA1348" s="3"/>
      <c r="AB1348" s="3"/>
    </row>
    <row r="1349" spans="1:28" ht="33" customHeight="1">
      <c r="A1349" s="6" t="str">
        <f>'Reported burning'!A1349</f>
        <v>158a</v>
      </c>
      <c r="B1349" s="6" t="str">
        <f>'Reported burning'!B1349</f>
        <v>158a.7</v>
      </c>
      <c r="C1349" s="6" t="str">
        <f>'Reported burning'!C1349</f>
        <v>Human, deliberate</v>
      </c>
      <c r="D1349" s="6" t="str">
        <f>'Reported burning'!D1349</f>
        <v>Forest clearance</v>
      </c>
      <c r="E1349" s="6" t="str">
        <f>'Reported burning'!E1349</f>
        <v>Cropping, Monoculture, Subsistence-oriented</v>
      </c>
      <c r="F1349" s="6" t="str">
        <f>'Reported burning'!F1349</f>
        <v>Forest</v>
      </c>
      <c r="G1349" s="6" t="str">
        <f>'Reported burning'!G1349</f>
        <v>Forest</v>
      </c>
      <c r="H1349" s="6" t="str">
        <f>'Reported burning'!H1349</f>
        <v>Presence</v>
      </c>
      <c r="I1349" s="3"/>
      <c r="J1349" s="3" t="s">
        <v>2276</v>
      </c>
      <c r="K1349" s="3" t="s">
        <v>2276</v>
      </c>
      <c r="L1349" s="3" t="s">
        <v>2276</v>
      </c>
      <c r="M1349" s="3" t="s">
        <v>2276</v>
      </c>
      <c r="N1349" s="3" t="s">
        <v>2276</v>
      </c>
      <c r="O1349" s="3" t="s">
        <v>2276</v>
      </c>
      <c r="P1349" s="3" t="s">
        <v>2276</v>
      </c>
      <c r="Q1349" s="3" t="s">
        <v>2276</v>
      </c>
      <c r="R1349" s="3" t="s">
        <v>2276</v>
      </c>
      <c r="S1349" s="3" t="s">
        <v>2276</v>
      </c>
      <c r="T1349" s="3" t="s">
        <v>2276</v>
      </c>
      <c r="U1349" s="3" t="s">
        <v>2276</v>
      </c>
      <c r="V1349" s="3" t="s">
        <v>2276</v>
      </c>
      <c r="W1349" s="3" t="s">
        <v>2276</v>
      </c>
      <c r="X1349" s="3" t="s">
        <v>2276</v>
      </c>
      <c r="Y1349" s="3" t="s">
        <v>2276</v>
      </c>
      <c r="Z1349" s="3" t="s">
        <v>2276</v>
      </c>
      <c r="AA1349" s="3"/>
      <c r="AB1349" s="3"/>
    </row>
    <row r="1350" spans="1:28" ht="61" customHeight="1">
      <c r="A1350" s="6" t="str">
        <f>'Reported burning'!A1350</f>
        <v>159a</v>
      </c>
      <c r="B1350" s="6" t="str">
        <f>'Reported burning'!B1350</f>
        <v>159a.1</v>
      </c>
      <c r="C1350" s="6" t="str">
        <f>'Reported burning'!C1350</f>
        <v>Human, deliberate</v>
      </c>
      <c r="D1350" s="6" t="str">
        <f>'Reported burning'!D1350</f>
        <v>Rangeland management</v>
      </c>
      <c r="E1350" s="6" t="str">
        <f>'Reported burning'!E1350</f>
        <v>Pastoralism, Migratory</v>
      </c>
      <c r="F1350" s="6" t="str">
        <f>'Reported burning'!F1350</f>
        <v>Grassland</v>
      </c>
      <c r="G1350" s="6" t="str">
        <f>'Reported burning'!G1350</f>
        <v>ND</v>
      </c>
      <c r="H1350" s="6" t="str">
        <f>'Reported burning'!H1350</f>
        <v>Absence</v>
      </c>
      <c r="I1350" s="3"/>
      <c r="J1350" s="3" t="s">
        <v>2364</v>
      </c>
      <c r="K1350" s="3" t="s">
        <v>2364</v>
      </c>
      <c r="L1350" s="3" t="s">
        <v>2364</v>
      </c>
      <c r="M1350" s="3" t="s">
        <v>2364</v>
      </c>
      <c r="N1350" s="3" t="s">
        <v>2364</v>
      </c>
      <c r="O1350" s="3" t="s">
        <v>2364</v>
      </c>
      <c r="P1350" s="3" t="s">
        <v>2364</v>
      </c>
      <c r="Q1350" s="3" t="s">
        <v>2364</v>
      </c>
      <c r="R1350" s="3" t="s">
        <v>2364</v>
      </c>
      <c r="S1350" s="3" t="s">
        <v>2364</v>
      </c>
      <c r="T1350" s="3" t="s">
        <v>2364</v>
      </c>
      <c r="U1350" s="3" t="s">
        <v>2364</v>
      </c>
      <c r="V1350" s="3" t="s">
        <v>2364</v>
      </c>
      <c r="W1350" s="3" t="s">
        <v>2364</v>
      </c>
      <c r="X1350" s="3" t="s">
        <v>2276</v>
      </c>
      <c r="Y1350" s="3" t="s">
        <v>2276</v>
      </c>
      <c r="Z1350" s="3" t="s">
        <v>2276</v>
      </c>
      <c r="AA1350" s="4" t="s">
        <v>4047</v>
      </c>
      <c r="AB1350" s="3"/>
    </row>
    <row r="1351" spans="1:28" ht="61" customHeight="1">
      <c r="A1351" s="6" t="str">
        <f>'Reported burning'!A1351</f>
        <v>159b</v>
      </c>
      <c r="B1351" s="6" t="str">
        <f>'Reported burning'!B1351</f>
        <v>159b.1</v>
      </c>
      <c r="C1351" s="6" t="str">
        <f>'Reported burning'!C1351</f>
        <v>Human, deliberate</v>
      </c>
      <c r="D1351" s="6" t="str">
        <f>'Reported burning'!D1351</f>
        <v>Rangeland management</v>
      </c>
      <c r="E1351" s="6" t="str">
        <f>'Reported burning'!E1351</f>
        <v>Pastoralism, Migratory</v>
      </c>
      <c r="F1351" s="6" t="str">
        <f>'Reported burning'!F1351</f>
        <v>Grassland</v>
      </c>
      <c r="G1351" s="6" t="str">
        <f>'Reported burning'!G1351</f>
        <v>ND</v>
      </c>
      <c r="H1351" s="6" t="str">
        <f>'Reported burning'!H1351</f>
        <v>Absence</v>
      </c>
      <c r="I1351" s="3"/>
      <c r="J1351" s="3" t="s">
        <v>2364</v>
      </c>
      <c r="K1351" s="3" t="s">
        <v>2364</v>
      </c>
      <c r="L1351" s="3" t="s">
        <v>2364</v>
      </c>
      <c r="M1351" s="3" t="s">
        <v>2364</v>
      </c>
      <c r="N1351" s="3" t="s">
        <v>2364</v>
      </c>
      <c r="O1351" s="3" t="s">
        <v>2364</v>
      </c>
      <c r="P1351" s="3" t="s">
        <v>2364</v>
      </c>
      <c r="Q1351" s="3" t="s">
        <v>2364</v>
      </c>
      <c r="R1351" s="3" t="s">
        <v>2364</v>
      </c>
      <c r="S1351" s="3" t="s">
        <v>2364</v>
      </c>
      <c r="T1351" s="3" t="s">
        <v>2364</v>
      </c>
      <c r="U1351" s="3" t="s">
        <v>2364</v>
      </c>
      <c r="V1351" s="3" t="s">
        <v>2364</v>
      </c>
      <c r="W1351" s="3" t="s">
        <v>2364</v>
      </c>
      <c r="X1351" s="3" t="s">
        <v>2276</v>
      </c>
      <c r="Y1351" s="3" t="s">
        <v>2276</v>
      </c>
      <c r="Z1351" s="3" t="s">
        <v>2276</v>
      </c>
      <c r="AA1351" s="4" t="s">
        <v>4047</v>
      </c>
      <c r="AB1351" s="3"/>
    </row>
    <row r="1352" spans="1:28" ht="61" customHeight="1">
      <c r="A1352" s="6" t="str">
        <f>'Reported burning'!A1352</f>
        <v>159c</v>
      </c>
      <c r="B1352" s="6" t="str">
        <f>'Reported burning'!B1352</f>
        <v>159c.1</v>
      </c>
      <c r="C1352" s="6" t="str">
        <f>'Reported burning'!C1352</f>
        <v>Human, deliberate</v>
      </c>
      <c r="D1352" s="6" t="str">
        <f>'Reported burning'!D1352</f>
        <v>Rangeland management</v>
      </c>
      <c r="E1352" s="6" t="str">
        <f>'Reported burning'!E1352</f>
        <v>Pastoralism, Migratory</v>
      </c>
      <c r="F1352" s="6" t="str">
        <f>'Reported burning'!F1352</f>
        <v>Grassland</v>
      </c>
      <c r="G1352" s="6" t="str">
        <f>'Reported burning'!G1352</f>
        <v>ND</v>
      </c>
      <c r="H1352" s="6" t="str">
        <f>'Reported burning'!H1352</f>
        <v>Absence</v>
      </c>
      <c r="I1352" s="3"/>
      <c r="J1352" s="3" t="s">
        <v>2364</v>
      </c>
      <c r="K1352" s="3" t="s">
        <v>2364</v>
      </c>
      <c r="L1352" s="3" t="s">
        <v>2364</v>
      </c>
      <c r="M1352" s="3" t="s">
        <v>2364</v>
      </c>
      <c r="N1352" s="3" t="s">
        <v>2364</v>
      </c>
      <c r="O1352" s="3" t="s">
        <v>2364</v>
      </c>
      <c r="P1352" s="3" t="s">
        <v>2364</v>
      </c>
      <c r="Q1352" s="3" t="s">
        <v>2364</v>
      </c>
      <c r="R1352" s="3" t="s">
        <v>2364</v>
      </c>
      <c r="S1352" s="3" t="s">
        <v>2364</v>
      </c>
      <c r="T1352" s="3" t="s">
        <v>2364</v>
      </c>
      <c r="U1352" s="3" t="s">
        <v>2364</v>
      </c>
      <c r="V1352" s="3" t="s">
        <v>2364</v>
      </c>
      <c r="W1352" s="3" t="s">
        <v>2364</v>
      </c>
      <c r="X1352" s="3" t="s">
        <v>2276</v>
      </c>
      <c r="Y1352" s="3" t="s">
        <v>2276</v>
      </c>
      <c r="Z1352" s="3" t="s">
        <v>2276</v>
      </c>
      <c r="AA1352" s="4" t="s">
        <v>4047</v>
      </c>
      <c r="AB1352" s="3"/>
    </row>
    <row r="1353" spans="1:28" ht="61" customHeight="1">
      <c r="A1353" s="6" t="str">
        <f>'Reported burning'!A1353</f>
        <v>159d</v>
      </c>
      <c r="B1353" s="6" t="str">
        <f>'Reported burning'!B1353</f>
        <v>159d.1</v>
      </c>
      <c r="C1353" s="6" t="str">
        <f>'Reported burning'!C1353</f>
        <v>Human, deliberate</v>
      </c>
      <c r="D1353" s="6" t="str">
        <f>'Reported burning'!D1353</f>
        <v>Rangeland management</v>
      </c>
      <c r="E1353" s="6" t="str">
        <f>'Reported burning'!E1353</f>
        <v>Pastoralism, Migratory</v>
      </c>
      <c r="F1353" s="6" t="str">
        <f>'Reported burning'!F1353</f>
        <v>Grassland</v>
      </c>
      <c r="G1353" s="6" t="str">
        <f>'Reported burning'!G1353</f>
        <v>ND</v>
      </c>
      <c r="H1353" s="6" t="str">
        <f>'Reported burning'!H1353</f>
        <v>Absence</v>
      </c>
      <c r="I1353" s="3"/>
      <c r="J1353" s="3" t="s">
        <v>2364</v>
      </c>
      <c r="K1353" s="3" t="s">
        <v>2364</v>
      </c>
      <c r="L1353" s="3" t="s">
        <v>2364</v>
      </c>
      <c r="M1353" s="3" t="s">
        <v>2364</v>
      </c>
      <c r="N1353" s="3" t="s">
        <v>2364</v>
      </c>
      <c r="O1353" s="3" t="s">
        <v>2364</v>
      </c>
      <c r="P1353" s="3" t="s">
        <v>2364</v>
      </c>
      <c r="Q1353" s="3" t="s">
        <v>2364</v>
      </c>
      <c r="R1353" s="3" t="s">
        <v>2364</v>
      </c>
      <c r="S1353" s="3" t="s">
        <v>2364</v>
      </c>
      <c r="T1353" s="3" t="s">
        <v>2364</v>
      </c>
      <c r="U1353" s="3" t="s">
        <v>2364</v>
      </c>
      <c r="V1353" s="3" t="s">
        <v>2364</v>
      </c>
      <c r="W1353" s="3" t="s">
        <v>2364</v>
      </c>
      <c r="X1353" s="3" t="s">
        <v>2276</v>
      </c>
      <c r="Y1353" s="3" t="s">
        <v>2276</v>
      </c>
      <c r="Z1353" s="3" t="s">
        <v>2276</v>
      </c>
      <c r="AA1353" s="4" t="s">
        <v>4047</v>
      </c>
      <c r="AB1353" s="3"/>
    </row>
    <row r="1354" spans="1:28" ht="61" customHeight="1">
      <c r="A1354" s="6" t="str">
        <f>'Reported burning'!A1354</f>
        <v>159a</v>
      </c>
      <c r="B1354" s="6" t="str">
        <f>'Reported burning'!B1354</f>
        <v>159a.2</v>
      </c>
      <c r="C1354" s="6" t="str">
        <f>'Reported burning'!C1354</f>
        <v>Human, deliberate</v>
      </c>
      <c r="D1354" s="6" t="str">
        <f>'Reported burning'!D1354</f>
        <v>Rangeland management</v>
      </c>
      <c r="E1354" s="6" t="str">
        <f>'Reported burning'!E1354</f>
        <v>Pastoralism, Migratory</v>
      </c>
      <c r="F1354" s="6" t="str">
        <f>'Reported burning'!F1354</f>
        <v>Shrubland (Mixed forest &amp; grassland)</v>
      </c>
      <c r="G1354" s="6" t="str">
        <f>'Reported burning'!G1354</f>
        <v>ND</v>
      </c>
      <c r="H1354" s="6" t="str">
        <f>'Reported burning'!H1354</f>
        <v>Absence</v>
      </c>
      <c r="I1354" s="3"/>
      <c r="J1354" s="3" t="s">
        <v>2364</v>
      </c>
      <c r="K1354" s="3" t="s">
        <v>2364</v>
      </c>
      <c r="L1354" s="3" t="s">
        <v>2364</v>
      </c>
      <c r="M1354" s="3" t="s">
        <v>2364</v>
      </c>
      <c r="N1354" s="3" t="s">
        <v>2364</v>
      </c>
      <c r="O1354" s="3" t="s">
        <v>2364</v>
      </c>
      <c r="P1354" s="3" t="s">
        <v>2364</v>
      </c>
      <c r="Q1354" s="3" t="s">
        <v>2364</v>
      </c>
      <c r="R1354" s="3" t="s">
        <v>2364</v>
      </c>
      <c r="S1354" s="3" t="s">
        <v>2364</v>
      </c>
      <c r="T1354" s="3" t="s">
        <v>2364</v>
      </c>
      <c r="U1354" s="3" t="s">
        <v>2364</v>
      </c>
      <c r="V1354" s="3" t="s">
        <v>2364</v>
      </c>
      <c r="W1354" s="3" t="s">
        <v>2364</v>
      </c>
      <c r="X1354" s="3" t="s">
        <v>2276</v>
      </c>
      <c r="Y1354" s="3" t="s">
        <v>2276</v>
      </c>
      <c r="Z1354" s="3" t="s">
        <v>2276</v>
      </c>
      <c r="AA1354" s="4" t="s">
        <v>4047</v>
      </c>
      <c r="AB1354" s="3"/>
    </row>
    <row r="1355" spans="1:28" ht="61" customHeight="1">
      <c r="A1355" s="6" t="str">
        <f>'Reported burning'!A1355</f>
        <v>159b</v>
      </c>
      <c r="B1355" s="6" t="str">
        <f>'Reported burning'!B1355</f>
        <v>159b.2</v>
      </c>
      <c r="C1355" s="6" t="str">
        <f>'Reported burning'!C1355</f>
        <v>Human, deliberate</v>
      </c>
      <c r="D1355" s="6" t="str">
        <f>'Reported burning'!D1355</f>
        <v>Rangeland management</v>
      </c>
      <c r="E1355" s="6" t="str">
        <f>'Reported burning'!E1355</f>
        <v>Pastoralism, Migratory</v>
      </c>
      <c r="F1355" s="6" t="str">
        <f>'Reported burning'!F1355</f>
        <v>Shrubland (Mixed forest &amp; grassland)</v>
      </c>
      <c r="G1355" s="6" t="str">
        <f>'Reported burning'!G1355</f>
        <v>ND</v>
      </c>
      <c r="H1355" s="6" t="str">
        <f>'Reported burning'!H1355</f>
        <v>Absence</v>
      </c>
      <c r="I1355" s="3"/>
      <c r="J1355" s="3" t="s">
        <v>2364</v>
      </c>
      <c r="K1355" s="3" t="s">
        <v>2364</v>
      </c>
      <c r="L1355" s="3" t="s">
        <v>2364</v>
      </c>
      <c r="M1355" s="3" t="s">
        <v>2364</v>
      </c>
      <c r="N1355" s="3" t="s">
        <v>2364</v>
      </c>
      <c r="O1355" s="3" t="s">
        <v>2364</v>
      </c>
      <c r="P1355" s="3" t="s">
        <v>2364</v>
      </c>
      <c r="Q1355" s="3" t="s">
        <v>2364</v>
      </c>
      <c r="R1355" s="3" t="s">
        <v>2364</v>
      </c>
      <c r="S1355" s="3" t="s">
        <v>2364</v>
      </c>
      <c r="T1355" s="3" t="s">
        <v>2364</v>
      </c>
      <c r="U1355" s="3" t="s">
        <v>2364</v>
      </c>
      <c r="V1355" s="3" t="s">
        <v>2364</v>
      </c>
      <c r="W1355" s="3" t="s">
        <v>2364</v>
      </c>
      <c r="X1355" s="3" t="s">
        <v>2276</v>
      </c>
      <c r="Y1355" s="3" t="s">
        <v>2276</v>
      </c>
      <c r="Z1355" s="3" t="s">
        <v>2276</v>
      </c>
      <c r="AA1355" s="4" t="s">
        <v>4047</v>
      </c>
      <c r="AB1355" s="3"/>
    </row>
    <row r="1356" spans="1:28" ht="61" customHeight="1">
      <c r="A1356" s="6" t="str">
        <f>'Reported burning'!A1356</f>
        <v>159c</v>
      </c>
      <c r="B1356" s="6" t="str">
        <f>'Reported burning'!B1356</f>
        <v>159c.2</v>
      </c>
      <c r="C1356" s="6" t="str">
        <f>'Reported burning'!C1356</f>
        <v>Human, deliberate</v>
      </c>
      <c r="D1356" s="6" t="str">
        <f>'Reported burning'!D1356</f>
        <v>Rangeland management</v>
      </c>
      <c r="E1356" s="6" t="str">
        <f>'Reported burning'!E1356</f>
        <v>Pastoralism, Migratory</v>
      </c>
      <c r="F1356" s="6" t="str">
        <f>'Reported burning'!F1356</f>
        <v>Shrubland (Mixed forest &amp; grassland)</v>
      </c>
      <c r="G1356" s="6" t="str">
        <f>'Reported burning'!G1356</f>
        <v>ND</v>
      </c>
      <c r="H1356" s="6" t="str">
        <f>'Reported burning'!H1356</f>
        <v>Absence</v>
      </c>
      <c r="I1356" s="3"/>
      <c r="J1356" s="3" t="s">
        <v>2364</v>
      </c>
      <c r="K1356" s="3" t="s">
        <v>2364</v>
      </c>
      <c r="L1356" s="3" t="s">
        <v>2364</v>
      </c>
      <c r="M1356" s="3" t="s">
        <v>2364</v>
      </c>
      <c r="N1356" s="3" t="s">
        <v>2364</v>
      </c>
      <c r="O1356" s="3" t="s">
        <v>2364</v>
      </c>
      <c r="P1356" s="3" t="s">
        <v>2364</v>
      </c>
      <c r="Q1356" s="3" t="s">
        <v>2364</v>
      </c>
      <c r="R1356" s="3" t="s">
        <v>2364</v>
      </c>
      <c r="S1356" s="3" t="s">
        <v>2364</v>
      </c>
      <c r="T1356" s="3" t="s">
        <v>2364</v>
      </c>
      <c r="U1356" s="3" t="s">
        <v>2364</v>
      </c>
      <c r="V1356" s="3" t="s">
        <v>2364</v>
      </c>
      <c r="W1356" s="3" t="s">
        <v>2364</v>
      </c>
      <c r="X1356" s="3" t="s">
        <v>2276</v>
      </c>
      <c r="Y1356" s="3" t="s">
        <v>2276</v>
      </c>
      <c r="Z1356" s="3" t="s">
        <v>2276</v>
      </c>
      <c r="AA1356" s="4" t="s">
        <v>4047</v>
      </c>
      <c r="AB1356" s="3"/>
    </row>
    <row r="1357" spans="1:28" ht="61" customHeight="1">
      <c r="A1357" s="6" t="str">
        <f>'Reported burning'!A1357</f>
        <v>159d</v>
      </c>
      <c r="B1357" s="6" t="str">
        <f>'Reported burning'!B1357</f>
        <v>159d.2</v>
      </c>
      <c r="C1357" s="6" t="str">
        <f>'Reported burning'!C1357</f>
        <v>Human, deliberate</v>
      </c>
      <c r="D1357" s="6" t="str">
        <f>'Reported burning'!D1357</f>
        <v>Rangeland management</v>
      </c>
      <c r="E1357" s="6" t="str">
        <f>'Reported burning'!E1357</f>
        <v>Pastoralism, Migratory</v>
      </c>
      <c r="F1357" s="6" t="str">
        <f>'Reported burning'!F1357</f>
        <v>Shrubland (Mixed forest &amp; grassland)</v>
      </c>
      <c r="G1357" s="6" t="str">
        <f>'Reported burning'!G1357</f>
        <v>ND</v>
      </c>
      <c r="H1357" s="6" t="str">
        <f>'Reported burning'!H1357</f>
        <v>Absence</v>
      </c>
      <c r="I1357" s="3"/>
      <c r="J1357" s="3" t="s">
        <v>2364</v>
      </c>
      <c r="K1357" s="3" t="s">
        <v>2364</v>
      </c>
      <c r="L1357" s="3" t="s">
        <v>2364</v>
      </c>
      <c r="M1357" s="3" t="s">
        <v>2364</v>
      </c>
      <c r="N1357" s="3" t="s">
        <v>2364</v>
      </c>
      <c r="O1357" s="3" t="s">
        <v>2364</v>
      </c>
      <c r="P1357" s="3" t="s">
        <v>2364</v>
      </c>
      <c r="Q1357" s="3" t="s">
        <v>2364</v>
      </c>
      <c r="R1357" s="3" t="s">
        <v>2364</v>
      </c>
      <c r="S1357" s="3" t="s">
        <v>2364</v>
      </c>
      <c r="T1357" s="3" t="s">
        <v>2364</v>
      </c>
      <c r="U1357" s="3" t="s">
        <v>2364</v>
      </c>
      <c r="V1357" s="3" t="s">
        <v>2364</v>
      </c>
      <c r="W1357" s="3" t="s">
        <v>2364</v>
      </c>
      <c r="X1357" s="3" t="s">
        <v>2276</v>
      </c>
      <c r="Y1357" s="3" t="s">
        <v>2276</v>
      </c>
      <c r="Z1357" s="3" t="s">
        <v>2276</v>
      </c>
      <c r="AA1357" s="4" t="s">
        <v>4047</v>
      </c>
      <c r="AB1357" s="3"/>
    </row>
    <row r="1358" spans="1:28" ht="41" customHeight="1">
      <c r="A1358" s="6" t="str">
        <f>'Reported burning'!A1358</f>
        <v>160a</v>
      </c>
      <c r="B1358" s="6" t="str">
        <f>'Reported burning'!B1358</f>
        <v>160a.1</v>
      </c>
      <c r="C1358" s="6" t="str">
        <f>'Reported burning'!C1358</f>
        <v>Unknown</v>
      </c>
      <c r="D1358" s="6" t="str">
        <f>'Reported burning'!D1358</f>
        <v>ND</v>
      </c>
      <c r="E1358" s="6" t="str">
        <f>'Reported burning'!E1358</f>
        <v>ND</v>
      </c>
      <c r="F1358" s="6" t="str">
        <f>'Reported burning'!F1358</f>
        <v>ND</v>
      </c>
      <c r="G1358" s="6" t="str">
        <f>'Reported burning'!G1358</f>
        <v>Forest</v>
      </c>
      <c r="H1358" s="6" t="str">
        <f>'Reported burning'!H1358</f>
        <v>Presence</v>
      </c>
      <c r="I1358" s="3">
        <v>2007</v>
      </c>
      <c r="J1358" s="3" t="s">
        <v>2276</v>
      </c>
      <c r="K1358" s="3" t="s">
        <v>2276</v>
      </c>
      <c r="L1358" s="3" t="s">
        <v>2276</v>
      </c>
      <c r="M1358" s="3" t="s">
        <v>2276</v>
      </c>
      <c r="N1358" s="3" t="s">
        <v>2276</v>
      </c>
      <c r="O1358" s="3" t="s">
        <v>2276</v>
      </c>
      <c r="P1358" s="3" t="s">
        <v>2276</v>
      </c>
      <c r="Q1358" s="3" t="s">
        <v>2276</v>
      </c>
      <c r="R1358" s="3" t="s">
        <v>2276</v>
      </c>
      <c r="S1358" s="3" t="s">
        <v>2276</v>
      </c>
      <c r="T1358" s="3" t="s">
        <v>2276</v>
      </c>
      <c r="U1358" s="3" t="s">
        <v>2276</v>
      </c>
      <c r="V1358" s="3" t="s">
        <v>2276</v>
      </c>
      <c r="W1358" s="3" t="s">
        <v>2276</v>
      </c>
      <c r="X1358" s="3" t="s">
        <v>2276</v>
      </c>
      <c r="Y1358" s="3" t="s">
        <v>2276</v>
      </c>
      <c r="Z1358" s="3" t="s">
        <v>2276</v>
      </c>
      <c r="AA1358" s="4" t="s">
        <v>4071</v>
      </c>
      <c r="AB1358" s="3"/>
    </row>
    <row r="1359" spans="1:28" ht="41" customHeight="1">
      <c r="A1359" s="152" t="str">
        <f>'Reported burning'!A1359</f>
        <v>160f</v>
      </c>
      <c r="B1359" s="152" t="str">
        <f>'Reported burning'!B1359</f>
        <v>160f.1</v>
      </c>
      <c r="C1359" s="152" t="str">
        <f>'Reported burning'!C1359</f>
        <v>Unknown</v>
      </c>
      <c r="D1359" s="152" t="str">
        <f>'Reported burning'!D1359</f>
        <v>ND</v>
      </c>
      <c r="E1359" s="152" t="str">
        <f>'Reported burning'!E1359</f>
        <v>ND</v>
      </c>
      <c r="F1359" s="152" t="str">
        <f>'Reported burning'!F1359</f>
        <v>ND</v>
      </c>
      <c r="G1359" s="152" t="str">
        <f>'Reported burning'!G1359</f>
        <v>Forest</v>
      </c>
      <c r="H1359" s="152" t="str">
        <f>'Reported burning'!H1359</f>
        <v>Presence</v>
      </c>
      <c r="I1359" s="3">
        <v>2007</v>
      </c>
      <c r="J1359" s="3" t="s">
        <v>2276</v>
      </c>
      <c r="K1359" s="3" t="s">
        <v>2276</v>
      </c>
      <c r="L1359" s="3" t="s">
        <v>2276</v>
      </c>
      <c r="M1359" s="3" t="s">
        <v>2276</v>
      </c>
      <c r="N1359" s="3" t="s">
        <v>2276</v>
      </c>
      <c r="O1359" s="3" t="s">
        <v>2276</v>
      </c>
      <c r="P1359" s="3" t="s">
        <v>2276</v>
      </c>
      <c r="Q1359" s="3" t="s">
        <v>2276</v>
      </c>
      <c r="R1359" s="3" t="s">
        <v>2276</v>
      </c>
      <c r="S1359" s="3" t="s">
        <v>2276</v>
      </c>
      <c r="T1359" s="3" t="s">
        <v>2276</v>
      </c>
      <c r="U1359" s="3" t="s">
        <v>2276</v>
      </c>
      <c r="V1359" s="3" t="s">
        <v>2276</v>
      </c>
      <c r="W1359" s="3" t="s">
        <v>2276</v>
      </c>
      <c r="X1359" s="3" t="s">
        <v>2276</v>
      </c>
      <c r="Y1359" s="3" t="s">
        <v>2276</v>
      </c>
      <c r="Z1359" s="3" t="s">
        <v>2276</v>
      </c>
      <c r="AA1359" s="4" t="s">
        <v>4071</v>
      </c>
      <c r="AB1359" s="3"/>
    </row>
    <row r="1360" spans="1:28" ht="41" customHeight="1">
      <c r="A1360" s="152" t="str">
        <f>'Reported burning'!A1360</f>
        <v>160a</v>
      </c>
      <c r="B1360" s="152" t="str">
        <f>'Reported burning'!B1360</f>
        <v>160a.2</v>
      </c>
      <c r="C1360" s="152" t="str">
        <f>'Reported burning'!C1360</f>
        <v>Unknown</v>
      </c>
      <c r="D1360" s="152" t="str">
        <f>'Reported burning'!D1360</f>
        <v>ND</v>
      </c>
      <c r="E1360" s="152" t="str">
        <f>'Reported burning'!E1360</f>
        <v>ND</v>
      </c>
      <c r="F1360" s="152" t="str">
        <f>'Reported burning'!F1360</f>
        <v>ND</v>
      </c>
      <c r="G1360" s="152" t="str">
        <f>'Reported burning'!G1360</f>
        <v>Cropland</v>
      </c>
      <c r="H1360" s="152" t="str">
        <f>'Reported burning'!H1360</f>
        <v>Presence</v>
      </c>
      <c r="I1360" s="3">
        <v>2007</v>
      </c>
      <c r="J1360" s="3" t="s">
        <v>2276</v>
      </c>
      <c r="K1360" s="3" t="s">
        <v>2276</v>
      </c>
      <c r="L1360" s="3" t="s">
        <v>2276</v>
      </c>
      <c r="M1360" s="3" t="s">
        <v>2276</v>
      </c>
      <c r="N1360" s="3" t="s">
        <v>2276</v>
      </c>
      <c r="O1360" s="3" t="s">
        <v>2276</v>
      </c>
      <c r="P1360" s="3" t="s">
        <v>2276</v>
      </c>
      <c r="Q1360" s="3" t="s">
        <v>2276</v>
      </c>
      <c r="R1360" s="3" t="s">
        <v>2276</v>
      </c>
      <c r="S1360" s="3" t="s">
        <v>2276</v>
      </c>
      <c r="T1360" s="3" t="s">
        <v>2276</v>
      </c>
      <c r="U1360" s="3" t="s">
        <v>2276</v>
      </c>
      <c r="V1360" s="3" t="s">
        <v>2276</v>
      </c>
      <c r="W1360" s="3" t="s">
        <v>2276</v>
      </c>
      <c r="X1360" s="3" t="s">
        <v>2276</v>
      </c>
      <c r="Y1360" s="3" t="s">
        <v>2276</v>
      </c>
      <c r="Z1360" s="3" t="s">
        <v>2276</v>
      </c>
      <c r="AA1360" s="4" t="s">
        <v>4071</v>
      </c>
      <c r="AB1360" s="3"/>
    </row>
    <row r="1361" spans="1:28" ht="41" customHeight="1">
      <c r="A1361" s="152" t="str">
        <f>'Reported burning'!A1361</f>
        <v>160f</v>
      </c>
      <c r="B1361" s="152" t="str">
        <f>'Reported burning'!B1361</f>
        <v>160f.2</v>
      </c>
      <c r="C1361" s="152" t="str">
        <f>'Reported burning'!C1361</f>
        <v>Unknown</v>
      </c>
      <c r="D1361" s="152" t="str">
        <f>'Reported burning'!D1361</f>
        <v>ND</v>
      </c>
      <c r="E1361" s="152" t="str">
        <f>'Reported burning'!E1361</f>
        <v>ND</v>
      </c>
      <c r="F1361" s="152" t="str">
        <f>'Reported burning'!F1361</f>
        <v>ND</v>
      </c>
      <c r="G1361" s="152" t="str">
        <f>'Reported burning'!G1361</f>
        <v>Cropland</v>
      </c>
      <c r="H1361" s="152" t="str">
        <f>'Reported burning'!H1361</f>
        <v>Presence</v>
      </c>
      <c r="I1361" s="3">
        <v>2007</v>
      </c>
      <c r="J1361" s="3" t="s">
        <v>2276</v>
      </c>
      <c r="K1361" s="3" t="s">
        <v>2276</v>
      </c>
      <c r="L1361" s="3" t="s">
        <v>2276</v>
      </c>
      <c r="M1361" s="3" t="s">
        <v>2276</v>
      </c>
      <c r="N1361" s="3" t="s">
        <v>2276</v>
      </c>
      <c r="O1361" s="3" t="s">
        <v>2276</v>
      </c>
      <c r="P1361" s="3" t="s">
        <v>2276</v>
      </c>
      <c r="Q1361" s="3" t="s">
        <v>2276</v>
      </c>
      <c r="R1361" s="3" t="s">
        <v>2276</v>
      </c>
      <c r="S1361" s="3" t="s">
        <v>2276</v>
      </c>
      <c r="T1361" s="3" t="s">
        <v>2276</v>
      </c>
      <c r="U1361" s="3" t="s">
        <v>2276</v>
      </c>
      <c r="V1361" s="3" t="s">
        <v>2276</v>
      </c>
      <c r="W1361" s="3" t="s">
        <v>2276</v>
      </c>
      <c r="X1361" s="3" t="s">
        <v>2276</v>
      </c>
      <c r="Y1361" s="3" t="s">
        <v>2276</v>
      </c>
      <c r="Z1361" s="3" t="s">
        <v>2276</v>
      </c>
      <c r="AA1361" s="4" t="s">
        <v>4071</v>
      </c>
      <c r="AB1361" s="3"/>
    </row>
    <row r="1362" spans="1:28" ht="41" customHeight="1">
      <c r="A1362" s="152" t="str">
        <f>'Reported burning'!A1362</f>
        <v>160a</v>
      </c>
      <c r="B1362" s="152" t="str">
        <f>'Reported burning'!B1362</f>
        <v>160a.3</v>
      </c>
      <c r="C1362" s="152" t="str">
        <f>'Reported burning'!C1362</f>
        <v>Unknown</v>
      </c>
      <c r="D1362" s="152" t="str">
        <f>'Reported burning'!D1362</f>
        <v>ND</v>
      </c>
      <c r="E1362" s="152" t="str">
        <f>'Reported burning'!E1362</f>
        <v>ND</v>
      </c>
      <c r="F1362" s="152" t="str">
        <f>'Reported burning'!F1362</f>
        <v>ND</v>
      </c>
      <c r="G1362" s="152" t="str">
        <f>'Reported burning'!G1362</f>
        <v>Shrubland (Mixed forest &amp; grassland)</v>
      </c>
      <c r="H1362" s="152" t="str">
        <f>'Reported burning'!H1362</f>
        <v>Presence</v>
      </c>
      <c r="I1362" s="3">
        <v>2007</v>
      </c>
      <c r="J1362" s="3" t="s">
        <v>2276</v>
      </c>
      <c r="K1362" s="3" t="s">
        <v>2276</v>
      </c>
      <c r="L1362" s="3" t="s">
        <v>2276</v>
      </c>
      <c r="M1362" s="3" t="s">
        <v>2276</v>
      </c>
      <c r="N1362" s="3" t="s">
        <v>2276</v>
      </c>
      <c r="O1362" s="3" t="s">
        <v>2276</v>
      </c>
      <c r="P1362" s="3" t="s">
        <v>2276</v>
      </c>
      <c r="Q1362" s="3" t="s">
        <v>2276</v>
      </c>
      <c r="R1362" s="3" t="s">
        <v>2276</v>
      </c>
      <c r="S1362" s="3" t="s">
        <v>2276</v>
      </c>
      <c r="T1362" s="3" t="s">
        <v>2276</v>
      </c>
      <c r="U1362" s="3" t="s">
        <v>2276</v>
      </c>
      <c r="V1362" s="3" t="s">
        <v>2276</v>
      </c>
      <c r="W1362" s="3" t="s">
        <v>2276</v>
      </c>
      <c r="X1362" s="3" t="s">
        <v>2276</v>
      </c>
      <c r="Y1362" s="3" t="s">
        <v>2276</v>
      </c>
      <c r="Z1362" s="3" t="s">
        <v>2276</v>
      </c>
      <c r="AA1362" s="4" t="s">
        <v>4071</v>
      </c>
      <c r="AB1362" s="3"/>
    </row>
    <row r="1363" spans="1:28" ht="41" customHeight="1">
      <c r="A1363" s="152" t="str">
        <f>'Reported burning'!A1363</f>
        <v>160f</v>
      </c>
      <c r="B1363" s="152" t="str">
        <f>'Reported burning'!B1363</f>
        <v>160f.3</v>
      </c>
      <c r="C1363" s="152" t="str">
        <f>'Reported burning'!C1363</f>
        <v>Unknown</v>
      </c>
      <c r="D1363" s="152" t="str">
        <f>'Reported burning'!D1363</f>
        <v>ND</v>
      </c>
      <c r="E1363" s="152" t="str">
        <f>'Reported burning'!E1363</f>
        <v>ND</v>
      </c>
      <c r="F1363" s="152" t="str">
        <f>'Reported burning'!F1363</f>
        <v>ND</v>
      </c>
      <c r="G1363" s="152" t="str">
        <f>'Reported burning'!G1363</f>
        <v>Shrubland (Mixed forest &amp; grassland)</v>
      </c>
      <c r="H1363" s="152" t="str">
        <f>'Reported burning'!H1363</f>
        <v>Presence</v>
      </c>
      <c r="I1363" s="3">
        <v>2007</v>
      </c>
      <c r="J1363" s="3" t="s">
        <v>2276</v>
      </c>
      <c r="K1363" s="3" t="s">
        <v>2276</v>
      </c>
      <c r="L1363" s="3" t="s">
        <v>2276</v>
      </c>
      <c r="M1363" s="3" t="s">
        <v>2276</v>
      </c>
      <c r="N1363" s="3" t="s">
        <v>2276</v>
      </c>
      <c r="O1363" s="3" t="s">
        <v>2276</v>
      </c>
      <c r="P1363" s="3" t="s">
        <v>2276</v>
      </c>
      <c r="Q1363" s="3" t="s">
        <v>2276</v>
      </c>
      <c r="R1363" s="3" t="s">
        <v>2276</v>
      </c>
      <c r="S1363" s="3" t="s">
        <v>2276</v>
      </c>
      <c r="T1363" s="3" t="s">
        <v>2276</v>
      </c>
      <c r="U1363" s="3" t="s">
        <v>2276</v>
      </c>
      <c r="V1363" s="3" t="s">
        <v>2276</v>
      </c>
      <c r="W1363" s="3" t="s">
        <v>2276</v>
      </c>
      <c r="X1363" s="3" t="s">
        <v>2276</v>
      </c>
      <c r="Y1363" s="3" t="s">
        <v>2276</v>
      </c>
      <c r="Z1363" s="3" t="s">
        <v>2276</v>
      </c>
      <c r="AA1363" s="4" t="s">
        <v>4071</v>
      </c>
      <c r="AB1363" s="3"/>
    </row>
    <row r="1364" spans="1:28" ht="29" customHeight="1">
      <c r="A1364" s="152" t="str">
        <f>'Reported burning'!A1364</f>
        <v>161a</v>
      </c>
      <c r="B1364" s="152" t="str">
        <f>'Reported burning'!B1364</f>
        <v>161a.1</v>
      </c>
      <c r="C1364" s="152" t="str">
        <f>'Reported burning'!C1364</f>
        <v>Human, deliberate</v>
      </c>
      <c r="D1364" s="152" t="str">
        <f>'Reported burning'!D1364</f>
        <v>Rangeland management</v>
      </c>
      <c r="E1364" s="152" t="str">
        <f>'Reported burning'!E1364</f>
        <v>Pastoralism, Migratory</v>
      </c>
      <c r="F1364" s="152" t="str">
        <f>'Reported burning'!F1364</f>
        <v>Grassland</v>
      </c>
      <c r="G1364" s="152" t="str">
        <f>'Reported burning'!G1364</f>
        <v>ND</v>
      </c>
      <c r="H1364" s="152" t="str">
        <f>'Reported burning'!H1364</f>
        <v>Absence</v>
      </c>
      <c r="I1364" s="3"/>
      <c r="J1364" s="3" t="s">
        <v>2364</v>
      </c>
      <c r="K1364" s="3" t="s">
        <v>2364</v>
      </c>
      <c r="L1364" s="3" t="s">
        <v>2364</v>
      </c>
      <c r="M1364" s="3" t="s">
        <v>2364</v>
      </c>
      <c r="N1364" s="3" t="s">
        <v>2364</v>
      </c>
      <c r="O1364" s="3" t="s">
        <v>2364</v>
      </c>
      <c r="P1364" s="3" t="s">
        <v>2364</v>
      </c>
      <c r="Q1364" s="3" t="s">
        <v>2364</v>
      </c>
      <c r="R1364" s="3" t="s">
        <v>2364</v>
      </c>
      <c r="S1364" s="3" t="s">
        <v>2364</v>
      </c>
      <c r="T1364" s="3" t="s">
        <v>2364</v>
      </c>
      <c r="U1364" s="3" t="s">
        <v>2364</v>
      </c>
      <c r="V1364" s="3" t="s">
        <v>2364</v>
      </c>
      <c r="W1364" s="3" t="s">
        <v>2276</v>
      </c>
      <c r="X1364" s="3" t="s">
        <v>2276</v>
      </c>
      <c r="Y1364" s="3" t="s">
        <v>2276</v>
      </c>
      <c r="Z1364" s="3" t="s">
        <v>2276</v>
      </c>
      <c r="AA1364" s="3"/>
      <c r="AB1364" s="3"/>
    </row>
    <row r="1365" spans="1:28" ht="29" customHeight="1">
      <c r="A1365" s="152" t="str">
        <f>'Reported burning'!A1365</f>
        <v>161a</v>
      </c>
      <c r="B1365" s="152" t="str">
        <f>'Reported burning'!B1365</f>
        <v>161a.2</v>
      </c>
      <c r="C1365" s="152" t="str">
        <f>'Reported burning'!C1365</f>
        <v>Human, deliberate</v>
      </c>
      <c r="D1365" s="152" t="str">
        <f>'Reported burning'!D1365</f>
        <v>Rangeland management</v>
      </c>
      <c r="E1365" s="152" t="str">
        <f>'Reported burning'!E1365</f>
        <v>Pastoralism, Migratory</v>
      </c>
      <c r="F1365" s="152" t="str">
        <f>'Reported burning'!F1365</f>
        <v>Forest</v>
      </c>
      <c r="G1365" s="152" t="str">
        <f>'Reported burning'!G1365</f>
        <v>ND</v>
      </c>
      <c r="H1365" s="152" t="str">
        <f>'Reported burning'!H1365</f>
        <v>Absence</v>
      </c>
      <c r="I1365" s="3"/>
      <c r="J1365" s="3" t="s">
        <v>2364</v>
      </c>
      <c r="K1365" s="3" t="s">
        <v>2364</v>
      </c>
      <c r="L1365" s="3" t="s">
        <v>2364</v>
      </c>
      <c r="M1365" s="3" t="s">
        <v>2364</v>
      </c>
      <c r="N1365" s="3" t="s">
        <v>2364</v>
      </c>
      <c r="O1365" s="3" t="s">
        <v>2364</v>
      </c>
      <c r="P1365" s="3" t="s">
        <v>2364</v>
      </c>
      <c r="Q1365" s="3" t="s">
        <v>2364</v>
      </c>
      <c r="R1365" s="3" t="s">
        <v>2364</v>
      </c>
      <c r="S1365" s="3" t="s">
        <v>2364</v>
      </c>
      <c r="T1365" s="3" t="s">
        <v>2364</v>
      </c>
      <c r="U1365" s="3" t="s">
        <v>2364</v>
      </c>
      <c r="V1365" s="3" t="s">
        <v>2364</v>
      </c>
      <c r="W1365" s="3" t="s">
        <v>2276</v>
      </c>
      <c r="X1365" s="3" t="s">
        <v>2276</v>
      </c>
      <c r="Y1365" s="3" t="s">
        <v>2276</v>
      </c>
      <c r="Z1365" s="3" t="s">
        <v>2276</v>
      </c>
      <c r="AA1365" s="3"/>
      <c r="AB1365" s="3"/>
    </row>
    <row r="1366" spans="1:28" ht="29" customHeight="1">
      <c r="A1366" s="152" t="str">
        <f>'Reported burning'!A1366</f>
        <v>161a</v>
      </c>
      <c r="B1366" s="152" t="str">
        <f>'Reported burning'!B1366</f>
        <v>161a.3</v>
      </c>
      <c r="C1366" s="152" t="str">
        <f>'Reported burning'!C1366</f>
        <v>Human, deliberate</v>
      </c>
      <c r="D1366" s="152" t="str">
        <f>'Reported burning'!D1366</f>
        <v>Rangeland management</v>
      </c>
      <c r="E1366" s="152" t="str">
        <f>'Reported burning'!E1366</f>
        <v>Pastoralism, Migratory</v>
      </c>
      <c r="F1366" s="152" t="str">
        <f>'Reported burning'!F1366</f>
        <v>Shrubland (Mixed forest &amp; grassland)</v>
      </c>
      <c r="G1366" s="152" t="str">
        <f>'Reported burning'!G1366</f>
        <v>ND</v>
      </c>
      <c r="H1366" s="152" t="str">
        <f>'Reported burning'!H1366</f>
        <v>Absence</v>
      </c>
      <c r="I1366" s="3"/>
      <c r="J1366" s="3" t="s">
        <v>2364</v>
      </c>
      <c r="K1366" s="3" t="s">
        <v>2364</v>
      </c>
      <c r="L1366" s="3" t="s">
        <v>2364</v>
      </c>
      <c r="M1366" s="3" t="s">
        <v>2364</v>
      </c>
      <c r="N1366" s="3" t="s">
        <v>2364</v>
      </c>
      <c r="O1366" s="3" t="s">
        <v>2364</v>
      </c>
      <c r="P1366" s="3" t="s">
        <v>2364</v>
      </c>
      <c r="Q1366" s="3" t="s">
        <v>2364</v>
      </c>
      <c r="R1366" s="3" t="s">
        <v>2364</v>
      </c>
      <c r="S1366" s="3" t="s">
        <v>2364</v>
      </c>
      <c r="T1366" s="3" t="s">
        <v>2364</v>
      </c>
      <c r="U1366" s="3" t="s">
        <v>2364</v>
      </c>
      <c r="V1366" s="3" t="s">
        <v>2364</v>
      </c>
      <c r="W1366" s="3" t="s">
        <v>2276</v>
      </c>
      <c r="X1366" s="3" t="s">
        <v>2276</v>
      </c>
      <c r="Y1366" s="3" t="s">
        <v>2276</v>
      </c>
      <c r="Z1366" s="3" t="s">
        <v>2276</v>
      </c>
      <c r="AA1366" s="3"/>
      <c r="AB1366" s="3"/>
    </row>
    <row r="1367" spans="1:28" ht="29" customHeight="1">
      <c r="A1367" s="152" t="str">
        <f>'Reported burning'!A1367</f>
        <v>161a</v>
      </c>
      <c r="B1367" s="152" t="str">
        <f>'Reported burning'!B1367</f>
        <v>161a.4</v>
      </c>
      <c r="C1367" s="152" t="str">
        <f>'Reported burning'!C1367</f>
        <v>Human, accidental</v>
      </c>
      <c r="D1367" s="152" t="str">
        <f>'Reported burning'!D1367</f>
        <v>ND</v>
      </c>
      <c r="E1367" s="152" t="str">
        <f>'Reported burning'!E1367</f>
        <v>ND</v>
      </c>
      <c r="F1367" s="152" t="str">
        <f>'Reported burning'!F1367</f>
        <v>ND</v>
      </c>
      <c r="G1367" s="152" t="str">
        <f>'Reported burning'!G1367</f>
        <v>Forest</v>
      </c>
      <c r="H1367" s="152" t="str">
        <f>'Reported burning'!H1367</f>
        <v>Presence</v>
      </c>
      <c r="I1367" s="3"/>
      <c r="J1367" s="3" t="s">
        <v>2364</v>
      </c>
      <c r="K1367" s="3" t="s">
        <v>2364</v>
      </c>
      <c r="L1367" s="3" t="s">
        <v>2364</v>
      </c>
      <c r="M1367" s="3" t="s">
        <v>2364</v>
      </c>
      <c r="N1367" s="3" t="s">
        <v>2364</v>
      </c>
      <c r="O1367" s="3" t="s">
        <v>2364</v>
      </c>
      <c r="P1367" s="3" t="s">
        <v>2364</v>
      </c>
      <c r="Q1367" s="3" t="s">
        <v>2364</v>
      </c>
      <c r="R1367" s="3" t="s">
        <v>2364</v>
      </c>
      <c r="S1367" s="3" t="s">
        <v>2364</v>
      </c>
      <c r="T1367" s="3" t="s">
        <v>2364</v>
      </c>
      <c r="U1367" s="3" t="s">
        <v>2364</v>
      </c>
      <c r="V1367" s="3" t="s">
        <v>2364</v>
      </c>
      <c r="W1367" s="3" t="s">
        <v>2276</v>
      </c>
      <c r="X1367" s="3" t="s">
        <v>189</v>
      </c>
      <c r="Y1367" s="3" t="s">
        <v>34</v>
      </c>
      <c r="Z1367" s="3" t="s">
        <v>2276</v>
      </c>
      <c r="AA1367" s="3"/>
      <c r="AB1367" s="3"/>
    </row>
    <row r="1368" spans="1:28" ht="29" customHeight="1">
      <c r="A1368" s="152" t="str">
        <f>'Reported burning'!A1368</f>
        <v>161a</v>
      </c>
      <c r="B1368" s="152" t="str">
        <f>'Reported burning'!B1368</f>
        <v>161a.5</v>
      </c>
      <c r="C1368" s="152" t="str">
        <f>'Reported burning'!C1368</f>
        <v>Human, accidental</v>
      </c>
      <c r="D1368" s="152" t="str">
        <f>'Reported burning'!D1368</f>
        <v>ND</v>
      </c>
      <c r="E1368" s="152" t="str">
        <f>'Reported burning'!E1368</f>
        <v>ND</v>
      </c>
      <c r="F1368" s="152" t="str">
        <f>'Reported burning'!F1368</f>
        <v>ND</v>
      </c>
      <c r="G1368" s="152" t="str">
        <f>'Reported burning'!G1368</f>
        <v>Forest</v>
      </c>
      <c r="H1368" s="152" t="str">
        <f>'Reported burning'!H1368</f>
        <v>Presence</v>
      </c>
      <c r="I1368" s="3">
        <v>1994</v>
      </c>
      <c r="J1368" s="3" t="s">
        <v>2276</v>
      </c>
      <c r="K1368" s="3" t="s">
        <v>2276</v>
      </c>
      <c r="L1368" s="3" t="s">
        <v>2276</v>
      </c>
      <c r="M1368" s="3" t="s">
        <v>2276</v>
      </c>
      <c r="N1368" s="3" t="s">
        <v>2276</v>
      </c>
      <c r="O1368" s="3" t="s">
        <v>2276</v>
      </c>
      <c r="P1368" s="3" t="s">
        <v>2276</v>
      </c>
      <c r="Q1368" s="3" t="s">
        <v>2276</v>
      </c>
      <c r="R1368" s="3" t="s">
        <v>2276</v>
      </c>
      <c r="S1368" s="3" t="s">
        <v>2276</v>
      </c>
      <c r="T1368" s="3" t="s">
        <v>2374</v>
      </c>
      <c r="U1368" s="3" t="s">
        <v>2276</v>
      </c>
      <c r="V1368" s="3" t="s">
        <v>2276</v>
      </c>
      <c r="W1368" s="3" t="s">
        <v>2276</v>
      </c>
      <c r="X1368" s="3" t="s">
        <v>189</v>
      </c>
      <c r="Y1368" s="3" t="s">
        <v>34</v>
      </c>
      <c r="Z1368" s="3" t="s">
        <v>2276</v>
      </c>
      <c r="AA1368" s="3"/>
      <c r="AB1368" s="3" t="s">
        <v>4106</v>
      </c>
    </row>
    <row r="1369" spans="1:28" ht="29" customHeight="1">
      <c r="A1369" s="152" t="str">
        <f>'Reported burning'!A1369</f>
        <v>161a</v>
      </c>
      <c r="B1369" s="152" t="str">
        <f>'Reported burning'!B1369</f>
        <v>161a.6</v>
      </c>
      <c r="C1369" s="152" t="str">
        <f>'Reported burning'!C1369</f>
        <v>Human, accidental</v>
      </c>
      <c r="D1369" s="152" t="str">
        <f>'Reported burning'!D1369</f>
        <v>ND</v>
      </c>
      <c r="E1369" s="152" t="str">
        <f>'Reported burning'!E1369</f>
        <v>ND</v>
      </c>
      <c r="F1369" s="152" t="str">
        <f>'Reported burning'!F1369</f>
        <v>ND</v>
      </c>
      <c r="G1369" s="152" t="str">
        <f>'Reported burning'!G1369</f>
        <v>Forest</v>
      </c>
      <c r="H1369" s="152" t="str">
        <f>'Reported burning'!H1369</f>
        <v>Presence</v>
      </c>
      <c r="I1369" s="3">
        <v>1996</v>
      </c>
      <c r="J1369" s="3" t="s">
        <v>2276</v>
      </c>
      <c r="K1369" s="3" t="s">
        <v>2276</v>
      </c>
      <c r="L1369" s="3" t="s">
        <v>2276</v>
      </c>
      <c r="M1369" s="3" t="s">
        <v>2276</v>
      </c>
      <c r="N1369" s="3" t="s">
        <v>2276</v>
      </c>
      <c r="O1369" s="3" t="s">
        <v>2276</v>
      </c>
      <c r="P1369" s="3" t="s">
        <v>2276</v>
      </c>
      <c r="Q1369" s="3" t="s">
        <v>2276</v>
      </c>
      <c r="R1369" s="3" t="s">
        <v>2276</v>
      </c>
      <c r="S1369" s="3" t="s">
        <v>2276</v>
      </c>
      <c r="T1369" s="3" t="s">
        <v>2374</v>
      </c>
      <c r="U1369" s="3" t="s">
        <v>2276</v>
      </c>
      <c r="V1369" s="3" t="s">
        <v>2276</v>
      </c>
      <c r="W1369" s="3" t="s">
        <v>2276</v>
      </c>
      <c r="X1369" s="3" t="s">
        <v>189</v>
      </c>
      <c r="Y1369" s="3" t="s">
        <v>34</v>
      </c>
      <c r="Z1369" s="3" t="s">
        <v>2276</v>
      </c>
      <c r="AA1369" s="3"/>
      <c r="AB1369" s="3" t="s">
        <v>4106</v>
      </c>
    </row>
    <row r="1370" spans="1:28" ht="29" customHeight="1">
      <c r="A1370" s="152" t="str">
        <f>'Reported burning'!A1370</f>
        <v>161a</v>
      </c>
      <c r="B1370" s="152" t="str">
        <f>'Reported burning'!B1370</f>
        <v>161a.7</v>
      </c>
      <c r="C1370" s="152" t="str">
        <f>'Reported burning'!C1370</f>
        <v>Human, accidental</v>
      </c>
      <c r="D1370" s="152" t="str">
        <f>'Reported burning'!D1370</f>
        <v>ND</v>
      </c>
      <c r="E1370" s="152" t="str">
        <f>'Reported burning'!E1370</f>
        <v>ND</v>
      </c>
      <c r="F1370" s="152" t="str">
        <f>'Reported burning'!F1370</f>
        <v>ND</v>
      </c>
      <c r="G1370" s="152" t="str">
        <f>'Reported burning'!G1370</f>
        <v>Forest</v>
      </c>
      <c r="H1370" s="152" t="str">
        <f>'Reported burning'!H1370</f>
        <v>Presence</v>
      </c>
      <c r="I1370" s="3">
        <v>1997</v>
      </c>
      <c r="J1370" s="3" t="s">
        <v>2276</v>
      </c>
      <c r="K1370" s="3" t="s">
        <v>2276</v>
      </c>
      <c r="L1370" s="3" t="s">
        <v>2276</v>
      </c>
      <c r="M1370" s="3" t="s">
        <v>2276</v>
      </c>
      <c r="N1370" s="3" t="s">
        <v>2276</v>
      </c>
      <c r="O1370" s="3" t="s">
        <v>2276</v>
      </c>
      <c r="P1370" s="3" t="s">
        <v>2276</v>
      </c>
      <c r="Q1370" s="3" t="s">
        <v>2276</v>
      </c>
      <c r="R1370" s="3" t="s">
        <v>2276</v>
      </c>
      <c r="S1370" s="3" t="s">
        <v>2276</v>
      </c>
      <c r="T1370" s="3" t="s">
        <v>2374</v>
      </c>
      <c r="U1370" s="3" t="s">
        <v>2276</v>
      </c>
      <c r="V1370" s="3" t="s">
        <v>2276</v>
      </c>
      <c r="W1370" s="3" t="s">
        <v>2276</v>
      </c>
      <c r="X1370" s="3" t="s">
        <v>189</v>
      </c>
      <c r="Y1370" s="3" t="s">
        <v>34</v>
      </c>
      <c r="Z1370" s="3" t="s">
        <v>2276</v>
      </c>
      <c r="AA1370" s="3"/>
      <c r="AB1370" s="3" t="s">
        <v>4106</v>
      </c>
    </row>
    <row r="1371" spans="1:28" ht="29" customHeight="1">
      <c r="A1371" s="152" t="str">
        <f>'Reported burning'!A1371</f>
        <v>161a</v>
      </c>
      <c r="B1371" s="152" t="str">
        <f>'Reported burning'!B1371</f>
        <v>161a.8</v>
      </c>
      <c r="C1371" s="152" t="str">
        <f>'Reported burning'!C1371</f>
        <v>Human, accidental</v>
      </c>
      <c r="D1371" s="152" t="str">
        <f>'Reported burning'!D1371</f>
        <v>ND</v>
      </c>
      <c r="E1371" s="152" t="str">
        <f>'Reported burning'!E1371</f>
        <v>ND</v>
      </c>
      <c r="F1371" s="152" t="str">
        <f>'Reported burning'!F1371</f>
        <v>ND</v>
      </c>
      <c r="G1371" s="152" t="str">
        <f>'Reported burning'!G1371</f>
        <v>Forest</v>
      </c>
      <c r="H1371" s="152" t="str">
        <f>'Reported burning'!H1371</f>
        <v>Presence</v>
      </c>
      <c r="I1371" s="3">
        <v>2007</v>
      </c>
      <c r="J1371" s="3" t="s">
        <v>2276</v>
      </c>
      <c r="K1371" s="3" t="s">
        <v>2276</v>
      </c>
      <c r="L1371" s="3" t="s">
        <v>2276</v>
      </c>
      <c r="M1371" s="3" t="s">
        <v>2276</v>
      </c>
      <c r="N1371" s="3" t="s">
        <v>2276</v>
      </c>
      <c r="O1371" s="3" t="s">
        <v>2276</v>
      </c>
      <c r="P1371" s="3" t="s">
        <v>2276</v>
      </c>
      <c r="Q1371" s="3" t="s">
        <v>2276</v>
      </c>
      <c r="R1371" s="3" t="s">
        <v>2276</v>
      </c>
      <c r="S1371" s="3" t="s">
        <v>2276</v>
      </c>
      <c r="T1371" s="3" t="s">
        <v>2374</v>
      </c>
      <c r="U1371" s="3" t="s">
        <v>2276</v>
      </c>
      <c r="V1371" s="3" t="s">
        <v>2276</v>
      </c>
      <c r="W1371" s="3" t="s">
        <v>2276</v>
      </c>
      <c r="X1371" s="3" t="s">
        <v>189</v>
      </c>
      <c r="Y1371" s="3" t="s">
        <v>34</v>
      </c>
      <c r="Z1371" s="3" t="s">
        <v>2276</v>
      </c>
      <c r="AA1371" s="3"/>
      <c r="AB1371" s="3" t="s">
        <v>4106</v>
      </c>
    </row>
    <row r="1372" spans="1:28" ht="29" customHeight="1">
      <c r="A1372" s="152" t="str">
        <f>'Reported burning'!A1372</f>
        <v>161a</v>
      </c>
      <c r="B1372" s="152" t="str">
        <f>'Reported burning'!B1372</f>
        <v>161a.9</v>
      </c>
      <c r="C1372" s="152" t="str">
        <f>'Reported burning'!C1372</f>
        <v>Lightning</v>
      </c>
      <c r="D1372" s="152" t="str">
        <f>'Reported burning'!D1372</f>
        <v>ND</v>
      </c>
      <c r="E1372" s="152" t="str">
        <f>'Reported burning'!E1372</f>
        <v>ND</v>
      </c>
      <c r="F1372" s="152" t="str">
        <f>'Reported burning'!F1372</f>
        <v>ND</v>
      </c>
      <c r="G1372" s="152" t="str">
        <f>'Reported burning'!G1372</f>
        <v>Forest</v>
      </c>
      <c r="H1372" s="152" t="str">
        <f>'Reported burning'!H1372</f>
        <v>Absence</v>
      </c>
      <c r="I1372" s="3"/>
      <c r="J1372" s="3" t="s">
        <v>2364</v>
      </c>
      <c r="K1372" s="3" t="s">
        <v>2364</v>
      </c>
      <c r="L1372" s="3" t="s">
        <v>2364</v>
      </c>
      <c r="M1372" s="3" t="s">
        <v>2364</v>
      </c>
      <c r="N1372" s="3" t="s">
        <v>2364</v>
      </c>
      <c r="O1372" s="3" t="s">
        <v>2364</v>
      </c>
      <c r="P1372" s="3" t="s">
        <v>2364</v>
      </c>
      <c r="Q1372" s="3" t="s">
        <v>2364</v>
      </c>
      <c r="R1372" s="3" t="s">
        <v>2364</v>
      </c>
      <c r="S1372" s="3" t="s">
        <v>2364</v>
      </c>
      <c r="T1372" s="3" t="s">
        <v>2364</v>
      </c>
      <c r="U1372" s="3" t="s">
        <v>2364</v>
      </c>
      <c r="V1372" s="3" t="s">
        <v>2364</v>
      </c>
      <c r="W1372" s="3" t="s">
        <v>2276</v>
      </c>
      <c r="X1372" s="3" t="s">
        <v>189</v>
      </c>
      <c r="Y1372" s="3" t="s">
        <v>34</v>
      </c>
      <c r="Z1372" s="3" t="s">
        <v>2276</v>
      </c>
      <c r="AA1372" s="3"/>
      <c r="AB1372" s="3"/>
    </row>
    <row r="1373" spans="1:28" ht="32" customHeight="1">
      <c r="A1373" s="152" t="str">
        <f>'Reported burning'!A1373</f>
        <v>162a</v>
      </c>
      <c r="B1373" s="152" t="str">
        <f>'Reported burning'!B1373</f>
        <v>162a.1</v>
      </c>
      <c r="C1373" s="152" t="str">
        <f>'Reported burning'!C1373</f>
        <v>Human, deliberate</v>
      </c>
      <c r="D1373" s="152" t="str">
        <f>'Reported burning'!D1373</f>
        <v>Pasture renewal</v>
      </c>
      <c r="E1373" s="152" t="str">
        <f>'Reported burning'!E1373</f>
        <v>Pastoralism, Migratory</v>
      </c>
      <c r="F1373" s="152" t="str">
        <f>'Reported burning'!F1373</f>
        <v>Grassland</v>
      </c>
      <c r="G1373" s="152" t="str">
        <f>'Reported burning'!G1373</f>
        <v>ND</v>
      </c>
      <c r="H1373" s="152" t="str">
        <f>'Reported burning'!H1373</f>
        <v>Presence</v>
      </c>
      <c r="I1373" s="3"/>
      <c r="J1373" s="3" t="s">
        <v>2276</v>
      </c>
      <c r="K1373" s="3" t="s">
        <v>2276</v>
      </c>
      <c r="L1373" s="3" t="s">
        <v>2276</v>
      </c>
      <c r="M1373" s="3" t="s">
        <v>2276</v>
      </c>
      <c r="N1373" s="3" t="s">
        <v>2276</v>
      </c>
      <c r="O1373" s="3" t="s">
        <v>2276</v>
      </c>
      <c r="P1373" s="3" t="s">
        <v>2276</v>
      </c>
      <c r="Q1373" s="3" t="s">
        <v>2276</v>
      </c>
      <c r="R1373" s="3" t="s">
        <v>2276</v>
      </c>
      <c r="S1373" s="3" t="s">
        <v>2276</v>
      </c>
      <c r="T1373" s="3" t="s">
        <v>2276</v>
      </c>
      <c r="U1373" s="3" t="s">
        <v>2276</v>
      </c>
      <c r="V1373" s="3" t="s">
        <v>2276</v>
      </c>
      <c r="W1373" s="3" t="s">
        <v>2276</v>
      </c>
      <c r="X1373" s="3" t="s">
        <v>2276</v>
      </c>
      <c r="Y1373" s="3" t="s">
        <v>2276</v>
      </c>
      <c r="Z1373" s="3" t="s">
        <v>2276</v>
      </c>
      <c r="AA1373" s="3"/>
      <c r="AB1373" s="3"/>
    </row>
    <row r="1374" spans="1:28" ht="32" customHeight="1">
      <c r="A1374" s="152" t="str">
        <f>'Reported burning'!A1374</f>
        <v>162a</v>
      </c>
      <c r="B1374" s="152" t="str">
        <f>'Reported burning'!B1374</f>
        <v>162a.2</v>
      </c>
      <c r="C1374" s="152" t="str">
        <f>'Reported burning'!C1374</f>
        <v>Human, deliberate</v>
      </c>
      <c r="D1374" s="152" t="str">
        <f>'Reported burning'!D1374</f>
        <v>Pasture renewal</v>
      </c>
      <c r="E1374" s="152" t="str">
        <f>'Reported burning'!E1374</f>
        <v>Cattle, Extensive</v>
      </c>
      <c r="F1374" s="152" t="str">
        <f>'Reported burning'!F1374</f>
        <v>Grassland</v>
      </c>
      <c r="G1374" s="152" t="str">
        <f>'Reported burning'!G1374</f>
        <v>ND</v>
      </c>
      <c r="H1374" s="152" t="str">
        <f>'Reported burning'!H1374</f>
        <v>Presence</v>
      </c>
      <c r="I1374" s="3"/>
      <c r="J1374" s="3" t="s">
        <v>2276</v>
      </c>
      <c r="K1374" s="3" t="s">
        <v>2276</v>
      </c>
      <c r="L1374" s="3" t="s">
        <v>2276</v>
      </c>
      <c r="M1374" s="3" t="s">
        <v>2276</v>
      </c>
      <c r="N1374" s="3" t="s">
        <v>2276</v>
      </c>
      <c r="O1374" s="3" t="s">
        <v>2276</v>
      </c>
      <c r="P1374" s="3" t="s">
        <v>2276</v>
      </c>
      <c r="Q1374" s="3" t="s">
        <v>2276</v>
      </c>
      <c r="R1374" s="3" t="s">
        <v>2276</v>
      </c>
      <c r="S1374" s="3" t="s">
        <v>2276</v>
      </c>
      <c r="T1374" s="3" t="s">
        <v>2276</v>
      </c>
      <c r="U1374" s="3" t="s">
        <v>2276</v>
      </c>
      <c r="V1374" s="3" t="s">
        <v>2276</v>
      </c>
      <c r="W1374" s="3" t="s">
        <v>2276</v>
      </c>
      <c r="X1374" s="3" t="s">
        <v>2276</v>
      </c>
      <c r="Y1374" s="3" t="s">
        <v>2276</v>
      </c>
      <c r="Z1374" s="3" t="s">
        <v>2276</v>
      </c>
      <c r="AA1374" s="3"/>
      <c r="AB1374" s="3"/>
    </row>
    <row r="1375" spans="1:28" ht="32" customHeight="1">
      <c r="A1375" s="152" t="str">
        <f>'Reported burning'!A1375</f>
        <v>162b</v>
      </c>
      <c r="B1375" s="152" t="str">
        <f>'Reported burning'!B1375</f>
        <v>162b.1</v>
      </c>
      <c r="C1375" s="152" t="str">
        <f>'Reported burning'!C1375</f>
        <v>Human, deliberate</v>
      </c>
      <c r="D1375" s="152" t="str">
        <f>'Reported burning'!D1375</f>
        <v>Pasture renewal</v>
      </c>
      <c r="E1375" s="152" t="str">
        <f>'Reported burning'!E1375</f>
        <v>Pastoralism, Migratory</v>
      </c>
      <c r="F1375" s="152" t="str">
        <f>'Reported burning'!F1375</f>
        <v>Grassland</v>
      </c>
      <c r="G1375" s="152" t="str">
        <f>'Reported burning'!G1375</f>
        <v>ND</v>
      </c>
      <c r="H1375" s="152" t="str">
        <f>'Reported burning'!H1375</f>
        <v>Presence</v>
      </c>
      <c r="I1375" s="3"/>
      <c r="J1375" s="3" t="s">
        <v>2276</v>
      </c>
      <c r="K1375" s="3" t="s">
        <v>2276</v>
      </c>
      <c r="L1375" s="3" t="s">
        <v>2276</v>
      </c>
      <c r="M1375" s="3" t="s">
        <v>2276</v>
      </c>
      <c r="N1375" s="3" t="s">
        <v>2276</v>
      </c>
      <c r="O1375" s="3" t="s">
        <v>2276</v>
      </c>
      <c r="P1375" s="3" t="s">
        <v>2276</v>
      </c>
      <c r="Q1375" s="3" t="s">
        <v>2276</v>
      </c>
      <c r="R1375" s="3" t="s">
        <v>2276</v>
      </c>
      <c r="S1375" s="3" t="s">
        <v>2276</v>
      </c>
      <c r="T1375" s="3" t="s">
        <v>2374</v>
      </c>
      <c r="U1375" s="3" t="s">
        <v>2276</v>
      </c>
      <c r="V1375" s="3" t="s">
        <v>2276</v>
      </c>
      <c r="W1375" s="3" t="s">
        <v>2276</v>
      </c>
      <c r="X1375" s="3" t="s">
        <v>425</v>
      </c>
      <c r="Y1375" s="3" t="s">
        <v>35</v>
      </c>
      <c r="Z1375" s="3" t="s">
        <v>64</v>
      </c>
      <c r="AA1375" s="3"/>
      <c r="AB1375" s="3" t="s">
        <v>4122</v>
      </c>
    </row>
    <row r="1376" spans="1:28" ht="32" customHeight="1">
      <c r="A1376" s="152" t="str">
        <f>'Reported burning'!A1376</f>
        <v>162b</v>
      </c>
      <c r="B1376" s="152" t="str">
        <f>'Reported burning'!B1376</f>
        <v>162b.2</v>
      </c>
      <c r="C1376" s="152" t="str">
        <f>'Reported burning'!C1376</f>
        <v>Human, deliberate</v>
      </c>
      <c r="D1376" s="152" t="str">
        <f>'Reported burning'!D1376</f>
        <v>Pasture renewal</v>
      </c>
      <c r="E1376" s="152" t="str">
        <f>'Reported burning'!E1376</f>
        <v>Cattle, Extensive</v>
      </c>
      <c r="F1376" s="152" t="str">
        <f>'Reported burning'!F1376</f>
        <v>Grassland</v>
      </c>
      <c r="G1376" s="152" t="str">
        <f>'Reported burning'!G1376</f>
        <v>ND</v>
      </c>
      <c r="H1376" s="152" t="str">
        <f>'Reported burning'!H1376</f>
        <v>Presence</v>
      </c>
      <c r="I1376" s="3"/>
      <c r="J1376" s="3" t="s">
        <v>2276</v>
      </c>
      <c r="K1376" s="3" t="s">
        <v>2276</v>
      </c>
      <c r="L1376" s="3" t="s">
        <v>2276</v>
      </c>
      <c r="M1376" s="3" t="s">
        <v>2276</v>
      </c>
      <c r="N1376" s="3" t="s">
        <v>2276</v>
      </c>
      <c r="O1376" s="3" t="s">
        <v>2276</v>
      </c>
      <c r="P1376" s="3" t="s">
        <v>2276</v>
      </c>
      <c r="Q1376" s="3" t="s">
        <v>2276</v>
      </c>
      <c r="R1376" s="3" t="s">
        <v>2276</v>
      </c>
      <c r="S1376" s="3" t="s">
        <v>2276</v>
      </c>
      <c r="T1376" s="3" t="s">
        <v>2374</v>
      </c>
      <c r="U1376" s="3" t="s">
        <v>2276</v>
      </c>
      <c r="V1376" s="3" t="s">
        <v>2276</v>
      </c>
      <c r="W1376" s="3" t="s">
        <v>2276</v>
      </c>
      <c r="X1376" s="3" t="s">
        <v>425</v>
      </c>
      <c r="Y1376" s="3" t="s">
        <v>35</v>
      </c>
      <c r="Z1376" s="3" t="s">
        <v>64</v>
      </c>
      <c r="AA1376" s="3"/>
      <c r="AB1376" s="3" t="s">
        <v>4122</v>
      </c>
    </row>
    <row r="1377" spans="1:28" ht="87">
      <c r="A1377" s="156" t="str">
        <f>'Reported burning'!A1377</f>
        <v>163a</v>
      </c>
      <c r="B1377" s="156" t="str">
        <f>'Reported burning'!B1377</f>
        <v>163a.1</v>
      </c>
      <c r="C1377" s="156" t="str">
        <f>'Reported burning'!C1377</f>
        <v>Human, deliberate</v>
      </c>
      <c r="D1377" s="156" t="str">
        <f>'Reported burning'!D1377</f>
        <v>Rangeland management</v>
      </c>
      <c r="E1377" s="156" t="str">
        <f>'Reported burning'!E1377</f>
        <v>Pastoralism, Migratory</v>
      </c>
      <c r="F1377" s="156" t="str">
        <f>'Reported burning'!F1377</f>
        <v>Shrubland (Mixed forest &amp; grassland)</v>
      </c>
      <c r="G1377" s="156" t="str">
        <f>'Reported burning'!G1377</f>
        <v>ND</v>
      </c>
      <c r="H1377" s="156" t="str">
        <f>'Reported burning'!H1377</f>
        <v>Presence</v>
      </c>
      <c r="I1377" s="5"/>
      <c r="J1377" s="3" t="s">
        <v>2276</v>
      </c>
      <c r="K1377" s="3" t="s">
        <v>2276</v>
      </c>
      <c r="L1377" s="3" t="s">
        <v>2276</v>
      </c>
      <c r="M1377" s="3" t="s">
        <v>2276</v>
      </c>
      <c r="N1377" s="3" t="s">
        <v>2276</v>
      </c>
      <c r="O1377" s="3" t="s">
        <v>2276</v>
      </c>
      <c r="P1377" s="3" t="s">
        <v>2276</v>
      </c>
      <c r="Q1377" s="3" t="s">
        <v>2276</v>
      </c>
      <c r="R1377" s="3" t="s">
        <v>2276</v>
      </c>
      <c r="S1377" s="3" t="s">
        <v>2276</v>
      </c>
      <c r="T1377" s="3" t="s">
        <v>2276</v>
      </c>
      <c r="U1377" s="3" t="s">
        <v>2276</v>
      </c>
      <c r="V1377" s="3" t="s">
        <v>2276</v>
      </c>
      <c r="W1377" s="3" t="s">
        <v>2276</v>
      </c>
      <c r="X1377" s="3" t="s">
        <v>2276</v>
      </c>
      <c r="Y1377" s="3" t="s">
        <v>2276</v>
      </c>
      <c r="Z1377" s="3" t="s">
        <v>2276</v>
      </c>
      <c r="AA1377" s="4" t="s">
        <v>4135</v>
      </c>
      <c r="AB1377" s="3"/>
    </row>
    <row r="1378" spans="1:28" ht="87">
      <c r="A1378" s="152" t="str">
        <f>'Reported burning'!A1378</f>
        <v>163a</v>
      </c>
      <c r="B1378" s="152" t="str">
        <f>'Reported burning'!B1378</f>
        <v>163a.2</v>
      </c>
      <c r="C1378" s="152" t="str">
        <f>'Reported burning'!C1378</f>
        <v>Human, deliberate</v>
      </c>
      <c r="D1378" s="152" t="str">
        <f>'Reported burning'!D1378</f>
        <v>Rangeland management</v>
      </c>
      <c r="E1378" s="152" t="str">
        <f>'Reported burning'!E1378</f>
        <v>Cattle, Extensive</v>
      </c>
      <c r="F1378" s="152" t="str">
        <f>'Reported burning'!F1378</f>
        <v>Shrubland (Mixed forest &amp; grassland)</v>
      </c>
      <c r="G1378" s="152" t="str">
        <f>'Reported burning'!G1378</f>
        <v>ND</v>
      </c>
      <c r="H1378" s="152" t="str">
        <f>'Reported burning'!H1378</f>
        <v>Presence</v>
      </c>
      <c r="I1378" s="3"/>
      <c r="J1378" s="3" t="s">
        <v>2276</v>
      </c>
      <c r="K1378" s="3" t="s">
        <v>2276</v>
      </c>
      <c r="L1378" s="3" t="s">
        <v>2276</v>
      </c>
      <c r="M1378" s="3" t="s">
        <v>2276</v>
      </c>
      <c r="N1378" s="3" t="s">
        <v>2276</v>
      </c>
      <c r="O1378" s="3" t="s">
        <v>2276</v>
      </c>
      <c r="P1378" s="3" t="s">
        <v>2276</v>
      </c>
      <c r="Q1378" s="3" t="s">
        <v>2276</v>
      </c>
      <c r="R1378" s="3" t="s">
        <v>2276</v>
      </c>
      <c r="S1378" s="3" t="s">
        <v>2276</v>
      </c>
      <c r="T1378" s="3" t="s">
        <v>2276</v>
      </c>
      <c r="U1378" s="3" t="s">
        <v>2276</v>
      </c>
      <c r="V1378" s="3" t="s">
        <v>2276</v>
      </c>
      <c r="W1378" s="3" t="s">
        <v>2276</v>
      </c>
      <c r="X1378" s="3" t="s">
        <v>2276</v>
      </c>
      <c r="Y1378" s="3" t="s">
        <v>2276</v>
      </c>
      <c r="Z1378" s="3" t="s">
        <v>2276</v>
      </c>
      <c r="AA1378" s="4" t="s">
        <v>4135</v>
      </c>
      <c r="AB1378" s="3"/>
    </row>
    <row r="1379" spans="1:28" ht="48" customHeight="1">
      <c r="A1379" s="152" t="str">
        <f>'Reported burning'!A1379</f>
        <v>164a</v>
      </c>
      <c r="B1379" s="152" t="str">
        <f>'Reported burning'!B1379</f>
        <v>164a.1</v>
      </c>
      <c r="C1379" s="152" t="str">
        <f>'Reported burning'!C1379</f>
        <v>Human, deliberate</v>
      </c>
      <c r="D1379" s="152" t="str">
        <f>'Reported burning'!D1379</f>
        <v>Forest clearance</v>
      </c>
      <c r="E1379" s="152" t="str">
        <f>'Reported burning'!E1379</f>
        <v>Pastoralism, Migratory</v>
      </c>
      <c r="F1379" s="152" t="str">
        <f>'Reported burning'!F1379</f>
        <v>Forest</v>
      </c>
      <c r="G1379" s="152" t="str">
        <f>'Reported burning'!G1379</f>
        <v>ND</v>
      </c>
      <c r="H1379" s="152" t="str">
        <f>'Reported burning'!H1379</f>
        <v>Presence</v>
      </c>
      <c r="I1379" s="3"/>
      <c r="J1379" s="3" t="s">
        <v>2276</v>
      </c>
      <c r="K1379" s="3" t="s">
        <v>2276</v>
      </c>
      <c r="L1379" s="3" t="s">
        <v>2276</v>
      </c>
      <c r="M1379" s="3" t="s">
        <v>2276</v>
      </c>
      <c r="N1379" s="3" t="s">
        <v>2276</v>
      </c>
      <c r="O1379" s="3" t="s">
        <v>2276</v>
      </c>
      <c r="P1379" s="3" t="s">
        <v>2276</v>
      </c>
      <c r="Q1379" s="3" t="s">
        <v>2276</v>
      </c>
      <c r="R1379" s="3" t="s">
        <v>2276</v>
      </c>
      <c r="S1379" s="3" t="s">
        <v>2276</v>
      </c>
      <c r="T1379" s="3" t="s">
        <v>2276</v>
      </c>
      <c r="U1379" s="3" t="s">
        <v>2276</v>
      </c>
      <c r="V1379" s="3" t="s">
        <v>2276</v>
      </c>
      <c r="W1379" s="3" t="s">
        <v>2276</v>
      </c>
      <c r="X1379" s="3" t="s">
        <v>2276</v>
      </c>
      <c r="Y1379" s="3" t="s">
        <v>2276</v>
      </c>
      <c r="Z1379" s="3" t="s">
        <v>2276</v>
      </c>
      <c r="AA1379" s="4" t="s">
        <v>4145</v>
      </c>
      <c r="AB1379" s="3"/>
    </row>
    <row r="1380" spans="1:28" ht="48" customHeight="1">
      <c r="A1380" s="152" t="str">
        <f>'Reported burning'!A1380</f>
        <v>164a</v>
      </c>
      <c r="B1380" s="152" t="str">
        <f>'Reported burning'!B1380</f>
        <v>164a.2</v>
      </c>
      <c r="C1380" s="152" t="str">
        <f>'Reported burning'!C1380</f>
        <v>Human, deliberate</v>
      </c>
      <c r="D1380" s="152" t="str">
        <f>'Reported burning'!D1380</f>
        <v>Forest clearance</v>
      </c>
      <c r="E1380" s="152" t="str">
        <f>'Reported burning'!E1380</f>
        <v>Cattle, Extensive</v>
      </c>
      <c r="F1380" s="152" t="str">
        <f>'Reported burning'!F1380</f>
        <v>Forest</v>
      </c>
      <c r="G1380" s="152" t="str">
        <f>'Reported burning'!G1380</f>
        <v>ND</v>
      </c>
      <c r="H1380" s="152" t="str">
        <f>'Reported burning'!H1380</f>
        <v>Presence</v>
      </c>
      <c r="I1380" s="3"/>
      <c r="J1380" s="3" t="s">
        <v>2276</v>
      </c>
      <c r="K1380" s="3" t="s">
        <v>2276</v>
      </c>
      <c r="L1380" s="3" t="s">
        <v>2276</v>
      </c>
      <c r="M1380" s="3" t="s">
        <v>2276</v>
      </c>
      <c r="N1380" s="3" t="s">
        <v>2276</v>
      </c>
      <c r="O1380" s="3" t="s">
        <v>2276</v>
      </c>
      <c r="P1380" s="3" t="s">
        <v>2276</v>
      </c>
      <c r="Q1380" s="3" t="s">
        <v>2276</v>
      </c>
      <c r="R1380" s="3" t="s">
        <v>2276</v>
      </c>
      <c r="S1380" s="3" t="s">
        <v>2276</v>
      </c>
      <c r="T1380" s="3" t="s">
        <v>2276</v>
      </c>
      <c r="U1380" s="3" t="s">
        <v>2276</v>
      </c>
      <c r="V1380" s="3" t="s">
        <v>2276</v>
      </c>
      <c r="W1380" s="3" t="s">
        <v>2276</v>
      </c>
      <c r="X1380" s="3" t="s">
        <v>2276</v>
      </c>
      <c r="Y1380" s="3" t="s">
        <v>2276</v>
      </c>
      <c r="Z1380" s="3" t="s">
        <v>2276</v>
      </c>
      <c r="AA1380" s="4" t="s">
        <v>4145</v>
      </c>
      <c r="AB1380" s="3"/>
    </row>
    <row r="1381" spans="1:28" ht="49.5" customHeight="1">
      <c r="A1381" s="152" t="str">
        <f>'Reported burning'!A1381</f>
        <v>165a</v>
      </c>
      <c r="B1381" s="152" t="str">
        <f>'Reported burning'!B1381</f>
        <v>165a.1</v>
      </c>
      <c r="C1381" s="152" t="str">
        <f>'Reported burning'!C1381</f>
        <v>Human, deliberate</v>
      </c>
      <c r="D1381" s="152" t="str">
        <f>'Reported burning'!D1381</f>
        <v>Crop field preparation</v>
      </c>
      <c r="E1381" s="152" t="str">
        <f>'Reported burning'!E1381</f>
        <v>Mixed cropping-livestock small holder, Subsistence-oriented</v>
      </c>
      <c r="F1381" s="152" t="str">
        <f>'Reported burning'!F1381</f>
        <v>Shrubland (Mixed forest &amp; grassland)</v>
      </c>
      <c r="G1381" s="152" t="str">
        <f>'Reported burning'!G1381</f>
        <v>ND</v>
      </c>
      <c r="H1381" s="152" t="str">
        <f>'Reported burning'!H1381</f>
        <v>Presence</v>
      </c>
      <c r="I1381" s="3"/>
      <c r="J1381" s="3" t="s">
        <v>2276</v>
      </c>
      <c r="K1381" s="3" t="s">
        <v>2276</v>
      </c>
      <c r="L1381" s="3" t="s">
        <v>2276</v>
      </c>
      <c r="M1381" s="3" t="s">
        <v>2276</v>
      </c>
      <c r="N1381" s="3" t="s">
        <v>2276</v>
      </c>
      <c r="O1381" s="3" t="s">
        <v>2276</v>
      </c>
      <c r="P1381" s="3" t="s">
        <v>2276</v>
      </c>
      <c r="Q1381" s="3" t="s">
        <v>2276</v>
      </c>
      <c r="R1381" s="3" t="s">
        <v>2276</v>
      </c>
      <c r="S1381" s="3" t="s">
        <v>2276</v>
      </c>
      <c r="T1381" s="3" t="s">
        <v>2276</v>
      </c>
      <c r="U1381" s="3" t="s">
        <v>2276</v>
      </c>
      <c r="V1381" s="3" t="s">
        <v>2276</v>
      </c>
      <c r="W1381" s="3" t="s">
        <v>2276</v>
      </c>
      <c r="X1381" s="3" t="s">
        <v>405</v>
      </c>
      <c r="Y1381" s="3" t="s">
        <v>68</v>
      </c>
      <c r="Z1381" s="3" t="s">
        <v>64</v>
      </c>
      <c r="AA1381" s="4" t="s">
        <v>4185</v>
      </c>
      <c r="AB1381" s="3"/>
    </row>
    <row r="1382" spans="1:28" ht="49.5" customHeight="1">
      <c r="A1382" s="152" t="str">
        <f>'Reported burning'!A1382</f>
        <v>165a</v>
      </c>
      <c r="B1382" s="152" t="str">
        <f>'Reported burning'!B1382</f>
        <v>165a.2</v>
      </c>
      <c r="C1382" s="152" t="str">
        <f>'Reported burning'!C1382</f>
        <v>Human, deliberate</v>
      </c>
      <c r="D1382" s="152" t="str">
        <f>'Reported burning'!D1382</f>
        <v>Pasture renewal</v>
      </c>
      <c r="E1382" s="152" t="str">
        <f>'Reported burning'!E1382</f>
        <v>Mixed cropping-livestock small holder, Subsistence-oriented</v>
      </c>
      <c r="F1382" s="152" t="str">
        <f>'Reported burning'!F1382</f>
        <v>Shrubland (Mixed forest &amp; grassland)</v>
      </c>
      <c r="G1382" s="152" t="str">
        <f>'Reported burning'!G1382</f>
        <v>ND</v>
      </c>
      <c r="H1382" s="152" t="str">
        <f>'Reported burning'!H1382</f>
        <v>Presence</v>
      </c>
      <c r="I1382" s="3"/>
      <c r="J1382" s="3" t="s">
        <v>2276</v>
      </c>
      <c r="K1382" s="3" t="s">
        <v>2276</v>
      </c>
      <c r="L1382" s="3" t="s">
        <v>2276</v>
      </c>
      <c r="M1382" s="3" t="s">
        <v>2276</v>
      </c>
      <c r="N1382" s="3" t="s">
        <v>2276</v>
      </c>
      <c r="O1382" s="3" t="s">
        <v>2276</v>
      </c>
      <c r="P1382" s="3" t="s">
        <v>2276</v>
      </c>
      <c r="Q1382" s="3" t="s">
        <v>2276</v>
      </c>
      <c r="R1382" s="3" t="s">
        <v>2276</v>
      </c>
      <c r="S1382" s="3" t="s">
        <v>2276</v>
      </c>
      <c r="T1382" s="3" t="s">
        <v>2276</v>
      </c>
      <c r="U1382" s="3" t="s">
        <v>2276</v>
      </c>
      <c r="V1382" s="3" t="s">
        <v>2276</v>
      </c>
      <c r="W1382" s="3" t="s">
        <v>2276</v>
      </c>
      <c r="X1382" s="3" t="s">
        <v>86</v>
      </c>
      <c r="Y1382" s="3" t="s">
        <v>425</v>
      </c>
      <c r="Z1382" s="3" t="s">
        <v>76</v>
      </c>
      <c r="AA1382" s="4" t="s">
        <v>4185</v>
      </c>
      <c r="AB1382" s="3"/>
    </row>
    <row r="1383" spans="1:28" ht="49.5" customHeight="1">
      <c r="A1383" s="152" t="str">
        <f>'Reported burning'!A1383</f>
        <v>165a</v>
      </c>
      <c r="B1383" s="152" t="str">
        <f>'Reported burning'!B1383</f>
        <v>165a.3</v>
      </c>
      <c r="C1383" s="152" t="str">
        <f>'Reported burning'!C1383</f>
        <v>Human, deliberate</v>
      </c>
      <c r="D1383" s="152" t="str">
        <f>'Reported burning'!D1383</f>
        <v>Pest management</v>
      </c>
      <c r="E1383" s="152" t="str">
        <f>'Reported burning'!E1383</f>
        <v>Mixed cropping-livestock small holder, Subsistence-oriented</v>
      </c>
      <c r="F1383" s="152" t="str">
        <f>'Reported burning'!F1383</f>
        <v>Shrubland (Mixed forest &amp; grassland)</v>
      </c>
      <c r="G1383" s="152" t="str">
        <f>'Reported burning'!G1383</f>
        <v>ND</v>
      </c>
      <c r="H1383" s="152" t="str">
        <f>'Reported burning'!H1383</f>
        <v>Presence</v>
      </c>
      <c r="I1383" s="3"/>
      <c r="J1383" s="3" t="s">
        <v>2276</v>
      </c>
      <c r="K1383" s="3" t="s">
        <v>2276</v>
      </c>
      <c r="L1383" s="3" t="s">
        <v>2276</v>
      </c>
      <c r="M1383" s="3" t="s">
        <v>2276</v>
      </c>
      <c r="N1383" s="3" t="s">
        <v>2276</v>
      </c>
      <c r="O1383" s="3" t="s">
        <v>2276</v>
      </c>
      <c r="P1383" s="3" t="s">
        <v>2276</v>
      </c>
      <c r="Q1383" s="3" t="s">
        <v>2276</v>
      </c>
      <c r="R1383" s="3" t="s">
        <v>2276</v>
      </c>
      <c r="S1383" s="3" t="s">
        <v>2276</v>
      </c>
      <c r="T1383" s="3" t="s">
        <v>2276</v>
      </c>
      <c r="U1383" s="3" t="s">
        <v>2276</v>
      </c>
      <c r="V1383" s="3" t="s">
        <v>2276</v>
      </c>
      <c r="W1383" s="3" t="s">
        <v>2276</v>
      </c>
      <c r="X1383" s="3" t="s">
        <v>86</v>
      </c>
      <c r="Y1383" s="3" t="s">
        <v>68</v>
      </c>
      <c r="Z1383" s="3" t="s">
        <v>64</v>
      </c>
      <c r="AA1383" s="4" t="s">
        <v>4189</v>
      </c>
      <c r="AB1383" s="3"/>
    </row>
    <row r="1384" spans="1:28" ht="49.5" customHeight="1">
      <c r="A1384" s="152" t="str">
        <f>'Reported burning'!A1384</f>
        <v>165a</v>
      </c>
      <c r="B1384" s="152" t="str">
        <f>'Reported burning'!B1384</f>
        <v>165a.4</v>
      </c>
      <c r="C1384" s="152" t="str">
        <f>'Reported burning'!C1384</f>
        <v>Human, deliberate</v>
      </c>
      <c r="D1384" s="152" t="str">
        <f>'Reported burning'!D1384</f>
        <v>Crop residue burning</v>
      </c>
      <c r="E1384" s="152" t="str">
        <f>'Reported burning'!E1384</f>
        <v>Mixed cropping-livestock small holder, Subsistence-oriented</v>
      </c>
      <c r="F1384" s="152" t="str">
        <f>'Reported burning'!F1384</f>
        <v>Cropland</v>
      </c>
      <c r="G1384" s="152" t="str">
        <f>'Reported burning'!G1384</f>
        <v>ND</v>
      </c>
      <c r="H1384" s="152" t="str">
        <f>'Reported burning'!H1384</f>
        <v>Presence</v>
      </c>
      <c r="I1384" s="3"/>
      <c r="J1384" s="3" t="s">
        <v>2276</v>
      </c>
      <c r="K1384" s="3" t="s">
        <v>2276</v>
      </c>
      <c r="L1384" s="3" t="s">
        <v>2276</v>
      </c>
      <c r="M1384" s="3" t="s">
        <v>2276</v>
      </c>
      <c r="N1384" s="3" t="s">
        <v>2276</v>
      </c>
      <c r="O1384" s="3" t="s">
        <v>2276</v>
      </c>
      <c r="P1384" s="3" t="s">
        <v>2276</v>
      </c>
      <c r="Q1384" s="3" t="s">
        <v>2276</v>
      </c>
      <c r="R1384" s="3" t="s">
        <v>2276</v>
      </c>
      <c r="S1384" s="3" t="s">
        <v>2276</v>
      </c>
      <c r="T1384" s="3" t="s">
        <v>2276</v>
      </c>
      <c r="U1384" s="3" t="s">
        <v>2276</v>
      </c>
      <c r="V1384" s="3" t="s">
        <v>2276</v>
      </c>
      <c r="W1384" s="3" t="s">
        <v>2276</v>
      </c>
      <c r="X1384" s="3" t="s">
        <v>425</v>
      </c>
      <c r="Y1384" s="3" t="s">
        <v>68</v>
      </c>
      <c r="Z1384" s="3" t="s">
        <v>64</v>
      </c>
      <c r="AA1384" s="4" t="s">
        <v>4185</v>
      </c>
      <c r="AB1384" s="3"/>
    </row>
    <row r="1385" spans="1:28" ht="49.5" customHeight="1">
      <c r="A1385" s="152" t="str">
        <f>'Reported burning'!A1385</f>
        <v>165a</v>
      </c>
      <c r="B1385" s="152" t="str">
        <f>'Reported burning'!B1385</f>
        <v>165a.5</v>
      </c>
      <c r="C1385" s="152" t="str">
        <f>'Reported burning'!C1385</f>
        <v>Human, deliberate</v>
      </c>
      <c r="D1385" s="152" t="str">
        <f>'Reported burning'!D1385</f>
        <v>Forest clearance</v>
      </c>
      <c r="E1385" s="152" t="str">
        <f>'Reported burning'!E1385</f>
        <v>Mixed cropping-livestock small holder, Subsistence-oriented</v>
      </c>
      <c r="F1385" s="152" t="str">
        <f>'Reported burning'!F1385</f>
        <v>Forest</v>
      </c>
      <c r="G1385" s="152" t="str">
        <f>'Reported burning'!G1385</f>
        <v>ND</v>
      </c>
      <c r="H1385" s="152" t="str">
        <f>'Reported burning'!H1385</f>
        <v>Presence</v>
      </c>
      <c r="I1385" s="3"/>
      <c r="J1385" s="3" t="s">
        <v>2276</v>
      </c>
      <c r="K1385" s="3" t="s">
        <v>2276</v>
      </c>
      <c r="L1385" s="3" t="s">
        <v>2276</v>
      </c>
      <c r="M1385" s="3" t="s">
        <v>2276</v>
      </c>
      <c r="N1385" s="3" t="s">
        <v>2276</v>
      </c>
      <c r="O1385" s="3" t="s">
        <v>2276</v>
      </c>
      <c r="P1385" s="3" t="s">
        <v>2276</v>
      </c>
      <c r="Q1385" s="3" t="s">
        <v>2276</v>
      </c>
      <c r="R1385" s="3" t="s">
        <v>2276</v>
      </c>
      <c r="S1385" s="3" t="s">
        <v>2276</v>
      </c>
      <c r="T1385" s="3" t="s">
        <v>2276</v>
      </c>
      <c r="U1385" s="3" t="s">
        <v>2276</v>
      </c>
      <c r="V1385" s="3" t="s">
        <v>2276</v>
      </c>
      <c r="W1385" s="3" t="s">
        <v>2276</v>
      </c>
      <c r="X1385" s="3" t="s">
        <v>404</v>
      </c>
      <c r="Y1385" s="3" t="s">
        <v>68</v>
      </c>
      <c r="Z1385" s="3" t="s">
        <v>64</v>
      </c>
      <c r="AA1385" s="4" t="s">
        <v>4190</v>
      </c>
      <c r="AB1385" s="3"/>
    </row>
    <row r="1386" spans="1:28" ht="49.5" customHeight="1">
      <c r="A1386" s="152" t="str">
        <f>'Reported burning'!A1386</f>
        <v>165a</v>
      </c>
      <c r="B1386" s="152" t="str">
        <f>'Reported burning'!B1386</f>
        <v>165a.6</v>
      </c>
      <c r="C1386" s="152" t="str">
        <f>'Reported burning'!C1386</f>
        <v>Human, deliberate</v>
      </c>
      <c r="D1386" s="152" t="str">
        <f>'Reported burning'!D1386</f>
        <v>Hunting</v>
      </c>
      <c r="E1386" s="152" t="str">
        <f>'Reported burning'!E1386</f>
        <v>Mixed cropping-livestock small holder, Subsistence-oriented</v>
      </c>
      <c r="F1386" s="152" t="str">
        <f>'Reported burning'!F1386</f>
        <v>Shrubland (Mixed forest &amp; grassland)</v>
      </c>
      <c r="G1386" s="152" t="str">
        <f>'Reported burning'!G1386</f>
        <v>ND</v>
      </c>
      <c r="H1386" s="152" t="str">
        <f>'Reported burning'!H1386</f>
        <v>Presence</v>
      </c>
      <c r="I1386" s="3"/>
      <c r="J1386" s="3" t="s">
        <v>2276</v>
      </c>
      <c r="K1386" s="3" t="s">
        <v>2276</v>
      </c>
      <c r="L1386" s="3" t="s">
        <v>2276</v>
      </c>
      <c r="M1386" s="3" t="s">
        <v>2276</v>
      </c>
      <c r="N1386" s="3" t="s">
        <v>2276</v>
      </c>
      <c r="O1386" s="3" t="s">
        <v>2276</v>
      </c>
      <c r="P1386" s="3" t="s">
        <v>2276</v>
      </c>
      <c r="Q1386" s="3" t="s">
        <v>2276</v>
      </c>
      <c r="R1386" s="3" t="s">
        <v>2276</v>
      </c>
      <c r="S1386" s="3" t="s">
        <v>2276</v>
      </c>
      <c r="T1386" s="3" t="s">
        <v>2276</v>
      </c>
      <c r="U1386" s="3" t="s">
        <v>2276</v>
      </c>
      <c r="V1386" s="3" t="s">
        <v>2276</v>
      </c>
      <c r="W1386" s="3" t="s">
        <v>2276</v>
      </c>
      <c r="X1386" s="3" t="s">
        <v>404</v>
      </c>
      <c r="Y1386" s="3" t="s">
        <v>68</v>
      </c>
      <c r="Z1386" s="3" t="s">
        <v>76</v>
      </c>
      <c r="AA1386" s="4" t="s">
        <v>4191</v>
      </c>
      <c r="AB1386" s="3"/>
    </row>
    <row r="1387" spans="1:28" ht="49.5" customHeight="1">
      <c r="A1387" s="152" t="str">
        <f>'Reported burning'!A1387</f>
        <v>165a</v>
      </c>
      <c r="B1387" s="152" t="str">
        <f>'Reported burning'!B1387</f>
        <v>165a.7</v>
      </c>
      <c r="C1387" s="152" t="str">
        <f>'Reported burning'!C1387</f>
        <v>Human, deliberate</v>
      </c>
      <c r="D1387" s="152" t="str">
        <f>'Reported burning'!D1387</f>
        <v>Charcoal production</v>
      </c>
      <c r="E1387" s="152" t="str">
        <f>'Reported burning'!E1387</f>
        <v>Forestry, Small-scale</v>
      </c>
      <c r="F1387" s="152" t="str">
        <f>'Reported burning'!F1387</f>
        <v>Shrubland (Mixed forest &amp; grassland)</v>
      </c>
      <c r="G1387" s="152" t="str">
        <f>'Reported burning'!G1387</f>
        <v>ND</v>
      </c>
      <c r="H1387" s="152" t="str">
        <f>'Reported burning'!H1387</f>
        <v>Presence</v>
      </c>
      <c r="I1387" s="3"/>
      <c r="J1387" s="3" t="s">
        <v>2276</v>
      </c>
      <c r="K1387" s="3" t="s">
        <v>2276</v>
      </c>
      <c r="L1387" s="3" t="s">
        <v>2276</v>
      </c>
      <c r="M1387" s="3" t="s">
        <v>2276</v>
      </c>
      <c r="N1387" s="3" t="s">
        <v>2276</v>
      </c>
      <c r="O1387" s="3" t="s">
        <v>2276</v>
      </c>
      <c r="P1387" s="3" t="s">
        <v>2276</v>
      </c>
      <c r="Q1387" s="3" t="s">
        <v>2276</v>
      </c>
      <c r="R1387" s="3" t="s">
        <v>2276</v>
      </c>
      <c r="S1387" s="3" t="s">
        <v>2276</v>
      </c>
      <c r="T1387" s="3" t="s">
        <v>2276</v>
      </c>
      <c r="U1387" s="3" t="s">
        <v>2276</v>
      </c>
      <c r="V1387" s="3" t="s">
        <v>2276</v>
      </c>
      <c r="W1387" s="3" t="s">
        <v>2276</v>
      </c>
      <c r="X1387" s="3" t="s">
        <v>34</v>
      </c>
      <c r="Y1387" s="3" t="s">
        <v>425</v>
      </c>
      <c r="Z1387" s="3" t="s">
        <v>64</v>
      </c>
      <c r="AA1387" s="4" t="s">
        <v>4185</v>
      </c>
      <c r="AB1387" s="3"/>
    </row>
    <row r="1388" spans="1:28" ht="49.5" customHeight="1">
      <c r="A1388" s="152" t="str">
        <f>'Reported burning'!A1388</f>
        <v>165a</v>
      </c>
      <c r="B1388" s="152" t="str">
        <f>'Reported burning'!B1388</f>
        <v>165a.8</v>
      </c>
      <c r="C1388" s="152" t="str">
        <f>'Reported burning'!C1388</f>
        <v>Human, escaped</v>
      </c>
      <c r="D1388" s="152" t="str">
        <f>'Reported burning'!D1388</f>
        <v>Charcoal production</v>
      </c>
      <c r="E1388" s="152" t="str">
        <f>'Reported burning'!E1388</f>
        <v>Forestry, Small-scale</v>
      </c>
      <c r="F1388" s="152" t="str">
        <f>'Reported burning'!F1388</f>
        <v>Shrubland (Mixed forest &amp; grassland)</v>
      </c>
      <c r="G1388" s="152" t="str">
        <f>'Reported burning'!G1388</f>
        <v>ND</v>
      </c>
      <c r="H1388" s="152" t="str">
        <f>'Reported burning'!H1388</f>
        <v>Presence</v>
      </c>
      <c r="I1388" s="3"/>
      <c r="J1388" s="3" t="s">
        <v>2276</v>
      </c>
      <c r="K1388" s="3" t="s">
        <v>2276</v>
      </c>
      <c r="L1388" s="3" t="s">
        <v>2276</v>
      </c>
      <c r="M1388" s="3" t="s">
        <v>2276</v>
      </c>
      <c r="N1388" s="3" t="s">
        <v>2276</v>
      </c>
      <c r="O1388" s="3" t="s">
        <v>2276</v>
      </c>
      <c r="P1388" s="3" t="s">
        <v>2276</v>
      </c>
      <c r="Q1388" s="3" t="s">
        <v>2276</v>
      </c>
      <c r="R1388" s="3" t="s">
        <v>2276</v>
      </c>
      <c r="S1388" s="3" t="s">
        <v>2276</v>
      </c>
      <c r="T1388" s="3" t="s">
        <v>2276</v>
      </c>
      <c r="U1388" s="3" t="s">
        <v>2276</v>
      </c>
      <c r="V1388" s="3" t="s">
        <v>2276</v>
      </c>
      <c r="W1388" s="3" t="s">
        <v>2276</v>
      </c>
      <c r="X1388" s="3" t="s">
        <v>34</v>
      </c>
      <c r="Y1388" s="3" t="s">
        <v>425</v>
      </c>
      <c r="Z1388" s="3" t="s">
        <v>64</v>
      </c>
      <c r="AA1388" s="3"/>
      <c r="AB1388" s="3"/>
    </row>
    <row r="1389" spans="1:28" ht="49.5" customHeight="1">
      <c r="A1389" s="152" t="str">
        <f>'Reported burning'!A1389</f>
        <v>165a</v>
      </c>
      <c r="B1389" s="152" t="str">
        <f>'Reported burning'!B1389</f>
        <v>165a.9</v>
      </c>
      <c r="C1389" s="152" t="str">
        <f>'Reported burning'!C1389</f>
        <v>Human, deliberate</v>
      </c>
      <c r="D1389" s="152" t="str">
        <f>'Reported burning'!D1389</f>
        <v>Harvesting of Timber</v>
      </c>
      <c r="E1389" s="152" t="str">
        <f>'Reported burning'!E1389</f>
        <v>Forestry, Small-scale</v>
      </c>
      <c r="F1389" s="152" t="str">
        <f>'Reported burning'!F1389</f>
        <v>Shrubland (Mixed forest &amp; grassland)</v>
      </c>
      <c r="G1389" s="152" t="str">
        <f>'Reported burning'!G1389</f>
        <v>ND</v>
      </c>
      <c r="H1389" s="152" t="str">
        <f>'Reported burning'!H1389</f>
        <v>Presence</v>
      </c>
      <c r="I1389" s="3"/>
      <c r="J1389" s="3" t="s">
        <v>2276</v>
      </c>
      <c r="K1389" s="3" t="s">
        <v>2276</v>
      </c>
      <c r="L1389" s="3" t="s">
        <v>2276</v>
      </c>
      <c r="M1389" s="3" t="s">
        <v>2276</v>
      </c>
      <c r="N1389" s="3" t="s">
        <v>2276</v>
      </c>
      <c r="O1389" s="3" t="s">
        <v>2276</v>
      </c>
      <c r="P1389" s="3" t="s">
        <v>2276</v>
      </c>
      <c r="Q1389" s="3" t="s">
        <v>2276</v>
      </c>
      <c r="R1389" s="3" t="s">
        <v>2276</v>
      </c>
      <c r="S1389" s="3" t="s">
        <v>2276</v>
      </c>
      <c r="T1389" s="3" t="s">
        <v>2276</v>
      </c>
      <c r="U1389" s="3" t="s">
        <v>2276</v>
      </c>
      <c r="V1389" s="3" t="s">
        <v>2276</v>
      </c>
      <c r="W1389" s="3" t="s">
        <v>2276</v>
      </c>
      <c r="X1389" s="3" t="s">
        <v>34</v>
      </c>
      <c r="Y1389" s="3" t="s">
        <v>68</v>
      </c>
      <c r="Z1389" s="3" t="s">
        <v>76</v>
      </c>
      <c r="AA1389" s="4" t="s">
        <v>4189</v>
      </c>
      <c r="AB1389" s="3"/>
    </row>
    <row r="1390" spans="1:28" ht="49.5" customHeight="1">
      <c r="A1390" s="152" t="str">
        <f>'Reported burning'!A1390</f>
        <v>165a</v>
      </c>
      <c r="B1390" s="152" t="str">
        <f>'Reported burning'!B1390</f>
        <v>165a.10</v>
      </c>
      <c r="C1390" s="152" t="str">
        <f>'Reported burning'!C1390</f>
        <v>Human, deliberate</v>
      </c>
      <c r="D1390" s="152" t="str">
        <f>'Reported burning'!D1390</f>
        <v>Accessibility</v>
      </c>
      <c r="E1390" s="152" t="str">
        <f>'Reported burning'!E1390</f>
        <v>Mixed cropping-livestock small holder, Subsistence-oriented</v>
      </c>
      <c r="F1390" s="152" t="str">
        <f>'Reported burning'!F1390</f>
        <v>Shrubland (Mixed forest &amp; grassland)</v>
      </c>
      <c r="G1390" s="152" t="str">
        <f>'Reported burning'!G1390</f>
        <v>ND</v>
      </c>
      <c r="H1390" s="152" t="str">
        <f>'Reported burning'!H1390</f>
        <v>Presence</v>
      </c>
      <c r="I1390" s="3"/>
      <c r="J1390" s="3" t="s">
        <v>2276</v>
      </c>
      <c r="K1390" s="3" t="s">
        <v>2276</v>
      </c>
      <c r="L1390" s="3" t="s">
        <v>2276</v>
      </c>
      <c r="M1390" s="3" t="s">
        <v>2276</v>
      </c>
      <c r="N1390" s="3" t="s">
        <v>2276</v>
      </c>
      <c r="O1390" s="3" t="s">
        <v>2276</v>
      </c>
      <c r="P1390" s="3" t="s">
        <v>2276</v>
      </c>
      <c r="Q1390" s="3" t="s">
        <v>2276</v>
      </c>
      <c r="R1390" s="3" t="s">
        <v>2276</v>
      </c>
      <c r="S1390" s="3" t="s">
        <v>2276</v>
      </c>
      <c r="T1390" s="3" t="s">
        <v>2276</v>
      </c>
      <c r="U1390" s="3" t="s">
        <v>2276</v>
      </c>
      <c r="V1390" s="3" t="s">
        <v>2276</v>
      </c>
      <c r="W1390" s="3" t="s">
        <v>2276</v>
      </c>
      <c r="X1390" s="3" t="s">
        <v>86</v>
      </c>
      <c r="Y1390" s="3" t="s">
        <v>68</v>
      </c>
      <c r="Z1390" s="3" t="s">
        <v>64</v>
      </c>
      <c r="AA1390" s="4" t="s">
        <v>4193</v>
      </c>
      <c r="AB1390" s="3"/>
    </row>
    <row r="1391" spans="1:28" ht="49.5" customHeight="1">
      <c r="A1391" s="152" t="str">
        <f>'Reported burning'!A1391</f>
        <v>165a</v>
      </c>
      <c r="B1391" s="152" t="str">
        <f>'Reported burning'!B1391</f>
        <v>165a.11</v>
      </c>
      <c r="C1391" s="152" t="str">
        <f>'Reported burning'!C1391</f>
        <v>Human, deliberate</v>
      </c>
      <c r="D1391" s="152" t="str">
        <f>'Reported burning'!D1391</f>
        <v>Harvesting of NTFP</v>
      </c>
      <c r="E1391" s="152" t="str">
        <f>'Reported burning'!E1391</f>
        <v>Forestry, Small-scale</v>
      </c>
      <c r="F1391" s="152" t="str">
        <f>'Reported burning'!F1391</f>
        <v>Forest</v>
      </c>
      <c r="G1391" s="152" t="str">
        <f>'Reported burning'!G1391</f>
        <v>ND</v>
      </c>
      <c r="H1391" s="152" t="str">
        <f>'Reported burning'!H1391</f>
        <v>Presence</v>
      </c>
      <c r="I1391" s="3"/>
      <c r="J1391" s="3" t="s">
        <v>2276</v>
      </c>
      <c r="K1391" s="3" t="s">
        <v>2276</v>
      </c>
      <c r="L1391" s="3" t="s">
        <v>2276</v>
      </c>
      <c r="M1391" s="3" t="s">
        <v>2276</v>
      </c>
      <c r="N1391" s="3" t="s">
        <v>2276</v>
      </c>
      <c r="O1391" s="3" t="s">
        <v>2276</v>
      </c>
      <c r="P1391" s="3" t="s">
        <v>2276</v>
      </c>
      <c r="Q1391" s="3" t="s">
        <v>2276</v>
      </c>
      <c r="R1391" s="3" t="s">
        <v>2276</v>
      </c>
      <c r="S1391" s="3" t="s">
        <v>2276</v>
      </c>
      <c r="T1391" s="3" t="s">
        <v>2276</v>
      </c>
      <c r="U1391" s="3" t="s">
        <v>2276</v>
      </c>
      <c r="V1391" s="3" t="s">
        <v>2276</v>
      </c>
      <c r="W1391" s="3" t="s">
        <v>2276</v>
      </c>
      <c r="X1391" s="3" t="s">
        <v>86</v>
      </c>
      <c r="Y1391" s="3" t="s">
        <v>34</v>
      </c>
      <c r="Z1391" s="3" t="s">
        <v>64</v>
      </c>
      <c r="AA1391" s="4" t="s">
        <v>4192</v>
      </c>
      <c r="AB1391" s="3"/>
    </row>
    <row r="1392" spans="1:28" ht="49.5" customHeight="1">
      <c r="A1392" s="152" t="str">
        <f>'Reported burning'!A1392</f>
        <v>165a</v>
      </c>
      <c r="B1392" s="152" t="str">
        <f>'Reported burning'!B1392</f>
        <v>165a.12</v>
      </c>
      <c r="C1392" s="152" t="str">
        <f>'Reported burning'!C1392</f>
        <v>Human, deliberate</v>
      </c>
      <c r="D1392" s="152" t="str">
        <f>'Reported burning'!D1392</f>
        <v>Arson</v>
      </c>
      <c r="E1392" s="152" t="str">
        <f>'Reported burning'!E1392</f>
        <v>Mixed cropping-livestock small holder, Subsistence-oriented</v>
      </c>
      <c r="F1392" s="152" t="str">
        <f>'Reported burning'!F1392</f>
        <v>Forest</v>
      </c>
      <c r="G1392" s="152" t="str">
        <f>'Reported burning'!G1392</f>
        <v>ND</v>
      </c>
      <c r="H1392" s="152" t="str">
        <f>'Reported burning'!H1392</f>
        <v>Presence</v>
      </c>
      <c r="I1392" s="3"/>
      <c r="J1392" s="3" t="s">
        <v>2276</v>
      </c>
      <c r="K1392" s="3" t="s">
        <v>2276</v>
      </c>
      <c r="L1392" s="3" t="s">
        <v>2276</v>
      </c>
      <c r="M1392" s="3" t="s">
        <v>2276</v>
      </c>
      <c r="N1392" s="3" t="s">
        <v>2276</v>
      </c>
      <c r="O1392" s="3" t="s">
        <v>2276</v>
      </c>
      <c r="P1392" s="3" t="s">
        <v>2276</v>
      </c>
      <c r="Q1392" s="3" t="s">
        <v>2276</v>
      </c>
      <c r="R1392" s="3" t="s">
        <v>2276</v>
      </c>
      <c r="S1392" s="3" t="s">
        <v>2276</v>
      </c>
      <c r="T1392" s="3" t="s">
        <v>2276</v>
      </c>
      <c r="U1392" s="3" t="s">
        <v>2276</v>
      </c>
      <c r="V1392" s="3" t="s">
        <v>2276</v>
      </c>
      <c r="W1392" s="3" t="s">
        <v>2276</v>
      </c>
      <c r="X1392" s="3" t="s">
        <v>2276</v>
      </c>
      <c r="Y1392" s="3" t="s">
        <v>2276</v>
      </c>
      <c r="Z1392" s="3" t="s">
        <v>2276</v>
      </c>
      <c r="AA1392" s="4" t="s">
        <v>4188</v>
      </c>
      <c r="AB1392" s="3"/>
    </row>
    <row r="1393" spans="1:28" ht="49.5" customHeight="1">
      <c r="A1393" s="152" t="str">
        <f>'Reported burning'!A1393</f>
        <v>165a</v>
      </c>
      <c r="B1393" s="152" t="str">
        <f>'Reported burning'!B1393</f>
        <v>165a.13</v>
      </c>
      <c r="C1393" s="152" t="str">
        <f>'Reported burning'!C1393</f>
        <v>Human, escaped</v>
      </c>
      <c r="D1393" s="152" t="str">
        <f>'Reported burning'!D1393</f>
        <v>Domestic</v>
      </c>
      <c r="E1393" s="152" t="str">
        <f>'Reported burning'!E1393</f>
        <v>Mixed cropping-livestock small holder, Subsistence-oriented</v>
      </c>
      <c r="F1393" s="152" t="str">
        <f>'Reported burning'!F1393</f>
        <v>ND</v>
      </c>
      <c r="G1393" s="152" t="str">
        <f>'Reported burning'!G1393</f>
        <v>ND</v>
      </c>
      <c r="H1393" s="152" t="str">
        <f>'Reported burning'!H1393</f>
        <v>Presence</v>
      </c>
      <c r="I1393" s="3"/>
      <c r="J1393" s="3" t="s">
        <v>2276</v>
      </c>
      <c r="K1393" s="3" t="s">
        <v>2276</v>
      </c>
      <c r="L1393" s="3" t="s">
        <v>2276</v>
      </c>
      <c r="M1393" s="3" t="s">
        <v>2276</v>
      </c>
      <c r="N1393" s="3" t="s">
        <v>2276</v>
      </c>
      <c r="O1393" s="3" t="s">
        <v>2276</v>
      </c>
      <c r="P1393" s="3" t="s">
        <v>2276</v>
      </c>
      <c r="Q1393" s="3" t="s">
        <v>2276</v>
      </c>
      <c r="R1393" s="3" t="s">
        <v>2276</v>
      </c>
      <c r="S1393" s="3" t="s">
        <v>2276</v>
      </c>
      <c r="T1393" s="3" t="s">
        <v>2276</v>
      </c>
      <c r="U1393" s="3" t="s">
        <v>2276</v>
      </c>
      <c r="V1393" s="3" t="s">
        <v>2276</v>
      </c>
      <c r="W1393" s="3" t="s">
        <v>2276</v>
      </c>
      <c r="X1393" s="3" t="s">
        <v>399</v>
      </c>
      <c r="Y1393" s="3" t="s">
        <v>127</v>
      </c>
      <c r="Z1393" s="3" t="s">
        <v>2312</v>
      </c>
      <c r="AA1393" s="4" t="s">
        <v>4186</v>
      </c>
      <c r="AB1393" s="3"/>
    </row>
    <row r="1394" spans="1:28" ht="49.5" customHeight="1">
      <c r="A1394" s="152" t="str">
        <f>'Reported burning'!A1394</f>
        <v>165a</v>
      </c>
      <c r="B1394" s="152" t="str">
        <f>'Reported burning'!B1394</f>
        <v>165a.14</v>
      </c>
      <c r="C1394" s="152" t="str">
        <f>'Reported burning'!C1394</f>
        <v>Human, escaped</v>
      </c>
      <c r="D1394" s="152" t="str">
        <f>'Reported burning'!D1394</f>
        <v>Domestic</v>
      </c>
      <c r="E1394" s="152" t="str">
        <f>'Reported burning'!E1394</f>
        <v>Forestry, Small-scale</v>
      </c>
      <c r="F1394" s="152" t="str">
        <f>'Reported burning'!F1394</f>
        <v>ND</v>
      </c>
      <c r="G1394" s="152" t="str">
        <f>'Reported burning'!G1394</f>
        <v>ND</v>
      </c>
      <c r="H1394" s="152" t="str">
        <f>'Reported burning'!H1394</f>
        <v>Presence</v>
      </c>
      <c r="I1394" s="3"/>
      <c r="J1394" s="3" t="s">
        <v>2276</v>
      </c>
      <c r="K1394" s="3" t="s">
        <v>2276</v>
      </c>
      <c r="L1394" s="3" t="s">
        <v>2276</v>
      </c>
      <c r="M1394" s="3" t="s">
        <v>2276</v>
      </c>
      <c r="N1394" s="3" t="s">
        <v>2276</v>
      </c>
      <c r="O1394" s="3" t="s">
        <v>2276</v>
      </c>
      <c r="P1394" s="3" t="s">
        <v>2276</v>
      </c>
      <c r="Q1394" s="3" t="s">
        <v>2276</v>
      </c>
      <c r="R1394" s="3" t="s">
        <v>2276</v>
      </c>
      <c r="S1394" s="3" t="s">
        <v>2276</v>
      </c>
      <c r="T1394" s="3" t="s">
        <v>2276</v>
      </c>
      <c r="U1394" s="3" t="s">
        <v>2276</v>
      </c>
      <c r="V1394" s="3" t="s">
        <v>2276</v>
      </c>
      <c r="W1394" s="3" t="s">
        <v>2276</v>
      </c>
      <c r="X1394" s="3" t="s">
        <v>399</v>
      </c>
      <c r="Y1394" s="3" t="s">
        <v>127</v>
      </c>
      <c r="Z1394" s="3" t="s">
        <v>2312</v>
      </c>
      <c r="AA1394" s="4" t="s">
        <v>4186</v>
      </c>
      <c r="AB1394" s="3"/>
    </row>
    <row r="1395" spans="1:28" ht="49.5" customHeight="1">
      <c r="A1395" s="152" t="str">
        <f>'Reported burning'!A1395</f>
        <v>165b</v>
      </c>
      <c r="B1395" s="152" t="str">
        <f>'Reported burning'!B1395</f>
        <v>165b.1</v>
      </c>
      <c r="C1395" s="152" t="str">
        <f>'Reported burning'!C1395</f>
        <v>Human, deliberate</v>
      </c>
      <c r="D1395" s="152" t="str">
        <f>'Reported burning'!D1395</f>
        <v>Pasture renewal</v>
      </c>
      <c r="E1395" s="152" t="str">
        <f>'Reported burning'!E1395</f>
        <v>Pastoralism, Migratory</v>
      </c>
      <c r="F1395" s="152" t="str">
        <f>'Reported burning'!F1395</f>
        <v>Shrubland (Mixed forest &amp; grassland)</v>
      </c>
      <c r="G1395" s="152" t="str">
        <f>'Reported burning'!G1395</f>
        <v>ND</v>
      </c>
      <c r="H1395" s="152" t="str">
        <f>'Reported burning'!H1395</f>
        <v>Presence</v>
      </c>
      <c r="I1395" s="3"/>
      <c r="J1395" s="3" t="s">
        <v>2276</v>
      </c>
      <c r="K1395" s="3" t="s">
        <v>2276</v>
      </c>
      <c r="L1395" s="3" t="s">
        <v>2276</v>
      </c>
      <c r="M1395" s="3" t="s">
        <v>2276</v>
      </c>
      <c r="N1395" s="3" t="s">
        <v>2276</v>
      </c>
      <c r="O1395" s="3" t="s">
        <v>2276</v>
      </c>
      <c r="P1395" s="3" t="s">
        <v>2276</v>
      </c>
      <c r="Q1395" s="3" t="s">
        <v>2276</v>
      </c>
      <c r="R1395" s="3" t="s">
        <v>2276</v>
      </c>
      <c r="S1395" s="3" t="s">
        <v>2276</v>
      </c>
      <c r="T1395" s="3" t="s">
        <v>2276</v>
      </c>
      <c r="U1395" s="3" t="s">
        <v>2276</v>
      </c>
      <c r="V1395" s="3" t="s">
        <v>2276</v>
      </c>
      <c r="W1395" s="3" t="s">
        <v>2276</v>
      </c>
      <c r="X1395" s="3" t="s">
        <v>404</v>
      </c>
      <c r="Y1395" s="3" t="s">
        <v>425</v>
      </c>
      <c r="Z1395" s="3" t="s">
        <v>64</v>
      </c>
      <c r="AA1395" s="4" t="s">
        <v>4185</v>
      </c>
      <c r="AB1395" s="3"/>
    </row>
    <row r="1396" spans="1:28" ht="49.5" customHeight="1">
      <c r="A1396" s="152" t="str">
        <f>'Reported burning'!A1396</f>
        <v>165b</v>
      </c>
      <c r="B1396" s="152" t="str">
        <f>'Reported burning'!B1396</f>
        <v>165b.2</v>
      </c>
      <c r="C1396" s="152" t="str">
        <f>'Reported burning'!C1396</f>
        <v>Human, deliberate</v>
      </c>
      <c r="D1396" s="152" t="str">
        <f>'Reported burning'!D1396</f>
        <v>Pasture renewal</v>
      </c>
      <c r="E1396" s="152" t="str">
        <f>'Reported burning'!E1396</f>
        <v>Cattle, Extensive</v>
      </c>
      <c r="F1396" s="152" t="str">
        <f>'Reported burning'!F1396</f>
        <v>Shrubland (Mixed forest &amp; grassland)</v>
      </c>
      <c r="G1396" s="152" t="str">
        <f>'Reported burning'!G1396</f>
        <v>ND</v>
      </c>
      <c r="H1396" s="152" t="str">
        <f>'Reported burning'!H1396</f>
        <v>Presence</v>
      </c>
      <c r="I1396" s="3"/>
      <c r="J1396" s="3" t="s">
        <v>2276</v>
      </c>
      <c r="K1396" s="3" t="s">
        <v>2276</v>
      </c>
      <c r="L1396" s="3" t="s">
        <v>2276</v>
      </c>
      <c r="M1396" s="3" t="s">
        <v>2276</v>
      </c>
      <c r="N1396" s="3" t="s">
        <v>2276</v>
      </c>
      <c r="O1396" s="3" t="s">
        <v>2276</v>
      </c>
      <c r="P1396" s="3" t="s">
        <v>2276</v>
      </c>
      <c r="Q1396" s="3" t="s">
        <v>2276</v>
      </c>
      <c r="R1396" s="3" t="s">
        <v>2276</v>
      </c>
      <c r="S1396" s="3" t="s">
        <v>2276</v>
      </c>
      <c r="T1396" s="3" t="s">
        <v>2276</v>
      </c>
      <c r="U1396" s="3" t="s">
        <v>2276</v>
      </c>
      <c r="V1396" s="3" t="s">
        <v>2276</v>
      </c>
      <c r="W1396" s="3" t="s">
        <v>2276</v>
      </c>
      <c r="X1396" s="3" t="s">
        <v>404</v>
      </c>
      <c r="Y1396" s="3" t="s">
        <v>425</v>
      </c>
      <c r="Z1396" s="3" t="s">
        <v>64</v>
      </c>
      <c r="AA1396" s="4" t="s">
        <v>4185</v>
      </c>
      <c r="AB1396" s="3"/>
    </row>
    <row r="1397" spans="1:28" ht="49.5" customHeight="1">
      <c r="A1397" s="152" t="str">
        <f>'Reported burning'!A1397</f>
        <v>165b</v>
      </c>
      <c r="B1397" s="152" t="str">
        <f>'Reported burning'!B1397</f>
        <v>165b.3</v>
      </c>
      <c r="C1397" s="152" t="str">
        <f>'Reported burning'!C1397</f>
        <v>Human, deliberate</v>
      </c>
      <c r="D1397" s="152" t="str">
        <f>'Reported burning'!D1397</f>
        <v>Pest management</v>
      </c>
      <c r="E1397" s="152" t="str">
        <f>'Reported burning'!E1397</f>
        <v>Pastoralism, Migratory</v>
      </c>
      <c r="F1397" s="152" t="str">
        <f>'Reported burning'!F1397</f>
        <v>Shrubland (Mixed forest &amp; grassland)</v>
      </c>
      <c r="G1397" s="152" t="str">
        <f>'Reported burning'!G1397</f>
        <v>ND</v>
      </c>
      <c r="H1397" s="152" t="str">
        <f>'Reported burning'!H1397</f>
        <v>Presence</v>
      </c>
      <c r="I1397" s="3"/>
      <c r="J1397" s="3" t="s">
        <v>2276</v>
      </c>
      <c r="K1397" s="3" t="s">
        <v>2276</v>
      </c>
      <c r="L1397" s="3" t="s">
        <v>2276</v>
      </c>
      <c r="M1397" s="3" t="s">
        <v>2276</v>
      </c>
      <c r="N1397" s="3" t="s">
        <v>2276</v>
      </c>
      <c r="O1397" s="3" t="s">
        <v>2276</v>
      </c>
      <c r="P1397" s="3" t="s">
        <v>2276</v>
      </c>
      <c r="Q1397" s="3" t="s">
        <v>2276</v>
      </c>
      <c r="R1397" s="3" t="s">
        <v>2276</v>
      </c>
      <c r="S1397" s="3" t="s">
        <v>2276</v>
      </c>
      <c r="T1397" s="3" t="s">
        <v>2276</v>
      </c>
      <c r="U1397" s="3" t="s">
        <v>2276</v>
      </c>
      <c r="V1397" s="3" t="s">
        <v>2276</v>
      </c>
      <c r="W1397" s="3" t="s">
        <v>2276</v>
      </c>
      <c r="X1397" s="3" t="s">
        <v>86</v>
      </c>
      <c r="Y1397" s="3" t="s">
        <v>68</v>
      </c>
      <c r="Z1397" s="3" t="s">
        <v>64</v>
      </c>
      <c r="AA1397" s="4" t="s">
        <v>4185</v>
      </c>
      <c r="AB1397" s="3"/>
    </row>
    <row r="1398" spans="1:28" ht="49.5" customHeight="1">
      <c r="A1398" s="152" t="str">
        <f>'Reported burning'!A1398</f>
        <v>165b</v>
      </c>
      <c r="B1398" s="152" t="str">
        <f>'Reported burning'!B1398</f>
        <v>165b.4</v>
      </c>
      <c r="C1398" s="152" t="str">
        <f>'Reported burning'!C1398</f>
        <v>Human, deliberate</v>
      </c>
      <c r="D1398" s="152" t="str">
        <f>'Reported burning'!D1398</f>
        <v>Pest management</v>
      </c>
      <c r="E1398" s="152" t="str">
        <f>'Reported burning'!E1398</f>
        <v>Cattle, Extensive</v>
      </c>
      <c r="F1398" s="152" t="str">
        <f>'Reported burning'!F1398</f>
        <v>Shrubland (Mixed forest &amp; grassland)</v>
      </c>
      <c r="G1398" s="152" t="str">
        <f>'Reported burning'!G1398</f>
        <v>ND</v>
      </c>
      <c r="H1398" s="152" t="str">
        <f>'Reported burning'!H1398</f>
        <v>Presence</v>
      </c>
      <c r="I1398" s="3"/>
      <c r="J1398" s="3" t="s">
        <v>2276</v>
      </c>
      <c r="K1398" s="3" t="s">
        <v>2276</v>
      </c>
      <c r="L1398" s="3" t="s">
        <v>2276</v>
      </c>
      <c r="M1398" s="3" t="s">
        <v>2276</v>
      </c>
      <c r="N1398" s="3" t="s">
        <v>2276</v>
      </c>
      <c r="O1398" s="3" t="s">
        <v>2276</v>
      </c>
      <c r="P1398" s="3" t="s">
        <v>2276</v>
      </c>
      <c r="Q1398" s="3" t="s">
        <v>2276</v>
      </c>
      <c r="R1398" s="3" t="s">
        <v>2276</v>
      </c>
      <c r="S1398" s="3" t="s">
        <v>2276</v>
      </c>
      <c r="T1398" s="3" t="s">
        <v>2276</v>
      </c>
      <c r="U1398" s="3" t="s">
        <v>2276</v>
      </c>
      <c r="V1398" s="3" t="s">
        <v>2276</v>
      </c>
      <c r="W1398" s="3" t="s">
        <v>2276</v>
      </c>
      <c r="X1398" s="3" t="s">
        <v>86</v>
      </c>
      <c r="Y1398" s="3" t="s">
        <v>68</v>
      </c>
      <c r="Z1398" s="3" t="s">
        <v>64</v>
      </c>
      <c r="AA1398" s="4" t="s">
        <v>4185</v>
      </c>
      <c r="AB1398" s="3"/>
    </row>
    <row r="1399" spans="1:28" ht="49.5" customHeight="1">
      <c r="A1399" s="152" t="str">
        <f>'Reported burning'!A1399</f>
        <v>165b</v>
      </c>
      <c r="B1399" s="152" t="str">
        <f>'Reported burning'!B1399</f>
        <v>165b.5</v>
      </c>
      <c r="C1399" s="152" t="str">
        <f>'Reported burning'!C1399</f>
        <v>Human, deliberate</v>
      </c>
      <c r="D1399" s="152" t="str">
        <f>'Reported burning'!D1399</f>
        <v>Harvesting of NTFP</v>
      </c>
      <c r="E1399" s="152" t="str">
        <f>'Reported burning'!E1399</f>
        <v>Pastoralism, Migratory</v>
      </c>
      <c r="F1399" s="152" t="str">
        <f>'Reported burning'!F1399</f>
        <v>Forest</v>
      </c>
      <c r="G1399" s="152" t="str">
        <f>'Reported burning'!G1399</f>
        <v>ND</v>
      </c>
      <c r="H1399" s="152" t="str">
        <f>'Reported burning'!H1399</f>
        <v>Presence</v>
      </c>
      <c r="I1399" s="3"/>
      <c r="J1399" s="3" t="s">
        <v>2276</v>
      </c>
      <c r="K1399" s="3" t="s">
        <v>2276</v>
      </c>
      <c r="L1399" s="3" t="s">
        <v>2276</v>
      </c>
      <c r="M1399" s="3" t="s">
        <v>2276</v>
      </c>
      <c r="N1399" s="3" t="s">
        <v>2276</v>
      </c>
      <c r="O1399" s="3" t="s">
        <v>2276</v>
      </c>
      <c r="P1399" s="3" t="s">
        <v>2276</v>
      </c>
      <c r="Q1399" s="3" t="s">
        <v>2276</v>
      </c>
      <c r="R1399" s="3" t="s">
        <v>2276</v>
      </c>
      <c r="S1399" s="3" t="s">
        <v>2276</v>
      </c>
      <c r="T1399" s="3" t="s">
        <v>2276</v>
      </c>
      <c r="U1399" s="3" t="s">
        <v>2276</v>
      </c>
      <c r="V1399" s="3" t="s">
        <v>2276</v>
      </c>
      <c r="W1399" s="3" t="s">
        <v>2276</v>
      </c>
      <c r="X1399" s="3" t="s">
        <v>86</v>
      </c>
      <c r="Y1399" s="3" t="s">
        <v>404</v>
      </c>
      <c r="Z1399" s="3" t="s">
        <v>64</v>
      </c>
      <c r="AA1399" s="4" t="s">
        <v>4194</v>
      </c>
      <c r="AB1399" s="3"/>
    </row>
    <row r="1400" spans="1:28" ht="49.5" customHeight="1">
      <c r="A1400" s="152" t="str">
        <f>'Reported burning'!A1400</f>
        <v>165b</v>
      </c>
      <c r="B1400" s="152" t="str">
        <f>'Reported burning'!B1400</f>
        <v>165b.6</v>
      </c>
      <c r="C1400" s="152" t="str">
        <f>'Reported burning'!C1400</f>
        <v>Human, deliberate</v>
      </c>
      <c r="D1400" s="152" t="str">
        <f>'Reported burning'!D1400</f>
        <v>Harvesting of NTFP</v>
      </c>
      <c r="E1400" s="152" t="str">
        <f>'Reported burning'!E1400</f>
        <v>Cattle, Extensive</v>
      </c>
      <c r="F1400" s="152" t="str">
        <f>'Reported burning'!F1400</f>
        <v>Forest</v>
      </c>
      <c r="G1400" s="152" t="str">
        <f>'Reported burning'!G1400</f>
        <v>ND</v>
      </c>
      <c r="H1400" s="152" t="str">
        <f>'Reported burning'!H1400</f>
        <v>Presence</v>
      </c>
      <c r="I1400" s="3"/>
      <c r="J1400" s="3" t="s">
        <v>2276</v>
      </c>
      <c r="K1400" s="3" t="s">
        <v>2276</v>
      </c>
      <c r="L1400" s="3" t="s">
        <v>2276</v>
      </c>
      <c r="M1400" s="3" t="s">
        <v>2276</v>
      </c>
      <c r="N1400" s="3" t="s">
        <v>2276</v>
      </c>
      <c r="O1400" s="3" t="s">
        <v>2276</v>
      </c>
      <c r="P1400" s="3" t="s">
        <v>2276</v>
      </c>
      <c r="Q1400" s="3" t="s">
        <v>2276</v>
      </c>
      <c r="R1400" s="3" t="s">
        <v>2276</v>
      </c>
      <c r="S1400" s="3" t="s">
        <v>2276</v>
      </c>
      <c r="T1400" s="3" t="s">
        <v>2276</v>
      </c>
      <c r="U1400" s="3" t="s">
        <v>2276</v>
      </c>
      <c r="V1400" s="3" t="s">
        <v>2276</v>
      </c>
      <c r="W1400" s="3" t="s">
        <v>2276</v>
      </c>
      <c r="X1400" s="3" t="s">
        <v>86</v>
      </c>
      <c r="Y1400" s="3" t="s">
        <v>404</v>
      </c>
      <c r="Z1400" s="3" t="s">
        <v>64</v>
      </c>
      <c r="AA1400" s="4" t="s">
        <v>4194</v>
      </c>
      <c r="AB1400" s="3"/>
    </row>
    <row r="1401" spans="1:28" ht="49.5" customHeight="1">
      <c r="A1401" s="152" t="str">
        <f>'Reported burning'!A1401</f>
        <v>165b</v>
      </c>
      <c r="B1401" s="152" t="str">
        <f>'Reported burning'!B1401</f>
        <v>165b.7</v>
      </c>
      <c r="C1401" s="152" t="str">
        <f>'Reported burning'!C1401</f>
        <v>Human, deliberate</v>
      </c>
      <c r="D1401" s="152" t="str">
        <f>'Reported burning'!D1401</f>
        <v>Harvesting of Timber</v>
      </c>
      <c r="E1401" s="152" t="str">
        <f>'Reported burning'!E1401</f>
        <v>Pastoralism, Migratory</v>
      </c>
      <c r="F1401" s="152" t="str">
        <f>'Reported burning'!F1401</f>
        <v>Forest</v>
      </c>
      <c r="G1401" s="152" t="str">
        <f>'Reported burning'!G1401</f>
        <v>ND</v>
      </c>
      <c r="H1401" s="152" t="str">
        <f>'Reported burning'!H1401</f>
        <v>Presence</v>
      </c>
      <c r="I1401" s="3"/>
      <c r="J1401" s="3" t="s">
        <v>2276</v>
      </c>
      <c r="K1401" s="3" t="s">
        <v>2276</v>
      </c>
      <c r="L1401" s="3" t="s">
        <v>2276</v>
      </c>
      <c r="M1401" s="3" t="s">
        <v>2276</v>
      </c>
      <c r="N1401" s="3" t="s">
        <v>2276</v>
      </c>
      <c r="O1401" s="3" t="s">
        <v>2276</v>
      </c>
      <c r="P1401" s="3" t="s">
        <v>2276</v>
      </c>
      <c r="Q1401" s="3" t="s">
        <v>2276</v>
      </c>
      <c r="R1401" s="3" t="s">
        <v>2276</v>
      </c>
      <c r="S1401" s="3" t="s">
        <v>2276</v>
      </c>
      <c r="T1401" s="3" t="s">
        <v>2276</v>
      </c>
      <c r="U1401" s="3" t="s">
        <v>2276</v>
      </c>
      <c r="V1401" s="3" t="s">
        <v>2276</v>
      </c>
      <c r="W1401" s="3" t="s">
        <v>2276</v>
      </c>
      <c r="X1401" s="3" t="s">
        <v>425</v>
      </c>
      <c r="Y1401" s="3" t="s">
        <v>68</v>
      </c>
      <c r="Z1401" s="3" t="s">
        <v>64</v>
      </c>
      <c r="AA1401" s="4" t="s">
        <v>4195</v>
      </c>
      <c r="AB1401" s="3"/>
    </row>
    <row r="1402" spans="1:28" ht="49.5" customHeight="1">
      <c r="A1402" s="152" t="str">
        <f>'Reported burning'!A1402</f>
        <v>165b</v>
      </c>
      <c r="B1402" s="152" t="str">
        <f>'Reported burning'!B1402</f>
        <v>165b.8</v>
      </c>
      <c r="C1402" s="152" t="str">
        <f>'Reported burning'!C1402</f>
        <v>Human, deliberate</v>
      </c>
      <c r="D1402" s="152" t="str">
        <f>'Reported burning'!D1402</f>
        <v>Harvesting of Timber</v>
      </c>
      <c r="E1402" s="152" t="str">
        <f>'Reported burning'!E1402</f>
        <v>Cattle, Extensive</v>
      </c>
      <c r="F1402" s="152" t="str">
        <f>'Reported burning'!F1402</f>
        <v>Forest</v>
      </c>
      <c r="G1402" s="152" t="str">
        <f>'Reported burning'!G1402</f>
        <v>ND</v>
      </c>
      <c r="H1402" s="152" t="str">
        <f>'Reported burning'!H1402</f>
        <v>Presence</v>
      </c>
      <c r="I1402" s="3"/>
      <c r="J1402" s="3" t="s">
        <v>2276</v>
      </c>
      <c r="K1402" s="3" t="s">
        <v>2276</v>
      </c>
      <c r="L1402" s="3" t="s">
        <v>2276</v>
      </c>
      <c r="M1402" s="3" t="s">
        <v>2276</v>
      </c>
      <c r="N1402" s="3" t="s">
        <v>2276</v>
      </c>
      <c r="O1402" s="3" t="s">
        <v>2276</v>
      </c>
      <c r="P1402" s="3" t="s">
        <v>2276</v>
      </c>
      <c r="Q1402" s="3" t="s">
        <v>2276</v>
      </c>
      <c r="R1402" s="3" t="s">
        <v>2276</v>
      </c>
      <c r="S1402" s="3" t="s">
        <v>2276</v>
      </c>
      <c r="T1402" s="3" t="s">
        <v>2276</v>
      </c>
      <c r="U1402" s="3" t="s">
        <v>2276</v>
      </c>
      <c r="V1402" s="3" t="s">
        <v>2276</v>
      </c>
      <c r="W1402" s="3" t="s">
        <v>2276</v>
      </c>
      <c r="X1402" s="3" t="s">
        <v>425</v>
      </c>
      <c r="Y1402" s="3" t="s">
        <v>68</v>
      </c>
      <c r="Z1402" s="3" t="s">
        <v>64</v>
      </c>
      <c r="AA1402" s="4" t="s">
        <v>4195</v>
      </c>
      <c r="AB1402" s="3"/>
    </row>
    <row r="1403" spans="1:28" ht="49.5" customHeight="1">
      <c r="A1403" s="152" t="str">
        <f>'Reported burning'!A1403</f>
        <v>165b</v>
      </c>
      <c r="B1403" s="152" t="str">
        <f>'Reported burning'!B1403</f>
        <v>165b.9</v>
      </c>
      <c r="C1403" s="152" t="str">
        <f>'Reported burning'!C1403</f>
        <v>Human, deliberate</v>
      </c>
      <c r="D1403" s="152" t="str">
        <f>'Reported burning'!D1403</f>
        <v>Accessibility</v>
      </c>
      <c r="E1403" s="152" t="str">
        <f>'Reported burning'!E1403</f>
        <v>Pastoralism, Migratory</v>
      </c>
      <c r="F1403" s="152" t="str">
        <f>'Reported burning'!F1403</f>
        <v>Shrubland (Mixed forest &amp; grassland)</v>
      </c>
      <c r="G1403" s="152" t="str">
        <f>'Reported burning'!G1403</f>
        <v>ND</v>
      </c>
      <c r="H1403" s="152" t="str">
        <f>'Reported burning'!H1403</f>
        <v>Presence</v>
      </c>
      <c r="I1403" s="3"/>
      <c r="J1403" s="3" t="s">
        <v>2276</v>
      </c>
      <c r="K1403" s="3" t="s">
        <v>2276</v>
      </c>
      <c r="L1403" s="3" t="s">
        <v>2276</v>
      </c>
      <c r="M1403" s="3" t="s">
        <v>2276</v>
      </c>
      <c r="N1403" s="3" t="s">
        <v>2276</v>
      </c>
      <c r="O1403" s="3" t="s">
        <v>2276</v>
      </c>
      <c r="P1403" s="3" t="s">
        <v>2276</v>
      </c>
      <c r="Q1403" s="3" t="s">
        <v>2276</v>
      </c>
      <c r="R1403" s="3" t="s">
        <v>2276</v>
      </c>
      <c r="S1403" s="3" t="s">
        <v>2276</v>
      </c>
      <c r="T1403" s="3" t="s">
        <v>2276</v>
      </c>
      <c r="U1403" s="3" t="s">
        <v>2276</v>
      </c>
      <c r="V1403" s="3" t="s">
        <v>2276</v>
      </c>
      <c r="W1403" s="3" t="s">
        <v>2276</v>
      </c>
      <c r="X1403" s="3" t="s">
        <v>86</v>
      </c>
      <c r="Y1403" s="3" t="s">
        <v>68</v>
      </c>
      <c r="Z1403" s="3" t="s">
        <v>64</v>
      </c>
      <c r="AA1403" s="19" t="s">
        <v>4187</v>
      </c>
      <c r="AB1403" s="3"/>
    </row>
    <row r="1404" spans="1:28" ht="49.5" customHeight="1">
      <c r="A1404" s="152" t="str">
        <f>'Reported burning'!A1404</f>
        <v>165b</v>
      </c>
      <c r="B1404" s="152" t="str">
        <f>'Reported burning'!B1404</f>
        <v>165b.10</v>
      </c>
      <c r="C1404" s="152" t="str">
        <f>'Reported burning'!C1404</f>
        <v>Human, deliberate</v>
      </c>
      <c r="D1404" s="152" t="str">
        <f>'Reported burning'!D1404</f>
        <v>Accessibility</v>
      </c>
      <c r="E1404" s="152" t="str">
        <f>'Reported burning'!E1404</f>
        <v>Cattle, Extensive</v>
      </c>
      <c r="F1404" s="152" t="str">
        <f>'Reported burning'!F1404</f>
        <v>Shrubland (Mixed forest &amp; grassland)</v>
      </c>
      <c r="G1404" s="152" t="str">
        <f>'Reported burning'!G1404</f>
        <v>ND</v>
      </c>
      <c r="H1404" s="152" t="str">
        <f>'Reported burning'!H1404</f>
        <v>Presence</v>
      </c>
      <c r="I1404" s="3"/>
      <c r="J1404" s="3" t="s">
        <v>2276</v>
      </c>
      <c r="K1404" s="3" t="s">
        <v>2276</v>
      </c>
      <c r="L1404" s="3" t="s">
        <v>2276</v>
      </c>
      <c r="M1404" s="3" t="s">
        <v>2276</v>
      </c>
      <c r="N1404" s="3" t="s">
        <v>2276</v>
      </c>
      <c r="O1404" s="3" t="s">
        <v>2276</v>
      </c>
      <c r="P1404" s="3" t="s">
        <v>2276</v>
      </c>
      <c r="Q1404" s="3" t="s">
        <v>2276</v>
      </c>
      <c r="R1404" s="3" t="s">
        <v>2276</v>
      </c>
      <c r="S1404" s="3" t="s">
        <v>2276</v>
      </c>
      <c r="T1404" s="3" t="s">
        <v>2276</v>
      </c>
      <c r="U1404" s="3" t="s">
        <v>2276</v>
      </c>
      <c r="V1404" s="3" t="s">
        <v>2276</v>
      </c>
      <c r="W1404" s="3" t="s">
        <v>2276</v>
      </c>
      <c r="X1404" s="3" t="s">
        <v>86</v>
      </c>
      <c r="Y1404" s="3" t="s">
        <v>68</v>
      </c>
      <c r="Z1404" s="3" t="s">
        <v>64</v>
      </c>
      <c r="AA1404" s="19" t="s">
        <v>4187</v>
      </c>
      <c r="AB1404" s="3"/>
    </row>
    <row r="1405" spans="1:28" ht="49.5" customHeight="1">
      <c r="A1405" s="152" t="str">
        <f>'Reported burning'!A1405</f>
        <v>165b</v>
      </c>
      <c r="B1405" s="152" t="str">
        <f>'Reported burning'!B1405</f>
        <v>165b.11</v>
      </c>
      <c r="C1405" s="152" t="str">
        <f>'Reported burning'!C1405</f>
        <v>Human, escaped</v>
      </c>
      <c r="D1405" s="152" t="str">
        <f>'Reported burning'!D1405</f>
        <v>Domestic</v>
      </c>
      <c r="E1405" s="152" t="str">
        <f>'Reported burning'!E1405</f>
        <v>Pastoralism, Migratory</v>
      </c>
      <c r="F1405" s="152" t="str">
        <f>'Reported burning'!F1405</f>
        <v>ND</v>
      </c>
      <c r="G1405" s="152" t="str">
        <f>'Reported burning'!G1405</f>
        <v>ND</v>
      </c>
      <c r="H1405" s="152" t="str">
        <f>'Reported burning'!H1405</f>
        <v>Presence</v>
      </c>
      <c r="I1405" s="3"/>
      <c r="J1405" s="3" t="s">
        <v>2276</v>
      </c>
      <c r="K1405" s="3" t="s">
        <v>2276</v>
      </c>
      <c r="L1405" s="3" t="s">
        <v>2276</v>
      </c>
      <c r="M1405" s="3" t="s">
        <v>2276</v>
      </c>
      <c r="N1405" s="3" t="s">
        <v>2276</v>
      </c>
      <c r="O1405" s="3" t="s">
        <v>2276</v>
      </c>
      <c r="P1405" s="3" t="s">
        <v>2276</v>
      </c>
      <c r="Q1405" s="3" t="s">
        <v>2276</v>
      </c>
      <c r="R1405" s="3" t="s">
        <v>2276</v>
      </c>
      <c r="S1405" s="3" t="s">
        <v>2276</v>
      </c>
      <c r="T1405" s="3" t="s">
        <v>2276</v>
      </c>
      <c r="U1405" s="3" t="s">
        <v>2276</v>
      </c>
      <c r="V1405" s="3" t="s">
        <v>2276</v>
      </c>
      <c r="W1405" s="3" t="s">
        <v>2276</v>
      </c>
      <c r="X1405" s="3" t="s">
        <v>399</v>
      </c>
      <c r="Y1405" s="3" t="s">
        <v>127</v>
      </c>
      <c r="Z1405" s="3" t="s">
        <v>2312</v>
      </c>
      <c r="AA1405" s="4" t="s">
        <v>4186</v>
      </c>
      <c r="AB1405" s="3"/>
    </row>
    <row r="1406" spans="1:28" ht="49.5" customHeight="1">
      <c r="A1406" s="152" t="str">
        <f>'Reported burning'!A1406</f>
        <v>165b</v>
      </c>
      <c r="B1406" s="152" t="str">
        <f>'Reported burning'!B1406</f>
        <v>165b.12</v>
      </c>
      <c r="C1406" s="152" t="str">
        <f>'Reported burning'!C1406</f>
        <v>Human, escaped</v>
      </c>
      <c r="D1406" s="152" t="str">
        <f>'Reported burning'!D1406</f>
        <v>Domestic</v>
      </c>
      <c r="E1406" s="152" t="str">
        <f>'Reported burning'!E1406</f>
        <v>Cattle, Extensive</v>
      </c>
      <c r="F1406" s="152" t="str">
        <f>'Reported burning'!F1406</f>
        <v>ND</v>
      </c>
      <c r="G1406" s="152" t="str">
        <f>'Reported burning'!G1406</f>
        <v>ND</v>
      </c>
      <c r="H1406" s="152" t="str">
        <f>'Reported burning'!H1406</f>
        <v>Presence</v>
      </c>
      <c r="I1406" s="3"/>
      <c r="J1406" s="3" t="s">
        <v>2276</v>
      </c>
      <c r="K1406" s="3" t="s">
        <v>2276</v>
      </c>
      <c r="L1406" s="3" t="s">
        <v>2276</v>
      </c>
      <c r="M1406" s="3" t="s">
        <v>2276</v>
      </c>
      <c r="N1406" s="3" t="s">
        <v>2276</v>
      </c>
      <c r="O1406" s="3" t="s">
        <v>2276</v>
      </c>
      <c r="P1406" s="3" t="s">
        <v>2276</v>
      </c>
      <c r="Q1406" s="3" t="s">
        <v>2276</v>
      </c>
      <c r="R1406" s="3" t="s">
        <v>2276</v>
      </c>
      <c r="S1406" s="3" t="s">
        <v>2276</v>
      </c>
      <c r="T1406" s="3" t="s">
        <v>2276</v>
      </c>
      <c r="U1406" s="3" t="s">
        <v>2276</v>
      </c>
      <c r="V1406" s="3" t="s">
        <v>2276</v>
      </c>
      <c r="W1406" s="3" t="s">
        <v>2276</v>
      </c>
      <c r="X1406" s="3" t="s">
        <v>399</v>
      </c>
      <c r="Y1406" s="3" t="s">
        <v>127</v>
      </c>
      <c r="Z1406" s="3" t="s">
        <v>2312</v>
      </c>
      <c r="AA1406" s="4" t="s">
        <v>4186</v>
      </c>
      <c r="AB1406" s="3"/>
    </row>
    <row r="1407" spans="1:28" ht="29" customHeight="1">
      <c r="A1407" s="152" t="str">
        <f>'Reported burning'!A1407</f>
        <v>166a</v>
      </c>
      <c r="B1407" s="152" t="str">
        <f>'Reported burning'!B1407</f>
        <v>166a.1</v>
      </c>
      <c r="C1407" s="152" t="str">
        <f>'Reported burning'!C1407</f>
        <v>Human, deliberate</v>
      </c>
      <c r="D1407" s="152" t="str">
        <f>'Reported burning'!D1407</f>
        <v>Pasture renewal</v>
      </c>
      <c r="E1407" s="152" t="str">
        <f>'Reported burning'!E1407</f>
        <v>Cropping, Intensive</v>
      </c>
      <c r="F1407" s="152" t="str">
        <f>'Reported burning'!F1407</f>
        <v>Grassland</v>
      </c>
      <c r="G1407" s="152" t="str">
        <f>'Reported burning'!G1407</f>
        <v>ND</v>
      </c>
      <c r="H1407" s="152" t="str">
        <f>'Reported burning'!H1407</f>
        <v>Absence</v>
      </c>
      <c r="I1407" s="3"/>
      <c r="J1407" s="3">
        <v>0</v>
      </c>
      <c r="K1407" s="3">
        <v>0</v>
      </c>
      <c r="L1407" s="3">
        <v>0</v>
      </c>
      <c r="M1407" s="3">
        <v>0</v>
      </c>
      <c r="N1407" s="3">
        <v>0</v>
      </c>
      <c r="O1407" s="3">
        <v>0</v>
      </c>
      <c r="P1407" s="3">
        <v>0</v>
      </c>
      <c r="Q1407" s="3">
        <v>0</v>
      </c>
      <c r="R1407" s="3">
        <v>0</v>
      </c>
      <c r="S1407" s="3">
        <v>0</v>
      </c>
      <c r="T1407" s="3">
        <v>0</v>
      </c>
      <c r="U1407" s="3">
        <v>0</v>
      </c>
      <c r="V1407" s="3">
        <v>0</v>
      </c>
      <c r="W1407" s="3" t="s">
        <v>2276</v>
      </c>
      <c r="X1407" s="3" t="s">
        <v>2276</v>
      </c>
      <c r="Y1407" s="3" t="s">
        <v>2276</v>
      </c>
      <c r="Z1407" s="3" t="s">
        <v>2276</v>
      </c>
      <c r="AA1407" s="3"/>
      <c r="AB1407" s="3"/>
    </row>
    <row r="1408" spans="1:28" ht="29" customHeight="1">
      <c r="A1408" s="152" t="str">
        <f>'Reported burning'!A1408</f>
        <v>166a</v>
      </c>
      <c r="B1408" s="152" t="str">
        <f>'Reported burning'!B1408</f>
        <v>166a.2</v>
      </c>
      <c r="C1408" s="152" t="str">
        <f>'Reported burning'!C1408</f>
        <v>Human, deliberate</v>
      </c>
      <c r="D1408" s="152" t="str">
        <f>'Reported burning'!D1408</f>
        <v>Pasture renewal</v>
      </c>
      <c r="E1408" s="152" t="str">
        <f>'Reported burning'!E1408</f>
        <v>Cattle, Extensive</v>
      </c>
      <c r="F1408" s="152" t="str">
        <f>'Reported burning'!F1408</f>
        <v>Grassland</v>
      </c>
      <c r="G1408" s="152" t="str">
        <f>'Reported burning'!G1408</f>
        <v>Grassland</v>
      </c>
      <c r="H1408" s="152" t="str">
        <f>'Reported burning'!H1408</f>
        <v>Presence</v>
      </c>
      <c r="I1408" s="3"/>
      <c r="J1408" s="3" t="s">
        <v>2276</v>
      </c>
      <c r="K1408" s="3" t="s">
        <v>2276</v>
      </c>
      <c r="L1408" s="3" t="s">
        <v>2276</v>
      </c>
      <c r="M1408" s="3" t="s">
        <v>2276</v>
      </c>
      <c r="N1408" s="3" t="s">
        <v>2276</v>
      </c>
      <c r="O1408" s="3" t="s">
        <v>2276</v>
      </c>
      <c r="P1408" s="3" t="s">
        <v>2276</v>
      </c>
      <c r="Q1408" s="3" t="s">
        <v>2276</v>
      </c>
      <c r="R1408" s="3" t="s">
        <v>2276</v>
      </c>
      <c r="S1408" s="3" t="s">
        <v>2276</v>
      </c>
      <c r="T1408" s="3" t="s">
        <v>2276</v>
      </c>
      <c r="U1408" s="3" t="s">
        <v>2276</v>
      </c>
      <c r="V1408" s="3" t="s">
        <v>2276</v>
      </c>
      <c r="W1408" s="3" t="s">
        <v>2276</v>
      </c>
      <c r="X1408" s="3" t="s">
        <v>2276</v>
      </c>
      <c r="Y1408" s="3" t="s">
        <v>2276</v>
      </c>
      <c r="Z1408" s="3" t="s">
        <v>2276</v>
      </c>
      <c r="AA1408" s="3"/>
      <c r="AB1408" s="3"/>
    </row>
    <row r="1409" spans="1:28" ht="36.5" customHeight="1">
      <c r="A1409" s="152" t="str">
        <f>'Reported burning'!A1409</f>
        <v>166a</v>
      </c>
      <c r="B1409" s="152" t="str">
        <f>'Reported burning'!B1409</f>
        <v>166a.3</v>
      </c>
      <c r="C1409" s="152" t="str">
        <f>'Reported burning'!C1409</f>
        <v>All</v>
      </c>
      <c r="D1409" s="152" t="str">
        <f>'Reported burning'!D1409</f>
        <v>ND</v>
      </c>
      <c r="E1409" s="152" t="str">
        <f>'Reported burning'!E1409</f>
        <v>Cattle, Extensive</v>
      </c>
      <c r="F1409" s="152" t="str">
        <f>'Reported burning'!F1409</f>
        <v>ND</v>
      </c>
      <c r="G1409" s="152" t="str">
        <f>'Reported burning'!G1409</f>
        <v>Grassland</v>
      </c>
      <c r="H1409" s="152" t="str">
        <f>'Reported burning'!H1409</f>
        <v>Presence</v>
      </c>
      <c r="I1409" s="3">
        <v>2002</v>
      </c>
      <c r="J1409" s="3" t="s">
        <v>2276</v>
      </c>
      <c r="K1409" s="3" t="s">
        <v>2276</v>
      </c>
      <c r="L1409" s="3" t="s">
        <v>2276</v>
      </c>
      <c r="M1409" s="3" t="s">
        <v>2276</v>
      </c>
      <c r="N1409" s="3" t="s">
        <v>2276</v>
      </c>
      <c r="O1409" s="3" t="s">
        <v>2276</v>
      </c>
      <c r="P1409" s="3" t="s">
        <v>2276</v>
      </c>
      <c r="Q1409" s="3" t="s">
        <v>2276</v>
      </c>
      <c r="R1409" s="3" t="s">
        <v>2276</v>
      </c>
      <c r="S1409" s="3" t="s">
        <v>2276</v>
      </c>
      <c r="T1409" s="3" t="s">
        <v>2276</v>
      </c>
      <c r="U1409" s="3" t="s">
        <v>2276</v>
      </c>
      <c r="V1409" s="3" t="s">
        <v>2276</v>
      </c>
      <c r="W1409" s="3" t="s">
        <v>2401</v>
      </c>
      <c r="X1409" s="3" t="s">
        <v>2276</v>
      </c>
      <c r="Y1409" s="3" t="s">
        <v>2276</v>
      </c>
      <c r="Z1409" s="3" t="s">
        <v>2276</v>
      </c>
      <c r="AA1409" s="3"/>
      <c r="AB1409" s="4" t="s">
        <v>4206</v>
      </c>
    </row>
    <row r="1410" spans="1:28" ht="44.5" customHeight="1">
      <c r="A1410" s="152" t="str">
        <f>'Reported burning'!A1410</f>
        <v>166a</v>
      </c>
      <c r="B1410" s="152" t="str">
        <f>'Reported burning'!B1410</f>
        <v>166a.4</v>
      </c>
      <c r="C1410" s="152" t="str">
        <f>'Reported burning'!C1410</f>
        <v>All</v>
      </c>
      <c r="D1410" s="152" t="str">
        <f>'Reported burning'!D1410</f>
        <v>ND</v>
      </c>
      <c r="E1410" s="152" t="str">
        <f>'Reported burning'!E1410</f>
        <v>Cattle, Extensive</v>
      </c>
      <c r="F1410" s="152" t="str">
        <f>'Reported burning'!F1410</f>
        <v>ND</v>
      </c>
      <c r="G1410" s="152" t="str">
        <f>'Reported burning'!G1410</f>
        <v>Grassland</v>
      </c>
      <c r="H1410" s="152" t="str">
        <f>'Reported burning'!H1410</f>
        <v>Presence</v>
      </c>
      <c r="I1410" s="3">
        <v>2005</v>
      </c>
      <c r="J1410" s="3" t="s">
        <v>2276</v>
      </c>
      <c r="K1410" s="3" t="s">
        <v>2276</v>
      </c>
      <c r="L1410" s="3" t="s">
        <v>2276</v>
      </c>
      <c r="M1410" s="3" t="s">
        <v>2276</v>
      </c>
      <c r="N1410" s="3" t="s">
        <v>2276</v>
      </c>
      <c r="O1410" s="3" t="s">
        <v>2276</v>
      </c>
      <c r="P1410" s="3" t="s">
        <v>2276</v>
      </c>
      <c r="Q1410" s="3" t="s">
        <v>2276</v>
      </c>
      <c r="R1410" s="3" t="s">
        <v>2276</v>
      </c>
      <c r="S1410" s="3" t="s">
        <v>2276</v>
      </c>
      <c r="T1410" s="3" t="s">
        <v>2276</v>
      </c>
      <c r="U1410" s="3" t="s">
        <v>2276</v>
      </c>
      <c r="V1410" s="3" t="s">
        <v>2276</v>
      </c>
      <c r="W1410" s="3" t="s">
        <v>2401</v>
      </c>
      <c r="X1410" s="3" t="s">
        <v>2276</v>
      </c>
      <c r="Y1410" s="3" t="s">
        <v>2276</v>
      </c>
      <c r="Z1410" s="3" t="s">
        <v>2276</v>
      </c>
      <c r="AA1410" s="3"/>
      <c r="AB1410" s="4" t="s">
        <v>4206</v>
      </c>
    </row>
    <row r="1411" spans="1:28" ht="87">
      <c r="A1411" s="152" t="str">
        <f>'Reported burning'!A1411</f>
        <v>167a</v>
      </c>
      <c r="B1411" s="152" t="str">
        <f>'Reported burning'!B1411</f>
        <v>167a.1</v>
      </c>
      <c r="C1411" s="152" t="str">
        <f>'Reported burning'!C1411</f>
        <v>Human, deliberate</v>
      </c>
      <c r="D1411" s="152" t="str">
        <f>'Reported burning'!D1411</f>
        <v>Rangeland management</v>
      </c>
      <c r="E1411" s="152" t="str">
        <f>'Reported burning'!E1411</f>
        <v>Cattle, Extensive</v>
      </c>
      <c r="F1411" s="152" t="str">
        <f>'Reported burning'!F1411</f>
        <v>Shrubland (Mixed forest &amp; grassland)</v>
      </c>
      <c r="G1411" s="152" t="str">
        <f>'Reported burning'!G1411</f>
        <v>ND</v>
      </c>
      <c r="H1411" s="152" t="str">
        <f>'Reported burning'!H1411</f>
        <v>Presence</v>
      </c>
      <c r="I1411" s="3"/>
      <c r="J1411" s="3" t="s">
        <v>2276</v>
      </c>
      <c r="K1411" s="3" t="s">
        <v>2276</v>
      </c>
      <c r="L1411" s="3" t="s">
        <v>2276</v>
      </c>
      <c r="M1411" s="3" t="s">
        <v>2276</v>
      </c>
      <c r="N1411" s="3" t="s">
        <v>2276</v>
      </c>
      <c r="O1411" s="3" t="s">
        <v>2276</v>
      </c>
      <c r="P1411" s="3" t="s">
        <v>2276</v>
      </c>
      <c r="Q1411" s="3" t="s">
        <v>2276</v>
      </c>
      <c r="R1411" s="3" t="s">
        <v>2276</v>
      </c>
      <c r="S1411" s="3" t="s">
        <v>2276</v>
      </c>
      <c r="T1411" s="3" t="s">
        <v>2276</v>
      </c>
      <c r="U1411" s="3" t="s">
        <v>2276</v>
      </c>
      <c r="V1411" s="3" t="s">
        <v>2276</v>
      </c>
      <c r="W1411" s="3" t="s">
        <v>2276</v>
      </c>
      <c r="X1411" s="3" t="s">
        <v>2276</v>
      </c>
      <c r="Y1411" s="3" t="s">
        <v>2276</v>
      </c>
      <c r="Z1411" s="3" t="s">
        <v>2276</v>
      </c>
      <c r="AA1411" s="4" t="s">
        <v>4215</v>
      </c>
      <c r="AB1411" s="3"/>
    </row>
    <row r="1412" spans="1:28" ht="46" customHeight="1">
      <c r="A1412" s="156" t="str">
        <f>'Reported burning'!A1412</f>
        <v>168a</v>
      </c>
      <c r="B1412" s="156" t="str">
        <f>'Reported burning'!B1412</f>
        <v>168a.1</v>
      </c>
      <c r="C1412" s="156" t="str">
        <f>'Reported burning'!C1412</f>
        <v>Human, deliberate</v>
      </c>
      <c r="D1412" s="156" t="str">
        <f>'Reported burning'!D1412</f>
        <v>Pyrome management</v>
      </c>
      <c r="E1412" s="156" t="str">
        <f>'Reported burning'!E1412</f>
        <v>Biodiversity conservation</v>
      </c>
      <c r="F1412" s="156" t="str">
        <f>'Reported burning'!F1412</f>
        <v>Shrubland (Mixed forest &amp; grassland)</v>
      </c>
      <c r="G1412" s="156" t="str">
        <f>'Reported burning'!G1412</f>
        <v>ND</v>
      </c>
      <c r="H1412" s="156" t="str">
        <f>'Reported burning'!H1412</f>
        <v>Presence</v>
      </c>
      <c r="I1412" s="5"/>
      <c r="J1412" s="3" t="s">
        <v>2276</v>
      </c>
      <c r="K1412" s="3" t="s">
        <v>2276</v>
      </c>
      <c r="L1412" s="3" t="s">
        <v>2276</v>
      </c>
      <c r="M1412" s="3" t="s">
        <v>2276</v>
      </c>
      <c r="N1412" s="3" t="s">
        <v>2276</v>
      </c>
      <c r="O1412" s="3" t="s">
        <v>2276</v>
      </c>
      <c r="P1412" s="3" t="s">
        <v>2276</v>
      </c>
      <c r="Q1412" s="3" t="s">
        <v>2276</v>
      </c>
      <c r="R1412" s="3" t="s">
        <v>2276</v>
      </c>
      <c r="S1412" s="3" t="s">
        <v>2276</v>
      </c>
      <c r="T1412" s="3" t="s">
        <v>2276</v>
      </c>
      <c r="U1412" s="3" t="s">
        <v>2276</v>
      </c>
      <c r="V1412" s="3" t="s">
        <v>2276</v>
      </c>
      <c r="W1412" s="3" t="s">
        <v>2276</v>
      </c>
      <c r="X1412" s="3" t="s">
        <v>86</v>
      </c>
      <c r="Y1412" s="3" t="s">
        <v>404</v>
      </c>
      <c r="Z1412" s="3" t="s">
        <v>2655</v>
      </c>
      <c r="AA1412" s="4" t="s">
        <v>4227</v>
      </c>
      <c r="AB1412" s="3"/>
    </row>
    <row r="1413" spans="1:28" ht="46" customHeight="1">
      <c r="A1413" s="152" t="str">
        <f>'Reported burning'!A1413</f>
        <v>168a</v>
      </c>
      <c r="B1413" s="152" t="str">
        <f>'Reported burning'!B1413</f>
        <v>168a.2</v>
      </c>
      <c r="C1413" s="152" t="str">
        <f>'Reported burning'!C1413</f>
        <v>Human, deliberate</v>
      </c>
      <c r="D1413" s="152" t="str">
        <f>'Reported burning'!D1413</f>
        <v>Hunting</v>
      </c>
      <c r="E1413" s="152" t="str">
        <f>'Reported burning'!E1413</f>
        <v>Tourism manager</v>
      </c>
      <c r="F1413" s="152" t="str">
        <f>'Reported burning'!F1413</f>
        <v>Shrubland (Mixed forest &amp; grassland)</v>
      </c>
      <c r="G1413" s="152" t="str">
        <f>'Reported burning'!G1413</f>
        <v>ND</v>
      </c>
      <c r="H1413" s="152" t="str">
        <f>'Reported burning'!H1413</f>
        <v>Presence</v>
      </c>
      <c r="I1413" s="3"/>
      <c r="J1413" s="3" t="s">
        <v>2276</v>
      </c>
      <c r="K1413" s="3" t="s">
        <v>2276</v>
      </c>
      <c r="L1413" s="3" t="s">
        <v>2276</v>
      </c>
      <c r="M1413" s="3" t="s">
        <v>2276</v>
      </c>
      <c r="N1413" s="3" t="s">
        <v>2276</v>
      </c>
      <c r="O1413" s="3" t="s">
        <v>2276</v>
      </c>
      <c r="P1413" s="3" t="s">
        <v>2276</v>
      </c>
      <c r="Q1413" s="3" t="s">
        <v>2276</v>
      </c>
      <c r="R1413" s="3" t="s">
        <v>2276</v>
      </c>
      <c r="S1413" s="3" t="s">
        <v>2276</v>
      </c>
      <c r="T1413" s="3" t="s">
        <v>2276</v>
      </c>
      <c r="U1413" s="3" t="s">
        <v>2276</v>
      </c>
      <c r="V1413" s="3" t="s">
        <v>2276</v>
      </c>
      <c r="W1413" s="3" t="s">
        <v>2276</v>
      </c>
      <c r="X1413" s="3" t="s">
        <v>86</v>
      </c>
      <c r="Y1413" s="3" t="s">
        <v>404</v>
      </c>
      <c r="Z1413" s="3" t="s">
        <v>2655</v>
      </c>
      <c r="AA1413" s="4" t="s">
        <v>4226</v>
      </c>
      <c r="AB1413" s="3"/>
    </row>
    <row r="1414" spans="1:28" ht="46" customHeight="1">
      <c r="A1414" s="152" t="str">
        <f>'Reported burning'!A1414</f>
        <v>168a</v>
      </c>
      <c r="B1414" s="152" t="str">
        <f>'Reported burning'!B1414</f>
        <v>168a.3</v>
      </c>
      <c r="C1414" s="152" t="str">
        <f>'Reported burning'!C1414</f>
        <v>Human, escaped</v>
      </c>
      <c r="D1414" s="152" t="str">
        <f>'Reported burning'!D1414</f>
        <v>Hunting</v>
      </c>
      <c r="E1414" s="152" t="str">
        <f>'Reported burning'!E1414</f>
        <v>Forestry, Traditional</v>
      </c>
      <c r="F1414" s="152" t="str">
        <f>'Reported burning'!F1414</f>
        <v>Forest</v>
      </c>
      <c r="G1414" s="152" t="str">
        <f>'Reported burning'!G1414</f>
        <v>ND</v>
      </c>
      <c r="H1414" s="152" t="str">
        <f>'Reported burning'!H1414</f>
        <v>Presence</v>
      </c>
      <c r="I1414" s="3"/>
      <c r="J1414" s="3" t="s">
        <v>2276</v>
      </c>
      <c r="K1414" s="3" t="s">
        <v>2276</v>
      </c>
      <c r="L1414" s="3" t="s">
        <v>2276</v>
      </c>
      <c r="M1414" s="3" t="s">
        <v>2276</v>
      </c>
      <c r="N1414" s="3" t="s">
        <v>2276</v>
      </c>
      <c r="O1414" s="3" t="s">
        <v>2276</v>
      </c>
      <c r="P1414" s="3" t="s">
        <v>2276</v>
      </c>
      <c r="Q1414" s="3" t="s">
        <v>2276</v>
      </c>
      <c r="R1414" s="3" t="s">
        <v>2276</v>
      </c>
      <c r="S1414" s="3" t="s">
        <v>2276</v>
      </c>
      <c r="T1414" s="3" t="s">
        <v>2276</v>
      </c>
      <c r="U1414" s="3" t="s">
        <v>2276</v>
      </c>
      <c r="V1414" s="3" t="s">
        <v>2276</v>
      </c>
      <c r="W1414" s="3" t="s">
        <v>2276</v>
      </c>
      <c r="X1414" s="3" t="s">
        <v>405</v>
      </c>
      <c r="Y1414" s="3" t="s">
        <v>68</v>
      </c>
      <c r="Z1414" s="3" t="s">
        <v>76</v>
      </c>
      <c r="AA1414" s="4" t="s">
        <v>4230</v>
      </c>
      <c r="AB1414" s="3"/>
    </row>
    <row r="1415" spans="1:28" ht="46" customHeight="1">
      <c r="A1415" s="152" t="str">
        <f>'Reported burning'!A1415</f>
        <v>168a</v>
      </c>
      <c r="B1415" s="152" t="str">
        <f>'Reported burning'!B1415</f>
        <v>168a.4</v>
      </c>
      <c r="C1415" s="152" t="str">
        <f>'Reported burning'!C1415</f>
        <v>Human, escaped</v>
      </c>
      <c r="D1415" s="152" t="str">
        <f>'Reported burning'!D1415</f>
        <v>ND</v>
      </c>
      <c r="E1415" s="152" t="str">
        <f>'Reported burning'!E1415</f>
        <v>ND</v>
      </c>
      <c r="F1415" s="152" t="str">
        <f>'Reported burning'!F1415</f>
        <v>Shrubland (Mixed forest &amp; grassland)</v>
      </c>
      <c r="G1415" s="152" t="str">
        <f>'Reported burning'!G1415</f>
        <v>ND</v>
      </c>
      <c r="H1415" s="152" t="str">
        <f>'Reported burning'!H1415</f>
        <v>Presence</v>
      </c>
      <c r="I1415" s="3"/>
      <c r="J1415" s="3" t="s">
        <v>2276</v>
      </c>
      <c r="K1415" s="3" t="s">
        <v>2276</v>
      </c>
      <c r="L1415" s="3" t="s">
        <v>2276</v>
      </c>
      <c r="M1415" s="3" t="s">
        <v>2276</v>
      </c>
      <c r="N1415" s="3" t="s">
        <v>2276</v>
      </c>
      <c r="O1415" s="3" t="s">
        <v>2276</v>
      </c>
      <c r="P1415" s="3" t="s">
        <v>2276</v>
      </c>
      <c r="Q1415" s="3" t="s">
        <v>2276</v>
      </c>
      <c r="R1415" s="3" t="s">
        <v>2276</v>
      </c>
      <c r="S1415" s="3" t="s">
        <v>2276</v>
      </c>
      <c r="T1415" s="3" t="s">
        <v>2276</v>
      </c>
      <c r="U1415" s="3" t="s">
        <v>2276</v>
      </c>
      <c r="V1415" s="3" t="s">
        <v>2276</v>
      </c>
      <c r="W1415" s="3" t="s">
        <v>2276</v>
      </c>
      <c r="X1415" s="3" t="s">
        <v>405</v>
      </c>
      <c r="Y1415" s="3" t="s">
        <v>68</v>
      </c>
      <c r="Z1415" s="3" t="s">
        <v>76</v>
      </c>
      <c r="AA1415" s="4" t="s">
        <v>4231</v>
      </c>
      <c r="AB1415" s="3"/>
    </row>
    <row r="1416" spans="1:28" ht="66" customHeight="1">
      <c r="A1416" s="152" t="str">
        <f>'Reported burning'!A1416</f>
        <v>168b</v>
      </c>
      <c r="B1416" s="152" t="str">
        <f>'Reported burning'!B1416</f>
        <v>168b.1</v>
      </c>
      <c r="C1416" s="152" t="str">
        <f>'Reported burning'!C1416</f>
        <v>Human, deliberate</v>
      </c>
      <c r="D1416" s="152" t="str">
        <f>'Reported burning'!D1416</f>
        <v>Pyrome management</v>
      </c>
      <c r="E1416" s="152" t="str">
        <f>'Reported burning'!E1416</f>
        <v>Mixed cropping-livestock small holder, Subsistence-oriented</v>
      </c>
      <c r="F1416" s="152" t="str">
        <f>'Reported burning'!F1416</f>
        <v>Shrubland (Mixed forest &amp; grassland)</v>
      </c>
      <c r="G1416" s="152" t="str">
        <f>'Reported burning'!G1416</f>
        <v>ND</v>
      </c>
      <c r="H1416" s="152" t="str">
        <f>'Reported burning'!H1416</f>
        <v>Presence</v>
      </c>
      <c r="I1416" s="3"/>
      <c r="J1416" s="3" t="s">
        <v>2276</v>
      </c>
      <c r="K1416" s="3" t="s">
        <v>2362</v>
      </c>
      <c r="L1416" s="3" t="s">
        <v>2276</v>
      </c>
      <c r="M1416" s="3" t="s">
        <v>2276</v>
      </c>
      <c r="N1416" s="3" t="s">
        <v>2276</v>
      </c>
      <c r="O1416" s="3" t="s">
        <v>2362</v>
      </c>
      <c r="P1416" s="3" t="s">
        <v>2276</v>
      </c>
      <c r="Q1416" s="3" t="s">
        <v>2362</v>
      </c>
      <c r="R1416" s="3" t="s">
        <v>2276</v>
      </c>
      <c r="S1416" s="3" t="s">
        <v>2276</v>
      </c>
      <c r="T1416" s="3" t="s">
        <v>2276</v>
      </c>
      <c r="U1416" s="3" t="s">
        <v>2276</v>
      </c>
      <c r="V1416" s="3" t="s">
        <v>2276</v>
      </c>
      <c r="W1416" s="3" t="s">
        <v>2276</v>
      </c>
      <c r="X1416" s="3" t="s">
        <v>86</v>
      </c>
      <c r="Y1416" s="3" t="s">
        <v>405</v>
      </c>
      <c r="Z1416" s="3" t="s">
        <v>64</v>
      </c>
      <c r="AA1416" s="4" t="s">
        <v>4248</v>
      </c>
      <c r="AB1416" s="4" t="s">
        <v>4249</v>
      </c>
    </row>
    <row r="1417" spans="1:28" ht="46" customHeight="1">
      <c r="A1417" s="152" t="str">
        <f>'Reported burning'!A1417</f>
        <v>168b</v>
      </c>
      <c r="B1417" s="152" t="str">
        <f>'Reported burning'!B1417</f>
        <v>168b.2</v>
      </c>
      <c r="C1417" s="152" t="str">
        <f>'Reported burning'!C1417</f>
        <v>Human, deliberate</v>
      </c>
      <c r="D1417" s="152" t="str">
        <f>'Reported burning'!D1417</f>
        <v>Crop field preparation</v>
      </c>
      <c r="E1417" s="152" t="str">
        <f>'Reported burning'!E1417</f>
        <v>Cropping, Swidden</v>
      </c>
      <c r="F1417" s="152" t="str">
        <f>'Reported burning'!F1417</f>
        <v>Shrubland (Mixed forest &amp; grassland)</v>
      </c>
      <c r="G1417" s="152" t="str">
        <f>'Reported burning'!G1417</f>
        <v>ND</v>
      </c>
      <c r="H1417" s="152" t="str">
        <f>'Reported burning'!H1417</f>
        <v>Presence</v>
      </c>
      <c r="I1417" s="3"/>
      <c r="J1417" s="3" t="s">
        <v>2276</v>
      </c>
      <c r="K1417" s="3" t="s">
        <v>2276</v>
      </c>
      <c r="L1417" s="3" t="s">
        <v>2276</v>
      </c>
      <c r="M1417" s="3" t="s">
        <v>2276</v>
      </c>
      <c r="N1417" s="3" t="s">
        <v>2276</v>
      </c>
      <c r="O1417" s="3" t="s">
        <v>2276</v>
      </c>
      <c r="P1417" s="3" t="s">
        <v>2276</v>
      </c>
      <c r="Q1417" s="3" t="s">
        <v>2276</v>
      </c>
      <c r="R1417" s="3" t="s">
        <v>2276</v>
      </c>
      <c r="S1417" s="3" t="s">
        <v>2276</v>
      </c>
      <c r="T1417" s="3" t="s">
        <v>2276</v>
      </c>
      <c r="U1417" s="3" t="s">
        <v>2276</v>
      </c>
      <c r="V1417" s="3" t="s">
        <v>2276</v>
      </c>
      <c r="W1417" s="3" t="s">
        <v>2276</v>
      </c>
      <c r="X1417" s="3" t="s">
        <v>68</v>
      </c>
      <c r="Y1417" s="3" t="s">
        <v>35</v>
      </c>
      <c r="Z1417" s="3" t="s">
        <v>64</v>
      </c>
      <c r="AA1417" s="4" t="s">
        <v>4241</v>
      </c>
      <c r="AB1417" s="3"/>
    </row>
    <row r="1418" spans="1:28" ht="46" customHeight="1">
      <c r="A1418" s="152" t="str">
        <f>'Reported burning'!A1418</f>
        <v>168b</v>
      </c>
      <c r="B1418" s="152" t="str">
        <f>'Reported burning'!B1418</f>
        <v>168b.3</v>
      </c>
      <c r="C1418" s="152" t="str">
        <f>'Reported burning'!C1418</f>
        <v>Human, deliberate</v>
      </c>
      <c r="D1418" s="152" t="str">
        <f>'Reported burning'!D1418</f>
        <v>Harvesting of NTFP</v>
      </c>
      <c r="E1418" s="152" t="str">
        <f>'Reported burning'!E1418</f>
        <v>Forestry, Traditional</v>
      </c>
      <c r="F1418" s="152" t="str">
        <f>'Reported burning'!F1418</f>
        <v>Shrubland (Mixed forest &amp; grassland)</v>
      </c>
      <c r="G1418" s="152" t="str">
        <f>'Reported burning'!G1418</f>
        <v>ND</v>
      </c>
      <c r="H1418" s="152" t="str">
        <f>'Reported burning'!H1418</f>
        <v>Presence</v>
      </c>
      <c r="I1418" s="3"/>
      <c r="J1418" s="3" t="s">
        <v>2276</v>
      </c>
      <c r="K1418" s="3" t="s">
        <v>2276</v>
      </c>
      <c r="L1418" s="3" t="s">
        <v>2276</v>
      </c>
      <c r="M1418" s="3" t="s">
        <v>2276</v>
      </c>
      <c r="N1418" s="3" t="s">
        <v>2276</v>
      </c>
      <c r="O1418" s="3" t="s">
        <v>2276</v>
      </c>
      <c r="P1418" s="3" t="s">
        <v>2276</v>
      </c>
      <c r="Q1418" s="3" t="s">
        <v>2276</v>
      </c>
      <c r="R1418" s="3" t="s">
        <v>2276</v>
      </c>
      <c r="S1418" s="3" t="s">
        <v>2276</v>
      </c>
      <c r="T1418" s="3" t="s">
        <v>2276</v>
      </c>
      <c r="U1418" s="3" t="s">
        <v>2276</v>
      </c>
      <c r="V1418" s="3" t="s">
        <v>2276</v>
      </c>
      <c r="W1418" s="3" t="s">
        <v>2276</v>
      </c>
      <c r="X1418" s="3" t="s">
        <v>34</v>
      </c>
      <c r="Y1418" s="3" t="s">
        <v>425</v>
      </c>
      <c r="Z1418" s="3" t="s">
        <v>64</v>
      </c>
      <c r="AA1418" s="4" t="s">
        <v>4236</v>
      </c>
      <c r="AB1418" s="3"/>
    </row>
    <row r="1419" spans="1:28" ht="46" customHeight="1">
      <c r="A1419" s="152" t="str">
        <f>'Reported burning'!A1419</f>
        <v>168b</v>
      </c>
      <c r="B1419" s="152" t="str">
        <f>'Reported burning'!B1419</f>
        <v>168b.4</v>
      </c>
      <c r="C1419" s="152" t="str">
        <f>'Reported burning'!C1419</f>
        <v>Human, deliberate</v>
      </c>
      <c r="D1419" s="152" t="str">
        <f>'Reported burning'!D1419</f>
        <v>Harvesting of NTFP</v>
      </c>
      <c r="E1419" s="152" t="str">
        <f>'Reported burning'!E1419</f>
        <v>Forestry, Traditional</v>
      </c>
      <c r="F1419" s="152" t="str">
        <f>'Reported burning'!F1419</f>
        <v>Shrubland (Mixed forest &amp; grassland)</v>
      </c>
      <c r="G1419" s="152" t="str">
        <f>'Reported burning'!G1419</f>
        <v>ND</v>
      </c>
      <c r="H1419" s="152" t="str">
        <f>'Reported burning'!H1419</f>
        <v>Presence</v>
      </c>
      <c r="I1419" s="3"/>
      <c r="J1419" s="3" t="s">
        <v>2276</v>
      </c>
      <c r="K1419" s="3" t="s">
        <v>2276</v>
      </c>
      <c r="L1419" s="3" t="s">
        <v>2276</v>
      </c>
      <c r="M1419" s="3" t="s">
        <v>2276</v>
      </c>
      <c r="N1419" s="3" t="s">
        <v>2276</v>
      </c>
      <c r="O1419" s="3" t="s">
        <v>2276</v>
      </c>
      <c r="P1419" s="3" t="s">
        <v>2276</v>
      </c>
      <c r="Q1419" s="3" t="s">
        <v>2276</v>
      </c>
      <c r="R1419" s="3" t="s">
        <v>2276</v>
      </c>
      <c r="S1419" s="3" t="s">
        <v>2276</v>
      </c>
      <c r="T1419" s="3" t="s">
        <v>2276</v>
      </c>
      <c r="U1419" s="3" t="s">
        <v>2276</v>
      </c>
      <c r="V1419" s="3" t="s">
        <v>2276</v>
      </c>
      <c r="W1419" s="3" t="s">
        <v>2276</v>
      </c>
      <c r="X1419" s="3" t="s">
        <v>405</v>
      </c>
      <c r="Y1419" s="3" t="s">
        <v>425</v>
      </c>
      <c r="Z1419" s="3" t="s">
        <v>64</v>
      </c>
      <c r="AA1419" s="4" t="s">
        <v>4240</v>
      </c>
      <c r="AB1419" s="3"/>
    </row>
    <row r="1420" spans="1:28" ht="46" customHeight="1">
      <c r="A1420" s="152" t="str">
        <f>'Reported burning'!A1420</f>
        <v>168b</v>
      </c>
      <c r="B1420" s="152" t="str">
        <f>'Reported burning'!B1420</f>
        <v>168b.5</v>
      </c>
      <c r="C1420" s="152" t="str">
        <f>'Reported burning'!C1420</f>
        <v>Human, deliberate</v>
      </c>
      <c r="D1420" s="152" t="str">
        <f>'Reported burning'!D1420</f>
        <v>Charcoal production</v>
      </c>
      <c r="E1420" s="152" t="str">
        <f>'Reported burning'!E1420</f>
        <v>Forestry, Small-scale</v>
      </c>
      <c r="F1420" s="152" t="str">
        <f>'Reported burning'!F1420</f>
        <v>Shrubland (Mixed forest &amp; grassland)</v>
      </c>
      <c r="G1420" s="152" t="str">
        <f>'Reported burning'!G1420</f>
        <v>ND</v>
      </c>
      <c r="H1420" s="152" t="str">
        <f>'Reported burning'!H1420</f>
        <v>Presence</v>
      </c>
      <c r="I1420" s="3"/>
      <c r="J1420" s="3" t="s">
        <v>2276</v>
      </c>
      <c r="K1420" s="3" t="s">
        <v>2276</v>
      </c>
      <c r="L1420" s="3" t="s">
        <v>2276</v>
      </c>
      <c r="M1420" s="3" t="s">
        <v>2276</v>
      </c>
      <c r="N1420" s="3" t="s">
        <v>2276</v>
      </c>
      <c r="O1420" s="3" t="s">
        <v>2276</v>
      </c>
      <c r="P1420" s="3" t="s">
        <v>2276</v>
      </c>
      <c r="Q1420" s="3" t="s">
        <v>2276</v>
      </c>
      <c r="R1420" s="3" t="s">
        <v>2276</v>
      </c>
      <c r="S1420" s="3" t="s">
        <v>2276</v>
      </c>
      <c r="T1420" s="3" t="s">
        <v>2276</v>
      </c>
      <c r="U1420" s="3" t="s">
        <v>2276</v>
      </c>
      <c r="V1420" s="3" t="s">
        <v>2276</v>
      </c>
      <c r="W1420" s="3" t="s">
        <v>2276</v>
      </c>
      <c r="X1420" s="3" t="s">
        <v>188</v>
      </c>
      <c r="Y1420" s="3" t="s">
        <v>35</v>
      </c>
      <c r="Z1420" s="3" t="s">
        <v>64</v>
      </c>
      <c r="AA1420" s="3" t="s">
        <v>4243</v>
      </c>
      <c r="AB1420" s="3"/>
    </row>
    <row r="1421" spans="1:28" ht="46" customHeight="1">
      <c r="A1421" s="152" t="str">
        <f>'Reported burning'!A1421</f>
        <v>168b</v>
      </c>
      <c r="B1421" s="152" t="str">
        <f>'Reported burning'!B1421</f>
        <v>168b.6</v>
      </c>
      <c r="C1421" s="152" t="str">
        <f>'Reported burning'!C1421</f>
        <v>Human, deliberate</v>
      </c>
      <c r="D1421" s="152" t="str">
        <f>'Reported burning'!D1421</f>
        <v>Pest management</v>
      </c>
      <c r="E1421" s="152" t="str">
        <f>'Reported burning'!E1421</f>
        <v>ND</v>
      </c>
      <c r="F1421" s="152" t="str">
        <f>'Reported burning'!F1421</f>
        <v>Shrubland (Mixed forest &amp; grassland)</v>
      </c>
      <c r="G1421" s="152" t="str">
        <f>'Reported burning'!G1421</f>
        <v>ND</v>
      </c>
      <c r="H1421" s="152" t="str">
        <f>'Reported burning'!H1421</f>
        <v>Presence</v>
      </c>
      <c r="I1421" s="3"/>
      <c r="J1421" s="3" t="s">
        <v>2276</v>
      </c>
      <c r="K1421" s="3" t="s">
        <v>2276</v>
      </c>
      <c r="L1421" s="3" t="s">
        <v>2276</v>
      </c>
      <c r="M1421" s="3" t="s">
        <v>2276</v>
      </c>
      <c r="N1421" s="3" t="s">
        <v>2276</v>
      </c>
      <c r="O1421" s="3" t="s">
        <v>2276</v>
      </c>
      <c r="P1421" s="3" t="s">
        <v>2276</v>
      </c>
      <c r="Q1421" s="3" t="s">
        <v>2276</v>
      </c>
      <c r="R1421" s="3" t="s">
        <v>2276</v>
      </c>
      <c r="S1421" s="3" t="s">
        <v>2276</v>
      </c>
      <c r="T1421" s="3" t="s">
        <v>2276</v>
      </c>
      <c r="U1421" s="3" t="s">
        <v>2276</v>
      </c>
      <c r="V1421" s="3" t="s">
        <v>2276</v>
      </c>
      <c r="W1421" s="3" t="s">
        <v>2276</v>
      </c>
      <c r="X1421" s="3" t="s">
        <v>405</v>
      </c>
      <c r="Y1421" s="3" t="s">
        <v>68</v>
      </c>
      <c r="Z1421" s="3" t="s">
        <v>64</v>
      </c>
      <c r="AA1421" s="4" t="s">
        <v>4242</v>
      </c>
      <c r="AB1421" s="3"/>
    </row>
    <row r="1422" spans="1:28" ht="46" customHeight="1">
      <c r="A1422" s="152" t="str">
        <f>'Reported burning'!A1422</f>
        <v>168b</v>
      </c>
      <c r="B1422" s="152" t="str">
        <f>'Reported burning'!B1422</f>
        <v>168b.7</v>
      </c>
      <c r="C1422" s="152" t="str">
        <f>'Reported burning'!C1422</f>
        <v>Human, deliberate</v>
      </c>
      <c r="D1422" s="152" t="str">
        <f>'Reported burning'!D1422</f>
        <v>Hunting</v>
      </c>
      <c r="E1422" s="152" t="str">
        <f>'Reported burning'!E1422</f>
        <v>Forestry, Traditional</v>
      </c>
      <c r="F1422" s="152" t="str">
        <f>'Reported burning'!F1422</f>
        <v>Shrubland (Mixed forest &amp; grassland)</v>
      </c>
      <c r="G1422" s="152" t="str">
        <f>'Reported burning'!G1422</f>
        <v>ND</v>
      </c>
      <c r="H1422" s="152" t="str">
        <f>'Reported burning'!H1422</f>
        <v>Presence</v>
      </c>
      <c r="I1422" s="3"/>
      <c r="J1422" s="3" t="s">
        <v>2276</v>
      </c>
      <c r="K1422" s="3" t="s">
        <v>2276</v>
      </c>
      <c r="L1422" s="3" t="s">
        <v>2276</v>
      </c>
      <c r="M1422" s="3" t="s">
        <v>2276</v>
      </c>
      <c r="N1422" s="3" t="s">
        <v>2276</v>
      </c>
      <c r="O1422" s="3" t="s">
        <v>2276</v>
      </c>
      <c r="P1422" s="3" t="s">
        <v>2276</v>
      </c>
      <c r="Q1422" s="3" t="s">
        <v>2276</v>
      </c>
      <c r="R1422" s="3" t="s">
        <v>2276</v>
      </c>
      <c r="S1422" s="3" t="s">
        <v>2276</v>
      </c>
      <c r="T1422" s="3" t="s">
        <v>2276</v>
      </c>
      <c r="U1422" s="3" t="s">
        <v>2276</v>
      </c>
      <c r="V1422" s="3" t="s">
        <v>2276</v>
      </c>
      <c r="W1422" s="3" t="s">
        <v>2276</v>
      </c>
      <c r="X1422" s="3" t="s">
        <v>188</v>
      </c>
      <c r="Y1422" s="3" t="s">
        <v>35</v>
      </c>
      <c r="Z1422" s="3" t="s">
        <v>64</v>
      </c>
      <c r="AA1422" s="3" t="s">
        <v>4245</v>
      </c>
      <c r="AB1422" s="3"/>
    </row>
    <row r="1423" spans="1:28" ht="46" customHeight="1">
      <c r="A1423" s="152" t="str">
        <f>'Reported burning'!A1423</f>
        <v>168b</v>
      </c>
      <c r="B1423" s="152" t="str">
        <f>'Reported burning'!B1423</f>
        <v>168b.8</v>
      </c>
      <c r="C1423" s="152" t="str">
        <f>'Reported burning'!C1423</f>
        <v>Human, deliberate</v>
      </c>
      <c r="D1423" s="152" t="str">
        <f>'Reported burning'!D1423</f>
        <v>Pasture renewal</v>
      </c>
      <c r="E1423" s="152" t="str">
        <f>'Reported burning'!E1423</f>
        <v>Mixed cropping-livestock small holder, Subsistence-oriented</v>
      </c>
      <c r="F1423" s="152" t="str">
        <f>'Reported burning'!F1423</f>
        <v>Shrubland (Mixed forest &amp; grassland)</v>
      </c>
      <c r="G1423" s="152" t="str">
        <f>'Reported burning'!G1423</f>
        <v>ND</v>
      </c>
      <c r="H1423" s="152" t="str">
        <f>'Reported burning'!H1423</f>
        <v>Presence</v>
      </c>
      <c r="I1423" s="3"/>
      <c r="J1423" s="3" t="s">
        <v>2276</v>
      </c>
      <c r="K1423" s="3" t="s">
        <v>2276</v>
      </c>
      <c r="L1423" s="3" t="s">
        <v>2276</v>
      </c>
      <c r="M1423" s="3" t="s">
        <v>2276</v>
      </c>
      <c r="N1423" s="3" t="s">
        <v>2276</v>
      </c>
      <c r="O1423" s="3" t="s">
        <v>2276</v>
      </c>
      <c r="P1423" s="3" t="s">
        <v>2276</v>
      </c>
      <c r="Q1423" s="3" t="s">
        <v>2276</v>
      </c>
      <c r="R1423" s="3" t="s">
        <v>2276</v>
      </c>
      <c r="S1423" s="3" t="s">
        <v>2276</v>
      </c>
      <c r="T1423" s="3" t="s">
        <v>2276</v>
      </c>
      <c r="U1423" s="3" t="s">
        <v>2276</v>
      </c>
      <c r="V1423" s="3" t="s">
        <v>2276</v>
      </c>
      <c r="W1423" s="3" t="s">
        <v>2276</v>
      </c>
      <c r="X1423" s="3" t="s">
        <v>188</v>
      </c>
      <c r="Y1423" s="3" t="s">
        <v>35</v>
      </c>
      <c r="Z1423" s="3" t="s">
        <v>64</v>
      </c>
      <c r="AA1423" s="3" t="s">
        <v>4247</v>
      </c>
      <c r="AB1423" s="3"/>
    </row>
    <row r="1424" spans="1:28" ht="54.5" customHeight="1">
      <c r="A1424" s="152" t="str">
        <f>'Reported burning'!A1424</f>
        <v>169a</v>
      </c>
      <c r="B1424" s="152" t="str">
        <f>'Reported burning'!B1424</f>
        <v>169a.1</v>
      </c>
      <c r="C1424" s="152" t="str">
        <f>'Reported burning'!C1424</f>
        <v>Human, deliberate</v>
      </c>
      <c r="D1424" s="152" t="str">
        <f>'Reported burning'!D1424</f>
        <v>Pasture renewal</v>
      </c>
      <c r="E1424" s="152" t="str">
        <f>'Reported burning'!E1424</f>
        <v>Mixed cropping-livestock small holder, Subsistence-oriented</v>
      </c>
      <c r="F1424" s="152" t="str">
        <f>'Reported burning'!F1424</f>
        <v>Shrubland (Mixed forest &amp; grassland)</v>
      </c>
      <c r="G1424" s="152" t="str">
        <f>'Reported burning'!G1424</f>
        <v>ND</v>
      </c>
      <c r="H1424" s="152" t="str">
        <f>'Reported burning'!H1424</f>
        <v>Presence</v>
      </c>
      <c r="I1424" s="3"/>
      <c r="J1424" s="3" t="s">
        <v>2276</v>
      </c>
      <c r="K1424" s="3" t="s">
        <v>2276</v>
      </c>
      <c r="L1424" s="3" t="s">
        <v>2276</v>
      </c>
      <c r="M1424" s="3" t="s">
        <v>2276</v>
      </c>
      <c r="N1424" s="3" t="s">
        <v>2276</v>
      </c>
      <c r="O1424" s="3" t="s">
        <v>2276</v>
      </c>
      <c r="P1424" s="3" t="s">
        <v>2276</v>
      </c>
      <c r="Q1424" s="3" t="s">
        <v>2276</v>
      </c>
      <c r="R1424" s="3" t="s">
        <v>2276</v>
      </c>
      <c r="S1424" s="3" t="s">
        <v>2276</v>
      </c>
      <c r="T1424" s="3" t="s">
        <v>2276</v>
      </c>
      <c r="U1424" s="3" t="s">
        <v>2276</v>
      </c>
      <c r="V1424" s="3" t="s">
        <v>2276</v>
      </c>
      <c r="W1424" s="3" t="s">
        <v>2276</v>
      </c>
      <c r="X1424" s="3" t="s">
        <v>2276</v>
      </c>
      <c r="Y1424" s="3" t="s">
        <v>2276</v>
      </c>
      <c r="Z1424" s="3" t="s">
        <v>2276</v>
      </c>
      <c r="AA1424" s="3" t="s">
        <v>4273</v>
      </c>
      <c r="AB1424" s="4" t="s">
        <v>4279</v>
      </c>
    </row>
    <row r="1425" spans="1:28" ht="54.5" customHeight="1">
      <c r="A1425" s="152" t="str">
        <f>'Reported burning'!A1425</f>
        <v>169a</v>
      </c>
      <c r="B1425" s="152" t="str">
        <f>'Reported burning'!B1425</f>
        <v>169a.2</v>
      </c>
      <c r="C1425" s="152" t="str">
        <f>'Reported burning'!C1425</f>
        <v>Human, escaped</v>
      </c>
      <c r="D1425" s="152" t="str">
        <f>'Reported burning'!D1425</f>
        <v>Pasture renewal</v>
      </c>
      <c r="E1425" s="152" t="str">
        <f>'Reported burning'!E1425</f>
        <v>Mixed cropping-livestock small holder, Subsistence-oriented</v>
      </c>
      <c r="F1425" s="152" t="str">
        <f>'Reported burning'!F1425</f>
        <v>Forest</v>
      </c>
      <c r="G1425" s="152" t="str">
        <f>'Reported burning'!G1425</f>
        <v>ND</v>
      </c>
      <c r="H1425" s="152" t="str">
        <f>'Reported burning'!H1425</f>
        <v>Presence</v>
      </c>
      <c r="I1425" s="3"/>
      <c r="J1425" s="3" t="s">
        <v>2276</v>
      </c>
      <c r="K1425" s="3" t="s">
        <v>2276</v>
      </c>
      <c r="L1425" s="3" t="s">
        <v>2276</v>
      </c>
      <c r="M1425" s="3" t="s">
        <v>2276</v>
      </c>
      <c r="N1425" s="3" t="s">
        <v>2276</v>
      </c>
      <c r="O1425" s="3" t="s">
        <v>2276</v>
      </c>
      <c r="P1425" s="3" t="s">
        <v>2276</v>
      </c>
      <c r="Q1425" s="3" t="s">
        <v>2276</v>
      </c>
      <c r="R1425" s="3" t="s">
        <v>2276</v>
      </c>
      <c r="S1425" s="3" t="s">
        <v>2276</v>
      </c>
      <c r="T1425" s="3" t="s">
        <v>2276</v>
      </c>
      <c r="U1425" s="3" t="s">
        <v>2276</v>
      </c>
      <c r="V1425" s="3" t="s">
        <v>2276</v>
      </c>
      <c r="W1425" s="3" t="s">
        <v>2276</v>
      </c>
      <c r="X1425" s="3" t="s">
        <v>2276</v>
      </c>
      <c r="Y1425" s="3" t="s">
        <v>2276</v>
      </c>
      <c r="Z1425" s="3" t="s">
        <v>2276</v>
      </c>
      <c r="AA1425" s="3" t="s">
        <v>2276</v>
      </c>
      <c r="AB1425" s="4" t="s">
        <v>4279</v>
      </c>
    </row>
    <row r="1426" spans="1:28" ht="54.5" customHeight="1">
      <c r="A1426" s="152" t="str">
        <f>'Reported burning'!A1426</f>
        <v>169a</v>
      </c>
      <c r="B1426" s="152" t="str">
        <f>'Reported burning'!B1426</f>
        <v>169a.3</v>
      </c>
      <c r="C1426" s="152" t="str">
        <f>'Reported burning'!C1426</f>
        <v>Human, deliberate</v>
      </c>
      <c r="D1426" s="152" t="str">
        <f>'Reported burning'!D1426</f>
        <v>Domestic</v>
      </c>
      <c r="E1426" s="152" t="str">
        <f>'Reported burning'!E1426</f>
        <v>All</v>
      </c>
      <c r="F1426" s="152" t="str">
        <f>'Reported burning'!F1426</f>
        <v>ND</v>
      </c>
      <c r="G1426" s="152" t="str">
        <f>'Reported burning'!G1426</f>
        <v>ND</v>
      </c>
      <c r="H1426" s="152" t="str">
        <f>'Reported burning'!H1426</f>
        <v>Presence</v>
      </c>
      <c r="I1426" s="3"/>
      <c r="J1426" s="3" t="s">
        <v>2276</v>
      </c>
      <c r="K1426" s="3" t="s">
        <v>2276</v>
      </c>
      <c r="L1426" s="3" t="s">
        <v>2276</v>
      </c>
      <c r="M1426" s="3" t="s">
        <v>2276</v>
      </c>
      <c r="N1426" s="3" t="s">
        <v>2276</v>
      </c>
      <c r="O1426" s="3" t="s">
        <v>2276</v>
      </c>
      <c r="P1426" s="3" t="s">
        <v>2276</v>
      </c>
      <c r="Q1426" s="3" t="s">
        <v>2276</v>
      </c>
      <c r="R1426" s="3" t="s">
        <v>2276</v>
      </c>
      <c r="S1426" s="3" t="s">
        <v>2276</v>
      </c>
      <c r="T1426" s="3" t="s">
        <v>2276</v>
      </c>
      <c r="U1426" s="3" t="s">
        <v>2276</v>
      </c>
      <c r="V1426" s="3" t="s">
        <v>2276</v>
      </c>
      <c r="W1426" s="3" t="s">
        <v>2276</v>
      </c>
      <c r="X1426" s="3" t="s">
        <v>2276</v>
      </c>
      <c r="Y1426" s="3" t="s">
        <v>2276</v>
      </c>
      <c r="Z1426" s="3" t="s">
        <v>2276</v>
      </c>
      <c r="AA1426" s="3" t="s">
        <v>4278</v>
      </c>
      <c r="AB1426" s="4" t="s">
        <v>4279</v>
      </c>
    </row>
    <row r="1427" spans="1:28" ht="54.5" customHeight="1">
      <c r="A1427" s="152" t="str">
        <f>'Reported burning'!A1427</f>
        <v>169a</v>
      </c>
      <c r="B1427" s="152" t="str">
        <f>'Reported burning'!B1427</f>
        <v>169a.4</v>
      </c>
      <c r="C1427" s="152" t="str">
        <f>'Reported burning'!C1427</f>
        <v>Human, escaped</v>
      </c>
      <c r="D1427" s="152" t="str">
        <f>'Reported burning'!D1427</f>
        <v>Domestic</v>
      </c>
      <c r="E1427" s="152" t="str">
        <f>'Reported burning'!E1427</f>
        <v>All</v>
      </c>
      <c r="F1427" s="152" t="str">
        <f>'Reported burning'!F1427</f>
        <v>ND</v>
      </c>
      <c r="G1427" s="152" t="str">
        <f>'Reported burning'!G1427</f>
        <v>ND</v>
      </c>
      <c r="H1427" s="152" t="str">
        <f>'Reported burning'!H1427</f>
        <v>Presence</v>
      </c>
      <c r="I1427" s="3"/>
      <c r="J1427" s="3" t="s">
        <v>2276</v>
      </c>
      <c r="K1427" s="3" t="s">
        <v>2276</v>
      </c>
      <c r="L1427" s="3" t="s">
        <v>2276</v>
      </c>
      <c r="M1427" s="3" t="s">
        <v>2276</v>
      </c>
      <c r="N1427" s="3" t="s">
        <v>2276</v>
      </c>
      <c r="O1427" s="3" t="s">
        <v>2276</v>
      </c>
      <c r="P1427" s="3" t="s">
        <v>2276</v>
      </c>
      <c r="Q1427" s="3" t="s">
        <v>2276</v>
      </c>
      <c r="R1427" s="3" t="s">
        <v>2276</v>
      </c>
      <c r="S1427" s="3" t="s">
        <v>2276</v>
      </c>
      <c r="T1427" s="3" t="s">
        <v>2276</v>
      </c>
      <c r="U1427" s="3" t="s">
        <v>2276</v>
      </c>
      <c r="V1427" s="3" t="s">
        <v>2276</v>
      </c>
      <c r="W1427" s="3" t="s">
        <v>2276</v>
      </c>
      <c r="X1427" s="3" t="s">
        <v>2276</v>
      </c>
      <c r="Y1427" s="3" t="s">
        <v>2276</v>
      </c>
      <c r="Z1427" s="3" t="s">
        <v>2276</v>
      </c>
      <c r="AA1427" s="3" t="s">
        <v>2276</v>
      </c>
      <c r="AB1427" s="4" t="s">
        <v>4279</v>
      </c>
    </row>
    <row r="1428" spans="1:28" ht="54.5" customHeight="1">
      <c r="A1428" s="152" t="str">
        <f>'Reported burning'!A1428</f>
        <v>169a</v>
      </c>
      <c r="B1428" s="152" t="str">
        <f>'Reported burning'!B1428</f>
        <v>169a.5</v>
      </c>
      <c r="C1428" s="152" t="str">
        <f>'Reported burning'!C1428</f>
        <v>Human, accidental</v>
      </c>
      <c r="D1428" s="152" t="str">
        <f>'Reported burning'!D1428</f>
        <v>Accidental</v>
      </c>
      <c r="E1428" s="152" t="str">
        <f>'Reported burning'!E1428</f>
        <v>All</v>
      </c>
      <c r="F1428" s="152" t="str">
        <f>'Reported burning'!F1428</f>
        <v>ND</v>
      </c>
      <c r="G1428" s="152" t="str">
        <f>'Reported burning'!G1428</f>
        <v>ND</v>
      </c>
      <c r="H1428" s="152" t="str">
        <f>'Reported burning'!H1428</f>
        <v>Presence</v>
      </c>
      <c r="I1428" s="3"/>
      <c r="J1428" s="3" t="s">
        <v>2276</v>
      </c>
      <c r="K1428" s="3" t="s">
        <v>2276</v>
      </c>
      <c r="L1428" s="3" t="s">
        <v>2276</v>
      </c>
      <c r="M1428" s="3" t="s">
        <v>2276</v>
      </c>
      <c r="N1428" s="3" t="s">
        <v>2276</v>
      </c>
      <c r="O1428" s="3" t="s">
        <v>2276</v>
      </c>
      <c r="P1428" s="3" t="s">
        <v>2276</v>
      </c>
      <c r="Q1428" s="3" t="s">
        <v>2276</v>
      </c>
      <c r="R1428" s="3" t="s">
        <v>2276</v>
      </c>
      <c r="S1428" s="3" t="s">
        <v>2276</v>
      </c>
      <c r="T1428" s="3" t="s">
        <v>2276</v>
      </c>
      <c r="U1428" s="3" t="s">
        <v>2276</v>
      </c>
      <c r="V1428" s="3" t="s">
        <v>2276</v>
      </c>
      <c r="W1428" s="3" t="s">
        <v>2276</v>
      </c>
      <c r="X1428" s="3" t="s">
        <v>2276</v>
      </c>
      <c r="Y1428" s="3" t="s">
        <v>2276</v>
      </c>
      <c r="Z1428" s="3" t="s">
        <v>2276</v>
      </c>
      <c r="AA1428" s="4" t="s">
        <v>4275</v>
      </c>
      <c r="AB1428" s="4" t="s">
        <v>4279</v>
      </c>
    </row>
    <row r="1429" spans="1:28" ht="54.5" customHeight="1">
      <c r="A1429" s="152" t="str">
        <f>'Reported burning'!A1429</f>
        <v>169a</v>
      </c>
      <c r="B1429" s="152" t="str">
        <f>'Reported burning'!B1429</f>
        <v>169a.6</v>
      </c>
      <c r="C1429" s="152" t="str">
        <f>'Reported burning'!C1429</f>
        <v>Human, accidental</v>
      </c>
      <c r="D1429" s="152" t="str">
        <f>'Reported burning'!D1429</f>
        <v>Accidental</v>
      </c>
      <c r="E1429" s="152" t="str">
        <f>'Reported burning'!E1429</f>
        <v>Tourism manager</v>
      </c>
      <c r="F1429" s="152" t="str">
        <f>'Reported burning'!F1429</f>
        <v>ND</v>
      </c>
      <c r="G1429" s="152" t="str">
        <f>'Reported burning'!G1429</f>
        <v>ND</v>
      </c>
      <c r="H1429" s="152" t="str">
        <f>'Reported burning'!H1429</f>
        <v>Presence</v>
      </c>
      <c r="I1429" s="3"/>
      <c r="J1429" s="3" t="s">
        <v>2276</v>
      </c>
      <c r="K1429" s="3" t="s">
        <v>2276</v>
      </c>
      <c r="L1429" s="3" t="s">
        <v>2276</v>
      </c>
      <c r="M1429" s="3" t="s">
        <v>2276</v>
      </c>
      <c r="N1429" s="3" t="s">
        <v>2276</v>
      </c>
      <c r="O1429" s="3" t="s">
        <v>2276</v>
      </c>
      <c r="P1429" s="3" t="s">
        <v>2276</v>
      </c>
      <c r="Q1429" s="3" t="s">
        <v>2276</v>
      </c>
      <c r="R1429" s="3" t="s">
        <v>2276</v>
      </c>
      <c r="S1429" s="3" t="s">
        <v>2276</v>
      </c>
      <c r="T1429" s="3" t="s">
        <v>2276</v>
      </c>
      <c r="U1429" s="3" t="s">
        <v>2276</v>
      </c>
      <c r="V1429" s="3" t="s">
        <v>2276</v>
      </c>
      <c r="W1429" s="3" t="s">
        <v>2276</v>
      </c>
      <c r="X1429" s="3" t="s">
        <v>2276</v>
      </c>
      <c r="Y1429" s="3" t="s">
        <v>2276</v>
      </c>
      <c r="Z1429" s="3" t="s">
        <v>2276</v>
      </c>
      <c r="AA1429" s="4" t="s">
        <v>4274</v>
      </c>
      <c r="AB1429" s="4" t="s">
        <v>4279</v>
      </c>
    </row>
    <row r="1430" spans="1:28" ht="54.5" customHeight="1">
      <c r="A1430" s="152" t="str">
        <f>'Reported burning'!A1430</f>
        <v>169a</v>
      </c>
      <c r="B1430" s="152" t="str">
        <f>'Reported burning'!B1430</f>
        <v>169a.7</v>
      </c>
      <c r="C1430" s="152" t="str">
        <f>'Reported burning'!C1430</f>
        <v>Human, deliberate</v>
      </c>
      <c r="D1430" s="152" t="str">
        <f>'Reported burning'!D1430</f>
        <v>Land clearance</v>
      </c>
      <c r="E1430" s="152" t="str">
        <f>'Reported burning'!E1430</f>
        <v>Mixed cropping-livestock small holder, Subsistence-oriented</v>
      </c>
      <c r="F1430" s="152" t="str">
        <f>'Reported burning'!F1430</f>
        <v>ND</v>
      </c>
      <c r="G1430" s="152" t="str">
        <f>'Reported burning'!G1430</f>
        <v>ND</v>
      </c>
      <c r="H1430" s="152" t="str">
        <f>'Reported burning'!H1430</f>
        <v>Presence</v>
      </c>
      <c r="I1430" s="3"/>
      <c r="J1430" s="3" t="s">
        <v>2276</v>
      </c>
      <c r="K1430" s="3" t="s">
        <v>2276</v>
      </c>
      <c r="L1430" s="3" t="s">
        <v>2276</v>
      </c>
      <c r="M1430" s="3" t="s">
        <v>2276</v>
      </c>
      <c r="N1430" s="3" t="s">
        <v>2276</v>
      </c>
      <c r="O1430" s="3" t="s">
        <v>2276</v>
      </c>
      <c r="P1430" s="3" t="s">
        <v>2276</v>
      </c>
      <c r="Q1430" s="3" t="s">
        <v>2276</v>
      </c>
      <c r="R1430" s="3" t="s">
        <v>2276</v>
      </c>
      <c r="S1430" s="3" t="s">
        <v>2276</v>
      </c>
      <c r="T1430" s="3" t="s">
        <v>2276</v>
      </c>
      <c r="U1430" s="3" t="s">
        <v>2276</v>
      </c>
      <c r="V1430" s="3" t="s">
        <v>2276</v>
      </c>
      <c r="W1430" s="3" t="s">
        <v>2276</v>
      </c>
      <c r="X1430" s="3" t="s">
        <v>2276</v>
      </c>
      <c r="Y1430" s="3" t="s">
        <v>2276</v>
      </c>
      <c r="Z1430" s="3" t="s">
        <v>2276</v>
      </c>
      <c r="AA1430" s="3" t="s">
        <v>4276</v>
      </c>
      <c r="AB1430" s="4" t="s">
        <v>4279</v>
      </c>
    </row>
    <row r="1431" spans="1:28" ht="54.5" customHeight="1">
      <c r="A1431" s="152" t="str">
        <f>'Reported burning'!A1431</f>
        <v>169a</v>
      </c>
      <c r="B1431" s="152" t="str">
        <f>'Reported burning'!B1431</f>
        <v>169a.8</v>
      </c>
      <c r="C1431" s="152" t="str">
        <f>'Reported burning'!C1431</f>
        <v>Human, deliberate</v>
      </c>
      <c r="D1431" s="152" t="str">
        <f>'Reported burning'!D1431</f>
        <v>Crop residue burning</v>
      </c>
      <c r="E1431" s="152" t="str">
        <f>'Reported burning'!E1431</f>
        <v>Mixed cropping-livestock small holder, Subsistence-oriented</v>
      </c>
      <c r="F1431" s="152" t="str">
        <f>'Reported burning'!F1431</f>
        <v>ND</v>
      </c>
      <c r="G1431" s="152" t="str">
        <f>'Reported burning'!G1431</f>
        <v>ND</v>
      </c>
      <c r="H1431" s="152" t="str">
        <f>'Reported burning'!H1431</f>
        <v>Presence</v>
      </c>
      <c r="I1431" s="3"/>
      <c r="J1431" s="3" t="s">
        <v>2276</v>
      </c>
      <c r="K1431" s="3" t="s">
        <v>2276</v>
      </c>
      <c r="L1431" s="3" t="s">
        <v>2276</v>
      </c>
      <c r="M1431" s="3" t="s">
        <v>2276</v>
      </c>
      <c r="N1431" s="3" t="s">
        <v>2276</v>
      </c>
      <c r="O1431" s="3" t="s">
        <v>2276</v>
      </c>
      <c r="P1431" s="3" t="s">
        <v>2276</v>
      </c>
      <c r="Q1431" s="3" t="s">
        <v>2276</v>
      </c>
      <c r="R1431" s="3" t="s">
        <v>2276</v>
      </c>
      <c r="S1431" s="3" t="s">
        <v>2276</v>
      </c>
      <c r="T1431" s="3" t="s">
        <v>2276</v>
      </c>
      <c r="U1431" s="3" t="s">
        <v>2276</v>
      </c>
      <c r="V1431" s="3" t="s">
        <v>2276</v>
      </c>
      <c r="W1431" s="3" t="s">
        <v>2276</v>
      </c>
      <c r="X1431" s="3" t="s">
        <v>2276</v>
      </c>
      <c r="Y1431" s="3" t="s">
        <v>2276</v>
      </c>
      <c r="Z1431" s="3" t="s">
        <v>2276</v>
      </c>
      <c r="AA1431" s="3" t="s">
        <v>4277</v>
      </c>
      <c r="AB1431" s="4" t="s">
        <v>4279</v>
      </c>
    </row>
    <row r="1432" spans="1:28" ht="54.5" customHeight="1">
      <c r="A1432" s="152" t="str">
        <f>'Reported burning'!A1432</f>
        <v>169a</v>
      </c>
      <c r="B1432" s="152" t="str">
        <f>'Reported burning'!B1432</f>
        <v>169a.9</v>
      </c>
      <c r="C1432" s="152" t="str">
        <f>'Reported burning'!C1432</f>
        <v>Human, deliberate</v>
      </c>
      <c r="D1432" s="152" t="str">
        <f>'Reported burning'!D1432</f>
        <v>Arson</v>
      </c>
      <c r="E1432" s="152" t="str">
        <f>'Reported burning'!E1432</f>
        <v>ND</v>
      </c>
      <c r="F1432" s="152" t="str">
        <f>'Reported burning'!F1432</f>
        <v>ND</v>
      </c>
      <c r="G1432" s="152" t="str">
        <f>'Reported burning'!G1432</f>
        <v>ND</v>
      </c>
      <c r="H1432" s="152" t="str">
        <f>'Reported burning'!H1432</f>
        <v>Presence</v>
      </c>
      <c r="I1432" s="3"/>
      <c r="J1432" s="3" t="s">
        <v>2276</v>
      </c>
      <c r="K1432" s="3" t="s">
        <v>2276</v>
      </c>
      <c r="L1432" s="3" t="s">
        <v>2276</v>
      </c>
      <c r="M1432" s="3" t="s">
        <v>2276</v>
      </c>
      <c r="N1432" s="3" t="s">
        <v>2276</v>
      </c>
      <c r="O1432" s="3" t="s">
        <v>2276</v>
      </c>
      <c r="P1432" s="3" t="s">
        <v>2276</v>
      </c>
      <c r="Q1432" s="3" t="s">
        <v>2276</v>
      </c>
      <c r="R1432" s="3" t="s">
        <v>2276</v>
      </c>
      <c r="S1432" s="3" t="s">
        <v>2276</v>
      </c>
      <c r="T1432" s="3" t="s">
        <v>2276</v>
      </c>
      <c r="U1432" s="3" t="s">
        <v>2276</v>
      </c>
      <c r="V1432" s="3" t="s">
        <v>2276</v>
      </c>
      <c r="W1432" s="3" t="s">
        <v>2276</v>
      </c>
      <c r="X1432" s="3" t="s">
        <v>2276</v>
      </c>
      <c r="Y1432" s="3" t="s">
        <v>2276</v>
      </c>
      <c r="Z1432" s="3" t="s">
        <v>2276</v>
      </c>
      <c r="AA1432" s="169" t="s">
        <v>4280</v>
      </c>
      <c r="AB1432" s="4" t="s">
        <v>4279</v>
      </c>
    </row>
    <row r="1433" spans="1:28" ht="54.5" customHeight="1">
      <c r="A1433" s="152" t="str">
        <f>'Reported burning'!A1433</f>
        <v>169b</v>
      </c>
      <c r="B1433" s="152" t="str">
        <f>'Reported burning'!B1433</f>
        <v>169b.1</v>
      </c>
      <c r="C1433" s="152" t="str">
        <f>'Reported burning'!C1433</f>
        <v>Human, deliberate</v>
      </c>
      <c r="D1433" s="152" t="str">
        <f>'Reported burning'!D1433</f>
        <v>Pasture renewal</v>
      </c>
      <c r="E1433" s="152" t="str">
        <f>'Reported burning'!E1433</f>
        <v>Mixed cropping-livestock small holder, Subsistence-oriented</v>
      </c>
      <c r="F1433" s="152" t="str">
        <f>'Reported burning'!F1433</f>
        <v>Shrubland (Mixed forest &amp; grassland)</v>
      </c>
      <c r="G1433" s="152" t="str">
        <f>'Reported burning'!G1433</f>
        <v>ND</v>
      </c>
      <c r="H1433" s="152" t="str">
        <f>'Reported burning'!H1433</f>
        <v>Presence</v>
      </c>
      <c r="I1433" s="3"/>
      <c r="J1433" s="3" t="s">
        <v>2276</v>
      </c>
      <c r="K1433" s="3" t="s">
        <v>2276</v>
      </c>
      <c r="L1433" s="3" t="s">
        <v>2276</v>
      </c>
      <c r="M1433" s="3" t="s">
        <v>2276</v>
      </c>
      <c r="N1433" s="3" t="s">
        <v>2276</v>
      </c>
      <c r="O1433" s="3" t="s">
        <v>2276</v>
      </c>
      <c r="P1433" s="3" t="s">
        <v>2276</v>
      </c>
      <c r="Q1433" s="3" t="s">
        <v>2276</v>
      </c>
      <c r="R1433" s="3" t="s">
        <v>2276</v>
      </c>
      <c r="S1433" s="3" t="s">
        <v>2276</v>
      </c>
      <c r="T1433" s="3" t="s">
        <v>2276</v>
      </c>
      <c r="U1433" s="3" t="s">
        <v>2276</v>
      </c>
      <c r="V1433" s="3" t="s">
        <v>2276</v>
      </c>
      <c r="W1433" s="3" t="s">
        <v>2276</v>
      </c>
      <c r="X1433" s="3" t="s">
        <v>2276</v>
      </c>
      <c r="Y1433" s="3" t="s">
        <v>2276</v>
      </c>
      <c r="Z1433" s="3" t="s">
        <v>2276</v>
      </c>
      <c r="AA1433" s="3" t="s">
        <v>4273</v>
      </c>
      <c r="AB1433" s="4" t="s">
        <v>4279</v>
      </c>
    </row>
    <row r="1434" spans="1:28" ht="54.5" customHeight="1">
      <c r="A1434" s="152" t="str">
        <f>'Reported burning'!A1434</f>
        <v>169b</v>
      </c>
      <c r="B1434" s="152" t="str">
        <f>'Reported burning'!B1434</f>
        <v>169b.2</v>
      </c>
      <c r="C1434" s="152" t="str">
        <f>'Reported burning'!C1434</f>
        <v>Human, escaped</v>
      </c>
      <c r="D1434" s="152" t="str">
        <f>'Reported burning'!D1434</f>
        <v>Pasture renewal</v>
      </c>
      <c r="E1434" s="152" t="str">
        <f>'Reported burning'!E1434</f>
        <v>Mixed cropping-livestock small holder, Subsistence-oriented</v>
      </c>
      <c r="F1434" s="152" t="str">
        <f>'Reported burning'!F1434</f>
        <v>Forest</v>
      </c>
      <c r="G1434" s="152" t="str">
        <f>'Reported burning'!G1434</f>
        <v>ND</v>
      </c>
      <c r="H1434" s="152" t="str">
        <f>'Reported burning'!H1434</f>
        <v>Presence</v>
      </c>
      <c r="I1434" s="3"/>
      <c r="J1434" s="3" t="s">
        <v>2276</v>
      </c>
      <c r="K1434" s="3" t="s">
        <v>2276</v>
      </c>
      <c r="L1434" s="3" t="s">
        <v>2276</v>
      </c>
      <c r="M1434" s="3" t="s">
        <v>2276</v>
      </c>
      <c r="N1434" s="3" t="s">
        <v>2276</v>
      </c>
      <c r="O1434" s="3" t="s">
        <v>2276</v>
      </c>
      <c r="P1434" s="3" t="s">
        <v>2276</v>
      </c>
      <c r="Q1434" s="3" t="s">
        <v>2276</v>
      </c>
      <c r="R1434" s="3" t="s">
        <v>2276</v>
      </c>
      <c r="S1434" s="3" t="s">
        <v>2276</v>
      </c>
      <c r="T1434" s="3" t="s">
        <v>2276</v>
      </c>
      <c r="U1434" s="3" t="s">
        <v>2276</v>
      </c>
      <c r="V1434" s="3" t="s">
        <v>2276</v>
      </c>
      <c r="W1434" s="3" t="s">
        <v>2276</v>
      </c>
      <c r="X1434" s="3" t="s">
        <v>2276</v>
      </c>
      <c r="Y1434" s="3" t="s">
        <v>2276</v>
      </c>
      <c r="Z1434" s="3" t="s">
        <v>2276</v>
      </c>
      <c r="AA1434" s="3" t="s">
        <v>2276</v>
      </c>
      <c r="AB1434" s="4" t="s">
        <v>4279</v>
      </c>
    </row>
    <row r="1435" spans="1:28" ht="54.5" customHeight="1">
      <c r="A1435" s="152" t="str">
        <f>'Reported burning'!A1435</f>
        <v>169b</v>
      </c>
      <c r="B1435" s="152" t="str">
        <f>'Reported burning'!B1435</f>
        <v>169b.3</v>
      </c>
      <c r="C1435" s="152" t="str">
        <f>'Reported burning'!C1435</f>
        <v>Human, deliberate</v>
      </c>
      <c r="D1435" s="152" t="str">
        <f>'Reported burning'!D1435</f>
        <v>Domestic</v>
      </c>
      <c r="E1435" s="152" t="str">
        <f>'Reported burning'!E1435</f>
        <v>All</v>
      </c>
      <c r="F1435" s="152" t="str">
        <f>'Reported burning'!F1435</f>
        <v>ND</v>
      </c>
      <c r="G1435" s="152" t="str">
        <f>'Reported burning'!G1435</f>
        <v>ND</v>
      </c>
      <c r="H1435" s="152" t="str">
        <f>'Reported burning'!H1435</f>
        <v>Presence</v>
      </c>
      <c r="I1435" s="3"/>
      <c r="J1435" s="3" t="s">
        <v>2276</v>
      </c>
      <c r="K1435" s="3" t="s">
        <v>2276</v>
      </c>
      <c r="L1435" s="3" t="s">
        <v>2276</v>
      </c>
      <c r="M1435" s="3" t="s">
        <v>2276</v>
      </c>
      <c r="N1435" s="3" t="s">
        <v>2276</v>
      </c>
      <c r="O1435" s="3" t="s">
        <v>2276</v>
      </c>
      <c r="P1435" s="3" t="s">
        <v>2276</v>
      </c>
      <c r="Q1435" s="3" t="s">
        <v>2276</v>
      </c>
      <c r="R1435" s="3" t="s">
        <v>2276</v>
      </c>
      <c r="S1435" s="3" t="s">
        <v>2276</v>
      </c>
      <c r="T1435" s="3" t="s">
        <v>2276</v>
      </c>
      <c r="U1435" s="3" t="s">
        <v>2276</v>
      </c>
      <c r="V1435" s="3" t="s">
        <v>2276</v>
      </c>
      <c r="W1435" s="3" t="s">
        <v>2276</v>
      </c>
      <c r="X1435" s="3" t="s">
        <v>2276</v>
      </c>
      <c r="Y1435" s="3" t="s">
        <v>2276</v>
      </c>
      <c r="Z1435" s="3" t="s">
        <v>2276</v>
      </c>
      <c r="AA1435" s="3" t="s">
        <v>4278</v>
      </c>
      <c r="AB1435" s="4" t="s">
        <v>4279</v>
      </c>
    </row>
    <row r="1436" spans="1:28" ht="54.5" customHeight="1">
      <c r="A1436" s="152" t="str">
        <f>'Reported burning'!A1436</f>
        <v>169b</v>
      </c>
      <c r="B1436" s="152" t="str">
        <f>'Reported burning'!B1436</f>
        <v>169b.4</v>
      </c>
      <c r="C1436" s="152" t="str">
        <f>'Reported burning'!C1436</f>
        <v>Human, escaped</v>
      </c>
      <c r="D1436" s="152" t="str">
        <f>'Reported burning'!D1436</f>
        <v>Domestic</v>
      </c>
      <c r="E1436" s="152" t="str">
        <f>'Reported burning'!E1436</f>
        <v>All</v>
      </c>
      <c r="F1436" s="152" t="str">
        <f>'Reported burning'!F1436</f>
        <v>ND</v>
      </c>
      <c r="G1436" s="152" t="str">
        <f>'Reported burning'!G1436</f>
        <v>ND</v>
      </c>
      <c r="H1436" s="152" t="str">
        <f>'Reported burning'!H1436</f>
        <v>Presence</v>
      </c>
      <c r="I1436" s="3"/>
      <c r="J1436" s="3" t="s">
        <v>2276</v>
      </c>
      <c r="K1436" s="3" t="s">
        <v>2276</v>
      </c>
      <c r="L1436" s="3" t="s">
        <v>2276</v>
      </c>
      <c r="M1436" s="3" t="s">
        <v>2276</v>
      </c>
      <c r="N1436" s="3" t="s">
        <v>2276</v>
      </c>
      <c r="O1436" s="3" t="s">
        <v>2276</v>
      </c>
      <c r="P1436" s="3" t="s">
        <v>2276</v>
      </c>
      <c r="Q1436" s="3" t="s">
        <v>2276</v>
      </c>
      <c r="R1436" s="3" t="s">
        <v>2276</v>
      </c>
      <c r="S1436" s="3" t="s">
        <v>2276</v>
      </c>
      <c r="T1436" s="3" t="s">
        <v>2276</v>
      </c>
      <c r="U1436" s="3" t="s">
        <v>2276</v>
      </c>
      <c r="V1436" s="3" t="s">
        <v>2276</v>
      </c>
      <c r="W1436" s="3" t="s">
        <v>2276</v>
      </c>
      <c r="X1436" s="3" t="s">
        <v>2276</v>
      </c>
      <c r="Y1436" s="3" t="s">
        <v>2276</v>
      </c>
      <c r="Z1436" s="3" t="s">
        <v>2276</v>
      </c>
      <c r="AA1436" s="3" t="s">
        <v>2276</v>
      </c>
      <c r="AB1436" s="4" t="s">
        <v>4279</v>
      </c>
    </row>
    <row r="1437" spans="1:28" ht="54.5" customHeight="1">
      <c r="A1437" s="152" t="str">
        <f>'Reported burning'!A1437</f>
        <v>169b</v>
      </c>
      <c r="B1437" s="152" t="str">
        <f>'Reported burning'!B1437</f>
        <v>169b.5</v>
      </c>
      <c r="C1437" s="152" t="str">
        <f>'Reported burning'!C1437</f>
        <v>Human, accidental</v>
      </c>
      <c r="D1437" s="152" t="str">
        <f>'Reported burning'!D1437</f>
        <v>Accidental</v>
      </c>
      <c r="E1437" s="152" t="str">
        <f>'Reported burning'!E1437</f>
        <v>All</v>
      </c>
      <c r="F1437" s="152" t="str">
        <f>'Reported burning'!F1437</f>
        <v>ND</v>
      </c>
      <c r="G1437" s="152" t="str">
        <f>'Reported burning'!G1437</f>
        <v>ND</v>
      </c>
      <c r="H1437" s="152" t="str">
        <f>'Reported burning'!H1437</f>
        <v>Presence</v>
      </c>
      <c r="I1437" s="3"/>
      <c r="J1437" s="3" t="s">
        <v>2276</v>
      </c>
      <c r="K1437" s="3" t="s">
        <v>2276</v>
      </c>
      <c r="L1437" s="3" t="s">
        <v>2276</v>
      </c>
      <c r="M1437" s="3" t="s">
        <v>2276</v>
      </c>
      <c r="N1437" s="3" t="s">
        <v>2276</v>
      </c>
      <c r="O1437" s="3" t="s">
        <v>2276</v>
      </c>
      <c r="P1437" s="3" t="s">
        <v>2276</v>
      </c>
      <c r="Q1437" s="3" t="s">
        <v>2276</v>
      </c>
      <c r="R1437" s="3" t="s">
        <v>2276</v>
      </c>
      <c r="S1437" s="3" t="s">
        <v>2276</v>
      </c>
      <c r="T1437" s="3" t="s">
        <v>2276</v>
      </c>
      <c r="U1437" s="3" t="s">
        <v>2276</v>
      </c>
      <c r="V1437" s="3" t="s">
        <v>2276</v>
      </c>
      <c r="W1437" s="3" t="s">
        <v>2276</v>
      </c>
      <c r="X1437" s="3" t="s">
        <v>2276</v>
      </c>
      <c r="Y1437" s="3" t="s">
        <v>2276</v>
      </c>
      <c r="Z1437" s="3" t="s">
        <v>2276</v>
      </c>
      <c r="AA1437" s="4" t="s">
        <v>4275</v>
      </c>
      <c r="AB1437" s="4" t="s">
        <v>4279</v>
      </c>
    </row>
    <row r="1438" spans="1:28" ht="54.5" customHeight="1">
      <c r="A1438" s="152" t="str">
        <f>'Reported burning'!A1438</f>
        <v>169b</v>
      </c>
      <c r="B1438" s="152" t="str">
        <f>'Reported burning'!B1438</f>
        <v>169b.6</v>
      </c>
      <c r="C1438" s="152" t="str">
        <f>'Reported burning'!C1438</f>
        <v>Human, accidental</v>
      </c>
      <c r="D1438" s="152" t="str">
        <f>'Reported burning'!D1438</f>
        <v>Accidental</v>
      </c>
      <c r="E1438" s="152" t="str">
        <f>'Reported burning'!E1438</f>
        <v>Tourism manager</v>
      </c>
      <c r="F1438" s="152" t="str">
        <f>'Reported burning'!F1438</f>
        <v>ND</v>
      </c>
      <c r="G1438" s="152" t="str">
        <f>'Reported burning'!G1438</f>
        <v>ND</v>
      </c>
      <c r="H1438" s="152" t="str">
        <f>'Reported burning'!H1438</f>
        <v>Presence</v>
      </c>
      <c r="I1438" s="3"/>
      <c r="J1438" s="3" t="s">
        <v>2276</v>
      </c>
      <c r="K1438" s="3" t="s">
        <v>2276</v>
      </c>
      <c r="L1438" s="3" t="s">
        <v>2276</v>
      </c>
      <c r="M1438" s="3" t="s">
        <v>2276</v>
      </c>
      <c r="N1438" s="3" t="s">
        <v>2276</v>
      </c>
      <c r="O1438" s="3" t="s">
        <v>2276</v>
      </c>
      <c r="P1438" s="3" t="s">
        <v>2276</v>
      </c>
      <c r="Q1438" s="3" t="s">
        <v>2276</v>
      </c>
      <c r="R1438" s="3" t="s">
        <v>2276</v>
      </c>
      <c r="S1438" s="3" t="s">
        <v>2276</v>
      </c>
      <c r="T1438" s="3" t="s">
        <v>2276</v>
      </c>
      <c r="U1438" s="3" t="s">
        <v>2276</v>
      </c>
      <c r="V1438" s="3" t="s">
        <v>2276</v>
      </c>
      <c r="W1438" s="3" t="s">
        <v>2276</v>
      </c>
      <c r="X1438" s="3" t="s">
        <v>2276</v>
      </c>
      <c r="Y1438" s="3" t="s">
        <v>2276</v>
      </c>
      <c r="Z1438" s="3" t="s">
        <v>2276</v>
      </c>
      <c r="AA1438" s="4" t="s">
        <v>4274</v>
      </c>
      <c r="AB1438" s="4" t="s">
        <v>4279</v>
      </c>
    </row>
    <row r="1439" spans="1:28" ht="54.5" customHeight="1">
      <c r="A1439" s="152" t="str">
        <f>'Reported burning'!A1439</f>
        <v>169b</v>
      </c>
      <c r="B1439" s="152" t="str">
        <f>'Reported burning'!B1439</f>
        <v>169b.7</v>
      </c>
      <c r="C1439" s="152" t="str">
        <f>'Reported burning'!C1439</f>
        <v>Human, deliberate</v>
      </c>
      <c r="D1439" s="152" t="str">
        <f>'Reported burning'!D1439</f>
        <v>Land clearance</v>
      </c>
      <c r="E1439" s="152" t="str">
        <f>'Reported burning'!E1439</f>
        <v>Mixed cropping-livestock small holder, Subsistence-oriented</v>
      </c>
      <c r="F1439" s="152" t="str">
        <f>'Reported burning'!F1439</f>
        <v>ND</v>
      </c>
      <c r="G1439" s="152" t="str">
        <f>'Reported burning'!G1439</f>
        <v>ND</v>
      </c>
      <c r="H1439" s="152" t="str">
        <f>'Reported burning'!H1439</f>
        <v>Presence</v>
      </c>
      <c r="I1439" s="3"/>
      <c r="J1439" s="3" t="s">
        <v>2276</v>
      </c>
      <c r="K1439" s="3" t="s">
        <v>2276</v>
      </c>
      <c r="L1439" s="3" t="s">
        <v>2276</v>
      </c>
      <c r="M1439" s="3" t="s">
        <v>2276</v>
      </c>
      <c r="N1439" s="3" t="s">
        <v>2276</v>
      </c>
      <c r="O1439" s="3" t="s">
        <v>2276</v>
      </c>
      <c r="P1439" s="3" t="s">
        <v>2276</v>
      </c>
      <c r="Q1439" s="3" t="s">
        <v>2276</v>
      </c>
      <c r="R1439" s="3" t="s">
        <v>2276</v>
      </c>
      <c r="S1439" s="3" t="s">
        <v>2276</v>
      </c>
      <c r="T1439" s="3" t="s">
        <v>2276</v>
      </c>
      <c r="U1439" s="3" t="s">
        <v>2276</v>
      </c>
      <c r="V1439" s="3" t="s">
        <v>2276</v>
      </c>
      <c r="W1439" s="3" t="s">
        <v>2276</v>
      </c>
      <c r="X1439" s="3" t="s">
        <v>2276</v>
      </c>
      <c r="Y1439" s="3" t="s">
        <v>2276</v>
      </c>
      <c r="Z1439" s="3" t="s">
        <v>2276</v>
      </c>
      <c r="AA1439" s="3" t="s">
        <v>4276</v>
      </c>
      <c r="AB1439" s="4" t="s">
        <v>4279</v>
      </c>
    </row>
    <row r="1440" spans="1:28" ht="54.5" customHeight="1">
      <c r="A1440" s="152" t="str">
        <f>'Reported burning'!A1440</f>
        <v>169b</v>
      </c>
      <c r="B1440" s="152" t="str">
        <f>'Reported burning'!B1440</f>
        <v>169b.8</v>
      </c>
      <c r="C1440" s="152" t="str">
        <f>'Reported burning'!C1440</f>
        <v>Human, deliberate</v>
      </c>
      <c r="D1440" s="152" t="str">
        <f>'Reported burning'!D1440</f>
        <v>Crop residue burning</v>
      </c>
      <c r="E1440" s="152" t="str">
        <f>'Reported burning'!E1440</f>
        <v>Mixed cropping-livestock small holder, Subsistence-oriented</v>
      </c>
      <c r="F1440" s="152" t="str">
        <f>'Reported burning'!F1440</f>
        <v>ND</v>
      </c>
      <c r="G1440" s="152" t="str">
        <f>'Reported burning'!G1440</f>
        <v>ND</v>
      </c>
      <c r="H1440" s="152" t="str">
        <f>'Reported burning'!H1440</f>
        <v>Presence</v>
      </c>
      <c r="I1440" s="3"/>
      <c r="J1440" s="3" t="s">
        <v>2276</v>
      </c>
      <c r="K1440" s="3" t="s">
        <v>2276</v>
      </c>
      <c r="L1440" s="3" t="s">
        <v>2276</v>
      </c>
      <c r="M1440" s="3" t="s">
        <v>2276</v>
      </c>
      <c r="N1440" s="3" t="s">
        <v>2276</v>
      </c>
      <c r="O1440" s="3" t="s">
        <v>2276</v>
      </c>
      <c r="P1440" s="3" t="s">
        <v>2276</v>
      </c>
      <c r="Q1440" s="3" t="s">
        <v>2276</v>
      </c>
      <c r="R1440" s="3" t="s">
        <v>2276</v>
      </c>
      <c r="S1440" s="3" t="s">
        <v>2276</v>
      </c>
      <c r="T1440" s="3" t="s">
        <v>2276</v>
      </c>
      <c r="U1440" s="3" t="s">
        <v>2276</v>
      </c>
      <c r="V1440" s="3" t="s">
        <v>2276</v>
      </c>
      <c r="W1440" s="3" t="s">
        <v>2276</v>
      </c>
      <c r="X1440" s="3" t="s">
        <v>2276</v>
      </c>
      <c r="Y1440" s="3" t="s">
        <v>2276</v>
      </c>
      <c r="Z1440" s="3" t="s">
        <v>2276</v>
      </c>
      <c r="AA1440" s="3" t="s">
        <v>4277</v>
      </c>
      <c r="AB1440" s="4" t="s">
        <v>4279</v>
      </c>
    </row>
    <row r="1441" spans="1:28" ht="54.5" customHeight="1">
      <c r="A1441" s="152" t="str">
        <f>'Reported burning'!A1441</f>
        <v>169b</v>
      </c>
      <c r="B1441" s="152" t="str">
        <f>'Reported burning'!B1441</f>
        <v>169b.9</v>
      </c>
      <c r="C1441" s="152" t="str">
        <f>'Reported burning'!C1441</f>
        <v>Human, deliberate</v>
      </c>
      <c r="D1441" s="152" t="str">
        <f>'Reported burning'!D1441</f>
        <v>Arson</v>
      </c>
      <c r="E1441" s="152" t="str">
        <f>'Reported burning'!E1441</f>
        <v>ND</v>
      </c>
      <c r="F1441" s="152" t="str">
        <f>'Reported burning'!F1441</f>
        <v>ND</v>
      </c>
      <c r="G1441" s="152" t="str">
        <f>'Reported burning'!G1441</f>
        <v>ND</v>
      </c>
      <c r="H1441" s="152" t="str">
        <f>'Reported burning'!H1441</f>
        <v>Presence</v>
      </c>
      <c r="I1441" s="3"/>
      <c r="J1441" s="3" t="s">
        <v>2276</v>
      </c>
      <c r="K1441" s="3" t="s">
        <v>2276</v>
      </c>
      <c r="L1441" s="3" t="s">
        <v>2276</v>
      </c>
      <c r="M1441" s="3" t="s">
        <v>2276</v>
      </c>
      <c r="N1441" s="3" t="s">
        <v>2276</v>
      </c>
      <c r="O1441" s="3" t="s">
        <v>2276</v>
      </c>
      <c r="P1441" s="3" t="s">
        <v>2276</v>
      </c>
      <c r="Q1441" s="3" t="s">
        <v>2276</v>
      </c>
      <c r="R1441" s="3" t="s">
        <v>2276</v>
      </c>
      <c r="S1441" s="3" t="s">
        <v>2276</v>
      </c>
      <c r="T1441" s="3" t="s">
        <v>2276</v>
      </c>
      <c r="U1441" s="3" t="s">
        <v>2276</v>
      </c>
      <c r="V1441" s="3" t="s">
        <v>2276</v>
      </c>
      <c r="W1441" s="3" t="s">
        <v>2276</v>
      </c>
      <c r="X1441" s="3" t="s">
        <v>2276</v>
      </c>
      <c r="Y1441" s="3" t="s">
        <v>2276</v>
      </c>
      <c r="Z1441" s="3" t="s">
        <v>2276</v>
      </c>
      <c r="AA1441" s="169" t="s">
        <v>4280</v>
      </c>
      <c r="AB1441" s="4" t="s">
        <v>4279</v>
      </c>
    </row>
    <row r="1442" spans="1:28" ht="54.5" customHeight="1">
      <c r="A1442" s="152" t="str">
        <f>'Reported burning'!A1442</f>
        <v>169c</v>
      </c>
      <c r="B1442" s="152" t="str">
        <f>'Reported burning'!B1442</f>
        <v>169c.1</v>
      </c>
      <c r="C1442" s="152" t="str">
        <f>'Reported burning'!C1442</f>
        <v>Human, deliberate</v>
      </c>
      <c r="D1442" s="152" t="str">
        <f>'Reported burning'!D1442</f>
        <v>Pasture renewal</v>
      </c>
      <c r="E1442" s="152" t="str">
        <f>'Reported burning'!E1442</f>
        <v>Mixed cropping-livestock small holder, Subsistence-oriented</v>
      </c>
      <c r="F1442" s="152" t="str">
        <f>'Reported burning'!F1442</f>
        <v>Shrubland (Mixed forest &amp; grassland)</v>
      </c>
      <c r="G1442" s="152" t="str">
        <f>'Reported burning'!G1442</f>
        <v>ND</v>
      </c>
      <c r="H1442" s="152" t="str">
        <f>'Reported burning'!H1442</f>
        <v>Presence</v>
      </c>
      <c r="I1442" s="3"/>
      <c r="J1442" s="3" t="s">
        <v>2276</v>
      </c>
      <c r="K1442" s="3" t="s">
        <v>2276</v>
      </c>
      <c r="L1442" s="3" t="s">
        <v>2276</v>
      </c>
      <c r="M1442" s="3" t="s">
        <v>2276</v>
      </c>
      <c r="N1442" s="3" t="s">
        <v>2276</v>
      </c>
      <c r="O1442" s="3" t="s">
        <v>2276</v>
      </c>
      <c r="P1442" s="3" t="s">
        <v>2276</v>
      </c>
      <c r="Q1442" s="3" t="s">
        <v>2276</v>
      </c>
      <c r="R1442" s="3" t="s">
        <v>2276</v>
      </c>
      <c r="S1442" s="3" t="s">
        <v>2276</v>
      </c>
      <c r="T1442" s="3" t="s">
        <v>2276</v>
      </c>
      <c r="U1442" s="3" t="s">
        <v>2276</v>
      </c>
      <c r="V1442" s="3" t="s">
        <v>2276</v>
      </c>
      <c r="W1442" s="3" t="s">
        <v>2276</v>
      </c>
      <c r="X1442" s="3" t="s">
        <v>2276</v>
      </c>
      <c r="Y1442" s="3" t="s">
        <v>2276</v>
      </c>
      <c r="Z1442" s="3" t="s">
        <v>2276</v>
      </c>
      <c r="AA1442" s="3" t="s">
        <v>4273</v>
      </c>
      <c r="AB1442" s="4" t="s">
        <v>4279</v>
      </c>
    </row>
    <row r="1443" spans="1:28" ht="54.5" customHeight="1">
      <c r="A1443" s="152" t="str">
        <f>'Reported burning'!A1443</f>
        <v>169c</v>
      </c>
      <c r="B1443" s="152" t="str">
        <f>'Reported burning'!B1443</f>
        <v>169c.2</v>
      </c>
      <c r="C1443" s="152" t="str">
        <f>'Reported burning'!C1443</f>
        <v>Human, escaped</v>
      </c>
      <c r="D1443" s="152" t="str">
        <f>'Reported burning'!D1443</f>
        <v>Pasture renewal</v>
      </c>
      <c r="E1443" s="152" t="str">
        <f>'Reported burning'!E1443</f>
        <v>Mixed cropping-livestock small holder, Subsistence-oriented</v>
      </c>
      <c r="F1443" s="152" t="str">
        <f>'Reported burning'!F1443</f>
        <v>Forest</v>
      </c>
      <c r="G1443" s="152" t="str">
        <f>'Reported burning'!G1443</f>
        <v>ND</v>
      </c>
      <c r="H1443" s="152" t="str">
        <f>'Reported burning'!H1443</f>
        <v>Presence</v>
      </c>
      <c r="I1443" s="3"/>
      <c r="J1443" s="3" t="s">
        <v>2276</v>
      </c>
      <c r="K1443" s="3" t="s">
        <v>2276</v>
      </c>
      <c r="L1443" s="3" t="s">
        <v>2276</v>
      </c>
      <c r="M1443" s="3" t="s">
        <v>2276</v>
      </c>
      <c r="N1443" s="3" t="s">
        <v>2276</v>
      </c>
      <c r="O1443" s="3" t="s">
        <v>2276</v>
      </c>
      <c r="P1443" s="3" t="s">
        <v>2276</v>
      </c>
      <c r="Q1443" s="3" t="s">
        <v>2276</v>
      </c>
      <c r="R1443" s="3" t="s">
        <v>2276</v>
      </c>
      <c r="S1443" s="3" t="s">
        <v>2276</v>
      </c>
      <c r="T1443" s="3" t="s">
        <v>2276</v>
      </c>
      <c r="U1443" s="3" t="s">
        <v>2276</v>
      </c>
      <c r="V1443" s="3" t="s">
        <v>2276</v>
      </c>
      <c r="W1443" s="3" t="s">
        <v>2276</v>
      </c>
      <c r="X1443" s="3" t="s">
        <v>2276</v>
      </c>
      <c r="Y1443" s="3" t="s">
        <v>2276</v>
      </c>
      <c r="Z1443" s="3" t="s">
        <v>2276</v>
      </c>
      <c r="AA1443" s="3" t="s">
        <v>2276</v>
      </c>
      <c r="AB1443" s="4" t="s">
        <v>4279</v>
      </c>
    </row>
    <row r="1444" spans="1:28" ht="54.5" customHeight="1">
      <c r="A1444" s="152" t="str">
        <f>'Reported burning'!A1444</f>
        <v>169c</v>
      </c>
      <c r="B1444" s="152" t="str">
        <f>'Reported burning'!B1444</f>
        <v>169c.3</v>
      </c>
      <c r="C1444" s="152" t="str">
        <f>'Reported burning'!C1444</f>
        <v>Human, deliberate</v>
      </c>
      <c r="D1444" s="152" t="str">
        <f>'Reported burning'!D1444</f>
        <v>Domestic</v>
      </c>
      <c r="E1444" s="152" t="str">
        <f>'Reported burning'!E1444</f>
        <v>All</v>
      </c>
      <c r="F1444" s="152" t="str">
        <f>'Reported burning'!F1444</f>
        <v>ND</v>
      </c>
      <c r="G1444" s="152" t="str">
        <f>'Reported burning'!G1444</f>
        <v>ND</v>
      </c>
      <c r="H1444" s="152" t="str">
        <f>'Reported burning'!H1444</f>
        <v>Presence</v>
      </c>
      <c r="I1444" s="3"/>
      <c r="J1444" s="3" t="s">
        <v>2276</v>
      </c>
      <c r="K1444" s="3" t="s">
        <v>2276</v>
      </c>
      <c r="L1444" s="3" t="s">
        <v>2276</v>
      </c>
      <c r="M1444" s="3" t="s">
        <v>2276</v>
      </c>
      <c r="N1444" s="3" t="s">
        <v>2276</v>
      </c>
      <c r="O1444" s="3" t="s">
        <v>2276</v>
      </c>
      <c r="P1444" s="3" t="s">
        <v>2276</v>
      </c>
      <c r="Q1444" s="3" t="s">
        <v>2276</v>
      </c>
      <c r="R1444" s="3" t="s">
        <v>2276</v>
      </c>
      <c r="S1444" s="3" t="s">
        <v>2276</v>
      </c>
      <c r="T1444" s="3" t="s">
        <v>2276</v>
      </c>
      <c r="U1444" s="3" t="s">
        <v>2276</v>
      </c>
      <c r="V1444" s="3" t="s">
        <v>2276</v>
      </c>
      <c r="W1444" s="3" t="s">
        <v>2276</v>
      </c>
      <c r="X1444" s="3" t="s">
        <v>2276</v>
      </c>
      <c r="Y1444" s="3" t="s">
        <v>2276</v>
      </c>
      <c r="Z1444" s="3" t="s">
        <v>2276</v>
      </c>
      <c r="AA1444" s="3" t="s">
        <v>4278</v>
      </c>
      <c r="AB1444" s="4" t="s">
        <v>4279</v>
      </c>
    </row>
    <row r="1445" spans="1:28" ht="54.5" customHeight="1">
      <c r="A1445" s="152" t="str">
        <f>'Reported burning'!A1445</f>
        <v>169c</v>
      </c>
      <c r="B1445" s="152" t="str">
        <f>'Reported burning'!B1445</f>
        <v>169c.4</v>
      </c>
      <c r="C1445" s="152" t="str">
        <f>'Reported burning'!C1445</f>
        <v>Human, escaped</v>
      </c>
      <c r="D1445" s="152" t="str">
        <f>'Reported burning'!D1445</f>
        <v>Domestic</v>
      </c>
      <c r="E1445" s="152" t="str">
        <f>'Reported burning'!E1445</f>
        <v>All</v>
      </c>
      <c r="F1445" s="152" t="str">
        <f>'Reported burning'!F1445</f>
        <v>ND</v>
      </c>
      <c r="G1445" s="152" t="str">
        <f>'Reported burning'!G1445</f>
        <v>ND</v>
      </c>
      <c r="H1445" s="152" t="str">
        <f>'Reported burning'!H1445</f>
        <v>Presence</v>
      </c>
      <c r="I1445" s="3"/>
      <c r="J1445" s="3" t="s">
        <v>2276</v>
      </c>
      <c r="K1445" s="3" t="s">
        <v>2276</v>
      </c>
      <c r="L1445" s="3" t="s">
        <v>2276</v>
      </c>
      <c r="M1445" s="3" t="s">
        <v>2276</v>
      </c>
      <c r="N1445" s="3" t="s">
        <v>2276</v>
      </c>
      <c r="O1445" s="3" t="s">
        <v>2276</v>
      </c>
      <c r="P1445" s="3" t="s">
        <v>2276</v>
      </c>
      <c r="Q1445" s="3" t="s">
        <v>2276</v>
      </c>
      <c r="R1445" s="3" t="s">
        <v>2276</v>
      </c>
      <c r="S1445" s="3" t="s">
        <v>2276</v>
      </c>
      <c r="T1445" s="3" t="s">
        <v>2276</v>
      </c>
      <c r="U1445" s="3" t="s">
        <v>2276</v>
      </c>
      <c r="V1445" s="3" t="s">
        <v>2276</v>
      </c>
      <c r="W1445" s="3" t="s">
        <v>2276</v>
      </c>
      <c r="X1445" s="3" t="s">
        <v>2276</v>
      </c>
      <c r="Y1445" s="3" t="s">
        <v>2276</v>
      </c>
      <c r="Z1445" s="3" t="s">
        <v>2276</v>
      </c>
      <c r="AA1445" s="3" t="s">
        <v>2276</v>
      </c>
      <c r="AB1445" s="4" t="s">
        <v>4279</v>
      </c>
    </row>
    <row r="1446" spans="1:28" ht="54.5" customHeight="1">
      <c r="A1446" s="152" t="str">
        <f>'Reported burning'!A1446</f>
        <v>169c</v>
      </c>
      <c r="B1446" s="152" t="str">
        <f>'Reported burning'!B1446</f>
        <v>169c.5</v>
      </c>
      <c r="C1446" s="152" t="str">
        <f>'Reported burning'!C1446</f>
        <v>Human, accidental</v>
      </c>
      <c r="D1446" s="152" t="str">
        <f>'Reported burning'!D1446</f>
        <v>Accidental</v>
      </c>
      <c r="E1446" s="152" t="str">
        <f>'Reported burning'!E1446</f>
        <v>All</v>
      </c>
      <c r="F1446" s="152" t="str">
        <f>'Reported burning'!F1446</f>
        <v>ND</v>
      </c>
      <c r="G1446" s="152" t="str">
        <f>'Reported burning'!G1446</f>
        <v>ND</v>
      </c>
      <c r="H1446" s="152" t="str">
        <f>'Reported burning'!H1446</f>
        <v>Presence</v>
      </c>
      <c r="I1446" s="3"/>
      <c r="J1446" s="3" t="s">
        <v>2276</v>
      </c>
      <c r="K1446" s="3" t="s">
        <v>2276</v>
      </c>
      <c r="L1446" s="3" t="s">
        <v>2276</v>
      </c>
      <c r="M1446" s="3" t="s">
        <v>2276</v>
      </c>
      <c r="N1446" s="3" t="s">
        <v>2276</v>
      </c>
      <c r="O1446" s="3" t="s">
        <v>2276</v>
      </c>
      <c r="P1446" s="3" t="s">
        <v>2276</v>
      </c>
      <c r="Q1446" s="3" t="s">
        <v>2276</v>
      </c>
      <c r="R1446" s="3" t="s">
        <v>2276</v>
      </c>
      <c r="S1446" s="3" t="s">
        <v>2276</v>
      </c>
      <c r="T1446" s="3" t="s">
        <v>2276</v>
      </c>
      <c r="U1446" s="3" t="s">
        <v>2276</v>
      </c>
      <c r="V1446" s="3" t="s">
        <v>2276</v>
      </c>
      <c r="W1446" s="3" t="s">
        <v>2276</v>
      </c>
      <c r="X1446" s="3" t="s">
        <v>2276</v>
      </c>
      <c r="Y1446" s="3" t="s">
        <v>2276</v>
      </c>
      <c r="Z1446" s="3" t="s">
        <v>2276</v>
      </c>
      <c r="AA1446" s="4" t="s">
        <v>4275</v>
      </c>
      <c r="AB1446" s="4" t="s">
        <v>4279</v>
      </c>
    </row>
    <row r="1447" spans="1:28" ht="54.5" customHeight="1">
      <c r="A1447" s="152" t="str">
        <f>'Reported burning'!A1447</f>
        <v>169c</v>
      </c>
      <c r="B1447" s="152" t="str">
        <f>'Reported burning'!B1447</f>
        <v>169c.6</v>
      </c>
      <c r="C1447" s="152" t="str">
        <f>'Reported burning'!C1447</f>
        <v>Human, accidental</v>
      </c>
      <c r="D1447" s="152" t="str">
        <f>'Reported burning'!D1447</f>
        <v>Accidental</v>
      </c>
      <c r="E1447" s="152" t="str">
        <f>'Reported burning'!E1447</f>
        <v>Tourism manager</v>
      </c>
      <c r="F1447" s="152" t="str">
        <f>'Reported burning'!F1447</f>
        <v>ND</v>
      </c>
      <c r="G1447" s="152" t="str">
        <f>'Reported burning'!G1447</f>
        <v>ND</v>
      </c>
      <c r="H1447" s="152" t="str">
        <f>'Reported burning'!H1447</f>
        <v>Presence</v>
      </c>
      <c r="I1447" s="3"/>
      <c r="J1447" s="3" t="s">
        <v>2276</v>
      </c>
      <c r="K1447" s="3" t="s">
        <v>2276</v>
      </c>
      <c r="L1447" s="3" t="s">
        <v>2276</v>
      </c>
      <c r="M1447" s="3" t="s">
        <v>2276</v>
      </c>
      <c r="N1447" s="3" t="s">
        <v>2276</v>
      </c>
      <c r="O1447" s="3" t="s">
        <v>2276</v>
      </c>
      <c r="P1447" s="3" t="s">
        <v>2276</v>
      </c>
      <c r="Q1447" s="3" t="s">
        <v>2276</v>
      </c>
      <c r="R1447" s="3" t="s">
        <v>2276</v>
      </c>
      <c r="S1447" s="3" t="s">
        <v>2276</v>
      </c>
      <c r="T1447" s="3" t="s">
        <v>2276</v>
      </c>
      <c r="U1447" s="3" t="s">
        <v>2276</v>
      </c>
      <c r="V1447" s="3" t="s">
        <v>2276</v>
      </c>
      <c r="W1447" s="3" t="s">
        <v>2276</v>
      </c>
      <c r="X1447" s="3" t="s">
        <v>2276</v>
      </c>
      <c r="Y1447" s="3" t="s">
        <v>2276</v>
      </c>
      <c r="Z1447" s="3" t="s">
        <v>2276</v>
      </c>
      <c r="AA1447" s="4" t="s">
        <v>4274</v>
      </c>
      <c r="AB1447" s="4" t="s">
        <v>4279</v>
      </c>
    </row>
    <row r="1448" spans="1:28" ht="54.5" customHeight="1">
      <c r="A1448" s="152" t="str">
        <f>'Reported burning'!A1448</f>
        <v>169c</v>
      </c>
      <c r="B1448" s="152" t="str">
        <f>'Reported burning'!B1448</f>
        <v>169c.7</v>
      </c>
      <c r="C1448" s="152" t="str">
        <f>'Reported burning'!C1448</f>
        <v>Human, deliberate</v>
      </c>
      <c r="D1448" s="152" t="str">
        <f>'Reported burning'!D1448</f>
        <v>Land clearance</v>
      </c>
      <c r="E1448" s="152" t="str">
        <f>'Reported burning'!E1448</f>
        <v>Mixed cropping-livestock small holder, Subsistence-oriented</v>
      </c>
      <c r="F1448" s="152" t="str">
        <f>'Reported burning'!F1448</f>
        <v>ND</v>
      </c>
      <c r="G1448" s="152" t="str">
        <f>'Reported burning'!G1448</f>
        <v>ND</v>
      </c>
      <c r="H1448" s="152" t="str">
        <f>'Reported burning'!H1448</f>
        <v>Presence</v>
      </c>
      <c r="I1448" s="3"/>
      <c r="J1448" s="3" t="s">
        <v>2276</v>
      </c>
      <c r="K1448" s="3" t="s">
        <v>2276</v>
      </c>
      <c r="L1448" s="3" t="s">
        <v>2276</v>
      </c>
      <c r="M1448" s="3" t="s">
        <v>2276</v>
      </c>
      <c r="N1448" s="3" t="s">
        <v>2276</v>
      </c>
      <c r="O1448" s="3" t="s">
        <v>2276</v>
      </c>
      <c r="P1448" s="3" t="s">
        <v>2276</v>
      </c>
      <c r="Q1448" s="3" t="s">
        <v>2276</v>
      </c>
      <c r="R1448" s="3" t="s">
        <v>2276</v>
      </c>
      <c r="S1448" s="3" t="s">
        <v>2276</v>
      </c>
      <c r="T1448" s="3" t="s">
        <v>2276</v>
      </c>
      <c r="U1448" s="3" t="s">
        <v>2276</v>
      </c>
      <c r="V1448" s="3" t="s">
        <v>2276</v>
      </c>
      <c r="W1448" s="3" t="s">
        <v>2276</v>
      </c>
      <c r="X1448" s="3" t="s">
        <v>2276</v>
      </c>
      <c r="Y1448" s="3" t="s">
        <v>2276</v>
      </c>
      <c r="Z1448" s="3" t="s">
        <v>2276</v>
      </c>
      <c r="AA1448" s="3" t="s">
        <v>4276</v>
      </c>
      <c r="AB1448" s="4" t="s">
        <v>4279</v>
      </c>
    </row>
    <row r="1449" spans="1:28" ht="54.5" customHeight="1">
      <c r="A1449" s="152" t="str">
        <f>'Reported burning'!A1449</f>
        <v>169c</v>
      </c>
      <c r="B1449" s="152" t="str">
        <f>'Reported burning'!B1449</f>
        <v>169c.8</v>
      </c>
      <c r="C1449" s="152" t="str">
        <f>'Reported burning'!C1449</f>
        <v>Human, deliberate</v>
      </c>
      <c r="D1449" s="152" t="str">
        <f>'Reported burning'!D1449</f>
        <v>Crop residue burning</v>
      </c>
      <c r="E1449" s="152" t="str">
        <f>'Reported burning'!E1449</f>
        <v>Mixed cropping-livestock small holder, Subsistence-oriented</v>
      </c>
      <c r="F1449" s="152" t="str">
        <f>'Reported burning'!F1449</f>
        <v>ND</v>
      </c>
      <c r="G1449" s="152" t="str">
        <f>'Reported burning'!G1449</f>
        <v>ND</v>
      </c>
      <c r="H1449" s="152" t="str">
        <f>'Reported burning'!H1449</f>
        <v>Presence</v>
      </c>
      <c r="I1449" s="3"/>
      <c r="J1449" s="3" t="s">
        <v>2276</v>
      </c>
      <c r="K1449" s="3" t="s">
        <v>2276</v>
      </c>
      <c r="L1449" s="3" t="s">
        <v>2276</v>
      </c>
      <c r="M1449" s="3" t="s">
        <v>2276</v>
      </c>
      <c r="N1449" s="3" t="s">
        <v>2276</v>
      </c>
      <c r="O1449" s="3" t="s">
        <v>2276</v>
      </c>
      <c r="P1449" s="3" t="s">
        <v>2276</v>
      </c>
      <c r="Q1449" s="3" t="s">
        <v>2276</v>
      </c>
      <c r="R1449" s="3" t="s">
        <v>2276</v>
      </c>
      <c r="S1449" s="3" t="s">
        <v>2276</v>
      </c>
      <c r="T1449" s="3" t="s">
        <v>2276</v>
      </c>
      <c r="U1449" s="3" t="s">
        <v>2276</v>
      </c>
      <c r="V1449" s="3" t="s">
        <v>2276</v>
      </c>
      <c r="W1449" s="3" t="s">
        <v>2276</v>
      </c>
      <c r="X1449" s="3" t="s">
        <v>2276</v>
      </c>
      <c r="Y1449" s="3" t="s">
        <v>2276</v>
      </c>
      <c r="Z1449" s="3" t="s">
        <v>2276</v>
      </c>
      <c r="AA1449" s="3" t="s">
        <v>4277</v>
      </c>
      <c r="AB1449" s="4" t="s">
        <v>4279</v>
      </c>
    </row>
    <row r="1450" spans="1:28" ht="54.5" customHeight="1">
      <c r="A1450" s="152" t="str">
        <f>'Reported burning'!A1450</f>
        <v>169c</v>
      </c>
      <c r="B1450" s="152" t="str">
        <f>'Reported burning'!B1450</f>
        <v>169c.9</v>
      </c>
      <c r="C1450" s="152" t="str">
        <f>'Reported burning'!C1450</f>
        <v>Human, deliberate</v>
      </c>
      <c r="D1450" s="152" t="str">
        <f>'Reported burning'!D1450</f>
        <v>Arson</v>
      </c>
      <c r="E1450" s="152" t="str">
        <f>'Reported burning'!E1450</f>
        <v>ND</v>
      </c>
      <c r="F1450" s="152" t="str">
        <f>'Reported burning'!F1450</f>
        <v>ND</v>
      </c>
      <c r="G1450" s="152" t="str">
        <f>'Reported burning'!G1450</f>
        <v>ND</v>
      </c>
      <c r="H1450" s="152" t="str">
        <f>'Reported burning'!H1450</f>
        <v>Presence</v>
      </c>
      <c r="I1450" s="3"/>
      <c r="J1450" s="3" t="s">
        <v>2276</v>
      </c>
      <c r="K1450" s="3" t="s">
        <v>2276</v>
      </c>
      <c r="L1450" s="3" t="s">
        <v>2276</v>
      </c>
      <c r="M1450" s="3" t="s">
        <v>2276</v>
      </c>
      <c r="N1450" s="3" t="s">
        <v>2276</v>
      </c>
      <c r="O1450" s="3" t="s">
        <v>2276</v>
      </c>
      <c r="P1450" s="3" t="s">
        <v>2276</v>
      </c>
      <c r="Q1450" s="3" t="s">
        <v>2276</v>
      </c>
      <c r="R1450" s="3" t="s">
        <v>2276</v>
      </c>
      <c r="S1450" s="3" t="s">
        <v>2276</v>
      </c>
      <c r="T1450" s="3" t="s">
        <v>2276</v>
      </c>
      <c r="U1450" s="3" t="s">
        <v>2276</v>
      </c>
      <c r="V1450" s="3" t="s">
        <v>2276</v>
      </c>
      <c r="W1450" s="3" t="s">
        <v>2276</v>
      </c>
      <c r="X1450" s="3" t="s">
        <v>2276</v>
      </c>
      <c r="Y1450" s="3" t="s">
        <v>2276</v>
      </c>
      <c r="Z1450" s="3" t="s">
        <v>2276</v>
      </c>
      <c r="AA1450" s="169" t="s">
        <v>4280</v>
      </c>
      <c r="AB1450" s="4" t="s">
        <v>4279</v>
      </c>
    </row>
    <row r="1451" spans="1:28" ht="54.5" customHeight="1">
      <c r="A1451" s="152" t="str">
        <f>'Reported burning'!A1451</f>
        <v>169a</v>
      </c>
      <c r="B1451" s="152" t="str">
        <f>'Reported burning'!B1451</f>
        <v>169a.10</v>
      </c>
      <c r="C1451" s="152" t="str">
        <f>'Reported burning'!C1451</f>
        <v>Human, deliberate</v>
      </c>
      <c r="D1451" s="152" t="str">
        <f>'Reported burning'!D1451</f>
        <v>ND</v>
      </c>
      <c r="E1451" s="152" t="str">
        <f>'Reported burning'!E1451</f>
        <v>ND</v>
      </c>
      <c r="F1451" s="152" t="str">
        <f>'Reported burning'!F1451</f>
        <v>ND</v>
      </c>
      <c r="G1451" s="152" t="str">
        <f>'Reported burning'!G1451</f>
        <v>Forest</v>
      </c>
      <c r="H1451" s="152" t="str">
        <f>'Reported burning'!H1451</f>
        <v>Presence</v>
      </c>
      <c r="I1451" s="3"/>
      <c r="J1451" s="3" t="s">
        <v>2372</v>
      </c>
      <c r="K1451" s="3" t="s">
        <v>2276</v>
      </c>
      <c r="L1451" s="3" t="s">
        <v>2276</v>
      </c>
      <c r="M1451" s="3" t="s">
        <v>2276</v>
      </c>
      <c r="N1451" s="3" t="s">
        <v>2276</v>
      </c>
      <c r="O1451" s="3" t="s">
        <v>2276</v>
      </c>
      <c r="P1451" s="3" t="s">
        <v>2276</v>
      </c>
      <c r="Q1451" s="3" t="s">
        <v>2276</v>
      </c>
      <c r="R1451" s="3" t="s">
        <v>2276</v>
      </c>
      <c r="S1451" s="3" t="s">
        <v>2276</v>
      </c>
      <c r="T1451" s="3" t="s">
        <v>2276</v>
      </c>
      <c r="U1451" s="3" t="s">
        <v>2276</v>
      </c>
      <c r="V1451" s="3" t="s">
        <v>2276</v>
      </c>
      <c r="W1451" s="3" t="s">
        <v>2276</v>
      </c>
      <c r="X1451" s="3" t="s">
        <v>2276</v>
      </c>
      <c r="Y1451" s="3" t="s">
        <v>2276</v>
      </c>
      <c r="Z1451" s="3" t="s">
        <v>2276</v>
      </c>
      <c r="AA1451" s="4" t="s">
        <v>4302</v>
      </c>
      <c r="AB1451" s="4" t="s">
        <v>4303</v>
      </c>
    </row>
    <row r="1452" spans="1:28" ht="54.5" customHeight="1">
      <c r="A1452" s="152" t="str">
        <f>'Reported burning'!A1452</f>
        <v>169a</v>
      </c>
      <c r="B1452" s="152" t="str">
        <f>'Reported burning'!B1452</f>
        <v>169a.11</v>
      </c>
      <c r="C1452" s="152" t="str">
        <f>'Reported burning'!C1452</f>
        <v>Lightning</v>
      </c>
      <c r="D1452" s="152" t="str">
        <f>'Reported burning'!D1452</f>
        <v>ND</v>
      </c>
      <c r="E1452" s="152" t="str">
        <f>'Reported burning'!E1452</f>
        <v>ND</v>
      </c>
      <c r="F1452" s="152" t="str">
        <f>'Reported burning'!F1452</f>
        <v>ND</v>
      </c>
      <c r="G1452" s="152" t="str">
        <f>'Reported burning'!G1452</f>
        <v>Forest</v>
      </c>
      <c r="H1452" s="152" t="str">
        <f>'Reported burning'!H1452</f>
        <v>Presence</v>
      </c>
      <c r="I1452" s="3"/>
      <c r="J1452" s="3" t="s">
        <v>2366</v>
      </c>
      <c r="K1452" s="3" t="s">
        <v>2276</v>
      </c>
      <c r="L1452" s="3" t="s">
        <v>2276</v>
      </c>
      <c r="M1452" s="3" t="s">
        <v>2276</v>
      </c>
      <c r="N1452" s="3" t="s">
        <v>2276</v>
      </c>
      <c r="O1452" s="3" t="s">
        <v>2276</v>
      </c>
      <c r="P1452" s="3" t="s">
        <v>2276</v>
      </c>
      <c r="Q1452" s="3" t="s">
        <v>2276</v>
      </c>
      <c r="R1452" s="3" t="s">
        <v>2276</v>
      </c>
      <c r="S1452" s="3" t="s">
        <v>2276</v>
      </c>
      <c r="T1452" s="3" t="s">
        <v>2276</v>
      </c>
      <c r="U1452" s="3" t="s">
        <v>2276</v>
      </c>
      <c r="V1452" s="3" t="s">
        <v>2276</v>
      </c>
      <c r="W1452" s="3" t="s">
        <v>2276</v>
      </c>
      <c r="X1452" s="3" t="s">
        <v>2276</v>
      </c>
      <c r="Y1452" s="3" t="s">
        <v>2276</v>
      </c>
      <c r="Z1452" s="3" t="s">
        <v>2276</v>
      </c>
      <c r="AA1452" s="4" t="s">
        <v>4302</v>
      </c>
      <c r="AB1452" s="4" t="s">
        <v>4303</v>
      </c>
    </row>
    <row r="1453" spans="1:28" ht="54.5" customHeight="1">
      <c r="A1453" s="152" t="str">
        <f>'Reported burning'!A1453</f>
        <v>169a</v>
      </c>
      <c r="B1453" s="152" t="str">
        <f>'Reported burning'!B1453</f>
        <v>169a.12</v>
      </c>
      <c r="C1453" s="152" t="str">
        <f>'Reported burning'!C1453</f>
        <v>Human, escaped</v>
      </c>
      <c r="D1453" s="152" t="str">
        <f>'Reported burning'!D1453</f>
        <v>ND</v>
      </c>
      <c r="E1453" s="152" t="str">
        <f>'Reported burning'!E1453</f>
        <v>ND</v>
      </c>
      <c r="F1453" s="152" t="str">
        <f>'Reported burning'!F1453</f>
        <v>ND</v>
      </c>
      <c r="G1453" s="152" t="str">
        <f>'Reported burning'!G1453</f>
        <v>Forest</v>
      </c>
      <c r="H1453" s="152" t="str">
        <f>'Reported burning'!H1453</f>
        <v>Presence</v>
      </c>
      <c r="I1453" s="3"/>
      <c r="J1453" s="3" t="s">
        <v>2372</v>
      </c>
      <c r="K1453" s="3" t="s">
        <v>2276</v>
      </c>
      <c r="L1453" s="3" t="s">
        <v>2276</v>
      </c>
      <c r="M1453" s="3" t="s">
        <v>2276</v>
      </c>
      <c r="N1453" s="3" t="s">
        <v>2276</v>
      </c>
      <c r="O1453" s="3" t="s">
        <v>2276</v>
      </c>
      <c r="P1453" s="3" t="s">
        <v>2276</v>
      </c>
      <c r="Q1453" s="3" t="s">
        <v>2276</v>
      </c>
      <c r="R1453" s="3" t="s">
        <v>2276</v>
      </c>
      <c r="S1453" s="3" t="s">
        <v>2276</v>
      </c>
      <c r="T1453" s="3" t="s">
        <v>2276</v>
      </c>
      <c r="U1453" s="3" t="s">
        <v>2276</v>
      </c>
      <c r="V1453" s="3" t="s">
        <v>2276</v>
      </c>
      <c r="W1453" s="3" t="s">
        <v>2276</v>
      </c>
      <c r="X1453" s="3" t="s">
        <v>2276</v>
      </c>
      <c r="Y1453" s="3" t="s">
        <v>2276</v>
      </c>
      <c r="Z1453" s="3" t="s">
        <v>2276</v>
      </c>
      <c r="AA1453" s="4" t="s">
        <v>4302</v>
      </c>
      <c r="AB1453" s="4" t="s">
        <v>4303</v>
      </c>
    </row>
    <row r="1454" spans="1:28" ht="54.5" customHeight="1">
      <c r="A1454" s="152" t="str">
        <f>'Reported burning'!A1454</f>
        <v>169a</v>
      </c>
      <c r="B1454" s="152" t="str">
        <f>'Reported burning'!B1454</f>
        <v>169a.13</v>
      </c>
      <c r="C1454" s="152" t="str">
        <f>'Reported burning'!C1454</f>
        <v>Human, accidental</v>
      </c>
      <c r="D1454" s="152" t="str">
        <f>'Reported burning'!D1454</f>
        <v>Accidental</v>
      </c>
      <c r="E1454" s="152" t="str">
        <f>'Reported burning'!E1454</f>
        <v>ND</v>
      </c>
      <c r="F1454" s="152" t="str">
        <f>'Reported burning'!F1454</f>
        <v>ND</v>
      </c>
      <c r="G1454" s="152" t="str">
        <f>'Reported burning'!G1454</f>
        <v>Forest</v>
      </c>
      <c r="H1454" s="152" t="str">
        <f>'Reported burning'!H1454</f>
        <v>Presence</v>
      </c>
      <c r="I1454" s="3"/>
      <c r="J1454" s="3" t="s">
        <v>2370</v>
      </c>
      <c r="K1454" s="3" t="s">
        <v>2276</v>
      </c>
      <c r="L1454" s="3" t="s">
        <v>2276</v>
      </c>
      <c r="M1454" s="3" t="s">
        <v>2276</v>
      </c>
      <c r="N1454" s="3" t="s">
        <v>2276</v>
      </c>
      <c r="O1454" s="3" t="s">
        <v>2276</v>
      </c>
      <c r="P1454" s="3" t="s">
        <v>2276</v>
      </c>
      <c r="Q1454" s="3" t="s">
        <v>2276</v>
      </c>
      <c r="R1454" s="3" t="s">
        <v>2276</v>
      </c>
      <c r="S1454" s="3" t="s">
        <v>2276</v>
      </c>
      <c r="T1454" s="3" t="s">
        <v>2276</v>
      </c>
      <c r="U1454" s="3" t="s">
        <v>2276</v>
      </c>
      <c r="V1454" s="3" t="s">
        <v>2276</v>
      </c>
      <c r="W1454" s="3" t="s">
        <v>2276</v>
      </c>
      <c r="X1454" s="3" t="s">
        <v>2276</v>
      </c>
      <c r="Y1454" s="3" t="s">
        <v>2276</v>
      </c>
      <c r="Z1454" s="3" t="s">
        <v>2276</v>
      </c>
      <c r="AA1454" s="4" t="s">
        <v>4302</v>
      </c>
      <c r="AB1454" s="4" t="s">
        <v>4303</v>
      </c>
    </row>
    <row r="1455" spans="1:28" ht="54.5" customHeight="1">
      <c r="A1455" s="152" t="str">
        <f>'Reported burning'!A1455</f>
        <v>169a</v>
      </c>
      <c r="B1455" s="152" t="str">
        <f>'Reported burning'!B1455</f>
        <v>169a.14</v>
      </c>
      <c r="C1455" s="152" t="str">
        <f>'Reported burning'!C1455</f>
        <v>All</v>
      </c>
      <c r="D1455" s="152" t="str">
        <f>'Reported burning'!D1455</f>
        <v>All</v>
      </c>
      <c r="E1455" s="152" t="str">
        <f>'Reported burning'!E1455</f>
        <v>ND</v>
      </c>
      <c r="F1455" s="152" t="str">
        <f>'Reported burning'!F1455</f>
        <v>ND</v>
      </c>
      <c r="G1455" s="152" t="str">
        <f>'Reported burning'!G1455</f>
        <v>Forest</v>
      </c>
      <c r="H1455" s="152" t="str">
        <f>'Reported burning'!H1455</f>
        <v>Presence</v>
      </c>
      <c r="I1455" s="3"/>
      <c r="J1455" s="3" t="s">
        <v>2276</v>
      </c>
      <c r="K1455" s="3" t="s">
        <v>2276</v>
      </c>
      <c r="L1455" s="3" t="s">
        <v>2276</v>
      </c>
      <c r="M1455" s="3" t="s">
        <v>2276</v>
      </c>
      <c r="N1455" s="3" t="s">
        <v>2276</v>
      </c>
      <c r="O1455" s="3" t="s">
        <v>2276</v>
      </c>
      <c r="P1455" s="3" t="s">
        <v>2276</v>
      </c>
      <c r="Q1455" s="3" t="s">
        <v>2276</v>
      </c>
      <c r="R1455" s="3" t="s">
        <v>2276</v>
      </c>
      <c r="S1455" s="3" t="s">
        <v>2276</v>
      </c>
      <c r="T1455" s="3" t="s">
        <v>2276</v>
      </c>
      <c r="U1455" s="3" t="s">
        <v>2276</v>
      </c>
      <c r="V1455" s="3"/>
      <c r="W1455" s="3" t="s">
        <v>2276</v>
      </c>
      <c r="X1455" s="3" t="s">
        <v>2276</v>
      </c>
      <c r="Y1455" s="3" t="s">
        <v>2276</v>
      </c>
      <c r="Z1455" s="3" t="s">
        <v>2276</v>
      </c>
      <c r="AA1455" s="4" t="s">
        <v>4302</v>
      </c>
      <c r="AB1455" s="4"/>
    </row>
    <row r="1456" spans="1:28" ht="54.5" customHeight="1">
      <c r="A1456" s="152" t="str">
        <f>'Reported burning'!A1456</f>
        <v>169b</v>
      </c>
      <c r="B1456" s="152" t="str">
        <f>'Reported burning'!B1456</f>
        <v>169b.10</v>
      </c>
      <c r="C1456" s="152" t="str">
        <f>'Reported burning'!C1456</f>
        <v>Human, deliberate</v>
      </c>
      <c r="D1456" s="152" t="str">
        <f>'Reported burning'!D1456</f>
        <v>ND</v>
      </c>
      <c r="E1456" s="152" t="str">
        <f>'Reported burning'!E1456</f>
        <v>ND</v>
      </c>
      <c r="F1456" s="152" t="str">
        <f>'Reported burning'!F1456</f>
        <v>ND</v>
      </c>
      <c r="G1456" s="152" t="str">
        <f>'Reported burning'!G1456</f>
        <v>Forest</v>
      </c>
      <c r="H1456" s="152" t="str">
        <f>'Reported burning'!H1456</f>
        <v>Presence</v>
      </c>
      <c r="I1456" s="3"/>
      <c r="J1456" s="3" t="s">
        <v>2372</v>
      </c>
      <c r="K1456" s="3" t="s">
        <v>2276</v>
      </c>
      <c r="L1456" s="3" t="s">
        <v>2276</v>
      </c>
      <c r="M1456" s="3" t="s">
        <v>2276</v>
      </c>
      <c r="N1456" s="3" t="s">
        <v>2276</v>
      </c>
      <c r="O1456" s="3" t="s">
        <v>2276</v>
      </c>
      <c r="P1456" s="3" t="s">
        <v>2276</v>
      </c>
      <c r="Q1456" s="3" t="s">
        <v>2276</v>
      </c>
      <c r="R1456" s="3" t="s">
        <v>2276</v>
      </c>
      <c r="S1456" s="3" t="s">
        <v>2276</v>
      </c>
      <c r="T1456" s="3" t="s">
        <v>2276</v>
      </c>
      <c r="U1456" s="3" t="s">
        <v>2276</v>
      </c>
      <c r="V1456" s="3" t="s">
        <v>2276</v>
      </c>
      <c r="W1456" s="3" t="s">
        <v>2276</v>
      </c>
      <c r="X1456" s="3" t="s">
        <v>2276</v>
      </c>
      <c r="Y1456" s="3" t="s">
        <v>2276</v>
      </c>
      <c r="Z1456" s="3" t="s">
        <v>2276</v>
      </c>
      <c r="AA1456" s="4" t="s">
        <v>4302</v>
      </c>
      <c r="AB1456" s="4" t="s">
        <v>4303</v>
      </c>
    </row>
    <row r="1457" spans="1:28" ht="54.5" customHeight="1">
      <c r="A1457" s="152" t="str">
        <f>'Reported burning'!A1457</f>
        <v>169b</v>
      </c>
      <c r="B1457" s="152" t="str">
        <f>'Reported burning'!B1457</f>
        <v>169b.11</v>
      </c>
      <c r="C1457" s="152" t="str">
        <f>'Reported burning'!C1457</f>
        <v>Lightning</v>
      </c>
      <c r="D1457" s="152" t="str">
        <f>'Reported burning'!D1457</f>
        <v>ND</v>
      </c>
      <c r="E1457" s="152" t="str">
        <f>'Reported burning'!E1457</f>
        <v>ND</v>
      </c>
      <c r="F1457" s="152" t="str">
        <f>'Reported burning'!F1457</f>
        <v>ND</v>
      </c>
      <c r="G1457" s="152" t="str">
        <f>'Reported burning'!G1457</f>
        <v>Forest</v>
      </c>
      <c r="H1457" s="152" t="str">
        <f>'Reported burning'!H1457</f>
        <v>Presence</v>
      </c>
      <c r="I1457" s="3"/>
      <c r="J1457" s="3" t="s">
        <v>2366</v>
      </c>
      <c r="K1457" s="3" t="s">
        <v>2276</v>
      </c>
      <c r="L1457" s="3" t="s">
        <v>2276</v>
      </c>
      <c r="M1457" s="3" t="s">
        <v>2276</v>
      </c>
      <c r="N1457" s="3" t="s">
        <v>2276</v>
      </c>
      <c r="O1457" s="3" t="s">
        <v>2276</v>
      </c>
      <c r="P1457" s="3" t="s">
        <v>2276</v>
      </c>
      <c r="Q1457" s="3" t="s">
        <v>2276</v>
      </c>
      <c r="R1457" s="3" t="s">
        <v>2276</v>
      </c>
      <c r="S1457" s="3" t="s">
        <v>2276</v>
      </c>
      <c r="T1457" s="3" t="s">
        <v>2276</v>
      </c>
      <c r="U1457" s="3" t="s">
        <v>2276</v>
      </c>
      <c r="V1457" s="3" t="s">
        <v>2276</v>
      </c>
      <c r="W1457" s="3" t="s">
        <v>2276</v>
      </c>
      <c r="X1457" s="3" t="s">
        <v>2276</v>
      </c>
      <c r="Y1457" s="3" t="s">
        <v>2276</v>
      </c>
      <c r="Z1457" s="3" t="s">
        <v>2276</v>
      </c>
      <c r="AA1457" s="4" t="s">
        <v>4302</v>
      </c>
      <c r="AB1457" s="4" t="s">
        <v>4303</v>
      </c>
    </row>
    <row r="1458" spans="1:28" ht="54.5" customHeight="1">
      <c r="A1458" s="152" t="str">
        <f>'Reported burning'!A1458</f>
        <v>169b</v>
      </c>
      <c r="B1458" s="152" t="str">
        <f>'Reported burning'!B1458</f>
        <v>169b.12</v>
      </c>
      <c r="C1458" s="152" t="str">
        <f>'Reported burning'!C1458</f>
        <v>Human, escaped</v>
      </c>
      <c r="D1458" s="152" t="str">
        <f>'Reported burning'!D1458</f>
        <v>ND</v>
      </c>
      <c r="E1458" s="152" t="str">
        <f>'Reported burning'!E1458</f>
        <v>ND</v>
      </c>
      <c r="F1458" s="152" t="str">
        <f>'Reported burning'!F1458</f>
        <v>ND</v>
      </c>
      <c r="G1458" s="152" t="str">
        <f>'Reported burning'!G1458</f>
        <v>Forest</v>
      </c>
      <c r="H1458" s="152" t="str">
        <f>'Reported burning'!H1458</f>
        <v>Presence</v>
      </c>
      <c r="I1458" s="3"/>
      <c r="J1458" s="3" t="s">
        <v>2372</v>
      </c>
      <c r="K1458" s="3" t="s">
        <v>2276</v>
      </c>
      <c r="L1458" s="3" t="s">
        <v>2276</v>
      </c>
      <c r="M1458" s="3" t="s">
        <v>2276</v>
      </c>
      <c r="N1458" s="3" t="s">
        <v>2276</v>
      </c>
      <c r="O1458" s="3" t="s">
        <v>2276</v>
      </c>
      <c r="P1458" s="3" t="s">
        <v>2276</v>
      </c>
      <c r="Q1458" s="3" t="s">
        <v>2276</v>
      </c>
      <c r="R1458" s="3" t="s">
        <v>2276</v>
      </c>
      <c r="S1458" s="3" t="s">
        <v>2276</v>
      </c>
      <c r="T1458" s="3" t="s">
        <v>2276</v>
      </c>
      <c r="U1458" s="3" t="s">
        <v>2276</v>
      </c>
      <c r="V1458" s="3" t="s">
        <v>2276</v>
      </c>
      <c r="W1458" s="3" t="s">
        <v>2276</v>
      </c>
      <c r="X1458" s="3" t="s">
        <v>2276</v>
      </c>
      <c r="Y1458" s="3" t="s">
        <v>2276</v>
      </c>
      <c r="Z1458" s="3" t="s">
        <v>2276</v>
      </c>
      <c r="AA1458" s="4" t="s">
        <v>4302</v>
      </c>
      <c r="AB1458" s="4" t="s">
        <v>4303</v>
      </c>
    </row>
    <row r="1459" spans="1:28" ht="54.5" customHeight="1">
      <c r="A1459" s="152" t="str">
        <f>'Reported burning'!A1459</f>
        <v>169b</v>
      </c>
      <c r="B1459" s="152" t="str">
        <f>'Reported burning'!B1459</f>
        <v>169b.13</v>
      </c>
      <c r="C1459" s="152" t="str">
        <f>'Reported burning'!C1459</f>
        <v>Human, accidental</v>
      </c>
      <c r="D1459" s="152" t="str">
        <f>'Reported burning'!D1459</f>
        <v>Accidental</v>
      </c>
      <c r="E1459" s="152" t="str">
        <f>'Reported burning'!E1459</f>
        <v>ND</v>
      </c>
      <c r="F1459" s="152" t="str">
        <f>'Reported burning'!F1459</f>
        <v>ND</v>
      </c>
      <c r="G1459" s="152" t="str">
        <f>'Reported burning'!G1459</f>
        <v>Forest</v>
      </c>
      <c r="H1459" s="152" t="str">
        <f>'Reported burning'!H1459</f>
        <v>Presence</v>
      </c>
      <c r="I1459" s="3"/>
      <c r="J1459" s="3" t="s">
        <v>2369</v>
      </c>
      <c r="K1459" s="3" t="s">
        <v>2276</v>
      </c>
      <c r="L1459" s="3" t="s">
        <v>2276</v>
      </c>
      <c r="M1459" s="3" t="s">
        <v>2276</v>
      </c>
      <c r="N1459" s="3" t="s">
        <v>2276</v>
      </c>
      <c r="O1459" s="3" t="s">
        <v>2276</v>
      </c>
      <c r="P1459" s="3" t="s">
        <v>2276</v>
      </c>
      <c r="Q1459" s="3" t="s">
        <v>2276</v>
      </c>
      <c r="R1459" s="3" t="s">
        <v>2276</v>
      </c>
      <c r="S1459" s="3" t="s">
        <v>2276</v>
      </c>
      <c r="T1459" s="3" t="s">
        <v>2276</v>
      </c>
      <c r="U1459" s="3" t="s">
        <v>2276</v>
      </c>
      <c r="V1459" s="3" t="s">
        <v>2276</v>
      </c>
      <c r="W1459" s="3" t="s">
        <v>2276</v>
      </c>
      <c r="X1459" s="3" t="s">
        <v>2276</v>
      </c>
      <c r="Y1459" s="3" t="s">
        <v>2276</v>
      </c>
      <c r="Z1459" s="3" t="s">
        <v>2276</v>
      </c>
      <c r="AA1459" s="4" t="s">
        <v>4302</v>
      </c>
      <c r="AB1459" s="4" t="s">
        <v>4303</v>
      </c>
    </row>
    <row r="1460" spans="1:28" ht="54.5" customHeight="1">
      <c r="A1460" s="152" t="str">
        <f>'Reported burning'!A1460</f>
        <v>169b</v>
      </c>
      <c r="B1460" s="152" t="str">
        <f>'Reported burning'!B1460</f>
        <v>169b.14</v>
      </c>
      <c r="C1460" s="152" t="str">
        <f>'Reported burning'!C1460</f>
        <v>All</v>
      </c>
      <c r="D1460" s="152" t="str">
        <f>'Reported burning'!D1460</f>
        <v>All</v>
      </c>
      <c r="E1460" s="152" t="str">
        <f>'Reported burning'!E1460</f>
        <v>ND</v>
      </c>
      <c r="F1460" s="152" t="str">
        <f>'Reported burning'!F1460</f>
        <v>ND</v>
      </c>
      <c r="G1460" s="152" t="str">
        <f>'Reported burning'!G1460</f>
        <v>Forest</v>
      </c>
      <c r="H1460" s="152" t="str">
        <f>'Reported burning'!H1460</f>
        <v>Presence</v>
      </c>
      <c r="I1460" s="3"/>
      <c r="J1460" s="3" t="s">
        <v>2276</v>
      </c>
      <c r="K1460" s="3" t="s">
        <v>2276</v>
      </c>
      <c r="L1460" s="3" t="s">
        <v>2276</v>
      </c>
      <c r="M1460" s="3" t="s">
        <v>2276</v>
      </c>
      <c r="N1460" s="3" t="s">
        <v>2276</v>
      </c>
      <c r="O1460" s="3" t="s">
        <v>2276</v>
      </c>
      <c r="P1460" s="3" t="s">
        <v>2276</v>
      </c>
      <c r="Q1460" s="3" t="s">
        <v>2276</v>
      </c>
      <c r="R1460" s="3" t="s">
        <v>2276</v>
      </c>
      <c r="S1460" s="3" t="s">
        <v>2276</v>
      </c>
      <c r="T1460" s="3" t="s">
        <v>2276</v>
      </c>
      <c r="U1460" s="3" t="s">
        <v>2276</v>
      </c>
      <c r="V1460" s="3" t="s">
        <v>2276</v>
      </c>
      <c r="W1460" s="3" t="s">
        <v>2276</v>
      </c>
      <c r="X1460" s="3" t="s">
        <v>2276</v>
      </c>
      <c r="Y1460" s="3" t="s">
        <v>2276</v>
      </c>
      <c r="Z1460" s="3" t="s">
        <v>2276</v>
      </c>
      <c r="AA1460" s="4" t="s">
        <v>4302</v>
      </c>
      <c r="AB1460" s="4"/>
    </row>
    <row r="1461" spans="1:28" ht="54.5" customHeight="1">
      <c r="A1461" s="152" t="str">
        <f>'Reported burning'!A1461</f>
        <v>169c</v>
      </c>
      <c r="B1461" s="152" t="str">
        <f>'Reported burning'!B1461</f>
        <v>169c.10</v>
      </c>
      <c r="C1461" s="152" t="str">
        <f>'Reported burning'!C1461</f>
        <v>Human, deliberate</v>
      </c>
      <c r="D1461" s="152" t="str">
        <f>'Reported burning'!D1461</f>
        <v>ND</v>
      </c>
      <c r="E1461" s="152" t="str">
        <f>'Reported burning'!E1461</f>
        <v>ND</v>
      </c>
      <c r="F1461" s="152" t="str">
        <f>'Reported burning'!F1461</f>
        <v>ND</v>
      </c>
      <c r="G1461" s="152" t="str">
        <f>'Reported burning'!G1461</f>
        <v>Forest</v>
      </c>
      <c r="H1461" s="152" t="str">
        <f>'Reported burning'!H1461</f>
        <v>Presence</v>
      </c>
      <c r="I1461" s="3"/>
      <c r="J1461" s="3" t="s">
        <v>2372</v>
      </c>
      <c r="K1461" s="3" t="s">
        <v>2276</v>
      </c>
      <c r="L1461" s="3" t="s">
        <v>2276</v>
      </c>
      <c r="M1461" s="3" t="s">
        <v>2276</v>
      </c>
      <c r="N1461" s="3" t="s">
        <v>2276</v>
      </c>
      <c r="O1461" s="3" t="s">
        <v>2276</v>
      </c>
      <c r="P1461" s="3" t="s">
        <v>2276</v>
      </c>
      <c r="Q1461" s="3" t="s">
        <v>2276</v>
      </c>
      <c r="R1461" s="3" t="s">
        <v>2276</v>
      </c>
      <c r="S1461" s="3" t="s">
        <v>2276</v>
      </c>
      <c r="T1461" s="3" t="s">
        <v>2276</v>
      </c>
      <c r="U1461" s="3" t="s">
        <v>2276</v>
      </c>
      <c r="V1461" s="3" t="s">
        <v>2276</v>
      </c>
      <c r="W1461" s="3" t="s">
        <v>2276</v>
      </c>
      <c r="X1461" s="3" t="s">
        <v>2276</v>
      </c>
      <c r="Y1461" s="3" t="s">
        <v>2276</v>
      </c>
      <c r="Z1461" s="3" t="s">
        <v>2276</v>
      </c>
      <c r="AA1461" s="4" t="s">
        <v>4302</v>
      </c>
      <c r="AB1461" s="4" t="s">
        <v>4303</v>
      </c>
    </row>
    <row r="1462" spans="1:28" ht="54.5" customHeight="1">
      <c r="A1462" s="152" t="str">
        <f>'Reported burning'!A1462</f>
        <v>169c</v>
      </c>
      <c r="B1462" s="152" t="str">
        <f>'Reported burning'!B1462</f>
        <v>169c.11</v>
      </c>
      <c r="C1462" s="152" t="str">
        <f>'Reported burning'!C1462</f>
        <v>Lightning</v>
      </c>
      <c r="D1462" s="152" t="str">
        <f>'Reported burning'!D1462</f>
        <v>ND</v>
      </c>
      <c r="E1462" s="152" t="str">
        <f>'Reported burning'!E1462</f>
        <v>ND</v>
      </c>
      <c r="F1462" s="152" t="str">
        <f>'Reported burning'!F1462</f>
        <v>ND</v>
      </c>
      <c r="G1462" s="152" t="str">
        <f>'Reported burning'!G1462</f>
        <v>Forest</v>
      </c>
      <c r="H1462" s="152" t="str">
        <f>'Reported burning'!H1462</f>
        <v>Presence</v>
      </c>
      <c r="I1462" s="3"/>
      <c r="J1462" s="3" t="s">
        <v>2367</v>
      </c>
      <c r="K1462" s="3" t="s">
        <v>2276</v>
      </c>
      <c r="L1462" s="3" t="s">
        <v>2276</v>
      </c>
      <c r="M1462" s="3" t="s">
        <v>2276</v>
      </c>
      <c r="N1462" s="3" t="s">
        <v>2276</v>
      </c>
      <c r="O1462" s="3" t="s">
        <v>2276</v>
      </c>
      <c r="P1462" s="3" t="s">
        <v>2276</v>
      </c>
      <c r="Q1462" s="3" t="s">
        <v>2276</v>
      </c>
      <c r="R1462" s="3" t="s">
        <v>2276</v>
      </c>
      <c r="S1462" s="3" t="s">
        <v>2276</v>
      </c>
      <c r="T1462" s="3" t="s">
        <v>2276</v>
      </c>
      <c r="U1462" s="3" t="s">
        <v>2276</v>
      </c>
      <c r="V1462" s="3" t="s">
        <v>2276</v>
      </c>
      <c r="W1462" s="3" t="s">
        <v>2276</v>
      </c>
      <c r="X1462" s="3" t="s">
        <v>2276</v>
      </c>
      <c r="Y1462" s="3" t="s">
        <v>2276</v>
      </c>
      <c r="Z1462" s="3" t="s">
        <v>2276</v>
      </c>
      <c r="AA1462" s="4" t="s">
        <v>4302</v>
      </c>
      <c r="AB1462" s="4" t="s">
        <v>4303</v>
      </c>
    </row>
    <row r="1463" spans="1:28" ht="54.5" customHeight="1">
      <c r="A1463" s="152" t="str">
        <f>'Reported burning'!A1463</f>
        <v>169c</v>
      </c>
      <c r="B1463" s="152" t="str">
        <f>'Reported burning'!B1463</f>
        <v>169c.12</v>
      </c>
      <c r="C1463" s="152" t="str">
        <f>'Reported burning'!C1463</f>
        <v>Human, escaped</v>
      </c>
      <c r="D1463" s="152" t="str">
        <f>'Reported burning'!D1463</f>
        <v>ND</v>
      </c>
      <c r="E1463" s="152" t="str">
        <f>'Reported burning'!E1463</f>
        <v>ND</v>
      </c>
      <c r="F1463" s="152" t="str">
        <f>'Reported burning'!F1463</f>
        <v>ND</v>
      </c>
      <c r="G1463" s="152" t="str">
        <f>'Reported burning'!G1463</f>
        <v>Forest</v>
      </c>
      <c r="H1463" s="152" t="str">
        <f>'Reported burning'!H1463</f>
        <v>Presence</v>
      </c>
      <c r="I1463" s="3"/>
      <c r="J1463" s="3" t="s">
        <v>2372</v>
      </c>
      <c r="K1463" s="3" t="s">
        <v>2276</v>
      </c>
      <c r="L1463" s="3" t="s">
        <v>2276</v>
      </c>
      <c r="M1463" s="3" t="s">
        <v>2276</v>
      </c>
      <c r="N1463" s="3" t="s">
        <v>2276</v>
      </c>
      <c r="O1463" s="3" t="s">
        <v>2276</v>
      </c>
      <c r="P1463" s="3" t="s">
        <v>2276</v>
      </c>
      <c r="Q1463" s="3" t="s">
        <v>2276</v>
      </c>
      <c r="R1463" s="3" t="s">
        <v>2276</v>
      </c>
      <c r="S1463" s="3" t="s">
        <v>2276</v>
      </c>
      <c r="T1463" s="3" t="s">
        <v>2276</v>
      </c>
      <c r="U1463" s="3" t="s">
        <v>2276</v>
      </c>
      <c r="V1463" s="3" t="s">
        <v>2276</v>
      </c>
      <c r="W1463" s="3" t="s">
        <v>2276</v>
      </c>
      <c r="X1463" s="3" t="s">
        <v>2276</v>
      </c>
      <c r="Y1463" s="3" t="s">
        <v>2276</v>
      </c>
      <c r="Z1463" s="3" t="s">
        <v>2276</v>
      </c>
      <c r="AA1463" s="4" t="s">
        <v>4302</v>
      </c>
      <c r="AB1463" s="4" t="s">
        <v>4303</v>
      </c>
    </row>
    <row r="1464" spans="1:28" ht="54.5" customHeight="1">
      <c r="A1464" s="152" t="str">
        <f>'Reported burning'!A1464</f>
        <v>169c</v>
      </c>
      <c r="B1464" s="152" t="str">
        <f>'Reported burning'!B1464</f>
        <v>169c.13</v>
      </c>
      <c r="C1464" s="152" t="str">
        <f>'Reported burning'!C1464</f>
        <v>Human, accidental</v>
      </c>
      <c r="D1464" s="152" t="str">
        <f>'Reported burning'!D1464</f>
        <v>Accidental</v>
      </c>
      <c r="E1464" s="152" t="str">
        <f>'Reported burning'!E1464</f>
        <v>ND</v>
      </c>
      <c r="F1464" s="152" t="str">
        <f>'Reported burning'!F1464</f>
        <v>ND</v>
      </c>
      <c r="G1464" s="152" t="str">
        <f>'Reported burning'!G1464</f>
        <v>Forest</v>
      </c>
      <c r="H1464" s="152" t="str">
        <f>'Reported burning'!H1464</f>
        <v>Presence</v>
      </c>
      <c r="I1464" s="3"/>
      <c r="J1464" s="3" t="s">
        <v>2369</v>
      </c>
      <c r="K1464" s="3" t="s">
        <v>2276</v>
      </c>
      <c r="L1464" s="3" t="s">
        <v>2276</v>
      </c>
      <c r="M1464" s="3" t="s">
        <v>2276</v>
      </c>
      <c r="N1464" s="3" t="s">
        <v>2276</v>
      </c>
      <c r="O1464" s="3" t="s">
        <v>2276</v>
      </c>
      <c r="P1464" s="3" t="s">
        <v>2276</v>
      </c>
      <c r="Q1464" s="3" t="s">
        <v>2276</v>
      </c>
      <c r="R1464" s="3" t="s">
        <v>2276</v>
      </c>
      <c r="S1464" s="3" t="s">
        <v>2276</v>
      </c>
      <c r="T1464" s="3" t="s">
        <v>2276</v>
      </c>
      <c r="U1464" s="3" t="s">
        <v>2276</v>
      </c>
      <c r="V1464" s="3" t="s">
        <v>2276</v>
      </c>
      <c r="W1464" s="3" t="s">
        <v>2276</v>
      </c>
      <c r="X1464" s="3" t="s">
        <v>2276</v>
      </c>
      <c r="Y1464" s="3" t="s">
        <v>2276</v>
      </c>
      <c r="Z1464" s="3" t="s">
        <v>2276</v>
      </c>
      <c r="AA1464" s="4" t="s">
        <v>4302</v>
      </c>
      <c r="AB1464" s="4" t="s">
        <v>4303</v>
      </c>
    </row>
    <row r="1465" spans="1:28" ht="54.5" customHeight="1">
      <c r="A1465" s="152" t="str">
        <f>'Reported burning'!A1465</f>
        <v>169c</v>
      </c>
      <c r="B1465" s="152" t="str">
        <f>'Reported burning'!B1465</f>
        <v>169c.14</v>
      </c>
      <c r="C1465" s="152" t="str">
        <f>'Reported burning'!C1465</f>
        <v>All</v>
      </c>
      <c r="D1465" s="152" t="str">
        <f>'Reported burning'!D1465</f>
        <v>All</v>
      </c>
      <c r="E1465" s="152" t="str">
        <f>'Reported burning'!E1465</f>
        <v>ND</v>
      </c>
      <c r="F1465" s="152" t="str">
        <f>'Reported burning'!F1465</f>
        <v>ND</v>
      </c>
      <c r="G1465" s="152" t="str">
        <f>'Reported burning'!G1465</f>
        <v>Forest</v>
      </c>
      <c r="H1465" s="152" t="str">
        <f>'Reported burning'!H1465</f>
        <v>Presence</v>
      </c>
      <c r="I1465" s="5"/>
      <c r="J1465" s="3" t="s">
        <v>2276</v>
      </c>
      <c r="K1465" s="3" t="s">
        <v>2276</v>
      </c>
      <c r="L1465" s="3" t="s">
        <v>2276</v>
      </c>
      <c r="M1465" s="3" t="s">
        <v>2276</v>
      </c>
      <c r="N1465" s="3" t="s">
        <v>2276</v>
      </c>
      <c r="O1465" s="3" t="s">
        <v>2276</v>
      </c>
      <c r="P1465" s="3" t="s">
        <v>2276</v>
      </c>
      <c r="Q1465" s="3" t="s">
        <v>2276</v>
      </c>
      <c r="R1465" s="3" t="s">
        <v>2276</v>
      </c>
      <c r="S1465" s="3" t="s">
        <v>2276</v>
      </c>
      <c r="T1465" s="3" t="s">
        <v>2276</v>
      </c>
      <c r="U1465" s="3" t="s">
        <v>2276</v>
      </c>
      <c r="V1465" s="3" t="s">
        <v>2276</v>
      </c>
      <c r="W1465" s="3" t="s">
        <v>2276</v>
      </c>
      <c r="X1465" s="3" t="s">
        <v>2276</v>
      </c>
      <c r="Y1465" s="3" t="s">
        <v>2276</v>
      </c>
      <c r="Z1465" s="3" t="s">
        <v>2276</v>
      </c>
      <c r="AA1465" s="4"/>
      <c r="AB1465" s="4"/>
    </row>
    <row r="1466" spans="1:28" ht="44.5" customHeight="1">
      <c r="A1466" s="156" t="str">
        <f>'Reported burning'!A1466</f>
        <v>171a</v>
      </c>
      <c r="B1466" s="156" t="str">
        <f>'Reported burning'!B1466</f>
        <v>171a.1</v>
      </c>
      <c r="C1466" s="156" t="str">
        <f>'Reported burning'!C1466</f>
        <v>Human, deliberate</v>
      </c>
      <c r="D1466" s="156" t="str">
        <f>'Reported burning'!D1466</f>
        <v>Crop field preparation</v>
      </c>
      <c r="E1466" s="156" t="str">
        <f>'Reported burning'!E1466</f>
        <v>Cropping, Swidden</v>
      </c>
      <c r="F1466" s="156" t="str">
        <f>'Reported burning'!F1466</f>
        <v>ND</v>
      </c>
      <c r="G1466" s="156" t="str">
        <f>'Reported burning'!G1466</f>
        <v>ND</v>
      </c>
      <c r="H1466" s="156" t="str">
        <f>'Reported burning'!H1466</f>
        <v>Presence</v>
      </c>
      <c r="I1466" s="5"/>
      <c r="J1466" s="22" t="s">
        <v>2276</v>
      </c>
      <c r="K1466" s="22" t="s">
        <v>2276</v>
      </c>
      <c r="L1466" s="22" t="s">
        <v>2276</v>
      </c>
      <c r="M1466" s="22" t="s">
        <v>2276</v>
      </c>
      <c r="N1466" s="22" t="s">
        <v>2276</v>
      </c>
      <c r="O1466" s="22" t="s">
        <v>2276</v>
      </c>
      <c r="P1466" s="22" t="s">
        <v>2276</v>
      </c>
      <c r="Q1466" s="22" t="s">
        <v>2276</v>
      </c>
      <c r="R1466" s="22" t="s">
        <v>2276</v>
      </c>
      <c r="S1466" s="22" t="s">
        <v>2276</v>
      </c>
      <c r="T1466" s="22" t="s">
        <v>2276</v>
      </c>
      <c r="U1466" s="22" t="s">
        <v>2276</v>
      </c>
      <c r="V1466" s="22" t="s">
        <v>2276</v>
      </c>
      <c r="W1466" s="22" t="s">
        <v>2276</v>
      </c>
      <c r="X1466" s="22" t="s">
        <v>2276</v>
      </c>
      <c r="Y1466" s="22" t="s">
        <v>2276</v>
      </c>
      <c r="Z1466" s="22" t="s">
        <v>2276</v>
      </c>
      <c r="AA1466" s="3"/>
      <c r="AB1466" s="3"/>
    </row>
    <row r="1467" spans="1:28" ht="44.5" customHeight="1">
      <c r="A1467" s="152" t="str">
        <f>'Reported burning'!A1467</f>
        <v>171a</v>
      </c>
      <c r="B1467" s="152" t="str">
        <f>'Reported burning'!B1467</f>
        <v>171a.2</v>
      </c>
      <c r="C1467" s="152" t="str">
        <f>'Reported burning'!C1467</f>
        <v>Human, deliberate</v>
      </c>
      <c r="D1467" s="152" t="str">
        <f>'Reported burning'!D1467</f>
        <v>Pasture renewal</v>
      </c>
      <c r="E1467" s="152" t="str">
        <f>'Reported burning'!E1467</f>
        <v>Pastoralism, Migratory</v>
      </c>
      <c r="F1467" s="152" t="str">
        <f>'Reported burning'!F1467</f>
        <v>ND</v>
      </c>
      <c r="G1467" s="152" t="str">
        <f>'Reported burning'!G1467</f>
        <v>ND</v>
      </c>
      <c r="H1467" s="152" t="str">
        <f>'Reported burning'!H1467</f>
        <v>Presence</v>
      </c>
      <c r="I1467" s="3"/>
      <c r="J1467" s="22" t="s">
        <v>2276</v>
      </c>
      <c r="K1467" s="22" t="s">
        <v>2276</v>
      </c>
      <c r="L1467" s="22" t="s">
        <v>2276</v>
      </c>
      <c r="M1467" s="22" t="s">
        <v>2276</v>
      </c>
      <c r="N1467" s="22" t="s">
        <v>2276</v>
      </c>
      <c r="O1467" s="22" t="s">
        <v>2276</v>
      </c>
      <c r="P1467" s="22" t="s">
        <v>2276</v>
      </c>
      <c r="Q1467" s="22" t="s">
        <v>2276</v>
      </c>
      <c r="R1467" s="22" t="s">
        <v>2276</v>
      </c>
      <c r="S1467" s="22" t="s">
        <v>2276</v>
      </c>
      <c r="T1467" s="22" t="s">
        <v>2276</v>
      </c>
      <c r="U1467" s="22" t="s">
        <v>2276</v>
      </c>
      <c r="V1467" s="22" t="s">
        <v>2276</v>
      </c>
      <c r="W1467" s="22" t="s">
        <v>2276</v>
      </c>
      <c r="X1467" s="22" t="s">
        <v>2276</v>
      </c>
      <c r="Y1467" s="22" t="s">
        <v>2276</v>
      </c>
      <c r="Z1467" s="22" t="s">
        <v>2276</v>
      </c>
      <c r="AA1467" s="3"/>
      <c r="AB1467" s="3"/>
    </row>
    <row r="1468" spans="1:28" ht="44.5" customHeight="1">
      <c r="A1468" s="152" t="str">
        <f>'Reported burning'!A1468</f>
        <v>171a</v>
      </c>
      <c r="B1468" s="152" t="str">
        <f>'Reported burning'!B1468</f>
        <v>171a.3</v>
      </c>
      <c r="C1468" s="152" t="str">
        <f>'Reported burning'!C1468</f>
        <v>Human, deliberate</v>
      </c>
      <c r="D1468" s="152" t="str">
        <f>'Reported burning'!D1468</f>
        <v>Pasture renewal</v>
      </c>
      <c r="E1468" s="152" t="str">
        <f>'Reported burning'!E1468</f>
        <v>Cattle, Extensive</v>
      </c>
      <c r="F1468" s="152" t="str">
        <f>'Reported burning'!F1468</f>
        <v>ND</v>
      </c>
      <c r="G1468" s="152" t="str">
        <f>'Reported burning'!G1468</f>
        <v>ND</v>
      </c>
      <c r="H1468" s="152" t="str">
        <f>'Reported burning'!H1468</f>
        <v>Presence</v>
      </c>
      <c r="I1468" s="3"/>
      <c r="J1468" s="22" t="s">
        <v>2276</v>
      </c>
      <c r="K1468" s="22" t="s">
        <v>2276</v>
      </c>
      <c r="L1468" s="22" t="s">
        <v>2276</v>
      </c>
      <c r="M1468" s="22" t="s">
        <v>2276</v>
      </c>
      <c r="N1468" s="22" t="s">
        <v>2276</v>
      </c>
      <c r="O1468" s="22" t="s">
        <v>2276</v>
      </c>
      <c r="P1468" s="22" t="s">
        <v>2276</v>
      </c>
      <c r="Q1468" s="22" t="s">
        <v>2276</v>
      </c>
      <c r="R1468" s="22" t="s">
        <v>2276</v>
      </c>
      <c r="S1468" s="22" t="s">
        <v>2276</v>
      </c>
      <c r="T1468" s="22" t="s">
        <v>2276</v>
      </c>
      <c r="U1468" s="22" t="s">
        <v>2276</v>
      </c>
      <c r="V1468" s="22" t="s">
        <v>2276</v>
      </c>
      <c r="W1468" s="22" t="s">
        <v>2276</v>
      </c>
      <c r="X1468" s="22" t="s">
        <v>2276</v>
      </c>
      <c r="Y1468" s="22" t="s">
        <v>2276</v>
      </c>
      <c r="Z1468" s="22" t="s">
        <v>2276</v>
      </c>
      <c r="AA1468" s="3"/>
      <c r="AB1468" s="3"/>
    </row>
    <row r="1469" spans="1:28" ht="44.5" customHeight="1">
      <c r="A1469" s="152" t="str">
        <f>'Reported burning'!A1469</f>
        <v>171b</v>
      </c>
      <c r="B1469" s="152" t="str">
        <f>'Reported burning'!B1469</f>
        <v>171b.1</v>
      </c>
      <c r="C1469" s="152" t="str">
        <f>'Reported burning'!C1469</f>
        <v>Human, deliberate</v>
      </c>
      <c r="D1469" s="152" t="str">
        <f>'Reported burning'!D1469</f>
        <v>Pyrome management</v>
      </c>
      <c r="E1469" s="152" t="str">
        <f>'Reported burning'!E1469</f>
        <v>Biodiversity conservation</v>
      </c>
      <c r="F1469" s="152" t="str">
        <f>'Reported burning'!F1469</f>
        <v>Forest</v>
      </c>
      <c r="G1469" s="152" t="str">
        <f>'Reported burning'!G1469</f>
        <v>ND</v>
      </c>
      <c r="H1469" s="152" t="str">
        <f>'Reported burning'!H1469</f>
        <v>Absence</v>
      </c>
      <c r="I1469" s="3"/>
      <c r="J1469" s="21">
        <v>0</v>
      </c>
      <c r="K1469" s="21">
        <v>0</v>
      </c>
      <c r="L1469" s="21">
        <v>0</v>
      </c>
      <c r="M1469" s="21">
        <v>0</v>
      </c>
      <c r="N1469" s="21">
        <v>0</v>
      </c>
      <c r="O1469" s="21">
        <v>0</v>
      </c>
      <c r="P1469" s="21">
        <v>0</v>
      </c>
      <c r="Q1469" s="21">
        <v>0</v>
      </c>
      <c r="R1469" s="21">
        <v>0</v>
      </c>
      <c r="S1469" s="21">
        <v>0</v>
      </c>
      <c r="T1469" s="21">
        <v>0</v>
      </c>
      <c r="U1469" s="21">
        <v>0</v>
      </c>
      <c r="V1469" s="21">
        <v>0</v>
      </c>
      <c r="W1469" s="22" t="s">
        <v>2276</v>
      </c>
      <c r="X1469" s="22" t="s">
        <v>2276</v>
      </c>
      <c r="Y1469" s="22" t="s">
        <v>2276</v>
      </c>
      <c r="Z1469" s="22" t="s">
        <v>2276</v>
      </c>
      <c r="AA1469" s="3" t="s">
        <v>4375</v>
      </c>
      <c r="AB1469" s="3"/>
    </row>
    <row r="1470" spans="1:28" ht="44.5" customHeight="1">
      <c r="A1470" s="152" t="str">
        <f>'Reported burning'!A1470</f>
        <v>171b</v>
      </c>
      <c r="B1470" s="152" t="str">
        <f>'Reported burning'!B1470</f>
        <v>171b.2</v>
      </c>
      <c r="C1470" s="152" t="str">
        <f>'Reported burning'!C1470</f>
        <v>Human, deliberate</v>
      </c>
      <c r="D1470" s="152" t="str">
        <f>'Reported burning'!D1470</f>
        <v>Pasture renewal</v>
      </c>
      <c r="E1470" s="152" t="str">
        <f>'Reported burning'!E1470</f>
        <v>Cattle, Extensive</v>
      </c>
      <c r="F1470" s="152" t="str">
        <f>'Reported burning'!F1470</f>
        <v>Forest</v>
      </c>
      <c r="G1470" s="152" t="str">
        <f>'Reported burning'!G1470</f>
        <v>ND</v>
      </c>
      <c r="H1470" s="152" t="str">
        <f>'Reported burning'!H1470</f>
        <v>Presence</v>
      </c>
      <c r="I1470" s="3"/>
      <c r="J1470" s="22" t="s">
        <v>2276</v>
      </c>
      <c r="K1470" s="22" t="s">
        <v>2276</v>
      </c>
      <c r="L1470" s="22" t="s">
        <v>2276</v>
      </c>
      <c r="M1470" s="22" t="s">
        <v>2276</v>
      </c>
      <c r="N1470" s="22" t="s">
        <v>2276</v>
      </c>
      <c r="O1470" s="22" t="s">
        <v>2276</v>
      </c>
      <c r="P1470" s="22" t="s">
        <v>2276</v>
      </c>
      <c r="Q1470" s="22" t="s">
        <v>2276</v>
      </c>
      <c r="R1470" s="22" t="s">
        <v>2276</v>
      </c>
      <c r="S1470" s="22" t="s">
        <v>2276</v>
      </c>
      <c r="T1470" s="22" t="s">
        <v>2276</v>
      </c>
      <c r="U1470" s="22" t="s">
        <v>2276</v>
      </c>
      <c r="V1470" s="22" t="s">
        <v>2276</v>
      </c>
      <c r="W1470" s="22" t="s">
        <v>2276</v>
      </c>
      <c r="X1470" s="22" t="s">
        <v>2276</v>
      </c>
      <c r="Y1470" s="22" t="s">
        <v>2276</v>
      </c>
      <c r="Z1470" s="22" t="s">
        <v>2276</v>
      </c>
      <c r="AA1470" s="3" t="s">
        <v>4370</v>
      </c>
      <c r="AB1470" s="3"/>
    </row>
    <row r="1471" spans="1:28" ht="44.5" customHeight="1">
      <c r="A1471" s="152" t="str">
        <f>'Reported burning'!A1471</f>
        <v>171b</v>
      </c>
      <c r="B1471" s="152" t="str">
        <f>'Reported burning'!B1471</f>
        <v>171b.3</v>
      </c>
      <c r="C1471" s="152" t="str">
        <f>'Reported burning'!C1471</f>
        <v>Human, deliberate</v>
      </c>
      <c r="D1471" s="152" t="str">
        <f>'Reported burning'!D1471</f>
        <v>Pasture renewal</v>
      </c>
      <c r="E1471" s="152" t="str">
        <f>'Reported burning'!E1471</f>
        <v>Cattle, Extensive</v>
      </c>
      <c r="F1471" s="152" t="str">
        <f>'Reported burning'!F1471</f>
        <v>Grassland</v>
      </c>
      <c r="G1471" s="152" t="str">
        <f>'Reported burning'!G1471</f>
        <v>ND</v>
      </c>
      <c r="H1471" s="152" t="str">
        <f>'Reported burning'!H1471</f>
        <v>Presence</v>
      </c>
      <c r="I1471" s="3"/>
      <c r="J1471" s="22" t="s">
        <v>2276</v>
      </c>
      <c r="K1471" s="22" t="s">
        <v>2276</v>
      </c>
      <c r="L1471" s="22" t="s">
        <v>2276</v>
      </c>
      <c r="M1471" s="22" t="s">
        <v>2276</v>
      </c>
      <c r="N1471" s="22" t="s">
        <v>2276</v>
      </c>
      <c r="O1471" s="22" t="s">
        <v>2276</v>
      </c>
      <c r="P1471" s="22" t="s">
        <v>2276</v>
      </c>
      <c r="Q1471" s="22" t="s">
        <v>2276</v>
      </c>
      <c r="R1471" s="22" t="s">
        <v>2276</v>
      </c>
      <c r="S1471" s="22" t="s">
        <v>2276</v>
      </c>
      <c r="T1471" s="22" t="s">
        <v>2276</v>
      </c>
      <c r="U1471" s="22" t="s">
        <v>2276</v>
      </c>
      <c r="V1471" s="22" t="s">
        <v>2276</v>
      </c>
      <c r="W1471" s="22" t="s">
        <v>2276</v>
      </c>
      <c r="X1471" s="22" t="s">
        <v>2276</v>
      </c>
      <c r="Y1471" s="22" t="s">
        <v>2276</v>
      </c>
      <c r="Z1471" s="22" t="s">
        <v>2276</v>
      </c>
      <c r="AA1471" s="3"/>
      <c r="AB1471" s="3"/>
    </row>
    <row r="1472" spans="1:28" ht="44.5" customHeight="1">
      <c r="A1472" s="152" t="str">
        <f>'Reported burning'!A1472</f>
        <v>171b</v>
      </c>
      <c r="B1472" s="152" t="str">
        <f>'Reported burning'!B1472</f>
        <v>171b.4</v>
      </c>
      <c r="C1472" s="152" t="str">
        <f>'Reported burning'!C1472</f>
        <v>Human, deliberate</v>
      </c>
      <c r="D1472" s="152" t="str">
        <f>'Reported burning'!D1472</f>
        <v>Arson</v>
      </c>
      <c r="E1472" s="152" t="str">
        <f>'Reported burning'!E1472</f>
        <v>Cattle, Extensive</v>
      </c>
      <c r="F1472" s="152" t="str">
        <f>'Reported burning'!F1472</f>
        <v>ND</v>
      </c>
      <c r="G1472" s="152" t="str">
        <f>'Reported burning'!G1472</f>
        <v>ND</v>
      </c>
      <c r="H1472" s="152" t="str">
        <f>'Reported burning'!H1472</f>
        <v>Presence</v>
      </c>
      <c r="I1472" s="3"/>
      <c r="J1472" s="22" t="s">
        <v>2276</v>
      </c>
      <c r="K1472" s="22" t="s">
        <v>2276</v>
      </c>
      <c r="L1472" s="22" t="s">
        <v>2276</v>
      </c>
      <c r="M1472" s="22" t="s">
        <v>2276</v>
      </c>
      <c r="N1472" s="22" t="s">
        <v>2276</v>
      </c>
      <c r="O1472" s="22" t="s">
        <v>2276</v>
      </c>
      <c r="P1472" s="22" t="s">
        <v>2276</v>
      </c>
      <c r="Q1472" s="22" t="s">
        <v>2276</v>
      </c>
      <c r="R1472" s="22" t="s">
        <v>2276</v>
      </c>
      <c r="S1472" s="22" t="s">
        <v>2276</v>
      </c>
      <c r="T1472" s="22" t="s">
        <v>2276</v>
      </c>
      <c r="U1472" s="22" t="s">
        <v>2276</v>
      </c>
      <c r="V1472" s="22" t="s">
        <v>2276</v>
      </c>
      <c r="W1472" s="22" t="s">
        <v>2276</v>
      </c>
      <c r="X1472" s="22" t="s">
        <v>2276</v>
      </c>
      <c r="Y1472" s="22" t="s">
        <v>2276</v>
      </c>
      <c r="Z1472" s="22" t="s">
        <v>2276</v>
      </c>
      <c r="AA1472" s="3"/>
      <c r="AB1472" s="3"/>
    </row>
    <row r="1473" spans="1:28" ht="44.5" customHeight="1">
      <c r="A1473" s="152" t="str">
        <f>'Reported burning'!A1473</f>
        <v>171b</v>
      </c>
      <c r="B1473" s="152" t="str">
        <f>'Reported burning'!B1473</f>
        <v>171b.5</v>
      </c>
      <c r="C1473" s="152" t="str">
        <f>'Reported burning'!C1473</f>
        <v>Lightning</v>
      </c>
      <c r="D1473" s="152" t="str">
        <f>'Reported burning'!D1473</f>
        <v>ND</v>
      </c>
      <c r="E1473" s="152" t="str">
        <f>'Reported burning'!E1473</f>
        <v>ND</v>
      </c>
      <c r="F1473" s="152" t="str">
        <f>'Reported burning'!F1473</f>
        <v>ND</v>
      </c>
      <c r="G1473" s="152" t="str">
        <f>'Reported burning'!G1473</f>
        <v>ND</v>
      </c>
      <c r="H1473" s="152" t="str">
        <f>'Reported burning'!H1473</f>
        <v>Presence</v>
      </c>
      <c r="I1473" s="3"/>
      <c r="J1473" s="22" t="s">
        <v>2276</v>
      </c>
      <c r="K1473" s="22" t="s">
        <v>2276</v>
      </c>
      <c r="L1473" s="22" t="s">
        <v>2276</v>
      </c>
      <c r="M1473" s="22" t="s">
        <v>2276</v>
      </c>
      <c r="N1473" s="22" t="s">
        <v>2276</v>
      </c>
      <c r="O1473" s="22" t="s">
        <v>2276</v>
      </c>
      <c r="P1473" s="22" t="s">
        <v>2276</v>
      </c>
      <c r="Q1473" s="22" t="s">
        <v>2276</v>
      </c>
      <c r="R1473" s="22" t="s">
        <v>2276</v>
      </c>
      <c r="S1473" s="22" t="s">
        <v>2276</v>
      </c>
      <c r="T1473" s="22" t="s">
        <v>2276</v>
      </c>
      <c r="U1473" s="22" t="s">
        <v>2276</v>
      </c>
      <c r="V1473" s="22" t="s">
        <v>2276</v>
      </c>
      <c r="W1473" s="22" t="s">
        <v>2276</v>
      </c>
      <c r="X1473" s="22" t="s">
        <v>2276</v>
      </c>
      <c r="Y1473" s="22" t="s">
        <v>2276</v>
      </c>
      <c r="Z1473" s="22" t="s">
        <v>2276</v>
      </c>
      <c r="AA1473" s="3"/>
      <c r="AB1473" s="3"/>
    </row>
    <row r="1474" spans="1:28" ht="66.5" customHeight="1">
      <c r="A1474" s="152" t="str">
        <f>'Reported burning'!A1474</f>
        <v>171b</v>
      </c>
      <c r="B1474" s="152" t="str">
        <f>'Reported burning'!B1474</f>
        <v>171b.6</v>
      </c>
      <c r="C1474" s="152" t="str">
        <f>'Reported burning'!C1474</f>
        <v>Unknown</v>
      </c>
      <c r="D1474" s="152" t="str">
        <f>'Reported burning'!D1474</f>
        <v>ND</v>
      </c>
      <c r="E1474" s="152" t="str">
        <f>'Reported burning'!E1474</f>
        <v>ND</v>
      </c>
      <c r="F1474" s="152" t="str">
        <f>'Reported burning'!F1474</f>
        <v>ND</v>
      </c>
      <c r="G1474" s="152" t="str">
        <f>'Reported burning'!G1474</f>
        <v>Forest</v>
      </c>
      <c r="H1474" s="152" t="str">
        <f>'Reported burning'!H1474</f>
        <v>Presence</v>
      </c>
      <c r="I1474" s="3"/>
      <c r="J1474" s="22" t="s">
        <v>2276</v>
      </c>
      <c r="K1474" s="22" t="s">
        <v>2276</v>
      </c>
      <c r="L1474" s="22" t="s">
        <v>2276</v>
      </c>
      <c r="M1474" s="22" t="s">
        <v>2276</v>
      </c>
      <c r="N1474" s="22" t="s">
        <v>2276</v>
      </c>
      <c r="O1474" s="22" t="s">
        <v>2276</v>
      </c>
      <c r="P1474" s="22" t="s">
        <v>2276</v>
      </c>
      <c r="Q1474" s="22" t="s">
        <v>2276</v>
      </c>
      <c r="R1474" s="22" t="s">
        <v>2276</v>
      </c>
      <c r="S1474" s="22" t="s">
        <v>2276</v>
      </c>
      <c r="T1474" s="22" t="s">
        <v>2276</v>
      </c>
      <c r="U1474" s="22" t="s">
        <v>2276</v>
      </c>
      <c r="V1474" s="22" t="s">
        <v>2276</v>
      </c>
      <c r="W1474" s="22" t="s">
        <v>2276</v>
      </c>
      <c r="X1474" s="22" t="s">
        <v>2276</v>
      </c>
      <c r="Y1474" s="22" t="s">
        <v>2276</v>
      </c>
      <c r="Z1474" s="22" t="s">
        <v>2276</v>
      </c>
      <c r="AA1474" s="3"/>
      <c r="AB1474" s="3"/>
    </row>
    <row r="1475" spans="1:28" ht="58">
      <c r="A1475" s="152" t="str">
        <f>'Reported burning'!A1475</f>
        <v>171b</v>
      </c>
      <c r="B1475" s="152" t="str">
        <f>'Reported burning'!B1475</f>
        <v>171b.7</v>
      </c>
      <c r="C1475" s="152" t="str">
        <f>'Reported burning'!C1475</f>
        <v>Human, escaped</v>
      </c>
      <c r="D1475" s="152" t="str">
        <f>'Reported burning'!D1475</f>
        <v>Pasture renewal</v>
      </c>
      <c r="E1475" s="152" t="str">
        <f>'Reported burning'!E1475</f>
        <v>Cropping, Intensive</v>
      </c>
      <c r="F1475" s="152" t="str">
        <f>'Reported burning'!F1475</f>
        <v>ND</v>
      </c>
      <c r="G1475" s="152" t="str">
        <f>'Reported burning'!G1475</f>
        <v>Forest</v>
      </c>
      <c r="H1475" s="152" t="str">
        <f>'Reported burning'!H1475</f>
        <v>Presence</v>
      </c>
      <c r="I1475" s="3"/>
      <c r="J1475" s="22" t="s">
        <v>2276</v>
      </c>
      <c r="K1475" s="22" t="s">
        <v>2276</v>
      </c>
      <c r="L1475" s="22" t="s">
        <v>2276</v>
      </c>
      <c r="M1475" s="22" t="s">
        <v>2276</v>
      </c>
      <c r="N1475" s="22" t="s">
        <v>2276</v>
      </c>
      <c r="O1475" s="22" t="s">
        <v>2276</v>
      </c>
      <c r="P1475" s="22" t="s">
        <v>2276</v>
      </c>
      <c r="Q1475" s="22" t="s">
        <v>2276</v>
      </c>
      <c r="R1475" s="22" t="s">
        <v>2276</v>
      </c>
      <c r="S1475" s="22" t="s">
        <v>2276</v>
      </c>
      <c r="T1475" s="22" t="s">
        <v>2276</v>
      </c>
      <c r="U1475" s="22" t="s">
        <v>2276</v>
      </c>
      <c r="V1475" s="22" t="s">
        <v>2276</v>
      </c>
      <c r="W1475" s="22" t="s">
        <v>2276</v>
      </c>
      <c r="X1475" s="22" t="s">
        <v>2276</v>
      </c>
      <c r="Y1475" s="22" t="s">
        <v>2276</v>
      </c>
      <c r="Z1475" s="22" t="s">
        <v>2276</v>
      </c>
      <c r="AA1475" s="4" t="s">
        <v>4374</v>
      </c>
      <c r="AB1475" s="3"/>
    </row>
    <row r="1476" spans="1:28" ht="47.5" customHeight="1">
      <c r="A1476" s="152" t="str">
        <f>'Reported burning'!A1476</f>
        <v>172a</v>
      </c>
      <c r="B1476" s="152" t="str">
        <f>'Reported burning'!B1476</f>
        <v>172a.1</v>
      </c>
      <c r="C1476" s="152" t="str">
        <f>'Reported burning'!C1476</f>
        <v>Human, deliberate</v>
      </c>
      <c r="D1476" s="152" t="str">
        <f>'Reported burning'!D1476</f>
        <v>Crop field preparation</v>
      </c>
      <c r="E1476" s="152" t="str">
        <f>'Reported burning'!E1476</f>
        <v>Cropping, Swidden</v>
      </c>
      <c r="F1476" s="152" t="str">
        <f>'Reported burning'!F1476</f>
        <v>ND</v>
      </c>
      <c r="G1476" s="152" t="str">
        <f>'Reported burning'!G1476</f>
        <v>Forest</v>
      </c>
      <c r="H1476" s="152" t="str">
        <f>'Reported burning'!H1476</f>
        <v>Presence</v>
      </c>
      <c r="I1476" s="3"/>
      <c r="J1476" s="22" t="s">
        <v>2276</v>
      </c>
      <c r="K1476" s="22" t="s">
        <v>2276</v>
      </c>
      <c r="L1476" s="22" t="s">
        <v>2276</v>
      </c>
      <c r="M1476" s="22" t="s">
        <v>2276</v>
      </c>
      <c r="N1476" s="22" t="s">
        <v>2276</v>
      </c>
      <c r="O1476" s="22" t="s">
        <v>2276</v>
      </c>
      <c r="P1476" s="22" t="s">
        <v>2276</v>
      </c>
      <c r="Q1476" s="22" t="s">
        <v>2276</v>
      </c>
      <c r="R1476" s="22" t="s">
        <v>2276</v>
      </c>
      <c r="S1476" s="22" t="s">
        <v>2276</v>
      </c>
      <c r="T1476" s="22" t="s">
        <v>2276</v>
      </c>
      <c r="U1476" s="22" t="s">
        <v>2276</v>
      </c>
      <c r="V1476" s="22" t="s">
        <v>2276</v>
      </c>
      <c r="W1476" s="3" t="s">
        <v>2276</v>
      </c>
      <c r="X1476" s="3" t="s">
        <v>399</v>
      </c>
      <c r="Y1476" s="3" t="s">
        <v>38</v>
      </c>
      <c r="Z1476" s="3" t="s">
        <v>2655</v>
      </c>
      <c r="AA1476" s="3"/>
      <c r="AB1476" s="3"/>
    </row>
    <row r="1477" spans="1:28" ht="47.5" customHeight="1">
      <c r="A1477" s="152" t="str">
        <f>'Reported burning'!A1477</f>
        <v>172a</v>
      </c>
      <c r="B1477" s="152" t="str">
        <f>'Reported burning'!B1477</f>
        <v>172a.2</v>
      </c>
      <c r="C1477" s="152" t="str">
        <f>'Reported burning'!C1477</f>
        <v>Human, deliberate</v>
      </c>
      <c r="D1477" s="152" t="str">
        <f>'Reported burning'!D1477</f>
        <v>Crop field preparation</v>
      </c>
      <c r="E1477" s="152" t="str">
        <f>'Reported burning'!E1477</f>
        <v>Cropping, Swidden</v>
      </c>
      <c r="F1477" s="152" t="str">
        <f>'Reported burning'!F1477</f>
        <v>ND</v>
      </c>
      <c r="G1477" s="152" t="str">
        <f>'Reported burning'!G1477</f>
        <v>Secondary Vegetation</v>
      </c>
      <c r="H1477" s="152" t="str">
        <f>'Reported burning'!H1477</f>
        <v>Presence</v>
      </c>
      <c r="I1477" s="3"/>
      <c r="J1477" s="22" t="s">
        <v>2276</v>
      </c>
      <c r="K1477" s="22" t="s">
        <v>2276</v>
      </c>
      <c r="L1477" s="22" t="s">
        <v>2276</v>
      </c>
      <c r="M1477" s="22" t="s">
        <v>2276</v>
      </c>
      <c r="N1477" s="22" t="s">
        <v>2276</v>
      </c>
      <c r="O1477" s="22" t="s">
        <v>2276</v>
      </c>
      <c r="P1477" s="22" t="s">
        <v>2276</v>
      </c>
      <c r="Q1477" s="22" t="s">
        <v>2276</v>
      </c>
      <c r="R1477" s="22" t="s">
        <v>2276</v>
      </c>
      <c r="S1477" s="22" t="s">
        <v>2276</v>
      </c>
      <c r="T1477" s="22" t="s">
        <v>2276</v>
      </c>
      <c r="U1477" s="22" t="s">
        <v>2276</v>
      </c>
      <c r="V1477" s="22" t="s">
        <v>2276</v>
      </c>
      <c r="W1477" s="3" t="s">
        <v>2403</v>
      </c>
      <c r="X1477" s="3" t="s">
        <v>399</v>
      </c>
      <c r="Y1477" s="3" t="s">
        <v>38</v>
      </c>
      <c r="Z1477" s="3" t="s">
        <v>2655</v>
      </c>
      <c r="AA1477" s="3"/>
      <c r="AB1477" s="3"/>
    </row>
    <row r="1478" spans="1:28" ht="47.5" customHeight="1">
      <c r="A1478" s="152" t="str">
        <f>'Reported burning'!A1478</f>
        <v>172b</v>
      </c>
      <c r="B1478" s="152" t="str">
        <f>'Reported burning'!B1478</f>
        <v>172b.1</v>
      </c>
      <c r="C1478" s="152" t="str">
        <f>'Reported burning'!C1478</f>
        <v>Human, deliberate</v>
      </c>
      <c r="D1478" s="152" t="str">
        <f>'Reported burning'!D1478</f>
        <v>Land clearance</v>
      </c>
      <c r="E1478" s="152" t="str">
        <f>'Reported burning'!E1478</f>
        <v>Cropping, Monoculture, Subsistence-oriented</v>
      </c>
      <c r="F1478" s="152" t="str">
        <f>'Reported burning'!F1478</f>
        <v>ND</v>
      </c>
      <c r="G1478" s="152" t="str">
        <f>'Reported burning'!G1478</f>
        <v>Forest</v>
      </c>
      <c r="H1478" s="152" t="str">
        <f>'Reported burning'!H1478</f>
        <v>Presence</v>
      </c>
      <c r="I1478" s="3"/>
      <c r="J1478" s="22" t="s">
        <v>2276</v>
      </c>
      <c r="K1478" s="22" t="s">
        <v>2276</v>
      </c>
      <c r="L1478" s="22" t="s">
        <v>2276</v>
      </c>
      <c r="M1478" s="22" t="s">
        <v>2276</v>
      </c>
      <c r="N1478" s="22" t="s">
        <v>2276</v>
      </c>
      <c r="O1478" s="22" t="s">
        <v>2276</v>
      </c>
      <c r="P1478" s="22" t="s">
        <v>2276</v>
      </c>
      <c r="Q1478" s="22" t="s">
        <v>2276</v>
      </c>
      <c r="R1478" s="22" t="s">
        <v>2276</v>
      </c>
      <c r="S1478" s="22" t="s">
        <v>2276</v>
      </c>
      <c r="T1478" s="22" t="s">
        <v>2276</v>
      </c>
      <c r="U1478" s="22" t="s">
        <v>2276</v>
      </c>
      <c r="V1478" s="22" t="s">
        <v>2276</v>
      </c>
      <c r="W1478" s="22" t="s">
        <v>2276</v>
      </c>
      <c r="X1478" s="22" t="s">
        <v>2276</v>
      </c>
      <c r="Y1478" s="22" t="s">
        <v>2276</v>
      </c>
      <c r="Z1478" s="22" t="s">
        <v>2276</v>
      </c>
      <c r="AA1478" s="4" t="s">
        <v>4415</v>
      </c>
      <c r="AB1478" s="4" t="s">
        <v>4407</v>
      </c>
    </row>
    <row r="1479" spans="1:28" ht="47.5" customHeight="1">
      <c r="A1479" s="152" t="str">
        <f>'Reported burning'!A1479</f>
        <v>172b</v>
      </c>
      <c r="B1479" s="152" t="str">
        <f>'Reported burning'!B1479</f>
        <v>172b.2</v>
      </c>
      <c r="C1479" s="152" t="str">
        <f>'Reported burning'!C1479</f>
        <v>Human, deliberate</v>
      </c>
      <c r="D1479" s="152" t="str">
        <f>'Reported burning'!D1479</f>
        <v>Land clearance</v>
      </c>
      <c r="E1479" s="152" t="str">
        <f>'Reported burning'!E1479</f>
        <v>Cropping, Monoculture, Subsistence-oriented</v>
      </c>
      <c r="F1479" s="152" t="str">
        <f>'Reported burning'!F1479</f>
        <v>ND</v>
      </c>
      <c r="G1479" s="152" t="str">
        <f>'Reported burning'!G1479</f>
        <v>Shrubland (Mixed forest &amp; grassland)</v>
      </c>
      <c r="H1479" s="152" t="str">
        <f>'Reported burning'!H1479</f>
        <v>Presence</v>
      </c>
      <c r="I1479" s="3"/>
      <c r="J1479" s="22" t="s">
        <v>2276</v>
      </c>
      <c r="K1479" s="22" t="s">
        <v>2276</v>
      </c>
      <c r="L1479" s="22" t="s">
        <v>2276</v>
      </c>
      <c r="M1479" s="22" t="s">
        <v>2276</v>
      </c>
      <c r="N1479" s="22" t="s">
        <v>2276</v>
      </c>
      <c r="O1479" s="22" t="s">
        <v>2276</v>
      </c>
      <c r="P1479" s="22" t="s">
        <v>2276</v>
      </c>
      <c r="Q1479" s="22" t="s">
        <v>2276</v>
      </c>
      <c r="R1479" s="22" t="s">
        <v>2276</v>
      </c>
      <c r="S1479" s="22" t="s">
        <v>2276</v>
      </c>
      <c r="T1479" s="22" t="s">
        <v>2276</v>
      </c>
      <c r="U1479" s="22" t="s">
        <v>2276</v>
      </c>
      <c r="V1479" s="22" t="s">
        <v>2276</v>
      </c>
      <c r="W1479" s="22" t="s">
        <v>2276</v>
      </c>
      <c r="X1479" s="22" t="s">
        <v>2276</v>
      </c>
      <c r="Y1479" s="22" t="s">
        <v>2276</v>
      </c>
      <c r="Z1479" s="22" t="s">
        <v>2276</v>
      </c>
      <c r="AA1479" s="4" t="s">
        <v>4415</v>
      </c>
      <c r="AB1479" s="4" t="s">
        <v>4407</v>
      </c>
    </row>
    <row r="1480" spans="1:28" ht="47.5" customHeight="1">
      <c r="A1480" s="152" t="str">
        <f>'Reported burning'!A1480</f>
        <v>172c</v>
      </c>
      <c r="B1480" s="152" t="str">
        <f>'Reported burning'!B1480</f>
        <v>172c.1</v>
      </c>
      <c r="C1480" s="152" t="str">
        <f>'Reported burning'!C1480</f>
        <v>Human, deliberate</v>
      </c>
      <c r="D1480" s="152" t="str">
        <f>'Reported burning'!D1480</f>
        <v>Land clearance</v>
      </c>
      <c r="E1480" s="152" t="str">
        <f>'Reported burning'!E1480</f>
        <v>Cropping, Monoculture, Subsistence-oriented</v>
      </c>
      <c r="F1480" s="152" t="str">
        <f>'Reported burning'!F1480</f>
        <v>ND</v>
      </c>
      <c r="G1480" s="152" t="str">
        <f>'Reported burning'!G1480</f>
        <v>Forest</v>
      </c>
      <c r="H1480" s="152" t="str">
        <f>'Reported burning'!H1480</f>
        <v>Presence</v>
      </c>
      <c r="I1480" s="3"/>
      <c r="J1480" s="22" t="s">
        <v>2276</v>
      </c>
      <c r="K1480" s="22" t="s">
        <v>2276</v>
      </c>
      <c r="L1480" s="22" t="s">
        <v>2276</v>
      </c>
      <c r="M1480" s="22" t="s">
        <v>2276</v>
      </c>
      <c r="N1480" s="22" t="s">
        <v>2276</v>
      </c>
      <c r="O1480" s="22" t="s">
        <v>2276</v>
      </c>
      <c r="P1480" s="22" t="s">
        <v>2276</v>
      </c>
      <c r="Q1480" s="22" t="s">
        <v>2276</v>
      </c>
      <c r="R1480" s="22" t="s">
        <v>2276</v>
      </c>
      <c r="S1480" s="22" t="s">
        <v>2276</v>
      </c>
      <c r="T1480" s="22" t="s">
        <v>2276</v>
      </c>
      <c r="U1480" s="22" t="s">
        <v>2276</v>
      </c>
      <c r="V1480" s="22" t="s">
        <v>2276</v>
      </c>
      <c r="W1480" s="22" t="s">
        <v>2276</v>
      </c>
      <c r="X1480" s="22" t="s">
        <v>2276</v>
      </c>
      <c r="Y1480" s="22" t="s">
        <v>2276</v>
      </c>
      <c r="Z1480" s="22" t="s">
        <v>2276</v>
      </c>
      <c r="AA1480" s="4" t="s">
        <v>4415</v>
      </c>
      <c r="AB1480" s="4" t="s">
        <v>4407</v>
      </c>
    </row>
    <row r="1481" spans="1:28" ht="47.5" customHeight="1">
      <c r="A1481" s="152" t="str">
        <f>'Reported burning'!A1481</f>
        <v>172c</v>
      </c>
      <c r="B1481" s="152" t="str">
        <f>'Reported burning'!B1481</f>
        <v>172c.2</v>
      </c>
      <c r="C1481" s="152" t="str">
        <f>'Reported burning'!C1481</f>
        <v>Human, deliberate</v>
      </c>
      <c r="D1481" s="152" t="str">
        <f>'Reported burning'!D1481</f>
        <v>Land clearance</v>
      </c>
      <c r="E1481" s="152" t="str">
        <f>'Reported burning'!E1481</f>
        <v>Cropping, Monoculture, Subsistence-oriented</v>
      </c>
      <c r="F1481" s="152" t="str">
        <f>'Reported burning'!F1481</f>
        <v>ND</v>
      </c>
      <c r="G1481" s="152" t="str">
        <f>'Reported burning'!G1481</f>
        <v>Shrubland (Mixed forest &amp; grassland)</v>
      </c>
      <c r="H1481" s="152" t="str">
        <f>'Reported burning'!H1481</f>
        <v>Presence</v>
      </c>
      <c r="I1481" s="3"/>
      <c r="J1481" s="22" t="s">
        <v>2276</v>
      </c>
      <c r="K1481" s="22" t="s">
        <v>2276</v>
      </c>
      <c r="L1481" s="22" t="s">
        <v>2276</v>
      </c>
      <c r="M1481" s="22" t="s">
        <v>2276</v>
      </c>
      <c r="N1481" s="22" t="s">
        <v>2276</v>
      </c>
      <c r="O1481" s="22" t="s">
        <v>2276</v>
      </c>
      <c r="P1481" s="22" t="s">
        <v>2276</v>
      </c>
      <c r="Q1481" s="22" t="s">
        <v>2276</v>
      </c>
      <c r="R1481" s="22" t="s">
        <v>2276</v>
      </c>
      <c r="S1481" s="22" t="s">
        <v>2276</v>
      </c>
      <c r="T1481" s="22" t="s">
        <v>2276</v>
      </c>
      <c r="U1481" s="22" t="s">
        <v>2276</v>
      </c>
      <c r="V1481" s="22" t="s">
        <v>2276</v>
      </c>
      <c r="W1481" s="22" t="s">
        <v>2276</v>
      </c>
      <c r="X1481" s="22" t="s">
        <v>2276</v>
      </c>
      <c r="Y1481" s="22" t="s">
        <v>2276</v>
      </c>
      <c r="Z1481" s="22" t="s">
        <v>2276</v>
      </c>
      <c r="AA1481" s="4" t="s">
        <v>4415</v>
      </c>
      <c r="AB1481" s="4" t="s">
        <v>4407</v>
      </c>
    </row>
    <row r="1482" spans="1:28" ht="47.5" customHeight="1">
      <c r="A1482" s="152" t="str">
        <f>'Reported burning'!A1482</f>
        <v>172d</v>
      </c>
      <c r="B1482" s="152" t="str">
        <f>'Reported burning'!B1482</f>
        <v>172d.1</v>
      </c>
      <c r="C1482" s="152" t="str">
        <f>'Reported burning'!C1482</f>
        <v>Human, deliberate</v>
      </c>
      <c r="D1482" s="152" t="str">
        <f>'Reported burning'!D1482</f>
        <v>Pasture renewal</v>
      </c>
      <c r="E1482" s="152" t="str">
        <f>'Reported burning'!E1482</f>
        <v>Cattle, Extensive</v>
      </c>
      <c r="F1482" s="152" t="str">
        <f>'Reported burning'!F1482</f>
        <v>Shrubland (Mixed forest &amp; grassland)</v>
      </c>
      <c r="G1482" s="152" t="str">
        <f>'Reported burning'!G1482</f>
        <v>ND</v>
      </c>
      <c r="H1482" s="152" t="str">
        <f>'Reported burning'!H1482</f>
        <v>Presence</v>
      </c>
      <c r="I1482" s="3"/>
      <c r="J1482" s="3" t="s">
        <v>2276</v>
      </c>
      <c r="K1482" s="3" t="s">
        <v>2276</v>
      </c>
      <c r="L1482" s="3" t="s">
        <v>2276</v>
      </c>
      <c r="M1482" s="3" t="s">
        <v>2276</v>
      </c>
      <c r="N1482" s="3" t="s">
        <v>2276</v>
      </c>
      <c r="O1482" s="3" t="s">
        <v>2276</v>
      </c>
      <c r="P1482" s="3" t="s">
        <v>2276</v>
      </c>
      <c r="Q1482" s="3" t="s">
        <v>2276</v>
      </c>
      <c r="R1482" s="3" t="s">
        <v>2276</v>
      </c>
      <c r="S1482" s="3" t="s">
        <v>2276</v>
      </c>
      <c r="T1482" s="3" t="s">
        <v>2276</v>
      </c>
      <c r="U1482" s="3" t="s">
        <v>2276</v>
      </c>
      <c r="V1482" s="3" t="s">
        <v>2276</v>
      </c>
      <c r="W1482" s="3" t="s">
        <v>2276</v>
      </c>
      <c r="X1482" s="3" t="s">
        <v>35</v>
      </c>
      <c r="Y1482" s="3" t="s">
        <v>189</v>
      </c>
      <c r="Z1482" s="3" t="s">
        <v>64</v>
      </c>
      <c r="AA1482" s="4" t="s">
        <v>4404</v>
      </c>
      <c r="AB1482" s="4" t="s">
        <v>4407</v>
      </c>
    </row>
    <row r="1483" spans="1:28" ht="47.5" customHeight="1">
      <c r="A1483" s="152" t="str">
        <f>'Reported burning'!A1483</f>
        <v>172d</v>
      </c>
      <c r="B1483" s="152" t="str">
        <f>'Reported burning'!B1483</f>
        <v>172d.2</v>
      </c>
      <c r="C1483" s="152" t="str">
        <f>'Reported burning'!C1483</f>
        <v>Human, deliberate</v>
      </c>
      <c r="D1483" s="152" t="str">
        <f>'Reported burning'!D1483</f>
        <v>Crop field preparation</v>
      </c>
      <c r="E1483" s="152" t="str">
        <f>'Reported burning'!E1483</f>
        <v>Cropping, Swidden</v>
      </c>
      <c r="F1483" s="152" t="str">
        <f>'Reported burning'!F1483</f>
        <v>Secondary Vegetation</v>
      </c>
      <c r="G1483" s="152" t="str">
        <f>'Reported burning'!G1483</f>
        <v>ND</v>
      </c>
      <c r="H1483" s="152" t="str">
        <f>'Reported burning'!H1483</f>
        <v>Presence</v>
      </c>
      <c r="I1483" s="3"/>
      <c r="J1483" s="3" t="s">
        <v>2276</v>
      </c>
      <c r="K1483" s="3" t="s">
        <v>2276</v>
      </c>
      <c r="L1483" s="3" t="s">
        <v>2276</v>
      </c>
      <c r="M1483" s="3" t="s">
        <v>2276</v>
      </c>
      <c r="N1483" s="3" t="s">
        <v>2276</v>
      </c>
      <c r="O1483" s="3" t="s">
        <v>2276</v>
      </c>
      <c r="P1483" s="3" t="s">
        <v>2276</v>
      </c>
      <c r="Q1483" s="3" t="s">
        <v>2276</v>
      </c>
      <c r="R1483" s="3" t="s">
        <v>2276</v>
      </c>
      <c r="S1483" s="3" t="s">
        <v>2276</v>
      </c>
      <c r="T1483" s="3" t="s">
        <v>2276</v>
      </c>
      <c r="U1483" s="3" t="s">
        <v>2276</v>
      </c>
      <c r="V1483" s="3" t="s">
        <v>2276</v>
      </c>
      <c r="W1483" s="3" t="s">
        <v>2402</v>
      </c>
      <c r="X1483" s="3" t="s">
        <v>189</v>
      </c>
      <c r="Y1483" s="3" t="s">
        <v>86</v>
      </c>
      <c r="Z1483" s="3" t="s">
        <v>76</v>
      </c>
      <c r="AA1483" s="3"/>
      <c r="AB1483" s="4" t="s">
        <v>4408</v>
      </c>
    </row>
    <row r="1484" spans="1:28" ht="47.5" customHeight="1">
      <c r="A1484" s="152" t="str">
        <f>'Reported burning'!A1484</f>
        <v>172d</v>
      </c>
      <c r="B1484" s="152" t="str">
        <f>'Reported burning'!B1484</f>
        <v>172d.3</v>
      </c>
      <c r="C1484" s="152" t="str">
        <f>'Reported burning'!C1484</f>
        <v>Human, deliberate</v>
      </c>
      <c r="D1484" s="152" t="str">
        <f>'Reported burning'!D1484</f>
        <v>Land clearance</v>
      </c>
      <c r="E1484" s="152" t="str">
        <f>'Reported burning'!E1484</f>
        <v>Cropping, Monoculture, Market-oriented</v>
      </c>
      <c r="F1484" s="152" t="str">
        <f>'Reported burning'!F1484</f>
        <v>Forest</v>
      </c>
      <c r="G1484" s="152" t="str">
        <f>'Reported burning'!G1484</f>
        <v>ND</v>
      </c>
      <c r="H1484" s="152" t="str">
        <f>'Reported burning'!H1484</f>
        <v>Presence</v>
      </c>
      <c r="I1484" s="3"/>
      <c r="J1484" s="3" t="s">
        <v>2276</v>
      </c>
      <c r="K1484" s="3" t="s">
        <v>2276</v>
      </c>
      <c r="L1484" s="3" t="s">
        <v>2276</v>
      </c>
      <c r="M1484" s="3" t="s">
        <v>2276</v>
      </c>
      <c r="N1484" s="3" t="s">
        <v>2276</v>
      </c>
      <c r="O1484" s="3" t="s">
        <v>2276</v>
      </c>
      <c r="P1484" s="3" t="s">
        <v>2276</v>
      </c>
      <c r="Q1484" s="3" t="s">
        <v>2276</v>
      </c>
      <c r="R1484" s="3" t="s">
        <v>2276</v>
      </c>
      <c r="S1484" s="3" t="s">
        <v>2276</v>
      </c>
      <c r="T1484" s="3" t="s">
        <v>2276</v>
      </c>
      <c r="U1484" s="3" t="s">
        <v>2276</v>
      </c>
      <c r="V1484" s="3" t="s">
        <v>2276</v>
      </c>
      <c r="W1484" s="3" t="s">
        <v>2276</v>
      </c>
      <c r="X1484" s="3" t="s">
        <v>189</v>
      </c>
      <c r="Y1484" s="3" t="s">
        <v>86</v>
      </c>
      <c r="Z1484" s="3" t="s">
        <v>76</v>
      </c>
      <c r="AA1484" s="4" t="s">
        <v>4404</v>
      </c>
      <c r="AB1484" s="4" t="s">
        <v>4407</v>
      </c>
    </row>
    <row r="1485" spans="1:28" ht="47.5" customHeight="1">
      <c r="A1485" s="152" t="str">
        <f>'Reported burning'!A1485</f>
        <v>172e</v>
      </c>
      <c r="B1485" s="152" t="str">
        <f>'Reported burning'!B1485</f>
        <v>172e.1</v>
      </c>
      <c r="C1485" s="152" t="str">
        <f>'Reported burning'!C1485</f>
        <v>Human, deliberate</v>
      </c>
      <c r="D1485" s="152" t="str">
        <f>'Reported burning'!D1485</f>
        <v>Pasture renewal</v>
      </c>
      <c r="E1485" s="152" t="str">
        <f>'Reported burning'!E1485</f>
        <v>Cattle, Extensive</v>
      </c>
      <c r="F1485" s="152" t="str">
        <f>'Reported burning'!F1485</f>
        <v>Shrubland (Mixed forest &amp; grassland)</v>
      </c>
      <c r="G1485" s="152" t="str">
        <f>'Reported burning'!G1485</f>
        <v>ND</v>
      </c>
      <c r="H1485" s="152" t="str">
        <f>'Reported burning'!H1485</f>
        <v>Presence</v>
      </c>
      <c r="I1485" s="3"/>
      <c r="J1485" s="3" t="s">
        <v>2276</v>
      </c>
      <c r="K1485" s="3" t="s">
        <v>2276</v>
      </c>
      <c r="L1485" s="3" t="s">
        <v>2276</v>
      </c>
      <c r="M1485" s="3" t="s">
        <v>2276</v>
      </c>
      <c r="N1485" s="3" t="s">
        <v>2276</v>
      </c>
      <c r="O1485" s="3" t="s">
        <v>2276</v>
      </c>
      <c r="P1485" s="3" t="s">
        <v>2276</v>
      </c>
      <c r="Q1485" s="3" t="s">
        <v>2276</v>
      </c>
      <c r="R1485" s="3" t="s">
        <v>2276</v>
      </c>
      <c r="S1485" s="3" t="s">
        <v>2276</v>
      </c>
      <c r="T1485" s="3" t="s">
        <v>2276</v>
      </c>
      <c r="U1485" s="3" t="s">
        <v>2276</v>
      </c>
      <c r="V1485" s="3" t="s">
        <v>2276</v>
      </c>
      <c r="W1485" s="3" t="s">
        <v>2276</v>
      </c>
      <c r="X1485" s="3" t="s">
        <v>35</v>
      </c>
      <c r="Y1485" s="3" t="s">
        <v>188</v>
      </c>
      <c r="Z1485" s="3" t="s">
        <v>64</v>
      </c>
      <c r="AA1485" s="4" t="s">
        <v>4404</v>
      </c>
      <c r="AB1485" s="4" t="s">
        <v>4407</v>
      </c>
    </row>
    <row r="1486" spans="1:28" ht="47.5" customHeight="1">
      <c r="A1486" s="156" t="str">
        <f>'Reported burning'!A1486</f>
        <v>172e</v>
      </c>
      <c r="B1486" s="156" t="str">
        <f>'Reported burning'!B1486</f>
        <v>172e.2</v>
      </c>
      <c r="C1486" s="156" t="str">
        <f>'Reported burning'!C1486</f>
        <v>Human, deliberate</v>
      </c>
      <c r="D1486" s="156" t="str">
        <f>'Reported burning'!D1486</f>
        <v>Crop field preparation</v>
      </c>
      <c r="E1486" s="156" t="str">
        <f>'Reported burning'!E1486</f>
        <v>Cropping, Swidden</v>
      </c>
      <c r="F1486" s="156" t="str">
        <f>'Reported burning'!F1486</f>
        <v>Secondary Vegetation</v>
      </c>
      <c r="G1486" s="156" t="str">
        <f>'Reported burning'!G1486</f>
        <v>ND</v>
      </c>
      <c r="H1486" s="156" t="str">
        <f>'Reported burning'!H1486</f>
        <v>Presence</v>
      </c>
      <c r="I1486" s="5"/>
      <c r="J1486" s="3" t="s">
        <v>2276</v>
      </c>
      <c r="K1486" s="3" t="s">
        <v>2276</v>
      </c>
      <c r="L1486" s="3" t="s">
        <v>2276</v>
      </c>
      <c r="M1486" s="3" t="s">
        <v>2276</v>
      </c>
      <c r="N1486" s="3" t="s">
        <v>2276</v>
      </c>
      <c r="O1486" s="3" t="s">
        <v>2276</v>
      </c>
      <c r="P1486" s="3" t="s">
        <v>2276</v>
      </c>
      <c r="Q1486" s="3" t="s">
        <v>2276</v>
      </c>
      <c r="R1486" s="3" t="s">
        <v>2276</v>
      </c>
      <c r="S1486" s="3" t="s">
        <v>2276</v>
      </c>
      <c r="T1486" s="3" t="s">
        <v>2276</v>
      </c>
      <c r="U1486" s="3" t="s">
        <v>2276</v>
      </c>
      <c r="V1486" s="3" t="s">
        <v>2276</v>
      </c>
      <c r="W1486" s="3" t="s">
        <v>2402</v>
      </c>
      <c r="X1486" s="3" t="s">
        <v>189</v>
      </c>
      <c r="Y1486" s="3" t="s">
        <v>38</v>
      </c>
      <c r="Z1486" s="3" t="s">
        <v>64</v>
      </c>
      <c r="AA1486" s="3"/>
      <c r="AB1486" s="4" t="s">
        <v>4408</v>
      </c>
    </row>
    <row r="1487" spans="1:28" ht="47.5" customHeight="1">
      <c r="A1487" s="152" t="str">
        <f>'Reported burning'!A1487</f>
        <v>172f</v>
      </c>
      <c r="B1487" s="152" t="str">
        <f>'Reported burning'!B1487</f>
        <v>172f.1</v>
      </c>
      <c r="C1487" s="152" t="str">
        <f>'Reported burning'!C1487</f>
        <v>Human, deliberate</v>
      </c>
      <c r="D1487" s="152" t="str">
        <f>'Reported burning'!D1487</f>
        <v>Pasture renewal</v>
      </c>
      <c r="E1487" s="152" t="str">
        <f>'Reported burning'!E1487</f>
        <v>Pastoralism, Migratory</v>
      </c>
      <c r="F1487" s="152" t="str">
        <f>'Reported burning'!F1487</f>
        <v>Shrubland (Mixed forest &amp; grassland)</v>
      </c>
      <c r="G1487" s="152" t="str">
        <f>'Reported burning'!G1487</f>
        <v>ND</v>
      </c>
      <c r="H1487" s="152" t="str">
        <f>'Reported burning'!H1487</f>
        <v>Presence</v>
      </c>
      <c r="I1487" s="3"/>
      <c r="J1487" s="3" t="s">
        <v>2276</v>
      </c>
      <c r="K1487" s="3" t="s">
        <v>2276</v>
      </c>
      <c r="L1487" s="3" t="s">
        <v>2276</v>
      </c>
      <c r="M1487" s="3" t="s">
        <v>2276</v>
      </c>
      <c r="N1487" s="3" t="s">
        <v>2276</v>
      </c>
      <c r="O1487" s="3" t="s">
        <v>2276</v>
      </c>
      <c r="P1487" s="3" t="s">
        <v>2276</v>
      </c>
      <c r="Q1487" s="3" t="s">
        <v>2276</v>
      </c>
      <c r="R1487" s="3" t="s">
        <v>2276</v>
      </c>
      <c r="S1487" s="3" t="s">
        <v>2276</v>
      </c>
      <c r="T1487" s="3" t="s">
        <v>2276</v>
      </c>
      <c r="U1487" s="3" t="s">
        <v>2276</v>
      </c>
      <c r="V1487" s="3" t="s">
        <v>2276</v>
      </c>
      <c r="W1487" s="3" t="s">
        <v>2276</v>
      </c>
      <c r="X1487" s="3" t="s">
        <v>35</v>
      </c>
      <c r="Y1487" s="3" t="s">
        <v>188</v>
      </c>
      <c r="Z1487" s="3" t="s">
        <v>64</v>
      </c>
      <c r="AA1487" s="4" t="s">
        <v>4404</v>
      </c>
      <c r="AB1487" s="4" t="s">
        <v>4407</v>
      </c>
    </row>
    <row r="1488" spans="1:28" ht="47.5" customHeight="1">
      <c r="A1488" s="152" t="str">
        <f>'Reported burning'!A1488</f>
        <v>172f</v>
      </c>
      <c r="B1488" s="152" t="str">
        <f>'Reported burning'!B1488</f>
        <v>172f.2</v>
      </c>
      <c r="C1488" s="152" t="str">
        <f>'Reported burning'!C1488</f>
        <v>Human, deliberate</v>
      </c>
      <c r="D1488" s="152" t="str">
        <f>'Reported burning'!D1488</f>
        <v>Crop field preparation</v>
      </c>
      <c r="E1488" s="152" t="str">
        <f>'Reported burning'!E1488</f>
        <v>Cropping, Swidden</v>
      </c>
      <c r="F1488" s="152" t="str">
        <f>'Reported burning'!F1488</f>
        <v>Secondary Vegetation</v>
      </c>
      <c r="G1488" s="152" t="str">
        <f>'Reported burning'!G1488</f>
        <v>ND</v>
      </c>
      <c r="H1488" s="152" t="str">
        <f>'Reported burning'!H1488</f>
        <v>Presence</v>
      </c>
      <c r="I1488" s="3"/>
      <c r="J1488" s="3" t="s">
        <v>2276</v>
      </c>
      <c r="K1488" s="3" t="s">
        <v>2276</v>
      </c>
      <c r="L1488" s="3" t="s">
        <v>2276</v>
      </c>
      <c r="M1488" s="3" t="s">
        <v>2276</v>
      </c>
      <c r="N1488" s="3" t="s">
        <v>2276</v>
      </c>
      <c r="O1488" s="3" t="s">
        <v>2276</v>
      </c>
      <c r="P1488" s="3" t="s">
        <v>2276</v>
      </c>
      <c r="Q1488" s="3" t="s">
        <v>2276</v>
      </c>
      <c r="R1488" s="3" t="s">
        <v>2276</v>
      </c>
      <c r="S1488" s="3" t="s">
        <v>2276</v>
      </c>
      <c r="T1488" s="3" t="s">
        <v>2276</v>
      </c>
      <c r="U1488" s="3" t="s">
        <v>2276</v>
      </c>
      <c r="V1488" s="3" t="s">
        <v>2276</v>
      </c>
      <c r="W1488" s="3" t="s">
        <v>2403</v>
      </c>
      <c r="X1488" s="3" t="s">
        <v>189</v>
      </c>
      <c r="Y1488" s="3" t="s">
        <v>38</v>
      </c>
      <c r="Z1488" s="3" t="s">
        <v>64</v>
      </c>
      <c r="AA1488" s="4" t="s">
        <v>4411</v>
      </c>
      <c r="AB1488" s="4" t="s">
        <v>4410</v>
      </c>
    </row>
    <row r="1489" spans="1:28" ht="57" customHeight="1">
      <c r="A1489" s="152" t="str">
        <f>'Reported burning'!A1489</f>
        <v>173a</v>
      </c>
      <c r="B1489" s="152" t="str">
        <f>'Reported burning'!B1489</f>
        <v>173a.1</v>
      </c>
      <c r="C1489" s="152" t="str">
        <f>'Reported burning'!C1489</f>
        <v>Human, deliberate</v>
      </c>
      <c r="D1489" s="152" t="str">
        <f>'Reported burning'!D1489</f>
        <v>All</v>
      </c>
      <c r="E1489" s="152" t="str">
        <f>'Reported burning'!E1489</f>
        <v>Pastoralism, Migratory</v>
      </c>
      <c r="F1489" s="152" t="str">
        <f>'Reported burning'!F1489</f>
        <v>Shrubland (Mixed forest &amp; grassland)</v>
      </c>
      <c r="G1489" s="152" t="str">
        <f>'Reported burning'!G1489</f>
        <v>ND</v>
      </c>
      <c r="H1489" s="152" t="str">
        <f>'Reported burning'!H1489</f>
        <v>Absence</v>
      </c>
      <c r="I1489" s="3"/>
      <c r="J1489" s="21">
        <v>0</v>
      </c>
      <c r="K1489" s="21">
        <v>0</v>
      </c>
      <c r="L1489" s="21">
        <v>0</v>
      </c>
      <c r="M1489" s="21">
        <v>0</v>
      </c>
      <c r="N1489" s="21">
        <v>0</v>
      </c>
      <c r="O1489" s="21">
        <v>0</v>
      </c>
      <c r="P1489" s="21">
        <v>0</v>
      </c>
      <c r="Q1489" s="21">
        <v>0</v>
      </c>
      <c r="R1489" s="21">
        <v>0</v>
      </c>
      <c r="S1489" s="21">
        <v>0</v>
      </c>
      <c r="T1489" s="21">
        <v>0</v>
      </c>
      <c r="U1489" s="21">
        <v>0</v>
      </c>
      <c r="V1489" s="21">
        <v>0</v>
      </c>
      <c r="W1489" s="3" t="s">
        <v>2276</v>
      </c>
      <c r="X1489" s="3" t="s">
        <v>2276</v>
      </c>
      <c r="Y1489" s="3" t="s">
        <v>2276</v>
      </c>
      <c r="Z1489" s="3" t="s">
        <v>2276</v>
      </c>
      <c r="AA1489" s="4" t="s">
        <v>4430</v>
      </c>
      <c r="AB1489" s="3"/>
    </row>
    <row r="1490" spans="1:28" ht="59.5" customHeight="1">
      <c r="A1490" s="152" t="str">
        <f>'Reported burning'!A1490</f>
        <v>173b</v>
      </c>
      <c r="B1490" s="152" t="str">
        <f>'Reported burning'!B1490</f>
        <v>173b.1</v>
      </c>
      <c r="C1490" s="152" t="str">
        <f>'Reported burning'!C1490</f>
        <v>Human, deliberate</v>
      </c>
      <c r="D1490" s="152" t="str">
        <f>'Reported burning'!D1490</f>
        <v>All</v>
      </c>
      <c r="E1490" s="152" t="str">
        <f>'Reported burning'!E1490</f>
        <v>All</v>
      </c>
      <c r="F1490" s="152" t="str">
        <f>'Reported burning'!F1490</f>
        <v>Forest</v>
      </c>
      <c r="G1490" s="152" t="str">
        <f>'Reported burning'!G1490</f>
        <v>ND</v>
      </c>
      <c r="H1490" s="152" t="str">
        <f>'Reported burning'!H1490</f>
        <v>Absence</v>
      </c>
      <c r="I1490" s="3"/>
      <c r="J1490" s="21">
        <v>0</v>
      </c>
      <c r="K1490" s="21">
        <v>0</v>
      </c>
      <c r="L1490" s="21">
        <v>0</v>
      </c>
      <c r="M1490" s="21">
        <v>0</v>
      </c>
      <c r="N1490" s="21">
        <v>0</v>
      </c>
      <c r="O1490" s="21">
        <v>0</v>
      </c>
      <c r="P1490" s="21">
        <v>0</v>
      </c>
      <c r="Q1490" s="21">
        <v>0</v>
      </c>
      <c r="R1490" s="21">
        <v>0</v>
      </c>
      <c r="S1490" s="21">
        <v>0</v>
      </c>
      <c r="T1490" s="21">
        <v>0</v>
      </c>
      <c r="U1490" s="21">
        <v>0</v>
      </c>
      <c r="V1490" s="21">
        <v>0</v>
      </c>
      <c r="W1490" s="3" t="s">
        <v>2276</v>
      </c>
      <c r="X1490" s="3" t="s">
        <v>2276</v>
      </c>
      <c r="Y1490" s="3" t="s">
        <v>2276</v>
      </c>
      <c r="Z1490" s="3" t="s">
        <v>2276</v>
      </c>
      <c r="AA1490" s="4" t="s">
        <v>4431</v>
      </c>
      <c r="AB1490" s="3"/>
    </row>
    <row r="1491" spans="1:28" ht="59.5" customHeight="1">
      <c r="A1491" s="152" t="str">
        <f>'Reported burning'!A1491</f>
        <v>173b</v>
      </c>
      <c r="B1491" s="152" t="str">
        <f>'Reported burning'!B1491</f>
        <v>173b.2</v>
      </c>
      <c r="C1491" s="152" t="str">
        <f>'Reported burning'!C1491</f>
        <v>Human, deliberate</v>
      </c>
      <c r="D1491" s="152" t="str">
        <f>'Reported burning'!D1491</f>
        <v>Pyrome management</v>
      </c>
      <c r="E1491" s="152" t="str">
        <f>'Reported burning'!E1491</f>
        <v>Biodiversity conservation</v>
      </c>
      <c r="F1491" s="152" t="str">
        <f>'Reported burning'!F1491</f>
        <v>Forest</v>
      </c>
      <c r="G1491" s="152" t="str">
        <f>'Reported burning'!G1491</f>
        <v>ND</v>
      </c>
      <c r="H1491" s="152" t="str">
        <f>'Reported burning'!H1491</f>
        <v>Absence</v>
      </c>
      <c r="I1491" s="3"/>
      <c r="J1491" s="21">
        <v>0</v>
      </c>
      <c r="K1491" s="21">
        <v>0</v>
      </c>
      <c r="L1491" s="21">
        <v>0</v>
      </c>
      <c r="M1491" s="21">
        <v>0</v>
      </c>
      <c r="N1491" s="21">
        <v>0</v>
      </c>
      <c r="O1491" s="21">
        <v>0</v>
      </c>
      <c r="P1491" s="21">
        <v>0</v>
      </c>
      <c r="Q1491" s="21">
        <v>0</v>
      </c>
      <c r="R1491" s="21">
        <v>0</v>
      </c>
      <c r="S1491" s="21">
        <v>0</v>
      </c>
      <c r="T1491" s="21">
        <v>0</v>
      </c>
      <c r="U1491" s="21">
        <v>0</v>
      </c>
      <c r="V1491" s="21">
        <v>0</v>
      </c>
      <c r="W1491" s="3" t="s">
        <v>2276</v>
      </c>
      <c r="X1491" s="3" t="s">
        <v>2276</v>
      </c>
      <c r="Y1491" s="3" t="s">
        <v>2276</v>
      </c>
      <c r="Z1491" s="3" t="s">
        <v>2276</v>
      </c>
      <c r="AA1491" s="19" t="s">
        <v>4434</v>
      </c>
      <c r="AB1491" s="3"/>
    </row>
    <row r="1492" spans="1:28" ht="42" customHeight="1">
      <c r="A1492" s="152" t="str">
        <f>'Reported burning'!A1492</f>
        <v>174a</v>
      </c>
      <c r="B1492" s="152" t="str">
        <f>'Reported burning'!B1492</f>
        <v>174a.1</v>
      </c>
      <c r="C1492" s="152" t="str">
        <f>'Reported burning'!C1492</f>
        <v>Human, deliberate</v>
      </c>
      <c r="D1492" s="152" t="str">
        <f>'Reported burning'!D1492</f>
        <v>Pasture renewal</v>
      </c>
      <c r="E1492" s="152" t="str">
        <f>'Reported burning'!E1492</f>
        <v>Cattle, Extensive</v>
      </c>
      <c r="F1492" s="152" t="str">
        <f>'Reported burning'!F1492</f>
        <v>Forest</v>
      </c>
      <c r="G1492" s="152" t="str">
        <f>'Reported burning'!G1492</f>
        <v>ND</v>
      </c>
      <c r="H1492" s="152" t="str">
        <f>'Reported burning'!H1492</f>
        <v>Absence</v>
      </c>
      <c r="I1492" s="3"/>
      <c r="J1492" s="21">
        <v>0</v>
      </c>
      <c r="K1492" s="21">
        <v>0</v>
      </c>
      <c r="L1492" s="21">
        <v>0</v>
      </c>
      <c r="M1492" s="21">
        <v>0</v>
      </c>
      <c r="N1492" s="21">
        <v>0</v>
      </c>
      <c r="O1492" s="21">
        <v>0</v>
      </c>
      <c r="P1492" s="21">
        <v>0</v>
      </c>
      <c r="Q1492" s="21">
        <v>0</v>
      </c>
      <c r="R1492" s="21">
        <v>0</v>
      </c>
      <c r="S1492" s="21">
        <v>0</v>
      </c>
      <c r="T1492" s="21">
        <v>0</v>
      </c>
      <c r="U1492" s="21">
        <v>0</v>
      </c>
      <c r="V1492" s="21">
        <v>0</v>
      </c>
      <c r="W1492" s="3" t="s">
        <v>2276</v>
      </c>
      <c r="X1492" s="3" t="s">
        <v>2276</v>
      </c>
      <c r="Y1492" s="3" t="s">
        <v>2276</v>
      </c>
      <c r="Z1492" s="3" t="s">
        <v>2276</v>
      </c>
      <c r="AA1492" s="4" t="s">
        <v>4445</v>
      </c>
      <c r="AB1492" s="3"/>
    </row>
    <row r="1493" spans="1:28" ht="42" customHeight="1">
      <c r="A1493" s="152" t="str">
        <f>'Reported burning'!A1493</f>
        <v>174b</v>
      </c>
      <c r="B1493" s="152" t="str">
        <f>'Reported burning'!B1493</f>
        <v>174b.1</v>
      </c>
      <c r="C1493" s="152" t="str">
        <f>'Reported burning'!C1493</f>
        <v>Human, deliberate</v>
      </c>
      <c r="D1493" s="152" t="str">
        <f>'Reported burning'!D1493</f>
        <v>Pasture renewal</v>
      </c>
      <c r="E1493" s="152" t="str">
        <f>'Reported burning'!E1493</f>
        <v>Pastoralism, Migratory</v>
      </c>
      <c r="F1493" s="152" t="str">
        <f>'Reported burning'!F1493</f>
        <v>Forest</v>
      </c>
      <c r="G1493" s="152" t="str">
        <f>'Reported burning'!G1493</f>
        <v>ND</v>
      </c>
      <c r="H1493" s="152" t="str">
        <f>'Reported burning'!H1493</f>
        <v>Absence</v>
      </c>
      <c r="I1493" s="3"/>
      <c r="J1493" s="21">
        <v>0</v>
      </c>
      <c r="K1493" s="21">
        <v>0</v>
      </c>
      <c r="L1493" s="21">
        <v>0</v>
      </c>
      <c r="M1493" s="21">
        <v>0</v>
      </c>
      <c r="N1493" s="21">
        <v>0</v>
      </c>
      <c r="O1493" s="21">
        <v>0</v>
      </c>
      <c r="P1493" s="21">
        <v>0</v>
      </c>
      <c r="Q1493" s="21">
        <v>0</v>
      </c>
      <c r="R1493" s="21">
        <v>0</v>
      </c>
      <c r="S1493" s="21">
        <v>0</v>
      </c>
      <c r="T1493" s="21">
        <v>0</v>
      </c>
      <c r="U1493" s="21">
        <v>0</v>
      </c>
      <c r="V1493" s="21">
        <v>0</v>
      </c>
      <c r="W1493" s="3" t="s">
        <v>2276</v>
      </c>
      <c r="X1493" s="3" t="s">
        <v>2276</v>
      </c>
      <c r="Y1493" s="3" t="s">
        <v>2276</v>
      </c>
      <c r="Z1493" s="3" t="s">
        <v>2276</v>
      </c>
      <c r="AA1493" s="4" t="s">
        <v>4445</v>
      </c>
      <c r="AB1493" s="3"/>
    </row>
    <row r="1494" spans="1:28" ht="42" customHeight="1">
      <c r="A1494" s="152" t="str">
        <f>'Reported burning'!A1494</f>
        <v>174a</v>
      </c>
      <c r="B1494" s="152" t="str">
        <f>'Reported burning'!B1494</f>
        <v>174a.2</v>
      </c>
      <c r="C1494" s="152" t="str">
        <f>'Reported burning'!C1494</f>
        <v>Human, deliberate</v>
      </c>
      <c r="D1494" s="152" t="str">
        <f>'Reported burning'!D1494</f>
        <v>Pasture renewal</v>
      </c>
      <c r="E1494" s="152" t="str">
        <f>'Reported burning'!E1494</f>
        <v>Cattle, Extensive</v>
      </c>
      <c r="F1494" s="152" t="str">
        <f>'Reported burning'!F1494</f>
        <v>Shrubland (Mixed forest &amp; grassland)</v>
      </c>
      <c r="G1494" s="152" t="str">
        <f>'Reported burning'!G1494</f>
        <v>ND</v>
      </c>
      <c r="H1494" s="152" t="str">
        <f>'Reported burning'!H1494</f>
        <v>Absence</v>
      </c>
      <c r="I1494" s="3"/>
      <c r="J1494" s="21">
        <v>0</v>
      </c>
      <c r="K1494" s="21">
        <v>0</v>
      </c>
      <c r="L1494" s="21">
        <v>0</v>
      </c>
      <c r="M1494" s="21">
        <v>0</v>
      </c>
      <c r="N1494" s="21">
        <v>0</v>
      </c>
      <c r="O1494" s="21">
        <v>0</v>
      </c>
      <c r="P1494" s="21">
        <v>0</v>
      </c>
      <c r="Q1494" s="21">
        <v>0</v>
      </c>
      <c r="R1494" s="21">
        <v>0</v>
      </c>
      <c r="S1494" s="21">
        <v>0</v>
      </c>
      <c r="T1494" s="21">
        <v>0</v>
      </c>
      <c r="U1494" s="21">
        <v>0</v>
      </c>
      <c r="V1494" s="21">
        <v>0</v>
      </c>
      <c r="W1494" s="3" t="s">
        <v>2276</v>
      </c>
      <c r="X1494" s="3" t="s">
        <v>2276</v>
      </c>
      <c r="Y1494" s="3" t="s">
        <v>2276</v>
      </c>
      <c r="Z1494" s="3" t="s">
        <v>2276</v>
      </c>
      <c r="AA1494" s="4" t="s">
        <v>4445</v>
      </c>
      <c r="AB1494" s="3"/>
    </row>
    <row r="1495" spans="1:28" ht="42" customHeight="1">
      <c r="A1495" s="152" t="str">
        <f>'Reported burning'!A1495</f>
        <v>174b</v>
      </c>
      <c r="B1495" s="152" t="str">
        <f>'Reported burning'!B1495</f>
        <v>174b.2</v>
      </c>
      <c r="C1495" s="152" t="str">
        <f>'Reported burning'!C1495</f>
        <v>Human, deliberate</v>
      </c>
      <c r="D1495" s="152" t="str">
        <f>'Reported burning'!D1495</f>
        <v>Pasture renewal</v>
      </c>
      <c r="E1495" s="152" t="str">
        <f>'Reported burning'!E1495</f>
        <v>Pastoralism, Migratory</v>
      </c>
      <c r="F1495" s="152" t="str">
        <f>'Reported burning'!F1495</f>
        <v>Shrubland (Mixed forest &amp; grassland)</v>
      </c>
      <c r="G1495" s="152" t="str">
        <f>'Reported burning'!G1495</f>
        <v>ND</v>
      </c>
      <c r="H1495" s="152" t="str">
        <f>'Reported burning'!H1495</f>
        <v>Absence</v>
      </c>
      <c r="I1495" s="3"/>
      <c r="J1495" s="21">
        <v>0</v>
      </c>
      <c r="K1495" s="21">
        <v>0</v>
      </c>
      <c r="L1495" s="21">
        <v>0</v>
      </c>
      <c r="M1495" s="21">
        <v>0</v>
      </c>
      <c r="N1495" s="21">
        <v>0</v>
      </c>
      <c r="O1495" s="21">
        <v>0</v>
      </c>
      <c r="P1495" s="21">
        <v>0</v>
      </c>
      <c r="Q1495" s="21">
        <v>0</v>
      </c>
      <c r="R1495" s="21">
        <v>0</v>
      </c>
      <c r="S1495" s="21">
        <v>0</v>
      </c>
      <c r="T1495" s="21">
        <v>0</v>
      </c>
      <c r="U1495" s="21">
        <v>0</v>
      </c>
      <c r="V1495" s="21">
        <v>0</v>
      </c>
      <c r="W1495" s="3" t="s">
        <v>2276</v>
      </c>
      <c r="X1495" s="3" t="s">
        <v>2276</v>
      </c>
      <c r="Y1495" s="3" t="s">
        <v>2276</v>
      </c>
      <c r="Z1495" s="3" t="s">
        <v>2276</v>
      </c>
      <c r="AA1495" s="4" t="s">
        <v>4445</v>
      </c>
      <c r="AB1495" s="3"/>
    </row>
    <row r="1496" spans="1:28" ht="56.5" customHeight="1">
      <c r="A1496" s="152" t="str">
        <f>'Reported burning'!A1496</f>
        <v>174a</v>
      </c>
      <c r="B1496" s="152" t="str">
        <f>'Reported burning'!B1496</f>
        <v>174a.3</v>
      </c>
      <c r="C1496" s="152" t="str">
        <f>'Reported burning'!C1496</f>
        <v>All</v>
      </c>
      <c r="D1496" s="152" t="str">
        <f>'Reported burning'!D1496</f>
        <v>All</v>
      </c>
      <c r="E1496" s="152" t="str">
        <f>'Reported burning'!E1496</f>
        <v>All</v>
      </c>
      <c r="F1496" s="152" t="str">
        <f>'Reported burning'!F1496</f>
        <v>ND</v>
      </c>
      <c r="G1496" s="152" t="str">
        <f>'Reported burning'!G1496</f>
        <v>Shrubland (Mixed forest &amp; grassland)</v>
      </c>
      <c r="H1496" s="152" t="str">
        <f>'Reported burning'!H1496</f>
        <v>Absence</v>
      </c>
      <c r="I1496" s="3"/>
      <c r="J1496" s="21">
        <v>0</v>
      </c>
      <c r="K1496" s="21">
        <v>0</v>
      </c>
      <c r="L1496" s="21">
        <v>0</v>
      </c>
      <c r="M1496" s="21">
        <v>0</v>
      </c>
      <c r="N1496" s="21">
        <v>0</v>
      </c>
      <c r="O1496" s="21">
        <v>0</v>
      </c>
      <c r="P1496" s="21">
        <v>0</v>
      </c>
      <c r="Q1496" s="21">
        <v>0</v>
      </c>
      <c r="R1496" s="21">
        <v>0</v>
      </c>
      <c r="S1496" s="21">
        <v>0</v>
      </c>
      <c r="T1496" s="21">
        <v>0</v>
      </c>
      <c r="U1496" s="21">
        <v>0</v>
      </c>
      <c r="V1496" s="21">
        <v>0</v>
      </c>
      <c r="W1496" s="3" t="s">
        <v>2276</v>
      </c>
      <c r="X1496" s="3" t="s">
        <v>2276</v>
      </c>
      <c r="Y1496" s="3" t="s">
        <v>2276</v>
      </c>
      <c r="Z1496" s="3" t="s">
        <v>2276</v>
      </c>
      <c r="AA1496" s="4" t="s">
        <v>4446</v>
      </c>
      <c r="AB1496" s="3"/>
    </row>
    <row r="1497" spans="1:28" ht="59.5" customHeight="1">
      <c r="A1497" s="152" t="str">
        <f>'Reported burning'!A1497</f>
        <v>174b</v>
      </c>
      <c r="B1497" s="152" t="str">
        <f>'Reported burning'!B1497</f>
        <v>174b.3</v>
      </c>
      <c r="C1497" s="152" t="str">
        <f>'Reported burning'!C1497</f>
        <v>All</v>
      </c>
      <c r="D1497" s="152" t="str">
        <f>'Reported burning'!D1497</f>
        <v>All</v>
      </c>
      <c r="E1497" s="152" t="str">
        <f>'Reported burning'!E1497</f>
        <v>All</v>
      </c>
      <c r="F1497" s="152" t="str">
        <f>'Reported burning'!F1497</f>
        <v>ND</v>
      </c>
      <c r="G1497" s="152" t="str">
        <f>'Reported burning'!G1497</f>
        <v>Shrubland (Mixed forest &amp; grassland)</v>
      </c>
      <c r="H1497" s="152" t="str">
        <f>'Reported burning'!H1497</f>
        <v>Absence</v>
      </c>
      <c r="I1497" s="3"/>
      <c r="J1497" s="21">
        <v>0</v>
      </c>
      <c r="K1497" s="21">
        <v>0</v>
      </c>
      <c r="L1497" s="21">
        <v>0</v>
      </c>
      <c r="M1497" s="21">
        <v>0</v>
      </c>
      <c r="N1497" s="21">
        <v>0</v>
      </c>
      <c r="O1497" s="21">
        <v>0</v>
      </c>
      <c r="P1497" s="21">
        <v>0</v>
      </c>
      <c r="Q1497" s="21">
        <v>0</v>
      </c>
      <c r="R1497" s="21">
        <v>0</v>
      </c>
      <c r="S1497" s="21">
        <v>0</v>
      </c>
      <c r="T1497" s="21">
        <v>0</v>
      </c>
      <c r="U1497" s="21">
        <v>0</v>
      </c>
      <c r="V1497" s="21">
        <v>0</v>
      </c>
      <c r="W1497" s="3" t="s">
        <v>2276</v>
      </c>
      <c r="X1497" s="3" t="s">
        <v>2276</v>
      </c>
      <c r="Y1497" s="3" t="s">
        <v>2276</v>
      </c>
      <c r="Z1497" s="3" t="s">
        <v>2276</v>
      </c>
      <c r="AA1497" s="4" t="s">
        <v>4446</v>
      </c>
      <c r="AB1497" s="3"/>
    </row>
    <row r="1498" spans="1:28" ht="42" customHeight="1">
      <c r="A1498" s="152" t="str">
        <f>'Reported burning'!A1498</f>
        <v>175a</v>
      </c>
      <c r="B1498" s="152" t="str">
        <f>'Reported burning'!B1498</f>
        <v>175a.1</v>
      </c>
      <c r="C1498" s="152" t="str">
        <f>'Reported burning'!C1498</f>
        <v>Human, deliberate</v>
      </c>
      <c r="D1498" s="152" t="str">
        <f>'Reported burning'!D1498</f>
        <v>Crop field preparation</v>
      </c>
      <c r="E1498" s="152" t="str">
        <f>'Reported burning'!E1498</f>
        <v>Cropping, Swidden</v>
      </c>
      <c r="F1498" s="152" t="str">
        <f>'Reported burning'!F1498</f>
        <v>Secondary Vegetation</v>
      </c>
      <c r="G1498" s="152" t="str">
        <f>'Reported burning'!G1498</f>
        <v>ND</v>
      </c>
      <c r="H1498" s="152" t="str">
        <f>'Reported burning'!H1498</f>
        <v>Presence</v>
      </c>
      <c r="I1498" s="3"/>
      <c r="J1498" s="3" t="s">
        <v>2276</v>
      </c>
      <c r="K1498" s="3" t="s">
        <v>2276</v>
      </c>
      <c r="L1498" s="3" t="s">
        <v>2276</v>
      </c>
      <c r="M1498" s="3" t="s">
        <v>2276</v>
      </c>
      <c r="N1498" s="3" t="s">
        <v>2276</v>
      </c>
      <c r="O1498" s="3" t="s">
        <v>2276</v>
      </c>
      <c r="P1498" s="3" t="s">
        <v>2276</v>
      </c>
      <c r="Q1498" s="3" t="s">
        <v>2276</v>
      </c>
      <c r="R1498" s="3" t="s">
        <v>2276</v>
      </c>
      <c r="S1498" s="3" t="s">
        <v>2276</v>
      </c>
      <c r="T1498" s="3" t="s">
        <v>2276</v>
      </c>
      <c r="U1498" s="3" t="s">
        <v>2276</v>
      </c>
      <c r="V1498" s="3" t="s">
        <v>2276</v>
      </c>
      <c r="W1498" t="s">
        <v>2846</v>
      </c>
      <c r="X1498" s="3" t="s">
        <v>2276</v>
      </c>
      <c r="Y1498" s="3" t="s">
        <v>2276</v>
      </c>
      <c r="Z1498" s="3" t="s">
        <v>2276</v>
      </c>
      <c r="AA1498" s="3"/>
      <c r="AB1498" s="4" t="s">
        <v>4459</v>
      </c>
    </row>
    <row r="1499" spans="1:28" ht="42" customHeight="1">
      <c r="A1499" s="152" t="str">
        <f>'Reported burning'!A1499</f>
        <v>175a</v>
      </c>
      <c r="B1499" s="152" t="str">
        <f>'Reported burning'!B1499</f>
        <v>175a.2</v>
      </c>
      <c r="C1499" s="152" t="str">
        <f>'Reported burning'!C1499</f>
        <v>Human, deliberate</v>
      </c>
      <c r="D1499" s="152" t="str">
        <f>'Reported burning'!D1499</f>
        <v>Vegetation management</v>
      </c>
      <c r="E1499" s="152" t="str">
        <f>'Reported burning'!E1499</f>
        <v>Cropping, Swidden</v>
      </c>
      <c r="F1499" s="152" t="str">
        <f>'Reported burning'!F1499</f>
        <v>Cropland</v>
      </c>
      <c r="G1499" s="152" t="str">
        <f>'Reported burning'!G1499</f>
        <v>ND</v>
      </c>
      <c r="H1499" s="152" t="str">
        <f>'Reported burning'!H1499</f>
        <v>Presence</v>
      </c>
      <c r="I1499" s="3"/>
      <c r="J1499" s="3" t="s">
        <v>2276</v>
      </c>
      <c r="K1499" s="3" t="s">
        <v>2276</v>
      </c>
      <c r="L1499" s="3" t="s">
        <v>2276</v>
      </c>
      <c r="M1499" s="3" t="s">
        <v>2276</v>
      </c>
      <c r="N1499" s="3" t="s">
        <v>2276</v>
      </c>
      <c r="O1499" s="3" t="s">
        <v>2276</v>
      </c>
      <c r="P1499" s="3" t="s">
        <v>2276</v>
      </c>
      <c r="Q1499" s="3" t="s">
        <v>2276</v>
      </c>
      <c r="R1499" s="3" t="s">
        <v>2276</v>
      </c>
      <c r="S1499" s="3" t="s">
        <v>2276</v>
      </c>
      <c r="T1499" s="3" t="s">
        <v>2276</v>
      </c>
      <c r="U1499" s="3" t="s">
        <v>2276</v>
      </c>
      <c r="V1499" s="3" t="s">
        <v>2276</v>
      </c>
      <c r="W1499" s="3" t="s">
        <v>2276</v>
      </c>
      <c r="X1499" s="3" t="s">
        <v>2276</v>
      </c>
      <c r="Y1499" s="3" t="s">
        <v>2276</v>
      </c>
      <c r="Z1499" s="3" t="s">
        <v>2276</v>
      </c>
      <c r="AA1499" s="3"/>
      <c r="AB1499" s="3"/>
    </row>
    <row r="1500" spans="1:28" ht="41" customHeight="1">
      <c r="A1500" s="156" t="str">
        <f>'Reported burning'!A1500</f>
        <v>175b</v>
      </c>
      <c r="B1500" s="156" t="str">
        <f>'Reported burning'!B1500</f>
        <v>175b.1</v>
      </c>
      <c r="C1500" s="156" t="str">
        <f>'Reported burning'!C1500</f>
        <v>Human, deliberate</v>
      </c>
      <c r="D1500" s="156" t="str">
        <f>'Reported burning'!D1500</f>
        <v>Crop field preparation</v>
      </c>
      <c r="E1500" s="156" t="str">
        <f>'Reported burning'!E1500</f>
        <v>Cropping, Swidden</v>
      </c>
      <c r="F1500" s="156" t="str">
        <f>'Reported burning'!F1500</f>
        <v>Secondary Vegetation</v>
      </c>
      <c r="G1500" s="156" t="str">
        <f>'Reported burning'!G1500</f>
        <v>ND</v>
      </c>
      <c r="H1500" s="156" t="str">
        <f>'Reported burning'!H1500</f>
        <v>Presence</v>
      </c>
      <c r="I1500" s="5"/>
      <c r="J1500" s="3" t="s">
        <v>2276</v>
      </c>
      <c r="K1500" s="3" t="s">
        <v>2276</v>
      </c>
      <c r="L1500" s="3" t="s">
        <v>2276</v>
      </c>
      <c r="M1500" s="3" t="s">
        <v>2276</v>
      </c>
      <c r="N1500" s="3" t="s">
        <v>2276</v>
      </c>
      <c r="O1500" s="3" t="s">
        <v>2276</v>
      </c>
      <c r="P1500" s="3" t="s">
        <v>2276</v>
      </c>
      <c r="Q1500" s="3" t="s">
        <v>2276</v>
      </c>
      <c r="R1500" s="3" t="s">
        <v>2276</v>
      </c>
      <c r="S1500" s="3" t="s">
        <v>2276</v>
      </c>
      <c r="T1500" s="3" t="s">
        <v>2276</v>
      </c>
      <c r="U1500" s="3" t="s">
        <v>2276</v>
      </c>
      <c r="V1500" s="3" t="s">
        <v>2276</v>
      </c>
      <c r="W1500" s="3" t="s">
        <v>2403</v>
      </c>
      <c r="X1500" s="3" t="s">
        <v>2276</v>
      </c>
      <c r="Y1500" s="3" t="s">
        <v>2276</v>
      </c>
      <c r="Z1500" s="3" t="s">
        <v>2276</v>
      </c>
      <c r="AA1500" s="4"/>
      <c r="AB1500" s="4" t="s">
        <v>4462</v>
      </c>
    </row>
    <row r="1501" spans="1:28" ht="41" customHeight="1">
      <c r="A1501" s="152" t="str">
        <f>'Reported burning'!A1501</f>
        <v>175b</v>
      </c>
      <c r="B1501" s="152" t="str">
        <f>'Reported burning'!B1501</f>
        <v>175b.2</v>
      </c>
      <c r="C1501" s="152" t="str">
        <f>'Reported burning'!C1501</f>
        <v>Human, deliberate</v>
      </c>
      <c r="D1501" s="152" t="str">
        <f>'Reported burning'!D1501</f>
        <v>Crop residue burning</v>
      </c>
      <c r="E1501" s="152" t="str">
        <f>'Reported burning'!E1501</f>
        <v>Cropping, Swidden</v>
      </c>
      <c r="F1501" s="152" t="str">
        <f>'Reported burning'!F1501</f>
        <v>Cropland</v>
      </c>
      <c r="G1501" s="152" t="str">
        <f>'Reported burning'!G1501</f>
        <v>ND</v>
      </c>
      <c r="H1501" s="152" t="str">
        <f>'Reported burning'!H1501</f>
        <v>Presence</v>
      </c>
      <c r="I1501" s="3"/>
      <c r="J1501" s="3" t="s">
        <v>2276</v>
      </c>
      <c r="K1501" s="3" t="s">
        <v>2276</v>
      </c>
      <c r="L1501" s="3" t="s">
        <v>2276</v>
      </c>
      <c r="M1501" s="3" t="s">
        <v>2276</v>
      </c>
      <c r="N1501" s="3" t="s">
        <v>2276</v>
      </c>
      <c r="O1501" s="3" t="s">
        <v>2276</v>
      </c>
      <c r="P1501" s="3" t="s">
        <v>2276</v>
      </c>
      <c r="Q1501" s="3" t="s">
        <v>2276</v>
      </c>
      <c r="R1501" s="3" t="s">
        <v>2276</v>
      </c>
      <c r="S1501" s="3" t="s">
        <v>2276</v>
      </c>
      <c r="T1501" s="3" t="s">
        <v>2276</v>
      </c>
      <c r="U1501" s="3" t="s">
        <v>2276</v>
      </c>
      <c r="V1501" s="3" t="s">
        <v>2276</v>
      </c>
      <c r="W1501" s="3" t="s">
        <v>2276</v>
      </c>
      <c r="X1501" s="3" t="s">
        <v>2276</v>
      </c>
      <c r="Y1501" s="3" t="s">
        <v>2276</v>
      </c>
      <c r="Z1501" s="3" t="s">
        <v>2276</v>
      </c>
      <c r="AA1501" s="4"/>
      <c r="AB1501" s="3"/>
    </row>
    <row r="1502" spans="1:28" ht="44.5" customHeight="1">
      <c r="A1502" s="152" t="str">
        <f>'Reported burning'!A1502</f>
        <v>175b</v>
      </c>
      <c r="B1502" s="152" t="str">
        <f>'Reported burning'!B1502</f>
        <v>175b.3</v>
      </c>
      <c r="C1502" s="152" t="str">
        <f>'Reported burning'!C1502</f>
        <v>Human, deliberate</v>
      </c>
      <c r="D1502" s="152" t="str">
        <f>'Reported burning'!D1502</f>
        <v>Vegetation management</v>
      </c>
      <c r="E1502" s="152" t="str">
        <f>'Reported burning'!E1502</f>
        <v>Cropping, Swidden</v>
      </c>
      <c r="F1502" s="152" t="str">
        <f>'Reported burning'!F1502</f>
        <v>Cropland</v>
      </c>
      <c r="G1502" s="152" t="str">
        <f>'Reported burning'!G1502</f>
        <v>ND</v>
      </c>
      <c r="H1502" s="152" t="str">
        <f>'Reported burning'!H1502</f>
        <v>Absence</v>
      </c>
      <c r="I1502" s="3"/>
      <c r="J1502" s="21">
        <v>0</v>
      </c>
      <c r="K1502" s="21">
        <v>0</v>
      </c>
      <c r="L1502" s="21">
        <v>0</v>
      </c>
      <c r="M1502" s="21">
        <v>0</v>
      </c>
      <c r="N1502" s="21">
        <v>0</v>
      </c>
      <c r="O1502" s="21">
        <v>0</v>
      </c>
      <c r="P1502" s="21">
        <v>0</v>
      </c>
      <c r="Q1502" s="21">
        <v>0</v>
      </c>
      <c r="R1502" s="21">
        <v>0</v>
      </c>
      <c r="S1502" s="21">
        <v>0</v>
      </c>
      <c r="T1502" s="21">
        <v>0</v>
      </c>
      <c r="U1502" s="21">
        <v>0</v>
      </c>
      <c r="V1502" s="21">
        <v>0</v>
      </c>
      <c r="W1502" s="3" t="s">
        <v>2276</v>
      </c>
      <c r="X1502" s="3" t="s">
        <v>2276</v>
      </c>
      <c r="Y1502" s="3" t="s">
        <v>2276</v>
      </c>
      <c r="Z1502" s="3" t="s">
        <v>2276</v>
      </c>
      <c r="AA1502" s="3"/>
      <c r="AB1502" s="3"/>
    </row>
    <row r="1503" spans="1:28" ht="44.5" customHeight="1">
      <c r="A1503" s="152" t="str">
        <f>'Reported burning'!A1503</f>
        <v>175c</v>
      </c>
      <c r="B1503" s="152" t="str">
        <f>'Reported burning'!B1503</f>
        <v>175c.1</v>
      </c>
      <c r="C1503" s="152" t="str">
        <f>'Reported burning'!C1503</f>
        <v>Human, deliberate</v>
      </c>
      <c r="D1503" s="152" t="str">
        <f>'Reported burning'!D1503</f>
        <v>Crop field preparation</v>
      </c>
      <c r="E1503" s="152" t="str">
        <f>'Reported burning'!E1503</f>
        <v>Cropping, Swidden</v>
      </c>
      <c r="F1503" s="152" t="str">
        <f>'Reported burning'!F1503</f>
        <v>Secondary Vegetation</v>
      </c>
      <c r="G1503" s="152" t="str">
        <f>'Reported burning'!G1503</f>
        <v>ND</v>
      </c>
      <c r="H1503" s="152" t="str">
        <f>'Reported burning'!H1503</f>
        <v>Presence</v>
      </c>
      <c r="I1503" s="3"/>
      <c r="J1503" s="3" t="s">
        <v>2276</v>
      </c>
      <c r="K1503" s="3" t="s">
        <v>2276</v>
      </c>
      <c r="L1503" s="3" t="s">
        <v>2276</v>
      </c>
      <c r="M1503" s="3" t="s">
        <v>2276</v>
      </c>
      <c r="N1503" s="3" t="s">
        <v>2276</v>
      </c>
      <c r="O1503" s="3" t="s">
        <v>2375</v>
      </c>
      <c r="P1503" s="3" t="s">
        <v>2276</v>
      </c>
      <c r="Q1503" s="3" t="s">
        <v>2362</v>
      </c>
      <c r="R1503" s="3" t="s">
        <v>2276</v>
      </c>
      <c r="S1503" s="3" t="s">
        <v>2276</v>
      </c>
      <c r="T1503" s="3" t="s">
        <v>2276</v>
      </c>
      <c r="U1503" s="3" t="s">
        <v>2276</v>
      </c>
      <c r="V1503" s="3" t="s">
        <v>2276</v>
      </c>
      <c r="W1503" s="3" t="s">
        <v>2276</v>
      </c>
      <c r="X1503" s="3" t="s">
        <v>2276</v>
      </c>
      <c r="Y1503" s="3" t="s">
        <v>2276</v>
      </c>
      <c r="Z1503" s="3" t="s">
        <v>2276</v>
      </c>
      <c r="AA1503" s="3"/>
      <c r="AB1503" s="3" t="s">
        <v>4469</v>
      </c>
    </row>
    <row r="1504" spans="1:28" ht="41" customHeight="1">
      <c r="A1504" s="152" t="str">
        <f>'Reported burning'!A1504</f>
        <v>176a</v>
      </c>
      <c r="B1504" s="152" t="str">
        <f>'Reported burning'!B1504</f>
        <v>176a.1</v>
      </c>
      <c r="C1504" s="152" t="str">
        <f>'Reported burning'!C1504</f>
        <v>Human, deliberate</v>
      </c>
      <c r="D1504" s="152" t="str">
        <f>'Reported burning'!D1504</f>
        <v>Rangeland management</v>
      </c>
      <c r="E1504" s="152" t="str">
        <f>'Reported burning'!E1504</f>
        <v>Pastoralism, Migratory</v>
      </c>
      <c r="F1504" s="152" t="str">
        <f>'Reported burning'!F1504</f>
        <v>Shrubland (Mixed forest &amp; grassland)</v>
      </c>
      <c r="G1504" s="152" t="str">
        <f>'Reported burning'!G1504</f>
        <v>ND</v>
      </c>
      <c r="H1504" s="152" t="str">
        <f>'Reported burning'!H1504</f>
        <v>Presence</v>
      </c>
      <c r="I1504" s="3"/>
      <c r="J1504" s="3" t="s">
        <v>2276</v>
      </c>
      <c r="K1504" s="3" t="s">
        <v>2276</v>
      </c>
      <c r="L1504" s="3" t="s">
        <v>2276</v>
      </c>
      <c r="M1504" s="3" t="s">
        <v>2276</v>
      </c>
      <c r="N1504" s="3" t="s">
        <v>2276</v>
      </c>
      <c r="O1504" s="3" t="s">
        <v>2276</v>
      </c>
      <c r="P1504" s="3" t="s">
        <v>2276</v>
      </c>
      <c r="Q1504" s="3" t="s">
        <v>2276</v>
      </c>
      <c r="R1504" s="3" t="s">
        <v>2276</v>
      </c>
      <c r="S1504" s="3" t="s">
        <v>2276</v>
      </c>
      <c r="T1504" s="3" t="s">
        <v>2276</v>
      </c>
      <c r="U1504" s="3" t="s">
        <v>2276</v>
      </c>
      <c r="V1504" s="3" t="s">
        <v>2276</v>
      </c>
      <c r="W1504" s="3" t="s">
        <v>2276</v>
      </c>
      <c r="X1504" s="3" t="s">
        <v>2276</v>
      </c>
      <c r="Y1504" s="3" t="s">
        <v>2276</v>
      </c>
      <c r="Z1504" s="3" t="s">
        <v>2276</v>
      </c>
      <c r="AA1504" s="3"/>
      <c r="AB1504" s="3"/>
    </row>
    <row r="1505" spans="1:28" ht="47.5" customHeight="1">
      <c r="A1505" s="152" t="str">
        <f>'Reported burning'!A1505</f>
        <v>176a</v>
      </c>
      <c r="B1505" s="152" t="str">
        <f>'Reported burning'!B1505</f>
        <v>176a.2</v>
      </c>
      <c r="C1505" s="152" t="str">
        <f>'Reported burning'!C1505</f>
        <v>Human, deliberate</v>
      </c>
      <c r="D1505" s="152" t="str">
        <f>'Reported burning'!D1505</f>
        <v>Land clearance</v>
      </c>
      <c r="E1505" s="152" t="str">
        <f>'Reported burning'!E1505</f>
        <v>Pastoralism, Migratory</v>
      </c>
      <c r="F1505" s="152" t="str">
        <f>'Reported burning'!F1505</f>
        <v>Shrubland (Mixed forest &amp; grassland)</v>
      </c>
      <c r="G1505" s="152" t="str">
        <f>'Reported burning'!G1505</f>
        <v>ND</v>
      </c>
      <c r="H1505" s="152" t="str">
        <f>'Reported burning'!H1505</f>
        <v>Presence</v>
      </c>
      <c r="I1505" s="3"/>
      <c r="J1505" s="3" t="s">
        <v>2276</v>
      </c>
      <c r="K1505" s="3" t="s">
        <v>2276</v>
      </c>
      <c r="L1505" s="3" t="s">
        <v>2276</v>
      </c>
      <c r="M1505" s="3" t="s">
        <v>2276</v>
      </c>
      <c r="N1505" s="3" t="s">
        <v>2276</v>
      </c>
      <c r="O1505" s="3" t="s">
        <v>2276</v>
      </c>
      <c r="P1505" s="3" t="s">
        <v>2276</v>
      </c>
      <c r="Q1505" s="3" t="s">
        <v>2276</v>
      </c>
      <c r="R1505" s="3" t="s">
        <v>2276</v>
      </c>
      <c r="S1505" s="3" t="s">
        <v>2276</v>
      </c>
      <c r="T1505" s="3" t="s">
        <v>2276</v>
      </c>
      <c r="U1505" s="3" t="s">
        <v>2276</v>
      </c>
      <c r="V1505" s="3" t="s">
        <v>2276</v>
      </c>
      <c r="W1505" s="3" t="s">
        <v>2276</v>
      </c>
      <c r="X1505" s="3" t="s">
        <v>2276</v>
      </c>
      <c r="Y1505" s="3" t="s">
        <v>2276</v>
      </c>
      <c r="Z1505" s="3" t="s">
        <v>2276</v>
      </c>
      <c r="AA1505" s="173" t="s">
        <v>4480</v>
      </c>
      <c r="AB1505" s="3"/>
    </row>
    <row r="1506" spans="1:28" ht="47.5" customHeight="1">
      <c r="A1506" s="152" t="str">
        <f>'Reported burning'!A1506</f>
        <v>176a</v>
      </c>
      <c r="B1506" s="152" t="str">
        <f>'Reported burning'!B1506</f>
        <v>176a.3</v>
      </c>
      <c r="C1506" s="152" t="str">
        <f>'Reported burning'!C1506</f>
        <v>Human, deliberate</v>
      </c>
      <c r="D1506" s="152" t="str">
        <f>'Reported burning'!D1506</f>
        <v>Accessibility</v>
      </c>
      <c r="E1506" s="152" t="str">
        <f>'Reported burning'!E1506</f>
        <v>Pastoralism, Migratory</v>
      </c>
      <c r="F1506" s="152" t="str">
        <f>'Reported burning'!F1506</f>
        <v>Shrubland (Mixed forest &amp; grassland)</v>
      </c>
      <c r="G1506" s="152" t="str">
        <f>'Reported burning'!G1506</f>
        <v>ND</v>
      </c>
      <c r="H1506" s="152" t="str">
        <f>'Reported burning'!H1506</f>
        <v>Presence</v>
      </c>
      <c r="I1506" s="3"/>
      <c r="J1506" s="3" t="s">
        <v>2276</v>
      </c>
      <c r="K1506" s="3" t="s">
        <v>2276</v>
      </c>
      <c r="L1506" s="3" t="s">
        <v>2276</v>
      </c>
      <c r="M1506" s="3" t="s">
        <v>2276</v>
      </c>
      <c r="N1506" s="3" t="s">
        <v>2276</v>
      </c>
      <c r="O1506" s="3" t="s">
        <v>2276</v>
      </c>
      <c r="P1506" s="3" t="s">
        <v>2276</v>
      </c>
      <c r="Q1506" s="3" t="s">
        <v>2276</v>
      </c>
      <c r="R1506" s="3" t="s">
        <v>2276</v>
      </c>
      <c r="S1506" s="3" t="s">
        <v>2276</v>
      </c>
      <c r="T1506" s="3" t="s">
        <v>2276</v>
      </c>
      <c r="U1506" s="3" t="s">
        <v>2276</v>
      </c>
      <c r="V1506" s="3" t="s">
        <v>2276</v>
      </c>
      <c r="W1506" s="3" t="s">
        <v>2276</v>
      </c>
      <c r="X1506" s="3" t="s">
        <v>2276</v>
      </c>
      <c r="Y1506" s="3" t="s">
        <v>2276</v>
      </c>
      <c r="Z1506" s="3" t="s">
        <v>2276</v>
      </c>
      <c r="AA1506" s="113" t="s">
        <v>4480</v>
      </c>
      <c r="AB1506" s="3"/>
    </row>
    <row r="1507" spans="1:28" ht="47.5" customHeight="1">
      <c r="A1507" s="152" t="str">
        <f>'Reported burning'!A1507</f>
        <v>176a</v>
      </c>
      <c r="B1507" s="152" t="str">
        <f>'Reported burning'!B1507</f>
        <v>176a.4</v>
      </c>
      <c r="C1507" s="152" t="str">
        <f>'Reported burning'!C1507</f>
        <v>Human, deliberate</v>
      </c>
      <c r="D1507" s="152" t="str">
        <f>'Reported burning'!D1507</f>
        <v>Land clearance</v>
      </c>
      <c r="E1507" s="152" t="str">
        <f>'Reported burning'!E1507</f>
        <v>Pastoralism, Migratory</v>
      </c>
      <c r="F1507" s="152" t="str">
        <f>'Reported burning'!F1507</f>
        <v>Forest</v>
      </c>
      <c r="G1507" s="152" t="str">
        <f>'Reported burning'!G1507</f>
        <v>ND</v>
      </c>
      <c r="H1507" s="152" t="str">
        <f>'Reported burning'!H1507</f>
        <v>Presence</v>
      </c>
      <c r="I1507" s="3"/>
      <c r="J1507" s="3" t="s">
        <v>2276</v>
      </c>
      <c r="K1507" s="3" t="s">
        <v>2276</v>
      </c>
      <c r="L1507" s="3" t="s">
        <v>2276</v>
      </c>
      <c r="M1507" s="3" t="s">
        <v>2276</v>
      </c>
      <c r="N1507" s="3" t="s">
        <v>2276</v>
      </c>
      <c r="O1507" s="3" t="s">
        <v>2276</v>
      </c>
      <c r="P1507" s="3" t="s">
        <v>2276</v>
      </c>
      <c r="Q1507" s="3" t="s">
        <v>2276</v>
      </c>
      <c r="R1507" s="3" t="s">
        <v>2276</v>
      </c>
      <c r="S1507" s="3" t="s">
        <v>2276</v>
      </c>
      <c r="T1507" s="3" t="s">
        <v>2276</v>
      </c>
      <c r="U1507" s="3" t="s">
        <v>2276</v>
      </c>
      <c r="V1507" s="3" t="s">
        <v>2276</v>
      </c>
      <c r="W1507" s="3" t="s">
        <v>2276</v>
      </c>
      <c r="X1507" s="3" t="s">
        <v>2276</v>
      </c>
      <c r="Y1507" s="3" t="s">
        <v>2276</v>
      </c>
      <c r="Z1507" s="3" t="s">
        <v>2276</v>
      </c>
      <c r="AA1507" s="113" t="s">
        <v>4480</v>
      </c>
      <c r="AB1507" s="3"/>
    </row>
    <row r="1508" spans="1:28" ht="47.5" customHeight="1">
      <c r="A1508" s="152" t="str">
        <f>'Reported burning'!A1508</f>
        <v>176a</v>
      </c>
      <c r="B1508" s="152" t="str">
        <f>'Reported burning'!B1508</f>
        <v>176a.5</v>
      </c>
      <c r="C1508" s="152" t="str">
        <f>'Reported burning'!C1508</f>
        <v>Human, deliberate</v>
      </c>
      <c r="D1508" s="152" t="str">
        <f>'Reported burning'!D1508</f>
        <v>Accessibility</v>
      </c>
      <c r="E1508" s="152" t="str">
        <f>'Reported burning'!E1508</f>
        <v>Pastoralism, Migratory</v>
      </c>
      <c r="F1508" s="152" t="str">
        <f>'Reported burning'!F1508</f>
        <v>Forest</v>
      </c>
      <c r="G1508" s="152" t="str">
        <f>'Reported burning'!G1508</f>
        <v>ND</v>
      </c>
      <c r="H1508" s="152" t="str">
        <f>'Reported burning'!H1508</f>
        <v>Presence</v>
      </c>
      <c r="I1508" s="3"/>
      <c r="J1508" s="3" t="s">
        <v>2276</v>
      </c>
      <c r="K1508" s="3" t="s">
        <v>2276</v>
      </c>
      <c r="L1508" s="3" t="s">
        <v>2276</v>
      </c>
      <c r="M1508" s="3" t="s">
        <v>2276</v>
      </c>
      <c r="N1508" s="3" t="s">
        <v>2276</v>
      </c>
      <c r="O1508" s="3" t="s">
        <v>2276</v>
      </c>
      <c r="P1508" s="3" t="s">
        <v>2276</v>
      </c>
      <c r="Q1508" s="3" t="s">
        <v>2276</v>
      </c>
      <c r="R1508" s="3" t="s">
        <v>2276</v>
      </c>
      <c r="S1508" s="3" t="s">
        <v>2276</v>
      </c>
      <c r="T1508" s="3" t="s">
        <v>2276</v>
      </c>
      <c r="U1508" s="3" t="s">
        <v>2276</v>
      </c>
      <c r="V1508" s="3" t="s">
        <v>2276</v>
      </c>
      <c r="W1508" s="3" t="s">
        <v>2276</v>
      </c>
      <c r="X1508" s="3" t="s">
        <v>2276</v>
      </c>
      <c r="Y1508" s="3" t="s">
        <v>2276</v>
      </c>
      <c r="Z1508" s="3" t="s">
        <v>2276</v>
      </c>
      <c r="AA1508" s="113" t="s">
        <v>4480</v>
      </c>
      <c r="AB1508" s="3"/>
    </row>
    <row r="1509" spans="1:28" ht="46.5" customHeight="1">
      <c r="A1509" s="152" t="str">
        <f>'Reported burning'!A1509</f>
        <v>176a</v>
      </c>
      <c r="B1509" s="152" t="str">
        <f>'Reported burning'!B1509</f>
        <v>176a.6</v>
      </c>
      <c r="C1509" s="152" t="str">
        <f>'Reported burning'!C1509</f>
        <v>Human, escaped</v>
      </c>
      <c r="D1509" s="152" t="str">
        <f>'Reported burning'!D1509</f>
        <v>All</v>
      </c>
      <c r="E1509" s="152" t="str">
        <f>'Reported burning'!E1509</f>
        <v>Pastoralism, Migratory</v>
      </c>
      <c r="F1509" s="152" t="str">
        <f>'Reported burning'!F1509</f>
        <v>ND</v>
      </c>
      <c r="G1509" s="152" t="str">
        <f>'Reported burning'!G1509</f>
        <v>Forest</v>
      </c>
      <c r="H1509" s="152" t="str">
        <f>'Reported burning'!H1509</f>
        <v>Presence</v>
      </c>
      <c r="I1509" s="3"/>
      <c r="J1509" s="3" t="s">
        <v>2366</v>
      </c>
      <c r="K1509" s="3" t="s">
        <v>2276</v>
      </c>
      <c r="L1509" s="3" t="s">
        <v>2276</v>
      </c>
      <c r="M1509" s="3" t="s">
        <v>2276</v>
      </c>
      <c r="N1509" s="3" t="s">
        <v>2276</v>
      </c>
      <c r="O1509" s="3" t="s">
        <v>2276</v>
      </c>
      <c r="P1509" s="3" t="s">
        <v>2276</v>
      </c>
      <c r="Q1509" s="3" t="s">
        <v>2276</v>
      </c>
      <c r="R1509" s="3" t="s">
        <v>2276</v>
      </c>
      <c r="S1509" s="3" t="s">
        <v>2276</v>
      </c>
      <c r="T1509" s="3" t="s">
        <v>2276</v>
      </c>
      <c r="U1509" s="3" t="s">
        <v>2276</v>
      </c>
      <c r="V1509" s="3" t="s">
        <v>2276</v>
      </c>
      <c r="W1509" s="3" t="s">
        <v>2276</v>
      </c>
      <c r="X1509" s="3" t="s">
        <v>2276</v>
      </c>
      <c r="Y1509" s="3" t="s">
        <v>2276</v>
      </c>
      <c r="Z1509" s="3" t="s">
        <v>2276</v>
      </c>
      <c r="AA1509" s="3"/>
      <c r="AB1509" s="4" t="s">
        <v>4483</v>
      </c>
    </row>
    <row r="1510" spans="1:28" ht="41" customHeight="1">
      <c r="A1510" s="152" t="str">
        <f>'Reported burning'!A1510</f>
        <v>176a</v>
      </c>
      <c r="B1510" s="152" t="str">
        <f>'Reported burning'!B1510</f>
        <v>176a.7</v>
      </c>
      <c r="C1510" s="152" t="str">
        <f>'Reported burning'!C1510</f>
        <v>Unknown</v>
      </c>
      <c r="D1510" s="152" t="str">
        <f>'Reported burning'!D1510</f>
        <v>ND</v>
      </c>
      <c r="E1510" s="152" t="str">
        <f>'Reported burning'!E1510</f>
        <v>ND</v>
      </c>
      <c r="F1510" s="152" t="str">
        <f>'Reported burning'!F1510</f>
        <v>ND</v>
      </c>
      <c r="G1510" s="152" t="str">
        <f>'Reported burning'!G1510</f>
        <v>Forest</v>
      </c>
      <c r="H1510" s="152" t="str">
        <f>'Reported burning'!H1510</f>
        <v>Presence</v>
      </c>
      <c r="I1510" s="3"/>
      <c r="J1510" s="3" t="s">
        <v>2276</v>
      </c>
      <c r="K1510" s="3" t="s">
        <v>2276</v>
      </c>
      <c r="L1510" s="3" t="s">
        <v>2276</v>
      </c>
      <c r="M1510" s="3" t="s">
        <v>2276</v>
      </c>
      <c r="N1510" s="3" t="s">
        <v>2276</v>
      </c>
      <c r="O1510" s="3" t="s">
        <v>2276</v>
      </c>
      <c r="P1510" s="3" t="s">
        <v>2276</v>
      </c>
      <c r="Q1510" s="3" t="s">
        <v>2276</v>
      </c>
      <c r="R1510" s="3" t="s">
        <v>2276</v>
      </c>
      <c r="S1510" s="3" t="s">
        <v>2276</v>
      </c>
      <c r="T1510" s="3" t="s">
        <v>2276</v>
      </c>
      <c r="U1510" s="3" t="s">
        <v>2276</v>
      </c>
      <c r="V1510" s="3" t="s">
        <v>2276</v>
      </c>
      <c r="W1510" s="3" t="s">
        <v>2276</v>
      </c>
      <c r="X1510" s="3" t="s">
        <v>38</v>
      </c>
      <c r="Y1510" s="3" t="s">
        <v>38</v>
      </c>
      <c r="Z1510" s="3" t="s">
        <v>2276</v>
      </c>
      <c r="AA1510" s="3"/>
      <c r="AB1510" s="3"/>
    </row>
    <row r="1511" spans="1:28" ht="57.5" customHeight="1">
      <c r="A1511" s="152" t="str">
        <f>'Reported burning'!A1511</f>
        <v>177a</v>
      </c>
      <c r="B1511" s="152" t="str">
        <f>'Reported burning'!B1511</f>
        <v>177a.1</v>
      </c>
      <c r="C1511" s="152" t="str">
        <f>'Reported burning'!C1511</f>
        <v>Human, deliberate</v>
      </c>
      <c r="D1511" s="152" t="str">
        <f>'Reported burning'!D1511</f>
        <v>Pest management</v>
      </c>
      <c r="E1511" s="152" t="str">
        <f>'Reported burning'!E1511</f>
        <v>Pastoralism, Migratory</v>
      </c>
      <c r="F1511" s="152" t="str">
        <f>'Reported burning'!F1511</f>
        <v>Forest</v>
      </c>
      <c r="G1511" s="152" t="str">
        <f>'Reported burning'!G1511</f>
        <v>Forest</v>
      </c>
      <c r="H1511" s="152" t="str">
        <f>'Reported burning'!H1511</f>
        <v>Presence</v>
      </c>
      <c r="I1511" s="3"/>
      <c r="J1511" s="3" t="s">
        <v>2276</v>
      </c>
      <c r="K1511" s="3" t="s">
        <v>2276</v>
      </c>
      <c r="L1511" s="3" t="s">
        <v>2276</v>
      </c>
      <c r="M1511" s="3" t="s">
        <v>2276</v>
      </c>
      <c r="N1511" s="3" t="s">
        <v>2276</v>
      </c>
      <c r="O1511" s="3" t="s">
        <v>2276</v>
      </c>
      <c r="P1511" s="3" t="s">
        <v>2276</v>
      </c>
      <c r="Q1511" s="3" t="s">
        <v>2276</v>
      </c>
      <c r="R1511" s="3" t="s">
        <v>2276</v>
      </c>
      <c r="S1511" s="3" t="s">
        <v>2276</v>
      </c>
      <c r="T1511" s="3" t="s">
        <v>2276</v>
      </c>
      <c r="U1511" s="3" t="s">
        <v>2276</v>
      </c>
      <c r="V1511" s="3" t="s">
        <v>2276</v>
      </c>
      <c r="W1511" s="3" t="s">
        <v>2276</v>
      </c>
      <c r="X1511" s="3" t="s">
        <v>2276</v>
      </c>
      <c r="Y1511" s="3" t="s">
        <v>2276</v>
      </c>
      <c r="Z1511" s="3" t="s">
        <v>2276</v>
      </c>
      <c r="AA1511" s="4" t="s">
        <v>4494</v>
      </c>
      <c r="AB1511" s="3"/>
    </row>
    <row r="1512" spans="1:28" ht="57.5" customHeight="1">
      <c r="A1512" s="152" t="str">
        <f>'Reported burning'!A1512</f>
        <v>177a</v>
      </c>
      <c r="B1512" s="152" t="str">
        <f>'Reported burning'!B1512</f>
        <v>177a.2</v>
      </c>
      <c r="C1512" s="152" t="str">
        <f>'Reported burning'!C1512</f>
        <v>Human, deliberate</v>
      </c>
      <c r="D1512" s="152" t="str">
        <f>'Reported burning'!D1512</f>
        <v>Forest clearance</v>
      </c>
      <c r="E1512" s="152" t="str">
        <f>'Reported burning'!E1512</f>
        <v>Pastoralism, Migratory</v>
      </c>
      <c r="F1512" s="152" t="str">
        <f>'Reported burning'!F1512</f>
        <v>Forest</v>
      </c>
      <c r="G1512" s="152" t="str">
        <f>'Reported burning'!G1512</f>
        <v>Forest</v>
      </c>
      <c r="H1512" s="152" t="str">
        <f>'Reported burning'!H1512</f>
        <v>Presence</v>
      </c>
      <c r="I1512" s="3"/>
      <c r="J1512" s="3" t="s">
        <v>2276</v>
      </c>
      <c r="K1512" s="3" t="s">
        <v>2276</v>
      </c>
      <c r="L1512" s="3" t="s">
        <v>2276</v>
      </c>
      <c r="M1512" s="3" t="s">
        <v>2276</v>
      </c>
      <c r="N1512" s="3" t="s">
        <v>2276</v>
      </c>
      <c r="O1512" s="3" t="s">
        <v>2276</v>
      </c>
      <c r="P1512" s="3" t="s">
        <v>2276</v>
      </c>
      <c r="Q1512" s="3" t="s">
        <v>2276</v>
      </c>
      <c r="R1512" s="3" t="s">
        <v>2276</v>
      </c>
      <c r="S1512" s="3" t="s">
        <v>2276</v>
      </c>
      <c r="T1512" s="3" t="s">
        <v>2276</v>
      </c>
      <c r="U1512" s="3" t="s">
        <v>2276</v>
      </c>
      <c r="V1512" s="3" t="s">
        <v>2276</v>
      </c>
      <c r="W1512" s="3" t="s">
        <v>2276</v>
      </c>
      <c r="X1512" s="3" t="s">
        <v>2276</v>
      </c>
      <c r="Y1512" s="3" t="s">
        <v>2276</v>
      </c>
      <c r="Z1512" s="3" t="s">
        <v>2276</v>
      </c>
      <c r="AA1512" s="4" t="s">
        <v>4494</v>
      </c>
      <c r="AB1512" s="3"/>
    </row>
    <row r="1513" spans="1:28" ht="57.5" customHeight="1">
      <c r="A1513" s="152" t="str">
        <f>'Reported burning'!A1513</f>
        <v>177b</v>
      </c>
      <c r="B1513" s="152" t="str">
        <f>'Reported burning'!B1513</f>
        <v>177b.1</v>
      </c>
      <c r="C1513" s="152" t="str">
        <f>'Reported burning'!C1513</f>
        <v>Human, deliberate</v>
      </c>
      <c r="D1513" s="152" t="str">
        <f>'Reported burning'!D1513</f>
        <v>Pest management</v>
      </c>
      <c r="E1513" s="152" t="str">
        <f>'Reported burning'!E1513</f>
        <v>Pastoralism, Migratory</v>
      </c>
      <c r="F1513" s="152" t="str">
        <f>'Reported burning'!F1513</f>
        <v>Shrubland (Mixed forest &amp; grassland)</v>
      </c>
      <c r="G1513" s="152" t="str">
        <f>'Reported burning'!G1513</f>
        <v>ND</v>
      </c>
      <c r="H1513" s="152" t="str">
        <f>'Reported burning'!H1513</f>
        <v>Presence</v>
      </c>
      <c r="I1513" s="3"/>
      <c r="J1513" s="3" t="s">
        <v>2276</v>
      </c>
      <c r="K1513" s="3" t="s">
        <v>2276</v>
      </c>
      <c r="L1513" s="3" t="s">
        <v>2276</v>
      </c>
      <c r="M1513" s="3" t="s">
        <v>2276</v>
      </c>
      <c r="N1513" s="3" t="s">
        <v>2276</v>
      </c>
      <c r="O1513" s="3" t="s">
        <v>2276</v>
      </c>
      <c r="P1513" s="3" t="s">
        <v>2276</v>
      </c>
      <c r="Q1513" s="3" t="s">
        <v>2276</v>
      </c>
      <c r="R1513" s="3" t="s">
        <v>2276</v>
      </c>
      <c r="S1513" s="3" t="s">
        <v>2276</v>
      </c>
      <c r="T1513" s="3" t="s">
        <v>2276</v>
      </c>
      <c r="U1513" s="3" t="s">
        <v>2276</v>
      </c>
      <c r="V1513" s="3" t="s">
        <v>2276</v>
      </c>
      <c r="W1513" s="3" t="s">
        <v>2276</v>
      </c>
      <c r="X1513" s="3" t="s">
        <v>2276</v>
      </c>
      <c r="Y1513" s="3" t="s">
        <v>2276</v>
      </c>
      <c r="Z1513" s="3" t="s">
        <v>2276</v>
      </c>
      <c r="AA1513" s="4" t="s">
        <v>4494</v>
      </c>
      <c r="AB1513" s="3"/>
    </row>
    <row r="1514" spans="1:28" ht="57.5" customHeight="1">
      <c r="A1514" s="152" t="str">
        <f>'Reported burning'!A1514</f>
        <v>177b</v>
      </c>
      <c r="B1514" s="152" t="str">
        <f>'Reported burning'!B1514</f>
        <v>177b.2</v>
      </c>
      <c r="C1514" s="152" t="str">
        <f>'Reported burning'!C1514</f>
        <v>Human, deliberate</v>
      </c>
      <c r="D1514" s="152" t="str">
        <f>'Reported burning'!D1514</f>
        <v>Pasture renewal</v>
      </c>
      <c r="E1514" s="152" t="str">
        <f>'Reported burning'!E1514</f>
        <v>Pastoralism, Migratory</v>
      </c>
      <c r="F1514" s="152" t="str">
        <f>'Reported burning'!F1514</f>
        <v>Grassland</v>
      </c>
      <c r="G1514" s="152" t="str">
        <f>'Reported burning'!G1514</f>
        <v>ND</v>
      </c>
      <c r="H1514" s="152" t="str">
        <f>'Reported burning'!H1514</f>
        <v>Presence</v>
      </c>
      <c r="I1514" s="3"/>
      <c r="J1514" s="3" t="s">
        <v>2276</v>
      </c>
      <c r="K1514" s="3" t="s">
        <v>2276</v>
      </c>
      <c r="L1514" s="3" t="s">
        <v>2276</v>
      </c>
      <c r="M1514" s="3" t="s">
        <v>2276</v>
      </c>
      <c r="N1514" s="3" t="s">
        <v>2276</v>
      </c>
      <c r="O1514" s="3" t="s">
        <v>2276</v>
      </c>
      <c r="P1514" s="3" t="s">
        <v>2276</v>
      </c>
      <c r="Q1514" s="3" t="s">
        <v>2276</v>
      </c>
      <c r="R1514" s="3" t="s">
        <v>2276</v>
      </c>
      <c r="S1514" s="3" t="s">
        <v>2276</v>
      </c>
      <c r="T1514" s="3" t="s">
        <v>2276</v>
      </c>
      <c r="U1514" s="3" t="s">
        <v>2276</v>
      </c>
      <c r="V1514" s="3" t="s">
        <v>2276</v>
      </c>
      <c r="W1514" s="3" t="s">
        <v>2276</v>
      </c>
      <c r="X1514" s="3" t="s">
        <v>2276</v>
      </c>
      <c r="Y1514" s="3" t="s">
        <v>2276</v>
      </c>
      <c r="Z1514" s="3" t="s">
        <v>2276</v>
      </c>
      <c r="AA1514" s="4" t="s">
        <v>4495</v>
      </c>
      <c r="AB1514" s="3"/>
    </row>
    <row r="1515" spans="1:28" ht="57.5" customHeight="1">
      <c r="A1515" s="152" t="str">
        <f>'Reported burning'!A1515</f>
        <v>177c</v>
      </c>
      <c r="B1515" s="152" t="str">
        <f>'Reported burning'!B1515</f>
        <v>177c.1</v>
      </c>
      <c r="C1515" s="152" t="str">
        <f>'Reported burning'!C1515</f>
        <v>Human, deliberate</v>
      </c>
      <c r="D1515" s="152" t="str">
        <f>'Reported burning'!D1515</f>
        <v>Domestic</v>
      </c>
      <c r="E1515" s="152" t="str">
        <f>'Reported burning'!E1515</f>
        <v>Pastoralism, Migratory</v>
      </c>
      <c r="F1515" s="152" t="str">
        <f>'Reported burning'!F1515</f>
        <v>ND</v>
      </c>
      <c r="G1515" s="152" t="str">
        <f>'Reported burning'!G1515</f>
        <v>ND</v>
      </c>
      <c r="H1515" s="152" t="str">
        <f>'Reported burning'!H1515</f>
        <v>Presence</v>
      </c>
      <c r="I1515" s="3"/>
      <c r="J1515" s="3" t="s">
        <v>2276</v>
      </c>
      <c r="K1515" s="3" t="s">
        <v>2276</v>
      </c>
      <c r="L1515" s="3" t="s">
        <v>2276</v>
      </c>
      <c r="M1515" s="3" t="s">
        <v>2276</v>
      </c>
      <c r="N1515" s="3" t="s">
        <v>2276</v>
      </c>
      <c r="O1515" s="3" t="s">
        <v>2276</v>
      </c>
      <c r="P1515" s="3" t="s">
        <v>2276</v>
      </c>
      <c r="Q1515" s="3" t="s">
        <v>2276</v>
      </c>
      <c r="R1515" s="3" t="s">
        <v>2276</v>
      </c>
      <c r="S1515" s="3" t="s">
        <v>2276</v>
      </c>
      <c r="T1515" s="3" t="s">
        <v>2276</v>
      </c>
      <c r="U1515" s="3" t="s">
        <v>2276</v>
      </c>
      <c r="V1515" s="3" t="s">
        <v>2276</v>
      </c>
      <c r="W1515" s="3" t="s">
        <v>2276</v>
      </c>
      <c r="X1515" s="3" t="s">
        <v>2276</v>
      </c>
      <c r="Y1515" s="3" t="s">
        <v>2276</v>
      </c>
      <c r="Z1515" s="3" t="s">
        <v>2276</v>
      </c>
      <c r="AA1515" s="4" t="s">
        <v>4498</v>
      </c>
      <c r="AB1515" s="3"/>
    </row>
    <row r="1516" spans="1:28" ht="57.5" customHeight="1">
      <c r="A1516" s="152" t="str">
        <f>'Reported burning'!A1516</f>
        <v>177d</v>
      </c>
      <c r="B1516" s="152" t="str">
        <f>'Reported burning'!B1516</f>
        <v>177d.1</v>
      </c>
      <c r="C1516" s="152" t="str">
        <f>'Reported burning'!C1516</f>
        <v>Human, deliberate</v>
      </c>
      <c r="D1516" s="152" t="str">
        <f>'Reported burning'!D1516</f>
        <v>Domestic</v>
      </c>
      <c r="E1516" s="152" t="str">
        <f>'Reported burning'!E1516</f>
        <v>Pastoralism, Migratory</v>
      </c>
      <c r="F1516" s="152" t="str">
        <f>'Reported burning'!F1516</f>
        <v>ND</v>
      </c>
      <c r="G1516" s="152" t="str">
        <f>'Reported burning'!G1516</f>
        <v>ND</v>
      </c>
      <c r="H1516" s="152" t="str">
        <f>'Reported burning'!H1516</f>
        <v>Presence</v>
      </c>
      <c r="I1516" s="3"/>
      <c r="J1516" s="3" t="s">
        <v>2276</v>
      </c>
      <c r="K1516" s="3" t="s">
        <v>2276</v>
      </c>
      <c r="L1516" s="3" t="s">
        <v>2276</v>
      </c>
      <c r="M1516" s="3" t="s">
        <v>2276</v>
      </c>
      <c r="N1516" s="3" t="s">
        <v>2276</v>
      </c>
      <c r="O1516" s="3" t="s">
        <v>2276</v>
      </c>
      <c r="P1516" s="3" t="s">
        <v>2276</v>
      </c>
      <c r="Q1516" s="3" t="s">
        <v>2276</v>
      </c>
      <c r="R1516" s="3" t="s">
        <v>2276</v>
      </c>
      <c r="S1516" s="3" t="s">
        <v>2276</v>
      </c>
      <c r="T1516" s="3" t="s">
        <v>2276</v>
      </c>
      <c r="U1516" s="3" t="s">
        <v>2276</v>
      </c>
      <c r="V1516" s="3" t="s">
        <v>2276</v>
      </c>
      <c r="W1516" s="3" t="s">
        <v>2276</v>
      </c>
      <c r="X1516" s="3" t="s">
        <v>2276</v>
      </c>
      <c r="Y1516" s="3" t="s">
        <v>2276</v>
      </c>
      <c r="Z1516" s="3" t="s">
        <v>2276</v>
      </c>
      <c r="AA1516" s="4" t="s">
        <v>4498</v>
      </c>
      <c r="AB1516" s="3"/>
    </row>
    <row r="1517" spans="1:28" ht="47" customHeight="1">
      <c r="A1517" s="152" t="str">
        <f>'Reported burning'!A1517</f>
        <v>178a</v>
      </c>
      <c r="B1517" s="152" t="str">
        <f>'Reported burning'!B1517</f>
        <v>178a.1</v>
      </c>
      <c r="C1517" s="152" t="str">
        <f>'Reported burning'!C1517</f>
        <v>All</v>
      </c>
      <c r="D1517" s="152" t="str">
        <f>'Reported burning'!D1517</f>
        <v>All</v>
      </c>
      <c r="E1517" s="152" t="str">
        <f>'Reported burning'!E1517</f>
        <v>All</v>
      </c>
      <c r="F1517" s="152" t="str">
        <f>'Reported burning'!F1517</f>
        <v>All</v>
      </c>
      <c r="G1517" s="152" t="str">
        <f>'Reported burning'!G1517</f>
        <v>All</v>
      </c>
      <c r="H1517" s="152" t="str">
        <f>'Reported burning'!H1517</f>
        <v>Absence</v>
      </c>
      <c r="I1517" s="3"/>
      <c r="J1517" s="21">
        <v>0</v>
      </c>
      <c r="K1517" s="21">
        <v>0</v>
      </c>
      <c r="L1517" s="21">
        <v>0</v>
      </c>
      <c r="M1517" s="21">
        <v>0</v>
      </c>
      <c r="N1517" s="21">
        <v>0</v>
      </c>
      <c r="O1517" s="21">
        <v>0</v>
      </c>
      <c r="P1517" s="21">
        <v>0</v>
      </c>
      <c r="Q1517" s="21">
        <v>0</v>
      </c>
      <c r="R1517" s="21">
        <v>0</v>
      </c>
      <c r="S1517" s="21">
        <v>0</v>
      </c>
      <c r="T1517" s="21">
        <v>0</v>
      </c>
      <c r="U1517" s="21">
        <v>0</v>
      </c>
      <c r="V1517" s="21">
        <v>0</v>
      </c>
      <c r="W1517" s="21">
        <v>0</v>
      </c>
      <c r="X1517" s="4" t="s">
        <v>2276</v>
      </c>
      <c r="Y1517" s="4" t="s">
        <v>2276</v>
      </c>
      <c r="Z1517" s="4" t="s">
        <v>2276</v>
      </c>
      <c r="AA1517" s="4" t="s">
        <v>2276</v>
      </c>
      <c r="AB1517" s="175" t="s">
        <v>4509</v>
      </c>
    </row>
    <row r="1518" spans="1:28" ht="47" customHeight="1">
      <c r="A1518" s="152" t="str">
        <f>'Reported burning'!A1518</f>
        <v>178b</v>
      </c>
      <c r="B1518" s="152" t="str">
        <f>'Reported burning'!B1518</f>
        <v>178b.1</v>
      </c>
      <c r="C1518" s="152" t="str">
        <f>'Reported burning'!C1518</f>
        <v>Human, deliberate</v>
      </c>
      <c r="D1518" s="152" t="str">
        <f>'Reported burning'!D1518</f>
        <v>All</v>
      </c>
      <c r="E1518" s="152" t="str">
        <f>'Reported burning'!E1518</f>
        <v>Cattle, Intensive</v>
      </c>
      <c r="F1518" s="152" t="str">
        <f>'Reported burning'!F1518</f>
        <v>All</v>
      </c>
      <c r="G1518" s="152" t="str">
        <f>'Reported burning'!G1518</f>
        <v>All</v>
      </c>
      <c r="H1518" s="152" t="str">
        <f>'Reported burning'!H1518</f>
        <v>Absence</v>
      </c>
      <c r="I1518" s="3"/>
      <c r="J1518" s="21">
        <v>0</v>
      </c>
      <c r="K1518" s="21">
        <v>0</v>
      </c>
      <c r="L1518" s="21">
        <v>0</v>
      </c>
      <c r="M1518" s="21">
        <v>0</v>
      </c>
      <c r="N1518" s="21">
        <v>0</v>
      </c>
      <c r="O1518" s="21">
        <v>0</v>
      </c>
      <c r="P1518" s="21">
        <v>0</v>
      </c>
      <c r="Q1518" s="21">
        <v>0</v>
      </c>
      <c r="R1518" s="21">
        <v>0</v>
      </c>
      <c r="S1518" s="21">
        <v>0</v>
      </c>
      <c r="T1518" s="21">
        <v>0</v>
      </c>
      <c r="U1518" s="21">
        <v>0</v>
      </c>
      <c r="V1518" s="21">
        <v>0</v>
      </c>
      <c r="W1518" s="21">
        <v>0</v>
      </c>
      <c r="X1518" s="4" t="s">
        <v>2276</v>
      </c>
      <c r="Y1518" s="4" t="s">
        <v>2276</v>
      </c>
      <c r="Z1518" s="4" t="s">
        <v>2276</v>
      </c>
      <c r="AA1518" s="4" t="s">
        <v>2276</v>
      </c>
      <c r="AB1518" s="176" t="s">
        <v>4511</v>
      </c>
    </row>
    <row r="1519" spans="1:28" ht="47" customHeight="1">
      <c r="A1519" s="152" t="str">
        <f>'Reported burning'!A1519</f>
        <v>178b</v>
      </c>
      <c r="B1519" s="152" t="str">
        <f>'Reported burning'!B1519</f>
        <v>178b.2</v>
      </c>
      <c r="C1519" s="152" t="str">
        <f>'Reported burning'!C1519</f>
        <v>Human, deliberate</v>
      </c>
      <c r="D1519" s="152" t="str">
        <f>'Reported burning'!D1519</f>
        <v>All</v>
      </c>
      <c r="E1519" s="152" t="str">
        <f>'Reported burning'!E1519</f>
        <v>Cattle, Extensive</v>
      </c>
      <c r="F1519" s="152" t="str">
        <f>'Reported burning'!F1519</f>
        <v>All</v>
      </c>
      <c r="G1519" s="152" t="str">
        <f>'Reported burning'!G1519</f>
        <v>All</v>
      </c>
      <c r="H1519" s="152" t="str">
        <f>'Reported burning'!H1519</f>
        <v>Absence</v>
      </c>
      <c r="I1519" s="3"/>
      <c r="J1519" s="21">
        <v>0</v>
      </c>
      <c r="K1519" s="21">
        <v>0</v>
      </c>
      <c r="L1519" s="21">
        <v>0</v>
      </c>
      <c r="M1519" s="21">
        <v>0</v>
      </c>
      <c r="N1519" s="21">
        <v>0</v>
      </c>
      <c r="O1519" s="21">
        <v>0</v>
      </c>
      <c r="P1519" s="21">
        <v>0</v>
      </c>
      <c r="Q1519" s="21">
        <v>0</v>
      </c>
      <c r="R1519" s="21">
        <v>0</v>
      </c>
      <c r="S1519" s="21">
        <v>0</v>
      </c>
      <c r="T1519" s="21">
        <v>0</v>
      </c>
      <c r="U1519" s="21">
        <v>0</v>
      </c>
      <c r="V1519" s="21">
        <v>0</v>
      </c>
      <c r="W1519" s="21">
        <v>0</v>
      </c>
      <c r="X1519" s="4" t="s">
        <v>2276</v>
      </c>
      <c r="Y1519" s="4" t="s">
        <v>2276</v>
      </c>
      <c r="Z1519" s="4" t="s">
        <v>2276</v>
      </c>
      <c r="AA1519" s="4" t="s">
        <v>2276</v>
      </c>
      <c r="AB1519" s="176" t="s">
        <v>4511</v>
      </c>
    </row>
    <row r="1520" spans="1:28" ht="55" customHeight="1">
      <c r="A1520" s="152" t="str">
        <f>'Reported burning'!A1520</f>
        <v>179a</v>
      </c>
      <c r="B1520" s="152" t="str">
        <f>'Reported burning'!B1520</f>
        <v>179a.1</v>
      </c>
      <c r="C1520" s="152" t="str">
        <f>'Reported burning'!C1520</f>
        <v>All</v>
      </c>
      <c r="D1520" s="152" t="str">
        <f>'Reported burning'!D1520</f>
        <v>All</v>
      </c>
      <c r="E1520" s="152" t="str">
        <f>'Reported burning'!E1520</f>
        <v>All</v>
      </c>
      <c r="F1520" s="152" t="str">
        <f>'Reported burning'!F1520</f>
        <v>All</v>
      </c>
      <c r="G1520" s="152" t="str">
        <f>'Reported burning'!G1520</f>
        <v>All</v>
      </c>
      <c r="H1520" s="152" t="str">
        <f>'Reported burning'!H1520</f>
        <v>Presence</v>
      </c>
      <c r="I1520" s="3"/>
      <c r="J1520" s="3" t="s">
        <v>2276</v>
      </c>
      <c r="K1520" s="3" t="s">
        <v>2276</v>
      </c>
      <c r="L1520" s="3" t="s">
        <v>2276</v>
      </c>
      <c r="M1520" s="3" t="s">
        <v>2276</v>
      </c>
      <c r="N1520" s="3" t="s">
        <v>2276</v>
      </c>
      <c r="O1520" s="3" t="s">
        <v>2276</v>
      </c>
      <c r="P1520" s="3" t="s">
        <v>2276</v>
      </c>
      <c r="Q1520" s="3" t="s">
        <v>2276</v>
      </c>
      <c r="R1520" s="3" t="s">
        <v>2276</v>
      </c>
      <c r="S1520" s="3" t="s">
        <v>2276</v>
      </c>
      <c r="T1520" s="3" t="s">
        <v>2276</v>
      </c>
      <c r="U1520" s="3" t="s">
        <v>2276</v>
      </c>
      <c r="V1520" s="3" t="s">
        <v>2276</v>
      </c>
      <c r="W1520" s="3" t="s">
        <v>2276</v>
      </c>
      <c r="X1520" s="3" t="s">
        <v>2276</v>
      </c>
      <c r="Y1520" s="3" t="s">
        <v>2276</v>
      </c>
      <c r="Z1520" s="3" t="s">
        <v>2276</v>
      </c>
      <c r="AA1520" s="4" t="s">
        <v>4538</v>
      </c>
      <c r="AB1520" s="3" t="s">
        <v>4537</v>
      </c>
    </row>
    <row r="1521" spans="1:29" ht="41.5" customHeight="1">
      <c r="A1521" s="152" t="str">
        <f>'Reported burning'!A1521</f>
        <v>179b</v>
      </c>
      <c r="B1521" s="152" t="str">
        <f>'Reported burning'!B1521</f>
        <v>179b.1</v>
      </c>
      <c r="C1521" s="152" t="str">
        <f>'Reported burning'!C1521</f>
        <v>All</v>
      </c>
      <c r="D1521" s="152" t="str">
        <f>'Reported burning'!D1521</f>
        <v>All</v>
      </c>
      <c r="E1521" s="152" t="str">
        <f>'Reported burning'!E1521</f>
        <v>All</v>
      </c>
      <c r="F1521" s="152" t="str">
        <f>'Reported burning'!F1521</f>
        <v>All</v>
      </c>
      <c r="G1521" s="152" t="str">
        <f>'Reported burning'!G1521</f>
        <v>All</v>
      </c>
      <c r="H1521" s="152" t="str">
        <f>'Reported burning'!H1521</f>
        <v>Presence</v>
      </c>
      <c r="I1521" s="3"/>
      <c r="J1521" s="3" t="s">
        <v>2276</v>
      </c>
      <c r="K1521" s="3" t="s">
        <v>2276</v>
      </c>
      <c r="L1521" s="3" t="s">
        <v>2276</v>
      </c>
      <c r="M1521" s="3" t="s">
        <v>2276</v>
      </c>
      <c r="N1521" s="3" t="s">
        <v>2276</v>
      </c>
      <c r="O1521" s="3" t="s">
        <v>2276</v>
      </c>
      <c r="P1521" s="3" t="s">
        <v>2276</v>
      </c>
      <c r="Q1521" s="3" t="s">
        <v>2276</v>
      </c>
      <c r="R1521" s="3" t="s">
        <v>2276</v>
      </c>
      <c r="S1521" s="3" t="s">
        <v>2276</v>
      </c>
      <c r="T1521" s="3" t="s">
        <v>2276</v>
      </c>
      <c r="U1521" s="3" t="s">
        <v>2276</v>
      </c>
      <c r="V1521" s="3" t="s">
        <v>2276</v>
      </c>
      <c r="W1521" s="3" t="s">
        <v>2276</v>
      </c>
      <c r="X1521" s="3" t="s">
        <v>2276</v>
      </c>
      <c r="Y1521" s="3" t="s">
        <v>2276</v>
      </c>
      <c r="Z1521" s="3" t="s">
        <v>2276</v>
      </c>
      <c r="AA1521" s="3"/>
      <c r="AB1521" s="3"/>
    </row>
    <row r="1522" spans="1:29" ht="41.5" customHeight="1">
      <c r="A1522" s="152" t="str">
        <f>'Reported burning'!A1522</f>
        <v>179c</v>
      </c>
      <c r="B1522" s="152" t="str">
        <f>'Reported burning'!B1522</f>
        <v>179c.1</v>
      </c>
      <c r="C1522" s="152" t="str">
        <f>'Reported burning'!C1522</f>
        <v>All</v>
      </c>
      <c r="D1522" s="152" t="str">
        <f>'Reported burning'!D1522</f>
        <v>All</v>
      </c>
      <c r="E1522" s="152" t="str">
        <f>'Reported burning'!E1522</f>
        <v>All</v>
      </c>
      <c r="F1522" s="152" t="str">
        <f>'Reported burning'!F1522</f>
        <v>All</v>
      </c>
      <c r="G1522" s="152" t="str">
        <f>'Reported burning'!G1522</f>
        <v>All</v>
      </c>
      <c r="H1522" s="152" t="str">
        <f>'Reported burning'!H1522</f>
        <v>Presence</v>
      </c>
      <c r="I1522" s="3"/>
      <c r="J1522" s="3" t="s">
        <v>2276</v>
      </c>
      <c r="K1522" s="3" t="s">
        <v>2276</v>
      </c>
      <c r="L1522" s="3" t="s">
        <v>2276</v>
      </c>
      <c r="M1522" s="3" t="s">
        <v>2276</v>
      </c>
      <c r="N1522" s="3" t="s">
        <v>2276</v>
      </c>
      <c r="O1522" s="3" t="s">
        <v>2276</v>
      </c>
      <c r="P1522" s="3" t="s">
        <v>2276</v>
      </c>
      <c r="Q1522" s="3" t="s">
        <v>2276</v>
      </c>
      <c r="R1522" s="3" t="s">
        <v>2276</v>
      </c>
      <c r="S1522" s="3" t="s">
        <v>2276</v>
      </c>
      <c r="T1522" s="3" t="s">
        <v>2276</v>
      </c>
      <c r="U1522" s="3" t="s">
        <v>2276</v>
      </c>
      <c r="V1522" s="3" t="s">
        <v>2276</v>
      </c>
      <c r="W1522" s="3" t="s">
        <v>2276</v>
      </c>
      <c r="X1522" s="3" t="s">
        <v>2276</v>
      </c>
      <c r="Y1522" s="3" t="s">
        <v>2276</v>
      </c>
      <c r="Z1522" s="3" t="s">
        <v>2276</v>
      </c>
      <c r="AA1522" s="3"/>
      <c r="AB1522" s="3"/>
    </row>
    <row r="1523" spans="1:29" ht="41.5" customHeight="1">
      <c r="A1523" s="152" t="str">
        <f>'Reported burning'!A1523</f>
        <v>179d</v>
      </c>
      <c r="B1523" s="152" t="str">
        <f>'Reported burning'!B1523</f>
        <v>179d.1</v>
      </c>
      <c r="C1523" s="152" t="str">
        <f>'Reported burning'!C1523</f>
        <v>All</v>
      </c>
      <c r="D1523" s="152" t="str">
        <f>'Reported burning'!D1523</f>
        <v>All</v>
      </c>
      <c r="E1523" s="152" t="str">
        <f>'Reported burning'!E1523</f>
        <v>All</v>
      </c>
      <c r="F1523" s="152" t="str">
        <f>'Reported burning'!F1523</f>
        <v>All</v>
      </c>
      <c r="G1523" s="152" t="str">
        <f>'Reported burning'!G1523</f>
        <v>All</v>
      </c>
      <c r="H1523" s="152" t="str">
        <f>'Reported burning'!H1523</f>
        <v>Presence</v>
      </c>
      <c r="I1523" s="3"/>
      <c r="J1523" s="3" t="s">
        <v>2276</v>
      </c>
      <c r="K1523" s="3" t="s">
        <v>2276</v>
      </c>
      <c r="L1523" s="3" t="s">
        <v>2276</v>
      </c>
      <c r="M1523" s="3" t="s">
        <v>2276</v>
      </c>
      <c r="N1523" s="3" t="s">
        <v>2276</v>
      </c>
      <c r="O1523" s="3" t="s">
        <v>2276</v>
      </c>
      <c r="P1523" s="3" t="s">
        <v>2276</v>
      </c>
      <c r="Q1523" s="3" t="s">
        <v>2276</v>
      </c>
      <c r="R1523" s="3" t="s">
        <v>2276</v>
      </c>
      <c r="S1523" s="3" t="s">
        <v>2276</v>
      </c>
      <c r="T1523" s="3" t="s">
        <v>2276</v>
      </c>
      <c r="U1523" s="3" t="s">
        <v>2276</v>
      </c>
      <c r="V1523" s="3" t="s">
        <v>2276</v>
      </c>
      <c r="W1523" s="3" t="s">
        <v>2276</v>
      </c>
      <c r="X1523" s="3" t="s">
        <v>2276</v>
      </c>
      <c r="Y1523" s="3" t="s">
        <v>2276</v>
      </c>
      <c r="Z1523" s="3" t="s">
        <v>2276</v>
      </c>
      <c r="AA1523" s="3"/>
      <c r="AB1523" s="3"/>
    </row>
    <row r="1524" spans="1:29" ht="41.5" customHeight="1">
      <c r="A1524" s="152" t="str">
        <f>'Reported burning'!A1524</f>
        <v>179e</v>
      </c>
      <c r="B1524" s="152" t="str">
        <f>'Reported burning'!B1524</f>
        <v>179e.1</v>
      </c>
      <c r="C1524" s="152" t="str">
        <f>'Reported burning'!C1524</f>
        <v>All</v>
      </c>
      <c r="D1524" s="152" t="str">
        <f>'Reported burning'!D1524</f>
        <v>All</v>
      </c>
      <c r="E1524" s="152" t="str">
        <f>'Reported burning'!E1524</f>
        <v>All</v>
      </c>
      <c r="F1524" s="152" t="str">
        <f>'Reported burning'!F1524</f>
        <v>All</v>
      </c>
      <c r="G1524" s="152" t="str">
        <f>'Reported burning'!G1524</f>
        <v>All</v>
      </c>
      <c r="H1524" s="152" t="str">
        <f>'Reported burning'!H1524</f>
        <v>Presence</v>
      </c>
      <c r="I1524" s="3"/>
      <c r="J1524" s="3" t="s">
        <v>2276</v>
      </c>
      <c r="K1524" s="3" t="s">
        <v>2276</v>
      </c>
      <c r="L1524" s="3" t="s">
        <v>2276</v>
      </c>
      <c r="M1524" s="3" t="s">
        <v>2276</v>
      </c>
      <c r="N1524" s="3" t="s">
        <v>2276</v>
      </c>
      <c r="O1524" s="3" t="s">
        <v>2276</v>
      </c>
      <c r="P1524" s="3" t="s">
        <v>2276</v>
      </c>
      <c r="Q1524" s="3" t="s">
        <v>2276</v>
      </c>
      <c r="R1524" s="3" t="s">
        <v>2276</v>
      </c>
      <c r="S1524" s="3" t="s">
        <v>2276</v>
      </c>
      <c r="T1524" s="3" t="s">
        <v>2276</v>
      </c>
      <c r="U1524" s="3" t="s">
        <v>2276</v>
      </c>
      <c r="V1524" s="3" t="s">
        <v>2276</v>
      </c>
      <c r="W1524" s="3" t="s">
        <v>2276</v>
      </c>
      <c r="X1524" s="3" t="s">
        <v>2276</v>
      </c>
      <c r="Y1524" s="3" t="s">
        <v>2276</v>
      </c>
      <c r="Z1524" s="3" t="s">
        <v>2276</v>
      </c>
      <c r="AA1524" s="3"/>
      <c r="AB1524" s="3"/>
    </row>
    <row r="1525" spans="1:29" ht="48" customHeight="1">
      <c r="A1525" s="152" t="str">
        <f>'Reported burning'!A1525</f>
        <v>179b</v>
      </c>
      <c r="B1525" s="152" t="str">
        <f>'Reported burning'!B1525</f>
        <v>179b.2</v>
      </c>
      <c r="C1525" s="152" t="str">
        <f>'Reported burning'!C1525</f>
        <v>All</v>
      </c>
      <c r="D1525" s="152" t="str">
        <f>'Reported burning'!D1525</f>
        <v>All</v>
      </c>
      <c r="E1525" s="152" t="str">
        <f>'Reported burning'!E1525</f>
        <v>All</v>
      </c>
      <c r="F1525" s="152" t="str">
        <f>'Reported burning'!F1525</f>
        <v>All</v>
      </c>
      <c r="G1525" s="152" t="str">
        <f>'Reported burning'!G1525</f>
        <v>All</v>
      </c>
      <c r="H1525" s="152" t="str">
        <f>'Reported burning'!H1525</f>
        <v>Presence</v>
      </c>
      <c r="I1525" s="3"/>
      <c r="J1525" s="3" t="s">
        <v>2276</v>
      </c>
      <c r="K1525" s="3" t="s">
        <v>2276</v>
      </c>
      <c r="L1525" s="3" t="s">
        <v>2276</v>
      </c>
      <c r="M1525" s="3" t="s">
        <v>2276</v>
      </c>
      <c r="N1525" s="3" t="s">
        <v>2276</v>
      </c>
      <c r="O1525" s="3" t="s">
        <v>2276</v>
      </c>
      <c r="P1525" s="3" t="s">
        <v>2276</v>
      </c>
      <c r="Q1525" s="3" t="s">
        <v>2276</v>
      </c>
      <c r="R1525" s="3" t="s">
        <v>2276</v>
      </c>
      <c r="S1525" s="3" t="s">
        <v>2276</v>
      </c>
      <c r="T1525" s="3" t="s">
        <v>2276</v>
      </c>
      <c r="U1525" s="3" t="s">
        <v>2276</v>
      </c>
      <c r="V1525" s="3" t="s">
        <v>2276</v>
      </c>
      <c r="W1525" s="3" t="s">
        <v>2402</v>
      </c>
      <c r="X1525" s="3" t="s">
        <v>2276</v>
      </c>
      <c r="Y1525" s="3" t="s">
        <v>2276</v>
      </c>
      <c r="Z1525" s="3" t="s">
        <v>2276</v>
      </c>
      <c r="AA1525" s="4" t="s">
        <v>4539</v>
      </c>
      <c r="AB1525" s="3"/>
    </row>
    <row r="1526" spans="1:29" ht="48" customHeight="1">
      <c r="A1526" s="152" t="str">
        <f>'Reported burning'!A1526</f>
        <v>179c</v>
      </c>
      <c r="B1526" s="152" t="str">
        <f>'Reported burning'!B1526</f>
        <v>179c.2</v>
      </c>
      <c r="C1526" s="152" t="str">
        <f>'Reported burning'!C1526</f>
        <v>All</v>
      </c>
      <c r="D1526" s="152" t="str">
        <f>'Reported burning'!D1526</f>
        <v>All</v>
      </c>
      <c r="E1526" s="152" t="str">
        <f>'Reported burning'!E1526</f>
        <v>All</v>
      </c>
      <c r="F1526" s="152" t="str">
        <f>'Reported burning'!F1526</f>
        <v>All</v>
      </c>
      <c r="G1526" s="152" t="str">
        <f>'Reported burning'!G1526</f>
        <v>All</v>
      </c>
      <c r="H1526" s="152" t="str">
        <f>'Reported burning'!H1526</f>
        <v>Presence</v>
      </c>
      <c r="I1526" s="3"/>
      <c r="J1526" s="3" t="s">
        <v>2276</v>
      </c>
      <c r="K1526" s="3" t="s">
        <v>2276</v>
      </c>
      <c r="L1526" s="3" t="s">
        <v>2276</v>
      </c>
      <c r="M1526" s="3" t="s">
        <v>2276</v>
      </c>
      <c r="N1526" s="3" t="s">
        <v>2276</v>
      </c>
      <c r="O1526" s="3" t="s">
        <v>2276</v>
      </c>
      <c r="P1526" s="3" t="s">
        <v>2276</v>
      </c>
      <c r="Q1526" s="3" t="s">
        <v>2276</v>
      </c>
      <c r="R1526" s="3" t="s">
        <v>2276</v>
      </c>
      <c r="S1526" s="3" t="s">
        <v>2276</v>
      </c>
      <c r="T1526" s="3" t="s">
        <v>2276</v>
      </c>
      <c r="U1526" s="3" t="s">
        <v>2276</v>
      </c>
      <c r="V1526" s="3" t="s">
        <v>2276</v>
      </c>
      <c r="W1526" s="3" t="s">
        <v>2402</v>
      </c>
      <c r="X1526" s="3" t="s">
        <v>2276</v>
      </c>
      <c r="Y1526" s="3" t="s">
        <v>2276</v>
      </c>
      <c r="Z1526" s="3" t="s">
        <v>2276</v>
      </c>
      <c r="AA1526" s="4" t="s">
        <v>4539</v>
      </c>
      <c r="AB1526" s="3"/>
    </row>
    <row r="1527" spans="1:29" ht="48" customHeight="1">
      <c r="A1527" s="152" t="str">
        <f>'Reported burning'!A1527</f>
        <v>179d</v>
      </c>
      <c r="B1527" s="152" t="str">
        <f>'Reported burning'!B1527</f>
        <v>179d.2</v>
      </c>
      <c r="C1527" s="152" t="str">
        <f>'Reported burning'!C1527</f>
        <v>All</v>
      </c>
      <c r="D1527" s="152" t="str">
        <f>'Reported burning'!D1527</f>
        <v>All</v>
      </c>
      <c r="E1527" s="152" t="str">
        <f>'Reported burning'!E1527</f>
        <v>All</v>
      </c>
      <c r="F1527" s="152" t="str">
        <f>'Reported burning'!F1527</f>
        <v>All</v>
      </c>
      <c r="G1527" s="152" t="str">
        <f>'Reported burning'!G1527</f>
        <v>All</v>
      </c>
      <c r="H1527" s="152" t="str">
        <f>'Reported burning'!H1527</f>
        <v>Presence</v>
      </c>
      <c r="I1527" s="3"/>
      <c r="J1527" s="3" t="s">
        <v>2276</v>
      </c>
      <c r="K1527" s="3" t="s">
        <v>2276</v>
      </c>
      <c r="L1527" s="3" t="s">
        <v>2276</v>
      </c>
      <c r="M1527" s="3" t="s">
        <v>2276</v>
      </c>
      <c r="N1527" s="3" t="s">
        <v>2276</v>
      </c>
      <c r="O1527" s="3" t="s">
        <v>2276</v>
      </c>
      <c r="P1527" s="3" t="s">
        <v>2276</v>
      </c>
      <c r="Q1527" s="3" t="s">
        <v>2276</v>
      </c>
      <c r="R1527" s="3" t="s">
        <v>2276</v>
      </c>
      <c r="S1527" s="3" t="s">
        <v>2276</v>
      </c>
      <c r="T1527" s="3" t="s">
        <v>2276</v>
      </c>
      <c r="U1527" s="3" t="s">
        <v>2276</v>
      </c>
      <c r="V1527" s="3" t="s">
        <v>2276</v>
      </c>
      <c r="W1527" s="3" t="s">
        <v>2402</v>
      </c>
      <c r="X1527" s="3" t="s">
        <v>2276</v>
      </c>
      <c r="Y1527" s="3" t="s">
        <v>2276</v>
      </c>
      <c r="Z1527" s="3" t="s">
        <v>2276</v>
      </c>
      <c r="AA1527" s="4" t="s">
        <v>4539</v>
      </c>
      <c r="AB1527" s="3"/>
    </row>
    <row r="1528" spans="1:29" ht="48" customHeight="1">
      <c r="A1528" s="152" t="str">
        <f>'Reported burning'!A1528</f>
        <v>179e</v>
      </c>
      <c r="B1528" s="152" t="str">
        <f>'Reported burning'!B1528</f>
        <v>179e.2</v>
      </c>
      <c r="C1528" s="152" t="str">
        <f>'Reported burning'!C1528</f>
        <v>All</v>
      </c>
      <c r="D1528" s="152" t="str">
        <f>'Reported burning'!D1528</f>
        <v>All</v>
      </c>
      <c r="E1528" s="152" t="str">
        <f>'Reported burning'!E1528</f>
        <v>All</v>
      </c>
      <c r="F1528" s="152" t="str">
        <f>'Reported burning'!F1528</f>
        <v>All</v>
      </c>
      <c r="G1528" s="152" t="str">
        <f>'Reported burning'!G1528</f>
        <v>All</v>
      </c>
      <c r="H1528" s="152" t="str">
        <f>'Reported burning'!H1528</f>
        <v>Absence</v>
      </c>
      <c r="I1528" s="11">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v>0</v>
      </c>
      <c r="Y1528" s="4" t="s">
        <v>2276</v>
      </c>
      <c r="Z1528" s="4" t="s">
        <v>2276</v>
      </c>
      <c r="AA1528" s="4" t="s">
        <v>4540</v>
      </c>
      <c r="AB1528" s="3"/>
      <c r="AC1528" s="137"/>
    </row>
    <row r="1529" spans="1:29" ht="36.5" customHeight="1">
      <c r="A1529" s="152" t="str">
        <f>'Reported burning'!A1529</f>
        <v>180a</v>
      </c>
      <c r="B1529" s="152" t="str">
        <f>'Reported burning'!B1529</f>
        <v>180a.1</v>
      </c>
      <c r="C1529" s="156" t="str">
        <f>'Reported burning'!C1529</f>
        <v>Human, deliberate</v>
      </c>
      <c r="D1529" s="156" t="str">
        <f>'Reported burning'!D1529</f>
        <v>Pasture renewal</v>
      </c>
      <c r="E1529" s="156" t="str">
        <f>'Reported burning'!E1529</f>
        <v>Pastoralism, Migratory</v>
      </c>
      <c r="F1529" s="156" t="str">
        <f>'Reported burning'!F1529</f>
        <v>Shrubland (Mixed forest &amp; grassland)</v>
      </c>
      <c r="G1529" s="156" t="str">
        <f>'Reported burning'!G1529</f>
        <v>All</v>
      </c>
      <c r="H1529" s="156" t="str">
        <f>'Reported burning'!H1529</f>
        <v>Presence</v>
      </c>
      <c r="I1529" s="5"/>
      <c r="J1529" s="4" t="s">
        <v>2276</v>
      </c>
      <c r="K1529" s="4" t="s">
        <v>2276</v>
      </c>
      <c r="L1529" s="4" t="s">
        <v>2276</v>
      </c>
      <c r="M1529" s="4" t="s">
        <v>2276</v>
      </c>
      <c r="N1529" s="4" t="s">
        <v>2276</v>
      </c>
      <c r="O1529" s="4" t="s">
        <v>2276</v>
      </c>
      <c r="P1529" s="4" t="s">
        <v>2276</v>
      </c>
      <c r="Q1529" s="4" t="s">
        <v>2276</v>
      </c>
      <c r="R1529" s="4" t="s">
        <v>2276</v>
      </c>
      <c r="S1529" s="4" t="s">
        <v>2276</v>
      </c>
      <c r="T1529" s="4" t="s">
        <v>2276</v>
      </c>
      <c r="U1529" s="4" t="s">
        <v>2276</v>
      </c>
      <c r="V1529" s="4" t="s">
        <v>2276</v>
      </c>
      <c r="W1529" s="4" t="s">
        <v>2276</v>
      </c>
      <c r="X1529" s="4" t="s">
        <v>2276</v>
      </c>
      <c r="Y1529" s="4" t="s">
        <v>2276</v>
      </c>
      <c r="Z1529" s="4" t="s">
        <v>2276</v>
      </c>
      <c r="AA1529" s="3"/>
      <c r="AB1529" s="3"/>
    </row>
    <row r="1530" spans="1:29" ht="36.5" customHeight="1">
      <c r="A1530" s="152" t="str">
        <f>'Reported burning'!A1530</f>
        <v>180a</v>
      </c>
      <c r="B1530" s="152" t="str">
        <f>'Reported burning'!B1530</f>
        <v>180a.2</v>
      </c>
      <c r="C1530" s="152" t="str">
        <f>'Reported burning'!C1530</f>
        <v>Human, deliberate</v>
      </c>
      <c r="D1530" s="152" t="str">
        <f>'Reported burning'!D1530</f>
        <v>Vegetation management</v>
      </c>
      <c r="E1530" s="152" t="str">
        <f>'Reported burning'!E1530</f>
        <v>Cropping, Swidden</v>
      </c>
      <c r="F1530" s="152" t="str">
        <f>'Reported burning'!F1530</f>
        <v>Shrubland (Mixed forest &amp; grassland)</v>
      </c>
      <c r="G1530" s="152" t="str">
        <f>'Reported burning'!G1530</f>
        <v>All</v>
      </c>
      <c r="H1530" s="152" t="str">
        <f>'Reported burning'!H1530</f>
        <v>Presence</v>
      </c>
      <c r="I1530" s="3"/>
      <c r="J1530" s="4" t="s">
        <v>2276</v>
      </c>
      <c r="K1530" s="4" t="s">
        <v>2276</v>
      </c>
      <c r="L1530" s="4" t="s">
        <v>2276</v>
      </c>
      <c r="M1530" s="4" t="s">
        <v>2276</v>
      </c>
      <c r="N1530" s="4" t="s">
        <v>2276</v>
      </c>
      <c r="O1530" s="4" t="s">
        <v>2276</v>
      </c>
      <c r="P1530" s="4" t="s">
        <v>2276</v>
      </c>
      <c r="Q1530" s="4" t="s">
        <v>2276</v>
      </c>
      <c r="R1530" s="4" t="s">
        <v>2276</v>
      </c>
      <c r="S1530" s="4" t="s">
        <v>2276</v>
      </c>
      <c r="T1530" s="4" t="s">
        <v>2276</v>
      </c>
      <c r="U1530" s="4" t="s">
        <v>2276</v>
      </c>
      <c r="V1530" s="4" t="s">
        <v>2276</v>
      </c>
      <c r="W1530" s="4" t="s">
        <v>2276</v>
      </c>
      <c r="X1530" s="4" t="s">
        <v>2276</v>
      </c>
      <c r="Y1530" s="4" t="s">
        <v>2276</v>
      </c>
      <c r="Z1530" s="4" t="s">
        <v>2276</v>
      </c>
      <c r="AA1530" s="3"/>
      <c r="AB1530" s="3"/>
    </row>
    <row r="1531" spans="1:29" ht="36.5" customHeight="1">
      <c r="A1531" s="152" t="str">
        <f>'Reported burning'!A1531</f>
        <v>180a</v>
      </c>
      <c r="B1531" s="152" t="str">
        <f>'Reported burning'!B1531</f>
        <v>180a.3</v>
      </c>
      <c r="C1531" s="152" t="str">
        <f>'Reported burning'!C1531</f>
        <v>Human, deliberate</v>
      </c>
      <c r="D1531" s="152" t="str">
        <f>'Reported burning'!D1531</f>
        <v>Vegetation management</v>
      </c>
      <c r="E1531" s="152" t="str">
        <f>'Reported burning'!E1531</f>
        <v>Pastoralism, Migratory</v>
      </c>
      <c r="F1531" s="152" t="str">
        <f>'Reported burning'!F1531</f>
        <v>Shrubland (Mixed forest &amp; grassland)</v>
      </c>
      <c r="G1531" s="152" t="str">
        <f>'Reported burning'!G1531</f>
        <v>All</v>
      </c>
      <c r="H1531" s="152" t="str">
        <f>'Reported burning'!H1531</f>
        <v>Presence</v>
      </c>
      <c r="I1531" s="3"/>
      <c r="J1531" s="4" t="s">
        <v>2276</v>
      </c>
      <c r="K1531" s="4" t="s">
        <v>2276</v>
      </c>
      <c r="L1531" s="4" t="s">
        <v>2276</v>
      </c>
      <c r="M1531" s="4" t="s">
        <v>2276</v>
      </c>
      <c r="N1531" s="4" t="s">
        <v>2276</v>
      </c>
      <c r="O1531" s="4" t="s">
        <v>2276</v>
      </c>
      <c r="P1531" s="4" t="s">
        <v>2276</v>
      </c>
      <c r="Q1531" s="4" t="s">
        <v>2276</v>
      </c>
      <c r="R1531" s="4" t="s">
        <v>2276</v>
      </c>
      <c r="S1531" s="4" t="s">
        <v>2276</v>
      </c>
      <c r="T1531" s="4" t="s">
        <v>2276</v>
      </c>
      <c r="U1531" s="4" t="s">
        <v>2276</v>
      </c>
      <c r="V1531" s="4" t="s">
        <v>2276</v>
      </c>
      <c r="W1531" s="4" t="s">
        <v>2276</v>
      </c>
      <c r="X1531" s="4" t="s">
        <v>2276</v>
      </c>
      <c r="Y1531" s="4" t="s">
        <v>2276</v>
      </c>
      <c r="Z1531" s="4" t="s">
        <v>2276</v>
      </c>
      <c r="AA1531" s="3"/>
      <c r="AB1531" s="3"/>
    </row>
    <row r="1532" spans="1:29" ht="36.5" customHeight="1">
      <c r="A1532" s="152" t="str">
        <f>'Reported burning'!A1532</f>
        <v>180a</v>
      </c>
      <c r="B1532" s="152" t="str">
        <f>'Reported burning'!B1532</f>
        <v>180a.4</v>
      </c>
      <c r="C1532" s="152" t="str">
        <f>'Reported burning'!C1532</f>
        <v>Human, deliberate</v>
      </c>
      <c r="D1532" s="152" t="str">
        <f>'Reported burning'!D1532</f>
        <v>Vegetation management</v>
      </c>
      <c r="E1532" s="152" t="str">
        <f>'Reported burning'!E1532</f>
        <v>Forestry, Traditional</v>
      </c>
      <c r="F1532" s="152" t="str">
        <f>'Reported burning'!F1532</f>
        <v>Shrubland (Mixed forest &amp; grassland)</v>
      </c>
      <c r="G1532" s="152" t="str">
        <f>'Reported burning'!G1532</f>
        <v>All</v>
      </c>
      <c r="H1532" s="152" t="str">
        <f>'Reported burning'!H1532</f>
        <v>Presence</v>
      </c>
      <c r="I1532" s="3"/>
      <c r="J1532" s="4" t="s">
        <v>2276</v>
      </c>
      <c r="K1532" s="4" t="s">
        <v>2276</v>
      </c>
      <c r="L1532" s="4" t="s">
        <v>2276</v>
      </c>
      <c r="M1532" s="4" t="s">
        <v>2276</v>
      </c>
      <c r="N1532" s="4" t="s">
        <v>2276</v>
      </c>
      <c r="O1532" s="4" t="s">
        <v>2276</v>
      </c>
      <c r="P1532" s="4" t="s">
        <v>2276</v>
      </c>
      <c r="Q1532" s="4" t="s">
        <v>2276</v>
      </c>
      <c r="R1532" s="4" t="s">
        <v>2276</v>
      </c>
      <c r="S1532" s="4" t="s">
        <v>2276</v>
      </c>
      <c r="T1532" s="4" t="s">
        <v>2276</v>
      </c>
      <c r="U1532" s="4" t="s">
        <v>2276</v>
      </c>
      <c r="V1532" s="4" t="s">
        <v>2276</v>
      </c>
      <c r="W1532" s="4" t="s">
        <v>2276</v>
      </c>
      <c r="X1532" s="4" t="s">
        <v>2276</v>
      </c>
      <c r="Y1532" s="4" t="s">
        <v>2276</v>
      </c>
      <c r="Z1532" s="4" t="s">
        <v>2276</v>
      </c>
      <c r="AA1532" s="3"/>
      <c r="AB1532" s="3"/>
    </row>
    <row r="1533" spans="1:29" ht="36.5" customHeight="1">
      <c r="A1533" s="152" t="str">
        <f>'Reported burning'!A1533</f>
        <v>180a</v>
      </c>
      <c r="B1533" s="152" t="str">
        <f>'Reported burning'!B1533</f>
        <v>180a.5</v>
      </c>
      <c r="C1533" s="152" t="str">
        <f>'Reported burning'!C1533</f>
        <v>Human, deliberate</v>
      </c>
      <c r="D1533" s="152" t="str">
        <f>'Reported burning'!D1533</f>
        <v>Fishing</v>
      </c>
      <c r="E1533" s="152" t="str">
        <f>'Reported burning'!E1533</f>
        <v>Pastoralism, Migratory</v>
      </c>
      <c r="F1533" s="152" t="str">
        <f>'Reported burning'!F1533</f>
        <v>Shrubland (Mixed forest &amp; grassland)</v>
      </c>
      <c r="G1533" s="152" t="str">
        <f>'Reported burning'!G1533</f>
        <v>All</v>
      </c>
      <c r="H1533" s="152" t="str">
        <f>'Reported burning'!H1533</f>
        <v>Presence</v>
      </c>
      <c r="I1533" s="3"/>
      <c r="J1533" s="4" t="s">
        <v>2276</v>
      </c>
      <c r="K1533" s="4" t="s">
        <v>2276</v>
      </c>
      <c r="L1533" s="4" t="s">
        <v>2276</v>
      </c>
      <c r="M1533" s="4" t="s">
        <v>2276</v>
      </c>
      <c r="N1533" s="4" t="s">
        <v>2276</v>
      </c>
      <c r="O1533" s="4" t="s">
        <v>2276</v>
      </c>
      <c r="P1533" s="4" t="s">
        <v>2276</v>
      </c>
      <c r="Q1533" s="4" t="s">
        <v>2276</v>
      </c>
      <c r="R1533" s="4" t="s">
        <v>2276</v>
      </c>
      <c r="S1533" s="4" t="s">
        <v>2276</v>
      </c>
      <c r="T1533" s="4" t="s">
        <v>2276</v>
      </c>
      <c r="U1533" s="4" t="s">
        <v>2276</v>
      </c>
      <c r="V1533" s="4" t="s">
        <v>2276</v>
      </c>
      <c r="W1533" s="4" t="s">
        <v>2276</v>
      </c>
      <c r="X1533" s="4" t="s">
        <v>2276</v>
      </c>
      <c r="Y1533" s="4" t="s">
        <v>2276</v>
      </c>
      <c r="Z1533" s="4" t="s">
        <v>2276</v>
      </c>
      <c r="AA1533" s="3"/>
      <c r="AB1533" s="3"/>
    </row>
    <row r="1534" spans="1:29" ht="36.5" customHeight="1">
      <c r="A1534" s="152" t="str">
        <f>'Reported burning'!A1534</f>
        <v>180a</v>
      </c>
      <c r="B1534" s="152" t="str">
        <f>'Reported burning'!B1534</f>
        <v>180a.6</v>
      </c>
      <c r="C1534" s="152" t="str">
        <f>'Reported burning'!C1534</f>
        <v>Human, deliberate</v>
      </c>
      <c r="D1534" s="152" t="str">
        <f>'Reported burning'!D1534</f>
        <v>Accessibility</v>
      </c>
      <c r="E1534" s="152" t="str">
        <f>'Reported burning'!E1534</f>
        <v>Forestry, Traditional</v>
      </c>
      <c r="F1534" s="152" t="str">
        <f>'Reported burning'!F1534</f>
        <v>Shrubland (Mixed forest &amp; grassland)</v>
      </c>
      <c r="G1534" s="152" t="str">
        <f>'Reported burning'!G1534</f>
        <v>All</v>
      </c>
      <c r="H1534" s="152" t="str">
        <f>'Reported burning'!H1534</f>
        <v>Presence</v>
      </c>
      <c r="I1534" s="3"/>
      <c r="J1534" s="4" t="s">
        <v>2276</v>
      </c>
      <c r="K1534" s="4" t="s">
        <v>2276</v>
      </c>
      <c r="L1534" s="4" t="s">
        <v>2276</v>
      </c>
      <c r="M1534" s="4" t="s">
        <v>2276</v>
      </c>
      <c r="N1534" s="4" t="s">
        <v>2276</v>
      </c>
      <c r="O1534" s="4" t="s">
        <v>2276</v>
      </c>
      <c r="P1534" s="4" t="s">
        <v>2276</v>
      </c>
      <c r="Q1534" s="4" t="s">
        <v>2276</v>
      </c>
      <c r="R1534" s="4" t="s">
        <v>2276</v>
      </c>
      <c r="S1534" s="4" t="s">
        <v>2276</v>
      </c>
      <c r="T1534" s="4" t="s">
        <v>2276</v>
      </c>
      <c r="U1534" s="4" t="s">
        <v>2276</v>
      </c>
      <c r="V1534" s="4" t="s">
        <v>2276</v>
      </c>
      <c r="W1534" s="4" t="s">
        <v>2276</v>
      </c>
      <c r="X1534" s="4" t="s">
        <v>2276</v>
      </c>
      <c r="Y1534" s="4" t="s">
        <v>2276</v>
      </c>
      <c r="Z1534" s="4" t="s">
        <v>2276</v>
      </c>
      <c r="AA1534" s="3"/>
      <c r="AB1534" s="3"/>
    </row>
    <row r="1535" spans="1:29" ht="36.5" customHeight="1">
      <c r="A1535" s="152" t="str">
        <f>'Reported burning'!A1535</f>
        <v>180a</v>
      </c>
      <c r="B1535" s="152" t="str">
        <f>'Reported burning'!B1535</f>
        <v>180a.7</v>
      </c>
      <c r="C1535" s="152" t="str">
        <f>'Reported burning'!C1535</f>
        <v>Human, deliberate</v>
      </c>
      <c r="D1535" s="152" t="str">
        <f>'Reported burning'!D1535</f>
        <v>Crop field preparation</v>
      </c>
      <c r="E1535" s="152" t="str">
        <f>'Reported burning'!E1535</f>
        <v>Cropping, Swidden</v>
      </c>
      <c r="F1535" s="152" t="str">
        <f>'Reported burning'!F1535</f>
        <v>Shrubland (Mixed forest &amp; grassland)</v>
      </c>
      <c r="G1535" s="152" t="str">
        <f>'Reported burning'!G1535</f>
        <v>All</v>
      </c>
      <c r="H1535" s="152" t="str">
        <f>'Reported burning'!H1535</f>
        <v>Presence</v>
      </c>
      <c r="I1535" s="3"/>
      <c r="J1535" s="4" t="s">
        <v>2276</v>
      </c>
      <c r="K1535" s="4" t="s">
        <v>2276</v>
      </c>
      <c r="L1535" s="4" t="s">
        <v>2276</v>
      </c>
      <c r="M1535" s="4" t="s">
        <v>2276</v>
      </c>
      <c r="N1535" s="4" t="s">
        <v>2276</v>
      </c>
      <c r="O1535" s="4" t="s">
        <v>2276</v>
      </c>
      <c r="P1535" s="4" t="s">
        <v>2276</v>
      </c>
      <c r="Q1535" s="4" t="s">
        <v>2276</v>
      </c>
      <c r="R1535" s="4" t="s">
        <v>2276</v>
      </c>
      <c r="S1535" s="4" t="s">
        <v>2276</v>
      </c>
      <c r="T1535" s="4" t="s">
        <v>2276</v>
      </c>
      <c r="U1535" s="4" t="s">
        <v>2276</v>
      </c>
      <c r="V1535" s="4" t="s">
        <v>2276</v>
      </c>
      <c r="W1535" s="4" t="s">
        <v>2276</v>
      </c>
      <c r="X1535" s="4" t="s">
        <v>2276</v>
      </c>
      <c r="Y1535" s="4" t="s">
        <v>2276</v>
      </c>
      <c r="Z1535" s="4" t="s">
        <v>2276</v>
      </c>
      <c r="AA1535" s="3"/>
      <c r="AB1535" s="3"/>
    </row>
    <row r="1536" spans="1:29" ht="36.5" customHeight="1">
      <c r="A1536" s="152" t="str">
        <f>'Reported burning'!A1536</f>
        <v>180a</v>
      </c>
      <c r="B1536" s="152" t="str">
        <f>'Reported burning'!B1536</f>
        <v>180a.8</v>
      </c>
      <c r="C1536" s="152" t="str">
        <f>'Reported burning'!C1536</f>
        <v>Human, deliberate</v>
      </c>
      <c r="D1536" s="152" t="str">
        <f>'Reported burning'!D1536</f>
        <v>Land clearance</v>
      </c>
      <c r="E1536" s="152" t="str">
        <f>'Reported burning'!E1536</f>
        <v>Cropping, Swidden</v>
      </c>
      <c r="F1536" s="152" t="str">
        <f>'Reported burning'!F1536</f>
        <v>Shrubland (Mixed forest &amp; grassland)</v>
      </c>
      <c r="G1536" s="152" t="str">
        <f>'Reported burning'!G1536</f>
        <v>All</v>
      </c>
      <c r="H1536" s="152" t="str">
        <f>'Reported burning'!H1536</f>
        <v>Presence</v>
      </c>
      <c r="I1536" s="3"/>
      <c r="J1536" s="4" t="s">
        <v>2276</v>
      </c>
      <c r="K1536" s="4" t="s">
        <v>2276</v>
      </c>
      <c r="L1536" s="4" t="s">
        <v>2276</v>
      </c>
      <c r="M1536" s="4" t="s">
        <v>2276</v>
      </c>
      <c r="N1536" s="4" t="s">
        <v>2276</v>
      </c>
      <c r="O1536" s="4" t="s">
        <v>2276</v>
      </c>
      <c r="P1536" s="4" t="s">
        <v>2276</v>
      </c>
      <c r="Q1536" s="4" t="s">
        <v>2276</v>
      </c>
      <c r="R1536" s="4" t="s">
        <v>2276</v>
      </c>
      <c r="S1536" s="4" t="s">
        <v>2276</v>
      </c>
      <c r="T1536" s="4" t="s">
        <v>2276</v>
      </c>
      <c r="U1536" s="4" t="s">
        <v>2276</v>
      </c>
      <c r="V1536" s="4" t="s">
        <v>2276</v>
      </c>
      <c r="W1536" s="4" t="s">
        <v>2276</v>
      </c>
      <c r="X1536" s="4" t="s">
        <v>2276</v>
      </c>
      <c r="Y1536" s="4" t="s">
        <v>2276</v>
      </c>
      <c r="Z1536" s="4" t="s">
        <v>2276</v>
      </c>
      <c r="AA1536" s="3"/>
      <c r="AB1536" s="3"/>
    </row>
    <row r="1537" spans="1:28" ht="36.5" customHeight="1">
      <c r="A1537" s="152" t="str">
        <f>'Reported burning'!A1537</f>
        <v>180a</v>
      </c>
      <c r="B1537" s="152" t="str">
        <f>'Reported burning'!B1537</f>
        <v>180a.9</v>
      </c>
      <c r="C1537" s="152" t="str">
        <f>'Reported burning'!C1537</f>
        <v>Human, deliberate</v>
      </c>
      <c r="D1537" s="152" t="str">
        <f>'Reported burning'!D1537</f>
        <v>Harvesting of NTFP</v>
      </c>
      <c r="E1537" s="152" t="str">
        <f>'Reported burning'!E1537</f>
        <v>Forestry, Traditional</v>
      </c>
      <c r="F1537" s="152" t="str">
        <f>'Reported burning'!F1537</f>
        <v>Shrubland (Mixed forest &amp; grassland)</v>
      </c>
      <c r="G1537" s="152" t="str">
        <f>'Reported burning'!G1537</f>
        <v>All</v>
      </c>
      <c r="H1537" s="152" t="str">
        <f>'Reported burning'!H1537</f>
        <v>Presence</v>
      </c>
      <c r="I1537" s="3"/>
      <c r="J1537" s="4" t="s">
        <v>2276</v>
      </c>
      <c r="K1537" s="4" t="s">
        <v>2276</v>
      </c>
      <c r="L1537" s="4" t="s">
        <v>2276</v>
      </c>
      <c r="M1537" s="4" t="s">
        <v>2276</v>
      </c>
      <c r="N1537" s="4" t="s">
        <v>2276</v>
      </c>
      <c r="O1537" s="4" t="s">
        <v>2276</v>
      </c>
      <c r="P1537" s="4" t="s">
        <v>2276</v>
      </c>
      <c r="Q1537" s="4" t="s">
        <v>2276</v>
      </c>
      <c r="R1537" s="4" t="s">
        <v>2276</v>
      </c>
      <c r="S1537" s="4" t="s">
        <v>2276</v>
      </c>
      <c r="T1537" s="4" t="s">
        <v>2276</v>
      </c>
      <c r="U1537" s="4" t="s">
        <v>2276</v>
      </c>
      <c r="V1537" s="4" t="s">
        <v>2276</v>
      </c>
      <c r="W1537" s="4" t="s">
        <v>2276</v>
      </c>
      <c r="X1537" s="4" t="s">
        <v>2276</v>
      </c>
      <c r="Y1537" s="4" t="s">
        <v>2276</v>
      </c>
      <c r="Z1537" s="4" t="s">
        <v>2276</v>
      </c>
      <c r="AA1537" s="4" t="s">
        <v>4559</v>
      </c>
      <c r="AB1537" s="3"/>
    </row>
    <row r="1538" spans="1:28" ht="36.5" customHeight="1">
      <c r="A1538" s="152" t="str">
        <f>'Reported burning'!A1538</f>
        <v>180a</v>
      </c>
      <c r="B1538" s="152" t="str">
        <f>'Reported burning'!B1538</f>
        <v>180a.10</v>
      </c>
      <c r="C1538" s="152" t="str">
        <f>'Reported burning'!C1538</f>
        <v>Human, deliberate</v>
      </c>
      <c r="D1538" s="152" t="str">
        <f>'Reported burning'!D1538</f>
        <v>Pest management</v>
      </c>
      <c r="E1538" s="152" t="str">
        <f>'Reported burning'!E1538</f>
        <v>Pastoralism, Migratory</v>
      </c>
      <c r="F1538" s="152" t="str">
        <f>'Reported burning'!F1538</f>
        <v>Shrubland (Mixed forest &amp; grassland)</v>
      </c>
      <c r="G1538" s="152" t="str">
        <f>'Reported burning'!G1538</f>
        <v>All</v>
      </c>
      <c r="H1538" s="152" t="str">
        <f>'Reported burning'!H1538</f>
        <v>Presence</v>
      </c>
      <c r="I1538" s="3"/>
      <c r="J1538" s="4" t="s">
        <v>2276</v>
      </c>
      <c r="K1538" s="4" t="s">
        <v>2276</v>
      </c>
      <c r="L1538" s="4" t="s">
        <v>2276</v>
      </c>
      <c r="M1538" s="4" t="s">
        <v>2276</v>
      </c>
      <c r="N1538" s="4" t="s">
        <v>2276</v>
      </c>
      <c r="O1538" s="4" t="s">
        <v>2276</v>
      </c>
      <c r="P1538" s="4" t="s">
        <v>2276</v>
      </c>
      <c r="Q1538" s="4" t="s">
        <v>2276</v>
      </c>
      <c r="R1538" s="4" t="s">
        <v>2276</v>
      </c>
      <c r="S1538" s="4" t="s">
        <v>2276</v>
      </c>
      <c r="T1538" s="4" t="s">
        <v>2276</v>
      </c>
      <c r="U1538" s="4" t="s">
        <v>2276</v>
      </c>
      <c r="V1538" s="4" t="s">
        <v>2276</v>
      </c>
      <c r="W1538" s="4" t="s">
        <v>2276</v>
      </c>
      <c r="X1538" s="4" t="s">
        <v>2276</v>
      </c>
      <c r="Y1538" s="4" t="s">
        <v>2276</v>
      </c>
      <c r="Z1538" s="4" t="s">
        <v>2276</v>
      </c>
      <c r="AA1538" s="3"/>
      <c r="AB1538" s="3"/>
    </row>
    <row r="1539" spans="1:28" ht="55.5" customHeight="1">
      <c r="A1539" s="152" t="str">
        <f>'Reported burning'!A1539</f>
        <v>180a</v>
      </c>
      <c r="B1539" s="152" t="str">
        <f>'Reported burning'!B1539</f>
        <v>180a.11</v>
      </c>
      <c r="C1539" s="152" t="str">
        <f>'Reported burning'!C1539</f>
        <v>Human, deliberate</v>
      </c>
      <c r="D1539" s="152" t="str">
        <f>'Reported burning'!D1539</f>
        <v>All</v>
      </c>
      <c r="E1539" s="152" t="str">
        <f>'Reported burning'!E1539</f>
        <v>Pastoralism, Migratory</v>
      </c>
      <c r="F1539" s="152" t="str">
        <f>'Reported burning'!F1539</f>
        <v>Shrubland (Mixed forest &amp; grassland)</v>
      </c>
      <c r="G1539" s="152" t="str">
        <f>'Reported burning'!G1539</f>
        <v>All</v>
      </c>
      <c r="H1539" s="152" t="str">
        <f>'Reported burning'!H1539</f>
        <v>Presence</v>
      </c>
      <c r="I1539" s="3"/>
      <c r="J1539" s="4" t="s">
        <v>2276</v>
      </c>
      <c r="K1539" s="4" t="s">
        <v>2276</v>
      </c>
      <c r="L1539" s="4" t="s">
        <v>2276</v>
      </c>
      <c r="M1539" s="4" t="s">
        <v>2276</v>
      </c>
      <c r="N1539" s="4" t="s">
        <v>2276</v>
      </c>
      <c r="O1539" s="4" t="s">
        <v>2276</v>
      </c>
      <c r="P1539" s="4" t="s">
        <v>2276</v>
      </c>
      <c r="Q1539" s="4" t="s">
        <v>2276</v>
      </c>
      <c r="R1539" s="4" t="s">
        <v>2276</v>
      </c>
      <c r="S1539" s="4" t="s">
        <v>2276</v>
      </c>
      <c r="T1539" s="4" t="s">
        <v>2276</v>
      </c>
      <c r="U1539" s="4" t="s">
        <v>2276</v>
      </c>
      <c r="V1539" s="4" t="s">
        <v>2276</v>
      </c>
      <c r="W1539" s="4" t="s">
        <v>2276</v>
      </c>
      <c r="X1539" s="4" t="s">
        <v>2276</v>
      </c>
      <c r="Y1539" s="4" t="s">
        <v>2276</v>
      </c>
      <c r="Z1539" s="4" t="s">
        <v>2276</v>
      </c>
      <c r="AA1539" s="4"/>
      <c r="AB1539" s="3"/>
    </row>
    <row r="1540" spans="1:28" ht="36.5" customHeight="1">
      <c r="A1540" s="152" t="str">
        <f>'Reported burning'!A1540</f>
        <v>180b</v>
      </c>
      <c r="B1540" s="152" t="str">
        <f>'Reported burning'!B1540</f>
        <v>180b.1</v>
      </c>
      <c r="C1540" s="152" t="str">
        <f>'Reported burning'!C1540</f>
        <v>Human, deliberate</v>
      </c>
      <c r="D1540" s="152" t="str">
        <f>'Reported burning'!D1540</f>
        <v>Pasture renewal</v>
      </c>
      <c r="E1540" s="152" t="str">
        <f>'Reported burning'!E1540</f>
        <v>Pastoralism, Migratory</v>
      </c>
      <c r="F1540" s="152" t="str">
        <f>'Reported burning'!F1540</f>
        <v>Shrubland (Mixed forest &amp; grassland)</v>
      </c>
      <c r="G1540" s="152" t="str">
        <f>'Reported burning'!G1540</f>
        <v>All</v>
      </c>
      <c r="H1540" s="152" t="str">
        <f>'Reported burning'!H1540</f>
        <v>Presence</v>
      </c>
      <c r="I1540" s="3"/>
      <c r="J1540" s="4" t="s">
        <v>2276</v>
      </c>
      <c r="K1540" s="4" t="s">
        <v>2276</v>
      </c>
      <c r="L1540" s="4" t="s">
        <v>2276</v>
      </c>
      <c r="M1540" s="4" t="s">
        <v>2276</v>
      </c>
      <c r="N1540" s="4" t="s">
        <v>2276</v>
      </c>
      <c r="O1540" s="4" t="s">
        <v>2276</v>
      </c>
      <c r="P1540" s="4" t="s">
        <v>2276</v>
      </c>
      <c r="Q1540" s="4" t="s">
        <v>2276</v>
      </c>
      <c r="R1540" s="4" t="s">
        <v>2276</v>
      </c>
      <c r="S1540" s="4" t="s">
        <v>2276</v>
      </c>
      <c r="T1540" s="4" t="s">
        <v>2276</v>
      </c>
      <c r="U1540" s="4" t="s">
        <v>2276</v>
      </c>
      <c r="V1540" s="4" t="s">
        <v>2276</v>
      </c>
      <c r="W1540" s="4" t="s">
        <v>2276</v>
      </c>
      <c r="X1540" s="4" t="s">
        <v>2276</v>
      </c>
      <c r="Y1540" s="4" t="s">
        <v>2276</v>
      </c>
      <c r="Z1540" s="4" t="s">
        <v>2276</v>
      </c>
      <c r="AA1540" s="3"/>
      <c r="AB1540" s="3"/>
    </row>
    <row r="1541" spans="1:28" ht="36.5" customHeight="1">
      <c r="A1541" s="152" t="str">
        <f>'Reported burning'!A1541</f>
        <v>180b</v>
      </c>
      <c r="B1541" s="152" t="str">
        <f>'Reported burning'!B1541</f>
        <v>180b.2</v>
      </c>
      <c r="C1541" s="152" t="str">
        <f>'Reported burning'!C1541</f>
        <v>Human, deliberate</v>
      </c>
      <c r="D1541" s="152" t="str">
        <f>'Reported burning'!D1541</f>
        <v>Vegetation management</v>
      </c>
      <c r="E1541" s="152" t="str">
        <f>'Reported burning'!E1541</f>
        <v>Cropping, Swidden</v>
      </c>
      <c r="F1541" s="152" t="str">
        <f>'Reported burning'!F1541</f>
        <v>Shrubland (Mixed forest &amp; grassland)</v>
      </c>
      <c r="G1541" s="152" t="str">
        <f>'Reported burning'!G1541</f>
        <v>All</v>
      </c>
      <c r="H1541" s="152" t="str">
        <f>'Reported burning'!H1541</f>
        <v>Presence</v>
      </c>
      <c r="I1541" s="3"/>
      <c r="J1541" s="4" t="s">
        <v>2276</v>
      </c>
      <c r="K1541" s="4" t="s">
        <v>2276</v>
      </c>
      <c r="L1541" s="4" t="s">
        <v>2276</v>
      </c>
      <c r="M1541" s="4" t="s">
        <v>2276</v>
      </c>
      <c r="N1541" s="4" t="s">
        <v>2276</v>
      </c>
      <c r="O1541" s="4" t="s">
        <v>2276</v>
      </c>
      <c r="P1541" s="4" t="s">
        <v>2276</v>
      </c>
      <c r="Q1541" s="4" t="s">
        <v>2276</v>
      </c>
      <c r="R1541" s="4" t="s">
        <v>2276</v>
      </c>
      <c r="S1541" s="4" t="s">
        <v>2276</v>
      </c>
      <c r="T1541" s="4" t="s">
        <v>2276</v>
      </c>
      <c r="U1541" s="4" t="s">
        <v>2276</v>
      </c>
      <c r="V1541" s="4" t="s">
        <v>2276</v>
      </c>
      <c r="W1541" s="4" t="s">
        <v>2276</v>
      </c>
      <c r="X1541" s="4" t="s">
        <v>2276</v>
      </c>
      <c r="Y1541" s="4" t="s">
        <v>2276</v>
      </c>
      <c r="Z1541" s="4" t="s">
        <v>2276</v>
      </c>
      <c r="AA1541" s="3"/>
      <c r="AB1541" s="3"/>
    </row>
    <row r="1542" spans="1:28" ht="36.5" customHeight="1">
      <c r="A1542" s="152" t="str">
        <f>'Reported burning'!A1542</f>
        <v>180b</v>
      </c>
      <c r="B1542" s="152" t="str">
        <f>'Reported burning'!B1542</f>
        <v>180b.3</v>
      </c>
      <c r="C1542" s="152" t="str">
        <f>'Reported burning'!C1542</f>
        <v>Human, deliberate</v>
      </c>
      <c r="D1542" s="152" t="str">
        <f>'Reported burning'!D1542</f>
        <v>Vegetation management</v>
      </c>
      <c r="E1542" s="152" t="str">
        <f>'Reported burning'!E1542</f>
        <v>Pastoralism, Migratory</v>
      </c>
      <c r="F1542" s="152" t="str">
        <f>'Reported burning'!F1542</f>
        <v>Shrubland (Mixed forest &amp; grassland)</v>
      </c>
      <c r="G1542" s="152" t="str">
        <f>'Reported burning'!G1542</f>
        <v>All</v>
      </c>
      <c r="H1542" s="152" t="str">
        <f>'Reported burning'!H1542</f>
        <v>Presence</v>
      </c>
      <c r="I1542" s="3"/>
      <c r="J1542" s="4" t="s">
        <v>2276</v>
      </c>
      <c r="K1542" s="4" t="s">
        <v>2276</v>
      </c>
      <c r="L1542" s="4" t="s">
        <v>2276</v>
      </c>
      <c r="M1542" s="4" t="s">
        <v>2276</v>
      </c>
      <c r="N1542" s="4" t="s">
        <v>2276</v>
      </c>
      <c r="O1542" s="4" t="s">
        <v>2276</v>
      </c>
      <c r="P1542" s="4" t="s">
        <v>2276</v>
      </c>
      <c r="Q1542" s="4" t="s">
        <v>2276</v>
      </c>
      <c r="R1542" s="4" t="s">
        <v>2276</v>
      </c>
      <c r="S1542" s="4" t="s">
        <v>2276</v>
      </c>
      <c r="T1542" s="4" t="s">
        <v>2276</v>
      </c>
      <c r="U1542" s="4" t="s">
        <v>2276</v>
      </c>
      <c r="V1542" s="4" t="s">
        <v>2276</v>
      </c>
      <c r="W1542" s="4" t="s">
        <v>2276</v>
      </c>
      <c r="X1542" s="4" t="s">
        <v>2276</v>
      </c>
      <c r="Y1542" s="4" t="s">
        <v>2276</v>
      </c>
      <c r="Z1542" s="4" t="s">
        <v>2276</v>
      </c>
      <c r="AA1542" s="3"/>
      <c r="AB1542" s="3"/>
    </row>
    <row r="1543" spans="1:28" ht="36.5" customHeight="1">
      <c r="A1543" s="152" t="str">
        <f>'Reported burning'!A1543</f>
        <v>180b</v>
      </c>
      <c r="B1543" s="152" t="str">
        <f>'Reported burning'!B1543</f>
        <v>180b.4</v>
      </c>
      <c r="C1543" s="152" t="str">
        <f>'Reported burning'!C1543</f>
        <v>Human, deliberate</v>
      </c>
      <c r="D1543" s="152" t="str">
        <f>'Reported burning'!D1543</f>
        <v>Vegetation management</v>
      </c>
      <c r="E1543" s="152" t="str">
        <f>'Reported burning'!E1543</f>
        <v>Forestry, Traditional</v>
      </c>
      <c r="F1543" s="152" t="str">
        <f>'Reported burning'!F1543</f>
        <v>Shrubland (Mixed forest &amp; grassland)</v>
      </c>
      <c r="G1543" s="152" t="str">
        <f>'Reported burning'!G1543</f>
        <v>All</v>
      </c>
      <c r="H1543" s="152" t="str">
        <f>'Reported burning'!H1543</f>
        <v>Presence</v>
      </c>
      <c r="I1543" s="3"/>
      <c r="J1543" s="4" t="s">
        <v>2276</v>
      </c>
      <c r="K1543" s="4" t="s">
        <v>2276</v>
      </c>
      <c r="L1543" s="4" t="s">
        <v>2276</v>
      </c>
      <c r="M1543" s="4" t="s">
        <v>2276</v>
      </c>
      <c r="N1543" s="4" t="s">
        <v>2276</v>
      </c>
      <c r="O1543" s="4" t="s">
        <v>2276</v>
      </c>
      <c r="P1543" s="4" t="s">
        <v>2276</v>
      </c>
      <c r="Q1543" s="4" t="s">
        <v>2276</v>
      </c>
      <c r="R1543" s="4" t="s">
        <v>2276</v>
      </c>
      <c r="S1543" s="4" t="s">
        <v>2276</v>
      </c>
      <c r="T1543" s="4" t="s">
        <v>2276</v>
      </c>
      <c r="U1543" s="4" t="s">
        <v>2276</v>
      </c>
      <c r="V1543" s="4" t="s">
        <v>2276</v>
      </c>
      <c r="W1543" s="4" t="s">
        <v>2276</v>
      </c>
      <c r="X1543" s="4" t="s">
        <v>2276</v>
      </c>
      <c r="Y1543" s="4" t="s">
        <v>2276</v>
      </c>
      <c r="Z1543" s="4" t="s">
        <v>2276</v>
      </c>
      <c r="AA1543" s="3"/>
      <c r="AB1543" s="3"/>
    </row>
    <row r="1544" spans="1:28" ht="36.5" customHeight="1">
      <c r="A1544" s="152" t="str">
        <f>'Reported burning'!A1544</f>
        <v>180b</v>
      </c>
      <c r="B1544" s="152" t="str">
        <f>'Reported burning'!B1544</f>
        <v>180b.5</v>
      </c>
      <c r="C1544" s="152" t="str">
        <f>'Reported burning'!C1544</f>
        <v>Human, deliberate</v>
      </c>
      <c r="D1544" s="152" t="str">
        <f>'Reported burning'!D1544</f>
        <v>Fishing</v>
      </c>
      <c r="E1544" s="152" t="str">
        <f>'Reported burning'!E1544</f>
        <v>Pastoralism, Migratory</v>
      </c>
      <c r="F1544" s="152" t="str">
        <f>'Reported burning'!F1544</f>
        <v>Shrubland (Mixed forest &amp; grassland)</v>
      </c>
      <c r="G1544" s="152" t="str">
        <f>'Reported burning'!G1544</f>
        <v>All</v>
      </c>
      <c r="H1544" s="152" t="str">
        <f>'Reported burning'!H1544</f>
        <v>Presence</v>
      </c>
      <c r="I1544" s="3"/>
      <c r="J1544" s="4" t="s">
        <v>2276</v>
      </c>
      <c r="K1544" s="4" t="s">
        <v>2276</v>
      </c>
      <c r="L1544" s="4" t="s">
        <v>2276</v>
      </c>
      <c r="M1544" s="4" t="s">
        <v>2276</v>
      </c>
      <c r="N1544" s="4" t="s">
        <v>2276</v>
      </c>
      <c r="O1544" s="4" t="s">
        <v>2276</v>
      </c>
      <c r="P1544" s="4" t="s">
        <v>2276</v>
      </c>
      <c r="Q1544" s="4" t="s">
        <v>2276</v>
      </c>
      <c r="R1544" s="4" t="s">
        <v>2276</v>
      </c>
      <c r="S1544" s="4" t="s">
        <v>2276</v>
      </c>
      <c r="T1544" s="4" t="s">
        <v>2276</v>
      </c>
      <c r="U1544" s="4" t="s">
        <v>2276</v>
      </c>
      <c r="V1544" s="4" t="s">
        <v>2276</v>
      </c>
      <c r="W1544" s="4" t="s">
        <v>2276</v>
      </c>
      <c r="X1544" s="4" t="s">
        <v>2276</v>
      </c>
      <c r="Y1544" s="4" t="s">
        <v>2276</v>
      </c>
      <c r="Z1544" s="4" t="s">
        <v>2276</v>
      </c>
      <c r="AA1544" s="3"/>
      <c r="AB1544" s="3"/>
    </row>
    <row r="1545" spans="1:28" ht="36.5" customHeight="1">
      <c r="A1545" s="152" t="str">
        <f>'Reported burning'!A1545</f>
        <v>180b</v>
      </c>
      <c r="B1545" s="152" t="str">
        <f>'Reported burning'!B1545</f>
        <v>180b.6</v>
      </c>
      <c r="C1545" s="152" t="str">
        <f>'Reported burning'!C1545</f>
        <v>Human, deliberate</v>
      </c>
      <c r="D1545" s="152" t="str">
        <f>'Reported burning'!D1545</f>
        <v>Accessibility</v>
      </c>
      <c r="E1545" s="152" t="str">
        <f>'Reported burning'!E1545</f>
        <v>Forestry, Traditional</v>
      </c>
      <c r="F1545" s="152" t="str">
        <f>'Reported burning'!F1545</f>
        <v>Shrubland (Mixed forest &amp; grassland)</v>
      </c>
      <c r="G1545" s="152" t="str">
        <f>'Reported burning'!G1545</f>
        <v>All</v>
      </c>
      <c r="H1545" s="152" t="str">
        <f>'Reported burning'!H1545</f>
        <v>Presence</v>
      </c>
      <c r="I1545" s="3"/>
      <c r="J1545" s="4" t="s">
        <v>2276</v>
      </c>
      <c r="K1545" s="4" t="s">
        <v>2276</v>
      </c>
      <c r="L1545" s="4" t="s">
        <v>2276</v>
      </c>
      <c r="M1545" s="4" t="s">
        <v>2276</v>
      </c>
      <c r="N1545" s="4" t="s">
        <v>2276</v>
      </c>
      <c r="O1545" s="4" t="s">
        <v>2276</v>
      </c>
      <c r="P1545" s="4" t="s">
        <v>2276</v>
      </c>
      <c r="Q1545" s="4" t="s">
        <v>2276</v>
      </c>
      <c r="R1545" s="4" t="s">
        <v>2276</v>
      </c>
      <c r="S1545" s="4" t="s">
        <v>2276</v>
      </c>
      <c r="T1545" s="4" t="s">
        <v>2276</v>
      </c>
      <c r="U1545" s="4" t="s">
        <v>2276</v>
      </c>
      <c r="V1545" s="4" t="s">
        <v>2276</v>
      </c>
      <c r="W1545" s="4" t="s">
        <v>2276</v>
      </c>
      <c r="X1545" s="4" t="s">
        <v>2276</v>
      </c>
      <c r="Y1545" s="4" t="s">
        <v>2276</v>
      </c>
      <c r="Z1545" s="4" t="s">
        <v>2276</v>
      </c>
      <c r="AA1545" s="3"/>
      <c r="AB1545" s="3"/>
    </row>
    <row r="1546" spans="1:28" ht="36.5" customHeight="1">
      <c r="A1546" s="152" t="str">
        <f>'Reported burning'!A1546</f>
        <v>180b</v>
      </c>
      <c r="B1546" s="152" t="str">
        <f>'Reported burning'!B1546</f>
        <v>180b.7</v>
      </c>
      <c r="C1546" s="152" t="str">
        <f>'Reported burning'!C1546</f>
        <v>Human, deliberate</v>
      </c>
      <c r="D1546" s="152" t="str">
        <f>'Reported burning'!D1546</f>
        <v>Crop field preparation</v>
      </c>
      <c r="E1546" s="152" t="str">
        <f>'Reported burning'!E1546</f>
        <v>Cropping, Swidden</v>
      </c>
      <c r="F1546" s="152" t="str">
        <f>'Reported burning'!F1546</f>
        <v>Shrubland (Mixed forest &amp; grassland)</v>
      </c>
      <c r="G1546" s="152" t="str">
        <f>'Reported burning'!G1546</f>
        <v>All</v>
      </c>
      <c r="H1546" s="152" t="str">
        <f>'Reported burning'!H1546</f>
        <v>Presence</v>
      </c>
      <c r="I1546" s="3"/>
      <c r="J1546" s="4" t="s">
        <v>2276</v>
      </c>
      <c r="K1546" s="4" t="s">
        <v>2276</v>
      </c>
      <c r="L1546" s="4" t="s">
        <v>2276</v>
      </c>
      <c r="M1546" s="4" t="s">
        <v>2276</v>
      </c>
      <c r="N1546" s="4" t="s">
        <v>2276</v>
      </c>
      <c r="O1546" s="4" t="s">
        <v>2276</v>
      </c>
      <c r="P1546" s="4" t="s">
        <v>2276</v>
      </c>
      <c r="Q1546" s="4" t="s">
        <v>2276</v>
      </c>
      <c r="R1546" s="4" t="s">
        <v>2276</v>
      </c>
      <c r="S1546" s="4" t="s">
        <v>2276</v>
      </c>
      <c r="T1546" s="4" t="s">
        <v>2276</v>
      </c>
      <c r="U1546" s="4" t="s">
        <v>2276</v>
      </c>
      <c r="V1546" s="4" t="s">
        <v>2276</v>
      </c>
      <c r="W1546" s="4" t="s">
        <v>2276</v>
      </c>
      <c r="X1546" s="4" t="s">
        <v>2276</v>
      </c>
      <c r="Y1546" s="4" t="s">
        <v>2276</v>
      </c>
      <c r="Z1546" s="4" t="s">
        <v>2276</v>
      </c>
      <c r="AA1546" s="3"/>
      <c r="AB1546" s="3"/>
    </row>
    <row r="1547" spans="1:28" ht="43.5" customHeight="1">
      <c r="A1547" s="152" t="str">
        <f>'Reported burning'!A1547</f>
        <v>180b</v>
      </c>
      <c r="B1547" s="152" t="str">
        <f>'Reported burning'!B1547</f>
        <v>180b.8</v>
      </c>
      <c r="C1547" s="152" t="str">
        <f>'Reported burning'!C1547</f>
        <v>Human, deliberate</v>
      </c>
      <c r="D1547" s="152" t="str">
        <f>'Reported burning'!D1547</f>
        <v>Land clearance</v>
      </c>
      <c r="E1547" s="152" t="str">
        <f>'Reported burning'!E1547</f>
        <v>Cropping, Swidden</v>
      </c>
      <c r="F1547" s="152" t="str">
        <f>'Reported burning'!F1547</f>
        <v>Shrubland (Mixed forest &amp; grassland)</v>
      </c>
      <c r="G1547" s="152" t="str">
        <f>'Reported burning'!G1547</f>
        <v>All</v>
      </c>
      <c r="H1547" s="152" t="str">
        <f>'Reported burning'!H1547</f>
        <v>Presence</v>
      </c>
      <c r="I1547" s="3"/>
      <c r="J1547" s="4" t="s">
        <v>2276</v>
      </c>
      <c r="K1547" s="4" t="s">
        <v>2276</v>
      </c>
      <c r="L1547" s="4" t="s">
        <v>2276</v>
      </c>
      <c r="M1547" s="4" t="s">
        <v>2276</v>
      </c>
      <c r="N1547" s="4" t="s">
        <v>2276</v>
      </c>
      <c r="O1547" s="4" t="s">
        <v>2276</v>
      </c>
      <c r="P1547" s="4" t="s">
        <v>2276</v>
      </c>
      <c r="Q1547" s="4" t="s">
        <v>2276</v>
      </c>
      <c r="R1547" s="4" t="s">
        <v>2276</v>
      </c>
      <c r="S1547" s="4" t="s">
        <v>2276</v>
      </c>
      <c r="T1547" s="4" t="s">
        <v>2276</v>
      </c>
      <c r="U1547" s="4" t="s">
        <v>2276</v>
      </c>
      <c r="V1547" s="4" t="s">
        <v>2276</v>
      </c>
      <c r="W1547" s="4" t="s">
        <v>2276</v>
      </c>
      <c r="X1547" s="4" t="s">
        <v>2276</v>
      </c>
      <c r="Y1547" s="4" t="s">
        <v>2276</v>
      </c>
      <c r="Z1547" s="4" t="s">
        <v>2276</v>
      </c>
      <c r="AA1547" s="4" t="s">
        <v>4559</v>
      </c>
      <c r="AB1547" s="3"/>
    </row>
    <row r="1548" spans="1:28" ht="36.5" customHeight="1">
      <c r="A1548" s="152" t="str">
        <f>'Reported burning'!A1548</f>
        <v>180b</v>
      </c>
      <c r="B1548" s="152" t="str">
        <f>'Reported burning'!B1548</f>
        <v>180b.9</v>
      </c>
      <c r="C1548" s="152" t="str">
        <f>'Reported burning'!C1548</f>
        <v>Human, deliberate</v>
      </c>
      <c r="D1548" s="152" t="str">
        <f>'Reported burning'!D1548</f>
        <v>Harvesting of NTFP</v>
      </c>
      <c r="E1548" s="152" t="str">
        <f>'Reported burning'!E1548</f>
        <v>Forestry, Traditional</v>
      </c>
      <c r="F1548" s="152" t="str">
        <f>'Reported burning'!F1548</f>
        <v>Shrubland (Mixed forest &amp; grassland)</v>
      </c>
      <c r="G1548" s="152" t="str">
        <f>'Reported burning'!G1548</f>
        <v>All</v>
      </c>
      <c r="H1548" s="152" t="str">
        <f>'Reported burning'!H1548</f>
        <v>Presence</v>
      </c>
      <c r="I1548" s="3"/>
      <c r="J1548" s="4" t="s">
        <v>2276</v>
      </c>
      <c r="K1548" s="4" t="s">
        <v>2276</v>
      </c>
      <c r="L1548" s="4" t="s">
        <v>2276</v>
      </c>
      <c r="M1548" s="4" t="s">
        <v>2276</v>
      </c>
      <c r="N1548" s="4" t="s">
        <v>2276</v>
      </c>
      <c r="O1548" s="4" t="s">
        <v>2276</v>
      </c>
      <c r="P1548" s="4" t="s">
        <v>2276</v>
      </c>
      <c r="Q1548" s="4" t="s">
        <v>2276</v>
      </c>
      <c r="R1548" s="4" t="s">
        <v>2276</v>
      </c>
      <c r="S1548" s="4" t="s">
        <v>2276</v>
      </c>
      <c r="T1548" s="4" t="s">
        <v>2276</v>
      </c>
      <c r="U1548" s="4" t="s">
        <v>2276</v>
      </c>
      <c r="V1548" s="4" t="s">
        <v>2276</v>
      </c>
      <c r="W1548" s="4" t="s">
        <v>2276</v>
      </c>
      <c r="X1548" s="4" t="s">
        <v>2276</v>
      </c>
      <c r="Y1548" s="4" t="s">
        <v>2276</v>
      </c>
      <c r="Z1548" s="4" t="s">
        <v>2276</v>
      </c>
      <c r="AA1548" s="3"/>
      <c r="AB1548" s="3"/>
    </row>
    <row r="1549" spans="1:28" ht="40.5" customHeight="1">
      <c r="A1549" s="152" t="str">
        <f>'Reported burning'!A1549</f>
        <v>180b</v>
      </c>
      <c r="B1549" s="152" t="str">
        <f>'Reported burning'!B1549</f>
        <v>180b.10</v>
      </c>
      <c r="C1549" s="152" t="str">
        <f>'Reported burning'!C1549</f>
        <v>Human, deliberate</v>
      </c>
      <c r="D1549" s="152" t="str">
        <f>'Reported burning'!D1549</f>
        <v>Pest management</v>
      </c>
      <c r="E1549" s="152" t="str">
        <f>'Reported burning'!E1549</f>
        <v>Pastoralism, Migratory</v>
      </c>
      <c r="F1549" s="152" t="str">
        <f>'Reported burning'!F1549</f>
        <v>Shrubland (Mixed forest &amp; grassland)</v>
      </c>
      <c r="G1549" s="152" t="str">
        <f>'Reported burning'!G1549</f>
        <v>All</v>
      </c>
      <c r="H1549" s="152" t="str">
        <f>'Reported burning'!H1549</f>
        <v>Presence</v>
      </c>
      <c r="I1549" s="3"/>
      <c r="J1549" s="4" t="s">
        <v>2276</v>
      </c>
      <c r="K1549" s="4" t="s">
        <v>2276</v>
      </c>
      <c r="L1549" s="4" t="s">
        <v>2276</v>
      </c>
      <c r="M1549" s="4" t="s">
        <v>2276</v>
      </c>
      <c r="N1549" s="4" t="s">
        <v>2276</v>
      </c>
      <c r="O1549" s="4" t="s">
        <v>2276</v>
      </c>
      <c r="P1549" s="4" t="s">
        <v>2276</v>
      </c>
      <c r="Q1549" s="4" t="s">
        <v>2276</v>
      </c>
      <c r="R1549" s="4" t="s">
        <v>2276</v>
      </c>
      <c r="S1549" s="4" t="s">
        <v>2276</v>
      </c>
      <c r="T1549" s="4" t="s">
        <v>2276</v>
      </c>
      <c r="U1549" s="4" t="s">
        <v>2276</v>
      </c>
      <c r="V1549" s="4" t="s">
        <v>2276</v>
      </c>
      <c r="W1549" s="4" t="s">
        <v>2276</v>
      </c>
      <c r="X1549" s="4" t="s">
        <v>2276</v>
      </c>
      <c r="Y1549" s="4" t="s">
        <v>2276</v>
      </c>
      <c r="Z1549" s="4" t="s">
        <v>2276</v>
      </c>
      <c r="AA1549" s="3"/>
      <c r="AB1549" s="3"/>
    </row>
    <row r="1550" spans="1:28" ht="64.5" customHeight="1">
      <c r="A1550" s="152" t="str">
        <f>'Reported burning'!A1550</f>
        <v>180b</v>
      </c>
      <c r="B1550" s="152" t="str">
        <f>'Reported burning'!B1550</f>
        <v>180b.11</v>
      </c>
      <c r="C1550" s="152" t="str">
        <f>'Reported burning'!C1550</f>
        <v>Human, deliberate</v>
      </c>
      <c r="D1550" s="152" t="str">
        <f>'Reported burning'!D1550</f>
        <v>All</v>
      </c>
      <c r="E1550" s="152" t="str">
        <f>'Reported burning'!E1550</f>
        <v>Pastoralism, Migratory</v>
      </c>
      <c r="F1550" s="152" t="str">
        <f>'Reported burning'!F1550</f>
        <v>Shrubland (Mixed forest &amp; grassland)</v>
      </c>
      <c r="G1550" s="152" t="str">
        <f>'Reported burning'!G1550</f>
        <v>All</v>
      </c>
      <c r="H1550" s="152" t="str">
        <f>'Reported burning'!H1550</f>
        <v>Presence</v>
      </c>
      <c r="I1550" s="3"/>
      <c r="J1550" s="4" t="s">
        <v>2276</v>
      </c>
      <c r="K1550" s="4" t="s">
        <v>2276</v>
      </c>
      <c r="L1550" s="4" t="s">
        <v>2276</v>
      </c>
      <c r="M1550" s="4" t="s">
        <v>2276</v>
      </c>
      <c r="N1550" s="4" t="s">
        <v>2276</v>
      </c>
      <c r="O1550" s="4" t="s">
        <v>2276</v>
      </c>
      <c r="P1550" s="4" t="s">
        <v>2276</v>
      </c>
      <c r="Q1550" s="4" t="s">
        <v>2276</v>
      </c>
      <c r="R1550" s="4" t="s">
        <v>2276</v>
      </c>
      <c r="S1550" s="4" t="s">
        <v>2276</v>
      </c>
      <c r="T1550" s="4" t="s">
        <v>2276</v>
      </c>
      <c r="U1550" s="4" t="s">
        <v>2276</v>
      </c>
      <c r="V1550" s="4" t="s">
        <v>2276</v>
      </c>
      <c r="W1550" s="4" t="s">
        <v>2276</v>
      </c>
      <c r="X1550" s="4" t="s">
        <v>2276</v>
      </c>
      <c r="Y1550" s="4" t="s">
        <v>2276</v>
      </c>
      <c r="Z1550" s="4" t="s">
        <v>2276</v>
      </c>
      <c r="AA1550" s="4"/>
      <c r="AB1550" s="3"/>
    </row>
    <row r="1551" spans="1:28" ht="45" customHeight="1">
      <c r="A1551" s="152" t="str">
        <f>'Reported burning'!A1551</f>
        <v>180c</v>
      </c>
      <c r="B1551" s="152" t="str">
        <f>'Reported burning'!B1551</f>
        <v>180c.1</v>
      </c>
      <c r="C1551" s="152" t="str">
        <f>'Reported burning'!C1551</f>
        <v>Human, deliberate</v>
      </c>
      <c r="D1551" s="152" t="str">
        <f>'Reported burning'!D1551</f>
        <v>Conservation</v>
      </c>
      <c r="E1551" s="152" t="str">
        <f>'Reported burning'!E1551</f>
        <v>Biodiversity conservation</v>
      </c>
      <c r="F1551" s="152" t="str">
        <f>'Reported burning'!F1551</f>
        <v>Shrubland (Mixed forest &amp; grassland)</v>
      </c>
      <c r="G1551" s="152" t="str">
        <f>'Reported burning'!G1551</f>
        <v>All</v>
      </c>
      <c r="H1551" s="152" t="str">
        <f>'Reported burning'!H1551</f>
        <v>Presence</v>
      </c>
      <c r="I1551" s="3"/>
      <c r="J1551" s="4" t="s">
        <v>2276</v>
      </c>
      <c r="K1551" s="4" t="s">
        <v>2276</v>
      </c>
      <c r="L1551" s="4" t="s">
        <v>2276</v>
      </c>
      <c r="M1551" s="4" t="s">
        <v>2276</v>
      </c>
      <c r="N1551" s="4" t="s">
        <v>2276</v>
      </c>
      <c r="O1551" s="4" t="s">
        <v>2276</v>
      </c>
      <c r="P1551" s="4" t="s">
        <v>2276</v>
      </c>
      <c r="Q1551" s="4" t="s">
        <v>2276</v>
      </c>
      <c r="R1551" s="4" t="s">
        <v>2276</v>
      </c>
      <c r="S1551" s="4" t="s">
        <v>2276</v>
      </c>
      <c r="T1551" s="4" t="s">
        <v>2276</v>
      </c>
      <c r="U1551" s="4" t="s">
        <v>2276</v>
      </c>
      <c r="V1551" s="4" t="s">
        <v>2276</v>
      </c>
      <c r="W1551" s="4" t="s">
        <v>2276</v>
      </c>
      <c r="X1551" s="4" t="s">
        <v>2276</v>
      </c>
      <c r="Y1551" s="4" t="s">
        <v>2276</v>
      </c>
      <c r="Z1551" s="4" t="s">
        <v>2276</v>
      </c>
      <c r="AA1551" s="4"/>
      <c r="AB1551" s="3"/>
    </row>
    <row r="1552" spans="1:28" ht="43" customHeight="1">
      <c r="A1552" s="152" t="str">
        <f>'Reported burning'!A1552</f>
        <v>180c</v>
      </c>
      <c r="B1552" s="152" t="str">
        <f>'Reported burning'!B1552</f>
        <v>180c.2</v>
      </c>
      <c r="C1552" s="152" t="str">
        <f>'Reported burning'!C1552</f>
        <v>Human, deliberate</v>
      </c>
      <c r="D1552" s="152" t="str">
        <f>'Reported burning'!D1552</f>
        <v>Hunting</v>
      </c>
      <c r="E1552" s="152" t="str">
        <f>'Reported burning'!E1552</f>
        <v>Tourism manager</v>
      </c>
      <c r="F1552" s="152" t="str">
        <f>'Reported burning'!F1552</f>
        <v>Shrubland (Mixed forest &amp; grassland)</v>
      </c>
      <c r="G1552" s="152" t="str">
        <f>'Reported burning'!G1552</f>
        <v>All</v>
      </c>
      <c r="H1552" s="152" t="str">
        <f>'Reported burning'!H1552</f>
        <v>Presence</v>
      </c>
      <c r="I1552" s="3"/>
      <c r="J1552" s="4" t="s">
        <v>2276</v>
      </c>
      <c r="K1552" s="4" t="s">
        <v>2276</v>
      </c>
      <c r="L1552" s="4" t="s">
        <v>2276</v>
      </c>
      <c r="M1552" s="4" t="s">
        <v>2276</v>
      </c>
      <c r="N1552" s="4" t="s">
        <v>2276</v>
      </c>
      <c r="O1552" s="4" t="s">
        <v>2276</v>
      </c>
      <c r="P1552" s="4" t="s">
        <v>2276</v>
      </c>
      <c r="Q1552" s="4" t="s">
        <v>2276</v>
      </c>
      <c r="R1552" s="4" t="s">
        <v>2276</v>
      </c>
      <c r="S1552" s="4" t="s">
        <v>2276</v>
      </c>
      <c r="T1552" s="4" t="s">
        <v>2276</v>
      </c>
      <c r="U1552" s="4" t="s">
        <v>2276</v>
      </c>
      <c r="V1552" s="4" t="s">
        <v>2276</v>
      </c>
      <c r="W1552" s="4" t="s">
        <v>2276</v>
      </c>
      <c r="X1552" s="4" t="s">
        <v>2276</v>
      </c>
      <c r="Y1552" s="4" t="s">
        <v>2276</v>
      </c>
      <c r="Z1552" s="4" t="s">
        <v>2276</v>
      </c>
      <c r="AA1552" s="3"/>
      <c r="AB1552" s="3"/>
    </row>
    <row r="1553" spans="1:28" ht="69.5" customHeight="1">
      <c r="A1553" s="152" t="str">
        <f>'Reported burning'!A1553</f>
        <v>180c</v>
      </c>
      <c r="B1553" s="152" t="str">
        <f>'Reported burning'!B1553</f>
        <v>180c.3</v>
      </c>
      <c r="C1553" s="152" t="str">
        <f>'Reported burning'!C1553</f>
        <v>Human, deliberate</v>
      </c>
      <c r="D1553" s="152" t="str">
        <f>'Reported burning'!D1553</f>
        <v>All</v>
      </c>
      <c r="E1553" s="152" t="str">
        <f>'Reported burning'!E1553</f>
        <v>All</v>
      </c>
      <c r="F1553" s="152" t="str">
        <f>'Reported burning'!F1553</f>
        <v>Shrubland (Mixed forest &amp; grassland)</v>
      </c>
      <c r="G1553" s="152" t="str">
        <f>'Reported burning'!G1553</f>
        <v>All</v>
      </c>
      <c r="H1553" s="152" t="str">
        <f>'Reported burning'!H1553</f>
        <v>Presence</v>
      </c>
      <c r="I1553" s="3"/>
      <c r="J1553" s="4" t="s">
        <v>2276</v>
      </c>
      <c r="K1553" s="4" t="s">
        <v>2276</v>
      </c>
      <c r="L1553" s="4" t="s">
        <v>2276</v>
      </c>
      <c r="M1553" s="4" t="s">
        <v>2276</v>
      </c>
      <c r="N1553" s="4" t="s">
        <v>2276</v>
      </c>
      <c r="O1553" s="4" t="s">
        <v>2276</v>
      </c>
      <c r="P1553" s="4" t="s">
        <v>2276</v>
      </c>
      <c r="Q1553" s="4" t="s">
        <v>2276</v>
      </c>
      <c r="R1553" s="4" t="s">
        <v>2276</v>
      </c>
      <c r="S1553" s="4" t="s">
        <v>2276</v>
      </c>
      <c r="T1553" s="4" t="s">
        <v>2276</v>
      </c>
      <c r="U1553" s="4" t="s">
        <v>2276</v>
      </c>
      <c r="V1553" s="4" t="s">
        <v>2276</v>
      </c>
      <c r="W1553" s="3" t="s">
        <v>2401</v>
      </c>
      <c r="X1553" s="4" t="s">
        <v>2276</v>
      </c>
      <c r="Y1553" s="4" t="s">
        <v>2276</v>
      </c>
      <c r="Z1553" s="4" t="s">
        <v>2276</v>
      </c>
      <c r="AA1553" s="4" t="s">
        <v>4577</v>
      </c>
      <c r="AB1553" s="3"/>
    </row>
    <row r="1554" spans="1:28" ht="38" customHeight="1">
      <c r="A1554" s="152" t="str">
        <f>'Reported burning'!A1554</f>
        <v>180d</v>
      </c>
      <c r="B1554" s="152" t="str">
        <f>'Reported burning'!B1554</f>
        <v>180d.1</v>
      </c>
      <c r="C1554" s="152" t="str">
        <f>'Reported burning'!C1554</f>
        <v>Human, deliberate</v>
      </c>
      <c r="D1554" s="152" t="str">
        <f>'Reported burning'!D1554</f>
        <v>Pest management</v>
      </c>
      <c r="E1554" s="152" t="str">
        <f>'Reported burning'!E1554</f>
        <v>Pastoralism, Migratory</v>
      </c>
      <c r="F1554" s="152" t="str">
        <f>'Reported burning'!F1554</f>
        <v>Shrubland (Mixed forest &amp; grassland)</v>
      </c>
      <c r="G1554" s="152" t="str">
        <f>'Reported burning'!G1554</f>
        <v>All</v>
      </c>
      <c r="H1554" s="152" t="str">
        <f>'Reported burning'!H1554</f>
        <v>Presence</v>
      </c>
      <c r="I1554" s="3"/>
      <c r="J1554" s="4" t="s">
        <v>2276</v>
      </c>
      <c r="K1554" s="4" t="s">
        <v>2276</v>
      </c>
      <c r="L1554" s="4" t="s">
        <v>2276</v>
      </c>
      <c r="M1554" s="4" t="s">
        <v>2276</v>
      </c>
      <c r="N1554" s="4" t="s">
        <v>2276</v>
      </c>
      <c r="O1554" s="4" t="s">
        <v>2276</v>
      </c>
      <c r="P1554" s="4" t="s">
        <v>2276</v>
      </c>
      <c r="Q1554" s="4" t="s">
        <v>2276</v>
      </c>
      <c r="R1554" s="4" t="s">
        <v>2276</v>
      </c>
      <c r="S1554" s="4" t="s">
        <v>2276</v>
      </c>
      <c r="T1554" s="4" t="s">
        <v>2276</v>
      </c>
      <c r="U1554" s="4" t="s">
        <v>2276</v>
      </c>
      <c r="V1554" s="4" t="s">
        <v>2276</v>
      </c>
      <c r="W1554" s="4" t="s">
        <v>2276</v>
      </c>
      <c r="X1554" s="4" t="s">
        <v>2276</v>
      </c>
      <c r="Y1554" s="4" t="s">
        <v>2276</v>
      </c>
      <c r="Z1554" s="4" t="s">
        <v>2276</v>
      </c>
      <c r="AA1554" s="3"/>
      <c r="AB1554" s="3"/>
    </row>
    <row r="1555" spans="1:28" ht="58" customHeight="1">
      <c r="A1555" s="152" t="str">
        <f>'Reported burning'!A1555</f>
        <v>180d</v>
      </c>
      <c r="B1555" s="152" t="str">
        <f>'Reported burning'!B1555</f>
        <v>180d.2</v>
      </c>
      <c r="C1555" s="152" t="str">
        <f>'Reported burning'!C1555</f>
        <v>Human, deliberate</v>
      </c>
      <c r="D1555" s="152" t="str">
        <f>'Reported burning'!D1555</f>
        <v>All</v>
      </c>
      <c r="E1555" s="152" t="str">
        <f>'Reported burning'!E1555</f>
        <v>Pastoralism, Migratory</v>
      </c>
      <c r="F1555" s="152" t="str">
        <f>'Reported burning'!F1555</f>
        <v>Shrubland (Mixed forest &amp; grassland)</v>
      </c>
      <c r="G1555" s="152" t="str">
        <f>'Reported burning'!G1555</f>
        <v>All</v>
      </c>
      <c r="H1555" s="152" t="str">
        <f>'Reported burning'!H1555</f>
        <v>Presence</v>
      </c>
      <c r="I1555" s="3"/>
      <c r="J1555" s="4" t="s">
        <v>2276</v>
      </c>
      <c r="K1555" s="4" t="s">
        <v>2276</v>
      </c>
      <c r="L1555" s="4" t="s">
        <v>2276</v>
      </c>
      <c r="M1555" s="4" t="s">
        <v>2276</v>
      </c>
      <c r="N1555" s="4" t="s">
        <v>2276</v>
      </c>
      <c r="O1555" s="4" t="s">
        <v>2276</v>
      </c>
      <c r="P1555" s="4" t="s">
        <v>2276</v>
      </c>
      <c r="Q1555" s="4" t="s">
        <v>2276</v>
      </c>
      <c r="R1555" s="4" t="s">
        <v>2276</v>
      </c>
      <c r="S1555" s="4" t="s">
        <v>2276</v>
      </c>
      <c r="T1555" s="4" t="s">
        <v>2276</v>
      </c>
      <c r="U1555" s="4" t="s">
        <v>2276</v>
      </c>
      <c r="V1555" s="4" t="s">
        <v>2276</v>
      </c>
      <c r="W1555" s="3" t="s">
        <v>2375</v>
      </c>
      <c r="X1555" s="4" t="s">
        <v>2276</v>
      </c>
      <c r="Y1555" s="4" t="s">
        <v>2276</v>
      </c>
      <c r="Z1555" s="4" t="s">
        <v>2276</v>
      </c>
      <c r="AA1555" s="4" t="s">
        <v>4580</v>
      </c>
      <c r="AB1555" s="3"/>
    </row>
    <row r="1556" spans="1:28" ht="29">
      <c r="A1556" s="156" t="str">
        <f>'Reported burning'!A1556</f>
        <v>180e</v>
      </c>
      <c r="B1556" s="156" t="str">
        <f>'Reported burning'!B1556</f>
        <v>180e.1</v>
      </c>
      <c r="C1556" s="156" t="str">
        <f>'Reported burning'!C1556</f>
        <v>Human, deliberate</v>
      </c>
      <c r="D1556" s="156" t="str">
        <f>'Reported burning'!D1556</f>
        <v>Pyrome management</v>
      </c>
      <c r="E1556" s="156" t="str">
        <f>'Reported burning'!E1556</f>
        <v>Biodiversity conservation</v>
      </c>
      <c r="F1556" s="156" t="str">
        <f>'Reported burning'!F1556</f>
        <v>Shrubland (Mixed forest &amp; grassland)</v>
      </c>
      <c r="G1556" s="156" t="str">
        <f>'Reported burning'!G1556</f>
        <v>All</v>
      </c>
      <c r="H1556" s="156" t="str">
        <f>'Reported burning'!H1556</f>
        <v>Presence</v>
      </c>
      <c r="I1556" s="5"/>
      <c r="J1556" s="4" t="s">
        <v>2276</v>
      </c>
      <c r="K1556" s="4" t="s">
        <v>2276</v>
      </c>
      <c r="L1556" s="4" t="s">
        <v>2276</v>
      </c>
      <c r="M1556" s="4" t="s">
        <v>2276</v>
      </c>
      <c r="N1556" s="4" t="s">
        <v>2276</v>
      </c>
      <c r="O1556" s="4" t="s">
        <v>2276</v>
      </c>
      <c r="P1556" s="4" t="s">
        <v>2276</v>
      </c>
      <c r="Q1556" s="4" t="s">
        <v>2276</v>
      </c>
      <c r="R1556" s="4" t="s">
        <v>2276</v>
      </c>
      <c r="S1556" s="4" t="s">
        <v>2276</v>
      </c>
      <c r="T1556" s="4" t="s">
        <v>2276</v>
      </c>
      <c r="U1556" s="4" t="s">
        <v>2276</v>
      </c>
      <c r="V1556" s="4" t="s">
        <v>2276</v>
      </c>
      <c r="W1556" s="4" t="s">
        <v>2276</v>
      </c>
      <c r="X1556" s="4" t="s">
        <v>2276</v>
      </c>
      <c r="Y1556" s="4" t="s">
        <v>2276</v>
      </c>
      <c r="Z1556" s="4" t="s">
        <v>2276</v>
      </c>
      <c r="AA1556" s="3" t="s">
        <v>4593</v>
      </c>
      <c r="AB1556" s="3"/>
    </row>
    <row r="1557" spans="1:28" ht="29">
      <c r="A1557" s="152" t="str">
        <f>'Reported burning'!A1557</f>
        <v>180f</v>
      </c>
      <c r="B1557" s="152" t="str">
        <f>'Reported burning'!B1557</f>
        <v>180f.1</v>
      </c>
      <c r="C1557" s="152" t="str">
        <f>'Reported burning'!C1557</f>
        <v>Human, deliberate</v>
      </c>
      <c r="D1557" s="152" t="str">
        <f>'Reported burning'!D1557</f>
        <v>Pyrome management</v>
      </c>
      <c r="E1557" s="152" t="str">
        <f>'Reported burning'!E1557</f>
        <v>Biodiversity conservation</v>
      </c>
      <c r="F1557" s="152" t="str">
        <f>'Reported burning'!F1557</f>
        <v>Shrubland (Mixed forest &amp; grassland)</v>
      </c>
      <c r="G1557" s="152" t="str">
        <f>'Reported burning'!G1557</f>
        <v>All</v>
      </c>
      <c r="H1557" s="152" t="str">
        <f>'Reported burning'!H1557</f>
        <v>Presence</v>
      </c>
      <c r="I1557" s="3"/>
      <c r="J1557" s="4" t="s">
        <v>2276</v>
      </c>
      <c r="K1557" s="4" t="s">
        <v>2276</v>
      </c>
      <c r="L1557" s="4" t="s">
        <v>2276</v>
      </c>
      <c r="M1557" s="4" t="s">
        <v>2276</v>
      </c>
      <c r="N1557" s="4" t="s">
        <v>2276</v>
      </c>
      <c r="O1557" s="4" t="s">
        <v>2276</v>
      </c>
      <c r="P1557" s="4" t="s">
        <v>2276</v>
      </c>
      <c r="Q1557" s="4" t="s">
        <v>2276</v>
      </c>
      <c r="R1557" s="4" t="s">
        <v>2276</v>
      </c>
      <c r="S1557" s="4" t="s">
        <v>2276</v>
      </c>
      <c r="T1557" s="4" t="s">
        <v>2276</v>
      </c>
      <c r="U1557" s="4" t="s">
        <v>2276</v>
      </c>
      <c r="V1557" s="4" t="s">
        <v>2276</v>
      </c>
      <c r="W1557" s="4" t="s">
        <v>2276</v>
      </c>
      <c r="X1557" s="4" t="s">
        <v>2276</v>
      </c>
      <c r="Y1557" s="4" t="s">
        <v>2276</v>
      </c>
      <c r="Z1557" s="4" t="s">
        <v>2276</v>
      </c>
      <c r="AA1557" s="3" t="s">
        <v>4593</v>
      </c>
      <c r="AB1557" s="3"/>
    </row>
    <row r="1558" spans="1:28" ht="29">
      <c r="A1558" s="152" t="str">
        <f>'Reported burning'!A1558</f>
        <v>180e</v>
      </c>
      <c r="B1558" s="152" t="str">
        <f>'Reported burning'!B1558</f>
        <v>180e.2</v>
      </c>
      <c r="C1558" s="152" t="str">
        <f>'Reported burning'!C1558</f>
        <v>Human, deliberate</v>
      </c>
      <c r="D1558" s="152" t="str">
        <f>'Reported burning'!D1558</f>
        <v>Conservation</v>
      </c>
      <c r="E1558" s="152" t="str">
        <f>'Reported burning'!E1558</f>
        <v>Biodiversity conservation</v>
      </c>
      <c r="F1558" s="152" t="str">
        <f>'Reported burning'!F1558</f>
        <v>Shrubland (Mixed forest &amp; grassland)</v>
      </c>
      <c r="G1558" s="152" t="str">
        <f>'Reported burning'!G1558</f>
        <v>All</v>
      </c>
      <c r="H1558" s="152" t="str">
        <f>'Reported burning'!H1558</f>
        <v>Presence</v>
      </c>
      <c r="I1558" s="3"/>
      <c r="J1558" s="4" t="s">
        <v>2276</v>
      </c>
      <c r="K1558" s="4" t="s">
        <v>2276</v>
      </c>
      <c r="L1558" s="4" t="s">
        <v>2276</v>
      </c>
      <c r="M1558" s="4" t="s">
        <v>2276</v>
      </c>
      <c r="N1558" s="4" t="s">
        <v>2276</v>
      </c>
      <c r="O1558" s="4" t="s">
        <v>2276</v>
      </c>
      <c r="P1558" s="4" t="s">
        <v>2276</v>
      </c>
      <c r="Q1558" s="4" t="s">
        <v>2276</v>
      </c>
      <c r="R1558" s="4" t="s">
        <v>2276</v>
      </c>
      <c r="S1558" s="4" t="s">
        <v>2276</v>
      </c>
      <c r="T1558" s="4" t="s">
        <v>2276</v>
      </c>
      <c r="U1558" s="4" t="s">
        <v>2276</v>
      </c>
      <c r="V1558" s="4" t="s">
        <v>2276</v>
      </c>
      <c r="W1558" s="4" t="s">
        <v>2276</v>
      </c>
      <c r="X1558" s="4" t="s">
        <v>2276</v>
      </c>
      <c r="Y1558" s="4" t="s">
        <v>2276</v>
      </c>
      <c r="Z1558" s="4" t="s">
        <v>2276</v>
      </c>
      <c r="AA1558" s="3" t="s">
        <v>4593</v>
      </c>
      <c r="AB1558" s="3"/>
    </row>
    <row r="1559" spans="1:28" ht="36.5" customHeight="1">
      <c r="A1559" s="152" t="str">
        <f>'Reported burning'!A1559</f>
        <v>180f</v>
      </c>
      <c r="B1559" s="152" t="str">
        <f>'Reported burning'!B1559</f>
        <v>180f.2</v>
      </c>
      <c r="C1559" s="152" t="str">
        <f>'Reported burning'!C1559</f>
        <v>Human, deliberate</v>
      </c>
      <c r="D1559" s="152" t="str">
        <f>'Reported burning'!D1559</f>
        <v>Conservation</v>
      </c>
      <c r="E1559" s="152" t="str">
        <f>'Reported burning'!E1559</f>
        <v>Biodiversity conservation</v>
      </c>
      <c r="F1559" s="152" t="str">
        <f>'Reported burning'!F1559</f>
        <v>Shrubland (Mixed forest &amp; grassland)</v>
      </c>
      <c r="G1559" s="152" t="str">
        <f>'Reported burning'!G1559</f>
        <v>All</v>
      </c>
      <c r="H1559" s="152" t="str">
        <f>'Reported burning'!H1559</f>
        <v>Presence</v>
      </c>
      <c r="I1559" s="3"/>
      <c r="J1559" s="4" t="s">
        <v>2276</v>
      </c>
      <c r="K1559" s="4" t="s">
        <v>2276</v>
      </c>
      <c r="L1559" s="4" t="s">
        <v>2276</v>
      </c>
      <c r="M1559" s="4" t="s">
        <v>2276</v>
      </c>
      <c r="N1559" s="4" t="s">
        <v>2276</v>
      </c>
      <c r="O1559" s="4" t="s">
        <v>2276</v>
      </c>
      <c r="P1559" s="4" t="s">
        <v>2276</v>
      </c>
      <c r="Q1559" s="4" t="s">
        <v>2276</v>
      </c>
      <c r="R1559" s="4" t="s">
        <v>2276</v>
      </c>
      <c r="S1559" s="4" t="s">
        <v>2276</v>
      </c>
      <c r="T1559" s="4" t="s">
        <v>2276</v>
      </c>
      <c r="U1559" s="4" t="s">
        <v>2276</v>
      </c>
      <c r="V1559" s="4" t="s">
        <v>2276</v>
      </c>
      <c r="W1559" s="4" t="s">
        <v>2276</v>
      </c>
      <c r="X1559" s="4" t="s">
        <v>2276</v>
      </c>
      <c r="Y1559" s="4" t="s">
        <v>2276</v>
      </c>
      <c r="Z1559" s="4" t="s">
        <v>2276</v>
      </c>
      <c r="AA1559" s="3" t="s">
        <v>4593</v>
      </c>
      <c r="AB1559" s="3"/>
    </row>
    <row r="1560" spans="1:28" ht="52" customHeight="1">
      <c r="A1560" s="152" t="str">
        <f>'Reported burning'!A1560</f>
        <v>181a</v>
      </c>
      <c r="B1560" s="152" t="str">
        <f>'Reported burning'!B1560</f>
        <v>181a.1</v>
      </c>
      <c r="C1560" s="152" t="str">
        <f>'Reported burning'!C1560</f>
        <v>Lightning</v>
      </c>
      <c r="D1560" s="152" t="str">
        <f>'Reported burning'!D1560</f>
        <v>Pyrome management</v>
      </c>
      <c r="E1560" s="152" t="str">
        <f>'Reported burning'!E1560</f>
        <v>Biodiversity conservation</v>
      </c>
      <c r="F1560" s="152" t="str">
        <f>'Reported burning'!F1560</f>
        <v>Shrubland (Mixed forest &amp; grassland)</v>
      </c>
      <c r="G1560" s="152" t="str">
        <f>'Reported burning'!G1560</f>
        <v>Shrubland (Mixed forest &amp; grassland)</v>
      </c>
      <c r="H1560" s="152" t="str">
        <f>'Reported burning'!H1560</f>
        <v>Presence</v>
      </c>
      <c r="I1560" s="3"/>
      <c r="J1560" s="4" t="s">
        <v>2276</v>
      </c>
      <c r="K1560" s="4" t="s">
        <v>2276</v>
      </c>
      <c r="L1560" s="4" t="s">
        <v>2276</v>
      </c>
      <c r="M1560" s="4" t="s">
        <v>2276</v>
      </c>
      <c r="N1560" s="4" t="s">
        <v>2276</v>
      </c>
      <c r="O1560" s="4" t="s">
        <v>2276</v>
      </c>
      <c r="P1560" s="4" t="s">
        <v>2276</v>
      </c>
      <c r="Q1560" s="4" t="s">
        <v>2276</v>
      </c>
      <c r="R1560" s="4" t="s">
        <v>2276</v>
      </c>
      <c r="S1560" s="4" t="s">
        <v>2276</v>
      </c>
      <c r="T1560" s="4" t="s">
        <v>2276</v>
      </c>
      <c r="U1560" s="4" t="s">
        <v>2276</v>
      </c>
      <c r="V1560" s="4" t="s">
        <v>2276</v>
      </c>
      <c r="W1560" s="4" t="s">
        <v>2276</v>
      </c>
      <c r="X1560" s="3" t="s">
        <v>425</v>
      </c>
      <c r="Y1560" s="3" t="s">
        <v>68</v>
      </c>
      <c r="Z1560" s="3" t="s">
        <v>64</v>
      </c>
      <c r="AA1560" s="4" t="s">
        <v>4607</v>
      </c>
      <c r="AB1560" s="4" t="s">
        <v>4610</v>
      </c>
    </row>
    <row r="1561" spans="1:28" ht="56" customHeight="1">
      <c r="A1561" s="152" t="str">
        <f>'Reported burning'!A1561</f>
        <v>181a</v>
      </c>
      <c r="B1561" s="152" t="str">
        <f>'Reported burning'!B1561</f>
        <v>181a.2</v>
      </c>
      <c r="C1561" s="152" t="str">
        <f>'Reported burning'!C1561</f>
        <v>Human, deliberate</v>
      </c>
      <c r="D1561" s="152" t="str">
        <f>'Reported burning'!D1561</f>
        <v>All</v>
      </c>
      <c r="E1561" s="152" t="str">
        <f>'Reported burning'!E1561</f>
        <v>Biodiversity conservation</v>
      </c>
      <c r="F1561" s="152" t="str">
        <f>'Reported burning'!F1561</f>
        <v>Shrubland (Mixed forest &amp; grassland)</v>
      </c>
      <c r="G1561" s="152" t="str">
        <f>'Reported burning'!G1561</f>
        <v>Shrubland (Mixed forest &amp; grassland)</v>
      </c>
      <c r="H1561" s="152" t="str">
        <f>'Reported burning'!H1561</f>
        <v>Absence</v>
      </c>
      <c r="I1561" s="3"/>
      <c r="J1561" s="3" t="s">
        <v>2364</v>
      </c>
      <c r="K1561" s="3" t="s">
        <v>2364</v>
      </c>
      <c r="L1561" s="3" t="s">
        <v>2364</v>
      </c>
      <c r="M1561" s="3" t="s">
        <v>2364</v>
      </c>
      <c r="N1561" s="3" t="s">
        <v>2364</v>
      </c>
      <c r="O1561" s="3" t="s">
        <v>2364</v>
      </c>
      <c r="P1561" s="3" t="s">
        <v>2364</v>
      </c>
      <c r="Q1561" s="3" t="s">
        <v>2364</v>
      </c>
      <c r="R1561" s="3" t="s">
        <v>2364</v>
      </c>
      <c r="S1561" s="3" t="s">
        <v>2364</v>
      </c>
      <c r="T1561" s="3" t="s">
        <v>2364</v>
      </c>
      <c r="U1561" s="3" t="s">
        <v>2364</v>
      </c>
      <c r="V1561" s="3" t="s">
        <v>2364</v>
      </c>
      <c r="W1561" s="4" t="s">
        <v>2276</v>
      </c>
      <c r="X1561" s="4" t="s">
        <v>2276</v>
      </c>
      <c r="Y1561" s="4" t="s">
        <v>2276</v>
      </c>
      <c r="Z1561" s="4" t="s">
        <v>2276</v>
      </c>
      <c r="AA1561" s="4" t="s">
        <v>4609</v>
      </c>
      <c r="AB1561" s="3"/>
    </row>
    <row r="1562" spans="1:28" ht="41" customHeight="1">
      <c r="A1562" s="152" t="str">
        <f>'Reported burning'!A1562</f>
        <v>181b</v>
      </c>
      <c r="B1562" s="152" t="str">
        <f>'Reported burning'!B1562</f>
        <v>181b.1</v>
      </c>
      <c r="C1562" s="152" t="str">
        <f>'Reported burning'!C1562</f>
        <v>Human, deliberate</v>
      </c>
      <c r="D1562" s="152" t="str">
        <f>'Reported burning'!D1562</f>
        <v>Conservation</v>
      </c>
      <c r="E1562" s="152" t="str">
        <f>'Reported burning'!E1562</f>
        <v>Biodiversity conservation</v>
      </c>
      <c r="F1562" s="152" t="str">
        <f>'Reported burning'!F1562</f>
        <v>Shrubland (Mixed forest &amp; grassland)</v>
      </c>
      <c r="G1562" s="152" t="str">
        <f>'Reported burning'!G1562</f>
        <v>Shrubland (Mixed forest &amp; grassland)</v>
      </c>
      <c r="H1562" s="152" t="str">
        <f>'Reported burning'!H1562</f>
        <v>Presence</v>
      </c>
      <c r="I1562" s="3"/>
      <c r="J1562" s="4" t="s">
        <v>2276</v>
      </c>
      <c r="K1562" s="4" t="s">
        <v>2276</v>
      </c>
      <c r="L1562" s="4" t="s">
        <v>2276</v>
      </c>
      <c r="M1562" s="4" t="s">
        <v>2276</v>
      </c>
      <c r="N1562" s="4" t="s">
        <v>2276</v>
      </c>
      <c r="O1562" s="4" t="s">
        <v>2276</v>
      </c>
      <c r="P1562" s="4" t="s">
        <v>2276</v>
      </c>
      <c r="Q1562" s="4" t="s">
        <v>2276</v>
      </c>
      <c r="R1562" s="4" t="s">
        <v>2276</v>
      </c>
      <c r="S1562" s="4" t="s">
        <v>2276</v>
      </c>
      <c r="T1562" s="4" t="s">
        <v>2276</v>
      </c>
      <c r="U1562" s="4" t="s">
        <v>2276</v>
      </c>
      <c r="V1562" s="4" t="s">
        <v>2276</v>
      </c>
      <c r="W1562" s="4" t="s">
        <v>2276</v>
      </c>
      <c r="X1562" s="4" t="s">
        <v>2276</v>
      </c>
      <c r="Y1562" s="4" t="s">
        <v>2276</v>
      </c>
      <c r="Z1562" s="48" t="s">
        <v>2276</v>
      </c>
      <c r="AA1562" s="3"/>
      <c r="AB1562" s="3"/>
    </row>
    <row r="1563" spans="1:28" ht="41" customHeight="1">
      <c r="A1563" s="152" t="str">
        <f>'Reported burning'!A1563</f>
        <v>181c</v>
      </c>
      <c r="B1563" s="152" t="str">
        <f>'Reported burning'!B1563</f>
        <v>181c.1</v>
      </c>
      <c r="C1563" s="152" t="str">
        <f>'Reported burning'!C1563</f>
        <v>Human, deliberate</v>
      </c>
      <c r="D1563" s="152" t="str">
        <f>'Reported burning'!D1563</f>
        <v>Conservation</v>
      </c>
      <c r="E1563" s="152" t="str">
        <f>'Reported burning'!E1563</f>
        <v>Biodiversity conservation</v>
      </c>
      <c r="F1563" s="152" t="str">
        <f>'Reported burning'!F1563</f>
        <v>Shrubland (Mixed forest &amp; grassland)</v>
      </c>
      <c r="G1563" s="152" t="str">
        <f>'Reported burning'!G1563</f>
        <v>Shrubland (Mixed forest &amp; grassland)</v>
      </c>
      <c r="H1563" s="152" t="str">
        <f>'Reported burning'!H1563</f>
        <v>Presence</v>
      </c>
      <c r="I1563" s="3"/>
      <c r="J1563" s="4" t="s">
        <v>2276</v>
      </c>
      <c r="K1563" s="4" t="s">
        <v>2276</v>
      </c>
      <c r="L1563" s="4" t="s">
        <v>2276</v>
      </c>
      <c r="M1563" s="4" t="s">
        <v>2276</v>
      </c>
      <c r="N1563" s="4" t="s">
        <v>2276</v>
      </c>
      <c r="O1563" s="4" t="s">
        <v>2276</v>
      </c>
      <c r="P1563" s="4" t="s">
        <v>2276</v>
      </c>
      <c r="Q1563" s="4" t="s">
        <v>2276</v>
      </c>
      <c r="R1563" s="4" t="s">
        <v>2276</v>
      </c>
      <c r="S1563" s="4" t="s">
        <v>2276</v>
      </c>
      <c r="T1563" s="4" t="s">
        <v>2276</v>
      </c>
      <c r="U1563" s="4" t="s">
        <v>2276</v>
      </c>
      <c r="V1563" s="4" t="s">
        <v>2276</v>
      </c>
      <c r="W1563" s="4" t="s">
        <v>2276</v>
      </c>
      <c r="X1563" s="4" t="s">
        <v>2276</v>
      </c>
      <c r="Y1563" s="4" t="s">
        <v>2276</v>
      </c>
      <c r="Z1563" s="48" t="s">
        <v>2276</v>
      </c>
      <c r="AA1563" s="3"/>
      <c r="AB1563" s="3"/>
    </row>
    <row r="1564" spans="1:28" ht="65.5" customHeight="1">
      <c r="A1564" s="152" t="str">
        <f>'Reported burning'!A1564</f>
        <v>181d</v>
      </c>
      <c r="B1564" s="152" t="str">
        <f>'Reported burning'!B1564</f>
        <v>181d.1</v>
      </c>
      <c r="C1564" s="152" t="str">
        <f>'Reported burning'!C1564</f>
        <v>Human, deliberate</v>
      </c>
      <c r="D1564" s="152" t="str">
        <f>'Reported burning'!D1564</f>
        <v>Conservation</v>
      </c>
      <c r="E1564" s="152" t="str">
        <f>'Reported burning'!E1564</f>
        <v>Biodiversity conservation</v>
      </c>
      <c r="F1564" s="152" t="str">
        <f>'Reported burning'!F1564</f>
        <v>Shrubland (Mixed forest &amp; grassland)</v>
      </c>
      <c r="G1564" s="152" t="str">
        <f>'Reported burning'!G1564</f>
        <v>Shrubland (Mixed forest &amp; grassland)</v>
      </c>
      <c r="H1564" s="152" t="str">
        <f>'Reported burning'!H1564</f>
        <v>Presence</v>
      </c>
      <c r="I1564" s="3"/>
      <c r="J1564" s="3" t="s">
        <v>2371</v>
      </c>
      <c r="K1564" s="3" t="s">
        <v>2378</v>
      </c>
      <c r="L1564" s="4" t="s">
        <v>2276</v>
      </c>
      <c r="M1564" s="3" t="s">
        <v>2380</v>
      </c>
      <c r="N1564" s="4" t="s">
        <v>2276</v>
      </c>
      <c r="O1564" s="3" t="s">
        <v>2380</v>
      </c>
      <c r="P1564" s="4" t="s">
        <v>2276</v>
      </c>
      <c r="Q1564" s="3" t="s">
        <v>2379</v>
      </c>
      <c r="R1564" s="4" t="s">
        <v>2276</v>
      </c>
      <c r="S1564" s="4" t="s">
        <v>2276</v>
      </c>
      <c r="T1564" s="4" t="s">
        <v>2276</v>
      </c>
      <c r="U1564" s="3" t="s">
        <v>2389</v>
      </c>
      <c r="V1564" s="4" t="s">
        <v>2276</v>
      </c>
      <c r="W1564" s="4" t="s">
        <v>2276</v>
      </c>
      <c r="X1564" s="3" t="s">
        <v>38</v>
      </c>
      <c r="Y1564" s="3" t="s">
        <v>35</v>
      </c>
      <c r="Z1564" s="3" t="s">
        <v>64</v>
      </c>
      <c r="AA1564" s="3"/>
      <c r="AB1564" s="4" t="s">
        <v>4614</v>
      </c>
    </row>
    <row r="1565" spans="1:28" ht="83.5" customHeight="1">
      <c r="A1565" s="152" t="str">
        <f>'Reported burning'!A1565</f>
        <v>182a</v>
      </c>
      <c r="B1565" s="152" t="str">
        <f>'Reported burning'!B1565</f>
        <v>182a.1</v>
      </c>
      <c r="C1565" s="152" t="str">
        <f>'Reported burning'!C1565</f>
        <v>Human, deliberate</v>
      </c>
      <c r="D1565" s="152" t="str">
        <f>'Reported burning'!D1565</f>
        <v>Rangeland management</v>
      </c>
      <c r="E1565" s="152" t="str">
        <f>'Reported burning'!E1565</f>
        <v>Cattle, Intensive</v>
      </c>
      <c r="F1565" s="152" t="str">
        <f>'Reported burning'!F1565</f>
        <v>Shrubland (Mixed forest &amp; grassland)</v>
      </c>
      <c r="G1565" s="152" t="str">
        <f>'Reported burning'!G1565</f>
        <v>ND</v>
      </c>
      <c r="H1565" s="152" t="str">
        <f>'Reported burning'!H1565</f>
        <v>Absence</v>
      </c>
      <c r="I1565" s="3"/>
      <c r="J1565" s="3" t="s">
        <v>2364</v>
      </c>
      <c r="K1565" s="3" t="s">
        <v>2364</v>
      </c>
      <c r="L1565" s="3" t="s">
        <v>2364</v>
      </c>
      <c r="M1565" s="3" t="s">
        <v>2364</v>
      </c>
      <c r="N1565" s="3" t="s">
        <v>2364</v>
      </c>
      <c r="O1565" s="3" t="s">
        <v>2364</v>
      </c>
      <c r="P1565" s="3" t="s">
        <v>2364</v>
      </c>
      <c r="Q1565" s="3" t="s">
        <v>2364</v>
      </c>
      <c r="R1565" s="3" t="s">
        <v>2364</v>
      </c>
      <c r="S1565" s="3" t="s">
        <v>2364</v>
      </c>
      <c r="T1565" s="3" t="s">
        <v>2364</v>
      </c>
      <c r="U1565" s="3" t="s">
        <v>2364</v>
      </c>
      <c r="V1565" s="3" t="s">
        <v>2364</v>
      </c>
      <c r="W1565" s="4" t="s">
        <v>2276</v>
      </c>
      <c r="X1565" s="4" t="s">
        <v>2276</v>
      </c>
      <c r="Y1565" s="4" t="s">
        <v>2276</v>
      </c>
      <c r="Z1565" s="4" t="s">
        <v>2276</v>
      </c>
      <c r="AA1565" s="4" t="s">
        <v>4636</v>
      </c>
      <c r="AB1565" s="3"/>
    </row>
    <row r="1566" spans="1:28" ht="83.5" customHeight="1">
      <c r="A1566" s="152" t="str">
        <f>'Reported burning'!A1566</f>
        <v>182a</v>
      </c>
      <c r="B1566" s="152" t="str">
        <f>'Reported burning'!B1566</f>
        <v>182a.2</v>
      </c>
      <c r="C1566" s="152" t="str">
        <f>'Reported burning'!C1566</f>
        <v>Human, deliberate</v>
      </c>
      <c r="D1566" s="152" t="str">
        <f>'Reported burning'!D1566</f>
        <v>Pasture renewal</v>
      </c>
      <c r="E1566" s="152" t="str">
        <f>'Reported burning'!E1566</f>
        <v>Cattle, Intensive</v>
      </c>
      <c r="F1566" s="152" t="str">
        <f>'Reported burning'!F1566</f>
        <v>Shrubland (Mixed forest &amp; grassland)</v>
      </c>
      <c r="G1566" s="152" t="str">
        <f>'Reported burning'!G1566</f>
        <v>ND</v>
      </c>
      <c r="H1566" s="152" t="str">
        <f>'Reported burning'!H1566</f>
        <v>Absence</v>
      </c>
      <c r="I1566" s="3"/>
      <c r="J1566" s="3" t="s">
        <v>2364</v>
      </c>
      <c r="K1566" s="3" t="s">
        <v>2364</v>
      </c>
      <c r="L1566" s="3" t="s">
        <v>2364</v>
      </c>
      <c r="M1566" s="3" t="s">
        <v>2364</v>
      </c>
      <c r="N1566" s="3" t="s">
        <v>2364</v>
      </c>
      <c r="O1566" s="3" t="s">
        <v>2364</v>
      </c>
      <c r="P1566" s="3" t="s">
        <v>2364</v>
      </c>
      <c r="Q1566" s="3" t="s">
        <v>2364</v>
      </c>
      <c r="R1566" s="3" t="s">
        <v>2364</v>
      </c>
      <c r="S1566" s="3" t="s">
        <v>2364</v>
      </c>
      <c r="T1566" s="3" t="s">
        <v>2364</v>
      </c>
      <c r="U1566" s="3" t="s">
        <v>2364</v>
      </c>
      <c r="V1566" s="3" t="s">
        <v>2364</v>
      </c>
      <c r="W1566" s="4" t="s">
        <v>2276</v>
      </c>
      <c r="X1566" s="4" t="s">
        <v>2276</v>
      </c>
      <c r="Y1566" s="4" t="s">
        <v>2276</v>
      </c>
      <c r="Z1566" s="4" t="s">
        <v>2276</v>
      </c>
      <c r="AA1566" s="4" t="s">
        <v>4636</v>
      </c>
      <c r="AB1566" s="3"/>
    </row>
    <row r="1567" spans="1:28" ht="83.5" customHeight="1">
      <c r="A1567" s="152" t="str">
        <f>'Reported burning'!A1567</f>
        <v>182a</v>
      </c>
      <c r="B1567" s="152" t="str">
        <f>'Reported burning'!B1567</f>
        <v>182a.3</v>
      </c>
      <c r="C1567" s="152" t="str">
        <f>'Reported burning'!C1567</f>
        <v>Human, deliberate</v>
      </c>
      <c r="D1567" s="152" t="str">
        <f>'Reported burning'!D1567</f>
        <v>Rangeland management</v>
      </c>
      <c r="E1567" s="152" t="str">
        <f>'Reported burning'!E1567</f>
        <v>Pastoralism, Migratory</v>
      </c>
      <c r="F1567" s="152" t="str">
        <f>'Reported burning'!F1567</f>
        <v>Shrubland (Mixed forest &amp; grassland)</v>
      </c>
      <c r="G1567" s="152" t="str">
        <f>'Reported burning'!G1567</f>
        <v>ND</v>
      </c>
      <c r="H1567" s="152" t="str">
        <f>'Reported burning'!H1567</f>
        <v>Absence</v>
      </c>
      <c r="I1567" s="3"/>
      <c r="J1567" s="3" t="s">
        <v>2364</v>
      </c>
      <c r="K1567" s="3" t="s">
        <v>2364</v>
      </c>
      <c r="L1567" s="3" t="s">
        <v>2364</v>
      </c>
      <c r="M1567" s="3" t="s">
        <v>2364</v>
      </c>
      <c r="N1567" s="3" t="s">
        <v>2364</v>
      </c>
      <c r="O1567" s="3" t="s">
        <v>2364</v>
      </c>
      <c r="P1567" s="3" t="s">
        <v>2364</v>
      </c>
      <c r="Q1567" s="3" t="s">
        <v>2364</v>
      </c>
      <c r="R1567" s="3" t="s">
        <v>2364</v>
      </c>
      <c r="S1567" s="3" t="s">
        <v>2364</v>
      </c>
      <c r="T1567" s="3" t="s">
        <v>2364</v>
      </c>
      <c r="U1567" s="3" t="s">
        <v>2364</v>
      </c>
      <c r="V1567" s="3" t="s">
        <v>2364</v>
      </c>
      <c r="W1567" s="4" t="s">
        <v>2276</v>
      </c>
      <c r="X1567" s="4" t="s">
        <v>2276</v>
      </c>
      <c r="Y1567" s="4" t="s">
        <v>2276</v>
      </c>
      <c r="Z1567" s="4" t="s">
        <v>2276</v>
      </c>
      <c r="AA1567" s="4" t="s">
        <v>4639</v>
      </c>
      <c r="AB1567" s="3"/>
    </row>
    <row r="1568" spans="1:28" ht="77.5" customHeight="1">
      <c r="A1568" s="152" t="str">
        <f>'Reported burning'!A1568</f>
        <v>183a</v>
      </c>
      <c r="B1568" s="152" t="str">
        <f>'Reported burning'!B1568</f>
        <v>183a.1</v>
      </c>
      <c r="C1568" s="152" t="str">
        <f>'Reported burning'!C1568</f>
        <v>Human, deliberate</v>
      </c>
      <c r="D1568" s="152" t="str">
        <f>'Reported burning'!D1568</f>
        <v>Pyrome management</v>
      </c>
      <c r="E1568" s="152" t="str">
        <f>'Reported burning'!E1568</f>
        <v>Forestry, Industrial</v>
      </c>
      <c r="F1568" s="152" t="str">
        <f>'Reported burning'!F1568</f>
        <v>Forest</v>
      </c>
      <c r="G1568" s="152" t="str">
        <f>'Reported burning'!G1568</f>
        <v>ND</v>
      </c>
      <c r="H1568" s="152" t="str">
        <f>'Reported burning'!H1568</f>
        <v>Absence</v>
      </c>
      <c r="I1568" s="3"/>
      <c r="J1568" s="3" t="s">
        <v>2364</v>
      </c>
      <c r="K1568" s="3" t="s">
        <v>2364</v>
      </c>
      <c r="L1568" s="3" t="s">
        <v>2364</v>
      </c>
      <c r="M1568" s="3" t="s">
        <v>2364</v>
      </c>
      <c r="N1568" s="3" t="s">
        <v>2364</v>
      </c>
      <c r="O1568" s="3" t="s">
        <v>2364</v>
      </c>
      <c r="P1568" s="3" t="s">
        <v>2364</v>
      </c>
      <c r="Q1568" s="3" t="s">
        <v>2364</v>
      </c>
      <c r="R1568" s="3" t="s">
        <v>2364</v>
      </c>
      <c r="S1568" s="3" t="s">
        <v>2364</v>
      </c>
      <c r="T1568" s="3" t="s">
        <v>2364</v>
      </c>
      <c r="U1568" s="3" t="s">
        <v>2364</v>
      </c>
      <c r="V1568" s="3" t="s">
        <v>2364</v>
      </c>
      <c r="W1568" s="4" t="s">
        <v>2276</v>
      </c>
      <c r="X1568" s="4" t="s">
        <v>2276</v>
      </c>
      <c r="Y1568" s="4" t="s">
        <v>2276</v>
      </c>
      <c r="Z1568" s="4" t="s">
        <v>2276</v>
      </c>
      <c r="AA1568" s="4" t="s">
        <v>4656</v>
      </c>
      <c r="AB1568" s="3"/>
    </row>
    <row r="1569" spans="1:28" ht="66" customHeight="1">
      <c r="A1569" s="152" t="str">
        <f>'Reported burning'!A1569</f>
        <v>183a</v>
      </c>
      <c r="B1569" s="152" t="str">
        <f>'Reported burning'!B1569</f>
        <v>183a.2</v>
      </c>
      <c r="C1569" s="152" t="str">
        <f>'Reported burning'!C1569</f>
        <v>Human, deliberate</v>
      </c>
      <c r="D1569" s="152" t="str">
        <f>'Reported burning'!D1569</f>
        <v>Domestic</v>
      </c>
      <c r="E1569" s="152" t="str">
        <f>'Reported burning'!E1569</f>
        <v>Pastoralism, Migratory</v>
      </c>
      <c r="F1569" s="152" t="str">
        <f>'Reported burning'!F1569</f>
        <v>ND</v>
      </c>
      <c r="G1569" s="152" t="str">
        <f>'Reported burning'!G1569</f>
        <v>ND</v>
      </c>
      <c r="H1569" s="152" t="str">
        <f>'Reported burning'!H1569</f>
        <v>Presence</v>
      </c>
      <c r="I1569" s="3"/>
      <c r="J1569" s="4" t="s">
        <v>2276</v>
      </c>
      <c r="K1569" s="4" t="s">
        <v>2276</v>
      </c>
      <c r="L1569" s="4" t="s">
        <v>2276</v>
      </c>
      <c r="M1569" s="4" t="s">
        <v>2276</v>
      </c>
      <c r="N1569" s="4" t="s">
        <v>2276</v>
      </c>
      <c r="O1569" s="4" t="s">
        <v>2276</v>
      </c>
      <c r="P1569" s="4" t="s">
        <v>2276</v>
      </c>
      <c r="Q1569" s="4" t="s">
        <v>2276</v>
      </c>
      <c r="R1569" s="4" t="s">
        <v>2276</v>
      </c>
      <c r="S1569" s="4" t="s">
        <v>2276</v>
      </c>
      <c r="T1569" s="4" t="s">
        <v>2276</v>
      </c>
      <c r="U1569" s="4" t="s">
        <v>2276</v>
      </c>
      <c r="V1569" s="4" t="s">
        <v>2276</v>
      </c>
      <c r="W1569" s="4" t="s">
        <v>2276</v>
      </c>
      <c r="X1569" s="4" t="s">
        <v>2276</v>
      </c>
      <c r="Y1569" s="4" t="s">
        <v>2276</v>
      </c>
      <c r="Z1569" s="4" t="s">
        <v>2276</v>
      </c>
      <c r="AA1569" s="19" t="s">
        <v>4655</v>
      </c>
      <c r="AB1569" s="3"/>
    </row>
    <row r="1570" spans="1:28" ht="83.5" customHeight="1">
      <c r="A1570" s="152" t="str">
        <f>'Reported burning'!A1570</f>
        <v>183b</v>
      </c>
      <c r="B1570" s="152" t="str">
        <f>'Reported burning'!B1570</f>
        <v>183b.1</v>
      </c>
      <c r="C1570" s="152" t="str">
        <f>'Reported burning'!C1570</f>
        <v>Human, deliberate</v>
      </c>
      <c r="D1570" s="152" t="str">
        <f>'Reported burning'!D1570</f>
        <v>Pyrome management</v>
      </c>
      <c r="E1570" s="152" t="str">
        <f>'Reported burning'!E1570</f>
        <v>Forestry, Industrial</v>
      </c>
      <c r="F1570" s="152" t="str">
        <f>'Reported burning'!F1570</f>
        <v>Forest</v>
      </c>
      <c r="G1570" s="152" t="str">
        <f>'Reported burning'!G1570</f>
        <v>ND</v>
      </c>
      <c r="H1570" s="152" t="str">
        <f>'Reported burning'!H1570</f>
        <v>Absence</v>
      </c>
      <c r="I1570" s="3"/>
      <c r="J1570" s="3" t="s">
        <v>2364</v>
      </c>
      <c r="K1570" s="3" t="s">
        <v>2364</v>
      </c>
      <c r="L1570" s="3" t="s">
        <v>2364</v>
      </c>
      <c r="M1570" s="3" t="s">
        <v>2364</v>
      </c>
      <c r="N1570" s="3" t="s">
        <v>2364</v>
      </c>
      <c r="O1570" s="3" t="s">
        <v>2364</v>
      </c>
      <c r="P1570" s="3" t="s">
        <v>2364</v>
      </c>
      <c r="Q1570" s="3" t="s">
        <v>2364</v>
      </c>
      <c r="R1570" s="3" t="s">
        <v>2364</v>
      </c>
      <c r="S1570" s="3" t="s">
        <v>2364</v>
      </c>
      <c r="T1570" s="3" t="s">
        <v>2364</v>
      </c>
      <c r="U1570" s="3" t="s">
        <v>2364</v>
      </c>
      <c r="V1570" s="3" t="s">
        <v>2364</v>
      </c>
      <c r="W1570" s="4" t="s">
        <v>2276</v>
      </c>
      <c r="X1570" s="4" t="s">
        <v>2276</v>
      </c>
      <c r="Y1570" s="4" t="s">
        <v>2276</v>
      </c>
      <c r="Z1570" s="4" t="s">
        <v>2276</v>
      </c>
      <c r="AA1570" s="4" t="s">
        <v>4656</v>
      </c>
      <c r="AB1570" s="3"/>
    </row>
    <row r="1571" spans="1:28" ht="52" customHeight="1">
      <c r="A1571" s="152" t="str">
        <f>'Reported burning'!A1571</f>
        <v>184a</v>
      </c>
      <c r="B1571" s="152" t="str">
        <f>'Reported burning'!B1571</f>
        <v>184a.1</v>
      </c>
      <c r="C1571" s="152" t="str">
        <f>'Reported burning'!C1571</f>
        <v>Human, deliberate</v>
      </c>
      <c r="D1571" s="152" t="str">
        <f>'Reported burning'!D1571</f>
        <v>Pasture renewal</v>
      </c>
      <c r="E1571" s="152" t="str">
        <f>'Reported burning'!E1571</f>
        <v>Pastoralism, Migratory</v>
      </c>
      <c r="F1571" s="152" t="str">
        <f>'Reported burning'!F1571</f>
        <v>Shrubland (Mixed forest &amp; grassland)</v>
      </c>
      <c r="G1571" s="152" t="str">
        <f>'Reported burning'!G1571</f>
        <v>ND</v>
      </c>
      <c r="H1571" s="152" t="str">
        <f>'Reported burning'!H1571</f>
        <v>Presence</v>
      </c>
      <c r="I1571" s="3"/>
      <c r="J1571" s="4" t="s">
        <v>2276</v>
      </c>
      <c r="K1571" s="4" t="s">
        <v>2276</v>
      </c>
      <c r="L1571" s="4" t="s">
        <v>2276</v>
      </c>
      <c r="M1571" s="4" t="s">
        <v>2276</v>
      </c>
      <c r="N1571" s="4" t="s">
        <v>2276</v>
      </c>
      <c r="O1571" s="4" t="s">
        <v>2276</v>
      </c>
      <c r="P1571" s="4" t="s">
        <v>2276</v>
      </c>
      <c r="Q1571" s="4" t="s">
        <v>2276</v>
      </c>
      <c r="R1571" s="4" t="s">
        <v>2276</v>
      </c>
      <c r="S1571" s="4" t="s">
        <v>2276</v>
      </c>
      <c r="T1571" s="4" t="s">
        <v>2276</v>
      </c>
      <c r="U1571" s="4" t="s">
        <v>2276</v>
      </c>
      <c r="V1571" s="4" t="s">
        <v>2276</v>
      </c>
      <c r="W1571" s="4" t="s">
        <v>2276</v>
      </c>
      <c r="X1571" s="4" t="s">
        <v>2276</v>
      </c>
      <c r="Y1571" s="4" t="s">
        <v>2276</v>
      </c>
      <c r="Z1571" s="3" t="s">
        <v>2276</v>
      </c>
      <c r="AA1571" s="3" t="s">
        <v>4666</v>
      </c>
      <c r="AB1571" s="3"/>
    </row>
    <row r="1572" spans="1:28" ht="75" customHeight="1">
      <c r="A1572" s="152" t="str">
        <f>'Reported burning'!A1572</f>
        <v>184a</v>
      </c>
      <c r="B1572" s="152" t="str">
        <f>'Reported burning'!B1572</f>
        <v>184a.2</v>
      </c>
      <c r="C1572" s="152" t="str">
        <f>'Reported burning'!C1572</f>
        <v>Human, deliberate</v>
      </c>
      <c r="D1572" s="152" t="str">
        <f>'Reported burning'!D1572</f>
        <v>Rangeland management</v>
      </c>
      <c r="E1572" s="152" t="str">
        <f>'Reported burning'!E1572</f>
        <v>Pastoralism, Migratory</v>
      </c>
      <c r="F1572" s="152" t="str">
        <f>'Reported burning'!F1572</f>
        <v>Shrubland (Mixed forest &amp; grassland)</v>
      </c>
      <c r="G1572" s="152" t="str">
        <f>'Reported burning'!G1572</f>
        <v>ND</v>
      </c>
      <c r="H1572" s="152" t="str">
        <f>'Reported burning'!H1572</f>
        <v>Absence</v>
      </c>
      <c r="I1572" s="3"/>
      <c r="J1572" s="3" t="s">
        <v>2364</v>
      </c>
      <c r="K1572" s="3" t="s">
        <v>2364</v>
      </c>
      <c r="L1572" s="3" t="s">
        <v>2364</v>
      </c>
      <c r="M1572" s="3" t="s">
        <v>2364</v>
      </c>
      <c r="N1572" s="3" t="s">
        <v>2364</v>
      </c>
      <c r="O1572" s="3" t="s">
        <v>2364</v>
      </c>
      <c r="P1572" s="3" t="s">
        <v>2364</v>
      </c>
      <c r="Q1572" s="3" t="s">
        <v>2364</v>
      </c>
      <c r="R1572" s="3" t="s">
        <v>2364</v>
      </c>
      <c r="S1572" s="3" t="s">
        <v>2364</v>
      </c>
      <c r="T1572" s="3" t="s">
        <v>2364</v>
      </c>
      <c r="U1572" s="3" t="s">
        <v>2364</v>
      </c>
      <c r="V1572" s="3" t="s">
        <v>2364</v>
      </c>
      <c r="W1572" s="4" t="s">
        <v>2276</v>
      </c>
      <c r="X1572" s="4" t="s">
        <v>2276</v>
      </c>
      <c r="Y1572" s="4" t="s">
        <v>2276</v>
      </c>
      <c r="Z1572" s="4" t="s">
        <v>2276</v>
      </c>
      <c r="AA1572" s="4" t="s">
        <v>4667</v>
      </c>
      <c r="AB1572" s="3"/>
    </row>
    <row r="1573" spans="1:28" ht="63" customHeight="1">
      <c r="A1573" s="152" t="str">
        <f>'Reported burning'!A1573</f>
        <v>184a</v>
      </c>
      <c r="B1573" s="152" t="str">
        <f>'Reported burning'!B1573</f>
        <v>184a.3</v>
      </c>
      <c r="C1573" s="152" t="str">
        <f>'Reported burning'!C1573</f>
        <v>Human, deliberate</v>
      </c>
      <c r="D1573" s="152" t="str">
        <f>'Reported burning'!D1573</f>
        <v>Pest management</v>
      </c>
      <c r="E1573" s="152" t="str">
        <f>'Reported burning'!E1573</f>
        <v>Pastoralism, Migratory</v>
      </c>
      <c r="F1573" s="152" t="str">
        <f>'Reported burning'!F1573</f>
        <v>Shrubland (Mixed forest &amp; grassland)</v>
      </c>
      <c r="G1573" s="152" t="str">
        <f>'Reported burning'!G1573</f>
        <v>ND</v>
      </c>
      <c r="H1573" s="152" t="str">
        <f>'Reported burning'!H1573</f>
        <v>Presence</v>
      </c>
      <c r="I1573" s="3"/>
      <c r="J1573" s="4" t="s">
        <v>2276</v>
      </c>
      <c r="K1573" s="4" t="s">
        <v>2276</v>
      </c>
      <c r="L1573" s="4" t="s">
        <v>2276</v>
      </c>
      <c r="M1573" s="4" t="s">
        <v>2276</v>
      </c>
      <c r="N1573" s="4" t="s">
        <v>2276</v>
      </c>
      <c r="O1573" s="4" t="s">
        <v>2276</v>
      </c>
      <c r="P1573" s="4" t="s">
        <v>2276</v>
      </c>
      <c r="Q1573" s="4" t="s">
        <v>2276</v>
      </c>
      <c r="R1573" s="4" t="s">
        <v>2276</v>
      </c>
      <c r="S1573" s="4" t="s">
        <v>2276</v>
      </c>
      <c r="T1573" s="4" t="s">
        <v>2276</v>
      </c>
      <c r="U1573" s="4" t="s">
        <v>2276</v>
      </c>
      <c r="V1573" s="4" t="s">
        <v>2276</v>
      </c>
      <c r="W1573" s="4" t="s">
        <v>2276</v>
      </c>
      <c r="X1573" s="4" t="s">
        <v>2276</v>
      </c>
      <c r="Y1573" s="4" t="s">
        <v>2276</v>
      </c>
      <c r="Z1573" s="4" t="s">
        <v>2276</v>
      </c>
      <c r="AA1573" s="4" t="s">
        <v>4669</v>
      </c>
      <c r="AB1573" s="3"/>
    </row>
    <row r="1574" spans="1:28" ht="45.5" customHeight="1">
      <c r="A1574" s="152" t="str">
        <f>'Reported burning'!A1574</f>
        <v>185a</v>
      </c>
      <c r="B1574" s="152" t="str">
        <f>'Reported burning'!B1574</f>
        <v>185a.1</v>
      </c>
      <c r="C1574" s="152" t="str">
        <f>'Reported burning'!C1574</f>
        <v>Human, deliberate</v>
      </c>
      <c r="D1574" s="152" t="str">
        <f>'Reported burning'!D1574</f>
        <v>Crop field preparation</v>
      </c>
      <c r="E1574" s="152" t="str">
        <f>'Reported burning'!E1574</f>
        <v>Cropping, Intensive</v>
      </c>
      <c r="F1574" s="152" t="str">
        <f>'Reported burning'!F1574</f>
        <v>Cropland</v>
      </c>
      <c r="G1574" s="152" t="str">
        <f>'Reported burning'!G1574</f>
        <v>ND</v>
      </c>
      <c r="H1574" s="152" t="str">
        <f>'Reported burning'!H1574</f>
        <v>Absence</v>
      </c>
      <c r="I1574" s="3"/>
      <c r="J1574" s="21">
        <v>0</v>
      </c>
      <c r="K1574" s="21">
        <v>0</v>
      </c>
      <c r="L1574" s="21">
        <v>0</v>
      </c>
      <c r="M1574" s="21">
        <v>0</v>
      </c>
      <c r="N1574" s="21">
        <v>0</v>
      </c>
      <c r="O1574" s="21">
        <v>0</v>
      </c>
      <c r="P1574" s="21">
        <v>0</v>
      </c>
      <c r="Q1574" s="21">
        <v>0</v>
      </c>
      <c r="R1574" s="21">
        <v>0</v>
      </c>
      <c r="S1574" s="21">
        <v>0</v>
      </c>
      <c r="T1574" s="21">
        <v>0</v>
      </c>
      <c r="U1574" s="21">
        <v>0</v>
      </c>
      <c r="V1574" s="21">
        <v>0</v>
      </c>
      <c r="W1574" s="4" t="s">
        <v>2276</v>
      </c>
      <c r="X1574" s="4" t="s">
        <v>2276</v>
      </c>
      <c r="Y1574" s="4" t="s">
        <v>2276</v>
      </c>
      <c r="Z1574" s="4" t="s">
        <v>2276</v>
      </c>
      <c r="AA1574" s="4" t="s">
        <v>4688</v>
      </c>
      <c r="AB1574" s="3"/>
    </row>
    <row r="1575" spans="1:28" ht="45.5" customHeight="1">
      <c r="A1575" s="152" t="str">
        <f>'Reported burning'!A1575</f>
        <v>185b</v>
      </c>
      <c r="B1575" s="152" t="str">
        <f>'Reported burning'!B1575</f>
        <v>185b.1</v>
      </c>
      <c r="C1575" s="152" t="str">
        <f>'Reported burning'!C1575</f>
        <v>Human, deliberate</v>
      </c>
      <c r="D1575" s="152" t="str">
        <f>'Reported burning'!D1575</f>
        <v>Crop field preparation</v>
      </c>
      <c r="E1575" s="152" t="str">
        <f>'Reported burning'!E1575</f>
        <v>Cropping, Intensive</v>
      </c>
      <c r="F1575" s="152" t="str">
        <f>'Reported burning'!F1575</f>
        <v>Cropland</v>
      </c>
      <c r="G1575" s="152" t="str">
        <f>'Reported burning'!G1575</f>
        <v>ND</v>
      </c>
      <c r="H1575" s="152" t="str">
        <f>'Reported burning'!H1575</f>
        <v>Absence</v>
      </c>
      <c r="I1575" s="3"/>
      <c r="J1575" s="21">
        <v>0</v>
      </c>
      <c r="K1575" s="21">
        <v>0</v>
      </c>
      <c r="L1575" s="21">
        <v>0</v>
      </c>
      <c r="M1575" s="21">
        <v>0</v>
      </c>
      <c r="N1575" s="21">
        <v>0</v>
      </c>
      <c r="O1575" s="21">
        <v>0</v>
      </c>
      <c r="P1575" s="21">
        <v>0</v>
      </c>
      <c r="Q1575" s="21">
        <v>0</v>
      </c>
      <c r="R1575" s="21">
        <v>0</v>
      </c>
      <c r="S1575" s="21">
        <v>0</v>
      </c>
      <c r="T1575" s="21">
        <v>0</v>
      </c>
      <c r="U1575" s="21">
        <v>0</v>
      </c>
      <c r="V1575" s="21">
        <v>0</v>
      </c>
      <c r="W1575" s="4" t="s">
        <v>2276</v>
      </c>
      <c r="X1575" s="4" t="s">
        <v>2276</v>
      </c>
      <c r="Y1575" s="4" t="s">
        <v>2276</v>
      </c>
      <c r="Z1575" s="4" t="s">
        <v>2276</v>
      </c>
      <c r="AA1575" s="4" t="s">
        <v>4688</v>
      </c>
      <c r="AB1575" s="3"/>
    </row>
    <row r="1576" spans="1:28" ht="45.5" customHeight="1">
      <c r="A1576" s="152" t="str">
        <f>'Reported burning'!A1576</f>
        <v>185c</v>
      </c>
      <c r="B1576" s="152" t="str">
        <f>'Reported burning'!B1576</f>
        <v>185c.1</v>
      </c>
      <c r="C1576" s="152" t="str">
        <f>'Reported burning'!C1576</f>
        <v>Human, deliberate</v>
      </c>
      <c r="D1576" s="152" t="str">
        <f>'Reported burning'!D1576</f>
        <v>Crop field preparation</v>
      </c>
      <c r="E1576" s="152" t="str">
        <f>'Reported burning'!E1576</f>
        <v>Cropping, Intensive</v>
      </c>
      <c r="F1576" s="152" t="str">
        <f>'Reported burning'!F1576</f>
        <v>Cropland</v>
      </c>
      <c r="G1576" s="152" t="str">
        <f>'Reported burning'!G1576</f>
        <v>ND</v>
      </c>
      <c r="H1576" s="152" t="str">
        <f>'Reported burning'!H1576</f>
        <v>Absence</v>
      </c>
      <c r="I1576" s="3"/>
      <c r="J1576" s="21">
        <v>0</v>
      </c>
      <c r="K1576" s="21">
        <v>0</v>
      </c>
      <c r="L1576" s="21">
        <v>0</v>
      </c>
      <c r="M1576" s="21">
        <v>0</v>
      </c>
      <c r="N1576" s="21">
        <v>0</v>
      </c>
      <c r="O1576" s="21">
        <v>0</v>
      </c>
      <c r="P1576" s="21">
        <v>0</v>
      </c>
      <c r="Q1576" s="21">
        <v>0</v>
      </c>
      <c r="R1576" s="21">
        <v>0</v>
      </c>
      <c r="S1576" s="21">
        <v>0</v>
      </c>
      <c r="T1576" s="21">
        <v>0</v>
      </c>
      <c r="U1576" s="21">
        <v>0</v>
      </c>
      <c r="V1576" s="21">
        <v>0</v>
      </c>
      <c r="W1576" s="4" t="s">
        <v>2276</v>
      </c>
      <c r="X1576" s="4" t="s">
        <v>2276</v>
      </c>
      <c r="Y1576" s="4" t="s">
        <v>2276</v>
      </c>
      <c r="Z1576" s="4" t="s">
        <v>2276</v>
      </c>
      <c r="AA1576" s="4" t="s">
        <v>4688</v>
      </c>
      <c r="AB1576" s="3"/>
    </row>
    <row r="1577" spans="1:28" ht="45.5" customHeight="1">
      <c r="A1577" s="152" t="str">
        <f>'Reported burning'!A1577</f>
        <v>185d</v>
      </c>
      <c r="B1577" s="152" t="str">
        <f>'Reported burning'!B1577</f>
        <v>185d.1</v>
      </c>
      <c r="C1577" s="152" t="str">
        <f>'Reported burning'!C1577</f>
        <v>Human, deliberate</v>
      </c>
      <c r="D1577" s="152" t="str">
        <f>'Reported burning'!D1577</f>
        <v>Crop field preparation</v>
      </c>
      <c r="E1577" s="152" t="str">
        <f>'Reported burning'!E1577</f>
        <v>Cropping, Intensive</v>
      </c>
      <c r="F1577" s="152" t="str">
        <f>'Reported burning'!F1577</f>
        <v>Cropland</v>
      </c>
      <c r="G1577" s="152" t="str">
        <f>'Reported burning'!G1577</f>
        <v>ND</v>
      </c>
      <c r="H1577" s="152" t="str">
        <f>'Reported burning'!H1577</f>
        <v>Absence</v>
      </c>
      <c r="I1577" s="3"/>
      <c r="J1577" s="21">
        <v>0</v>
      </c>
      <c r="K1577" s="21">
        <v>0</v>
      </c>
      <c r="L1577" s="21">
        <v>0</v>
      </c>
      <c r="M1577" s="21">
        <v>0</v>
      </c>
      <c r="N1577" s="21">
        <v>0</v>
      </c>
      <c r="O1577" s="21">
        <v>0</v>
      </c>
      <c r="P1577" s="21">
        <v>0</v>
      </c>
      <c r="Q1577" s="21">
        <v>0</v>
      </c>
      <c r="R1577" s="21">
        <v>0</v>
      </c>
      <c r="S1577" s="21">
        <v>0</v>
      </c>
      <c r="T1577" s="21">
        <v>0</v>
      </c>
      <c r="U1577" s="21">
        <v>0</v>
      </c>
      <c r="V1577" s="21">
        <v>0</v>
      </c>
      <c r="W1577" s="4" t="s">
        <v>2276</v>
      </c>
      <c r="X1577" s="4" t="s">
        <v>2276</v>
      </c>
      <c r="Y1577" s="4" t="s">
        <v>2276</v>
      </c>
      <c r="Z1577" s="4" t="s">
        <v>2276</v>
      </c>
      <c r="AA1577" s="4" t="s">
        <v>4688</v>
      </c>
      <c r="AB1577" s="3"/>
    </row>
    <row r="1578" spans="1:28" ht="45.5" customHeight="1">
      <c r="A1578" s="152" t="str">
        <f>'Reported burning'!A1578</f>
        <v>185a</v>
      </c>
      <c r="B1578" s="152" t="str">
        <f>'Reported burning'!B1578</f>
        <v>185a.2</v>
      </c>
      <c r="C1578" s="152" t="str">
        <f>'Reported burning'!C1578</f>
        <v>Human, deliberate</v>
      </c>
      <c r="D1578" s="152" t="str">
        <f>'Reported burning'!D1578</f>
        <v>Crop field preparation</v>
      </c>
      <c r="E1578" s="152" t="str">
        <f>'Reported burning'!E1578</f>
        <v>Mixed cropping-livestock small holder, Subsistence-oriented</v>
      </c>
      <c r="F1578" s="152" t="str">
        <f>'Reported burning'!F1578</f>
        <v>Cropland</v>
      </c>
      <c r="G1578" s="152" t="str">
        <f>'Reported burning'!G1578</f>
        <v>ND</v>
      </c>
      <c r="H1578" s="152" t="str">
        <f>'Reported burning'!H1578</f>
        <v>Absence</v>
      </c>
      <c r="I1578" s="3"/>
      <c r="J1578" s="21">
        <v>0</v>
      </c>
      <c r="K1578" s="21">
        <v>0</v>
      </c>
      <c r="L1578" s="21">
        <v>0</v>
      </c>
      <c r="M1578" s="21">
        <v>0</v>
      </c>
      <c r="N1578" s="21">
        <v>0</v>
      </c>
      <c r="O1578" s="21">
        <v>0</v>
      </c>
      <c r="P1578" s="21">
        <v>0</v>
      </c>
      <c r="Q1578" s="21">
        <v>0</v>
      </c>
      <c r="R1578" s="21">
        <v>0</v>
      </c>
      <c r="S1578" s="21">
        <v>0</v>
      </c>
      <c r="T1578" s="21">
        <v>0</v>
      </c>
      <c r="U1578" s="21">
        <v>0</v>
      </c>
      <c r="V1578" s="21">
        <v>0</v>
      </c>
      <c r="W1578" s="4" t="s">
        <v>2276</v>
      </c>
      <c r="X1578" s="4" t="s">
        <v>2276</v>
      </c>
      <c r="Y1578" s="4" t="s">
        <v>2276</v>
      </c>
      <c r="Z1578" s="4" t="s">
        <v>2276</v>
      </c>
      <c r="AA1578" s="4" t="s">
        <v>4693</v>
      </c>
      <c r="AB1578" s="3"/>
    </row>
    <row r="1579" spans="1:28" ht="45.5" customHeight="1">
      <c r="A1579" s="152" t="str">
        <f>'Reported burning'!A1579</f>
        <v>185b</v>
      </c>
      <c r="B1579" s="152" t="str">
        <f>'Reported burning'!B1579</f>
        <v>185b.2</v>
      </c>
      <c r="C1579" s="152" t="str">
        <f>'Reported burning'!C1579</f>
        <v>Human, deliberate</v>
      </c>
      <c r="D1579" s="152" t="str">
        <f>'Reported burning'!D1579</f>
        <v>Crop field preparation</v>
      </c>
      <c r="E1579" s="152" t="str">
        <f>'Reported burning'!E1579</f>
        <v>Mixed cropping-livestock small holder, Subsistence-oriented</v>
      </c>
      <c r="F1579" s="152" t="str">
        <f>'Reported burning'!F1579</f>
        <v>Cropland</v>
      </c>
      <c r="G1579" s="152" t="str">
        <f>'Reported burning'!G1579</f>
        <v>ND</v>
      </c>
      <c r="H1579" s="152" t="str">
        <f>'Reported burning'!H1579</f>
        <v>Absence</v>
      </c>
      <c r="I1579" s="3"/>
      <c r="J1579" s="21">
        <v>0</v>
      </c>
      <c r="K1579" s="21">
        <v>0</v>
      </c>
      <c r="L1579" s="21">
        <v>0</v>
      </c>
      <c r="M1579" s="21">
        <v>0</v>
      </c>
      <c r="N1579" s="21">
        <v>0</v>
      </c>
      <c r="O1579" s="21">
        <v>0</v>
      </c>
      <c r="P1579" s="21">
        <v>0</v>
      </c>
      <c r="Q1579" s="21">
        <v>0</v>
      </c>
      <c r="R1579" s="21">
        <v>0</v>
      </c>
      <c r="S1579" s="21">
        <v>0</v>
      </c>
      <c r="T1579" s="21">
        <v>0</v>
      </c>
      <c r="U1579" s="21">
        <v>0</v>
      </c>
      <c r="V1579" s="21">
        <v>0</v>
      </c>
      <c r="W1579" s="4" t="s">
        <v>2276</v>
      </c>
      <c r="X1579" s="4" t="s">
        <v>2276</v>
      </c>
      <c r="Y1579" s="4" t="s">
        <v>2276</v>
      </c>
      <c r="Z1579" s="4" t="s">
        <v>2276</v>
      </c>
      <c r="AA1579" s="4" t="s">
        <v>4693</v>
      </c>
      <c r="AB1579" s="3"/>
    </row>
    <row r="1580" spans="1:28" ht="45.5" customHeight="1">
      <c r="A1580" s="152" t="str">
        <f>'Reported burning'!A1580</f>
        <v>185c</v>
      </c>
      <c r="B1580" s="152" t="str">
        <f>'Reported burning'!B1580</f>
        <v>185c.2</v>
      </c>
      <c r="C1580" s="152" t="str">
        <f>'Reported burning'!C1580</f>
        <v>Human, deliberate</v>
      </c>
      <c r="D1580" s="152" t="str">
        <f>'Reported burning'!D1580</f>
        <v>Crop field preparation</v>
      </c>
      <c r="E1580" s="152" t="str">
        <f>'Reported burning'!E1580</f>
        <v>Mixed cropping-livestock small holder, Subsistence-oriented</v>
      </c>
      <c r="F1580" s="152" t="str">
        <f>'Reported burning'!F1580</f>
        <v>Cropland</v>
      </c>
      <c r="G1580" s="152" t="str">
        <f>'Reported burning'!G1580</f>
        <v>ND</v>
      </c>
      <c r="H1580" s="152" t="str">
        <f>'Reported burning'!H1580</f>
        <v>Absence</v>
      </c>
      <c r="I1580" s="3"/>
      <c r="J1580" s="21">
        <v>0</v>
      </c>
      <c r="K1580" s="21">
        <v>0</v>
      </c>
      <c r="L1580" s="21">
        <v>0</v>
      </c>
      <c r="M1580" s="21">
        <v>0</v>
      </c>
      <c r="N1580" s="21">
        <v>0</v>
      </c>
      <c r="O1580" s="21">
        <v>0</v>
      </c>
      <c r="P1580" s="21">
        <v>0</v>
      </c>
      <c r="Q1580" s="21">
        <v>0</v>
      </c>
      <c r="R1580" s="21">
        <v>0</v>
      </c>
      <c r="S1580" s="21">
        <v>0</v>
      </c>
      <c r="T1580" s="21">
        <v>0</v>
      </c>
      <c r="U1580" s="21">
        <v>0</v>
      </c>
      <c r="V1580" s="21">
        <v>0</v>
      </c>
      <c r="W1580" s="4" t="s">
        <v>2276</v>
      </c>
      <c r="X1580" s="4" t="s">
        <v>2276</v>
      </c>
      <c r="Y1580" s="4" t="s">
        <v>2276</v>
      </c>
      <c r="Z1580" s="4" t="s">
        <v>2276</v>
      </c>
      <c r="AA1580" s="4" t="s">
        <v>4693</v>
      </c>
      <c r="AB1580" s="3"/>
    </row>
    <row r="1581" spans="1:28" ht="45.5" customHeight="1">
      <c r="A1581" s="152" t="str">
        <f>'Reported burning'!A1581</f>
        <v>185d</v>
      </c>
      <c r="B1581" s="152" t="str">
        <f>'Reported burning'!B1581</f>
        <v>185d.2</v>
      </c>
      <c r="C1581" s="152" t="str">
        <f>'Reported burning'!C1581</f>
        <v>Human, deliberate</v>
      </c>
      <c r="D1581" s="152" t="str">
        <f>'Reported burning'!D1581</f>
        <v>Crop field preparation</v>
      </c>
      <c r="E1581" s="152" t="str">
        <f>'Reported burning'!E1581</f>
        <v>Mixed cropping-livestock small holder, Subsistence-oriented</v>
      </c>
      <c r="F1581" s="152" t="str">
        <f>'Reported burning'!F1581</f>
        <v>Cropland</v>
      </c>
      <c r="G1581" s="152" t="str">
        <f>'Reported burning'!G1581</f>
        <v>ND</v>
      </c>
      <c r="H1581" s="152" t="str">
        <f>'Reported burning'!H1581</f>
        <v>Absence</v>
      </c>
      <c r="I1581" s="3"/>
      <c r="J1581" s="21">
        <v>0</v>
      </c>
      <c r="K1581" s="21">
        <v>0</v>
      </c>
      <c r="L1581" s="21">
        <v>0</v>
      </c>
      <c r="M1581" s="21">
        <v>0</v>
      </c>
      <c r="N1581" s="21">
        <v>0</v>
      </c>
      <c r="O1581" s="21">
        <v>0</v>
      </c>
      <c r="P1581" s="21">
        <v>0</v>
      </c>
      <c r="Q1581" s="21">
        <v>0</v>
      </c>
      <c r="R1581" s="21">
        <v>0</v>
      </c>
      <c r="S1581" s="21">
        <v>0</v>
      </c>
      <c r="T1581" s="21">
        <v>0</v>
      </c>
      <c r="U1581" s="21">
        <v>0</v>
      </c>
      <c r="V1581" s="21">
        <v>0</v>
      </c>
      <c r="W1581" s="4" t="s">
        <v>2276</v>
      </c>
      <c r="X1581" s="4" t="s">
        <v>2276</v>
      </c>
      <c r="Y1581" s="4" t="s">
        <v>2276</v>
      </c>
      <c r="Z1581" s="4" t="s">
        <v>2276</v>
      </c>
      <c r="AA1581" s="4" t="s">
        <v>4693</v>
      </c>
      <c r="AB1581" s="3"/>
    </row>
    <row r="1582" spans="1:28" ht="45.5" customHeight="1">
      <c r="A1582" s="152" t="str">
        <f>'Reported burning'!A1582</f>
        <v>186a</v>
      </c>
      <c r="B1582" s="152" t="str">
        <f>'Reported burning'!B1582</f>
        <v>186a.1</v>
      </c>
      <c r="C1582" s="152" t="str">
        <f>'Reported burning'!C1582</f>
        <v>Human, deliberate</v>
      </c>
      <c r="D1582" s="152" t="str">
        <f>'Reported burning'!D1582</f>
        <v>Hunting</v>
      </c>
      <c r="E1582" s="152" t="str">
        <f>'Reported burning'!E1582</f>
        <v>Pastoralism, Migratory</v>
      </c>
      <c r="F1582" s="152" t="str">
        <f>'Reported burning'!F1582</f>
        <v>Shrubland (Mixed forest &amp; grassland)</v>
      </c>
      <c r="G1582" s="152" t="str">
        <f>'Reported burning'!G1582</f>
        <v>ND</v>
      </c>
      <c r="H1582" s="152" t="str">
        <f>'Reported burning'!H1582</f>
        <v>Absence</v>
      </c>
      <c r="I1582" s="3"/>
      <c r="J1582" s="21">
        <v>0</v>
      </c>
      <c r="K1582" s="21">
        <v>0</v>
      </c>
      <c r="L1582" s="21">
        <v>0</v>
      </c>
      <c r="M1582" s="21">
        <v>0</v>
      </c>
      <c r="N1582" s="21">
        <v>0</v>
      </c>
      <c r="O1582" s="21">
        <v>0</v>
      </c>
      <c r="P1582" s="21">
        <v>0</v>
      </c>
      <c r="Q1582" s="21">
        <v>0</v>
      </c>
      <c r="R1582" s="21">
        <v>0</v>
      </c>
      <c r="S1582" s="21">
        <v>0</v>
      </c>
      <c r="T1582" s="21">
        <v>0</v>
      </c>
      <c r="U1582" s="21">
        <v>0</v>
      </c>
      <c r="V1582" s="21">
        <v>0</v>
      </c>
      <c r="W1582" s="4" t="s">
        <v>2276</v>
      </c>
      <c r="X1582" s="4" t="s">
        <v>2276</v>
      </c>
      <c r="Y1582" s="4" t="s">
        <v>2276</v>
      </c>
      <c r="Z1582" s="4" t="s">
        <v>2276</v>
      </c>
      <c r="AA1582" s="4" t="s">
        <v>4706</v>
      </c>
      <c r="AB1582" s="3"/>
    </row>
    <row r="1583" spans="1:28" ht="45.5" customHeight="1">
      <c r="A1583" s="152" t="str">
        <f>'Reported burning'!A1583</f>
        <v>186b</v>
      </c>
      <c r="B1583" s="152" t="str">
        <f>'Reported burning'!B1583</f>
        <v>186b.1</v>
      </c>
      <c r="C1583" s="152" t="str">
        <f>'Reported burning'!C1583</f>
        <v>Human, deliberate</v>
      </c>
      <c r="D1583" s="152" t="str">
        <f>'Reported burning'!D1583</f>
        <v>Hunting</v>
      </c>
      <c r="E1583" s="152" t="str">
        <f>'Reported burning'!E1583</f>
        <v>Pastoralism, Migratory</v>
      </c>
      <c r="F1583" s="152" t="str">
        <f>'Reported burning'!F1583</f>
        <v>Shrubland (Mixed forest &amp; grassland)</v>
      </c>
      <c r="G1583" s="152" t="str">
        <f>'Reported burning'!G1583</f>
        <v>ND</v>
      </c>
      <c r="H1583" s="152" t="str">
        <f>'Reported burning'!H1583</f>
        <v>Absence</v>
      </c>
      <c r="I1583" s="3"/>
      <c r="J1583" s="21">
        <v>0</v>
      </c>
      <c r="K1583" s="21">
        <v>0</v>
      </c>
      <c r="L1583" s="21">
        <v>0</v>
      </c>
      <c r="M1583" s="21">
        <v>0</v>
      </c>
      <c r="N1583" s="21">
        <v>0</v>
      </c>
      <c r="O1583" s="21">
        <v>0</v>
      </c>
      <c r="P1583" s="21">
        <v>0</v>
      </c>
      <c r="Q1583" s="21">
        <v>0</v>
      </c>
      <c r="R1583" s="21">
        <v>0</v>
      </c>
      <c r="S1583" s="21">
        <v>0</v>
      </c>
      <c r="T1583" s="21">
        <v>0</v>
      </c>
      <c r="U1583" s="21">
        <v>0</v>
      </c>
      <c r="V1583" s="21">
        <v>0</v>
      </c>
      <c r="W1583" s="4" t="s">
        <v>2276</v>
      </c>
      <c r="X1583" s="4" t="s">
        <v>2276</v>
      </c>
      <c r="Y1583" s="4" t="s">
        <v>2276</v>
      </c>
      <c r="Z1583" s="4" t="s">
        <v>2276</v>
      </c>
      <c r="AA1583" s="4" t="s">
        <v>4706</v>
      </c>
      <c r="AB1583" s="3"/>
    </row>
    <row r="1584" spans="1:28" ht="45.5" customHeight="1">
      <c r="A1584" s="152" t="str">
        <f>'Reported burning'!A1584</f>
        <v>186c</v>
      </c>
      <c r="B1584" s="152" t="str">
        <f>'Reported burning'!B1584</f>
        <v>186c.1</v>
      </c>
      <c r="C1584" s="152" t="str">
        <f>'Reported burning'!C1584</f>
        <v>Human, deliberate</v>
      </c>
      <c r="D1584" s="152" t="str">
        <f>'Reported burning'!D1584</f>
        <v>Hunting</v>
      </c>
      <c r="E1584" s="152" t="str">
        <f>'Reported burning'!E1584</f>
        <v>Pastoralism, Migratory</v>
      </c>
      <c r="F1584" s="152" t="str">
        <f>'Reported burning'!F1584</f>
        <v>Shrubland (Mixed forest &amp; grassland)</v>
      </c>
      <c r="G1584" s="152" t="str">
        <f>'Reported burning'!G1584</f>
        <v>ND</v>
      </c>
      <c r="H1584" s="152" t="str">
        <f>'Reported burning'!H1584</f>
        <v>Absence</v>
      </c>
      <c r="I1584" s="3"/>
      <c r="J1584" s="21">
        <v>0</v>
      </c>
      <c r="K1584" s="21">
        <v>0</v>
      </c>
      <c r="L1584" s="21">
        <v>0</v>
      </c>
      <c r="M1584" s="21">
        <v>0</v>
      </c>
      <c r="N1584" s="21">
        <v>0</v>
      </c>
      <c r="O1584" s="21">
        <v>0</v>
      </c>
      <c r="P1584" s="21">
        <v>0</v>
      </c>
      <c r="Q1584" s="21">
        <v>0</v>
      </c>
      <c r="R1584" s="21">
        <v>0</v>
      </c>
      <c r="S1584" s="21">
        <v>0</v>
      </c>
      <c r="T1584" s="21">
        <v>0</v>
      </c>
      <c r="U1584" s="21">
        <v>0</v>
      </c>
      <c r="V1584" s="21">
        <v>0</v>
      </c>
      <c r="W1584" s="4" t="s">
        <v>2276</v>
      </c>
      <c r="X1584" s="4" t="s">
        <v>2276</v>
      </c>
      <c r="Y1584" s="4" t="s">
        <v>2276</v>
      </c>
      <c r="Z1584" s="4" t="s">
        <v>2276</v>
      </c>
      <c r="AA1584" s="4" t="s">
        <v>4706</v>
      </c>
      <c r="AB1584" s="3"/>
    </row>
    <row r="1585" spans="1:28" ht="64.5" customHeight="1">
      <c r="A1585" s="152" t="str">
        <f>'Reported burning'!A1585</f>
        <v>186a</v>
      </c>
      <c r="B1585" s="152" t="str">
        <f>'Reported burning'!B1585</f>
        <v>186a.2</v>
      </c>
      <c r="C1585" s="152" t="str">
        <f>'Reported burning'!C1585</f>
        <v>Human, deliberate</v>
      </c>
      <c r="D1585" s="152" t="str">
        <f>'Reported burning'!D1585</f>
        <v>Land clearance</v>
      </c>
      <c r="E1585" s="152" t="str">
        <f>'Reported burning'!E1585</f>
        <v>Cropping, Monoculture, Subsistence-oriented</v>
      </c>
      <c r="F1585" s="152" t="str">
        <f>'Reported burning'!F1585</f>
        <v>Shrubland (Mixed forest &amp; grassland)</v>
      </c>
      <c r="G1585" s="152" t="str">
        <f>'Reported burning'!G1585</f>
        <v>ND</v>
      </c>
      <c r="H1585" s="152" t="str">
        <f>'Reported burning'!H1585</f>
        <v>Presence</v>
      </c>
      <c r="I1585" s="3"/>
      <c r="J1585" s="4" t="s">
        <v>2276</v>
      </c>
      <c r="K1585" s="4" t="s">
        <v>2276</v>
      </c>
      <c r="L1585" s="4" t="s">
        <v>2276</v>
      </c>
      <c r="M1585" s="4" t="s">
        <v>2276</v>
      </c>
      <c r="N1585" s="4" t="s">
        <v>2276</v>
      </c>
      <c r="O1585" s="4" t="s">
        <v>2276</v>
      </c>
      <c r="P1585" s="4" t="s">
        <v>2276</v>
      </c>
      <c r="Q1585" s="4" t="s">
        <v>2276</v>
      </c>
      <c r="R1585" s="4" t="s">
        <v>2276</v>
      </c>
      <c r="S1585" s="4" t="s">
        <v>2276</v>
      </c>
      <c r="T1585" s="4" t="s">
        <v>2276</v>
      </c>
      <c r="U1585" s="4" t="s">
        <v>2276</v>
      </c>
      <c r="V1585" s="4" t="s">
        <v>2276</v>
      </c>
      <c r="W1585" s="4" t="s">
        <v>2276</v>
      </c>
      <c r="X1585" s="4" t="s">
        <v>2276</v>
      </c>
      <c r="Y1585" s="4" t="s">
        <v>2276</v>
      </c>
      <c r="Z1585" s="4" t="s">
        <v>2276</v>
      </c>
      <c r="AA1585" s="4" t="s">
        <v>4713</v>
      </c>
      <c r="AB1585" s="3"/>
    </row>
    <row r="1586" spans="1:28" ht="64.5" customHeight="1">
      <c r="A1586" s="152" t="str">
        <f>'Reported burning'!A1586</f>
        <v>186b</v>
      </c>
      <c r="B1586" s="152" t="str">
        <f>'Reported burning'!B1586</f>
        <v>186b.2</v>
      </c>
      <c r="C1586" s="152" t="str">
        <f>'Reported burning'!C1586</f>
        <v>Human, deliberate</v>
      </c>
      <c r="D1586" s="152" t="str">
        <f>'Reported burning'!D1586</f>
        <v>Land clearance</v>
      </c>
      <c r="E1586" s="152" t="str">
        <f>'Reported burning'!E1586</f>
        <v>Cropping, Monoculture, Subsistence-oriented</v>
      </c>
      <c r="F1586" s="152" t="str">
        <f>'Reported burning'!F1586</f>
        <v>Shrubland (Mixed forest &amp; grassland)</v>
      </c>
      <c r="G1586" s="152" t="str">
        <f>'Reported burning'!G1586</f>
        <v>ND</v>
      </c>
      <c r="H1586" s="152" t="str">
        <f>'Reported burning'!H1586</f>
        <v>Presence</v>
      </c>
      <c r="I1586" s="3"/>
      <c r="J1586" s="4" t="s">
        <v>2276</v>
      </c>
      <c r="K1586" s="4" t="s">
        <v>2276</v>
      </c>
      <c r="L1586" s="4" t="s">
        <v>2276</v>
      </c>
      <c r="M1586" s="4" t="s">
        <v>2276</v>
      </c>
      <c r="N1586" s="4" t="s">
        <v>2276</v>
      </c>
      <c r="O1586" s="4" t="s">
        <v>2276</v>
      </c>
      <c r="P1586" s="4" t="s">
        <v>2276</v>
      </c>
      <c r="Q1586" s="4" t="s">
        <v>2276</v>
      </c>
      <c r="R1586" s="4" t="s">
        <v>2276</v>
      </c>
      <c r="S1586" s="4" t="s">
        <v>2276</v>
      </c>
      <c r="T1586" s="4" t="s">
        <v>2276</v>
      </c>
      <c r="U1586" s="4" t="s">
        <v>2276</v>
      </c>
      <c r="V1586" s="4" t="s">
        <v>2276</v>
      </c>
      <c r="W1586" s="4" t="s">
        <v>2276</v>
      </c>
      <c r="X1586" s="4" t="s">
        <v>2276</v>
      </c>
      <c r="Y1586" s="4" t="s">
        <v>2276</v>
      </c>
      <c r="Z1586" s="4" t="s">
        <v>2276</v>
      </c>
      <c r="AA1586" s="4" t="s">
        <v>4713</v>
      </c>
      <c r="AB1586" s="3"/>
    </row>
    <row r="1587" spans="1:28" ht="64.5" customHeight="1">
      <c r="A1587" s="152" t="str">
        <f>'Reported burning'!A1587</f>
        <v>186c</v>
      </c>
      <c r="B1587" s="152" t="str">
        <f>'Reported burning'!B1587</f>
        <v>186c.2</v>
      </c>
      <c r="C1587" s="152" t="str">
        <f>'Reported burning'!C1587</f>
        <v>Human, deliberate</v>
      </c>
      <c r="D1587" s="152" t="str">
        <f>'Reported burning'!D1587</f>
        <v>Land clearance</v>
      </c>
      <c r="E1587" s="152" t="str">
        <f>'Reported burning'!E1587</f>
        <v>Cropping, Monoculture, Subsistence-oriented</v>
      </c>
      <c r="F1587" s="152" t="str">
        <f>'Reported burning'!F1587</f>
        <v>Shrubland (Mixed forest &amp; grassland)</v>
      </c>
      <c r="G1587" s="152" t="str">
        <f>'Reported burning'!G1587</f>
        <v>ND</v>
      </c>
      <c r="H1587" s="152" t="str">
        <f>'Reported burning'!H1587</f>
        <v>Presence</v>
      </c>
      <c r="I1587" s="3"/>
      <c r="J1587" s="4" t="s">
        <v>2276</v>
      </c>
      <c r="K1587" s="4" t="s">
        <v>2276</v>
      </c>
      <c r="L1587" s="4" t="s">
        <v>2276</v>
      </c>
      <c r="M1587" s="4" t="s">
        <v>2276</v>
      </c>
      <c r="N1587" s="4" t="s">
        <v>2276</v>
      </c>
      <c r="O1587" s="4" t="s">
        <v>2276</v>
      </c>
      <c r="P1587" s="4" t="s">
        <v>2276</v>
      </c>
      <c r="Q1587" s="4" t="s">
        <v>2276</v>
      </c>
      <c r="R1587" s="4" t="s">
        <v>2276</v>
      </c>
      <c r="S1587" s="4" t="s">
        <v>2276</v>
      </c>
      <c r="T1587" s="4" t="s">
        <v>2276</v>
      </c>
      <c r="U1587" s="4" t="s">
        <v>2276</v>
      </c>
      <c r="V1587" s="4" t="s">
        <v>2276</v>
      </c>
      <c r="W1587" s="4" t="s">
        <v>2276</v>
      </c>
      <c r="X1587" s="4" t="s">
        <v>2276</v>
      </c>
      <c r="Y1587" s="4" t="s">
        <v>2276</v>
      </c>
      <c r="Z1587" s="4" t="s">
        <v>2276</v>
      </c>
      <c r="AA1587" s="4" t="s">
        <v>4713</v>
      </c>
      <c r="AB1587" s="3"/>
    </row>
    <row r="1588" spans="1:28" ht="64.5" customHeight="1">
      <c r="A1588" s="152" t="str">
        <f>'Reported burning'!A1588</f>
        <v>186a</v>
      </c>
      <c r="B1588" s="152" t="str">
        <f>'Reported burning'!B1588</f>
        <v>186a.3</v>
      </c>
      <c r="C1588" s="152" t="str">
        <f>'Reported burning'!C1588</f>
        <v>Human, deliberate</v>
      </c>
      <c r="D1588" s="152" t="str">
        <f>'Reported burning'!D1588</f>
        <v>Arson</v>
      </c>
      <c r="E1588" s="152" t="str">
        <f>'Reported burning'!E1588</f>
        <v>Cropping, Monoculture, Subsistence-oriented</v>
      </c>
      <c r="F1588" s="152" t="str">
        <f>'Reported burning'!F1588</f>
        <v>Pasture</v>
      </c>
      <c r="G1588" s="152" t="str">
        <f>'Reported burning'!G1588</f>
        <v>ND</v>
      </c>
      <c r="H1588" s="152" t="str">
        <f>'Reported burning'!H1588</f>
        <v>Presence</v>
      </c>
      <c r="I1588" s="3"/>
      <c r="J1588" s="4" t="s">
        <v>2276</v>
      </c>
      <c r="K1588" s="4" t="s">
        <v>2276</v>
      </c>
      <c r="L1588" s="4" t="s">
        <v>2276</v>
      </c>
      <c r="M1588" s="4" t="s">
        <v>2276</v>
      </c>
      <c r="N1588" s="4" t="s">
        <v>2276</v>
      </c>
      <c r="O1588" s="4" t="s">
        <v>2276</v>
      </c>
      <c r="P1588" s="4" t="s">
        <v>2276</v>
      </c>
      <c r="Q1588" s="4" t="s">
        <v>2276</v>
      </c>
      <c r="R1588" s="4" t="s">
        <v>2276</v>
      </c>
      <c r="S1588" s="4" t="s">
        <v>2276</v>
      </c>
      <c r="T1588" s="4" t="s">
        <v>2276</v>
      </c>
      <c r="U1588" s="4" t="s">
        <v>2276</v>
      </c>
      <c r="V1588" s="4" t="s">
        <v>2276</v>
      </c>
      <c r="W1588" s="4" t="s">
        <v>2276</v>
      </c>
      <c r="X1588" s="4" t="s">
        <v>2276</v>
      </c>
      <c r="Y1588" s="4" t="s">
        <v>2276</v>
      </c>
      <c r="Z1588" s="4" t="s">
        <v>2276</v>
      </c>
      <c r="AA1588" s="4" t="s">
        <v>4713</v>
      </c>
      <c r="AB1588" s="3"/>
    </row>
    <row r="1589" spans="1:28" ht="64.5" customHeight="1">
      <c r="A1589" s="152" t="str">
        <f>'Reported burning'!A1589</f>
        <v>186b</v>
      </c>
      <c r="B1589" s="152" t="str">
        <f>'Reported burning'!B1589</f>
        <v>186b.3</v>
      </c>
      <c r="C1589" s="152" t="str">
        <f>'Reported burning'!C1589</f>
        <v>Human, deliberate</v>
      </c>
      <c r="D1589" s="152" t="str">
        <f>'Reported burning'!D1589</f>
        <v>Arson</v>
      </c>
      <c r="E1589" s="152" t="str">
        <f>'Reported burning'!E1589</f>
        <v>Cropping, Monoculture, Subsistence-oriented</v>
      </c>
      <c r="F1589" s="152" t="str">
        <f>'Reported burning'!F1589</f>
        <v>Pasture</v>
      </c>
      <c r="G1589" s="152" t="str">
        <f>'Reported burning'!G1589</f>
        <v>ND</v>
      </c>
      <c r="H1589" s="152" t="str">
        <f>'Reported burning'!H1589</f>
        <v>Presence</v>
      </c>
      <c r="I1589" s="3"/>
      <c r="J1589" s="4" t="s">
        <v>2276</v>
      </c>
      <c r="K1589" s="4" t="s">
        <v>2276</v>
      </c>
      <c r="L1589" s="4" t="s">
        <v>2276</v>
      </c>
      <c r="M1589" s="4" t="s">
        <v>2276</v>
      </c>
      <c r="N1589" s="4" t="s">
        <v>2276</v>
      </c>
      <c r="O1589" s="4" t="s">
        <v>2276</v>
      </c>
      <c r="P1589" s="4" t="s">
        <v>2276</v>
      </c>
      <c r="Q1589" s="4" t="s">
        <v>2276</v>
      </c>
      <c r="R1589" s="4" t="s">
        <v>2276</v>
      </c>
      <c r="S1589" s="4" t="s">
        <v>2276</v>
      </c>
      <c r="T1589" s="4" t="s">
        <v>2276</v>
      </c>
      <c r="U1589" s="4" t="s">
        <v>2276</v>
      </c>
      <c r="V1589" s="4" t="s">
        <v>2276</v>
      </c>
      <c r="W1589" s="4" t="s">
        <v>2276</v>
      </c>
      <c r="X1589" s="4" t="s">
        <v>2276</v>
      </c>
      <c r="Y1589" s="4" t="s">
        <v>2276</v>
      </c>
      <c r="Z1589" s="4" t="s">
        <v>2276</v>
      </c>
      <c r="AA1589" s="4" t="s">
        <v>4713</v>
      </c>
      <c r="AB1589" s="3"/>
    </row>
    <row r="1590" spans="1:28" ht="64.5" customHeight="1">
      <c r="A1590" s="152" t="str">
        <f>'Reported burning'!A1590</f>
        <v>186c</v>
      </c>
      <c r="B1590" s="152" t="str">
        <f>'Reported burning'!B1590</f>
        <v>186c.3</v>
      </c>
      <c r="C1590" s="152" t="str">
        <f>'Reported burning'!C1590</f>
        <v>Human, deliberate</v>
      </c>
      <c r="D1590" s="152" t="str">
        <f>'Reported burning'!D1590</f>
        <v>Arson</v>
      </c>
      <c r="E1590" s="152" t="str">
        <f>'Reported burning'!E1590</f>
        <v>Cropping, Monoculture, Subsistence-oriented</v>
      </c>
      <c r="F1590" s="152" t="str">
        <f>'Reported burning'!F1590</f>
        <v>Pasture</v>
      </c>
      <c r="G1590" s="152" t="str">
        <f>'Reported burning'!G1590</f>
        <v>ND</v>
      </c>
      <c r="H1590" s="152" t="str">
        <f>'Reported burning'!H1590</f>
        <v>Presence</v>
      </c>
      <c r="I1590" s="3"/>
      <c r="J1590" s="4" t="s">
        <v>2276</v>
      </c>
      <c r="K1590" s="4" t="s">
        <v>2276</v>
      </c>
      <c r="L1590" s="4" t="s">
        <v>2276</v>
      </c>
      <c r="M1590" s="4" t="s">
        <v>2276</v>
      </c>
      <c r="N1590" s="4" t="s">
        <v>2276</v>
      </c>
      <c r="O1590" s="4" t="s">
        <v>2276</v>
      </c>
      <c r="P1590" s="4" t="s">
        <v>2276</v>
      </c>
      <c r="Q1590" s="4" t="s">
        <v>2276</v>
      </c>
      <c r="R1590" s="4" t="s">
        <v>2276</v>
      </c>
      <c r="S1590" s="4" t="s">
        <v>2276</v>
      </c>
      <c r="T1590" s="4" t="s">
        <v>2276</v>
      </c>
      <c r="U1590" s="4" t="s">
        <v>2276</v>
      </c>
      <c r="V1590" s="4" t="s">
        <v>2276</v>
      </c>
      <c r="W1590" s="4" t="s">
        <v>2276</v>
      </c>
      <c r="X1590" s="4" t="s">
        <v>2276</v>
      </c>
      <c r="Y1590" s="4" t="s">
        <v>2276</v>
      </c>
      <c r="Z1590" s="4" t="s">
        <v>2276</v>
      </c>
      <c r="AA1590" s="4" t="s">
        <v>4713</v>
      </c>
      <c r="AB1590" s="3"/>
    </row>
    <row r="1591" spans="1:28" ht="75" customHeight="1">
      <c r="A1591" s="152" t="str">
        <f>'Reported burning'!A1591</f>
        <v>187a</v>
      </c>
      <c r="B1591" s="152" t="str">
        <f>'Reported burning'!B1591</f>
        <v>187a.1</v>
      </c>
      <c r="C1591" s="152" t="str">
        <f>'Reported burning'!C1591</f>
        <v>Human, deliberate</v>
      </c>
      <c r="D1591" s="152" t="str">
        <f>'Reported burning'!D1591</f>
        <v>Arson</v>
      </c>
      <c r="E1591" s="152" t="str">
        <f>'Reported burning'!E1591</f>
        <v>Cropping, Intensive</v>
      </c>
      <c r="F1591" s="152" t="str">
        <f>'Reported burning'!F1591</f>
        <v>Pasture</v>
      </c>
      <c r="G1591" s="152" t="str">
        <f>'Reported burning'!G1591</f>
        <v>ND</v>
      </c>
      <c r="H1591" s="152" t="str">
        <f>'Reported burning'!H1591</f>
        <v>Presence</v>
      </c>
      <c r="I1591" s="3"/>
      <c r="J1591" t="s">
        <v>2372</v>
      </c>
      <c r="K1591" s="4" t="s">
        <v>2276</v>
      </c>
      <c r="L1591" s="4" t="s">
        <v>2276</v>
      </c>
      <c r="M1591" s="4" t="s">
        <v>2276</v>
      </c>
      <c r="N1591" s="4" t="s">
        <v>2276</v>
      </c>
      <c r="O1591" s="4" t="s">
        <v>2276</v>
      </c>
      <c r="P1591" s="4" t="s">
        <v>2276</v>
      </c>
      <c r="Q1591" s="4" t="s">
        <v>2276</v>
      </c>
      <c r="R1591" s="4" t="s">
        <v>2276</v>
      </c>
      <c r="S1591" s="4" t="s">
        <v>2276</v>
      </c>
      <c r="T1591" s="4" t="s">
        <v>2276</v>
      </c>
      <c r="U1591" s="4" t="s">
        <v>2276</v>
      </c>
      <c r="V1591" s="4" t="s">
        <v>2276</v>
      </c>
      <c r="W1591" t="s">
        <v>2401</v>
      </c>
      <c r="X1591" s="3" t="s">
        <v>425</v>
      </c>
      <c r="Y1591" s="3" t="s">
        <v>68</v>
      </c>
      <c r="Z1591" s="3" t="s">
        <v>64</v>
      </c>
      <c r="AA1591" s="4" t="s">
        <v>4725</v>
      </c>
      <c r="AB1591" s="4" t="s">
        <v>4731</v>
      </c>
    </row>
    <row r="1592" spans="1:28" ht="56" customHeight="1">
      <c r="A1592" s="152" t="str">
        <f>'Reported burning'!A1592</f>
        <v>187a</v>
      </c>
      <c r="B1592" s="152" t="str">
        <f>'Reported burning'!B1592</f>
        <v>187a.2</v>
      </c>
      <c r="C1592" s="152" t="str">
        <f>'Reported burning'!C1592</f>
        <v>Human, deliberate</v>
      </c>
      <c r="D1592" s="152" t="str">
        <f>'Reported burning'!D1592</f>
        <v>All</v>
      </c>
      <c r="E1592" s="152" t="str">
        <f>'Reported burning'!E1592</f>
        <v>Cattle, Intensive</v>
      </c>
      <c r="F1592" s="152" t="str">
        <f>'Reported burning'!F1592</f>
        <v>Cropland</v>
      </c>
      <c r="G1592" s="152" t="str">
        <f>'Reported burning'!G1592</f>
        <v>ND</v>
      </c>
      <c r="H1592" s="152" t="str">
        <f>'Reported burning'!H1592</f>
        <v>Absence</v>
      </c>
      <c r="I1592" s="3"/>
      <c r="J1592" s="21">
        <v>0</v>
      </c>
      <c r="K1592" s="21">
        <v>0</v>
      </c>
      <c r="L1592" s="21">
        <v>0</v>
      </c>
      <c r="M1592" s="21">
        <v>0</v>
      </c>
      <c r="N1592" s="21">
        <v>0</v>
      </c>
      <c r="O1592" s="21">
        <v>0</v>
      </c>
      <c r="P1592" s="21">
        <v>0</v>
      </c>
      <c r="Q1592" s="21">
        <v>0</v>
      </c>
      <c r="R1592" s="21">
        <v>0</v>
      </c>
      <c r="S1592" s="21">
        <v>0</v>
      </c>
      <c r="T1592" s="21">
        <v>0</v>
      </c>
      <c r="U1592" s="21">
        <v>0</v>
      </c>
      <c r="V1592" s="21">
        <v>0</v>
      </c>
      <c r="W1592" s="4" t="s">
        <v>2276</v>
      </c>
      <c r="X1592" s="4" t="s">
        <v>2276</v>
      </c>
      <c r="Y1592" s="4" t="s">
        <v>2276</v>
      </c>
      <c r="Z1592" s="4" t="s">
        <v>2276</v>
      </c>
      <c r="AA1592" s="4"/>
      <c r="AB1592" s="3"/>
    </row>
    <row r="1593" spans="1:28" ht="56" customHeight="1">
      <c r="A1593" s="152" t="str">
        <f>'Reported burning'!A1593</f>
        <v>187a</v>
      </c>
      <c r="B1593" s="152" t="str">
        <f>'Reported burning'!B1593</f>
        <v>187a.3</v>
      </c>
      <c r="C1593" s="152" t="str">
        <f>'Reported burning'!C1593</f>
        <v>Lightning</v>
      </c>
      <c r="D1593" s="152" t="str">
        <f>'Reported burning'!D1593</f>
        <v>ND</v>
      </c>
      <c r="E1593" s="152" t="str">
        <f>'Reported burning'!E1593</f>
        <v>ND</v>
      </c>
      <c r="F1593" s="152" t="str">
        <f>'Reported burning'!F1593</f>
        <v>ND</v>
      </c>
      <c r="G1593" s="152" t="str">
        <f>'Reported burning'!G1593</f>
        <v>Shrubland (Mixed forest &amp; grassland)</v>
      </c>
      <c r="H1593" s="152" t="str">
        <f>'Reported burning'!H1593</f>
        <v>Presence</v>
      </c>
      <c r="I1593" s="3"/>
      <c r="J1593" s="4" t="s">
        <v>2276</v>
      </c>
      <c r="K1593" s="4" t="s">
        <v>2276</v>
      </c>
      <c r="L1593" s="4" t="s">
        <v>2276</v>
      </c>
      <c r="M1593" s="4" t="s">
        <v>2276</v>
      </c>
      <c r="N1593" s="4" t="s">
        <v>2276</v>
      </c>
      <c r="O1593" s="4" t="s">
        <v>2276</v>
      </c>
      <c r="P1593" s="4" t="s">
        <v>2276</v>
      </c>
      <c r="Q1593" s="4" t="s">
        <v>2276</v>
      </c>
      <c r="R1593" s="4" t="s">
        <v>2276</v>
      </c>
      <c r="S1593" s="4" t="s">
        <v>2276</v>
      </c>
      <c r="T1593" s="4" t="s">
        <v>2276</v>
      </c>
      <c r="U1593" s="4" t="s">
        <v>2276</v>
      </c>
      <c r="V1593" s="4" t="s">
        <v>2276</v>
      </c>
      <c r="W1593" s="4" t="s">
        <v>2276</v>
      </c>
      <c r="X1593" s="4" t="s">
        <v>2276</v>
      </c>
      <c r="Y1593" s="4" t="s">
        <v>2276</v>
      </c>
      <c r="Z1593" s="4" t="s">
        <v>2276</v>
      </c>
      <c r="AA1593" s="3"/>
      <c r="AB1593" s="3"/>
    </row>
    <row r="1594" spans="1:28" ht="56" customHeight="1">
      <c r="A1594" s="152" t="str">
        <f>'Reported burning'!A1594</f>
        <v>187a</v>
      </c>
      <c r="B1594" s="152" t="str">
        <f>'Reported burning'!B1594</f>
        <v>187a.4</v>
      </c>
      <c r="C1594" s="152" t="str">
        <f>'Reported burning'!C1594</f>
        <v>Lightning</v>
      </c>
      <c r="D1594" s="152" t="str">
        <f>'Reported burning'!D1594</f>
        <v>ND</v>
      </c>
      <c r="E1594" s="152" t="str">
        <f>'Reported burning'!E1594</f>
        <v>ND</v>
      </c>
      <c r="F1594" s="152" t="str">
        <f>'Reported burning'!F1594</f>
        <v>ND</v>
      </c>
      <c r="G1594" s="152" t="str">
        <f>'Reported burning'!G1594</f>
        <v>Cropland</v>
      </c>
      <c r="H1594" s="152" t="str">
        <f>'Reported burning'!H1594</f>
        <v>Absence</v>
      </c>
      <c r="I1594" s="3"/>
      <c r="J1594" s="21">
        <v>0</v>
      </c>
      <c r="K1594" s="21">
        <v>0</v>
      </c>
      <c r="L1594" s="21">
        <v>0</v>
      </c>
      <c r="M1594" s="21">
        <v>0</v>
      </c>
      <c r="N1594" s="21">
        <v>0</v>
      </c>
      <c r="O1594" s="21">
        <v>0</v>
      </c>
      <c r="P1594" s="21">
        <v>0</v>
      </c>
      <c r="Q1594" s="21">
        <v>0</v>
      </c>
      <c r="R1594" s="21">
        <v>0</v>
      </c>
      <c r="S1594" s="21">
        <v>0</v>
      </c>
      <c r="T1594" s="21">
        <v>0</v>
      </c>
      <c r="U1594" s="21">
        <v>0</v>
      </c>
      <c r="V1594" s="21">
        <v>0</v>
      </c>
      <c r="W1594" s="4" t="s">
        <v>2276</v>
      </c>
      <c r="X1594" s="4" t="s">
        <v>2276</v>
      </c>
      <c r="Y1594" s="4" t="s">
        <v>2276</v>
      </c>
      <c r="Z1594" s="4" t="s">
        <v>2276</v>
      </c>
      <c r="AA1594" s="4" t="s">
        <v>4729</v>
      </c>
      <c r="AB1594" s="3"/>
    </row>
    <row r="1595" spans="1:28" ht="74" customHeight="1">
      <c r="A1595" s="152" t="str">
        <f>'Reported burning'!A1595</f>
        <v>187a</v>
      </c>
      <c r="B1595" s="152" t="str">
        <f>'Reported burning'!B1595</f>
        <v>187a.5</v>
      </c>
      <c r="C1595" s="152" t="str">
        <f>'Reported burning'!C1595</f>
        <v>Human, deliberate</v>
      </c>
      <c r="D1595" s="152" t="str">
        <f>'Reported burning'!D1595</f>
        <v>Rangeland management</v>
      </c>
      <c r="E1595" s="152" t="str">
        <f>'Reported burning'!E1595</f>
        <v>Pastoralism, Migratory</v>
      </c>
      <c r="F1595" s="152" t="str">
        <f>'Reported burning'!F1595</f>
        <v>Shrubland (Mixed forest &amp; grassland)</v>
      </c>
      <c r="G1595" s="152" t="str">
        <f>'Reported burning'!G1595</f>
        <v>ND</v>
      </c>
      <c r="H1595" s="152" t="str">
        <f>'Reported burning'!H1595</f>
        <v>Presence</v>
      </c>
      <c r="I1595" s="3"/>
      <c r="J1595" s="4" t="s">
        <v>2276</v>
      </c>
      <c r="K1595" s="4" t="s">
        <v>2276</v>
      </c>
      <c r="L1595" s="4" t="s">
        <v>2276</v>
      </c>
      <c r="M1595" s="4" t="s">
        <v>2276</v>
      </c>
      <c r="N1595" s="4" t="s">
        <v>2276</v>
      </c>
      <c r="O1595" s="4" t="s">
        <v>2276</v>
      </c>
      <c r="P1595" s="4" t="s">
        <v>2276</v>
      </c>
      <c r="Q1595" s="4" t="s">
        <v>2276</v>
      </c>
      <c r="R1595" s="4" t="s">
        <v>2276</v>
      </c>
      <c r="S1595" s="4" t="s">
        <v>2276</v>
      </c>
      <c r="T1595" s="4" t="s">
        <v>2276</v>
      </c>
      <c r="U1595" s="4" t="s">
        <v>2276</v>
      </c>
      <c r="V1595" s="4" t="s">
        <v>2276</v>
      </c>
      <c r="W1595" s="4" t="s">
        <v>2276</v>
      </c>
      <c r="X1595" s="4" t="s">
        <v>2276</v>
      </c>
      <c r="Y1595" s="4" t="s">
        <v>2276</v>
      </c>
      <c r="Z1595" s="4" t="s">
        <v>2276</v>
      </c>
      <c r="AA1595" s="4" t="s">
        <v>4732</v>
      </c>
      <c r="AB1595" s="3"/>
    </row>
    <row r="1596" spans="1:28" ht="57.5" customHeight="1">
      <c r="A1596" s="152" t="str">
        <f>'Reported burning'!A1596</f>
        <v>189a</v>
      </c>
      <c r="B1596" s="152" t="str">
        <f>'Reported burning'!B1596</f>
        <v>189a.1</v>
      </c>
      <c r="C1596" s="152" t="str">
        <f>'Reported burning'!C1596</f>
        <v>Lightning</v>
      </c>
      <c r="D1596" s="152" t="str">
        <f>'Reported burning'!D1596</f>
        <v>ND</v>
      </c>
      <c r="E1596" s="152" t="str">
        <f>'Reported burning'!E1596</f>
        <v>ND</v>
      </c>
      <c r="F1596" s="152" t="str">
        <f>'Reported burning'!F1596</f>
        <v>ND</v>
      </c>
      <c r="G1596" s="152" t="str">
        <f>'Reported burning'!G1596</f>
        <v>Shrubland (Mixed forest &amp; grassland)</v>
      </c>
      <c r="H1596" s="152" t="str">
        <f>'Reported burning'!H1596</f>
        <v>Presence</v>
      </c>
      <c r="I1596" s="3">
        <v>1937</v>
      </c>
      <c r="J1596" s="4" t="s">
        <v>2276</v>
      </c>
      <c r="K1596" s="4" t="s">
        <v>2276</v>
      </c>
      <c r="L1596" s="4" t="s">
        <v>2276</v>
      </c>
      <c r="M1596" s="4" t="s">
        <v>2276</v>
      </c>
      <c r="N1596" s="4" t="s">
        <v>2276</v>
      </c>
      <c r="O1596" s="4" t="s">
        <v>2276</v>
      </c>
      <c r="P1596" s="4" t="s">
        <v>2276</v>
      </c>
      <c r="Q1596" s="4" t="s">
        <v>2276</v>
      </c>
      <c r="R1596" s="4" t="s">
        <v>2276</v>
      </c>
      <c r="S1596" s="4" t="s">
        <v>2276</v>
      </c>
      <c r="T1596" s="4" t="s">
        <v>2276</v>
      </c>
      <c r="U1596" s="4" t="s">
        <v>2276</v>
      </c>
      <c r="V1596" s="4" t="s">
        <v>2276</v>
      </c>
      <c r="W1596" s="4" t="s">
        <v>2276</v>
      </c>
      <c r="X1596" s="3" t="s">
        <v>38</v>
      </c>
      <c r="Y1596" s="3" t="s">
        <v>405</v>
      </c>
      <c r="Z1596" s="3" t="s">
        <v>76</v>
      </c>
      <c r="AA1596" s="4" t="s">
        <v>4751</v>
      </c>
      <c r="AB1596" s="3"/>
    </row>
    <row r="1597" spans="1:28" ht="35" customHeight="1">
      <c r="A1597" s="152" t="str">
        <f>'Reported burning'!A1597</f>
        <v>189a</v>
      </c>
      <c r="B1597" s="152" t="str">
        <f>'Reported burning'!B1597</f>
        <v>189a.2</v>
      </c>
      <c r="C1597" s="152" t="str">
        <f>'Reported burning'!C1597</f>
        <v>Human, deliberate</v>
      </c>
      <c r="D1597" s="152" t="str">
        <f>'Reported burning'!D1597</f>
        <v>Conservation</v>
      </c>
      <c r="E1597" s="152" t="str">
        <f>'Reported burning'!E1597</f>
        <v>Biodiversity conservation</v>
      </c>
      <c r="F1597" s="152" t="str">
        <f>'Reported burning'!F1597</f>
        <v>Shrubland (Mixed forest &amp; grassland)</v>
      </c>
      <c r="G1597" s="152" t="str">
        <f>'Reported burning'!G1597</f>
        <v>ND</v>
      </c>
      <c r="H1597" s="152" t="str">
        <f>'Reported burning'!H1597</f>
        <v>Absence</v>
      </c>
      <c r="I1597" s="3">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3" t="s">
        <v>38</v>
      </c>
      <c r="Y1597" s="3" t="s">
        <v>405</v>
      </c>
      <c r="Z1597" s="3" t="s">
        <v>76</v>
      </c>
      <c r="AA1597" s="38"/>
      <c r="AB1597" s="168"/>
    </row>
    <row r="1598" spans="1:28" ht="35" customHeight="1">
      <c r="A1598" s="152" t="str">
        <f>'Reported burning'!A1598</f>
        <v>189a</v>
      </c>
      <c r="B1598" s="152" t="str">
        <f>'Reported burning'!B1598</f>
        <v>189a.3</v>
      </c>
      <c r="C1598" s="152" t="str">
        <f>'Reported burning'!C1598</f>
        <v>Human, deliberate</v>
      </c>
      <c r="D1598" s="152" t="str">
        <f>'Reported burning'!D1598</f>
        <v>ND</v>
      </c>
      <c r="E1598" s="152" t="str">
        <f>'Reported burning'!E1598</f>
        <v>All</v>
      </c>
      <c r="F1598" s="152" t="str">
        <f>'Reported burning'!F1598</f>
        <v>Shrubland (Mixed forest &amp; grassland)</v>
      </c>
      <c r="G1598" s="152" t="str">
        <f>'Reported burning'!G1598</f>
        <v>ND</v>
      </c>
      <c r="H1598" s="152" t="str">
        <f>'Reported burning'!H1598</f>
        <v>Presence</v>
      </c>
      <c r="I1598" s="3">
        <v>1990</v>
      </c>
      <c r="J1598" s="4" t="s">
        <v>2276</v>
      </c>
      <c r="K1598" s="4" t="s">
        <v>2276</v>
      </c>
      <c r="L1598" s="4" t="s">
        <v>2276</v>
      </c>
      <c r="M1598" s="4" t="s">
        <v>2276</v>
      </c>
      <c r="N1598" s="4" t="s">
        <v>2276</v>
      </c>
      <c r="O1598" s="4" t="s">
        <v>2276</v>
      </c>
      <c r="P1598" s="4" t="s">
        <v>2276</v>
      </c>
      <c r="Q1598" s="4" t="s">
        <v>2276</v>
      </c>
      <c r="R1598" s="4" t="s">
        <v>2276</v>
      </c>
      <c r="S1598" s="4" t="s">
        <v>2276</v>
      </c>
      <c r="T1598" s="4" t="s">
        <v>2276</v>
      </c>
      <c r="U1598" s="4" t="s">
        <v>2276</v>
      </c>
      <c r="V1598" s="4" t="s">
        <v>2276</v>
      </c>
      <c r="W1598" s="4" t="s">
        <v>2276</v>
      </c>
      <c r="X1598" s="3" t="s">
        <v>38</v>
      </c>
      <c r="Y1598" s="3" t="s">
        <v>405</v>
      </c>
      <c r="Z1598" s="3" t="s">
        <v>76</v>
      </c>
      <c r="AA1598" s="4" t="s">
        <v>4762</v>
      </c>
      <c r="AB1598" s="168" t="s">
        <v>4753</v>
      </c>
    </row>
    <row r="1599" spans="1:28" ht="35" customHeight="1">
      <c r="A1599" s="152" t="str">
        <f>'Reported burning'!A1599</f>
        <v>189b</v>
      </c>
      <c r="B1599" s="152" t="str">
        <f>'Reported burning'!B1599</f>
        <v>189b.1</v>
      </c>
      <c r="C1599" s="152" t="str">
        <f>'Reported burning'!C1599</f>
        <v>Human, deliberate</v>
      </c>
      <c r="D1599" s="152" t="str">
        <f>'Reported burning'!D1599</f>
        <v>ND</v>
      </c>
      <c r="E1599" s="152" t="str">
        <f>'Reported burning'!E1599</f>
        <v>Pastoralism, Migratory</v>
      </c>
      <c r="F1599" s="152" t="str">
        <f>'Reported burning'!F1599</f>
        <v>Shrubland (Mixed forest &amp; grassland)</v>
      </c>
      <c r="G1599" s="152" t="str">
        <f>'Reported burning'!G1599</f>
        <v>ND</v>
      </c>
      <c r="H1599" s="152" t="str">
        <f>'Reported burning'!H1599</f>
        <v>Presence</v>
      </c>
      <c r="I1599" s="3">
        <v>1990</v>
      </c>
      <c r="J1599" s="4" t="s">
        <v>2276</v>
      </c>
      <c r="K1599" s="4" t="s">
        <v>2276</v>
      </c>
      <c r="L1599" s="4" t="s">
        <v>2276</v>
      </c>
      <c r="M1599" s="4" t="s">
        <v>2276</v>
      </c>
      <c r="N1599" s="4" t="s">
        <v>2276</v>
      </c>
      <c r="O1599" s="4" t="s">
        <v>2276</v>
      </c>
      <c r="P1599" s="4" t="s">
        <v>2276</v>
      </c>
      <c r="Q1599" s="4" t="s">
        <v>2276</v>
      </c>
      <c r="R1599" s="4" t="s">
        <v>2276</v>
      </c>
      <c r="S1599" s="4" t="s">
        <v>2276</v>
      </c>
      <c r="T1599" s="4" t="s">
        <v>2276</v>
      </c>
      <c r="U1599" s="4" t="s">
        <v>2276</v>
      </c>
      <c r="V1599" s="4" t="s">
        <v>2276</v>
      </c>
      <c r="W1599" s="4" t="s">
        <v>2276</v>
      </c>
      <c r="X1599" s="3" t="s">
        <v>38</v>
      </c>
      <c r="Y1599" s="3" t="s">
        <v>405</v>
      </c>
      <c r="Z1599" s="3" t="s">
        <v>76</v>
      </c>
      <c r="AA1599" s="4" t="s">
        <v>4762</v>
      </c>
      <c r="AB1599" s="168" t="s">
        <v>4753</v>
      </c>
    </row>
    <row r="1600" spans="1:28" ht="35" customHeight="1">
      <c r="A1600" s="152" t="str">
        <f>'Reported burning'!A1600</f>
        <v>189b</v>
      </c>
      <c r="B1600" s="152" t="str">
        <f>'Reported burning'!B1600</f>
        <v>189b.2</v>
      </c>
      <c r="C1600" s="152" t="str">
        <f>'Reported burning'!C1600</f>
        <v>Human, deliberate</v>
      </c>
      <c r="D1600" s="152" t="str">
        <f>'Reported burning'!D1600</f>
        <v>ND</v>
      </c>
      <c r="E1600" s="152" t="str">
        <f>'Reported burning'!E1600</f>
        <v>Pastoralism, Migratory</v>
      </c>
      <c r="F1600" s="152" t="str">
        <f>'Reported burning'!F1600</f>
        <v>Shrubland (Mixed forest &amp; grassland)</v>
      </c>
      <c r="G1600" s="152" t="str">
        <f>'Reported burning'!G1600</f>
        <v>ND</v>
      </c>
      <c r="H1600" s="152" t="str">
        <f>'Reported burning'!H1600</f>
        <v>Presence</v>
      </c>
      <c r="I1600" s="3">
        <v>1990</v>
      </c>
      <c r="J1600" s="4" t="s">
        <v>2276</v>
      </c>
      <c r="K1600" s="4" t="s">
        <v>2276</v>
      </c>
      <c r="L1600" s="4" t="s">
        <v>2276</v>
      </c>
      <c r="M1600" s="4" t="s">
        <v>2276</v>
      </c>
      <c r="N1600" s="4" t="s">
        <v>2276</v>
      </c>
      <c r="O1600" s="4" t="s">
        <v>2276</v>
      </c>
      <c r="P1600" s="4" t="s">
        <v>2276</v>
      </c>
      <c r="Q1600" s="4" t="s">
        <v>2276</v>
      </c>
      <c r="R1600" s="4" t="s">
        <v>2276</v>
      </c>
      <c r="S1600" s="4" t="s">
        <v>2276</v>
      </c>
      <c r="T1600" s="4" t="s">
        <v>2276</v>
      </c>
      <c r="U1600" s="4" t="s">
        <v>2276</v>
      </c>
      <c r="V1600" s="4" t="s">
        <v>2276</v>
      </c>
      <c r="W1600" s="4" t="s">
        <v>2276</v>
      </c>
      <c r="X1600" s="3" t="s">
        <v>38</v>
      </c>
      <c r="Y1600" s="3" t="s">
        <v>405</v>
      </c>
      <c r="Z1600" s="3" t="s">
        <v>76</v>
      </c>
      <c r="AA1600" s="4" t="s">
        <v>4762</v>
      </c>
      <c r="AB1600" s="168" t="s">
        <v>4753</v>
      </c>
    </row>
    <row r="1601" spans="1:28" ht="35" customHeight="1">
      <c r="A1601" s="152" t="str">
        <f>'Reported burning'!A1601</f>
        <v>189b</v>
      </c>
      <c r="B1601" s="152" t="str">
        <f>'Reported burning'!B1601</f>
        <v>189b.3</v>
      </c>
      <c r="C1601" s="152" t="str">
        <f>'Reported burning'!C1601</f>
        <v>Human, deliberate</v>
      </c>
      <c r="D1601" s="152" t="str">
        <f>'Reported burning'!D1601</f>
        <v>ND</v>
      </c>
      <c r="E1601" s="152" t="str">
        <f>'Reported burning'!E1601</f>
        <v>Cattle, Extensive</v>
      </c>
      <c r="F1601" s="152" t="str">
        <f>'Reported burning'!F1601</f>
        <v>Shrubland (Mixed forest &amp; grassland)</v>
      </c>
      <c r="G1601" s="152" t="str">
        <f>'Reported burning'!G1601</f>
        <v>ND</v>
      </c>
      <c r="H1601" s="152" t="str">
        <f>'Reported burning'!H1601</f>
        <v>Presence</v>
      </c>
      <c r="I1601" s="3">
        <v>1990</v>
      </c>
      <c r="J1601" s="4" t="s">
        <v>2276</v>
      </c>
      <c r="K1601" s="4" t="s">
        <v>2276</v>
      </c>
      <c r="L1601" s="4" t="s">
        <v>2276</v>
      </c>
      <c r="M1601" s="4" t="s">
        <v>2276</v>
      </c>
      <c r="N1601" s="4" t="s">
        <v>2276</v>
      </c>
      <c r="O1601" s="4" t="s">
        <v>2276</v>
      </c>
      <c r="P1601" s="4" t="s">
        <v>2276</v>
      </c>
      <c r="Q1601" s="4" t="s">
        <v>2276</v>
      </c>
      <c r="R1601" s="4" t="s">
        <v>2276</v>
      </c>
      <c r="S1601" s="4" t="s">
        <v>2276</v>
      </c>
      <c r="T1601" s="4" t="s">
        <v>2276</v>
      </c>
      <c r="U1601" s="4" t="s">
        <v>2276</v>
      </c>
      <c r="V1601" s="4" t="s">
        <v>2276</v>
      </c>
      <c r="W1601" s="4" t="s">
        <v>2276</v>
      </c>
      <c r="X1601" s="4" t="s">
        <v>2276</v>
      </c>
      <c r="Y1601" s="4" t="s">
        <v>2276</v>
      </c>
      <c r="Z1601" s="4" t="s">
        <v>2276</v>
      </c>
      <c r="AA1601" s="4" t="s">
        <v>4762</v>
      </c>
      <c r="AB1601" s="168" t="s">
        <v>4753</v>
      </c>
    </row>
    <row r="1602" spans="1:28" ht="35" customHeight="1">
      <c r="A1602" s="152" t="str">
        <f>'Reported burning'!A1602</f>
        <v>189b</v>
      </c>
      <c r="B1602" s="152" t="str">
        <f>'Reported burning'!B1602</f>
        <v>189b.4</v>
      </c>
      <c r="C1602" s="152" t="str">
        <f>'Reported burning'!C1602</f>
        <v>Human, deliberate</v>
      </c>
      <c r="D1602" s="152" t="str">
        <f>'Reported burning'!D1602</f>
        <v>ND</v>
      </c>
      <c r="E1602" s="152" t="str">
        <f>'Reported burning'!E1602</f>
        <v>Cropping, Swidden</v>
      </c>
      <c r="F1602" s="152" t="str">
        <f>'Reported burning'!F1602</f>
        <v>Shrubland (Mixed forest &amp; grassland)</v>
      </c>
      <c r="G1602" s="152" t="str">
        <f>'Reported burning'!G1602</f>
        <v>ND</v>
      </c>
      <c r="H1602" s="152" t="str">
        <f>'Reported burning'!H1602</f>
        <v>Presence</v>
      </c>
      <c r="I1602" s="3">
        <v>1990</v>
      </c>
      <c r="J1602" s="4" t="s">
        <v>2276</v>
      </c>
      <c r="K1602" s="4" t="s">
        <v>2276</v>
      </c>
      <c r="L1602" s="4" t="s">
        <v>2276</v>
      </c>
      <c r="M1602" s="4" t="s">
        <v>2276</v>
      </c>
      <c r="N1602" s="4" t="s">
        <v>2276</v>
      </c>
      <c r="O1602" s="4" t="s">
        <v>2276</v>
      </c>
      <c r="P1602" s="4" t="s">
        <v>2276</v>
      </c>
      <c r="Q1602" s="4" t="s">
        <v>2276</v>
      </c>
      <c r="R1602" s="4" t="s">
        <v>2276</v>
      </c>
      <c r="S1602" s="4" t="s">
        <v>2276</v>
      </c>
      <c r="T1602" s="4" t="s">
        <v>2276</v>
      </c>
      <c r="U1602" s="4" t="s">
        <v>2276</v>
      </c>
      <c r="V1602" s="4" t="s">
        <v>2276</v>
      </c>
      <c r="W1602" s="4" t="s">
        <v>2276</v>
      </c>
      <c r="X1602" s="3" t="s">
        <v>38</v>
      </c>
      <c r="Y1602" s="3" t="s">
        <v>405</v>
      </c>
      <c r="Z1602" s="3" t="s">
        <v>2276</v>
      </c>
      <c r="AA1602" s="4" t="s">
        <v>4762</v>
      </c>
      <c r="AB1602" s="168" t="s">
        <v>4753</v>
      </c>
    </row>
    <row r="1603" spans="1:28" ht="35" customHeight="1">
      <c r="A1603" s="152" t="str">
        <f>'Reported burning'!A1603</f>
        <v>189c</v>
      </c>
      <c r="B1603" s="152" t="str">
        <f>'Reported burning'!B1603</f>
        <v>189c.1</v>
      </c>
      <c r="C1603" s="152" t="str">
        <f>'Reported burning'!C1603</f>
        <v>Human, deliberate</v>
      </c>
      <c r="D1603" s="152" t="str">
        <f>'Reported burning'!D1603</f>
        <v>Pasture renewal</v>
      </c>
      <c r="E1603" s="152" t="str">
        <f>'Reported burning'!E1603</f>
        <v>Cattle, Extensive</v>
      </c>
      <c r="F1603" s="152" t="str">
        <f>'Reported burning'!F1603</f>
        <v>Shrubland (Mixed forest &amp; grassland)</v>
      </c>
      <c r="G1603" s="152" t="str">
        <f>'Reported burning'!G1603</f>
        <v>ND</v>
      </c>
      <c r="H1603" s="152" t="str">
        <f>'Reported burning'!H1603</f>
        <v>Absence</v>
      </c>
      <c r="I1603" s="3">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4" t="s">
        <v>2276</v>
      </c>
      <c r="Y1603" s="4" t="s">
        <v>2276</v>
      </c>
      <c r="Z1603" s="4" t="s">
        <v>2276</v>
      </c>
      <c r="AA1603" s="3"/>
      <c r="AB1603" s="3"/>
    </row>
    <row r="1604" spans="1:28" ht="35" customHeight="1">
      <c r="A1604" s="152" t="str">
        <f>'Reported burning'!A1604</f>
        <v>189c</v>
      </c>
      <c r="B1604" s="152" t="str">
        <f>'Reported burning'!B1604</f>
        <v>189c.2</v>
      </c>
      <c r="C1604" s="152" t="str">
        <f>'Reported burning'!C1604</f>
        <v>Human, deliberate</v>
      </c>
      <c r="D1604" s="152" t="str">
        <f>'Reported burning'!D1604</f>
        <v>Pasture renewal</v>
      </c>
      <c r="E1604" s="152" t="str">
        <f>'Reported burning'!E1604</f>
        <v>Cattle, Extensive</v>
      </c>
      <c r="F1604" s="152" t="str">
        <f>'Reported burning'!F1604</f>
        <v>Shrubland (Mixed forest &amp; grassland)</v>
      </c>
      <c r="G1604" s="152" t="str">
        <f>'Reported burning'!G1604</f>
        <v>ND</v>
      </c>
      <c r="H1604" s="152" t="str">
        <f>'Reported burning'!H1604</f>
        <v>Presence</v>
      </c>
      <c r="I1604" s="3">
        <v>1990</v>
      </c>
      <c r="J1604" s="4" t="s">
        <v>2276</v>
      </c>
      <c r="K1604" s="4" t="s">
        <v>2276</v>
      </c>
      <c r="L1604" s="4" t="s">
        <v>2276</v>
      </c>
      <c r="M1604" s="4" t="s">
        <v>2276</v>
      </c>
      <c r="N1604" s="4" t="s">
        <v>2276</v>
      </c>
      <c r="O1604" s="4" t="s">
        <v>2276</v>
      </c>
      <c r="P1604" s="4" t="s">
        <v>2276</v>
      </c>
      <c r="Q1604" s="4" t="s">
        <v>2276</v>
      </c>
      <c r="R1604" s="4" t="s">
        <v>2276</v>
      </c>
      <c r="S1604" s="4" t="s">
        <v>2276</v>
      </c>
      <c r="T1604" s="4" t="s">
        <v>2276</v>
      </c>
      <c r="U1604" s="4" t="s">
        <v>2276</v>
      </c>
      <c r="V1604" s="4" t="s">
        <v>2276</v>
      </c>
      <c r="W1604" s="4" t="s">
        <v>2276</v>
      </c>
      <c r="X1604" s="3" t="s">
        <v>38</v>
      </c>
      <c r="Y1604" s="3" t="s">
        <v>405</v>
      </c>
      <c r="Z1604" s="3" t="s">
        <v>2276</v>
      </c>
      <c r="AA1604" s="3"/>
      <c r="AB1604" s="168" t="s">
        <v>4753</v>
      </c>
    </row>
    <row r="1605" spans="1:28" ht="38" customHeight="1">
      <c r="A1605" s="152" t="str">
        <f>'Reported burning'!A1605</f>
        <v>189c</v>
      </c>
      <c r="B1605" s="152" t="str">
        <f>'Reported burning'!B1605</f>
        <v>189c.3</v>
      </c>
      <c r="C1605" s="152" t="str">
        <f>'Reported burning'!C1605</f>
        <v>Human, deliberate</v>
      </c>
      <c r="D1605" s="152" t="str">
        <f>'Reported burning'!D1605</f>
        <v>Pasture renewal</v>
      </c>
      <c r="E1605" s="152" t="str">
        <f>'Reported burning'!E1605</f>
        <v>Cattle, Intensive</v>
      </c>
      <c r="F1605" s="152" t="str">
        <f>'Reported burning'!F1605</f>
        <v>Shrubland (Mixed forest &amp; grassland)</v>
      </c>
      <c r="G1605" s="152" t="str">
        <f>'Reported burning'!G1605</f>
        <v>ND</v>
      </c>
      <c r="H1605" s="152" t="str">
        <f>'Reported burning'!H1605</f>
        <v>Absence</v>
      </c>
      <c r="I1605" s="3">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4" t="s">
        <v>2276</v>
      </c>
      <c r="Y1605" s="4" t="s">
        <v>2276</v>
      </c>
      <c r="Z1605" s="4" t="s">
        <v>2276</v>
      </c>
      <c r="AA1605" s="3"/>
      <c r="AB1605" s="3"/>
    </row>
    <row r="1606" spans="1:28" ht="38" customHeight="1">
      <c r="A1606" s="152" t="str">
        <f>'Reported burning'!A1606</f>
        <v>189c</v>
      </c>
      <c r="B1606" s="152" t="str">
        <f>'Reported burning'!B1606</f>
        <v>189c.4</v>
      </c>
      <c r="C1606" s="152" t="str">
        <f>'Reported burning'!C1606</f>
        <v>Human, deliberate</v>
      </c>
      <c r="D1606" s="152" t="str">
        <f>'Reported burning'!D1606</f>
        <v>Pasture renewal</v>
      </c>
      <c r="E1606" s="152" t="str">
        <f>'Reported burning'!E1606</f>
        <v>Cattle, Intensive</v>
      </c>
      <c r="F1606" s="152" t="str">
        <f>'Reported burning'!F1606</f>
        <v>Shrubland (Mixed forest &amp; grassland)</v>
      </c>
      <c r="G1606" s="152" t="str">
        <f>'Reported burning'!G1606</f>
        <v>ND</v>
      </c>
      <c r="H1606" s="152" t="str">
        <f>'Reported burning'!H1606</f>
        <v>Presence</v>
      </c>
      <c r="I1606" s="3">
        <v>1990</v>
      </c>
      <c r="J1606" s="4" t="s">
        <v>2276</v>
      </c>
      <c r="K1606" s="4" t="s">
        <v>2276</v>
      </c>
      <c r="L1606" s="4" t="s">
        <v>2276</v>
      </c>
      <c r="M1606" s="4" t="s">
        <v>2276</v>
      </c>
      <c r="N1606" s="4" t="s">
        <v>2276</v>
      </c>
      <c r="O1606" s="4" t="s">
        <v>2276</v>
      </c>
      <c r="P1606" s="4" t="s">
        <v>2276</v>
      </c>
      <c r="Q1606" s="4" t="s">
        <v>2276</v>
      </c>
      <c r="R1606" s="4" t="s">
        <v>2276</v>
      </c>
      <c r="S1606" s="4" t="s">
        <v>2276</v>
      </c>
      <c r="T1606" s="4" t="s">
        <v>2276</v>
      </c>
      <c r="U1606" s="4" t="s">
        <v>2276</v>
      </c>
      <c r="V1606" s="4" t="s">
        <v>2276</v>
      </c>
      <c r="W1606" s="4" t="s">
        <v>2276</v>
      </c>
      <c r="X1606" s="3" t="s">
        <v>38</v>
      </c>
      <c r="Y1606" s="3" t="s">
        <v>405</v>
      </c>
      <c r="Z1606" s="3" t="s">
        <v>2276</v>
      </c>
      <c r="AA1606" s="3"/>
      <c r="AB1606" s="4" t="s">
        <v>4753</v>
      </c>
    </row>
    <row r="1607" spans="1:28" ht="38" customHeight="1">
      <c r="A1607" s="152" t="str">
        <f>'Reported burning'!A1607</f>
        <v>190a</v>
      </c>
      <c r="B1607" s="152" t="str">
        <f>'Reported burning'!B1607</f>
        <v>190a.1</v>
      </c>
      <c r="C1607" s="152" t="str">
        <f>'Reported burning'!C1607</f>
        <v>All</v>
      </c>
      <c r="D1607" s="152" t="str">
        <f>'Reported burning'!D1607</f>
        <v>All</v>
      </c>
      <c r="E1607" s="152" t="str">
        <f>'Reported burning'!E1607</f>
        <v>All</v>
      </c>
      <c r="F1607" s="152" t="str">
        <f>'Reported burning'!F1607</f>
        <v>ND</v>
      </c>
      <c r="G1607" s="152" t="str">
        <f>'Reported burning'!G1607</f>
        <v>Shrubland (Mixed forest &amp; grassland)</v>
      </c>
      <c r="H1607" s="152" t="str">
        <f>'Reported burning'!H1607</f>
        <v>Presence</v>
      </c>
      <c r="I1607" s="3"/>
      <c r="J1607" s="4" t="s">
        <v>2276</v>
      </c>
      <c r="K1607" s="4" t="s">
        <v>2276</v>
      </c>
      <c r="L1607" s="4" t="s">
        <v>2276</v>
      </c>
      <c r="M1607" s="4" t="s">
        <v>2276</v>
      </c>
      <c r="N1607" s="4" t="s">
        <v>2276</v>
      </c>
      <c r="O1607" s="4" t="s">
        <v>2276</v>
      </c>
      <c r="P1607" s="4" t="s">
        <v>2276</v>
      </c>
      <c r="Q1607" s="4" t="s">
        <v>2276</v>
      </c>
      <c r="R1607" s="4" t="s">
        <v>2276</v>
      </c>
      <c r="S1607" s="4" t="s">
        <v>2276</v>
      </c>
      <c r="T1607" s="4" t="s">
        <v>2276</v>
      </c>
      <c r="U1607" s="4" t="s">
        <v>2276</v>
      </c>
      <c r="V1607" s="4" t="s">
        <v>2276</v>
      </c>
      <c r="W1607" s="3" t="s">
        <v>2375</v>
      </c>
      <c r="X1607" s="4" t="s">
        <v>2276</v>
      </c>
      <c r="Y1607" s="4" t="s">
        <v>2276</v>
      </c>
      <c r="Z1607" s="4" t="s">
        <v>2276</v>
      </c>
      <c r="AA1607" s="3"/>
      <c r="AB1607" s="3"/>
    </row>
    <row r="1608" spans="1:28" ht="48" customHeight="1">
      <c r="A1608" s="152" t="str">
        <f>'Reported burning'!A1608</f>
        <v>191a</v>
      </c>
      <c r="B1608" s="152" t="str">
        <f>'Reported burning'!B1608</f>
        <v>191a.1</v>
      </c>
      <c r="C1608" s="152" t="str">
        <f>'Reported burning'!C1608</f>
        <v>Human, deliberate</v>
      </c>
      <c r="D1608" s="152" t="str">
        <f>'Reported burning'!D1608</f>
        <v>Rangeland management</v>
      </c>
      <c r="E1608" s="152" t="str">
        <f>'Reported burning'!E1608</f>
        <v>Pastoralism, Migratory</v>
      </c>
      <c r="F1608" s="152" t="str">
        <f>'Reported burning'!F1608</f>
        <v>Shrubland (Mixed forest &amp; grassland)</v>
      </c>
      <c r="G1608" s="152" t="str">
        <f>'Reported burning'!G1608</f>
        <v>Shrubland (Mixed forest &amp; grassland)</v>
      </c>
      <c r="H1608" s="152" t="str">
        <f>'Reported burning'!H1608</f>
        <v>Absence</v>
      </c>
      <c r="I1608" s="3"/>
      <c r="J1608" s="21">
        <v>0</v>
      </c>
      <c r="K1608" s="21">
        <v>0</v>
      </c>
      <c r="L1608" s="21">
        <v>0</v>
      </c>
      <c r="M1608" s="21">
        <v>0</v>
      </c>
      <c r="N1608" s="21">
        <v>0</v>
      </c>
      <c r="O1608" s="21">
        <v>0</v>
      </c>
      <c r="P1608" s="21">
        <v>0</v>
      </c>
      <c r="Q1608" s="21">
        <v>0</v>
      </c>
      <c r="R1608" s="21">
        <v>0</v>
      </c>
      <c r="S1608" s="21">
        <v>0</v>
      </c>
      <c r="T1608" s="21">
        <v>0</v>
      </c>
      <c r="U1608" s="21">
        <v>0</v>
      </c>
      <c r="V1608" s="21">
        <v>0</v>
      </c>
      <c r="W1608" s="21">
        <v>0</v>
      </c>
      <c r="X1608" s="4" t="s">
        <v>2276</v>
      </c>
      <c r="Y1608" s="4" t="s">
        <v>2276</v>
      </c>
      <c r="Z1608" s="4" t="s">
        <v>2276</v>
      </c>
      <c r="AA1608" s="4" t="s">
        <v>4785</v>
      </c>
      <c r="AB1608" s="3"/>
    </row>
    <row r="1609" spans="1:28" ht="37.5" customHeight="1">
      <c r="A1609" s="152" t="str">
        <f>'Reported burning'!A1609</f>
        <v>191b</v>
      </c>
      <c r="B1609" s="152" t="str">
        <f>'Reported burning'!B1609</f>
        <v>191b.1</v>
      </c>
      <c r="C1609" s="152" t="str">
        <f>'Reported burning'!C1609</f>
        <v>Human, deliberate</v>
      </c>
      <c r="D1609" s="152" t="str">
        <f>'Reported burning'!D1609</f>
        <v>Rangeland management</v>
      </c>
      <c r="E1609" s="152" t="str">
        <f>'Reported burning'!E1609</f>
        <v>Pastoralism, Migratory</v>
      </c>
      <c r="F1609" s="152" t="str">
        <f>'Reported burning'!F1609</f>
        <v>Shrubland (Mixed forest &amp; grassland)</v>
      </c>
      <c r="G1609" s="152" t="str">
        <f>'Reported burning'!G1609</f>
        <v>Shrubland (Mixed forest &amp; grassland)</v>
      </c>
      <c r="H1609" s="152" t="str">
        <f>'Reported burning'!H1609</f>
        <v>Presence</v>
      </c>
      <c r="I1609" s="3"/>
      <c r="J1609" s="4" t="s">
        <v>2276</v>
      </c>
      <c r="K1609" s="4" t="s">
        <v>2276</v>
      </c>
      <c r="L1609" s="4" t="s">
        <v>2276</v>
      </c>
      <c r="M1609" s="4" t="s">
        <v>2276</v>
      </c>
      <c r="N1609" s="4" t="s">
        <v>2276</v>
      </c>
      <c r="O1609" s="4" t="s">
        <v>2276</v>
      </c>
      <c r="P1609" s="4" t="s">
        <v>2276</v>
      </c>
      <c r="Q1609" s="4" t="s">
        <v>2276</v>
      </c>
      <c r="R1609" s="4" t="s">
        <v>2276</v>
      </c>
      <c r="S1609" s="4" t="s">
        <v>2276</v>
      </c>
      <c r="T1609" s="4" t="s">
        <v>2276</v>
      </c>
      <c r="U1609" s="4" t="s">
        <v>2276</v>
      </c>
      <c r="V1609" s="4" t="s">
        <v>2276</v>
      </c>
      <c r="W1609" s="4" t="s">
        <v>2276</v>
      </c>
      <c r="X1609" s="4" t="s">
        <v>2276</v>
      </c>
      <c r="Y1609" s="4" t="s">
        <v>2276</v>
      </c>
      <c r="Z1609" s="4" t="s">
        <v>2276</v>
      </c>
      <c r="AA1609" s="3"/>
      <c r="AB1609" s="3"/>
    </row>
    <row r="1610" spans="1:28" ht="33" customHeight="1">
      <c r="A1610" s="152" t="str">
        <f>'Reported burning'!A1610</f>
        <v>192a</v>
      </c>
      <c r="B1610" s="152" t="str">
        <f>'Reported burning'!B1610</f>
        <v>192a.1</v>
      </c>
      <c r="C1610" s="152" t="str">
        <f>'Reported burning'!C1610</f>
        <v>Human, deliberate</v>
      </c>
      <c r="D1610" s="152" t="str">
        <f>'Reported burning'!D1610</f>
        <v>Rangeland management</v>
      </c>
      <c r="E1610" s="152" t="str">
        <f>'Reported burning'!E1610</f>
        <v>Pastoralism, Migratory</v>
      </c>
      <c r="F1610" s="152" t="str">
        <f>'Reported burning'!F1610</f>
        <v>Shrubland (Mixed forest &amp; grassland)</v>
      </c>
      <c r="G1610" s="152" t="str">
        <f>'Reported burning'!G1610</f>
        <v>ND</v>
      </c>
      <c r="H1610" s="152" t="str">
        <f>'Reported burning'!H1610</f>
        <v>Presence</v>
      </c>
      <c r="I1610" s="3"/>
      <c r="J1610" s="4" t="s">
        <v>2276</v>
      </c>
      <c r="K1610" s="4" t="s">
        <v>2276</v>
      </c>
      <c r="L1610" s="4" t="s">
        <v>2276</v>
      </c>
      <c r="M1610" s="4" t="s">
        <v>2276</v>
      </c>
      <c r="N1610" s="4" t="s">
        <v>2276</v>
      </c>
      <c r="O1610" s="4" t="s">
        <v>2276</v>
      </c>
      <c r="P1610" s="4" t="s">
        <v>2276</v>
      </c>
      <c r="Q1610" s="4" t="s">
        <v>2276</v>
      </c>
      <c r="R1610" s="4" t="s">
        <v>2276</v>
      </c>
      <c r="S1610" s="4" t="s">
        <v>2276</v>
      </c>
      <c r="T1610" s="4" t="s">
        <v>2276</v>
      </c>
      <c r="U1610" s="4" t="s">
        <v>2276</v>
      </c>
      <c r="V1610" s="4" t="s">
        <v>2276</v>
      </c>
      <c r="W1610" s="4" t="s">
        <v>2276</v>
      </c>
      <c r="X1610" s="4" t="s">
        <v>2276</v>
      </c>
      <c r="Y1610" s="4" t="s">
        <v>2276</v>
      </c>
      <c r="Z1610" s="4" t="s">
        <v>2276</v>
      </c>
      <c r="AA1610" s="3"/>
      <c r="AB1610" s="3"/>
    </row>
    <row r="1611" spans="1:28" ht="33" customHeight="1">
      <c r="A1611" s="152" t="str">
        <f>'Reported burning'!A1611</f>
        <v>192b</v>
      </c>
      <c r="B1611" s="152" t="str">
        <f>'Reported burning'!B1611</f>
        <v>192b.1</v>
      </c>
      <c r="C1611" s="152" t="str">
        <f>'Reported burning'!C1611</f>
        <v>Human, deliberate</v>
      </c>
      <c r="D1611" s="152" t="str">
        <f>'Reported burning'!D1611</f>
        <v>All</v>
      </c>
      <c r="E1611" s="152" t="str">
        <f>'Reported burning'!E1611</f>
        <v>Cropping, Swidden</v>
      </c>
      <c r="F1611" s="152" t="str">
        <f>'Reported burning'!F1611</f>
        <v>ND</v>
      </c>
      <c r="G1611" s="152" t="str">
        <f>'Reported burning'!G1611</f>
        <v>ND</v>
      </c>
      <c r="H1611" s="152" t="str">
        <f>'Reported burning'!H1611</f>
        <v>Presence</v>
      </c>
      <c r="I1611" s="3"/>
      <c r="J1611" s="4" t="s">
        <v>2276</v>
      </c>
      <c r="K1611" s="4" t="s">
        <v>2276</v>
      </c>
      <c r="L1611" s="4" t="s">
        <v>2276</v>
      </c>
      <c r="M1611" s="4" t="s">
        <v>2276</v>
      </c>
      <c r="N1611" s="4" t="s">
        <v>2276</v>
      </c>
      <c r="O1611" s="4" t="s">
        <v>2276</v>
      </c>
      <c r="P1611" s="4" t="s">
        <v>2276</v>
      </c>
      <c r="Q1611" s="4" t="s">
        <v>2276</v>
      </c>
      <c r="R1611" s="4" t="s">
        <v>2276</v>
      </c>
      <c r="S1611" s="4" t="s">
        <v>2276</v>
      </c>
      <c r="T1611" s="4" t="s">
        <v>2276</v>
      </c>
      <c r="U1611" s="4" t="s">
        <v>2276</v>
      </c>
      <c r="V1611" s="4" t="s">
        <v>2276</v>
      </c>
      <c r="W1611" s="4" t="s">
        <v>2276</v>
      </c>
      <c r="X1611" s="4" t="s">
        <v>2276</v>
      </c>
      <c r="Y1611" s="4" t="s">
        <v>2276</v>
      </c>
      <c r="Z1611" s="4" t="s">
        <v>2276</v>
      </c>
      <c r="AA1611" s="3"/>
      <c r="AB1611" s="3"/>
    </row>
    <row r="1612" spans="1:28" ht="53" customHeight="1">
      <c r="A1612" s="152" t="str">
        <f>'Reported burning'!A1612</f>
        <v>192b</v>
      </c>
      <c r="B1612" s="152" t="str">
        <f>'Reported burning'!B1612</f>
        <v>192b.2</v>
      </c>
      <c r="C1612" s="152" t="str">
        <f>'Reported burning'!C1612</f>
        <v>Human, deliberate</v>
      </c>
      <c r="D1612" s="152" t="str">
        <f>'Reported burning'!D1612</f>
        <v>Rangeland management</v>
      </c>
      <c r="E1612" s="152" t="str">
        <f>'Reported burning'!E1612</f>
        <v>Pastoralism, Migratory</v>
      </c>
      <c r="F1612" s="152" t="str">
        <f>'Reported burning'!F1612</f>
        <v>Forest</v>
      </c>
      <c r="G1612" s="152" t="str">
        <f>'Reported burning'!G1612</f>
        <v>ND</v>
      </c>
      <c r="H1612" s="152" t="str">
        <f>'Reported burning'!H1612</f>
        <v>Absence</v>
      </c>
      <c r="I1612" s="3"/>
      <c r="J1612" s="21">
        <v>0</v>
      </c>
      <c r="K1612" s="21">
        <v>0</v>
      </c>
      <c r="L1612" s="21">
        <v>0</v>
      </c>
      <c r="M1612" s="21">
        <v>0</v>
      </c>
      <c r="N1612" s="21">
        <v>0</v>
      </c>
      <c r="O1612" s="21">
        <v>0</v>
      </c>
      <c r="P1612" s="21">
        <v>0</v>
      </c>
      <c r="Q1612" s="21">
        <v>0</v>
      </c>
      <c r="R1612" s="21">
        <v>0</v>
      </c>
      <c r="S1612" s="21">
        <v>0</v>
      </c>
      <c r="T1612" s="21">
        <v>0</v>
      </c>
      <c r="U1612" s="21">
        <v>0</v>
      </c>
      <c r="V1612" s="21">
        <v>0</v>
      </c>
      <c r="W1612" s="21">
        <v>0</v>
      </c>
      <c r="X1612" s="4" t="s">
        <v>2276</v>
      </c>
      <c r="Y1612" s="4" t="s">
        <v>2276</v>
      </c>
      <c r="Z1612" s="4" t="s">
        <v>2276</v>
      </c>
      <c r="AA1612" s="4" t="s">
        <v>4785</v>
      </c>
      <c r="AB1612" s="3"/>
    </row>
    <row r="1613" spans="1:28" ht="46" customHeight="1">
      <c r="A1613" s="152" t="str">
        <f>'Reported burning'!A1613</f>
        <v>193a</v>
      </c>
      <c r="B1613" s="152" t="str">
        <f>'Reported burning'!B1613</f>
        <v>193a.1</v>
      </c>
      <c r="C1613" s="152" t="str">
        <f>'Reported burning'!C1613</f>
        <v>Human, deliberate</v>
      </c>
      <c r="D1613" s="152" t="str">
        <f>'Reported burning'!D1613</f>
        <v>Rangeland management</v>
      </c>
      <c r="E1613" s="152" t="str">
        <f>'Reported burning'!E1613</f>
        <v>Pastoralism, Migratory</v>
      </c>
      <c r="F1613" s="152" t="str">
        <f>'Reported burning'!F1613</f>
        <v>Forest</v>
      </c>
      <c r="G1613" s="152" t="str">
        <f>'Reported burning'!G1613</f>
        <v>ND</v>
      </c>
      <c r="H1613" s="152" t="str">
        <f>'Reported burning'!H1613</f>
        <v>Absence</v>
      </c>
      <c r="I1613" s="3"/>
      <c r="J1613" s="21">
        <v>0</v>
      </c>
      <c r="K1613" s="21">
        <v>0</v>
      </c>
      <c r="L1613" s="21">
        <v>0</v>
      </c>
      <c r="M1613" s="21">
        <v>0</v>
      </c>
      <c r="N1613" s="21">
        <v>0</v>
      </c>
      <c r="O1613" s="21">
        <v>0</v>
      </c>
      <c r="P1613" s="21">
        <v>0</v>
      </c>
      <c r="Q1613" s="21">
        <v>0</v>
      </c>
      <c r="R1613" s="21">
        <v>0</v>
      </c>
      <c r="S1613" s="21">
        <v>0</v>
      </c>
      <c r="T1613" s="21">
        <v>0</v>
      </c>
      <c r="U1613" s="21">
        <v>0</v>
      </c>
      <c r="V1613" s="21">
        <v>0</v>
      </c>
      <c r="W1613" s="21">
        <v>0</v>
      </c>
      <c r="X1613" s="4" t="s">
        <v>2276</v>
      </c>
      <c r="Y1613" s="4" t="s">
        <v>2276</v>
      </c>
      <c r="Z1613" s="4" t="s">
        <v>2276</v>
      </c>
      <c r="AA1613" s="4" t="s">
        <v>4823</v>
      </c>
      <c r="AB1613" s="3"/>
    </row>
    <row r="1614" spans="1:28" ht="46" customHeight="1">
      <c r="A1614" s="152" t="str">
        <f>'Reported burning'!A1614</f>
        <v>193b</v>
      </c>
      <c r="B1614" s="152" t="str">
        <f>'Reported burning'!B1614</f>
        <v>193b.1</v>
      </c>
      <c r="C1614" s="152" t="str">
        <f>'Reported burning'!C1614</f>
        <v>Human, deliberate</v>
      </c>
      <c r="D1614" s="152" t="str">
        <f>'Reported burning'!D1614</f>
        <v>Rangeland management</v>
      </c>
      <c r="E1614" s="152" t="str">
        <f>'Reported burning'!E1614</f>
        <v>Pastoralism, Migratory</v>
      </c>
      <c r="F1614" s="152" t="str">
        <f>'Reported burning'!F1614</f>
        <v>Forest</v>
      </c>
      <c r="G1614" s="152" t="str">
        <f>'Reported burning'!G1614</f>
        <v>ND</v>
      </c>
      <c r="H1614" s="152" t="str">
        <f>'Reported burning'!H1614</f>
        <v>Absence</v>
      </c>
      <c r="I1614" s="3"/>
      <c r="J1614" s="21">
        <v>0</v>
      </c>
      <c r="K1614" s="21">
        <v>0</v>
      </c>
      <c r="L1614" s="21">
        <v>0</v>
      </c>
      <c r="M1614" s="21">
        <v>0</v>
      </c>
      <c r="N1614" s="21">
        <v>0</v>
      </c>
      <c r="O1614" s="21">
        <v>0</v>
      </c>
      <c r="P1614" s="21">
        <v>0</v>
      </c>
      <c r="Q1614" s="21">
        <v>0</v>
      </c>
      <c r="R1614" s="21">
        <v>0</v>
      </c>
      <c r="S1614" s="21">
        <v>0</v>
      </c>
      <c r="T1614" s="21">
        <v>0</v>
      </c>
      <c r="U1614" s="21">
        <v>0</v>
      </c>
      <c r="V1614" s="21">
        <v>0</v>
      </c>
      <c r="W1614" s="21">
        <v>0</v>
      </c>
      <c r="X1614" s="4" t="s">
        <v>2276</v>
      </c>
      <c r="Y1614" s="4" t="s">
        <v>2276</v>
      </c>
      <c r="Z1614" s="4" t="s">
        <v>2276</v>
      </c>
      <c r="AA1614" s="4" t="s">
        <v>4823</v>
      </c>
      <c r="AB1614" s="3"/>
    </row>
    <row r="1615" spans="1:28" ht="46" customHeight="1">
      <c r="A1615" s="152" t="str">
        <f>'Reported burning'!A1615</f>
        <v>193c</v>
      </c>
      <c r="B1615" s="152" t="str">
        <f>'Reported burning'!B1615</f>
        <v>193c.1</v>
      </c>
      <c r="C1615" s="152" t="str">
        <f>'Reported burning'!C1615</f>
        <v>Human, deliberate</v>
      </c>
      <c r="D1615" s="152" t="str">
        <f>'Reported burning'!D1615</f>
        <v>Rangeland management</v>
      </c>
      <c r="E1615" s="152" t="str">
        <f>'Reported burning'!E1615</f>
        <v>Pastoralism, Migratory</v>
      </c>
      <c r="F1615" s="152" t="str">
        <f>'Reported burning'!F1615</f>
        <v>Forest</v>
      </c>
      <c r="G1615" s="152" t="str">
        <f>'Reported burning'!G1615</f>
        <v>ND</v>
      </c>
      <c r="H1615" s="152" t="str">
        <f>'Reported burning'!H1615</f>
        <v>Absence</v>
      </c>
      <c r="I1615" s="3"/>
      <c r="J1615" s="21">
        <v>0</v>
      </c>
      <c r="K1615" s="21">
        <v>0</v>
      </c>
      <c r="L1615" s="21">
        <v>0</v>
      </c>
      <c r="M1615" s="21">
        <v>0</v>
      </c>
      <c r="N1615" s="21">
        <v>0</v>
      </c>
      <c r="O1615" s="21">
        <v>0</v>
      </c>
      <c r="P1615" s="21">
        <v>0</v>
      </c>
      <c r="Q1615" s="21">
        <v>0</v>
      </c>
      <c r="R1615" s="21">
        <v>0</v>
      </c>
      <c r="S1615" s="21">
        <v>0</v>
      </c>
      <c r="T1615" s="21">
        <v>0</v>
      </c>
      <c r="U1615" s="21">
        <v>0</v>
      </c>
      <c r="V1615" s="21">
        <v>0</v>
      </c>
      <c r="W1615" s="21">
        <v>0</v>
      </c>
      <c r="X1615" s="4" t="s">
        <v>2276</v>
      </c>
      <c r="Y1615" s="4" t="s">
        <v>2276</v>
      </c>
      <c r="Z1615" s="4" t="s">
        <v>2276</v>
      </c>
      <c r="AA1615" s="4" t="s">
        <v>4823</v>
      </c>
      <c r="AB1615" s="3"/>
    </row>
    <row r="1616" spans="1:28" ht="46" customHeight="1">
      <c r="A1616" s="152" t="str">
        <f>'Reported burning'!A1616</f>
        <v>193d</v>
      </c>
      <c r="B1616" s="152" t="str">
        <f>'Reported burning'!B1616</f>
        <v>193d.1</v>
      </c>
      <c r="C1616" s="152" t="str">
        <f>'Reported burning'!C1616</f>
        <v>Human, deliberate</v>
      </c>
      <c r="D1616" s="152" t="str">
        <f>'Reported burning'!D1616</f>
        <v>Rangeland management</v>
      </c>
      <c r="E1616" s="152" t="str">
        <f>'Reported burning'!E1616</f>
        <v>Pastoralism, Migratory</v>
      </c>
      <c r="F1616" s="152" t="str">
        <f>'Reported burning'!F1616</f>
        <v>Forest</v>
      </c>
      <c r="G1616" s="152" t="str">
        <f>'Reported burning'!G1616</f>
        <v>ND</v>
      </c>
      <c r="H1616" s="152" t="str">
        <f>'Reported burning'!H1616</f>
        <v>Absence</v>
      </c>
      <c r="I1616" s="3"/>
      <c r="J1616" s="21">
        <v>0</v>
      </c>
      <c r="K1616" s="21">
        <v>0</v>
      </c>
      <c r="L1616" s="21">
        <v>0</v>
      </c>
      <c r="M1616" s="21">
        <v>0</v>
      </c>
      <c r="N1616" s="21">
        <v>0</v>
      </c>
      <c r="O1616" s="21">
        <v>0</v>
      </c>
      <c r="P1616" s="21">
        <v>0</v>
      </c>
      <c r="Q1616" s="21">
        <v>0</v>
      </c>
      <c r="R1616" s="21">
        <v>0</v>
      </c>
      <c r="S1616" s="21">
        <v>0</v>
      </c>
      <c r="T1616" s="21">
        <v>0</v>
      </c>
      <c r="U1616" s="21">
        <v>0</v>
      </c>
      <c r="V1616" s="21">
        <v>0</v>
      </c>
      <c r="W1616" s="21">
        <v>0</v>
      </c>
      <c r="X1616" s="4" t="s">
        <v>2276</v>
      </c>
      <c r="Y1616" s="4" t="s">
        <v>2276</v>
      </c>
      <c r="Z1616" s="4" t="s">
        <v>2276</v>
      </c>
      <c r="AA1616" s="4" t="s">
        <v>4823</v>
      </c>
      <c r="AB1616" s="3"/>
    </row>
    <row r="1617" spans="1:28" ht="46" customHeight="1">
      <c r="A1617" s="152" t="str">
        <f>'Reported burning'!A1617</f>
        <v>193e</v>
      </c>
      <c r="B1617" s="152" t="str">
        <f>'Reported burning'!B1617</f>
        <v>193e.1</v>
      </c>
      <c r="C1617" s="152" t="str">
        <f>'Reported burning'!C1617</f>
        <v>Human, deliberate</v>
      </c>
      <c r="D1617" s="152" t="str">
        <f>'Reported burning'!D1617</f>
        <v>Rangeland management</v>
      </c>
      <c r="E1617" s="152" t="str">
        <f>'Reported burning'!E1617</f>
        <v>Pastoralism, Migratory</v>
      </c>
      <c r="F1617" s="152" t="str">
        <f>'Reported burning'!F1617</f>
        <v>Forest</v>
      </c>
      <c r="G1617" s="152" t="str">
        <f>'Reported burning'!G1617</f>
        <v>ND</v>
      </c>
      <c r="H1617" s="152" t="str">
        <f>'Reported burning'!H1617</f>
        <v>Absence</v>
      </c>
      <c r="I1617" s="3"/>
      <c r="J1617" s="21">
        <v>0</v>
      </c>
      <c r="K1617" s="21">
        <v>0</v>
      </c>
      <c r="L1617" s="21">
        <v>0</v>
      </c>
      <c r="M1617" s="21">
        <v>0</v>
      </c>
      <c r="N1617" s="21">
        <v>0</v>
      </c>
      <c r="O1617" s="21">
        <v>0</v>
      </c>
      <c r="P1617" s="21">
        <v>0</v>
      </c>
      <c r="Q1617" s="21">
        <v>0</v>
      </c>
      <c r="R1617" s="21">
        <v>0</v>
      </c>
      <c r="S1617" s="21">
        <v>0</v>
      </c>
      <c r="T1617" s="21">
        <v>0</v>
      </c>
      <c r="U1617" s="21">
        <v>0</v>
      </c>
      <c r="V1617" s="21">
        <v>0</v>
      </c>
      <c r="W1617" s="21">
        <v>0</v>
      </c>
      <c r="X1617" s="4" t="s">
        <v>2276</v>
      </c>
      <c r="Y1617" s="4" t="s">
        <v>2276</v>
      </c>
      <c r="Z1617" s="4" t="s">
        <v>2276</v>
      </c>
      <c r="AA1617" s="4" t="s">
        <v>4823</v>
      </c>
      <c r="AB1617" s="3"/>
    </row>
    <row r="1618" spans="1:28" ht="46" customHeight="1">
      <c r="A1618" s="152" t="str">
        <f>'Reported burning'!A1618</f>
        <v>193a</v>
      </c>
      <c r="B1618" s="152" t="str">
        <f>'Reported burning'!B1618</f>
        <v>193a.2</v>
      </c>
      <c r="C1618" s="152" t="str">
        <f>'Reported burning'!C1618</f>
        <v>Human, deliberate</v>
      </c>
      <c r="D1618" s="152" t="str">
        <f>'Reported burning'!D1618</f>
        <v>Land clearance</v>
      </c>
      <c r="E1618" s="152" t="str">
        <f>'Reported burning'!E1618</f>
        <v>Pastoralism, Migratory</v>
      </c>
      <c r="F1618" s="152" t="str">
        <f>'Reported burning'!F1618</f>
        <v>Forest</v>
      </c>
      <c r="G1618" s="152" t="str">
        <f>'Reported burning'!G1618</f>
        <v>ND</v>
      </c>
      <c r="H1618" s="152" t="str">
        <f>'Reported burning'!H1618</f>
        <v>Absence</v>
      </c>
      <c r="I1618" s="3"/>
      <c r="J1618" s="21">
        <v>0</v>
      </c>
      <c r="K1618" s="21">
        <v>0</v>
      </c>
      <c r="L1618" s="21">
        <v>0</v>
      </c>
      <c r="M1618" s="21">
        <v>0</v>
      </c>
      <c r="N1618" s="21">
        <v>0</v>
      </c>
      <c r="O1618" s="21">
        <v>0</v>
      </c>
      <c r="P1618" s="21">
        <v>0</v>
      </c>
      <c r="Q1618" s="21">
        <v>0</v>
      </c>
      <c r="R1618" s="21">
        <v>0</v>
      </c>
      <c r="S1618" s="21">
        <v>0</v>
      </c>
      <c r="T1618" s="21">
        <v>0</v>
      </c>
      <c r="U1618" s="21">
        <v>0</v>
      </c>
      <c r="V1618" s="21">
        <v>0</v>
      </c>
      <c r="W1618" s="21">
        <v>0</v>
      </c>
      <c r="X1618" s="4" t="s">
        <v>2276</v>
      </c>
      <c r="Y1618" s="4" t="s">
        <v>2276</v>
      </c>
      <c r="Z1618" s="4" t="s">
        <v>2276</v>
      </c>
      <c r="AA1618" s="4" t="s">
        <v>4823</v>
      </c>
      <c r="AB1618" s="3"/>
    </row>
    <row r="1619" spans="1:28" ht="46" customHeight="1">
      <c r="A1619" s="152" t="str">
        <f>'Reported burning'!A1619</f>
        <v>193b</v>
      </c>
      <c r="B1619" s="152" t="str">
        <f>'Reported burning'!B1619</f>
        <v>193b.2</v>
      </c>
      <c r="C1619" s="152" t="str">
        <f>'Reported burning'!C1619</f>
        <v>Human, deliberate</v>
      </c>
      <c r="D1619" s="152" t="str">
        <f>'Reported burning'!D1619</f>
        <v>Land clearance</v>
      </c>
      <c r="E1619" s="152" t="str">
        <f>'Reported burning'!E1619</f>
        <v>Pastoralism, Migratory</v>
      </c>
      <c r="F1619" s="152" t="str">
        <f>'Reported burning'!F1619</f>
        <v>Forest</v>
      </c>
      <c r="G1619" s="152" t="str">
        <f>'Reported burning'!G1619</f>
        <v>ND</v>
      </c>
      <c r="H1619" s="152" t="str">
        <f>'Reported burning'!H1619</f>
        <v>Absence</v>
      </c>
      <c r="I1619" s="3"/>
      <c r="J1619" s="21">
        <v>0</v>
      </c>
      <c r="K1619" s="21">
        <v>0</v>
      </c>
      <c r="L1619" s="21">
        <v>0</v>
      </c>
      <c r="M1619" s="21">
        <v>0</v>
      </c>
      <c r="N1619" s="21">
        <v>0</v>
      </c>
      <c r="O1619" s="21">
        <v>0</v>
      </c>
      <c r="P1619" s="21">
        <v>0</v>
      </c>
      <c r="Q1619" s="21">
        <v>0</v>
      </c>
      <c r="R1619" s="21">
        <v>0</v>
      </c>
      <c r="S1619" s="21">
        <v>0</v>
      </c>
      <c r="T1619" s="21">
        <v>0</v>
      </c>
      <c r="U1619" s="21">
        <v>0</v>
      </c>
      <c r="V1619" s="21">
        <v>0</v>
      </c>
      <c r="W1619" s="21">
        <v>0</v>
      </c>
      <c r="X1619" s="4" t="s">
        <v>2276</v>
      </c>
      <c r="Y1619" s="4" t="s">
        <v>2276</v>
      </c>
      <c r="Z1619" s="4" t="s">
        <v>2276</v>
      </c>
      <c r="AA1619" s="4" t="s">
        <v>4823</v>
      </c>
      <c r="AB1619" s="3"/>
    </row>
    <row r="1620" spans="1:28" ht="46" customHeight="1">
      <c r="A1620" s="152" t="str">
        <f>'Reported burning'!A1620</f>
        <v>193c</v>
      </c>
      <c r="B1620" s="152" t="str">
        <f>'Reported burning'!B1620</f>
        <v>193c.2</v>
      </c>
      <c r="C1620" s="152" t="str">
        <f>'Reported burning'!C1620</f>
        <v>Human, deliberate</v>
      </c>
      <c r="D1620" s="152" t="str">
        <f>'Reported burning'!D1620</f>
        <v>Land clearance</v>
      </c>
      <c r="E1620" s="152" t="str">
        <f>'Reported burning'!E1620</f>
        <v>Pastoralism, Migratory</v>
      </c>
      <c r="F1620" s="152" t="str">
        <f>'Reported burning'!F1620</f>
        <v>Forest</v>
      </c>
      <c r="G1620" s="152" t="str">
        <f>'Reported burning'!G1620</f>
        <v>ND</v>
      </c>
      <c r="H1620" s="152" t="str">
        <f>'Reported burning'!H1620</f>
        <v>Absence</v>
      </c>
      <c r="I1620" s="3"/>
      <c r="J1620" s="21">
        <v>0</v>
      </c>
      <c r="K1620" s="21">
        <v>0</v>
      </c>
      <c r="L1620" s="21">
        <v>0</v>
      </c>
      <c r="M1620" s="21">
        <v>0</v>
      </c>
      <c r="N1620" s="21">
        <v>0</v>
      </c>
      <c r="O1620" s="21">
        <v>0</v>
      </c>
      <c r="P1620" s="21">
        <v>0</v>
      </c>
      <c r="Q1620" s="21">
        <v>0</v>
      </c>
      <c r="R1620" s="21">
        <v>0</v>
      </c>
      <c r="S1620" s="21">
        <v>0</v>
      </c>
      <c r="T1620" s="21">
        <v>0</v>
      </c>
      <c r="U1620" s="21">
        <v>0</v>
      </c>
      <c r="V1620" s="21">
        <v>0</v>
      </c>
      <c r="W1620" s="21">
        <v>0</v>
      </c>
      <c r="X1620" s="4" t="s">
        <v>2276</v>
      </c>
      <c r="Y1620" s="4" t="s">
        <v>2276</v>
      </c>
      <c r="Z1620" s="4" t="s">
        <v>2276</v>
      </c>
      <c r="AA1620" s="4" t="s">
        <v>4823</v>
      </c>
      <c r="AB1620" s="3"/>
    </row>
    <row r="1621" spans="1:28" ht="46" customHeight="1">
      <c r="A1621" s="152" t="str">
        <f>'Reported burning'!A1621</f>
        <v>193d</v>
      </c>
      <c r="B1621" s="152" t="str">
        <f>'Reported burning'!B1621</f>
        <v>193d.2</v>
      </c>
      <c r="C1621" s="152" t="str">
        <f>'Reported burning'!C1621</f>
        <v>Human, deliberate</v>
      </c>
      <c r="D1621" s="152" t="str">
        <f>'Reported burning'!D1621</f>
        <v>Land clearance</v>
      </c>
      <c r="E1621" s="152" t="str">
        <f>'Reported burning'!E1621</f>
        <v>Pastoralism, Migratory</v>
      </c>
      <c r="F1621" s="152" t="str">
        <f>'Reported burning'!F1621</f>
        <v>Forest</v>
      </c>
      <c r="G1621" s="152" t="str">
        <f>'Reported burning'!G1621</f>
        <v>ND</v>
      </c>
      <c r="H1621" s="152" t="str">
        <f>'Reported burning'!H1621</f>
        <v>Absence</v>
      </c>
      <c r="I1621" s="3"/>
      <c r="J1621" s="21">
        <v>0</v>
      </c>
      <c r="K1621" s="21">
        <v>0</v>
      </c>
      <c r="L1621" s="21">
        <v>0</v>
      </c>
      <c r="M1621" s="21">
        <v>0</v>
      </c>
      <c r="N1621" s="21">
        <v>0</v>
      </c>
      <c r="O1621" s="21">
        <v>0</v>
      </c>
      <c r="P1621" s="21">
        <v>0</v>
      </c>
      <c r="Q1621" s="21">
        <v>0</v>
      </c>
      <c r="R1621" s="21">
        <v>0</v>
      </c>
      <c r="S1621" s="21">
        <v>0</v>
      </c>
      <c r="T1621" s="21">
        <v>0</v>
      </c>
      <c r="U1621" s="21">
        <v>0</v>
      </c>
      <c r="V1621" s="21">
        <v>0</v>
      </c>
      <c r="W1621" s="21">
        <v>0</v>
      </c>
      <c r="X1621" s="4" t="s">
        <v>2276</v>
      </c>
      <c r="Y1621" s="4" t="s">
        <v>2276</v>
      </c>
      <c r="Z1621" s="4" t="s">
        <v>2276</v>
      </c>
      <c r="AA1621" s="4" t="s">
        <v>4823</v>
      </c>
      <c r="AB1621" s="3"/>
    </row>
    <row r="1622" spans="1:28" ht="46" customHeight="1">
      <c r="A1622" s="152" t="str">
        <f>'Reported burning'!A1622</f>
        <v>193e</v>
      </c>
      <c r="B1622" s="152" t="str">
        <f>'Reported burning'!B1622</f>
        <v>193e.2</v>
      </c>
      <c r="C1622" s="152" t="str">
        <f>'Reported burning'!C1622</f>
        <v>Human, deliberate</v>
      </c>
      <c r="D1622" s="152" t="str">
        <f>'Reported burning'!D1622</f>
        <v>Land clearance</v>
      </c>
      <c r="E1622" s="152" t="str">
        <f>'Reported burning'!E1622</f>
        <v>Pastoralism, Migratory</v>
      </c>
      <c r="F1622" s="152" t="str">
        <f>'Reported burning'!F1622</f>
        <v>Forest</v>
      </c>
      <c r="G1622" s="152" t="str">
        <f>'Reported burning'!G1622</f>
        <v>ND</v>
      </c>
      <c r="H1622" s="152" t="str">
        <f>'Reported burning'!H1622</f>
        <v>Absence</v>
      </c>
      <c r="I1622" s="3"/>
      <c r="J1622" s="21">
        <v>0</v>
      </c>
      <c r="K1622" s="21">
        <v>0</v>
      </c>
      <c r="L1622" s="21">
        <v>0</v>
      </c>
      <c r="M1622" s="21">
        <v>0</v>
      </c>
      <c r="N1622" s="21">
        <v>0</v>
      </c>
      <c r="O1622" s="21">
        <v>0</v>
      </c>
      <c r="P1622" s="21">
        <v>0</v>
      </c>
      <c r="Q1622" s="21">
        <v>0</v>
      </c>
      <c r="R1622" s="21">
        <v>0</v>
      </c>
      <c r="S1622" s="21">
        <v>0</v>
      </c>
      <c r="T1622" s="21">
        <v>0</v>
      </c>
      <c r="U1622" s="21">
        <v>0</v>
      </c>
      <c r="V1622" s="21">
        <v>0</v>
      </c>
      <c r="W1622" s="21">
        <v>0</v>
      </c>
      <c r="X1622" s="4" t="s">
        <v>2276</v>
      </c>
      <c r="Y1622" s="4" t="s">
        <v>2276</v>
      </c>
      <c r="Z1622" s="4" t="s">
        <v>2276</v>
      </c>
      <c r="AA1622" s="4" t="s">
        <v>4823</v>
      </c>
      <c r="AB1622" s="3"/>
    </row>
    <row r="1623" spans="1:28" ht="39" customHeight="1">
      <c r="A1623" s="152" t="str">
        <f>'Reported burning'!A1623</f>
        <v>193b</v>
      </c>
      <c r="B1623" s="152" t="str">
        <f>'Reported burning'!B1623</f>
        <v>193b.3</v>
      </c>
      <c r="C1623" s="152" t="str">
        <f>'Reported burning'!C1623</f>
        <v>Human, accidental</v>
      </c>
      <c r="D1623" s="152" t="str">
        <f>'Reported burning'!D1623</f>
        <v>Accidental</v>
      </c>
      <c r="E1623" s="152" t="str">
        <f>'Reported burning'!E1623</f>
        <v>ND</v>
      </c>
      <c r="F1623" s="152" t="str">
        <f>'Reported burning'!F1623</f>
        <v>Forest</v>
      </c>
      <c r="G1623" s="152" t="str">
        <f>'Reported burning'!G1623</f>
        <v>ND</v>
      </c>
      <c r="H1623" s="152" t="str">
        <f>'Reported burning'!H1623</f>
        <v>Presence</v>
      </c>
      <c r="I1623" s="3"/>
      <c r="J1623" s="4" t="s">
        <v>2276</v>
      </c>
      <c r="K1623" s="4" t="s">
        <v>2276</v>
      </c>
      <c r="L1623" s="4" t="s">
        <v>2276</v>
      </c>
      <c r="M1623" s="4" t="s">
        <v>2276</v>
      </c>
      <c r="N1623" s="4" t="s">
        <v>2276</v>
      </c>
      <c r="O1623" s="4" t="s">
        <v>2276</v>
      </c>
      <c r="P1623" s="4" t="s">
        <v>2276</v>
      </c>
      <c r="Q1623" s="4" t="s">
        <v>2276</v>
      </c>
      <c r="R1623" s="4" t="s">
        <v>2276</v>
      </c>
      <c r="S1623" s="4" t="s">
        <v>2276</v>
      </c>
      <c r="T1623" s="4" t="s">
        <v>2276</v>
      </c>
      <c r="U1623" s="4" t="s">
        <v>2276</v>
      </c>
      <c r="V1623" s="4" t="s">
        <v>2276</v>
      </c>
      <c r="W1623" s="4" t="s">
        <v>2276</v>
      </c>
      <c r="X1623" s="4" t="s">
        <v>2276</v>
      </c>
      <c r="Y1623" s="4" t="s">
        <v>2276</v>
      </c>
      <c r="Z1623" s="4" t="s">
        <v>2276</v>
      </c>
      <c r="AA1623" s="3"/>
      <c r="AB1623" s="3"/>
    </row>
    <row r="1624" spans="1:28" ht="39" customHeight="1">
      <c r="A1624" s="152" t="str">
        <f>'Reported burning'!A1624</f>
        <v>193c</v>
      </c>
      <c r="B1624" s="152" t="str">
        <f>'Reported burning'!B1624</f>
        <v>193c.3</v>
      </c>
      <c r="C1624" s="152" t="str">
        <f>'Reported burning'!C1624</f>
        <v>Human, accidental</v>
      </c>
      <c r="D1624" s="152" t="str">
        <f>'Reported burning'!D1624</f>
        <v>Accidental</v>
      </c>
      <c r="E1624" s="152" t="str">
        <f>'Reported burning'!E1624</f>
        <v>ND</v>
      </c>
      <c r="F1624" s="152" t="str">
        <f>'Reported burning'!F1624</f>
        <v>Forest</v>
      </c>
      <c r="G1624" s="152" t="str">
        <f>'Reported burning'!G1624</f>
        <v>ND</v>
      </c>
      <c r="H1624" s="152" t="str">
        <f>'Reported burning'!H1624</f>
        <v>Presence</v>
      </c>
      <c r="I1624" s="3"/>
      <c r="J1624" s="4" t="s">
        <v>2276</v>
      </c>
      <c r="K1624" s="4" t="s">
        <v>2276</v>
      </c>
      <c r="L1624" s="4" t="s">
        <v>2276</v>
      </c>
      <c r="M1624" s="4" t="s">
        <v>2276</v>
      </c>
      <c r="N1624" s="4" t="s">
        <v>2276</v>
      </c>
      <c r="O1624" s="4" t="s">
        <v>2276</v>
      </c>
      <c r="P1624" s="4" t="s">
        <v>2276</v>
      </c>
      <c r="Q1624" s="4" t="s">
        <v>2276</v>
      </c>
      <c r="R1624" s="4" t="s">
        <v>2276</v>
      </c>
      <c r="S1624" s="4" t="s">
        <v>2276</v>
      </c>
      <c r="T1624" s="4" t="s">
        <v>2276</v>
      </c>
      <c r="U1624" s="4" t="s">
        <v>2276</v>
      </c>
      <c r="V1624" s="4" t="s">
        <v>2276</v>
      </c>
      <c r="W1624" s="4" t="s">
        <v>2276</v>
      </c>
      <c r="X1624" s="4" t="s">
        <v>2276</v>
      </c>
      <c r="Y1624" s="4" t="s">
        <v>2276</v>
      </c>
      <c r="Z1624" s="4" t="s">
        <v>2276</v>
      </c>
      <c r="AA1624" s="3"/>
      <c r="AB1624" s="3"/>
    </row>
    <row r="1625" spans="1:28" ht="39" customHeight="1">
      <c r="A1625" s="152" t="str">
        <f>'Reported burning'!A1625</f>
        <v>193d</v>
      </c>
      <c r="B1625" s="152" t="str">
        <f>'Reported burning'!B1625</f>
        <v>193d.3</v>
      </c>
      <c r="C1625" s="152" t="str">
        <f>'Reported burning'!C1625</f>
        <v>Human, accidental</v>
      </c>
      <c r="D1625" s="152" t="str">
        <f>'Reported burning'!D1625</f>
        <v>Accidental</v>
      </c>
      <c r="E1625" s="152" t="str">
        <f>'Reported burning'!E1625</f>
        <v>ND</v>
      </c>
      <c r="F1625" s="152" t="str">
        <f>'Reported burning'!F1625</f>
        <v>Forest</v>
      </c>
      <c r="G1625" s="152" t="str">
        <f>'Reported burning'!G1625</f>
        <v>ND</v>
      </c>
      <c r="H1625" s="152" t="str">
        <f>'Reported burning'!H1625</f>
        <v>Presence</v>
      </c>
      <c r="I1625" s="3"/>
      <c r="J1625" s="4" t="s">
        <v>2276</v>
      </c>
      <c r="K1625" s="4" t="s">
        <v>2276</v>
      </c>
      <c r="L1625" s="4" t="s">
        <v>2276</v>
      </c>
      <c r="M1625" s="4" t="s">
        <v>2276</v>
      </c>
      <c r="N1625" s="4" t="s">
        <v>2276</v>
      </c>
      <c r="O1625" s="4" t="s">
        <v>2276</v>
      </c>
      <c r="P1625" s="4" t="s">
        <v>2276</v>
      </c>
      <c r="Q1625" s="4" t="s">
        <v>2276</v>
      </c>
      <c r="R1625" s="4" t="s">
        <v>2276</v>
      </c>
      <c r="S1625" s="4" t="s">
        <v>2276</v>
      </c>
      <c r="T1625" s="4" t="s">
        <v>2276</v>
      </c>
      <c r="U1625" s="4" t="s">
        <v>2276</v>
      </c>
      <c r="V1625" s="4" t="s">
        <v>2276</v>
      </c>
      <c r="W1625" s="4" t="s">
        <v>2276</v>
      </c>
      <c r="X1625" s="4" t="s">
        <v>2276</v>
      </c>
      <c r="Y1625" s="4" t="s">
        <v>2276</v>
      </c>
      <c r="Z1625" s="4" t="s">
        <v>2276</v>
      </c>
      <c r="AA1625" s="3"/>
      <c r="AB1625" s="3"/>
    </row>
    <row r="1626" spans="1:28" ht="39" customHeight="1">
      <c r="A1626" s="152" t="str">
        <f>'Reported burning'!A1626</f>
        <v>193e</v>
      </c>
      <c r="B1626" s="152" t="str">
        <f>'Reported burning'!B1626</f>
        <v>193e.3</v>
      </c>
      <c r="C1626" s="152" t="str">
        <f>'Reported burning'!C1626</f>
        <v>Human, accidental</v>
      </c>
      <c r="D1626" s="152" t="str">
        <f>'Reported burning'!D1626</f>
        <v>Accidental</v>
      </c>
      <c r="E1626" s="152" t="str">
        <f>'Reported burning'!E1626</f>
        <v>ND</v>
      </c>
      <c r="F1626" s="152" t="str">
        <f>'Reported burning'!F1626</f>
        <v>Forest</v>
      </c>
      <c r="G1626" s="152" t="str">
        <f>'Reported burning'!G1626</f>
        <v>ND</v>
      </c>
      <c r="H1626" s="152" t="str">
        <f>'Reported burning'!H1626</f>
        <v>Presence</v>
      </c>
      <c r="I1626" s="3"/>
      <c r="J1626" s="4" t="s">
        <v>2276</v>
      </c>
      <c r="K1626" s="4" t="s">
        <v>2276</v>
      </c>
      <c r="L1626" s="4" t="s">
        <v>2276</v>
      </c>
      <c r="M1626" s="4" t="s">
        <v>2276</v>
      </c>
      <c r="N1626" s="4" t="s">
        <v>2276</v>
      </c>
      <c r="O1626" s="4" t="s">
        <v>2276</v>
      </c>
      <c r="P1626" s="4" t="s">
        <v>2276</v>
      </c>
      <c r="Q1626" s="4" t="s">
        <v>2276</v>
      </c>
      <c r="R1626" s="4" t="s">
        <v>2276</v>
      </c>
      <c r="S1626" s="4" t="s">
        <v>2276</v>
      </c>
      <c r="T1626" s="4" t="s">
        <v>2276</v>
      </c>
      <c r="U1626" s="4" t="s">
        <v>2276</v>
      </c>
      <c r="V1626" s="4" t="s">
        <v>2276</v>
      </c>
      <c r="W1626" s="4" t="s">
        <v>2276</v>
      </c>
      <c r="X1626" s="4" t="s">
        <v>2276</v>
      </c>
      <c r="Y1626" s="4" t="s">
        <v>2276</v>
      </c>
      <c r="Z1626" s="4" t="s">
        <v>2276</v>
      </c>
      <c r="AA1626" s="3"/>
      <c r="AB1626" s="3"/>
    </row>
    <row r="1627" spans="1:28" ht="39" customHeight="1">
      <c r="A1627" s="152" t="str">
        <f>'Reported burning'!A1627</f>
        <v>193c</v>
      </c>
      <c r="B1627" s="152" t="str">
        <f>'Reported burning'!B1627</f>
        <v>193c.4</v>
      </c>
      <c r="C1627" s="152" t="str">
        <f>'Reported burning'!C1627</f>
        <v>Human, deliberate</v>
      </c>
      <c r="D1627" s="152" t="str">
        <f>'Reported burning'!D1627</f>
        <v>Pyrome management</v>
      </c>
      <c r="E1627" s="152" t="str">
        <f>'Reported burning'!E1627</f>
        <v>Forestry, Industrial</v>
      </c>
      <c r="F1627" s="152" t="str">
        <f>'Reported burning'!F1627</f>
        <v>Forest</v>
      </c>
      <c r="G1627" s="152" t="str">
        <f>'Reported burning'!G1627</f>
        <v>ND</v>
      </c>
      <c r="H1627" s="152" t="str">
        <f>'Reported burning'!H1627</f>
        <v>Absence</v>
      </c>
      <c r="I1627" s="3"/>
      <c r="J1627" s="21">
        <v>0</v>
      </c>
      <c r="K1627" s="21">
        <v>0</v>
      </c>
      <c r="L1627" s="21">
        <v>0</v>
      </c>
      <c r="M1627" s="21">
        <v>0</v>
      </c>
      <c r="N1627" s="21">
        <v>0</v>
      </c>
      <c r="O1627" s="21">
        <v>0</v>
      </c>
      <c r="P1627" s="21">
        <v>0</v>
      </c>
      <c r="Q1627" s="21">
        <v>0</v>
      </c>
      <c r="R1627" s="21">
        <v>0</v>
      </c>
      <c r="S1627" s="21">
        <v>0</v>
      </c>
      <c r="T1627" s="21">
        <v>0</v>
      </c>
      <c r="U1627" s="21">
        <v>0</v>
      </c>
      <c r="V1627" s="21">
        <v>0</v>
      </c>
      <c r="W1627" s="21">
        <v>0</v>
      </c>
      <c r="X1627" s="4" t="s">
        <v>2276</v>
      </c>
      <c r="Y1627" s="4" t="s">
        <v>2276</v>
      </c>
      <c r="Z1627" s="4" t="s">
        <v>2276</v>
      </c>
      <c r="AA1627" s="4" t="s">
        <v>4832</v>
      </c>
      <c r="AB1627" s="3"/>
    </row>
    <row r="1628" spans="1:28" ht="39" customHeight="1">
      <c r="A1628" s="152" t="str">
        <f>'Reported burning'!A1628</f>
        <v>193d</v>
      </c>
      <c r="B1628" s="152" t="str">
        <f>'Reported burning'!B1628</f>
        <v>193d.4</v>
      </c>
      <c r="C1628" s="152" t="str">
        <f>'Reported burning'!C1628</f>
        <v>Human, deliberate</v>
      </c>
      <c r="D1628" s="152" t="str">
        <f>'Reported burning'!D1628</f>
        <v>Pyrome management</v>
      </c>
      <c r="E1628" s="152" t="str">
        <f>'Reported burning'!E1628</f>
        <v>Forestry, Industrial</v>
      </c>
      <c r="F1628" s="152" t="str">
        <f>'Reported burning'!F1628</f>
        <v>Forest</v>
      </c>
      <c r="G1628" s="152" t="str">
        <f>'Reported burning'!G1628</f>
        <v>ND</v>
      </c>
      <c r="H1628" s="152" t="str">
        <f>'Reported burning'!H1628</f>
        <v>Absence</v>
      </c>
      <c r="I1628" s="3"/>
      <c r="J1628" s="21">
        <v>0</v>
      </c>
      <c r="K1628" s="21">
        <v>0</v>
      </c>
      <c r="L1628" s="21">
        <v>0</v>
      </c>
      <c r="M1628" s="21">
        <v>0</v>
      </c>
      <c r="N1628" s="21">
        <v>0</v>
      </c>
      <c r="O1628" s="21">
        <v>0</v>
      </c>
      <c r="P1628" s="21">
        <v>0</v>
      </c>
      <c r="Q1628" s="21">
        <v>0</v>
      </c>
      <c r="R1628" s="21">
        <v>0</v>
      </c>
      <c r="S1628" s="21">
        <v>0</v>
      </c>
      <c r="T1628" s="21">
        <v>0</v>
      </c>
      <c r="U1628" s="21">
        <v>0</v>
      </c>
      <c r="V1628" s="21">
        <v>0</v>
      </c>
      <c r="W1628" s="21">
        <v>0</v>
      </c>
      <c r="X1628" s="4" t="s">
        <v>2276</v>
      </c>
      <c r="Y1628" s="4" t="s">
        <v>2276</v>
      </c>
      <c r="Z1628" s="4" t="s">
        <v>2276</v>
      </c>
      <c r="AA1628" s="4" t="s">
        <v>4832</v>
      </c>
      <c r="AB1628" s="3"/>
    </row>
    <row r="1629" spans="1:28" ht="39" customHeight="1">
      <c r="A1629" s="152" t="str">
        <f>'Reported burning'!A1629</f>
        <v>193e</v>
      </c>
      <c r="B1629" s="152" t="str">
        <f>'Reported burning'!B1629</f>
        <v>193e.4</v>
      </c>
      <c r="C1629" s="152" t="str">
        <f>'Reported burning'!C1629</f>
        <v>Human, deliberate</v>
      </c>
      <c r="D1629" s="152" t="str">
        <f>'Reported burning'!D1629</f>
        <v>Pyrome management</v>
      </c>
      <c r="E1629" s="152" t="str">
        <f>'Reported burning'!E1629</f>
        <v>Forestry, Industrial</v>
      </c>
      <c r="F1629" s="152" t="str">
        <f>'Reported burning'!F1629</f>
        <v>Forest</v>
      </c>
      <c r="G1629" s="152" t="str">
        <f>'Reported burning'!G1629</f>
        <v>ND</v>
      </c>
      <c r="H1629" s="152" t="str">
        <f>'Reported burning'!H1629</f>
        <v>Absence</v>
      </c>
      <c r="I1629" s="3"/>
      <c r="J1629" s="21">
        <v>0</v>
      </c>
      <c r="K1629" s="21">
        <v>0</v>
      </c>
      <c r="L1629" s="21">
        <v>0</v>
      </c>
      <c r="M1629" s="21">
        <v>0</v>
      </c>
      <c r="N1629" s="21">
        <v>0</v>
      </c>
      <c r="O1629" s="21">
        <v>0</v>
      </c>
      <c r="P1629" s="21">
        <v>0</v>
      </c>
      <c r="Q1629" s="21">
        <v>0</v>
      </c>
      <c r="R1629" s="21">
        <v>0</v>
      </c>
      <c r="S1629" s="21">
        <v>0</v>
      </c>
      <c r="T1629" s="21">
        <v>0</v>
      </c>
      <c r="U1629" s="21">
        <v>0</v>
      </c>
      <c r="V1629" s="21">
        <v>0</v>
      </c>
      <c r="W1629" s="21">
        <v>0</v>
      </c>
      <c r="X1629" s="4" t="s">
        <v>2276</v>
      </c>
      <c r="Y1629" s="4" t="s">
        <v>2276</v>
      </c>
      <c r="Z1629" s="4" t="s">
        <v>2276</v>
      </c>
      <c r="AA1629" s="4" t="s">
        <v>4832</v>
      </c>
      <c r="AB1629" s="3"/>
    </row>
    <row r="1630" spans="1:28" ht="47" customHeight="1">
      <c r="A1630" s="152" t="str">
        <f>'Reported burning'!A1630</f>
        <v>193a</v>
      </c>
      <c r="B1630" s="152" t="str">
        <f>'Reported burning'!B1630</f>
        <v>193a.5</v>
      </c>
      <c r="C1630" s="152" t="str">
        <f>'Reported burning'!C1630</f>
        <v>All</v>
      </c>
      <c r="D1630" s="152" t="str">
        <f>'Reported burning'!D1630</f>
        <v>ND</v>
      </c>
      <c r="E1630" s="152" t="str">
        <f>'Reported burning'!E1630</f>
        <v>ND</v>
      </c>
      <c r="F1630" s="152" t="str">
        <f>'Reported burning'!F1630</f>
        <v>ND</v>
      </c>
      <c r="G1630" s="152" t="str">
        <f>'Reported burning'!G1630</f>
        <v>Forest</v>
      </c>
      <c r="H1630" s="152" t="str">
        <f>'Reported burning'!H1630</f>
        <v>Presence</v>
      </c>
      <c r="I1630" s="3"/>
      <c r="J1630" s="4" t="s">
        <v>2276</v>
      </c>
      <c r="K1630" s="4" t="s">
        <v>2276</v>
      </c>
      <c r="L1630" s="4" t="s">
        <v>2276</v>
      </c>
      <c r="M1630" s="4" t="s">
        <v>2276</v>
      </c>
      <c r="N1630" s="4" t="s">
        <v>2276</v>
      </c>
      <c r="O1630" s="4" t="s">
        <v>2276</v>
      </c>
      <c r="P1630" s="4" t="s">
        <v>2276</v>
      </c>
      <c r="Q1630" s="4" t="s">
        <v>2276</v>
      </c>
      <c r="R1630" s="4" t="s">
        <v>2276</v>
      </c>
      <c r="S1630" s="4" t="s">
        <v>2276</v>
      </c>
      <c r="T1630" s="4" t="s">
        <v>2276</v>
      </c>
      <c r="U1630" s="4" t="s">
        <v>2276</v>
      </c>
      <c r="V1630" s="3" t="s">
        <v>2374</v>
      </c>
      <c r="W1630" s="4" t="s">
        <v>2276</v>
      </c>
      <c r="X1630" s="4" t="s">
        <v>2276</v>
      </c>
      <c r="Y1630" s="4" t="s">
        <v>2276</v>
      </c>
      <c r="Z1630" s="4" t="s">
        <v>2276</v>
      </c>
      <c r="AA1630" s="3"/>
      <c r="AB1630" s="4" t="s">
        <v>4835</v>
      </c>
    </row>
    <row r="1631" spans="1:28" ht="47" customHeight="1">
      <c r="A1631" s="152" t="str">
        <f>'Reported burning'!A1631</f>
        <v>193b</v>
      </c>
      <c r="B1631" s="152" t="str">
        <f>'Reported burning'!B1631</f>
        <v>193b.5</v>
      </c>
      <c r="C1631" s="152" t="str">
        <f>'Reported burning'!C1631</f>
        <v>All</v>
      </c>
      <c r="D1631" s="152" t="str">
        <f>'Reported burning'!D1631</f>
        <v>ND</v>
      </c>
      <c r="E1631" s="152" t="str">
        <f>'Reported burning'!E1631</f>
        <v>ND</v>
      </c>
      <c r="F1631" s="152" t="str">
        <f>'Reported burning'!F1631</f>
        <v>ND</v>
      </c>
      <c r="G1631" s="152" t="str">
        <f>'Reported burning'!G1631</f>
        <v>Forest</v>
      </c>
      <c r="H1631" s="152" t="str">
        <f>'Reported burning'!H1631</f>
        <v>Presence</v>
      </c>
      <c r="I1631" s="3"/>
      <c r="J1631" s="4" t="s">
        <v>2276</v>
      </c>
      <c r="K1631" s="4" t="s">
        <v>2276</v>
      </c>
      <c r="L1631" s="4" t="s">
        <v>2276</v>
      </c>
      <c r="M1631" s="4" t="s">
        <v>2276</v>
      </c>
      <c r="N1631" s="4" t="s">
        <v>2276</v>
      </c>
      <c r="O1631" s="4" t="s">
        <v>2276</v>
      </c>
      <c r="P1631" s="4" t="s">
        <v>2276</v>
      </c>
      <c r="Q1631" s="4" t="s">
        <v>2276</v>
      </c>
      <c r="R1631" s="4" t="s">
        <v>2276</v>
      </c>
      <c r="S1631" s="4" t="s">
        <v>2276</v>
      </c>
      <c r="T1631" s="4" t="s">
        <v>2276</v>
      </c>
      <c r="U1631" s="4" t="s">
        <v>2276</v>
      </c>
      <c r="V1631" s="3" t="s">
        <v>2374</v>
      </c>
      <c r="W1631" s="4" t="s">
        <v>2276</v>
      </c>
      <c r="X1631" s="4" t="s">
        <v>2276</v>
      </c>
      <c r="Y1631" s="4" t="s">
        <v>2276</v>
      </c>
      <c r="Z1631" s="4" t="s">
        <v>2276</v>
      </c>
      <c r="AA1631" s="3"/>
      <c r="AB1631" s="4" t="s">
        <v>4835</v>
      </c>
    </row>
    <row r="1632" spans="1:28" ht="47" customHeight="1">
      <c r="A1632" s="152" t="str">
        <f>'Reported burning'!A1632</f>
        <v>193c</v>
      </c>
      <c r="B1632" s="152" t="str">
        <f>'Reported burning'!B1632</f>
        <v>193c.5</v>
      </c>
      <c r="C1632" s="152" t="str">
        <f>'Reported burning'!C1632</f>
        <v>All</v>
      </c>
      <c r="D1632" s="152" t="str">
        <f>'Reported burning'!D1632</f>
        <v>ND</v>
      </c>
      <c r="E1632" s="152" t="str">
        <f>'Reported burning'!E1632</f>
        <v>ND</v>
      </c>
      <c r="F1632" s="152" t="str">
        <f>'Reported burning'!F1632</f>
        <v>ND</v>
      </c>
      <c r="G1632" s="152" t="str">
        <f>'Reported burning'!G1632</f>
        <v>Forest</v>
      </c>
      <c r="H1632" s="152" t="str">
        <f>'Reported burning'!H1632</f>
        <v>Presence</v>
      </c>
      <c r="I1632" s="3"/>
      <c r="J1632" s="4" t="s">
        <v>2276</v>
      </c>
      <c r="K1632" s="4" t="s">
        <v>2276</v>
      </c>
      <c r="L1632" s="4" t="s">
        <v>2276</v>
      </c>
      <c r="M1632" s="4" t="s">
        <v>2276</v>
      </c>
      <c r="N1632" s="4" t="s">
        <v>2276</v>
      </c>
      <c r="O1632" s="4" t="s">
        <v>2276</v>
      </c>
      <c r="P1632" s="4" t="s">
        <v>2276</v>
      </c>
      <c r="Q1632" s="4" t="s">
        <v>2276</v>
      </c>
      <c r="R1632" s="4" t="s">
        <v>2276</v>
      </c>
      <c r="S1632" s="4" t="s">
        <v>2276</v>
      </c>
      <c r="T1632" s="4" t="s">
        <v>2276</v>
      </c>
      <c r="U1632" s="4" t="s">
        <v>2276</v>
      </c>
      <c r="V1632" s="4" t="s">
        <v>2276</v>
      </c>
      <c r="W1632" s="4" t="s">
        <v>2276</v>
      </c>
      <c r="X1632" s="4" t="s">
        <v>2276</v>
      </c>
      <c r="Y1632" s="4" t="s">
        <v>2276</v>
      </c>
      <c r="Z1632" s="4" t="s">
        <v>2276</v>
      </c>
      <c r="AA1632" s="3"/>
      <c r="AB1632" s="3"/>
    </row>
    <row r="1633" spans="1:28" ht="47" customHeight="1">
      <c r="A1633" s="152" t="str">
        <f>'Reported burning'!A1633</f>
        <v>193d</v>
      </c>
      <c r="B1633" s="152" t="str">
        <f>'Reported burning'!B1633</f>
        <v>193d.5</v>
      </c>
      <c r="C1633" s="152" t="str">
        <f>'Reported burning'!C1633</f>
        <v>All</v>
      </c>
      <c r="D1633" s="152" t="str">
        <f>'Reported burning'!D1633</f>
        <v>ND</v>
      </c>
      <c r="E1633" s="152" t="str">
        <f>'Reported burning'!E1633</f>
        <v>ND</v>
      </c>
      <c r="F1633" s="152" t="str">
        <f>'Reported burning'!F1633</f>
        <v>ND</v>
      </c>
      <c r="G1633" s="152" t="str">
        <f>'Reported burning'!G1633</f>
        <v>Forest</v>
      </c>
      <c r="H1633" s="152" t="str">
        <f>'Reported burning'!H1633</f>
        <v>Presence</v>
      </c>
      <c r="I1633" s="3"/>
      <c r="J1633" s="4" t="s">
        <v>2276</v>
      </c>
      <c r="K1633" s="4" t="s">
        <v>2276</v>
      </c>
      <c r="L1633" s="4" t="s">
        <v>2276</v>
      </c>
      <c r="M1633" s="4" t="s">
        <v>2276</v>
      </c>
      <c r="N1633" s="4" t="s">
        <v>2276</v>
      </c>
      <c r="O1633" s="4" t="s">
        <v>2276</v>
      </c>
      <c r="P1633" s="4" t="s">
        <v>2276</v>
      </c>
      <c r="Q1633" s="4" t="s">
        <v>2276</v>
      </c>
      <c r="R1633" s="4" t="s">
        <v>2276</v>
      </c>
      <c r="S1633" s="4" t="s">
        <v>2276</v>
      </c>
      <c r="T1633" s="4" t="s">
        <v>2276</v>
      </c>
      <c r="U1633" s="4" t="s">
        <v>2276</v>
      </c>
      <c r="V1633" s="4" t="s">
        <v>2276</v>
      </c>
      <c r="W1633" s="4" t="s">
        <v>2276</v>
      </c>
      <c r="X1633" s="4" t="s">
        <v>2276</v>
      </c>
      <c r="Y1633" s="4" t="s">
        <v>2276</v>
      </c>
      <c r="Z1633" s="4" t="s">
        <v>2276</v>
      </c>
      <c r="AA1633" s="3"/>
      <c r="AB1633" s="3"/>
    </row>
    <row r="1634" spans="1:28" ht="47" customHeight="1">
      <c r="A1634" s="152" t="str">
        <f>'Reported burning'!A1634</f>
        <v>193e</v>
      </c>
      <c r="B1634" s="152" t="str">
        <f>'Reported burning'!B1634</f>
        <v>193e.5</v>
      </c>
      <c r="C1634" s="152" t="str">
        <f>'Reported burning'!C1634</f>
        <v>All</v>
      </c>
      <c r="D1634" s="152" t="str">
        <f>'Reported burning'!D1634</f>
        <v>ND</v>
      </c>
      <c r="E1634" s="152" t="str">
        <f>'Reported burning'!E1634</f>
        <v>ND</v>
      </c>
      <c r="F1634" s="152" t="str">
        <f>'Reported burning'!F1634</f>
        <v>ND</v>
      </c>
      <c r="G1634" s="152" t="str">
        <f>'Reported burning'!G1634</f>
        <v>Forest</v>
      </c>
      <c r="H1634" s="152" t="str">
        <f>'Reported burning'!H1634</f>
        <v>Presence</v>
      </c>
      <c r="I1634" s="3"/>
      <c r="J1634" s="4" t="s">
        <v>2276</v>
      </c>
      <c r="K1634" s="4" t="s">
        <v>2276</v>
      </c>
      <c r="L1634" s="4" t="s">
        <v>2276</v>
      </c>
      <c r="M1634" s="4" t="s">
        <v>2276</v>
      </c>
      <c r="N1634" s="4" t="s">
        <v>2276</v>
      </c>
      <c r="O1634" s="4" t="s">
        <v>2276</v>
      </c>
      <c r="P1634" s="4" t="s">
        <v>2276</v>
      </c>
      <c r="Q1634" s="4" t="s">
        <v>2276</v>
      </c>
      <c r="R1634" s="4" t="s">
        <v>2276</v>
      </c>
      <c r="S1634" s="4" t="s">
        <v>2276</v>
      </c>
      <c r="T1634" s="4" t="s">
        <v>2276</v>
      </c>
      <c r="U1634" s="4" t="s">
        <v>2276</v>
      </c>
      <c r="V1634" s="4" t="s">
        <v>2276</v>
      </c>
      <c r="W1634" s="4" t="s">
        <v>2276</v>
      </c>
      <c r="X1634" s="4" t="s">
        <v>2276</v>
      </c>
      <c r="Y1634" s="4" t="s">
        <v>2276</v>
      </c>
      <c r="Z1634" s="4" t="s">
        <v>2276</v>
      </c>
      <c r="AA1634" s="3"/>
      <c r="AB1634" s="3"/>
    </row>
    <row r="1635" spans="1:28" ht="54.5" customHeight="1">
      <c r="A1635" s="152" t="str">
        <f>'Reported burning'!A1635</f>
        <v>195a</v>
      </c>
      <c r="B1635" s="152" t="str">
        <f>'Reported burning'!B1635</f>
        <v>195a.1</v>
      </c>
      <c r="C1635" s="152" t="str">
        <f>'Reported burning'!C1635</f>
        <v>Human, deliberate</v>
      </c>
      <c r="D1635" s="152" t="str">
        <f>'Reported burning'!D1635</f>
        <v>ND</v>
      </c>
      <c r="E1635" s="152" t="str">
        <f>'Reported burning'!E1635</f>
        <v>Cattle, Extensive</v>
      </c>
      <c r="F1635" s="152" t="str">
        <f>'Reported burning'!F1635</f>
        <v>ND</v>
      </c>
      <c r="G1635" s="152" t="str">
        <f>'Reported burning'!G1635</f>
        <v>Shrubland (Mixed forest &amp; grassland)</v>
      </c>
      <c r="H1635" s="152" t="str">
        <f>'Reported burning'!H1635</f>
        <v>Presence</v>
      </c>
      <c r="I1635" s="3"/>
      <c r="J1635" t="s">
        <v>2367</v>
      </c>
      <c r="K1635" s="4" t="s">
        <v>2276</v>
      </c>
      <c r="L1635" s="4" t="s">
        <v>2276</v>
      </c>
      <c r="M1635" s="4" t="s">
        <v>2276</v>
      </c>
      <c r="N1635" s="4" t="s">
        <v>2276</v>
      </c>
      <c r="O1635" s="4" t="s">
        <v>2276</v>
      </c>
      <c r="P1635" s="4" t="s">
        <v>2276</v>
      </c>
      <c r="Q1635" s="4" t="s">
        <v>2276</v>
      </c>
      <c r="R1635" s="4" t="s">
        <v>2276</v>
      </c>
      <c r="S1635" s="4" t="s">
        <v>2276</v>
      </c>
      <c r="T1635" s="4" t="s">
        <v>2276</v>
      </c>
      <c r="U1635" s="4" t="s">
        <v>2276</v>
      </c>
      <c r="V1635" s="4" t="s">
        <v>2276</v>
      </c>
      <c r="W1635" s="4" t="s">
        <v>2276</v>
      </c>
      <c r="X1635" s="4" t="s">
        <v>2276</v>
      </c>
      <c r="Y1635" s="4" t="s">
        <v>2276</v>
      </c>
      <c r="Z1635" s="4" t="s">
        <v>2276</v>
      </c>
      <c r="AA1635" s="4"/>
      <c r="AB1635" s="4"/>
    </row>
    <row r="1636" spans="1:28" ht="49" customHeight="1">
      <c r="A1636" s="152" t="str">
        <f>'Reported burning'!A1636</f>
        <v>195b</v>
      </c>
      <c r="B1636" s="152" t="str">
        <f>'Reported burning'!B1636</f>
        <v>195b.1</v>
      </c>
      <c r="C1636" s="152" t="str">
        <f>'Reported burning'!C1636</f>
        <v>Human, deliberate</v>
      </c>
      <c r="D1636" s="152" t="str">
        <f>'Reported burning'!D1636</f>
        <v>ND</v>
      </c>
      <c r="E1636" s="152" t="str">
        <f>'Reported burning'!E1636</f>
        <v>Cattle, Extensive</v>
      </c>
      <c r="F1636" s="152" t="str">
        <f>'Reported burning'!F1636</f>
        <v>ND</v>
      </c>
      <c r="G1636" s="152" t="str">
        <f>'Reported burning'!G1636</f>
        <v>Shrubland (Mixed forest &amp; grassland)</v>
      </c>
      <c r="H1636" s="152" t="str">
        <f>'Reported burning'!H1636</f>
        <v>Presence</v>
      </c>
      <c r="I1636" s="3"/>
      <c r="J1636" s="4" t="s">
        <v>2276</v>
      </c>
      <c r="K1636" s="4" t="s">
        <v>2276</v>
      </c>
      <c r="L1636" s="4" t="s">
        <v>2276</v>
      </c>
      <c r="M1636" s="4" t="s">
        <v>2276</v>
      </c>
      <c r="N1636" s="4" t="s">
        <v>2276</v>
      </c>
      <c r="O1636" s="4" t="s">
        <v>2276</v>
      </c>
      <c r="P1636" s="4" t="s">
        <v>2276</v>
      </c>
      <c r="Q1636" s="4" t="s">
        <v>2276</v>
      </c>
      <c r="R1636" s="4" t="s">
        <v>2276</v>
      </c>
      <c r="S1636" s="4" t="s">
        <v>2276</v>
      </c>
      <c r="T1636" s="4" t="s">
        <v>2276</v>
      </c>
      <c r="U1636" s="4" t="s">
        <v>2276</v>
      </c>
      <c r="V1636" s="4" t="s">
        <v>2276</v>
      </c>
      <c r="W1636" s="4" t="s">
        <v>2276</v>
      </c>
      <c r="X1636" s="4" t="s">
        <v>2276</v>
      </c>
      <c r="Y1636" s="4" t="s">
        <v>2276</v>
      </c>
      <c r="Z1636" s="4" t="s">
        <v>2276</v>
      </c>
      <c r="AA1636" s="3"/>
      <c r="AB1636" s="3"/>
    </row>
    <row r="1637" spans="1:28" ht="49" customHeight="1">
      <c r="A1637" s="152" t="str">
        <f>'Reported burning'!A1637</f>
        <v>195c</v>
      </c>
      <c r="B1637" s="152" t="str">
        <f>'Reported burning'!B1637</f>
        <v>195c.1</v>
      </c>
      <c r="C1637" s="152" t="str">
        <f>'Reported burning'!C1637</f>
        <v>Human, deliberate</v>
      </c>
      <c r="D1637" s="152" t="str">
        <f>'Reported burning'!D1637</f>
        <v>ND</v>
      </c>
      <c r="E1637" s="152" t="str">
        <f>'Reported burning'!E1637</f>
        <v>Cattle, Extensive</v>
      </c>
      <c r="F1637" s="152" t="str">
        <f>'Reported burning'!F1637</f>
        <v>ND</v>
      </c>
      <c r="G1637" s="152" t="str">
        <f>'Reported burning'!G1637</f>
        <v>Shrubland (Mixed forest &amp; grassland)</v>
      </c>
      <c r="H1637" s="152" t="str">
        <f>'Reported burning'!H1637</f>
        <v>Presence</v>
      </c>
      <c r="I1637" s="3"/>
      <c r="J1637" s="4" t="s">
        <v>2276</v>
      </c>
      <c r="K1637" s="4" t="s">
        <v>2276</v>
      </c>
      <c r="L1637" s="4" t="s">
        <v>2276</v>
      </c>
      <c r="M1637" s="4" t="s">
        <v>2276</v>
      </c>
      <c r="N1637" s="4" t="s">
        <v>2276</v>
      </c>
      <c r="O1637" s="4" t="s">
        <v>2276</v>
      </c>
      <c r="P1637" s="4" t="s">
        <v>2276</v>
      </c>
      <c r="Q1637" s="4" t="s">
        <v>2276</v>
      </c>
      <c r="R1637" s="4" t="s">
        <v>2276</v>
      </c>
      <c r="S1637" s="4" t="s">
        <v>2276</v>
      </c>
      <c r="T1637" s="4" t="s">
        <v>2276</v>
      </c>
      <c r="U1637" s="4" t="s">
        <v>2276</v>
      </c>
      <c r="V1637" s="4" t="s">
        <v>2276</v>
      </c>
      <c r="W1637" s="4" t="s">
        <v>2276</v>
      </c>
      <c r="X1637" s="4" t="s">
        <v>2276</v>
      </c>
      <c r="Y1637" s="4" t="s">
        <v>2276</v>
      </c>
      <c r="Z1637" s="4" t="s">
        <v>2276</v>
      </c>
      <c r="AA1637" s="3"/>
      <c r="AB1637" s="3"/>
    </row>
    <row r="1638" spans="1:28" ht="49" customHeight="1">
      <c r="A1638" s="152" t="str">
        <f>'Reported burning'!A1638</f>
        <v>195d</v>
      </c>
      <c r="B1638" s="152" t="str">
        <f>'Reported burning'!B1638</f>
        <v>195d.1</v>
      </c>
      <c r="C1638" s="152" t="str">
        <f>'Reported burning'!C1638</f>
        <v>Human, deliberate</v>
      </c>
      <c r="D1638" s="152" t="str">
        <f>'Reported burning'!D1638</f>
        <v>ND</v>
      </c>
      <c r="E1638" s="152" t="str">
        <f>'Reported burning'!E1638</f>
        <v>Cattle, Extensive</v>
      </c>
      <c r="F1638" s="152" t="str">
        <f>'Reported burning'!F1638</f>
        <v>ND</v>
      </c>
      <c r="G1638" s="152" t="str">
        <f>'Reported burning'!G1638</f>
        <v>Shrubland (Mixed forest &amp; grassland)</v>
      </c>
      <c r="H1638" s="152" t="str">
        <f>'Reported burning'!H1638</f>
        <v>Presence</v>
      </c>
      <c r="I1638" s="3"/>
      <c r="J1638" s="4" t="s">
        <v>2276</v>
      </c>
      <c r="K1638" s="4" t="s">
        <v>2276</v>
      </c>
      <c r="L1638" s="4" t="s">
        <v>2276</v>
      </c>
      <c r="M1638" s="4" t="s">
        <v>2276</v>
      </c>
      <c r="N1638" s="4" t="s">
        <v>2276</v>
      </c>
      <c r="O1638" s="4" t="s">
        <v>2276</v>
      </c>
      <c r="P1638" s="4" t="s">
        <v>2276</v>
      </c>
      <c r="Q1638" s="4" t="s">
        <v>2276</v>
      </c>
      <c r="R1638" s="4" t="s">
        <v>2276</v>
      </c>
      <c r="S1638" s="4" t="s">
        <v>2276</v>
      </c>
      <c r="T1638" s="4" t="s">
        <v>2276</v>
      </c>
      <c r="U1638" s="4" t="s">
        <v>2276</v>
      </c>
      <c r="V1638" s="4" t="s">
        <v>2276</v>
      </c>
      <c r="W1638" s="4" t="s">
        <v>2276</v>
      </c>
      <c r="X1638" s="4" t="s">
        <v>2276</v>
      </c>
      <c r="Y1638" s="4" t="s">
        <v>2276</v>
      </c>
      <c r="Z1638" s="4" t="s">
        <v>2276</v>
      </c>
      <c r="AA1638" s="3"/>
      <c r="AB1638" s="3"/>
    </row>
    <row r="1639" spans="1:28" ht="49" customHeight="1">
      <c r="A1639" s="152" t="str">
        <f>'Reported burning'!A1639</f>
        <v>195e</v>
      </c>
      <c r="B1639" s="152" t="str">
        <f>'Reported burning'!B1639</f>
        <v>195e.1</v>
      </c>
      <c r="C1639" s="152" t="str">
        <f>'Reported burning'!C1639</f>
        <v>Human, deliberate</v>
      </c>
      <c r="D1639" s="152" t="str">
        <f>'Reported burning'!D1639</f>
        <v>ND</v>
      </c>
      <c r="E1639" s="152" t="str">
        <f>'Reported burning'!E1639</f>
        <v>Cattle, Extensive</v>
      </c>
      <c r="F1639" s="152" t="str">
        <f>'Reported burning'!F1639</f>
        <v>ND</v>
      </c>
      <c r="G1639" s="152" t="str">
        <f>'Reported burning'!G1639</f>
        <v>Shrubland (Mixed forest &amp; grassland)</v>
      </c>
      <c r="H1639" s="152" t="str">
        <f>'Reported burning'!H1639</f>
        <v>Presence</v>
      </c>
      <c r="I1639" s="3"/>
      <c r="J1639" s="4" t="s">
        <v>2276</v>
      </c>
      <c r="K1639" s="4" t="s">
        <v>2276</v>
      </c>
      <c r="L1639" s="4" t="s">
        <v>2276</v>
      </c>
      <c r="M1639" s="4" t="s">
        <v>2276</v>
      </c>
      <c r="N1639" s="4" t="s">
        <v>2276</v>
      </c>
      <c r="O1639" s="4" t="s">
        <v>2276</v>
      </c>
      <c r="P1639" s="4" t="s">
        <v>2276</v>
      </c>
      <c r="Q1639" s="4" t="s">
        <v>2276</v>
      </c>
      <c r="R1639" s="4" t="s">
        <v>2276</v>
      </c>
      <c r="S1639" s="4" t="s">
        <v>2276</v>
      </c>
      <c r="T1639" s="4" t="s">
        <v>2276</v>
      </c>
      <c r="U1639" s="4" t="s">
        <v>2276</v>
      </c>
      <c r="V1639" s="4" t="s">
        <v>2276</v>
      </c>
      <c r="W1639" s="4" t="s">
        <v>2276</v>
      </c>
      <c r="X1639" s="4" t="s">
        <v>2276</v>
      </c>
      <c r="Y1639" s="4" t="s">
        <v>2276</v>
      </c>
      <c r="Z1639" s="4" t="s">
        <v>2276</v>
      </c>
      <c r="AA1639" s="3"/>
      <c r="AB1639" s="3"/>
    </row>
    <row r="1640" spans="1:28" ht="49" customHeight="1">
      <c r="A1640" s="152" t="str">
        <f>'Reported burning'!A1640</f>
        <v>195f</v>
      </c>
      <c r="B1640" s="152" t="str">
        <f>'Reported burning'!B1640</f>
        <v>195f.1</v>
      </c>
      <c r="C1640" s="152" t="str">
        <f>'Reported burning'!C1640</f>
        <v>Human, deliberate</v>
      </c>
      <c r="D1640" s="152" t="str">
        <f>'Reported burning'!D1640</f>
        <v>ND</v>
      </c>
      <c r="E1640" s="152" t="str">
        <f>'Reported burning'!E1640</f>
        <v>Cattle, Extensive</v>
      </c>
      <c r="F1640" s="152" t="str">
        <f>'Reported burning'!F1640</f>
        <v>ND</v>
      </c>
      <c r="G1640" s="152" t="str">
        <f>'Reported burning'!G1640</f>
        <v>Shrubland (Mixed forest &amp; grassland)</v>
      </c>
      <c r="H1640" s="152" t="str">
        <f>'Reported burning'!H1640</f>
        <v>Presence</v>
      </c>
      <c r="I1640" s="3"/>
      <c r="J1640" s="4" t="s">
        <v>2276</v>
      </c>
      <c r="K1640" s="4" t="s">
        <v>2276</v>
      </c>
      <c r="L1640" s="4" t="s">
        <v>2276</v>
      </c>
      <c r="M1640" s="4" t="s">
        <v>2276</v>
      </c>
      <c r="N1640" s="4" t="s">
        <v>2276</v>
      </c>
      <c r="O1640" s="4" t="s">
        <v>2276</v>
      </c>
      <c r="P1640" s="4" t="s">
        <v>2276</v>
      </c>
      <c r="Q1640" s="4" t="s">
        <v>2276</v>
      </c>
      <c r="R1640" s="4" t="s">
        <v>2276</v>
      </c>
      <c r="S1640" s="4" t="s">
        <v>2276</v>
      </c>
      <c r="T1640" s="4" t="s">
        <v>2276</v>
      </c>
      <c r="U1640" s="4" t="s">
        <v>2276</v>
      </c>
      <c r="V1640" s="4" t="s">
        <v>2276</v>
      </c>
      <c r="W1640" s="4" t="s">
        <v>2276</v>
      </c>
      <c r="X1640" s="4" t="s">
        <v>2276</v>
      </c>
      <c r="Y1640" s="4" t="s">
        <v>2276</v>
      </c>
      <c r="Z1640" s="4" t="s">
        <v>2276</v>
      </c>
      <c r="AA1640" s="3"/>
      <c r="AB1640" s="3"/>
    </row>
    <row r="1641" spans="1:28" ht="49" customHeight="1">
      <c r="A1641" s="152" t="str">
        <f>'Reported burning'!A1641</f>
        <v>195g</v>
      </c>
      <c r="B1641" s="152" t="str">
        <f>'Reported burning'!B1641</f>
        <v>195g.1</v>
      </c>
      <c r="C1641" s="152" t="str">
        <f>'Reported burning'!C1641</f>
        <v>Human, deliberate</v>
      </c>
      <c r="D1641" s="152" t="str">
        <f>'Reported burning'!D1641</f>
        <v>ND</v>
      </c>
      <c r="E1641" s="152" t="str">
        <f>'Reported burning'!E1641</f>
        <v>Cattle, Extensive</v>
      </c>
      <c r="F1641" s="152" t="str">
        <f>'Reported burning'!F1641</f>
        <v>ND</v>
      </c>
      <c r="G1641" s="152" t="str">
        <f>'Reported burning'!G1641</f>
        <v>Shrubland (Mixed forest &amp; grassland)</v>
      </c>
      <c r="H1641" s="152" t="str">
        <f>'Reported burning'!H1641</f>
        <v>Presence</v>
      </c>
      <c r="I1641" s="3"/>
      <c r="J1641" s="4" t="s">
        <v>2276</v>
      </c>
      <c r="K1641" s="4" t="s">
        <v>2276</v>
      </c>
      <c r="L1641" s="4" t="s">
        <v>2276</v>
      </c>
      <c r="M1641" s="4" t="s">
        <v>2276</v>
      </c>
      <c r="N1641" s="4" t="s">
        <v>2276</v>
      </c>
      <c r="O1641" s="4" t="s">
        <v>2276</v>
      </c>
      <c r="P1641" s="4" t="s">
        <v>2276</v>
      </c>
      <c r="Q1641" s="4" t="s">
        <v>2276</v>
      </c>
      <c r="R1641" s="4" t="s">
        <v>2276</v>
      </c>
      <c r="S1641" s="4" t="s">
        <v>2276</v>
      </c>
      <c r="T1641" s="4" t="s">
        <v>2276</v>
      </c>
      <c r="U1641" s="4" t="s">
        <v>2276</v>
      </c>
      <c r="V1641" s="4" t="s">
        <v>2276</v>
      </c>
      <c r="W1641" s="4" t="s">
        <v>2276</v>
      </c>
      <c r="X1641" s="4" t="s">
        <v>2276</v>
      </c>
      <c r="Y1641" s="4" t="s">
        <v>2276</v>
      </c>
      <c r="Z1641" s="4" t="s">
        <v>2276</v>
      </c>
      <c r="AA1641" s="3"/>
      <c r="AB1641" s="3"/>
    </row>
    <row r="1642" spans="1:28" ht="49" customHeight="1">
      <c r="A1642" s="152" t="str">
        <f>'Reported burning'!A1642</f>
        <v>195h</v>
      </c>
      <c r="B1642" s="152" t="str">
        <f>'Reported burning'!B1642</f>
        <v>195h.1</v>
      </c>
      <c r="C1642" s="152" t="str">
        <f>'Reported burning'!C1642</f>
        <v>Human, deliberate</v>
      </c>
      <c r="D1642" s="152" t="str">
        <f>'Reported burning'!D1642</f>
        <v>ND</v>
      </c>
      <c r="E1642" s="152" t="str">
        <f>'Reported burning'!E1642</f>
        <v>Cattle, Extensive</v>
      </c>
      <c r="F1642" s="152" t="str">
        <f>'Reported burning'!F1642</f>
        <v>ND</v>
      </c>
      <c r="G1642" s="152" t="str">
        <f>'Reported burning'!G1642</f>
        <v>Shrubland (Mixed forest &amp; grassland)</v>
      </c>
      <c r="H1642" s="152" t="str">
        <f>'Reported burning'!H1642</f>
        <v>Presence</v>
      </c>
      <c r="I1642" s="3"/>
      <c r="J1642" s="4" t="s">
        <v>2276</v>
      </c>
      <c r="K1642" s="4" t="s">
        <v>2276</v>
      </c>
      <c r="L1642" s="4" t="s">
        <v>2276</v>
      </c>
      <c r="M1642" s="4" t="s">
        <v>2276</v>
      </c>
      <c r="N1642" s="4" t="s">
        <v>2276</v>
      </c>
      <c r="O1642" s="4" t="s">
        <v>2276</v>
      </c>
      <c r="P1642" s="4" t="s">
        <v>2276</v>
      </c>
      <c r="Q1642" s="4" t="s">
        <v>2276</v>
      </c>
      <c r="R1642" s="4" t="s">
        <v>2276</v>
      </c>
      <c r="S1642" s="4" t="s">
        <v>2276</v>
      </c>
      <c r="T1642" s="4" t="s">
        <v>2276</v>
      </c>
      <c r="U1642" s="4" t="s">
        <v>2276</v>
      </c>
      <c r="V1642" s="4" t="s">
        <v>2276</v>
      </c>
      <c r="W1642" s="4" t="s">
        <v>2276</v>
      </c>
      <c r="X1642" s="4" t="s">
        <v>2276</v>
      </c>
      <c r="Y1642" s="4" t="s">
        <v>2276</v>
      </c>
      <c r="Z1642" s="4" t="s">
        <v>2276</v>
      </c>
      <c r="AA1642" s="3"/>
      <c r="AB1642" s="3"/>
    </row>
    <row r="1643" spans="1:28" ht="49" customHeight="1">
      <c r="A1643" s="152" t="str">
        <f>'Reported burning'!A1643</f>
        <v>195i</v>
      </c>
      <c r="B1643" s="152" t="str">
        <f>'Reported burning'!B1643</f>
        <v>195i.1</v>
      </c>
      <c r="C1643" s="152" t="str">
        <f>'Reported burning'!C1643</f>
        <v>Human, deliberate</v>
      </c>
      <c r="D1643" s="152" t="str">
        <f>'Reported burning'!D1643</f>
        <v>ND</v>
      </c>
      <c r="E1643" s="152" t="str">
        <f>'Reported burning'!E1643</f>
        <v>Cattle, Extensive</v>
      </c>
      <c r="F1643" s="152" t="str">
        <f>'Reported burning'!F1643</f>
        <v>ND</v>
      </c>
      <c r="G1643" s="152" t="str">
        <f>'Reported burning'!G1643</f>
        <v>Shrubland (Mixed forest &amp; grassland)</v>
      </c>
      <c r="H1643" s="152" t="str">
        <f>'Reported burning'!H1643</f>
        <v>Presence</v>
      </c>
      <c r="I1643" s="3"/>
      <c r="J1643" s="4" t="s">
        <v>2276</v>
      </c>
      <c r="K1643" s="4" t="s">
        <v>2276</v>
      </c>
      <c r="L1643" s="4" t="s">
        <v>2276</v>
      </c>
      <c r="M1643" s="4" t="s">
        <v>2276</v>
      </c>
      <c r="N1643" s="4" t="s">
        <v>2276</v>
      </c>
      <c r="O1643" s="4" t="s">
        <v>2276</v>
      </c>
      <c r="P1643" s="4" t="s">
        <v>2276</v>
      </c>
      <c r="Q1643" s="4" t="s">
        <v>2276</v>
      </c>
      <c r="R1643" s="4" t="s">
        <v>2276</v>
      </c>
      <c r="S1643" s="4" t="s">
        <v>2276</v>
      </c>
      <c r="T1643" s="4" t="s">
        <v>2276</v>
      </c>
      <c r="U1643" s="4" t="s">
        <v>2276</v>
      </c>
      <c r="V1643" s="4" t="s">
        <v>2276</v>
      </c>
      <c r="W1643" s="4" t="s">
        <v>2276</v>
      </c>
      <c r="X1643" s="4" t="s">
        <v>2276</v>
      </c>
      <c r="Y1643" s="4" t="s">
        <v>2276</v>
      </c>
      <c r="Z1643" s="4" t="s">
        <v>2276</v>
      </c>
      <c r="AA1643" s="3"/>
      <c r="AB1643" s="3"/>
    </row>
    <row r="1644" spans="1:28" ht="49" customHeight="1">
      <c r="A1644" s="152" t="str">
        <f>'Reported burning'!A1644</f>
        <v>195j</v>
      </c>
      <c r="B1644" s="152" t="str">
        <f>'Reported burning'!B1644</f>
        <v>195j.1</v>
      </c>
      <c r="C1644" s="152" t="str">
        <f>'Reported burning'!C1644</f>
        <v>Human, deliberate</v>
      </c>
      <c r="D1644" s="152" t="str">
        <f>'Reported burning'!D1644</f>
        <v>ND</v>
      </c>
      <c r="E1644" s="152" t="str">
        <f>'Reported burning'!E1644</f>
        <v>Cattle, Extensive</v>
      </c>
      <c r="F1644" s="152" t="str">
        <f>'Reported burning'!F1644</f>
        <v>ND</v>
      </c>
      <c r="G1644" s="152" t="str">
        <f>'Reported burning'!G1644</f>
        <v>Shrubland (Mixed forest &amp; grassland)</v>
      </c>
      <c r="H1644" s="152" t="str">
        <f>'Reported burning'!H1644</f>
        <v>Presence</v>
      </c>
      <c r="I1644" s="3"/>
      <c r="J1644" s="4" t="s">
        <v>2276</v>
      </c>
      <c r="K1644" s="4" t="s">
        <v>2276</v>
      </c>
      <c r="L1644" s="4" t="s">
        <v>2276</v>
      </c>
      <c r="M1644" s="4" t="s">
        <v>2276</v>
      </c>
      <c r="N1644" s="4" t="s">
        <v>2276</v>
      </c>
      <c r="O1644" s="4" t="s">
        <v>2276</v>
      </c>
      <c r="P1644" s="4" t="s">
        <v>2276</v>
      </c>
      <c r="Q1644" s="4" t="s">
        <v>2276</v>
      </c>
      <c r="R1644" s="4" t="s">
        <v>2276</v>
      </c>
      <c r="S1644" s="4" t="s">
        <v>2276</v>
      </c>
      <c r="T1644" s="4" t="s">
        <v>2276</v>
      </c>
      <c r="U1644" s="4" t="s">
        <v>2276</v>
      </c>
      <c r="V1644" s="4" t="s">
        <v>2276</v>
      </c>
      <c r="W1644" s="4" t="s">
        <v>2276</v>
      </c>
      <c r="X1644" s="4" t="s">
        <v>2276</v>
      </c>
      <c r="Y1644" s="4" t="s">
        <v>2276</v>
      </c>
      <c r="Z1644" s="4" t="s">
        <v>2276</v>
      </c>
      <c r="AA1644" s="3"/>
      <c r="AB1644" s="3"/>
    </row>
    <row r="1645" spans="1:28" ht="49" customHeight="1">
      <c r="A1645" s="152" t="str">
        <f>'Reported burning'!A1645</f>
        <v>195k</v>
      </c>
      <c r="B1645" s="152" t="str">
        <f>'Reported burning'!B1645</f>
        <v>195k.1</v>
      </c>
      <c r="C1645" s="152" t="str">
        <f>'Reported burning'!C1645</f>
        <v>Human, deliberate</v>
      </c>
      <c r="D1645" s="152" t="str">
        <f>'Reported burning'!D1645</f>
        <v>ND</v>
      </c>
      <c r="E1645" s="152" t="str">
        <f>'Reported burning'!E1645</f>
        <v>Cattle, Extensive</v>
      </c>
      <c r="F1645" s="152" t="str">
        <f>'Reported burning'!F1645</f>
        <v>ND</v>
      </c>
      <c r="G1645" s="152" t="str">
        <f>'Reported burning'!G1645</f>
        <v>Shrubland (Mixed forest &amp; grassland)</v>
      </c>
      <c r="H1645" s="152" t="str">
        <f>'Reported burning'!H1645</f>
        <v>Presence</v>
      </c>
      <c r="I1645" s="3"/>
      <c r="J1645" t="s">
        <v>2369</v>
      </c>
      <c r="K1645" s="4" t="s">
        <v>2276</v>
      </c>
      <c r="L1645" s="4" t="s">
        <v>2276</v>
      </c>
      <c r="M1645" s="4" t="s">
        <v>2276</v>
      </c>
      <c r="N1645" s="4" t="s">
        <v>2276</v>
      </c>
      <c r="O1645" s="4" t="s">
        <v>2276</v>
      </c>
      <c r="P1645" s="4" t="s">
        <v>2276</v>
      </c>
      <c r="Q1645" s="4" t="s">
        <v>2276</v>
      </c>
      <c r="R1645" s="4" t="s">
        <v>2276</v>
      </c>
      <c r="S1645" s="4" t="s">
        <v>2276</v>
      </c>
      <c r="T1645" s="4" t="s">
        <v>2276</v>
      </c>
      <c r="U1645" s="4" t="s">
        <v>2276</v>
      </c>
      <c r="V1645" s="4" t="s">
        <v>2276</v>
      </c>
      <c r="W1645" s="4" t="s">
        <v>2276</v>
      </c>
      <c r="X1645" s="4" t="s">
        <v>2276</v>
      </c>
      <c r="Y1645" s="4" t="s">
        <v>2276</v>
      </c>
      <c r="Z1645" s="4" t="s">
        <v>2276</v>
      </c>
      <c r="AA1645" s="3"/>
      <c r="AB1645" s="3"/>
    </row>
    <row r="1646" spans="1:28" ht="49" customHeight="1">
      <c r="A1646" s="152" t="str">
        <f>'Reported burning'!A1646</f>
        <v>195l</v>
      </c>
      <c r="B1646" s="152" t="str">
        <f>'Reported burning'!B1646</f>
        <v>195l.1</v>
      </c>
      <c r="C1646" s="152" t="str">
        <f>'Reported burning'!C1646</f>
        <v>Human, deliberate</v>
      </c>
      <c r="D1646" s="152" t="str">
        <f>'Reported burning'!D1646</f>
        <v>ND</v>
      </c>
      <c r="E1646" s="152" t="str">
        <f>'Reported burning'!E1646</f>
        <v>Cattle, Extensive</v>
      </c>
      <c r="F1646" s="152" t="str">
        <f>'Reported burning'!F1646</f>
        <v>ND</v>
      </c>
      <c r="G1646" s="152" t="str">
        <f>'Reported burning'!G1646</f>
        <v>Shrubland (Mixed forest &amp; grassland)</v>
      </c>
      <c r="H1646" s="152" t="str">
        <f>'Reported burning'!H1646</f>
        <v>Presence</v>
      </c>
      <c r="I1646" s="3"/>
      <c r="J1646" s="4" t="s">
        <v>2276</v>
      </c>
      <c r="K1646" s="4" t="s">
        <v>2276</v>
      </c>
      <c r="L1646" s="4" t="s">
        <v>2276</v>
      </c>
      <c r="M1646" s="4" t="s">
        <v>2276</v>
      </c>
      <c r="N1646" s="4" t="s">
        <v>2276</v>
      </c>
      <c r="O1646" s="4" t="s">
        <v>2276</v>
      </c>
      <c r="P1646" s="4" t="s">
        <v>2276</v>
      </c>
      <c r="Q1646" s="4" t="s">
        <v>2276</v>
      </c>
      <c r="R1646" s="4" t="s">
        <v>2276</v>
      </c>
      <c r="S1646" s="4" t="s">
        <v>2276</v>
      </c>
      <c r="T1646" s="4" t="s">
        <v>2276</v>
      </c>
      <c r="U1646" s="4" t="s">
        <v>2276</v>
      </c>
      <c r="V1646" s="4" t="s">
        <v>2276</v>
      </c>
      <c r="W1646" s="4" t="s">
        <v>2276</v>
      </c>
      <c r="X1646" s="4" t="s">
        <v>2276</v>
      </c>
      <c r="Y1646" s="4" t="s">
        <v>2276</v>
      </c>
      <c r="Z1646" s="4" t="s">
        <v>2276</v>
      </c>
      <c r="AA1646" s="3"/>
      <c r="AB1646" s="3"/>
    </row>
    <row r="1647" spans="1:28" ht="49" customHeight="1">
      <c r="A1647" s="152" t="str">
        <f>'Reported burning'!A1647</f>
        <v>195m</v>
      </c>
      <c r="B1647" s="152" t="str">
        <f>'Reported burning'!B1647</f>
        <v>195m.1</v>
      </c>
      <c r="C1647" s="152" t="str">
        <f>'Reported burning'!C1647</f>
        <v>Human, deliberate</v>
      </c>
      <c r="D1647" s="152" t="str">
        <f>'Reported burning'!D1647</f>
        <v>ND</v>
      </c>
      <c r="E1647" s="152" t="str">
        <f>'Reported burning'!E1647</f>
        <v>Cattle, Extensive</v>
      </c>
      <c r="F1647" s="152" t="str">
        <f>'Reported burning'!F1647</f>
        <v>ND</v>
      </c>
      <c r="G1647" s="152" t="str">
        <f>'Reported burning'!G1647</f>
        <v>Shrubland (Mixed forest &amp; grassland)</v>
      </c>
      <c r="H1647" s="152" t="str">
        <f>'Reported burning'!H1647</f>
        <v>Presence</v>
      </c>
      <c r="I1647" s="3"/>
      <c r="J1647" s="4" t="s">
        <v>2276</v>
      </c>
      <c r="K1647" s="4" t="s">
        <v>2276</v>
      </c>
      <c r="L1647" s="4" t="s">
        <v>2276</v>
      </c>
      <c r="M1647" s="4" t="s">
        <v>2276</v>
      </c>
      <c r="N1647" s="4" t="s">
        <v>2276</v>
      </c>
      <c r="O1647" s="4" t="s">
        <v>2276</v>
      </c>
      <c r="P1647" s="4" t="s">
        <v>2276</v>
      </c>
      <c r="Q1647" s="4" t="s">
        <v>2276</v>
      </c>
      <c r="R1647" s="4" t="s">
        <v>2276</v>
      </c>
      <c r="S1647" s="4" t="s">
        <v>2276</v>
      </c>
      <c r="T1647" s="4" t="s">
        <v>2276</v>
      </c>
      <c r="U1647" s="4" t="s">
        <v>2276</v>
      </c>
      <c r="V1647" s="4" t="s">
        <v>2276</v>
      </c>
      <c r="W1647" s="4" t="s">
        <v>2276</v>
      </c>
      <c r="X1647" s="4" t="s">
        <v>2276</v>
      </c>
      <c r="Y1647" s="4" t="s">
        <v>2276</v>
      </c>
      <c r="Z1647" s="4" t="s">
        <v>2276</v>
      </c>
      <c r="AA1647" s="3"/>
      <c r="AB1647" s="3"/>
    </row>
    <row r="1648" spans="1:28" ht="49" customHeight="1">
      <c r="A1648" s="152" t="str">
        <f>'Reported burning'!A1648</f>
        <v>195n</v>
      </c>
      <c r="B1648" s="152" t="str">
        <f>'Reported burning'!B1648</f>
        <v>195n.1</v>
      </c>
      <c r="C1648" s="152" t="str">
        <f>'Reported burning'!C1648</f>
        <v>Human, deliberate</v>
      </c>
      <c r="D1648" s="152" t="str">
        <f>'Reported burning'!D1648</f>
        <v>ND</v>
      </c>
      <c r="E1648" s="152" t="str">
        <f>'Reported burning'!E1648</f>
        <v>Cattle, Extensive</v>
      </c>
      <c r="F1648" s="152" t="str">
        <f>'Reported burning'!F1648</f>
        <v>ND</v>
      </c>
      <c r="G1648" s="152" t="str">
        <f>'Reported burning'!G1648</f>
        <v>Shrubland (Mixed forest &amp; grassland)</v>
      </c>
      <c r="H1648" s="152" t="str">
        <f>'Reported burning'!H1648</f>
        <v>Presence</v>
      </c>
      <c r="I1648" s="3"/>
      <c r="J1648" s="4" t="s">
        <v>2276</v>
      </c>
      <c r="K1648" s="4" t="s">
        <v>2276</v>
      </c>
      <c r="L1648" s="4" t="s">
        <v>2276</v>
      </c>
      <c r="M1648" s="4" t="s">
        <v>2276</v>
      </c>
      <c r="N1648" s="4" t="s">
        <v>2276</v>
      </c>
      <c r="O1648" s="4" t="s">
        <v>2276</v>
      </c>
      <c r="P1648" s="4" t="s">
        <v>2276</v>
      </c>
      <c r="Q1648" s="4" t="s">
        <v>2276</v>
      </c>
      <c r="R1648" s="4" t="s">
        <v>2276</v>
      </c>
      <c r="S1648" s="4" t="s">
        <v>2276</v>
      </c>
      <c r="T1648" s="4" t="s">
        <v>2276</v>
      </c>
      <c r="U1648" s="4" t="s">
        <v>2276</v>
      </c>
      <c r="V1648" s="4" t="s">
        <v>2276</v>
      </c>
      <c r="W1648" s="4" t="s">
        <v>2276</v>
      </c>
      <c r="X1648" s="4" t="s">
        <v>2276</v>
      </c>
      <c r="Y1648" s="4" t="s">
        <v>2276</v>
      </c>
      <c r="Z1648" s="4" t="s">
        <v>2276</v>
      </c>
      <c r="AA1648" s="3"/>
      <c r="AB1648" s="3"/>
    </row>
    <row r="1649" spans="1:28" ht="49" customHeight="1">
      <c r="A1649" s="152" t="str">
        <f>'Reported burning'!A1649</f>
        <v>195o</v>
      </c>
      <c r="B1649" s="152" t="str">
        <f>'Reported burning'!B1649</f>
        <v>195o.1</v>
      </c>
      <c r="C1649" s="152" t="str">
        <f>'Reported burning'!C1649</f>
        <v>Human, deliberate</v>
      </c>
      <c r="D1649" s="152" t="str">
        <f>'Reported burning'!D1649</f>
        <v>ND</v>
      </c>
      <c r="E1649" s="152" t="str">
        <f>'Reported burning'!E1649</f>
        <v>Cattle, Extensive</v>
      </c>
      <c r="F1649" s="152" t="str">
        <f>'Reported burning'!F1649</f>
        <v>ND</v>
      </c>
      <c r="G1649" s="152" t="str">
        <f>'Reported burning'!G1649</f>
        <v>Shrubland (Mixed forest &amp; grassland)</v>
      </c>
      <c r="H1649" s="152" t="str">
        <f>'Reported burning'!H1649</f>
        <v>Absence</v>
      </c>
      <c r="I1649" s="3"/>
      <c r="J1649" s="14">
        <v>0</v>
      </c>
      <c r="K1649" s="21">
        <v>0</v>
      </c>
      <c r="L1649" s="21">
        <v>0</v>
      </c>
      <c r="M1649" s="21">
        <v>0</v>
      </c>
      <c r="N1649" s="21">
        <v>0</v>
      </c>
      <c r="O1649" s="21">
        <v>0</v>
      </c>
      <c r="P1649" s="21">
        <v>0</v>
      </c>
      <c r="Q1649" s="21">
        <v>0</v>
      </c>
      <c r="R1649" s="21">
        <v>0</v>
      </c>
      <c r="S1649" s="21">
        <v>0</v>
      </c>
      <c r="T1649" s="21">
        <v>0</v>
      </c>
      <c r="U1649" s="21">
        <v>0</v>
      </c>
      <c r="V1649" s="21">
        <v>0</v>
      </c>
      <c r="W1649" s="4" t="s">
        <v>2276</v>
      </c>
      <c r="X1649" s="4" t="s">
        <v>2276</v>
      </c>
      <c r="Y1649" s="4" t="s">
        <v>2276</v>
      </c>
      <c r="Z1649" s="4" t="s">
        <v>2276</v>
      </c>
      <c r="AA1649" s="3"/>
      <c r="AB1649" s="3"/>
    </row>
    <row r="1650" spans="1:28" ht="49" customHeight="1">
      <c r="A1650" s="152" t="str">
        <f>'Reported burning'!A1650</f>
        <v>195p</v>
      </c>
      <c r="B1650" s="152" t="str">
        <f>'Reported burning'!B1650</f>
        <v>195p.1</v>
      </c>
      <c r="C1650" s="152" t="str">
        <f>'Reported burning'!C1650</f>
        <v>Human, deliberate</v>
      </c>
      <c r="D1650" s="152" t="str">
        <f>'Reported burning'!D1650</f>
        <v>ND</v>
      </c>
      <c r="E1650" s="152" t="str">
        <f>'Reported burning'!E1650</f>
        <v>Cattle, Extensive</v>
      </c>
      <c r="F1650" s="152" t="str">
        <f>'Reported burning'!F1650</f>
        <v>ND</v>
      </c>
      <c r="G1650" s="152" t="str">
        <f>'Reported burning'!G1650</f>
        <v>Shrubland (Mixed forest &amp; grassland)</v>
      </c>
      <c r="H1650" s="152" t="str">
        <f>'Reported burning'!H1650</f>
        <v>Presence</v>
      </c>
      <c r="I1650" s="3"/>
      <c r="J1650" s="4" t="s">
        <v>2276</v>
      </c>
      <c r="K1650" s="4" t="s">
        <v>2276</v>
      </c>
      <c r="L1650" s="4" t="s">
        <v>2276</v>
      </c>
      <c r="M1650" s="4" t="s">
        <v>2276</v>
      </c>
      <c r="N1650" s="4" t="s">
        <v>2276</v>
      </c>
      <c r="O1650" s="4" t="s">
        <v>2276</v>
      </c>
      <c r="P1650" s="4" t="s">
        <v>2276</v>
      </c>
      <c r="Q1650" s="4" t="s">
        <v>2276</v>
      </c>
      <c r="R1650" s="4" t="s">
        <v>2276</v>
      </c>
      <c r="S1650" s="4" t="s">
        <v>2276</v>
      </c>
      <c r="T1650" s="4" t="s">
        <v>2276</v>
      </c>
      <c r="U1650" s="4" t="s">
        <v>2276</v>
      </c>
      <c r="V1650" s="4" t="s">
        <v>2276</v>
      </c>
      <c r="W1650" s="4" t="s">
        <v>2276</v>
      </c>
      <c r="X1650" s="4" t="s">
        <v>2276</v>
      </c>
      <c r="Y1650" s="4" t="s">
        <v>2276</v>
      </c>
      <c r="Z1650" s="4" t="s">
        <v>2276</v>
      </c>
      <c r="AA1650" s="3"/>
      <c r="AB1650" s="3"/>
    </row>
    <row r="1651" spans="1:28" ht="49" customHeight="1">
      <c r="A1651" s="152" t="str">
        <f>'Reported burning'!A1651</f>
        <v>195q</v>
      </c>
      <c r="B1651" s="152" t="str">
        <f>'Reported burning'!B1651</f>
        <v>195q.1</v>
      </c>
      <c r="C1651" s="152" t="str">
        <f>'Reported burning'!C1651</f>
        <v>Human, deliberate</v>
      </c>
      <c r="D1651" s="152" t="str">
        <f>'Reported burning'!D1651</f>
        <v>ND</v>
      </c>
      <c r="E1651" s="152" t="str">
        <f>'Reported burning'!E1651</f>
        <v>Cattle, Extensive</v>
      </c>
      <c r="F1651" s="152" t="str">
        <f>'Reported burning'!F1651</f>
        <v>ND</v>
      </c>
      <c r="G1651" s="152" t="str">
        <f>'Reported burning'!G1651</f>
        <v>Shrubland (Mixed forest &amp; grassland)</v>
      </c>
      <c r="H1651" s="152" t="str">
        <f>'Reported burning'!H1651</f>
        <v>Presence</v>
      </c>
      <c r="I1651" s="3"/>
      <c r="J1651" s="4" t="s">
        <v>2276</v>
      </c>
      <c r="K1651" s="4" t="s">
        <v>2276</v>
      </c>
      <c r="L1651" s="4" t="s">
        <v>2276</v>
      </c>
      <c r="M1651" s="4" t="s">
        <v>2276</v>
      </c>
      <c r="N1651" s="4" t="s">
        <v>2276</v>
      </c>
      <c r="O1651" s="4" t="s">
        <v>2276</v>
      </c>
      <c r="P1651" s="4" t="s">
        <v>2276</v>
      </c>
      <c r="Q1651" s="4" t="s">
        <v>2276</v>
      </c>
      <c r="R1651" s="4" t="s">
        <v>2276</v>
      </c>
      <c r="S1651" s="4" t="s">
        <v>2276</v>
      </c>
      <c r="T1651" s="4" t="s">
        <v>2276</v>
      </c>
      <c r="U1651" s="4" t="s">
        <v>2276</v>
      </c>
      <c r="V1651" s="4" t="s">
        <v>2276</v>
      </c>
      <c r="W1651" s="4" t="s">
        <v>2276</v>
      </c>
      <c r="X1651" s="4" t="s">
        <v>2276</v>
      </c>
      <c r="Y1651" s="4" t="s">
        <v>2276</v>
      </c>
      <c r="Z1651" s="4" t="s">
        <v>2276</v>
      </c>
      <c r="AA1651" s="3"/>
      <c r="AB1651" s="3"/>
    </row>
    <row r="1652" spans="1:28" ht="49" customHeight="1">
      <c r="A1652" s="152" t="str">
        <f>'Reported burning'!A1652</f>
        <v>195r</v>
      </c>
      <c r="B1652" s="152" t="str">
        <f>'Reported burning'!B1652</f>
        <v>195r.1</v>
      </c>
      <c r="C1652" s="152" t="str">
        <f>'Reported burning'!C1652</f>
        <v>Human, deliberate</v>
      </c>
      <c r="D1652" s="152" t="str">
        <f>'Reported burning'!D1652</f>
        <v>ND</v>
      </c>
      <c r="E1652" s="152" t="str">
        <f>'Reported burning'!E1652</f>
        <v>Cattle, Extensive</v>
      </c>
      <c r="F1652" s="152" t="str">
        <f>'Reported burning'!F1652</f>
        <v>ND</v>
      </c>
      <c r="G1652" s="152" t="str">
        <f>'Reported burning'!G1652</f>
        <v>Shrubland (Mixed forest &amp; grassland)</v>
      </c>
      <c r="H1652" s="152" t="str">
        <f>'Reported burning'!H1652</f>
        <v>Presence</v>
      </c>
      <c r="I1652" s="3"/>
      <c r="J1652" s="4" t="s">
        <v>2276</v>
      </c>
      <c r="K1652" s="4" t="s">
        <v>2276</v>
      </c>
      <c r="L1652" s="4" t="s">
        <v>2276</v>
      </c>
      <c r="M1652" s="4" t="s">
        <v>2276</v>
      </c>
      <c r="N1652" s="4" t="s">
        <v>2276</v>
      </c>
      <c r="O1652" s="4" t="s">
        <v>2276</v>
      </c>
      <c r="P1652" s="4" t="s">
        <v>2276</v>
      </c>
      <c r="Q1652" s="4" t="s">
        <v>2276</v>
      </c>
      <c r="R1652" s="4" t="s">
        <v>2276</v>
      </c>
      <c r="S1652" s="4" t="s">
        <v>2276</v>
      </c>
      <c r="T1652" s="4" t="s">
        <v>2276</v>
      </c>
      <c r="U1652" s="4" t="s">
        <v>2276</v>
      </c>
      <c r="V1652" s="4" t="s">
        <v>2276</v>
      </c>
      <c r="W1652" s="4" t="s">
        <v>2276</v>
      </c>
      <c r="X1652" s="4" t="s">
        <v>2276</v>
      </c>
      <c r="Y1652" s="4" t="s">
        <v>2276</v>
      </c>
      <c r="Z1652" s="4" t="s">
        <v>2276</v>
      </c>
      <c r="AA1652" s="3"/>
      <c r="AB1652" s="3"/>
    </row>
    <row r="1653" spans="1:28" ht="49" customHeight="1">
      <c r="A1653" s="152" t="str">
        <f>'Reported burning'!A1653</f>
        <v>195s</v>
      </c>
      <c r="B1653" s="152" t="str">
        <f>'Reported burning'!B1653</f>
        <v>195s.1</v>
      </c>
      <c r="C1653" s="152" t="str">
        <f>'Reported burning'!C1653</f>
        <v>Human, deliberate</v>
      </c>
      <c r="D1653" s="152" t="str">
        <f>'Reported burning'!D1653</f>
        <v>ND</v>
      </c>
      <c r="E1653" s="152" t="str">
        <f>'Reported burning'!E1653</f>
        <v>Cattle, Extensive</v>
      </c>
      <c r="F1653" s="152" t="str">
        <f>'Reported burning'!F1653</f>
        <v>ND</v>
      </c>
      <c r="G1653" s="152" t="str">
        <f>'Reported burning'!G1653</f>
        <v>Shrubland (Mixed forest &amp; grassland)</v>
      </c>
      <c r="H1653" s="152" t="str">
        <f>'Reported burning'!H1653</f>
        <v>Presence</v>
      </c>
      <c r="I1653" s="3"/>
      <c r="J1653" s="4" t="s">
        <v>2276</v>
      </c>
      <c r="K1653" s="4" t="s">
        <v>2276</v>
      </c>
      <c r="L1653" s="4" t="s">
        <v>2276</v>
      </c>
      <c r="M1653" s="4" t="s">
        <v>2276</v>
      </c>
      <c r="N1653" s="4" t="s">
        <v>2276</v>
      </c>
      <c r="O1653" s="4" t="s">
        <v>2276</v>
      </c>
      <c r="P1653" s="4" t="s">
        <v>2276</v>
      </c>
      <c r="Q1653" s="4" t="s">
        <v>2276</v>
      </c>
      <c r="R1653" s="4" t="s">
        <v>2276</v>
      </c>
      <c r="S1653" s="4" t="s">
        <v>2276</v>
      </c>
      <c r="T1653" s="4" t="s">
        <v>2276</v>
      </c>
      <c r="U1653" s="4" t="s">
        <v>2276</v>
      </c>
      <c r="V1653" s="4" t="s">
        <v>2276</v>
      </c>
      <c r="W1653" s="4" t="s">
        <v>2276</v>
      </c>
      <c r="X1653" s="4" t="s">
        <v>2276</v>
      </c>
      <c r="Y1653" s="4" t="s">
        <v>2276</v>
      </c>
      <c r="Z1653" s="4" t="s">
        <v>2276</v>
      </c>
      <c r="AA1653" s="3"/>
      <c r="AB1653" s="3"/>
    </row>
    <row r="1654" spans="1:28" ht="49" customHeight="1">
      <c r="A1654" s="152" t="str">
        <f>'Reported burning'!A1654</f>
        <v>195t</v>
      </c>
      <c r="B1654" s="152" t="str">
        <f>'Reported burning'!B1654</f>
        <v>195t.1</v>
      </c>
      <c r="C1654" s="152" t="str">
        <f>'Reported burning'!C1654</f>
        <v>Human, deliberate</v>
      </c>
      <c r="D1654" s="152" t="str">
        <f>'Reported burning'!D1654</f>
        <v>ND</v>
      </c>
      <c r="E1654" s="152" t="str">
        <f>'Reported burning'!E1654</f>
        <v>Cattle, Extensive</v>
      </c>
      <c r="F1654" s="152" t="str">
        <f>'Reported burning'!F1654</f>
        <v>ND</v>
      </c>
      <c r="G1654" s="152" t="str">
        <f>'Reported burning'!G1654</f>
        <v>Shrubland (Mixed forest &amp; grassland)</v>
      </c>
      <c r="H1654" s="152" t="str">
        <f>'Reported burning'!H1654</f>
        <v>Presence</v>
      </c>
      <c r="I1654" s="3"/>
      <c r="J1654" s="4" t="s">
        <v>2276</v>
      </c>
      <c r="K1654" s="4" t="s">
        <v>2276</v>
      </c>
      <c r="L1654" s="4" t="s">
        <v>2276</v>
      </c>
      <c r="M1654" s="4" t="s">
        <v>2276</v>
      </c>
      <c r="N1654" s="4" t="s">
        <v>2276</v>
      </c>
      <c r="O1654" s="4" t="s">
        <v>2276</v>
      </c>
      <c r="P1654" s="4" t="s">
        <v>2276</v>
      </c>
      <c r="Q1654" s="4" t="s">
        <v>2276</v>
      </c>
      <c r="R1654" s="4" t="s">
        <v>2276</v>
      </c>
      <c r="S1654" s="4" t="s">
        <v>2276</v>
      </c>
      <c r="T1654" s="4" t="s">
        <v>2276</v>
      </c>
      <c r="U1654" s="4" t="s">
        <v>2276</v>
      </c>
      <c r="V1654" s="4" t="s">
        <v>2276</v>
      </c>
      <c r="W1654" s="4" t="s">
        <v>2276</v>
      </c>
      <c r="X1654" s="4" t="s">
        <v>2276</v>
      </c>
      <c r="Y1654" s="4" t="s">
        <v>2276</v>
      </c>
      <c r="Z1654" s="4" t="s">
        <v>2276</v>
      </c>
      <c r="AA1654" s="3"/>
      <c r="AB1654" s="3"/>
    </row>
    <row r="1655" spans="1:28" ht="49" customHeight="1">
      <c r="A1655" s="152" t="str">
        <f>'Reported burning'!A1655</f>
        <v>195u</v>
      </c>
      <c r="B1655" s="152" t="str">
        <f>'Reported burning'!B1655</f>
        <v>195u.1</v>
      </c>
      <c r="C1655" s="152" t="str">
        <f>'Reported burning'!C1655</f>
        <v>Human, deliberate</v>
      </c>
      <c r="D1655" s="152" t="str">
        <f>'Reported burning'!D1655</f>
        <v>ND</v>
      </c>
      <c r="E1655" s="152" t="str">
        <f>'Reported burning'!E1655</f>
        <v>Cattle, Extensive</v>
      </c>
      <c r="F1655" s="152" t="str">
        <f>'Reported burning'!F1655</f>
        <v>ND</v>
      </c>
      <c r="G1655" s="152" t="str">
        <f>'Reported burning'!G1655</f>
        <v>Shrubland (Mixed forest &amp; grassland)</v>
      </c>
      <c r="H1655" s="152" t="str">
        <f>'Reported burning'!H1655</f>
        <v>Presence</v>
      </c>
      <c r="I1655" s="3"/>
      <c r="J1655" t="s">
        <v>2367</v>
      </c>
      <c r="K1655" s="4" t="s">
        <v>2276</v>
      </c>
      <c r="L1655" s="4" t="s">
        <v>2276</v>
      </c>
      <c r="M1655" s="4" t="s">
        <v>2276</v>
      </c>
      <c r="N1655" s="4" t="s">
        <v>2276</v>
      </c>
      <c r="O1655" s="4" t="s">
        <v>2276</v>
      </c>
      <c r="P1655" s="4" t="s">
        <v>2276</v>
      </c>
      <c r="Q1655" s="4" t="s">
        <v>2276</v>
      </c>
      <c r="R1655" s="4" t="s">
        <v>2276</v>
      </c>
      <c r="S1655" s="4" t="s">
        <v>2276</v>
      </c>
      <c r="T1655" s="4" t="s">
        <v>2276</v>
      </c>
      <c r="U1655" s="4" t="s">
        <v>2276</v>
      </c>
      <c r="V1655" s="4" t="s">
        <v>2276</v>
      </c>
      <c r="W1655" s="4" t="s">
        <v>2276</v>
      </c>
      <c r="X1655" s="4" t="s">
        <v>2276</v>
      </c>
      <c r="Y1655" s="4" t="s">
        <v>2276</v>
      </c>
      <c r="Z1655" s="4" t="s">
        <v>2276</v>
      </c>
      <c r="AA1655" s="3"/>
      <c r="AB1655" s="3"/>
    </row>
    <row r="1656" spans="1:28" ht="49" customHeight="1">
      <c r="A1656" s="152" t="str">
        <f>'Reported burning'!A1656</f>
        <v>195v</v>
      </c>
      <c r="B1656" s="152" t="str">
        <f>'Reported burning'!B1656</f>
        <v>195v.1</v>
      </c>
      <c r="C1656" s="152" t="str">
        <f>'Reported burning'!C1656</f>
        <v>Human, deliberate</v>
      </c>
      <c r="D1656" s="152" t="str">
        <f>'Reported burning'!D1656</f>
        <v>ND</v>
      </c>
      <c r="E1656" s="152" t="str">
        <f>'Reported burning'!E1656</f>
        <v>Cattle, Extensive</v>
      </c>
      <c r="F1656" s="152" t="str">
        <f>'Reported burning'!F1656</f>
        <v>ND</v>
      </c>
      <c r="G1656" s="152" t="str">
        <f>'Reported burning'!G1656</f>
        <v>Shrubland (Mixed forest &amp; grassland)</v>
      </c>
      <c r="H1656" s="152" t="str">
        <f>'Reported burning'!H1656</f>
        <v>Presence</v>
      </c>
      <c r="I1656" s="3"/>
      <c r="J1656" s="4" t="s">
        <v>2276</v>
      </c>
      <c r="K1656" s="4" t="s">
        <v>2276</v>
      </c>
      <c r="L1656" s="4" t="s">
        <v>2276</v>
      </c>
      <c r="M1656" s="4" t="s">
        <v>2276</v>
      </c>
      <c r="N1656" s="4" t="s">
        <v>2276</v>
      </c>
      <c r="O1656" s="4" t="s">
        <v>2276</v>
      </c>
      <c r="P1656" s="4" t="s">
        <v>2276</v>
      </c>
      <c r="Q1656" s="4" t="s">
        <v>2276</v>
      </c>
      <c r="R1656" s="4" t="s">
        <v>2276</v>
      </c>
      <c r="S1656" s="4" t="s">
        <v>2276</v>
      </c>
      <c r="T1656" s="4" t="s">
        <v>2276</v>
      </c>
      <c r="U1656" s="4" t="s">
        <v>2276</v>
      </c>
      <c r="V1656" s="4" t="s">
        <v>2276</v>
      </c>
      <c r="W1656" s="4" t="s">
        <v>2276</v>
      </c>
      <c r="X1656" s="4" t="s">
        <v>2276</v>
      </c>
      <c r="Y1656" s="4" t="s">
        <v>2276</v>
      </c>
      <c r="Z1656" s="4" t="s">
        <v>2276</v>
      </c>
      <c r="AA1656" s="3"/>
      <c r="AB1656" s="3"/>
    </row>
    <row r="1657" spans="1:28" ht="49" customHeight="1">
      <c r="A1657" s="152" t="str">
        <f>'Reported burning'!A1657</f>
        <v>195w</v>
      </c>
      <c r="B1657" s="152" t="str">
        <f>'Reported burning'!B1657</f>
        <v>195w.1</v>
      </c>
      <c r="C1657" s="152" t="str">
        <f>'Reported burning'!C1657</f>
        <v>Human, deliberate</v>
      </c>
      <c r="D1657" s="152" t="str">
        <f>'Reported burning'!D1657</f>
        <v>ND</v>
      </c>
      <c r="E1657" s="152" t="str">
        <f>'Reported burning'!E1657</f>
        <v>Cattle, Extensive</v>
      </c>
      <c r="F1657" s="152" t="str">
        <f>'Reported burning'!F1657</f>
        <v>ND</v>
      </c>
      <c r="G1657" s="152" t="str">
        <f>'Reported burning'!G1657</f>
        <v>Shrubland (Mixed forest &amp; grassland)</v>
      </c>
      <c r="H1657" s="152" t="str">
        <f>'Reported burning'!H1657</f>
        <v>Presence</v>
      </c>
      <c r="I1657" s="3"/>
      <c r="J1657" s="4" t="s">
        <v>2276</v>
      </c>
      <c r="K1657" s="4" t="s">
        <v>2276</v>
      </c>
      <c r="L1657" s="4" t="s">
        <v>2276</v>
      </c>
      <c r="M1657" s="4" t="s">
        <v>2276</v>
      </c>
      <c r="N1657" s="4" t="s">
        <v>2276</v>
      </c>
      <c r="O1657" s="4" t="s">
        <v>2276</v>
      </c>
      <c r="P1657" s="4" t="s">
        <v>2276</v>
      </c>
      <c r="Q1657" s="4" t="s">
        <v>2276</v>
      </c>
      <c r="R1657" s="4" t="s">
        <v>2276</v>
      </c>
      <c r="S1657" s="4" t="s">
        <v>2276</v>
      </c>
      <c r="T1657" s="4" t="s">
        <v>2276</v>
      </c>
      <c r="U1657" s="4" t="s">
        <v>2276</v>
      </c>
      <c r="V1657" s="4" t="s">
        <v>2276</v>
      </c>
      <c r="W1657" s="4" t="s">
        <v>2276</v>
      </c>
      <c r="X1657" s="4" t="s">
        <v>2276</v>
      </c>
      <c r="Y1657" s="4" t="s">
        <v>2276</v>
      </c>
      <c r="Z1657" s="4" t="s">
        <v>2276</v>
      </c>
      <c r="AA1657" s="3"/>
      <c r="AB1657" s="3"/>
    </row>
    <row r="1658" spans="1:28" ht="49" customHeight="1">
      <c r="A1658" s="152" t="str">
        <f>'Reported burning'!A1658</f>
        <v>195x</v>
      </c>
      <c r="B1658" s="152" t="str">
        <f>'Reported burning'!B1658</f>
        <v>195x.1</v>
      </c>
      <c r="C1658" s="152" t="str">
        <f>'Reported burning'!C1658</f>
        <v>Human, deliberate</v>
      </c>
      <c r="D1658" s="152" t="str">
        <f>'Reported burning'!D1658</f>
        <v>ND</v>
      </c>
      <c r="E1658" s="152" t="str">
        <f>'Reported burning'!E1658</f>
        <v>Cattle, Extensive</v>
      </c>
      <c r="F1658" s="152" t="str">
        <f>'Reported burning'!F1658</f>
        <v>ND</v>
      </c>
      <c r="G1658" s="152" t="str">
        <f>'Reported burning'!G1658</f>
        <v>Shrubland (Mixed forest &amp; grassland)</v>
      </c>
      <c r="H1658" s="152" t="str">
        <f>'Reported burning'!H1658</f>
        <v>Presence</v>
      </c>
      <c r="I1658" s="3"/>
      <c r="J1658" s="4" t="s">
        <v>2276</v>
      </c>
      <c r="K1658" s="4" t="s">
        <v>2276</v>
      </c>
      <c r="L1658" s="4" t="s">
        <v>2276</v>
      </c>
      <c r="M1658" s="4" t="s">
        <v>2276</v>
      </c>
      <c r="N1658" s="4" t="s">
        <v>2276</v>
      </c>
      <c r="O1658" s="4" t="s">
        <v>2276</v>
      </c>
      <c r="P1658" s="4" t="s">
        <v>2276</v>
      </c>
      <c r="Q1658" s="4" t="s">
        <v>2276</v>
      </c>
      <c r="R1658" s="4" t="s">
        <v>2276</v>
      </c>
      <c r="S1658" s="4" t="s">
        <v>2276</v>
      </c>
      <c r="T1658" s="4" t="s">
        <v>2276</v>
      </c>
      <c r="U1658" s="4" t="s">
        <v>2276</v>
      </c>
      <c r="V1658" s="4" t="s">
        <v>2276</v>
      </c>
      <c r="W1658" s="4" t="s">
        <v>2276</v>
      </c>
      <c r="X1658" s="4" t="s">
        <v>2276</v>
      </c>
      <c r="Y1658" s="4" t="s">
        <v>2276</v>
      </c>
      <c r="Z1658" s="4" t="s">
        <v>2276</v>
      </c>
      <c r="AA1658" s="3"/>
      <c r="AB1658" s="3"/>
    </row>
    <row r="1659" spans="1:28" ht="49" customHeight="1">
      <c r="A1659" s="152" t="str">
        <f>'Reported burning'!A1659</f>
        <v>195y</v>
      </c>
      <c r="B1659" s="152" t="str">
        <f>'Reported burning'!B1659</f>
        <v>195y.1</v>
      </c>
      <c r="C1659" s="152" t="str">
        <f>'Reported burning'!C1659</f>
        <v>Human, deliberate</v>
      </c>
      <c r="D1659" s="152" t="str">
        <f>'Reported burning'!D1659</f>
        <v>ND</v>
      </c>
      <c r="E1659" s="152" t="str">
        <f>'Reported burning'!E1659</f>
        <v>Cattle, Extensive</v>
      </c>
      <c r="F1659" s="152" t="str">
        <f>'Reported burning'!F1659</f>
        <v>ND</v>
      </c>
      <c r="G1659" s="152" t="str">
        <f>'Reported burning'!G1659</f>
        <v>Shrubland (Mixed forest &amp; grassland)</v>
      </c>
      <c r="H1659" s="152" t="str">
        <f>'Reported burning'!H1659</f>
        <v>Presence</v>
      </c>
      <c r="I1659" s="3"/>
      <c r="J1659" s="4" t="s">
        <v>2276</v>
      </c>
      <c r="K1659" s="4" t="s">
        <v>2276</v>
      </c>
      <c r="L1659" s="4" t="s">
        <v>2276</v>
      </c>
      <c r="M1659" s="4" t="s">
        <v>2276</v>
      </c>
      <c r="N1659" s="4" t="s">
        <v>2276</v>
      </c>
      <c r="O1659" s="4" t="s">
        <v>2276</v>
      </c>
      <c r="P1659" s="4" t="s">
        <v>2276</v>
      </c>
      <c r="Q1659" s="4" t="s">
        <v>2276</v>
      </c>
      <c r="R1659" s="4" t="s">
        <v>2276</v>
      </c>
      <c r="S1659" s="4" t="s">
        <v>2276</v>
      </c>
      <c r="T1659" s="4" t="s">
        <v>2276</v>
      </c>
      <c r="U1659" s="4" t="s">
        <v>2276</v>
      </c>
      <c r="V1659" s="4" t="s">
        <v>2276</v>
      </c>
      <c r="W1659" s="4" t="s">
        <v>2276</v>
      </c>
      <c r="X1659" s="4" t="s">
        <v>2276</v>
      </c>
      <c r="Y1659" s="4" t="s">
        <v>2276</v>
      </c>
      <c r="Z1659" s="4" t="s">
        <v>2276</v>
      </c>
      <c r="AA1659" s="3"/>
      <c r="AB1659" s="3"/>
    </row>
    <row r="1660" spans="1:28" ht="38" customHeight="1">
      <c r="A1660" s="152" t="str">
        <f>'Reported burning'!A1660</f>
        <v>197a</v>
      </c>
      <c r="B1660" s="152" t="str">
        <f>'Reported burning'!B1660</f>
        <v>197a.1</v>
      </c>
      <c r="C1660" s="152" t="str">
        <f>'Reported burning'!C1660</f>
        <v>All</v>
      </c>
      <c r="D1660" s="152" t="str">
        <f>'Reported burning'!D1660</f>
        <v>All</v>
      </c>
      <c r="E1660" s="152" t="str">
        <f>'Reported burning'!E1660</f>
        <v>All</v>
      </c>
      <c r="F1660" s="152" t="str">
        <f>'Reported burning'!F1660</f>
        <v>All</v>
      </c>
      <c r="G1660" s="152" t="str">
        <f>'Reported burning'!G1660</f>
        <v>All</v>
      </c>
      <c r="H1660" s="152" t="str">
        <f>'Reported burning'!H1660</f>
        <v>Presence</v>
      </c>
      <c r="I1660" s="3"/>
      <c r="J1660" s="4" t="s">
        <v>2276</v>
      </c>
      <c r="K1660" s="4" t="s">
        <v>2276</v>
      </c>
      <c r="L1660" s="4" t="s">
        <v>2276</v>
      </c>
      <c r="M1660" s="4" t="s">
        <v>2276</v>
      </c>
      <c r="N1660" s="4" t="s">
        <v>2276</v>
      </c>
      <c r="O1660" s="4" t="s">
        <v>2276</v>
      </c>
      <c r="P1660" s="4" t="s">
        <v>2276</v>
      </c>
      <c r="Q1660" s="4" t="s">
        <v>2276</v>
      </c>
      <c r="R1660" t="s">
        <v>2362</v>
      </c>
      <c r="S1660" s="4" t="s">
        <v>2276</v>
      </c>
      <c r="T1660" s="4" t="s">
        <v>2276</v>
      </c>
      <c r="U1660" s="4" t="s">
        <v>2276</v>
      </c>
      <c r="V1660" s="4" t="s">
        <v>2276</v>
      </c>
      <c r="W1660" s="4" t="s">
        <v>2276</v>
      </c>
      <c r="X1660" s="3" t="s">
        <v>34</v>
      </c>
      <c r="Y1660" s="3" t="s">
        <v>68</v>
      </c>
      <c r="Z1660" s="3" t="s">
        <v>2655</v>
      </c>
      <c r="AA1660" s="3"/>
      <c r="AB1660" s="3" t="s">
        <v>4948</v>
      </c>
    </row>
    <row r="1661" spans="1:28" ht="38" customHeight="1">
      <c r="A1661" s="152" t="str">
        <f>'Reported burning'!A1661</f>
        <v>197a</v>
      </c>
      <c r="B1661" s="152" t="str">
        <f>'Reported burning'!B1661</f>
        <v>197a.2</v>
      </c>
      <c r="C1661" s="152" t="str">
        <f>'Reported burning'!C1661</f>
        <v>All</v>
      </c>
      <c r="D1661" s="152" t="str">
        <f>'Reported burning'!D1661</f>
        <v>ND</v>
      </c>
      <c r="E1661" s="152" t="str">
        <f>'Reported burning'!E1661</f>
        <v>Cropping, Monoculture, Market-oriented</v>
      </c>
      <c r="F1661" s="152" t="str">
        <f>'Reported burning'!F1661</f>
        <v>Cropland</v>
      </c>
      <c r="G1661" s="152" t="str">
        <f>'Reported burning'!G1661</f>
        <v>Cropland</v>
      </c>
      <c r="H1661" s="152" t="str">
        <f>'Reported burning'!H1661</f>
        <v>Presence</v>
      </c>
      <c r="I1661" s="3"/>
      <c r="J1661" t="s">
        <v>2370</v>
      </c>
      <c r="K1661" s="4" t="s">
        <v>2276</v>
      </c>
      <c r="L1661" s="4" t="s">
        <v>2276</v>
      </c>
      <c r="M1661" s="4" t="s">
        <v>2276</v>
      </c>
      <c r="N1661" s="4" t="s">
        <v>2276</v>
      </c>
      <c r="O1661" s="4" t="s">
        <v>2276</v>
      </c>
      <c r="P1661" t="s">
        <v>2374</v>
      </c>
      <c r="Q1661" s="4" t="s">
        <v>2276</v>
      </c>
      <c r="R1661" s="4" t="s">
        <v>2276</v>
      </c>
      <c r="S1661" s="4" t="s">
        <v>2276</v>
      </c>
      <c r="T1661" s="4" t="s">
        <v>2276</v>
      </c>
      <c r="U1661" s="4" t="s">
        <v>2276</v>
      </c>
      <c r="V1661" s="4" t="s">
        <v>2276</v>
      </c>
      <c r="W1661" s="4" t="s">
        <v>2276</v>
      </c>
      <c r="X1661" s="3" t="s">
        <v>34</v>
      </c>
      <c r="Y1661" s="3" t="s">
        <v>68</v>
      </c>
      <c r="Z1661" s="3" t="s">
        <v>2655</v>
      </c>
      <c r="AA1661" s="4" t="s">
        <v>4946</v>
      </c>
      <c r="AB1661" s="4" t="s">
        <v>4952</v>
      </c>
    </row>
    <row r="1662" spans="1:28" ht="38" customHeight="1">
      <c r="A1662" s="152" t="str">
        <f>'Reported burning'!A1662</f>
        <v>197a</v>
      </c>
      <c r="B1662" s="152" t="str">
        <f>'Reported burning'!B1662</f>
        <v>197a.3</v>
      </c>
      <c r="C1662" s="152" t="str">
        <f>'Reported burning'!C1662</f>
        <v>Human, deliberate</v>
      </c>
      <c r="D1662" s="152" t="str">
        <f>'Reported burning'!D1662</f>
        <v>Crop residue burning</v>
      </c>
      <c r="E1662" s="152" t="str">
        <f>'Reported burning'!E1662</f>
        <v>Cropping, Monoculture, Market-oriented</v>
      </c>
      <c r="F1662" s="152" t="str">
        <f>'Reported burning'!F1662</f>
        <v>Cropland</v>
      </c>
      <c r="G1662" s="152" t="str">
        <f>'Reported burning'!G1662</f>
        <v>ND</v>
      </c>
      <c r="H1662" s="152" t="str">
        <f>'Reported burning'!H1662</f>
        <v>Presence</v>
      </c>
      <c r="I1662" s="3"/>
      <c r="J1662" s="4" t="s">
        <v>2276</v>
      </c>
      <c r="K1662" s="4" t="s">
        <v>2276</v>
      </c>
      <c r="L1662" s="4" t="s">
        <v>2276</v>
      </c>
      <c r="M1662" s="4" t="s">
        <v>2276</v>
      </c>
      <c r="N1662" s="4" t="s">
        <v>2276</v>
      </c>
      <c r="O1662" s="4" t="s">
        <v>2276</v>
      </c>
      <c r="P1662" s="4" t="s">
        <v>2276</v>
      </c>
      <c r="Q1662" s="4" t="s">
        <v>2276</v>
      </c>
      <c r="R1662" s="4" t="s">
        <v>2276</v>
      </c>
      <c r="S1662" s="4" t="s">
        <v>2276</v>
      </c>
      <c r="T1662" s="4" t="s">
        <v>2276</v>
      </c>
      <c r="U1662" s="4" t="s">
        <v>2276</v>
      </c>
      <c r="V1662" s="4" t="s">
        <v>2276</v>
      </c>
      <c r="W1662" s="4" t="s">
        <v>2276</v>
      </c>
      <c r="X1662" s="3" t="s">
        <v>34</v>
      </c>
      <c r="Y1662" s="3" t="s">
        <v>68</v>
      </c>
      <c r="Z1662" s="3" t="s">
        <v>2655</v>
      </c>
      <c r="AA1662" s="4" t="s">
        <v>4946</v>
      </c>
      <c r="AB1662" s="4" t="s">
        <v>4952</v>
      </c>
    </row>
    <row r="1663" spans="1:28" ht="54" customHeight="1">
      <c r="A1663" s="152" t="str">
        <f>'Reported burning'!A1663</f>
        <v>197a</v>
      </c>
      <c r="B1663" s="152" t="str">
        <f>'Reported burning'!B1663</f>
        <v>197a.4</v>
      </c>
      <c r="C1663" s="152" t="str">
        <f>'Reported burning'!C1663</f>
        <v>All</v>
      </c>
      <c r="D1663" s="152" t="str">
        <f>'Reported burning'!D1663</f>
        <v>All</v>
      </c>
      <c r="E1663" s="152" t="str">
        <f>'Reported burning'!E1663</f>
        <v>Agroforestry, Market-oriented</v>
      </c>
      <c r="F1663" s="152" t="str">
        <f>'Reported burning'!F1663</f>
        <v>ND</v>
      </c>
      <c r="G1663" s="152" t="str">
        <f>'Reported burning'!G1663</f>
        <v>Cropland</v>
      </c>
      <c r="H1663" s="152" t="str">
        <f>'Reported burning'!H1663</f>
        <v>Presence</v>
      </c>
      <c r="I1663" s="3"/>
      <c r="J1663" s="3" t="s">
        <v>2371</v>
      </c>
      <c r="K1663" s="4" t="s">
        <v>2276</v>
      </c>
      <c r="L1663" s="4" t="s">
        <v>2276</v>
      </c>
      <c r="M1663" s="4" t="s">
        <v>2276</v>
      </c>
      <c r="N1663" s="4" t="s">
        <v>2276</v>
      </c>
      <c r="O1663" s="4" t="s">
        <v>2276</v>
      </c>
      <c r="P1663" s="3" t="s">
        <v>2375</v>
      </c>
      <c r="Q1663" s="4" t="s">
        <v>2276</v>
      </c>
      <c r="R1663" s="4" t="s">
        <v>2276</v>
      </c>
      <c r="S1663" s="4" t="s">
        <v>2276</v>
      </c>
      <c r="T1663" s="4" t="s">
        <v>2276</v>
      </c>
      <c r="U1663" s="4" t="s">
        <v>2276</v>
      </c>
      <c r="V1663" s="4" t="s">
        <v>2276</v>
      </c>
      <c r="W1663" s="4" t="s">
        <v>2276</v>
      </c>
      <c r="X1663" s="3" t="s">
        <v>34</v>
      </c>
      <c r="Y1663" s="3" t="s">
        <v>68</v>
      </c>
      <c r="Z1663" s="3" t="s">
        <v>2655</v>
      </c>
      <c r="AA1663" s="4"/>
      <c r="AB1663" s="4" t="s">
        <v>4951</v>
      </c>
    </row>
    <row r="1664" spans="1:28" ht="46.5" customHeight="1">
      <c r="A1664" s="152" t="str">
        <f>'Reported burning'!A1664</f>
        <v>197a</v>
      </c>
      <c r="B1664" s="152" t="str">
        <f>'Reported burning'!B1664</f>
        <v>197a.5</v>
      </c>
      <c r="C1664" s="152" t="str">
        <f>'Reported burning'!C1664</f>
        <v>All</v>
      </c>
      <c r="D1664" s="152" t="str">
        <f>'Reported burning'!D1664</f>
        <v>All</v>
      </c>
      <c r="E1664" s="152" t="str">
        <f>'Reported burning'!E1664</f>
        <v>Cattle, Extensive</v>
      </c>
      <c r="F1664" s="152" t="str">
        <f>'Reported burning'!F1664</f>
        <v>ND</v>
      </c>
      <c r="G1664" s="152" t="str">
        <f>'Reported burning'!G1664</f>
        <v>Pasture</v>
      </c>
      <c r="H1664" s="152" t="str">
        <f>'Reported burning'!H1664</f>
        <v>Presence</v>
      </c>
      <c r="I1664" s="3"/>
      <c r="J1664" s="3" t="s">
        <v>2369</v>
      </c>
      <c r="K1664" s="4" t="s">
        <v>2276</v>
      </c>
      <c r="L1664" s="4" t="s">
        <v>2276</v>
      </c>
      <c r="M1664" s="4" t="s">
        <v>2276</v>
      </c>
      <c r="N1664" s="4" t="s">
        <v>2276</v>
      </c>
      <c r="O1664" s="4" t="s">
        <v>2276</v>
      </c>
      <c r="P1664" s="3" t="s">
        <v>2376</v>
      </c>
      <c r="Q1664" s="4" t="s">
        <v>2276</v>
      </c>
      <c r="R1664" s="4" t="s">
        <v>2276</v>
      </c>
      <c r="S1664" s="4" t="s">
        <v>2276</v>
      </c>
      <c r="T1664" s="4" t="s">
        <v>2276</v>
      </c>
      <c r="U1664" s="4" t="s">
        <v>2276</v>
      </c>
      <c r="V1664" s="4" t="s">
        <v>2276</v>
      </c>
      <c r="W1664" s="4" t="s">
        <v>2276</v>
      </c>
      <c r="X1664" s="3" t="s">
        <v>34</v>
      </c>
      <c r="Y1664" s="3" t="s">
        <v>68</v>
      </c>
      <c r="Z1664" s="3" t="s">
        <v>2655</v>
      </c>
      <c r="AA1664" s="4"/>
      <c r="AB1664" s="4" t="s">
        <v>4952</v>
      </c>
    </row>
    <row r="1665" spans="1:28" ht="34.5" customHeight="1">
      <c r="A1665" s="152" t="str">
        <f>'Reported burning'!A1665</f>
        <v>197a</v>
      </c>
      <c r="B1665" s="152" t="str">
        <f>'Reported burning'!B1665</f>
        <v>197a.6</v>
      </c>
      <c r="C1665" s="152" t="str">
        <f>'Reported burning'!C1665</f>
        <v>All</v>
      </c>
      <c r="D1665" s="152" t="str">
        <f>'Reported burning'!D1665</f>
        <v>All</v>
      </c>
      <c r="E1665" s="152" t="str">
        <f>'Reported burning'!E1665</f>
        <v>ND</v>
      </c>
      <c r="F1665" s="152" t="str">
        <f>'Reported burning'!F1665</f>
        <v>ND</v>
      </c>
      <c r="G1665" s="152" t="str">
        <f>'Reported burning'!G1665</f>
        <v>Forest</v>
      </c>
      <c r="H1665" s="152" t="str">
        <f>'Reported burning'!H1665</f>
        <v>Presence</v>
      </c>
      <c r="I1665" s="3"/>
      <c r="J1665" s="4" t="s">
        <v>2276</v>
      </c>
      <c r="K1665" s="4" t="s">
        <v>2276</v>
      </c>
      <c r="L1665" s="4" t="s">
        <v>2276</v>
      </c>
      <c r="M1665" s="4" t="s">
        <v>2276</v>
      </c>
      <c r="N1665" s="4" t="s">
        <v>2276</v>
      </c>
      <c r="O1665" s="4" t="s">
        <v>2276</v>
      </c>
      <c r="P1665" s="4" t="s">
        <v>2276</v>
      </c>
      <c r="Q1665" s="4" t="s">
        <v>2276</v>
      </c>
      <c r="R1665" s="4" t="s">
        <v>2276</v>
      </c>
      <c r="S1665" s="4" t="s">
        <v>2276</v>
      </c>
      <c r="T1665" s="4" t="s">
        <v>2276</v>
      </c>
      <c r="U1665" s="4" t="s">
        <v>2276</v>
      </c>
      <c r="V1665" s="4" t="s">
        <v>2276</v>
      </c>
      <c r="W1665" s="4" t="s">
        <v>2276</v>
      </c>
      <c r="X1665" s="3" t="s">
        <v>34</v>
      </c>
      <c r="Y1665" s="3" t="s">
        <v>68</v>
      </c>
      <c r="Z1665" s="3" t="s">
        <v>2655</v>
      </c>
      <c r="AA1665" s="3"/>
      <c r="AB1665" s="4" t="s">
        <v>4952</v>
      </c>
    </row>
    <row r="1666" spans="1:28" ht="34.5" customHeight="1">
      <c r="A1666" s="152" t="str">
        <f>'Reported burning'!A1666</f>
        <v>197a</v>
      </c>
      <c r="B1666" s="152" t="str">
        <f>'Reported burning'!B1666</f>
        <v>197a.7</v>
      </c>
      <c r="C1666" s="152" t="str">
        <f>'Reported burning'!C1666</f>
        <v>All</v>
      </c>
      <c r="D1666" s="152" t="str">
        <f>'Reported burning'!D1666</f>
        <v>All</v>
      </c>
      <c r="E1666" s="152" t="str">
        <f>'Reported burning'!E1666</f>
        <v>ND</v>
      </c>
      <c r="F1666" s="152" t="str">
        <f>'Reported burning'!F1666</f>
        <v>ND</v>
      </c>
      <c r="G1666" s="152" t="str">
        <f>'Reported burning'!G1666</f>
        <v>Forest</v>
      </c>
      <c r="H1666" s="152" t="str">
        <f>'Reported burning'!H1666</f>
        <v>Presence</v>
      </c>
      <c r="I1666" s="3"/>
      <c r="J1666" s="4" t="s">
        <v>2276</v>
      </c>
      <c r="K1666" s="4" t="s">
        <v>2276</v>
      </c>
      <c r="L1666" s="4" t="s">
        <v>2276</v>
      </c>
      <c r="M1666" s="4" t="s">
        <v>2276</v>
      </c>
      <c r="N1666" s="4" t="s">
        <v>2276</v>
      </c>
      <c r="O1666" s="4" t="s">
        <v>2276</v>
      </c>
      <c r="P1666" s="4" t="s">
        <v>2276</v>
      </c>
      <c r="Q1666" s="4" t="s">
        <v>2276</v>
      </c>
      <c r="R1666" s="4" t="s">
        <v>2276</v>
      </c>
      <c r="S1666" s="4" t="s">
        <v>2276</v>
      </c>
      <c r="T1666" s="4" t="s">
        <v>2276</v>
      </c>
      <c r="U1666" s="4" t="s">
        <v>2276</v>
      </c>
      <c r="V1666" s="4" t="s">
        <v>2276</v>
      </c>
      <c r="W1666" s="4" t="s">
        <v>2276</v>
      </c>
      <c r="X1666" s="3" t="s">
        <v>34</v>
      </c>
      <c r="Y1666" s="3" t="s">
        <v>68</v>
      </c>
      <c r="Z1666" s="3" t="s">
        <v>2655</v>
      </c>
      <c r="AA1666" s="3"/>
      <c r="AB1666" s="4" t="s">
        <v>4952</v>
      </c>
    </row>
    <row r="1667" spans="1:28" ht="61.5" customHeight="1">
      <c r="A1667" s="152" t="str">
        <f>'Reported burning'!A1667</f>
        <v>198a</v>
      </c>
      <c r="B1667" s="152" t="str">
        <f>'Reported burning'!B1667</f>
        <v>198a.1</v>
      </c>
      <c r="C1667" s="152" t="str">
        <f>'Reported burning'!C1667</f>
        <v>Human, deliberate</v>
      </c>
      <c r="D1667" s="152" t="str">
        <f>'Reported burning'!D1667</f>
        <v>Charcoal production</v>
      </c>
      <c r="E1667" s="152" t="str">
        <f>'Reported burning'!E1667</f>
        <v>Forestry, Small-scale</v>
      </c>
      <c r="F1667" s="152" t="str">
        <f>'Reported burning'!F1667</f>
        <v>Forest</v>
      </c>
      <c r="G1667" s="152" t="str">
        <f>'Reported burning'!G1667</f>
        <v>ND</v>
      </c>
      <c r="H1667" s="152" t="str">
        <f>'Reported burning'!H1667</f>
        <v>Presence</v>
      </c>
      <c r="I1667" s="3"/>
      <c r="J1667" s="4" t="s">
        <v>2276</v>
      </c>
      <c r="K1667" s="4" t="s">
        <v>2276</v>
      </c>
      <c r="L1667" s="4" t="s">
        <v>2276</v>
      </c>
      <c r="M1667" s="4" t="s">
        <v>2276</v>
      </c>
      <c r="N1667" s="4" t="s">
        <v>2276</v>
      </c>
      <c r="O1667" s="4" t="s">
        <v>2276</v>
      </c>
      <c r="P1667" s="4" t="s">
        <v>2276</v>
      </c>
      <c r="Q1667" s="4" t="s">
        <v>2276</v>
      </c>
      <c r="R1667" s="4" t="s">
        <v>2276</v>
      </c>
      <c r="S1667" s="4" t="s">
        <v>2276</v>
      </c>
      <c r="T1667" s="4" t="s">
        <v>2276</v>
      </c>
      <c r="U1667" s="4" t="s">
        <v>2276</v>
      </c>
      <c r="V1667" s="4" t="s">
        <v>2276</v>
      </c>
      <c r="W1667" s="4" t="s">
        <v>2276</v>
      </c>
      <c r="X1667" s="4" t="s">
        <v>2276</v>
      </c>
      <c r="Y1667" s="4" t="s">
        <v>2276</v>
      </c>
      <c r="Z1667" s="4" t="s">
        <v>2276</v>
      </c>
      <c r="AA1667" s="3"/>
      <c r="AB1667" s="3"/>
    </row>
    <row r="1668" spans="1:28" ht="82" customHeight="1">
      <c r="A1668" s="152" t="str">
        <f>'Reported burning'!A1668</f>
        <v>198b</v>
      </c>
      <c r="B1668" s="152" t="str">
        <f>'Reported burning'!B1668</f>
        <v>198b.1</v>
      </c>
      <c r="C1668" s="152" t="str">
        <f>'Reported burning'!C1668</f>
        <v>Human, deliberate</v>
      </c>
      <c r="D1668" s="152" t="str">
        <f>'Reported burning'!D1668</f>
        <v>Pasture renewal</v>
      </c>
      <c r="E1668" s="152" t="str">
        <f>'Reported burning'!E1668</f>
        <v>Pastoralism, Migratory</v>
      </c>
      <c r="F1668" s="152" t="str">
        <f>'Reported burning'!F1668</f>
        <v>Shrubland (Mixed forest &amp; grassland)</v>
      </c>
      <c r="G1668" s="152" t="str">
        <f>'Reported burning'!G1668</f>
        <v>ND</v>
      </c>
      <c r="H1668" s="152" t="str">
        <f>'Reported burning'!H1668</f>
        <v>Absence</v>
      </c>
      <c r="I1668" s="3"/>
      <c r="J1668" s="3">
        <v>0</v>
      </c>
      <c r="K1668" s="3">
        <v>0</v>
      </c>
      <c r="L1668" s="3">
        <v>0</v>
      </c>
      <c r="M1668" s="3">
        <v>0</v>
      </c>
      <c r="N1668" s="3">
        <v>0</v>
      </c>
      <c r="O1668" s="3">
        <v>0</v>
      </c>
      <c r="P1668" s="3">
        <v>0</v>
      </c>
      <c r="Q1668" s="3">
        <v>0</v>
      </c>
      <c r="R1668" s="3">
        <v>0</v>
      </c>
      <c r="S1668" s="3">
        <v>0</v>
      </c>
      <c r="T1668" s="3">
        <v>0</v>
      </c>
      <c r="U1668" s="3">
        <v>0</v>
      </c>
      <c r="V1668" s="3">
        <v>0</v>
      </c>
      <c r="W1668" s="4" t="s">
        <v>2276</v>
      </c>
      <c r="X1668" s="4" t="s">
        <v>2276</v>
      </c>
      <c r="Y1668" s="4" t="s">
        <v>2276</v>
      </c>
      <c r="Z1668" s="4" t="s">
        <v>2276</v>
      </c>
      <c r="AA1668" s="4" t="s">
        <v>4967</v>
      </c>
      <c r="AB1668" s="3"/>
    </row>
    <row r="1669" spans="1:28" ht="42" customHeight="1">
      <c r="A1669" s="156" t="str">
        <f>'Reported burning'!A1669</f>
        <v>199a</v>
      </c>
      <c r="B1669" s="156" t="str">
        <f>'Reported burning'!B1669</f>
        <v>199a.1</v>
      </c>
      <c r="C1669" s="156" t="str">
        <f>'Reported burning'!C1669</f>
        <v>Human, deliberate</v>
      </c>
      <c r="D1669" s="156" t="str">
        <f>'Reported burning'!D1669</f>
        <v>Pasture renewal</v>
      </c>
      <c r="E1669" s="156" t="str">
        <f>'Reported burning'!E1669</f>
        <v>Pastoralism, Migratory</v>
      </c>
      <c r="F1669" s="156" t="str">
        <f>'Reported burning'!F1669</f>
        <v>Shrubland (Mixed forest &amp; grassland)</v>
      </c>
      <c r="G1669" s="156" t="str">
        <f>'Reported burning'!G1669</f>
        <v>ND</v>
      </c>
      <c r="H1669" s="156" t="str">
        <f>'Reported burning'!H1669</f>
        <v>Presence</v>
      </c>
      <c r="I1669" s="5">
        <v>1976</v>
      </c>
      <c r="J1669" s="6" t="s">
        <v>2276</v>
      </c>
      <c r="K1669" s="6" t="s">
        <v>2276</v>
      </c>
      <c r="L1669" s="6" t="s">
        <v>2276</v>
      </c>
      <c r="M1669" s="6" t="s">
        <v>2276</v>
      </c>
      <c r="N1669" s="6" t="s">
        <v>2276</v>
      </c>
      <c r="O1669" s="6" t="s">
        <v>2276</v>
      </c>
      <c r="P1669" s="6" t="s">
        <v>2276</v>
      </c>
      <c r="Q1669" s="6" t="s">
        <v>2276</v>
      </c>
      <c r="R1669" s="6" t="s">
        <v>2276</v>
      </c>
      <c r="S1669" s="6" t="s">
        <v>2276</v>
      </c>
      <c r="T1669" s="6" t="s">
        <v>2276</v>
      </c>
      <c r="U1669" s="6" t="s">
        <v>2276</v>
      </c>
      <c r="V1669" s="6" t="s">
        <v>2276</v>
      </c>
      <c r="W1669" s="6" t="s">
        <v>2276</v>
      </c>
      <c r="X1669" s="6" t="s">
        <v>2276</v>
      </c>
      <c r="Y1669" s="6" t="s">
        <v>2276</v>
      </c>
      <c r="Z1669" s="4" t="s">
        <v>2276</v>
      </c>
      <c r="AA1669" s="3"/>
      <c r="AB1669" s="3"/>
    </row>
    <row r="1670" spans="1:28" ht="42" customHeight="1">
      <c r="A1670" s="152" t="str">
        <f>'Reported burning'!A1670</f>
        <v>199a</v>
      </c>
      <c r="B1670" s="152" t="str">
        <f>'Reported burning'!B1670</f>
        <v>199a.2</v>
      </c>
      <c r="C1670" s="152" t="str">
        <f>'Reported burning'!C1670</f>
        <v>Human, deliberate</v>
      </c>
      <c r="D1670" s="152" t="str">
        <f>'Reported burning'!D1670</f>
        <v>Pest management</v>
      </c>
      <c r="E1670" s="152" t="str">
        <f>'Reported burning'!E1670</f>
        <v>Pastoralism, Migratory</v>
      </c>
      <c r="F1670" s="152" t="str">
        <f>'Reported burning'!F1670</f>
        <v>Shrubland (Mixed forest &amp; grassland)</v>
      </c>
      <c r="G1670" s="152" t="str">
        <f>'Reported burning'!G1670</f>
        <v>ND</v>
      </c>
      <c r="H1670" s="152" t="str">
        <f>'Reported burning'!H1670</f>
        <v>Presence</v>
      </c>
      <c r="I1670" s="3">
        <v>1976</v>
      </c>
      <c r="J1670" s="4" t="s">
        <v>2276</v>
      </c>
      <c r="K1670" s="4" t="s">
        <v>2276</v>
      </c>
      <c r="L1670" s="4" t="s">
        <v>2276</v>
      </c>
      <c r="M1670" s="4" t="s">
        <v>2276</v>
      </c>
      <c r="N1670" s="4" t="s">
        <v>2276</v>
      </c>
      <c r="O1670" s="4" t="s">
        <v>2276</v>
      </c>
      <c r="P1670" s="4" t="s">
        <v>2276</v>
      </c>
      <c r="Q1670" s="4" t="s">
        <v>2276</v>
      </c>
      <c r="R1670" s="4" t="s">
        <v>2276</v>
      </c>
      <c r="S1670" s="4" t="s">
        <v>2276</v>
      </c>
      <c r="T1670" s="4" t="s">
        <v>2276</v>
      </c>
      <c r="U1670" s="4" t="s">
        <v>2276</v>
      </c>
      <c r="V1670" s="4" t="s">
        <v>2276</v>
      </c>
      <c r="W1670" s="4" t="s">
        <v>2276</v>
      </c>
      <c r="X1670" s="3" t="s">
        <v>38</v>
      </c>
      <c r="Y1670" s="3" t="s">
        <v>68</v>
      </c>
      <c r="Z1670" s="4" t="s">
        <v>2276</v>
      </c>
      <c r="AA1670" s="3"/>
      <c r="AB1670" s="3"/>
    </row>
    <row r="1671" spans="1:28" ht="42" customHeight="1">
      <c r="A1671" s="152" t="str">
        <f>'Reported burning'!A1671</f>
        <v>199a</v>
      </c>
      <c r="B1671" s="152" t="str">
        <f>'Reported burning'!B1671</f>
        <v>199a.3</v>
      </c>
      <c r="C1671" s="152" t="str">
        <f>'Reported burning'!C1671</f>
        <v>Human, deliberate</v>
      </c>
      <c r="D1671" s="152" t="str">
        <f>'Reported burning'!D1671</f>
        <v>Hunting</v>
      </c>
      <c r="E1671" s="152" t="str">
        <f>'Reported burning'!E1671</f>
        <v>Forestry, Traditional</v>
      </c>
      <c r="F1671" s="152" t="str">
        <f>'Reported burning'!F1671</f>
        <v>Shrubland (Mixed forest &amp; grassland)</v>
      </c>
      <c r="G1671" s="152" t="str">
        <f>'Reported burning'!G1671</f>
        <v>ND</v>
      </c>
      <c r="H1671" s="152" t="str">
        <f>'Reported burning'!H1671</f>
        <v>Presence</v>
      </c>
      <c r="I1671" s="3">
        <v>1976</v>
      </c>
      <c r="J1671" s="4" t="s">
        <v>2276</v>
      </c>
      <c r="K1671" s="4" t="s">
        <v>2276</v>
      </c>
      <c r="L1671" s="4" t="s">
        <v>2276</v>
      </c>
      <c r="M1671" s="4" t="s">
        <v>2276</v>
      </c>
      <c r="N1671" s="4" t="s">
        <v>2276</v>
      </c>
      <c r="O1671" s="4" t="s">
        <v>2276</v>
      </c>
      <c r="P1671" s="4" t="s">
        <v>2276</v>
      </c>
      <c r="Q1671" s="4" t="s">
        <v>2276</v>
      </c>
      <c r="R1671" s="4" t="s">
        <v>2276</v>
      </c>
      <c r="S1671" s="4" t="s">
        <v>2276</v>
      </c>
      <c r="T1671" s="4" t="s">
        <v>2276</v>
      </c>
      <c r="U1671" s="4" t="s">
        <v>2276</v>
      </c>
      <c r="V1671" s="4" t="s">
        <v>2276</v>
      </c>
      <c r="W1671" s="4" t="s">
        <v>2276</v>
      </c>
      <c r="X1671" s="4" t="s">
        <v>2276</v>
      </c>
      <c r="Y1671" s="4" t="s">
        <v>2276</v>
      </c>
      <c r="Z1671" s="4" t="s">
        <v>2276</v>
      </c>
      <c r="AA1671" s="3"/>
      <c r="AB1671" s="3"/>
    </row>
    <row r="1672" spans="1:28" ht="42" customHeight="1">
      <c r="A1672" s="152" t="str">
        <f>'Reported burning'!A1672</f>
        <v>199a</v>
      </c>
      <c r="B1672" s="152" t="str">
        <f>'Reported burning'!B1672</f>
        <v>199a.4</v>
      </c>
      <c r="C1672" s="152" t="str">
        <f>'Reported burning'!C1672</f>
        <v>Human, deliberate</v>
      </c>
      <c r="D1672" s="152" t="str">
        <f>'Reported burning'!D1672</f>
        <v>Pasture renewal</v>
      </c>
      <c r="E1672" s="152" t="str">
        <f>'Reported burning'!E1672</f>
        <v>Pastoralism, Migratory</v>
      </c>
      <c r="F1672" s="152" t="str">
        <f>'Reported burning'!F1672</f>
        <v>Shrubland (Mixed forest &amp; grassland)</v>
      </c>
      <c r="G1672" s="152" t="str">
        <f>'Reported burning'!G1672</f>
        <v>ND</v>
      </c>
      <c r="H1672" s="152" t="str">
        <f>'Reported burning'!H1672</f>
        <v>Absence</v>
      </c>
      <c r="I1672" s="3">
        <v>1980</v>
      </c>
      <c r="J1672" s="21">
        <v>0</v>
      </c>
      <c r="K1672" s="21">
        <v>0</v>
      </c>
      <c r="L1672" s="21">
        <v>0</v>
      </c>
      <c r="M1672" s="21">
        <v>0</v>
      </c>
      <c r="N1672" s="21">
        <v>0</v>
      </c>
      <c r="O1672" s="21">
        <v>0</v>
      </c>
      <c r="P1672" s="21">
        <v>0</v>
      </c>
      <c r="Q1672" s="21">
        <v>0</v>
      </c>
      <c r="R1672" s="21">
        <v>0</v>
      </c>
      <c r="S1672" s="21">
        <v>0</v>
      </c>
      <c r="T1672" s="21">
        <v>0</v>
      </c>
      <c r="U1672" s="21">
        <v>0</v>
      </c>
      <c r="V1672" s="21">
        <v>0</v>
      </c>
      <c r="W1672" s="4" t="s">
        <v>2276</v>
      </c>
      <c r="X1672" s="4" t="s">
        <v>2276</v>
      </c>
      <c r="Y1672" s="4" t="s">
        <v>2276</v>
      </c>
      <c r="Z1672" s="4" t="s">
        <v>2276</v>
      </c>
      <c r="AA1672" s="3"/>
      <c r="AB1672" s="3"/>
    </row>
    <row r="1673" spans="1:28" ht="42" customHeight="1">
      <c r="A1673" s="152" t="str">
        <f>'Reported burning'!A1673</f>
        <v>199a</v>
      </c>
      <c r="B1673" s="152" t="str">
        <f>'Reported burning'!B1673</f>
        <v>199a.5</v>
      </c>
      <c r="C1673" s="152" t="str">
        <f>'Reported burning'!C1673</f>
        <v>Human, deliberate</v>
      </c>
      <c r="D1673" s="152" t="str">
        <f>'Reported burning'!D1673</f>
        <v>Pest management</v>
      </c>
      <c r="E1673" s="152" t="str">
        <f>'Reported burning'!E1673</f>
        <v>Pastoralism, Migratory</v>
      </c>
      <c r="F1673" s="152" t="str">
        <f>'Reported burning'!F1673</f>
        <v>Shrubland (Mixed forest &amp; grassland)</v>
      </c>
      <c r="G1673" s="152" t="str">
        <f>'Reported burning'!G1673</f>
        <v>ND</v>
      </c>
      <c r="H1673" s="152" t="str">
        <f>'Reported burning'!H1673</f>
        <v>Absence</v>
      </c>
      <c r="I1673" s="3">
        <v>1980</v>
      </c>
      <c r="J1673" s="21">
        <v>0</v>
      </c>
      <c r="K1673" s="21">
        <v>0</v>
      </c>
      <c r="L1673" s="21">
        <v>0</v>
      </c>
      <c r="M1673" s="21">
        <v>0</v>
      </c>
      <c r="N1673" s="21">
        <v>0</v>
      </c>
      <c r="O1673" s="21">
        <v>0</v>
      </c>
      <c r="P1673" s="21">
        <v>0</v>
      </c>
      <c r="Q1673" s="21">
        <v>0</v>
      </c>
      <c r="R1673" s="21">
        <v>0</v>
      </c>
      <c r="S1673" s="21">
        <v>0</v>
      </c>
      <c r="T1673" s="21">
        <v>0</v>
      </c>
      <c r="U1673" s="21">
        <v>0</v>
      </c>
      <c r="V1673" s="21">
        <v>0</v>
      </c>
      <c r="W1673" s="4" t="s">
        <v>2276</v>
      </c>
      <c r="X1673" s="4" t="s">
        <v>2276</v>
      </c>
      <c r="Y1673" s="4" t="s">
        <v>2276</v>
      </c>
      <c r="Z1673" s="4" t="s">
        <v>2276</v>
      </c>
      <c r="AA1673" s="3"/>
      <c r="AB1673" s="3"/>
    </row>
    <row r="1674" spans="1:28" ht="42" customHeight="1">
      <c r="A1674" s="152" t="str">
        <f>'Reported burning'!A1674</f>
        <v>199a</v>
      </c>
      <c r="B1674" s="152" t="str">
        <f>'Reported burning'!B1674</f>
        <v>199a.6</v>
      </c>
      <c r="C1674" s="152" t="str">
        <f>'Reported burning'!C1674</f>
        <v>Human, deliberate</v>
      </c>
      <c r="D1674" s="152" t="str">
        <f>'Reported burning'!D1674</f>
        <v>Hunting</v>
      </c>
      <c r="E1674" s="152" t="str">
        <f>'Reported burning'!E1674</f>
        <v>Forestry, Traditional</v>
      </c>
      <c r="F1674" s="152" t="str">
        <f>'Reported burning'!F1674</f>
        <v>Shrubland (Mixed forest &amp; grassland)</v>
      </c>
      <c r="G1674" s="152" t="str">
        <f>'Reported burning'!G1674</f>
        <v>ND</v>
      </c>
      <c r="H1674" s="152" t="str">
        <f>'Reported burning'!H1674</f>
        <v>Absence</v>
      </c>
      <c r="I1674" s="3">
        <v>1980</v>
      </c>
      <c r="J1674" s="21">
        <v>0</v>
      </c>
      <c r="K1674" s="21">
        <v>0</v>
      </c>
      <c r="L1674" s="21">
        <v>0</v>
      </c>
      <c r="M1674" s="21">
        <v>0</v>
      </c>
      <c r="N1674" s="21">
        <v>0</v>
      </c>
      <c r="O1674" s="21">
        <v>0</v>
      </c>
      <c r="P1674" s="21">
        <v>0</v>
      </c>
      <c r="Q1674" s="21">
        <v>0</v>
      </c>
      <c r="R1674" s="21">
        <v>0</v>
      </c>
      <c r="S1674" s="21">
        <v>0</v>
      </c>
      <c r="T1674" s="21">
        <v>0</v>
      </c>
      <c r="U1674" s="21">
        <v>0</v>
      </c>
      <c r="V1674" s="21">
        <v>0</v>
      </c>
      <c r="W1674" s="4" t="s">
        <v>2276</v>
      </c>
      <c r="X1674" s="4" t="s">
        <v>2276</v>
      </c>
      <c r="Y1674" s="4" t="s">
        <v>2276</v>
      </c>
      <c r="Z1674" s="4" t="s">
        <v>2276</v>
      </c>
      <c r="AA1674" s="3"/>
      <c r="AB1674" s="3"/>
    </row>
    <row r="1675" spans="1:28" ht="42" customHeight="1">
      <c r="A1675" s="152" t="str">
        <f>'Reported burning'!A1675</f>
        <v>199a</v>
      </c>
      <c r="B1675" s="152" t="str">
        <f>'Reported burning'!B1675</f>
        <v>199a.7</v>
      </c>
      <c r="C1675" s="152" t="str">
        <f>'Reported burning'!C1675</f>
        <v>Human, deliberate</v>
      </c>
      <c r="D1675" s="152" t="str">
        <f>'Reported burning'!D1675</f>
        <v>ND</v>
      </c>
      <c r="E1675" s="152" t="str">
        <f>'Reported burning'!E1675</f>
        <v>Pastoralism, Migratory</v>
      </c>
      <c r="F1675" s="152" t="str">
        <f>'Reported burning'!F1675</f>
        <v>Shrubland (Mixed forest &amp; grassland)</v>
      </c>
      <c r="G1675" s="152" t="str">
        <f>'Reported burning'!G1675</f>
        <v>ND</v>
      </c>
      <c r="H1675" s="152" t="str">
        <f>'Reported burning'!H1675</f>
        <v>Presence</v>
      </c>
      <c r="I1675" s="3">
        <v>2004</v>
      </c>
      <c r="J1675" s="4" t="s">
        <v>2276</v>
      </c>
      <c r="K1675" s="4" t="s">
        <v>2276</v>
      </c>
      <c r="L1675" s="4" t="s">
        <v>2276</v>
      </c>
      <c r="M1675" s="4" t="s">
        <v>2276</v>
      </c>
      <c r="N1675" s="4" t="s">
        <v>2276</v>
      </c>
      <c r="O1675" s="4" t="s">
        <v>2276</v>
      </c>
      <c r="P1675" s="4" t="s">
        <v>2276</v>
      </c>
      <c r="Q1675" s="4" t="s">
        <v>2276</v>
      </c>
      <c r="R1675" s="4" t="s">
        <v>2276</v>
      </c>
      <c r="S1675" s="4" t="s">
        <v>2276</v>
      </c>
      <c r="T1675" s="4" t="s">
        <v>2276</v>
      </c>
      <c r="U1675" s="4" t="s">
        <v>2276</v>
      </c>
      <c r="V1675" s="4" t="s">
        <v>2276</v>
      </c>
      <c r="W1675" s="4" t="s">
        <v>2276</v>
      </c>
      <c r="X1675" s="3" t="s">
        <v>38</v>
      </c>
      <c r="Y1675" s="3" t="s">
        <v>68</v>
      </c>
      <c r="Z1675" s="4" t="s">
        <v>2276</v>
      </c>
      <c r="AA1675" s="4" t="s">
        <v>4991</v>
      </c>
      <c r="AB1675" s="3"/>
    </row>
    <row r="1676" spans="1:28" ht="42" customHeight="1">
      <c r="A1676" s="152" t="str">
        <f>'Reported burning'!A1676</f>
        <v>199a</v>
      </c>
      <c r="B1676" s="152" t="str">
        <f>'Reported burning'!B1676</f>
        <v>199a.8</v>
      </c>
      <c r="C1676" s="152" t="str">
        <f>'Reported burning'!C1676</f>
        <v>Human, deliberate</v>
      </c>
      <c r="D1676" s="152" t="str">
        <f>'Reported burning'!D1676</f>
        <v>ND</v>
      </c>
      <c r="E1676" s="152" t="str">
        <f>'Reported burning'!E1676</f>
        <v>Forestry, Traditional</v>
      </c>
      <c r="F1676" s="152" t="str">
        <f>'Reported burning'!F1676</f>
        <v>Shrubland (Mixed forest &amp; grassland)</v>
      </c>
      <c r="G1676" s="152" t="str">
        <f>'Reported burning'!G1676</f>
        <v>ND</v>
      </c>
      <c r="H1676" s="152" t="str">
        <f>'Reported burning'!H1676</f>
        <v>Presence</v>
      </c>
      <c r="I1676" s="3">
        <v>2004</v>
      </c>
      <c r="J1676" s="4" t="s">
        <v>2276</v>
      </c>
      <c r="K1676" s="4" t="s">
        <v>2276</v>
      </c>
      <c r="L1676" s="4" t="s">
        <v>2276</v>
      </c>
      <c r="M1676" s="4" t="s">
        <v>2276</v>
      </c>
      <c r="N1676" s="4" t="s">
        <v>2276</v>
      </c>
      <c r="O1676" s="4" t="s">
        <v>2276</v>
      </c>
      <c r="P1676" s="4" t="s">
        <v>2276</v>
      </c>
      <c r="Q1676" s="4" t="s">
        <v>2276</v>
      </c>
      <c r="R1676" s="4" t="s">
        <v>2276</v>
      </c>
      <c r="S1676" s="4" t="s">
        <v>2276</v>
      </c>
      <c r="T1676" s="4" t="s">
        <v>2276</v>
      </c>
      <c r="U1676" s="4" t="s">
        <v>2276</v>
      </c>
      <c r="V1676" s="4" t="s">
        <v>2276</v>
      </c>
      <c r="W1676" s="4" t="s">
        <v>2276</v>
      </c>
      <c r="X1676" s="3" t="s">
        <v>38</v>
      </c>
      <c r="Y1676" s="3" t="s">
        <v>68</v>
      </c>
      <c r="Z1676" s="4" t="s">
        <v>2276</v>
      </c>
      <c r="AA1676" s="4" t="s">
        <v>4991</v>
      </c>
      <c r="AB1676" s="3"/>
    </row>
    <row r="1677" spans="1:28" ht="46" customHeight="1">
      <c r="A1677" s="152" t="str">
        <f>'Reported burning'!A1677</f>
        <v>200a</v>
      </c>
      <c r="B1677" s="152" t="str">
        <f>'Reported burning'!B1677</f>
        <v>200a.1</v>
      </c>
      <c r="C1677" s="152" t="str">
        <f>'Reported burning'!C1677</f>
        <v>Human, deliberate</v>
      </c>
      <c r="D1677" s="152" t="str">
        <f>'Reported burning'!D1677</f>
        <v>Pasture renewal</v>
      </c>
      <c r="E1677" s="152" t="str">
        <f>'Reported burning'!E1677</f>
        <v>Pastoralism, Migratory</v>
      </c>
      <c r="F1677" s="152" t="str">
        <f>'Reported burning'!F1677</f>
        <v>Shrubland (Mixed forest &amp; grassland)</v>
      </c>
      <c r="G1677" s="152" t="str">
        <f>'Reported burning'!G1677</f>
        <v>ND</v>
      </c>
      <c r="H1677" s="152" t="str">
        <f>'Reported burning'!H1677</f>
        <v>Presence</v>
      </c>
      <c r="I1677" s="3"/>
      <c r="J1677" s="3"/>
      <c r="K1677" s="4" t="s">
        <v>2276</v>
      </c>
      <c r="L1677" s="4" t="s">
        <v>2276</v>
      </c>
      <c r="M1677" s="4" t="s">
        <v>2276</v>
      </c>
      <c r="N1677" s="4" t="s">
        <v>2276</v>
      </c>
      <c r="O1677" s="4" t="s">
        <v>2276</v>
      </c>
      <c r="P1677" s="4" t="s">
        <v>2276</v>
      </c>
      <c r="Q1677" s="4" t="s">
        <v>2276</v>
      </c>
      <c r="R1677" s="4" t="s">
        <v>2276</v>
      </c>
      <c r="S1677" s="4" t="s">
        <v>2276</v>
      </c>
      <c r="T1677" s="4" t="s">
        <v>2276</v>
      </c>
      <c r="U1677" s="4" t="s">
        <v>2276</v>
      </c>
      <c r="V1677" s="4" t="s">
        <v>2276</v>
      </c>
      <c r="W1677" s="4" t="s">
        <v>2276</v>
      </c>
      <c r="X1677" s="4" t="s">
        <v>2276</v>
      </c>
      <c r="Y1677" s="4" t="s">
        <v>2276</v>
      </c>
      <c r="Z1677" s="4" t="s">
        <v>2276</v>
      </c>
      <c r="AA1677" s="4"/>
      <c r="AB1677" s="3"/>
    </row>
    <row r="1678" spans="1:28" ht="46" customHeight="1">
      <c r="A1678" s="152" t="str">
        <f>'Reported burning'!A1678</f>
        <v>200a</v>
      </c>
      <c r="B1678" s="152" t="str">
        <f>'Reported burning'!B1678</f>
        <v>200a.2</v>
      </c>
      <c r="C1678" s="152" t="str">
        <f>'Reported burning'!C1678</f>
        <v>Human, deliberate</v>
      </c>
      <c r="D1678" s="152" t="str">
        <f>'Reported burning'!D1678</f>
        <v>Hunting</v>
      </c>
      <c r="E1678" s="152" t="str">
        <f>'Reported burning'!E1678</f>
        <v>Forestry, Traditional</v>
      </c>
      <c r="F1678" s="152" t="str">
        <f>'Reported burning'!F1678</f>
        <v>Shrubland (Mixed forest &amp; grassland)</v>
      </c>
      <c r="G1678" s="152" t="str">
        <f>'Reported burning'!G1678</f>
        <v>ND</v>
      </c>
      <c r="H1678" s="152" t="str">
        <f>'Reported burning'!H1678</f>
        <v>Presence</v>
      </c>
      <c r="I1678" s="3"/>
      <c r="J1678" s="3"/>
      <c r="K1678" s="4" t="s">
        <v>2276</v>
      </c>
      <c r="L1678" s="4" t="s">
        <v>2276</v>
      </c>
      <c r="M1678" s="4" t="s">
        <v>2276</v>
      </c>
      <c r="N1678" s="4" t="s">
        <v>2276</v>
      </c>
      <c r="O1678" s="4" t="s">
        <v>2276</v>
      </c>
      <c r="P1678" s="4" t="s">
        <v>2276</v>
      </c>
      <c r="Q1678" s="4" t="s">
        <v>2276</v>
      </c>
      <c r="R1678" s="4" t="s">
        <v>2276</v>
      </c>
      <c r="S1678" s="4" t="s">
        <v>2276</v>
      </c>
      <c r="T1678" s="4" t="s">
        <v>2276</v>
      </c>
      <c r="U1678" s="4" t="s">
        <v>2276</v>
      </c>
      <c r="V1678" s="4" t="s">
        <v>2276</v>
      </c>
      <c r="W1678" s="4" t="s">
        <v>2276</v>
      </c>
      <c r="X1678" s="4" t="s">
        <v>2276</v>
      </c>
      <c r="Y1678" s="4" t="s">
        <v>2276</v>
      </c>
      <c r="Z1678" s="4" t="s">
        <v>2276</v>
      </c>
      <c r="AA1678" s="4"/>
      <c r="AB1678" s="3"/>
    </row>
    <row r="1679" spans="1:28" ht="42" customHeight="1">
      <c r="A1679" s="152" t="str">
        <f>'Reported burning'!A1679</f>
        <v>200a</v>
      </c>
      <c r="B1679" s="152" t="str">
        <f>'Reported burning'!B1679</f>
        <v>200a.3</v>
      </c>
      <c r="C1679" s="152" t="str">
        <f>'Reported burning'!C1679</f>
        <v>Human, deliberate</v>
      </c>
      <c r="D1679" s="152" t="str">
        <f>'Reported burning'!D1679</f>
        <v>Vegetation management</v>
      </c>
      <c r="E1679" s="152" t="str">
        <f>'Reported burning'!E1679</f>
        <v>Pastoralism, Migratory</v>
      </c>
      <c r="F1679" s="152" t="str">
        <f>'Reported burning'!F1679</f>
        <v>Shrubland (Mixed forest &amp; grassland)</v>
      </c>
      <c r="G1679" s="152" t="str">
        <f>'Reported burning'!G1679</f>
        <v>ND</v>
      </c>
      <c r="H1679" s="152" t="str">
        <f>'Reported burning'!H1679</f>
        <v>Presence</v>
      </c>
      <c r="I1679" s="3"/>
      <c r="J1679" s="3"/>
      <c r="K1679" s="4" t="s">
        <v>2276</v>
      </c>
      <c r="L1679" s="4" t="s">
        <v>2276</v>
      </c>
      <c r="M1679" s="4" t="s">
        <v>2276</v>
      </c>
      <c r="N1679" s="4" t="s">
        <v>2276</v>
      </c>
      <c r="O1679" s="4" t="s">
        <v>2276</v>
      </c>
      <c r="P1679" s="4" t="s">
        <v>2276</v>
      </c>
      <c r="Q1679" s="4" t="s">
        <v>2276</v>
      </c>
      <c r="R1679" s="4" t="s">
        <v>2276</v>
      </c>
      <c r="S1679" s="4" t="s">
        <v>2276</v>
      </c>
      <c r="T1679" s="4" t="s">
        <v>2276</v>
      </c>
      <c r="U1679" s="4" t="s">
        <v>2276</v>
      </c>
      <c r="V1679" s="4" t="s">
        <v>2276</v>
      </c>
      <c r="W1679" s="4" t="s">
        <v>2276</v>
      </c>
      <c r="X1679" s="4" t="s">
        <v>2276</v>
      </c>
      <c r="Y1679" s="4" t="s">
        <v>2276</v>
      </c>
      <c r="Z1679" s="4" t="s">
        <v>2276</v>
      </c>
      <c r="AA1679" s="4" t="s">
        <v>5002</v>
      </c>
      <c r="AB1679" s="3"/>
    </row>
    <row r="1680" spans="1:28" ht="33.5" customHeight="1">
      <c r="A1680" s="152" t="str">
        <f>'Reported burning'!A1680</f>
        <v>200a</v>
      </c>
      <c r="B1680" s="152" t="str">
        <f>'Reported burning'!B1680</f>
        <v>200a.4</v>
      </c>
      <c r="C1680" s="152" t="str">
        <f>'Reported burning'!C1680</f>
        <v>Human, deliberate</v>
      </c>
      <c r="D1680" s="152" t="str">
        <f>'Reported burning'!D1680</f>
        <v>Vegetation management</v>
      </c>
      <c r="E1680" s="152" t="str">
        <f>'Reported burning'!E1680</f>
        <v>Forestry, Traditional</v>
      </c>
      <c r="F1680" s="152" t="str">
        <f>'Reported burning'!F1680</f>
        <v>Shrubland (Mixed forest &amp; grassland)</v>
      </c>
      <c r="G1680" s="152" t="str">
        <f>'Reported burning'!G1680</f>
        <v>ND</v>
      </c>
      <c r="H1680" s="152" t="str">
        <f>'Reported burning'!H1680</f>
        <v>Presence</v>
      </c>
      <c r="I1680" s="3"/>
      <c r="J1680" s="3"/>
      <c r="K1680" s="4" t="s">
        <v>2276</v>
      </c>
      <c r="L1680" s="4" t="s">
        <v>2276</v>
      </c>
      <c r="M1680" s="4" t="s">
        <v>2276</v>
      </c>
      <c r="N1680" s="4" t="s">
        <v>2276</v>
      </c>
      <c r="O1680" s="4" t="s">
        <v>2276</v>
      </c>
      <c r="P1680" s="4" t="s">
        <v>2276</v>
      </c>
      <c r="Q1680" s="4" t="s">
        <v>2276</v>
      </c>
      <c r="R1680" s="4" t="s">
        <v>2276</v>
      </c>
      <c r="S1680" s="4" t="s">
        <v>2276</v>
      </c>
      <c r="T1680" s="4" t="s">
        <v>2276</v>
      </c>
      <c r="U1680" s="4" t="s">
        <v>2276</v>
      </c>
      <c r="V1680" s="4" t="s">
        <v>2276</v>
      </c>
      <c r="W1680" s="4" t="s">
        <v>2276</v>
      </c>
      <c r="X1680" s="4" t="s">
        <v>2276</v>
      </c>
      <c r="Y1680" s="4" t="s">
        <v>2276</v>
      </c>
      <c r="Z1680" s="4" t="s">
        <v>2276</v>
      </c>
      <c r="AA1680" s="4" t="s">
        <v>5002</v>
      </c>
      <c r="AB1680" s="3"/>
    </row>
    <row r="1681" spans="1:28" ht="50" customHeight="1">
      <c r="A1681" s="152" t="str">
        <f>'Reported burning'!A1681</f>
        <v>201a</v>
      </c>
      <c r="B1681" s="152" t="str">
        <f>'Reported burning'!B1681</f>
        <v>201a.1</v>
      </c>
      <c r="C1681" s="152" t="str">
        <f>'Reported burning'!C1681</f>
        <v>Human, deliberate</v>
      </c>
      <c r="D1681" s="152" t="str">
        <f>'Reported burning'!D1681</f>
        <v>Pasture renewal</v>
      </c>
      <c r="E1681" s="152" t="str">
        <f>'Reported burning'!E1681</f>
        <v>Pastoralism, Migratory</v>
      </c>
      <c r="F1681" s="152" t="str">
        <f>'Reported burning'!F1681</f>
        <v>Forest</v>
      </c>
      <c r="G1681" s="152" t="str">
        <f>'Reported burning'!G1681</f>
        <v>ND</v>
      </c>
      <c r="H1681" s="152" t="str">
        <f>'Reported burning'!H1681</f>
        <v>Absence</v>
      </c>
      <c r="I1681" s="3"/>
      <c r="J1681" s="3">
        <v>0</v>
      </c>
      <c r="K1681" s="3">
        <v>0</v>
      </c>
      <c r="L1681" s="3">
        <v>0</v>
      </c>
      <c r="M1681" s="3">
        <v>0</v>
      </c>
      <c r="N1681" s="3">
        <v>0</v>
      </c>
      <c r="O1681" s="3">
        <v>0</v>
      </c>
      <c r="P1681" s="3">
        <v>0</v>
      </c>
      <c r="Q1681" s="3">
        <v>0</v>
      </c>
      <c r="R1681" s="3">
        <v>0</v>
      </c>
      <c r="S1681" s="3">
        <v>0</v>
      </c>
      <c r="T1681" s="3">
        <v>0</v>
      </c>
      <c r="U1681" s="3">
        <v>0</v>
      </c>
      <c r="V1681" s="3">
        <v>0</v>
      </c>
      <c r="W1681" s="4" t="s">
        <v>2276</v>
      </c>
      <c r="X1681" s="4" t="s">
        <v>2276</v>
      </c>
      <c r="Y1681" s="4" t="s">
        <v>2276</v>
      </c>
      <c r="Z1681" s="4" t="s">
        <v>2276</v>
      </c>
      <c r="AA1681" s="4" t="s">
        <v>5098</v>
      </c>
      <c r="AB1681" s="3"/>
    </row>
    <row r="1682" spans="1:28" ht="50" customHeight="1">
      <c r="A1682" s="152" t="str">
        <f>'Reported burning'!A1682</f>
        <v>201a</v>
      </c>
      <c r="B1682" s="152" t="str">
        <f>'Reported burning'!B1682</f>
        <v>201a.2</v>
      </c>
      <c r="C1682" s="152" t="str">
        <f>'Reported burning'!C1682</f>
        <v>Human, deliberate</v>
      </c>
      <c r="D1682" s="152" t="str">
        <f>'Reported burning'!D1682</f>
        <v>Forest management</v>
      </c>
      <c r="E1682" s="152" t="str">
        <f>'Reported burning'!E1682</f>
        <v>Pastoralism, Migratory</v>
      </c>
      <c r="F1682" s="152" t="str">
        <f>'Reported burning'!F1682</f>
        <v>Forest</v>
      </c>
      <c r="G1682" s="152" t="str">
        <f>'Reported burning'!G1682</f>
        <v>ND</v>
      </c>
      <c r="H1682" s="152" t="str">
        <f>'Reported burning'!H1682</f>
        <v>Absence</v>
      </c>
      <c r="I1682" s="3"/>
      <c r="J1682" s="3">
        <v>0</v>
      </c>
      <c r="K1682" s="3">
        <v>0</v>
      </c>
      <c r="L1682" s="3">
        <v>0</v>
      </c>
      <c r="M1682" s="3">
        <v>0</v>
      </c>
      <c r="N1682" s="3">
        <v>0</v>
      </c>
      <c r="O1682" s="3">
        <v>0</v>
      </c>
      <c r="P1682" s="3">
        <v>0</v>
      </c>
      <c r="Q1682" s="3">
        <v>0</v>
      </c>
      <c r="R1682" s="3">
        <v>0</v>
      </c>
      <c r="S1682" s="3">
        <v>0</v>
      </c>
      <c r="T1682" s="3">
        <v>0</v>
      </c>
      <c r="U1682" s="3">
        <v>0</v>
      </c>
      <c r="V1682" s="3">
        <v>0</v>
      </c>
      <c r="W1682" s="4" t="s">
        <v>2276</v>
      </c>
      <c r="X1682" s="4" t="s">
        <v>2276</v>
      </c>
      <c r="Y1682" s="4" t="s">
        <v>2276</v>
      </c>
      <c r="Z1682" s="4" t="s">
        <v>2276</v>
      </c>
      <c r="AA1682" s="4" t="s">
        <v>5098</v>
      </c>
      <c r="AB1682" s="3"/>
    </row>
    <row r="1683" spans="1:28" ht="50" customHeight="1">
      <c r="A1683" s="152" t="str">
        <f>'Reported burning'!A1683</f>
        <v>201a</v>
      </c>
      <c r="B1683" s="152" t="str">
        <f>'Reported burning'!B1683</f>
        <v>201a.3</v>
      </c>
      <c r="C1683" s="152" t="str">
        <f>'Reported burning'!C1683</f>
        <v>Human, deliberate</v>
      </c>
      <c r="D1683" s="152" t="str">
        <f>'Reported burning'!D1683</f>
        <v>Conservation</v>
      </c>
      <c r="E1683" s="152" t="str">
        <f>'Reported burning'!E1683</f>
        <v>Biodiversity conservation</v>
      </c>
      <c r="F1683" s="152" t="str">
        <f>'Reported burning'!F1683</f>
        <v>Forest</v>
      </c>
      <c r="G1683" s="152" t="str">
        <f>'Reported burning'!G1683</f>
        <v>ND</v>
      </c>
      <c r="H1683" s="152" t="str">
        <f>'Reported burning'!H1683</f>
        <v>Presence</v>
      </c>
      <c r="I1683" s="3"/>
      <c r="J1683" s="4" t="s">
        <v>2276</v>
      </c>
      <c r="K1683" s="4" t="s">
        <v>2276</v>
      </c>
      <c r="L1683" s="4" t="s">
        <v>2276</v>
      </c>
      <c r="M1683" s="4" t="s">
        <v>2276</v>
      </c>
      <c r="N1683" s="4" t="s">
        <v>2276</v>
      </c>
      <c r="O1683" s="4" t="s">
        <v>2276</v>
      </c>
      <c r="P1683" s="4" t="s">
        <v>2276</v>
      </c>
      <c r="Q1683" s="4" t="s">
        <v>2276</v>
      </c>
      <c r="R1683" s="4" t="s">
        <v>2276</v>
      </c>
      <c r="S1683" s="4" t="s">
        <v>2276</v>
      </c>
      <c r="T1683" s="4" t="s">
        <v>2276</v>
      </c>
      <c r="U1683" s="4" t="s">
        <v>2276</v>
      </c>
      <c r="V1683" s="4" t="s">
        <v>2276</v>
      </c>
      <c r="W1683" s="4" t="s">
        <v>2276</v>
      </c>
      <c r="X1683" s="4" t="s">
        <v>2276</v>
      </c>
      <c r="Y1683" s="4" t="s">
        <v>2276</v>
      </c>
      <c r="Z1683" s="4" t="s">
        <v>2276</v>
      </c>
      <c r="AA1683" s="4" t="s">
        <v>5097</v>
      </c>
      <c r="AB1683" s="3"/>
    </row>
    <row r="1684" spans="1:28" ht="46.5" customHeight="1">
      <c r="A1684" s="152" t="str">
        <f>'Reported burning'!A1684</f>
        <v>202a</v>
      </c>
      <c r="B1684" s="152" t="str">
        <f>'Reported burning'!B1684</f>
        <v>202a.1</v>
      </c>
      <c r="C1684" s="152" t="str">
        <f>'Reported burning'!C1684</f>
        <v>Human, deliberate</v>
      </c>
      <c r="D1684" s="152" t="str">
        <f>'Reported burning'!D1684</f>
        <v>Rangeland management</v>
      </c>
      <c r="E1684" s="152" t="str">
        <f>'Reported burning'!E1684</f>
        <v>Pastoralism, Migratory</v>
      </c>
      <c r="F1684" s="152" t="str">
        <f>'Reported burning'!F1684</f>
        <v>Shrubland (Mixed forest &amp; grassland)</v>
      </c>
      <c r="G1684" s="152" t="str">
        <f>'Reported burning'!G1684</f>
        <v>ND</v>
      </c>
      <c r="H1684" s="152" t="str">
        <f>'Reported burning'!H1684</f>
        <v>Presence</v>
      </c>
      <c r="I1684" s="3"/>
      <c r="J1684" s="4" t="s">
        <v>2276</v>
      </c>
      <c r="K1684" s="4" t="s">
        <v>2276</v>
      </c>
      <c r="L1684" s="4" t="s">
        <v>2276</v>
      </c>
      <c r="M1684" s="4" t="s">
        <v>2276</v>
      </c>
      <c r="N1684" s="4" t="s">
        <v>2276</v>
      </c>
      <c r="O1684" s="4" t="s">
        <v>2276</v>
      </c>
      <c r="P1684" s="4" t="s">
        <v>2276</v>
      </c>
      <c r="Q1684" s="4" t="s">
        <v>2276</v>
      </c>
      <c r="R1684" s="4" t="s">
        <v>2276</v>
      </c>
      <c r="S1684" s="4" t="s">
        <v>2276</v>
      </c>
      <c r="T1684" s="4" t="s">
        <v>2276</v>
      </c>
      <c r="U1684" s="4" t="s">
        <v>2276</v>
      </c>
      <c r="V1684" s="4" t="s">
        <v>2276</v>
      </c>
      <c r="W1684" s="4" t="s">
        <v>2276</v>
      </c>
      <c r="X1684" s="4" t="s">
        <v>2276</v>
      </c>
      <c r="Y1684" s="4" t="s">
        <v>2276</v>
      </c>
      <c r="Z1684" s="4" t="s">
        <v>2276</v>
      </c>
      <c r="AA1684" s="3"/>
      <c r="AB1684" s="3"/>
    </row>
    <row r="1685" spans="1:28" ht="87">
      <c r="A1685" s="152" t="str">
        <f>'Reported burning'!A1685</f>
        <v>203a</v>
      </c>
      <c r="B1685" s="152" t="str">
        <f>'Reported burning'!B1685</f>
        <v>203a.1</v>
      </c>
      <c r="C1685" s="152" t="str">
        <f>'Reported burning'!C1685</f>
        <v>Human, deliberate</v>
      </c>
      <c r="D1685" s="152" t="str">
        <f>'Reported burning'!D1685</f>
        <v>Pest management</v>
      </c>
      <c r="E1685" s="152" t="str">
        <f>'Reported burning'!E1685</f>
        <v>Pastoralism, Migratory</v>
      </c>
      <c r="F1685" s="152" t="str">
        <f>'Reported burning'!F1685</f>
        <v>Shrubland (Mixed forest &amp; grassland)</v>
      </c>
      <c r="G1685" s="152" t="str">
        <f>'Reported burning'!G1685</f>
        <v>ND</v>
      </c>
      <c r="H1685" s="152" t="str">
        <f>'Reported burning'!H1685</f>
        <v>Presence</v>
      </c>
      <c r="I1685" s="3"/>
      <c r="J1685" s="4" t="s">
        <v>2276</v>
      </c>
      <c r="K1685" s="4" t="s">
        <v>2276</v>
      </c>
      <c r="L1685" s="4" t="s">
        <v>2276</v>
      </c>
      <c r="M1685" s="4" t="s">
        <v>2276</v>
      </c>
      <c r="N1685" s="4" t="s">
        <v>2276</v>
      </c>
      <c r="O1685" s="4" t="s">
        <v>2276</v>
      </c>
      <c r="P1685" s="4" t="s">
        <v>2276</v>
      </c>
      <c r="Q1685" s="4" t="s">
        <v>2276</v>
      </c>
      <c r="R1685" s="4" t="s">
        <v>2276</v>
      </c>
      <c r="S1685" s="4" t="s">
        <v>2276</v>
      </c>
      <c r="T1685" s="4" t="s">
        <v>2276</v>
      </c>
      <c r="U1685" s="4" t="s">
        <v>2276</v>
      </c>
      <c r="V1685" s="4" t="s">
        <v>2276</v>
      </c>
      <c r="W1685" s="4" t="s">
        <v>2276</v>
      </c>
      <c r="X1685" s="4" t="s">
        <v>2276</v>
      </c>
      <c r="Y1685" s="4" t="s">
        <v>2276</v>
      </c>
      <c r="Z1685" s="4" t="s">
        <v>2276</v>
      </c>
      <c r="AA1685" s="4" t="s">
        <v>5113</v>
      </c>
      <c r="AB1685" s="3"/>
    </row>
    <row r="1686" spans="1:28" ht="51.5" customHeight="1">
      <c r="A1686" s="152" t="str">
        <f>'Reported burning'!A1686</f>
        <v>203a</v>
      </c>
      <c r="B1686" s="152" t="str">
        <f>'Reported burning'!B1686</f>
        <v>203a.2</v>
      </c>
      <c r="C1686" s="152" t="str">
        <f>'Reported burning'!C1686</f>
        <v>Human, deliberate</v>
      </c>
      <c r="D1686" s="152" t="str">
        <f>'Reported burning'!D1686</f>
        <v>Pest management</v>
      </c>
      <c r="E1686" s="152" t="str">
        <f>'Reported burning'!E1686</f>
        <v>Cattle, Extensive</v>
      </c>
      <c r="F1686" s="152" t="str">
        <f>'Reported burning'!F1686</f>
        <v>Shrubland (Mixed forest &amp; grassland)</v>
      </c>
      <c r="G1686" s="152" t="str">
        <f>'Reported burning'!G1686</f>
        <v>ND</v>
      </c>
      <c r="H1686" s="152" t="str">
        <f>'Reported burning'!H1686</f>
        <v>Presence</v>
      </c>
      <c r="I1686" s="3"/>
      <c r="J1686" s="4" t="s">
        <v>2276</v>
      </c>
      <c r="K1686" s="4" t="s">
        <v>2276</v>
      </c>
      <c r="L1686" s="4" t="s">
        <v>2276</v>
      </c>
      <c r="M1686" s="4" t="s">
        <v>2276</v>
      </c>
      <c r="N1686" s="4" t="s">
        <v>2276</v>
      </c>
      <c r="O1686" s="4" t="s">
        <v>2276</v>
      </c>
      <c r="P1686" s="4" t="s">
        <v>2276</v>
      </c>
      <c r="Q1686" s="4" t="s">
        <v>2276</v>
      </c>
      <c r="R1686" s="4" t="s">
        <v>2276</v>
      </c>
      <c r="S1686" s="4" t="s">
        <v>2276</v>
      </c>
      <c r="T1686" s="4" t="s">
        <v>2276</v>
      </c>
      <c r="U1686" s="4" t="s">
        <v>2276</v>
      </c>
      <c r="V1686" s="4" t="s">
        <v>2276</v>
      </c>
      <c r="W1686" s="4" t="s">
        <v>2276</v>
      </c>
      <c r="X1686" s="4" t="s">
        <v>2276</v>
      </c>
      <c r="Y1686" s="4" t="s">
        <v>2276</v>
      </c>
      <c r="Z1686" s="4" t="s">
        <v>2276</v>
      </c>
      <c r="AA1686" s="4" t="s">
        <v>5114</v>
      </c>
      <c r="AB1686" s="3"/>
    </row>
    <row r="1687" spans="1:28" ht="31" customHeight="1">
      <c r="A1687" s="152" t="str">
        <f>'Reported burning'!A1687</f>
        <v>204a</v>
      </c>
      <c r="B1687" s="152" t="str">
        <f>'Reported burning'!B1687</f>
        <v>204a.1</v>
      </c>
      <c r="C1687" s="152" t="str">
        <f>'Reported burning'!C1687</f>
        <v>Human, deliberate</v>
      </c>
      <c r="D1687" s="152" t="str">
        <f>'Reported burning'!D1687</f>
        <v>Rangeland management</v>
      </c>
      <c r="E1687" s="152" t="str">
        <f>'Reported burning'!E1687</f>
        <v>Pastoralism, Migratory</v>
      </c>
      <c r="F1687" s="152" t="str">
        <f>'Reported burning'!F1687</f>
        <v>Shrubland (Mixed forest &amp; grassland)</v>
      </c>
      <c r="G1687" s="152" t="str">
        <f>'Reported burning'!G1687</f>
        <v>ND</v>
      </c>
      <c r="H1687" s="152" t="str">
        <f>'Reported burning'!H1687</f>
        <v>Presence</v>
      </c>
      <c r="I1687" s="3"/>
      <c r="J1687" s="4" t="s">
        <v>2276</v>
      </c>
      <c r="K1687" s="4" t="s">
        <v>2276</v>
      </c>
      <c r="L1687" s="4" t="s">
        <v>2276</v>
      </c>
      <c r="M1687" s="4" t="s">
        <v>2276</v>
      </c>
      <c r="N1687" s="4" t="s">
        <v>2276</v>
      </c>
      <c r="O1687" s="4" t="s">
        <v>2276</v>
      </c>
      <c r="P1687" s="4" t="s">
        <v>2276</v>
      </c>
      <c r="Q1687" s="4" t="s">
        <v>2276</v>
      </c>
      <c r="R1687" s="4" t="s">
        <v>2276</v>
      </c>
      <c r="S1687" s="4" t="s">
        <v>2276</v>
      </c>
      <c r="T1687" s="4" t="s">
        <v>2276</v>
      </c>
      <c r="U1687" s="4" t="s">
        <v>2276</v>
      </c>
      <c r="V1687" s="4" t="s">
        <v>2276</v>
      </c>
      <c r="W1687" s="4" t="s">
        <v>2276</v>
      </c>
      <c r="X1687" s="4" t="s">
        <v>2276</v>
      </c>
      <c r="Y1687" s="4" t="s">
        <v>2276</v>
      </c>
      <c r="Z1687" s="4" t="s">
        <v>2276</v>
      </c>
      <c r="AA1687" s="3"/>
      <c r="AB1687" s="3"/>
    </row>
    <row r="1688" spans="1:28" ht="31" customHeight="1">
      <c r="A1688" s="152" t="str">
        <f>'Reported burning'!A1688</f>
        <v>205a</v>
      </c>
      <c r="B1688" s="152" t="str">
        <f>'Reported burning'!B1688</f>
        <v>205a.1</v>
      </c>
      <c r="C1688" s="152" t="str">
        <f>'Reported burning'!C1688</f>
        <v>Human, deliberate</v>
      </c>
      <c r="D1688" s="152" t="str">
        <f>'Reported burning'!D1688</f>
        <v>Pyrome management</v>
      </c>
      <c r="E1688" s="152" t="str">
        <f>'Reported burning'!E1688</f>
        <v>Biodiversity conservation</v>
      </c>
      <c r="F1688" s="152" t="str">
        <f>'Reported burning'!F1688</f>
        <v>Shrubland (Mixed forest &amp; grassland)</v>
      </c>
      <c r="G1688" s="152" t="str">
        <f>'Reported burning'!G1688</f>
        <v>Shrubland (Mixed forest &amp; grassland)</v>
      </c>
      <c r="H1688" s="152" t="str">
        <f>'Reported burning'!H1688</f>
        <v>Absence</v>
      </c>
      <c r="I1688" s="3"/>
      <c r="J1688" s="3">
        <v>0</v>
      </c>
      <c r="K1688" s="3">
        <v>0</v>
      </c>
      <c r="L1688" s="3">
        <v>0</v>
      </c>
      <c r="M1688" s="3">
        <v>0</v>
      </c>
      <c r="N1688" s="3">
        <v>0</v>
      </c>
      <c r="O1688" s="3">
        <v>0</v>
      </c>
      <c r="P1688" s="3">
        <v>0</v>
      </c>
      <c r="Q1688" s="3">
        <v>0</v>
      </c>
      <c r="R1688" s="3">
        <v>0</v>
      </c>
      <c r="S1688" s="3">
        <v>0</v>
      </c>
      <c r="T1688" s="3">
        <v>0</v>
      </c>
      <c r="U1688" s="3">
        <v>0</v>
      </c>
      <c r="V1688" s="3">
        <v>0</v>
      </c>
      <c r="W1688" s="3">
        <v>0</v>
      </c>
      <c r="X1688" s="4" t="s">
        <v>2276</v>
      </c>
      <c r="Y1688" s="4" t="s">
        <v>2276</v>
      </c>
      <c r="Z1688" s="4" t="s">
        <v>2276</v>
      </c>
      <c r="AA1688" s="3"/>
      <c r="AB1688" s="3"/>
    </row>
    <row r="1689" spans="1:28" ht="31" customHeight="1">
      <c r="A1689" s="152" t="str">
        <f>'Reported burning'!A1689</f>
        <v>205b</v>
      </c>
      <c r="B1689" s="152" t="str">
        <f>'Reported burning'!B1689</f>
        <v>205b.1</v>
      </c>
      <c r="C1689" s="152" t="str">
        <f>'Reported burning'!C1689</f>
        <v>Human, deliberate</v>
      </c>
      <c r="D1689" s="152" t="str">
        <f>'Reported burning'!D1689</f>
        <v>Pyrome management</v>
      </c>
      <c r="E1689" s="152" t="str">
        <f>'Reported burning'!E1689</f>
        <v>Biodiversity conservation</v>
      </c>
      <c r="F1689" s="152" t="str">
        <f>'Reported burning'!F1689</f>
        <v>Shrubland (Mixed forest &amp; grassland)</v>
      </c>
      <c r="G1689" s="152" t="str">
        <f>'Reported burning'!G1689</f>
        <v>Shrubland (Mixed forest &amp; grassland)</v>
      </c>
      <c r="H1689" s="152" t="str">
        <f>'Reported burning'!H1689</f>
        <v>Absence</v>
      </c>
      <c r="I1689" s="3"/>
      <c r="J1689" s="3">
        <v>0</v>
      </c>
      <c r="K1689" s="3">
        <v>0</v>
      </c>
      <c r="L1689" s="3">
        <v>0</v>
      </c>
      <c r="M1689" s="3">
        <v>0</v>
      </c>
      <c r="N1689" s="3">
        <v>0</v>
      </c>
      <c r="O1689" s="3">
        <v>0</v>
      </c>
      <c r="P1689" s="3">
        <v>0</v>
      </c>
      <c r="Q1689" s="3">
        <v>0</v>
      </c>
      <c r="R1689" s="3">
        <v>0</v>
      </c>
      <c r="S1689" s="3">
        <v>0</v>
      </c>
      <c r="T1689" s="3">
        <v>0</v>
      </c>
      <c r="U1689" s="3">
        <v>0</v>
      </c>
      <c r="V1689" s="3">
        <v>0</v>
      </c>
      <c r="W1689" s="3">
        <v>0</v>
      </c>
      <c r="X1689" s="4" t="s">
        <v>2276</v>
      </c>
      <c r="Y1689" s="4" t="s">
        <v>2276</v>
      </c>
      <c r="Z1689" s="4" t="s">
        <v>2276</v>
      </c>
      <c r="AA1689" s="3"/>
      <c r="AB1689" s="3"/>
    </row>
    <row r="1690" spans="1:28" ht="31" customHeight="1">
      <c r="A1690" s="152" t="str">
        <f>'Reported burning'!A1690</f>
        <v>205c</v>
      </c>
      <c r="B1690" s="152" t="str">
        <f>'Reported burning'!B1690</f>
        <v>205c.1</v>
      </c>
      <c r="C1690" s="152" t="str">
        <f>'Reported burning'!C1690</f>
        <v>Human, deliberate</v>
      </c>
      <c r="D1690" s="152" t="str">
        <f>'Reported burning'!D1690</f>
        <v>Pyrome management</v>
      </c>
      <c r="E1690" s="152" t="str">
        <f>'Reported burning'!E1690</f>
        <v>Biodiversity conservation</v>
      </c>
      <c r="F1690" s="152" t="str">
        <f>'Reported burning'!F1690</f>
        <v>Shrubland (Mixed forest &amp; grassland)</v>
      </c>
      <c r="G1690" s="152" t="str">
        <f>'Reported burning'!G1690</f>
        <v>Shrubland (Mixed forest &amp; grassland)</v>
      </c>
      <c r="H1690" s="152" t="str">
        <f>'Reported burning'!H1690</f>
        <v>Absence</v>
      </c>
      <c r="I1690" s="3"/>
      <c r="J1690" s="3">
        <v>0</v>
      </c>
      <c r="K1690" s="3">
        <v>0</v>
      </c>
      <c r="L1690" s="3">
        <v>0</v>
      </c>
      <c r="M1690" s="3">
        <v>0</v>
      </c>
      <c r="N1690" s="3">
        <v>0</v>
      </c>
      <c r="O1690" s="3">
        <v>0</v>
      </c>
      <c r="P1690" s="3">
        <v>0</v>
      </c>
      <c r="Q1690" s="3">
        <v>0</v>
      </c>
      <c r="R1690" s="3">
        <v>0</v>
      </c>
      <c r="S1690" s="3">
        <v>0</v>
      </c>
      <c r="T1690" s="3">
        <v>0</v>
      </c>
      <c r="U1690" s="3">
        <v>0</v>
      </c>
      <c r="V1690" s="3">
        <v>0</v>
      </c>
      <c r="W1690" s="3">
        <v>0</v>
      </c>
      <c r="X1690" s="4" t="s">
        <v>2276</v>
      </c>
      <c r="Y1690" s="4" t="s">
        <v>2276</v>
      </c>
      <c r="Z1690" s="4" t="s">
        <v>2276</v>
      </c>
      <c r="AA1690" s="3"/>
      <c r="AB1690" s="3"/>
    </row>
    <row r="1691" spans="1:28" ht="31" customHeight="1">
      <c r="A1691" s="152" t="str">
        <f>'Reported burning'!A1691</f>
        <v>205d</v>
      </c>
      <c r="B1691" s="152" t="str">
        <f>'Reported burning'!B1691</f>
        <v>205d.1</v>
      </c>
      <c r="C1691" s="152" t="str">
        <f>'Reported burning'!C1691</f>
        <v>Human, deliberate</v>
      </c>
      <c r="D1691" s="152" t="str">
        <f>'Reported burning'!D1691</f>
        <v>Pyrome management</v>
      </c>
      <c r="E1691" s="152" t="str">
        <f>'Reported burning'!E1691</f>
        <v>Biodiversity conservation</v>
      </c>
      <c r="F1691" s="152" t="str">
        <f>'Reported burning'!F1691</f>
        <v>Shrubland (Mixed forest &amp; grassland)</v>
      </c>
      <c r="G1691" s="152" t="str">
        <f>'Reported burning'!G1691</f>
        <v>Shrubland (Mixed forest &amp; grassland)</v>
      </c>
      <c r="H1691" s="152" t="str">
        <f>'Reported burning'!H1691</f>
        <v>Absence</v>
      </c>
      <c r="I1691" s="3"/>
      <c r="J1691" s="3">
        <v>0</v>
      </c>
      <c r="K1691" s="3">
        <v>0</v>
      </c>
      <c r="L1691" s="3">
        <v>0</v>
      </c>
      <c r="M1691" s="3">
        <v>0</v>
      </c>
      <c r="N1691" s="3">
        <v>0</v>
      </c>
      <c r="O1691" s="3">
        <v>0</v>
      </c>
      <c r="P1691" s="3">
        <v>0</v>
      </c>
      <c r="Q1691" s="3">
        <v>0</v>
      </c>
      <c r="R1691" s="3">
        <v>0</v>
      </c>
      <c r="S1691" s="3">
        <v>0</v>
      </c>
      <c r="T1691" s="3">
        <v>0</v>
      </c>
      <c r="U1691" s="3">
        <v>0</v>
      </c>
      <c r="V1691" s="3">
        <v>0</v>
      </c>
      <c r="W1691" s="3">
        <v>0</v>
      </c>
      <c r="X1691" s="4" t="s">
        <v>2276</v>
      </c>
      <c r="Y1691" s="4" t="s">
        <v>2276</v>
      </c>
      <c r="Z1691" s="4" t="s">
        <v>2276</v>
      </c>
      <c r="AA1691" s="3"/>
      <c r="AB1691" s="3"/>
    </row>
    <row r="1692" spans="1:28" ht="31" customHeight="1">
      <c r="A1692" s="152" t="str">
        <f>'Reported burning'!A1692</f>
        <v>205e</v>
      </c>
      <c r="B1692" s="152" t="str">
        <f>'Reported burning'!B1692</f>
        <v>205e.1</v>
      </c>
      <c r="C1692" s="152" t="str">
        <f>'Reported burning'!C1692</f>
        <v>Human, deliberate</v>
      </c>
      <c r="D1692" s="152" t="str">
        <f>'Reported burning'!D1692</f>
        <v>Pyrome management</v>
      </c>
      <c r="E1692" s="152" t="str">
        <f>'Reported burning'!E1692</f>
        <v>Biodiversity conservation</v>
      </c>
      <c r="F1692" s="152" t="str">
        <f>'Reported burning'!F1692</f>
        <v>Shrubland (Mixed forest &amp; grassland)</v>
      </c>
      <c r="G1692" s="152" t="str">
        <f>'Reported burning'!G1692</f>
        <v>Shrubland (Mixed forest &amp; grassland)</v>
      </c>
      <c r="H1692" s="152" t="str">
        <f>'Reported burning'!H1692</f>
        <v>Absence</v>
      </c>
      <c r="I1692" s="3"/>
      <c r="J1692" s="3">
        <v>0</v>
      </c>
      <c r="K1692" s="3">
        <v>0</v>
      </c>
      <c r="L1692" s="3">
        <v>0</v>
      </c>
      <c r="M1692" s="3">
        <v>0</v>
      </c>
      <c r="N1692" s="3">
        <v>0</v>
      </c>
      <c r="O1692" s="3">
        <v>0</v>
      </c>
      <c r="P1692" s="3">
        <v>0</v>
      </c>
      <c r="Q1692" s="3">
        <v>0</v>
      </c>
      <c r="R1692" s="3">
        <v>0</v>
      </c>
      <c r="S1692" s="3">
        <v>0</v>
      </c>
      <c r="T1692" s="3">
        <v>0</v>
      </c>
      <c r="U1692" s="3">
        <v>0</v>
      </c>
      <c r="V1692" s="3">
        <v>0</v>
      </c>
      <c r="W1692" s="3">
        <v>0</v>
      </c>
      <c r="X1692" s="4" t="s">
        <v>2276</v>
      </c>
      <c r="Y1692" s="4" t="s">
        <v>2276</v>
      </c>
      <c r="Z1692" s="4" t="s">
        <v>2276</v>
      </c>
      <c r="AA1692" s="3"/>
      <c r="AB1692" s="3"/>
    </row>
    <row r="1693" spans="1:28" ht="85.5" customHeight="1">
      <c r="A1693" s="152" t="str">
        <f>'Reported burning'!A1693</f>
        <v>205f</v>
      </c>
      <c r="B1693" s="152" t="str">
        <f>'Reported burning'!B1693</f>
        <v>205f.1</v>
      </c>
      <c r="C1693" s="152" t="str">
        <f>'Reported burning'!C1693</f>
        <v>Human, deliberate</v>
      </c>
      <c r="D1693" s="152" t="str">
        <f>'Reported burning'!D1693</f>
        <v>Pyrome management</v>
      </c>
      <c r="E1693" s="152" t="str">
        <f>'Reported burning'!E1693</f>
        <v>Biodiversity conservation</v>
      </c>
      <c r="F1693" s="152" t="str">
        <f>'Reported burning'!F1693</f>
        <v>Shrubland (Mixed forest &amp; grassland)</v>
      </c>
      <c r="G1693" s="152" t="str">
        <f>'Reported burning'!G1693</f>
        <v>Shrubland (Mixed forest &amp; grassland)</v>
      </c>
      <c r="H1693" s="152" t="str">
        <f>'Reported burning'!H1693</f>
        <v>Presence</v>
      </c>
      <c r="I1693" s="3"/>
      <c r="J1693" s="4" t="s">
        <v>2276</v>
      </c>
      <c r="K1693" s="4" t="s">
        <v>2276</v>
      </c>
      <c r="L1693" s="3" t="s">
        <v>2362</v>
      </c>
      <c r="M1693" s="4" t="s">
        <v>2276</v>
      </c>
      <c r="N1693" s="3" t="s">
        <v>2382</v>
      </c>
      <c r="O1693" s="4" t="s">
        <v>2276</v>
      </c>
      <c r="P1693" s="4" t="s">
        <v>2276</v>
      </c>
      <c r="Q1693" s="4" t="s">
        <v>2276</v>
      </c>
      <c r="R1693" s="4" t="s">
        <v>2276</v>
      </c>
      <c r="S1693" s="4" t="s">
        <v>2276</v>
      </c>
      <c r="T1693" s="4" t="s">
        <v>2276</v>
      </c>
      <c r="U1693" s="4" t="s">
        <v>2276</v>
      </c>
      <c r="V1693" s="4" t="s">
        <v>2276</v>
      </c>
      <c r="W1693" s="3" t="s">
        <v>2401</v>
      </c>
      <c r="X1693" s="3" t="s">
        <v>86</v>
      </c>
      <c r="Y1693" s="3" t="s">
        <v>34</v>
      </c>
      <c r="Z1693" s="3" t="s">
        <v>2655</v>
      </c>
      <c r="AA1693" s="3" t="s">
        <v>5165</v>
      </c>
      <c r="AB1693" s="4" t="s">
        <v>5184</v>
      </c>
    </row>
    <row r="1694" spans="1:28" ht="85.5" customHeight="1">
      <c r="A1694" s="152" t="str">
        <f>'Reported burning'!A1694</f>
        <v>205g</v>
      </c>
      <c r="B1694" s="152" t="str">
        <f>'Reported burning'!B1694</f>
        <v>205g.1</v>
      </c>
      <c r="C1694" s="152" t="str">
        <f>'Reported burning'!C1694</f>
        <v>Human, deliberate</v>
      </c>
      <c r="D1694" s="152" t="str">
        <f>'Reported burning'!D1694</f>
        <v>Pyrome management</v>
      </c>
      <c r="E1694" s="152" t="str">
        <f>'Reported burning'!E1694</f>
        <v>Biodiversity conservation</v>
      </c>
      <c r="F1694" s="152" t="str">
        <f>'Reported burning'!F1694</f>
        <v>Shrubland (Mixed forest &amp; grassland)</v>
      </c>
      <c r="G1694" s="152" t="str">
        <f>'Reported burning'!G1694</f>
        <v>Shrubland (Mixed forest &amp; grassland)</v>
      </c>
      <c r="H1694" s="152" t="str">
        <f>'Reported burning'!H1694</f>
        <v>Presence</v>
      </c>
      <c r="I1694" s="3"/>
      <c r="J1694" s="4" t="s">
        <v>2276</v>
      </c>
      <c r="K1694" s="4" t="s">
        <v>2276</v>
      </c>
      <c r="L1694" s="3" t="s">
        <v>2362</v>
      </c>
      <c r="M1694" s="4" t="s">
        <v>2276</v>
      </c>
      <c r="N1694" s="3" t="s">
        <v>2382</v>
      </c>
      <c r="O1694" s="4" t="s">
        <v>2276</v>
      </c>
      <c r="P1694" s="4" t="s">
        <v>2276</v>
      </c>
      <c r="Q1694" s="4" t="s">
        <v>2276</v>
      </c>
      <c r="R1694" s="4" t="s">
        <v>2276</v>
      </c>
      <c r="S1694" s="4" t="s">
        <v>2276</v>
      </c>
      <c r="T1694" s="4" t="s">
        <v>2276</v>
      </c>
      <c r="U1694" s="4" t="s">
        <v>2276</v>
      </c>
      <c r="V1694" s="4" t="s">
        <v>2276</v>
      </c>
      <c r="W1694" s="3" t="s">
        <v>2401</v>
      </c>
      <c r="X1694" s="3" t="s">
        <v>86</v>
      </c>
      <c r="Y1694" s="3" t="s">
        <v>34</v>
      </c>
      <c r="Z1694" s="3" t="s">
        <v>2655</v>
      </c>
      <c r="AA1694" s="3" t="s">
        <v>5165</v>
      </c>
      <c r="AB1694" s="4" t="s">
        <v>5184</v>
      </c>
    </row>
    <row r="1695" spans="1:28" ht="85.5" customHeight="1">
      <c r="A1695" s="152" t="str">
        <f>'Reported burning'!A1695</f>
        <v>205h</v>
      </c>
      <c r="B1695" s="152" t="str">
        <f>'Reported burning'!B1695</f>
        <v>205h.1</v>
      </c>
      <c r="C1695" s="152" t="str">
        <f>'Reported burning'!C1695</f>
        <v>Human, deliberate</v>
      </c>
      <c r="D1695" s="152" t="str">
        <f>'Reported burning'!D1695</f>
        <v>Pyrome management</v>
      </c>
      <c r="E1695" s="152" t="str">
        <f>'Reported burning'!E1695</f>
        <v>Biodiversity conservation</v>
      </c>
      <c r="F1695" s="152" t="str">
        <f>'Reported burning'!F1695</f>
        <v>Shrubland (Mixed forest &amp; grassland)</v>
      </c>
      <c r="G1695" s="152" t="str">
        <f>'Reported burning'!G1695</f>
        <v>Shrubland (Mixed forest &amp; grassland)</v>
      </c>
      <c r="H1695" s="152" t="str">
        <f>'Reported burning'!H1695</f>
        <v>Presence</v>
      </c>
      <c r="I1695" s="3"/>
      <c r="J1695" s="4" t="s">
        <v>2276</v>
      </c>
      <c r="K1695" s="4" t="s">
        <v>2276</v>
      </c>
      <c r="L1695" s="3" t="s">
        <v>2362</v>
      </c>
      <c r="M1695" s="4" t="s">
        <v>2276</v>
      </c>
      <c r="N1695" s="3" t="s">
        <v>2382</v>
      </c>
      <c r="O1695" s="4" t="s">
        <v>2276</v>
      </c>
      <c r="P1695" s="4" t="s">
        <v>2276</v>
      </c>
      <c r="Q1695" s="4" t="s">
        <v>2276</v>
      </c>
      <c r="R1695" s="4" t="s">
        <v>2276</v>
      </c>
      <c r="S1695" s="4" t="s">
        <v>2276</v>
      </c>
      <c r="T1695" s="4" t="s">
        <v>2276</v>
      </c>
      <c r="U1695" s="4" t="s">
        <v>2276</v>
      </c>
      <c r="V1695" s="4" t="s">
        <v>2276</v>
      </c>
      <c r="W1695" s="3" t="s">
        <v>2402</v>
      </c>
      <c r="X1695" s="3" t="s">
        <v>86</v>
      </c>
      <c r="Y1695" s="3" t="s">
        <v>34</v>
      </c>
      <c r="Z1695" s="3" t="s">
        <v>2655</v>
      </c>
      <c r="AA1695" s="3" t="s">
        <v>5165</v>
      </c>
      <c r="AB1695" s="4" t="s">
        <v>5184</v>
      </c>
    </row>
    <row r="1696" spans="1:28" ht="85.5" customHeight="1">
      <c r="A1696" s="152" t="str">
        <f>'Reported burning'!A1696</f>
        <v>205i</v>
      </c>
      <c r="B1696" s="152" t="str">
        <f>'Reported burning'!B1696</f>
        <v>205i.1</v>
      </c>
      <c r="C1696" s="152" t="str">
        <f>'Reported burning'!C1696</f>
        <v>Human, deliberate</v>
      </c>
      <c r="D1696" s="152" t="str">
        <f>'Reported burning'!D1696</f>
        <v>Pyrome management</v>
      </c>
      <c r="E1696" s="152" t="str">
        <f>'Reported burning'!E1696</f>
        <v>Biodiversity conservation</v>
      </c>
      <c r="F1696" s="152" t="str">
        <f>'Reported burning'!F1696</f>
        <v>Shrubland (Mixed forest &amp; grassland)</v>
      </c>
      <c r="G1696" s="152" t="str">
        <f>'Reported burning'!G1696</f>
        <v>Shrubland (Mixed forest &amp; grassland)</v>
      </c>
      <c r="H1696" s="152" t="str">
        <f>'Reported burning'!H1696</f>
        <v>Presence</v>
      </c>
      <c r="I1696" s="3"/>
      <c r="J1696" s="4" t="s">
        <v>2276</v>
      </c>
      <c r="K1696" s="4" t="s">
        <v>2276</v>
      </c>
      <c r="L1696" s="3" t="s">
        <v>2362</v>
      </c>
      <c r="M1696" s="4" t="s">
        <v>2276</v>
      </c>
      <c r="N1696" s="3" t="s">
        <v>2382</v>
      </c>
      <c r="O1696" s="4" t="s">
        <v>2276</v>
      </c>
      <c r="P1696" s="4" t="s">
        <v>2276</v>
      </c>
      <c r="Q1696" s="4" t="s">
        <v>2276</v>
      </c>
      <c r="R1696" s="4" t="s">
        <v>2276</v>
      </c>
      <c r="S1696" s="4" t="s">
        <v>2276</v>
      </c>
      <c r="T1696" s="4" t="s">
        <v>2276</v>
      </c>
      <c r="U1696" s="4" t="s">
        <v>2276</v>
      </c>
      <c r="V1696" s="4" t="s">
        <v>2276</v>
      </c>
      <c r="W1696" s="3" t="s">
        <v>2402</v>
      </c>
      <c r="X1696" s="3" t="s">
        <v>86</v>
      </c>
      <c r="Y1696" s="3" t="s">
        <v>34</v>
      </c>
      <c r="Z1696" s="3" t="s">
        <v>2655</v>
      </c>
      <c r="AA1696" s="3" t="s">
        <v>5165</v>
      </c>
      <c r="AB1696" s="4" t="s">
        <v>5184</v>
      </c>
    </row>
    <row r="1697" spans="1:28" ht="85.5" customHeight="1">
      <c r="A1697" s="152" t="str">
        <f>'Reported burning'!A1697</f>
        <v>205j</v>
      </c>
      <c r="B1697" s="152" t="str">
        <f>'Reported burning'!B1697</f>
        <v>205j.1</v>
      </c>
      <c r="C1697" s="152" t="str">
        <f>'Reported burning'!C1697</f>
        <v>Human, deliberate</v>
      </c>
      <c r="D1697" s="152" t="str">
        <f>'Reported burning'!D1697</f>
        <v>Pyrome management</v>
      </c>
      <c r="E1697" s="152" t="str">
        <f>'Reported burning'!E1697</f>
        <v>Biodiversity conservation</v>
      </c>
      <c r="F1697" s="152" t="str">
        <f>'Reported burning'!F1697</f>
        <v>Shrubland (Mixed forest &amp; grassland)</v>
      </c>
      <c r="G1697" s="152" t="str">
        <f>'Reported burning'!G1697</f>
        <v>Shrubland (Mixed forest &amp; grassland)</v>
      </c>
      <c r="H1697" s="152" t="str">
        <f>'Reported burning'!H1697</f>
        <v>Presence</v>
      </c>
      <c r="I1697" s="3"/>
      <c r="J1697" s="4" t="s">
        <v>2276</v>
      </c>
      <c r="K1697" s="4" t="s">
        <v>2276</v>
      </c>
      <c r="L1697" s="3" t="s">
        <v>2362</v>
      </c>
      <c r="M1697" s="4" t="s">
        <v>2276</v>
      </c>
      <c r="N1697" s="3" t="s">
        <v>2382</v>
      </c>
      <c r="O1697" s="4" t="s">
        <v>2276</v>
      </c>
      <c r="P1697" s="4" t="s">
        <v>2276</v>
      </c>
      <c r="Q1697" s="4" t="s">
        <v>2276</v>
      </c>
      <c r="R1697" s="4" t="s">
        <v>2276</v>
      </c>
      <c r="S1697" s="4" t="s">
        <v>2276</v>
      </c>
      <c r="T1697" s="4" t="s">
        <v>2276</v>
      </c>
      <c r="U1697" s="4" t="s">
        <v>2276</v>
      </c>
      <c r="V1697" s="4" t="s">
        <v>2276</v>
      </c>
      <c r="W1697" s="3" t="s">
        <v>2402</v>
      </c>
      <c r="X1697" s="3" t="s">
        <v>86</v>
      </c>
      <c r="Y1697" s="3" t="s">
        <v>34</v>
      </c>
      <c r="Z1697" s="3" t="s">
        <v>2655</v>
      </c>
      <c r="AA1697" s="3" t="s">
        <v>5165</v>
      </c>
      <c r="AB1697" s="4" t="s">
        <v>5184</v>
      </c>
    </row>
    <row r="1698" spans="1:28" ht="36.5" customHeight="1">
      <c r="A1698" s="152" t="str">
        <f>'Reported burning'!A1698</f>
        <v>205a</v>
      </c>
      <c r="B1698" s="152" t="str">
        <f>'Reported burning'!B1698</f>
        <v>205a.2</v>
      </c>
      <c r="C1698" s="152" t="str">
        <f>'Reported burning'!C1698</f>
        <v>All</v>
      </c>
      <c r="D1698" s="152" t="str">
        <f>'Reported burning'!D1698</f>
        <v>All</v>
      </c>
      <c r="E1698" s="152" t="str">
        <f>'Reported burning'!E1698</f>
        <v>All</v>
      </c>
      <c r="F1698" s="152" t="str">
        <f>'Reported burning'!F1698</f>
        <v>ND</v>
      </c>
      <c r="G1698" s="152" t="str">
        <f>'Reported burning'!G1698</f>
        <v>Shrubland (Mixed forest &amp; grassland)</v>
      </c>
      <c r="H1698" s="152" t="str">
        <f>'Reported burning'!H1698</f>
        <v>Presence</v>
      </c>
      <c r="I1698" s="3"/>
      <c r="J1698" s="4" t="s">
        <v>2276</v>
      </c>
      <c r="K1698" s="4" t="s">
        <v>2276</v>
      </c>
      <c r="L1698" s="4" t="s">
        <v>2276</v>
      </c>
      <c r="M1698" s="4" t="s">
        <v>2276</v>
      </c>
      <c r="N1698" s="4" t="s">
        <v>2276</v>
      </c>
      <c r="O1698" s="4" t="s">
        <v>2276</v>
      </c>
      <c r="P1698" s="4" t="s">
        <v>2276</v>
      </c>
      <c r="Q1698" s="4" t="s">
        <v>2276</v>
      </c>
      <c r="R1698" s="4" t="s">
        <v>2276</v>
      </c>
      <c r="S1698" s="4" t="s">
        <v>2276</v>
      </c>
      <c r="T1698" s="4" t="s">
        <v>2276</v>
      </c>
      <c r="U1698" s="4" t="s">
        <v>2276</v>
      </c>
      <c r="V1698" s="4" t="s">
        <v>2276</v>
      </c>
      <c r="W1698" s="4" t="s">
        <v>2276</v>
      </c>
      <c r="X1698" s="3" t="s">
        <v>86</v>
      </c>
      <c r="Y1698" s="3" t="s">
        <v>34</v>
      </c>
      <c r="Z1698" s="3" t="s">
        <v>2276</v>
      </c>
      <c r="AA1698" s="3"/>
      <c r="AB1698" s="4"/>
    </row>
    <row r="1699" spans="1:28" ht="36.5" customHeight="1">
      <c r="A1699" s="152" t="str">
        <f>'Reported burning'!A1699</f>
        <v>205b</v>
      </c>
      <c r="B1699" s="152" t="str">
        <f>'Reported burning'!B1699</f>
        <v>205b.2</v>
      </c>
      <c r="C1699" s="152" t="str">
        <f>'Reported burning'!C1699</f>
        <v>All</v>
      </c>
      <c r="D1699" s="152" t="str">
        <f>'Reported burning'!D1699</f>
        <v>All</v>
      </c>
      <c r="E1699" s="152" t="str">
        <f>'Reported burning'!E1699</f>
        <v>All</v>
      </c>
      <c r="F1699" s="152" t="str">
        <f>'Reported burning'!F1699</f>
        <v>ND</v>
      </c>
      <c r="G1699" s="152" t="str">
        <f>'Reported burning'!G1699</f>
        <v>Shrubland (Mixed forest &amp; grassland)</v>
      </c>
      <c r="H1699" s="152" t="str">
        <f>'Reported burning'!H1699</f>
        <v>Presence</v>
      </c>
      <c r="I1699" s="3"/>
      <c r="J1699" s="4" t="s">
        <v>2276</v>
      </c>
      <c r="K1699" s="4" t="s">
        <v>2276</v>
      </c>
      <c r="L1699" s="4" t="s">
        <v>2276</v>
      </c>
      <c r="M1699" s="4" t="s">
        <v>2276</v>
      </c>
      <c r="N1699" s="4" t="s">
        <v>2276</v>
      </c>
      <c r="O1699" s="4" t="s">
        <v>2276</v>
      </c>
      <c r="P1699" s="4" t="s">
        <v>2276</v>
      </c>
      <c r="Q1699" s="4" t="s">
        <v>2276</v>
      </c>
      <c r="R1699" s="4" t="s">
        <v>2276</v>
      </c>
      <c r="S1699" s="4" t="s">
        <v>2276</v>
      </c>
      <c r="T1699" s="4" t="s">
        <v>2276</v>
      </c>
      <c r="U1699" s="4" t="s">
        <v>2276</v>
      </c>
      <c r="V1699" s="4" t="s">
        <v>2276</v>
      </c>
      <c r="W1699" s="4" t="s">
        <v>2276</v>
      </c>
      <c r="X1699" s="3" t="s">
        <v>86</v>
      </c>
      <c r="Y1699" s="3" t="s">
        <v>34</v>
      </c>
      <c r="Z1699" s="3" t="s">
        <v>2276</v>
      </c>
      <c r="AA1699" s="3"/>
      <c r="AB1699" s="4"/>
    </row>
    <row r="1700" spans="1:28" ht="36.5" customHeight="1">
      <c r="A1700" s="152" t="str">
        <f>'Reported burning'!A1700</f>
        <v>205c</v>
      </c>
      <c r="B1700" s="152" t="str">
        <f>'Reported burning'!B1700</f>
        <v>205c.2</v>
      </c>
      <c r="C1700" s="152" t="str">
        <f>'Reported burning'!C1700</f>
        <v>All</v>
      </c>
      <c r="D1700" s="152" t="str">
        <f>'Reported burning'!D1700</f>
        <v>All</v>
      </c>
      <c r="E1700" s="152" t="str">
        <f>'Reported burning'!E1700</f>
        <v>All</v>
      </c>
      <c r="F1700" s="152" t="str">
        <f>'Reported burning'!F1700</f>
        <v>ND</v>
      </c>
      <c r="G1700" s="152" t="str">
        <f>'Reported burning'!G1700</f>
        <v>Shrubland (Mixed forest &amp; grassland)</v>
      </c>
      <c r="H1700" s="152" t="str">
        <f>'Reported burning'!H1700</f>
        <v>Presence</v>
      </c>
      <c r="I1700" s="3"/>
      <c r="J1700" s="4" t="s">
        <v>2276</v>
      </c>
      <c r="K1700" s="4" t="s">
        <v>2276</v>
      </c>
      <c r="L1700" s="4" t="s">
        <v>2276</v>
      </c>
      <c r="M1700" s="4" t="s">
        <v>2276</v>
      </c>
      <c r="N1700" s="4" t="s">
        <v>2276</v>
      </c>
      <c r="O1700" s="4" t="s">
        <v>2276</v>
      </c>
      <c r="P1700" s="4" t="s">
        <v>2276</v>
      </c>
      <c r="Q1700" s="4" t="s">
        <v>2276</v>
      </c>
      <c r="R1700" s="4" t="s">
        <v>2276</v>
      </c>
      <c r="S1700" s="4" t="s">
        <v>2276</v>
      </c>
      <c r="T1700" s="4" t="s">
        <v>2276</v>
      </c>
      <c r="U1700" s="4" t="s">
        <v>2276</v>
      </c>
      <c r="V1700" s="4" t="s">
        <v>2276</v>
      </c>
      <c r="W1700" s="4" t="s">
        <v>2276</v>
      </c>
      <c r="X1700" s="3" t="s">
        <v>86</v>
      </c>
      <c r="Y1700" s="3" t="s">
        <v>34</v>
      </c>
      <c r="Z1700" s="3" t="s">
        <v>2276</v>
      </c>
      <c r="AA1700" s="3"/>
      <c r="AB1700" s="4"/>
    </row>
    <row r="1701" spans="1:28" ht="36.5" customHeight="1">
      <c r="A1701" s="152" t="str">
        <f>'Reported burning'!A1701</f>
        <v>205d</v>
      </c>
      <c r="B1701" s="152" t="str">
        <f>'Reported burning'!B1701</f>
        <v>205d.2</v>
      </c>
      <c r="C1701" s="152" t="str">
        <f>'Reported burning'!C1701</f>
        <v>All</v>
      </c>
      <c r="D1701" s="152" t="str">
        <f>'Reported burning'!D1701</f>
        <v>All</v>
      </c>
      <c r="E1701" s="152" t="str">
        <f>'Reported burning'!E1701</f>
        <v>All</v>
      </c>
      <c r="F1701" s="152" t="str">
        <f>'Reported burning'!F1701</f>
        <v>ND</v>
      </c>
      <c r="G1701" s="152" t="str">
        <f>'Reported burning'!G1701</f>
        <v>Shrubland (Mixed forest &amp; grassland)</v>
      </c>
      <c r="H1701" s="152" t="str">
        <f>'Reported burning'!H1701</f>
        <v>Presence</v>
      </c>
      <c r="I1701" s="3"/>
      <c r="J1701" s="4" t="s">
        <v>2276</v>
      </c>
      <c r="K1701" s="4" t="s">
        <v>2276</v>
      </c>
      <c r="L1701" s="4" t="s">
        <v>2276</v>
      </c>
      <c r="M1701" s="4" t="s">
        <v>2276</v>
      </c>
      <c r="N1701" s="4" t="s">
        <v>2276</v>
      </c>
      <c r="O1701" s="4" t="s">
        <v>2276</v>
      </c>
      <c r="P1701" s="4" t="s">
        <v>2276</v>
      </c>
      <c r="Q1701" s="4" t="s">
        <v>2276</v>
      </c>
      <c r="R1701" s="4" t="s">
        <v>2276</v>
      </c>
      <c r="S1701" s="4" t="s">
        <v>2276</v>
      </c>
      <c r="T1701" s="4" t="s">
        <v>2276</v>
      </c>
      <c r="U1701" s="4" t="s">
        <v>2276</v>
      </c>
      <c r="V1701" s="4" t="s">
        <v>2276</v>
      </c>
      <c r="W1701" s="4" t="s">
        <v>2276</v>
      </c>
      <c r="X1701" s="3" t="s">
        <v>86</v>
      </c>
      <c r="Y1701" s="3" t="s">
        <v>34</v>
      </c>
      <c r="Z1701" s="3" t="s">
        <v>2276</v>
      </c>
      <c r="AA1701" s="3"/>
      <c r="AB1701" s="4"/>
    </row>
    <row r="1702" spans="1:28" ht="36.5" customHeight="1">
      <c r="A1702" s="152" t="str">
        <f>'Reported burning'!A1702</f>
        <v>205e</v>
      </c>
      <c r="B1702" s="152" t="str">
        <f>'Reported burning'!B1702</f>
        <v>205e.2</v>
      </c>
      <c r="C1702" s="152" t="str">
        <f>'Reported burning'!C1702</f>
        <v>All</v>
      </c>
      <c r="D1702" s="152" t="str">
        <f>'Reported burning'!D1702</f>
        <v>All</v>
      </c>
      <c r="E1702" s="152" t="str">
        <f>'Reported burning'!E1702</f>
        <v>All</v>
      </c>
      <c r="F1702" s="152" t="str">
        <f>'Reported burning'!F1702</f>
        <v>ND</v>
      </c>
      <c r="G1702" s="152" t="str">
        <f>'Reported burning'!G1702</f>
        <v>Shrubland (Mixed forest &amp; grassland)</v>
      </c>
      <c r="H1702" s="152" t="str">
        <f>'Reported burning'!H1702</f>
        <v>Presence</v>
      </c>
      <c r="I1702" s="3"/>
      <c r="J1702" s="4" t="s">
        <v>2276</v>
      </c>
      <c r="K1702" s="4" t="s">
        <v>2276</v>
      </c>
      <c r="L1702" s="4" t="s">
        <v>2276</v>
      </c>
      <c r="M1702" s="4" t="s">
        <v>2276</v>
      </c>
      <c r="N1702" s="4" t="s">
        <v>2276</v>
      </c>
      <c r="O1702" s="4" t="s">
        <v>2276</v>
      </c>
      <c r="P1702" s="4" t="s">
        <v>2276</v>
      </c>
      <c r="Q1702" s="4" t="s">
        <v>2276</v>
      </c>
      <c r="R1702" s="4" t="s">
        <v>2276</v>
      </c>
      <c r="S1702" s="4" t="s">
        <v>2276</v>
      </c>
      <c r="T1702" s="4" t="s">
        <v>2276</v>
      </c>
      <c r="U1702" s="4" t="s">
        <v>2276</v>
      </c>
      <c r="V1702" s="4" t="s">
        <v>2276</v>
      </c>
      <c r="W1702" s="4" t="s">
        <v>2276</v>
      </c>
      <c r="X1702" s="3" t="s">
        <v>86</v>
      </c>
      <c r="Y1702" s="3" t="s">
        <v>34</v>
      </c>
      <c r="Z1702" s="3" t="s">
        <v>2276</v>
      </c>
      <c r="AA1702" s="3"/>
      <c r="AB1702" s="4"/>
    </row>
    <row r="1703" spans="1:28" ht="36.5" customHeight="1">
      <c r="A1703" s="152" t="str">
        <f>'Reported burning'!A1703</f>
        <v>205f</v>
      </c>
      <c r="B1703" s="152" t="str">
        <f>'Reported burning'!B1703</f>
        <v>205f.2</v>
      </c>
      <c r="C1703" s="152" t="str">
        <f>'Reported burning'!C1703</f>
        <v>All</v>
      </c>
      <c r="D1703" s="152" t="str">
        <f>'Reported burning'!D1703</f>
        <v>All</v>
      </c>
      <c r="E1703" s="152" t="str">
        <f>'Reported burning'!E1703</f>
        <v>All</v>
      </c>
      <c r="F1703" s="152" t="str">
        <f>'Reported burning'!F1703</f>
        <v>ND</v>
      </c>
      <c r="G1703" s="152" t="str">
        <f>'Reported burning'!G1703</f>
        <v>Shrubland (Mixed forest &amp; grassland)</v>
      </c>
      <c r="H1703" s="152" t="str">
        <f>'Reported burning'!H1703</f>
        <v>Presence</v>
      </c>
      <c r="I1703" s="3"/>
      <c r="J1703" s="4" t="s">
        <v>2276</v>
      </c>
      <c r="K1703" s="4" t="s">
        <v>2276</v>
      </c>
      <c r="L1703" s="4" t="s">
        <v>2276</v>
      </c>
      <c r="M1703" s="4" t="s">
        <v>2276</v>
      </c>
      <c r="N1703" s="4" t="s">
        <v>2276</v>
      </c>
      <c r="O1703" s="4" t="s">
        <v>2276</v>
      </c>
      <c r="P1703" s="4" t="s">
        <v>2276</v>
      </c>
      <c r="Q1703" s="4" t="s">
        <v>2276</v>
      </c>
      <c r="R1703" s="4" t="s">
        <v>2276</v>
      </c>
      <c r="S1703" s="4" t="s">
        <v>2276</v>
      </c>
      <c r="T1703" s="4" t="s">
        <v>2276</v>
      </c>
      <c r="U1703" s="4" t="s">
        <v>2276</v>
      </c>
      <c r="V1703" s="4" t="s">
        <v>2276</v>
      </c>
      <c r="W1703" s="4" t="s">
        <v>2276</v>
      </c>
      <c r="X1703" s="3" t="s">
        <v>404</v>
      </c>
      <c r="Y1703" s="3" t="s">
        <v>68</v>
      </c>
      <c r="Z1703" s="3" t="s">
        <v>2276</v>
      </c>
      <c r="AA1703" s="3"/>
      <c r="AB1703" s="3"/>
    </row>
    <row r="1704" spans="1:28" ht="36.5" customHeight="1">
      <c r="A1704" s="152" t="str">
        <f>'Reported burning'!A1704</f>
        <v>205g</v>
      </c>
      <c r="B1704" s="152" t="str">
        <f>'Reported burning'!B1704</f>
        <v>205g.2</v>
      </c>
      <c r="C1704" s="152" t="str">
        <f>'Reported burning'!C1704</f>
        <v>All</v>
      </c>
      <c r="D1704" s="152" t="str">
        <f>'Reported burning'!D1704</f>
        <v>All</v>
      </c>
      <c r="E1704" s="152" t="str">
        <f>'Reported burning'!E1704</f>
        <v>All</v>
      </c>
      <c r="F1704" s="152" t="str">
        <f>'Reported burning'!F1704</f>
        <v>ND</v>
      </c>
      <c r="G1704" s="152" t="str">
        <f>'Reported burning'!G1704</f>
        <v>Shrubland (Mixed forest &amp; grassland)</v>
      </c>
      <c r="H1704" s="152" t="str">
        <f>'Reported burning'!H1704</f>
        <v>Presence</v>
      </c>
      <c r="I1704" s="3"/>
      <c r="J1704" s="4" t="s">
        <v>2276</v>
      </c>
      <c r="K1704" s="4" t="s">
        <v>2276</v>
      </c>
      <c r="L1704" s="4" t="s">
        <v>2276</v>
      </c>
      <c r="M1704" s="4" t="s">
        <v>2276</v>
      </c>
      <c r="N1704" s="4" t="s">
        <v>2276</v>
      </c>
      <c r="O1704" s="4" t="s">
        <v>2276</v>
      </c>
      <c r="P1704" s="4" t="s">
        <v>2276</v>
      </c>
      <c r="Q1704" s="4" t="s">
        <v>2276</v>
      </c>
      <c r="R1704" s="4" t="s">
        <v>2276</v>
      </c>
      <c r="S1704" s="4" t="s">
        <v>2276</v>
      </c>
      <c r="T1704" s="4" t="s">
        <v>2276</v>
      </c>
      <c r="U1704" s="4" t="s">
        <v>2276</v>
      </c>
      <c r="V1704" s="4" t="s">
        <v>2276</v>
      </c>
      <c r="W1704" s="4" t="s">
        <v>2276</v>
      </c>
      <c r="X1704" s="3" t="s">
        <v>404</v>
      </c>
      <c r="Y1704" s="3" t="s">
        <v>68</v>
      </c>
      <c r="Z1704" s="3" t="s">
        <v>2276</v>
      </c>
      <c r="AA1704" s="3"/>
      <c r="AB1704" s="3"/>
    </row>
    <row r="1705" spans="1:28" ht="36.5" customHeight="1">
      <c r="A1705" s="152" t="str">
        <f>'Reported burning'!A1705</f>
        <v>205h</v>
      </c>
      <c r="B1705" s="152" t="str">
        <f>'Reported burning'!B1705</f>
        <v>205h.2</v>
      </c>
      <c r="C1705" s="152" t="str">
        <f>'Reported burning'!C1705</f>
        <v>All</v>
      </c>
      <c r="D1705" s="152" t="str">
        <f>'Reported burning'!D1705</f>
        <v>All</v>
      </c>
      <c r="E1705" s="152" t="str">
        <f>'Reported burning'!E1705</f>
        <v>All</v>
      </c>
      <c r="F1705" s="152" t="str">
        <f>'Reported burning'!F1705</f>
        <v>ND</v>
      </c>
      <c r="G1705" s="152" t="str">
        <f>'Reported burning'!G1705</f>
        <v>Shrubland (Mixed forest &amp; grassland)</v>
      </c>
      <c r="H1705" s="152" t="str">
        <f>'Reported burning'!H1705</f>
        <v>Presence</v>
      </c>
      <c r="I1705" s="3"/>
      <c r="J1705" s="4" t="s">
        <v>2276</v>
      </c>
      <c r="K1705" s="4" t="s">
        <v>2276</v>
      </c>
      <c r="L1705" s="4" t="s">
        <v>2276</v>
      </c>
      <c r="M1705" s="4" t="s">
        <v>2276</v>
      </c>
      <c r="N1705" s="4" t="s">
        <v>2276</v>
      </c>
      <c r="O1705" s="4" t="s">
        <v>2276</v>
      </c>
      <c r="P1705" s="4" t="s">
        <v>2276</v>
      </c>
      <c r="Q1705" s="4" t="s">
        <v>2276</v>
      </c>
      <c r="R1705" s="4" t="s">
        <v>2276</v>
      </c>
      <c r="S1705" s="4" t="s">
        <v>2276</v>
      </c>
      <c r="T1705" s="4" t="s">
        <v>2276</v>
      </c>
      <c r="U1705" s="4" t="s">
        <v>2276</v>
      </c>
      <c r="V1705" s="4" t="s">
        <v>2276</v>
      </c>
      <c r="W1705" s="4" t="s">
        <v>2276</v>
      </c>
      <c r="X1705" s="3" t="s">
        <v>404</v>
      </c>
      <c r="Y1705" s="3" t="s">
        <v>68</v>
      </c>
      <c r="Z1705" s="3" t="s">
        <v>2276</v>
      </c>
      <c r="AA1705" s="3"/>
      <c r="AB1705" s="3"/>
    </row>
    <row r="1706" spans="1:28" ht="36.5" customHeight="1">
      <c r="A1706" s="152" t="str">
        <f>'Reported burning'!A1706</f>
        <v>205i</v>
      </c>
      <c r="B1706" s="152" t="str">
        <f>'Reported burning'!B1706</f>
        <v>205i.2</v>
      </c>
      <c r="C1706" s="152" t="str">
        <f>'Reported burning'!C1706</f>
        <v>All</v>
      </c>
      <c r="D1706" s="152" t="str">
        <f>'Reported burning'!D1706</f>
        <v>All</v>
      </c>
      <c r="E1706" s="152" t="str">
        <f>'Reported burning'!E1706</f>
        <v>All</v>
      </c>
      <c r="F1706" s="152" t="str">
        <f>'Reported burning'!F1706</f>
        <v>ND</v>
      </c>
      <c r="G1706" s="152" t="str">
        <f>'Reported burning'!G1706</f>
        <v>Shrubland (Mixed forest &amp; grassland)</v>
      </c>
      <c r="H1706" s="152" t="str">
        <f>'Reported burning'!H1706</f>
        <v>Presence</v>
      </c>
      <c r="I1706" s="3"/>
      <c r="J1706" s="4" t="s">
        <v>2276</v>
      </c>
      <c r="K1706" s="4" t="s">
        <v>2276</v>
      </c>
      <c r="L1706" s="4" t="s">
        <v>2276</v>
      </c>
      <c r="M1706" s="4" t="s">
        <v>2276</v>
      </c>
      <c r="N1706" s="4" t="s">
        <v>2276</v>
      </c>
      <c r="O1706" s="4" t="s">
        <v>2276</v>
      </c>
      <c r="P1706" s="4" t="s">
        <v>2276</v>
      </c>
      <c r="Q1706" s="4" t="s">
        <v>2276</v>
      </c>
      <c r="R1706" s="4" t="s">
        <v>2276</v>
      </c>
      <c r="S1706" s="4" t="s">
        <v>2276</v>
      </c>
      <c r="T1706" s="4" t="s">
        <v>2276</v>
      </c>
      <c r="U1706" s="4" t="s">
        <v>2276</v>
      </c>
      <c r="V1706" s="4" t="s">
        <v>2276</v>
      </c>
      <c r="W1706" s="4" t="s">
        <v>2276</v>
      </c>
      <c r="X1706" s="3" t="s">
        <v>404</v>
      </c>
      <c r="Y1706" s="3" t="s">
        <v>68</v>
      </c>
      <c r="Z1706" s="3" t="s">
        <v>2276</v>
      </c>
      <c r="AA1706" s="3"/>
      <c r="AB1706" s="3"/>
    </row>
    <row r="1707" spans="1:28" ht="36.5" customHeight="1">
      <c r="A1707" s="152" t="str">
        <f>'Reported burning'!A1707</f>
        <v>205j</v>
      </c>
      <c r="B1707" s="152" t="str">
        <f>'Reported burning'!B1707</f>
        <v>205j.2</v>
      </c>
      <c r="C1707" s="152" t="str">
        <f>'Reported burning'!C1707</f>
        <v>All</v>
      </c>
      <c r="D1707" s="152" t="str">
        <f>'Reported burning'!D1707</f>
        <v>All</v>
      </c>
      <c r="E1707" s="152" t="str">
        <f>'Reported burning'!E1707</f>
        <v>All</v>
      </c>
      <c r="F1707" s="152" t="str">
        <f>'Reported burning'!F1707</f>
        <v>ND</v>
      </c>
      <c r="G1707" s="152" t="str">
        <f>'Reported burning'!G1707</f>
        <v>Shrubland (Mixed forest &amp; grassland)</v>
      </c>
      <c r="H1707" s="152" t="str">
        <f>'Reported burning'!H1707</f>
        <v>Presence</v>
      </c>
      <c r="I1707" s="3"/>
      <c r="J1707" s="4" t="s">
        <v>2276</v>
      </c>
      <c r="K1707" s="4" t="s">
        <v>2276</v>
      </c>
      <c r="L1707" s="4" t="s">
        <v>2276</v>
      </c>
      <c r="M1707" s="4" t="s">
        <v>2276</v>
      </c>
      <c r="N1707" s="4" t="s">
        <v>2276</v>
      </c>
      <c r="O1707" s="4" t="s">
        <v>2276</v>
      </c>
      <c r="P1707" s="4" t="s">
        <v>2276</v>
      </c>
      <c r="Q1707" s="4" t="s">
        <v>2276</v>
      </c>
      <c r="R1707" s="4" t="s">
        <v>2276</v>
      </c>
      <c r="S1707" s="4" t="s">
        <v>2276</v>
      </c>
      <c r="T1707" s="4" t="s">
        <v>2276</v>
      </c>
      <c r="U1707" s="4" t="s">
        <v>2276</v>
      </c>
      <c r="V1707" s="4" t="s">
        <v>2276</v>
      </c>
      <c r="W1707" s="4" t="s">
        <v>2276</v>
      </c>
      <c r="X1707" s="3" t="s">
        <v>404</v>
      </c>
      <c r="Y1707" s="3" t="s">
        <v>68</v>
      </c>
      <c r="Z1707" s="3" t="s">
        <v>2276</v>
      </c>
      <c r="AA1707" s="3"/>
      <c r="AB1707" s="3"/>
    </row>
    <row r="1708" spans="1:28" ht="36.5" customHeight="1">
      <c r="A1708" s="152" t="str">
        <f>'Reported burning'!A1708</f>
        <v>205a</v>
      </c>
      <c r="B1708" s="152" t="str">
        <f>'Reported burning'!B1708</f>
        <v>205a.3</v>
      </c>
      <c r="C1708" s="152" t="str">
        <f>'Reported burning'!C1708</f>
        <v>All</v>
      </c>
      <c r="D1708" s="152" t="str">
        <f>'Reported burning'!D1708</f>
        <v>All</v>
      </c>
      <c r="E1708" s="152" t="str">
        <f>'Reported burning'!E1708</f>
        <v>All</v>
      </c>
      <c r="F1708" s="152" t="str">
        <f>'Reported burning'!F1708</f>
        <v>ND</v>
      </c>
      <c r="G1708" s="152" t="str">
        <f>'Reported burning'!G1708</f>
        <v>Shrubland (Mixed forest &amp; grassland)</v>
      </c>
      <c r="H1708" s="152" t="str">
        <f>'Reported burning'!H1708</f>
        <v>Presence</v>
      </c>
      <c r="I1708" s="3"/>
      <c r="J1708" s="4" t="s">
        <v>2276</v>
      </c>
      <c r="K1708" s="4" t="s">
        <v>2276</v>
      </c>
      <c r="L1708" s="4" t="s">
        <v>2276</v>
      </c>
      <c r="M1708" s="4" t="s">
        <v>2276</v>
      </c>
      <c r="N1708" s="4" t="s">
        <v>2276</v>
      </c>
      <c r="O1708" s="4" t="s">
        <v>2276</v>
      </c>
      <c r="P1708" s="4" t="s">
        <v>2276</v>
      </c>
      <c r="Q1708" s="4" t="s">
        <v>2276</v>
      </c>
      <c r="R1708" s="4" t="s">
        <v>2276</v>
      </c>
      <c r="S1708" s="4" t="s">
        <v>2276</v>
      </c>
      <c r="T1708" s="4" t="s">
        <v>2276</v>
      </c>
      <c r="U1708" s="4" t="s">
        <v>2276</v>
      </c>
      <c r="V1708" s="4" t="s">
        <v>2276</v>
      </c>
      <c r="W1708" s="4" t="s">
        <v>2276</v>
      </c>
      <c r="X1708" s="3" t="s">
        <v>404</v>
      </c>
      <c r="Y1708" s="3" t="s">
        <v>68</v>
      </c>
      <c r="Z1708" s="3" t="s">
        <v>2276</v>
      </c>
      <c r="AA1708" s="3"/>
      <c r="AB1708" s="3"/>
    </row>
    <row r="1709" spans="1:28" ht="36.5" customHeight="1">
      <c r="A1709" s="152" t="str">
        <f>'Reported burning'!A1709</f>
        <v>205b</v>
      </c>
      <c r="B1709" s="152" t="str">
        <f>'Reported burning'!B1709</f>
        <v>205b.3</v>
      </c>
      <c r="C1709" s="152" t="str">
        <f>'Reported burning'!C1709</f>
        <v>All</v>
      </c>
      <c r="D1709" s="152" t="str">
        <f>'Reported burning'!D1709</f>
        <v>All</v>
      </c>
      <c r="E1709" s="152" t="str">
        <f>'Reported burning'!E1709</f>
        <v>All</v>
      </c>
      <c r="F1709" s="152" t="str">
        <f>'Reported burning'!F1709</f>
        <v>ND</v>
      </c>
      <c r="G1709" s="152" t="str">
        <f>'Reported burning'!G1709</f>
        <v>Shrubland (Mixed forest &amp; grassland)</v>
      </c>
      <c r="H1709" s="152" t="str">
        <f>'Reported burning'!H1709</f>
        <v>Presence</v>
      </c>
      <c r="I1709" s="3"/>
      <c r="J1709" s="4" t="s">
        <v>2276</v>
      </c>
      <c r="K1709" s="4" t="s">
        <v>2276</v>
      </c>
      <c r="L1709" s="4" t="s">
        <v>2276</v>
      </c>
      <c r="M1709" s="4" t="s">
        <v>2276</v>
      </c>
      <c r="N1709" s="4" t="s">
        <v>2276</v>
      </c>
      <c r="O1709" s="4" t="s">
        <v>2276</v>
      </c>
      <c r="P1709" s="4" t="s">
        <v>2276</v>
      </c>
      <c r="Q1709" s="4" t="s">
        <v>2276</v>
      </c>
      <c r="R1709" s="4" t="s">
        <v>2276</v>
      </c>
      <c r="S1709" s="4" t="s">
        <v>2276</v>
      </c>
      <c r="T1709" s="4" t="s">
        <v>2276</v>
      </c>
      <c r="U1709" s="4" t="s">
        <v>2276</v>
      </c>
      <c r="V1709" s="4" t="s">
        <v>2276</v>
      </c>
      <c r="W1709" s="4" t="s">
        <v>2276</v>
      </c>
      <c r="X1709" s="3" t="s">
        <v>404</v>
      </c>
      <c r="Y1709" s="3" t="s">
        <v>68</v>
      </c>
      <c r="Z1709" s="3" t="s">
        <v>2276</v>
      </c>
      <c r="AA1709" s="3"/>
      <c r="AB1709" s="3"/>
    </row>
    <row r="1710" spans="1:28" ht="36.5" customHeight="1">
      <c r="A1710" s="152" t="str">
        <f>'Reported burning'!A1710</f>
        <v>205c</v>
      </c>
      <c r="B1710" s="152" t="str">
        <f>'Reported burning'!B1710</f>
        <v>205c.3</v>
      </c>
      <c r="C1710" s="152" t="str">
        <f>'Reported burning'!C1710</f>
        <v>All</v>
      </c>
      <c r="D1710" s="152" t="str">
        <f>'Reported burning'!D1710</f>
        <v>All</v>
      </c>
      <c r="E1710" s="152" t="str">
        <f>'Reported burning'!E1710</f>
        <v>All</v>
      </c>
      <c r="F1710" s="152" t="str">
        <f>'Reported burning'!F1710</f>
        <v>ND</v>
      </c>
      <c r="G1710" s="152" t="str">
        <f>'Reported burning'!G1710</f>
        <v>Shrubland (Mixed forest &amp; grassland)</v>
      </c>
      <c r="H1710" s="152" t="str">
        <f>'Reported burning'!H1710</f>
        <v>Presence</v>
      </c>
      <c r="I1710" s="3"/>
      <c r="J1710" s="4" t="s">
        <v>2276</v>
      </c>
      <c r="K1710" s="4" t="s">
        <v>2276</v>
      </c>
      <c r="L1710" s="4" t="s">
        <v>2276</v>
      </c>
      <c r="M1710" s="4" t="s">
        <v>2276</v>
      </c>
      <c r="N1710" s="4" t="s">
        <v>2276</v>
      </c>
      <c r="O1710" s="4" t="s">
        <v>2276</v>
      </c>
      <c r="P1710" s="4" t="s">
        <v>2276</v>
      </c>
      <c r="Q1710" s="4" t="s">
        <v>2276</v>
      </c>
      <c r="R1710" s="4" t="s">
        <v>2276</v>
      </c>
      <c r="S1710" s="4" t="s">
        <v>2276</v>
      </c>
      <c r="T1710" s="4" t="s">
        <v>2276</v>
      </c>
      <c r="U1710" s="4" t="s">
        <v>2276</v>
      </c>
      <c r="V1710" s="4" t="s">
        <v>2276</v>
      </c>
      <c r="W1710" s="4" t="s">
        <v>2276</v>
      </c>
      <c r="X1710" s="3" t="s">
        <v>404</v>
      </c>
      <c r="Y1710" s="3" t="s">
        <v>68</v>
      </c>
      <c r="Z1710" s="3" t="s">
        <v>2276</v>
      </c>
      <c r="AA1710" s="3"/>
      <c r="AB1710" s="3"/>
    </row>
    <row r="1711" spans="1:28" ht="36.5" customHeight="1">
      <c r="A1711" s="152" t="str">
        <f>'Reported burning'!A1711</f>
        <v>205d</v>
      </c>
      <c r="B1711" s="152" t="str">
        <f>'Reported burning'!B1711</f>
        <v>205d.3</v>
      </c>
      <c r="C1711" s="152" t="str">
        <f>'Reported burning'!C1711</f>
        <v>All</v>
      </c>
      <c r="D1711" s="152" t="str">
        <f>'Reported burning'!D1711</f>
        <v>All</v>
      </c>
      <c r="E1711" s="152" t="str">
        <f>'Reported burning'!E1711</f>
        <v>All</v>
      </c>
      <c r="F1711" s="152" t="str">
        <f>'Reported burning'!F1711</f>
        <v>ND</v>
      </c>
      <c r="G1711" s="152" t="str">
        <f>'Reported burning'!G1711</f>
        <v>Shrubland (Mixed forest &amp; grassland)</v>
      </c>
      <c r="H1711" s="152" t="str">
        <f>'Reported burning'!H1711</f>
        <v>Presence</v>
      </c>
      <c r="I1711" s="3"/>
      <c r="J1711" s="4" t="s">
        <v>2276</v>
      </c>
      <c r="K1711" s="4" t="s">
        <v>2276</v>
      </c>
      <c r="L1711" s="4" t="s">
        <v>2276</v>
      </c>
      <c r="M1711" s="4" t="s">
        <v>2276</v>
      </c>
      <c r="N1711" s="4" t="s">
        <v>2276</v>
      </c>
      <c r="O1711" s="4" t="s">
        <v>2276</v>
      </c>
      <c r="P1711" s="4" t="s">
        <v>2276</v>
      </c>
      <c r="Q1711" s="4" t="s">
        <v>2276</v>
      </c>
      <c r="R1711" s="4" t="s">
        <v>2276</v>
      </c>
      <c r="S1711" s="4" t="s">
        <v>2276</v>
      </c>
      <c r="T1711" s="4" t="s">
        <v>2276</v>
      </c>
      <c r="U1711" s="4" t="s">
        <v>2276</v>
      </c>
      <c r="V1711" s="4" t="s">
        <v>2276</v>
      </c>
      <c r="W1711" s="4" t="s">
        <v>2276</v>
      </c>
      <c r="X1711" s="3" t="s">
        <v>404</v>
      </c>
      <c r="Y1711" s="3" t="s">
        <v>68</v>
      </c>
      <c r="Z1711" s="3" t="s">
        <v>2276</v>
      </c>
      <c r="AA1711" s="3"/>
      <c r="AB1711" s="3"/>
    </row>
    <row r="1712" spans="1:28" ht="36.5" customHeight="1">
      <c r="A1712" s="152" t="str">
        <f>'Reported burning'!A1712</f>
        <v>205e</v>
      </c>
      <c r="B1712" s="152" t="str">
        <f>'Reported burning'!B1712</f>
        <v>205e.3</v>
      </c>
      <c r="C1712" s="152" t="str">
        <f>'Reported burning'!C1712</f>
        <v>All</v>
      </c>
      <c r="D1712" s="152" t="str">
        <f>'Reported burning'!D1712</f>
        <v>All</v>
      </c>
      <c r="E1712" s="152" t="str">
        <f>'Reported burning'!E1712</f>
        <v>All</v>
      </c>
      <c r="F1712" s="152" t="str">
        <f>'Reported burning'!F1712</f>
        <v>ND</v>
      </c>
      <c r="G1712" s="152" t="str">
        <f>'Reported burning'!G1712</f>
        <v>Shrubland (Mixed forest &amp; grassland)</v>
      </c>
      <c r="H1712" s="152" t="str">
        <f>'Reported burning'!H1712</f>
        <v>Presence</v>
      </c>
      <c r="I1712" s="3"/>
      <c r="J1712" s="4" t="s">
        <v>2276</v>
      </c>
      <c r="K1712" s="4" t="s">
        <v>2276</v>
      </c>
      <c r="L1712" s="4" t="s">
        <v>2276</v>
      </c>
      <c r="M1712" s="4" t="s">
        <v>2276</v>
      </c>
      <c r="N1712" s="4" t="s">
        <v>2276</v>
      </c>
      <c r="O1712" s="4" t="s">
        <v>2276</v>
      </c>
      <c r="P1712" s="4" t="s">
        <v>2276</v>
      </c>
      <c r="Q1712" s="4" t="s">
        <v>2276</v>
      </c>
      <c r="R1712" s="4" t="s">
        <v>2276</v>
      </c>
      <c r="S1712" s="4" t="s">
        <v>2276</v>
      </c>
      <c r="T1712" s="4" t="s">
        <v>2276</v>
      </c>
      <c r="U1712" s="4" t="s">
        <v>2276</v>
      </c>
      <c r="V1712" s="4" t="s">
        <v>2276</v>
      </c>
      <c r="W1712" s="4" t="s">
        <v>2276</v>
      </c>
      <c r="X1712" s="3" t="s">
        <v>404</v>
      </c>
      <c r="Y1712" s="3" t="s">
        <v>68</v>
      </c>
      <c r="Z1712" s="3" t="s">
        <v>2276</v>
      </c>
      <c r="AA1712" s="3"/>
      <c r="AB1712" s="3"/>
    </row>
    <row r="1713" spans="1:28" ht="36.5" customHeight="1">
      <c r="A1713" s="152" t="str">
        <f>'Reported burning'!A1713</f>
        <v>205f</v>
      </c>
      <c r="B1713" s="152" t="str">
        <f>'Reported burning'!B1713</f>
        <v>205f.3</v>
      </c>
      <c r="C1713" s="152" t="str">
        <f>'Reported burning'!C1713</f>
        <v>Human, escaped</v>
      </c>
      <c r="D1713" s="152" t="str">
        <f>'Reported burning'!D1713</f>
        <v>Pyrome management</v>
      </c>
      <c r="E1713" s="152" t="str">
        <f>'Reported burning'!E1713</f>
        <v>Biodiversity conservation</v>
      </c>
      <c r="F1713" s="152" t="str">
        <f>'Reported burning'!F1713</f>
        <v>Shrubland (Mixed forest &amp; grassland)</v>
      </c>
      <c r="G1713" s="152" t="str">
        <f>'Reported burning'!G1713</f>
        <v>Shrubland (Mixed forest &amp; grassland)</v>
      </c>
      <c r="H1713" s="152" t="str">
        <f>'Reported burning'!H1713</f>
        <v>Presence</v>
      </c>
      <c r="I1713" s="3"/>
      <c r="J1713" s="4" t="s">
        <v>2276</v>
      </c>
      <c r="K1713" s="4" t="s">
        <v>2276</v>
      </c>
      <c r="L1713" s="4" t="s">
        <v>2276</v>
      </c>
      <c r="M1713" s="4" t="s">
        <v>2276</v>
      </c>
      <c r="N1713" s="4" t="s">
        <v>2276</v>
      </c>
      <c r="O1713" s="4" t="s">
        <v>2276</v>
      </c>
      <c r="P1713" s="4" t="s">
        <v>2276</v>
      </c>
      <c r="Q1713" s="4" t="s">
        <v>2276</v>
      </c>
      <c r="R1713" s="4" t="s">
        <v>2276</v>
      </c>
      <c r="S1713" s="4" t="s">
        <v>2276</v>
      </c>
      <c r="T1713" s="4" t="s">
        <v>2276</v>
      </c>
      <c r="U1713" s="4" t="s">
        <v>2276</v>
      </c>
      <c r="V1713" s="4" t="s">
        <v>2276</v>
      </c>
      <c r="W1713" s="4" t="s">
        <v>2276</v>
      </c>
      <c r="X1713" s="3" t="s">
        <v>405</v>
      </c>
      <c r="Y1713" s="3" t="s">
        <v>35</v>
      </c>
      <c r="Z1713" s="3" t="s">
        <v>2276</v>
      </c>
      <c r="AA1713" s="4" t="s">
        <v>5185</v>
      </c>
      <c r="AB1713" s="3"/>
    </row>
    <row r="1714" spans="1:28" ht="36.5" customHeight="1">
      <c r="A1714" s="152" t="str">
        <f>'Reported burning'!A1714</f>
        <v>205g</v>
      </c>
      <c r="B1714" s="152" t="str">
        <f>'Reported burning'!B1714</f>
        <v>205g.3</v>
      </c>
      <c r="C1714" s="152" t="str">
        <f>'Reported burning'!C1714</f>
        <v>Human, escaped</v>
      </c>
      <c r="D1714" s="152" t="str">
        <f>'Reported burning'!D1714</f>
        <v>Pyrome management</v>
      </c>
      <c r="E1714" s="152" t="str">
        <f>'Reported burning'!E1714</f>
        <v>Biodiversity conservation</v>
      </c>
      <c r="F1714" s="152" t="str">
        <f>'Reported burning'!F1714</f>
        <v>Shrubland (Mixed forest &amp; grassland)</v>
      </c>
      <c r="G1714" s="152" t="str">
        <f>'Reported burning'!G1714</f>
        <v>Shrubland (Mixed forest &amp; grassland)</v>
      </c>
      <c r="H1714" s="152" t="str">
        <f>'Reported burning'!H1714</f>
        <v>Presence</v>
      </c>
      <c r="I1714" s="3"/>
      <c r="J1714" s="4" t="s">
        <v>2276</v>
      </c>
      <c r="K1714" s="4" t="s">
        <v>2276</v>
      </c>
      <c r="L1714" s="4" t="s">
        <v>2276</v>
      </c>
      <c r="M1714" s="4" t="s">
        <v>2276</v>
      </c>
      <c r="N1714" s="4" t="s">
        <v>2276</v>
      </c>
      <c r="O1714" s="4" t="s">
        <v>2276</v>
      </c>
      <c r="P1714" s="4" t="s">
        <v>2276</v>
      </c>
      <c r="Q1714" s="4" t="s">
        <v>2276</v>
      </c>
      <c r="R1714" s="4" t="s">
        <v>2276</v>
      </c>
      <c r="S1714" s="4" t="s">
        <v>2276</v>
      </c>
      <c r="T1714" s="4" t="s">
        <v>2276</v>
      </c>
      <c r="U1714" s="4" t="s">
        <v>2276</v>
      </c>
      <c r="V1714" s="4" t="s">
        <v>2276</v>
      </c>
      <c r="W1714" s="4" t="s">
        <v>2276</v>
      </c>
      <c r="X1714" s="3" t="s">
        <v>405</v>
      </c>
      <c r="Y1714" s="3" t="s">
        <v>35</v>
      </c>
      <c r="Z1714" s="3" t="s">
        <v>2276</v>
      </c>
      <c r="AA1714" s="4" t="s">
        <v>5185</v>
      </c>
      <c r="AB1714" s="3"/>
    </row>
    <row r="1715" spans="1:28" ht="36.5" customHeight="1">
      <c r="A1715" s="152" t="str">
        <f>'Reported burning'!A1715</f>
        <v>205f</v>
      </c>
      <c r="B1715" s="152" t="str">
        <f>'Reported burning'!B1715</f>
        <v>205f.4</v>
      </c>
      <c r="C1715" s="152" t="str">
        <f>'Reported burning'!C1715</f>
        <v>Human, accidental</v>
      </c>
      <c r="D1715" s="152" t="str">
        <f>'Reported burning'!D1715</f>
        <v>Accidental</v>
      </c>
      <c r="E1715" s="152" t="str">
        <f>'Reported burning'!E1715</f>
        <v>Tourism manager</v>
      </c>
      <c r="F1715" s="152" t="str">
        <f>'Reported burning'!F1715</f>
        <v>ND</v>
      </c>
      <c r="G1715" s="152" t="str">
        <f>'Reported burning'!G1715</f>
        <v>Shrubland (Mixed forest &amp; grassland)</v>
      </c>
      <c r="H1715" s="152" t="str">
        <f>'Reported burning'!H1715</f>
        <v>Presence</v>
      </c>
      <c r="I1715" s="3"/>
      <c r="J1715" s="4" t="s">
        <v>2276</v>
      </c>
      <c r="K1715" s="4" t="s">
        <v>2276</v>
      </c>
      <c r="L1715" s="4" t="s">
        <v>2276</v>
      </c>
      <c r="M1715" s="4" t="s">
        <v>2276</v>
      </c>
      <c r="N1715" s="4" t="s">
        <v>2276</v>
      </c>
      <c r="O1715" s="4" t="s">
        <v>2276</v>
      </c>
      <c r="P1715" s="4" t="s">
        <v>2276</v>
      </c>
      <c r="Q1715" s="4" t="s">
        <v>2276</v>
      </c>
      <c r="R1715" s="4" t="s">
        <v>2276</v>
      </c>
      <c r="S1715" s="4" t="s">
        <v>2276</v>
      </c>
      <c r="T1715" s="4" t="s">
        <v>2276</v>
      </c>
      <c r="U1715" s="4" t="s">
        <v>2276</v>
      </c>
      <c r="V1715" s="4" t="s">
        <v>2276</v>
      </c>
      <c r="W1715" s="4" t="s">
        <v>2276</v>
      </c>
      <c r="X1715" s="3" t="s">
        <v>405</v>
      </c>
      <c r="Y1715" s="3" t="s">
        <v>35</v>
      </c>
      <c r="Z1715" s="3" t="s">
        <v>2276</v>
      </c>
      <c r="AA1715" s="4" t="s">
        <v>5185</v>
      </c>
      <c r="AB1715" s="3"/>
    </row>
    <row r="1716" spans="1:28" ht="36.5" customHeight="1">
      <c r="A1716" s="152" t="str">
        <f>'Reported burning'!A1716</f>
        <v>205g</v>
      </c>
      <c r="B1716" s="152" t="str">
        <f>'Reported burning'!B1716</f>
        <v>205g.4</v>
      </c>
      <c r="C1716" s="152" t="str">
        <f>'Reported burning'!C1716</f>
        <v>Human, accidental</v>
      </c>
      <c r="D1716" s="152" t="str">
        <f>'Reported burning'!D1716</f>
        <v>Accidental</v>
      </c>
      <c r="E1716" s="152" t="str">
        <f>'Reported burning'!E1716</f>
        <v>Tourism manager</v>
      </c>
      <c r="F1716" s="152" t="str">
        <f>'Reported burning'!F1716</f>
        <v>ND</v>
      </c>
      <c r="G1716" s="152" t="str">
        <f>'Reported burning'!G1716</f>
        <v>Shrubland (Mixed forest &amp; grassland)</v>
      </c>
      <c r="H1716" s="152" t="str">
        <f>'Reported burning'!H1716</f>
        <v>Presence</v>
      </c>
      <c r="I1716" s="3"/>
      <c r="J1716" s="4" t="s">
        <v>2276</v>
      </c>
      <c r="K1716" s="4" t="s">
        <v>2276</v>
      </c>
      <c r="L1716" s="4" t="s">
        <v>2276</v>
      </c>
      <c r="M1716" s="4" t="s">
        <v>2276</v>
      </c>
      <c r="N1716" s="4" t="s">
        <v>2276</v>
      </c>
      <c r="O1716" s="4" t="s">
        <v>2276</v>
      </c>
      <c r="P1716" s="4" t="s">
        <v>2276</v>
      </c>
      <c r="Q1716" s="4" t="s">
        <v>2276</v>
      </c>
      <c r="R1716" s="4" t="s">
        <v>2276</v>
      </c>
      <c r="S1716" s="4" t="s">
        <v>2276</v>
      </c>
      <c r="T1716" s="4" t="s">
        <v>2276</v>
      </c>
      <c r="U1716" s="4" t="s">
        <v>2276</v>
      </c>
      <c r="V1716" s="4" t="s">
        <v>2276</v>
      </c>
      <c r="W1716" s="4" t="s">
        <v>2276</v>
      </c>
      <c r="X1716" s="3" t="s">
        <v>405</v>
      </c>
      <c r="Y1716" s="3" t="s">
        <v>35</v>
      </c>
      <c r="Z1716" s="3" t="s">
        <v>2276</v>
      </c>
      <c r="AA1716" s="4" t="s">
        <v>5185</v>
      </c>
      <c r="AB1716" s="3"/>
    </row>
    <row r="1717" spans="1:28" ht="36.5" customHeight="1">
      <c r="A1717" s="152" t="str">
        <f>'Reported burning'!A1717</f>
        <v>205f</v>
      </c>
      <c r="B1717" s="152" t="str">
        <f>'Reported burning'!B1717</f>
        <v>205f.5</v>
      </c>
      <c r="C1717" s="152" t="str">
        <f>'Reported burning'!C1717</f>
        <v>Human, accidental</v>
      </c>
      <c r="D1717" s="152" t="str">
        <f>'Reported burning'!D1717</f>
        <v>Accidental</v>
      </c>
      <c r="E1717" s="152" t="str">
        <f>'Reported burning'!E1717</f>
        <v>Urban planner</v>
      </c>
      <c r="F1717" s="152" t="str">
        <f>'Reported burning'!F1717</f>
        <v>ND</v>
      </c>
      <c r="G1717" s="152" t="str">
        <f>'Reported burning'!G1717</f>
        <v>Shrubland (Mixed forest &amp; grassland)</v>
      </c>
      <c r="H1717" s="152" t="str">
        <f>'Reported burning'!H1717</f>
        <v>Presence</v>
      </c>
      <c r="I1717" s="3"/>
      <c r="J1717" s="4" t="s">
        <v>2276</v>
      </c>
      <c r="K1717" s="4" t="s">
        <v>2276</v>
      </c>
      <c r="L1717" s="4" t="s">
        <v>2276</v>
      </c>
      <c r="M1717" s="4" t="s">
        <v>2276</v>
      </c>
      <c r="N1717" s="4" t="s">
        <v>2276</v>
      </c>
      <c r="O1717" s="4" t="s">
        <v>2276</v>
      </c>
      <c r="P1717" s="4" t="s">
        <v>2276</v>
      </c>
      <c r="Q1717" s="4" t="s">
        <v>2276</v>
      </c>
      <c r="R1717" s="4" t="s">
        <v>2276</v>
      </c>
      <c r="S1717" s="4" t="s">
        <v>2276</v>
      </c>
      <c r="T1717" s="4" t="s">
        <v>2276</v>
      </c>
      <c r="U1717" s="4" t="s">
        <v>2276</v>
      </c>
      <c r="V1717" s="4" t="s">
        <v>2276</v>
      </c>
      <c r="W1717" s="4" t="s">
        <v>2276</v>
      </c>
      <c r="X1717" s="3" t="s">
        <v>405</v>
      </c>
      <c r="Y1717" s="3" t="s">
        <v>35</v>
      </c>
      <c r="Z1717" s="3" t="s">
        <v>2276</v>
      </c>
      <c r="AA1717" s="4" t="s">
        <v>5185</v>
      </c>
      <c r="AB1717" s="3"/>
    </row>
    <row r="1718" spans="1:28" ht="36.5" customHeight="1">
      <c r="A1718" s="152" t="str">
        <f>'Reported burning'!A1718</f>
        <v>205g</v>
      </c>
      <c r="B1718" s="152" t="str">
        <f>'Reported burning'!B1718</f>
        <v>205g.5</v>
      </c>
      <c r="C1718" s="152" t="str">
        <f>'Reported burning'!C1718</f>
        <v>Human, accidental</v>
      </c>
      <c r="D1718" s="152" t="str">
        <f>'Reported burning'!D1718</f>
        <v>Accidental</v>
      </c>
      <c r="E1718" s="152" t="str">
        <f>'Reported burning'!E1718</f>
        <v>Urban planner</v>
      </c>
      <c r="F1718" s="152" t="str">
        <f>'Reported burning'!F1718</f>
        <v>ND</v>
      </c>
      <c r="G1718" s="152" t="str">
        <f>'Reported burning'!G1718</f>
        <v>Shrubland (Mixed forest &amp; grassland)</v>
      </c>
      <c r="H1718" s="152" t="str">
        <f>'Reported burning'!H1718</f>
        <v>Presence</v>
      </c>
      <c r="I1718" s="3"/>
      <c r="J1718" s="4" t="s">
        <v>2276</v>
      </c>
      <c r="K1718" s="4" t="s">
        <v>2276</v>
      </c>
      <c r="L1718" s="4" t="s">
        <v>2276</v>
      </c>
      <c r="M1718" s="4" t="s">
        <v>2276</v>
      </c>
      <c r="N1718" s="4" t="s">
        <v>2276</v>
      </c>
      <c r="O1718" s="4" t="s">
        <v>2276</v>
      </c>
      <c r="P1718" s="4" t="s">
        <v>2276</v>
      </c>
      <c r="Q1718" s="4" t="s">
        <v>2276</v>
      </c>
      <c r="R1718" s="4" t="s">
        <v>2276</v>
      </c>
      <c r="S1718" s="4" t="s">
        <v>2276</v>
      </c>
      <c r="T1718" s="4" t="s">
        <v>2276</v>
      </c>
      <c r="U1718" s="4" t="s">
        <v>2276</v>
      </c>
      <c r="V1718" s="4" t="s">
        <v>2276</v>
      </c>
      <c r="W1718" s="4" t="s">
        <v>2276</v>
      </c>
      <c r="X1718" s="3" t="s">
        <v>405</v>
      </c>
      <c r="Y1718" s="3" t="s">
        <v>35</v>
      </c>
      <c r="Z1718" s="3" t="s">
        <v>2276</v>
      </c>
      <c r="AA1718" s="4" t="s">
        <v>5185</v>
      </c>
      <c r="AB1718" s="3"/>
    </row>
    <row r="1719" spans="1:28" ht="36.5" customHeight="1">
      <c r="A1719" s="152" t="str">
        <f>'Reported burning'!A1719</f>
        <v>205f</v>
      </c>
      <c r="B1719" s="152" t="str">
        <f>'Reported burning'!B1719</f>
        <v>205f.6</v>
      </c>
      <c r="C1719" s="152" t="str">
        <f>'Reported burning'!C1719</f>
        <v>Human, deliberate</v>
      </c>
      <c r="D1719" s="152" t="str">
        <f>'Reported burning'!D1719</f>
        <v>Hunting</v>
      </c>
      <c r="E1719" s="152" t="str">
        <f>'Reported burning'!E1719</f>
        <v>Forestry, Traditional</v>
      </c>
      <c r="F1719" s="152" t="str">
        <f>'Reported burning'!F1719</f>
        <v>ND</v>
      </c>
      <c r="G1719" s="152" t="str">
        <f>'Reported burning'!G1719</f>
        <v>Shrubland (Mixed forest &amp; grassland)</v>
      </c>
      <c r="H1719" s="152" t="str">
        <f>'Reported burning'!H1719</f>
        <v>Presence</v>
      </c>
      <c r="I1719" s="3"/>
      <c r="J1719" s="4" t="s">
        <v>2276</v>
      </c>
      <c r="K1719" s="4" t="s">
        <v>2276</v>
      </c>
      <c r="L1719" s="4" t="s">
        <v>2276</v>
      </c>
      <c r="M1719" s="4" t="s">
        <v>2276</v>
      </c>
      <c r="N1719" s="4" t="s">
        <v>2276</v>
      </c>
      <c r="O1719" s="4" t="s">
        <v>2276</v>
      </c>
      <c r="P1719" s="4" t="s">
        <v>2276</v>
      </c>
      <c r="Q1719" s="4" t="s">
        <v>2276</v>
      </c>
      <c r="R1719" s="4" t="s">
        <v>2276</v>
      </c>
      <c r="S1719" s="4" t="s">
        <v>2276</v>
      </c>
      <c r="T1719" s="4" t="s">
        <v>2276</v>
      </c>
      <c r="U1719" s="4" t="s">
        <v>2276</v>
      </c>
      <c r="V1719" s="4" t="s">
        <v>2276</v>
      </c>
      <c r="W1719" s="4" t="s">
        <v>2276</v>
      </c>
      <c r="X1719" s="3" t="s">
        <v>405</v>
      </c>
      <c r="Y1719" s="3" t="s">
        <v>35</v>
      </c>
      <c r="Z1719" s="3" t="s">
        <v>2276</v>
      </c>
      <c r="AA1719" s="4" t="s">
        <v>5185</v>
      </c>
      <c r="AB1719" s="3"/>
    </row>
    <row r="1720" spans="1:28" ht="36.5" customHeight="1">
      <c r="A1720" s="152" t="str">
        <f>'Reported burning'!A1720</f>
        <v>205g</v>
      </c>
      <c r="B1720" s="152" t="str">
        <f>'Reported burning'!B1720</f>
        <v>205g.6</v>
      </c>
      <c r="C1720" s="152" t="str">
        <f>'Reported burning'!C1720</f>
        <v>Human, deliberate</v>
      </c>
      <c r="D1720" s="152" t="str">
        <f>'Reported burning'!D1720</f>
        <v>Hunting</v>
      </c>
      <c r="E1720" s="152" t="str">
        <f>'Reported burning'!E1720</f>
        <v>Forestry, Traditional</v>
      </c>
      <c r="F1720" s="152" t="str">
        <f>'Reported burning'!F1720</f>
        <v>ND</v>
      </c>
      <c r="G1720" s="152" t="str">
        <f>'Reported burning'!G1720</f>
        <v>Shrubland (Mixed forest &amp; grassland)</v>
      </c>
      <c r="H1720" s="152" t="str">
        <f>'Reported burning'!H1720</f>
        <v>Presence</v>
      </c>
      <c r="I1720" s="3"/>
      <c r="J1720" s="4" t="s">
        <v>2276</v>
      </c>
      <c r="K1720" s="4" t="s">
        <v>2276</v>
      </c>
      <c r="L1720" s="4" t="s">
        <v>2276</v>
      </c>
      <c r="M1720" s="4" t="s">
        <v>2276</v>
      </c>
      <c r="N1720" s="4" t="s">
        <v>2276</v>
      </c>
      <c r="O1720" s="4" t="s">
        <v>2276</v>
      </c>
      <c r="P1720" s="4" t="s">
        <v>2276</v>
      </c>
      <c r="Q1720" s="4" t="s">
        <v>2276</v>
      </c>
      <c r="R1720" s="4" t="s">
        <v>2276</v>
      </c>
      <c r="S1720" s="4" t="s">
        <v>2276</v>
      </c>
      <c r="T1720" s="4" t="s">
        <v>2276</v>
      </c>
      <c r="U1720" s="4" t="s">
        <v>2276</v>
      </c>
      <c r="V1720" s="4" t="s">
        <v>2276</v>
      </c>
      <c r="W1720" s="4" t="s">
        <v>2276</v>
      </c>
      <c r="X1720" s="3" t="s">
        <v>405</v>
      </c>
      <c r="Y1720" s="3" t="s">
        <v>35</v>
      </c>
      <c r="Z1720" s="3" t="s">
        <v>2276</v>
      </c>
      <c r="AA1720" s="4" t="s">
        <v>5185</v>
      </c>
      <c r="AB1720" s="3"/>
    </row>
    <row r="1721" spans="1:28" ht="29">
      <c r="A1721" s="152" t="str">
        <f>'Reported burning'!A1721</f>
        <v>205f</v>
      </c>
      <c r="B1721" s="152" t="str">
        <f>'Reported burning'!B1721</f>
        <v>205f.7</v>
      </c>
      <c r="C1721" s="152" t="str">
        <f>'Reported burning'!C1721</f>
        <v>Lightning</v>
      </c>
      <c r="D1721" s="152" t="str">
        <f>'Reported burning'!D1721</f>
        <v>ND</v>
      </c>
      <c r="E1721" s="152" t="str">
        <f>'Reported burning'!E1721</f>
        <v>ND</v>
      </c>
      <c r="F1721" s="152" t="str">
        <f>'Reported burning'!F1721</f>
        <v>ND</v>
      </c>
      <c r="G1721" s="152" t="str">
        <f>'Reported burning'!G1721</f>
        <v>Shrubland (Mixed forest &amp; grassland)</v>
      </c>
      <c r="H1721" s="152" t="str">
        <f>'Reported burning'!H1721</f>
        <v>Presence</v>
      </c>
      <c r="I1721" s="3"/>
      <c r="J1721" s="4" t="s">
        <v>2276</v>
      </c>
      <c r="K1721" s="4" t="s">
        <v>2276</v>
      </c>
      <c r="L1721" s="4" t="s">
        <v>2276</v>
      </c>
      <c r="M1721" s="4" t="s">
        <v>2276</v>
      </c>
      <c r="N1721" s="4" t="s">
        <v>2276</v>
      </c>
      <c r="O1721" s="4" t="s">
        <v>2276</v>
      </c>
      <c r="P1721" s="4" t="s">
        <v>2276</v>
      </c>
      <c r="Q1721" s="4" t="s">
        <v>2276</v>
      </c>
      <c r="R1721" s="4" t="s">
        <v>2276</v>
      </c>
      <c r="S1721" s="4" t="s">
        <v>2276</v>
      </c>
      <c r="T1721" s="4" t="s">
        <v>2276</v>
      </c>
      <c r="U1721" s="4" t="s">
        <v>2276</v>
      </c>
      <c r="V1721" s="4" t="s">
        <v>2276</v>
      </c>
      <c r="W1721" s="4" t="s">
        <v>2276</v>
      </c>
      <c r="X1721" s="3" t="s">
        <v>405</v>
      </c>
      <c r="Y1721" s="3" t="s">
        <v>35</v>
      </c>
      <c r="Z1721" s="3" t="s">
        <v>2276</v>
      </c>
      <c r="AA1721" s="4" t="s">
        <v>5185</v>
      </c>
      <c r="AB1721" s="3"/>
    </row>
    <row r="1722" spans="1:28" ht="29">
      <c r="A1722" s="152" t="str">
        <f>'Reported burning'!A1722</f>
        <v>205g</v>
      </c>
      <c r="B1722" s="152" t="str">
        <f>'Reported burning'!B1722</f>
        <v>205g.7</v>
      </c>
      <c r="C1722" s="152" t="str">
        <f>'Reported burning'!C1722</f>
        <v>Lightning</v>
      </c>
      <c r="D1722" s="152" t="str">
        <f>'Reported burning'!D1722</f>
        <v>ND</v>
      </c>
      <c r="E1722" s="152" t="str">
        <f>'Reported burning'!E1722</f>
        <v>ND</v>
      </c>
      <c r="F1722" s="152" t="str">
        <f>'Reported burning'!F1722</f>
        <v>ND</v>
      </c>
      <c r="G1722" s="152" t="str">
        <f>'Reported burning'!G1722</f>
        <v>Shrubland (Mixed forest &amp; grassland)</v>
      </c>
      <c r="H1722" s="152" t="str">
        <f>'Reported burning'!H1722</f>
        <v>Presence</v>
      </c>
      <c r="I1722" s="3"/>
      <c r="J1722" s="4" t="s">
        <v>2276</v>
      </c>
      <c r="K1722" s="4" t="s">
        <v>2276</v>
      </c>
      <c r="L1722" s="4" t="s">
        <v>2276</v>
      </c>
      <c r="M1722" s="4" t="s">
        <v>2276</v>
      </c>
      <c r="N1722" s="4" t="s">
        <v>2276</v>
      </c>
      <c r="O1722" s="4" t="s">
        <v>2276</v>
      </c>
      <c r="P1722" s="4" t="s">
        <v>2276</v>
      </c>
      <c r="Q1722" s="4" t="s">
        <v>2276</v>
      </c>
      <c r="R1722" s="4" t="s">
        <v>2276</v>
      </c>
      <c r="S1722" s="4" t="s">
        <v>2276</v>
      </c>
      <c r="T1722" s="4" t="s">
        <v>2276</v>
      </c>
      <c r="U1722" s="4" t="s">
        <v>2276</v>
      </c>
      <c r="V1722" s="4" t="s">
        <v>2276</v>
      </c>
      <c r="W1722" s="4" t="s">
        <v>2276</v>
      </c>
      <c r="X1722" s="3" t="s">
        <v>405</v>
      </c>
      <c r="Y1722" s="3" t="s">
        <v>35</v>
      </c>
      <c r="Z1722" s="3" t="s">
        <v>2276</v>
      </c>
      <c r="AA1722" s="4" t="s">
        <v>5185</v>
      </c>
      <c r="AB1722" s="3"/>
    </row>
    <row r="1723" spans="1:28" ht="37" customHeight="1">
      <c r="A1723" s="152" t="str">
        <f>'Reported burning'!A1723</f>
        <v>206a</v>
      </c>
      <c r="B1723" s="152" t="str">
        <f>'Reported burning'!B1723</f>
        <v>206a.1</v>
      </c>
      <c r="C1723" s="152" t="str">
        <f>'Reported burning'!C1723</f>
        <v>Human, deliberate</v>
      </c>
      <c r="D1723" s="152" t="str">
        <f>'Reported burning'!D1723</f>
        <v>Land clearance</v>
      </c>
      <c r="E1723" s="152" t="str">
        <f>'Reported burning'!E1723</f>
        <v>Cropping, Monoculture, Market-oriented</v>
      </c>
      <c r="F1723" s="152" t="str">
        <f>'Reported burning'!F1723</f>
        <v>Forest</v>
      </c>
      <c r="G1723" s="152" t="str">
        <f>'Reported burning'!G1723</f>
        <v>ND</v>
      </c>
      <c r="H1723" s="152" t="str">
        <f>'Reported burning'!H1723</f>
        <v>Presence</v>
      </c>
      <c r="I1723" s="3"/>
      <c r="J1723" s="4" t="s">
        <v>2276</v>
      </c>
      <c r="K1723" s="4" t="s">
        <v>2276</v>
      </c>
      <c r="L1723" s="4" t="s">
        <v>2276</v>
      </c>
      <c r="M1723" s="4" t="s">
        <v>2276</v>
      </c>
      <c r="N1723" s="4" t="s">
        <v>2276</v>
      </c>
      <c r="O1723" s="4" t="s">
        <v>2276</v>
      </c>
      <c r="P1723" s="4" t="s">
        <v>2276</v>
      </c>
      <c r="Q1723" s="4" t="s">
        <v>2276</v>
      </c>
      <c r="R1723" s="4" t="s">
        <v>2276</v>
      </c>
      <c r="S1723" s="4" t="s">
        <v>2276</v>
      </c>
      <c r="T1723" s="4" t="s">
        <v>2276</v>
      </c>
      <c r="U1723" s="4" t="s">
        <v>2276</v>
      </c>
      <c r="V1723" s="4" t="s">
        <v>2276</v>
      </c>
      <c r="W1723" s="4" t="s">
        <v>2276</v>
      </c>
      <c r="X1723" s="4" t="s">
        <v>2276</v>
      </c>
      <c r="Y1723" s="4" t="s">
        <v>2276</v>
      </c>
      <c r="Z1723" s="4" t="s">
        <v>2276</v>
      </c>
      <c r="AA1723" s="3"/>
      <c r="AB1723" s="3"/>
    </row>
    <row r="1724" spans="1:28" ht="37" customHeight="1">
      <c r="A1724" s="152" t="str">
        <f>'Reported burning'!A1724</f>
        <v>206a</v>
      </c>
      <c r="B1724" s="152" t="str">
        <f>'Reported burning'!B1724</f>
        <v>206a.3</v>
      </c>
      <c r="C1724" s="152" t="str">
        <f>'Reported burning'!C1724</f>
        <v>Human, deliberate</v>
      </c>
      <c r="D1724" s="152" t="str">
        <f>'Reported burning'!D1724</f>
        <v>Harvesting of Timber</v>
      </c>
      <c r="E1724" s="152" t="str">
        <f>'Reported burning'!E1724</f>
        <v>Forestry, Small-scale</v>
      </c>
      <c r="F1724" s="152" t="str">
        <f>'Reported burning'!F1724</f>
        <v>Forest</v>
      </c>
      <c r="G1724" s="152" t="str">
        <f>'Reported burning'!G1724</f>
        <v>ND</v>
      </c>
      <c r="H1724" s="152" t="str">
        <f>'Reported burning'!H1724</f>
        <v>Presence</v>
      </c>
      <c r="I1724" s="3"/>
      <c r="J1724" s="4" t="s">
        <v>2276</v>
      </c>
      <c r="K1724" s="4" t="s">
        <v>2276</v>
      </c>
      <c r="L1724" s="4" t="s">
        <v>2276</v>
      </c>
      <c r="M1724" s="4" t="s">
        <v>2276</v>
      </c>
      <c r="N1724" s="4" t="s">
        <v>2276</v>
      </c>
      <c r="O1724" s="4" t="s">
        <v>2276</v>
      </c>
      <c r="P1724" s="4" t="s">
        <v>2276</v>
      </c>
      <c r="Q1724" s="4" t="s">
        <v>2276</v>
      </c>
      <c r="R1724" s="4" t="s">
        <v>2276</v>
      </c>
      <c r="S1724" s="4" t="s">
        <v>2276</v>
      </c>
      <c r="T1724" s="4" t="s">
        <v>2276</v>
      </c>
      <c r="U1724" s="4" t="s">
        <v>2276</v>
      </c>
      <c r="V1724" s="4" t="s">
        <v>2276</v>
      </c>
      <c r="W1724" s="4" t="s">
        <v>2276</v>
      </c>
      <c r="X1724" s="4" t="s">
        <v>2276</v>
      </c>
      <c r="Y1724" s="4" t="s">
        <v>2276</v>
      </c>
      <c r="Z1724" s="4" t="s">
        <v>2276</v>
      </c>
      <c r="AA1724" s="3"/>
      <c r="AB1724" s="3"/>
    </row>
    <row r="1725" spans="1:28" ht="37" customHeight="1">
      <c r="A1725" s="152" t="str">
        <f>'Reported burning'!A1725</f>
        <v>206a</v>
      </c>
      <c r="B1725" s="152" t="str">
        <f>'Reported burning'!B1725</f>
        <v>206a.4</v>
      </c>
      <c r="C1725" s="152" t="str">
        <f>'Reported burning'!C1725</f>
        <v>Human, deliberate</v>
      </c>
      <c r="D1725" s="152" t="str">
        <f>'Reported burning'!D1725</f>
        <v>Charcoal production</v>
      </c>
      <c r="E1725" s="152" t="str">
        <f>'Reported burning'!E1725</f>
        <v>Forestry, Small-scale</v>
      </c>
      <c r="F1725" s="152" t="str">
        <f>'Reported burning'!F1725</f>
        <v>Forest</v>
      </c>
      <c r="G1725" s="152" t="str">
        <f>'Reported burning'!G1725</f>
        <v>ND</v>
      </c>
      <c r="H1725" s="152" t="str">
        <f>'Reported burning'!H1725</f>
        <v>Presence</v>
      </c>
      <c r="I1725" s="3"/>
      <c r="J1725" s="4" t="s">
        <v>2276</v>
      </c>
      <c r="K1725" s="4" t="s">
        <v>2276</v>
      </c>
      <c r="L1725" s="4" t="s">
        <v>2276</v>
      </c>
      <c r="M1725" s="4" t="s">
        <v>2276</v>
      </c>
      <c r="N1725" s="4" t="s">
        <v>2276</v>
      </c>
      <c r="O1725" s="4" t="s">
        <v>2276</v>
      </c>
      <c r="P1725" s="4" t="s">
        <v>2276</v>
      </c>
      <c r="Q1725" s="4" t="s">
        <v>2276</v>
      </c>
      <c r="R1725" s="4" t="s">
        <v>2276</v>
      </c>
      <c r="S1725" s="4" t="s">
        <v>2276</v>
      </c>
      <c r="T1725" s="4" t="s">
        <v>2276</v>
      </c>
      <c r="U1725" s="4" t="s">
        <v>2276</v>
      </c>
      <c r="V1725" s="4" t="s">
        <v>2276</v>
      </c>
      <c r="W1725" s="4" t="s">
        <v>2276</v>
      </c>
      <c r="X1725" s="4" t="s">
        <v>2276</v>
      </c>
      <c r="Y1725" s="4" t="s">
        <v>2276</v>
      </c>
      <c r="Z1725" s="4" t="s">
        <v>2276</v>
      </c>
      <c r="AA1725" s="3"/>
      <c r="AB1725" s="3"/>
    </row>
    <row r="1726" spans="1:28" ht="37" customHeight="1">
      <c r="A1726" s="152" t="str">
        <f>'Reported burning'!A1726</f>
        <v>206a</v>
      </c>
      <c r="B1726" s="152" t="str">
        <f>'Reported burning'!B1726</f>
        <v>206a.5</v>
      </c>
      <c r="C1726" s="152" t="str">
        <f>'Reported burning'!C1726</f>
        <v>Human, deliberate</v>
      </c>
      <c r="D1726" s="152" t="str">
        <f>'Reported burning'!D1726</f>
        <v>Crop field preparation</v>
      </c>
      <c r="E1726" s="152" t="str">
        <f>'Reported burning'!E1726</f>
        <v>Cropping, Swidden</v>
      </c>
      <c r="F1726" s="152" t="str">
        <f>'Reported burning'!F1726</f>
        <v>Secondary vegetation</v>
      </c>
      <c r="G1726" s="152" t="str">
        <f>'Reported burning'!G1726</f>
        <v>ND</v>
      </c>
      <c r="H1726" s="152" t="str">
        <f>'Reported burning'!H1726</f>
        <v>Presence</v>
      </c>
      <c r="I1726" s="3"/>
      <c r="J1726" s="4" t="s">
        <v>2276</v>
      </c>
      <c r="K1726" s="4" t="s">
        <v>2276</v>
      </c>
      <c r="L1726" s="4" t="s">
        <v>2276</v>
      </c>
      <c r="M1726" s="4" t="s">
        <v>2276</v>
      </c>
      <c r="N1726" s="4" t="s">
        <v>2276</v>
      </c>
      <c r="O1726" s="4" t="s">
        <v>2276</v>
      </c>
      <c r="P1726" s="4" t="s">
        <v>2276</v>
      </c>
      <c r="Q1726" s="4" t="s">
        <v>2276</v>
      </c>
      <c r="R1726" s="4" t="s">
        <v>2276</v>
      </c>
      <c r="S1726" s="4" t="s">
        <v>2276</v>
      </c>
      <c r="T1726" s="4" t="s">
        <v>2276</v>
      </c>
      <c r="U1726" s="4" t="s">
        <v>2276</v>
      </c>
      <c r="V1726" s="4" t="s">
        <v>2276</v>
      </c>
      <c r="W1726" s="4" t="s">
        <v>2276</v>
      </c>
      <c r="X1726" s="4" t="s">
        <v>2276</v>
      </c>
      <c r="Y1726" s="4" t="s">
        <v>2276</v>
      </c>
      <c r="Z1726" s="4" t="s">
        <v>2276</v>
      </c>
      <c r="AA1726" s="3"/>
      <c r="AB1726" s="3"/>
    </row>
    <row r="1727" spans="1:28" ht="37" customHeight="1">
      <c r="A1727" s="152" t="str">
        <f>'Reported burning'!A1727</f>
        <v>206a</v>
      </c>
      <c r="B1727" s="152" t="str">
        <f>'Reported burning'!B1727</f>
        <v>206a.6</v>
      </c>
      <c r="C1727" s="152" t="str">
        <f>'Reported burning'!C1727</f>
        <v>Human, deliberate</v>
      </c>
      <c r="D1727" s="152" t="str">
        <f>'Reported burning'!D1727</f>
        <v>Hunting</v>
      </c>
      <c r="E1727" s="152" t="str">
        <f>'Reported burning'!E1727</f>
        <v>Forestry, Small-scale</v>
      </c>
      <c r="F1727" s="152" t="str">
        <f>'Reported burning'!F1727</f>
        <v>Forest</v>
      </c>
      <c r="G1727" s="152" t="str">
        <f>'Reported burning'!G1727</f>
        <v>ND</v>
      </c>
      <c r="H1727" s="152" t="str">
        <f>'Reported burning'!H1727</f>
        <v>Presence</v>
      </c>
      <c r="I1727" s="3"/>
      <c r="J1727" s="4" t="s">
        <v>2276</v>
      </c>
      <c r="K1727" s="4" t="s">
        <v>2276</v>
      </c>
      <c r="L1727" s="4" t="s">
        <v>2276</v>
      </c>
      <c r="M1727" s="4" t="s">
        <v>2276</v>
      </c>
      <c r="N1727" s="4" t="s">
        <v>2276</v>
      </c>
      <c r="O1727" s="4" t="s">
        <v>2276</v>
      </c>
      <c r="P1727" s="4" t="s">
        <v>2276</v>
      </c>
      <c r="Q1727" s="4" t="s">
        <v>2276</v>
      </c>
      <c r="R1727" s="4" t="s">
        <v>2276</v>
      </c>
      <c r="S1727" s="4" t="s">
        <v>2276</v>
      </c>
      <c r="T1727" s="4" t="s">
        <v>2276</v>
      </c>
      <c r="U1727" s="4" t="s">
        <v>2276</v>
      </c>
      <c r="V1727" s="4" t="s">
        <v>2276</v>
      </c>
      <c r="W1727" s="4" t="s">
        <v>2276</v>
      </c>
      <c r="X1727" s="4" t="s">
        <v>2276</v>
      </c>
      <c r="Y1727" s="4" t="s">
        <v>2276</v>
      </c>
      <c r="Z1727" s="4" t="s">
        <v>2276</v>
      </c>
      <c r="AA1727" s="3"/>
      <c r="AB1727" s="3"/>
    </row>
    <row r="1728" spans="1:28" ht="37" customHeight="1">
      <c r="A1728" s="152" t="str">
        <f>'Reported burning'!A1728</f>
        <v>206a</v>
      </c>
      <c r="B1728" s="152" t="str">
        <f>'Reported burning'!B1728</f>
        <v>206a.7</v>
      </c>
      <c r="C1728" s="152" t="str">
        <f>'Reported burning'!C1728</f>
        <v>Human, deliberate</v>
      </c>
      <c r="D1728" s="152" t="str">
        <f>'Reported burning'!D1728</f>
        <v>Fishing</v>
      </c>
      <c r="E1728" s="152" t="str">
        <f>'Reported burning'!E1728</f>
        <v>Forestry, Small-scale</v>
      </c>
      <c r="F1728" s="152" t="str">
        <f>'Reported burning'!F1728</f>
        <v>Forest</v>
      </c>
      <c r="G1728" s="152" t="str">
        <f>'Reported burning'!G1728</f>
        <v>ND</v>
      </c>
      <c r="H1728" s="152" t="str">
        <f>'Reported burning'!H1728</f>
        <v>Presence</v>
      </c>
      <c r="I1728" s="3"/>
      <c r="J1728" s="4" t="s">
        <v>2276</v>
      </c>
      <c r="K1728" s="4" t="s">
        <v>2276</v>
      </c>
      <c r="L1728" s="4" t="s">
        <v>2276</v>
      </c>
      <c r="M1728" s="4" t="s">
        <v>2276</v>
      </c>
      <c r="N1728" s="4" t="s">
        <v>2276</v>
      </c>
      <c r="O1728" s="4" t="s">
        <v>2276</v>
      </c>
      <c r="P1728" s="4" t="s">
        <v>2276</v>
      </c>
      <c r="Q1728" s="4" t="s">
        <v>2276</v>
      </c>
      <c r="R1728" s="4" t="s">
        <v>2276</v>
      </c>
      <c r="S1728" s="4" t="s">
        <v>2276</v>
      </c>
      <c r="T1728" s="4" t="s">
        <v>2276</v>
      </c>
      <c r="U1728" s="4" t="s">
        <v>2276</v>
      </c>
      <c r="V1728" s="4" t="s">
        <v>2276</v>
      </c>
      <c r="W1728" s="4" t="s">
        <v>2276</v>
      </c>
      <c r="X1728" s="4" t="s">
        <v>2276</v>
      </c>
      <c r="Y1728" s="4" t="s">
        <v>2276</v>
      </c>
      <c r="Z1728" s="4" t="s">
        <v>2276</v>
      </c>
      <c r="AA1728" s="3"/>
      <c r="AB1728" s="3"/>
    </row>
    <row r="1729" spans="1:28" ht="37" customHeight="1">
      <c r="A1729" s="152" t="str">
        <f>'Reported burning'!A1729</f>
        <v>206a</v>
      </c>
      <c r="B1729" s="152" t="str">
        <f>'Reported burning'!B1729</f>
        <v>206a.8</v>
      </c>
      <c r="C1729" s="152" t="str">
        <f>'Reported burning'!C1729</f>
        <v>Human, deliberate</v>
      </c>
      <c r="D1729" s="152" t="str">
        <f>'Reported burning'!D1729</f>
        <v>Harvesting of NTFP</v>
      </c>
      <c r="E1729" s="152" t="str">
        <f>'Reported burning'!E1729</f>
        <v>Forestry, Small-scale</v>
      </c>
      <c r="F1729" s="152" t="str">
        <f>'Reported burning'!F1729</f>
        <v>Forest</v>
      </c>
      <c r="G1729" s="152" t="str">
        <f>'Reported burning'!G1729</f>
        <v>ND</v>
      </c>
      <c r="H1729" s="152" t="str">
        <f>'Reported burning'!H1729</f>
        <v>Presence</v>
      </c>
      <c r="I1729" s="3"/>
      <c r="J1729" s="4" t="s">
        <v>2276</v>
      </c>
      <c r="K1729" s="4" t="s">
        <v>2276</v>
      </c>
      <c r="L1729" s="4" t="s">
        <v>2276</v>
      </c>
      <c r="M1729" s="4" t="s">
        <v>2276</v>
      </c>
      <c r="N1729" s="4" t="s">
        <v>2276</v>
      </c>
      <c r="O1729" s="4" t="s">
        <v>2276</v>
      </c>
      <c r="P1729" s="4" t="s">
        <v>2276</v>
      </c>
      <c r="Q1729" s="4" t="s">
        <v>2276</v>
      </c>
      <c r="R1729" s="4" t="s">
        <v>2276</v>
      </c>
      <c r="S1729" s="4" t="s">
        <v>2276</v>
      </c>
      <c r="T1729" s="4" t="s">
        <v>2276</v>
      </c>
      <c r="U1729" s="4" t="s">
        <v>2276</v>
      </c>
      <c r="V1729" s="4" t="s">
        <v>2276</v>
      </c>
      <c r="W1729" s="4" t="s">
        <v>2276</v>
      </c>
      <c r="X1729" s="4" t="s">
        <v>2276</v>
      </c>
      <c r="Y1729" s="4" t="s">
        <v>2276</v>
      </c>
      <c r="Z1729" s="4" t="s">
        <v>2276</v>
      </c>
      <c r="AA1729" s="3"/>
      <c r="AB1729" s="3"/>
    </row>
    <row r="1730" spans="1:28" ht="37" customHeight="1">
      <c r="A1730" s="152" t="str">
        <f>'Reported burning'!A1730</f>
        <v>206a</v>
      </c>
      <c r="B1730" s="152" t="str">
        <f>'Reported burning'!B1730</f>
        <v>206a.9</v>
      </c>
      <c r="C1730" s="152" t="str">
        <f>'Reported burning'!C1730</f>
        <v>Human, deliberate</v>
      </c>
      <c r="D1730" s="152" t="str">
        <f>'Reported burning'!D1730</f>
        <v>Accessibility</v>
      </c>
      <c r="E1730" s="152" t="str">
        <f>'Reported burning'!E1730</f>
        <v>Forestry, Small-scale</v>
      </c>
      <c r="F1730" s="152" t="str">
        <f>'Reported burning'!F1730</f>
        <v>Forest</v>
      </c>
      <c r="G1730" s="152" t="str">
        <f>'Reported burning'!G1730</f>
        <v>ND</v>
      </c>
      <c r="H1730" s="152" t="str">
        <f>'Reported burning'!H1730</f>
        <v>Presence</v>
      </c>
      <c r="I1730" s="3"/>
      <c r="J1730" s="4" t="s">
        <v>2276</v>
      </c>
      <c r="K1730" s="4" t="s">
        <v>2276</v>
      </c>
      <c r="L1730" s="4" t="s">
        <v>2276</v>
      </c>
      <c r="M1730" s="4" t="s">
        <v>2276</v>
      </c>
      <c r="N1730" s="4" t="s">
        <v>2276</v>
      </c>
      <c r="O1730" s="4" t="s">
        <v>2276</v>
      </c>
      <c r="P1730" s="4" t="s">
        <v>2276</v>
      </c>
      <c r="Q1730" s="4" t="s">
        <v>2276</v>
      </c>
      <c r="R1730" s="4" t="s">
        <v>2276</v>
      </c>
      <c r="S1730" s="4" t="s">
        <v>2276</v>
      </c>
      <c r="T1730" s="4" t="s">
        <v>2276</v>
      </c>
      <c r="U1730" s="4" t="s">
        <v>2276</v>
      </c>
      <c r="V1730" s="4" t="s">
        <v>2276</v>
      </c>
      <c r="W1730" s="4" t="s">
        <v>2276</v>
      </c>
      <c r="X1730" s="4" t="s">
        <v>2276</v>
      </c>
      <c r="Y1730" s="4" t="s">
        <v>2276</v>
      </c>
      <c r="Z1730" s="4" t="s">
        <v>2276</v>
      </c>
      <c r="AA1730" s="3"/>
      <c r="AB1730" s="3"/>
    </row>
    <row r="1731" spans="1:28" ht="92" customHeight="1">
      <c r="A1731" s="156" t="str">
        <f>'Reported burning'!A1731</f>
        <v>206a</v>
      </c>
      <c r="B1731" s="156" t="str">
        <f>'Reported burning'!B1731</f>
        <v>206a.10</v>
      </c>
      <c r="C1731" s="156" t="str">
        <f>'Reported burning'!C1731</f>
        <v>Unknown</v>
      </c>
      <c r="D1731" s="156" t="str">
        <f>'Reported burning'!D1731</f>
        <v>All</v>
      </c>
      <c r="E1731" s="156" t="str">
        <f>'Reported burning'!E1731</f>
        <v>All</v>
      </c>
      <c r="F1731" s="156" t="str">
        <f>'Reported burning'!F1731</f>
        <v>ND</v>
      </c>
      <c r="G1731" s="156" t="str">
        <f>'Reported burning'!G1731</f>
        <v>ND</v>
      </c>
      <c r="H1731" s="156" t="str">
        <f>'Reported burning'!H1731</f>
        <v>Presence</v>
      </c>
      <c r="I1731" s="5"/>
      <c r="J1731" s="4" t="s">
        <v>2276</v>
      </c>
      <c r="K1731" s="4" t="s">
        <v>2276</v>
      </c>
      <c r="L1731" s="4" t="s">
        <v>2276</v>
      </c>
      <c r="M1731" s="4" t="s">
        <v>2276</v>
      </c>
      <c r="N1731" s="4" t="s">
        <v>2276</v>
      </c>
      <c r="O1731" s="4" t="s">
        <v>2276</v>
      </c>
      <c r="P1731" s="4" t="s">
        <v>2276</v>
      </c>
      <c r="Q1731" s="4" t="s">
        <v>2276</v>
      </c>
      <c r="R1731" s="4" t="s">
        <v>2276</v>
      </c>
      <c r="S1731" s="4" t="s">
        <v>2276</v>
      </c>
      <c r="T1731" s="4" t="s">
        <v>2276</v>
      </c>
      <c r="U1731" s="4" t="s">
        <v>2276</v>
      </c>
      <c r="V1731" s="3" t="s">
        <v>2390</v>
      </c>
      <c r="W1731" s="4" t="s">
        <v>2276</v>
      </c>
      <c r="X1731" s="4" t="s">
        <v>2276</v>
      </c>
      <c r="Y1731" s="4" t="s">
        <v>2276</v>
      </c>
      <c r="Z1731" s="4" t="s">
        <v>2276</v>
      </c>
      <c r="AA1731" s="3"/>
      <c r="AB1731" s="4" t="s">
        <v>5205</v>
      </c>
    </row>
    <row r="1732" spans="1:28" ht="58">
      <c r="A1732" s="156" t="str">
        <f>'Reported burning'!A1732</f>
        <v>207a</v>
      </c>
      <c r="B1732" s="156" t="str">
        <f>'Reported burning'!B1732</f>
        <v>207a.1</v>
      </c>
      <c r="C1732" s="156" t="str">
        <f>'Reported burning'!C1732</f>
        <v>Human, deliberate</v>
      </c>
      <c r="D1732" s="156" t="str">
        <f>'Reported burning'!D1732</f>
        <v>Conservation</v>
      </c>
      <c r="E1732" s="156" t="str">
        <f>'Reported burning'!E1732</f>
        <v>Biodiversity conservation</v>
      </c>
      <c r="F1732" s="156" t="str">
        <f>'Reported burning'!F1732</f>
        <v>Grassland</v>
      </c>
      <c r="G1732" s="156" t="str">
        <f>'Reported burning'!G1732</f>
        <v>Grassland</v>
      </c>
      <c r="H1732" s="156" t="str">
        <f>'Reported burning'!H1732</f>
        <v>Presence</v>
      </c>
      <c r="I1732" s="5"/>
      <c r="J1732" s="3" t="s">
        <v>2276</v>
      </c>
      <c r="K1732" s="3" t="s">
        <v>2276</v>
      </c>
      <c r="L1732" s="3" t="s">
        <v>2276</v>
      </c>
      <c r="M1732" s="3" t="s">
        <v>2276</v>
      </c>
      <c r="N1732" s="3" t="s">
        <v>2276</v>
      </c>
      <c r="O1732" s="3" t="s">
        <v>2276</v>
      </c>
      <c r="P1732" s="3" t="s">
        <v>2276</v>
      </c>
      <c r="Q1732" s="3" t="s">
        <v>2276</v>
      </c>
      <c r="R1732" s="3" t="s">
        <v>2276</v>
      </c>
      <c r="S1732" s="3" t="s">
        <v>2276</v>
      </c>
      <c r="T1732" s="3" t="s">
        <v>2276</v>
      </c>
      <c r="U1732" s="3" t="s">
        <v>2276</v>
      </c>
      <c r="V1732" s="3" t="s">
        <v>2276</v>
      </c>
      <c r="W1732" s="3" t="s">
        <v>2276</v>
      </c>
      <c r="X1732" s="3" t="s">
        <v>38</v>
      </c>
      <c r="Y1732" s="3" t="s">
        <v>86</v>
      </c>
      <c r="Z1732" s="3" t="s">
        <v>2276</v>
      </c>
      <c r="AA1732" s="4" t="s">
        <v>5218</v>
      </c>
      <c r="AB1732" s="3"/>
    </row>
    <row r="1733" spans="1:28" ht="58">
      <c r="A1733" s="156" t="str">
        <f>'Reported burning'!A1733</f>
        <v>207a</v>
      </c>
      <c r="B1733" s="156" t="str">
        <f>'Reported burning'!B1733</f>
        <v>207a.2</v>
      </c>
      <c r="C1733" s="156" t="str">
        <f>'Reported burning'!C1733</f>
        <v>Human, deliberate</v>
      </c>
      <c r="D1733" s="156" t="str">
        <f>'Reported burning'!D1733</f>
        <v>Cultural &amp; Spiritual</v>
      </c>
      <c r="E1733" s="156" t="str">
        <f>'Reported burning'!E1733</f>
        <v>Biodiversity conservation</v>
      </c>
      <c r="F1733" s="156" t="str">
        <f>'Reported burning'!F1733</f>
        <v>Grassland</v>
      </c>
      <c r="G1733" s="156" t="str">
        <f>'Reported burning'!G1733</f>
        <v>Grassland</v>
      </c>
      <c r="H1733" s="156" t="str">
        <f>'Reported burning'!H1733</f>
        <v>Presence</v>
      </c>
      <c r="I1733" s="5"/>
      <c r="J1733" s="3" t="s">
        <v>2276</v>
      </c>
      <c r="K1733" s="3" t="s">
        <v>2276</v>
      </c>
      <c r="L1733" s="3" t="s">
        <v>2276</v>
      </c>
      <c r="M1733" s="3" t="s">
        <v>2276</v>
      </c>
      <c r="N1733" s="3" t="s">
        <v>2276</v>
      </c>
      <c r="O1733" s="3" t="s">
        <v>2276</v>
      </c>
      <c r="P1733" s="3" t="s">
        <v>2276</v>
      </c>
      <c r="Q1733" s="3" t="s">
        <v>2276</v>
      </c>
      <c r="R1733" s="3" t="s">
        <v>2276</v>
      </c>
      <c r="S1733" s="3" t="s">
        <v>2276</v>
      </c>
      <c r="T1733" s="3" t="s">
        <v>2276</v>
      </c>
      <c r="U1733" s="3" t="s">
        <v>2276</v>
      </c>
      <c r="V1733" s="3" t="s">
        <v>2276</v>
      </c>
      <c r="W1733" s="3" t="s">
        <v>2276</v>
      </c>
      <c r="X1733" s="3" t="s">
        <v>38</v>
      </c>
      <c r="Y1733" s="3" t="s">
        <v>86</v>
      </c>
      <c r="Z1733" s="3" t="s">
        <v>2276</v>
      </c>
      <c r="AA1733" s="4" t="s">
        <v>5218</v>
      </c>
      <c r="AB1733" s="3"/>
    </row>
    <row r="1734" spans="1:28" ht="35.5" customHeight="1">
      <c r="A1734" s="156" t="str">
        <f>'Reported burning'!A1734</f>
        <v>208a</v>
      </c>
      <c r="B1734" s="156" t="str">
        <f>'Reported burning'!B1734</f>
        <v>208a.1</v>
      </c>
      <c r="C1734" s="156" t="str">
        <f>'Reported burning'!C1734</f>
        <v>Human, deliberate</v>
      </c>
      <c r="D1734" s="156" t="str">
        <f>'Reported burning'!D1734</f>
        <v>Pasture renewal</v>
      </c>
      <c r="E1734" s="156" t="str">
        <f>'Reported burning'!E1734</f>
        <v>Pastoralism, Migratory</v>
      </c>
      <c r="F1734" s="156" t="str">
        <f>'Reported burning'!F1734</f>
        <v>Grassland</v>
      </c>
      <c r="G1734" s="156" t="str">
        <f>'Reported burning'!G1734</f>
        <v>ND</v>
      </c>
      <c r="H1734" s="156" t="str">
        <f>'Reported burning'!H1734</f>
        <v>Presence</v>
      </c>
      <c r="I1734" s="5"/>
      <c r="J1734" s="3" t="s">
        <v>2276</v>
      </c>
      <c r="K1734" s="3" t="s">
        <v>2276</v>
      </c>
      <c r="L1734" s="3" t="s">
        <v>2276</v>
      </c>
      <c r="M1734" s="3" t="s">
        <v>2276</v>
      </c>
      <c r="N1734" s="3" t="s">
        <v>2276</v>
      </c>
      <c r="O1734" s="3" t="s">
        <v>2276</v>
      </c>
      <c r="P1734" s="3" t="s">
        <v>2276</v>
      </c>
      <c r="Q1734" s="3" t="s">
        <v>2276</v>
      </c>
      <c r="R1734" s="3" t="s">
        <v>2276</v>
      </c>
      <c r="S1734" s="3" t="s">
        <v>2276</v>
      </c>
      <c r="T1734" s="3" t="s">
        <v>2276</v>
      </c>
      <c r="U1734" s="3" t="s">
        <v>2276</v>
      </c>
      <c r="V1734" s="3" t="s">
        <v>2276</v>
      </c>
      <c r="W1734" s="3" t="s">
        <v>2276</v>
      </c>
      <c r="X1734" s="3" t="s">
        <v>2276</v>
      </c>
      <c r="Y1734" s="3" t="s">
        <v>2276</v>
      </c>
      <c r="Z1734" s="3" t="s">
        <v>2276</v>
      </c>
      <c r="AA1734" s="3"/>
      <c r="AB1734" s="3"/>
    </row>
    <row r="1735" spans="1:28" ht="35.5" customHeight="1">
      <c r="A1735" s="156" t="str">
        <f>'Reported burning'!A1735</f>
        <v>208a</v>
      </c>
      <c r="B1735" s="156" t="str">
        <f>'Reported burning'!B1735</f>
        <v>208a.2</v>
      </c>
      <c r="C1735" s="156" t="str">
        <f>'Reported burning'!C1735</f>
        <v>Human, deliberate</v>
      </c>
      <c r="D1735" s="156" t="str">
        <f>'Reported burning'!D1735</f>
        <v>Land clearance</v>
      </c>
      <c r="E1735" s="156" t="str">
        <f>'Reported burning'!E1735</f>
        <v>Cropping, Monoculture, Subsistence-oriented</v>
      </c>
      <c r="F1735" s="156" t="str">
        <f>'Reported burning'!F1735</f>
        <v>Shrubland (Mixed forest &amp; grassland)</v>
      </c>
      <c r="G1735" s="156" t="str">
        <f>'Reported burning'!G1735</f>
        <v>ND</v>
      </c>
      <c r="H1735" s="156" t="str">
        <f>'Reported burning'!H1735</f>
        <v>Presence</v>
      </c>
      <c r="I1735" s="5"/>
      <c r="J1735" s="3" t="s">
        <v>2276</v>
      </c>
      <c r="K1735" s="3" t="s">
        <v>2276</v>
      </c>
      <c r="L1735" s="3" t="s">
        <v>2276</v>
      </c>
      <c r="M1735" s="3" t="s">
        <v>2276</v>
      </c>
      <c r="N1735" s="3" t="s">
        <v>2276</v>
      </c>
      <c r="O1735" s="3" t="s">
        <v>2276</v>
      </c>
      <c r="P1735" s="3" t="s">
        <v>2276</v>
      </c>
      <c r="Q1735" s="3" t="s">
        <v>2276</v>
      </c>
      <c r="R1735" s="3" t="s">
        <v>2276</v>
      </c>
      <c r="S1735" s="3" t="s">
        <v>2276</v>
      </c>
      <c r="T1735" s="3" t="s">
        <v>2276</v>
      </c>
      <c r="U1735" s="3" t="s">
        <v>2276</v>
      </c>
      <c r="V1735" s="3" t="s">
        <v>2276</v>
      </c>
      <c r="W1735" s="3" t="s">
        <v>2276</v>
      </c>
      <c r="X1735" s="3" t="s">
        <v>2276</v>
      </c>
      <c r="Y1735" s="3" t="s">
        <v>2276</v>
      </c>
      <c r="Z1735" s="3" t="s">
        <v>2276</v>
      </c>
      <c r="AA1735" s="3"/>
      <c r="AB1735" s="3"/>
    </row>
    <row r="1736" spans="1:28" ht="35.5" customHeight="1">
      <c r="A1736" s="156" t="str">
        <f>'Reported burning'!A1736</f>
        <v>208a</v>
      </c>
      <c r="B1736" s="156" t="str">
        <f>'Reported burning'!B1736</f>
        <v>208a.3</v>
      </c>
      <c r="C1736" s="156" t="str">
        <f>'Reported burning'!C1736</f>
        <v>Human, deliberate</v>
      </c>
      <c r="D1736" s="156" t="str">
        <f>'Reported burning'!D1736</f>
        <v>Hunting</v>
      </c>
      <c r="E1736" s="156" t="str">
        <f>'Reported burning'!E1736</f>
        <v>Forestry, Traditional</v>
      </c>
      <c r="F1736" s="156" t="str">
        <f>'Reported burning'!F1736</f>
        <v>Grassland</v>
      </c>
      <c r="G1736" s="156" t="str">
        <f>'Reported burning'!G1736</f>
        <v>ND</v>
      </c>
      <c r="H1736" s="156" t="str">
        <f>'Reported burning'!H1736</f>
        <v>Presence</v>
      </c>
      <c r="I1736" s="5"/>
      <c r="J1736" s="3" t="s">
        <v>2276</v>
      </c>
      <c r="K1736" s="3" t="s">
        <v>2276</v>
      </c>
      <c r="L1736" s="3" t="s">
        <v>2276</v>
      </c>
      <c r="M1736" s="3" t="s">
        <v>2276</v>
      </c>
      <c r="N1736" s="3" t="s">
        <v>2276</v>
      </c>
      <c r="O1736" s="3" t="s">
        <v>2276</v>
      </c>
      <c r="P1736" s="3" t="s">
        <v>2276</v>
      </c>
      <c r="Q1736" s="3" t="s">
        <v>2276</v>
      </c>
      <c r="R1736" s="3" t="s">
        <v>2276</v>
      </c>
      <c r="S1736" s="3" t="s">
        <v>2276</v>
      </c>
      <c r="T1736" s="3" t="s">
        <v>2276</v>
      </c>
      <c r="U1736" s="3" t="s">
        <v>2276</v>
      </c>
      <c r="V1736" s="3" t="s">
        <v>2276</v>
      </c>
      <c r="W1736" s="3" t="s">
        <v>2276</v>
      </c>
      <c r="X1736" s="3" t="s">
        <v>2276</v>
      </c>
      <c r="Y1736" s="3" t="s">
        <v>2276</v>
      </c>
      <c r="Z1736" s="3" t="s">
        <v>2276</v>
      </c>
      <c r="AA1736" s="3"/>
      <c r="AB1736" s="3"/>
    </row>
    <row r="1737" spans="1:28" ht="35.5" customHeight="1">
      <c r="A1737" s="156" t="str">
        <f>'Reported burning'!A1737</f>
        <v>208a</v>
      </c>
      <c r="B1737" s="156" t="str">
        <f>'Reported burning'!B1737</f>
        <v>208a.4</v>
      </c>
      <c r="C1737" s="156" t="str">
        <f>'Reported burning'!C1737</f>
        <v>Human, deliberate</v>
      </c>
      <c r="D1737" s="156" t="str">
        <f>'Reported burning'!D1737</f>
        <v>Harvesting of NTFP</v>
      </c>
      <c r="E1737" s="156" t="str">
        <f>'Reported burning'!E1737</f>
        <v>Forestry, Traditional</v>
      </c>
      <c r="F1737" s="156" t="str">
        <f>'Reported burning'!F1737</f>
        <v>Forest</v>
      </c>
      <c r="G1737" s="156" t="str">
        <f>'Reported burning'!G1737</f>
        <v>ND</v>
      </c>
      <c r="H1737" s="156" t="str">
        <f>'Reported burning'!H1737</f>
        <v>Presence</v>
      </c>
      <c r="I1737" s="5"/>
      <c r="J1737" s="3" t="s">
        <v>2276</v>
      </c>
      <c r="K1737" s="3" t="s">
        <v>2276</v>
      </c>
      <c r="L1737" s="3" t="s">
        <v>2276</v>
      </c>
      <c r="M1737" s="3" t="s">
        <v>2276</v>
      </c>
      <c r="N1737" s="3" t="s">
        <v>2276</v>
      </c>
      <c r="O1737" s="3" t="s">
        <v>2276</v>
      </c>
      <c r="P1737" s="3" t="s">
        <v>2276</v>
      </c>
      <c r="Q1737" s="3" t="s">
        <v>2276</v>
      </c>
      <c r="R1737" s="3" t="s">
        <v>2276</v>
      </c>
      <c r="S1737" s="3" t="s">
        <v>2276</v>
      </c>
      <c r="T1737" s="3" t="s">
        <v>2276</v>
      </c>
      <c r="U1737" s="3" t="s">
        <v>2276</v>
      </c>
      <c r="V1737" s="3" t="s">
        <v>2276</v>
      </c>
      <c r="W1737" s="3" t="s">
        <v>2276</v>
      </c>
      <c r="X1737" s="3" t="s">
        <v>2276</v>
      </c>
      <c r="Y1737" s="3" t="s">
        <v>2276</v>
      </c>
      <c r="Z1737" s="3" t="s">
        <v>2276</v>
      </c>
      <c r="AA1737" s="3"/>
      <c r="AB1737" s="3"/>
    </row>
    <row r="1738" spans="1:28" ht="35.5" customHeight="1">
      <c r="A1738" s="156" t="str">
        <f>'Reported burning'!A1738</f>
        <v>208a</v>
      </c>
      <c r="B1738" s="156" t="str">
        <f>'Reported burning'!B1738</f>
        <v>208a.5</v>
      </c>
      <c r="C1738" s="156" t="str">
        <f>'Reported burning'!C1738</f>
        <v>Human, deliberate</v>
      </c>
      <c r="D1738" s="156" t="str">
        <f>'Reported burning'!D1738</f>
        <v>Harvesting of Timber</v>
      </c>
      <c r="E1738" s="156" t="str">
        <f>'Reported burning'!E1738</f>
        <v>Forestry, Small-scale</v>
      </c>
      <c r="F1738" s="156" t="str">
        <f>'Reported burning'!F1738</f>
        <v>Forest</v>
      </c>
      <c r="G1738" s="156" t="str">
        <f>'Reported burning'!G1738</f>
        <v>ND</v>
      </c>
      <c r="H1738" s="156" t="str">
        <f>'Reported burning'!H1738</f>
        <v>Presence</v>
      </c>
      <c r="I1738" s="5"/>
      <c r="J1738" s="3" t="s">
        <v>2276</v>
      </c>
      <c r="K1738" s="3" t="s">
        <v>2276</v>
      </c>
      <c r="L1738" s="3" t="s">
        <v>2276</v>
      </c>
      <c r="M1738" s="3" t="s">
        <v>2276</v>
      </c>
      <c r="N1738" s="3" t="s">
        <v>2276</v>
      </c>
      <c r="O1738" s="3" t="s">
        <v>2276</v>
      </c>
      <c r="P1738" s="3" t="s">
        <v>2276</v>
      </c>
      <c r="Q1738" s="3" t="s">
        <v>2276</v>
      </c>
      <c r="R1738" s="3" t="s">
        <v>2276</v>
      </c>
      <c r="S1738" s="3" t="s">
        <v>2276</v>
      </c>
      <c r="T1738" s="3" t="s">
        <v>2276</v>
      </c>
      <c r="U1738" s="3" t="s">
        <v>2276</v>
      </c>
      <c r="V1738" s="3" t="s">
        <v>2276</v>
      </c>
      <c r="W1738" s="3" t="s">
        <v>2276</v>
      </c>
      <c r="X1738" s="3" t="s">
        <v>2276</v>
      </c>
      <c r="Y1738" s="3" t="s">
        <v>2276</v>
      </c>
      <c r="Z1738" s="3" t="s">
        <v>2276</v>
      </c>
      <c r="AA1738" s="3"/>
      <c r="AB1738" s="3"/>
    </row>
    <row r="1739" spans="1:28" ht="63.5" customHeight="1">
      <c r="A1739" s="156" t="str">
        <f>'Reported burning'!A1739</f>
        <v>209a</v>
      </c>
      <c r="B1739" s="156" t="str">
        <f>'Reported burning'!B1739</f>
        <v>209a.1</v>
      </c>
      <c r="C1739" s="156" t="str">
        <f>'Reported burning'!C1739</f>
        <v>Human, deliberate</v>
      </c>
      <c r="D1739" s="156" t="str">
        <f>'Reported burning'!D1739</f>
        <v>Pasture renewal</v>
      </c>
      <c r="E1739" s="156" t="str">
        <f>'Reported burning'!E1739</f>
        <v>Pastoralism, Migratory</v>
      </c>
      <c r="F1739" s="156" t="str">
        <f>'Reported burning'!F1739</f>
        <v>Forest</v>
      </c>
      <c r="G1739" s="156" t="str">
        <f>'Reported burning'!G1739</f>
        <v>Forest</v>
      </c>
      <c r="H1739" s="156" t="str">
        <f>'Reported burning'!H1739</f>
        <v>Presence</v>
      </c>
      <c r="I1739" s="5"/>
      <c r="J1739" s="3" t="s">
        <v>2276</v>
      </c>
      <c r="K1739" s="3" t="s">
        <v>2276</v>
      </c>
      <c r="L1739" s="3" t="s">
        <v>2276</v>
      </c>
      <c r="M1739" s="3" t="s">
        <v>2276</v>
      </c>
      <c r="N1739" s="3" t="s">
        <v>2276</v>
      </c>
      <c r="O1739" s="3" t="s">
        <v>2276</v>
      </c>
      <c r="P1739" s="21" t="s">
        <v>2376</v>
      </c>
      <c r="Q1739" s="3" t="s">
        <v>2276</v>
      </c>
      <c r="R1739" s="21" t="s">
        <v>2374</v>
      </c>
      <c r="S1739" s="3" t="s">
        <v>2276</v>
      </c>
      <c r="T1739" s="3" t="s">
        <v>2276</v>
      </c>
      <c r="U1739" s="3" t="s">
        <v>2276</v>
      </c>
      <c r="V1739" s="3" t="s">
        <v>2276</v>
      </c>
      <c r="W1739" s="3" t="s">
        <v>2276</v>
      </c>
      <c r="X1739" s="3" t="s">
        <v>2276</v>
      </c>
      <c r="Y1739" s="3" t="s">
        <v>2276</v>
      </c>
      <c r="Z1739" s="3" t="s">
        <v>2276</v>
      </c>
      <c r="AA1739" s="3"/>
      <c r="AB1739" s="4" t="s">
        <v>5336</v>
      </c>
    </row>
    <row r="1740" spans="1:28" ht="35.5" customHeight="1">
      <c r="A1740" s="156" t="str">
        <f>'Reported burning'!A1740</f>
        <v>209a</v>
      </c>
      <c r="B1740" s="156" t="str">
        <f>'Reported burning'!B1740</f>
        <v>209a.2</v>
      </c>
      <c r="C1740" s="156" t="str">
        <f>'Reported burning'!C1740</f>
        <v>Human, deliberate</v>
      </c>
      <c r="D1740" s="156" t="str">
        <f>'Reported burning'!D1740</f>
        <v>Harvesting of NTFP</v>
      </c>
      <c r="E1740" s="156" t="str">
        <f>'Reported burning'!E1740</f>
        <v>Forestry, Traditional</v>
      </c>
      <c r="F1740" s="156" t="str">
        <f>'Reported burning'!F1740</f>
        <v>Forest</v>
      </c>
      <c r="G1740" s="156" t="str">
        <f>'Reported burning'!G1740</f>
        <v>Forest</v>
      </c>
      <c r="H1740" s="156" t="str">
        <f>'Reported burning'!H1740</f>
        <v>Presence</v>
      </c>
      <c r="I1740" s="5"/>
      <c r="J1740" s="3" t="s">
        <v>2276</v>
      </c>
      <c r="K1740" s="3" t="s">
        <v>2276</v>
      </c>
      <c r="L1740" s="3" t="s">
        <v>2276</v>
      </c>
      <c r="M1740" s="3" t="s">
        <v>2276</v>
      </c>
      <c r="N1740" s="3" t="s">
        <v>2276</v>
      </c>
      <c r="O1740" s="3" t="s">
        <v>2276</v>
      </c>
      <c r="P1740" s="3" t="s">
        <v>2276</v>
      </c>
      <c r="Q1740" s="3" t="s">
        <v>2276</v>
      </c>
      <c r="R1740" s="3" t="s">
        <v>2276</v>
      </c>
      <c r="S1740" s="3" t="s">
        <v>2276</v>
      </c>
      <c r="T1740" s="3" t="s">
        <v>2276</v>
      </c>
      <c r="U1740" s="3" t="s">
        <v>2276</v>
      </c>
      <c r="V1740" s="3" t="s">
        <v>2276</v>
      </c>
      <c r="W1740" s="3" t="s">
        <v>2276</v>
      </c>
      <c r="X1740" s="3" t="s">
        <v>2276</v>
      </c>
      <c r="Y1740" s="3" t="s">
        <v>2276</v>
      </c>
      <c r="Z1740" s="3" t="s">
        <v>2276</v>
      </c>
      <c r="AA1740" s="3"/>
      <c r="AB1740" s="3"/>
    </row>
    <row r="1741" spans="1:28" ht="35.5" customHeight="1">
      <c r="A1741" s="156" t="str">
        <f>'Reported burning'!A1741</f>
        <v>209a</v>
      </c>
      <c r="B1741" s="156" t="str">
        <f>'Reported burning'!B1741</f>
        <v>209a.3</v>
      </c>
      <c r="C1741" s="156" t="str">
        <f>'Reported burning'!C1741</f>
        <v>Human, deliberate</v>
      </c>
      <c r="D1741" s="156" t="str">
        <f>'Reported burning'!D1741</f>
        <v>Hunting</v>
      </c>
      <c r="E1741" s="156" t="str">
        <f>'Reported burning'!E1741</f>
        <v>Forestry, Traditional</v>
      </c>
      <c r="F1741" s="156" t="str">
        <f>'Reported burning'!F1741</f>
        <v>Forest</v>
      </c>
      <c r="G1741" s="156" t="str">
        <f>'Reported burning'!G1741</f>
        <v>Forest</v>
      </c>
      <c r="H1741" s="156" t="str">
        <f>'Reported burning'!H1741</f>
        <v>Presence</v>
      </c>
      <c r="I1741" s="5"/>
      <c r="J1741" s="3" t="s">
        <v>2276</v>
      </c>
      <c r="K1741" s="3" t="s">
        <v>2276</v>
      </c>
      <c r="L1741" s="3" t="s">
        <v>2276</v>
      </c>
      <c r="M1741" s="3" t="s">
        <v>2276</v>
      </c>
      <c r="N1741" s="3" t="s">
        <v>2276</v>
      </c>
      <c r="O1741" s="3" t="s">
        <v>2276</v>
      </c>
      <c r="P1741" s="3" t="s">
        <v>2276</v>
      </c>
      <c r="Q1741" s="3" t="s">
        <v>2276</v>
      </c>
      <c r="R1741" s="3" t="s">
        <v>2276</v>
      </c>
      <c r="S1741" s="3" t="s">
        <v>2276</v>
      </c>
      <c r="T1741" s="3" t="s">
        <v>2276</v>
      </c>
      <c r="U1741" s="3" t="s">
        <v>2276</v>
      </c>
      <c r="V1741" s="3" t="s">
        <v>2276</v>
      </c>
      <c r="W1741" s="3" t="s">
        <v>2276</v>
      </c>
      <c r="X1741" s="3" t="s">
        <v>2276</v>
      </c>
      <c r="Y1741" s="3" t="s">
        <v>2276</v>
      </c>
      <c r="Z1741" s="3" t="s">
        <v>2276</v>
      </c>
      <c r="AA1741" s="3"/>
      <c r="AB1741" s="3"/>
    </row>
    <row r="1742" spans="1:28" ht="35.5" customHeight="1">
      <c r="A1742" s="156" t="str">
        <f>'Reported burning'!A1742</f>
        <v>209a</v>
      </c>
      <c r="B1742" s="156" t="str">
        <f>'Reported burning'!B1742</f>
        <v>209a.4</v>
      </c>
      <c r="C1742" s="156" t="str">
        <f>'Reported burning'!C1742</f>
        <v>Human, deliberate</v>
      </c>
      <c r="D1742" s="156" t="str">
        <f>'Reported burning'!D1742</f>
        <v>Harvesting of Timber</v>
      </c>
      <c r="E1742" s="156" t="str">
        <f>'Reported burning'!E1742</f>
        <v>Forestry, Small-scale</v>
      </c>
      <c r="F1742" s="156" t="str">
        <f>'Reported burning'!F1742</f>
        <v>Forest</v>
      </c>
      <c r="G1742" s="156" t="str">
        <f>'Reported burning'!G1742</f>
        <v>Forest</v>
      </c>
      <c r="H1742" s="156" t="str">
        <f>'Reported burning'!H1742</f>
        <v>Presence</v>
      </c>
      <c r="I1742" s="5"/>
      <c r="J1742" s="3" t="s">
        <v>2276</v>
      </c>
      <c r="K1742" s="3" t="s">
        <v>2276</v>
      </c>
      <c r="L1742" s="3" t="s">
        <v>2276</v>
      </c>
      <c r="M1742" s="3" t="s">
        <v>2276</v>
      </c>
      <c r="N1742" s="3" t="s">
        <v>2276</v>
      </c>
      <c r="O1742" s="3" t="s">
        <v>2276</v>
      </c>
      <c r="P1742" s="3" t="s">
        <v>2276</v>
      </c>
      <c r="Q1742" s="3" t="s">
        <v>2276</v>
      </c>
      <c r="R1742" s="3" t="s">
        <v>2276</v>
      </c>
      <c r="S1742" s="3" t="s">
        <v>2276</v>
      </c>
      <c r="T1742" s="3" t="s">
        <v>2276</v>
      </c>
      <c r="U1742" s="3" t="s">
        <v>2276</v>
      </c>
      <c r="V1742" s="3" t="s">
        <v>2276</v>
      </c>
      <c r="W1742" s="3" t="s">
        <v>2276</v>
      </c>
      <c r="X1742" s="3" t="s">
        <v>2276</v>
      </c>
      <c r="Y1742" s="3" t="s">
        <v>2276</v>
      </c>
      <c r="Z1742" s="3" t="s">
        <v>2276</v>
      </c>
      <c r="AA1742" s="3"/>
      <c r="AB1742" s="3"/>
    </row>
    <row r="1743" spans="1:28" ht="35.5" customHeight="1">
      <c r="A1743" s="156" t="str">
        <f>'Reported burning'!A1743</f>
        <v>209a</v>
      </c>
      <c r="B1743" s="156" t="str">
        <f>'Reported burning'!B1743</f>
        <v>209a.5</v>
      </c>
      <c r="C1743" s="156" t="str">
        <f>'Reported burning'!C1743</f>
        <v>Human, deliberate</v>
      </c>
      <c r="D1743" s="156" t="str">
        <f>'Reported burning'!D1743</f>
        <v>Arson</v>
      </c>
      <c r="E1743" s="156" t="str">
        <f>'Reported burning'!E1743</f>
        <v>ND</v>
      </c>
      <c r="F1743" s="156" t="str">
        <f>'Reported burning'!F1743</f>
        <v>ND</v>
      </c>
      <c r="G1743" s="156" t="str">
        <f>'Reported burning'!G1743</f>
        <v>Forest</v>
      </c>
      <c r="H1743" s="156" t="str">
        <f>'Reported burning'!H1743</f>
        <v>Presence</v>
      </c>
      <c r="I1743" s="5"/>
      <c r="J1743" s="3" t="s">
        <v>2276</v>
      </c>
      <c r="K1743" s="3" t="s">
        <v>2276</v>
      </c>
      <c r="L1743" s="3" t="s">
        <v>2276</v>
      </c>
      <c r="M1743" s="3" t="s">
        <v>2276</v>
      </c>
      <c r="N1743" s="3" t="s">
        <v>2276</v>
      </c>
      <c r="O1743" s="3" t="s">
        <v>2276</v>
      </c>
      <c r="P1743" s="3" t="s">
        <v>2276</v>
      </c>
      <c r="Q1743" s="3" t="s">
        <v>2276</v>
      </c>
      <c r="R1743" s="3" t="s">
        <v>2276</v>
      </c>
      <c r="S1743" s="3" t="s">
        <v>2276</v>
      </c>
      <c r="T1743" s="3" t="s">
        <v>2276</v>
      </c>
      <c r="U1743" s="3" t="s">
        <v>2276</v>
      </c>
      <c r="V1743" s="3" t="s">
        <v>2276</v>
      </c>
      <c r="W1743" s="3" t="s">
        <v>2276</v>
      </c>
      <c r="X1743" s="3" t="s">
        <v>2276</v>
      </c>
      <c r="Y1743" s="3" t="s">
        <v>2276</v>
      </c>
      <c r="Z1743" s="3" t="s">
        <v>2276</v>
      </c>
      <c r="AA1743" s="3"/>
      <c r="AB1743" s="3"/>
    </row>
    <row r="1744" spans="1:28" ht="35.5" customHeight="1">
      <c r="A1744" s="156" t="str">
        <f>'Reported burning'!A1744</f>
        <v>209a</v>
      </c>
      <c r="B1744" s="156" t="str">
        <f>'Reported burning'!B1744</f>
        <v>209a.6</v>
      </c>
      <c r="C1744" s="156" t="str">
        <f>'Reported burning'!C1744</f>
        <v>Human, deliberate</v>
      </c>
      <c r="D1744" s="156" t="str">
        <f>'Reported burning'!D1744</f>
        <v>Crop field preparation</v>
      </c>
      <c r="E1744" s="156" t="str">
        <f>'Reported burning'!E1744</f>
        <v>Cropping, Swidden</v>
      </c>
      <c r="F1744" s="156" t="str">
        <f>'Reported burning'!F1744</f>
        <v>Forest</v>
      </c>
      <c r="G1744" s="156" t="str">
        <f>'Reported burning'!G1744</f>
        <v>ND</v>
      </c>
      <c r="H1744" s="156" t="str">
        <f>'Reported burning'!H1744</f>
        <v>Presence</v>
      </c>
      <c r="I1744" s="5"/>
      <c r="J1744" s="3" t="s">
        <v>2276</v>
      </c>
      <c r="K1744" s="3" t="s">
        <v>2276</v>
      </c>
      <c r="L1744" s="3" t="s">
        <v>2276</v>
      </c>
      <c r="M1744" s="3" t="s">
        <v>2276</v>
      </c>
      <c r="N1744" s="3" t="s">
        <v>2276</v>
      </c>
      <c r="O1744" s="3" t="s">
        <v>2276</v>
      </c>
      <c r="P1744" s="3" t="s">
        <v>2276</v>
      </c>
      <c r="Q1744" s="3" t="s">
        <v>2276</v>
      </c>
      <c r="R1744" s="3" t="s">
        <v>2276</v>
      </c>
      <c r="S1744" s="3" t="s">
        <v>2276</v>
      </c>
      <c r="T1744" s="3" t="s">
        <v>2276</v>
      </c>
      <c r="U1744" s="3" t="s">
        <v>2276</v>
      </c>
      <c r="V1744" s="3" t="s">
        <v>2276</v>
      </c>
      <c r="W1744" s="3" t="s">
        <v>2276</v>
      </c>
      <c r="X1744" s="3" t="s">
        <v>2276</v>
      </c>
      <c r="Y1744" s="3" t="s">
        <v>2276</v>
      </c>
      <c r="Z1744" s="3" t="s">
        <v>2276</v>
      </c>
      <c r="AA1744" s="3"/>
      <c r="AB1744" s="3"/>
    </row>
    <row r="1745" spans="1:28" ht="35.5" customHeight="1">
      <c r="A1745" s="156" t="str">
        <f>'Reported burning'!A1745</f>
        <v>209a</v>
      </c>
      <c r="B1745" s="156" t="str">
        <f>'Reported burning'!B1745</f>
        <v>209a.7</v>
      </c>
      <c r="C1745" s="156" t="str">
        <f>'Reported burning'!C1745</f>
        <v>Human, escaped</v>
      </c>
      <c r="D1745" s="156" t="str">
        <f>'Reported burning'!D1745</f>
        <v>Charcoal production</v>
      </c>
      <c r="E1745" s="156" t="str">
        <f>'Reported burning'!E1745</f>
        <v>ND</v>
      </c>
      <c r="F1745" s="156" t="str">
        <f>'Reported burning'!F1745</f>
        <v>ND</v>
      </c>
      <c r="G1745" s="156" t="str">
        <f>'Reported burning'!G1745</f>
        <v>Forest</v>
      </c>
      <c r="H1745" s="156" t="str">
        <f>'Reported burning'!H1745</f>
        <v>Presence</v>
      </c>
      <c r="I1745" s="5"/>
      <c r="J1745" s="3" t="s">
        <v>2276</v>
      </c>
      <c r="K1745" s="3" t="s">
        <v>2276</v>
      </c>
      <c r="L1745" s="3" t="s">
        <v>2276</v>
      </c>
      <c r="M1745" s="3" t="s">
        <v>2276</v>
      </c>
      <c r="N1745" s="3" t="s">
        <v>2276</v>
      </c>
      <c r="O1745" s="3" t="s">
        <v>2276</v>
      </c>
      <c r="P1745" s="3" t="s">
        <v>2276</v>
      </c>
      <c r="Q1745" s="3" t="s">
        <v>2276</v>
      </c>
      <c r="R1745" s="3" t="s">
        <v>2276</v>
      </c>
      <c r="S1745" s="3" t="s">
        <v>2276</v>
      </c>
      <c r="T1745" s="3" t="s">
        <v>2276</v>
      </c>
      <c r="U1745" s="3" t="s">
        <v>2276</v>
      </c>
      <c r="V1745" s="3" t="s">
        <v>2276</v>
      </c>
      <c r="W1745" s="3" t="s">
        <v>2276</v>
      </c>
      <c r="X1745" s="3" t="s">
        <v>2276</v>
      </c>
      <c r="Y1745" s="3" t="s">
        <v>2276</v>
      </c>
      <c r="Z1745" s="3" t="s">
        <v>2276</v>
      </c>
      <c r="AA1745" s="3"/>
      <c r="AB1745" s="3"/>
    </row>
    <row r="1746" spans="1:28" ht="35.5" customHeight="1">
      <c r="A1746" s="156" t="str">
        <f>'Reported burning'!A1746</f>
        <v>209a</v>
      </c>
      <c r="B1746" s="156" t="str">
        <f>'Reported burning'!B1746</f>
        <v>209a.8</v>
      </c>
      <c r="C1746" s="156" t="str">
        <f>'Reported burning'!C1746</f>
        <v>Human, accidental</v>
      </c>
      <c r="D1746" s="156" t="str">
        <f>'Reported burning'!D1746</f>
        <v>ND</v>
      </c>
      <c r="E1746" s="156" t="str">
        <f>'Reported burning'!E1746</f>
        <v>All</v>
      </c>
      <c r="F1746" s="156" t="str">
        <f>'Reported burning'!F1746</f>
        <v>ND</v>
      </c>
      <c r="G1746" s="156" t="str">
        <f>'Reported burning'!G1746</f>
        <v>Forest</v>
      </c>
      <c r="H1746" s="156" t="str">
        <f>'Reported burning'!H1746</f>
        <v>Presence</v>
      </c>
      <c r="I1746" s="5"/>
      <c r="J1746" s="3" t="s">
        <v>2276</v>
      </c>
      <c r="K1746" s="3" t="s">
        <v>2276</v>
      </c>
      <c r="L1746" s="3" t="s">
        <v>2276</v>
      </c>
      <c r="M1746" s="3" t="s">
        <v>2276</v>
      </c>
      <c r="N1746" s="3" t="s">
        <v>2276</v>
      </c>
      <c r="O1746" s="3" t="s">
        <v>2276</v>
      </c>
      <c r="P1746" s="3" t="s">
        <v>2276</v>
      </c>
      <c r="Q1746" s="3" t="s">
        <v>2276</v>
      </c>
      <c r="R1746" s="3" t="s">
        <v>2276</v>
      </c>
      <c r="S1746" s="3" t="s">
        <v>2276</v>
      </c>
      <c r="T1746" s="3" t="s">
        <v>2276</v>
      </c>
      <c r="U1746" s="3" t="s">
        <v>2276</v>
      </c>
      <c r="V1746" s="3" t="s">
        <v>2276</v>
      </c>
      <c r="W1746" s="3" t="s">
        <v>2276</v>
      </c>
      <c r="X1746" s="3" t="s">
        <v>2276</v>
      </c>
      <c r="Y1746" s="3" t="s">
        <v>2276</v>
      </c>
      <c r="Z1746" s="3" t="s">
        <v>2276</v>
      </c>
      <c r="AA1746" s="3"/>
      <c r="AB1746" s="3"/>
    </row>
    <row r="1747" spans="1:28" ht="35.5" customHeight="1">
      <c r="A1747" s="156" t="str">
        <f>'Reported burning'!A1747</f>
        <v>209a</v>
      </c>
      <c r="B1747" s="156" t="str">
        <f>'Reported burning'!B1747</f>
        <v>209a.9</v>
      </c>
      <c r="C1747" s="156" t="str">
        <f>'Reported burning'!C1747</f>
        <v>Human, escaped</v>
      </c>
      <c r="D1747" s="156" t="str">
        <f>'Reported burning'!D1747</f>
        <v>Cultural &amp; Spiritual</v>
      </c>
      <c r="E1747" s="156" t="str">
        <f>'Reported burning'!E1747</f>
        <v>All</v>
      </c>
      <c r="F1747" s="156" t="str">
        <f>'Reported burning'!F1747</f>
        <v>ND</v>
      </c>
      <c r="G1747" s="156" t="str">
        <f>'Reported burning'!G1747</f>
        <v>Forest</v>
      </c>
      <c r="H1747" s="156" t="str">
        <f>'Reported burning'!H1747</f>
        <v>Presence</v>
      </c>
      <c r="I1747" s="5"/>
      <c r="J1747" s="3" t="s">
        <v>2276</v>
      </c>
      <c r="K1747" s="3" t="s">
        <v>2276</v>
      </c>
      <c r="L1747" s="3" t="s">
        <v>2276</v>
      </c>
      <c r="M1747" s="3" t="s">
        <v>2276</v>
      </c>
      <c r="N1747" s="3" t="s">
        <v>2276</v>
      </c>
      <c r="O1747" s="3" t="s">
        <v>2276</v>
      </c>
      <c r="P1747" s="3" t="s">
        <v>2276</v>
      </c>
      <c r="Q1747" s="3" t="s">
        <v>2276</v>
      </c>
      <c r="R1747" s="3" t="s">
        <v>2276</v>
      </c>
      <c r="S1747" s="3" t="s">
        <v>2276</v>
      </c>
      <c r="T1747" s="3" t="s">
        <v>2276</v>
      </c>
      <c r="U1747" s="3" t="s">
        <v>2276</v>
      </c>
      <c r="V1747" s="3" t="s">
        <v>2276</v>
      </c>
      <c r="W1747" s="3" t="s">
        <v>2276</v>
      </c>
      <c r="X1747" s="3" t="s">
        <v>2276</v>
      </c>
      <c r="Y1747" s="3" t="s">
        <v>2276</v>
      </c>
      <c r="Z1747" s="3" t="s">
        <v>2276</v>
      </c>
      <c r="AA1747" s="3"/>
      <c r="AB1747" s="3"/>
    </row>
    <row r="1748" spans="1:28" ht="35.5" customHeight="1">
      <c r="A1748" s="156" t="str">
        <f>'Reported burning'!A1748</f>
        <v>209a</v>
      </c>
      <c r="B1748" s="156" t="str">
        <f>'Reported burning'!B1748</f>
        <v>209a.10</v>
      </c>
      <c r="C1748" s="156" t="str">
        <f>'Reported burning'!C1748</f>
        <v>Human, escaped</v>
      </c>
      <c r="D1748" s="156" t="str">
        <f>'Reported burning'!D1748</f>
        <v>Domestic</v>
      </c>
      <c r="E1748" s="156" t="str">
        <f>'Reported burning'!E1748</f>
        <v>All</v>
      </c>
      <c r="F1748" s="156" t="str">
        <f>'Reported burning'!F1748</f>
        <v>ND</v>
      </c>
      <c r="G1748" s="156" t="str">
        <f>'Reported burning'!G1748</f>
        <v>Forest</v>
      </c>
      <c r="H1748" s="156" t="str">
        <f>'Reported burning'!H1748</f>
        <v>Presence</v>
      </c>
      <c r="I1748" s="5"/>
      <c r="J1748" s="3" t="s">
        <v>2276</v>
      </c>
      <c r="K1748" s="3" t="s">
        <v>2276</v>
      </c>
      <c r="L1748" s="3" t="s">
        <v>2276</v>
      </c>
      <c r="M1748" s="3" t="s">
        <v>2276</v>
      </c>
      <c r="N1748" s="3" t="s">
        <v>2276</v>
      </c>
      <c r="O1748" s="3" t="s">
        <v>2276</v>
      </c>
      <c r="P1748" s="3" t="s">
        <v>2276</v>
      </c>
      <c r="Q1748" s="3" t="s">
        <v>2276</v>
      </c>
      <c r="R1748" s="3" t="s">
        <v>2276</v>
      </c>
      <c r="S1748" s="3" t="s">
        <v>2276</v>
      </c>
      <c r="T1748" s="3" t="s">
        <v>2276</v>
      </c>
      <c r="U1748" s="3" t="s">
        <v>2276</v>
      </c>
      <c r="V1748" s="3" t="s">
        <v>2276</v>
      </c>
      <c r="W1748" s="3" t="s">
        <v>2276</v>
      </c>
      <c r="X1748" s="3" t="s">
        <v>2276</v>
      </c>
      <c r="Y1748" s="3" t="s">
        <v>2276</v>
      </c>
      <c r="Z1748" s="3" t="s">
        <v>2276</v>
      </c>
      <c r="AA1748" s="3"/>
      <c r="AB1748" s="3"/>
    </row>
    <row r="1749" spans="1:28" ht="35.5" customHeight="1">
      <c r="A1749" s="156" t="str">
        <f>'Reported burning'!A1749</f>
        <v>209b</v>
      </c>
      <c r="B1749" s="156" t="str">
        <f>'Reported burning'!B1749</f>
        <v>209b.1</v>
      </c>
      <c r="C1749" s="156" t="str">
        <f>'Reported burning'!C1749</f>
        <v>Human, deliberate</v>
      </c>
      <c r="D1749" s="156" t="str">
        <f>'Reported burning'!D1749</f>
        <v>Pasture renewal</v>
      </c>
      <c r="E1749" s="156" t="str">
        <f>'Reported burning'!E1749</f>
        <v>Pastoralism, Migratory</v>
      </c>
      <c r="F1749" s="156" t="str">
        <f>'Reported burning'!F1749</f>
        <v>Forest</v>
      </c>
      <c r="G1749" s="156" t="str">
        <f>'Reported burning'!G1749</f>
        <v>Forest</v>
      </c>
      <c r="H1749" s="156" t="str">
        <f>'Reported burning'!H1749</f>
        <v>Presence</v>
      </c>
      <c r="I1749" s="5"/>
      <c r="J1749" s="3" t="s">
        <v>2276</v>
      </c>
      <c r="K1749" s="3" t="s">
        <v>2276</v>
      </c>
      <c r="L1749" s="3" t="s">
        <v>2276</v>
      </c>
      <c r="M1749" s="3" t="s">
        <v>2276</v>
      </c>
      <c r="N1749" s="3" t="s">
        <v>2276</v>
      </c>
      <c r="O1749" s="3" t="s">
        <v>2276</v>
      </c>
      <c r="P1749" s="21" t="s">
        <v>2376</v>
      </c>
      <c r="Q1749" s="3" t="s">
        <v>2276</v>
      </c>
      <c r="R1749" s="21" t="s">
        <v>2374</v>
      </c>
      <c r="S1749" s="3" t="s">
        <v>2276</v>
      </c>
      <c r="T1749" s="3" t="s">
        <v>2276</v>
      </c>
      <c r="U1749" s="3" t="s">
        <v>2276</v>
      </c>
      <c r="V1749" s="3" t="s">
        <v>2276</v>
      </c>
      <c r="W1749" s="3" t="s">
        <v>2276</v>
      </c>
      <c r="X1749" s="3" t="s">
        <v>2276</v>
      </c>
      <c r="Y1749" s="3" t="s">
        <v>2276</v>
      </c>
      <c r="Z1749" s="3" t="s">
        <v>2276</v>
      </c>
      <c r="AA1749" s="3"/>
      <c r="AB1749" s="4" t="s">
        <v>5336</v>
      </c>
    </row>
    <row r="1750" spans="1:28" ht="35.5" customHeight="1">
      <c r="A1750" s="156" t="str">
        <f>'Reported burning'!A1750</f>
        <v>209b</v>
      </c>
      <c r="B1750" s="156" t="str">
        <f>'Reported burning'!B1750</f>
        <v>209b.2</v>
      </c>
      <c r="C1750" s="156" t="str">
        <f>'Reported burning'!C1750</f>
        <v>Human, deliberate</v>
      </c>
      <c r="D1750" s="156" t="str">
        <f>'Reported burning'!D1750</f>
        <v>Harvesting of NTFP</v>
      </c>
      <c r="E1750" s="156" t="str">
        <f>'Reported burning'!E1750</f>
        <v>Forestry, Traditional</v>
      </c>
      <c r="F1750" s="156" t="str">
        <f>'Reported burning'!F1750</f>
        <v>Forest</v>
      </c>
      <c r="G1750" s="156" t="str">
        <f>'Reported burning'!G1750</f>
        <v>Forest</v>
      </c>
      <c r="H1750" s="156" t="str">
        <f>'Reported burning'!H1750</f>
        <v>Presence</v>
      </c>
      <c r="I1750" s="5"/>
      <c r="J1750" s="3" t="s">
        <v>2276</v>
      </c>
      <c r="K1750" s="3" t="s">
        <v>2276</v>
      </c>
      <c r="L1750" s="3" t="s">
        <v>2276</v>
      </c>
      <c r="M1750" s="3" t="s">
        <v>2276</v>
      </c>
      <c r="N1750" s="3" t="s">
        <v>2276</v>
      </c>
      <c r="O1750" s="3" t="s">
        <v>2276</v>
      </c>
      <c r="P1750" s="3" t="s">
        <v>2276</v>
      </c>
      <c r="Q1750" s="3" t="s">
        <v>2276</v>
      </c>
      <c r="R1750" s="3" t="s">
        <v>2276</v>
      </c>
      <c r="S1750" s="3" t="s">
        <v>2276</v>
      </c>
      <c r="T1750" s="3" t="s">
        <v>2276</v>
      </c>
      <c r="U1750" s="3" t="s">
        <v>2276</v>
      </c>
      <c r="V1750" s="3" t="s">
        <v>2276</v>
      </c>
      <c r="W1750" s="3" t="s">
        <v>2276</v>
      </c>
      <c r="X1750" s="3" t="s">
        <v>2276</v>
      </c>
      <c r="Y1750" s="3" t="s">
        <v>2276</v>
      </c>
      <c r="Z1750" s="3" t="s">
        <v>2276</v>
      </c>
      <c r="AA1750" s="3"/>
      <c r="AB1750" s="3"/>
    </row>
    <row r="1751" spans="1:28" ht="35.5" customHeight="1">
      <c r="A1751" s="156" t="str">
        <f>'Reported burning'!A1751</f>
        <v>209b</v>
      </c>
      <c r="B1751" s="156" t="str">
        <f>'Reported burning'!B1751</f>
        <v>209b.3</v>
      </c>
      <c r="C1751" s="156" t="str">
        <f>'Reported burning'!C1751</f>
        <v>Human, deliberate</v>
      </c>
      <c r="D1751" s="156" t="str">
        <f>'Reported burning'!D1751</f>
        <v>Hunting</v>
      </c>
      <c r="E1751" s="156" t="str">
        <f>'Reported burning'!E1751</f>
        <v>Forestry, Traditional</v>
      </c>
      <c r="F1751" s="156" t="str">
        <f>'Reported burning'!F1751</f>
        <v>Forest</v>
      </c>
      <c r="G1751" s="156" t="str">
        <f>'Reported burning'!G1751</f>
        <v>Forest</v>
      </c>
      <c r="H1751" s="156" t="str">
        <f>'Reported burning'!H1751</f>
        <v>Presence</v>
      </c>
      <c r="I1751" s="5"/>
      <c r="J1751" s="3" t="s">
        <v>2276</v>
      </c>
      <c r="K1751" s="3" t="s">
        <v>2276</v>
      </c>
      <c r="L1751" s="3" t="s">
        <v>2276</v>
      </c>
      <c r="M1751" s="3" t="s">
        <v>2276</v>
      </c>
      <c r="N1751" s="3" t="s">
        <v>2276</v>
      </c>
      <c r="O1751" s="3" t="s">
        <v>2276</v>
      </c>
      <c r="P1751" s="3" t="s">
        <v>2276</v>
      </c>
      <c r="Q1751" s="3" t="s">
        <v>2276</v>
      </c>
      <c r="R1751" s="3" t="s">
        <v>2276</v>
      </c>
      <c r="S1751" s="3" t="s">
        <v>2276</v>
      </c>
      <c r="T1751" s="3" t="s">
        <v>2276</v>
      </c>
      <c r="U1751" s="3" t="s">
        <v>2276</v>
      </c>
      <c r="V1751" s="3" t="s">
        <v>2276</v>
      </c>
      <c r="W1751" s="3" t="s">
        <v>2276</v>
      </c>
      <c r="X1751" s="3" t="s">
        <v>2276</v>
      </c>
      <c r="Y1751" s="3" t="s">
        <v>2276</v>
      </c>
      <c r="Z1751" s="3" t="s">
        <v>2276</v>
      </c>
      <c r="AA1751" s="3"/>
      <c r="AB1751" s="3"/>
    </row>
    <row r="1752" spans="1:28" ht="35.5" customHeight="1">
      <c r="A1752" s="156" t="str">
        <f>'Reported burning'!A1752</f>
        <v>209b</v>
      </c>
      <c r="B1752" s="156" t="str">
        <f>'Reported burning'!B1752</f>
        <v>209b.4</v>
      </c>
      <c r="C1752" s="156" t="str">
        <f>'Reported burning'!C1752</f>
        <v>Human, deliberate</v>
      </c>
      <c r="D1752" s="156" t="str">
        <f>'Reported burning'!D1752</f>
        <v>Harvesting of Timber</v>
      </c>
      <c r="E1752" s="156" t="str">
        <f>'Reported burning'!E1752</f>
        <v>Forestry, Small-scale</v>
      </c>
      <c r="F1752" s="156" t="str">
        <f>'Reported burning'!F1752</f>
        <v>Forest</v>
      </c>
      <c r="G1752" s="156" t="str">
        <f>'Reported burning'!G1752</f>
        <v>Forest</v>
      </c>
      <c r="H1752" s="156" t="str">
        <f>'Reported burning'!H1752</f>
        <v>Presence</v>
      </c>
      <c r="I1752" s="5"/>
      <c r="J1752" s="3" t="s">
        <v>2276</v>
      </c>
      <c r="K1752" s="3" t="s">
        <v>2276</v>
      </c>
      <c r="L1752" s="3" t="s">
        <v>2276</v>
      </c>
      <c r="M1752" s="3" t="s">
        <v>2276</v>
      </c>
      <c r="N1752" s="3" t="s">
        <v>2276</v>
      </c>
      <c r="O1752" s="3" t="s">
        <v>2276</v>
      </c>
      <c r="P1752" s="3" t="s">
        <v>2276</v>
      </c>
      <c r="Q1752" s="3" t="s">
        <v>2276</v>
      </c>
      <c r="R1752" s="3" t="s">
        <v>2276</v>
      </c>
      <c r="S1752" s="3" t="s">
        <v>2276</v>
      </c>
      <c r="T1752" s="3" t="s">
        <v>2276</v>
      </c>
      <c r="U1752" s="3" t="s">
        <v>2276</v>
      </c>
      <c r="V1752" s="3" t="s">
        <v>2276</v>
      </c>
      <c r="W1752" s="3" t="s">
        <v>2276</v>
      </c>
      <c r="X1752" s="3" t="s">
        <v>2276</v>
      </c>
      <c r="Y1752" s="3" t="s">
        <v>2276</v>
      </c>
      <c r="Z1752" s="3" t="s">
        <v>2276</v>
      </c>
      <c r="AA1752" s="3"/>
      <c r="AB1752" s="3"/>
    </row>
    <row r="1753" spans="1:28" ht="35.5" customHeight="1">
      <c r="A1753" s="156" t="str">
        <f>'Reported burning'!A1753</f>
        <v>209b</v>
      </c>
      <c r="B1753" s="156" t="str">
        <f>'Reported burning'!B1753</f>
        <v>209b.5</v>
      </c>
      <c r="C1753" s="156" t="str">
        <f>'Reported burning'!C1753</f>
        <v>Human, deliberate</v>
      </c>
      <c r="D1753" s="156" t="str">
        <f>'Reported burning'!D1753</f>
        <v>Arson</v>
      </c>
      <c r="E1753" s="156" t="str">
        <f>'Reported burning'!E1753</f>
        <v>ND</v>
      </c>
      <c r="F1753" s="156" t="str">
        <f>'Reported burning'!F1753</f>
        <v>ND</v>
      </c>
      <c r="G1753" s="156" t="str">
        <f>'Reported burning'!G1753</f>
        <v>Forest</v>
      </c>
      <c r="H1753" s="156" t="str">
        <f>'Reported burning'!H1753</f>
        <v>Presence</v>
      </c>
      <c r="I1753" s="5"/>
      <c r="J1753" s="3" t="s">
        <v>2276</v>
      </c>
      <c r="K1753" s="3" t="s">
        <v>2276</v>
      </c>
      <c r="L1753" s="3" t="s">
        <v>2276</v>
      </c>
      <c r="M1753" s="3" t="s">
        <v>2276</v>
      </c>
      <c r="N1753" s="3" t="s">
        <v>2276</v>
      </c>
      <c r="O1753" s="3" t="s">
        <v>2276</v>
      </c>
      <c r="P1753" s="3" t="s">
        <v>2276</v>
      </c>
      <c r="Q1753" s="3" t="s">
        <v>2276</v>
      </c>
      <c r="R1753" s="3" t="s">
        <v>2276</v>
      </c>
      <c r="S1753" s="3" t="s">
        <v>2276</v>
      </c>
      <c r="T1753" s="3" t="s">
        <v>2276</v>
      </c>
      <c r="U1753" s="3" t="s">
        <v>2276</v>
      </c>
      <c r="V1753" s="3" t="s">
        <v>2276</v>
      </c>
      <c r="W1753" s="3" t="s">
        <v>2276</v>
      </c>
      <c r="X1753" s="3" t="s">
        <v>2276</v>
      </c>
      <c r="Y1753" s="3" t="s">
        <v>2276</v>
      </c>
      <c r="Z1753" s="3" t="s">
        <v>2276</v>
      </c>
      <c r="AA1753" s="3"/>
      <c r="AB1753" s="3"/>
    </row>
    <row r="1754" spans="1:28" ht="35.5" customHeight="1">
      <c r="A1754" s="156" t="str">
        <f>'Reported burning'!A1754</f>
        <v>209b</v>
      </c>
      <c r="B1754" s="156" t="str">
        <f>'Reported burning'!B1754</f>
        <v>209b.6</v>
      </c>
      <c r="C1754" s="156" t="str">
        <f>'Reported burning'!C1754</f>
        <v>Human, deliberate</v>
      </c>
      <c r="D1754" s="156" t="str">
        <f>'Reported burning'!D1754</f>
        <v>Crop field preparation</v>
      </c>
      <c r="E1754" s="156" t="str">
        <f>'Reported burning'!E1754</f>
        <v>Cropping, Swidden</v>
      </c>
      <c r="F1754" s="156" t="str">
        <f>'Reported burning'!F1754</f>
        <v>Forest</v>
      </c>
      <c r="G1754" s="156" t="str">
        <f>'Reported burning'!G1754</f>
        <v>ND</v>
      </c>
      <c r="H1754" s="156" t="str">
        <f>'Reported burning'!H1754</f>
        <v>Presence</v>
      </c>
      <c r="I1754" s="5"/>
      <c r="J1754" s="3" t="s">
        <v>2276</v>
      </c>
      <c r="K1754" s="3" t="s">
        <v>2276</v>
      </c>
      <c r="L1754" s="3" t="s">
        <v>2276</v>
      </c>
      <c r="M1754" s="3" t="s">
        <v>2276</v>
      </c>
      <c r="N1754" s="3" t="s">
        <v>2276</v>
      </c>
      <c r="O1754" s="3" t="s">
        <v>2276</v>
      </c>
      <c r="P1754" s="3" t="s">
        <v>2276</v>
      </c>
      <c r="Q1754" s="3" t="s">
        <v>2276</v>
      </c>
      <c r="R1754" s="3" t="s">
        <v>2276</v>
      </c>
      <c r="S1754" s="3" t="s">
        <v>2276</v>
      </c>
      <c r="T1754" s="3" t="s">
        <v>2276</v>
      </c>
      <c r="U1754" s="3" t="s">
        <v>2276</v>
      </c>
      <c r="V1754" s="3" t="s">
        <v>2276</v>
      </c>
      <c r="W1754" s="3" t="s">
        <v>2276</v>
      </c>
      <c r="X1754" s="3" t="s">
        <v>2276</v>
      </c>
      <c r="Y1754" s="3" t="s">
        <v>2276</v>
      </c>
      <c r="Z1754" s="3" t="s">
        <v>2276</v>
      </c>
      <c r="AA1754" s="3"/>
      <c r="AB1754" s="3"/>
    </row>
    <row r="1755" spans="1:28" ht="35.5" customHeight="1">
      <c r="A1755" s="156" t="str">
        <f>'Reported burning'!A1755</f>
        <v>209b</v>
      </c>
      <c r="B1755" s="156" t="str">
        <f>'Reported burning'!B1755</f>
        <v>209b.7</v>
      </c>
      <c r="C1755" s="156" t="str">
        <f>'Reported burning'!C1755</f>
        <v>Human, escaped</v>
      </c>
      <c r="D1755" s="156" t="str">
        <f>'Reported burning'!D1755</f>
        <v>Charcoal production</v>
      </c>
      <c r="E1755" s="156" t="str">
        <f>'Reported burning'!E1755</f>
        <v>ND</v>
      </c>
      <c r="F1755" s="156" t="str">
        <f>'Reported burning'!F1755</f>
        <v>ND</v>
      </c>
      <c r="G1755" s="156" t="str">
        <f>'Reported burning'!G1755</f>
        <v>Forest</v>
      </c>
      <c r="H1755" s="156" t="str">
        <f>'Reported burning'!H1755</f>
        <v>Presence</v>
      </c>
      <c r="I1755" s="5"/>
      <c r="J1755" s="3" t="s">
        <v>2276</v>
      </c>
      <c r="K1755" s="3" t="s">
        <v>2276</v>
      </c>
      <c r="L1755" s="3" t="s">
        <v>2276</v>
      </c>
      <c r="M1755" s="3" t="s">
        <v>2276</v>
      </c>
      <c r="N1755" s="3" t="s">
        <v>2276</v>
      </c>
      <c r="O1755" s="3" t="s">
        <v>2276</v>
      </c>
      <c r="P1755" s="3" t="s">
        <v>2276</v>
      </c>
      <c r="Q1755" s="3" t="s">
        <v>2276</v>
      </c>
      <c r="R1755" s="3" t="s">
        <v>2276</v>
      </c>
      <c r="S1755" s="3" t="s">
        <v>2276</v>
      </c>
      <c r="T1755" s="3" t="s">
        <v>2276</v>
      </c>
      <c r="U1755" s="3" t="s">
        <v>2276</v>
      </c>
      <c r="V1755" s="3" t="s">
        <v>2276</v>
      </c>
      <c r="W1755" s="3" t="s">
        <v>2276</v>
      </c>
      <c r="X1755" s="3" t="s">
        <v>2276</v>
      </c>
      <c r="Y1755" s="3" t="s">
        <v>2276</v>
      </c>
      <c r="Z1755" s="3" t="s">
        <v>2276</v>
      </c>
      <c r="AA1755" s="3"/>
      <c r="AB1755" s="3"/>
    </row>
    <row r="1756" spans="1:28" ht="35.5" customHeight="1">
      <c r="A1756" s="156" t="str">
        <f>'Reported burning'!A1756</f>
        <v>209b</v>
      </c>
      <c r="B1756" s="156" t="str">
        <f>'Reported burning'!B1756</f>
        <v>209b.8</v>
      </c>
      <c r="C1756" s="156" t="str">
        <f>'Reported burning'!C1756</f>
        <v>Human, accidental</v>
      </c>
      <c r="D1756" s="156" t="str">
        <f>'Reported burning'!D1756</f>
        <v>ND</v>
      </c>
      <c r="E1756" s="156" t="str">
        <f>'Reported burning'!E1756</f>
        <v>All</v>
      </c>
      <c r="F1756" s="156" t="str">
        <f>'Reported burning'!F1756</f>
        <v>ND</v>
      </c>
      <c r="G1756" s="156" t="str">
        <f>'Reported burning'!G1756</f>
        <v>Forest</v>
      </c>
      <c r="H1756" s="156" t="str">
        <f>'Reported burning'!H1756</f>
        <v>Presence</v>
      </c>
      <c r="I1756" s="5"/>
      <c r="J1756" s="3" t="s">
        <v>2276</v>
      </c>
      <c r="K1756" s="3" t="s">
        <v>2276</v>
      </c>
      <c r="L1756" s="3" t="s">
        <v>2276</v>
      </c>
      <c r="M1756" s="3" t="s">
        <v>2276</v>
      </c>
      <c r="N1756" s="3" t="s">
        <v>2276</v>
      </c>
      <c r="O1756" s="3" t="s">
        <v>2276</v>
      </c>
      <c r="P1756" s="3" t="s">
        <v>2276</v>
      </c>
      <c r="Q1756" s="3" t="s">
        <v>2276</v>
      </c>
      <c r="R1756" s="3" t="s">
        <v>2276</v>
      </c>
      <c r="S1756" s="3" t="s">
        <v>2276</v>
      </c>
      <c r="T1756" s="3" t="s">
        <v>2276</v>
      </c>
      <c r="U1756" s="3" t="s">
        <v>2276</v>
      </c>
      <c r="V1756" s="3" t="s">
        <v>2276</v>
      </c>
      <c r="W1756" s="3" t="s">
        <v>2276</v>
      </c>
      <c r="X1756" s="3" t="s">
        <v>2276</v>
      </c>
      <c r="Y1756" s="3" t="s">
        <v>2276</v>
      </c>
      <c r="Z1756" s="3" t="s">
        <v>2276</v>
      </c>
      <c r="AA1756" s="3"/>
      <c r="AB1756" s="3"/>
    </row>
    <row r="1757" spans="1:28" ht="35.5" customHeight="1">
      <c r="A1757" s="156" t="str">
        <f>'Reported burning'!A1757</f>
        <v>209b</v>
      </c>
      <c r="B1757" s="156" t="str">
        <f>'Reported burning'!B1757</f>
        <v>209b.9</v>
      </c>
      <c r="C1757" s="156" t="str">
        <f>'Reported burning'!C1757</f>
        <v>Human, escaped</v>
      </c>
      <c r="D1757" s="156" t="str">
        <f>'Reported burning'!D1757</f>
        <v>Cultural &amp; Spiritual</v>
      </c>
      <c r="E1757" s="156" t="str">
        <f>'Reported burning'!E1757</f>
        <v>All</v>
      </c>
      <c r="F1757" s="156" t="str">
        <f>'Reported burning'!F1757</f>
        <v>ND</v>
      </c>
      <c r="G1757" s="156" t="str">
        <f>'Reported burning'!G1757</f>
        <v>Forest</v>
      </c>
      <c r="H1757" s="156" t="str">
        <f>'Reported burning'!H1757</f>
        <v>Presence</v>
      </c>
      <c r="I1757" s="5"/>
      <c r="J1757" s="3" t="s">
        <v>2276</v>
      </c>
      <c r="K1757" s="3" t="s">
        <v>2276</v>
      </c>
      <c r="L1757" s="3" t="s">
        <v>2276</v>
      </c>
      <c r="M1757" s="3" t="s">
        <v>2276</v>
      </c>
      <c r="N1757" s="3" t="s">
        <v>2276</v>
      </c>
      <c r="O1757" s="3" t="s">
        <v>2276</v>
      </c>
      <c r="P1757" s="3" t="s">
        <v>2276</v>
      </c>
      <c r="Q1757" s="3" t="s">
        <v>2276</v>
      </c>
      <c r="R1757" s="3" t="s">
        <v>2276</v>
      </c>
      <c r="S1757" s="3" t="s">
        <v>2276</v>
      </c>
      <c r="T1757" s="3" t="s">
        <v>2276</v>
      </c>
      <c r="U1757" s="3" t="s">
        <v>2276</v>
      </c>
      <c r="V1757" s="3" t="s">
        <v>2276</v>
      </c>
      <c r="W1757" s="3" t="s">
        <v>2276</v>
      </c>
      <c r="X1757" s="3" t="s">
        <v>2276</v>
      </c>
      <c r="Y1757" s="3" t="s">
        <v>2276</v>
      </c>
      <c r="Z1757" s="3" t="s">
        <v>2276</v>
      </c>
      <c r="AA1757" s="3"/>
      <c r="AB1757" s="3"/>
    </row>
    <row r="1758" spans="1:28" ht="35.5" customHeight="1">
      <c r="A1758" s="156" t="str">
        <f>'Reported burning'!A1758</f>
        <v>209b</v>
      </c>
      <c r="B1758" s="156" t="str">
        <f>'Reported burning'!B1758</f>
        <v>209b.10</v>
      </c>
      <c r="C1758" s="156" t="str">
        <f>'Reported burning'!C1758</f>
        <v>Human, escaped</v>
      </c>
      <c r="D1758" s="156" t="str">
        <f>'Reported burning'!D1758</f>
        <v>Domestic</v>
      </c>
      <c r="E1758" s="156" t="str">
        <f>'Reported burning'!E1758</f>
        <v>All</v>
      </c>
      <c r="F1758" s="156" t="str">
        <f>'Reported burning'!F1758</f>
        <v>ND</v>
      </c>
      <c r="G1758" s="156" t="str">
        <f>'Reported burning'!G1758</f>
        <v>Forest</v>
      </c>
      <c r="H1758" s="156" t="str">
        <f>'Reported burning'!H1758</f>
        <v>Presence</v>
      </c>
      <c r="I1758" s="5"/>
      <c r="J1758" s="3" t="s">
        <v>2276</v>
      </c>
      <c r="K1758" s="3" t="s">
        <v>2276</v>
      </c>
      <c r="L1758" s="3" t="s">
        <v>2276</v>
      </c>
      <c r="M1758" s="3" t="s">
        <v>2276</v>
      </c>
      <c r="N1758" s="3" t="s">
        <v>2276</v>
      </c>
      <c r="O1758" s="3" t="s">
        <v>2276</v>
      </c>
      <c r="P1758" s="3" t="s">
        <v>2276</v>
      </c>
      <c r="Q1758" s="3" t="s">
        <v>2276</v>
      </c>
      <c r="R1758" s="3" t="s">
        <v>2276</v>
      </c>
      <c r="S1758" s="3" t="s">
        <v>2276</v>
      </c>
      <c r="T1758" s="3" t="s">
        <v>2276</v>
      </c>
      <c r="U1758" s="3" t="s">
        <v>2276</v>
      </c>
      <c r="V1758" s="3" t="s">
        <v>2276</v>
      </c>
      <c r="W1758" s="3" t="s">
        <v>2276</v>
      </c>
      <c r="X1758" s="3" t="s">
        <v>2276</v>
      </c>
      <c r="Y1758" s="3" t="s">
        <v>2276</v>
      </c>
      <c r="Z1758" s="3" t="s">
        <v>2276</v>
      </c>
      <c r="AA1758" s="3"/>
      <c r="AB1758" s="3"/>
    </row>
    <row r="1759" spans="1:28" ht="35.5" customHeight="1">
      <c r="A1759" s="156" t="str">
        <f>'Reported burning'!A1759</f>
        <v>209c</v>
      </c>
      <c r="B1759" s="156" t="str">
        <f>'Reported burning'!B1759</f>
        <v>209c.1</v>
      </c>
      <c r="C1759" s="156" t="str">
        <f>'Reported burning'!C1759</f>
        <v>Human, deliberate</v>
      </c>
      <c r="D1759" s="156" t="str">
        <f>'Reported burning'!D1759</f>
        <v>Pasture renewal</v>
      </c>
      <c r="E1759" s="156" t="str">
        <f>'Reported burning'!E1759</f>
        <v>Pastoralism, Migratory</v>
      </c>
      <c r="F1759" s="156" t="str">
        <f>'Reported burning'!F1759</f>
        <v>Forest</v>
      </c>
      <c r="G1759" s="156" t="str">
        <f>'Reported burning'!G1759</f>
        <v>Forest</v>
      </c>
      <c r="H1759" s="156" t="str">
        <f>'Reported burning'!H1759</f>
        <v>Presence</v>
      </c>
      <c r="I1759" s="5"/>
      <c r="J1759" s="3" t="s">
        <v>2276</v>
      </c>
      <c r="K1759" s="3" t="s">
        <v>2276</v>
      </c>
      <c r="L1759" s="3" t="s">
        <v>2276</v>
      </c>
      <c r="M1759" s="3" t="s">
        <v>2276</v>
      </c>
      <c r="N1759" s="3" t="s">
        <v>2276</v>
      </c>
      <c r="O1759" s="3" t="s">
        <v>2276</v>
      </c>
      <c r="P1759" s="21" t="s">
        <v>2376</v>
      </c>
      <c r="Q1759" s="3" t="s">
        <v>2276</v>
      </c>
      <c r="R1759" s="21" t="s">
        <v>2374</v>
      </c>
      <c r="S1759" s="3" t="s">
        <v>2276</v>
      </c>
      <c r="T1759" s="3" t="s">
        <v>2276</v>
      </c>
      <c r="U1759" s="3" t="s">
        <v>2276</v>
      </c>
      <c r="V1759" s="3" t="s">
        <v>2276</v>
      </c>
      <c r="W1759" s="3" t="s">
        <v>2276</v>
      </c>
      <c r="X1759" s="3" t="s">
        <v>2276</v>
      </c>
      <c r="Y1759" s="3" t="s">
        <v>2276</v>
      </c>
      <c r="Z1759" s="3" t="s">
        <v>2276</v>
      </c>
      <c r="AA1759" s="3"/>
      <c r="AB1759" s="4" t="s">
        <v>5336</v>
      </c>
    </row>
    <row r="1760" spans="1:28" ht="35.5" customHeight="1">
      <c r="A1760" s="156" t="str">
        <f>'Reported burning'!A1760</f>
        <v>209c</v>
      </c>
      <c r="B1760" s="156" t="str">
        <f>'Reported burning'!B1760</f>
        <v>209c.2</v>
      </c>
      <c r="C1760" s="156" t="str">
        <f>'Reported burning'!C1760</f>
        <v>Human, deliberate</v>
      </c>
      <c r="D1760" s="156" t="str">
        <f>'Reported burning'!D1760</f>
        <v>Harvesting of NTFP</v>
      </c>
      <c r="E1760" s="156" t="str">
        <f>'Reported burning'!E1760</f>
        <v>Forestry, Traditional</v>
      </c>
      <c r="F1760" s="156" t="str">
        <f>'Reported burning'!F1760</f>
        <v>Forest</v>
      </c>
      <c r="G1760" s="156" t="str">
        <f>'Reported burning'!G1760</f>
        <v>Forest</v>
      </c>
      <c r="H1760" s="156" t="str">
        <f>'Reported burning'!H1760</f>
        <v>Presence</v>
      </c>
      <c r="I1760" s="5"/>
      <c r="J1760" s="3" t="s">
        <v>2276</v>
      </c>
      <c r="K1760" s="3" t="s">
        <v>2276</v>
      </c>
      <c r="L1760" s="3" t="s">
        <v>2276</v>
      </c>
      <c r="M1760" s="3" t="s">
        <v>2276</v>
      </c>
      <c r="N1760" s="3" t="s">
        <v>2276</v>
      </c>
      <c r="O1760" s="3" t="s">
        <v>2276</v>
      </c>
      <c r="P1760" s="3" t="s">
        <v>2276</v>
      </c>
      <c r="Q1760" s="3" t="s">
        <v>2276</v>
      </c>
      <c r="R1760" s="3" t="s">
        <v>2276</v>
      </c>
      <c r="S1760" s="3" t="s">
        <v>2276</v>
      </c>
      <c r="T1760" s="3" t="s">
        <v>2276</v>
      </c>
      <c r="U1760" s="3" t="s">
        <v>2276</v>
      </c>
      <c r="V1760" s="3" t="s">
        <v>2276</v>
      </c>
      <c r="W1760" s="3" t="s">
        <v>2276</v>
      </c>
      <c r="X1760" s="3" t="s">
        <v>2276</v>
      </c>
      <c r="Y1760" s="3" t="s">
        <v>2276</v>
      </c>
      <c r="Z1760" s="3" t="s">
        <v>2276</v>
      </c>
      <c r="AA1760" s="3"/>
      <c r="AB1760" s="3"/>
    </row>
    <row r="1761" spans="1:28" ht="35.5" customHeight="1">
      <c r="A1761" s="156" t="str">
        <f>'Reported burning'!A1761</f>
        <v>209c</v>
      </c>
      <c r="B1761" s="156" t="str">
        <f>'Reported burning'!B1761</f>
        <v>209c.3</v>
      </c>
      <c r="C1761" s="156" t="str">
        <f>'Reported burning'!C1761</f>
        <v>Human, deliberate</v>
      </c>
      <c r="D1761" s="156" t="str">
        <f>'Reported burning'!D1761</f>
        <v>Hunting</v>
      </c>
      <c r="E1761" s="156" t="str">
        <f>'Reported burning'!E1761</f>
        <v>Forestry, Traditional</v>
      </c>
      <c r="F1761" s="156" t="str">
        <f>'Reported burning'!F1761</f>
        <v>Forest</v>
      </c>
      <c r="G1761" s="156" t="str">
        <f>'Reported burning'!G1761</f>
        <v>Forest</v>
      </c>
      <c r="H1761" s="156" t="str">
        <f>'Reported burning'!H1761</f>
        <v>Presence</v>
      </c>
      <c r="I1761" s="5"/>
      <c r="J1761" s="3" t="s">
        <v>2276</v>
      </c>
      <c r="K1761" s="3" t="s">
        <v>2276</v>
      </c>
      <c r="L1761" s="3" t="s">
        <v>2276</v>
      </c>
      <c r="M1761" s="3" t="s">
        <v>2276</v>
      </c>
      <c r="N1761" s="3" t="s">
        <v>2276</v>
      </c>
      <c r="O1761" s="3" t="s">
        <v>2276</v>
      </c>
      <c r="P1761" s="3" t="s">
        <v>2276</v>
      </c>
      <c r="Q1761" s="3" t="s">
        <v>2276</v>
      </c>
      <c r="R1761" s="3" t="s">
        <v>2276</v>
      </c>
      <c r="S1761" s="3" t="s">
        <v>2276</v>
      </c>
      <c r="T1761" s="3" t="s">
        <v>2276</v>
      </c>
      <c r="U1761" s="3" t="s">
        <v>2276</v>
      </c>
      <c r="V1761" s="3" t="s">
        <v>2276</v>
      </c>
      <c r="W1761" s="3" t="s">
        <v>2276</v>
      </c>
      <c r="X1761" s="3" t="s">
        <v>2276</v>
      </c>
      <c r="Y1761" s="3" t="s">
        <v>2276</v>
      </c>
      <c r="Z1761" s="3" t="s">
        <v>2276</v>
      </c>
      <c r="AA1761" s="3"/>
      <c r="AB1761" s="3"/>
    </row>
    <row r="1762" spans="1:28" ht="35.5" customHeight="1">
      <c r="A1762" s="156" t="str">
        <f>'Reported burning'!A1762</f>
        <v>209c</v>
      </c>
      <c r="B1762" s="156" t="str">
        <f>'Reported burning'!B1762</f>
        <v>209c.4</v>
      </c>
      <c r="C1762" s="156" t="str">
        <f>'Reported burning'!C1762</f>
        <v>Human, deliberate</v>
      </c>
      <c r="D1762" s="156" t="str">
        <f>'Reported burning'!D1762</f>
        <v>Harvesting of Timber</v>
      </c>
      <c r="E1762" s="156" t="str">
        <f>'Reported burning'!E1762</f>
        <v>Forestry, Small-scale</v>
      </c>
      <c r="F1762" s="156" t="str">
        <f>'Reported burning'!F1762</f>
        <v>Forest</v>
      </c>
      <c r="G1762" s="156" t="str">
        <f>'Reported burning'!G1762</f>
        <v>Forest</v>
      </c>
      <c r="H1762" s="156" t="str">
        <f>'Reported burning'!H1762</f>
        <v>Presence</v>
      </c>
      <c r="I1762" s="5"/>
      <c r="J1762" s="3" t="s">
        <v>2276</v>
      </c>
      <c r="K1762" s="3" t="s">
        <v>2276</v>
      </c>
      <c r="L1762" s="3" t="s">
        <v>2276</v>
      </c>
      <c r="M1762" s="3" t="s">
        <v>2276</v>
      </c>
      <c r="N1762" s="3" t="s">
        <v>2276</v>
      </c>
      <c r="O1762" s="3" t="s">
        <v>2276</v>
      </c>
      <c r="P1762" s="3" t="s">
        <v>2276</v>
      </c>
      <c r="Q1762" s="3" t="s">
        <v>2276</v>
      </c>
      <c r="R1762" s="3" t="s">
        <v>2276</v>
      </c>
      <c r="S1762" s="3" t="s">
        <v>2276</v>
      </c>
      <c r="T1762" s="3" t="s">
        <v>2276</v>
      </c>
      <c r="U1762" s="3" t="s">
        <v>2276</v>
      </c>
      <c r="V1762" s="3" t="s">
        <v>2276</v>
      </c>
      <c r="W1762" s="3" t="s">
        <v>2276</v>
      </c>
      <c r="X1762" s="3" t="s">
        <v>2276</v>
      </c>
      <c r="Y1762" s="3" t="s">
        <v>2276</v>
      </c>
      <c r="Z1762" s="3" t="s">
        <v>2276</v>
      </c>
      <c r="AA1762" s="3"/>
      <c r="AB1762" s="3"/>
    </row>
    <row r="1763" spans="1:28" ht="35.5" customHeight="1">
      <c r="A1763" s="156" t="str">
        <f>'Reported burning'!A1763</f>
        <v>209c</v>
      </c>
      <c r="B1763" s="156" t="str">
        <f>'Reported burning'!B1763</f>
        <v>209c.5</v>
      </c>
      <c r="C1763" s="156" t="str">
        <f>'Reported burning'!C1763</f>
        <v>Human, deliberate</v>
      </c>
      <c r="D1763" s="156" t="str">
        <f>'Reported burning'!D1763</f>
        <v>Arson</v>
      </c>
      <c r="E1763" s="156" t="str">
        <f>'Reported burning'!E1763</f>
        <v>ND</v>
      </c>
      <c r="F1763" s="156" t="str">
        <f>'Reported burning'!F1763</f>
        <v>ND</v>
      </c>
      <c r="G1763" s="156" t="str">
        <f>'Reported burning'!G1763</f>
        <v>Forest</v>
      </c>
      <c r="H1763" s="156" t="str">
        <f>'Reported burning'!H1763</f>
        <v>Presence</v>
      </c>
      <c r="I1763" s="5"/>
      <c r="J1763" s="3" t="s">
        <v>2276</v>
      </c>
      <c r="K1763" s="3" t="s">
        <v>2276</v>
      </c>
      <c r="L1763" s="3" t="s">
        <v>2276</v>
      </c>
      <c r="M1763" s="3" t="s">
        <v>2276</v>
      </c>
      <c r="N1763" s="3" t="s">
        <v>2276</v>
      </c>
      <c r="O1763" s="3" t="s">
        <v>2276</v>
      </c>
      <c r="P1763" s="3" t="s">
        <v>2276</v>
      </c>
      <c r="Q1763" s="3" t="s">
        <v>2276</v>
      </c>
      <c r="R1763" s="3" t="s">
        <v>2276</v>
      </c>
      <c r="S1763" s="3" t="s">
        <v>2276</v>
      </c>
      <c r="T1763" s="3" t="s">
        <v>2276</v>
      </c>
      <c r="U1763" s="3" t="s">
        <v>2276</v>
      </c>
      <c r="V1763" s="3" t="s">
        <v>2276</v>
      </c>
      <c r="W1763" s="3" t="s">
        <v>2276</v>
      </c>
      <c r="X1763" s="3" t="s">
        <v>2276</v>
      </c>
      <c r="Y1763" s="3" t="s">
        <v>2276</v>
      </c>
      <c r="Z1763" s="3" t="s">
        <v>2276</v>
      </c>
      <c r="AA1763" s="3"/>
      <c r="AB1763" s="3"/>
    </row>
    <row r="1764" spans="1:28" ht="35.5" customHeight="1">
      <c r="A1764" s="156" t="str">
        <f>'Reported burning'!A1764</f>
        <v>209c</v>
      </c>
      <c r="B1764" s="156" t="str">
        <f>'Reported burning'!B1764</f>
        <v>209c.6</v>
      </c>
      <c r="C1764" s="156" t="str">
        <f>'Reported burning'!C1764</f>
        <v>Human, deliberate</v>
      </c>
      <c r="D1764" s="156" t="str">
        <f>'Reported burning'!D1764</f>
        <v>Crop field preparation</v>
      </c>
      <c r="E1764" s="156" t="str">
        <f>'Reported burning'!E1764</f>
        <v>Cropping, Swidden</v>
      </c>
      <c r="F1764" s="156" t="str">
        <f>'Reported burning'!F1764</f>
        <v>Forest</v>
      </c>
      <c r="G1764" s="156" t="str">
        <f>'Reported burning'!G1764</f>
        <v>ND</v>
      </c>
      <c r="H1764" s="156" t="str">
        <f>'Reported burning'!H1764</f>
        <v>Presence</v>
      </c>
      <c r="I1764" s="5"/>
      <c r="J1764" s="3" t="s">
        <v>2276</v>
      </c>
      <c r="K1764" s="3" t="s">
        <v>2276</v>
      </c>
      <c r="L1764" s="3" t="s">
        <v>2276</v>
      </c>
      <c r="M1764" s="3" t="s">
        <v>2276</v>
      </c>
      <c r="N1764" s="3" t="s">
        <v>2276</v>
      </c>
      <c r="O1764" s="3" t="s">
        <v>2276</v>
      </c>
      <c r="P1764" s="3" t="s">
        <v>2276</v>
      </c>
      <c r="Q1764" s="3" t="s">
        <v>2276</v>
      </c>
      <c r="R1764" s="3" t="s">
        <v>2276</v>
      </c>
      <c r="S1764" s="3" t="s">
        <v>2276</v>
      </c>
      <c r="T1764" s="3" t="s">
        <v>2276</v>
      </c>
      <c r="U1764" s="3" t="s">
        <v>2276</v>
      </c>
      <c r="V1764" s="3" t="s">
        <v>2276</v>
      </c>
      <c r="W1764" s="3" t="s">
        <v>2276</v>
      </c>
      <c r="X1764" s="3" t="s">
        <v>2276</v>
      </c>
      <c r="Y1764" s="3" t="s">
        <v>2276</v>
      </c>
      <c r="Z1764" s="3" t="s">
        <v>2276</v>
      </c>
      <c r="AA1764" s="3"/>
      <c r="AB1764" s="3"/>
    </row>
    <row r="1765" spans="1:28" ht="35.5" customHeight="1">
      <c r="A1765" s="156" t="str">
        <f>'Reported burning'!A1765</f>
        <v>209c</v>
      </c>
      <c r="B1765" s="156" t="str">
        <f>'Reported burning'!B1765</f>
        <v>209c.7</v>
      </c>
      <c r="C1765" s="156" t="str">
        <f>'Reported burning'!C1765</f>
        <v>Human, escaped</v>
      </c>
      <c r="D1765" s="156" t="str">
        <f>'Reported burning'!D1765</f>
        <v>Charcoal production</v>
      </c>
      <c r="E1765" s="156" t="str">
        <f>'Reported burning'!E1765</f>
        <v>ND</v>
      </c>
      <c r="F1765" s="156" t="str">
        <f>'Reported burning'!F1765</f>
        <v>ND</v>
      </c>
      <c r="G1765" s="156" t="str">
        <f>'Reported burning'!G1765</f>
        <v>Forest</v>
      </c>
      <c r="H1765" s="156" t="str">
        <f>'Reported burning'!H1765</f>
        <v>Presence</v>
      </c>
      <c r="I1765" s="5"/>
      <c r="J1765" s="3" t="s">
        <v>2276</v>
      </c>
      <c r="K1765" s="3" t="s">
        <v>2276</v>
      </c>
      <c r="L1765" s="3" t="s">
        <v>2276</v>
      </c>
      <c r="M1765" s="3" t="s">
        <v>2276</v>
      </c>
      <c r="N1765" s="3" t="s">
        <v>2276</v>
      </c>
      <c r="O1765" s="3" t="s">
        <v>2276</v>
      </c>
      <c r="P1765" s="3" t="s">
        <v>2276</v>
      </c>
      <c r="Q1765" s="3" t="s">
        <v>2276</v>
      </c>
      <c r="R1765" s="3" t="s">
        <v>2276</v>
      </c>
      <c r="S1765" s="3" t="s">
        <v>2276</v>
      </c>
      <c r="T1765" s="3" t="s">
        <v>2276</v>
      </c>
      <c r="U1765" s="3" t="s">
        <v>2276</v>
      </c>
      <c r="V1765" s="3" t="s">
        <v>2276</v>
      </c>
      <c r="W1765" s="3" t="s">
        <v>2276</v>
      </c>
      <c r="X1765" s="3" t="s">
        <v>2276</v>
      </c>
      <c r="Y1765" s="3" t="s">
        <v>2276</v>
      </c>
      <c r="Z1765" s="3" t="s">
        <v>2276</v>
      </c>
      <c r="AA1765" s="3"/>
      <c r="AB1765" s="3"/>
    </row>
    <row r="1766" spans="1:28" ht="35.5" customHeight="1">
      <c r="A1766" s="156" t="str">
        <f>'Reported burning'!A1766</f>
        <v>209c</v>
      </c>
      <c r="B1766" s="156" t="str">
        <f>'Reported burning'!B1766</f>
        <v>209c.8</v>
      </c>
      <c r="C1766" s="156" t="str">
        <f>'Reported burning'!C1766</f>
        <v>Human, accidental</v>
      </c>
      <c r="D1766" s="156" t="str">
        <f>'Reported burning'!D1766</f>
        <v>ND</v>
      </c>
      <c r="E1766" s="156" t="str">
        <f>'Reported burning'!E1766</f>
        <v>All</v>
      </c>
      <c r="F1766" s="156" t="str">
        <f>'Reported burning'!F1766</f>
        <v>ND</v>
      </c>
      <c r="G1766" s="156" t="str">
        <f>'Reported burning'!G1766</f>
        <v>Forest</v>
      </c>
      <c r="H1766" s="156" t="str">
        <f>'Reported burning'!H1766</f>
        <v>Presence</v>
      </c>
      <c r="I1766" s="5"/>
      <c r="J1766" s="3" t="s">
        <v>2276</v>
      </c>
      <c r="K1766" s="3" t="s">
        <v>2276</v>
      </c>
      <c r="L1766" s="3" t="s">
        <v>2276</v>
      </c>
      <c r="M1766" s="3" t="s">
        <v>2276</v>
      </c>
      <c r="N1766" s="3" t="s">
        <v>2276</v>
      </c>
      <c r="O1766" s="3" t="s">
        <v>2276</v>
      </c>
      <c r="P1766" s="3" t="s">
        <v>2276</v>
      </c>
      <c r="Q1766" s="3" t="s">
        <v>2276</v>
      </c>
      <c r="R1766" s="3" t="s">
        <v>2276</v>
      </c>
      <c r="S1766" s="3" t="s">
        <v>2276</v>
      </c>
      <c r="T1766" s="3" t="s">
        <v>2276</v>
      </c>
      <c r="U1766" s="3" t="s">
        <v>2276</v>
      </c>
      <c r="V1766" s="3" t="s">
        <v>2276</v>
      </c>
      <c r="W1766" s="3" t="s">
        <v>2276</v>
      </c>
      <c r="X1766" s="3" t="s">
        <v>2276</v>
      </c>
      <c r="Y1766" s="3" t="s">
        <v>2276</v>
      </c>
      <c r="Z1766" s="3" t="s">
        <v>2276</v>
      </c>
      <c r="AA1766" s="3"/>
      <c r="AB1766" s="3"/>
    </row>
    <row r="1767" spans="1:28" ht="35.5" customHeight="1">
      <c r="A1767" s="156" t="str">
        <f>'Reported burning'!A1767</f>
        <v>209c</v>
      </c>
      <c r="B1767" s="156" t="str">
        <f>'Reported burning'!B1767</f>
        <v>209c.9</v>
      </c>
      <c r="C1767" s="156" t="str">
        <f>'Reported burning'!C1767</f>
        <v>Human, escaped</v>
      </c>
      <c r="D1767" s="156" t="str">
        <f>'Reported burning'!D1767</f>
        <v>Cultural &amp; Spiritual</v>
      </c>
      <c r="E1767" s="156" t="str">
        <f>'Reported burning'!E1767</f>
        <v>All</v>
      </c>
      <c r="F1767" s="156" t="str">
        <f>'Reported burning'!F1767</f>
        <v>ND</v>
      </c>
      <c r="G1767" s="156" t="str">
        <f>'Reported burning'!G1767</f>
        <v>Forest</v>
      </c>
      <c r="H1767" s="156" t="str">
        <f>'Reported burning'!H1767</f>
        <v>Presence</v>
      </c>
      <c r="I1767" s="5"/>
      <c r="J1767" s="3" t="s">
        <v>2276</v>
      </c>
      <c r="K1767" s="3" t="s">
        <v>2276</v>
      </c>
      <c r="L1767" s="3" t="s">
        <v>2276</v>
      </c>
      <c r="M1767" s="3" t="s">
        <v>2276</v>
      </c>
      <c r="N1767" s="3" t="s">
        <v>2276</v>
      </c>
      <c r="O1767" s="3" t="s">
        <v>2276</v>
      </c>
      <c r="P1767" s="3" t="s">
        <v>2276</v>
      </c>
      <c r="Q1767" s="3" t="s">
        <v>2276</v>
      </c>
      <c r="R1767" s="3" t="s">
        <v>2276</v>
      </c>
      <c r="S1767" s="3" t="s">
        <v>2276</v>
      </c>
      <c r="T1767" s="3" t="s">
        <v>2276</v>
      </c>
      <c r="U1767" s="3" t="s">
        <v>2276</v>
      </c>
      <c r="V1767" s="3" t="s">
        <v>2276</v>
      </c>
      <c r="W1767" s="3" t="s">
        <v>2276</v>
      </c>
      <c r="X1767" s="3" t="s">
        <v>2276</v>
      </c>
      <c r="Y1767" s="3" t="s">
        <v>2276</v>
      </c>
      <c r="Z1767" s="3" t="s">
        <v>2276</v>
      </c>
      <c r="AA1767" s="3"/>
      <c r="AB1767" s="3"/>
    </row>
    <row r="1768" spans="1:28" ht="35.5" customHeight="1">
      <c r="A1768" s="156" t="str">
        <f>'Reported burning'!A1768</f>
        <v>209c</v>
      </c>
      <c r="B1768" s="156" t="str">
        <f>'Reported burning'!B1768</f>
        <v>209c.10</v>
      </c>
      <c r="C1768" s="156" t="str">
        <f>'Reported burning'!C1768</f>
        <v>Human, escaped</v>
      </c>
      <c r="D1768" s="156" t="str">
        <f>'Reported burning'!D1768</f>
        <v>Domestic</v>
      </c>
      <c r="E1768" s="156" t="str">
        <f>'Reported burning'!E1768</f>
        <v>All</v>
      </c>
      <c r="F1768" s="156" t="str">
        <f>'Reported burning'!F1768</f>
        <v>ND</v>
      </c>
      <c r="G1768" s="156" t="str">
        <f>'Reported burning'!G1768</f>
        <v>Forest</v>
      </c>
      <c r="H1768" s="156" t="str">
        <f>'Reported burning'!H1768</f>
        <v>Presence</v>
      </c>
      <c r="I1768" s="5"/>
      <c r="J1768" s="3" t="s">
        <v>2276</v>
      </c>
      <c r="K1768" s="3" t="s">
        <v>2276</v>
      </c>
      <c r="L1768" s="3" t="s">
        <v>2276</v>
      </c>
      <c r="M1768" s="3" t="s">
        <v>2276</v>
      </c>
      <c r="N1768" s="3" t="s">
        <v>2276</v>
      </c>
      <c r="O1768" s="3" t="s">
        <v>2276</v>
      </c>
      <c r="P1768" s="3" t="s">
        <v>2276</v>
      </c>
      <c r="Q1768" s="3" t="s">
        <v>2276</v>
      </c>
      <c r="R1768" s="3" t="s">
        <v>2276</v>
      </c>
      <c r="S1768" s="3" t="s">
        <v>2276</v>
      </c>
      <c r="T1768" s="3" t="s">
        <v>2276</v>
      </c>
      <c r="U1768" s="3" t="s">
        <v>2276</v>
      </c>
      <c r="V1768" s="3" t="s">
        <v>2276</v>
      </c>
      <c r="W1768" s="3" t="s">
        <v>2276</v>
      </c>
      <c r="X1768" s="3" t="s">
        <v>2276</v>
      </c>
      <c r="Y1768" s="3" t="s">
        <v>2276</v>
      </c>
      <c r="Z1768" s="3" t="s">
        <v>2276</v>
      </c>
      <c r="AA1768" s="3"/>
      <c r="AB1768" s="3"/>
    </row>
    <row r="1769" spans="1:28" ht="35.5" customHeight="1">
      <c r="A1769" s="156" t="str">
        <f>'Reported burning'!A1769</f>
        <v>209d</v>
      </c>
      <c r="B1769" s="156" t="str">
        <f>'Reported burning'!B1769</f>
        <v>209d.1</v>
      </c>
      <c r="C1769" s="156" t="str">
        <f>'Reported burning'!C1769</f>
        <v>Human, deliberate</v>
      </c>
      <c r="D1769" s="156" t="str">
        <f>'Reported burning'!D1769</f>
        <v>Pasture renewal</v>
      </c>
      <c r="E1769" s="156" t="str">
        <f>'Reported burning'!E1769</f>
        <v>Pastoralism, Migratory</v>
      </c>
      <c r="F1769" s="156" t="str">
        <f>'Reported burning'!F1769</f>
        <v>Forest</v>
      </c>
      <c r="G1769" s="156" t="str">
        <f>'Reported burning'!G1769</f>
        <v>Forest</v>
      </c>
      <c r="H1769" s="156" t="str">
        <f>'Reported burning'!H1769</f>
        <v>Presence</v>
      </c>
      <c r="I1769" s="5"/>
      <c r="J1769" s="3" t="s">
        <v>2276</v>
      </c>
      <c r="K1769" s="3" t="s">
        <v>2276</v>
      </c>
      <c r="L1769" s="3" t="s">
        <v>2276</v>
      </c>
      <c r="M1769" s="3" t="s">
        <v>2276</v>
      </c>
      <c r="N1769" s="3" t="s">
        <v>2276</v>
      </c>
      <c r="O1769" s="3" t="s">
        <v>2276</v>
      </c>
      <c r="P1769" s="21" t="s">
        <v>2376</v>
      </c>
      <c r="Q1769" s="3" t="s">
        <v>2276</v>
      </c>
      <c r="R1769" s="21" t="s">
        <v>2374</v>
      </c>
      <c r="S1769" s="3" t="s">
        <v>2276</v>
      </c>
      <c r="T1769" s="3" t="s">
        <v>2276</v>
      </c>
      <c r="U1769" s="3" t="s">
        <v>2276</v>
      </c>
      <c r="V1769" s="3" t="s">
        <v>2276</v>
      </c>
      <c r="W1769" s="3" t="s">
        <v>2276</v>
      </c>
      <c r="X1769" s="3" t="s">
        <v>2276</v>
      </c>
      <c r="Y1769" s="3" t="s">
        <v>2276</v>
      </c>
      <c r="Z1769" s="3" t="s">
        <v>2276</v>
      </c>
      <c r="AA1769" s="3"/>
      <c r="AB1769" s="4" t="s">
        <v>5336</v>
      </c>
    </row>
    <row r="1770" spans="1:28" ht="35.5" customHeight="1">
      <c r="A1770" s="156" t="str">
        <f>'Reported burning'!A1770</f>
        <v>209d</v>
      </c>
      <c r="B1770" s="156" t="str">
        <f>'Reported burning'!B1770</f>
        <v>209d.2</v>
      </c>
      <c r="C1770" s="156" t="str">
        <f>'Reported burning'!C1770</f>
        <v>Human, deliberate</v>
      </c>
      <c r="D1770" s="156" t="str">
        <f>'Reported burning'!D1770</f>
        <v>Harvesting of NTFP</v>
      </c>
      <c r="E1770" s="156" t="str">
        <f>'Reported burning'!E1770</f>
        <v>Forestry, Traditional</v>
      </c>
      <c r="F1770" s="156" t="str">
        <f>'Reported burning'!F1770</f>
        <v>Forest</v>
      </c>
      <c r="G1770" s="156" t="str">
        <f>'Reported burning'!G1770</f>
        <v>Forest</v>
      </c>
      <c r="H1770" s="156" t="str">
        <f>'Reported burning'!H1770</f>
        <v>Presence</v>
      </c>
      <c r="I1770" s="5"/>
      <c r="J1770" s="3" t="s">
        <v>2276</v>
      </c>
      <c r="K1770" s="3" t="s">
        <v>2276</v>
      </c>
      <c r="L1770" s="3" t="s">
        <v>2276</v>
      </c>
      <c r="M1770" s="3" t="s">
        <v>2276</v>
      </c>
      <c r="N1770" s="3" t="s">
        <v>2276</v>
      </c>
      <c r="O1770" s="3" t="s">
        <v>2276</v>
      </c>
      <c r="P1770" s="3" t="s">
        <v>2276</v>
      </c>
      <c r="Q1770" s="3" t="s">
        <v>2276</v>
      </c>
      <c r="R1770" s="3" t="s">
        <v>2276</v>
      </c>
      <c r="S1770" s="3" t="s">
        <v>2276</v>
      </c>
      <c r="T1770" s="3" t="s">
        <v>2276</v>
      </c>
      <c r="U1770" s="3" t="s">
        <v>2276</v>
      </c>
      <c r="V1770" s="3" t="s">
        <v>2276</v>
      </c>
      <c r="W1770" s="3" t="s">
        <v>2276</v>
      </c>
      <c r="X1770" s="3" t="s">
        <v>2276</v>
      </c>
      <c r="Y1770" s="3" t="s">
        <v>2276</v>
      </c>
      <c r="Z1770" s="3" t="s">
        <v>2276</v>
      </c>
      <c r="AA1770" s="3"/>
      <c r="AB1770" s="3"/>
    </row>
    <row r="1771" spans="1:28" ht="35.5" customHeight="1">
      <c r="A1771" s="156" t="str">
        <f>'Reported burning'!A1771</f>
        <v>209d</v>
      </c>
      <c r="B1771" s="156" t="str">
        <f>'Reported burning'!B1771</f>
        <v>209d.3</v>
      </c>
      <c r="C1771" s="156" t="str">
        <f>'Reported burning'!C1771</f>
        <v>Human, deliberate</v>
      </c>
      <c r="D1771" s="156" t="str">
        <f>'Reported burning'!D1771</f>
        <v>Hunting</v>
      </c>
      <c r="E1771" s="156" t="str">
        <f>'Reported burning'!E1771</f>
        <v>Forestry, Traditional</v>
      </c>
      <c r="F1771" s="156" t="str">
        <f>'Reported burning'!F1771</f>
        <v>Forest</v>
      </c>
      <c r="G1771" s="156" t="str">
        <f>'Reported burning'!G1771</f>
        <v>Forest</v>
      </c>
      <c r="H1771" s="156" t="str">
        <f>'Reported burning'!H1771</f>
        <v>Presence</v>
      </c>
      <c r="I1771" s="5"/>
      <c r="J1771" s="3" t="s">
        <v>2276</v>
      </c>
      <c r="K1771" s="3" t="s">
        <v>2276</v>
      </c>
      <c r="L1771" s="3" t="s">
        <v>2276</v>
      </c>
      <c r="M1771" s="3" t="s">
        <v>2276</v>
      </c>
      <c r="N1771" s="3" t="s">
        <v>2276</v>
      </c>
      <c r="O1771" s="3" t="s">
        <v>2276</v>
      </c>
      <c r="P1771" s="3" t="s">
        <v>2276</v>
      </c>
      <c r="Q1771" s="3" t="s">
        <v>2276</v>
      </c>
      <c r="R1771" s="3" t="s">
        <v>2276</v>
      </c>
      <c r="S1771" s="3" t="s">
        <v>2276</v>
      </c>
      <c r="T1771" s="3" t="s">
        <v>2276</v>
      </c>
      <c r="U1771" s="3" t="s">
        <v>2276</v>
      </c>
      <c r="V1771" s="3" t="s">
        <v>2276</v>
      </c>
      <c r="W1771" s="3" t="s">
        <v>2276</v>
      </c>
      <c r="X1771" s="3" t="s">
        <v>2276</v>
      </c>
      <c r="Y1771" s="3" t="s">
        <v>2276</v>
      </c>
      <c r="Z1771" s="3" t="s">
        <v>2276</v>
      </c>
      <c r="AA1771" s="3"/>
      <c r="AB1771" s="3"/>
    </row>
    <row r="1772" spans="1:28" ht="35.5" customHeight="1">
      <c r="A1772" s="156" t="str">
        <f>'Reported burning'!A1772</f>
        <v>209d</v>
      </c>
      <c r="B1772" s="156" t="str">
        <f>'Reported burning'!B1772</f>
        <v>209d.4</v>
      </c>
      <c r="C1772" s="156" t="str">
        <f>'Reported burning'!C1772</f>
        <v>Human, deliberate</v>
      </c>
      <c r="D1772" s="156" t="str">
        <f>'Reported burning'!D1772</f>
        <v>Harvesting of Timber</v>
      </c>
      <c r="E1772" s="156" t="str">
        <f>'Reported burning'!E1772</f>
        <v>Forestry, Small-scale</v>
      </c>
      <c r="F1772" s="156" t="str">
        <f>'Reported burning'!F1772</f>
        <v>Forest</v>
      </c>
      <c r="G1772" s="156" t="str">
        <f>'Reported burning'!G1772</f>
        <v>Forest</v>
      </c>
      <c r="H1772" s="156" t="str">
        <f>'Reported burning'!H1772</f>
        <v>Presence</v>
      </c>
      <c r="I1772" s="5"/>
      <c r="J1772" s="3" t="s">
        <v>2276</v>
      </c>
      <c r="K1772" s="3" t="s">
        <v>2276</v>
      </c>
      <c r="L1772" s="3" t="s">
        <v>2276</v>
      </c>
      <c r="M1772" s="3" t="s">
        <v>2276</v>
      </c>
      <c r="N1772" s="3" t="s">
        <v>2276</v>
      </c>
      <c r="O1772" s="3" t="s">
        <v>2276</v>
      </c>
      <c r="P1772" s="3" t="s">
        <v>2276</v>
      </c>
      <c r="Q1772" s="3" t="s">
        <v>2276</v>
      </c>
      <c r="R1772" s="3" t="s">
        <v>2276</v>
      </c>
      <c r="S1772" s="3" t="s">
        <v>2276</v>
      </c>
      <c r="T1772" s="3" t="s">
        <v>2276</v>
      </c>
      <c r="U1772" s="3" t="s">
        <v>2276</v>
      </c>
      <c r="V1772" s="3" t="s">
        <v>2276</v>
      </c>
      <c r="W1772" s="3" t="s">
        <v>2276</v>
      </c>
      <c r="X1772" s="3" t="s">
        <v>2276</v>
      </c>
      <c r="Y1772" s="3" t="s">
        <v>2276</v>
      </c>
      <c r="Z1772" s="3" t="s">
        <v>2276</v>
      </c>
      <c r="AA1772" s="3"/>
      <c r="AB1772" s="3"/>
    </row>
    <row r="1773" spans="1:28" ht="35.5" customHeight="1">
      <c r="A1773" s="156" t="str">
        <f>'Reported burning'!A1773</f>
        <v>209d</v>
      </c>
      <c r="B1773" s="156" t="str">
        <f>'Reported burning'!B1773</f>
        <v>209d.5</v>
      </c>
      <c r="C1773" s="156" t="str">
        <f>'Reported burning'!C1773</f>
        <v>Human, deliberate</v>
      </c>
      <c r="D1773" s="156" t="str">
        <f>'Reported burning'!D1773</f>
        <v>Arson</v>
      </c>
      <c r="E1773" s="156" t="str">
        <f>'Reported burning'!E1773</f>
        <v>ND</v>
      </c>
      <c r="F1773" s="156" t="str">
        <f>'Reported burning'!F1773</f>
        <v>ND</v>
      </c>
      <c r="G1773" s="156" t="str">
        <f>'Reported burning'!G1773</f>
        <v>Forest</v>
      </c>
      <c r="H1773" s="156" t="str">
        <f>'Reported burning'!H1773</f>
        <v>Presence</v>
      </c>
      <c r="I1773" s="5"/>
      <c r="J1773" s="3" t="s">
        <v>2276</v>
      </c>
      <c r="K1773" s="3" t="s">
        <v>2276</v>
      </c>
      <c r="L1773" s="3" t="s">
        <v>2276</v>
      </c>
      <c r="M1773" s="3" t="s">
        <v>2276</v>
      </c>
      <c r="N1773" s="3" t="s">
        <v>2276</v>
      </c>
      <c r="O1773" s="3" t="s">
        <v>2276</v>
      </c>
      <c r="P1773" s="3" t="s">
        <v>2276</v>
      </c>
      <c r="Q1773" s="3" t="s">
        <v>2276</v>
      </c>
      <c r="R1773" s="3" t="s">
        <v>2276</v>
      </c>
      <c r="S1773" s="3" t="s">
        <v>2276</v>
      </c>
      <c r="T1773" s="3" t="s">
        <v>2276</v>
      </c>
      <c r="U1773" s="3" t="s">
        <v>2276</v>
      </c>
      <c r="V1773" s="3" t="s">
        <v>2276</v>
      </c>
      <c r="W1773" s="3" t="s">
        <v>2276</v>
      </c>
      <c r="X1773" s="3" t="s">
        <v>2276</v>
      </c>
      <c r="Y1773" s="3" t="s">
        <v>2276</v>
      </c>
      <c r="Z1773" s="3" t="s">
        <v>2276</v>
      </c>
      <c r="AA1773" s="3"/>
      <c r="AB1773" s="3"/>
    </row>
    <row r="1774" spans="1:28" ht="35.5" customHeight="1">
      <c r="A1774" s="156" t="str">
        <f>'Reported burning'!A1774</f>
        <v>209d</v>
      </c>
      <c r="B1774" s="156" t="str">
        <f>'Reported burning'!B1774</f>
        <v>209d.6</v>
      </c>
      <c r="C1774" s="156" t="str">
        <f>'Reported burning'!C1774</f>
        <v>Human, deliberate</v>
      </c>
      <c r="D1774" s="156" t="str">
        <f>'Reported burning'!D1774</f>
        <v>Crop field preparation</v>
      </c>
      <c r="E1774" s="156" t="str">
        <f>'Reported burning'!E1774</f>
        <v>Cropping, Swidden</v>
      </c>
      <c r="F1774" s="156" t="str">
        <f>'Reported burning'!F1774</f>
        <v>Forest</v>
      </c>
      <c r="G1774" s="156" t="str">
        <f>'Reported burning'!G1774</f>
        <v>ND</v>
      </c>
      <c r="H1774" s="156" t="str">
        <f>'Reported burning'!H1774</f>
        <v>Presence</v>
      </c>
      <c r="I1774" s="5"/>
      <c r="J1774" s="3" t="s">
        <v>2276</v>
      </c>
      <c r="K1774" s="3" t="s">
        <v>2276</v>
      </c>
      <c r="L1774" s="3" t="s">
        <v>2276</v>
      </c>
      <c r="M1774" s="3" t="s">
        <v>2276</v>
      </c>
      <c r="N1774" s="3" t="s">
        <v>2276</v>
      </c>
      <c r="O1774" s="3" t="s">
        <v>2276</v>
      </c>
      <c r="P1774" s="3" t="s">
        <v>2276</v>
      </c>
      <c r="Q1774" s="3" t="s">
        <v>2276</v>
      </c>
      <c r="R1774" s="3" t="s">
        <v>2276</v>
      </c>
      <c r="S1774" s="3" t="s">
        <v>2276</v>
      </c>
      <c r="T1774" s="3" t="s">
        <v>2276</v>
      </c>
      <c r="U1774" s="3" t="s">
        <v>2276</v>
      </c>
      <c r="V1774" s="3" t="s">
        <v>2276</v>
      </c>
      <c r="W1774" s="3" t="s">
        <v>2276</v>
      </c>
      <c r="X1774" s="3" t="s">
        <v>2276</v>
      </c>
      <c r="Y1774" s="3" t="s">
        <v>2276</v>
      </c>
      <c r="Z1774" s="3" t="s">
        <v>2276</v>
      </c>
      <c r="AA1774" s="3"/>
      <c r="AB1774" s="3"/>
    </row>
    <row r="1775" spans="1:28" ht="35.5" customHeight="1">
      <c r="A1775" s="156" t="str">
        <f>'Reported burning'!A1775</f>
        <v>209d</v>
      </c>
      <c r="B1775" s="156" t="str">
        <f>'Reported burning'!B1775</f>
        <v>209d.7</v>
      </c>
      <c r="C1775" s="156" t="str">
        <f>'Reported burning'!C1775</f>
        <v>Human, escaped</v>
      </c>
      <c r="D1775" s="156" t="str">
        <f>'Reported burning'!D1775</f>
        <v>Charcoal production</v>
      </c>
      <c r="E1775" s="156" t="str">
        <f>'Reported burning'!E1775</f>
        <v>ND</v>
      </c>
      <c r="F1775" s="156" t="str">
        <f>'Reported burning'!F1775</f>
        <v>ND</v>
      </c>
      <c r="G1775" s="156" t="str">
        <f>'Reported burning'!G1775</f>
        <v>Forest</v>
      </c>
      <c r="H1775" s="156" t="str">
        <f>'Reported burning'!H1775</f>
        <v>Presence</v>
      </c>
      <c r="I1775" s="5"/>
      <c r="J1775" s="3" t="s">
        <v>2276</v>
      </c>
      <c r="K1775" s="3" t="s">
        <v>2276</v>
      </c>
      <c r="L1775" s="3" t="s">
        <v>2276</v>
      </c>
      <c r="M1775" s="3" t="s">
        <v>2276</v>
      </c>
      <c r="N1775" s="3" t="s">
        <v>2276</v>
      </c>
      <c r="O1775" s="3" t="s">
        <v>2276</v>
      </c>
      <c r="P1775" s="3" t="s">
        <v>2276</v>
      </c>
      <c r="Q1775" s="3" t="s">
        <v>2276</v>
      </c>
      <c r="R1775" s="3" t="s">
        <v>2276</v>
      </c>
      <c r="S1775" s="3" t="s">
        <v>2276</v>
      </c>
      <c r="T1775" s="3" t="s">
        <v>2276</v>
      </c>
      <c r="U1775" s="3" t="s">
        <v>2276</v>
      </c>
      <c r="V1775" s="3" t="s">
        <v>2276</v>
      </c>
      <c r="W1775" s="3" t="s">
        <v>2276</v>
      </c>
      <c r="X1775" s="3" t="s">
        <v>2276</v>
      </c>
      <c r="Y1775" s="3" t="s">
        <v>2276</v>
      </c>
      <c r="Z1775" s="3" t="s">
        <v>2276</v>
      </c>
      <c r="AA1775" s="3"/>
      <c r="AB1775" s="3"/>
    </row>
    <row r="1776" spans="1:28" ht="35.5" customHeight="1">
      <c r="A1776" s="156" t="str">
        <f>'Reported burning'!A1776</f>
        <v>209d</v>
      </c>
      <c r="B1776" s="156" t="str">
        <f>'Reported burning'!B1776</f>
        <v>209d.8</v>
      </c>
      <c r="C1776" s="156" t="str">
        <f>'Reported burning'!C1776</f>
        <v>Human, accidental</v>
      </c>
      <c r="D1776" s="156" t="str">
        <f>'Reported burning'!D1776</f>
        <v>ND</v>
      </c>
      <c r="E1776" s="156" t="str">
        <f>'Reported burning'!E1776</f>
        <v>All</v>
      </c>
      <c r="F1776" s="156" t="str">
        <f>'Reported burning'!F1776</f>
        <v>ND</v>
      </c>
      <c r="G1776" s="156" t="str">
        <f>'Reported burning'!G1776</f>
        <v>Forest</v>
      </c>
      <c r="H1776" s="156" t="str">
        <f>'Reported burning'!H1776</f>
        <v>Presence</v>
      </c>
      <c r="I1776" s="5"/>
      <c r="J1776" s="3" t="s">
        <v>2276</v>
      </c>
      <c r="K1776" s="3" t="s">
        <v>2276</v>
      </c>
      <c r="L1776" s="3" t="s">
        <v>2276</v>
      </c>
      <c r="M1776" s="3" t="s">
        <v>2276</v>
      </c>
      <c r="N1776" s="3" t="s">
        <v>2276</v>
      </c>
      <c r="O1776" s="3" t="s">
        <v>2276</v>
      </c>
      <c r="P1776" s="3" t="s">
        <v>2276</v>
      </c>
      <c r="Q1776" s="3" t="s">
        <v>2276</v>
      </c>
      <c r="R1776" s="3" t="s">
        <v>2276</v>
      </c>
      <c r="S1776" s="3" t="s">
        <v>2276</v>
      </c>
      <c r="T1776" s="3" t="s">
        <v>2276</v>
      </c>
      <c r="U1776" s="3" t="s">
        <v>2276</v>
      </c>
      <c r="V1776" s="3" t="s">
        <v>2276</v>
      </c>
      <c r="W1776" s="3" t="s">
        <v>2276</v>
      </c>
      <c r="X1776" s="3" t="s">
        <v>2276</v>
      </c>
      <c r="Y1776" s="3" t="s">
        <v>2276</v>
      </c>
      <c r="Z1776" s="3" t="s">
        <v>2276</v>
      </c>
      <c r="AA1776" s="3"/>
      <c r="AB1776" s="3"/>
    </row>
    <row r="1777" spans="1:28" ht="35.5" customHeight="1">
      <c r="A1777" s="156" t="str">
        <f>'Reported burning'!A1777</f>
        <v>209d</v>
      </c>
      <c r="B1777" s="156" t="str">
        <f>'Reported burning'!B1777</f>
        <v>209d.9</v>
      </c>
      <c r="C1777" s="156" t="str">
        <f>'Reported burning'!C1777</f>
        <v>Human, escaped</v>
      </c>
      <c r="D1777" s="156" t="str">
        <f>'Reported burning'!D1777</f>
        <v>Cultural &amp; Spiritual</v>
      </c>
      <c r="E1777" s="156" t="str">
        <f>'Reported burning'!E1777</f>
        <v>All</v>
      </c>
      <c r="F1777" s="156" t="str">
        <f>'Reported burning'!F1777</f>
        <v>ND</v>
      </c>
      <c r="G1777" s="156" t="str">
        <f>'Reported burning'!G1777</f>
        <v>Forest</v>
      </c>
      <c r="H1777" s="156" t="str">
        <f>'Reported burning'!H1777</f>
        <v>Presence</v>
      </c>
      <c r="I1777" s="5"/>
      <c r="J1777" s="3" t="s">
        <v>2276</v>
      </c>
      <c r="K1777" s="3" t="s">
        <v>2276</v>
      </c>
      <c r="L1777" s="3" t="s">
        <v>2276</v>
      </c>
      <c r="M1777" s="3" t="s">
        <v>2276</v>
      </c>
      <c r="N1777" s="3" t="s">
        <v>2276</v>
      </c>
      <c r="O1777" s="3" t="s">
        <v>2276</v>
      </c>
      <c r="P1777" s="3" t="s">
        <v>2276</v>
      </c>
      <c r="Q1777" s="3" t="s">
        <v>2276</v>
      </c>
      <c r="R1777" s="3" t="s">
        <v>2276</v>
      </c>
      <c r="S1777" s="3" t="s">
        <v>2276</v>
      </c>
      <c r="T1777" s="3" t="s">
        <v>2276</v>
      </c>
      <c r="U1777" s="3" t="s">
        <v>2276</v>
      </c>
      <c r="V1777" s="3" t="s">
        <v>2276</v>
      </c>
      <c r="W1777" s="3" t="s">
        <v>2276</v>
      </c>
      <c r="X1777" s="3" t="s">
        <v>2276</v>
      </c>
      <c r="Y1777" s="3" t="s">
        <v>2276</v>
      </c>
      <c r="Z1777" s="3" t="s">
        <v>2276</v>
      </c>
      <c r="AA1777" s="3"/>
      <c r="AB1777" s="3"/>
    </row>
    <row r="1778" spans="1:28" ht="35.5" customHeight="1">
      <c r="A1778" s="156" t="str">
        <f>'Reported burning'!A1778</f>
        <v>209d</v>
      </c>
      <c r="B1778" s="156" t="str">
        <f>'Reported burning'!B1778</f>
        <v>209d.10</v>
      </c>
      <c r="C1778" s="156" t="str">
        <f>'Reported burning'!C1778</f>
        <v>Human, escaped</v>
      </c>
      <c r="D1778" s="156" t="str">
        <f>'Reported burning'!D1778</f>
        <v>Domestic</v>
      </c>
      <c r="E1778" s="156" t="str">
        <f>'Reported burning'!E1778</f>
        <v>All</v>
      </c>
      <c r="F1778" s="156" t="str">
        <f>'Reported burning'!F1778</f>
        <v>ND</v>
      </c>
      <c r="G1778" s="156" t="str">
        <f>'Reported burning'!G1778</f>
        <v>Forest</v>
      </c>
      <c r="H1778" s="156" t="str">
        <f>'Reported burning'!H1778</f>
        <v>Presence</v>
      </c>
      <c r="I1778" s="5"/>
      <c r="J1778" s="3" t="s">
        <v>2276</v>
      </c>
      <c r="K1778" s="3" t="s">
        <v>2276</v>
      </c>
      <c r="L1778" s="3" t="s">
        <v>2276</v>
      </c>
      <c r="M1778" s="3" t="s">
        <v>2276</v>
      </c>
      <c r="N1778" s="3" t="s">
        <v>2276</v>
      </c>
      <c r="O1778" s="3" t="s">
        <v>2276</v>
      </c>
      <c r="P1778" s="3" t="s">
        <v>2276</v>
      </c>
      <c r="Q1778" s="3" t="s">
        <v>2276</v>
      </c>
      <c r="R1778" s="3" t="s">
        <v>2276</v>
      </c>
      <c r="S1778" s="3" t="s">
        <v>2276</v>
      </c>
      <c r="T1778" s="3" t="s">
        <v>2276</v>
      </c>
      <c r="U1778" s="3" t="s">
        <v>2276</v>
      </c>
      <c r="V1778" s="3" t="s">
        <v>2276</v>
      </c>
      <c r="W1778" s="3" t="s">
        <v>2276</v>
      </c>
      <c r="X1778" s="3" t="s">
        <v>2276</v>
      </c>
      <c r="Y1778" s="3" t="s">
        <v>2276</v>
      </c>
      <c r="Z1778" s="3" t="s">
        <v>2276</v>
      </c>
      <c r="AA1778" s="3"/>
      <c r="AB1778" s="3"/>
    </row>
    <row r="1779" spans="1:28" ht="35.5" customHeight="1">
      <c r="A1779" s="156" t="str">
        <f>'Reported burning'!A1779</f>
        <v>209e</v>
      </c>
      <c r="B1779" s="156" t="str">
        <f>'Reported burning'!B1779</f>
        <v>209e.1</v>
      </c>
      <c r="C1779" s="156" t="str">
        <f>'Reported burning'!C1779</f>
        <v>Human, deliberate</v>
      </c>
      <c r="D1779" s="156" t="str">
        <f>'Reported burning'!D1779</f>
        <v>Pasture renewal</v>
      </c>
      <c r="E1779" s="156" t="str">
        <f>'Reported burning'!E1779</f>
        <v>Pastoralism, Migratory</v>
      </c>
      <c r="F1779" s="156" t="str">
        <f>'Reported burning'!F1779</f>
        <v>Forest</v>
      </c>
      <c r="G1779" s="156" t="str">
        <f>'Reported burning'!G1779</f>
        <v>Forest</v>
      </c>
      <c r="H1779" s="156" t="str">
        <f>'Reported burning'!H1779</f>
        <v>Presence</v>
      </c>
      <c r="I1779" s="5"/>
      <c r="J1779" s="3" t="s">
        <v>2276</v>
      </c>
      <c r="K1779" s="3" t="s">
        <v>2276</v>
      </c>
      <c r="L1779" s="3" t="s">
        <v>2276</v>
      </c>
      <c r="M1779" s="3" t="s">
        <v>2276</v>
      </c>
      <c r="N1779" s="3" t="s">
        <v>2276</v>
      </c>
      <c r="O1779" s="3" t="s">
        <v>2276</v>
      </c>
      <c r="P1779" s="21" t="s">
        <v>2376</v>
      </c>
      <c r="Q1779" s="3" t="s">
        <v>2276</v>
      </c>
      <c r="R1779" s="21" t="s">
        <v>2374</v>
      </c>
      <c r="S1779" s="3" t="s">
        <v>2276</v>
      </c>
      <c r="T1779" s="3" t="s">
        <v>2276</v>
      </c>
      <c r="U1779" s="3" t="s">
        <v>2276</v>
      </c>
      <c r="V1779" s="3" t="s">
        <v>2276</v>
      </c>
      <c r="W1779" s="3" t="s">
        <v>2276</v>
      </c>
      <c r="X1779" s="3" t="s">
        <v>2276</v>
      </c>
      <c r="Y1779" s="3" t="s">
        <v>2276</v>
      </c>
      <c r="Z1779" s="3" t="s">
        <v>2276</v>
      </c>
      <c r="AA1779" s="3"/>
      <c r="AB1779" s="4" t="s">
        <v>5336</v>
      </c>
    </row>
    <row r="1780" spans="1:28" ht="35.5" customHeight="1">
      <c r="A1780" s="156" t="str">
        <f>'Reported burning'!A1780</f>
        <v>209e</v>
      </c>
      <c r="B1780" s="156" t="str">
        <f>'Reported burning'!B1780</f>
        <v>209e.2</v>
      </c>
      <c r="C1780" s="156" t="str">
        <f>'Reported burning'!C1780</f>
        <v>Human, deliberate</v>
      </c>
      <c r="D1780" s="156" t="str">
        <f>'Reported burning'!D1780</f>
        <v>Harvesting of NTFP</v>
      </c>
      <c r="E1780" s="156" t="str">
        <f>'Reported burning'!E1780</f>
        <v>Forestry, Traditional</v>
      </c>
      <c r="F1780" s="156" t="str">
        <f>'Reported burning'!F1780</f>
        <v>Forest</v>
      </c>
      <c r="G1780" s="156" t="str">
        <f>'Reported burning'!G1780</f>
        <v>Forest</v>
      </c>
      <c r="H1780" s="156" t="str">
        <f>'Reported burning'!H1780</f>
        <v>Presence</v>
      </c>
      <c r="I1780" s="5"/>
      <c r="J1780" s="3" t="s">
        <v>2276</v>
      </c>
      <c r="K1780" s="3" t="s">
        <v>2276</v>
      </c>
      <c r="L1780" s="3" t="s">
        <v>2276</v>
      </c>
      <c r="M1780" s="3" t="s">
        <v>2276</v>
      </c>
      <c r="N1780" s="3" t="s">
        <v>2276</v>
      </c>
      <c r="O1780" s="3" t="s">
        <v>2276</v>
      </c>
      <c r="P1780" s="3" t="s">
        <v>2276</v>
      </c>
      <c r="Q1780" s="3" t="s">
        <v>2276</v>
      </c>
      <c r="R1780" s="3" t="s">
        <v>2276</v>
      </c>
      <c r="S1780" s="3" t="s">
        <v>2276</v>
      </c>
      <c r="T1780" s="3" t="s">
        <v>2276</v>
      </c>
      <c r="U1780" s="3" t="s">
        <v>2276</v>
      </c>
      <c r="V1780" s="3" t="s">
        <v>2276</v>
      </c>
      <c r="W1780" s="3" t="s">
        <v>2276</v>
      </c>
      <c r="X1780" s="3" t="s">
        <v>2276</v>
      </c>
      <c r="Y1780" s="3" t="s">
        <v>2276</v>
      </c>
      <c r="Z1780" s="3" t="s">
        <v>2276</v>
      </c>
      <c r="AA1780" s="3"/>
      <c r="AB1780" s="3"/>
    </row>
    <row r="1781" spans="1:28" ht="35.5" customHeight="1">
      <c r="A1781" s="156" t="str">
        <f>'Reported burning'!A1781</f>
        <v>209e</v>
      </c>
      <c r="B1781" s="156" t="str">
        <f>'Reported burning'!B1781</f>
        <v>209e.3</v>
      </c>
      <c r="C1781" s="156" t="str">
        <f>'Reported burning'!C1781</f>
        <v>Human, deliberate</v>
      </c>
      <c r="D1781" s="156" t="str">
        <f>'Reported burning'!D1781</f>
        <v>Hunting</v>
      </c>
      <c r="E1781" s="156" t="str">
        <f>'Reported burning'!E1781</f>
        <v>Forestry, Traditional</v>
      </c>
      <c r="F1781" s="156" t="str">
        <f>'Reported burning'!F1781</f>
        <v>Forest</v>
      </c>
      <c r="G1781" s="156" t="str">
        <f>'Reported burning'!G1781</f>
        <v>Forest</v>
      </c>
      <c r="H1781" s="156" t="str">
        <f>'Reported burning'!H1781</f>
        <v>Presence</v>
      </c>
      <c r="I1781" s="5"/>
      <c r="J1781" s="3" t="s">
        <v>2276</v>
      </c>
      <c r="K1781" s="3" t="s">
        <v>2276</v>
      </c>
      <c r="L1781" s="3" t="s">
        <v>2276</v>
      </c>
      <c r="M1781" s="3" t="s">
        <v>2276</v>
      </c>
      <c r="N1781" s="3" t="s">
        <v>2276</v>
      </c>
      <c r="O1781" s="3" t="s">
        <v>2276</v>
      </c>
      <c r="P1781" s="3" t="s">
        <v>2276</v>
      </c>
      <c r="Q1781" s="3" t="s">
        <v>2276</v>
      </c>
      <c r="R1781" s="3" t="s">
        <v>2276</v>
      </c>
      <c r="S1781" s="3" t="s">
        <v>2276</v>
      </c>
      <c r="T1781" s="3" t="s">
        <v>2276</v>
      </c>
      <c r="U1781" s="3" t="s">
        <v>2276</v>
      </c>
      <c r="V1781" s="3" t="s">
        <v>2276</v>
      </c>
      <c r="W1781" s="3" t="s">
        <v>2276</v>
      </c>
      <c r="X1781" s="3" t="s">
        <v>2276</v>
      </c>
      <c r="Y1781" s="3" t="s">
        <v>2276</v>
      </c>
      <c r="Z1781" s="3" t="s">
        <v>2276</v>
      </c>
      <c r="AA1781" s="3"/>
      <c r="AB1781" s="3"/>
    </row>
    <row r="1782" spans="1:28" ht="35.5" customHeight="1">
      <c r="A1782" s="156" t="str">
        <f>'Reported burning'!A1782</f>
        <v>209e</v>
      </c>
      <c r="B1782" s="156" t="str">
        <f>'Reported burning'!B1782</f>
        <v>209e.4</v>
      </c>
      <c r="C1782" s="156" t="str">
        <f>'Reported burning'!C1782</f>
        <v>Human, deliberate</v>
      </c>
      <c r="D1782" s="156" t="str">
        <f>'Reported burning'!D1782</f>
        <v>Harvesting of Timber</v>
      </c>
      <c r="E1782" s="156" t="str">
        <f>'Reported burning'!E1782</f>
        <v>Forestry, Small-scale</v>
      </c>
      <c r="F1782" s="156" t="str">
        <f>'Reported burning'!F1782</f>
        <v>Forest</v>
      </c>
      <c r="G1782" s="156" t="str">
        <f>'Reported burning'!G1782</f>
        <v>Forest</v>
      </c>
      <c r="H1782" s="156" t="str">
        <f>'Reported burning'!H1782</f>
        <v>Presence</v>
      </c>
      <c r="I1782" s="5"/>
      <c r="J1782" s="3" t="s">
        <v>2276</v>
      </c>
      <c r="K1782" s="3" t="s">
        <v>2276</v>
      </c>
      <c r="L1782" s="3" t="s">
        <v>2276</v>
      </c>
      <c r="M1782" s="3" t="s">
        <v>2276</v>
      </c>
      <c r="N1782" s="3" t="s">
        <v>2276</v>
      </c>
      <c r="O1782" s="3" t="s">
        <v>2276</v>
      </c>
      <c r="P1782" s="3" t="s">
        <v>2276</v>
      </c>
      <c r="Q1782" s="3" t="s">
        <v>2276</v>
      </c>
      <c r="R1782" s="3" t="s">
        <v>2276</v>
      </c>
      <c r="S1782" s="3" t="s">
        <v>2276</v>
      </c>
      <c r="T1782" s="3" t="s">
        <v>2276</v>
      </c>
      <c r="U1782" s="3" t="s">
        <v>2276</v>
      </c>
      <c r="V1782" s="3" t="s">
        <v>2276</v>
      </c>
      <c r="W1782" s="3" t="s">
        <v>2276</v>
      </c>
      <c r="X1782" s="3" t="s">
        <v>2276</v>
      </c>
      <c r="Y1782" s="3" t="s">
        <v>2276</v>
      </c>
      <c r="Z1782" s="3" t="s">
        <v>2276</v>
      </c>
      <c r="AA1782" s="3"/>
      <c r="AB1782" s="3"/>
    </row>
    <row r="1783" spans="1:28" ht="35.5" customHeight="1">
      <c r="A1783" s="156" t="str">
        <f>'Reported burning'!A1783</f>
        <v>209e</v>
      </c>
      <c r="B1783" s="156" t="str">
        <f>'Reported burning'!B1783</f>
        <v>209e.5</v>
      </c>
      <c r="C1783" s="156" t="str">
        <f>'Reported burning'!C1783</f>
        <v>Human, deliberate</v>
      </c>
      <c r="D1783" s="156" t="str">
        <f>'Reported burning'!D1783</f>
        <v>Arson</v>
      </c>
      <c r="E1783" s="156" t="str">
        <f>'Reported burning'!E1783</f>
        <v>ND</v>
      </c>
      <c r="F1783" s="156" t="str">
        <f>'Reported burning'!F1783</f>
        <v>ND</v>
      </c>
      <c r="G1783" s="156" t="str">
        <f>'Reported burning'!G1783</f>
        <v>Forest</v>
      </c>
      <c r="H1783" s="156" t="str">
        <f>'Reported burning'!H1783</f>
        <v>Presence</v>
      </c>
      <c r="I1783" s="5"/>
      <c r="J1783" s="3" t="s">
        <v>2276</v>
      </c>
      <c r="K1783" s="3" t="s">
        <v>2276</v>
      </c>
      <c r="L1783" s="3" t="s">
        <v>2276</v>
      </c>
      <c r="M1783" s="3" t="s">
        <v>2276</v>
      </c>
      <c r="N1783" s="3" t="s">
        <v>2276</v>
      </c>
      <c r="O1783" s="3" t="s">
        <v>2276</v>
      </c>
      <c r="P1783" s="3" t="s">
        <v>2276</v>
      </c>
      <c r="Q1783" s="3" t="s">
        <v>2276</v>
      </c>
      <c r="R1783" s="3" t="s">
        <v>2276</v>
      </c>
      <c r="S1783" s="3" t="s">
        <v>2276</v>
      </c>
      <c r="T1783" s="3" t="s">
        <v>2276</v>
      </c>
      <c r="U1783" s="3" t="s">
        <v>2276</v>
      </c>
      <c r="V1783" s="3" t="s">
        <v>2276</v>
      </c>
      <c r="W1783" s="3" t="s">
        <v>2276</v>
      </c>
      <c r="X1783" s="3" t="s">
        <v>2276</v>
      </c>
      <c r="Y1783" s="3" t="s">
        <v>2276</v>
      </c>
      <c r="Z1783" s="3" t="s">
        <v>2276</v>
      </c>
      <c r="AA1783" s="3"/>
      <c r="AB1783" s="3"/>
    </row>
    <row r="1784" spans="1:28" ht="35.5" customHeight="1">
      <c r="A1784" s="156" t="str">
        <f>'Reported burning'!A1784</f>
        <v>209e</v>
      </c>
      <c r="B1784" s="156" t="str">
        <f>'Reported burning'!B1784</f>
        <v>209e.6</v>
      </c>
      <c r="C1784" s="156" t="str">
        <f>'Reported burning'!C1784</f>
        <v>Human, deliberate</v>
      </c>
      <c r="D1784" s="156" t="str">
        <f>'Reported burning'!D1784</f>
        <v>Crop field preparation</v>
      </c>
      <c r="E1784" s="156" t="str">
        <f>'Reported burning'!E1784</f>
        <v>Cropping, Swidden</v>
      </c>
      <c r="F1784" s="156" t="str">
        <f>'Reported burning'!F1784</f>
        <v>Forest</v>
      </c>
      <c r="G1784" s="156" t="str">
        <f>'Reported burning'!G1784</f>
        <v>ND</v>
      </c>
      <c r="H1784" s="156" t="str">
        <f>'Reported burning'!H1784</f>
        <v>Presence</v>
      </c>
      <c r="I1784" s="5"/>
      <c r="J1784" s="3" t="s">
        <v>2276</v>
      </c>
      <c r="K1784" s="3" t="s">
        <v>2276</v>
      </c>
      <c r="L1784" s="3" t="s">
        <v>2276</v>
      </c>
      <c r="M1784" s="3" t="s">
        <v>2276</v>
      </c>
      <c r="N1784" s="3" t="s">
        <v>2276</v>
      </c>
      <c r="O1784" s="3" t="s">
        <v>2276</v>
      </c>
      <c r="P1784" s="3" t="s">
        <v>2276</v>
      </c>
      <c r="Q1784" s="3" t="s">
        <v>2276</v>
      </c>
      <c r="R1784" s="3" t="s">
        <v>2276</v>
      </c>
      <c r="S1784" s="3" t="s">
        <v>2276</v>
      </c>
      <c r="T1784" s="3" t="s">
        <v>2276</v>
      </c>
      <c r="U1784" s="3" t="s">
        <v>2276</v>
      </c>
      <c r="V1784" s="3" t="s">
        <v>2276</v>
      </c>
      <c r="W1784" s="3" t="s">
        <v>2276</v>
      </c>
      <c r="X1784" s="3" t="s">
        <v>2276</v>
      </c>
      <c r="Y1784" s="3" t="s">
        <v>2276</v>
      </c>
      <c r="Z1784" s="3" t="s">
        <v>2276</v>
      </c>
      <c r="AA1784" s="3"/>
      <c r="AB1784" s="3"/>
    </row>
    <row r="1785" spans="1:28" ht="35.5" customHeight="1">
      <c r="A1785" s="156" t="str">
        <f>'Reported burning'!A1785</f>
        <v>209e</v>
      </c>
      <c r="B1785" s="156" t="str">
        <f>'Reported burning'!B1785</f>
        <v>209e.7</v>
      </c>
      <c r="C1785" s="156" t="str">
        <f>'Reported burning'!C1785</f>
        <v>Human, escaped</v>
      </c>
      <c r="D1785" s="156" t="str">
        <f>'Reported burning'!D1785</f>
        <v>Charcoal production</v>
      </c>
      <c r="E1785" s="156" t="str">
        <f>'Reported burning'!E1785</f>
        <v>ND</v>
      </c>
      <c r="F1785" s="156" t="str">
        <f>'Reported burning'!F1785</f>
        <v>ND</v>
      </c>
      <c r="G1785" s="156" t="str">
        <f>'Reported burning'!G1785</f>
        <v>Forest</v>
      </c>
      <c r="H1785" s="156" t="str">
        <f>'Reported burning'!H1785</f>
        <v>Presence</v>
      </c>
      <c r="I1785" s="5"/>
      <c r="J1785" s="3" t="s">
        <v>2276</v>
      </c>
      <c r="K1785" s="3" t="s">
        <v>2276</v>
      </c>
      <c r="L1785" s="3" t="s">
        <v>2276</v>
      </c>
      <c r="M1785" s="3" t="s">
        <v>2276</v>
      </c>
      <c r="N1785" s="3" t="s">
        <v>2276</v>
      </c>
      <c r="O1785" s="3" t="s">
        <v>2276</v>
      </c>
      <c r="P1785" s="3" t="s">
        <v>2276</v>
      </c>
      <c r="Q1785" s="3" t="s">
        <v>2276</v>
      </c>
      <c r="R1785" s="3" t="s">
        <v>2276</v>
      </c>
      <c r="S1785" s="3" t="s">
        <v>2276</v>
      </c>
      <c r="T1785" s="3" t="s">
        <v>2276</v>
      </c>
      <c r="U1785" s="3" t="s">
        <v>2276</v>
      </c>
      <c r="V1785" s="3" t="s">
        <v>2276</v>
      </c>
      <c r="W1785" s="3" t="s">
        <v>2276</v>
      </c>
      <c r="X1785" s="3" t="s">
        <v>2276</v>
      </c>
      <c r="Y1785" s="3" t="s">
        <v>2276</v>
      </c>
      <c r="Z1785" s="3" t="s">
        <v>2276</v>
      </c>
      <c r="AA1785" s="3"/>
      <c r="AB1785" s="3"/>
    </row>
    <row r="1786" spans="1:28" ht="35.5" customHeight="1">
      <c r="A1786" s="156" t="str">
        <f>'Reported burning'!A1786</f>
        <v>209e</v>
      </c>
      <c r="B1786" s="156" t="str">
        <f>'Reported burning'!B1786</f>
        <v>209e.8</v>
      </c>
      <c r="C1786" s="156" t="str">
        <f>'Reported burning'!C1786</f>
        <v>Human, accidental</v>
      </c>
      <c r="D1786" s="156" t="str">
        <f>'Reported burning'!D1786</f>
        <v>ND</v>
      </c>
      <c r="E1786" s="156" t="str">
        <f>'Reported burning'!E1786</f>
        <v>All</v>
      </c>
      <c r="F1786" s="156" t="str">
        <f>'Reported burning'!F1786</f>
        <v>ND</v>
      </c>
      <c r="G1786" s="156" t="str">
        <f>'Reported burning'!G1786</f>
        <v>Forest</v>
      </c>
      <c r="H1786" s="156" t="str">
        <f>'Reported burning'!H1786</f>
        <v>Presence</v>
      </c>
      <c r="I1786" s="5"/>
      <c r="J1786" s="3" t="s">
        <v>2276</v>
      </c>
      <c r="K1786" s="3" t="s">
        <v>2276</v>
      </c>
      <c r="L1786" s="3" t="s">
        <v>2276</v>
      </c>
      <c r="M1786" s="3" t="s">
        <v>2276</v>
      </c>
      <c r="N1786" s="3" t="s">
        <v>2276</v>
      </c>
      <c r="O1786" s="3" t="s">
        <v>2276</v>
      </c>
      <c r="P1786" s="3" t="s">
        <v>2276</v>
      </c>
      <c r="Q1786" s="3" t="s">
        <v>2276</v>
      </c>
      <c r="R1786" s="3" t="s">
        <v>2276</v>
      </c>
      <c r="S1786" s="3" t="s">
        <v>2276</v>
      </c>
      <c r="T1786" s="3" t="s">
        <v>2276</v>
      </c>
      <c r="U1786" s="3" t="s">
        <v>2276</v>
      </c>
      <c r="V1786" s="3" t="s">
        <v>2276</v>
      </c>
      <c r="W1786" s="3" t="s">
        <v>2276</v>
      </c>
      <c r="X1786" s="3" t="s">
        <v>2276</v>
      </c>
      <c r="Y1786" s="3" t="s">
        <v>2276</v>
      </c>
      <c r="Z1786" s="3" t="s">
        <v>2276</v>
      </c>
      <c r="AA1786" s="3"/>
      <c r="AB1786" s="3"/>
    </row>
    <row r="1787" spans="1:28" ht="35.5" customHeight="1">
      <c r="A1787" s="156" t="str">
        <f>'Reported burning'!A1787</f>
        <v>209e</v>
      </c>
      <c r="B1787" s="156" t="str">
        <f>'Reported burning'!B1787</f>
        <v>209e.9</v>
      </c>
      <c r="C1787" s="156" t="str">
        <f>'Reported burning'!C1787</f>
        <v>Human, escaped</v>
      </c>
      <c r="D1787" s="156" t="str">
        <f>'Reported burning'!D1787</f>
        <v>Cultural &amp; Spiritual</v>
      </c>
      <c r="E1787" s="156" t="str">
        <f>'Reported burning'!E1787</f>
        <v>All</v>
      </c>
      <c r="F1787" s="156" t="str">
        <f>'Reported burning'!F1787</f>
        <v>ND</v>
      </c>
      <c r="G1787" s="156" t="str">
        <f>'Reported burning'!G1787</f>
        <v>Forest</v>
      </c>
      <c r="H1787" s="156" t="str">
        <f>'Reported burning'!H1787</f>
        <v>Presence</v>
      </c>
      <c r="I1787" s="5"/>
      <c r="J1787" s="3" t="s">
        <v>2276</v>
      </c>
      <c r="K1787" s="3" t="s">
        <v>2276</v>
      </c>
      <c r="L1787" s="3" t="s">
        <v>2276</v>
      </c>
      <c r="M1787" s="3" t="s">
        <v>2276</v>
      </c>
      <c r="N1787" s="3" t="s">
        <v>2276</v>
      </c>
      <c r="O1787" s="3" t="s">
        <v>2276</v>
      </c>
      <c r="P1787" s="3" t="s">
        <v>2276</v>
      </c>
      <c r="Q1787" s="3" t="s">
        <v>2276</v>
      </c>
      <c r="R1787" s="3" t="s">
        <v>2276</v>
      </c>
      <c r="S1787" s="3" t="s">
        <v>2276</v>
      </c>
      <c r="T1787" s="3" t="s">
        <v>2276</v>
      </c>
      <c r="U1787" s="3" t="s">
        <v>2276</v>
      </c>
      <c r="V1787" s="3" t="s">
        <v>2276</v>
      </c>
      <c r="W1787" s="3" t="s">
        <v>2276</v>
      </c>
      <c r="X1787" s="3" t="s">
        <v>2276</v>
      </c>
      <c r="Y1787" s="3" t="s">
        <v>2276</v>
      </c>
      <c r="Z1787" s="3" t="s">
        <v>2276</v>
      </c>
      <c r="AA1787" s="3"/>
      <c r="AB1787" s="3"/>
    </row>
    <row r="1788" spans="1:28" ht="35.5" customHeight="1">
      <c r="A1788" s="156" t="str">
        <f>'Reported burning'!A1788</f>
        <v>209e</v>
      </c>
      <c r="B1788" s="156" t="str">
        <f>'Reported burning'!B1788</f>
        <v>209e.10</v>
      </c>
      <c r="C1788" s="156" t="str">
        <f>'Reported burning'!C1788</f>
        <v>Human, escaped</v>
      </c>
      <c r="D1788" s="156" t="str">
        <f>'Reported burning'!D1788</f>
        <v>Domestic</v>
      </c>
      <c r="E1788" s="156" t="str">
        <f>'Reported burning'!E1788</f>
        <v>All</v>
      </c>
      <c r="F1788" s="156" t="str">
        <f>'Reported burning'!F1788</f>
        <v>ND</v>
      </c>
      <c r="G1788" s="156" t="str">
        <f>'Reported burning'!G1788</f>
        <v>Forest</v>
      </c>
      <c r="H1788" s="156" t="str">
        <f>'Reported burning'!H1788</f>
        <v>Presence</v>
      </c>
      <c r="I1788" s="5"/>
      <c r="J1788" s="3" t="s">
        <v>2276</v>
      </c>
      <c r="K1788" s="3" t="s">
        <v>2276</v>
      </c>
      <c r="L1788" s="3" t="s">
        <v>2276</v>
      </c>
      <c r="M1788" s="3" t="s">
        <v>2276</v>
      </c>
      <c r="N1788" s="3" t="s">
        <v>2276</v>
      </c>
      <c r="O1788" s="3" t="s">
        <v>2276</v>
      </c>
      <c r="P1788" s="3" t="s">
        <v>2276</v>
      </c>
      <c r="Q1788" s="3" t="s">
        <v>2276</v>
      </c>
      <c r="R1788" s="3" t="s">
        <v>2276</v>
      </c>
      <c r="S1788" s="3" t="s">
        <v>2276</v>
      </c>
      <c r="T1788" s="3" t="s">
        <v>2276</v>
      </c>
      <c r="U1788" s="3" t="s">
        <v>2276</v>
      </c>
      <c r="V1788" s="3" t="s">
        <v>2276</v>
      </c>
      <c r="W1788" s="3" t="s">
        <v>2276</v>
      </c>
      <c r="X1788" s="3" t="s">
        <v>2276</v>
      </c>
      <c r="Y1788" s="3" t="s">
        <v>2276</v>
      </c>
      <c r="Z1788" s="3" t="s">
        <v>2276</v>
      </c>
      <c r="AA1788" s="3"/>
      <c r="AB1788" s="3"/>
    </row>
    <row r="1789" spans="1:28" ht="35.5" customHeight="1">
      <c r="A1789" s="156" t="str">
        <f>'Reported burning'!A1789</f>
        <v>209f</v>
      </c>
      <c r="B1789" s="156" t="str">
        <f>'Reported burning'!B1789</f>
        <v>209f.1</v>
      </c>
      <c r="C1789" s="156" t="str">
        <f>'Reported burning'!C1789</f>
        <v>Human, deliberate</v>
      </c>
      <c r="D1789" s="156" t="str">
        <f>'Reported burning'!D1789</f>
        <v>Pasture renewal</v>
      </c>
      <c r="E1789" s="156" t="str">
        <f>'Reported burning'!E1789</f>
        <v>Pastoralism, Migratory</v>
      </c>
      <c r="F1789" s="156" t="str">
        <f>'Reported burning'!F1789</f>
        <v>Forest</v>
      </c>
      <c r="G1789" s="156" t="str">
        <f>'Reported burning'!G1789</f>
        <v>Forest</v>
      </c>
      <c r="H1789" s="156" t="str">
        <f>'Reported burning'!H1789</f>
        <v>Presence</v>
      </c>
      <c r="I1789" s="5"/>
      <c r="J1789" s="3" t="s">
        <v>2276</v>
      </c>
      <c r="K1789" s="3" t="s">
        <v>2276</v>
      </c>
      <c r="L1789" s="3" t="s">
        <v>2276</v>
      </c>
      <c r="M1789" s="3" t="s">
        <v>2276</v>
      </c>
      <c r="N1789" s="3" t="s">
        <v>2276</v>
      </c>
      <c r="O1789" s="3" t="s">
        <v>2276</v>
      </c>
      <c r="P1789" s="21" t="s">
        <v>2376</v>
      </c>
      <c r="Q1789" s="3" t="s">
        <v>2276</v>
      </c>
      <c r="R1789" s="21" t="s">
        <v>2374</v>
      </c>
      <c r="S1789" s="3" t="s">
        <v>2276</v>
      </c>
      <c r="T1789" s="3" t="s">
        <v>2276</v>
      </c>
      <c r="U1789" s="3" t="s">
        <v>2276</v>
      </c>
      <c r="V1789" s="3" t="s">
        <v>2276</v>
      </c>
      <c r="W1789" s="3" t="s">
        <v>2276</v>
      </c>
      <c r="X1789" s="3" t="s">
        <v>2276</v>
      </c>
      <c r="Y1789" s="3" t="s">
        <v>2276</v>
      </c>
      <c r="Z1789" s="3" t="s">
        <v>2276</v>
      </c>
      <c r="AA1789" s="3"/>
      <c r="AB1789" s="4" t="s">
        <v>5336</v>
      </c>
    </row>
    <row r="1790" spans="1:28" ht="35.5" customHeight="1">
      <c r="A1790" s="156" t="str">
        <f>'Reported burning'!A1790</f>
        <v>209f</v>
      </c>
      <c r="B1790" s="156" t="str">
        <f>'Reported burning'!B1790</f>
        <v>209f.2</v>
      </c>
      <c r="C1790" s="156" t="str">
        <f>'Reported burning'!C1790</f>
        <v>Human, deliberate</v>
      </c>
      <c r="D1790" s="156" t="str">
        <f>'Reported burning'!D1790</f>
        <v>Harvesting of NTFP</v>
      </c>
      <c r="E1790" s="156" t="str">
        <f>'Reported burning'!E1790</f>
        <v>Forestry, Traditional</v>
      </c>
      <c r="F1790" s="156" t="str">
        <f>'Reported burning'!F1790</f>
        <v>Forest</v>
      </c>
      <c r="G1790" s="156" t="str">
        <f>'Reported burning'!G1790</f>
        <v>Forest</v>
      </c>
      <c r="H1790" s="156" t="str">
        <f>'Reported burning'!H1790</f>
        <v>Presence</v>
      </c>
      <c r="I1790" s="5"/>
      <c r="J1790" s="3" t="s">
        <v>2276</v>
      </c>
      <c r="K1790" s="3" t="s">
        <v>2276</v>
      </c>
      <c r="L1790" s="3" t="s">
        <v>2276</v>
      </c>
      <c r="M1790" s="3" t="s">
        <v>2276</v>
      </c>
      <c r="N1790" s="3" t="s">
        <v>2276</v>
      </c>
      <c r="O1790" s="3" t="s">
        <v>2276</v>
      </c>
      <c r="P1790" s="3" t="s">
        <v>2276</v>
      </c>
      <c r="Q1790" s="3" t="s">
        <v>2276</v>
      </c>
      <c r="R1790" s="3" t="s">
        <v>2276</v>
      </c>
      <c r="S1790" s="3" t="s">
        <v>2276</v>
      </c>
      <c r="T1790" s="3" t="s">
        <v>2276</v>
      </c>
      <c r="U1790" s="3" t="s">
        <v>2276</v>
      </c>
      <c r="V1790" s="3" t="s">
        <v>2276</v>
      </c>
      <c r="W1790" s="3" t="s">
        <v>2276</v>
      </c>
      <c r="X1790" s="3" t="s">
        <v>2276</v>
      </c>
      <c r="Y1790" s="3" t="s">
        <v>2276</v>
      </c>
      <c r="Z1790" s="3" t="s">
        <v>2276</v>
      </c>
      <c r="AA1790" s="3"/>
      <c r="AB1790" s="3"/>
    </row>
    <row r="1791" spans="1:28" ht="35.5" customHeight="1">
      <c r="A1791" s="156" t="str">
        <f>'Reported burning'!A1791</f>
        <v>209f</v>
      </c>
      <c r="B1791" s="156" t="str">
        <f>'Reported burning'!B1791</f>
        <v>209f.3</v>
      </c>
      <c r="C1791" s="156" t="str">
        <f>'Reported burning'!C1791</f>
        <v>Human, deliberate</v>
      </c>
      <c r="D1791" s="156" t="str">
        <f>'Reported burning'!D1791</f>
        <v>Hunting</v>
      </c>
      <c r="E1791" s="156" t="str">
        <f>'Reported burning'!E1791</f>
        <v>Forestry, Traditional</v>
      </c>
      <c r="F1791" s="156" t="str">
        <f>'Reported burning'!F1791</f>
        <v>Forest</v>
      </c>
      <c r="G1791" s="156" t="str">
        <f>'Reported burning'!G1791</f>
        <v>Forest</v>
      </c>
      <c r="H1791" s="156" t="str">
        <f>'Reported burning'!H1791</f>
        <v>Presence</v>
      </c>
      <c r="I1791" s="5"/>
      <c r="J1791" s="3" t="s">
        <v>2276</v>
      </c>
      <c r="K1791" s="3" t="s">
        <v>2276</v>
      </c>
      <c r="L1791" s="3" t="s">
        <v>2276</v>
      </c>
      <c r="M1791" s="3" t="s">
        <v>2276</v>
      </c>
      <c r="N1791" s="3" t="s">
        <v>2276</v>
      </c>
      <c r="O1791" s="3" t="s">
        <v>2276</v>
      </c>
      <c r="P1791" s="3" t="s">
        <v>2276</v>
      </c>
      <c r="Q1791" s="3" t="s">
        <v>2276</v>
      </c>
      <c r="R1791" s="3" t="s">
        <v>2276</v>
      </c>
      <c r="S1791" s="3" t="s">
        <v>2276</v>
      </c>
      <c r="T1791" s="3" t="s">
        <v>2276</v>
      </c>
      <c r="U1791" s="3" t="s">
        <v>2276</v>
      </c>
      <c r="V1791" s="3" t="s">
        <v>2276</v>
      </c>
      <c r="W1791" s="3" t="s">
        <v>2276</v>
      </c>
      <c r="X1791" s="3" t="s">
        <v>2276</v>
      </c>
      <c r="Y1791" s="3" t="s">
        <v>2276</v>
      </c>
      <c r="Z1791" s="3" t="s">
        <v>2276</v>
      </c>
      <c r="AA1791" s="3"/>
      <c r="AB1791" s="3"/>
    </row>
    <row r="1792" spans="1:28" ht="35.5" customHeight="1">
      <c r="A1792" s="156" t="str">
        <f>'Reported burning'!A1792</f>
        <v>209f</v>
      </c>
      <c r="B1792" s="156" t="str">
        <f>'Reported burning'!B1792</f>
        <v>209f.4</v>
      </c>
      <c r="C1792" s="156" t="str">
        <f>'Reported burning'!C1792</f>
        <v>Human, deliberate</v>
      </c>
      <c r="D1792" s="156" t="str">
        <f>'Reported burning'!D1792</f>
        <v>Harvesting of Timber</v>
      </c>
      <c r="E1792" s="156" t="str">
        <f>'Reported burning'!E1792</f>
        <v>Forestry, Small-scale</v>
      </c>
      <c r="F1792" s="156" t="str">
        <f>'Reported burning'!F1792</f>
        <v>Forest</v>
      </c>
      <c r="G1792" s="156" t="str">
        <f>'Reported burning'!G1792</f>
        <v>Forest</v>
      </c>
      <c r="H1792" s="156" t="str">
        <f>'Reported burning'!H1792</f>
        <v>Presence</v>
      </c>
      <c r="I1792" s="5"/>
      <c r="J1792" s="3" t="s">
        <v>2276</v>
      </c>
      <c r="K1792" s="3" t="s">
        <v>2276</v>
      </c>
      <c r="L1792" s="3" t="s">
        <v>2276</v>
      </c>
      <c r="M1792" s="3" t="s">
        <v>2276</v>
      </c>
      <c r="N1792" s="3" t="s">
        <v>2276</v>
      </c>
      <c r="O1792" s="3" t="s">
        <v>2276</v>
      </c>
      <c r="P1792" s="3" t="s">
        <v>2276</v>
      </c>
      <c r="Q1792" s="3" t="s">
        <v>2276</v>
      </c>
      <c r="R1792" s="3" t="s">
        <v>2276</v>
      </c>
      <c r="S1792" s="3" t="s">
        <v>2276</v>
      </c>
      <c r="T1792" s="3" t="s">
        <v>2276</v>
      </c>
      <c r="U1792" s="3" t="s">
        <v>2276</v>
      </c>
      <c r="V1792" s="3" t="s">
        <v>2276</v>
      </c>
      <c r="W1792" s="3" t="s">
        <v>2276</v>
      </c>
      <c r="X1792" s="3" t="s">
        <v>2276</v>
      </c>
      <c r="Y1792" s="3" t="s">
        <v>2276</v>
      </c>
      <c r="Z1792" s="3" t="s">
        <v>2276</v>
      </c>
      <c r="AA1792" s="3"/>
      <c r="AB1792" s="3"/>
    </row>
    <row r="1793" spans="1:28" ht="35.5" customHeight="1">
      <c r="A1793" s="156" t="str">
        <f>'Reported burning'!A1793</f>
        <v>209f</v>
      </c>
      <c r="B1793" s="156" t="str">
        <f>'Reported burning'!B1793</f>
        <v>209f.5</v>
      </c>
      <c r="C1793" s="156" t="str">
        <f>'Reported burning'!C1793</f>
        <v>Human, deliberate</v>
      </c>
      <c r="D1793" s="156" t="str">
        <f>'Reported burning'!D1793</f>
        <v>Arson</v>
      </c>
      <c r="E1793" s="156" t="str">
        <f>'Reported burning'!E1793</f>
        <v>ND</v>
      </c>
      <c r="F1793" s="156" t="str">
        <f>'Reported burning'!F1793</f>
        <v>ND</v>
      </c>
      <c r="G1793" s="156" t="str">
        <f>'Reported burning'!G1793</f>
        <v>Forest</v>
      </c>
      <c r="H1793" s="156" t="str">
        <f>'Reported burning'!H1793</f>
        <v>Presence</v>
      </c>
      <c r="I1793" s="5"/>
      <c r="J1793" s="3" t="s">
        <v>2276</v>
      </c>
      <c r="K1793" s="3" t="s">
        <v>2276</v>
      </c>
      <c r="L1793" s="3" t="s">
        <v>2276</v>
      </c>
      <c r="M1793" s="3" t="s">
        <v>2276</v>
      </c>
      <c r="N1793" s="3" t="s">
        <v>2276</v>
      </c>
      <c r="O1793" s="3" t="s">
        <v>2276</v>
      </c>
      <c r="P1793" s="3" t="s">
        <v>2276</v>
      </c>
      <c r="Q1793" s="3" t="s">
        <v>2276</v>
      </c>
      <c r="R1793" s="3" t="s">
        <v>2276</v>
      </c>
      <c r="S1793" s="3" t="s">
        <v>2276</v>
      </c>
      <c r="T1793" s="3" t="s">
        <v>2276</v>
      </c>
      <c r="U1793" s="3" t="s">
        <v>2276</v>
      </c>
      <c r="V1793" s="3" t="s">
        <v>2276</v>
      </c>
      <c r="W1793" s="3" t="s">
        <v>2276</v>
      </c>
      <c r="X1793" s="3" t="s">
        <v>2276</v>
      </c>
      <c r="Y1793" s="3" t="s">
        <v>2276</v>
      </c>
      <c r="Z1793" s="3" t="s">
        <v>2276</v>
      </c>
      <c r="AA1793" s="3"/>
      <c r="AB1793" s="3"/>
    </row>
    <row r="1794" spans="1:28" ht="35.5" customHeight="1">
      <c r="A1794" s="156" t="str">
        <f>'Reported burning'!A1794</f>
        <v>209f</v>
      </c>
      <c r="B1794" s="156" t="str">
        <f>'Reported burning'!B1794</f>
        <v>209f.6</v>
      </c>
      <c r="C1794" s="156" t="str">
        <f>'Reported burning'!C1794</f>
        <v>Human, deliberate</v>
      </c>
      <c r="D1794" s="156" t="str">
        <f>'Reported burning'!D1794</f>
        <v>Crop field preparation</v>
      </c>
      <c r="E1794" s="156" t="str">
        <f>'Reported burning'!E1794</f>
        <v>Cropping, Swidden</v>
      </c>
      <c r="F1794" s="156" t="str">
        <f>'Reported burning'!F1794</f>
        <v>Forest</v>
      </c>
      <c r="G1794" s="156" t="str">
        <f>'Reported burning'!G1794</f>
        <v>ND</v>
      </c>
      <c r="H1794" s="156" t="str">
        <f>'Reported burning'!H1794</f>
        <v>Presence</v>
      </c>
      <c r="I1794" s="5"/>
      <c r="J1794" s="3" t="s">
        <v>2276</v>
      </c>
      <c r="K1794" s="3" t="s">
        <v>2276</v>
      </c>
      <c r="L1794" s="3" t="s">
        <v>2276</v>
      </c>
      <c r="M1794" s="3" t="s">
        <v>2276</v>
      </c>
      <c r="N1794" s="3" t="s">
        <v>2276</v>
      </c>
      <c r="O1794" s="3" t="s">
        <v>2276</v>
      </c>
      <c r="P1794" s="3" t="s">
        <v>2276</v>
      </c>
      <c r="Q1794" s="3" t="s">
        <v>2276</v>
      </c>
      <c r="R1794" s="3" t="s">
        <v>2276</v>
      </c>
      <c r="S1794" s="3" t="s">
        <v>2276</v>
      </c>
      <c r="T1794" s="3" t="s">
        <v>2276</v>
      </c>
      <c r="U1794" s="3" t="s">
        <v>2276</v>
      </c>
      <c r="V1794" s="3" t="s">
        <v>2276</v>
      </c>
      <c r="W1794" s="3" t="s">
        <v>2276</v>
      </c>
      <c r="X1794" s="3" t="s">
        <v>2276</v>
      </c>
      <c r="Y1794" s="3" t="s">
        <v>2276</v>
      </c>
      <c r="Z1794" s="3" t="s">
        <v>2276</v>
      </c>
      <c r="AA1794" s="3"/>
      <c r="AB1794" s="3"/>
    </row>
    <row r="1795" spans="1:28" ht="35.5" customHeight="1">
      <c r="A1795" s="156" t="str">
        <f>'Reported burning'!A1795</f>
        <v>209f</v>
      </c>
      <c r="B1795" s="156" t="str">
        <f>'Reported burning'!B1795</f>
        <v>209f.7</v>
      </c>
      <c r="C1795" s="156" t="str">
        <f>'Reported burning'!C1795</f>
        <v>Human, escaped</v>
      </c>
      <c r="D1795" s="156" t="str">
        <f>'Reported burning'!D1795</f>
        <v>Charcoal production</v>
      </c>
      <c r="E1795" s="156" t="str">
        <f>'Reported burning'!E1795</f>
        <v>ND</v>
      </c>
      <c r="F1795" s="156" t="str">
        <f>'Reported burning'!F1795</f>
        <v>ND</v>
      </c>
      <c r="G1795" s="156" t="str">
        <f>'Reported burning'!G1795</f>
        <v>Forest</v>
      </c>
      <c r="H1795" s="156" t="str">
        <f>'Reported burning'!H1795</f>
        <v>Presence</v>
      </c>
      <c r="I1795" s="5"/>
      <c r="J1795" s="3" t="s">
        <v>2276</v>
      </c>
      <c r="K1795" s="3" t="s">
        <v>2276</v>
      </c>
      <c r="L1795" s="3" t="s">
        <v>2276</v>
      </c>
      <c r="M1795" s="3" t="s">
        <v>2276</v>
      </c>
      <c r="N1795" s="3" t="s">
        <v>2276</v>
      </c>
      <c r="O1795" s="3" t="s">
        <v>2276</v>
      </c>
      <c r="P1795" s="3" t="s">
        <v>2276</v>
      </c>
      <c r="Q1795" s="3" t="s">
        <v>2276</v>
      </c>
      <c r="R1795" s="3" t="s">
        <v>2276</v>
      </c>
      <c r="S1795" s="3" t="s">
        <v>2276</v>
      </c>
      <c r="T1795" s="3" t="s">
        <v>2276</v>
      </c>
      <c r="U1795" s="3" t="s">
        <v>2276</v>
      </c>
      <c r="V1795" s="3" t="s">
        <v>2276</v>
      </c>
      <c r="W1795" s="3" t="s">
        <v>2276</v>
      </c>
      <c r="X1795" s="3" t="s">
        <v>2276</v>
      </c>
      <c r="Y1795" s="3" t="s">
        <v>2276</v>
      </c>
      <c r="Z1795" s="3" t="s">
        <v>2276</v>
      </c>
      <c r="AA1795" s="3"/>
      <c r="AB1795" s="3"/>
    </row>
    <row r="1796" spans="1:28" ht="35.5" customHeight="1">
      <c r="A1796" s="156" t="str">
        <f>'Reported burning'!A1796</f>
        <v>209f</v>
      </c>
      <c r="B1796" s="156" t="str">
        <f>'Reported burning'!B1796</f>
        <v>209f.8</v>
      </c>
      <c r="C1796" s="156" t="str">
        <f>'Reported burning'!C1796</f>
        <v>Human, accidental</v>
      </c>
      <c r="D1796" s="156" t="str">
        <f>'Reported burning'!D1796</f>
        <v>ND</v>
      </c>
      <c r="E1796" s="156" t="str">
        <f>'Reported burning'!E1796</f>
        <v>All</v>
      </c>
      <c r="F1796" s="156" t="str">
        <f>'Reported burning'!F1796</f>
        <v>ND</v>
      </c>
      <c r="G1796" s="156" t="str">
        <f>'Reported burning'!G1796</f>
        <v>Forest</v>
      </c>
      <c r="H1796" s="156" t="str">
        <f>'Reported burning'!H1796</f>
        <v>Presence</v>
      </c>
      <c r="I1796" s="5"/>
      <c r="J1796" s="3" t="s">
        <v>2276</v>
      </c>
      <c r="K1796" s="3" t="s">
        <v>2276</v>
      </c>
      <c r="L1796" s="3" t="s">
        <v>2276</v>
      </c>
      <c r="M1796" s="3" t="s">
        <v>2276</v>
      </c>
      <c r="N1796" s="3" t="s">
        <v>2276</v>
      </c>
      <c r="O1796" s="3" t="s">
        <v>2276</v>
      </c>
      <c r="P1796" s="3" t="s">
        <v>2276</v>
      </c>
      <c r="Q1796" s="3" t="s">
        <v>2276</v>
      </c>
      <c r="R1796" s="3" t="s">
        <v>2276</v>
      </c>
      <c r="S1796" s="3" t="s">
        <v>2276</v>
      </c>
      <c r="T1796" s="3" t="s">
        <v>2276</v>
      </c>
      <c r="U1796" s="3" t="s">
        <v>2276</v>
      </c>
      <c r="V1796" s="3" t="s">
        <v>2276</v>
      </c>
      <c r="W1796" s="3" t="s">
        <v>2276</v>
      </c>
      <c r="X1796" s="3" t="s">
        <v>2276</v>
      </c>
      <c r="Y1796" s="3" t="s">
        <v>2276</v>
      </c>
      <c r="Z1796" s="3" t="s">
        <v>2276</v>
      </c>
      <c r="AA1796" s="3"/>
      <c r="AB1796" s="3"/>
    </row>
    <row r="1797" spans="1:28" ht="35.5" customHeight="1">
      <c r="A1797" s="156" t="str">
        <f>'Reported burning'!A1797</f>
        <v>209f</v>
      </c>
      <c r="B1797" s="156" t="str">
        <f>'Reported burning'!B1797</f>
        <v>209f.9</v>
      </c>
      <c r="C1797" s="156" t="str">
        <f>'Reported burning'!C1797</f>
        <v>Human, escaped</v>
      </c>
      <c r="D1797" s="156" t="str">
        <f>'Reported burning'!D1797</f>
        <v>Cultural &amp; Spiritual</v>
      </c>
      <c r="E1797" s="156" t="str">
        <f>'Reported burning'!E1797</f>
        <v>All</v>
      </c>
      <c r="F1797" s="156" t="str">
        <f>'Reported burning'!F1797</f>
        <v>ND</v>
      </c>
      <c r="G1797" s="156" t="str">
        <f>'Reported burning'!G1797</f>
        <v>Forest</v>
      </c>
      <c r="H1797" s="156" t="str">
        <f>'Reported burning'!H1797</f>
        <v>Presence</v>
      </c>
      <c r="I1797" s="5"/>
      <c r="J1797" s="3" t="s">
        <v>2276</v>
      </c>
      <c r="K1797" s="3" t="s">
        <v>2276</v>
      </c>
      <c r="L1797" s="3" t="s">
        <v>2276</v>
      </c>
      <c r="M1797" s="3" t="s">
        <v>2276</v>
      </c>
      <c r="N1797" s="3" t="s">
        <v>2276</v>
      </c>
      <c r="O1797" s="3" t="s">
        <v>2276</v>
      </c>
      <c r="P1797" s="3" t="s">
        <v>2276</v>
      </c>
      <c r="Q1797" s="3" t="s">
        <v>2276</v>
      </c>
      <c r="R1797" s="3" t="s">
        <v>2276</v>
      </c>
      <c r="S1797" s="3" t="s">
        <v>2276</v>
      </c>
      <c r="T1797" s="3" t="s">
        <v>2276</v>
      </c>
      <c r="U1797" s="3" t="s">
        <v>2276</v>
      </c>
      <c r="V1797" s="3" t="s">
        <v>2276</v>
      </c>
      <c r="W1797" s="3" t="s">
        <v>2276</v>
      </c>
      <c r="X1797" s="3" t="s">
        <v>2276</v>
      </c>
      <c r="Y1797" s="3" t="s">
        <v>2276</v>
      </c>
      <c r="Z1797" s="3" t="s">
        <v>2276</v>
      </c>
      <c r="AA1797" s="3"/>
      <c r="AB1797" s="3"/>
    </row>
    <row r="1798" spans="1:28" ht="35.5" customHeight="1">
      <c r="A1798" s="156" t="str">
        <f>'Reported burning'!A1798</f>
        <v>209f</v>
      </c>
      <c r="B1798" s="156" t="str">
        <f>'Reported burning'!B1798</f>
        <v>209f.10</v>
      </c>
      <c r="C1798" s="156" t="str">
        <f>'Reported burning'!C1798</f>
        <v>Human, escaped</v>
      </c>
      <c r="D1798" s="156" t="str">
        <f>'Reported burning'!D1798</f>
        <v>Domestic</v>
      </c>
      <c r="E1798" s="156" t="str">
        <f>'Reported burning'!E1798</f>
        <v>All</v>
      </c>
      <c r="F1798" s="156" t="str">
        <f>'Reported burning'!F1798</f>
        <v>ND</v>
      </c>
      <c r="G1798" s="156" t="str">
        <f>'Reported burning'!G1798</f>
        <v>Forest</v>
      </c>
      <c r="H1798" s="156" t="str">
        <f>'Reported burning'!H1798</f>
        <v>Presence</v>
      </c>
      <c r="I1798" s="5"/>
      <c r="J1798" s="3" t="s">
        <v>2276</v>
      </c>
      <c r="K1798" s="3" t="s">
        <v>2276</v>
      </c>
      <c r="L1798" s="3" t="s">
        <v>2276</v>
      </c>
      <c r="M1798" s="3" t="s">
        <v>2276</v>
      </c>
      <c r="N1798" s="3" t="s">
        <v>2276</v>
      </c>
      <c r="O1798" s="3" t="s">
        <v>2276</v>
      </c>
      <c r="P1798" s="3" t="s">
        <v>2276</v>
      </c>
      <c r="Q1798" s="3" t="s">
        <v>2276</v>
      </c>
      <c r="R1798" s="3" t="s">
        <v>2276</v>
      </c>
      <c r="S1798" s="3" t="s">
        <v>2276</v>
      </c>
      <c r="T1798" s="3" t="s">
        <v>2276</v>
      </c>
      <c r="U1798" s="3" t="s">
        <v>2276</v>
      </c>
      <c r="V1798" s="3" t="s">
        <v>2276</v>
      </c>
      <c r="W1798" s="3" t="s">
        <v>2276</v>
      </c>
      <c r="X1798" s="3" t="s">
        <v>2276</v>
      </c>
      <c r="Y1798" s="3" t="s">
        <v>2276</v>
      </c>
      <c r="Z1798" s="3" t="s">
        <v>2276</v>
      </c>
      <c r="AA1798" s="3"/>
      <c r="AB1798" s="3"/>
    </row>
    <row r="1799" spans="1:28" ht="35.5" customHeight="1">
      <c r="A1799" s="156" t="str">
        <f>'Reported burning'!A1799</f>
        <v>209g</v>
      </c>
      <c r="B1799" s="156" t="str">
        <f>'Reported burning'!B1799</f>
        <v>209g.1</v>
      </c>
      <c r="C1799" s="156" t="str">
        <f>'Reported burning'!C1799</f>
        <v>Human, deliberate</v>
      </c>
      <c r="D1799" s="156" t="str">
        <f>'Reported burning'!D1799</f>
        <v>Pasture renewal</v>
      </c>
      <c r="E1799" s="156" t="str">
        <f>'Reported burning'!E1799</f>
        <v>Pastoralism, Migratory</v>
      </c>
      <c r="F1799" s="156" t="str">
        <f>'Reported burning'!F1799</f>
        <v>Forest</v>
      </c>
      <c r="G1799" s="156" t="str">
        <f>'Reported burning'!G1799</f>
        <v>Forest</v>
      </c>
      <c r="H1799" s="156" t="str">
        <f>'Reported burning'!H1799</f>
        <v>Presence</v>
      </c>
      <c r="I1799" s="5"/>
      <c r="J1799" s="3" t="s">
        <v>2276</v>
      </c>
      <c r="K1799" s="3" t="s">
        <v>2276</v>
      </c>
      <c r="L1799" s="3" t="s">
        <v>2276</v>
      </c>
      <c r="M1799" s="3" t="s">
        <v>2276</v>
      </c>
      <c r="N1799" s="3" t="s">
        <v>2276</v>
      </c>
      <c r="O1799" s="3" t="s">
        <v>2276</v>
      </c>
      <c r="P1799" s="21" t="s">
        <v>2376</v>
      </c>
      <c r="Q1799" s="3" t="s">
        <v>2276</v>
      </c>
      <c r="R1799" s="21" t="s">
        <v>2374</v>
      </c>
      <c r="S1799" s="3" t="s">
        <v>2276</v>
      </c>
      <c r="T1799" s="3" t="s">
        <v>2276</v>
      </c>
      <c r="U1799" s="3" t="s">
        <v>2276</v>
      </c>
      <c r="V1799" s="3" t="s">
        <v>2276</v>
      </c>
      <c r="W1799" s="3" t="s">
        <v>2276</v>
      </c>
      <c r="X1799" s="3" t="s">
        <v>2276</v>
      </c>
      <c r="Y1799" s="3" t="s">
        <v>2276</v>
      </c>
      <c r="Z1799" s="3" t="s">
        <v>2276</v>
      </c>
      <c r="AA1799" s="3"/>
      <c r="AB1799" s="4" t="s">
        <v>5336</v>
      </c>
    </row>
    <row r="1800" spans="1:28" ht="35.5" customHeight="1">
      <c r="A1800" s="156" t="str">
        <f>'Reported burning'!A1800</f>
        <v>209g</v>
      </c>
      <c r="B1800" s="156" t="str">
        <f>'Reported burning'!B1800</f>
        <v>209g.2</v>
      </c>
      <c r="C1800" s="156" t="str">
        <f>'Reported burning'!C1800</f>
        <v>Human, deliberate</v>
      </c>
      <c r="D1800" s="156" t="str">
        <f>'Reported burning'!D1800</f>
        <v>Harvesting of NTFP</v>
      </c>
      <c r="E1800" s="156" t="str">
        <f>'Reported burning'!E1800</f>
        <v>Forestry, Traditional</v>
      </c>
      <c r="F1800" s="156" t="str">
        <f>'Reported burning'!F1800</f>
        <v>Forest</v>
      </c>
      <c r="G1800" s="156" t="str">
        <f>'Reported burning'!G1800</f>
        <v>Forest</v>
      </c>
      <c r="H1800" s="156" t="str">
        <f>'Reported burning'!H1800</f>
        <v>Presence</v>
      </c>
      <c r="I1800" s="5"/>
      <c r="J1800" s="3" t="s">
        <v>2276</v>
      </c>
      <c r="K1800" s="3" t="s">
        <v>2276</v>
      </c>
      <c r="L1800" s="3" t="s">
        <v>2276</v>
      </c>
      <c r="M1800" s="3" t="s">
        <v>2276</v>
      </c>
      <c r="N1800" s="3" t="s">
        <v>2276</v>
      </c>
      <c r="O1800" s="3" t="s">
        <v>2276</v>
      </c>
      <c r="P1800" s="3" t="s">
        <v>2276</v>
      </c>
      <c r="Q1800" s="3" t="s">
        <v>2276</v>
      </c>
      <c r="R1800" s="3" t="s">
        <v>2276</v>
      </c>
      <c r="S1800" s="3" t="s">
        <v>2276</v>
      </c>
      <c r="T1800" s="3" t="s">
        <v>2276</v>
      </c>
      <c r="U1800" s="3" t="s">
        <v>2276</v>
      </c>
      <c r="V1800" s="3" t="s">
        <v>2276</v>
      </c>
      <c r="W1800" s="3" t="s">
        <v>2276</v>
      </c>
      <c r="X1800" s="3" t="s">
        <v>2276</v>
      </c>
      <c r="Y1800" s="3" t="s">
        <v>2276</v>
      </c>
      <c r="Z1800" s="3" t="s">
        <v>2276</v>
      </c>
      <c r="AA1800" s="3"/>
      <c r="AB1800" s="3"/>
    </row>
    <row r="1801" spans="1:28" ht="35.5" customHeight="1">
      <c r="A1801" s="156" t="str">
        <f>'Reported burning'!A1801</f>
        <v>209g</v>
      </c>
      <c r="B1801" s="156" t="str">
        <f>'Reported burning'!B1801</f>
        <v>209g.3</v>
      </c>
      <c r="C1801" s="156" t="str">
        <f>'Reported burning'!C1801</f>
        <v>Human, deliberate</v>
      </c>
      <c r="D1801" s="156" t="str">
        <f>'Reported burning'!D1801</f>
        <v>Hunting</v>
      </c>
      <c r="E1801" s="156" t="str">
        <f>'Reported burning'!E1801</f>
        <v>Forestry, Traditional</v>
      </c>
      <c r="F1801" s="156" t="str">
        <f>'Reported burning'!F1801</f>
        <v>Forest</v>
      </c>
      <c r="G1801" s="156" t="str">
        <f>'Reported burning'!G1801</f>
        <v>Forest</v>
      </c>
      <c r="H1801" s="156" t="str">
        <f>'Reported burning'!H1801</f>
        <v>Presence</v>
      </c>
      <c r="I1801" s="5"/>
      <c r="J1801" s="3" t="s">
        <v>2276</v>
      </c>
      <c r="K1801" s="3" t="s">
        <v>2276</v>
      </c>
      <c r="L1801" s="3" t="s">
        <v>2276</v>
      </c>
      <c r="M1801" s="3" t="s">
        <v>2276</v>
      </c>
      <c r="N1801" s="3" t="s">
        <v>2276</v>
      </c>
      <c r="O1801" s="3" t="s">
        <v>2276</v>
      </c>
      <c r="P1801" s="3" t="s">
        <v>2276</v>
      </c>
      <c r="Q1801" s="3" t="s">
        <v>2276</v>
      </c>
      <c r="R1801" s="3" t="s">
        <v>2276</v>
      </c>
      <c r="S1801" s="3" t="s">
        <v>2276</v>
      </c>
      <c r="T1801" s="3" t="s">
        <v>2276</v>
      </c>
      <c r="U1801" s="3" t="s">
        <v>2276</v>
      </c>
      <c r="V1801" s="3" t="s">
        <v>2276</v>
      </c>
      <c r="W1801" s="3" t="s">
        <v>2276</v>
      </c>
      <c r="X1801" s="3" t="s">
        <v>2276</v>
      </c>
      <c r="Y1801" s="3" t="s">
        <v>2276</v>
      </c>
      <c r="Z1801" s="3" t="s">
        <v>2276</v>
      </c>
      <c r="AA1801" s="3"/>
      <c r="AB1801" s="3"/>
    </row>
    <row r="1802" spans="1:28" ht="35.5" customHeight="1">
      <c r="A1802" s="156" t="str">
        <f>'Reported burning'!A1802</f>
        <v>209g</v>
      </c>
      <c r="B1802" s="156" t="str">
        <f>'Reported burning'!B1802</f>
        <v>209g.4</v>
      </c>
      <c r="C1802" s="156" t="str">
        <f>'Reported burning'!C1802</f>
        <v>Human, deliberate</v>
      </c>
      <c r="D1802" s="156" t="str">
        <f>'Reported burning'!D1802</f>
        <v>Harvesting of Timber</v>
      </c>
      <c r="E1802" s="156" t="str">
        <f>'Reported burning'!E1802</f>
        <v>Forestry, Small-scale</v>
      </c>
      <c r="F1802" s="156" t="str">
        <f>'Reported burning'!F1802</f>
        <v>Forest</v>
      </c>
      <c r="G1802" s="156" t="str">
        <f>'Reported burning'!G1802</f>
        <v>Forest</v>
      </c>
      <c r="H1802" s="156" t="str">
        <f>'Reported burning'!H1802</f>
        <v>Presence</v>
      </c>
      <c r="I1802" s="5"/>
      <c r="J1802" s="3" t="s">
        <v>2276</v>
      </c>
      <c r="K1802" s="3" t="s">
        <v>2276</v>
      </c>
      <c r="L1802" s="3" t="s">
        <v>2276</v>
      </c>
      <c r="M1802" s="3" t="s">
        <v>2276</v>
      </c>
      <c r="N1802" s="3" t="s">
        <v>2276</v>
      </c>
      <c r="O1802" s="3" t="s">
        <v>2276</v>
      </c>
      <c r="P1802" s="3" t="s">
        <v>2276</v>
      </c>
      <c r="Q1802" s="3" t="s">
        <v>2276</v>
      </c>
      <c r="R1802" s="3" t="s">
        <v>2276</v>
      </c>
      <c r="S1802" s="3" t="s">
        <v>2276</v>
      </c>
      <c r="T1802" s="3" t="s">
        <v>2276</v>
      </c>
      <c r="U1802" s="3" t="s">
        <v>2276</v>
      </c>
      <c r="V1802" s="3" t="s">
        <v>2276</v>
      </c>
      <c r="W1802" s="3" t="s">
        <v>2276</v>
      </c>
      <c r="X1802" s="3" t="s">
        <v>2276</v>
      </c>
      <c r="Y1802" s="3" t="s">
        <v>2276</v>
      </c>
      <c r="Z1802" s="3" t="s">
        <v>2276</v>
      </c>
      <c r="AA1802" s="3"/>
      <c r="AB1802" s="3"/>
    </row>
    <row r="1803" spans="1:28" ht="35.5" customHeight="1">
      <c r="A1803" s="156" t="str">
        <f>'Reported burning'!A1803</f>
        <v>209g</v>
      </c>
      <c r="B1803" s="156" t="str">
        <f>'Reported burning'!B1803</f>
        <v>209g.5</v>
      </c>
      <c r="C1803" s="156" t="str">
        <f>'Reported burning'!C1803</f>
        <v>Human, deliberate</v>
      </c>
      <c r="D1803" s="156" t="str">
        <f>'Reported burning'!D1803</f>
        <v>Arson</v>
      </c>
      <c r="E1803" s="156" t="str">
        <f>'Reported burning'!E1803</f>
        <v>ND</v>
      </c>
      <c r="F1803" s="156" t="str">
        <f>'Reported burning'!F1803</f>
        <v>ND</v>
      </c>
      <c r="G1803" s="156" t="str">
        <f>'Reported burning'!G1803</f>
        <v>Forest</v>
      </c>
      <c r="H1803" s="156" t="str">
        <f>'Reported burning'!H1803</f>
        <v>Presence</v>
      </c>
      <c r="I1803" s="5"/>
      <c r="J1803" s="3" t="s">
        <v>2276</v>
      </c>
      <c r="K1803" s="3" t="s">
        <v>2276</v>
      </c>
      <c r="L1803" s="3" t="s">
        <v>2276</v>
      </c>
      <c r="M1803" s="3" t="s">
        <v>2276</v>
      </c>
      <c r="N1803" s="3" t="s">
        <v>2276</v>
      </c>
      <c r="O1803" s="3" t="s">
        <v>2276</v>
      </c>
      <c r="P1803" s="3" t="s">
        <v>2276</v>
      </c>
      <c r="Q1803" s="3" t="s">
        <v>2276</v>
      </c>
      <c r="R1803" s="3" t="s">
        <v>2276</v>
      </c>
      <c r="S1803" s="3" t="s">
        <v>2276</v>
      </c>
      <c r="T1803" s="3" t="s">
        <v>2276</v>
      </c>
      <c r="U1803" s="3" t="s">
        <v>2276</v>
      </c>
      <c r="V1803" s="3" t="s">
        <v>2276</v>
      </c>
      <c r="W1803" s="3" t="s">
        <v>2276</v>
      </c>
      <c r="X1803" s="3" t="s">
        <v>2276</v>
      </c>
      <c r="Y1803" s="3" t="s">
        <v>2276</v>
      </c>
      <c r="Z1803" s="3" t="s">
        <v>2276</v>
      </c>
      <c r="AA1803" s="3"/>
      <c r="AB1803" s="3"/>
    </row>
    <row r="1804" spans="1:28" ht="35.5" customHeight="1">
      <c r="A1804" s="156" t="str">
        <f>'Reported burning'!A1804</f>
        <v>209g</v>
      </c>
      <c r="B1804" s="156" t="str">
        <f>'Reported burning'!B1804</f>
        <v>209g.6</v>
      </c>
      <c r="C1804" s="156" t="str">
        <f>'Reported burning'!C1804</f>
        <v>Human, deliberate</v>
      </c>
      <c r="D1804" s="156" t="str">
        <f>'Reported burning'!D1804</f>
        <v>Crop field preparation</v>
      </c>
      <c r="E1804" s="156" t="str">
        <f>'Reported burning'!E1804</f>
        <v>Cropping, Swidden</v>
      </c>
      <c r="F1804" s="156" t="str">
        <f>'Reported burning'!F1804</f>
        <v>Forest</v>
      </c>
      <c r="G1804" s="156" t="str">
        <f>'Reported burning'!G1804</f>
        <v>ND</v>
      </c>
      <c r="H1804" s="156" t="str">
        <f>'Reported burning'!H1804</f>
        <v>Presence</v>
      </c>
      <c r="I1804" s="5"/>
      <c r="J1804" s="3" t="s">
        <v>2276</v>
      </c>
      <c r="K1804" s="3" t="s">
        <v>2276</v>
      </c>
      <c r="L1804" s="3" t="s">
        <v>2276</v>
      </c>
      <c r="M1804" s="3" t="s">
        <v>2276</v>
      </c>
      <c r="N1804" s="3" t="s">
        <v>2276</v>
      </c>
      <c r="O1804" s="3" t="s">
        <v>2276</v>
      </c>
      <c r="P1804" s="3" t="s">
        <v>2276</v>
      </c>
      <c r="Q1804" s="3" t="s">
        <v>2276</v>
      </c>
      <c r="R1804" s="3" t="s">
        <v>2276</v>
      </c>
      <c r="S1804" s="3" t="s">
        <v>2276</v>
      </c>
      <c r="T1804" s="3" t="s">
        <v>2276</v>
      </c>
      <c r="U1804" s="3" t="s">
        <v>2276</v>
      </c>
      <c r="V1804" s="3" t="s">
        <v>2276</v>
      </c>
      <c r="W1804" s="3" t="s">
        <v>2276</v>
      </c>
      <c r="X1804" s="3" t="s">
        <v>2276</v>
      </c>
      <c r="Y1804" s="3" t="s">
        <v>2276</v>
      </c>
      <c r="Z1804" s="3" t="s">
        <v>2276</v>
      </c>
      <c r="AA1804" s="3"/>
      <c r="AB1804" s="3"/>
    </row>
    <row r="1805" spans="1:28" ht="35.5" customHeight="1">
      <c r="A1805" s="156" t="str">
        <f>'Reported burning'!A1805</f>
        <v>209g</v>
      </c>
      <c r="B1805" s="156" t="str">
        <f>'Reported burning'!B1805</f>
        <v>209g.7</v>
      </c>
      <c r="C1805" s="156" t="str">
        <f>'Reported burning'!C1805</f>
        <v>Human, escaped</v>
      </c>
      <c r="D1805" s="156" t="str">
        <f>'Reported burning'!D1805</f>
        <v>Charcoal production</v>
      </c>
      <c r="E1805" s="156" t="str">
        <f>'Reported burning'!E1805</f>
        <v>ND</v>
      </c>
      <c r="F1805" s="156" t="str">
        <f>'Reported burning'!F1805</f>
        <v>ND</v>
      </c>
      <c r="G1805" s="156" t="str">
        <f>'Reported burning'!G1805</f>
        <v>Forest</v>
      </c>
      <c r="H1805" s="156" t="str">
        <f>'Reported burning'!H1805</f>
        <v>Presence</v>
      </c>
      <c r="I1805" s="5"/>
      <c r="J1805" s="3" t="s">
        <v>2276</v>
      </c>
      <c r="K1805" s="3" t="s">
        <v>2276</v>
      </c>
      <c r="L1805" s="3" t="s">
        <v>2276</v>
      </c>
      <c r="M1805" s="3" t="s">
        <v>2276</v>
      </c>
      <c r="N1805" s="3" t="s">
        <v>2276</v>
      </c>
      <c r="O1805" s="3" t="s">
        <v>2276</v>
      </c>
      <c r="P1805" s="3" t="s">
        <v>2276</v>
      </c>
      <c r="Q1805" s="3" t="s">
        <v>2276</v>
      </c>
      <c r="R1805" s="3" t="s">
        <v>2276</v>
      </c>
      <c r="S1805" s="3" t="s">
        <v>2276</v>
      </c>
      <c r="T1805" s="3" t="s">
        <v>2276</v>
      </c>
      <c r="U1805" s="3" t="s">
        <v>2276</v>
      </c>
      <c r="V1805" s="3" t="s">
        <v>2276</v>
      </c>
      <c r="W1805" s="3" t="s">
        <v>2276</v>
      </c>
      <c r="X1805" s="3" t="s">
        <v>2276</v>
      </c>
      <c r="Y1805" s="3" t="s">
        <v>2276</v>
      </c>
      <c r="Z1805" s="3" t="s">
        <v>2276</v>
      </c>
      <c r="AA1805" s="3"/>
      <c r="AB1805" s="3"/>
    </row>
    <row r="1806" spans="1:28" ht="35.5" customHeight="1">
      <c r="A1806" s="156" t="str">
        <f>'Reported burning'!A1806</f>
        <v>209g</v>
      </c>
      <c r="B1806" s="156" t="str">
        <f>'Reported burning'!B1806</f>
        <v>209g.8</v>
      </c>
      <c r="C1806" s="156" t="str">
        <f>'Reported burning'!C1806</f>
        <v>Human, accidental</v>
      </c>
      <c r="D1806" s="156" t="str">
        <f>'Reported burning'!D1806</f>
        <v>ND</v>
      </c>
      <c r="E1806" s="156" t="str">
        <f>'Reported burning'!E1806</f>
        <v>All</v>
      </c>
      <c r="F1806" s="156" t="str">
        <f>'Reported burning'!F1806</f>
        <v>ND</v>
      </c>
      <c r="G1806" s="156" t="str">
        <f>'Reported burning'!G1806</f>
        <v>Forest</v>
      </c>
      <c r="H1806" s="156" t="str">
        <f>'Reported burning'!H1806</f>
        <v>Presence</v>
      </c>
      <c r="I1806" s="5"/>
      <c r="J1806" s="3" t="s">
        <v>2276</v>
      </c>
      <c r="K1806" s="3" t="s">
        <v>2276</v>
      </c>
      <c r="L1806" s="3" t="s">
        <v>2276</v>
      </c>
      <c r="M1806" s="3" t="s">
        <v>2276</v>
      </c>
      <c r="N1806" s="3" t="s">
        <v>2276</v>
      </c>
      <c r="O1806" s="3" t="s">
        <v>2276</v>
      </c>
      <c r="P1806" s="3" t="s">
        <v>2276</v>
      </c>
      <c r="Q1806" s="3" t="s">
        <v>2276</v>
      </c>
      <c r="R1806" s="3" t="s">
        <v>2276</v>
      </c>
      <c r="S1806" s="3" t="s">
        <v>2276</v>
      </c>
      <c r="T1806" s="3" t="s">
        <v>2276</v>
      </c>
      <c r="U1806" s="3" t="s">
        <v>2276</v>
      </c>
      <c r="V1806" s="3" t="s">
        <v>2276</v>
      </c>
      <c r="W1806" s="3" t="s">
        <v>2276</v>
      </c>
      <c r="X1806" s="3" t="s">
        <v>2276</v>
      </c>
      <c r="Y1806" s="3" t="s">
        <v>2276</v>
      </c>
      <c r="Z1806" s="3" t="s">
        <v>2276</v>
      </c>
      <c r="AA1806" s="3"/>
      <c r="AB1806" s="3"/>
    </row>
    <row r="1807" spans="1:28" ht="35.5" customHeight="1">
      <c r="A1807" s="156" t="str">
        <f>'Reported burning'!A1807</f>
        <v>209g</v>
      </c>
      <c r="B1807" s="156" t="str">
        <f>'Reported burning'!B1807</f>
        <v>209g.9</v>
      </c>
      <c r="C1807" s="156" t="str">
        <f>'Reported burning'!C1807</f>
        <v>Human, escaped</v>
      </c>
      <c r="D1807" s="156" t="str">
        <f>'Reported burning'!D1807</f>
        <v>Cultural &amp; Spiritual</v>
      </c>
      <c r="E1807" s="156" t="str">
        <f>'Reported burning'!E1807</f>
        <v>All</v>
      </c>
      <c r="F1807" s="156" t="str">
        <f>'Reported burning'!F1807</f>
        <v>ND</v>
      </c>
      <c r="G1807" s="156" t="str">
        <f>'Reported burning'!G1807</f>
        <v>Forest</v>
      </c>
      <c r="H1807" s="156" t="str">
        <f>'Reported burning'!H1807</f>
        <v>Presence</v>
      </c>
      <c r="I1807" s="5"/>
      <c r="J1807" s="3" t="s">
        <v>2276</v>
      </c>
      <c r="K1807" s="3" t="s">
        <v>2276</v>
      </c>
      <c r="L1807" s="3" t="s">
        <v>2276</v>
      </c>
      <c r="M1807" s="3" t="s">
        <v>2276</v>
      </c>
      <c r="N1807" s="3" t="s">
        <v>2276</v>
      </c>
      <c r="O1807" s="3" t="s">
        <v>2276</v>
      </c>
      <c r="P1807" s="3" t="s">
        <v>2276</v>
      </c>
      <c r="Q1807" s="3" t="s">
        <v>2276</v>
      </c>
      <c r="R1807" s="3" t="s">
        <v>2276</v>
      </c>
      <c r="S1807" s="3" t="s">
        <v>2276</v>
      </c>
      <c r="T1807" s="3" t="s">
        <v>2276</v>
      </c>
      <c r="U1807" s="3" t="s">
        <v>2276</v>
      </c>
      <c r="V1807" s="3" t="s">
        <v>2276</v>
      </c>
      <c r="W1807" s="3" t="s">
        <v>2276</v>
      </c>
      <c r="X1807" s="3" t="s">
        <v>2276</v>
      </c>
      <c r="Y1807" s="3" t="s">
        <v>2276</v>
      </c>
      <c r="Z1807" s="3" t="s">
        <v>2276</v>
      </c>
      <c r="AA1807" s="3"/>
      <c r="AB1807" s="3"/>
    </row>
    <row r="1808" spans="1:28" ht="35.5" customHeight="1">
      <c r="A1808" s="156" t="str">
        <f>'Reported burning'!A1808</f>
        <v>209g</v>
      </c>
      <c r="B1808" s="156" t="str">
        <f>'Reported burning'!B1808</f>
        <v>209g.10</v>
      </c>
      <c r="C1808" s="156" t="str">
        <f>'Reported burning'!C1808</f>
        <v>Human, escaped</v>
      </c>
      <c r="D1808" s="156" t="str">
        <f>'Reported burning'!D1808</f>
        <v>Domestic</v>
      </c>
      <c r="E1808" s="156" t="str">
        <f>'Reported burning'!E1808</f>
        <v>All</v>
      </c>
      <c r="F1808" s="156" t="str">
        <f>'Reported burning'!F1808</f>
        <v>ND</v>
      </c>
      <c r="G1808" s="156" t="str">
        <f>'Reported burning'!G1808</f>
        <v>Forest</v>
      </c>
      <c r="H1808" s="156" t="str">
        <f>'Reported burning'!H1808</f>
        <v>Presence</v>
      </c>
      <c r="I1808" s="5"/>
      <c r="J1808" s="3" t="s">
        <v>2276</v>
      </c>
      <c r="K1808" s="3" t="s">
        <v>2276</v>
      </c>
      <c r="L1808" s="3" t="s">
        <v>2276</v>
      </c>
      <c r="M1808" s="3" t="s">
        <v>2276</v>
      </c>
      <c r="N1808" s="3" t="s">
        <v>2276</v>
      </c>
      <c r="O1808" s="3" t="s">
        <v>2276</v>
      </c>
      <c r="P1808" s="3" t="s">
        <v>2276</v>
      </c>
      <c r="Q1808" s="3" t="s">
        <v>2276</v>
      </c>
      <c r="R1808" s="3" t="s">
        <v>2276</v>
      </c>
      <c r="S1808" s="3" t="s">
        <v>2276</v>
      </c>
      <c r="T1808" s="3" t="s">
        <v>2276</v>
      </c>
      <c r="U1808" s="3" t="s">
        <v>2276</v>
      </c>
      <c r="V1808" s="3" t="s">
        <v>2276</v>
      </c>
      <c r="W1808" s="3" t="s">
        <v>2276</v>
      </c>
      <c r="X1808" s="3" t="s">
        <v>2276</v>
      </c>
      <c r="Y1808" s="3" t="s">
        <v>2276</v>
      </c>
      <c r="Z1808" s="3" t="s">
        <v>2276</v>
      </c>
      <c r="AA1808" s="3"/>
      <c r="AB1808" s="3"/>
    </row>
    <row r="1809" spans="1:28" ht="29" customHeight="1">
      <c r="A1809" s="156" t="str">
        <f>'Reported burning'!A1809</f>
        <v>209a</v>
      </c>
      <c r="B1809" s="156" t="str">
        <f>'Reported burning'!B1809</f>
        <v>209a.11</v>
      </c>
      <c r="C1809" s="156" t="str">
        <f>'Reported burning'!C1809</f>
        <v>All</v>
      </c>
      <c r="D1809" s="156" t="str">
        <f>'Reported burning'!D1809</f>
        <v>ND</v>
      </c>
      <c r="E1809" s="156" t="str">
        <f>'Reported burning'!E1809</f>
        <v>All</v>
      </c>
      <c r="F1809" s="156" t="str">
        <f>'Reported burning'!F1809</f>
        <v>ND</v>
      </c>
      <c r="G1809" s="156" t="str">
        <f>'Reported burning'!G1809</f>
        <v>Forest</v>
      </c>
      <c r="H1809" s="156" t="str">
        <f>'Reported burning'!H1809</f>
        <v>Presence</v>
      </c>
      <c r="I1809" s="5"/>
      <c r="J1809" s="3" t="s">
        <v>2276</v>
      </c>
      <c r="K1809" s="3" t="s">
        <v>2276</v>
      </c>
      <c r="L1809" s="3" t="s">
        <v>2276</v>
      </c>
      <c r="M1809" s="3" t="s">
        <v>2276</v>
      </c>
      <c r="N1809" s="3" t="s">
        <v>2276</v>
      </c>
      <c r="O1809" s="3" t="s">
        <v>2276</v>
      </c>
      <c r="P1809" s="21" t="s">
        <v>2376</v>
      </c>
      <c r="Q1809" s="3" t="s">
        <v>2276</v>
      </c>
      <c r="R1809" s="21" t="s">
        <v>2374</v>
      </c>
      <c r="S1809" s="3" t="s">
        <v>2276</v>
      </c>
      <c r="T1809" s="3" t="s">
        <v>2276</v>
      </c>
      <c r="U1809" s="3" t="s">
        <v>2276</v>
      </c>
      <c r="V1809" s="3" t="s">
        <v>2276</v>
      </c>
      <c r="W1809" s="3" t="s">
        <v>2276</v>
      </c>
      <c r="X1809" s="3" t="s">
        <v>399</v>
      </c>
      <c r="Y1809" s="3" t="s">
        <v>86</v>
      </c>
      <c r="Z1809" s="3" t="s">
        <v>76</v>
      </c>
      <c r="AA1809" s="3"/>
      <c r="AB1809" s="3" t="s">
        <v>5335</v>
      </c>
    </row>
    <row r="1810" spans="1:28" ht="29" customHeight="1">
      <c r="A1810" s="156" t="str">
        <f>'Reported burning'!A1810</f>
        <v>209a</v>
      </c>
      <c r="B1810" s="156" t="str">
        <f>'Reported burning'!B1810</f>
        <v>209a.12</v>
      </c>
      <c r="C1810" s="156" t="str">
        <f>'Reported burning'!C1810</f>
        <v>All</v>
      </c>
      <c r="D1810" s="156" t="str">
        <f>'Reported burning'!D1810</f>
        <v>ND</v>
      </c>
      <c r="E1810" s="156" t="str">
        <f>'Reported burning'!E1810</f>
        <v>All</v>
      </c>
      <c r="F1810" s="156" t="str">
        <f>'Reported burning'!F1810</f>
        <v>ND</v>
      </c>
      <c r="G1810" s="156" t="str">
        <f>'Reported burning'!G1810</f>
        <v>Forest</v>
      </c>
      <c r="H1810" s="156" t="str">
        <f>'Reported burning'!H1810</f>
        <v>Presence</v>
      </c>
      <c r="I1810" s="5"/>
      <c r="J1810" s="3" t="s">
        <v>2276</v>
      </c>
      <c r="K1810" s="3" t="s">
        <v>2276</v>
      </c>
      <c r="L1810" s="3" t="s">
        <v>2276</v>
      </c>
      <c r="M1810" s="3" t="s">
        <v>2276</v>
      </c>
      <c r="N1810" s="3" t="s">
        <v>2276</v>
      </c>
      <c r="O1810" s="3" t="s">
        <v>2276</v>
      </c>
      <c r="P1810" s="21" t="s">
        <v>2376</v>
      </c>
      <c r="Q1810" s="3" t="s">
        <v>2276</v>
      </c>
      <c r="R1810" s="21" t="s">
        <v>2374</v>
      </c>
      <c r="S1810" s="3" t="s">
        <v>2276</v>
      </c>
      <c r="T1810" s="3" t="s">
        <v>2276</v>
      </c>
      <c r="U1810" s="3" t="s">
        <v>2276</v>
      </c>
      <c r="V1810" s="3" t="s">
        <v>2276</v>
      </c>
      <c r="W1810" s="3" t="s">
        <v>2276</v>
      </c>
      <c r="X1810" s="3" t="s">
        <v>399</v>
      </c>
      <c r="Y1810" s="3" t="s">
        <v>86</v>
      </c>
      <c r="Z1810" s="3" t="s">
        <v>76</v>
      </c>
      <c r="AA1810" s="3"/>
      <c r="AB1810" s="3" t="s">
        <v>5335</v>
      </c>
    </row>
    <row r="1811" spans="1:28" ht="29" customHeight="1">
      <c r="A1811" s="156" t="str">
        <f>'Reported burning'!A1811</f>
        <v>209b</v>
      </c>
      <c r="B1811" s="156" t="str">
        <f>'Reported burning'!B1811</f>
        <v>209b.11</v>
      </c>
      <c r="C1811" s="156" t="str">
        <f>'Reported burning'!C1811</f>
        <v>All</v>
      </c>
      <c r="D1811" s="156" t="str">
        <f>'Reported burning'!D1811</f>
        <v>ND</v>
      </c>
      <c r="E1811" s="156" t="str">
        <f>'Reported burning'!E1811</f>
        <v>All</v>
      </c>
      <c r="F1811" s="156" t="str">
        <f>'Reported burning'!F1811</f>
        <v>ND</v>
      </c>
      <c r="G1811" s="156" t="str">
        <f>'Reported burning'!G1811</f>
        <v>Forest</v>
      </c>
      <c r="H1811" s="156" t="str">
        <f>'Reported burning'!H1811</f>
        <v>Presence</v>
      </c>
      <c r="I1811" s="5"/>
      <c r="J1811" s="3" t="s">
        <v>2276</v>
      </c>
      <c r="K1811" s="3" t="s">
        <v>2276</v>
      </c>
      <c r="L1811" s="3" t="s">
        <v>2276</v>
      </c>
      <c r="M1811" s="3" t="s">
        <v>2276</v>
      </c>
      <c r="N1811" s="3" t="s">
        <v>2276</v>
      </c>
      <c r="O1811" s="3" t="s">
        <v>2276</v>
      </c>
      <c r="P1811" s="21" t="s">
        <v>2376</v>
      </c>
      <c r="Q1811" s="3" t="s">
        <v>2276</v>
      </c>
      <c r="R1811" s="21" t="s">
        <v>2374</v>
      </c>
      <c r="S1811" s="3" t="s">
        <v>2276</v>
      </c>
      <c r="T1811" s="3" t="s">
        <v>2276</v>
      </c>
      <c r="U1811" s="3" t="s">
        <v>2276</v>
      </c>
      <c r="V1811" s="3" t="s">
        <v>2276</v>
      </c>
      <c r="W1811" s="3" t="s">
        <v>2276</v>
      </c>
      <c r="X1811" s="3" t="s">
        <v>399</v>
      </c>
      <c r="Y1811" s="3" t="s">
        <v>86</v>
      </c>
      <c r="Z1811" s="3" t="s">
        <v>76</v>
      </c>
      <c r="AA1811" s="3"/>
      <c r="AB1811" s="3" t="s">
        <v>5335</v>
      </c>
    </row>
    <row r="1812" spans="1:28" ht="29" customHeight="1">
      <c r="A1812" s="156" t="str">
        <f>'Reported burning'!A1812</f>
        <v>209b</v>
      </c>
      <c r="B1812" s="156" t="str">
        <f>'Reported burning'!B1812</f>
        <v>209b.12</v>
      </c>
      <c r="C1812" s="156" t="str">
        <f>'Reported burning'!C1812</f>
        <v>All</v>
      </c>
      <c r="D1812" s="156" t="str">
        <f>'Reported burning'!D1812</f>
        <v>ND</v>
      </c>
      <c r="E1812" s="156" t="str">
        <f>'Reported burning'!E1812</f>
        <v>All</v>
      </c>
      <c r="F1812" s="156" t="str">
        <f>'Reported burning'!F1812</f>
        <v>ND</v>
      </c>
      <c r="G1812" s="156" t="str">
        <f>'Reported burning'!G1812</f>
        <v>Forest</v>
      </c>
      <c r="H1812" s="156" t="str">
        <f>'Reported burning'!H1812</f>
        <v>Presence</v>
      </c>
      <c r="I1812" s="5"/>
      <c r="J1812" s="3" t="s">
        <v>2276</v>
      </c>
      <c r="K1812" s="3" t="s">
        <v>2276</v>
      </c>
      <c r="L1812" s="3" t="s">
        <v>2276</v>
      </c>
      <c r="M1812" s="3" t="s">
        <v>2276</v>
      </c>
      <c r="N1812" s="3" t="s">
        <v>2276</v>
      </c>
      <c r="O1812" s="3" t="s">
        <v>2276</v>
      </c>
      <c r="P1812" s="21" t="s">
        <v>2376</v>
      </c>
      <c r="Q1812" s="3" t="s">
        <v>2276</v>
      </c>
      <c r="R1812" s="21" t="s">
        <v>2374</v>
      </c>
      <c r="S1812" s="3" t="s">
        <v>2276</v>
      </c>
      <c r="T1812" s="3" t="s">
        <v>2276</v>
      </c>
      <c r="U1812" s="3" t="s">
        <v>2276</v>
      </c>
      <c r="V1812" s="3" t="s">
        <v>2276</v>
      </c>
      <c r="W1812" s="3" t="s">
        <v>2276</v>
      </c>
      <c r="X1812" s="3" t="s">
        <v>399</v>
      </c>
      <c r="Y1812" s="3" t="s">
        <v>86</v>
      </c>
      <c r="Z1812" s="3" t="s">
        <v>76</v>
      </c>
      <c r="AA1812" s="3"/>
      <c r="AB1812" s="3" t="s">
        <v>5335</v>
      </c>
    </row>
    <row r="1813" spans="1:28" ht="29" customHeight="1">
      <c r="A1813" s="156" t="str">
        <f>'Reported burning'!A1813</f>
        <v>209c</v>
      </c>
      <c r="B1813" s="156" t="str">
        <f>'Reported burning'!B1813</f>
        <v>209c.11</v>
      </c>
      <c r="C1813" s="156" t="str">
        <f>'Reported burning'!C1813</f>
        <v>All</v>
      </c>
      <c r="D1813" s="156" t="str">
        <f>'Reported burning'!D1813</f>
        <v>ND</v>
      </c>
      <c r="E1813" s="156" t="str">
        <f>'Reported burning'!E1813</f>
        <v>All</v>
      </c>
      <c r="F1813" s="156" t="str">
        <f>'Reported burning'!F1813</f>
        <v>ND</v>
      </c>
      <c r="G1813" s="156" t="str">
        <f>'Reported burning'!G1813</f>
        <v>Forest</v>
      </c>
      <c r="H1813" s="156" t="str">
        <f>'Reported burning'!H1813</f>
        <v>Presence</v>
      </c>
      <c r="I1813" s="5"/>
      <c r="J1813" s="3" t="s">
        <v>2276</v>
      </c>
      <c r="K1813" s="3" t="s">
        <v>2276</v>
      </c>
      <c r="L1813" s="3" t="s">
        <v>2276</v>
      </c>
      <c r="M1813" s="3" t="s">
        <v>2276</v>
      </c>
      <c r="N1813" s="3" t="s">
        <v>2276</v>
      </c>
      <c r="O1813" s="3" t="s">
        <v>2276</v>
      </c>
      <c r="P1813" s="21" t="s">
        <v>2376</v>
      </c>
      <c r="Q1813" s="3" t="s">
        <v>2276</v>
      </c>
      <c r="R1813" s="21" t="s">
        <v>2374</v>
      </c>
      <c r="S1813" s="3" t="s">
        <v>2276</v>
      </c>
      <c r="T1813" s="3" t="s">
        <v>2276</v>
      </c>
      <c r="U1813" s="3" t="s">
        <v>2276</v>
      </c>
      <c r="V1813" s="3" t="s">
        <v>2276</v>
      </c>
      <c r="W1813" s="3" t="s">
        <v>2276</v>
      </c>
      <c r="X1813" s="3" t="s">
        <v>399</v>
      </c>
      <c r="Y1813" s="3" t="s">
        <v>86</v>
      </c>
      <c r="Z1813" s="3" t="s">
        <v>76</v>
      </c>
      <c r="AA1813" s="3"/>
      <c r="AB1813" s="3" t="s">
        <v>5335</v>
      </c>
    </row>
    <row r="1814" spans="1:28" ht="29" customHeight="1">
      <c r="A1814" s="156" t="str">
        <f>'Reported burning'!A1814</f>
        <v>209c</v>
      </c>
      <c r="B1814" s="156" t="str">
        <f>'Reported burning'!B1814</f>
        <v>209c.12</v>
      </c>
      <c r="C1814" s="156" t="str">
        <f>'Reported burning'!C1814</f>
        <v>All</v>
      </c>
      <c r="D1814" s="156" t="str">
        <f>'Reported burning'!D1814</f>
        <v>ND</v>
      </c>
      <c r="E1814" s="156" t="str">
        <f>'Reported burning'!E1814</f>
        <v>All</v>
      </c>
      <c r="F1814" s="156" t="str">
        <f>'Reported burning'!F1814</f>
        <v>ND</v>
      </c>
      <c r="G1814" s="156" t="str">
        <f>'Reported burning'!G1814</f>
        <v>Forest</v>
      </c>
      <c r="H1814" s="156" t="str">
        <f>'Reported burning'!H1814</f>
        <v>Presence</v>
      </c>
      <c r="I1814" s="5"/>
      <c r="J1814" s="3" t="s">
        <v>2276</v>
      </c>
      <c r="K1814" s="3" t="s">
        <v>2276</v>
      </c>
      <c r="L1814" s="3" t="s">
        <v>2276</v>
      </c>
      <c r="M1814" s="3" t="s">
        <v>2276</v>
      </c>
      <c r="N1814" s="3" t="s">
        <v>2276</v>
      </c>
      <c r="O1814" s="3" t="s">
        <v>2276</v>
      </c>
      <c r="P1814" s="21" t="s">
        <v>2376</v>
      </c>
      <c r="Q1814" s="3" t="s">
        <v>2276</v>
      </c>
      <c r="R1814" s="21" t="s">
        <v>2374</v>
      </c>
      <c r="S1814" s="3" t="s">
        <v>2276</v>
      </c>
      <c r="T1814" s="3" t="s">
        <v>2276</v>
      </c>
      <c r="U1814" s="3" t="s">
        <v>2276</v>
      </c>
      <c r="V1814" s="3" t="s">
        <v>2276</v>
      </c>
      <c r="W1814" s="3" t="s">
        <v>2276</v>
      </c>
      <c r="X1814" s="3" t="s">
        <v>399</v>
      </c>
      <c r="Y1814" s="3" t="s">
        <v>86</v>
      </c>
      <c r="Z1814" s="3" t="s">
        <v>76</v>
      </c>
      <c r="AA1814" s="3"/>
      <c r="AB1814" s="3" t="s">
        <v>5335</v>
      </c>
    </row>
    <row r="1815" spans="1:28" ht="29" customHeight="1">
      <c r="A1815" s="156" t="str">
        <f>'Reported burning'!A1815</f>
        <v>209d</v>
      </c>
      <c r="B1815" s="156" t="str">
        <f>'Reported burning'!B1815</f>
        <v>209d.11</v>
      </c>
      <c r="C1815" s="156" t="str">
        <f>'Reported burning'!C1815</f>
        <v>All</v>
      </c>
      <c r="D1815" s="156" t="str">
        <f>'Reported burning'!D1815</f>
        <v>ND</v>
      </c>
      <c r="E1815" s="156" t="str">
        <f>'Reported burning'!E1815</f>
        <v>All</v>
      </c>
      <c r="F1815" s="156" t="str">
        <f>'Reported burning'!F1815</f>
        <v>ND</v>
      </c>
      <c r="G1815" s="156" t="str">
        <f>'Reported burning'!G1815</f>
        <v>Forest</v>
      </c>
      <c r="H1815" s="156" t="str">
        <f>'Reported burning'!H1815</f>
        <v>Presence</v>
      </c>
      <c r="I1815" s="5"/>
      <c r="J1815" s="3" t="s">
        <v>2276</v>
      </c>
      <c r="K1815" s="3" t="s">
        <v>2276</v>
      </c>
      <c r="L1815" s="3" t="s">
        <v>2276</v>
      </c>
      <c r="M1815" s="3" t="s">
        <v>2276</v>
      </c>
      <c r="N1815" s="3" t="s">
        <v>2276</v>
      </c>
      <c r="O1815" s="3" t="s">
        <v>2276</v>
      </c>
      <c r="P1815" s="21" t="s">
        <v>2376</v>
      </c>
      <c r="Q1815" s="3" t="s">
        <v>2276</v>
      </c>
      <c r="R1815" s="21" t="s">
        <v>2374</v>
      </c>
      <c r="S1815" s="3" t="s">
        <v>2276</v>
      </c>
      <c r="T1815" s="3" t="s">
        <v>2276</v>
      </c>
      <c r="U1815" s="3" t="s">
        <v>2276</v>
      </c>
      <c r="V1815" s="3" t="s">
        <v>2276</v>
      </c>
      <c r="W1815" s="3" t="s">
        <v>2276</v>
      </c>
      <c r="X1815" s="3" t="s">
        <v>399</v>
      </c>
      <c r="Y1815" s="3" t="s">
        <v>86</v>
      </c>
      <c r="Z1815" s="3" t="s">
        <v>76</v>
      </c>
      <c r="AA1815" s="3"/>
      <c r="AB1815" s="3" t="s">
        <v>5335</v>
      </c>
    </row>
    <row r="1816" spans="1:28" ht="29" customHeight="1">
      <c r="A1816" s="156" t="str">
        <f>'Reported burning'!A1816</f>
        <v>209d</v>
      </c>
      <c r="B1816" s="156" t="str">
        <f>'Reported burning'!B1816</f>
        <v>209d.12</v>
      </c>
      <c r="C1816" s="156" t="str">
        <f>'Reported burning'!C1816</f>
        <v>All</v>
      </c>
      <c r="D1816" s="156" t="str">
        <f>'Reported burning'!D1816</f>
        <v>ND</v>
      </c>
      <c r="E1816" s="156" t="str">
        <f>'Reported burning'!E1816</f>
        <v>All</v>
      </c>
      <c r="F1816" s="156" t="str">
        <f>'Reported burning'!F1816</f>
        <v>ND</v>
      </c>
      <c r="G1816" s="156" t="str">
        <f>'Reported burning'!G1816</f>
        <v>Forest</v>
      </c>
      <c r="H1816" s="156" t="str">
        <f>'Reported burning'!H1816</f>
        <v>Presence</v>
      </c>
      <c r="I1816" s="5"/>
      <c r="J1816" s="3" t="s">
        <v>2276</v>
      </c>
      <c r="K1816" s="3" t="s">
        <v>2276</v>
      </c>
      <c r="L1816" s="3" t="s">
        <v>2276</v>
      </c>
      <c r="M1816" s="3" t="s">
        <v>2276</v>
      </c>
      <c r="N1816" s="3" t="s">
        <v>2276</v>
      </c>
      <c r="O1816" s="3" t="s">
        <v>2276</v>
      </c>
      <c r="P1816" s="21" t="s">
        <v>2376</v>
      </c>
      <c r="Q1816" s="3" t="s">
        <v>2276</v>
      </c>
      <c r="R1816" s="21" t="s">
        <v>2374</v>
      </c>
      <c r="S1816" s="3" t="s">
        <v>2276</v>
      </c>
      <c r="T1816" s="3" t="s">
        <v>2276</v>
      </c>
      <c r="U1816" s="3" t="s">
        <v>2276</v>
      </c>
      <c r="V1816" s="3" t="s">
        <v>2276</v>
      </c>
      <c r="W1816" s="3" t="s">
        <v>2276</v>
      </c>
      <c r="X1816" s="3" t="s">
        <v>399</v>
      </c>
      <c r="Y1816" s="3" t="s">
        <v>86</v>
      </c>
      <c r="Z1816" s="3" t="s">
        <v>76</v>
      </c>
      <c r="AA1816" s="3"/>
      <c r="AB1816" s="3" t="s">
        <v>5335</v>
      </c>
    </row>
    <row r="1817" spans="1:28" ht="29" customHeight="1">
      <c r="A1817" s="156" t="str">
        <f>'Reported burning'!A1817</f>
        <v>209e</v>
      </c>
      <c r="B1817" s="156" t="str">
        <f>'Reported burning'!B1817</f>
        <v>209e.11</v>
      </c>
      <c r="C1817" s="156" t="str">
        <f>'Reported burning'!C1817</f>
        <v>All</v>
      </c>
      <c r="D1817" s="156" t="str">
        <f>'Reported burning'!D1817</f>
        <v>ND</v>
      </c>
      <c r="E1817" s="156" t="str">
        <f>'Reported burning'!E1817</f>
        <v>All</v>
      </c>
      <c r="F1817" s="156" t="str">
        <f>'Reported burning'!F1817</f>
        <v>ND</v>
      </c>
      <c r="G1817" s="156" t="str">
        <f>'Reported burning'!G1817</f>
        <v>Forest</v>
      </c>
      <c r="H1817" s="156" t="str">
        <f>'Reported burning'!H1817</f>
        <v>Presence</v>
      </c>
      <c r="I1817" s="5"/>
      <c r="J1817" s="3" t="s">
        <v>2276</v>
      </c>
      <c r="K1817" s="3" t="s">
        <v>2276</v>
      </c>
      <c r="L1817" s="3" t="s">
        <v>2276</v>
      </c>
      <c r="M1817" s="3" t="s">
        <v>2276</v>
      </c>
      <c r="N1817" s="3" t="s">
        <v>2276</v>
      </c>
      <c r="O1817" s="3" t="s">
        <v>2276</v>
      </c>
      <c r="P1817" s="21" t="s">
        <v>2376</v>
      </c>
      <c r="Q1817" s="3" t="s">
        <v>2276</v>
      </c>
      <c r="R1817" s="21" t="s">
        <v>2374</v>
      </c>
      <c r="S1817" s="3" t="s">
        <v>2276</v>
      </c>
      <c r="T1817" s="3" t="s">
        <v>2276</v>
      </c>
      <c r="U1817" s="3" t="s">
        <v>2276</v>
      </c>
      <c r="V1817" s="3" t="s">
        <v>2276</v>
      </c>
      <c r="W1817" s="3" t="s">
        <v>2276</v>
      </c>
      <c r="X1817" s="3" t="s">
        <v>399</v>
      </c>
      <c r="Y1817" s="3" t="s">
        <v>86</v>
      </c>
      <c r="Z1817" s="3" t="s">
        <v>76</v>
      </c>
      <c r="AA1817" s="3"/>
      <c r="AB1817" s="3" t="s">
        <v>5335</v>
      </c>
    </row>
    <row r="1818" spans="1:28" ht="29" customHeight="1">
      <c r="A1818" s="156" t="str">
        <f>'Reported burning'!A1818</f>
        <v>209e</v>
      </c>
      <c r="B1818" s="156" t="str">
        <f>'Reported burning'!B1818</f>
        <v>209e.12</v>
      </c>
      <c r="C1818" s="156" t="str">
        <f>'Reported burning'!C1818</f>
        <v>All</v>
      </c>
      <c r="D1818" s="156" t="str">
        <f>'Reported burning'!D1818</f>
        <v>ND</v>
      </c>
      <c r="E1818" s="156" t="str">
        <f>'Reported burning'!E1818</f>
        <v>All</v>
      </c>
      <c r="F1818" s="156" t="str">
        <f>'Reported burning'!F1818</f>
        <v>ND</v>
      </c>
      <c r="G1818" s="156" t="str">
        <f>'Reported burning'!G1818</f>
        <v>Forest</v>
      </c>
      <c r="H1818" s="156" t="str">
        <f>'Reported burning'!H1818</f>
        <v>Presence</v>
      </c>
      <c r="I1818" s="5"/>
      <c r="J1818" s="3" t="s">
        <v>2276</v>
      </c>
      <c r="K1818" s="3" t="s">
        <v>2276</v>
      </c>
      <c r="L1818" s="3" t="s">
        <v>2276</v>
      </c>
      <c r="M1818" s="3" t="s">
        <v>2276</v>
      </c>
      <c r="N1818" s="3" t="s">
        <v>2276</v>
      </c>
      <c r="O1818" s="3" t="s">
        <v>2276</v>
      </c>
      <c r="P1818" s="21" t="s">
        <v>2376</v>
      </c>
      <c r="Q1818" s="3" t="s">
        <v>2276</v>
      </c>
      <c r="R1818" s="21" t="s">
        <v>2374</v>
      </c>
      <c r="S1818" s="3" t="s">
        <v>2276</v>
      </c>
      <c r="T1818" s="3" t="s">
        <v>2276</v>
      </c>
      <c r="U1818" s="3" t="s">
        <v>2276</v>
      </c>
      <c r="V1818" s="3" t="s">
        <v>2276</v>
      </c>
      <c r="W1818" s="3" t="s">
        <v>2276</v>
      </c>
      <c r="X1818" s="3" t="s">
        <v>399</v>
      </c>
      <c r="Y1818" s="3" t="s">
        <v>86</v>
      </c>
      <c r="Z1818" s="3" t="s">
        <v>76</v>
      </c>
      <c r="AA1818" s="3"/>
      <c r="AB1818" s="3" t="s">
        <v>5335</v>
      </c>
    </row>
    <row r="1819" spans="1:28" ht="29" customHeight="1">
      <c r="A1819" s="156" t="str">
        <f>'Reported burning'!A1819</f>
        <v>209f</v>
      </c>
      <c r="B1819" s="156" t="str">
        <f>'Reported burning'!B1819</f>
        <v>209f.11</v>
      </c>
      <c r="C1819" s="156" t="str">
        <f>'Reported burning'!C1819</f>
        <v>All</v>
      </c>
      <c r="D1819" s="156" t="str">
        <f>'Reported burning'!D1819</f>
        <v>ND</v>
      </c>
      <c r="E1819" s="156" t="str">
        <f>'Reported burning'!E1819</f>
        <v>All</v>
      </c>
      <c r="F1819" s="156" t="str">
        <f>'Reported burning'!F1819</f>
        <v>ND</v>
      </c>
      <c r="G1819" s="156" t="str">
        <f>'Reported burning'!G1819</f>
        <v>Forest</v>
      </c>
      <c r="H1819" s="156" t="str">
        <f>'Reported burning'!H1819</f>
        <v>Presence</v>
      </c>
      <c r="I1819" s="5"/>
      <c r="J1819" s="3" t="s">
        <v>2276</v>
      </c>
      <c r="K1819" s="3" t="s">
        <v>2276</v>
      </c>
      <c r="L1819" s="3" t="s">
        <v>2276</v>
      </c>
      <c r="M1819" s="3" t="s">
        <v>2276</v>
      </c>
      <c r="N1819" s="3" t="s">
        <v>2276</v>
      </c>
      <c r="O1819" s="3" t="s">
        <v>2276</v>
      </c>
      <c r="P1819" s="21" t="s">
        <v>2376</v>
      </c>
      <c r="Q1819" s="3" t="s">
        <v>2276</v>
      </c>
      <c r="R1819" s="21" t="s">
        <v>2374</v>
      </c>
      <c r="S1819" s="3" t="s">
        <v>2276</v>
      </c>
      <c r="T1819" s="3" t="s">
        <v>2276</v>
      </c>
      <c r="U1819" s="3" t="s">
        <v>2276</v>
      </c>
      <c r="V1819" s="3" t="s">
        <v>2276</v>
      </c>
      <c r="W1819" s="3" t="s">
        <v>2276</v>
      </c>
      <c r="X1819" s="3" t="s">
        <v>399</v>
      </c>
      <c r="Y1819" s="3" t="s">
        <v>86</v>
      </c>
      <c r="Z1819" s="3" t="s">
        <v>76</v>
      </c>
      <c r="AA1819" s="3"/>
      <c r="AB1819" s="3" t="s">
        <v>5335</v>
      </c>
    </row>
    <row r="1820" spans="1:28" ht="29" customHeight="1">
      <c r="A1820" s="156" t="str">
        <f>'Reported burning'!A1820</f>
        <v>209f</v>
      </c>
      <c r="B1820" s="156" t="str">
        <f>'Reported burning'!B1820</f>
        <v>209f.12</v>
      </c>
      <c r="C1820" s="156" t="str">
        <f>'Reported burning'!C1820</f>
        <v>All</v>
      </c>
      <c r="D1820" s="156" t="str">
        <f>'Reported burning'!D1820</f>
        <v>ND</v>
      </c>
      <c r="E1820" s="156" t="str">
        <f>'Reported burning'!E1820</f>
        <v>All</v>
      </c>
      <c r="F1820" s="156" t="str">
        <f>'Reported burning'!F1820</f>
        <v>ND</v>
      </c>
      <c r="G1820" s="156" t="str">
        <f>'Reported burning'!G1820</f>
        <v>Forest</v>
      </c>
      <c r="H1820" s="156" t="str">
        <f>'Reported burning'!H1820</f>
        <v>Presence</v>
      </c>
      <c r="I1820" s="5"/>
      <c r="J1820" s="3" t="s">
        <v>2276</v>
      </c>
      <c r="K1820" s="3" t="s">
        <v>2276</v>
      </c>
      <c r="L1820" s="3" t="s">
        <v>2276</v>
      </c>
      <c r="M1820" s="3" t="s">
        <v>2276</v>
      </c>
      <c r="N1820" s="3" t="s">
        <v>2276</v>
      </c>
      <c r="O1820" s="3" t="s">
        <v>2276</v>
      </c>
      <c r="P1820" s="21" t="s">
        <v>2376</v>
      </c>
      <c r="Q1820" s="3" t="s">
        <v>2276</v>
      </c>
      <c r="R1820" s="21" t="s">
        <v>2374</v>
      </c>
      <c r="S1820" s="3" t="s">
        <v>2276</v>
      </c>
      <c r="T1820" s="3" t="s">
        <v>2276</v>
      </c>
      <c r="U1820" s="3" t="s">
        <v>2276</v>
      </c>
      <c r="V1820" s="3" t="s">
        <v>2276</v>
      </c>
      <c r="W1820" s="3" t="s">
        <v>2276</v>
      </c>
      <c r="X1820" s="3" t="s">
        <v>399</v>
      </c>
      <c r="Y1820" s="3" t="s">
        <v>86</v>
      </c>
      <c r="Z1820" s="3" t="s">
        <v>76</v>
      </c>
      <c r="AA1820" s="3"/>
      <c r="AB1820" s="3" t="s">
        <v>5335</v>
      </c>
    </row>
    <row r="1821" spans="1:28" ht="29" customHeight="1">
      <c r="A1821" s="156" t="str">
        <f>'Reported burning'!A1821</f>
        <v>209g</v>
      </c>
      <c r="B1821" s="156" t="str">
        <f>'Reported burning'!B1821</f>
        <v>209g.11</v>
      </c>
      <c r="C1821" s="156" t="str">
        <f>'Reported burning'!C1821</f>
        <v>All</v>
      </c>
      <c r="D1821" s="156" t="str">
        <f>'Reported burning'!D1821</f>
        <v>ND</v>
      </c>
      <c r="E1821" s="156" t="str">
        <f>'Reported burning'!E1821</f>
        <v>All</v>
      </c>
      <c r="F1821" s="156" t="str">
        <f>'Reported burning'!F1821</f>
        <v>ND</v>
      </c>
      <c r="G1821" s="156" t="str">
        <f>'Reported burning'!G1821</f>
        <v>Forest</v>
      </c>
      <c r="H1821" s="156" t="str">
        <f>'Reported burning'!H1821</f>
        <v>Presence</v>
      </c>
      <c r="I1821" s="5"/>
      <c r="J1821" s="3" t="s">
        <v>2276</v>
      </c>
      <c r="K1821" s="3" t="s">
        <v>2276</v>
      </c>
      <c r="L1821" s="3" t="s">
        <v>2276</v>
      </c>
      <c r="M1821" s="3" t="s">
        <v>2276</v>
      </c>
      <c r="N1821" s="3" t="s">
        <v>2276</v>
      </c>
      <c r="O1821" s="3" t="s">
        <v>2276</v>
      </c>
      <c r="P1821" s="21" t="s">
        <v>2376</v>
      </c>
      <c r="Q1821" s="3" t="s">
        <v>2276</v>
      </c>
      <c r="R1821" s="21" t="s">
        <v>2374</v>
      </c>
      <c r="S1821" s="3" t="s">
        <v>2276</v>
      </c>
      <c r="T1821" s="3" t="s">
        <v>2276</v>
      </c>
      <c r="U1821" s="3" t="s">
        <v>2276</v>
      </c>
      <c r="V1821" s="3" t="s">
        <v>2276</v>
      </c>
      <c r="W1821" s="3" t="s">
        <v>2276</v>
      </c>
      <c r="X1821" s="3" t="s">
        <v>399</v>
      </c>
      <c r="Y1821" s="3" t="s">
        <v>86</v>
      </c>
      <c r="Z1821" s="3" t="s">
        <v>76</v>
      </c>
      <c r="AA1821" s="3"/>
      <c r="AB1821" s="3" t="s">
        <v>5335</v>
      </c>
    </row>
    <row r="1822" spans="1:28" ht="29" customHeight="1">
      <c r="A1822" s="156" t="str">
        <f>'Reported burning'!A1822</f>
        <v>209g</v>
      </c>
      <c r="B1822" s="156" t="str">
        <f>'Reported burning'!B1822</f>
        <v>209g.12</v>
      </c>
      <c r="C1822" s="156" t="str">
        <f>'Reported burning'!C1822</f>
        <v>All</v>
      </c>
      <c r="D1822" s="156" t="str">
        <f>'Reported burning'!D1822</f>
        <v>ND</v>
      </c>
      <c r="E1822" s="156" t="str">
        <f>'Reported burning'!E1822</f>
        <v>All</v>
      </c>
      <c r="F1822" s="156" t="str">
        <f>'Reported burning'!F1822</f>
        <v>ND</v>
      </c>
      <c r="G1822" s="156" t="str">
        <f>'Reported burning'!G1822</f>
        <v>Forest</v>
      </c>
      <c r="H1822" s="156" t="str">
        <f>'Reported burning'!H1822</f>
        <v>Presence</v>
      </c>
      <c r="I1822" s="5"/>
      <c r="J1822" s="3" t="s">
        <v>2276</v>
      </c>
      <c r="K1822" s="3" t="s">
        <v>2276</v>
      </c>
      <c r="L1822" s="3" t="s">
        <v>2276</v>
      </c>
      <c r="M1822" s="3" t="s">
        <v>2276</v>
      </c>
      <c r="N1822" s="3" t="s">
        <v>2276</v>
      </c>
      <c r="O1822" s="3" t="s">
        <v>2276</v>
      </c>
      <c r="P1822" s="21" t="s">
        <v>2376</v>
      </c>
      <c r="Q1822" s="3" t="s">
        <v>2276</v>
      </c>
      <c r="R1822" s="21" t="s">
        <v>2374</v>
      </c>
      <c r="S1822" s="3" t="s">
        <v>2276</v>
      </c>
      <c r="T1822" s="3" t="s">
        <v>2276</v>
      </c>
      <c r="U1822" s="3" t="s">
        <v>2276</v>
      </c>
      <c r="V1822" s="3" t="s">
        <v>2276</v>
      </c>
      <c r="W1822" s="3" t="s">
        <v>2276</v>
      </c>
      <c r="X1822" s="3" t="s">
        <v>399</v>
      </c>
      <c r="Y1822" s="3" t="s">
        <v>86</v>
      </c>
      <c r="Z1822" s="3" t="s">
        <v>76</v>
      </c>
      <c r="AA1822" s="3"/>
      <c r="AB1822" s="3" t="s">
        <v>5335</v>
      </c>
    </row>
    <row r="1823" spans="1:28" ht="32.5" customHeight="1">
      <c r="A1823" s="156" t="str">
        <f>'Reported burning'!A1823</f>
        <v>210a</v>
      </c>
      <c r="B1823" s="156" t="str">
        <f>'Reported burning'!B1823</f>
        <v>210a.1</v>
      </c>
      <c r="C1823" s="156" t="str">
        <f>'Reported burning'!C1823</f>
        <v>Human, deliberate</v>
      </c>
      <c r="D1823" s="156" t="str">
        <f>'Reported burning'!D1823</f>
        <v>Crop field preparation</v>
      </c>
      <c r="E1823" s="156" t="str">
        <f>'Reported burning'!E1823</f>
        <v>Cropping, Swidden</v>
      </c>
      <c r="F1823" s="156" t="str">
        <f>'Reported burning'!G1823</f>
        <v>ND</v>
      </c>
      <c r="G1823" s="156" t="str">
        <f>'Reported burning'!F1823</f>
        <v>Forest</v>
      </c>
      <c r="H1823" s="156" t="str">
        <f>'Reported burning'!H1823</f>
        <v>Presence</v>
      </c>
      <c r="I1823" s="5"/>
      <c r="J1823" s="4" t="s">
        <v>2276</v>
      </c>
      <c r="K1823" s="4" t="s">
        <v>2276</v>
      </c>
      <c r="L1823" s="4" t="s">
        <v>2276</v>
      </c>
      <c r="M1823" s="4" t="s">
        <v>2276</v>
      </c>
      <c r="N1823" s="4" t="s">
        <v>2276</v>
      </c>
      <c r="O1823" s="4" t="s">
        <v>2276</v>
      </c>
      <c r="P1823" s="4" t="s">
        <v>2276</v>
      </c>
      <c r="Q1823" s="4" t="s">
        <v>2276</v>
      </c>
      <c r="R1823" s="4" t="s">
        <v>2276</v>
      </c>
      <c r="S1823" s="4" t="s">
        <v>2276</v>
      </c>
      <c r="T1823" s="4" t="s">
        <v>2276</v>
      </c>
      <c r="U1823" s="4" t="s">
        <v>2276</v>
      </c>
      <c r="V1823" s="4" t="s">
        <v>2276</v>
      </c>
      <c r="W1823" s="4" t="s">
        <v>2276</v>
      </c>
      <c r="X1823" s="4" t="s">
        <v>2276</v>
      </c>
      <c r="Y1823" s="4" t="s">
        <v>2276</v>
      </c>
      <c r="Z1823" s="4" t="s">
        <v>2276</v>
      </c>
      <c r="AA1823" s="3"/>
      <c r="AB1823" s="3"/>
    </row>
    <row r="1824" spans="1:28" ht="32.5" customHeight="1">
      <c r="A1824" s="156" t="str">
        <f>'Reported burning'!A1824</f>
        <v>210a</v>
      </c>
      <c r="B1824" s="156" t="str">
        <f>'Reported burning'!B1824</f>
        <v>210a.2</v>
      </c>
      <c r="C1824" s="156" t="str">
        <f>'Reported burning'!C1824</f>
        <v>Human, deliberate</v>
      </c>
      <c r="D1824" s="156" t="str">
        <f>'Reported burning'!D1824</f>
        <v>Land clearance</v>
      </c>
      <c r="E1824" s="156" t="str">
        <f>'Reported burning'!E1824</f>
        <v>Cropping, Swidden</v>
      </c>
      <c r="F1824" s="156" t="str">
        <f>'Reported burning'!G1824</f>
        <v>ND</v>
      </c>
      <c r="G1824" s="156" t="str">
        <f>'Reported burning'!F1824</f>
        <v>Forest</v>
      </c>
      <c r="H1824" s="156" t="str">
        <f>'Reported burning'!H1824</f>
        <v>Presence</v>
      </c>
      <c r="I1824" s="5"/>
      <c r="J1824" s="4" t="s">
        <v>2276</v>
      </c>
      <c r="K1824" s="4" t="s">
        <v>2276</v>
      </c>
      <c r="L1824" s="4" t="s">
        <v>2276</v>
      </c>
      <c r="M1824" s="4" t="s">
        <v>2276</v>
      </c>
      <c r="N1824" s="4" t="s">
        <v>2276</v>
      </c>
      <c r="O1824" s="4" t="s">
        <v>2276</v>
      </c>
      <c r="P1824" s="4" t="s">
        <v>2276</v>
      </c>
      <c r="Q1824" s="4" t="s">
        <v>2276</v>
      </c>
      <c r="R1824" s="4" t="s">
        <v>2276</v>
      </c>
      <c r="S1824" s="4" t="s">
        <v>2276</v>
      </c>
      <c r="T1824" s="4" t="s">
        <v>2276</v>
      </c>
      <c r="U1824" s="4" t="s">
        <v>2276</v>
      </c>
      <c r="V1824" s="4" t="s">
        <v>2276</v>
      </c>
      <c r="W1824" s="4" t="s">
        <v>2276</v>
      </c>
      <c r="X1824" s="4" t="s">
        <v>2276</v>
      </c>
      <c r="Y1824" s="4" t="s">
        <v>2276</v>
      </c>
      <c r="Z1824" s="4" t="s">
        <v>2276</v>
      </c>
      <c r="AA1824" s="3"/>
      <c r="AB1824" s="3"/>
    </row>
    <row r="1825" spans="1:28" ht="32.5" customHeight="1">
      <c r="A1825" s="156" t="str">
        <f>'Reported burning'!A1825</f>
        <v>210a</v>
      </c>
      <c r="B1825" s="156" t="str">
        <f>'Reported burning'!B1825</f>
        <v>210a.3</v>
      </c>
      <c r="C1825" s="156" t="str">
        <f>'Reported burning'!C1825</f>
        <v>Human, deliberate</v>
      </c>
      <c r="D1825" s="156" t="str">
        <f>'Reported burning'!D1825</f>
        <v>Land clearance</v>
      </c>
      <c r="E1825" s="156" t="str">
        <f>'Reported burning'!E1825</f>
        <v>Cropping, Monoculture, Market-oriented</v>
      </c>
      <c r="F1825" s="156" t="str">
        <f>'Reported burning'!G1825</f>
        <v>ND</v>
      </c>
      <c r="G1825" s="156" t="str">
        <f>'Reported burning'!F1825</f>
        <v>Forest</v>
      </c>
      <c r="H1825" s="156" t="str">
        <f>'Reported burning'!H1825</f>
        <v>Presence</v>
      </c>
      <c r="I1825" s="5"/>
      <c r="J1825" s="4" t="s">
        <v>2276</v>
      </c>
      <c r="K1825" s="4" t="s">
        <v>2276</v>
      </c>
      <c r="L1825" s="4" t="s">
        <v>2276</v>
      </c>
      <c r="M1825" s="4" t="s">
        <v>2276</v>
      </c>
      <c r="N1825" s="4" t="s">
        <v>2276</v>
      </c>
      <c r="O1825" s="4" t="s">
        <v>2276</v>
      </c>
      <c r="P1825" s="4" t="s">
        <v>2276</v>
      </c>
      <c r="Q1825" s="4" t="s">
        <v>2276</v>
      </c>
      <c r="R1825" s="4" t="s">
        <v>2276</v>
      </c>
      <c r="S1825" s="4" t="s">
        <v>2276</v>
      </c>
      <c r="T1825" s="4" t="s">
        <v>2276</v>
      </c>
      <c r="U1825" s="4" t="s">
        <v>2276</v>
      </c>
      <c r="V1825" s="4" t="s">
        <v>2276</v>
      </c>
      <c r="W1825" s="4" t="s">
        <v>2276</v>
      </c>
      <c r="X1825" s="4" t="s">
        <v>2276</v>
      </c>
      <c r="Y1825" s="4" t="s">
        <v>2276</v>
      </c>
      <c r="Z1825" s="4" t="s">
        <v>2276</v>
      </c>
      <c r="AA1825" s="3"/>
      <c r="AB1825" s="3"/>
    </row>
    <row r="1826" spans="1:28" ht="32.5" customHeight="1">
      <c r="A1826" s="156" t="str">
        <f>'Reported burning'!A1826</f>
        <v>210b</v>
      </c>
      <c r="B1826" s="156" t="str">
        <f>'Reported burning'!B1826</f>
        <v>210b.1</v>
      </c>
      <c r="C1826" s="156" t="str">
        <f>'Reported burning'!C1826</f>
        <v>Human, deliberate</v>
      </c>
      <c r="D1826" s="156" t="str">
        <f>'Reported burning'!D1826</f>
        <v>Crop field preparation</v>
      </c>
      <c r="E1826" s="156" t="str">
        <f>'Reported burning'!E1826</f>
        <v>Cropping, Swidden</v>
      </c>
      <c r="F1826" s="156" t="str">
        <f>'Reported burning'!G1826</f>
        <v>ND</v>
      </c>
      <c r="G1826" s="156" t="str">
        <f>'Reported burning'!F1826</f>
        <v>Forest</v>
      </c>
      <c r="H1826" s="156" t="str">
        <f>'Reported burning'!H1826</f>
        <v>Absence</v>
      </c>
      <c r="I1826" s="5"/>
      <c r="J1826" s="3">
        <v>0</v>
      </c>
      <c r="K1826" s="3">
        <v>0</v>
      </c>
      <c r="L1826" s="3">
        <v>0</v>
      </c>
      <c r="M1826" s="3">
        <v>0</v>
      </c>
      <c r="N1826" s="3">
        <v>0</v>
      </c>
      <c r="O1826" s="3">
        <v>0</v>
      </c>
      <c r="P1826" s="3">
        <v>0</v>
      </c>
      <c r="Q1826" s="3">
        <v>0</v>
      </c>
      <c r="R1826" s="3">
        <v>0</v>
      </c>
      <c r="S1826" s="3">
        <v>0</v>
      </c>
      <c r="T1826" s="3">
        <v>0</v>
      </c>
      <c r="U1826" s="3">
        <v>0</v>
      </c>
      <c r="V1826" s="3">
        <v>0</v>
      </c>
      <c r="W1826" s="4" t="s">
        <v>2276</v>
      </c>
      <c r="X1826" s="4" t="s">
        <v>2276</v>
      </c>
      <c r="Y1826" s="4" t="s">
        <v>2276</v>
      </c>
      <c r="Z1826" s="4" t="s">
        <v>2276</v>
      </c>
      <c r="AA1826" s="4" t="s">
        <v>5352</v>
      </c>
      <c r="AB1826" s="3"/>
    </row>
    <row r="1827" spans="1:28" ht="32.5" customHeight="1">
      <c r="A1827" s="156" t="str">
        <f>'Reported burning'!A1827</f>
        <v>210b</v>
      </c>
      <c r="B1827" s="156" t="str">
        <f>'Reported burning'!B1827</f>
        <v>210b.2</v>
      </c>
      <c r="C1827" s="156" t="str">
        <f>'Reported burning'!C1827</f>
        <v>Human, deliberate</v>
      </c>
      <c r="D1827" s="156" t="str">
        <f>'Reported burning'!D1827</f>
        <v>Land clearance</v>
      </c>
      <c r="E1827" s="156" t="str">
        <f>'Reported burning'!E1827</f>
        <v>Cropping, Swidden</v>
      </c>
      <c r="F1827" s="156" t="str">
        <f>'Reported burning'!G1827</f>
        <v>ND</v>
      </c>
      <c r="G1827" s="156" t="str">
        <f>'Reported burning'!F1827</f>
        <v>Forest</v>
      </c>
      <c r="H1827" s="156" t="str">
        <f>'Reported burning'!H1827</f>
        <v>Absence</v>
      </c>
      <c r="I1827" s="5"/>
      <c r="J1827" s="3">
        <v>0</v>
      </c>
      <c r="K1827" s="3">
        <v>0</v>
      </c>
      <c r="L1827" s="3">
        <v>0</v>
      </c>
      <c r="M1827" s="3">
        <v>0</v>
      </c>
      <c r="N1827" s="3">
        <v>0</v>
      </c>
      <c r="O1827" s="3">
        <v>0</v>
      </c>
      <c r="P1827" s="3">
        <v>0</v>
      </c>
      <c r="Q1827" s="3">
        <v>0</v>
      </c>
      <c r="R1827" s="3">
        <v>0</v>
      </c>
      <c r="S1827" s="3">
        <v>0</v>
      </c>
      <c r="T1827" s="3">
        <v>0</v>
      </c>
      <c r="U1827" s="3">
        <v>0</v>
      </c>
      <c r="V1827" s="3">
        <v>0</v>
      </c>
      <c r="W1827" s="4" t="s">
        <v>2276</v>
      </c>
      <c r="X1827" s="4" t="s">
        <v>2276</v>
      </c>
      <c r="Y1827" s="4" t="s">
        <v>2276</v>
      </c>
      <c r="Z1827" s="4" t="s">
        <v>2276</v>
      </c>
      <c r="AA1827" s="4" t="s">
        <v>5352</v>
      </c>
      <c r="AB1827" s="3"/>
    </row>
    <row r="1828" spans="1:28" ht="32.5" customHeight="1">
      <c r="A1828" s="156" t="str">
        <f>'Reported burning'!A1828</f>
        <v>210b</v>
      </c>
      <c r="B1828" s="156" t="str">
        <f>'Reported burning'!B1828</f>
        <v>210b.3</v>
      </c>
      <c r="C1828" s="156" t="str">
        <f>'Reported burning'!C1828</f>
        <v>Human, deliberate</v>
      </c>
      <c r="D1828" s="156" t="str">
        <f>'Reported burning'!D1828</f>
        <v>Land clearance</v>
      </c>
      <c r="E1828" s="156" t="str">
        <f>'Reported burning'!E1828</f>
        <v>Cropping, Monoculture, Market-oriented</v>
      </c>
      <c r="F1828" s="156" t="str">
        <f>'Reported burning'!G1828</f>
        <v>ND</v>
      </c>
      <c r="G1828" s="156" t="str">
        <f>'Reported burning'!F1828</f>
        <v>Forest</v>
      </c>
      <c r="H1828" s="156" t="str">
        <f>'Reported burning'!H1828</f>
        <v>Absence</v>
      </c>
      <c r="I1828" s="5"/>
      <c r="J1828" s="3">
        <v>0</v>
      </c>
      <c r="K1828" s="3">
        <v>0</v>
      </c>
      <c r="L1828" s="3">
        <v>0</v>
      </c>
      <c r="M1828" s="3">
        <v>0</v>
      </c>
      <c r="N1828" s="3">
        <v>0</v>
      </c>
      <c r="O1828" s="3">
        <v>0</v>
      </c>
      <c r="P1828" s="3">
        <v>0</v>
      </c>
      <c r="Q1828" s="3">
        <v>0</v>
      </c>
      <c r="R1828" s="3">
        <v>0</v>
      </c>
      <c r="S1828" s="3">
        <v>0</v>
      </c>
      <c r="T1828" s="3">
        <v>0</v>
      </c>
      <c r="U1828" s="3">
        <v>0</v>
      </c>
      <c r="V1828" s="3">
        <v>0</v>
      </c>
      <c r="W1828" s="4" t="s">
        <v>2276</v>
      </c>
      <c r="X1828" s="4" t="s">
        <v>2276</v>
      </c>
      <c r="Y1828" s="4" t="s">
        <v>2276</v>
      </c>
      <c r="Z1828" s="4" t="s">
        <v>2276</v>
      </c>
      <c r="AA1828" s="4" t="s">
        <v>5352</v>
      </c>
      <c r="AB1828" s="3"/>
    </row>
    <row r="1829" spans="1:28" ht="32.5" customHeight="1">
      <c r="A1829" s="156" t="str">
        <f>'Reported burning'!A1829</f>
        <v>210c</v>
      </c>
      <c r="B1829" s="156" t="str">
        <f>'Reported burning'!B1829</f>
        <v>210c.1</v>
      </c>
      <c r="C1829" s="156" t="str">
        <f>'Reported burning'!C1829</f>
        <v>Human, deliberate</v>
      </c>
      <c r="D1829" s="156" t="str">
        <f>'Reported burning'!D1829</f>
        <v>Crop field preparation</v>
      </c>
      <c r="E1829" s="156" t="str">
        <f>'Reported burning'!E1829</f>
        <v>Cropping, Swidden</v>
      </c>
      <c r="F1829" s="156" t="str">
        <f>'Reported burning'!F1829</f>
        <v>Forest</v>
      </c>
      <c r="G1829" s="156" t="str">
        <f>'Reported burning'!G1829</f>
        <v>ND</v>
      </c>
      <c r="H1829" s="156" t="str">
        <f>'Reported burning'!H1829</f>
        <v>Presence</v>
      </c>
      <c r="I1829" s="5"/>
      <c r="J1829" s="4" t="s">
        <v>2276</v>
      </c>
      <c r="K1829" s="4" t="s">
        <v>2276</v>
      </c>
      <c r="L1829" s="4" t="s">
        <v>2276</v>
      </c>
      <c r="M1829" s="4" t="s">
        <v>2276</v>
      </c>
      <c r="N1829" s="4" t="s">
        <v>2276</v>
      </c>
      <c r="O1829" s="4" t="s">
        <v>2276</v>
      </c>
      <c r="P1829" s="4" t="s">
        <v>2276</v>
      </c>
      <c r="Q1829" s="4" t="s">
        <v>2276</v>
      </c>
      <c r="R1829" s="4" t="s">
        <v>2276</v>
      </c>
      <c r="S1829" s="4" t="s">
        <v>2276</v>
      </c>
      <c r="T1829" s="4" t="s">
        <v>2276</v>
      </c>
      <c r="U1829" s="4" t="s">
        <v>2276</v>
      </c>
      <c r="V1829" s="4" t="s">
        <v>2276</v>
      </c>
      <c r="W1829" s="4" t="s">
        <v>2276</v>
      </c>
      <c r="X1829" s="4" t="s">
        <v>2276</v>
      </c>
      <c r="Y1829" s="4" t="s">
        <v>2276</v>
      </c>
      <c r="Z1829" s="4" t="s">
        <v>2276</v>
      </c>
      <c r="AA1829" s="3"/>
      <c r="AB1829" s="3"/>
    </row>
    <row r="1830" spans="1:28" ht="32.5" customHeight="1">
      <c r="A1830" s="156" t="str">
        <f>'Reported burning'!A1830</f>
        <v>210c</v>
      </c>
      <c r="B1830" s="156" t="str">
        <f>'Reported burning'!B1830</f>
        <v>210c.2</v>
      </c>
      <c r="C1830" s="156" t="str">
        <f>'Reported burning'!C1830</f>
        <v>Human, deliberate</v>
      </c>
      <c r="D1830" s="156" t="str">
        <f>'Reported burning'!D1830</f>
        <v>Land clearance</v>
      </c>
      <c r="E1830" s="156" t="str">
        <f>'Reported burning'!E1830</f>
        <v>Cropping, Swidden</v>
      </c>
      <c r="F1830" s="156" t="str">
        <f>'Reported burning'!F1830</f>
        <v>Forest</v>
      </c>
      <c r="G1830" s="156" t="str">
        <f>'Reported burning'!G1830</f>
        <v>ND</v>
      </c>
      <c r="H1830" s="156" t="str">
        <f>'Reported burning'!H1830</f>
        <v>Presence</v>
      </c>
      <c r="I1830" s="5"/>
      <c r="J1830" s="4" t="s">
        <v>2276</v>
      </c>
      <c r="K1830" s="4" t="s">
        <v>2276</v>
      </c>
      <c r="L1830" s="4" t="s">
        <v>2276</v>
      </c>
      <c r="M1830" s="4" t="s">
        <v>2276</v>
      </c>
      <c r="N1830" s="4" t="s">
        <v>2276</v>
      </c>
      <c r="O1830" s="4" t="s">
        <v>2276</v>
      </c>
      <c r="P1830" s="4" t="s">
        <v>2276</v>
      </c>
      <c r="Q1830" s="4" t="s">
        <v>2276</v>
      </c>
      <c r="R1830" s="4" t="s">
        <v>2276</v>
      </c>
      <c r="S1830" s="4" t="s">
        <v>2276</v>
      </c>
      <c r="T1830" s="4" t="s">
        <v>2276</v>
      </c>
      <c r="U1830" s="4" t="s">
        <v>2276</v>
      </c>
      <c r="V1830" s="4" t="s">
        <v>2276</v>
      </c>
      <c r="W1830" s="4" t="s">
        <v>2276</v>
      </c>
      <c r="X1830" s="4" t="s">
        <v>2276</v>
      </c>
      <c r="Y1830" s="4" t="s">
        <v>2276</v>
      </c>
      <c r="Z1830" s="4" t="s">
        <v>2276</v>
      </c>
      <c r="AA1830" s="3"/>
      <c r="AB1830" s="3"/>
    </row>
    <row r="1831" spans="1:28" ht="32.5" customHeight="1">
      <c r="A1831" s="156" t="str">
        <f>'Reported burning'!A1831</f>
        <v>210c</v>
      </c>
      <c r="B1831" s="156" t="str">
        <f>'Reported burning'!B1831</f>
        <v>210c.3</v>
      </c>
      <c r="C1831" s="156" t="str">
        <f>'Reported burning'!C1831</f>
        <v>Human, deliberate</v>
      </c>
      <c r="D1831" s="156" t="str">
        <f>'Reported burning'!D1831</f>
        <v>Land clearance</v>
      </c>
      <c r="E1831" s="156" t="str">
        <f>'Reported burning'!E1831</f>
        <v>Cropping, Monoculture, Market-oriented</v>
      </c>
      <c r="F1831" s="156" t="str">
        <f>'Reported burning'!F1831</f>
        <v>Forest</v>
      </c>
      <c r="G1831" s="156" t="str">
        <f>'Reported burning'!G1831</f>
        <v>ND</v>
      </c>
      <c r="H1831" s="156" t="str">
        <f>'Reported burning'!H1831</f>
        <v>Presence</v>
      </c>
      <c r="I1831" s="5"/>
      <c r="J1831" s="4" t="s">
        <v>2276</v>
      </c>
      <c r="K1831" s="4" t="s">
        <v>2276</v>
      </c>
      <c r="L1831" s="4" t="s">
        <v>2276</v>
      </c>
      <c r="M1831" s="4" t="s">
        <v>2276</v>
      </c>
      <c r="N1831" s="4" t="s">
        <v>2276</v>
      </c>
      <c r="O1831" s="4" t="s">
        <v>2276</v>
      </c>
      <c r="P1831" s="4" t="s">
        <v>2276</v>
      </c>
      <c r="Q1831" s="4" t="s">
        <v>2276</v>
      </c>
      <c r="R1831" s="4" t="s">
        <v>2276</v>
      </c>
      <c r="S1831" s="4" t="s">
        <v>2276</v>
      </c>
      <c r="T1831" s="4" t="s">
        <v>2276</v>
      </c>
      <c r="U1831" s="4" t="s">
        <v>2276</v>
      </c>
      <c r="V1831" s="4" t="s">
        <v>2276</v>
      </c>
      <c r="W1831" s="4" t="s">
        <v>2276</v>
      </c>
      <c r="X1831" s="4" t="s">
        <v>2276</v>
      </c>
      <c r="Y1831" s="4" t="s">
        <v>2276</v>
      </c>
      <c r="Z1831" s="4" t="s">
        <v>2276</v>
      </c>
      <c r="AA1831" s="3"/>
      <c r="AB1831" s="3"/>
    </row>
    <row r="1832" spans="1:28" ht="29">
      <c r="A1832" s="156" t="str">
        <f>'Reported burning'!A1832</f>
        <v>211a</v>
      </c>
      <c r="B1832" s="156" t="str">
        <f>'Reported burning'!B1832</f>
        <v>211a.1</v>
      </c>
      <c r="C1832" s="156" t="str">
        <f>'Reported burning'!C1832</f>
        <v>Human, deliberate</v>
      </c>
      <c r="D1832" s="156" t="str">
        <f>'Reported burning'!D1832</f>
        <v>Hunting</v>
      </c>
      <c r="E1832" s="156" t="str">
        <f>'Reported burning'!E1832</f>
        <v>Forestry, Traditional</v>
      </c>
      <c r="F1832" s="156" t="str">
        <f>'Reported burning'!F1832</f>
        <v>Shrubland (Mixed forest &amp; grassland)</v>
      </c>
      <c r="G1832" s="156" t="str">
        <f>'Reported burning'!G1832</f>
        <v>ND</v>
      </c>
      <c r="H1832" s="156" t="str">
        <f>'Reported burning'!H1832</f>
        <v>Presence</v>
      </c>
      <c r="I1832" s="5"/>
      <c r="J1832" s="4" t="s">
        <v>2276</v>
      </c>
      <c r="K1832" s="4" t="s">
        <v>2276</v>
      </c>
      <c r="L1832" s="4" t="s">
        <v>2276</v>
      </c>
      <c r="M1832" s="4" t="s">
        <v>2276</v>
      </c>
      <c r="N1832" s="4" t="s">
        <v>2276</v>
      </c>
      <c r="O1832" s="4" t="s">
        <v>2276</v>
      </c>
      <c r="P1832" s="4" t="s">
        <v>2276</v>
      </c>
      <c r="Q1832" s="4" t="s">
        <v>2276</v>
      </c>
      <c r="R1832" s="4" t="s">
        <v>2276</v>
      </c>
      <c r="S1832" s="4" t="s">
        <v>2276</v>
      </c>
      <c r="T1832" s="4" t="s">
        <v>2276</v>
      </c>
      <c r="U1832" s="4" t="s">
        <v>2276</v>
      </c>
      <c r="V1832" s="4" t="s">
        <v>2276</v>
      </c>
      <c r="W1832" s="4" t="s">
        <v>2276</v>
      </c>
      <c r="X1832" s="4" t="s">
        <v>2276</v>
      </c>
      <c r="Y1832" s="4" t="s">
        <v>2276</v>
      </c>
      <c r="Z1832" s="4" t="s">
        <v>2276</v>
      </c>
      <c r="AA1832" s="3"/>
      <c r="AB1832" s="3"/>
    </row>
    <row r="1833" spans="1:28" ht="86" customHeight="1">
      <c r="A1833" s="156" t="str">
        <f>'Reported burning'!A1833</f>
        <v>211a</v>
      </c>
      <c r="B1833" s="156" t="str">
        <f>'Reported burning'!B1833</f>
        <v>211a.2</v>
      </c>
      <c r="C1833" s="156" t="str">
        <f>'Reported burning'!C1833</f>
        <v>Human, deliberate</v>
      </c>
      <c r="D1833" s="156" t="str">
        <f>'Reported burning'!D1833</f>
        <v>Crop field preparation</v>
      </c>
      <c r="E1833" s="156" t="str">
        <f>'Reported burning'!E1833</f>
        <v>Cropping, Swidden</v>
      </c>
      <c r="F1833" s="156" t="str">
        <f>'Reported burning'!F1833</f>
        <v>Secondary vegetation</v>
      </c>
      <c r="G1833" s="156" t="str">
        <f>'Reported burning'!G1833</f>
        <v>ND</v>
      </c>
      <c r="H1833" s="156" t="str">
        <f>'Reported burning'!H1833</f>
        <v>Presence</v>
      </c>
      <c r="I1833" s="5"/>
      <c r="J1833" s="4" t="s">
        <v>2276</v>
      </c>
      <c r="K1833" s="4" t="s">
        <v>2276</v>
      </c>
      <c r="L1833" s="4" t="s">
        <v>2276</v>
      </c>
      <c r="M1833" s="4" t="s">
        <v>2276</v>
      </c>
      <c r="N1833" s="4" t="s">
        <v>2276</v>
      </c>
      <c r="O1833" s="4" t="s">
        <v>2276</v>
      </c>
      <c r="P1833" s="4" t="s">
        <v>2276</v>
      </c>
      <c r="Q1833" s="4" t="s">
        <v>2276</v>
      </c>
      <c r="R1833" s="4" t="s">
        <v>2276</v>
      </c>
      <c r="S1833" s="4" t="s">
        <v>2276</v>
      </c>
      <c r="T1833" s="21" t="s">
        <v>2527</v>
      </c>
      <c r="U1833" s="4" t="s">
        <v>2276</v>
      </c>
      <c r="V1833" s="4" t="s">
        <v>2276</v>
      </c>
      <c r="W1833" s="21" t="s">
        <v>2401</v>
      </c>
      <c r="X1833" s="4" t="s">
        <v>2276</v>
      </c>
      <c r="Y1833" s="4" t="s">
        <v>2276</v>
      </c>
      <c r="Z1833" s="4" t="s">
        <v>2276</v>
      </c>
      <c r="AA1833" s="4" t="s">
        <v>5368</v>
      </c>
      <c r="AB1833" s="4" t="s">
        <v>5367</v>
      </c>
    </row>
    <row r="1834" spans="1:28" ht="29" customHeight="1">
      <c r="A1834" s="156" t="str">
        <f>'Reported burning'!A1834</f>
        <v>212a</v>
      </c>
      <c r="B1834" s="156" t="str">
        <f>'Reported burning'!B1834</f>
        <v>212a.1</v>
      </c>
      <c r="C1834" s="156" t="str">
        <f>'Reported burning'!C1834</f>
        <v>Human, deliberate</v>
      </c>
      <c r="D1834" s="156" t="str">
        <f>'Reported burning'!D1834</f>
        <v>Pyrome management</v>
      </c>
      <c r="E1834" s="156" t="str">
        <f>'Reported burning'!E1834</f>
        <v>Forestry, Traditional</v>
      </c>
      <c r="F1834" s="156" t="str">
        <f>'Reported burning'!F1834</f>
        <v>Forest</v>
      </c>
      <c r="G1834" s="156" t="str">
        <f>'Reported burning'!G1834</f>
        <v>ND</v>
      </c>
      <c r="H1834" s="156" t="str">
        <f>'Reported burning'!H1834</f>
        <v>Presence</v>
      </c>
      <c r="I1834" s="5"/>
      <c r="J1834" s="4" t="s">
        <v>2276</v>
      </c>
      <c r="K1834" s="4" t="s">
        <v>2276</v>
      </c>
      <c r="L1834" s="4" t="s">
        <v>2276</v>
      </c>
      <c r="M1834" s="4" t="s">
        <v>2276</v>
      </c>
      <c r="N1834" s="4" t="s">
        <v>2276</v>
      </c>
      <c r="O1834" s="4" t="s">
        <v>2276</v>
      </c>
      <c r="P1834" s="4" t="s">
        <v>2276</v>
      </c>
      <c r="Q1834" s="4" t="s">
        <v>2276</v>
      </c>
      <c r="R1834" s="4" t="s">
        <v>2276</v>
      </c>
      <c r="S1834" s="4" t="s">
        <v>2276</v>
      </c>
      <c r="T1834" s="4" t="s">
        <v>2276</v>
      </c>
      <c r="U1834" s="4" t="s">
        <v>2276</v>
      </c>
      <c r="V1834" s="4" t="s">
        <v>2276</v>
      </c>
      <c r="W1834" s="4" t="s">
        <v>2276</v>
      </c>
      <c r="X1834" s="3" t="s">
        <v>189</v>
      </c>
      <c r="Y1834" s="3" t="s">
        <v>405</v>
      </c>
      <c r="Z1834" s="3" t="s">
        <v>2655</v>
      </c>
      <c r="AA1834" s="3" t="s">
        <v>5378</v>
      </c>
      <c r="AB1834" s="3"/>
    </row>
    <row r="1835" spans="1:28" ht="33.5" customHeight="1">
      <c r="A1835" s="156" t="str">
        <f>'Reported burning'!A1835</f>
        <v>212a</v>
      </c>
      <c r="B1835" s="156" t="str">
        <f>'Reported burning'!B1835</f>
        <v>212a.2</v>
      </c>
      <c r="C1835" s="156" t="str">
        <f>'Reported burning'!C1835</f>
        <v>Human, deliberate</v>
      </c>
      <c r="D1835" s="156" t="str">
        <f>'Reported burning'!D1835</f>
        <v>Pasture renewal</v>
      </c>
      <c r="E1835" s="156" t="str">
        <f>'Reported burning'!E1835</f>
        <v>Cattle, Extensive</v>
      </c>
      <c r="F1835" s="156" t="str">
        <f>'Reported burning'!F1835</f>
        <v>Grassland</v>
      </c>
      <c r="G1835" s="156" t="str">
        <f>'Reported burning'!G1835</f>
        <v>ND</v>
      </c>
      <c r="H1835" s="156" t="str">
        <f>'Reported burning'!H1835</f>
        <v>Presence</v>
      </c>
      <c r="I1835" s="5"/>
      <c r="J1835" s="4" t="s">
        <v>2276</v>
      </c>
      <c r="K1835" s="4" t="s">
        <v>2276</v>
      </c>
      <c r="L1835" s="4" t="s">
        <v>2276</v>
      </c>
      <c r="M1835" s="4" t="s">
        <v>2276</v>
      </c>
      <c r="N1835" s="4" t="s">
        <v>2276</v>
      </c>
      <c r="O1835" s="4" t="s">
        <v>2276</v>
      </c>
      <c r="P1835" s="4" t="s">
        <v>2276</v>
      </c>
      <c r="Q1835" s="4" t="s">
        <v>2276</v>
      </c>
      <c r="R1835" s="4" t="s">
        <v>2276</v>
      </c>
      <c r="S1835" s="4" t="s">
        <v>2276</v>
      </c>
      <c r="T1835" s="4" t="s">
        <v>2276</v>
      </c>
      <c r="U1835" s="4" t="s">
        <v>2276</v>
      </c>
      <c r="V1835" s="4" t="s">
        <v>2276</v>
      </c>
      <c r="W1835" s="4" t="s">
        <v>2276</v>
      </c>
      <c r="X1835" s="3" t="s">
        <v>189</v>
      </c>
      <c r="Y1835" s="3" t="s">
        <v>38</v>
      </c>
      <c r="Z1835" s="3" t="s">
        <v>2276</v>
      </c>
      <c r="AA1835" s="4" t="s">
        <v>5377</v>
      </c>
      <c r="AB1835" s="3"/>
    </row>
    <row r="1836" spans="1:28" ht="29" customHeight="1">
      <c r="A1836" s="156" t="str">
        <f>'Reported burning'!A1836</f>
        <v>212a</v>
      </c>
      <c r="B1836" s="156" t="str">
        <f>'Reported burning'!B1836</f>
        <v>212a.3</v>
      </c>
      <c r="C1836" s="156" t="str">
        <f>'Reported burning'!C1836</f>
        <v>Human, deliberate</v>
      </c>
      <c r="D1836" s="156" t="str">
        <f>'Reported burning'!D1836</f>
        <v>Harvesting of NTFP</v>
      </c>
      <c r="E1836" s="156" t="str">
        <f>'Reported burning'!E1836</f>
        <v>Forestry, Traditional</v>
      </c>
      <c r="F1836" s="156" t="str">
        <f>'Reported burning'!F1836</f>
        <v>Forest</v>
      </c>
      <c r="G1836" s="156" t="str">
        <f>'Reported burning'!G1836</f>
        <v>ND</v>
      </c>
      <c r="H1836" s="156" t="str">
        <f>'Reported burning'!H1836</f>
        <v>Presence</v>
      </c>
      <c r="I1836" s="5"/>
      <c r="J1836" s="4" t="s">
        <v>2276</v>
      </c>
      <c r="K1836" s="4" t="s">
        <v>2276</v>
      </c>
      <c r="L1836" s="4" t="s">
        <v>2276</v>
      </c>
      <c r="M1836" s="4" t="s">
        <v>2276</v>
      </c>
      <c r="N1836" s="4" t="s">
        <v>2276</v>
      </c>
      <c r="O1836" s="4" t="s">
        <v>2276</v>
      </c>
      <c r="P1836" s="4" t="s">
        <v>2276</v>
      </c>
      <c r="Q1836" s="4" t="s">
        <v>2276</v>
      </c>
      <c r="R1836" s="4" t="s">
        <v>2276</v>
      </c>
      <c r="S1836" s="4" t="s">
        <v>2276</v>
      </c>
      <c r="T1836" s="4" t="s">
        <v>2276</v>
      </c>
      <c r="U1836" s="4" t="s">
        <v>2276</v>
      </c>
      <c r="V1836" s="4" t="s">
        <v>2276</v>
      </c>
      <c r="W1836" s="4" t="s">
        <v>2276</v>
      </c>
      <c r="X1836" s="3" t="s">
        <v>189</v>
      </c>
      <c r="Y1836" s="3" t="s">
        <v>405</v>
      </c>
      <c r="Z1836" s="3" t="s">
        <v>2655</v>
      </c>
      <c r="AA1836" s="3" t="s">
        <v>5378</v>
      </c>
      <c r="AB1836" s="3"/>
    </row>
    <row r="1837" spans="1:28" ht="37" customHeight="1">
      <c r="A1837" s="156" t="str">
        <f>'Reported burning'!A1837</f>
        <v>213a</v>
      </c>
      <c r="B1837" s="156" t="str">
        <f>'Reported burning'!B1837</f>
        <v>213a.1</v>
      </c>
      <c r="C1837" s="156" t="str">
        <f>'Reported burning'!C1837</f>
        <v>Human, deliberate</v>
      </c>
      <c r="D1837" s="156" t="str">
        <f>'Reported burning'!D1837</f>
        <v>Pyrome management</v>
      </c>
      <c r="E1837" s="156" t="str">
        <f>'Reported burning'!E1837</f>
        <v>Biodiversity conservation</v>
      </c>
      <c r="F1837" s="156" t="str">
        <f>'Reported burning'!F1837</f>
        <v>Shrubland (Mixed forest &amp; grassland)</v>
      </c>
      <c r="G1837" s="156" t="str">
        <f>'Reported burning'!G1837</f>
        <v>ND</v>
      </c>
      <c r="H1837" s="156" t="str">
        <f>'Reported burning'!H1837</f>
        <v>Presence</v>
      </c>
      <c r="I1837" s="5"/>
      <c r="J1837" s="4" t="s">
        <v>2276</v>
      </c>
      <c r="K1837" s="4" t="s">
        <v>2276</v>
      </c>
      <c r="L1837" s="4" t="s">
        <v>2276</v>
      </c>
      <c r="M1837" s="4" t="s">
        <v>2276</v>
      </c>
      <c r="N1837" s="4" t="s">
        <v>2276</v>
      </c>
      <c r="O1837" s="4" t="s">
        <v>2276</v>
      </c>
      <c r="P1837" s="4" t="s">
        <v>2276</v>
      </c>
      <c r="Q1837" s="4" t="s">
        <v>2276</v>
      </c>
      <c r="R1837" s="4" t="s">
        <v>2276</v>
      </c>
      <c r="S1837" s="4" t="s">
        <v>2276</v>
      </c>
      <c r="T1837" s="4" t="s">
        <v>2276</v>
      </c>
      <c r="U1837" s="4" t="s">
        <v>2276</v>
      </c>
      <c r="V1837" s="4" t="s">
        <v>2276</v>
      </c>
      <c r="W1837" s="14" t="s">
        <v>2404</v>
      </c>
      <c r="X1837" s="4" t="s">
        <v>2276</v>
      </c>
      <c r="Y1837" s="4" t="s">
        <v>2276</v>
      </c>
      <c r="Z1837" s="4" t="s">
        <v>2276</v>
      </c>
      <c r="AA1837" s="4" t="s">
        <v>5396</v>
      </c>
      <c r="AB1837" s="4" t="s">
        <v>5392</v>
      </c>
    </row>
    <row r="1838" spans="1:28" ht="50" customHeight="1">
      <c r="A1838" s="156" t="str">
        <f>'Reported burning'!A1838</f>
        <v>213a</v>
      </c>
      <c r="B1838" s="156" t="str">
        <f>'Reported burning'!B1838</f>
        <v>213a.2</v>
      </c>
      <c r="C1838" s="156" t="str">
        <f>'Reported burning'!C1838</f>
        <v>Human, deliberate</v>
      </c>
      <c r="D1838" s="156" t="str">
        <f>'Reported burning'!D1838</f>
        <v>Pyrome management</v>
      </c>
      <c r="E1838" s="156" t="str">
        <f>'Reported burning'!E1838</f>
        <v>Forestry, Traditional</v>
      </c>
      <c r="F1838" s="156" t="str">
        <f>'Reported burning'!F1838</f>
        <v>Shrubland (Mixed forest &amp; grassland)</v>
      </c>
      <c r="G1838" s="156" t="str">
        <f>'Reported burning'!G1838</f>
        <v>ND</v>
      </c>
      <c r="H1838" s="156" t="str">
        <f>'Reported burning'!H1838</f>
        <v>Presence</v>
      </c>
      <c r="I1838" s="5"/>
      <c r="J1838" s="4" t="s">
        <v>2276</v>
      </c>
      <c r="K1838" s="4" t="s">
        <v>2276</v>
      </c>
      <c r="L1838" s="4" t="s">
        <v>2276</v>
      </c>
      <c r="M1838" s="4" t="s">
        <v>2276</v>
      </c>
      <c r="N1838" s="4" t="s">
        <v>2276</v>
      </c>
      <c r="O1838" s="4" t="s">
        <v>2276</v>
      </c>
      <c r="P1838" s="4" t="s">
        <v>2276</v>
      </c>
      <c r="Q1838" s="4" t="s">
        <v>2276</v>
      </c>
      <c r="R1838" s="4" t="s">
        <v>2276</v>
      </c>
      <c r="S1838" s="4" t="s">
        <v>2276</v>
      </c>
      <c r="T1838" s="4" t="s">
        <v>2276</v>
      </c>
      <c r="U1838" s="4" t="s">
        <v>2276</v>
      </c>
      <c r="V1838" s="4" t="s">
        <v>2276</v>
      </c>
      <c r="W1838" s="4" t="s">
        <v>2276</v>
      </c>
      <c r="X1838" s="4" t="s">
        <v>2276</v>
      </c>
      <c r="Y1838" s="4" t="s">
        <v>2276</v>
      </c>
      <c r="Z1838" s="4" t="s">
        <v>2276</v>
      </c>
      <c r="AA1838" s="4" t="s">
        <v>5397</v>
      </c>
      <c r="AB1838" s="4" t="s">
        <v>5391</v>
      </c>
    </row>
    <row r="1839" spans="1:28" ht="34.5" customHeight="1">
      <c r="A1839" s="156" t="str">
        <f>'Reported burning'!A1839</f>
        <v>213a</v>
      </c>
      <c r="B1839" s="156" t="str">
        <f>'Reported burning'!B1839</f>
        <v>213a.3</v>
      </c>
      <c r="C1839" s="156" t="str">
        <f>'Reported burning'!C1839</f>
        <v>Human, escaped</v>
      </c>
      <c r="D1839" s="156" t="str">
        <f>'Reported burning'!D1839</f>
        <v>Pyrome management</v>
      </c>
      <c r="E1839" s="156" t="str">
        <f>'Reported burning'!E1839</f>
        <v>Biodiversity conservation</v>
      </c>
      <c r="F1839" s="156" t="str">
        <f>'Reported burning'!F1839</f>
        <v>Shrubland (Mixed forest &amp; grassland)</v>
      </c>
      <c r="G1839" s="156" t="str">
        <f>'Reported burning'!G1839</f>
        <v>ND</v>
      </c>
      <c r="H1839" s="156" t="str">
        <f>'Reported burning'!H1839</f>
        <v>Presence</v>
      </c>
      <c r="I1839" s="5"/>
      <c r="J1839" s="4" t="s">
        <v>2276</v>
      </c>
      <c r="K1839" s="4" t="s">
        <v>2276</v>
      </c>
      <c r="L1839" s="4" t="s">
        <v>2276</v>
      </c>
      <c r="M1839" s="4" t="s">
        <v>2276</v>
      </c>
      <c r="N1839" s="4" t="s">
        <v>2276</v>
      </c>
      <c r="O1839" s="4" t="s">
        <v>2276</v>
      </c>
      <c r="P1839" s="4" t="s">
        <v>2276</v>
      </c>
      <c r="Q1839" s="4" t="s">
        <v>2276</v>
      </c>
      <c r="R1839" s="4" t="s">
        <v>2276</v>
      </c>
      <c r="S1839" s="4" t="s">
        <v>2276</v>
      </c>
      <c r="T1839" s="4" t="s">
        <v>2276</v>
      </c>
      <c r="U1839" s="4" t="s">
        <v>2276</v>
      </c>
      <c r="V1839" s="4" t="s">
        <v>2276</v>
      </c>
      <c r="W1839" s="4" t="s">
        <v>2276</v>
      </c>
      <c r="X1839" s="4" t="s">
        <v>2276</v>
      </c>
      <c r="Y1839" s="4" t="s">
        <v>2276</v>
      </c>
      <c r="Z1839" s="4" t="s">
        <v>2276</v>
      </c>
      <c r="AA1839" s="3"/>
      <c r="AB1839" s="3"/>
    </row>
    <row r="1840" spans="1:28" ht="45.5" customHeight="1">
      <c r="A1840" s="156" t="str">
        <f>'Reported burning'!A1840</f>
        <v>214a</v>
      </c>
      <c r="B1840" s="156" t="str">
        <f>'Reported burning'!B1840</f>
        <v>214a.1</v>
      </c>
      <c r="C1840" s="156" t="str">
        <f>'Reported burning'!C1840</f>
        <v>Human, deliberate</v>
      </c>
      <c r="D1840" s="156" t="str">
        <f>'Reported burning'!D1840</f>
        <v>Pyrome management</v>
      </c>
      <c r="E1840" s="156" t="str">
        <f>'Reported burning'!E1840</f>
        <v>Forestry, Traditional</v>
      </c>
      <c r="F1840" s="156" t="str">
        <f>'Reported burning'!F1840</f>
        <v>Shrubland (Mixed forest &amp; grassland)</v>
      </c>
      <c r="G1840" s="156" t="str">
        <f>'Reported burning'!G1840</f>
        <v>ND</v>
      </c>
      <c r="H1840" s="156" t="str">
        <f>'Reported burning'!H1840</f>
        <v>Presence</v>
      </c>
      <c r="I1840" s="5"/>
      <c r="J1840" s="4" t="s">
        <v>2276</v>
      </c>
      <c r="K1840" s="4" t="s">
        <v>2276</v>
      </c>
      <c r="L1840" s="4" t="s">
        <v>2276</v>
      </c>
      <c r="M1840" s="4" t="s">
        <v>2276</v>
      </c>
      <c r="N1840" s="4" t="s">
        <v>2276</v>
      </c>
      <c r="O1840" s="4" t="s">
        <v>2276</v>
      </c>
      <c r="P1840" s="4" t="s">
        <v>2276</v>
      </c>
      <c r="Q1840" s="4" t="s">
        <v>2276</v>
      </c>
      <c r="R1840" s="4" t="s">
        <v>2276</v>
      </c>
      <c r="S1840" s="4" t="s">
        <v>2276</v>
      </c>
      <c r="T1840" s="4" t="s">
        <v>2276</v>
      </c>
      <c r="U1840" s="4" t="s">
        <v>2276</v>
      </c>
      <c r="V1840" s="4" t="s">
        <v>2276</v>
      </c>
      <c r="W1840" s="4" t="s">
        <v>2276</v>
      </c>
      <c r="X1840" s="3" t="s">
        <v>38</v>
      </c>
      <c r="Y1840" s="3" t="s">
        <v>68</v>
      </c>
      <c r="Z1840" s="4" t="s">
        <v>2276</v>
      </c>
      <c r="AA1840" s="3"/>
      <c r="AB1840" s="3"/>
    </row>
    <row r="1841" spans="1:28" ht="45.5" customHeight="1">
      <c r="A1841" s="156" t="str">
        <f>'Reported burning'!A1841</f>
        <v>214a</v>
      </c>
      <c r="B1841" s="156" t="str">
        <f>'Reported burning'!B1841</f>
        <v>214a.2</v>
      </c>
      <c r="C1841" s="156" t="str">
        <f>'Reported burning'!C1841</f>
        <v>Human, deliberate</v>
      </c>
      <c r="D1841" s="156" t="str">
        <f>'Reported burning'!D1841</f>
        <v>Hunting</v>
      </c>
      <c r="E1841" s="156" t="str">
        <f>'Reported burning'!E1841</f>
        <v>Forestry, Traditional</v>
      </c>
      <c r="F1841" s="156" t="str">
        <f>'Reported burning'!F1841</f>
        <v>Shrubland (Mixed forest &amp; grassland)</v>
      </c>
      <c r="G1841" s="156" t="str">
        <f>'Reported burning'!G1841</f>
        <v>ND</v>
      </c>
      <c r="H1841" s="156" t="str">
        <f>'Reported burning'!H1841</f>
        <v>Presence</v>
      </c>
      <c r="I1841" s="5"/>
      <c r="J1841" s="4" t="s">
        <v>2276</v>
      </c>
      <c r="K1841" s="4" t="s">
        <v>2276</v>
      </c>
      <c r="L1841" s="4" t="s">
        <v>2276</v>
      </c>
      <c r="M1841" s="4" t="s">
        <v>2276</v>
      </c>
      <c r="N1841" s="4" t="s">
        <v>2276</v>
      </c>
      <c r="O1841" s="4" t="s">
        <v>2276</v>
      </c>
      <c r="P1841" s="4" t="s">
        <v>2276</v>
      </c>
      <c r="Q1841" s="4" t="s">
        <v>2276</v>
      </c>
      <c r="R1841" s="4" t="s">
        <v>2276</v>
      </c>
      <c r="S1841" s="4" t="s">
        <v>2276</v>
      </c>
      <c r="T1841" s="4" t="s">
        <v>2276</v>
      </c>
      <c r="U1841" s="4" t="s">
        <v>2276</v>
      </c>
      <c r="V1841" s="4" t="s">
        <v>2276</v>
      </c>
      <c r="W1841" s="4" t="s">
        <v>2276</v>
      </c>
      <c r="X1841" s="3" t="s">
        <v>38</v>
      </c>
      <c r="Y1841" s="3" t="s">
        <v>68</v>
      </c>
      <c r="Z1841" s="4" t="s">
        <v>2276</v>
      </c>
      <c r="AA1841" s="3"/>
      <c r="AB1841" s="3"/>
    </row>
    <row r="1842" spans="1:28" ht="45.5" customHeight="1">
      <c r="A1842" s="156" t="str">
        <f>'Reported burning'!A1842</f>
        <v>214a</v>
      </c>
      <c r="B1842" s="156" t="str">
        <f>'Reported burning'!B1842</f>
        <v>214a.3</v>
      </c>
      <c r="C1842" s="156" t="str">
        <f>'Reported burning'!C1842</f>
        <v>Human, deliberate</v>
      </c>
      <c r="D1842" s="156" t="str">
        <f>'Reported burning'!D1842</f>
        <v>ND</v>
      </c>
      <c r="E1842" s="156" t="str">
        <f>'Reported burning'!E1842</f>
        <v>Forestry, Traditional</v>
      </c>
      <c r="F1842" s="156" t="str">
        <f>'Reported burning'!F1842</f>
        <v>Shrubland (Mixed forest &amp; grassland)</v>
      </c>
      <c r="G1842" s="156" t="str">
        <f>'Reported burning'!G1842</f>
        <v>ND</v>
      </c>
      <c r="H1842" s="156" t="str">
        <f>'Reported burning'!H1842</f>
        <v>Presence</v>
      </c>
      <c r="I1842" s="5"/>
      <c r="J1842" s="4" t="s">
        <v>2276</v>
      </c>
      <c r="K1842" s="4" t="s">
        <v>2276</v>
      </c>
      <c r="L1842" s="4" t="s">
        <v>2276</v>
      </c>
      <c r="M1842" s="4" t="s">
        <v>2276</v>
      </c>
      <c r="N1842" s="4" t="s">
        <v>2276</v>
      </c>
      <c r="O1842" s="4" t="s">
        <v>2276</v>
      </c>
      <c r="P1842" s="4" t="s">
        <v>2276</v>
      </c>
      <c r="Q1842" s="4" t="s">
        <v>2276</v>
      </c>
      <c r="R1842" s="4" t="s">
        <v>2276</v>
      </c>
      <c r="S1842" s="4" t="s">
        <v>2276</v>
      </c>
      <c r="T1842" s="4" t="s">
        <v>2276</v>
      </c>
      <c r="U1842" s="4" t="s">
        <v>2276</v>
      </c>
      <c r="V1842" s="4" t="s">
        <v>2276</v>
      </c>
      <c r="W1842" s="4" t="s">
        <v>2276</v>
      </c>
      <c r="X1842" s="3" t="s">
        <v>38</v>
      </c>
      <c r="Y1842" s="3" t="s">
        <v>68</v>
      </c>
      <c r="Z1842" s="4" t="s">
        <v>2276</v>
      </c>
      <c r="AA1842" s="3"/>
      <c r="AB1842" s="3"/>
    </row>
    <row r="1843" spans="1:28" ht="53.5" customHeight="1">
      <c r="A1843" s="156" t="str">
        <f>'Reported burning'!A1843</f>
        <v>214a</v>
      </c>
      <c r="B1843" s="156" t="str">
        <f>'Reported burning'!B1843</f>
        <v>214a.4</v>
      </c>
      <c r="C1843" s="156" t="str">
        <f>'Reported burning'!C1843</f>
        <v>Human, deliberate</v>
      </c>
      <c r="D1843" s="156" t="str">
        <f>'Reported burning'!D1843</f>
        <v>Pasture renewal</v>
      </c>
      <c r="E1843" s="156" t="str">
        <f>'Reported burning'!E1843</f>
        <v>Cattle, Intensive</v>
      </c>
      <c r="F1843" s="156" t="str">
        <f>'Reported burning'!F1843</f>
        <v>Pasture</v>
      </c>
      <c r="G1843" s="156" t="str">
        <f>'Reported burning'!G1843</f>
        <v>ND</v>
      </c>
      <c r="H1843" s="156" t="str">
        <f>'Reported burning'!H1843</f>
        <v>Presence</v>
      </c>
      <c r="I1843" s="5"/>
      <c r="J1843" s="4" t="s">
        <v>2276</v>
      </c>
      <c r="K1843" s="4" t="s">
        <v>2276</v>
      </c>
      <c r="L1843" s="4" t="s">
        <v>2276</v>
      </c>
      <c r="M1843" s="4" t="s">
        <v>2276</v>
      </c>
      <c r="N1843" s="4" t="s">
        <v>2276</v>
      </c>
      <c r="O1843" s="4" t="s">
        <v>2276</v>
      </c>
      <c r="P1843" s="4" t="s">
        <v>2276</v>
      </c>
      <c r="Q1843" s="4" t="s">
        <v>2276</v>
      </c>
      <c r="R1843" s="4" t="s">
        <v>2276</v>
      </c>
      <c r="S1843" s="4" t="s">
        <v>2276</v>
      </c>
      <c r="T1843" s="4" t="s">
        <v>2276</v>
      </c>
      <c r="U1843" s="4" t="s">
        <v>2276</v>
      </c>
      <c r="V1843" s="4" t="s">
        <v>2276</v>
      </c>
      <c r="W1843" s="4" t="s">
        <v>2276</v>
      </c>
      <c r="X1843" s="3" t="s">
        <v>38</v>
      </c>
      <c r="Y1843" s="3" t="s">
        <v>68</v>
      </c>
      <c r="Z1843" s="4" t="s">
        <v>2276</v>
      </c>
      <c r="AA1843" s="19" t="s">
        <v>5412</v>
      </c>
      <c r="AB1843" s="3"/>
    </row>
    <row r="1844" spans="1:28" ht="45.5" customHeight="1">
      <c r="A1844" s="156" t="str">
        <f>'Reported burning'!A1844</f>
        <v>214a</v>
      </c>
      <c r="B1844" s="156" t="str">
        <f>'Reported burning'!B1844</f>
        <v>214a.5</v>
      </c>
      <c r="C1844" s="156" t="str">
        <f>'Reported burning'!C1844</f>
        <v>Human, deliberate</v>
      </c>
      <c r="D1844" s="156" t="str">
        <f>'Reported burning'!D1844</f>
        <v>Pyrome management</v>
      </c>
      <c r="E1844" s="156" t="str">
        <f>'Reported burning'!E1844</f>
        <v>Cattle, Intensive</v>
      </c>
      <c r="F1844" s="156" t="str">
        <f>'Reported burning'!F1844</f>
        <v>Pasture</v>
      </c>
      <c r="G1844" s="156" t="str">
        <f>'Reported burning'!G1844</f>
        <v>ND</v>
      </c>
      <c r="H1844" s="156" t="str">
        <f>'Reported burning'!H1844</f>
        <v>Presence</v>
      </c>
      <c r="I1844" s="5"/>
      <c r="J1844" s="4" t="s">
        <v>2276</v>
      </c>
      <c r="K1844" s="4" t="s">
        <v>2276</v>
      </c>
      <c r="L1844" s="4" t="s">
        <v>2276</v>
      </c>
      <c r="M1844" s="4" t="s">
        <v>2276</v>
      </c>
      <c r="N1844" s="4" t="s">
        <v>2276</v>
      </c>
      <c r="O1844" s="4" t="s">
        <v>2276</v>
      </c>
      <c r="P1844" s="4" t="s">
        <v>2276</v>
      </c>
      <c r="Q1844" s="4" t="s">
        <v>2276</v>
      </c>
      <c r="R1844" s="4" t="s">
        <v>2276</v>
      </c>
      <c r="S1844" s="4" t="s">
        <v>2276</v>
      </c>
      <c r="T1844" s="4" t="s">
        <v>2276</v>
      </c>
      <c r="U1844" s="4" t="s">
        <v>2276</v>
      </c>
      <c r="V1844" s="4" t="s">
        <v>2276</v>
      </c>
      <c r="W1844" s="4" t="s">
        <v>2276</v>
      </c>
      <c r="X1844" s="3" t="s">
        <v>38</v>
      </c>
      <c r="Y1844" s="3" t="s">
        <v>68</v>
      </c>
      <c r="Z1844" s="4" t="s">
        <v>2276</v>
      </c>
      <c r="AA1844" s="3"/>
      <c r="AB1844" s="3"/>
    </row>
    <row r="1845" spans="1:28" ht="32.5" customHeight="1">
      <c r="A1845" s="152" t="str">
        <f>'Reported burning'!A1845</f>
        <v>215a</v>
      </c>
      <c r="B1845" s="152" t="str">
        <f>'Reported burning'!B1845</f>
        <v>215a.1</v>
      </c>
      <c r="C1845" s="152" t="str">
        <f>'Reported burning'!C1845</f>
        <v>Human, deliberate</v>
      </c>
      <c r="D1845" s="152" t="str">
        <f>'Reported burning'!D1845</f>
        <v>Pyrome management</v>
      </c>
      <c r="E1845" s="152" t="str">
        <f>'Reported burning'!E1845</f>
        <v>Biodiversity conservation</v>
      </c>
      <c r="F1845" s="152" t="str">
        <f>'Reported burning'!F1845</f>
        <v>Forest</v>
      </c>
      <c r="G1845" s="152" t="str">
        <f>'Reported burning'!G1845</f>
        <v>ND</v>
      </c>
      <c r="H1845" s="152" t="str">
        <f>'Reported burning'!H1845</f>
        <v>Presence</v>
      </c>
      <c r="I1845" s="3"/>
      <c r="J1845" s="4" t="s">
        <v>2276</v>
      </c>
      <c r="K1845" s="4" t="s">
        <v>2276</v>
      </c>
      <c r="L1845" s="4" t="s">
        <v>2276</v>
      </c>
      <c r="M1845" s="4" t="s">
        <v>2276</v>
      </c>
      <c r="N1845" s="4" t="s">
        <v>2276</v>
      </c>
      <c r="O1845" s="4" t="s">
        <v>2276</v>
      </c>
      <c r="P1845" s="4" t="s">
        <v>2276</v>
      </c>
      <c r="Q1845" s="4" t="s">
        <v>2276</v>
      </c>
      <c r="R1845" s="4" t="s">
        <v>2276</v>
      </c>
      <c r="S1845" s="4" t="s">
        <v>2276</v>
      </c>
      <c r="T1845" s="4" t="s">
        <v>2276</v>
      </c>
      <c r="U1845" s="4" t="s">
        <v>2276</v>
      </c>
      <c r="V1845" s="4" t="s">
        <v>2276</v>
      </c>
      <c r="W1845" s="4" t="s">
        <v>2276</v>
      </c>
      <c r="X1845" s="4" t="s">
        <v>2276</v>
      </c>
      <c r="Y1845" s="4" t="s">
        <v>2276</v>
      </c>
      <c r="Z1845" s="4" t="s">
        <v>2276</v>
      </c>
      <c r="AA1845" s="3"/>
      <c r="AB1845" s="3"/>
    </row>
    <row r="1846" spans="1:28" ht="81" customHeight="1">
      <c r="A1846" s="152" t="str">
        <f>'Reported burning'!A1846</f>
        <v>215a</v>
      </c>
      <c r="B1846" s="152" t="str">
        <f>'Reported burning'!B1846</f>
        <v>215a.2</v>
      </c>
      <c r="C1846" s="152" t="str">
        <f>'Reported burning'!C1846</f>
        <v>Human, deliberate</v>
      </c>
      <c r="D1846" s="152" t="str">
        <f>'Reported burning'!D1846</f>
        <v>Harvesting of NTFP</v>
      </c>
      <c r="E1846" s="152" t="str">
        <f>'Reported burning'!E1846</f>
        <v>Forestry, Traditional</v>
      </c>
      <c r="F1846" s="152" t="str">
        <f>'Reported burning'!F1846</f>
        <v>Grassland</v>
      </c>
      <c r="G1846" s="152" t="str">
        <f>'Reported burning'!G1846</f>
        <v>ND</v>
      </c>
      <c r="H1846" s="152" t="str">
        <f>'Reported burning'!H1846</f>
        <v>Presence</v>
      </c>
      <c r="I1846" s="3"/>
      <c r="J1846" s="4" t="s">
        <v>2276</v>
      </c>
      <c r="K1846" s="4" t="s">
        <v>2276</v>
      </c>
      <c r="L1846" s="4" t="s">
        <v>2276</v>
      </c>
      <c r="M1846" s="21" t="s">
        <v>2373</v>
      </c>
      <c r="N1846" s="4" t="s">
        <v>2276</v>
      </c>
      <c r="O1846" s="4" t="s">
        <v>2276</v>
      </c>
      <c r="P1846" s="4" t="s">
        <v>2276</v>
      </c>
      <c r="Q1846" s="4" t="s">
        <v>2276</v>
      </c>
      <c r="R1846" s="4" t="s">
        <v>2276</v>
      </c>
      <c r="S1846" s="4" t="s">
        <v>2276</v>
      </c>
      <c r="T1846" s="21" t="s">
        <v>2527</v>
      </c>
      <c r="U1846" s="4" t="s">
        <v>2276</v>
      </c>
      <c r="V1846" s="4" t="s">
        <v>2276</v>
      </c>
      <c r="W1846" s="21" t="s">
        <v>2401</v>
      </c>
      <c r="X1846" s="4" t="s">
        <v>2276</v>
      </c>
      <c r="Y1846" s="4" t="s">
        <v>2276</v>
      </c>
      <c r="Z1846" s="4" t="s">
        <v>2276</v>
      </c>
      <c r="AA1846" s="3"/>
      <c r="AB1846" s="4" t="s">
        <v>5419</v>
      </c>
    </row>
    <row r="1847" spans="1:28" ht="45.5" customHeight="1">
      <c r="A1847" s="156" t="str">
        <f>'Reported burning'!A1847</f>
        <v>216a</v>
      </c>
      <c r="B1847" s="156" t="str">
        <f>'Reported burning'!B1847</f>
        <v>216a.1</v>
      </c>
      <c r="C1847" s="156" t="str">
        <f>'Reported burning'!C1847</f>
        <v>Human, deliberate</v>
      </c>
      <c r="D1847" s="156" t="str">
        <f>'Reported burning'!D1847</f>
        <v>Pyrome management</v>
      </c>
      <c r="E1847" s="156" t="str">
        <f>'Reported burning'!E1847</f>
        <v>Biodiversity conservation</v>
      </c>
      <c r="F1847" s="156" t="str">
        <f>'Reported burning'!F1847</f>
        <v>Shrubland (Mixed forest &amp; grassland)</v>
      </c>
      <c r="G1847" s="156" t="str">
        <f>'Reported burning'!G1847</f>
        <v>ND</v>
      </c>
      <c r="H1847" s="156" t="str">
        <f>'Reported burning'!H1847</f>
        <v>Presence</v>
      </c>
      <c r="I1847" s="5"/>
      <c r="J1847" s="4" t="s">
        <v>2276</v>
      </c>
      <c r="K1847" s="4" t="s">
        <v>2276</v>
      </c>
      <c r="L1847" s="4" t="s">
        <v>2276</v>
      </c>
      <c r="M1847" s="4" t="s">
        <v>2276</v>
      </c>
      <c r="N1847" s="4" t="s">
        <v>2276</v>
      </c>
      <c r="O1847" s="4" t="s">
        <v>2276</v>
      </c>
      <c r="P1847" s="4" t="s">
        <v>2276</v>
      </c>
      <c r="Q1847" s="4" t="s">
        <v>2276</v>
      </c>
      <c r="R1847" s="4" t="s">
        <v>2276</v>
      </c>
      <c r="S1847" s="4" t="s">
        <v>2276</v>
      </c>
      <c r="T1847" s="4" t="s">
        <v>2276</v>
      </c>
      <c r="U1847" s="4" t="s">
        <v>2276</v>
      </c>
      <c r="V1847" s="4" t="s">
        <v>2276</v>
      </c>
      <c r="W1847" s="4" t="s">
        <v>2276</v>
      </c>
      <c r="X1847" s="3" t="s">
        <v>38</v>
      </c>
      <c r="Y1847" s="3" t="s">
        <v>404</v>
      </c>
      <c r="Z1847" s="3" t="s">
        <v>2655</v>
      </c>
      <c r="AA1847" s="3"/>
      <c r="AB1847" s="3"/>
    </row>
    <row r="1848" spans="1:28" ht="45.5" customHeight="1">
      <c r="A1848" s="156" t="str">
        <f>'Reported burning'!A1848</f>
        <v>216a</v>
      </c>
      <c r="B1848" s="156" t="str">
        <f>'Reported burning'!B1848</f>
        <v>216a.2</v>
      </c>
      <c r="C1848" s="156" t="str">
        <f>'Reported burning'!C1848</f>
        <v>Human, deliberate</v>
      </c>
      <c r="D1848" s="156" t="str">
        <f>'Reported burning'!D1848</f>
        <v>Pyrome management</v>
      </c>
      <c r="E1848" s="156" t="str">
        <f>'Reported burning'!E1848</f>
        <v>Forestry, Traditional</v>
      </c>
      <c r="F1848" s="156" t="str">
        <f>'Reported burning'!F1848</f>
        <v>Shrubland (Mixed forest &amp; grassland)</v>
      </c>
      <c r="G1848" s="156" t="str">
        <f>'Reported burning'!G1848</f>
        <v>ND</v>
      </c>
      <c r="H1848" s="156" t="str">
        <f>'Reported burning'!H1848</f>
        <v>Presence</v>
      </c>
      <c r="I1848" s="5"/>
      <c r="J1848" s="4" t="s">
        <v>2276</v>
      </c>
      <c r="K1848" s="4" t="s">
        <v>2276</v>
      </c>
      <c r="L1848" s="4" t="s">
        <v>2276</v>
      </c>
      <c r="M1848" s="4" t="s">
        <v>2276</v>
      </c>
      <c r="N1848" s="4" t="s">
        <v>2276</v>
      </c>
      <c r="O1848" s="4" t="s">
        <v>2276</v>
      </c>
      <c r="P1848" s="4" t="s">
        <v>2276</v>
      </c>
      <c r="Q1848" s="4" t="s">
        <v>2276</v>
      </c>
      <c r="R1848" s="4" t="s">
        <v>2276</v>
      </c>
      <c r="S1848" s="4" t="s">
        <v>2276</v>
      </c>
      <c r="T1848" s="4" t="s">
        <v>2276</v>
      </c>
      <c r="U1848" s="4" t="s">
        <v>2276</v>
      </c>
      <c r="V1848" s="4" t="s">
        <v>2276</v>
      </c>
      <c r="W1848" s="4" t="s">
        <v>2276</v>
      </c>
      <c r="X1848" s="3" t="s">
        <v>38</v>
      </c>
      <c r="Y1848" s="3" t="s">
        <v>404</v>
      </c>
      <c r="Z1848" s="3" t="s">
        <v>2655</v>
      </c>
      <c r="AA1848" s="3"/>
      <c r="AB1848" s="3"/>
    </row>
    <row r="1849" spans="1:28" ht="31.5" customHeight="1">
      <c r="A1849" s="156" t="str">
        <f>'Reported burning'!A1849</f>
        <v>217a</v>
      </c>
      <c r="B1849" s="156" t="str">
        <f>'Reported burning'!B1849</f>
        <v>217a.1</v>
      </c>
      <c r="C1849" s="156" t="str">
        <f>'Reported burning'!C1849</f>
        <v>Human, deliberate</v>
      </c>
      <c r="D1849" s="156" t="str">
        <f>'Reported burning'!D1849</f>
        <v>Pyrome management</v>
      </c>
      <c r="E1849" s="156" t="str">
        <f>'Reported burning'!E1849</f>
        <v>Biodiversity conservation</v>
      </c>
      <c r="F1849" s="156" t="str">
        <f>'Reported burning'!F1849</f>
        <v>Forest</v>
      </c>
      <c r="G1849" s="156" t="str">
        <f>'Reported burning'!G1849</f>
        <v>ND</v>
      </c>
      <c r="H1849" s="156" t="str">
        <f>'Reported burning'!H1849</f>
        <v>Absence</v>
      </c>
      <c r="I1849" s="3">
        <v>2016</v>
      </c>
      <c r="J1849" s="21">
        <v>0</v>
      </c>
      <c r="K1849" s="21">
        <v>0</v>
      </c>
      <c r="L1849" s="21">
        <v>0</v>
      </c>
      <c r="M1849" s="21">
        <v>0</v>
      </c>
      <c r="N1849" s="21">
        <v>0</v>
      </c>
      <c r="O1849" s="21">
        <v>0</v>
      </c>
      <c r="P1849" s="21">
        <v>0</v>
      </c>
      <c r="Q1849" s="21">
        <v>0</v>
      </c>
      <c r="R1849" s="21">
        <v>0</v>
      </c>
      <c r="S1849" s="21">
        <v>0</v>
      </c>
      <c r="T1849" s="21">
        <v>0</v>
      </c>
      <c r="U1849" s="21">
        <v>0</v>
      </c>
      <c r="V1849" s="21">
        <v>0</v>
      </c>
      <c r="W1849" s="21">
        <v>0</v>
      </c>
      <c r="X1849" s="4" t="s">
        <v>2276</v>
      </c>
      <c r="Y1849" s="4" t="s">
        <v>2276</v>
      </c>
      <c r="Z1849" s="4" t="s">
        <v>2276</v>
      </c>
      <c r="AA1849" s="4" t="s">
        <v>5435</v>
      </c>
      <c r="AB1849" s="3"/>
    </row>
    <row r="1850" spans="1:28" ht="31.5" customHeight="1">
      <c r="A1850" s="156" t="str">
        <f>'Reported burning'!A1850</f>
        <v>217a</v>
      </c>
      <c r="B1850" s="156" t="str">
        <f>'Reported burning'!B1850</f>
        <v>217a.2</v>
      </c>
      <c r="C1850" s="156" t="str">
        <f>'Reported burning'!C1850</f>
        <v>Human, deliberate</v>
      </c>
      <c r="D1850" s="156" t="str">
        <f>'Reported burning'!D1850</f>
        <v>Pyrome management</v>
      </c>
      <c r="E1850" s="156" t="str">
        <f>'Reported burning'!E1850</f>
        <v>Forestry, Traditional</v>
      </c>
      <c r="F1850" s="156" t="str">
        <f>'Reported burning'!F1850</f>
        <v>Forest</v>
      </c>
      <c r="G1850" s="156" t="str">
        <f>'Reported burning'!G1850</f>
        <v>ND</v>
      </c>
      <c r="H1850" s="156" t="str">
        <f>'Reported burning'!H1850</f>
        <v>Absence</v>
      </c>
      <c r="I1850" s="3">
        <v>2016</v>
      </c>
      <c r="J1850" s="21">
        <v>0</v>
      </c>
      <c r="K1850" s="21">
        <v>0</v>
      </c>
      <c r="L1850" s="21">
        <v>0</v>
      </c>
      <c r="M1850" s="21">
        <v>0</v>
      </c>
      <c r="N1850" s="21">
        <v>0</v>
      </c>
      <c r="O1850" s="21">
        <v>0</v>
      </c>
      <c r="P1850" s="21">
        <v>0</v>
      </c>
      <c r="Q1850" s="21">
        <v>0</v>
      </c>
      <c r="R1850" s="21">
        <v>0</v>
      </c>
      <c r="S1850" s="21">
        <v>0</v>
      </c>
      <c r="T1850" s="21">
        <v>0</v>
      </c>
      <c r="U1850" s="21">
        <v>0</v>
      </c>
      <c r="V1850" s="21">
        <v>0</v>
      </c>
      <c r="W1850" s="21">
        <v>0</v>
      </c>
      <c r="X1850" s="4" t="s">
        <v>2276</v>
      </c>
      <c r="Y1850" s="4" t="s">
        <v>2276</v>
      </c>
      <c r="Z1850" s="4" t="s">
        <v>2276</v>
      </c>
      <c r="AA1850" s="4" t="s">
        <v>5435</v>
      </c>
      <c r="AB1850" s="3"/>
    </row>
    <row r="1851" spans="1:28" ht="31.5" customHeight="1">
      <c r="A1851" s="156" t="str">
        <f>'Reported burning'!A1851</f>
        <v>217a</v>
      </c>
      <c r="B1851" s="156" t="str">
        <f>'Reported burning'!B1851</f>
        <v>217a.3</v>
      </c>
      <c r="C1851" s="156" t="str">
        <f>'Reported burning'!C1851</f>
        <v>Lightning</v>
      </c>
      <c r="D1851" s="156" t="str">
        <f>'Reported burning'!D1851</f>
        <v>ND</v>
      </c>
      <c r="E1851" s="156" t="str">
        <f>'Reported burning'!E1851</f>
        <v>ND</v>
      </c>
      <c r="F1851" s="156" t="str">
        <f>'Reported burning'!F1851</f>
        <v>ND</v>
      </c>
      <c r="G1851" s="156" t="str">
        <f>'Reported burning'!G1851</f>
        <v>Forest</v>
      </c>
      <c r="H1851" s="156" t="str">
        <f>'Reported burning'!H1851</f>
        <v>Presence</v>
      </c>
      <c r="I1851" s="3">
        <v>2016</v>
      </c>
      <c r="J1851" s="4" t="s">
        <v>2276</v>
      </c>
      <c r="K1851" s="4" t="s">
        <v>2276</v>
      </c>
      <c r="L1851" s="4" t="s">
        <v>2276</v>
      </c>
      <c r="M1851" s="4" t="s">
        <v>2276</v>
      </c>
      <c r="N1851" s="4" t="s">
        <v>2276</v>
      </c>
      <c r="O1851" s="4" t="s">
        <v>2276</v>
      </c>
      <c r="P1851" s="4" t="s">
        <v>2276</v>
      </c>
      <c r="Q1851" s="4" t="s">
        <v>2276</v>
      </c>
      <c r="R1851" s="4" t="s">
        <v>2276</v>
      </c>
      <c r="S1851" s="4" t="s">
        <v>2276</v>
      </c>
      <c r="T1851" s="4" t="s">
        <v>2276</v>
      </c>
      <c r="U1851" s="4" t="s">
        <v>2276</v>
      </c>
      <c r="V1851" s="4" t="s">
        <v>2276</v>
      </c>
      <c r="W1851" s="4" t="s">
        <v>2276</v>
      </c>
      <c r="X1851" s="3" t="s">
        <v>405</v>
      </c>
      <c r="Y1851" s="4" t="s">
        <v>2276</v>
      </c>
      <c r="Z1851" s="4" t="s">
        <v>2276</v>
      </c>
      <c r="AA1851" s="4" t="s">
        <v>5436</v>
      </c>
      <c r="AB1851" s="3"/>
    </row>
    <row r="1852" spans="1:28" ht="31.5" customHeight="1">
      <c r="A1852" s="156" t="str">
        <f>'Reported burning'!A1852</f>
        <v>217a</v>
      </c>
      <c r="B1852" s="156" t="str">
        <f>'Reported burning'!B1852</f>
        <v>217a.4</v>
      </c>
      <c r="C1852" s="156" t="str">
        <f>'Reported burning'!C1852</f>
        <v>Human, deliberate</v>
      </c>
      <c r="D1852" s="156" t="str">
        <f>'Reported burning'!D1852</f>
        <v>Pyrome management</v>
      </c>
      <c r="E1852" s="156" t="str">
        <f>'Reported burning'!E1852</f>
        <v>Biodiversity conservation</v>
      </c>
      <c r="F1852" s="156" t="str">
        <f>'Reported burning'!F1852</f>
        <v>Forest</v>
      </c>
      <c r="G1852" s="156" t="str">
        <f>'Reported burning'!G1852</f>
        <v>ND</v>
      </c>
      <c r="H1852" s="156" t="str">
        <f>'Reported burning'!H1852</f>
        <v>Presence</v>
      </c>
      <c r="I1852" s="11">
        <v>2017</v>
      </c>
      <c r="J1852" s="4" t="s">
        <v>2276</v>
      </c>
      <c r="K1852" s="4" t="s">
        <v>2276</v>
      </c>
      <c r="L1852" s="4" t="s">
        <v>2276</v>
      </c>
      <c r="M1852" s="4" t="s">
        <v>2276</v>
      </c>
      <c r="N1852" s="4" t="s">
        <v>2276</v>
      </c>
      <c r="O1852" s="4" t="s">
        <v>2276</v>
      </c>
      <c r="P1852" s="4" t="s">
        <v>2276</v>
      </c>
      <c r="Q1852" s="4" t="s">
        <v>2276</v>
      </c>
      <c r="R1852" s="4" t="s">
        <v>2276</v>
      </c>
      <c r="S1852" s="4" t="s">
        <v>2276</v>
      </c>
      <c r="T1852" s="4" t="s">
        <v>2276</v>
      </c>
      <c r="U1852" s="4" t="s">
        <v>2276</v>
      </c>
      <c r="V1852" s="4" t="s">
        <v>2276</v>
      </c>
      <c r="W1852" s="4" t="s">
        <v>2276</v>
      </c>
      <c r="X1852" s="4" t="s">
        <v>2276</v>
      </c>
      <c r="Y1852" s="4" t="s">
        <v>2276</v>
      </c>
      <c r="Z1852" s="4" t="s">
        <v>2276</v>
      </c>
      <c r="AA1852" s="4" t="s">
        <v>5435</v>
      </c>
      <c r="AB1852" s="3"/>
    </row>
    <row r="1853" spans="1:28" ht="31.5" customHeight="1">
      <c r="A1853" s="156" t="str">
        <f>'Reported burning'!A1853</f>
        <v>217a</v>
      </c>
      <c r="B1853" s="156" t="str">
        <f>'Reported burning'!B1853</f>
        <v>217a.5</v>
      </c>
      <c r="C1853" s="156" t="str">
        <f>'Reported burning'!C1853</f>
        <v>Human, deliberate</v>
      </c>
      <c r="D1853" s="156" t="str">
        <f>'Reported burning'!D1853</f>
        <v>Pyrome management</v>
      </c>
      <c r="E1853" s="156" t="str">
        <f>'Reported burning'!E1853</f>
        <v>Forestry, Traditional</v>
      </c>
      <c r="F1853" s="156" t="str">
        <f>'Reported burning'!F1853</f>
        <v>Forest</v>
      </c>
      <c r="G1853" s="156" t="str">
        <f>'Reported burning'!G1853</f>
        <v>ND</v>
      </c>
      <c r="H1853" s="156" t="str">
        <f>'Reported burning'!H1853</f>
        <v>Presence</v>
      </c>
      <c r="I1853" s="11">
        <v>2017</v>
      </c>
      <c r="J1853" s="4" t="s">
        <v>2276</v>
      </c>
      <c r="K1853" s="4" t="s">
        <v>2276</v>
      </c>
      <c r="L1853" s="4" t="s">
        <v>2276</v>
      </c>
      <c r="M1853" s="4" t="s">
        <v>2276</v>
      </c>
      <c r="N1853" s="4" t="s">
        <v>2276</v>
      </c>
      <c r="O1853" s="4" t="s">
        <v>2276</v>
      </c>
      <c r="P1853" s="4" t="s">
        <v>2276</v>
      </c>
      <c r="Q1853" s="4" t="s">
        <v>2276</v>
      </c>
      <c r="R1853" s="4" t="s">
        <v>2276</v>
      </c>
      <c r="S1853" s="4" t="s">
        <v>2276</v>
      </c>
      <c r="T1853" s="4" t="s">
        <v>2276</v>
      </c>
      <c r="U1853" s="4" t="s">
        <v>2276</v>
      </c>
      <c r="V1853" s="4" t="s">
        <v>2276</v>
      </c>
      <c r="W1853" s="4" t="s">
        <v>2276</v>
      </c>
      <c r="X1853" s="4" t="s">
        <v>2276</v>
      </c>
      <c r="Y1853" s="4" t="s">
        <v>2276</v>
      </c>
      <c r="Z1853" s="4" t="s">
        <v>2276</v>
      </c>
      <c r="AA1853" s="4" t="s">
        <v>5435</v>
      </c>
      <c r="AB1853" s="3"/>
    </row>
    <row r="1854" spans="1:28" ht="51.5" customHeight="1">
      <c r="A1854" s="152" t="str">
        <f>'Reported burning'!A1854</f>
        <v>218a</v>
      </c>
      <c r="B1854" s="152" t="str">
        <f>'Reported burning'!B1854</f>
        <v>218a.1</v>
      </c>
      <c r="C1854" s="152" t="str">
        <f>'Reported burning'!C1854</f>
        <v>Human, deliberate</v>
      </c>
      <c r="D1854" s="152" t="str">
        <f>'Reported burning'!D1854</f>
        <v>Crop field preparation</v>
      </c>
      <c r="E1854" s="152" t="str">
        <f>'Reported burning'!E1854</f>
        <v>Cropping, Swidden</v>
      </c>
      <c r="F1854" s="152" t="str">
        <f>'Reported burning'!F1854</f>
        <v>Secondary vegetation</v>
      </c>
      <c r="G1854" s="152" t="str">
        <f>'Reported burning'!G1854</f>
        <v>ND</v>
      </c>
      <c r="H1854" s="152" t="str">
        <f>'Reported burning'!H1854</f>
        <v>Presence</v>
      </c>
      <c r="I1854" s="3"/>
      <c r="J1854" s="4" t="s">
        <v>2276</v>
      </c>
      <c r="K1854" s="4" t="s">
        <v>2276</v>
      </c>
      <c r="L1854" s="4" t="s">
        <v>2276</v>
      </c>
      <c r="M1854" s="4" t="s">
        <v>2276</v>
      </c>
      <c r="N1854" s="4" t="s">
        <v>2276</v>
      </c>
      <c r="O1854" s="4" t="s">
        <v>2276</v>
      </c>
      <c r="P1854" s="4" t="s">
        <v>2276</v>
      </c>
      <c r="Q1854" s="4" t="s">
        <v>2276</v>
      </c>
      <c r="R1854" s="4" t="s">
        <v>2276</v>
      </c>
      <c r="S1854" s="4" t="s">
        <v>2276</v>
      </c>
      <c r="T1854" s="4" t="s">
        <v>2276</v>
      </c>
      <c r="U1854" s="4" t="s">
        <v>2276</v>
      </c>
      <c r="V1854" s="4" t="s">
        <v>2276</v>
      </c>
      <c r="W1854" s="21" t="s">
        <v>2404</v>
      </c>
      <c r="X1854" s="3" t="s">
        <v>86</v>
      </c>
      <c r="Y1854" s="3" t="s">
        <v>86</v>
      </c>
      <c r="Z1854" s="4" t="s">
        <v>2276</v>
      </c>
      <c r="AA1854" s="3"/>
      <c r="AB1854" s="19" t="s">
        <v>5463</v>
      </c>
    </row>
    <row r="1855" spans="1:28" ht="50.5" customHeight="1">
      <c r="A1855" s="152" t="str">
        <f>'Reported burning'!A1855</f>
        <v>218a</v>
      </c>
      <c r="B1855" s="152" t="str">
        <f>'Reported burning'!B1855</f>
        <v>218a.2</v>
      </c>
      <c r="C1855" s="152" t="str">
        <f>'Reported burning'!C1855</f>
        <v>Human, deliberate</v>
      </c>
      <c r="D1855" s="152" t="str">
        <f>'Reported burning'!D1855</f>
        <v>Crop field preparation</v>
      </c>
      <c r="E1855" s="152" t="str">
        <f>'Reported burning'!E1855</f>
        <v>Cropping, Swidden</v>
      </c>
      <c r="F1855" s="152" t="str">
        <f>'Reported burning'!F1855</f>
        <v>Cropland</v>
      </c>
      <c r="G1855" s="152" t="str">
        <f>'Reported burning'!G1855</f>
        <v>ND</v>
      </c>
      <c r="H1855" s="152" t="str">
        <f>'Reported burning'!H1855</f>
        <v>Presence</v>
      </c>
      <c r="I1855" s="5"/>
      <c r="J1855" s="4" t="s">
        <v>2276</v>
      </c>
      <c r="K1855" s="4" t="s">
        <v>2276</v>
      </c>
      <c r="L1855" s="4" t="s">
        <v>2276</v>
      </c>
      <c r="M1855" s="4" t="s">
        <v>2276</v>
      </c>
      <c r="N1855" s="4" t="s">
        <v>2276</v>
      </c>
      <c r="O1855" s="4" t="s">
        <v>2276</v>
      </c>
      <c r="P1855" s="4" t="s">
        <v>2276</v>
      </c>
      <c r="Q1855" s="4" t="s">
        <v>2276</v>
      </c>
      <c r="R1855" s="4" t="s">
        <v>2276</v>
      </c>
      <c r="S1855" s="4" t="s">
        <v>2276</v>
      </c>
      <c r="T1855" s="4" t="s">
        <v>2276</v>
      </c>
      <c r="U1855" s="4" t="s">
        <v>2276</v>
      </c>
      <c r="V1855" s="4" t="s">
        <v>2276</v>
      </c>
      <c r="W1855" s="4" t="s">
        <v>2276</v>
      </c>
      <c r="X1855" s="3" t="s">
        <v>86</v>
      </c>
      <c r="Y1855" s="3" t="s">
        <v>86</v>
      </c>
      <c r="Z1855" s="4" t="s">
        <v>2276</v>
      </c>
      <c r="AA1855" s="3"/>
      <c r="AB1855" s="3"/>
    </row>
    <row r="1856" spans="1:28" ht="50.5" customHeight="1">
      <c r="A1856" s="152" t="str">
        <f>'Reported burning'!A1856</f>
        <v>218a</v>
      </c>
      <c r="B1856" s="152" t="str">
        <f>'Reported burning'!B1856</f>
        <v>218a.3</v>
      </c>
      <c r="C1856" s="152" t="str">
        <f>'Reported burning'!C1856</f>
        <v>Human, deliberate</v>
      </c>
      <c r="D1856" s="152" t="str">
        <f>'Reported burning'!D1856</f>
        <v>Crop residue burning</v>
      </c>
      <c r="E1856" s="152" t="str">
        <f>'Reported burning'!E1856</f>
        <v>Cropping, Swidden</v>
      </c>
      <c r="F1856" s="152" t="str">
        <f>'Reported burning'!F1856</f>
        <v>Cropland</v>
      </c>
      <c r="G1856" s="152" t="str">
        <f>'Reported burning'!G1856</f>
        <v>ND</v>
      </c>
      <c r="H1856" s="152" t="str">
        <f>'Reported burning'!H1856</f>
        <v>Presence</v>
      </c>
      <c r="I1856" s="5"/>
      <c r="J1856" s="4" t="s">
        <v>2276</v>
      </c>
      <c r="K1856" s="4" t="s">
        <v>2276</v>
      </c>
      <c r="L1856" s="4" t="s">
        <v>2276</v>
      </c>
      <c r="M1856" s="4" t="s">
        <v>2276</v>
      </c>
      <c r="N1856" s="4" t="s">
        <v>2276</v>
      </c>
      <c r="O1856" s="4" t="s">
        <v>2276</v>
      </c>
      <c r="P1856" s="4" t="s">
        <v>2276</v>
      </c>
      <c r="Q1856" s="4" t="s">
        <v>2276</v>
      </c>
      <c r="R1856" s="4" t="s">
        <v>2276</v>
      </c>
      <c r="S1856" s="4" t="s">
        <v>2276</v>
      </c>
      <c r="T1856" s="4" t="s">
        <v>2276</v>
      </c>
      <c r="U1856" s="4" t="s">
        <v>2276</v>
      </c>
      <c r="V1856" s="4" t="s">
        <v>2276</v>
      </c>
      <c r="W1856" s="4" t="s">
        <v>2276</v>
      </c>
      <c r="X1856" s="3" t="s">
        <v>35</v>
      </c>
      <c r="Y1856" s="3" t="s">
        <v>127</v>
      </c>
      <c r="Z1856" s="3" t="s">
        <v>2655</v>
      </c>
      <c r="AA1856" s="3" t="s">
        <v>5460</v>
      </c>
      <c r="AB1856" s="3"/>
    </row>
    <row r="1857" spans="1:28" ht="50.5" customHeight="1">
      <c r="A1857" s="152" t="str">
        <f>'Reported burning'!A1857</f>
        <v>218a</v>
      </c>
      <c r="B1857" s="152" t="str">
        <f>'Reported burning'!B1857</f>
        <v>218a.4</v>
      </c>
      <c r="C1857" s="152" t="str">
        <f>'Reported burning'!C1857</f>
        <v>Human, deliberate</v>
      </c>
      <c r="D1857" s="152" t="str">
        <f>'Reported burning'!D1857</f>
        <v>Crop field preparation</v>
      </c>
      <c r="E1857" s="152" t="str">
        <f>'Reported burning'!E1857</f>
        <v>Cropping, Monoculture, Subsistence-oriented</v>
      </c>
      <c r="F1857" s="152" t="str">
        <f>'Reported burning'!F1857</f>
        <v>Cropland</v>
      </c>
      <c r="G1857" s="152" t="str">
        <f>'Reported burning'!G1857</f>
        <v>ND</v>
      </c>
      <c r="H1857" s="152" t="str">
        <f>'Reported burning'!H1857</f>
        <v>Presence</v>
      </c>
      <c r="I1857" s="5"/>
      <c r="J1857" s="4" t="s">
        <v>2276</v>
      </c>
      <c r="K1857" s="4" t="s">
        <v>2276</v>
      </c>
      <c r="L1857" s="4" t="s">
        <v>2276</v>
      </c>
      <c r="M1857" s="4" t="s">
        <v>2276</v>
      </c>
      <c r="N1857" s="4" t="s">
        <v>2276</v>
      </c>
      <c r="O1857" s="4" t="s">
        <v>2276</v>
      </c>
      <c r="P1857" s="4" t="s">
        <v>2276</v>
      </c>
      <c r="Q1857" s="4" t="s">
        <v>2276</v>
      </c>
      <c r="R1857" s="4" t="s">
        <v>2276</v>
      </c>
      <c r="S1857" s="4" t="s">
        <v>2276</v>
      </c>
      <c r="T1857" s="4" t="s">
        <v>2276</v>
      </c>
      <c r="U1857" s="4" t="s">
        <v>2276</v>
      </c>
      <c r="V1857" s="4" t="s">
        <v>2276</v>
      </c>
      <c r="W1857" s="4" t="s">
        <v>2276</v>
      </c>
      <c r="X1857" s="3" t="s">
        <v>189</v>
      </c>
      <c r="Y1857" s="3" t="s">
        <v>86</v>
      </c>
      <c r="Z1857" s="3" t="s">
        <v>64</v>
      </c>
      <c r="AA1857" s="19" t="s">
        <v>5459</v>
      </c>
      <c r="AB1857" s="3"/>
    </row>
    <row r="1858" spans="1:28" ht="50.5" customHeight="1">
      <c r="A1858" s="152" t="str">
        <f>'Reported burning'!A1858</f>
        <v>218a</v>
      </c>
      <c r="B1858" s="152" t="str">
        <f>'Reported burning'!B1858</f>
        <v>218a.5</v>
      </c>
      <c r="C1858" s="152" t="str">
        <f>'Reported burning'!C1858</f>
        <v>Human, deliberate</v>
      </c>
      <c r="D1858" s="152" t="str">
        <f>'Reported burning'!D1858</f>
        <v>Pasture renewal</v>
      </c>
      <c r="E1858" s="152" t="str">
        <f>'Reported burning'!E1858</f>
        <v>Pastoralism, Migratory</v>
      </c>
      <c r="F1858" s="152" t="str">
        <f>'Reported burning'!F1858</f>
        <v>Shrubland (Mixed forest &amp; grassland)</v>
      </c>
      <c r="G1858" s="152" t="str">
        <f>'Reported burning'!G1858</f>
        <v>ND</v>
      </c>
      <c r="H1858" s="152" t="str">
        <f>'Reported burning'!H1858</f>
        <v>Presence</v>
      </c>
      <c r="I1858" s="5"/>
      <c r="J1858" s="4" t="s">
        <v>2276</v>
      </c>
      <c r="K1858" s="4" t="s">
        <v>2276</v>
      </c>
      <c r="L1858" s="4" t="s">
        <v>2276</v>
      </c>
      <c r="M1858" s="4" t="s">
        <v>2276</v>
      </c>
      <c r="N1858" s="4" t="s">
        <v>2276</v>
      </c>
      <c r="O1858" s="4" t="s">
        <v>2276</v>
      </c>
      <c r="P1858" s="4" t="s">
        <v>2276</v>
      </c>
      <c r="Q1858" s="4" t="s">
        <v>2276</v>
      </c>
      <c r="R1858" s="4" t="s">
        <v>2276</v>
      </c>
      <c r="S1858" s="4" t="s">
        <v>2276</v>
      </c>
      <c r="T1858" s="4" t="s">
        <v>2276</v>
      </c>
      <c r="U1858" s="4" t="s">
        <v>2276</v>
      </c>
      <c r="V1858" s="4" t="s">
        <v>2276</v>
      </c>
      <c r="W1858" s="4" t="s">
        <v>2276</v>
      </c>
      <c r="X1858" s="3" t="s">
        <v>38</v>
      </c>
      <c r="Y1858" s="3" t="s">
        <v>86</v>
      </c>
      <c r="Z1858" s="4" t="s">
        <v>2276</v>
      </c>
      <c r="AA1858" s="3" t="s">
        <v>5460</v>
      </c>
      <c r="AB1858" s="3"/>
    </row>
    <row r="1859" spans="1:28" ht="50.5" customHeight="1">
      <c r="A1859" s="152" t="str">
        <f>'Reported burning'!A1859</f>
        <v>218a</v>
      </c>
      <c r="B1859" s="152" t="str">
        <f>'Reported burning'!B1859</f>
        <v>218a.6</v>
      </c>
      <c r="C1859" s="152" t="str">
        <f>'Reported burning'!C1859</f>
        <v>Human, deliberate</v>
      </c>
      <c r="D1859" s="152" t="str">
        <f>'Reported burning'!D1859</f>
        <v>Accessibility</v>
      </c>
      <c r="E1859" s="152" t="str">
        <f>'Reported burning'!E1859</f>
        <v>Forestry, Traditional</v>
      </c>
      <c r="F1859" s="152" t="str">
        <f>'Reported burning'!F1859</f>
        <v>Shrubland (Mixed forest &amp; grassland)</v>
      </c>
      <c r="G1859" s="152" t="str">
        <f>'Reported burning'!G1859</f>
        <v>ND</v>
      </c>
      <c r="H1859" s="152" t="str">
        <f>'Reported burning'!H1859</f>
        <v>Presence</v>
      </c>
      <c r="I1859" s="5"/>
      <c r="J1859" s="4" t="s">
        <v>2276</v>
      </c>
      <c r="K1859" s="4" t="s">
        <v>2276</v>
      </c>
      <c r="L1859" s="4" t="s">
        <v>2276</v>
      </c>
      <c r="M1859" s="4" t="s">
        <v>2276</v>
      </c>
      <c r="N1859" s="4" t="s">
        <v>2276</v>
      </c>
      <c r="O1859" s="4" t="s">
        <v>2276</v>
      </c>
      <c r="P1859" s="4" t="s">
        <v>2276</v>
      </c>
      <c r="Q1859" s="4" t="s">
        <v>2276</v>
      </c>
      <c r="R1859" s="4" t="s">
        <v>2276</v>
      </c>
      <c r="S1859" s="4" t="s">
        <v>2276</v>
      </c>
      <c r="T1859" s="4" t="s">
        <v>2276</v>
      </c>
      <c r="U1859" s="4" t="s">
        <v>2276</v>
      </c>
      <c r="V1859" s="4" t="s">
        <v>2276</v>
      </c>
      <c r="W1859" s="4" t="s">
        <v>2276</v>
      </c>
      <c r="X1859" s="3" t="s">
        <v>2276</v>
      </c>
      <c r="Y1859" s="3" t="s">
        <v>2276</v>
      </c>
      <c r="Z1859" s="3" t="s">
        <v>2276</v>
      </c>
      <c r="AA1859" s="3"/>
      <c r="AB1859" s="3"/>
    </row>
    <row r="1860" spans="1:28" ht="50.5" customHeight="1">
      <c r="A1860" s="152" t="str">
        <f>'Reported burning'!A1860</f>
        <v>218a</v>
      </c>
      <c r="B1860" s="152" t="str">
        <f>'Reported burning'!B1860</f>
        <v>218a.7</v>
      </c>
      <c r="C1860" s="152" t="str">
        <f>'Reported burning'!C1860</f>
        <v>Human, deliberate</v>
      </c>
      <c r="D1860" s="152" t="str">
        <f>'Reported burning'!D1860</f>
        <v>Hunting</v>
      </c>
      <c r="E1860" s="152" t="str">
        <f>'Reported burning'!E1860</f>
        <v>Forestry, Traditional</v>
      </c>
      <c r="F1860" s="152" t="str">
        <f>'Reported burning'!F1860</f>
        <v>Shrubland (Mixed forest &amp; grassland)</v>
      </c>
      <c r="G1860" s="152" t="str">
        <f>'Reported burning'!G1860</f>
        <v>ND</v>
      </c>
      <c r="H1860" s="152" t="str">
        <f>'Reported burning'!H1860</f>
        <v>Presence</v>
      </c>
      <c r="I1860" s="5"/>
      <c r="J1860" s="4" t="s">
        <v>2276</v>
      </c>
      <c r="K1860" s="4" t="s">
        <v>2276</v>
      </c>
      <c r="L1860" s="4" t="s">
        <v>2276</v>
      </c>
      <c r="M1860" s="4" t="s">
        <v>2276</v>
      </c>
      <c r="N1860" s="4" t="s">
        <v>2276</v>
      </c>
      <c r="O1860" s="4" t="s">
        <v>2276</v>
      </c>
      <c r="P1860" s="4" t="s">
        <v>2276</v>
      </c>
      <c r="Q1860" s="4" t="s">
        <v>2276</v>
      </c>
      <c r="R1860" s="4" t="s">
        <v>2276</v>
      </c>
      <c r="S1860" s="4" t="s">
        <v>2276</v>
      </c>
      <c r="T1860" s="4" t="s">
        <v>2276</v>
      </c>
      <c r="U1860" s="4" t="s">
        <v>2276</v>
      </c>
      <c r="V1860" s="4" t="s">
        <v>2276</v>
      </c>
      <c r="W1860" s="4" t="s">
        <v>2276</v>
      </c>
      <c r="X1860" s="3" t="s">
        <v>2276</v>
      </c>
      <c r="Y1860" s="3" t="s">
        <v>2276</v>
      </c>
      <c r="Z1860" s="4" t="s">
        <v>2276</v>
      </c>
      <c r="AA1860" s="3"/>
      <c r="AB1860" s="3"/>
    </row>
    <row r="1861" spans="1:28" ht="50.5" customHeight="1">
      <c r="A1861" s="152" t="str">
        <f>'Reported burning'!A1861</f>
        <v>218a</v>
      </c>
      <c r="B1861" s="152" t="str">
        <f>'Reported burning'!B1861</f>
        <v>218a.8</v>
      </c>
      <c r="C1861" s="152" t="str">
        <f>'Reported burning'!C1861</f>
        <v>Human, deliberate</v>
      </c>
      <c r="D1861" s="152" t="str">
        <f>'Reported burning'!D1861</f>
        <v>Harvesting of NTFP</v>
      </c>
      <c r="E1861" s="152" t="str">
        <f>'Reported burning'!E1861</f>
        <v>Forestry, Traditional</v>
      </c>
      <c r="F1861" s="152" t="str">
        <f>'Reported burning'!F1861</f>
        <v>Shrubland (Mixed forest &amp; grassland)</v>
      </c>
      <c r="G1861" s="152" t="str">
        <f>'Reported burning'!G1861</f>
        <v>ND</v>
      </c>
      <c r="H1861" s="152" t="str">
        <f>'Reported burning'!H1861</f>
        <v>Presence</v>
      </c>
      <c r="I1861" s="5"/>
      <c r="J1861" s="4" t="s">
        <v>2276</v>
      </c>
      <c r="K1861" s="4" t="s">
        <v>2276</v>
      </c>
      <c r="L1861" s="4" t="s">
        <v>2276</v>
      </c>
      <c r="M1861" s="4" t="s">
        <v>2276</v>
      </c>
      <c r="N1861" s="4" t="s">
        <v>2276</v>
      </c>
      <c r="O1861" s="4" t="s">
        <v>2276</v>
      </c>
      <c r="P1861" s="4" t="s">
        <v>2276</v>
      </c>
      <c r="Q1861" s="4" t="s">
        <v>2276</v>
      </c>
      <c r="R1861" s="4" t="s">
        <v>2276</v>
      </c>
      <c r="S1861" s="4" t="s">
        <v>2276</v>
      </c>
      <c r="T1861" s="4" t="s">
        <v>2276</v>
      </c>
      <c r="U1861" s="4" t="s">
        <v>2276</v>
      </c>
      <c r="V1861" s="4" t="s">
        <v>2276</v>
      </c>
      <c r="W1861" s="4" t="s">
        <v>2276</v>
      </c>
      <c r="X1861" s="3" t="s">
        <v>2276</v>
      </c>
      <c r="Y1861" s="3" t="s">
        <v>2276</v>
      </c>
      <c r="Z1861" s="3" t="s">
        <v>2276</v>
      </c>
      <c r="AA1861" s="3"/>
      <c r="AB1861" s="3"/>
    </row>
    <row r="1862" spans="1:28" ht="50.5" customHeight="1">
      <c r="A1862" s="156" t="str">
        <f>'Reported burning'!A1862</f>
        <v>218a</v>
      </c>
      <c r="B1862" s="156" t="str">
        <f>'Reported burning'!B1862</f>
        <v>218a.9</v>
      </c>
      <c r="C1862" s="156" t="str">
        <f>'Reported burning'!C1862</f>
        <v>Human, deliberate</v>
      </c>
      <c r="D1862" s="156" t="str">
        <f>'Reported burning'!D1862</f>
        <v>Pest management</v>
      </c>
      <c r="E1862" s="156" t="str">
        <f>'Reported burning'!E1862</f>
        <v>Pastoralism, Migratory</v>
      </c>
      <c r="F1862" s="156" t="str">
        <f>'Reported burning'!F1862</f>
        <v>Shrubland (Mixed forest &amp; grassland)</v>
      </c>
      <c r="G1862" s="156" t="str">
        <f>'Reported burning'!G1862</f>
        <v>ND</v>
      </c>
      <c r="H1862" s="156" t="str">
        <f>'Reported burning'!H1862</f>
        <v>Presence</v>
      </c>
      <c r="I1862" s="5"/>
      <c r="J1862" s="4" t="s">
        <v>2276</v>
      </c>
      <c r="K1862" s="4" t="s">
        <v>2276</v>
      </c>
      <c r="L1862" s="4" t="s">
        <v>2276</v>
      </c>
      <c r="M1862" s="4" t="s">
        <v>2276</v>
      </c>
      <c r="N1862" s="4" t="s">
        <v>2276</v>
      </c>
      <c r="O1862" s="4" t="s">
        <v>2276</v>
      </c>
      <c r="P1862" s="4" t="s">
        <v>2276</v>
      </c>
      <c r="Q1862" s="4" t="s">
        <v>2276</v>
      </c>
      <c r="R1862" s="4" t="s">
        <v>2276</v>
      </c>
      <c r="S1862" s="4" t="s">
        <v>2276</v>
      </c>
      <c r="T1862" s="4" t="s">
        <v>2276</v>
      </c>
      <c r="U1862" s="4" t="s">
        <v>2276</v>
      </c>
      <c r="V1862" s="4" t="s">
        <v>2276</v>
      </c>
      <c r="W1862" s="4" t="s">
        <v>2276</v>
      </c>
      <c r="X1862" s="4" t="s">
        <v>2276</v>
      </c>
      <c r="Y1862" s="4" t="s">
        <v>2276</v>
      </c>
      <c r="Z1862" s="4" t="s">
        <v>2276</v>
      </c>
      <c r="AA1862" s="3"/>
      <c r="AB1862" s="3"/>
    </row>
    <row r="1863" spans="1:28" ht="50.5" customHeight="1">
      <c r="A1863" s="156" t="str">
        <f>'Reported burning'!A1863</f>
        <v>218a</v>
      </c>
      <c r="B1863" s="156" t="str">
        <f>'Reported burning'!B1863</f>
        <v>218a.10</v>
      </c>
      <c r="C1863" s="156" t="str">
        <f>'Reported burning'!C1863</f>
        <v>Human, escaped</v>
      </c>
      <c r="D1863" s="156" t="str">
        <f>'Reported burning'!D1863</f>
        <v>Crop field preparation</v>
      </c>
      <c r="E1863" s="156" t="str">
        <f>'Reported burning'!E1863</f>
        <v>Cropping, Swidden</v>
      </c>
      <c r="F1863" s="156" t="str">
        <f>'Reported burning'!F1863</f>
        <v>Secondary vegetation</v>
      </c>
      <c r="G1863" s="156" t="str">
        <f>'Reported burning'!G1863</f>
        <v>ND</v>
      </c>
      <c r="H1863" s="156" t="str">
        <f>'Reported burning'!H1863</f>
        <v>Presence</v>
      </c>
      <c r="I1863" s="5"/>
      <c r="J1863" s="4" t="s">
        <v>2276</v>
      </c>
      <c r="K1863" s="4" t="s">
        <v>2276</v>
      </c>
      <c r="L1863" s="4" t="s">
        <v>2276</v>
      </c>
      <c r="M1863" s="4" t="s">
        <v>2276</v>
      </c>
      <c r="N1863" s="4" t="s">
        <v>2276</v>
      </c>
      <c r="O1863" s="4" t="s">
        <v>2276</v>
      </c>
      <c r="P1863" s="4" t="s">
        <v>2276</v>
      </c>
      <c r="Q1863" s="4" t="s">
        <v>2276</v>
      </c>
      <c r="R1863" s="4" t="s">
        <v>2276</v>
      </c>
      <c r="S1863" s="4" t="s">
        <v>2276</v>
      </c>
      <c r="T1863" s="4" t="s">
        <v>2276</v>
      </c>
      <c r="U1863" s="4" t="s">
        <v>2276</v>
      </c>
      <c r="V1863" s="4" t="s">
        <v>2276</v>
      </c>
      <c r="W1863" s="4" t="s">
        <v>2276</v>
      </c>
      <c r="X1863" s="3" t="s">
        <v>86</v>
      </c>
      <c r="Y1863" s="3" t="s">
        <v>86</v>
      </c>
      <c r="Z1863" s="4" t="s">
        <v>2276</v>
      </c>
      <c r="AA1863" s="3"/>
      <c r="AB1863" s="3"/>
    </row>
    <row r="1864" spans="1:28" ht="50.5" customHeight="1">
      <c r="A1864" s="156" t="str">
        <f>'Reported burning'!A1864</f>
        <v>218a</v>
      </c>
      <c r="B1864" s="156" t="str">
        <f>'Reported burning'!B1864</f>
        <v>218a.11</v>
      </c>
      <c r="C1864" s="156" t="str">
        <f>'Reported burning'!C1864</f>
        <v>Human, escaped</v>
      </c>
      <c r="D1864" s="156" t="str">
        <f>'Reported burning'!D1864</f>
        <v>Crop field preparation</v>
      </c>
      <c r="E1864" s="156" t="str">
        <f>'Reported burning'!E1864</f>
        <v>Cropping, Swidden</v>
      </c>
      <c r="F1864" s="156" t="str">
        <f>'Reported burning'!F1864</f>
        <v>Cropland</v>
      </c>
      <c r="G1864" s="156" t="str">
        <f>'Reported burning'!G1864</f>
        <v>ND</v>
      </c>
      <c r="H1864" s="156" t="str">
        <f>'Reported burning'!H1864</f>
        <v>Presence</v>
      </c>
      <c r="I1864" s="5"/>
      <c r="J1864" s="4" t="s">
        <v>2276</v>
      </c>
      <c r="K1864" s="4" t="s">
        <v>2276</v>
      </c>
      <c r="L1864" s="4" t="s">
        <v>2276</v>
      </c>
      <c r="M1864" s="4" t="s">
        <v>2276</v>
      </c>
      <c r="N1864" s="4" t="s">
        <v>2276</v>
      </c>
      <c r="O1864" s="4" t="s">
        <v>2276</v>
      </c>
      <c r="P1864" s="4" t="s">
        <v>2276</v>
      </c>
      <c r="Q1864" s="4" t="s">
        <v>2276</v>
      </c>
      <c r="R1864" s="4" t="s">
        <v>2276</v>
      </c>
      <c r="S1864" s="4" t="s">
        <v>2276</v>
      </c>
      <c r="T1864" s="4" t="s">
        <v>2276</v>
      </c>
      <c r="U1864" s="4" t="s">
        <v>2276</v>
      </c>
      <c r="V1864" s="4" t="s">
        <v>2276</v>
      </c>
      <c r="W1864" s="14" t="s">
        <v>2375</v>
      </c>
      <c r="X1864" s="3" t="s">
        <v>86</v>
      </c>
      <c r="Y1864" s="3" t="s">
        <v>86</v>
      </c>
      <c r="Z1864" s="4" t="s">
        <v>2276</v>
      </c>
      <c r="AA1864" s="3"/>
      <c r="AB1864" s="3"/>
    </row>
    <row r="1865" spans="1:28" ht="50.5" customHeight="1">
      <c r="A1865" s="156" t="str">
        <f>'Reported burning'!A1865</f>
        <v>218a</v>
      </c>
      <c r="B1865" s="156" t="str">
        <f>'Reported burning'!B1865</f>
        <v>218a.12</v>
      </c>
      <c r="C1865" s="156" t="str">
        <f>'Reported burning'!C1865</f>
        <v>Human, escaped</v>
      </c>
      <c r="D1865" s="156" t="str">
        <f>'Reported burning'!D1865</f>
        <v>Crop residue burning</v>
      </c>
      <c r="E1865" s="156" t="str">
        <f>'Reported burning'!E1865</f>
        <v>Cropping, Swidden</v>
      </c>
      <c r="F1865" s="156" t="str">
        <f>'Reported burning'!F1865</f>
        <v>Cropland</v>
      </c>
      <c r="G1865" s="156" t="str">
        <f>'Reported burning'!G1865</f>
        <v>ND</v>
      </c>
      <c r="H1865" s="156" t="str">
        <f>'Reported burning'!H1865</f>
        <v>Presence</v>
      </c>
      <c r="I1865" s="5"/>
      <c r="J1865" s="4" t="s">
        <v>2276</v>
      </c>
      <c r="K1865" s="4" t="s">
        <v>2276</v>
      </c>
      <c r="L1865" s="4" t="s">
        <v>2276</v>
      </c>
      <c r="M1865" s="4" t="s">
        <v>2276</v>
      </c>
      <c r="N1865" s="4" t="s">
        <v>2276</v>
      </c>
      <c r="O1865" s="4" t="s">
        <v>2276</v>
      </c>
      <c r="P1865" s="4" t="s">
        <v>2276</v>
      </c>
      <c r="Q1865" s="4" t="s">
        <v>2276</v>
      </c>
      <c r="R1865" s="4" t="s">
        <v>2276</v>
      </c>
      <c r="S1865" s="4" t="s">
        <v>2276</v>
      </c>
      <c r="T1865" s="4" t="s">
        <v>2276</v>
      </c>
      <c r="U1865" s="4" t="s">
        <v>2276</v>
      </c>
      <c r="V1865" s="4" t="s">
        <v>2276</v>
      </c>
      <c r="W1865" s="21" t="s">
        <v>2375</v>
      </c>
      <c r="X1865" s="3" t="s">
        <v>35</v>
      </c>
      <c r="Y1865" s="3" t="s">
        <v>127</v>
      </c>
      <c r="Z1865" s="3" t="s">
        <v>2655</v>
      </c>
      <c r="AA1865" s="3" t="s">
        <v>5460</v>
      </c>
      <c r="AB1865" s="3"/>
    </row>
    <row r="1866" spans="1:28" ht="29">
      <c r="A1866" s="152" t="str">
        <f>'Reported burning'!A1866</f>
        <v>218a</v>
      </c>
      <c r="B1866" s="152" t="str">
        <f>'Reported burning'!B1866</f>
        <v>218a.13</v>
      </c>
      <c r="C1866" s="152" t="str">
        <f>'Reported burning'!C1866</f>
        <v>Human, escaped</v>
      </c>
      <c r="D1866" s="152" t="str">
        <f>'Reported burning'!D1866</f>
        <v>Crop residue burning</v>
      </c>
      <c r="E1866" s="152" t="str">
        <f>'Reported burning'!E1866</f>
        <v>Cropping, Swidden</v>
      </c>
      <c r="F1866" s="152" t="str">
        <f>'Reported burning'!F1866</f>
        <v>Shrubland (Mixed forest &amp; grassland)</v>
      </c>
      <c r="G1866" s="152" t="str">
        <f>'Reported burning'!G1866</f>
        <v>ND</v>
      </c>
      <c r="H1866" s="152" t="str">
        <f>'Reported burning'!H1866</f>
        <v>Presence</v>
      </c>
      <c r="I1866" s="3"/>
      <c r="J1866" s="4" t="s">
        <v>2276</v>
      </c>
      <c r="K1866" s="4" t="s">
        <v>2276</v>
      </c>
      <c r="L1866" s="4" t="s">
        <v>2276</v>
      </c>
      <c r="M1866" s="4" t="s">
        <v>2276</v>
      </c>
      <c r="N1866" s="4" t="s">
        <v>2276</v>
      </c>
      <c r="O1866" s="4" t="s">
        <v>2276</v>
      </c>
      <c r="P1866" s="4" t="s">
        <v>2276</v>
      </c>
      <c r="Q1866" s="4" t="s">
        <v>2276</v>
      </c>
      <c r="R1866" s="4" t="s">
        <v>2276</v>
      </c>
      <c r="S1866" s="4" t="s">
        <v>2276</v>
      </c>
      <c r="T1866" s="4" t="s">
        <v>2276</v>
      </c>
      <c r="U1866" s="4" t="s">
        <v>2276</v>
      </c>
      <c r="V1866" s="4" t="s">
        <v>2276</v>
      </c>
      <c r="W1866" s="4" t="s">
        <v>2276</v>
      </c>
      <c r="X1866" s="4" t="s">
        <v>2276</v>
      </c>
      <c r="Y1866" s="4" t="s">
        <v>2276</v>
      </c>
      <c r="Z1866" s="4" t="s">
        <v>2276</v>
      </c>
      <c r="AA1866" s="3"/>
      <c r="AB1866" s="3"/>
    </row>
    <row r="1867" spans="1:28" ht="29">
      <c r="A1867" s="152" t="str">
        <f>'Reported burning'!A1867</f>
        <v>218a</v>
      </c>
      <c r="B1867" s="152" t="str">
        <f>'Reported burning'!B1867</f>
        <v>218a.14</v>
      </c>
      <c r="C1867" s="152" t="str">
        <f>'Reported burning'!C1867</f>
        <v>Human, deliberate</v>
      </c>
      <c r="D1867" s="152" t="str">
        <f>'Reported burning'!D1867</f>
        <v>Land clearance</v>
      </c>
      <c r="E1867" s="152" t="str">
        <f>'Reported burning'!E1867</f>
        <v>Cropping, Monoculture, Market-oriented</v>
      </c>
      <c r="F1867" s="152" t="str">
        <f>'Reported burning'!F1867</f>
        <v>Cropland</v>
      </c>
      <c r="G1867" s="152" t="str">
        <f>'Reported burning'!G1867</f>
        <v>ND</v>
      </c>
      <c r="H1867" s="152" t="str">
        <f>'Reported burning'!H1867</f>
        <v>Presence</v>
      </c>
      <c r="I1867" s="3"/>
      <c r="J1867" s="4" t="s">
        <v>2276</v>
      </c>
      <c r="K1867" s="4" t="s">
        <v>2276</v>
      </c>
      <c r="L1867" s="4" t="s">
        <v>2276</v>
      </c>
      <c r="M1867" s="4" t="s">
        <v>2276</v>
      </c>
      <c r="N1867" s="4" t="s">
        <v>2276</v>
      </c>
      <c r="O1867" s="4" t="s">
        <v>2276</v>
      </c>
      <c r="P1867" s="4" t="s">
        <v>2276</v>
      </c>
      <c r="Q1867" s="4" t="s">
        <v>2276</v>
      </c>
      <c r="R1867" s="4" t="s">
        <v>2276</v>
      </c>
      <c r="S1867" s="4" t="s">
        <v>2276</v>
      </c>
      <c r="T1867" s="4" t="s">
        <v>2276</v>
      </c>
      <c r="U1867" s="4" t="s">
        <v>2276</v>
      </c>
      <c r="V1867" s="4" t="s">
        <v>2276</v>
      </c>
      <c r="W1867" s="4" t="s">
        <v>2276</v>
      </c>
      <c r="X1867" s="4" t="s">
        <v>2276</v>
      </c>
      <c r="Y1867" s="4" t="s">
        <v>2276</v>
      </c>
      <c r="Z1867" s="4" t="s">
        <v>2276</v>
      </c>
      <c r="AA1867" s="3" t="s">
        <v>5475</v>
      </c>
      <c r="AB1867" s="3"/>
    </row>
    <row r="1868" spans="1:28" ht="35.5" customHeight="1">
      <c r="A1868" s="152" t="str">
        <f>'Reported burning'!A1868</f>
        <v>218a</v>
      </c>
      <c r="B1868" s="152" t="str">
        <f>'Reported burning'!B1868</f>
        <v>218a.15</v>
      </c>
      <c r="C1868" s="152" t="str">
        <f>'Reported burning'!C1868</f>
        <v>Human, deliberate</v>
      </c>
      <c r="D1868" s="152" t="str">
        <f>'Reported burning'!D1868</f>
        <v>Vegetation management</v>
      </c>
      <c r="E1868" s="152" t="str">
        <f>'Reported burning'!E1868</f>
        <v>Cropping, Monoculture, Market-oriented</v>
      </c>
      <c r="F1868" s="152" t="str">
        <f>'Reported burning'!F1868</f>
        <v>Cropland</v>
      </c>
      <c r="G1868" s="152" t="str">
        <f>'Reported burning'!G1868</f>
        <v>ND</v>
      </c>
      <c r="H1868" s="152" t="str">
        <f>'Reported burning'!H1868</f>
        <v>Presence</v>
      </c>
      <c r="I1868" s="3"/>
      <c r="J1868" s="4" t="s">
        <v>2276</v>
      </c>
      <c r="K1868" s="4" t="s">
        <v>2276</v>
      </c>
      <c r="L1868" s="4" t="s">
        <v>2276</v>
      </c>
      <c r="M1868" s="4" t="s">
        <v>2276</v>
      </c>
      <c r="N1868" s="4" t="s">
        <v>2276</v>
      </c>
      <c r="O1868" s="4" t="s">
        <v>2276</v>
      </c>
      <c r="P1868" s="4" t="s">
        <v>2276</v>
      </c>
      <c r="Q1868" s="4" t="s">
        <v>2276</v>
      </c>
      <c r="R1868" s="4" t="s">
        <v>2276</v>
      </c>
      <c r="S1868" s="4" t="s">
        <v>2276</v>
      </c>
      <c r="T1868" s="4" t="s">
        <v>2276</v>
      </c>
      <c r="U1868" s="4" t="s">
        <v>2276</v>
      </c>
      <c r="V1868" s="4" t="s">
        <v>2276</v>
      </c>
      <c r="W1868" s="21" t="s">
        <v>2375</v>
      </c>
      <c r="X1868" s="3" t="s">
        <v>189</v>
      </c>
      <c r="Y1868" s="3" t="s">
        <v>38</v>
      </c>
      <c r="Z1868" s="4" t="s">
        <v>2276</v>
      </c>
      <c r="AA1868" s="3" t="s">
        <v>5474</v>
      </c>
      <c r="AB1868" s="3"/>
    </row>
    <row r="1869" spans="1:28" ht="42.5" customHeight="1">
      <c r="A1869" s="156" t="str">
        <f>'Reported burning'!A1869</f>
        <v>218a</v>
      </c>
      <c r="B1869" s="156" t="str">
        <f>'Reported burning'!B1869</f>
        <v>218a.16</v>
      </c>
      <c r="C1869" s="156" t="str">
        <f>'Reported burning'!C1869</f>
        <v>Human, deliberate</v>
      </c>
      <c r="D1869" s="156" t="str">
        <f>'Reported burning'!D1869</f>
        <v>Arson</v>
      </c>
      <c r="E1869" s="156" t="str">
        <f>'Reported burning'!E1869</f>
        <v>Cropping, Swidden</v>
      </c>
      <c r="F1869" s="156" t="str">
        <f>'Reported burning'!F1869</f>
        <v>Cropland</v>
      </c>
      <c r="G1869" s="156" t="str">
        <f>'Reported burning'!G1869</f>
        <v>ND</v>
      </c>
      <c r="H1869" s="156" t="str">
        <f>'Reported burning'!H1869</f>
        <v>Presence</v>
      </c>
      <c r="I1869" s="5"/>
      <c r="J1869" s="4" t="s">
        <v>2276</v>
      </c>
      <c r="K1869" s="4" t="s">
        <v>2276</v>
      </c>
      <c r="L1869" s="4" t="s">
        <v>2276</v>
      </c>
      <c r="M1869" s="4" t="s">
        <v>2276</v>
      </c>
      <c r="N1869" s="4" t="s">
        <v>2276</v>
      </c>
      <c r="O1869" s="4" t="s">
        <v>2276</v>
      </c>
      <c r="P1869" s="4" t="s">
        <v>2276</v>
      </c>
      <c r="Q1869" s="4" t="s">
        <v>2276</v>
      </c>
      <c r="R1869" s="4" t="s">
        <v>2276</v>
      </c>
      <c r="S1869" s="4" t="s">
        <v>2276</v>
      </c>
      <c r="T1869" s="4" t="s">
        <v>2276</v>
      </c>
      <c r="U1869" s="4" t="s">
        <v>2276</v>
      </c>
      <c r="V1869" s="4" t="s">
        <v>2276</v>
      </c>
      <c r="W1869" s="4" t="s">
        <v>2276</v>
      </c>
      <c r="X1869" s="4" t="s">
        <v>2276</v>
      </c>
      <c r="Y1869" s="4" t="s">
        <v>2276</v>
      </c>
      <c r="Z1869" s="4" t="s">
        <v>2276</v>
      </c>
      <c r="AA1869" s="3"/>
      <c r="AB1869" s="3"/>
    </row>
    <row r="1870" spans="1:28" ht="39" customHeight="1">
      <c r="A1870" s="156" t="str">
        <f>'Reported burning'!A1870</f>
        <v>218a</v>
      </c>
      <c r="B1870" s="156" t="str">
        <f>'Reported burning'!B1870</f>
        <v>218a.17</v>
      </c>
      <c r="C1870" s="156" t="str">
        <f>'Reported burning'!C1870</f>
        <v>Human, deliberate</v>
      </c>
      <c r="D1870" s="156" t="str">
        <f>'Reported burning'!D1870</f>
        <v>Hunting</v>
      </c>
      <c r="E1870" s="156" t="str">
        <f>'Reported burning'!E1870</f>
        <v>Tourism manager</v>
      </c>
      <c r="F1870" s="156" t="str">
        <f>'Reported burning'!F1870</f>
        <v>Shrubland (Mixed forest &amp; grassland)</v>
      </c>
      <c r="G1870" s="156" t="str">
        <f>'Reported burning'!G1870</f>
        <v>ND</v>
      </c>
      <c r="H1870" s="156" t="str">
        <f>'Reported burning'!H1870</f>
        <v>Presence</v>
      </c>
      <c r="I1870" s="5"/>
      <c r="J1870" s="4" t="s">
        <v>2276</v>
      </c>
      <c r="K1870" s="4" t="s">
        <v>2276</v>
      </c>
      <c r="L1870" s="4" t="s">
        <v>2276</v>
      </c>
      <c r="M1870" s="4" t="s">
        <v>2276</v>
      </c>
      <c r="N1870" s="4" t="s">
        <v>2276</v>
      </c>
      <c r="O1870" s="4" t="s">
        <v>2276</v>
      </c>
      <c r="P1870" s="4" t="s">
        <v>2276</v>
      </c>
      <c r="Q1870" s="4" t="s">
        <v>2276</v>
      </c>
      <c r="R1870" s="4" t="s">
        <v>2276</v>
      </c>
      <c r="S1870" s="4" t="s">
        <v>2276</v>
      </c>
      <c r="T1870" s="4" t="s">
        <v>2276</v>
      </c>
      <c r="U1870" s="4" t="s">
        <v>2276</v>
      </c>
      <c r="V1870" s="4" t="s">
        <v>2276</v>
      </c>
      <c r="W1870" s="4" t="s">
        <v>2276</v>
      </c>
      <c r="X1870" s="4" t="s">
        <v>2276</v>
      </c>
      <c r="Y1870" s="4" t="s">
        <v>2276</v>
      </c>
      <c r="Z1870" s="4" t="s">
        <v>2276</v>
      </c>
      <c r="AA1870" s="3"/>
      <c r="AB1870" s="3"/>
    </row>
    <row r="1871" spans="1:28" ht="39" customHeight="1">
      <c r="A1871" s="156" t="str">
        <f>'Reported burning'!A1871</f>
        <v>218a</v>
      </c>
      <c r="B1871" s="156" t="str">
        <f>'Reported burning'!B1871</f>
        <v>218a.18</v>
      </c>
      <c r="C1871" s="156" t="str">
        <f>'Reported burning'!C1871</f>
        <v>Human, deliberate</v>
      </c>
      <c r="D1871" s="156" t="str">
        <f>'Reported burning'!D1871</f>
        <v>Accessibility</v>
      </c>
      <c r="E1871" s="156" t="str">
        <f>'Reported burning'!E1871</f>
        <v>Tourism manager</v>
      </c>
      <c r="F1871" s="156" t="str">
        <f>'Reported burning'!F1871</f>
        <v>Shrubland (Mixed forest &amp; grassland)</v>
      </c>
      <c r="G1871" s="156" t="str">
        <f>'Reported burning'!G1871</f>
        <v>ND</v>
      </c>
      <c r="H1871" s="156" t="str">
        <f>'Reported burning'!H1871</f>
        <v>Presence</v>
      </c>
      <c r="I1871" s="5"/>
      <c r="J1871" s="4" t="s">
        <v>2276</v>
      </c>
      <c r="K1871" s="4" t="s">
        <v>2276</v>
      </c>
      <c r="L1871" s="4" t="s">
        <v>2276</v>
      </c>
      <c r="M1871" s="4" t="s">
        <v>2276</v>
      </c>
      <c r="N1871" s="4" t="s">
        <v>2276</v>
      </c>
      <c r="O1871" s="4" t="s">
        <v>2276</v>
      </c>
      <c r="P1871" s="4" t="s">
        <v>2276</v>
      </c>
      <c r="Q1871" s="4" t="s">
        <v>2276</v>
      </c>
      <c r="R1871" s="4" t="s">
        <v>2276</v>
      </c>
      <c r="S1871" s="4" t="s">
        <v>2276</v>
      </c>
      <c r="T1871" s="4" t="s">
        <v>2276</v>
      </c>
      <c r="U1871" s="4" t="s">
        <v>2276</v>
      </c>
      <c r="V1871" s="4" t="s">
        <v>2276</v>
      </c>
      <c r="W1871" s="4" t="s">
        <v>2276</v>
      </c>
      <c r="X1871" s="4" t="s">
        <v>2276</v>
      </c>
      <c r="Y1871" s="4" t="s">
        <v>2276</v>
      </c>
      <c r="Z1871" s="4" t="s">
        <v>2276</v>
      </c>
      <c r="AA1871" s="3"/>
      <c r="AB1871" s="3"/>
    </row>
    <row r="1872" spans="1:28" ht="36.5" customHeight="1">
      <c r="A1872" s="156" t="str">
        <f>'Reported burning'!A1872</f>
        <v>218a</v>
      </c>
      <c r="B1872" s="156" t="str">
        <f>'Reported burning'!B1872</f>
        <v>218a.19</v>
      </c>
      <c r="C1872" s="156" t="str">
        <f>'Reported burning'!C1872</f>
        <v>Human, deliberate</v>
      </c>
      <c r="D1872" s="156" t="str">
        <f>'Reported burning'!D1872</f>
        <v>Harvesting of Timber</v>
      </c>
      <c r="E1872" s="156" t="str">
        <f>'Reported burning'!E1872</f>
        <v>Forestry, Industrial</v>
      </c>
      <c r="F1872" s="156" t="str">
        <f>'Reported burning'!F1872</f>
        <v>Forest</v>
      </c>
      <c r="G1872" s="156" t="str">
        <f>'Reported burning'!G1872</f>
        <v>ND</v>
      </c>
      <c r="H1872" s="156" t="str">
        <f>'Reported burning'!H1872</f>
        <v>Presence</v>
      </c>
      <c r="I1872" s="5"/>
      <c r="J1872" s="4" t="s">
        <v>2276</v>
      </c>
      <c r="K1872" s="4" t="s">
        <v>2276</v>
      </c>
      <c r="L1872" s="4" t="s">
        <v>2276</v>
      </c>
      <c r="M1872" s="4" t="s">
        <v>2276</v>
      </c>
      <c r="N1872" s="4" t="s">
        <v>2276</v>
      </c>
      <c r="O1872" s="4" t="s">
        <v>2276</v>
      </c>
      <c r="P1872" s="4" t="s">
        <v>2276</v>
      </c>
      <c r="Q1872" s="4" t="s">
        <v>2276</v>
      </c>
      <c r="R1872" s="4" t="s">
        <v>2276</v>
      </c>
      <c r="S1872" s="4" t="s">
        <v>2276</v>
      </c>
      <c r="T1872" s="4" t="s">
        <v>2276</v>
      </c>
      <c r="U1872" s="4" t="s">
        <v>2276</v>
      </c>
      <c r="V1872" s="4" t="s">
        <v>2276</v>
      </c>
      <c r="W1872" s="4" t="s">
        <v>2276</v>
      </c>
      <c r="X1872" s="4" t="s">
        <v>2276</v>
      </c>
      <c r="Y1872" s="4" t="s">
        <v>2276</v>
      </c>
      <c r="Z1872" s="4" t="s">
        <v>2276</v>
      </c>
      <c r="AA1872" s="3"/>
      <c r="AB1872" s="3"/>
    </row>
    <row r="1873" spans="1:28" ht="46.5" customHeight="1">
      <c r="A1873" s="156" t="str">
        <f>'Reported burning'!A1873</f>
        <v>218b</v>
      </c>
      <c r="B1873" s="156" t="str">
        <f>'Reported burning'!B1873</f>
        <v>218b.1</v>
      </c>
      <c r="C1873" s="156" t="str">
        <f>'Reported burning'!C1873</f>
        <v>Human, deliberate</v>
      </c>
      <c r="D1873" s="156" t="str">
        <f>'Reported burning'!D1873</f>
        <v>Crop field preparation</v>
      </c>
      <c r="E1873" s="156" t="str">
        <f>'Reported burning'!E1873</f>
        <v>Cropping, Swidden</v>
      </c>
      <c r="F1873" s="156" t="str">
        <f>'Reported burning'!F1873</f>
        <v>Secondary vegetation</v>
      </c>
      <c r="G1873" s="156" t="str">
        <f>'Reported burning'!G1873</f>
        <v>ND</v>
      </c>
      <c r="H1873" s="156" t="str">
        <f>'Reported burning'!H1873</f>
        <v>Presence</v>
      </c>
      <c r="I1873" s="5"/>
      <c r="J1873" s="4" t="s">
        <v>2276</v>
      </c>
      <c r="K1873" s="4" t="s">
        <v>2276</v>
      </c>
      <c r="L1873" s="4" t="s">
        <v>2276</v>
      </c>
      <c r="M1873" s="4" t="s">
        <v>2276</v>
      </c>
      <c r="N1873" s="4" t="s">
        <v>2276</v>
      </c>
      <c r="O1873" s="4" t="s">
        <v>2276</v>
      </c>
      <c r="P1873" s="4" t="s">
        <v>2276</v>
      </c>
      <c r="Q1873" s="4" t="s">
        <v>2276</v>
      </c>
      <c r="R1873" s="4" t="s">
        <v>2276</v>
      </c>
      <c r="S1873" s="4" t="s">
        <v>2276</v>
      </c>
      <c r="T1873" s="4" t="s">
        <v>2276</v>
      </c>
      <c r="U1873" s="4" t="s">
        <v>2276</v>
      </c>
      <c r="V1873" s="4" t="s">
        <v>2276</v>
      </c>
      <c r="W1873" s="21" t="s">
        <v>2402</v>
      </c>
      <c r="X1873" s="3" t="s">
        <v>86</v>
      </c>
      <c r="Y1873" s="3" t="s">
        <v>86</v>
      </c>
      <c r="Z1873" s="4" t="s">
        <v>2276</v>
      </c>
      <c r="AA1873" s="3"/>
      <c r="AB1873" s="3"/>
    </row>
    <row r="1874" spans="1:28" ht="46.5" customHeight="1">
      <c r="A1874" s="156" t="str">
        <f>'Reported burning'!A1874</f>
        <v>218b</v>
      </c>
      <c r="B1874" s="156" t="str">
        <f>'Reported burning'!B1874</f>
        <v>218b.2</v>
      </c>
      <c r="C1874" s="156" t="str">
        <f>'Reported burning'!C1874</f>
        <v>Human, deliberate</v>
      </c>
      <c r="D1874" s="156" t="str">
        <f>'Reported burning'!D1874</f>
        <v>Pasture renewal</v>
      </c>
      <c r="E1874" s="156" t="str">
        <f>'Reported burning'!E1874</f>
        <v>Pastoralism, Migratory</v>
      </c>
      <c r="F1874" s="156" t="str">
        <f>'Reported burning'!F1874</f>
        <v>Shrubland (Mixed forest &amp; grassland)</v>
      </c>
      <c r="G1874" s="156" t="str">
        <f>'Reported burning'!G1874</f>
        <v>ND</v>
      </c>
      <c r="H1874" s="156" t="str">
        <f>'Reported burning'!H1874</f>
        <v>Presence</v>
      </c>
      <c r="I1874" s="5"/>
      <c r="J1874" s="4" t="s">
        <v>2276</v>
      </c>
      <c r="K1874" s="4" t="s">
        <v>2276</v>
      </c>
      <c r="L1874" s="4" t="s">
        <v>2276</v>
      </c>
      <c r="M1874" s="4" t="s">
        <v>2276</v>
      </c>
      <c r="N1874" s="4" t="s">
        <v>2276</v>
      </c>
      <c r="O1874" s="4" t="s">
        <v>2276</v>
      </c>
      <c r="P1874" s="4" t="s">
        <v>2276</v>
      </c>
      <c r="Q1874" s="4" t="s">
        <v>2276</v>
      </c>
      <c r="R1874" s="4" t="s">
        <v>2276</v>
      </c>
      <c r="S1874" s="4" t="s">
        <v>2276</v>
      </c>
      <c r="T1874" s="4" t="s">
        <v>2276</v>
      </c>
      <c r="U1874" s="4" t="s">
        <v>2276</v>
      </c>
      <c r="V1874" s="4" t="s">
        <v>2276</v>
      </c>
      <c r="W1874" s="4" t="s">
        <v>2276</v>
      </c>
      <c r="X1874" s="3" t="s">
        <v>86</v>
      </c>
      <c r="Y1874" s="3" t="s">
        <v>86</v>
      </c>
      <c r="Z1874" s="4" t="s">
        <v>2276</v>
      </c>
      <c r="AA1874" s="3"/>
      <c r="AB1874" s="3"/>
    </row>
    <row r="1875" spans="1:28" ht="46.5" customHeight="1">
      <c r="A1875" s="156" t="str">
        <f>'Reported burning'!A1875</f>
        <v>218b</v>
      </c>
      <c r="B1875" s="156" t="str">
        <f>'Reported burning'!B1875</f>
        <v>218b.3</v>
      </c>
      <c r="C1875" s="156" t="str">
        <f>'Reported burning'!C1875</f>
        <v>Human, deliberate</v>
      </c>
      <c r="D1875" s="156" t="str">
        <f>'Reported burning'!D1875</f>
        <v>Accessibility</v>
      </c>
      <c r="E1875" s="156" t="str">
        <f>'Reported burning'!E1875</f>
        <v>Forestry, Traditional</v>
      </c>
      <c r="F1875" s="156" t="str">
        <f>'Reported burning'!F1875</f>
        <v>Shrubland (Mixed forest &amp; grassland)</v>
      </c>
      <c r="G1875" s="156" t="str">
        <f>'Reported burning'!G1875</f>
        <v>ND</v>
      </c>
      <c r="H1875" s="156" t="str">
        <f>'Reported burning'!H1875</f>
        <v>Presence</v>
      </c>
      <c r="I1875" s="5"/>
      <c r="J1875" s="4" t="s">
        <v>2276</v>
      </c>
      <c r="K1875" s="4" t="s">
        <v>2276</v>
      </c>
      <c r="L1875" s="4" t="s">
        <v>2276</v>
      </c>
      <c r="M1875" s="4" t="s">
        <v>2276</v>
      </c>
      <c r="N1875" s="4" t="s">
        <v>2276</v>
      </c>
      <c r="O1875" s="4" t="s">
        <v>2276</v>
      </c>
      <c r="P1875" s="4" t="s">
        <v>2276</v>
      </c>
      <c r="Q1875" s="4" t="s">
        <v>2276</v>
      </c>
      <c r="R1875" s="4" t="s">
        <v>2276</v>
      </c>
      <c r="S1875" s="4" t="s">
        <v>2276</v>
      </c>
      <c r="T1875" s="4" t="s">
        <v>2276</v>
      </c>
      <c r="U1875" s="4" t="s">
        <v>2276</v>
      </c>
      <c r="V1875" s="4" t="s">
        <v>2276</v>
      </c>
      <c r="W1875" s="4" t="s">
        <v>2276</v>
      </c>
      <c r="X1875" s="3" t="s">
        <v>2276</v>
      </c>
      <c r="Y1875" s="3" t="s">
        <v>2276</v>
      </c>
      <c r="Z1875" s="4" t="s">
        <v>2276</v>
      </c>
      <c r="AA1875" s="3"/>
      <c r="AB1875" s="3"/>
    </row>
    <row r="1876" spans="1:28" ht="46.5" customHeight="1">
      <c r="A1876" s="156" t="str">
        <f>'Reported burning'!A1876</f>
        <v>218b</v>
      </c>
      <c r="B1876" s="156" t="str">
        <f>'Reported burning'!B1876</f>
        <v>218b.4</v>
      </c>
      <c r="C1876" s="156" t="str">
        <f>'Reported burning'!C1876</f>
        <v>Human, deliberate</v>
      </c>
      <c r="D1876" s="156" t="str">
        <f>'Reported burning'!D1876</f>
        <v>Hunting</v>
      </c>
      <c r="E1876" s="156" t="str">
        <f>'Reported burning'!E1876</f>
        <v>Forestry, Traditional</v>
      </c>
      <c r="F1876" s="156" t="str">
        <f>'Reported burning'!F1876</f>
        <v>Shrubland (Mixed forest &amp; grassland)</v>
      </c>
      <c r="G1876" s="156" t="str">
        <f>'Reported burning'!G1876</f>
        <v>ND</v>
      </c>
      <c r="H1876" s="156" t="str">
        <f>'Reported burning'!H1876</f>
        <v>Presence</v>
      </c>
      <c r="I1876" s="5"/>
      <c r="J1876" s="4" t="s">
        <v>2276</v>
      </c>
      <c r="K1876" s="4" t="s">
        <v>2276</v>
      </c>
      <c r="L1876" s="4" t="s">
        <v>2276</v>
      </c>
      <c r="M1876" s="4" t="s">
        <v>2276</v>
      </c>
      <c r="N1876" s="4" t="s">
        <v>2276</v>
      </c>
      <c r="O1876" s="4" t="s">
        <v>2276</v>
      </c>
      <c r="P1876" s="4" t="s">
        <v>2276</v>
      </c>
      <c r="Q1876" s="4" t="s">
        <v>2276</v>
      </c>
      <c r="R1876" s="4" t="s">
        <v>2276</v>
      </c>
      <c r="S1876" s="4" t="s">
        <v>2276</v>
      </c>
      <c r="T1876" s="4" t="s">
        <v>2276</v>
      </c>
      <c r="U1876" s="4" t="s">
        <v>2276</v>
      </c>
      <c r="V1876" s="4" t="s">
        <v>2276</v>
      </c>
      <c r="W1876" s="4" t="s">
        <v>2276</v>
      </c>
      <c r="X1876" s="3" t="s">
        <v>189</v>
      </c>
      <c r="Y1876" s="3" t="s">
        <v>86</v>
      </c>
      <c r="Z1876" s="4" t="s">
        <v>2276</v>
      </c>
      <c r="AA1876" s="3"/>
      <c r="AB1876" s="3"/>
    </row>
    <row r="1877" spans="1:28" ht="46.5" customHeight="1">
      <c r="A1877" s="156" t="str">
        <f>'Reported burning'!A1877</f>
        <v>218b</v>
      </c>
      <c r="B1877" s="156" t="str">
        <f>'Reported burning'!B1877</f>
        <v>218b.5</v>
      </c>
      <c r="C1877" s="156" t="str">
        <f>'Reported burning'!C1877</f>
        <v>Human, deliberate</v>
      </c>
      <c r="D1877" s="156" t="str">
        <f>'Reported burning'!D1877</f>
        <v>Harvesting of NTFP</v>
      </c>
      <c r="E1877" s="156" t="str">
        <f>'Reported burning'!E1877</f>
        <v>Forestry, Traditional</v>
      </c>
      <c r="F1877" s="156" t="str">
        <f>'Reported burning'!F1877</f>
        <v>Shrubland (Mixed forest &amp; grassland)</v>
      </c>
      <c r="G1877" s="156" t="str">
        <f>'Reported burning'!G1877</f>
        <v>ND</v>
      </c>
      <c r="H1877" s="156" t="str">
        <f>'Reported burning'!H1877</f>
        <v>Presence</v>
      </c>
      <c r="I1877" s="5"/>
      <c r="J1877" s="4" t="s">
        <v>2276</v>
      </c>
      <c r="K1877" s="4" t="s">
        <v>2276</v>
      </c>
      <c r="L1877" s="4" t="s">
        <v>2276</v>
      </c>
      <c r="M1877" s="4" t="s">
        <v>2276</v>
      </c>
      <c r="N1877" s="4" t="s">
        <v>2276</v>
      </c>
      <c r="O1877" s="4" t="s">
        <v>2276</v>
      </c>
      <c r="P1877" s="4" t="s">
        <v>2276</v>
      </c>
      <c r="Q1877" s="4" t="s">
        <v>2276</v>
      </c>
      <c r="R1877" s="4" t="s">
        <v>2276</v>
      </c>
      <c r="S1877" s="4" t="s">
        <v>2276</v>
      </c>
      <c r="T1877" s="4" t="s">
        <v>2276</v>
      </c>
      <c r="U1877" s="4" t="s">
        <v>2276</v>
      </c>
      <c r="V1877" s="4" t="s">
        <v>2276</v>
      </c>
      <c r="W1877" s="4" t="s">
        <v>2276</v>
      </c>
      <c r="X1877" s="3" t="s">
        <v>188</v>
      </c>
      <c r="Y1877" s="3" t="s">
        <v>189</v>
      </c>
      <c r="Z1877" s="4" t="s">
        <v>2276</v>
      </c>
      <c r="AA1877" s="3"/>
      <c r="AB1877" s="3"/>
    </row>
    <row r="1878" spans="1:28" ht="46.5" customHeight="1">
      <c r="A1878" s="156" t="str">
        <f>'Reported burning'!A1878</f>
        <v>218b</v>
      </c>
      <c r="B1878" s="156" t="str">
        <f>'Reported burning'!B1878</f>
        <v>218b.6</v>
      </c>
      <c r="C1878" s="156" t="str">
        <f>'Reported burning'!C1878</f>
        <v>Human, deliberate</v>
      </c>
      <c r="D1878" s="156" t="str">
        <f>'Reported burning'!D1878</f>
        <v>Pest management</v>
      </c>
      <c r="E1878" s="156" t="str">
        <f>'Reported burning'!E1878</f>
        <v>Pastoralism, Migratory</v>
      </c>
      <c r="F1878" s="156" t="str">
        <f>'Reported burning'!F1878</f>
        <v>Shrubland (Mixed forest &amp; grassland)</v>
      </c>
      <c r="G1878" s="156" t="str">
        <f>'Reported burning'!G1878</f>
        <v>ND</v>
      </c>
      <c r="H1878" s="156" t="str">
        <f>'Reported burning'!H1878</f>
        <v>Presence</v>
      </c>
      <c r="I1878" s="5"/>
      <c r="J1878" s="4" t="s">
        <v>2276</v>
      </c>
      <c r="K1878" s="4" t="s">
        <v>2276</v>
      </c>
      <c r="L1878" s="4" t="s">
        <v>2276</v>
      </c>
      <c r="M1878" s="4" t="s">
        <v>2276</v>
      </c>
      <c r="N1878" s="4" t="s">
        <v>2276</v>
      </c>
      <c r="O1878" s="4" t="s">
        <v>2276</v>
      </c>
      <c r="P1878" s="4" t="s">
        <v>2276</v>
      </c>
      <c r="Q1878" s="4" t="s">
        <v>2276</v>
      </c>
      <c r="R1878" s="4" t="s">
        <v>2276</v>
      </c>
      <c r="S1878" s="4" t="s">
        <v>2276</v>
      </c>
      <c r="T1878" s="4" t="s">
        <v>2276</v>
      </c>
      <c r="U1878" s="4" t="s">
        <v>2276</v>
      </c>
      <c r="V1878" s="4" t="s">
        <v>2276</v>
      </c>
      <c r="W1878" s="4" t="s">
        <v>2276</v>
      </c>
      <c r="X1878" s="4" t="s">
        <v>2276</v>
      </c>
      <c r="Y1878" s="4" t="s">
        <v>2276</v>
      </c>
      <c r="Z1878" s="4" t="s">
        <v>2276</v>
      </c>
      <c r="AA1878" s="3"/>
      <c r="AB1878" s="3"/>
    </row>
    <row r="1879" spans="1:28" ht="46.5" customHeight="1">
      <c r="A1879" s="156" t="str">
        <f>'Reported burning'!A1879</f>
        <v>218b</v>
      </c>
      <c r="B1879" s="156" t="str">
        <f>'Reported burning'!B1879</f>
        <v>218b.7</v>
      </c>
      <c r="C1879" s="156" t="str">
        <f>'Reported burning'!C1879</f>
        <v>Human, escaped</v>
      </c>
      <c r="D1879" s="156" t="str">
        <f>'Reported burning'!D1879</f>
        <v>Crop field preparation</v>
      </c>
      <c r="E1879" s="156" t="str">
        <f>'Reported burning'!E1879</f>
        <v>Cropping, Swidden</v>
      </c>
      <c r="F1879" s="156" t="str">
        <f>'Reported burning'!F1879</f>
        <v>Secondary vegetation</v>
      </c>
      <c r="G1879" s="156" t="str">
        <f>'Reported burning'!G1879</f>
        <v>ND</v>
      </c>
      <c r="H1879" s="156" t="str">
        <f>'Reported burning'!H1879</f>
        <v>Presence</v>
      </c>
      <c r="I1879" s="5"/>
      <c r="J1879" s="4" t="s">
        <v>2276</v>
      </c>
      <c r="K1879" s="4" t="s">
        <v>2276</v>
      </c>
      <c r="L1879" s="4" t="s">
        <v>2276</v>
      </c>
      <c r="M1879" s="4" t="s">
        <v>2276</v>
      </c>
      <c r="N1879" s="4" t="s">
        <v>2276</v>
      </c>
      <c r="O1879" s="4" t="s">
        <v>2276</v>
      </c>
      <c r="P1879" s="4" t="s">
        <v>2276</v>
      </c>
      <c r="Q1879" s="4" t="s">
        <v>2276</v>
      </c>
      <c r="R1879" s="4" t="s">
        <v>2276</v>
      </c>
      <c r="S1879" s="4" t="s">
        <v>2276</v>
      </c>
      <c r="T1879" s="4" t="s">
        <v>2276</v>
      </c>
      <c r="U1879" s="4" t="s">
        <v>2276</v>
      </c>
      <c r="V1879" s="4" t="s">
        <v>2276</v>
      </c>
      <c r="W1879" s="4" t="s">
        <v>2276</v>
      </c>
      <c r="X1879" s="3" t="s">
        <v>86</v>
      </c>
      <c r="Y1879" s="3" t="s">
        <v>86</v>
      </c>
      <c r="Z1879" s="4" t="s">
        <v>2276</v>
      </c>
      <c r="AA1879" s="3"/>
      <c r="AB1879" s="3"/>
    </row>
    <row r="1880" spans="1:28" ht="46.5" customHeight="1">
      <c r="A1880" s="156" t="str">
        <f>'Reported burning'!A1880</f>
        <v>218b</v>
      </c>
      <c r="B1880" s="156" t="str">
        <f>'Reported burning'!B1880</f>
        <v>218b.8</v>
      </c>
      <c r="C1880" s="156" t="str">
        <f>'Reported burning'!C1880</f>
        <v>Human, deliberate</v>
      </c>
      <c r="D1880" s="156" t="str">
        <f>'Reported burning'!D1880</f>
        <v>Land clearance</v>
      </c>
      <c r="E1880" s="156" t="str">
        <f>'Reported burning'!E1880</f>
        <v>Cropping, Monoculture, Market-oriented</v>
      </c>
      <c r="F1880" s="156" t="str">
        <f>'Reported burning'!F1880</f>
        <v>Cropland</v>
      </c>
      <c r="G1880" s="156" t="str">
        <f>'Reported burning'!G1880</f>
        <v>ND</v>
      </c>
      <c r="H1880" s="156" t="str">
        <f>'Reported burning'!H1880</f>
        <v>Presence</v>
      </c>
      <c r="I1880" s="5"/>
      <c r="J1880" s="4" t="s">
        <v>2276</v>
      </c>
      <c r="K1880" s="4" t="s">
        <v>2276</v>
      </c>
      <c r="L1880" s="4" t="s">
        <v>2276</v>
      </c>
      <c r="M1880" s="4" t="s">
        <v>2276</v>
      </c>
      <c r="N1880" s="4" t="s">
        <v>2276</v>
      </c>
      <c r="O1880" s="4" t="s">
        <v>2276</v>
      </c>
      <c r="P1880" s="4" t="s">
        <v>2276</v>
      </c>
      <c r="Q1880" s="4" t="s">
        <v>2276</v>
      </c>
      <c r="R1880" s="4" t="s">
        <v>2276</v>
      </c>
      <c r="S1880" s="4" t="s">
        <v>2276</v>
      </c>
      <c r="T1880" s="4" t="s">
        <v>2276</v>
      </c>
      <c r="U1880" s="4" t="s">
        <v>2276</v>
      </c>
      <c r="V1880" s="4" t="s">
        <v>2276</v>
      </c>
      <c r="W1880" s="4" t="s">
        <v>2276</v>
      </c>
      <c r="X1880" s="4" t="s">
        <v>2276</v>
      </c>
      <c r="Y1880" s="4" t="s">
        <v>2276</v>
      </c>
      <c r="Z1880" s="4" t="s">
        <v>2276</v>
      </c>
      <c r="AA1880" s="3"/>
      <c r="AB1880" s="3"/>
    </row>
    <row r="1881" spans="1:28" ht="46.5" customHeight="1">
      <c r="A1881" s="156" t="str">
        <f>'Reported burning'!A1881</f>
        <v>218b</v>
      </c>
      <c r="B1881" s="156" t="str">
        <f>'Reported burning'!B1881</f>
        <v>218b.9</v>
      </c>
      <c r="C1881" s="156" t="str">
        <f>'Reported burning'!C1881</f>
        <v>Human, deliberate</v>
      </c>
      <c r="D1881" s="156" t="str">
        <f>'Reported burning'!D1881</f>
        <v>Vegetation management</v>
      </c>
      <c r="E1881" s="156" t="str">
        <f>'Reported burning'!E1881</f>
        <v>Cropping, Monoculture, Market-oriented</v>
      </c>
      <c r="F1881" s="156" t="str">
        <f>'Reported burning'!F1881</f>
        <v>Cropland</v>
      </c>
      <c r="G1881" s="156" t="str">
        <f>'Reported burning'!G1881</f>
        <v>ND</v>
      </c>
      <c r="H1881" s="156" t="str">
        <f>'Reported burning'!H1881</f>
        <v>Presence</v>
      </c>
      <c r="I1881" s="5"/>
      <c r="J1881" s="4" t="s">
        <v>2276</v>
      </c>
      <c r="K1881" s="4" t="s">
        <v>2276</v>
      </c>
      <c r="L1881" s="4" t="s">
        <v>2276</v>
      </c>
      <c r="M1881" s="4" t="s">
        <v>2276</v>
      </c>
      <c r="N1881" s="4" t="s">
        <v>2276</v>
      </c>
      <c r="O1881" s="4" t="s">
        <v>2276</v>
      </c>
      <c r="P1881" s="4" t="s">
        <v>2276</v>
      </c>
      <c r="Q1881" s="4" t="s">
        <v>2276</v>
      </c>
      <c r="R1881" s="4" t="s">
        <v>2276</v>
      </c>
      <c r="S1881" s="4" t="s">
        <v>2276</v>
      </c>
      <c r="T1881" s="4" t="s">
        <v>2276</v>
      </c>
      <c r="U1881" s="4" t="s">
        <v>2276</v>
      </c>
      <c r="V1881" s="4" t="s">
        <v>2276</v>
      </c>
      <c r="W1881" s="4" t="s">
        <v>2276</v>
      </c>
      <c r="X1881" s="3" t="s">
        <v>189</v>
      </c>
      <c r="Y1881" s="3" t="s">
        <v>38</v>
      </c>
      <c r="Z1881" s="4" t="s">
        <v>2276</v>
      </c>
      <c r="AA1881" s="3"/>
      <c r="AB1881" s="3"/>
    </row>
    <row r="1882" spans="1:28" ht="46.5" customHeight="1">
      <c r="A1882" s="156" t="str">
        <f>'Reported burning'!A1882</f>
        <v>218b</v>
      </c>
      <c r="B1882" s="156" t="str">
        <f>'Reported burning'!B1882</f>
        <v>218b.10</v>
      </c>
      <c r="C1882" s="156" t="str">
        <f>'Reported burning'!C1882</f>
        <v>Human, deliberate</v>
      </c>
      <c r="D1882" s="156" t="str">
        <f>'Reported burning'!D1882</f>
        <v>Arson</v>
      </c>
      <c r="E1882" s="156" t="str">
        <f>'Reported burning'!E1882</f>
        <v>Cropping, Swidden</v>
      </c>
      <c r="F1882" s="156" t="str">
        <f>'Reported burning'!F1882</f>
        <v>Cropland</v>
      </c>
      <c r="G1882" s="156" t="str">
        <f>'Reported burning'!G1882</f>
        <v>ND</v>
      </c>
      <c r="H1882" s="156" t="str">
        <f>'Reported burning'!H1882</f>
        <v>Presence</v>
      </c>
      <c r="I1882" s="5"/>
      <c r="J1882" s="4" t="s">
        <v>2276</v>
      </c>
      <c r="K1882" s="4" t="s">
        <v>2276</v>
      </c>
      <c r="L1882" s="4" t="s">
        <v>2276</v>
      </c>
      <c r="M1882" s="4" t="s">
        <v>2276</v>
      </c>
      <c r="N1882" s="4" t="s">
        <v>2276</v>
      </c>
      <c r="O1882" s="4" t="s">
        <v>2276</v>
      </c>
      <c r="P1882" s="4" t="s">
        <v>2276</v>
      </c>
      <c r="Q1882" s="4" t="s">
        <v>2276</v>
      </c>
      <c r="R1882" s="4" t="s">
        <v>2276</v>
      </c>
      <c r="S1882" s="4" t="s">
        <v>2276</v>
      </c>
      <c r="T1882" s="4" t="s">
        <v>2276</v>
      </c>
      <c r="U1882" s="4" t="s">
        <v>2276</v>
      </c>
      <c r="V1882" s="4" t="s">
        <v>2276</v>
      </c>
      <c r="W1882" s="4" t="s">
        <v>2276</v>
      </c>
      <c r="X1882" s="4" t="s">
        <v>2276</v>
      </c>
      <c r="Y1882" s="4" t="s">
        <v>2276</v>
      </c>
      <c r="Z1882" s="4" t="s">
        <v>2276</v>
      </c>
      <c r="AA1882" s="3"/>
      <c r="AB1882" s="3"/>
    </row>
    <row r="1883" spans="1:28" ht="46.5" customHeight="1">
      <c r="A1883" s="156" t="str">
        <f>'Reported burning'!A1883</f>
        <v>218b</v>
      </c>
      <c r="B1883" s="156" t="str">
        <f>'Reported burning'!B1883</f>
        <v>218b.11</v>
      </c>
      <c r="C1883" s="156" t="str">
        <f>'Reported burning'!C1883</f>
        <v>Human, deliberate</v>
      </c>
      <c r="D1883" s="156" t="str">
        <f>'Reported burning'!D1883</f>
        <v>Hunting</v>
      </c>
      <c r="E1883" s="156" t="str">
        <f>'Reported burning'!E1883</f>
        <v>Tourism manager</v>
      </c>
      <c r="F1883" s="156" t="str">
        <f>'Reported burning'!F1883</f>
        <v>Shrubland (Mixed forest &amp; grassland)</v>
      </c>
      <c r="G1883" s="156" t="str">
        <f>'Reported burning'!G1883</f>
        <v>ND</v>
      </c>
      <c r="H1883" s="156" t="str">
        <f>'Reported burning'!H1883</f>
        <v>Presence</v>
      </c>
      <c r="I1883" s="5"/>
      <c r="J1883" s="4" t="s">
        <v>2276</v>
      </c>
      <c r="K1883" s="4" t="s">
        <v>2276</v>
      </c>
      <c r="L1883" s="4" t="s">
        <v>2276</v>
      </c>
      <c r="M1883" s="4" t="s">
        <v>2276</v>
      </c>
      <c r="N1883" s="4" t="s">
        <v>2276</v>
      </c>
      <c r="O1883" s="4" t="s">
        <v>2276</v>
      </c>
      <c r="P1883" s="4" t="s">
        <v>2276</v>
      </c>
      <c r="Q1883" s="4" t="s">
        <v>2276</v>
      </c>
      <c r="R1883" s="4" t="s">
        <v>2276</v>
      </c>
      <c r="S1883" s="4" t="s">
        <v>2276</v>
      </c>
      <c r="T1883" s="4" t="s">
        <v>2276</v>
      </c>
      <c r="U1883" s="4" t="s">
        <v>2276</v>
      </c>
      <c r="V1883" s="4" t="s">
        <v>2276</v>
      </c>
      <c r="W1883" s="4" t="s">
        <v>2276</v>
      </c>
      <c r="X1883" s="4" t="s">
        <v>2276</v>
      </c>
      <c r="Y1883" s="4" t="s">
        <v>2276</v>
      </c>
      <c r="Z1883" s="4" t="s">
        <v>2276</v>
      </c>
      <c r="AA1883" s="3"/>
      <c r="AB1883" s="3"/>
    </row>
    <row r="1884" spans="1:28" ht="46.5" customHeight="1">
      <c r="A1884" s="156" t="str">
        <f>'Reported burning'!A1884</f>
        <v>218b</v>
      </c>
      <c r="B1884" s="156" t="str">
        <f>'Reported burning'!B1884</f>
        <v>218b.12</v>
      </c>
      <c r="C1884" s="156" t="str">
        <f>'Reported burning'!C1884</f>
        <v>Human, deliberate</v>
      </c>
      <c r="D1884" s="156" t="str">
        <f>'Reported burning'!D1884</f>
        <v>Accessibility</v>
      </c>
      <c r="E1884" s="156" t="str">
        <f>'Reported burning'!E1884</f>
        <v>Tourism manager</v>
      </c>
      <c r="F1884" s="156" t="str">
        <f>'Reported burning'!F1884</f>
        <v>Shrubland (Mixed forest &amp; grassland)</v>
      </c>
      <c r="G1884" s="156" t="str">
        <f>'Reported burning'!G1884</f>
        <v>ND</v>
      </c>
      <c r="H1884" s="156" t="str">
        <f>'Reported burning'!H1884</f>
        <v>Presence</v>
      </c>
      <c r="I1884" s="5"/>
      <c r="J1884" s="4" t="s">
        <v>2276</v>
      </c>
      <c r="K1884" s="4" t="s">
        <v>2276</v>
      </c>
      <c r="L1884" s="4" t="s">
        <v>2276</v>
      </c>
      <c r="M1884" s="4" t="s">
        <v>2276</v>
      </c>
      <c r="N1884" s="4" t="s">
        <v>2276</v>
      </c>
      <c r="O1884" s="4" t="s">
        <v>2276</v>
      </c>
      <c r="P1884" s="4" t="s">
        <v>2276</v>
      </c>
      <c r="Q1884" s="4" t="s">
        <v>2276</v>
      </c>
      <c r="R1884" s="4" t="s">
        <v>2276</v>
      </c>
      <c r="S1884" s="4" t="s">
        <v>2276</v>
      </c>
      <c r="T1884" s="4" t="s">
        <v>2276</v>
      </c>
      <c r="U1884" s="4" t="s">
        <v>2276</v>
      </c>
      <c r="V1884" s="4" t="s">
        <v>2276</v>
      </c>
      <c r="W1884" s="4" t="s">
        <v>2276</v>
      </c>
      <c r="X1884" s="4" t="s">
        <v>2276</v>
      </c>
      <c r="Y1884" s="4" t="s">
        <v>2276</v>
      </c>
      <c r="Z1884" s="4" t="s">
        <v>2276</v>
      </c>
      <c r="AA1884" s="3"/>
      <c r="AB1884" s="3"/>
    </row>
    <row r="1885" spans="1:28" ht="53" customHeight="1">
      <c r="A1885" s="156" t="str">
        <f>'Reported burning'!A1885</f>
        <v>218b</v>
      </c>
      <c r="B1885" s="156" t="str">
        <f>'Reported burning'!B1885</f>
        <v>218b.13</v>
      </c>
      <c r="C1885" s="156" t="str">
        <f>'Reported burning'!C1885</f>
        <v>Human, deliberate</v>
      </c>
      <c r="D1885" s="156" t="str">
        <f>'Reported burning'!D1885</f>
        <v>Harvesting of Timber</v>
      </c>
      <c r="E1885" s="156" t="str">
        <f>'Reported burning'!E1885</f>
        <v>Forestry, Industrial</v>
      </c>
      <c r="F1885" s="156" t="str">
        <f>'Reported burning'!F1885</f>
        <v>Forest</v>
      </c>
      <c r="G1885" s="156" t="str">
        <f>'Reported burning'!G1885</f>
        <v>ND</v>
      </c>
      <c r="H1885" s="156" t="str">
        <f>'Reported burning'!H1885</f>
        <v>Presence</v>
      </c>
      <c r="I1885" s="5"/>
      <c r="J1885" s="4" t="s">
        <v>2276</v>
      </c>
      <c r="K1885" s="4" t="s">
        <v>2276</v>
      </c>
      <c r="L1885" s="4" t="s">
        <v>2276</v>
      </c>
      <c r="M1885" s="4" t="s">
        <v>2276</v>
      </c>
      <c r="N1885" s="4" t="s">
        <v>2276</v>
      </c>
      <c r="O1885" s="4" t="s">
        <v>2276</v>
      </c>
      <c r="P1885" s="4" t="s">
        <v>2276</v>
      </c>
      <c r="Q1885" s="4" t="s">
        <v>2276</v>
      </c>
      <c r="R1885" s="4" t="s">
        <v>2276</v>
      </c>
      <c r="S1885" s="4" t="s">
        <v>2276</v>
      </c>
      <c r="T1885" s="4" t="s">
        <v>2276</v>
      </c>
      <c r="U1885" s="4" t="s">
        <v>2276</v>
      </c>
      <c r="V1885" s="4" t="s">
        <v>2276</v>
      </c>
      <c r="W1885" s="4" t="s">
        <v>2276</v>
      </c>
      <c r="X1885" s="4" t="s">
        <v>2276</v>
      </c>
      <c r="Y1885" s="4" t="s">
        <v>2276</v>
      </c>
      <c r="Z1885" s="4" t="s">
        <v>2276</v>
      </c>
      <c r="AA1885" s="3"/>
      <c r="AB1885" s="3"/>
    </row>
    <row r="1886" spans="1:28" ht="53" customHeight="1">
      <c r="A1886" s="156" t="str">
        <f>'Reported burning'!A1886</f>
        <v>218c</v>
      </c>
      <c r="B1886" s="156" t="str">
        <f>'Reported burning'!B1886</f>
        <v>218c.1</v>
      </c>
      <c r="C1886" s="156" t="str">
        <f>'Reported burning'!C1886</f>
        <v>Human, deliberate</v>
      </c>
      <c r="D1886" s="156" t="str">
        <f>'Reported burning'!D1886</f>
        <v>Crop field preparation</v>
      </c>
      <c r="E1886" s="156" t="str">
        <f>'Reported burning'!E1886</f>
        <v>Cropping, Swidden</v>
      </c>
      <c r="F1886" s="156" t="str">
        <f>'Reported burning'!F1886</f>
        <v>Secondary vegetation</v>
      </c>
      <c r="G1886" s="156" t="str">
        <f>'Reported burning'!G1886</f>
        <v>ND</v>
      </c>
      <c r="H1886" s="156" t="str">
        <f>'Reported burning'!H1886</f>
        <v>Presence</v>
      </c>
      <c r="I1886" s="5"/>
      <c r="J1886" s="4" t="s">
        <v>2276</v>
      </c>
      <c r="K1886" s="4" t="s">
        <v>2276</v>
      </c>
      <c r="L1886" s="4" t="s">
        <v>2276</v>
      </c>
      <c r="M1886" s="4" t="s">
        <v>2276</v>
      </c>
      <c r="N1886" s="4" t="s">
        <v>2276</v>
      </c>
      <c r="O1886" s="4" t="s">
        <v>2276</v>
      </c>
      <c r="P1886" s="4" t="s">
        <v>2276</v>
      </c>
      <c r="Q1886" s="4" t="s">
        <v>2276</v>
      </c>
      <c r="R1886" s="4" t="s">
        <v>2276</v>
      </c>
      <c r="S1886" s="4" t="s">
        <v>2276</v>
      </c>
      <c r="T1886" s="4" t="s">
        <v>2276</v>
      </c>
      <c r="U1886" s="4" t="s">
        <v>2276</v>
      </c>
      <c r="V1886" s="4" t="s">
        <v>2276</v>
      </c>
      <c r="W1886" s="21" t="s">
        <v>2402</v>
      </c>
      <c r="X1886" s="3" t="s">
        <v>86</v>
      </c>
      <c r="Y1886" s="3" t="s">
        <v>86</v>
      </c>
      <c r="Z1886" s="4" t="s">
        <v>2276</v>
      </c>
      <c r="AA1886" s="3"/>
      <c r="AB1886" s="3"/>
    </row>
    <row r="1887" spans="1:28" ht="53" customHeight="1">
      <c r="A1887" s="156" t="str">
        <f>'Reported burning'!A1887</f>
        <v>218c</v>
      </c>
      <c r="B1887" s="156" t="str">
        <f>'Reported burning'!B1887</f>
        <v>218c.2</v>
      </c>
      <c r="C1887" s="156" t="str">
        <f>'Reported burning'!C1887</f>
        <v>Human, deliberate</v>
      </c>
      <c r="D1887" s="156" t="str">
        <f>'Reported burning'!D1887</f>
        <v>Pasture renewal</v>
      </c>
      <c r="E1887" s="156" t="str">
        <f>'Reported burning'!E1887</f>
        <v>Pastoralism, Migratory</v>
      </c>
      <c r="F1887" s="156" t="str">
        <f>'Reported burning'!F1887</f>
        <v>Grassland</v>
      </c>
      <c r="G1887" s="156" t="str">
        <f>'Reported burning'!G1887</f>
        <v>ND</v>
      </c>
      <c r="H1887" s="156" t="str">
        <f>'Reported burning'!H1887</f>
        <v>Presence</v>
      </c>
      <c r="I1887" s="5"/>
      <c r="J1887" s="4" t="s">
        <v>2276</v>
      </c>
      <c r="K1887" s="4" t="s">
        <v>2276</v>
      </c>
      <c r="L1887" s="4" t="s">
        <v>2276</v>
      </c>
      <c r="M1887" s="4" t="s">
        <v>2276</v>
      </c>
      <c r="N1887" s="4" t="s">
        <v>2276</v>
      </c>
      <c r="O1887" s="4" t="s">
        <v>2276</v>
      </c>
      <c r="P1887" s="4" t="s">
        <v>2276</v>
      </c>
      <c r="Q1887" s="4" t="s">
        <v>2276</v>
      </c>
      <c r="R1887" s="4" t="s">
        <v>2276</v>
      </c>
      <c r="S1887" s="4" t="s">
        <v>2276</v>
      </c>
      <c r="T1887" s="4" t="s">
        <v>2276</v>
      </c>
      <c r="U1887" s="4" t="s">
        <v>2276</v>
      </c>
      <c r="V1887" s="4" t="s">
        <v>2276</v>
      </c>
      <c r="W1887" s="4" t="s">
        <v>2276</v>
      </c>
      <c r="X1887" s="3" t="s">
        <v>2276</v>
      </c>
      <c r="Y1887" s="3" t="s">
        <v>2276</v>
      </c>
      <c r="Z1887" s="4" t="s">
        <v>2276</v>
      </c>
      <c r="AA1887" s="3"/>
      <c r="AB1887" s="3"/>
    </row>
    <row r="1888" spans="1:28" ht="53" customHeight="1">
      <c r="A1888" s="156" t="str">
        <f>'Reported burning'!A1888</f>
        <v>218c</v>
      </c>
      <c r="B1888" s="156" t="str">
        <f>'Reported burning'!B1888</f>
        <v>218c.3</v>
      </c>
      <c r="C1888" s="156" t="str">
        <f>'Reported burning'!C1888</f>
        <v>Human, deliberate</v>
      </c>
      <c r="D1888" s="156" t="str">
        <f>'Reported burning'!D1888</f>
        <v>Harvesting of NTFP</v>
      </c>
      <c r="E1888" s="156" t="str">
        <f>'Reported burning'!E1888</f>
        <v>Forestry, Traditional</v>
      </c>
      <c r="F1888" s="156" t="str">
        <f>'Reported burning'!F1888</f>
        <v>Grassland</v>
      </c>
      <c r="G1888" s="156" t="str">
        <f>'Reported burning'!G1888</f>
        <v>ND</v>
      </c>
      <c r="H1888" s="156" t="str">
        <f>'Reported burning'!H1888</f>
        <v>Presence</v>
      </c>
      <c r="I1888" s="5"/>
      <c r="J1888" s="4" t="s">
        <v>2276</v>
      </c>
      <c r="K1888" s="4" t="s">
        <v>2276</v>
      </c>
      <c r="L1888" s="4" t="s">
        <v>2276</v>
      </c>
      <c r="M1888" s="4" t="s">
        <v>2276</v>
      </c>
      <c r="N1888" s="4" t="s">
        <v>2276</v>
      </c>
      <c r="O1888" s="4" t="s">
        <v>2276</v>
      </c>
      <c r="P1888" s="4" t="s">
        <v>2276</v>
      </c>
      <c r="Q1888" s="4" t="s">
        <v>2276</v>
      </c>
      <c r="R1888" s="4" t="s">
        <v>2276</v>
      </c>
      <c r="S1888" s="4" t="s">
        <v>2276</v>
      </c>
      <c r="T1888" s="4" t="s">
        <v>2276</v>
      </c>
      <c r="U1888" s="4" t="s">
        <v>2276</v>
      </c>
      <c r="V1888" s="4" t="s">
        <v>2276</v>
      </c>
      <c r="W1888" s="4" t="s">
        <v>2276</v>
      </c>
      <c r="X1888" s="3" t="s">
        <v>2276</v>
      </c>
      <c r="Y1888" s="3" t="s">
        <v>2276</v>
      </c>
      <c r="Z1888" s="4" t="s">
        <v>2276</v>
      </c>
      <c r="AA1888" s="3"/>
      <c r="AB1888" s="3"/>
    </row>
    <row r="1889" spans="1:28" ht="53" customHeight="1">
      <c r="A1889" s="156" t="str">
        <f>'Reported burning'!A1889</f>
        <v>218c</v>
      </c>
      <c r="B1889" s="156" t="str">
        <f>'Reported burning'!B1889</f>
        <v>218c.4</v>
      </c>
      <c r="C1889" s="156" t="str">
        <f>'Reported burning'!C1889</f>
        <v>Human, deliberate</v>
      </c>
      <c r="D1889" s="156" t="str">
        <f>'Reported burning'!D1889</f>
        <v>Hunting</v>
      </c>
      <c r="E1889" s="156" t="str">
        <f>'Reported burning'!E1889</f>
        <v>Forestry, Traditional</v>
      </c>
      <c r="F1889" s="156" t="str">
        <f>'Reported burning'!F1889</f>
        <v>Grassland</v>
      </c>
      <c r="G1889" s="156" t="str">
        <f>'Reported burning'!G1889</f>
        <v>ND</v>
      </c>
      <c r="H1889" s="156" t="str">
        <f>'Reported burning'!H1889</f>
        <v>Presence</v>
      </c>
      <c r="I1889" s="5"/>
      <c r="J1889" s="4" t="s">
        <v>2276</v>
      </c>
      <c r="K1889" s="4" t="s">
        <v>2276</v>
      </c>
      <c r="L1889" s="4" t="s">
        <v>2276</v>
      </c>
      <c r="M1889" s="4" t="s">
        <v>2276</v>
      </c>
      <c r="N1889" s="4" t="s">
        <v>2276</v>
      </c>
      <c r="O1889" s="4" t="s">
        <v>2276</v>
      </c>
      <c r="P1889" s="4" t="s">
        <v>2276</v>
      </c>
      <c r="Q1889" s="4" t="s">
        <v>2276</v>
      </c>
      <c r="R1889" s="4" t="s">
        <v>2276</v>
      </c>
      <c r="S1889" s="4" t="s">
        <v>2276</v>
      </c>
      <c r="T1889" s="4" t="s">
        <v>2276</v>
      </c>
      <c r="U1889" s="4" t="s">
        <v>2276</v>
      </c>
      <c r="V1889" s="4" t="s">
        <v>2276</v>
      </c>
      <c r="W1889" s="4" t="s">
        <v>2276</v>
      </c>
      <c r="X1889" s="4" t="s">
        <v>2276</v>
      </c>
      <c r="Y1889" s="4" t="s">
        <v>2276</v>
      </c>
      <c r="Z1889" s="4" t="s">
        <v>2276</v>
      </c>
      <c r="AA1889" s="3"/>
      <c r="AB1889" s="3"/>
    </row>
    <row r="1890" spans="1:28" ht="53" customHeight="1">
      <c r="A1890" s="156" t="str">
        <f>'Reported burning'!A1890</f>
        <v>218c</v>
      </c>
      <c r="B1890" s="156" t="str">
        <f>'Reported burning'!B1890</f>
        <v>218c.5</v>
      </c>
      <c r="C1890" s="156" t="str">
        <f>'Reported burning'!C1890</f>
        <v>Human, deliberate</v>
      </c>
      <c r="D1890" s="156" t="str">
        <f>'Reported burning'!D1890</f>
        <v>Land clearance</v>
      </c>
      <c r="E1890" s="156" t="str">
        <f>'Reported burning'!E1890</f>
        <v>Cropping, Monoculture, Market-oriented</v>
      </c>
      <c r="F1890" s="156" t="str">
        <f>'Reported burning'!F1890</f>
        <v>Cropland</v>
      </c>
      <c r="G1890" s="156" t="str">
        <f>'Reported burning'!G1890</f>
        <v>ND</v>
      </c>
      <c r="H1890" s="156" t="str">
        <f>'Reported burning'!H1890</f>
        <v>Presence</v>
      </c>
      <c r="I1890" s="5"/>
      <c r="J1890" s="4" t="s">
        <v>2276</v>
      </c>
      <c r="K1890" s="4" t="s">
        <v>2276</v>
      </c>
      <c r="L1890" s="4" t="s">
        <v>2276</v>
      </c>
      <c r="M1890" s="4" t="s">
        <v>2276</v>
      </c>
      <c r="N1890" s="4" t="s">
        <v>2276</v>
      </c>
      <c r="O1890" s="4" t="s">
        <v>2276</v>
      </c>
      <c r="P1890" s="4" t="s">
        <v>2276</v>
      </c>
      <c r="Q1890" s="4" t="s">
        <v>2276</v>
      </c>
      <c r="R1890" s="4" t="s">
        <v>2276</v>
      </c>
      <c r="S1890" s="4" t="s">
        <v>2276</v>
      </c>
      <c r="T1890" s="4" t="s">
        <v>2276</v>
      </c>
      <c r="U1890" s="4" t="s">
        <v>2276</v>
      </c>
      <c r="V1890" s="4" t="s">
        <v>2276</v>
      </c>
      <c r="W1890" s="4" t="s">
        <v>2276</v>
      </c>
      <c r="X1890" s="3" t="s">
        <v>2276</v>
      </c>
      <c r="Y1890" s="3" t="s">
        <v>2276</v>
      </c>
      <c r="Z1890" s="4" t="s">
        <v>2276</v>
      </c>
      <c r="AA1890" s="3"/>
      <c r="AB1890" s="3"/>
    </row>
    <row r="1891" spans="1:28" ht="53" customHeight="1">
      <c r="A1891" s="156" t="str">
        <f>'Reported burning'!A1891</f>
        <v>218c</v>
      </c>
      <c r="B1891" s="156" t="str">
        <f>'Reported burning'!B1891</f>
        <v>218c.6</v>
      </c>
      <c r="C1891" s="156" t="str">
        <f>'Reported burning'!C1891</f>
        <v>Human, deliberate</v>
      </c>
      <c r="D1891" s="156" t="str">
        <f>'Reported burning'!D1891</f>
        <v>Vegetation management</v>
      </c>
      <c r="E1891" s="156" t="str">
        <f>'Reported burning'!E1891</f>
        <v>Cropping, Monoculture, Market-oriented</v>
      </c>
      <c r="F1891" s="156" t="str">
        <f>'Reported burning'!F1891</f>
        <v>Cropland</v>
      </c>
      <c r="G1891" s="156" t="str">
        <f>'Reported burning'!G1891</f>
        <v>ND</v>
      </c>
      <c r="H1891" s="156" t="str">
        <f>'Reported burning'!H1891</f>
        <v>Presence</v>
      </c>
      <c r="I1891" s="5"/>
      <c r="J1891" s="4" t="s">
        <v>2276</v>
      </c>
      <c r="K1891" s="4" t="s">
        <v>2276</v>
      </c>
      <c r="L1891" s="4" t="s">
        <v>2276</v>
      </c>
      <c r="M1891" s="4" t="s">
        <v>2276</v>
      </c>
      <c r="N1891" s="4" t="s">
        <v>2276</v>
      </c>
      <c r="O1891" s="4" t="s">
        <v>2276</v>
      </c>
      <c r="P1891" s="4" t="s">
        <v>2276</v>
      </c>
      <c r="Q1891" s="4" t="s">
        <v>2276</v>
      </c>
      <c r="R1891" s="4" t="s">
        <v>2276</v>
      </c>
      <c r="S1891" s="4" t="s">
        <v>2276</v>
      </c>
      <c r="T1891" s="4" t="s">
        <v>2276</v>
      </c>
      <c r="U1891" s="4" t="s">
        <v>2276</v>
      </c>
      <c r="V1891" s="4" t="s">
        <v>2276</v>
      </c>
      <c r="W1891" s="4" t="s">
        <v>2276</v>
      </c>
      <c r="X1891" s="3" t="s">
        <v>86</v>
      </c>
      <c r="Y1891" s="3" t="s">
        <v>86</v>
      </c>
      <c r="Z1891" s="4" t="s">
        <v>2276</v>
      </c>
      <c r="AA1891" s="3"/>
      <c r="AB1891" s="3"/>
    </row>
    <row r="1892" spans="1:28" ht="53" customHeight="1">
      <c r="A1892" s="156" t="str">
        <f>'Reported burning'!A1892</f>
        <v>218c</v>
      </c>
      <c r="B1892" s="156" t="str">
        <f>'Reported burning'!B1892</f>
        <v>218c.7</v>
      </c>
      <c r="C1892" s="156" t="str">
        <f>'Reported burning'!C1892</f>
        <v>Human, deliberate</v>
      </c>
      <c r="D1892" s="156" t="str">
        <f>'Reported burning'!D1892</f>
        <v>Hunting</v>
      </c>
      <c r="E1892" s="156" t="str">
        <f>'Reported burning'!E1892</f>
        <v>Tourism manager</v>
      </c>
      <c r="F1892" s="156" t="str">
        <f>'Reported burning'!F1892</f>
        <v>Shrubland (Mixed forest &amp; grassland)</v>
      </c>
      <c r="G1892" s="156" t="str">
        <f>'Reported burning'!G1892</f>
        <v>ND</v>
      </c>
      <c r="H1892" s="156" t="str">
        <f>'Reported burning'!H1892</f>
        <v>Presence</v>
      </c>
      <c r="I1892" s="5"/>
      <c r="J1892" s="4" t="s">
        <v>2276</v>
      </c>
      <c r="K1892" s="4" t="s">
        <v>2276</v>
      </c>
      <c r="L1892" s="4" t="s">
        <v>2276</v>
      </c>
      <c r="M1892" s="4" t="s">
        <v>2276</v>
      </c>
      <c r="N1892" s="4" t="s">
        <v>2276</v>
      </c>
      <c r="O1892" s="4" t="s">
        <v>2276</v>
      </c>
      <c r="P1892" s="4" t="s">
        <v>2276</v>
      </c>
      <c r="Q1892" s="4" t="s">
        <v>2276</v>
      </c>
      <c r="R1892" s="4" t="s">
        <v>2276</v>
      </c>
      <c r="S1892" s="4" t="s">
        <v>2276</v>
      </c>
      <c r="T1892" s="4" t="s">
        <v>2276</v>
      </c>
      <c r="U1892" s="4" t="s">
        <v>2276</v>
      </c>
      <c r="V1892" s="4" t="s">
        <v>2276</v>
      </c>
      <c r="W1892" s="4" t="s">
        <v>2276</v>
      </c>
      <c r="X1892" s="4" t="s">
        <v>2276</v>
      </c>
      <c r="Y1892" s="4" t="s">
        <v>2276</v>
      </c>
      <c r="Z1892" s="4" t="s">
        <v>2276</v>
      </c>
      <c r="AA1892" s="3"/>
      <c r="AB1892" s="3"/>
    </row>
    <row r="1893" spans="1:28" ht="53" customHeight="1">
      <c r="A1893" s="185" t="str">
        <f>'Reported burning'!A1893</f>
        <v>218c</v>
      </c>
      <c r="B1893" s="185" t="str">
        <f>'Reported burning'!B1893</f>
        <v>218c.8</v>
      </c>
      <c r="C1893" s="185" t="str">
        <f>'Reported burning'!C1893</f>
        <v>Human, deliberate</v>
      </c>
      <c r="D1893" s="185" t="str">
        <f>'Reported burning'!D1893</f>
        <v>Accessibility</v>
      </c>
      <c r="E1893" s="185" t="str">
        <f>'Reported burning'!E1893</f>
        <v>Tourism manager</v>
      </c>
      <c r="F1893" s="185" t="str">
        <f>'Reported burning'!F1893</f>
        <v>Shrubland (Mixed forest &amp; grassland)</v>
      </c>
      <c r="G1893" s="185" t="str">
        <f>'Reported burning'!G1893</f>
        <v>ND</v>
      </c>
      <c r="H1893" s="185" t="str">
        <f>'Reported burning'!H1893</f>
        <v>Presence</v>
      </c>
      <c r="I1893" s="32"/>
      <c r="J1893" s="4" t="s">
        <v>2276</v>
      </c>
      <c r="K1893" s="4" t="s">
        <v>2276</v>
      </c>
      <c r="L1893" s="4" t="s">
        <v>2276</v>
      </c>
      <c r="M1893" s="4" t="s">
        <v>2276</v>
      </c>
      <c r="N1893" s="4" t="s">
        <v>2276</v>
      </c>
      <c r="O1893" s="4" t="s">
        <v>2276</v>
      </c>
      <c r="P1893" s="4" t="s">
        <v>2276</v>
      </c>
      <c r="Q1893" s="4" t="s">
        <v>2276</v>
      </c>
      <c r="R1893" s="4" t="s">
        <v>2276</v>
      </c>
      <c r="S1893" s="4" t="s">
        <v>2276</v>
      </c>
      <c r="T1893" s="4" t="s">
        <v>2276</v>
      </c>
      <c r="U1893" s="4" t="s">
        <v>2276</v>
      </c>
      <c r="V1893" s="4" t="s">
        <v>2276</v>
      </c>
      <c r="W1893" s="4" t="s">
        <v>2276</v>
      </c>
      <c r="X1893" s="4" t="s">
        <v>2276</v>
      </c>
      <c r="Y1893" s="4" t="s">
        <v>2276</v>
      </c>
      <c r="Z1893" s="4" t="s">
        <v>2276</v>
      </c>
      <c r="AA1893" s="3"/>
      <c r="AB1893" s="3"/>
    </row>
    <row r="1894" spans="1:28" ht="43.5" customHeight="1">
      <c r="A1894" s="152" t="str">
        <f>'Reported burning'!A1894</f>
        <v>218c</v>
      </c>
      <c r="B1894" s="152" t="str">
        <f>'Reported burning'!B1894</f>
        <v>218c.9</v>
      </c>
      <c r="C1894" s="152" t="str">
        <f>'Reported burning'!C1894</f>
        <v>Human, deliberate</v>
      </c>
      <c r="D1894" s="152" t="str">
        <f>'Reported burning'!D1894</f>
        <v>Harvesting of Timber</v>
      </c>
      <c r="E1894" s="152" t="str">
        <f>'Reported burning'!E1894</f>
        <v>Forestry, Industrial</v>
      </c>
      <c r="F1894" s="152" t="str">
        <f>'Reported burning'!F1894</f>
        <v>Forest</v>
      </c>
      <c r="G1894" s="152" t="str">
        <f>'Reported burning'!G1894</f>
        <v>ND</v>
      </c>
      <c r="H1894" s="152" t="str">
        <f>'Reported burning'!H1894</f>
        <v>Presence</v>
      </c>
      <c r="I1894" s="3"/>
      <c r="J1894" s="4" t="s">
        <v>2276</v>
      </c>
      <c r="K1894" s="4" t="s">
        <v>2276</v>
      </c>
      <c r="L1894" s="4" t="s">
        <v>2276</v>
      </c>
      <c r="M1894" s="4" t="s">
        <v>2276</v>
      </c>
      <c r="N1894" s="4" t="s">
        <v>2276</v>
      </c>
      <c r="O1894" s="4" t="s">
        <v>2276</v>
      </c>
      <c r="P1894" s="4" t="s">
        <v>2276</v>
      </c>
      <c r="Q1894" s="4" t="s">
        <v>2276</v>
      </c>
      <c r="R1894" s="4" t="s">
        <v>2276</v>
      </c>
      <c r="S1894" s="4" t="s">
        <v>2276</v>
      </c>
      <c r="T1894" s="4" t="s">
        <v>2276</v>
      </c>
      <c r="U1894" s="4" t="s">
        <v>2276</v>
      </c>
      <c r="V1894" s="4" t="s">
        <v>2276</v>
      </c>
      <c r="W1894" s="4" t="s">
        <v>2276</v>
      </c>
      <c r="X1894" s="4" t="s">
        <v>2276</v>
      </c>
      <c r="Y1894" s="4" t="s">
        <v>2276</v>
      </c>
      <c r="Z1894" s="4" t="s">
        <v>2276</v>
      </c>
      <c r="AA1894" s="3"/>
      <c r="AB1894" s="3"/>
    </row>
    <row r="1895" spans="1:28" ht="31" customHeight="1">
      <c r="A1895" s="156" t="str">
        <f>'Reported burning'!A1895</f>
        <v>218d</v>
      </c>
      <c r="B1895" s="156" t="str">
        <f>'Reported burning'!B1895</f>
        <v>218d.1</v>
      </c>
      <c r="C1895" s="156" t="str">
        <f>'Reported burning'!C1895</f>
        <v>Human, deliberate</v>
      </c>
      <c r="D1895" s="156" t="str">
        <f>'Reported burning'!D1895</f>
        <v>Crop field preparation</v>
      </c>
      <c r="E1895" s="156" t="str">
        <f>'Reported burning'!E1895</f>
        <v>Cropping, Swidden</v>
      </c>
      <c r="F1895" s="156" t="str">
        <f>'Reported burning'!F1895</f>
        <v>Secondary vegetation</v>
      </c>
      <c r="G1895" s="156" t="str">
        <f>'Reported burning'!G1895</f>
        <v>ND</v>
      </c>
      <c r="H1895" s="156" t="str">
        <f>'Reported burning'!H1895</f>
        <v>Presence</v>
      </c>
      <c r="I1895" s="5"/>
      <c r="J1895" s="4" t="s">
        <v>2276</v>
      </c>
      <c r="K1895" s="4" t="s">
        <v>2276</v>
      </c>
      <c r="L1895" s="4" t="s">
        <v>2276</v>
      </c>
      <c r="M1895" s="4" t="s">
        <v>2276</v>
      </c>
      <c r="N1895" s="4" t="s">
        <v>2276</v>
      </c>
      <c r="O1895" s="4" t="s">
        <v>2276</v>
      </c>
      <c r="P1895" s="4" t="s">
        <v>2276</v>
      </c>
      <c r="Q1895" s="4" t="s">
        <v>2276</v>
      </c>
      <c r="R1895" s="4" t="s">
        <v>2276</v>
      </c>
      <c r="S1895" s="4" t="s">
        <v>2276</v>
      </c>
      <c r="T1895" s="4" t="s">
        <v>2276</v>
      </c>
      <c r="U1895" s="4" t="s">
        <v>2276</v>
      </c>
      <c r="V1895" s="4" t="s">
        <v>2276</v>
      </c>
      <c r="W1895" s="4" t="s">
        <v>2276</v>
      </c>
      <c r="X1895" s="3" t="s">
        <v>86</v>
      </c>
      <c r="Y1895" s="3" t="s">
        <v>86</v>
      </c>
      <c r="Z1895" s="4" t="s">
        <v>2276</v>
      </c>
      <c r="AA1895" s="3"/>
      <c r="AB1895" s="3"/>
    </row>
    <row r="1896" spans="1:28" ht="29">
      <c r="A1896" s="156" t="str">
        <f>'Reported burning'!A1896</f>
        <v>218d</v>
      </c>
      <c r="B1896" s="156" t="str">
        <f>'Reported burning'!B1896</f>
        <v>218d.2</v>
      </c>
      <c r="C1896" s="156" t="str">
        <f>'Reported burning'!C1896</f>
        <v>Human, deliberate</v>
      </c>
      <c r="D1896" s="156" t="str">
        <f>'Reported burning'!D1896</f>
        <v>Pasture renewal</v>
      </c>
      <c r="E1896" s="156" t="str">
        <f>'Reported burning'!E1896</f>
        <v>Pastoralism, Migratory</v>
      </c>
      <c r="F1896" s="156" t="str">
        <f>'Reported burning'!F1896</f>
        <v>Shrubland (Mixed forest &amp; grassland)</v>
      </c>
      <c r="G1896" s="156" t="str">
        <f>'Reported burning'!G1896</f>
        <v>ND</v>
      </c>
      <c r="H1896" s="156" t="str">
        <f>'Reported burning'!H1896</f>
        <v>Presence</v>
      </c>
      <c r="I1896" s="5"/>
      <c r="J1896" s="4" t="s">
        <v>2276</v>
      </c>
      <c r="K1896" s="4" t="s">
        <v>2276</v>
      </c>
      <c r="L1896" s="4" t="s">
        <v>2276</v>
      </c>
      <c r="M1896" s="4" t="s">
        <v>2276</v>
      </c>
      <c r="N1896" s="4" t="s">
        <v>2276</v>
      </c>
      <c r="O1896" s="4" t="s">
        <v>2276</v>
      </c>
      <c r="P1896" s="4" t="s">
        <v>2276</v>
      </c>
      <c r="Q1896" s="4" t="s">
        <v>2276</v>
      </c>
      <c r="R1896" s="4" t="s">
        <v>2276</v>
      </c>
      <c r="S1896" s="4" t="s">
        <v>2276</v>
      </c>
      <c r="T1896" s="4" t="s">
        <v>2276</v>
      </c>
      <c r="U1896" s="4" t="s">
        <v>2276</v>
      </c>
      <c r="V1896" s="4" t="s">
        <v>2276</v>
      </c>
      <c r="W1896" s="4" t="s">
        <v>2276</v>
      </c>
      <c r="X1896" s="4" t="s">
        <v>2276</v>
      </c>
      <c r="Y1896" s="4" t="s">
        <v>2276</v>
      </c>
      <c r="Z1896" s="4" t="s">
        <v>2276</v>
      </c>
      <c r="AA1896" s="5"/>
      <c r="AB1896" s="5"/>
    </row>
    <row r="1897" spans="1:28" ht="29">
      <c r="A1897" s="156" t="str">
        <f>'Reported burning'!A1897</f>
        <v>218d</v>
      </c>
      <c r="B1897" s="156" t="str">
        <f>'Reported burning'!B1897</f>
        <v>218d.3</v>
      </c>
      <c r="C1897" s="156" t="str">
        <f>'Reported burning'!C1897</f>
        <v>Human, deliberate</v>
      </c>
      <c r="D1897" s="156" t="str">
        <f>'Reported burning'!D1897</f>
        <v>Harvesting of NTFP</v>
      </c>
      <c r="E1897" s="156" t="str">
        <f>'Reported burning'!E1897</f>
        <v>Forestry, Traditional</v>
      </c>
      <c r="F1897" s="156" t="str">
        <f>'Reported burning'!F1897</f>
        <v>Shrubland (Mixed forest &amp; grassland)</v>
      </c>
      <c r="G1897" s="156" t="str">
        <f>'Reported burning'!G1897</f>
        <v>ND</v>
      </c>
      <c r="H1897" s="156" t="str">
        <f>'Reported burning'!H1897</f>
        <v>Presence</v>
      </c>
      <c r="I1897" s="5"/>
      <c r="J1897" s="4" t="s">
        <v>2276</v>
      </c>
      <c r="K1897" s="4" t="s">
        <v>2276</v>
      </c>
      <c r="L1897" s="4" t="s">
        <v>2276</v>
      </c>
      <c r="M1897" s="4" t="s">
        <v>2276</v>
      </c>
      <c r="N1897" s="4" t="s">
        <v>2276</v>
      </c>
      <c r="O1897" s="4" t="s">
        <v>2276</v>
      </c>
      <c r="P1897" s="4" t="s">
        <v>2276</v>
      </c>
      <c r="Q1897" s="4" t="s">
        <v>2276</v>
      </c>
      <c r="R1897" s="4" t="s">
        <v>2276</v>
      </c>
      <c r="S1897" s="4" t="s">
        <v>2276</v>
      </c>
      <c r="T1897" s="4" t="s">
        <v>2276</v>
      </c>
      <c r="U1897" s="4" t="s">
        <v>2276</v>
      </c>
      <c r="V1897" s="4" t="s">
        <v>2276</v>
      </c>
      <c r="W1897" s="4" t="s">
        <v>2276</v>
      </c>
      <c r="X1897" s="3" t="s">
        <v>188</v>
      </c>
      <c r="Y1897" s="3" t="s">
        <v>189</v>
      </c>
      <c r="Z1897" s="4" t="s">
        <v>2276</v>
      </c>
      <c r="AA1897" s="3"/>
      <c r="AB1897" s="3"/>
    </row>
    <row r="1898" spans="1:28" ht="29">
      <c r="A1898" s="156" t="str">
        <f>'Reported burning'!A1898</f>
        <v>218d</v>
      </c>
      <c r="B1898" s="156" t="str">
        <f>'Reported burning'!B1898</f>
        <v>218d.4</v>
      </c>
      <c r="C1898" s="156" t="str">
        <f>'Reported burning'!C1898</f>
        <v>Human, deliberate</v>
      </c>
      <c r="D1898" s="156" t="str">
        <f>'Reported burning'!D1898</f>
        <v>Hunting</v>
      </c>
      <c r="E1898" s="156" t="str">
        <f>'Reported burning'!E1898</f>
        <v>Forestry, Traditional</v>
      </c>
      <c r="F1898" s="156" t="str">
        <f>'Reported burning'!F1898</f>
        <v>Shrubland (Mixed forest &amp; grassland)</v>
      </c>
      <c r="G1898" s="156" t="str">
        <f>'Reported burning'!G1898</f>
        <v>ND</v>
      </c>
      <c r="H1898" s="156" t="str">
        <f>'Reported burning'!H1898</f>
        <v>Presence</v>
      </c>
      <c r="I1898" s="5"/>
      <c r="J1898" s="4" t="s">
        <v>2276</v>
      </c>
      <c r="K1898" s="4" t="s">
        <v>2276</v>
      </c>
      <c r="L1898" s="4" t="s">
        <v>2276</v>
      </c>
      <c r="M1898" s="4" t="s">
        <v>2276</v>
      </c>
      <c r="N1898" s="4" t="s">
        <v>2276</v>
      </c>
      <c r="O1898" s="4" t="s">
        <v>2276</v>
      </c>
      <c r="P1898" s="4" t="s">
        <v>2276</v>
      </c>
      <c r="Q1898" s="4" t="s">
        <v>2276</v>
      </c>
      <c r="R1898" s="4" t="s">
        <v>2276</v>
      </c>
      <c r="S1898" s="4" t="s">
        <v>2276</v>
      </c>
      <c r="T1898" s="4" t="s">
        <v>2276</v>
      </c>
      <c r="U1898" s="4" t="s">
        <v>2276</v>
      </c>
      <c r="V1898" s="4" t="s">
        <v>2276</v>
      </c>
      <c r="W1898" s="4" t="s">
        <v>2276</v>
      </c>
      <c r="X1898" s="3" t="s">
        <v>189</v>
      </c>
      <c r="Y1898" s="3" t="s">
        <v>86</v>
      </c>
      <c r="Z1898" s="4" t="s">
        <v>2276</v>
      </c>
      <c r="AA1898" s="3"/>
      <c r="AB1898" s="3"/>
    </row>
    <row r="1899" spans="1:28" ht="37" customHeight="1">
      <c r="A1899" s="156" t="str">
        <f>'Reported burning'!A1899</f>
        <v>218d</v>
      </c>
      <c r="B1899" s="156" t="str">
        <f>'Reported burning'!B1899</f>
        <v>218d.5</v>
      </c>
      <c r="C1899" s="156" t="str">
        <f>'Reported burning'!C1899</f>
        <v>Human, escaped</v>
      </c>
      <c r="D1899" s="156" t="str">
        <f>'Reported burning'!D1899</f>
        <v>Crop field preparation</v>
      </c>
      <c r="E1899" s="156" t="str">
        <f>'Reported burning'!E1899</f>
        <v>Cropping, Swidden</v>
      </c>
      <c r="F1899" s="156" t="str">
        <f>'Reported burning'!F1899</f>
        <v>Secondary vegetation</v>
      </c>
      <c r="G1899" s="156" t="str">
        <f>'Reported burning'!G1899</f>
        <v>ND</v>
      </c>
      <c r="H1899" s="156" t="str">
        <f>'Reported burning'!H1899</f>
        <v>Presence</v>
      </c>
      <c r="I1899" s="5"/>
      <c r="J1899" s="4" t="s">
        <v>2276</v>
      </c>
      <c r="K1899" s="4" t="s">
        <v>2276</v>
      </c>
      <c r="L1899" s="4" t="s">
        <v>2276</v>
      </c>
      <c r="M1899" s="4" t="s">
        <v>2276</v>
      </c>
      <c r="N1899" s="4" t="s">
        <v>2276</v>
      </c>
      <c r="O1899" s="4" t="s">
        <v>2276</v>
      </c>
      <c r="P1899" s="4" t="s">
        <v>2276</v>
      </c>
      <c r="Q1899" s="4" t="s">
        <v>2276</v>
      </c>
      <c r="R1899" s="4" t="s">
        <v>2276</v>
      </c>
      <c r="S1899" s="4" t="s">
        <v>2276</v>
      </c>
      <c r="T1899" s="4" t="s">
        <v>2276</v>
      </c>
      <c r="U1899" s="4" t="s">
        <v>2276</v>
      </c>
      <c r="V1899" s="4" t="s">
        <v>2276</v>
      </c>
      <c r="W1899" s="4" t="s">
        <v>2276</v>
      </c>
      <c r="X1899" s="3" t="s">
        <v>86</v>
      </c>
      <c r="Y1899" s="3" t="s">
        <v>86</v>
      </c>
      <c r="Z1899" s="4" t="s">
        <v>2276</v>
      </c>
      <c r="AA1899" s="3"/>
      <c r="AB1899" s="3"/>
    </row>
    <row r="1900" spans="1:28" ht="29">
      <c r="A1900" s="156" t="str">
        <f>'Reported burning'!A1900</f>
        <v>218d</v>
      </c>
      <c r="B1900" s="156" t="str">
        <f>'Reported burning'!B1900</f>
        <v>218d.6</v>
      </c>
      <c r="C1900" s="156" t="str">
        <f>'Reported burning'!C1900</f>
        <v>Human, deliberate</v>
      </c>
      <c r="D1900" s="156" t="str">
        <f>'Reported burning'!D1900</f>
        <v>Land clearance</v>
      </c>
      <c r="E1900" s="156" t="str">
        <f>'Reported burning'!E1900</f>
        <v>Cropping, Monoculture, Market-oriented</v>
      </c>
      <c r="F1900" s="156" t="str">
        <f>'Reported burning'!F1900</f>
        <v>Cropland</v>
      </c>
      <c r="G1900" s="156" t="str">
        <f>'Reported burning'!G1900</f>
        <v>ND</v>
      </c>
      <c r="H1900" s="156" t="str">
        <f>'Reported burning'!H1900</f>
        <v>Presence</v>
      </c>
      <c r="I1900" s="5"/>
      <c r="J1900" s="4" t="s">
        <v>2276</v>
      </c>
      <c r="K1900" s="4" t="s">
        <v>2276</v>
      </c>
      <c r="L1900" s="4" t="s">
        <v>2276</v>
      </c>
      <c r="M1900" s="4" t="s">
        <v>2276</v>
      </c>
      <c r="N1900" s="4" t="s">
        <v>2276</v>
      </c>
      <c r="O1900" s="4" t="s">
        <v>2276</v>
      </c>
      <c r="P1900" s="4" t="s">
        <v>2276</v>
      </c>
      <c r="Q1900" s="4" t="s">
        <v>2276</v>
      </c>
      <c r="R1900" s="4" t="s">
        <v>2276</v>
      </c>
      <c r="S1900" s="4" t="s">
        <v>2276</v>
      </c>
      <c r="T1900" s="4" t="s">
        <v>2276</v>
      </c>
      <c r="U1900" s="4" t="s">
        <v>2276</v>
      </c>
      <c r="V1900" s="4" t="s">
        <v>2276</v>
      </c>
      <c r="W1900" s="4" t="s">
        <v>2276</v>
      </c>
      <c r="X1900" s="4" t="s">
        <v>2276</v>
      </c>
      <c r="Y1900" s="4" t="s">
        <v>2276</v>
      </c>
      <c r="Z1900" s="4" t="s">
        <v>2276</v>
      </c>
      <c r="AA1900" s="3"/>
      <c r="AB1900" s="3"/>
    </row>
    <row r="1901" spans="1:28" ht="29">
      <c r="A1901" s="156" t="str">
        <f>'Reported burning'!A1901</f>
        <v>218d</v>
      </c>
      <c r="B1901" s="156" t="str">
        <f>'Reported burning'!B1901</f>
        <v>218d.7</v>
      </c>
      <c r="C1901" s="156" t="str">
        <f>'Reported burning'!C1901</f>
        <v>Human, deliberate</v>
      </c>
      <c r="D1901" s="156" t="str">
        <f>'Reported burning'!D1901</f>
        <v>Vegetation management</v>
      </c>
      <c r="E1901" s="156" t="str">
        <f>'Reported burning'!E1901</f>
        <v>Cropping, Monoculture, Market-oriented</v>
      </c>
      <c r="F1901" s="156" t="str">
        <f>'Reported burning'!F1901</f>
        <v>Cropland</v>
      </c>
      <c r="G1901" s="156" t="str">
        <f>'Reported burning'!G1901</f>
        <v>ND</v>
      </c>
      <c r="H1901" s="156" t="str">
        <f>'Reported burning'!H1901</f>
        <v>Presence</v>
      </c>
      <c r="I1901" s="5"/>
      <c r="J1901" s="4" t="s">
        <v>2276</v>
      </c>
      <c r="K1901" s="4" t="s">
        <v>2276</v>
      </c>
      <c r="L1901" s="4" t="s">
        <v>2276</v>
      </c>
      <c r="M1901" s="4" t="s">
        <v>2276</v>
      </c>
      <c r="N1901" s="4" t="s">
        <v>2276</v>
      </c>
      <c r="O1901" s="4" t="s">
        <v>2276</v>
      </c>
      <c r="P1901" s="4" t="s">
        <v>2276</v>
      </c>
      <c r="Q1901" s="4" t="s">
        <v>2276</v>
      </c>
      <c r="R1901" s="4" t="s">
        <v>2276</v>
      </c>
      <c r="S1901" s="4" t="s">
        <v>2276</v>
      </c>
      <c r="T1901" s="4" t="s">
        <v>2276</v>
      </c>
      <c r="U1901" s="4" t="s">
        <v>2276</v>
      </c>
      <c r="V1901" s="4" t="s">
        <v>2276</v>
      </c>
      <c r="W1901" s="4" t="s">
        <v>2276</v>
      </c>
      <c r="X1901" s="4" t="s">
        <v>2276</v>
      </c>
      <c r="Y1901" s="4" t="s">
        <v>2276</v>
      </c>
      <c r="Z1901" s="4" t="s">
        <v>2276</v>
      </c>
      <c r="AA1901" s="3"/>
      <c r="AB1901" s="3"/>
    </row>
    <row r="1902" spans="1:28" ht="29">
      <c r="A1902" s="156" t="str">
        <f>'Reported burning'!A1902</f>
        <v>218d</v>
      </c>
      <c r="B1902" s="156" t="str">
        <f>'Reported burning'!B1902</f>
        <v>218d.8</v>
      </c>
      <c r="C1902" s="156" t="str">
        <f>'Reported burning'!C1902</f>
        <v>Human, deliberate</v>
      </c>
      <c r="D1902" s="156" t="str">
        <f>'Reported burning'!D1902</f>
        <v>Hunting</v>
      </c>
      <c r="E1902" s="156" t="str">
        <f>'Reported burning'!E1902</f>
        <v>Tourism manager</v>
      </c>
      <c r="F1902" s="156" t="str">
        <f>'Reported burning'!F1902</f>
        <v>Shrubland (Mixed forest &amp; grassland)</v>
      </c>
      <c r="G1902" s="156" t="str">
        <f>'Reported burning'!G1902</f>
        <v>ND</v>
      </c>
      <c r="H1902" s="156" t="str">
        <f>'Reported burning'!H1902</f>
        <v>Presence</v>
      </c>
      <c r="I1902" s="5"/>
      <c r="J1902" s="4" t="s">
        <v>2276</v>
      </c>
      <c r="K1902" s="4" t="s">
        <v>2276</v>
      </c>
      <c r="L1902" s="4" t="s">
        <v>2276</v>
      </c>
      <c r="M1902" s="4" t="s">
        <v>2276</v>
      </c>
      <c r="N1902" s="4" t="s">
        <v>2276</v>
      </c>
      <c r="O1902" s="4" t="s">
        <v>2276</v>
      </c>
      <c r="P1902" s="4" t="s">
        <v>2276</v>
      </c>
      <c r="Q1902" s="4" t="s">
        <v>2276</v>
      </c>
      <c r="R1902" s="4" t="s">
        <v>2276</v>
      </c>
      <c r="S1902" s="4" t="s">
        <v>2276</v>
      </c>
      <c r="T1902" s="4" t="s">
        <v>2276</v>
      </c>
      <c r="U1902" s="4" t="s">
        <v>2276</v>
      </c>
      <c r="V1902" s="4" t="s">
        <v>2276</v>
      </c>
      <c r="W1902" s="4" t="s">
        <v>2276</v>
      </c>
      <c r="X1902" s="4" t="s">
        <v>2276</v>
      </c>
      <c r="Y1902" s="4" t="s">
        <v>2276</v>
      </c>
      <c r="Z1902" s="4" t="s">
        <v>2276</v>
      </c>
      <c r="AA1902" s="3"/>
      <c r="AB1902" s="3"/>
    </row>
    <row r="1903" spans="1:28" ht="29">
      <c r="A1903" s="156" t="str">
        <f>'Reported burning'!A1903</f>
        <v>218d</v>
      </c>
      <c r="B1903" s="156" t="str">
        <f>'Reported burning'!B1903</f>
        <v>218d.9</v>
      </c>
      <c r="C1903" s="156" t="str">
        <f>'Reported burning'!C1903</f>
        <v>Human, deliberate</v>
      </c>
      <c r="D1903" s="156" t="str">
        <f>'Reported burning'!D1903</f>
        <v>Accessibility</v>
      </c>
      <c r="E1903" s="156" t="str">
        <f>'Reported burning'!E1903</f>
        <v>Tourism manager</v>
      </c>
      <c r="F1903" s="156" t="str">
        <f>'Reported burning'!F1903</f>
        <v>Shrubland (Mixed forest &amp; grassland)</v>
      </c>
      <c r="G1903" s="156" t="str">
        <f>'Reported burning'!G1903</f>
        <v>ND</v>
      </c>
      <c r="H1903" s="156" t="str">
        <f>'Reported burning'!H1903</f>
        <v>Presence</v>
      </c>
      <c r="I1903" s="5"/>
      <c r="J1903" s="4" t="s">
        <v>2276</v>
      </c>
      <c r="K1903" s="4" t="s">
        <v>2276</v>
      </c>
      <c r="L1903" s="4" t="s">
        <v>2276</v>
      </c>
      <c r="M1903" s="4" t="s">
        <v>2276</v>
      </c>
      <c r="N1903" s="4" t="s">
        <v>2276</v>
      </c>
      <c r="O1903" s="4" t="s">
        <v>2276</v>
      </c>
      <c r="P1903" s="4" t="s">
        <v>2276</v>
      </c>
      <c r="Q1903" s="4" t="s">
        <v>2276</v>
      </c>
      <c r="R1903" s="4" t="s">
        <v>2276</v>
      </c>
      <c r="S1903" s="4" t="s">
        <v>2276</v>
      </c>
      <c r="T1903" s="4" t="s">
        <v>2276</v>
      </c>
      <c r="U1903" s="4" t="s">
        <v>2276</v>
      </c>
      <c r="V1903" s="4" t="s">
        <v>2276</v>
      </c>
      <c r="W1903" s="4" t="s">
        <v>2276</v>
      </c>
      <c r="X1903" s="4" t="s">
        <v>2276</v>
      </c>
      <c r="Y1903" s="4" t="s">
        <v>2276</v>
      </c>
      <c r="Z1903" s="4" t="s">
        <v>2276</v>
      </c>
      <c r="AA1903" s="3"/>
      <c r="AB1903" s="3"/>
    </row>
    <row r="1904" spans="1:28" ht="26.5" customHeight="1">
      <c r="A1904" s="156" t="str">
        <f>'Reported burning'!A1904</f>
        <v>218d</v>
      </c>
      <c r="B1904" s="156" t="str">
        <f>'Reported burning'!B1904</f>
        <v>218d.10</v>
      </c>
      <c r="C1904" s="156" t="str">
        <f>'Reported burning'!C1904</f>
        <v>Human, deliberate</v>
      </c>
      <c r="D1904" s="156" t="str">
        <f>'Reported burning'!D1904</f>
        <v>Harvesting of Timber</v>
      </c>
      <c r="E1904" s="156" t="str">
        <f>'Reported burning'!E1904</f>
        <v>Forestry, Industrial</v>
      </c>
      <c r="F1904" s="156" t="str">
        <f>'Reported burning'!F1904</f>
        <v>Forest</v>
      </c>
      <c r="G1904" s="156" t="str">
        <f>'Reported burning'!G1904</f>
        <v>ND</v>
      </c>
      <c r="H1904" s="156" t="str">
        <f>'Reported burning'!H1904</f>
        <v>Presence</v>
      </c>
      <c r="I1904" s="5"/>
      <c r="J1904" s="4" t="s">
        <v>2276</v>
      </c>
      <c r="K1904" s="4" t="s">
        <v>2276</v>
      </c>
      <c r="L1904" s="4" t="s">
        <v>2276</v>
      </c>
      <c r="M1904" s="4" t="s">
        <v>2276</v>
      </c>
      <c r="N1904" s="4" t="s">
        <v>2276</v>
      </c>
      <c r="O1904" s="4" t="s">
        <v>2276</v>
      </c>
      <c r="P1904" s="4" t="s">
        <v>2276</v>
      </c>
      <c r="Q1904" s="4" t="s">
        <v>2276</v>
      </c>
      <c r="R1904" s="4" t="s">
        <v>2276</v>
      </c>
      <c r="S1904" s="4" t="s">
        <v>2276</v>
      </c>
      <c r="T1904" s="4" t="s">
        <v>2276</v>
      </c>
      <c r="U1904" s="4" t="s">
        <v>2276</v>
      </c>
      <c r="V1904" s="4" t="s">
        <v>2276</v>
      </c>
      <c r="W1904" s="4" t="s">
        <v>2276</v>
      </c>
      <c r="X1904" s="4" t="s">
        <v>2276</v>
      </c>
      <c r="Y1904" s="4" t="s">
        <v>2276</v>
      </c>
      <c r="Z1904" s="4" t="s">
        <v>2276</v>
      </c>
      <c r="AA1904" s="3"/>
      <c r="AB1904" s="3"/>
    </row>
    <row r="1905" spans="1:28" ht="26.5" customHeight="1">
      <c r="A1905" s="156" t="str">
        <f>'Reported burning'!A1905</f>
        <v>218e</v>
      </c>
      <c r="B1905" s="156" t="str">
        <f>'Reported burning'!B1905</f>
        <v>218e.1</v>
      </c>
      <c r="C1905" s="156" t="str">
        <f>'Reported burning'!C1905</f>
        <v>Human, deliberate</v>
      </c>
      <c r="D1905" s="156" t="str">
        <f>'Reported burning'!D1905</f>
        <v>Crop field preparation</v>
      </c>
      <c r="E1905" s="156" t="str">
        <f>'Reported burning'!E1905</f>
        <v>Cropping, Swidden</v>
      </c>
      <c r="F1905" s="156" t="str">
        <f>'Reported burning'!F1905</f>
        <v>Secondary vegetation</v>
      </c>
      <c r="G1905" s="156" t="str">
        <f>'Reported burning'!G1905</f>
        <v>ND</v>
      </c>
      <c r="H1905" s="156" t="str">
        <f>'Reported burning'!H1905</f>
        <v>Presence</v>
      </c>
      <c r="I1905" s="5"/>
      <c r="J1905" s="4" t="s">
        <v>2276</v>
      </c>
      <c r="K1905" s="4" t="s">
        <v>2276</v>
      </c>
      <c r="L1905" s="4" t="s">
        <v>2276</v>
      </c>
      <c r="M1905" s="4" t="s">
        <v>2276</v>
      </c>
      <c r="N1905" s="4" t="s">
        <v>2276</v>
      </c>
      <c r="O1905" s="4" t="s">
        <v>2276</v>
      </c>
      <c r="P1905" s="4" t="s">
        <v>2276</v>
      </c>
      <c r="Q1905" s="4" t="s">
        <v>2276</v>
      </c>
      <c r="R1905" s="4" t="s">
        <v>2276</v>
      </c>
      <c r="S1905" s="4" t="s">
        <v>2276</v>
      </c>
      <c r="T1905" s="4" t="s">
        <v>2276</v>
      </c>
      <c r="U1905" s="4" t="s">
        <v>2276</v>
      </c>
      <c r="V1905" s="4" t="s">
        <v>2276</v>
      </c>
      <c r="W1905" s="4" t="s">
        <v>2276</v>
      </c>
      <c r="X1905" s="3" t="s">
        <v>86</v>
      </c>
      <c r="Y1905" s="3" t="s">
        <v>86</v>
      </c>
      <c r="Z1905" s="4" t="s">
        <v>2276</v>
      </c>
      <c r="AA1905" s="3"/>
      <c r="AB1905" s="3"/>
    </row>
    <row r="1906" spans="1:28" ht="26.5" customHeight="1">
      <c r="A1906" s="156" t="str">
        <f>'Reported burning'!A1906</f>
        <v>218e</v>
      </c>
      <c r="B1906" s="156" t="str">
        <f>'Reported burning'!B1906</f>
        <v>218e.2</v>
      </c>
      <c r="C1906" s="156" t="str">
        <f>'Reported burning'!C1906</f>
        <v>Human, deliberate</v>
      </c>
      <c r="D1906" s="156" t="str">
        <f>'Reported burning'!D1906</f>
        <v>Pasture renewal</v>
      </c>
      <c r="E1906" s="156" t="str">
        <f>'Reported burning'!E1906</f>
        <v>Pastoralism, Migratory</v>
      </c>
      <c r="F1906" s="156" t="str">
        <f>'Reported burning'!F1906</f>
        <v>Grassland</v>
      </c>
      <c r="G1906" s="156" t="str">
        <f>'Reported burning'!G1906</f>
        <v>ND</v>
      </c>
      <c r="H1906" s="156" t="str">
        <f>'Reported burning'!H1906</f>
        <v>Presence</v>
      </c>
      <c r="I1906" s="5"/>
      <c r="J1906" s="4" t="s">
        <v>2276</v>
      </c>
      <c r="K1906" s="4" t="s">
        <v>2276</v>
      </c>
      <c r="L1906" s="4" t="s">
        <v>2276</v>
      </c>
      <c r="M1906" s="4" t="s">
        <v>2276</v>
      </c>
      <c r="N1906" s="4" t="s">
        <v>2276</v>
      </c>
      <c r="O1906" s="4" t="s">
        <v>2276</v>
      </c>
      <c r="P1906" s="4" t="s">
        <v>2276</v>
      </c>
      <c r="Q1906" s="4" t="s">
        <v>2276</v>
      </c>
      <c r="R1906" s="4" t="s">
        <v>2276</v>
      </c>
      <c r="S1906" s="4" t="s">
        <v>2276</v>
      </c>
      <c r="T1906" s="4" t="s">
        <v>2276</v>
      </c>
      <c r="U1906" s="4" t="s">
        <v>2276</v>
      </c>
      <c r="V1906" s="4" t="s">
        <v>2276</v>
      </c>
      <c r="W1906" s="4" t="s">
        <v>2276</v>
      </c>
      <c r="X1906" s="4" t="s">
        <v>2276</v>
      </c>
      <c r="Y1906" s="4" t="s">
        <v>2276</v>
      </c>
      <c r="Z1906" s="4" t="s">
        <v>2276</v>
      </c>
      <c r="AA1906" s="3"/>
      <c r="AB1906" s="3"/>
    </row>
    <row r="1907" spans="1:28" ht="26.5" customHeight="1">
      <c r="A1907" s="156" t="str">
        <f>'Reported burning'!A1907</f>
        <v>218e</v>
      </c>
      <c r="B1907" s="156" t="str">
        <f>'Reported burning'!B1907</f>
        <v>218e.3</v>
      </c>
      <c r="C1907" s="156" t="str">
        <f>'Reported burning'!C1907</f>
        <v>Human, deliberate</v>
      </c>
      <c r="D1907" s="156" t="str">
        <f>'Reported burning'!D1907</f>
        <v>Harvesting of NTFP</v>
      </c>
      <c r="E1907" s="156" t="str">
        <f>'Reported burning'!E1907</f>
        <v>Forestry, Traditional</v>
      </c>
      <c r="F1907" s="156" t="str">
        <f>'Reported burning'!F1907</f>
        <v>Grassland</v>
      </c>
      <c r="G1907" s="156" t="str">
        <f>'Reported burning'!G1907</f>
        <v>ND</v>
      </c>
      <c r="H1907" s="156" t="str">
        <f>'Reported burning'!H1907</f>
        <v>Presence</v>
      </c>
      <c r="I1907" s="5"/>
      <c r="J1907" s="4" t="s">
        <v>2276</v>
      </c>
      <c r="K1907" s="4" t="s">
        <v>2276</v>
      </c>
      <c r="L1907" s="4" t="s">
        <v>2276</v>
      </c>
      <c r="M1907" s="4" t="s">
        <v>2276</v>
      </c>
      <c r="N1907" s="4" t="s">
        <v>2276</v>
      </c>
      <c r="O1907" s="4" t="s">
        <v>2276</v>
      </c>
      <c r="P1907" s="4" t="s">
        <v>2276</v>
      </c>
      <c r="Q1907" s="4" t="s">
        <v>2276</v>
      </c>
      <c r="R1907" s="4" t="s">
        <v>2276</v>
      </c>
      <c r="S1907" s="4" t="s">
        <v>2276</v>
      </c>
      <c r="T1907" s="4" t="s">
        <v>2276</v>
      </c>
      <c r="U1907" s="4" t="s">
        <v>2276</v>
      </c>
      <c r="V1907" s="4" t="s">
        <v>2276</v>
      </c>
      <c r="W1907" s="4" t="s">
        <v>2276</v>
      </c>
      <c r="X1907" s="4" t="s">
        <v>2276</v>
      </c>
      <c r="Y1907" s="4" t="s">
        <v>2276</v>
      </c>
      <c r="Z1907" s="4" t="s">
        <v>2276</v>
      </c>
      <c r="AA1907" s="3"/>
      <c r="AB1907" s="3"/>
    </row>
    <row r="1908" spans="1:28" ht="26.5" customHeight="1">
      <c r="A1908" s="156" t="str">
        <f>'Reported burning'!A1908</f>
        <v>218e</v>
      </c>
      <c r="B1908" s="156" t="str">
        <f>'Reported burning'!B1908</f>
        <v>218e.4</v>
      </c>
      <c r="C1908" s="156" t="str">
        <f>'Reported burning'!C1908</f>
        <v>Human, deliberate</v>
      </c>
      <c r="D1908" s="156" t="str">
        <f>'Reported burning'!D1908</f>
        <v>Hunting</v>
      </c>
      <c r="E1908" s="156" t="str">
        <f>'Reported burning'!E1908</f>
        <v>Forestry, Traditional</v>
      </c>
      <c r="F1908" s="156" t="str">
        <f>'Reported burning'!F1908</f>
        <v>Grassland</v>
      </c>
      <c r="G1908" s="156" t="str">
        <f>'Reported burning'!G1908</f>
        <v>ND</v>
      </c>
      <c r="H1908" s="156" t="str">
        <f>'Reported burning'!H1908</f>
        <v>Presence</v>
      </c>
      <c r="I1908" s="5"/>
      <c r="J1908" s="4" t="s">
        <v>2276</v>
      </c>
      <c r="K1908" s="4" t="s">
        <v>2276</v>
      </c>
      <c r="L1908" s="4" t="s">
        <v>2276</v>
      </c>
      <c r="M1908" s="4" t="s">
        <v>2276</v>
      </c>
      <c r="N1908" s="4" t="s">
        <v>2276</v>
      </c>
      <c r="O1908" s="4" t="s">
        <v>2276</v>
      </c>
      <c r="P1908" s="4" t="s">
        <v>2276</v>
      </c>
      <c r="Q1908" s="4" t="s">
        <v>2276</v>
      </c>
      <c r="R1908" s="4" t="s">
        <v>2276</v>
      </c>
      <c r="S1908" s="4" t="s">
        <v>2276</v>
      </c>
      <c r="T1908" s="4" t="s">
        <v>2276</v>
      </c>
      <c r="U1908" s="4" t="s">
        <v>2276</v>
      </c>
      <c r="V1908" s="4" t="s">
        <v>2276</v>
      </c>
      <c r="W1908" s="4" t="s">
        <v>2276</v>
      </c>
      <c r="X1908" s="4" t="s">
        <v>2276</v>
      </c>
      <c r="Y1908" s="4" t="s">
        <v>2276</v>
      </c>
      <c r="Z1908" s="4" t="s">
        <v>2276</v>
      </c>
      <c r="AA1908" s="3"/>
      <c r="AB1908" s="3"/>
    </row>
    <row r="1909" spans="1:28" ht="26.5" customHeight="1">
      <c r="A1909" s="156" t="str">
        <f>'Reported burning'!A1909</f>
        <v>218e</v>
      </c>
      <c r="B1909" s="156" t="str">
        <f>'Reported burning'!B1909</f>
        <v>218e.5</v>
      </c>
      <c r="C1909" s="156" t="str">
        <f>'Reported burning'!C1909</f>
        <v>Human, deliberate</v>
      </c>
      <c r="D1909" s="156" t="str">
        <f>'Reported burning'!D1909</f>
        <v>Land clearance</v>
      </c>
      <c r="E1909" s="156" t="str">
        <f>'Reported burning'!E1909</f>
        <v>Cropping, Monoculture, Market-oriented</v>
      </c>
      <c r="F1909" s="156" t="str">
        <f>'Reported burning'!F1909</f>
        <v>Cropland</v>
      </c>
      <c r="G1909" s="156" t="str">
        <f>'Reported burning'!G1909</f>
        <v>ND</v>
      </c>
      <c r="H1909" s="156" t="str">
        <f>'Reported burning'!H1909</f>
        <v>Presence</v>
      </c>
      <c r="I1909" s="5"/>
      <c r="J1909" s="4" t="s">
        <v>2276</v>
      </c>
      <c r="K1909" s="4" t="s">
        <v>2276</v>
      </c>
      <c r="L1909" s="4" t="s">
        <v>2276</v>
      </c>
      <c r="M1909" s="4" t="s">
        <v>2276</v>
      </c>
      <c r="N1909" s="4" t="s">
        <v>2276</v>
      </c>
      <c r="O1909" s="4" t="s">
        <v>2276</v>
      </c>
      <c r="P1909" s="4" t="s">
        <v>2276</v>
      </c>
      <c r="Q1909" s="4" t="s">
        <v>2276</v>
      </c>
      <c r="R1909" s="4" t="s">
        <v>2276</v>
      </c>
      <c r="S1909" s="4" t="s">
        <v>2276</v>
      </c>
      <c r="T1909" s="4" t="s">
        <v>2276</v>
      </c>
      <c r="U1909" s="4" t="s">
        <v>2276</v>
      </c>
      <c r="V1909" s="4" t="s">
        <v>2276</v>
      </c>
      <c r="W1909" s="4" t="s">
        <v>2276</v>
      </c>
      <c r="X1909" s="4" t="s">
        <v>2276</v>
      </c>
      <c r="Y1909" s="4" t="s">
        <v>2276</v>
      </c>
      <c r="Z1909" s="4" t="s">
        <v>2276</v>
      </c>
      <c r="AA1909" s="3"/>
      <c r="AB1909" s="3"/>
    </row>
    <row r="1910" spans="1:28" ht="26.5" customHeight="1">
      <c r="A1910" s="156" t="str">
        <f>'Reported burning'!A1910</f>
        <v>218e</v>
      </c>
      <c r="B1910" s="156" t="str">
        <f>'Reported burning'!B1910</f>
        <v>218e.6</v>
      </c>
      <c r="C1910" s="156" t="str">
        <f>'Reported burning'!C1910</f>
        <v>Human, deliberate</v>
      </c>
      <c r="D1910" s="156" t="str">
        <f>'Reported burning'!D1910</f>
        <v>Vegetation management</v>
      </c>
      <c r="E1910" s="156" t="str">
        <f>'Reported burning'!E1910</f>
        <v>Cropping, Monoculture, Market-oriented</v>
      </c>
      <c r="F1910" s="156" t="str">
        <f>'Reported burning'!F1910</f>
        <v>Cropland</v>
      </c>
      <c r="G1910" s="156" t="str">
        <f>'Reported burning'!G1910</f>
        <v>ND</v>
      </c>
      <c r="H1910" s="156" t="str">
        <f>'Reported burning'!H1910</f>
        <v>Presence</v>
      </c>
      <c r="I1910" s="5"/>
      <c r="J1910" s="4" t="s">
        <v>2276</v>
      </c>
      <c r="K1910" s="4" t="s">
        <v>2276</v>
      </c>
      <c r="L1910" s="4" t="s">
        <v>2276</v>
      </c>
      <c r="M1910" s="4" t="s">
        <v>2276</v>
      </c>
      <c r="N1910" s="4" t="s">
        <v>2276</v>
      </c>
      <c r="O1910" s="4" t="s">
        <v>2276</v>
      </c>
      <c r="P1910" s="4" t="s">
        <v>2276</v>
      </c>
      <c r="Q1910" s="4" t="s">
        <v>2276</v>
      </c>
      <c r="R1910" s="4" t="s">
        <v>2276</v>
      </c>
      <c r="S1910" s="4" t="s">
        <v>2276</v>
      </c>
      <c r="T1910" s="4" t="s">
        <v>2276</v>
      </c>
      <c r="U1910" s="4" t="s">
        <v>2276</v>
      </c>
      <c r="V1910" s="4" t="s">
        <v>2276</v>
      </c>
      <c r="W1910" s="4" t="s">
        <v>2276</v>
      </c>
      <c r="X1910" s="4" t="s">
        <v>2276</v>
      </c>
      <c r="Y1910" s="4" t="s">
        <v>2276</v>
      </c>
      <c r="Z1910" s="4" t="s">
        <v>2276</v>
      </c>
      <c r="AA1910" s="3"/>
      <c r="AB1910" s="3"/>
    </row>
    <row r="1911" spans="1:28" ht="26.5" customHeight="1">
      <c r="A1911" s="156" t="str">
        <f>'Reported burning'!A1911</f>
        <v>218e</v>
      </c>
      <c r="B1911" s="156" t="str">
        <f>'Reported burning'!B1911</f>
        <v>218e.7</v>
      </c>
      <c r="C1911" s="156" t="str">
        <f>'Reported burning'!C1911</f>
        <v>Human, deliberate</v>
      </c>
      <c r="D1911" s="156" t="str">
        <f>'Reported burning'!D1911</f>
        <v>Hunting</v>
      </c>
      <c r="E1911" s="156" t="str">
        <f>'Reported burning'!E1911</f>
        <v>Tourism manager</v>
      </c>
      <c r="F1911" s="156" t="str">
        <f>'Reported burning'!F1911</f>
        <v>Shrubland (Mixed forest &amp; grassland)</v>
      </c>
      <c r="G1911" s="156" t="str">
        <f>'Reported burning'!G1911</f>
        <v>ND</v>
      </c>
      <c r="H1911" s="156" t="str">
        <f>'Reported burning'!H1911</f>
        <v>Presence</v>
      </c>
      <c r="I1911" s="5"/>
      <c r="J1911" s="4" t="s">
        <v>2276</v>
      </c>
      <c r="K1911" s="4" t="s">
        <v>2276</v>
      </c>
      <c r="L1911" s="4" t="s">
        <v>2276</v>
      </c>
      <c r="M1911" s="4" t="s">
        <v>2276</v>
      </c>
      <c r="N1911" s="4" t="s">
        <v>2276</v>
      </c>
      <c r="O1911" s="4" t="s">
        <v>2276</v>
      </c>
      <c r="P1911" s="4" t="s">
        <v>2276</v>
      </c>
      <c r="Q1911" s="4" t="s">
        <v>2276</v>
      </c>
      <c r="R1911" s="4" t="s">
        <v>2276</v>
      </c>
      <c r="S1911" s="4" t="s">
        <v>2276</v>
      </c>
      <c r="T1911" s="4" t="s">
        <v>2276</v>
      </c>
      <c r="U1911" s="4" t="s">
        <v>2276</v>
      </c>
      <c r="V1911" s="4" t="s">
        <v>2276</v>
      </c>
      <c r="W1911" s="4" t="s">
        <v>2276</v>
      </c>
      <c r="X1911" s="4" t="s">
        <v>2276</v>
      </c>
      <c r="Y1911" s="4" t="s">
        <v>2276</v>
      </c>
      <c r="Z1911" s="4" t="s">
        <v>2276</v>
      </c>
      <c r="AA1911" s="3"/>
      <c r="AB1911" s="3"/>
    </row>
    <row r="1912" spans="1:28" ht="26.5" customHeight="1">
      <c r="A1912" s="156" t="str">
        <f>'Reported burning'!A1912</f>
        <v>218e</v>
      </c>
      <c r="B1912" s="156" t="str">
        <f>'Reported burning'!B1912</f>
        <v>218e.8</v>
      </c>
      <c r="C1912" s="156" t="str">
        <f>'Reported burning'!C1912</f>
        <v>Human, deliberate</v>
      </c>
      <c r="D1912" s="156" t="str">
        <f>'Reported burning'!D1912</f>
        <v>Accessibility</v>
      </c>
      <c r="E1912" s="156" t="str">
        <f>'Reported burning'!E1912</f>
        <v>Tourism manager</v>
      </c>
      <c r="F1912" s="156" t="str">
        <f>'Reported burning'!F1912</f>
        <v>Shrubland (Mixed forest &amp; grassland)</v>
      </c>
      <c r="G1912" s="156" t="str">
        <f>'Reported burning'!G1912</f>
        <v>ND</v>
      </c>
      <c r="H1912" s="156" t="str">
        <f>'Reported burning'!H1912</f>
        <v>Presence</v>
      </c>
      <c r="I1912" s="5"/>
      <c r="J1912" s="4" t="s">
        <v>2276</v>
      </c>
      <c r="K1912" s="4" t="s">
        <v>2276</v>
      </c>
      <c r="L1912" s="4" t="s">
        <v>2276</v>
      </c>
      <c r="M1912" s="4" t="s">
        <v>2276</v>
      </c>
      <c r="N1912" s="4" t="s">
        <v>2276</v>
      </c>
      <c r="O1912" s="4" t="s">
        <v>2276</v>
      </c>
      <c r="P1912" s="4" t="s">
        <v>2276</v>
      </c>
      <c r="Q1912" s="4" t="s">
        <v>2276</v>
      </c>
      <c r="R1912" s="4" t="s">
        <v>2276</v>
      </c>
      <c r="S1912" s="4" t="s">
        <v>2276</v>
      </c>
      <c r="T1912" s="4" t="s">
        <v>2276</v>
      </c>
      <c r="U1912" s="4" t="s">
        <v>2276</v>
      </c>
      <c r="V1912" s="4" t="s">
        <v>2276</v>
      </c>
      <c r="W1912" s="4" t="s">
        <v>2276</v>
      </c>
      <c r="X1912" s="4" t="s">
        <v>2276</v>
      </c>
      <c r="Y1912" s="4" t="s">
        <v>2276</v>
      </c>
      <c r="Z1912" s="4" t="s">
        <v>2276</v>
      </c>
      <c r="AA1912" s="3"/>
      <c r="AB1912" s="3"/>
    </row>
    <row r="1913" spans="1:28" ht="26.5" customHeight="1">
      <c r="A1913" s="156" t="str">
        <f>'Reported burning'!A1913</f>
        <v>218e</v>
      </c>
      <c r="B1913" s="156" t="str">
        <f>'Reported burning'!B1913</f>
        <v>218e.9</v>
      </c>
      <c r="C1913" s="156" t="str">
        <f>'Reported burning'!C1913</f>
        <v>Human, deliberate</v>
      </c>
      <c r="D1913" s="156" t="str">
        <f>'Reported burning'!D1913</f>
        <v>Harvesting of Timber</v>
      </c>
      <c r="E1913" s="156" t="str">
        <f>'Reported burning'!E1913</f>
        <v>Forestry, Industrial</v>
      </c>
      <c r="F1913" s="156" t="str">
        <f>'Reported burning'!F1913</f>
        <v>Forest</v>
      </c>
      <c r="G1913" s="156" t="str">
        <f>'Reported burning'!G1913</f>
        <v>ND</v>
      </c>
      <c r="H1913" s="156" t="str">
        <f>'Reported burning'!H1913</f>
        <v>Presence</v>
      </c>
      <c r="I1913" s="5"/>
      <c r="J1913" s="4" t="s">
        <v>2276</v>
      </c>
      <c r="K1913" s="4" t="s">
        <v>2276</v>
      </c>
      <c r="L1913" s="4" t="s">
        <v>2276</v>
      </c>
      <c r="M1913" s="4" t="s">
        <v>2276</v>
      </c>
      <c r="N1913" s="4" t="s">
        <v>2276</v>
      </c>
      <c r="O1913" s="4" t="s">
        <v>2276</v>
      </c>
      <c r="P1913" s="4" t="s">
        <v>2276</v>
      </c>
      <c r="Q1913" s="4" t="s">
        <v>2276</v>
      </c>
      <c r="R1913" s="4" t="s">
        <v>2276</v>
      </c>
      <c r="S1913" s="4" t="s">
        <v>2276</v>
      </c>
      <c r="T1913" s="4" t="s">
        <v>2276</v>
      </c>
      <c r="U1913" s="4" t="s">
        <v>2276</v>
      </c>
      <c r="V1913" s="4" t="s">
        <v>2276</v>
      </c>
      <c r="W1913" s="4" t="s">
        <v>2276</v>
      </c>
      <c r="X1913" s="4" t="s">
        <v>2276</v>
      </c>
      <c r="Y1913" s="4" t="s">
        <v>2276</v>
      </c>
      <c r="Z1913" s="4" t="s">
        <v>2276</v>
      </c>
      <c r="AA1913" s="3"/>
      <c r="AB1913" s="3"/>
    </row>
    <row r="1914" spans="1:28">
      <c r="A1914" s="156" t="str">
        <f>'Reported burning'!A1914</f>
        <v>219a</v>
      </c>
      <c r="B1914" s="156" t="str">
        <f>'Reported burning'!B1914</f>
        <v>219a.1</v>
      </c>
      <c r="C1914" s="156" t="str">
        <f>'Reported burning'!C1914</f>
        <v>Human, deliberate</v>
      </c>
      <c r="D1914" s="156" t="str">
        <f>'Reported burning'!D1914</f>
        <v>Crop field preparation</v>
      </c>
      <c r="E1914" s="156" t="str">
        <f>'Reported burning'!E1914</f>
        <v>Cropping, Swidden</v>
      </c>
      <c r="F1914" s="156" t="str">
        <f>'Reported burning'!F1914</f>
        <v>Secondary vegetation</v>
      </c>
      <c r="G1914" s="156" t="str">
        <f>'Reported burning'!G1914</f>
        <v>ND</v>
      </c>
      <c r="H1914" s="156" t="str">
        <f>'Reported burning'!H1914</f>
        <v>Presence</v>
      </c>
      <c r="I1914" s="5"/>
      <c r="J1914" s="4" t="s">
        <v>2276</v>
      </c>
      <c r="K1914" s="4" t="s">
        <v>2276</v>
      </c>
      <c r="L1914" s="4" t="s">
        <v>2276</v>
      </c>
      <c r="M1914" s="4" t="s">
        <v>2276</v>
      </c>
      <c r="N1914" s="4" t="s">
        <v>2276</v>
      </c>
      <c r="O1914" s="4" t="s">
        <v>2276</v>
      </c>
      <c r="P1914" s="4" t="s">
        <v>2276</v>
      </c>
      <c r="Q1914" s="4" t="s">
        <v>2276</v>
      </c>
      <c r="R1914" s="4" t="s">
        <v>2276</v>
      </c>
      <c r="S1914" s="4" t="s">
        <v>2276</v>
      </c>
      <c r="T1914" s="4" t="s">
        <v>2276</v>
      </c>
      <c r="U1914" s="4" t="s">
        <v>2276</v>
      </c>
      <c r="V1914" s="4" t="s">
        <v>2276</v>
      </c>
      <c r="W1914" s="4" t="s">
        <v>2276</v>
      </c>
      <c r="X1914" s="4" t="s">
        <v>2276</v>
      </c>
      <c r="Y1914" s="4" t="s">
        <v>2276</v>
      </c>
      <c r="Z1914" s="4" t="s">
        <v>2276</v>
      </c>
      <c r="AA1914" s="3"/>
      <c r="AB1914" s="3"/>
    </row>
    <row r="1915" spans="1:28">
      <c r="A1915" s="156" t="str">
        <f>'Reported burning'!A1915</f>
        <v>219b</v>
      </c>
      <c r="B1915" s="156" t="str">
        <f>'Reported burning'!B1915</f>
        <v>219b.1</v>
      </c>
      <c r="C1915" s="156" t="str">
        <f>'Reported burning'!C1915</f>
        <v>Human, deliberate</v>
      </c>
      <c r="D1915" s="156" t="str">
        <f>'Reported burning'!D1915</f>
        <v>Crop field preparation</v>
      </c>
      <c r="E1915" s="156" t="str">
        <f>'Reported burning'!E1915</f>
        <v>Cropping, Swidden</v>
      </c>
      <c r="F1915" s="156" t="str">
        <f>'Reported burning'!F1915</f>
        <v>Secondary vegetation</v>
      </c>
      <c r="G1915" s="156" t="str">
        <f>'Reported burning'!G1915</f>
        <v>ND</v>
      </c>
      <c r="H1915" s="156" t="str">
        <f>'Reported burning'!H1915</f>
        <v>Presence</v>
      </c>
      <c r="I1915" s="5"/>
      <c r="J1915" s="4" t="s">
        <v>2276</v>
      </c>
      <c r="K1915" s="4" t="s">
        <v>2276</v>
      </c>
      <c r="L1915" s="4" t="s">
        <v>2276</v>
      </c>
      <c r="M1915" s="4" t="s">
        <v>2276</v>
      </c>
      <c r="N1915" s="4" t="s">
        <v>2276</v>
      </c>
      <c r="O1915" s="4" t="s">
        <v>2276</v>
      </c>
      <c r="P1915" s="4" t="s">
        <v>2276</v>
      </c>
      <c r="Q1915" s="4" t="s">
        <v>2276</v>
      </c>
      <c r="R1915" s="4" t="s">
        <v>2276</v>
      </c>
      <c r="S1915" s="4" t="s">
        <v>2276</v>
      </c>
      <c r="T1915" s="4" t="s">
        <v>2276</v>
      </c>
      <c r="U1915" s="4" t="s">
        <v>2276</v>
      </c>
      <c r="V1915" s="4" t="s">
        <v>2276</v>
      </c>
      <c r="W1915" s="4" t="s">
        <v>2276</v>
      </c>
      <c r="X1915" s="4" t="s">
        <v>2276</v>
      </c>
      <c r="Y1915" s="4" t="s">
        <v>2276</v>
      </c>
      <c r="Z1915" s="4" t="s">
        <v>2276</v>
      </c>
      <c r="AA1915" s="3"/>
      <c r="AB1915" s="3"/>
    </row>
    <row r="1916" spans="1:28">
      <c r="A1916" s="156" t="str">
        <f>'Reported burning'!A1916</f>
        <v>219c</v>
      </c>
      <c r="B1916" s="156" t="str">
        <f>'Reported burning'!B1916</f>
        <v>219c.1</v>
      </c>
      <c r="C1916" s="156" t="str">
        <f>'Reported burning'!C1916</f>
        <v>Human, deliberate</v>
      </c>
      <c r="D1916" s="156" t="str">
        <f>'Reported burning'!D1916</f>
        <v>Crop field preparation</v>
      </c>
      <c r="E1916" s="156" t="str">
        <f>'Reported burning'!E1916</f>
        <v>Cropping, Swidden</v>
      </c>
      <c r="F1916" s="156" t="str">
        <f>'Reported burning'!F1916</f>
        <v>Secondary vegetation</v>
      </c>
      <c r="G1916" s="156" t="str">
        <f>'Reported burning'!G1916</f>
        <v>ND</v>
      </c>
      <c r="H1916" s="156" t="str">
        <f>'Reported burning'!H1916</f>
        <v>Presence</v>
      </c>
      <c r="I1916" s="5"/>
      <c r="J1916" s="4" t="s">
        <v>2276</v>
      </c>
      <c r="K1916" s="4" t="s">
        <v>2276</v>
      </c>
      <c r="L1916" s="4" t="s">
        <v>2276</v>
      </c>
      <c r="M1916" s="4" t="s">
        <v>2276</v>
      </c>
      <c r="N1916" s="4" t="s">
        <v>2276</v>
      </c>
      <c r="O1916" s="4" t="s">
        <v>2276</v>
      </c>
      <c r="P1916" s="4" t="s">
        <v>2276</v>
      </c>
      <c r="Q1916" s="4" t="s">
        <v>2276</v>
      </c>
      <c r="R1916" s="4" t="s">
        <v>2276</v>
      </c>
      <c r="S1916" s="4" t="s">
        <v>2276</v>
      </c>
      <c r="T1916" s="4" t="s">
        <v>2276</v>
      </c>
      <c r="U1916" s="4" t="s">
        <v>2276</v>
      </c>
      <c r="V1916" s="4" t="s">
        <v>2276</v>
      </c>
      <c r="W1916" s="4" t="s">
        <v>2276</v>
      </c>
      <c r="X1916" s="4" t="s">
        <v>2276</v>
      </c>
      <c r="Y1916" s="4" t="s">
        <v>2276</v>
      </c>
      <c r="Z1916" s="4" t="s">
        <v>2276</v>
      </c>
      <c r="AA1916" s="3"/>
      <c r="AB1916" s="3"/>
    </row>
    <row r="1917" spans="1:28">
      <c r="A1917" s="156" t="str">
        <f>'Reported burning'!A1917</f>
        <v>219d</v>
      </c>
      <c r="B1917" s="156" t="str">
        <f>'Reported burning'!B1917</f>
        <v>219d.1</v>
      </c>
      <c r="C1917" s="156" t="str">
        <f>'Reported burning'!C1917</f>
        <v>Human, deliberate</v>
      </c>
      <c r="D1917" s="156" t="str">
        <f>'Reported burning'!D1917</f>
        <v>Crop field preparation</v>
      </c>
      <c r="E1917" s="156" t="str">
        <f>'Reported burning'!E1917</f>
        <v>Cropping, Swidden</v>
      </c>
      <c r="F1917" s="156" t="str">
        <f>'Reported burning'!F1917</f>
        <v>Secondary vegetation</v>
      </c>
      <c r="G1917" s="156" t="str">
        <f>'Reported burning'!G1917</f>
        <v>ND</v>
      </c>
      <c r="H1917" s="156" t="str">
        <f>'Reported burning'!H1917</f>
        <v>Presence</v>
      </c>
      <c r="I1917" s="5"/>
      <c r="J1917" s="4" t="s">
        <v>2276</v>
      </c>
      <c r="K1917" s="4" t="s">
        <v>2276</v>
      </c>
      <c r="L1917" s="4" t="s">
        <v>2276</v>
      </c>
      <c r="M1917" s="4" t="s">
        <v>2276</v>
      </c>
      <c r="N1917" s="4" t="s">
        <v>2276</v>
      </c>
      <c r="O1917" s="4" t="s">
        <v>2276</v>
      </c>
      <c r="P1917" s="4" t="s">
        <v>2276</v>
      </c>
      <c r="Q1917" s="4" t="s">
        <v>2276</v>
      </c>
      <c r="R1917" s="4" t="s">
        <v>2276</v>
      </c>
      <c r="S1917" s="4" t="s">
        <v>2276</v>
      </c>
      <c r="T1917" s="4" t="s">
        <v>2276</v>
      </c>
      <c r="U1917" s="4" t="s">
        <v>2276</v>
      </c>
      <c r="V1917" s="4" t="s">
        <v>2276</v>
      </c>
      <c r="W1917" s="4" t="s">
        <v>2276</v>
      </c>
      <c r="X1917" s="4" t="s">
        <v>2276</v>
      </c>
      <c r="Y1917" s="4" t="s">
        <v>2276</v>
      </c>
      <c r="Z1917" s="4" t="s">
        <v>2276</v>
      </c>
      <c r="AA1917" s="3"/>
      <c r="AB1917" s="3"/>
    </row>
    <row r="1918" spans="1:28">
      <c r="A1918" s="156" t="str">
        <f>'Reported burning'!A1918</f>
        <v>219e</v>
      </c>
      <c r="B1918" s="156" t="str">
        <f>'Reported burning'!B1918</f>
        <v>219e.1</v>
      </c>
      <c r="C1918" s="156" t="str">
        <f>'Reported burning'!C1918</f>
        <v>Human, deliberate</v>
      </c>
      <c r="D1918" s="156" t="str">
        <f>'Reported burning'!D1918</f>
        <v>Crop field preparation</v>
      </c>
      <c r="E1918" s="156" t="str">
        <f>'Reported burning'!E1918</f>
        <v>Cropping, Swidden</v>
      </c>
      <c r="F1918" s="156" t="str">
        <f>'Reported burning'!F1918</f>
        <v>Secondary vegetation</v>
      </c>
      <c r="G1918" s="156" t="str">
        <f>'Reported burning'!G1918</f>
        <v>ND</v>
      </c>
      <c r="H1918" s="156" t="str">
        <f>'Reported burning'!H1918</f>
        <v>Presence</v>
      </c>
      <c r="I1918" s="5"/>
      <c r="J1918" s="4" t="s">
        <v>2276</v>
      </c>
      <c r="K1918" s="4" t="s">
        <v>2276</v>
      </c>
      <c r="L1918" s="4" t="s">
        <v>2276</v>
      </c>
      <c r="M1918" s="4" t="s">
        <v>2276</v>
      </c>
      <c r="N1918" s="4" t="s">
        <v>2276</v>
      </c>
      <c r="O1918" s="4" t="s">
        <v>2276</v>
      </c>
      <c r="P1918" s="4" t="s">
        <v>2276</v>
      </c>
      <c r="Q1918" s="4" t="s">
        <v>2276</v>
      </c>
      <c r="R1918" s="4" t="s">
        <v>2276</v>
      </c>
      <c r="S1918" s="4" t="s">
        <v>2276</v>
      </c>
      <c r="T1918" s="4" t="s">
        <v>2276</v>
      </c>
      <c r="U1918" s="4" t="s">
        <v>2276</v>
      </c>
      <c r="V1918" s="4" t="s">
        <v>2276</v>
      </c>
      <c r="W1918" s="4" t="s">
        <v>2276</v>
      </c>
      <c r="X1918" s="4" t="s">
        <v>2276</v>
      </c>
      <c r="Y1918" s="4" t="s">
        <v>2276</v>
      </c>
      <c r="Z1918" s="4" t="s">
        <v>2276</v>
      </c>
      <c r="AA1918" s="3"/>
      <c r="AB1918" s="3"/>
    </row>
    <row r="1919" spans="1:28">
      <c r="A1919" s="156" t="str">
        <f>'Reported burning'!A1919</f>
        <v>219f</v>
      </c>
      <c r="B1919" s="156" t="str">
        <f>'Reported burning'!B1919</f>
        <v>219f.1</v>
      </c>
      <c r="C1919" s="156" t="str">
        <f>'Reported burning'!C1919</f>
        <v>Human, deliberate</v>
      </c>
      <c r="D1919" s="156" t="str">
        <f>'Reported burning'!D1919</f>
        <v>Crop field preparation</v>
      </c>
      <c r="E1919" s="156" t="str">
        <f>'Reported burning'!E1919</f>
        <v>Cropping, Swidden</v>
      </c>
      <c r="F1919" s="156" t="str">
        <f>'Reported burning'!F1919</f>
        <v>Secondary vegetation</v>
      </c>
      <c r="G1919" s="156" t="str">
        <f>'Reported burning'!G1919</f>
        <v>ND</v>
      </c>
      <c r="H1919" s="156" t="str">
        <f>'Reported burning'!H1919</f>
        <v>Presence</v>
      </c>
      <c r="I1919" s="5"/>
      <c r="J1919" s="4" t="s">
        <v>2276</v>
      </c>
      <c r="K1919" s="4" t="s">
        <v>2276</v>
      </c>
      <c r="L1919" s="4" t="s">
        <v>2276</v>
      </c>
      <c r="M1919" s="4" t="s">
        <v>2276</v>
      </c>
      <c r="N1919" s="4" t="s">
        <v>2276</v>
      </c>
      <c r="O1919" s="4" t="s">
        <v>2276</v>
      </c>
      <c r="P1919" s="4" t="s">
        <v>2276</v>
      </c>
      <c r="Q1919" s="4" t="s">
        <v>2276</v>
      </c>
      <c r="R1919" s="4" t="s">
        <v>2276</v>
      </c>
      <c r="S1919" s="4" t="s">
        <v>2276</v>
      </c>
      <c r="T1919" s="4" t="s">
        <v>2276</v>
      </c>
      <c r="U1919" s="4" t="s">
        <v>2276</v>
      </c>
      <c r="V1919" s="4" t="s">
        <v>2276</v>
      </c>
      <c r="W1919" s="4" t="s">
        <v>2276</v>
      </c>
      <c r="X1919" s="4" t="s">
        <v>2276</v>
      </c>
      <c r="Y1919" s="4" t="s">
        <v>2276</v>
      </c>
      <c r="Z1919" s="4" t="s">
        <v>2276</v>
      </c>
      <c r="AA1919" s="3"/>
      <c r="AB1919" s="3"/>
    </row>
    <row r="1920" spans="1:28">
      <c r="A1920" s="156" t="str">
        <f>'Reported burning'!A1920</f>
        <v>219g</v>
      </c>
      <c r="B1920" s="156" t="str">
        <f>'Reported burning'!B1920</f>
        <v>219g.1</v>
      </c>
      <c r="C1920" s="156" t="str">
        <f>'Reported burning'!C1920</f>
        <v>Human, deliberate</v>
      </c>
      <c r="D1920" s="156" t="str">
        <f>'Reported burning'!D1920</f>
        <v>Crop field preparation</v>
      </c>
      <c r="E1920" s="156" t="str">
        <f>'Reported burning'!E1920</f>
        <v>Cropping, Swidden</v>
      </c>
      <c r="F1920" s="156" t="str">
        <f>'Reported burning'!F1920</f>
        <v>Secondary vegetation</v>
      </c>
      <c r="G1920" s="156" t="str">
        <f>'Reported burning'!G1920</f>
        <v>ND</v>
      </c>
      <c r="H1920" s="156" t="str">
        <f>'Reported burning'!H1920</f>
        <v>Presence</v>
      </c>
      <c r="I1920" s="5"/>
      <c r="J1920" s="4" t="s">
        <v>2276</v>
      </c>
      <c r="K1920" s="4" t="s">
        <v>2276</v>
      </c>
      <c r="L1920" s="4" t="s">
        <v>2276</v>
      </c>
      <c r="M1920" s="4" t="s">
        <v>2276</v>
      </c>
      <c r="N1920" s="4" t="s">
        <v>2276</v>
      </c>
      <c r="O1920" s="4" t="s">
        <v>2276</v>
      </c>
      <c r="P1920" s="4" t="s">
        <v>2276</v>
      </c>
      <c r="Q1920" s="4" t="s">
        <v>2276</v>
      </c>
      <c r="R1920" s="4" t="s">
        <v>2276</v>
      </c>
      <c r="S1920" s="4" t="s">
        <v>2276</v>
      </c>
      <c r="T1920" s="4" t="s">
        <v>2276</v>
      </c>
      <c r="U1920" s="4" t="s">
        <v>2276</v>
      </c>
      <c r="V1920" s="4" t="s">
        <v>2276</v>
      </c>
      <c r="W1920" s="4" t="s">
        <v>2276</v>
      </c>
      <c r="X1920" s="4" t="s">
        <v>2276</v>
      </c>
      <c r="Y1920" s="4" t="s">
        <v>2276</v>
      </c>
      <c r="Z1920" s="4" t="s">
        <v>2276</v>
      </c>
      <c r="AA1920" s="3"/>
      <c r="AB1920" s="3"/>
    </row>
    <row r="1921" spans="1:28">
      <c r="A1921" s="156" t="str">
        <f>'Reported burning'!A1921</f>
        <v>219h</v>
      </c>
      <c r="B1921" s="156" t="str">
        <f>'Reported burning'!B1921</f>
        <v>219h.1</v>
      </c>
      <c r="C1921" s="156" t="str">
        <f>'Reported burning'!C1921</f>
        <v>Human, deliberate</v>
      </c>
      <c r="D1921" s="156" t="str">
        <f>'Reported burning'!D1921</f>
        <v>Crop field preparation</v>
      </c>
      <c r="E1921" s="156" t="str">
        <f>'Reported burning'!E1921</f>
        <v>Cropping, Swidden</v>
      </c>
      <c r="F1921" s="156" t="str">
        <f>'Reported burning'!F1921</f>
        <v>Secondary vegetation</v>
      </c>
      <c r="G1921" s="156" t="str">
        <f>'Reported burning'!G1921</f>
        <v>ND</v>
      </c>
      <c r="H1921" s="156" t="str">
        <f>'Reported burning'!H1921</f>
        <v>Presence</v>
      </c>
      <c r="I1921" s="5"/>
      <c r="J1921" s="4" t="s">
        <v>2276</v>
      </c>
      <c r="K1921" s="4" t="s">
        <v>2276</v>
      </c>
      <c r="L1921" s="4" t="s">
        <v>2276</v>
      </c>
      <c r="M1921" s="4" t="s">
        <v>2276</v>
      </c>
      <c r="N1921" s="4" t="s">
        <v>2276</v>
      </c>
      <c r="O1921" s="4" t="s">
        <v>2276</v>
      </c>
      <c r="P1921" s="4" t="s">
        <v>2276</v>
      </c>
      <c r="Q1921" s="4" t="s">
        <v>2276</v>
      </c>
      <c r="R1921" s="4" t="s">
        <v>2276</v>
      </c>
      <c r="S1921" s="4" t="s">
        <v>2276</v>
      </c>
      <c r="T1921" s="4" t="s">
        <v>2276</v>
      </c>
      <c r="U1921" s="4" t="s">
        <v>2276</v>
      </c>
      <c r="V1921" s="4" t="s">
        <v>2276</v>
      </c>
      <c r="W1921" s="4" t="s">
        <v>2276</v>
      </c>
      <c r="X1921" s="4" t="s">
        <v>2276</v>
      </c>
      <c r="Y1921" s="4" t="s">
        <v>2276</v>
      </c>
      <c r="Z1921" s="4" t="s">
        <v>2276</v>
      </c>
      <c r="AA1921" s="3"/>
      <c r="AB1921" s="3"/>
    </row>
    <row r="1922" spans="1:28" ht="43.5">
      <c r="A1922" s="156" t="str">
        <f>'Reported burning'!A1922</f>
        <v>219a</v>
      </c>
      <c r="B1922" s="156" t="str">
        <f>'Reported burning'!B1922</f>
        <v>219a.2</v>
      </c>
      <c r="C1922" s="156" t="str">
        <f>'Reported burning'!C1922</f>
        <v>Human, deliberate</v>
      </c>
      <c r="D1922" s="156" t="str">
        <f>'Reported burning'!D1922</f>
        <v>Crop field preparation</v>
      </c>
      <c r="E1922" s="156" t="str">
        <f>'Reported burning'!E1922</f>
        <v>Cropping, Monoculture, Subsistence-oriented</v>
      </c>
      <c r="F1922" s="156" t="str">
        <f>'Reported burning'!F1922</f>
        <v>ND</v>
      </c>
      <c r="G1922" s="156" t="str">
        <f>'Reported burning'!G1922</f>
        <v>ND</v>
      </c>
      <c r="H1922" s="156" t="str">
        <f>'Reported burning'!H1922</f>
        <v>Absence</v>
      </c>
      <c r="I1922" s="5"/>
      <c r="J1922" s="21">
        <v>0</v>
      </c>
      <c r="K1922" s="21">
        <v>0</v>
      </c>
      <c r="L1922" s="21">
        <v>0</v>
      </c>
      <c r="M1922" s="21">
        <v>0</v>
      </c>
      <c r="N1922" s="21">
        <v>0</v>
      </c>
      <c r="O1922" s="21">
        <v>0</v>
      </c>
      <c r="P1922" s="21">
        <v>0</v>
      </c>
      <c r="Q1922" s="21">
        <v>0</v>
      </c>
      <c r="R1922" s="21">
        <v>0</v>
      </c>
      <c r="S1922" s="21">
        <v>0</v>
      </c>
      <c r="T1922" s="21">
        <v>0</v>
      </c>
      <c r="U1922" s="21">
        <v>0</v>
      </c>
      <c r="V1922" s="21">
        <v>0</v>
      </c>
      <c r="W1922" s="4" t="s">
        <v>2276</v>
      </c>
      <c r="X1922" s="4" t="s">
        <v>2276</v>
      </c>
      <c r="Y1922" s="4" t="s">
        <v>2276</v>
      </c>
      <c r="Z1922" s="4" t="s">
        <v>2276</v>
      </c>
      <c r="AA1922" s="4" t="s">
        <v>5575</v>
      </c>
      <c r="AB1922" s="3"/>
    </row>
    <row r="1923" spans="1:28" ht="43.5">
      <c r="A1923" s="156" t="str">
        <f>'Reported burning'!A1923</f>
        <v>219b</v>
      </c>
      <c r="B1923" s="156" t="str">
        <f>'Reported burning'!B1923</f>
        <v>219b.2</v>
      </c>
      <c r="C1923" s="156" t="str">
        <f>'Reported burning'!C1923</f>
        <v>Human, deliberate</v>
      </c>
      <c r="D1923" s="156" t="str">
        <f>'Reported burning'!D1923</f>
        <v>Crop field preparation</v>
      </c>
      <c r="E1923" s="156" t="str">
        <f>'Reported burning'!E1923</f>
        <v>Cropping, Monoculture, Subsistence-oriented</v>
      </c>
      <c r="F1923" s="156" t="str">
        <f>'Reported burning'!F1923</f>
        <v>ND</v>
      </c>
      <c r="G1923" s="156" t="str">
        <f>'Reported burning'!G1923</f>
        <v>ND</v>
      </c>
      <c r="H1923" s="156" t="str">
        <f>'Reported burning'!H1923</f>
        <v>Absence</v>
      </c>
      <c r="I1923" s="5"/>
      <c r="J1923" s="21">
        <v>0</v>
      </c>
      <c r="K1923" s="21">
        <v>0</v>
      </c>
      <c r="L1923" s="21">
        <v>0</v>
      </c>
      <c r="M1923" s="21">
        <v>0</v>
      </c>
      <c r="N1923" s="21">
        <v>0</v>
      </c>
      <c r="O1923" s="21">
        <v>0</v>
      </c>
      <c r="P1923" s="21">
        <v>0</v>
      </c>
      <c r="Q1923" s="21">
        <v>0</v>
      </c>
      <c r="R1923" s="21">
        <v>0</v>
      </c>
      <c r="S1923" s="21">
        <v>0</v>
      </c>
      <c r="T1923" s="21">
        <v>0</v>
      </c>
      <c r="U1923" s="21">
        <v>0</v>
      </c>
      <c r="V1923" s="21">
        <v>0</v>
      </c>
      <c r="W1923" s="4" t="s">
        <v>2276</v>
      </c>
      <c r="X1923" s="4" t="s">
        <v>2276</v>
      </c>
      <c r="Y1923" s="4" t="s">
        <v>2276</v>
      </c>
      <c r="Z1923" s="4" t="s">
        <v>2276</v>
      </c>
      <c r="AA1923" s="4" t="s">
        <v>5575</v>
      </c>
      <c r="AB1923" s="3"/>
    </row>
    <row r="1924" spans="1:28" ht="43.5">
      <c r="A1924" s="156" t="str">
        <f>'Reported burning'!A1924</f>
        <v>219c</v>
      </c>
      <c r="B1924" s="156" t="str">
        <f>'Reported burning'!B1924</f>
        <v>219c.2</v>
      </c>
      <c r="C1924" s="156" t="str">
        <f>'Reported burning'!C1924</f>
        <v>Human, deliberate</v>
      </c>
      <c r="D1924" s="156" t="str">
        <f>'Reported burning'!D1924</f>
        <v>Crop field preparation</v>
      </c>
      <c r="E1924" s="156" t="str">
        <f>'Reported burning'!E1924</f>
        <v>Cropping, Monoculture, Subsistence-oriented</v>
      </c>
      <c r="F1924" s="156" t="str">
        <f>'Reported burning'!F1924</f>
        <v>ND</v>
      </c>
      <c r="G1924" s="156" t="str">
        <f>'Reported burning'!G1924</f>
        <v>ND</v>
      </c>
      <c r="H1924" s="156" t="str">
        <f>'Reported burning'!H1924</f>
        <v>Absence</v>
      </c>
      <c r="I1924" s="5"/>
      <c r="J1924" s="21">
        <v>0</v>
      </c>
      <c r="K1924" s="21">
        <v>0</v>
      </c>
      <c r="L1924" s="21">
        <v>0</v>
      </c>
      <c r="M1924" s="21">
        <v>0</v>
      </c>
      <c r="N1924" s="21">
        <v>0</v>
      </c>
      <c r="O1924" s="21">
        <v>0</v>
      </c>
      <c r="P1924" s="21">
        <v>0</v>
      </c>
      <c r="Q1924" s="21">
        <v>0</v>
      </c>
      <c r="R1924" s="21">
        <v>0</v>
      </c>
      <c r="S1924" s="21">
        <v>0</v>
      </c>
      <c r="T1924" s="21">
        <v>0</v>
      </c>
      <c r="U1924" s="21">
        <v>0</v>
      </c>
      <c r="V1924" s="21">
        <v>0</v>
      </c>
      <c r="W1924" s="4" t="s">
        <v>2276</v>
      </c>
      <c r="X1924" s="4" t="s">
        <v>2276</v>
      </c>
      <c r="Y1924" s="4" t="s">
        <v>2276</v>
      </c>
      <c r="Z1924" s="4" t="s">
        <v>2276</v>
      </c>
      <c r="AA1924" s="4" t="s">
        <v>5575</v>
      </c>
      <c r="AB1924" s="3"/>
    </row>
    <row r="1925" spans="1:28" ht="43.5">
      <c r="A1925" s="156" t="str">
        <f>'Reported burning'!A1925</f>
        <v>219d</v>
      </c>
      <c r="B1925" s="156" t="str">
        <f>'Reported burning'!B1925</f>
        <v>219d.2</v>
      </c>
      <c r="C1925" s="156" t="str">
        <f>'Reported burning'!C1925</f>
        <v>Human, deliberate</v>
      </c>
      <c r="D1925" s="156" t="str">
        <f>'Reported burning'!D1925</f>
        <v>Crop field preparation</v>
      </c>
      <c r="E1925" s="156" t="str">
        <f>'Reported burning'!E1925</f>
        <v>Cropping, Monoculture, Subsistence-oriented</v>
      </c>
      <c r="F1925" s="156" t="str">
        <f>'Reported burning'!F1925</f>
        <v>ND</v>
      </c>
      <c r="G1925" s="156" t="str">
        <f>'Reported burning'!G1925</f>
        <v>ND</v>
      </c>
      <c r="H1925" s="156" t="str">
        <f>'Reported burning'!H1925</f>
        <v>Absence</v>
      </c>
      <c r="I1925" s="5"/>
      <c r="J1925" s="21">
        <v>0</v>
      </c>
      <c r="K1925" s="21">
        <v>0</v>
      </c>
      <c r="L1925" s="21">
        <v>0</v>
      </c>
      <c r="M1925" s="21">
        <v>0</v>
      </c>
      <c r="N1925" s="21">
        <v>0</v>
      </c>
      <c r="O1925" s="21">
        <v>0</v>
      </c>
      <c r="P1925" s="21">
        <v>0</v>
      </c>
      <c r="Q1925" s="21">
        <v>0</v>
      </c>
      <c r="R1925" s="21">
        <v>0</v>
      </c>
      <c r="S1925" s="21">
        <v>0</v>
      </c>
      <c r="T1925" s="21">
        <v>0</v>
      </c>
      <c r="U1925" s="21">
        <v>0</v>
      </c>
      <c r="V1925" s="21">
        <v>0</v>
      </c>
      <c r="W1925" s="4" t="s">
        <v>2276</v>
      </c>
      <c r="X1925" s="4" t="s">
        <v>2276</v>
      </c>
      <c r="Y1925" s="4" t="s">
        <v>2276</v>
      </c>
      <c r="Z1925" s="4" t="s">
        <v>2276</v>
      </c>
      <c r="AA1925" s="4" t="s">
        <v>5575</v>
      </c>
      <c r="AB1925" s="3"/>
    </row>
    <row r="1926" spans="1:28" ht="43.5">
      <c r="A1926" s="156" t="str">
        <f>'Reported burning'!A1926</f>
        <v>219e</v>
      </c>
      <c r="B1926" s="156" t="str">
        <f>'Reported burning'!B1926</f>
        <v>219e.2</v>
      </c>
      <c r="C1926" s="156" t="str">
        <f>'Reported burning'!C1926</f>
        <v>Human, deliberate</v>
      </c>
      <c r="D1926" s="156" t="str">
        <f>'Reported burning'!D1926</f>
        <v>Crop field preparation</v>
      </c>
      <c r="E1926" s="156" t="str">
        <f>'Reported burning'!E1926</f>
        <v>Cropping, Monoculture, Subsistence-oriented</v>
      </c>
      <c r="F1926" s="156" t="str">
        <f>'Reported burning'!F1926</f>
        <v>ND</v>
      </c>
      <c r="G1926" s="156" t="str">
        <f>'Reported burning'!G1926</f>
        <v>ND</v>
      </c>
      <c r="H1926" s="156" t="str">
        <f>'Reported burning'!H1926</f>
        <v>Absence</v>
      </c>
      <c r="I1926" s="5"/>
      <c r="J1926" s="21">
        <v>0</v>
      </c>
      <c r="K1926" s="21">
        <v>0</v>
      </c>
      <c r="L1926" s="21">
        <v>0</v>
      </c>
      <c r="M1926" s="21">
        <v>0</v>
      </c>
      <c r="N1926" s="21">
        <v>0</v>
      </c>
      <c r="O1926" s="21">
        <v>0</v>
      </c>
      <c r="P1926" s="21">
        <v>0</v>
      </c>
      <c r="Q1926" s="21">
        <v>0</v>
      </c>
      <c r="R1926" s="21">
        <v>0</v>
      </c>
      <c r="S1926" s="21">
        <v>0</v>
      </c>
      <c r="T1926" s="21">
        <v>0</v>
      </c>
      <c r="U1926" s="21">
        <v>0</v>
      </c>
      <c r="V1926" s="21">
        <v>0</v>
      </c>
      <c r="W1926" s="4" t="s">
        <v>2276</v>
      </c>
      <c r="X1926" s="4" t="s">
        <v>2276</v>
      </c>
      <c r="Y1926" s="4" t="s">
        <v>2276</v>
      </c>
      <c r="Z1926" s="4" t="s">
        <v>2276</v>
      </c>
      <c r="AA1926" s="4" t="s">
        <v>5575</v>
      </c>
      <c r="AB1926" s="3"/>
    </row>
    <row r="1927" spans="1:28" ht="43.5">
      <c r="A1927" s="156" t="str">
        <f>'Reported burning'!A1927</f>
        <v>219f</v>
      </c>
      <c r="B1927" s="156" t="str">
        <f>'Reported burning'!B1927</f>
        <v>219f.2</v>
      </c>
      <c r="C1927" s="156" t="str">
        <f>'Reported burning'!C1927</f>
        <v>Human, deliberate</v>
      </c>
      <c r="D1927" s="156" t="str">
        <f>'Reported burning'!D1927</f>
        <v>Crop field preparation</v>
      </c>
      <c r="E1927" s="156" t="str">
        <f>'Reported burning'!E1927</f>
        <v>Cropping, Monoculture, Subsistence-oriented</v>
      </c>
      <c r="F1927" s="156" t="str">
        <f>'Reported burning'!F1927</f>
        <v>ND</v>
      </c>
      <c r="G1927" s="156" t="str">
        <f>'Reported burning'!G1927</f>
        <v>ND</v>
      </c>
      <c r="H1927" s="156" t="str">
        <f>'Reported burning'!H1927</f>
        <v>Absence</v>
      </c>
      <c r="I1927" s="5"/>
      <c r="J1927" s="21">
        <v>0</v>
      </c>
      <c r="K1927" s="21">
        <v>0</v>
      </c>
      <c r="L1927" s="21">
        <v>0</v>
      </c>
      <c r="M1927" s="21">
        <v>0</v>
      </c>
      <c r="N1927" s="21">
        <v>0</v>
      </c>
      <c r="O1927" s="21">
        <v>0</v>
      </c>
      <c r="P1927" s="21">
        <v>0</v>
      </c>
      <c r="Q1927" s="21">
        <v>0</v>
      </c>
      <c r="R1927" s="21">
        <v>0</v>
      </c>
      <c r="S1927" s="21">
        <v>0</v>
      </c>
      <c r="T1927" s="21">
        <v>0</v>
      </c>
      <c r="U1927" s="21">
        <v>0</v>
      </c>
      <c r="V1927" s="21">
        <v>0</v>
      </c>
      <c r="W1927" s="4" t="s">
        <v>2276</v>
      </c>
      <c r="X1927" s="4" t="s">
        <v>2276</v>
      </c>
      <c r="Y1927" s="4" t="s">
        <v>2276</v>
      </c>
      <c r="Z1927" s="4" t="s">
        <v>2276</v>
      </c>
      <c r="AA1927" s="4" t="s">
        <v>5575</v>
      </c>
      <c r="AB1927" s="3"/>
    </row>
    <row r="1928" spans="1:28" ht="43.5">
      <c r="A1928" s="156" t="str">
        <f>'Reported burning'!A1928</f>
        <v>219g</v>
      </c>
      <c r="B1928" s="156" t="str">
        <f>'Reported burning'!B1928</f>
        <v>219g.2</v>
      </c>
      <c r="C1928" s="156" t="str">
        <f>'Reported burning'!C1928</f>
        <v>Human, deliberate</v>
      </c>
      <c r="D1928" s="156" t="str">
        <f>'Reported burning'!D1928</f>
        <v>Crop field preparation</v>
      </c>
      <c r="E1928" s="156" t="str">
        <f>'Reported burning'!E1928</f>
        <v>Cropping, Monoculture, Subsistence-oriented</v>
      </c>
      <c r="F1928" s="156" t="str">
        <f>'Reported burning'!F1928</f>
        <v>ND</v>
      </c>
      <c r="G1928" s="156" t="str">
        <f>'Reported burning'!G1928</f>
        <v>ND</v>
      </c>
      <c r="H1928" s="156" t="str">
        <f>'Reported burning'!H1928</f>
        <v>Absence</v>
      </c>
      <c r="I1928" s="5"/>
      <c r="J1928" s="21">
        <v>0</v>
      </c>
      <c r="K1928" s="21">
        <v>0</v>
      </c>
      <c r="L1928" s="21">
        <v>0</v>
      </c>
      <c r="M1928" s="21">
        <v>0</v>
      </c>
      <c r="N1928" s="21">
        <v>0</v>
      </c>
      <c r="O1928" s="21">
        <v>0</v>
      </c>
      <c r="P1928" s="21">
        <v>0</v>
      </c>
      <c r="Q1928" s="21">
        <v>0</v>
      </c>
      <c r="R1928" s="21">
        <v>0</v>
      </c>
      <c r="S1928" s="21">
        <v>0</v>
      </c>
      <c r="T1928" s="21">
        <v>0</v>
      </c>
      <c r="U1928" s="21">
        <v>0</v>
      </c>
      <c r="V1928" s="21">
        <v>0</v>
      </c>
      <c r="W1928" s="4" t="s">
        <v>2276</v>
      </c>
      <c r="X1928" s="4" t="s">
        <v>2276</v>
      </c>
      <c r="Y1928" s="4" t="s">
        <v>2276</v>
      </c>
      <c r="Z1928" s="4" t="s">
        <v>2276</v>
      </c>
      <c r="AA1928" s="4" t="s">
        <v>5575</v>
      </c>
      <c r="AB1928" s="3"/>
    </row>
    <row r="1929" spans="1:28" ht="43.5">
      <c r="A1929" s="156" t="str">
        <f>'Reported burning'!A1929</f>
        <v>219h</v>
      </c>
      <c r="B1929" s="156" t="str">
        <f>'Reported burning'!B1929</f>
        <v>219h.2</v>
      </c>
      <c r="C1929" s="156" t="str">
        <f>'Reported burning'!C1929</f>
        <v>Human, deliberate</v>
      </c>
      <c r="D1929" s="156" t="str">
        <f>'Reported burning'!D1929</f>
        <v>Crop field preparation</v>
      </c>
      <c r="E1929" s="156" t="str">
        <f>'Reported burning'!E1929</f>
        <v>Cropping, Monoculture, Subsistence-oriented</v>
      </c>
      <c r="F1929" s="156" t="str">
        <f>'Reported burning'!F1929</f>
        <v>ND</v>
      </c>
      <c r="G1929" s="156" t="str">
        <f>'Reported burning'!G1929</f>
        <v>ND</v>
      </c>
      <c r="H1929" s="156" t="str">
        <f>'Reported burning'!H1929</f>
        <v>Absence</v>
      </c>
      <c r="I1929" s="5"/>
      <c r="J1929" s="21">
        <v>0</v>
      </c>
      <c r="K1929" s="21">
        <v>0</v>
      </c>
      <c r="L1929" s="21">
        <v>0</v>
      </c>
      <c r="M1929" s="21">
        <v>0</v>
      </c>
      <c r="N1929" s="21">
        <v>0</v>
      </c>
      <c r="O1929" s="21">
        <v>0</v>
      </c>
      <c r="P1929" s="21">
        <v>0</v>
      </c>
      <c r="Q1929" s="21">
        <v>0</v>
      </c>
      <c r="R1929" s="21">
        <v>0</v>
      </c>
      <c r="S1929" s="21">
        <v>0</v>
      </c>
      <c r="T1929" s="21">
        <v>0</v>
      </c>
      <c r="U1929" s="21">
        <v>0</v>
      </c>
      <c r="V1929" s="21">
        <v>0</v>
      </c>
      <c r="W1929" s="4" t="s">
        <v>2276</v>
      </c>
      <c r="X1929" s="4" t="s">
        <v>2276</v>
      </c>
      <c r="Y1929" s="4" t="s">
        <v>2276</v>
      </c>
      <c r="Z1929" s="4" t="s">
        <v>2276</v>
      </c>
      <c r="AA1929" s="4" t="s">
        <v>5575</v>
      </c>
      <c r="AB1929" s="3"/>
    </row>
    <row r="1930" spans="1:28" ht="43.5">
      <c r="A1930" s="156" t="str">
        <f>'Reported burning'!A1930</f>
        <v>219a</v>
      </c>
      <c r="B1930" s="156" t="str">
        <f>'Reported burning'!B1930</f>
        <v>219a.3</v>
      </c>
      <c r="C1930" s="156" t="str">
        <f>'Reported burning'!C1930</f>
        <v>Human, deliberate</v>
      </c>
      <c r="D1930" s="156" t="str">
        <f>'Reported burning'!D1930</f>
        <v>Crop field preparation</v>
      </c>
      <c r="E1930" s="156" t="str">
        <f>'Reported burning'!E1930</f>
        <v>Cropping, Monoculture, Market-oriented</v>
      </c>
      <c r="F1930" s="156" t="str">
        <f>'Reported burning'!F1930</f>
        <v>ND</v>
      </c>
      <c r="G1930" s="156" t="str">
        <f>'Reported burning'!G1930</f>
        <v>ND</v>
      </c>
      <c r="H1930" s="156" t="str">
        <f>'Reported burning'!H1930</f>
        <v>Absence</v>
      </c>
      <c r="I1930" s="5"/>
      <c r="J1930" s="21">
        <v>0</v>
      </c>
      <c r="K1930" s="21">
        <v>0</v>
      </c>
      <c r="L1930" s="21">
        <v>0</v>
      </c>
      <c r="M1930" s="21">
        <v>0</v>
      </c>
      <c r="N1930" s="21">
        <v>0</v>
      </c>
      <c r="O1930" s="21">
        <v>0</v>
      </c>
      <c r="P1930" s="21">
        <v>0</v>
      </c>
      <c r="Q1930" s="21">
        <v>0</v>
      </c>
      <c r="R1930" s="21">
        <v>0</v>
      </c>
      <c r="S1930" s="21">
        <v>0</v>
      </c>
      <c r="T1930" s="21">
        <v>0</v>
      </c>
      <c r="U1930" s="21">
        <v>0</v>
      </c>
      <c r="V1930" s="21">
        <v>0</v>
      </c>
      <c r="W1930" s="4" t="s">
        <v>2276</v>
      </c>
      <c r="X1930" s="4" t="s">
        <v>2276</v>
      </c>
      <c r="Y1930" s="4" t="s">
        <v>2276</v>
      </c>
      <c r="Z1930" s="4" t="s">
        <v>2276</v>
      </c>
      <c r="AA1930" s="4" t="s">
        <v>5575</v>
      </c>
      <c r="AB1930" s="3"/>
    </row>
    <row r="1931" spans="1:28" ht="43.5">
      <c r="A1931" s="156" t="str">
        <f>'Reported burning'!A1931</f>
        <v>219b</v>
      </c>
      <c r="B1931" s="156" t="str">
        <f>'Reported burning'!B1931</f>
        <v>219b.3</v>
      </c>
      <c r="C1931" s="156" t="str">
        <f>'Reported burning'!C1931</f>
        <v>Human, deliberate</v>
      </c>
      <c r="D1931" s="156" t="str">
        <f>'Reported burning'!D1931</f>
        <v>Crop field preparation</v>
      </c>
      <c r="E1931" s="156" t="str">
        <f>'Reported burning'!E1931</f>
        <v>Cropping, Monoculture, Market-oriented</v>
      </c>
      <c r="F1931" s="156" t="str">
        <f>'Reported burning'!F1931</f>
        <v>ND</v>
      </c>
      <c r="G1931" s="156" t="str">
        <f>'Reported burning'!G1931</f>
        <v>ND</v>
      </c>
      <c r="H1931" s="156" t="str">
        <f>'Reported burning'!H1931</f>
        <v>Absence</v>
      </c>
      <c r="I1931" s="5"/>
      <c r="J1931" s="21">
        <v>0</v>
      </c>
      <c r="K1931" s="21">
        <v>0</v>
      </c>
      <c r="L1931" s="21">
        <v>0</v>
      </c>
      <c r="M1931" s="21">
        <v>0</v>
      </c>
      <c r="N1931" s="21">
        <v>0</v>
      </c>
      <c r="O1931" s="21">
        <v>0</v>
      </c>
      <c r="P1931" s="21">
        <v>0</v>
      </c>
      <c r="Q1931" s="21">
        <v>0</v>
      </c>
      <c r="R1931" s="21">
        <v>0</v>
      </c>
      <c r="S1931" s="21">
        <v>0</v>
      </c>
      <c r="T1931" s="21">
        <v>0</v>
      </c>
      <c r="U1931" s="21">
        <v>0</v>
      </c>
      <c r="V1931" s="21">
        <v>0</v>
      </c>
      <c r="W1931" s="4" t="s">
        <v>2276</v>
      </c>
      <c r="X1931" s="4" t="s">
        <v>2276</v>
      </c>
      <c r="Y1931" s="4" t="s">
        <v>2276</v>
      </c>
      <c r="Z1931" s="4" t="s">
        <v>2276</v>
      </c>
      <c r="AA1931" s="4" t="s">
        <v>5575</v>
      </c>
      <c r="AB1931" s="3"/>
    </row>
    <row r="1932" spans="1:28" ht="43.5">
      <c r="A1932" s="156" t="str">
        <f>'Reported burning'!A1932</f>
        <v>219c</v>
      </c>
      <c r="B1932" s="156" t="str">
        <f>'Reported burning'!B1932</f>
        <v>219c.3</v>
      </c>
      <c r="C1932" s="156" t="str">
        <f>'Reported burning'!C1932</f>
        <v>Human, deliberate</v>
      </c>
      <c r="D1932" s="156" t="str">
        <f>'Reported burning'!D1932</f>
        <v>Crop field preparation</v>
      </c>
      <c r="E1932" s="156" t="str">
        <f>'Reported burning'!E1932</f>
        <v>Cropping, Monoculture, Market-oriented</v>
      </c>
      <c r="F1932" s="156" t="str">
        <f>'Reported burning'!F1932</f>
        <v>ND</v>
      </c>
      <c r="G1932" s="156" t="str">
        <f>'Reported burning'!G1932</f>
        <v>ND</v>
      </c>
      <c r="H1932" s="156" t="str">
        <f>'Reported burning'!H1932</f>
        <v>Absence</v>
      </c>
      <c r="I1932" s="5"/>
      <c r="J1932" s="21">
        <v>0</v>
      </c>
      <c r="K1932" s="21">
        <v>0</v>
      </c>
      <c r="L1932" s="21">
        <v>0</v>
      </c>
      <c r="M1932" s="21">
        <v>0</v>
      </c>
      <c r="N1932" s="21">
        <v>0</v>
      </c>
      <c r="O1932" s="21">
        <v>0</v>
      </c>
      <c r="P1932" s="21">
        <v>0</v>
      </c>
      <c r="Q1932" s="21">
        <v>0</v>
      </c>
      <c r="R1932" s="21">
        <v>0</v>
      </c>
      <c r="S1932" s="21">
        <v>0</v>
      </c>
      <c r="T1932" s="21">
        <v>0</v>
      </c>
      <c r="U1932" s="21">
        <v>0</v>
      </c>
      <c r="V1932" s="21">
        <v>0</v>
      </c>
      <c r="W1932" s="4" t="s">
        <v>2276</v>
      </c>
      <c r="X1932" s="4" t="s">
        <v>2276</v>
      </c>
      <c r="Y1932" s="4" t="s">
        <v>2276</v>
      </c>
      <c r="Z1932" s="4" t="s">
        <v>2276</v>
      </c>
      <c r="AA1932" s="4" t="s">
        <v>5575</v>
      </c>
      <c r="AB1932" s="3"/>
    </row>
    <row r="1933" spans="1:28" ht="43.5">
      <c r="A1933" s="156" t="str">
        <f>'Reported burning'!A1933</f>
        <v>219d</v>
      </c>
      <c r="B1933" s="156" t="str">
        <f>'Reported burning'!B1933</f>
        <v>219d.3</v>
      </c>
      <c r="C1933" s="156" t="str">
        <f>'Reported burning'!C1933</f>
        <v>Human, deliberate</v>
      </c>
      <c r="D1933" s="156" t="str">
        <f>'Reported burning'!D1933</f>
        <v>Crop field preparation</v>
      </c>
      <c r="E1933" s="156" t="str">
        <f>'Reported burning'!E1933</f>
        <v>Cropping, Monoculture, Market-oriented</v>
      </c>
      <c r="F1933" s="156" t="str">
        <f>'Reported burning'!F1933</f>
        <v>ND</v>
      </c>
      <c r="G1933" s="156" t="str">
        <f>'Reported burning'!G1933</f>
        <v>ND</v>
      </c>
      <c r="H1933" s="156" t="str">
        <f>'Reported burning'!H1933</f>
        <v>Absence</v>
      </c>
      <c r="I1933" s="5"/>
      <c r="J1933" s="21">
        <v>0</v>
      </c>
      <c r="K1933" s="21">
        <v>0</v>
      </c>
      <c r="L1933" s="21">
        <v>0</v>
      </c>
      <c r="M1933" s="21">
        <v>0</v>
      </c>
      <c r="N1933" s="21">
        <v>0</v>
      </c>
      <c r="O1933" s="21">
        <v>0</v>
      </c>
      <c r="P1933" s="21">
        <v>0</v>
      </c>
      <c r="Q1933" s="21">
        <v>0</v>
      </c>
      <c r="R1933" s="21">
        <v>0</v>
      </c>
      <c r="S1933" s="21">
        <v>0</v>
      </c>
      <c r="T1933" s="21">
        <v>0</v>
      </c>
      <c r="U1933" s="21">
        <v>0</v>
      </c>
      <c r="V1933" s="21">
        <v>0</v>
      </c>
      <c r="W1933" s="4" t="s">
        <v>2276</v>
      </c>
      <c r="X1933" s="4" t="s">
        <v>2276</v>
      </c>
      <c r="Y1933" s="4" t="s">
        <v>2276</v>
      </c>
      <c r="Z1933" s="4" t="s">
        <v>2276</v>
      </c>
      <c r="AA1933" s="4" t="s">
        <v>5575</v>
      </c>
      <c r="AB1933" s="3"/>
    </row>
    <row r="1934" spans="1:28" ht="43.5">
      <c r="A1934" s="156" t="str">
        <f>'Reported burning'!A1934</f>
        <v>219e</v>
      </c>
      <c r="B1934" s="156" t="str">
        <f>'Reported burning'!B1934</f>
        <v>219e.3</v>
      </c>
      <c r="C1934" s="156" t="str">
        <f>'Reported burning'!C1934</f>
        <v>Human, deliberate</v>
      </c>
      <c r="D1934" s="156" t="str">
        <f>'Reported burning'!D1934</f>
        <v>Crop field preparation</v>
      </c>
      <c r="E1934" s="156" t="str">
        <f>'Reported burning'!E1934</f>
        <v>Cropping, Monoculture, Market-oriented</v>
      </c>
      <c r="F1934" s="156" t="str">
        <f>'Reported burning'!F1934</f>
        <v>ND</v>
      </c>
      <c r="G1934" s="156" t="str">
        <f>'Reported burning'!G1934</f>
        <v>ND</v>
      </c>
      <c r="H1934" s="156" t="str">
        <f>'Reported burning'!H1934</f>
        <v>Absence</v>
      </c>
      <c r="I1934" s="5"/>
      <c r="J1934" s="21">
        <v>0</v>
      </c>
      <c r="K1934" s="21">
        <v>0</v>
      </c>
      <c r="L1934" s="21">
        <v>0</v>
      </c>
      <c r="M1934" s="21">
        <v>0</v>
      </c>
      <c r="N1934" s="21">
        <v>0</v>
      </c>
      <c r="O1934" s="21">
        <v>0</v>
      </c>
      <c r="P1934" s="21">
        <v>0</v>
      </c>
      <c r="Q1934" s="21">
        <v>0</v>
      </c>
      <c r="R1934" s="21">
        <v>0</v>
      </c>
      <c r="S1934" s="21">
        <v>0</v>
      </c>
      <c r="T1934" s="21">
        <v>0</v>
      </c>
      <c r="U1934" s="21">
        <v>0</v>
      </c>
      <c r="V1934" s="21">
        <v>0</v>
      </c>
      <c r="W1934" s="4" t="s">
        <v>2276</v>
      </c>
      <c r="X1934" s="4" t="s">
        <v>2276</v>
      </c>
      <c r="Y1934" s="4" t="s">
        <v>2276</v>
      </c>
      <c r="Z1934" s="4" t="s">
        <v>2276</v>
      </c>
      <c r="AA1934" s="4" t="s">
        <v>5575</v>
      </c>
      <c r="AB1934" s="3"/>
    </row>
    <row r="1935" spans="1:28" ht="43.5">
      <c r="A1935" s="156" t="str">
        <f>'Reported burning'!A1935</f>
        <v>219f</v>
      </c>
      <c r="B1935" s="156" t="str">
        <f>'Reported burning'!B1935</f>
        <v>219f.3</v>
      </c>
      <c r="C1935" s="156" t="str">
        <f>'Reported burning'!C1935</f>
        <v>Human, deliberate</v>
      </c>
      <c r="D1935" s="156" t="str">
        <f>'Reported burning'!D1935</f>
        <v>Crop field preparation</v>
      </c>
      <c r="E1935" s="156" t="str">
        <f>'Reported burning'!E1935</f>
        <v>Cropping, Monoculture, Market-oriented</v>
      </c>
      <c r="F1935" s="156" t="str">
        <f>'Reported burning'!F1935</f>
        <v>ND</v>
      </c>
      <c r="G1935" s="156" t="str">
        <f>'Reported burning'!G1935</f>
        <v>ND</v>
      </c>
      <c r="H1935" s="156" t="str">
        <f>'Reported burning'!H1935</f>
        <v>Absence</v>
      </c>
      <c r="I1935" s="5"/>
      <c r="J1935" s="21">
        <v>0</v>
      </c>
      <c r="K1935" s="21">
        <v>0</v>
      </c>
      <c r="L1935" s="21">
        <v>0</v>
      </c>
      <c r="M1935" s="21">
        <v>0</v>
      </c>
      <c r="N1935" s="21">
        <v>0</v>
      </c>
      <c r="O1935" s="21">
        <v>0</v>
      </c>
      <c r="P1935" s="21">
        <v>0</v>
      </c>
      <c r="Q1935" s="21">
        <v>0</v>
      </c>
      <c r="R1935" s="21">
        <v>0</v>
      </c>
      <c r="S1935" s="21">
        <v>0</v>
      </c>
      <c r="T1935" s="21">
        <v>0</v>
      </c>
      <c r="U1935" s="21">
        <v>0</v>
      </c>
      <c r="V1935" s="21">
        <v>0</v>
      </c>
      <c r="W1935" s="4" t="s">
        <v>2276</v>
      </c>
      <c r="X1935" s="4" t="s">
        <v>2276</v>
      </c>
      <c r="Y1935" s="4" t="s">
        <v>2276</v>
      </c>
      <c r="Z1935" s="4" t="s">
        <v>2276</v>
      </c>
      <c r="AA1935" s="4" t="s">
        <v>5575</v>
      </c>
      <c r="AB1935" s="3"/>
    </row>
    <row r="1936" spans="1:28" ht="43.5">
      <c r="A1936" s="156" t="str">
        <f>'Reported burning'!A1936</f>
        <v>219g</v>
      </c>
      <c r="B1936" s="156" t="str">
        <f>'Reported burning'!B1936</f>
        <v>219g.3</v>
      </c>
      <c r="C1936" s="156" t="str">
        <f>'Reported burning'!C1936</f>
        <v>Human, deliberate</v>
      </c>
      <c r="D1936" s="156" t="str">
        <f>'Reported burning'!D1936</f>
        <v>Crop field preparation</v>
      </c>
      <c r="E1936" s="156" t="str">
        <f>'Reported burning'!E1936</f>
        <v>Cropping, Monoculture, Market-oriented</v>
      </c>
      <c r="F1936" s="156" t="str">
        <f>'Reported burning'!F1936</f>
        <v>ND</v>
      </c>
      <c r="G1936" s="156" t="str">
        <f>'Reported burning'!G1936</f>
        <v>ND</v>
      </c>
      <c r="H1936" s="156" t="str">
        <f>'Reported burning'!H1936</f>
        <v>Absence</v>
      </c>
      <c r="I1936" s="5"/>
      <c r="J1936" s="21">
        <v>0</v>
      </c>
      <c r="K1936" s="21">
        <v>0</v>
      </c>
      <c r="L1936" s="21">
        <v>0</v>
      </c>
      <c r="M1936" s="21">
        <v>0</v>
      </c>
      <c r="N1936" s="21">
        <v>0</v>
      </c>
      <c r="O1936" s="21">
        <v>0</v>
      </c>
      <c r="P1936" s="21">
        <v>0</v>
      </c>
      <c r="Q1936" s="21">
        <v>0</v>
      </c>
      <c r="R1936" s="21">
        <v>0</v>
      </c>
      <c r="S1936" s="21">
        <v>0</v>
      </c>
      <c r="T1936" s="21">
        <v>0</v>
      </c>
      <c r="U1936" s="21">
        <v>0</v>
      </c>
      <c r="V1936" s="21">
        <v>0</v>
      </c>
      <c r="W1936" s="4" t="s">
        <v>2276</v>
      </c>
      <c r="X1936" s="4" t="s">
        <v>2276</v>
      </c>
      <c r="Y1936" s="4" t="s">
        <v>2276</v>
      </c>
      <c r="Z1936" s="4" t="s">
        <v>2276</v>
      </c>
      <c r="AA1936" s="4" t="s">
        <v>5575</v>
      </c>
      <c r="AB1936" s="3"/>
    </row>
    <row r="1937" spans="1:28" ht="43.5">
      <c r="A1937" s="156" t="str">
        <f>'Reported burning'!A1937</f>
        <v>219h</v>
      </c>
      <c r="B1937" s="156" t="str">
        <f>'Reported burning'!B1937</f>
        <v>219h.3</v>
      </c>
      <c r="C1937" s="156" t="str">
        <f>'Reported burning'!C1937</f>
        <v>Human, deliberate</v>
      </c>
      <c r="D1937" s="156" t="str">
        <f>'Reported burning'!D1937</f>
        <v>Crop field preparation</v>
      </c>
      <c r="E1937" s="156" t="str">
        <f>'Reported burning'!E1937</f>
        <v>Cropping, Monoculture, Market-oriented</v>
      </c>
      <c r="F1937" s="156" t="str">
        <f>'Reported burning'!F1937</f>
        <v>ND</v>
      </c>
      <c r="G1937" s="156" t="str">
        <f>'Reported burning'!G1937</f>
        <v>ND</v>
      </c>
      <c r="H1937" s="156" t="str">
        <f>'Reported burning'!H1937</f>
        <v>Absence</v>
      </c>
      <c r="I1937" s="5"/>
      <c r="J1937" s="21">
        <v>0</v>
      </c>
      <c r="K1937" s="21">
        <v>0</v>
      </c>
      <c r="L1937" s="21">
        <v>0</v>
      </c>
      <c r="M1937" s="21">
        <v>0</v>
      </c>
      <c r="N1937" s="21">
        <v>0</v>
      </c>
      <c r="O1937" s="21">
        <v>0</v>
      </c>
      <c r="P1937" s="21">
        <v>0</v>
      </c>
      <c r="Q1937" s="21">
        <v>0</v>
      </c>
      <c r="R1937" s="21">
        <v>0</v>
      </c>
      <c r="S1937" s="21">
        <v>0</v>
      </c>
      <c r="T1937" s="21">
        <v>0</v>
      </c>
      <c r="U1937" s="21">
        <v>0</v>
      </c>
      <c r="V1937" s="21">
        <v>0</v>
      </c>
      <c r="W1937" s="4" t="s">
        <v>2276</v>
      </c>
      <c r="X1937" s="4" t="s">
        <v>2276</v>
      </c>
      <c r="Y1937" s="4" t="s">
        <v>2276</v>
      </c>
      <c r="Z1937" s="4" t="s">
        <v>2276</v>
      </c>
      <c r="AA1937" s="4" t="s">
        <v>5575</v>
      </c>
      <c r="AB1937" s="3"/>
    </row>
    <row r="1938" spans="1:28" ht="29" customHeight="1">
      <c r="A1938" s="156" t="str">
        <f>'Reported burning'!A1938</f>
        <v>220a</v>
      </c>
      <c r="B1938" s="156" t="str">
        <f>'Reported burning'!B1938</f>
        <v>220a.1</v>
      </c>
      <c r="C1938" s="156" t="str">
        <f>'Reported burning'!C1938</f>
        <v>Human, deliberate</v>
      </c>
      <c r="D1938" s="156" t="str">
        <f>'Reported burning'!D1938</f>
        <v>Pyrome management</v>
      </c>
      <c r="E1938" s="156" t="str">
        <f>'Reported burning'!E1938</f>
        <v>Cropping, Monoculture, Subsistence-oriented</v>
      </c>
      <c r="F1938" s="156" t="str">
        <f>'Reported burning'!F1938</f>
        <v>ND</v>
      </c>
      <c r="G1938" s="156" t="str">
        <f>'Reported burning'!G1938</f>
        <v>ND</v>
      </c>
      <c r="H1938" s="156" t="str">
        <f>'Reported burning'!H1938</f>
        <v>Presence</v>
      </c>
      <c r="I1938" s="5"/>
      <c r="J1938" s="4" t="s">
        <v>2276</v>
      </c>
      <c r="K1938" s="4" t="s">
        <v>2276</v>
      </c>
      <c r="L1938" s="4" t="s">
        <v>2276</v>
      </c>
      <c r="M1938" s="4" t="s">
        <v>2276</v>
      </c>
      <c r="N1938" s="4" t="s">
        <v>2276</v>
      </c>
      <c r="O1938" s="4" t="s">
        <v>2276</v>
      </c>
      <c r="P1938" s="4" t="s">
        <v>2276</v>
      </c>
      <c r="Q1938" s="4" t="s">
        <v>2276</v>
      </c>
      <c r="R1938" s="4" t="s">
        <v>2276</v>
      </c>
      <c r="S1938" s="4" t="s">
        <v>2276</v>
      </c>
      <c r="T1938" s="4" t="s">
        <v>2276</v>
      </c>
      <c r="U1938" s="4" t="s">
        <v>2276</v>
      </c>
      <c r="V1938" s="4" t="s">
        <v>2276</v>
      </c>
      <c r="W1938" s="4" t="s">
        <v>2276</v>
      </c>
      <c r="X1938" s="4" t="s">
        <v>2276</v>
      </c>
      <c r="Y1938" s="4" t="s">
        <v>2276</v>
      </c>
      <c r="Z1938" s="4" t="s">
        <v>2276</v>
      </c>
      <c r="AA1938" s="3"/>
      <c r="AB1938" s="3"/>
    </row>
    <row r="1939" spans="1:28" ht="29" customHeight="1">
      <c r="A1939" s="185" t="str">
        <f>'Reported burning'!A1939</f>
        <v>220a</v>
      </c>
      <c r="B1939" s="185" t="str">
        <f>'Reported burning'!B1939</f>
        <v>220a.2</v>
      </c>
      <c r="C1939" s="185" t="str">
        <f>'Reported burning'!C1939</f>
        <v>Human, deliberate</v>
      </c>
      <c r="D1939" s="185" t="str">
        <f>'Reported burning'!D1939</f>
        <v>Pyrome management</v>
      </c>
      <c r="E1939" s="185" t="str">
        <f>'Reported burning'!E1939</f>
        <v>Agroforestry, Subsistence-oriented</v>
      </c>
      <c r="F1939" s="185" t="str">
        <f>'Reported burning'!F1939</f>
        <v>ND</v>
      </c>
      <c r="G1939" s="185" t="str">
        <f>'Reported burning'!G1939</f>
        <v>ND</v>
      </c>
      <c r="H1939" s="185" t="str">
        <f>'Reported burning'!H1939</f>
        <v>Presence</v>
      </c>
      <c r="I1939" s="32"/>
      <c r="J1939" s="168" t="s">
        <v>2276</v>
      </c>
      <c r="K1939" s="168" t="s">
        <v>2276</v>
      </c>
      <c r="L1939" s="168" t="s">
        <v>2276</v>
      </c>
      <c r="M1939" s="168" t="s">
        <v>2276</v>
      </c>
      <c r="N1939" s="168" t="s">
        <v>2276</v>
      </c>
      <c r="O1939" s="168" t="s">
        <v>2276</v>
      </c>
      <c r="P1939" s="168" t="s">
        <v>2276</v>
      </c>
      <c r="Q1939" s="168" t="s">
        <v>2276</v>
      </c>
      <c r="R1939" s="168" t="s">
        <v>2276</v>
      </c>
      <c r="S1939" s="168" t="s">
        <v>2276</v>
      </c>
      <c r="T1939" s="168" t="s">
        <v>2276</v>
      </c>
      <c r="U1939" s="168" t="s">
        <v>2276</v>
      </c>
      <c r="V1939" s="168" t="s">
        <v>2276</v>
      </c>
      <c r="W1939" s="168" t="s">
        <v>2276</v>
      </c>
      <c r="X1939" s="168" t="s">
        <v>2276</v>
      </c>
      <c r="Y1939" s="168" t="s">
        <v>2276</v>
      </c>
      <c r="Z1939" s="168" t="s">
        <v>2276</v>
      </c>
      <c r="AA1939" s="38"/>
      <c r="AB1939" s="38"/>
    </row>
    <row r="1940" spans="1:28" s="122" customFormat="1" ht="31" customHeight="1">
      <c r="A1940" s="152" t="str">
        <f>'Reported burning'!A1940</f>
        <v>221a</v>
      </c>
      <c r="B1940" s="152" t="str">
        <f>'Reported burning'!B1940</f>
        <v>221a.1</v>
      </c>
      <c r="C1940" s="152" t="str">
        <f>'Reported burning'!C1940</f>
        <v>Human, deliberate</v>
      </c>
      <c r="D1940" s="152" t="str">
        <f>'Reported burning'!D1940</f>
        <v>Crop field preparation</v>
      </c>
      <c r="E1940" s="152" t="str">
        <f>'Reported burning'!E1940</f>
        <v>Cropping, Swidden</v>
      </c>
      <c r="F1940" s="152" t="str">
        <f>'Reported burning'!F1940</f>
        <v>Forest</v>
      </c>
      <c r="G1940" s="152" t="str">
        <f>'Reported burning'!G1940</f>
        <v>ND</v>
      </c>
      <c r="H1940" s="152" t="str">
        <f>'Reported burning'!H1940</f>
        <v>Presence</v>
      </c>
      <c r="I1940" s="3"/>
      <c r="J1940" s="4" t="s">
        <v>2276</v>
      </c>
      <c r="K1940" s="103" t="s">
        <v>2362</v>
      </c>
      <c r="L1940" s="4" t="s">
        <v>2276</v>
      </c>
      <c r="M1940" s="4" t="s">
        <v>2276</v>
      </c>
      <c r="N1940" s="4" t="s">
        <v>2276</v>
      </c>
      <c r="O1940" s="103" t="s">
        <v>2375</v>
      </c>
      <c r="P1940" s="4" t="s">
        <v>2276</v>
      </c>
      <c r="Q1940" s="103" t="s">
        <v>2375</v>
      </c>
      <c r="R1940" s="4" t="s">
        <v>2276</v>
      </c>
      <c r="S1940" s="4" t="s">
        <v>2276</v>
      </c>
      <c r="T1940" s="4" t="s">
        <v>2276</v>
      </c>
      <c r="U1940" s="4" t="s">
        <v>2276</v>
      </c>
      <c r="V1940" s="4" t="s">
        <v>2276</v>
      </c>
      <c r="W1940" s="4" t="s">
        <v>2276</v>
      </c>
      <c r="X1940" s="4" t="s">
        <v>2276</v>
      </c>
      <c r="Y1940" s="4" t="s">
        <v>2276</v>
      </c>
      <c r="Z1940" s="4" t="s">
        <v>2276</v>
      </c>
      <c r="AA1940" s="3" t="s">
        <v>5595</v>
      </c>
      <c r="AB1940" s="3"/>
    </row>
    <row r="1941" spans="1:28" s="122" customFormat="1" ht="31" customHeight="1">
      <c r="A1941" s="152" t="str">
        <f>'Reported burning'!A1941</f>
        <v>221a</v>
      </c>
      <c r="B1941" s="152" t="str">
        <f>'Reported burning'!B1941</f>
        <v>221a.2</v>
      </c>
      <c r="C1941" s="152" t="str">
        <f>'Reported burning'!C1941</f>
        <v>Human, deliberate</v>
      </c>
      <c r="D1941" s="152" t="str">
        <f>'Reported burning'!D1941</f>
        <v>Land clearance</v>
      </c>
      <c r="E1941" s="152" t="str">
        <f>'Reported burning'!E1941</f>
        <v>Cropping, Intensive</v>
      </c>
      <c r="F1941" s="152" t="str">
        <f>'Reported burning'!F1941</f>
        <v>Forest</v>
      </c>
      <c r="G1941" s="152" t="str">
        <f>'Reported burning'!G1941</f>
        <v>ND</v>
      </c>
      <c r="H1941" s="152" t="str">
        <f>'Reported burning'!H1941</f>
        <v>Presence</v>
      </c>
      <c r="I1941" s="3"/>
      <c r="J1941" s="4" t="s">
        <v>2276</v>
      </c>
      <c r="K1941" s="4" t="s">
        <v>2276</v>
      </c>
      <c r="L1941" s="4" t="s">
        <v>2276</v>
      </c>
      <c r="M1941" s="4" t="s">
        <v>2276</v>
      </c>
      <c r="N1941" s="4" t="s">
        <v>2276</v>
      </c>
      <c r="O1941" s="4" t="s">
        <v>2276</v>
      </c>
      <c r="P1941" s="4" t="s">
        <v>2276</v>
      </c>
      <c r="Q1941" s="4" t="s">
        <v>2276</v>
      </c>
      <c r="R1941" s="4" t="s">
        <v>2276</v>
      </c>
      <c r="S1941" s="4" t="s">
        <v>2276</v>
      </c>
      <c r="T1941" s="4" t="s">
        <v>2276</v>
      </c>
      <c r="U1941" s="4" t="s">
        <v>2276</v>
      </c>
      <c r="V1941" s="4" t="s">
        <v>2276</v>
      </c>
      <c r="W1941" s="4" t="s">
        <v>2276</v>
      </c>
      <c r="X1941" s="4" t="s">
        <v>2276</v>
      </c>
      <c r="Y1941" s="4" t="s">
        <v>2276</v>
      </c>
      <c r="Z1941" s="4" t="s">
        <v>2276</v>
      </c>
      <c r="AA1941" s="3"/>
      <c r="AB1941" s="3"/>
    </row>
    <row r="1942" spans="1:28" ht="29" customHeight="1">
      <c r="A1942" s="156" t="str">
        <f>'Reported burning'!A1942</f>
        <v>222a</v>
      </c>
      <c r="B1942" s="156" t="str">
        <f>'Reported burning'!B1942</f>
        <v>222a.1</v>
      </c>
      <c r="C1942" s="156" t="str">
        <f>'Reported burning'!C1942</f>
        <v>Human, deliberate</v>
      </c>
      <c r="D1942" s="156" t="str">
        <f>'Reported burning'!D1942</f>
        <v>Crop field preparation</v>
      </c>
      <c r="E1942" s="156" t="str">
        <f>'Reported burning'!E1942</f>
        <v>Cropping, Swidden</v>
      </c>
      <c r="F1942" s="156" t="str">
        <f>'Reported burning'!F1942</f>
        <v>Secondary vegetation</v>
      </c>
      <c r="G1942" s="156" t="str">
        <f>'Reported burning'!G1942</f>
        <v>ND</v>
      </c>
      <c r="H1942" s="156" t="str">
        <f>'Reported burning'!H1942</f>
        <v>Presence</v>
      </c>
      <c r="I1942" s="5"/>
      <c r="J1942" s="4" t="s">
        <v>2276</v>
      </c>
      <c r="K1942" s="4" t="s">
        <v>2276</v>
      </c>
      <c r="L1942" s="4" t="s">
        <v>2276</v>
      </c>
      <c r="M1942" s="4" t="s">
        <v>2276</v>
      </c>
      <c r="N1942" s="4" t="s">
        <v>2276</v>
      </c>
      <c r="O1942" s="4" t="s">
        <v>2276</v>
      </c>
      <c r="P1942" s="4" t="s">
        <v>2276</v>
      </c>
      <c r="Q1942" s="4" t="s">
        <v>2276</v>
      </c>
      <c r="R1942" s="4" t="s">
        <v>2276</v>
      </c>
      <c r="S1942" s="4" t="s">
        <v>2276</v>
      </c>
      <c r="T1942" s="4" t="s">
        <v>2276</v>
      </c>
      <c r="U1942" s="4" t="s">
        <v>2276</v>
      </c>
      <c r="V1942" s="4" t="s">
        <v>2276</v>
      </c>
      <c r="W1942" s="4" t="s">
        <v>2276</v>
      </c>
      <c r="X1942" s="4" t="s">
        <v>2276</v>
      </c>
      <c r="Y1942" s="4" t="s">
        <v>2276</v>
      </c>
      <c r="Z1942" s="4" t="s">
        <v>2276</v>
      </c>
      <c r="AA1942" s="4"/>
      <c r="AB1942" s="4"/>
    </row>
    <row r="1943" spans="1:28" ht="29" customHeight="1">
      <c r="A1943" s="156" t="str">
        <f>'Reported burning'!A1943</f>
        <v>222b</v>
      </c>
      <c r="B1943" s="156" t="str">
        <f>'Reported burning'!B1943</f>
        <v>222b.1</v>
      </c>
      <c r="C1943" s="156" t="str">
        <f>'Reported burning'!C1943</f>
        <v>Human, deliberate</v>
      </c>
      <c r="D1943" s="156" t="str">
        <f>'Reported burning'!D1943</f>
        <v>Crop field preparation</v>
      </c>
      <c r="E1943" s="156" t="str">
        <f>'Reported burning'!E1943</f>
        <v>Cropping, Swidden</v>
      </c>
      <c r="F1943" s="156" t="str">
        <f>'Reported burning'!F1943</f>
        <v>Secondary vegetation</v>
      </c>
      <c r="G1943" s="156" t="str">
        <f>'Reported burning'!G1943</f>
        <v>ND</v>
      </c>
      <c r="H1943" s="156" t="str">
        <f>'Reported burning'!H1943</f>
        <v>Presence</v>
      </c>
      <c r="I1943" s="5"/>
      <c r="J1943" s="4" t="s">
        <v>2276</v>
      </c>
      <c r="K1943" s="4" t="s">
        <v>2276</v>
      </c>
      <c r="L1943" s="4" t="s">
        <v>2276</v>
      </c>
      <c r="M1943" s="4" t="s">
        <v>2276</v>
      </c>
      <c r="N1943" s="4" t="s">
        <v>2276</v>
      </c>
      <c r="O1943" s="4" t="s">
        <v>2276</v>
      </c>
      <c r="P1943" s="4" t="s">
        <v>2276</v>
      </c>
      <c r="Q1943" s="4" t="s">
        <v>2276</v>
      </c>
      <c r="R1943" s="4" t="s">
        <v>2276</v>
      </c>
      <c r="S1943" s="4" t="s">
        <v>2276</v>
      </c>
      <c r="T1943" s="4" t="s">
        <v>2276</v>
      </c>
      <c r="U1943" s="4" t="s">
        <v>2276</v>
      </c>
      <c r="V1943" s="4" t="s">
        <v>2276</v>
      </c>
      <c r="W1943" s="4" t="s">
        <v>2276</v>
      </c>
      <c r="X1943" s="4" t="s">
        <v>2276</v>
      </c>
      <c r="Y1943" s="4" t="s">
        <v>2276</v>
      </c>
      <c r="Z1943" s="4" t="s">
        <v>2276</v>
      </c>
      <c r="AA1943" s="4"/>
      <c r="AB1943" s="4"/>
    </row>
    <row r="1944" spans="1:28" ht="29" customHeight="1">
      <c r="A1944" s="156" t="str">
        <f>'Reported burning'!A1944</f>
        <v>222a</v>
      </c>
      <c r="B1944" s="156" t="str">
        <f>'Reported burning'!B1944</f>
        <v>222a.2</v>
      </c>
      <c r="C1944" s="156" t="str">
        <f>'Reported burning'!C1944</f>
        <v>Human, deliberate</v>
      </c>
      <c r="D1944" s="156" t="str">
        <f>'Reported burning'!D1944</f>
        <v>Crop field preparation</v>
      </c>
      <c r="E1944" s="156" t="str">
        <f>'Reported burning'!E1944</f>
        <v>Cropping, Swidden</v>
      </c>
      <c r="F1944" s="156" t="str">
        <f>'Reported burning'!F1944</f>
        <v>Forest</v>
      </c>
      <c r="G1944" s="156" t="str">
        <f>'Reported burning'!G1944</f>
        <v>ND</v>
      </c>
      <c r="H1944" s="156" t="str">
        <f>'Reported burning'!H1944</f>
        <v>Presence</v>
      </c>
      <c r="I1944" s="5"/>
      <c r="J1944" s="4" t="s">
        <v>2276</v>
      </c>
      <c r="K1944" s="4" t="s">
        <v>2276</v>
      </c>
      <c r="L1944" s="4" t="s">
        <v>2276</v>
      </c>
      <c r="M1944" s="4" t="s">
        <v>2276</v>
      </c>
      <c r="N1944" s="4" t="s">
        <v>2276</v>
      </c>
      <c r="O1944" s="4" t="s">
        <v>2276</v>
      </c>
      <c r="P1944" s="4" t="s">
        <v>2276</v>
      </c>
      <c r="Q1944" s="4" t="s">
        <v>2276</v>
      </c>
      <c r="R1944" s="4" t="s">
        <v>2276</v>
      </c>
      <c r="S1944" s="4" t="s">
        <v>2276</v>
      </c>
      <c r="T1944" s="4" t="s">
        <v>2276</v>
      </c>
      <c r="U1944" s="4" t="s">
        <v>2276</v>
      </c>
      <c r="V1944" s="4" t="s">
        <v>2276</v>
      </c>
      <c r="W1944" s="4" t="s">
        <v>2276</v>
      </c>
      <c r="X1944" s="4" t="s">
        <v>2276</v>
      </c>
      <c r="Y1944" s="4" t="s">
        <v>2276</v>
      </c>
      <c r="Z1944" s="4" t="s">
        <v>2276</v>
      </c>
      <c r="AA1944" s="4"/>
      <c r="AB1944" s="4"/>
    </row>
    <row r="1945" spans="1:28" ht="29" customHeight="1">
      <c r="A1945" s="156" t="str">
        <f>'Reported burning'!A1945</f>
        <v>222b</v>
      </c>
      <c r="B1945" s="156" t="str">
        <f>'Reported burning'!B1945</f>
        <v>222b.2</v>
      </c>
      <c r="C1945" s="156" t="str">
        <f>'Reported burning'!C1945</f>
        <v>Human, deliberate</v>
      </c>
      <c r="D1945" s="156" t="str">
        <f>'Reported burning'!D1945</f>
        <v>Crop field preparation</v>
      </c>
      <c r="E1945" s="156" t="str">
        <f>'Reported burning'!E1945</f>
        <v>Cropping, Swidden</v>
      </c>
      <c r="F1945" s="156" t="str">
        <f>'Reported burning'!F1945</f>
        <v>Forest</v>
      </c>
      <c r="G1945" s="156" t="str">
        <f>'Reported burning'!G1945</f>
        <v>ND</v>
      </c>
      <c r="H1945" s="156" t="str">
        <f>'Reported burning'!H1945</f>
        <v>Presence</v>
      </c>
      <c r="I1945" s="5"/>
      <c r="J1945" s="4" t="s">
        <v>2276</v>
      </c>
      <c r="K1945" s="4" t="s">
        <v>2276</v>
      </c>
      <c r="L1945" s="4" t="s">
        <v>2276</v>
      </c>
      <c r="M1945" s="4" t="s">
        <v>2276</v>
      </c>
      <c r="N1945" s="4" t="s">
        <v>2276</v>
      </c>
      <c r="O1945" s="4" t="s">
        <v>2276</v>
      </c>
      <c r="P1945" s="4" t="s">
        <v>2276</v>
      </c>
      <c r="Q1945" s="4" t="s">
        <v>2276</v>
      </c>
      <c r="R1945" s="4" t="s">
        <v>2276</v>
      </c>
      <c r="S1945" s="4" t="s">
        <v>2276</v>
      </c>
      <c r="T1945" s="4" t="s">
        <v>2276</v>
      </c>
      <c r="U1945" s="4" t="s">
        <v>2276</v>
      </c>
      <c r="V1945" s="4" t="s">
        <v>2276</v>
      </c>
      <c r="W1945" s="4" t="s">
        <v>2276</v>
      </c>
      <c r="X1945" s="4" t="s">
        <v>2276</v>
      </c>
      <c r="Y1945" s="4" t="s">
        <v>2276</v>
      </c>
      <c r="Z1945" s="4" t="s">
        <v>2276</v>
      </c>
      <c r="AA1945" s="4"/>
      <c r="AB1945" s="4"/>
    </row>
    <row r="1946" spans="1:28" ht="29" customHeight="1">
      <c r="A1946" s="156" t="str">
        <f>'Reported burning'!A1946</f>
        <v>222a</v>
      </c>
      <c r="B1946" s="156" t="str">
        <f>'Reported burning'!B1946</f>
        <v>222a.3</v>
      </c>
      <c r="C1946" s="156" t="str">
        <f>'Reported burning'!C1946</f>
        <v>Human, deliberate</v>
      </c>
      <c r="D1946" s="156" t="str">
        <f>'Reported burning'!D1946</f>
        <v>Pasture renewal</v>
      </c>
      <c r="E1946" s="156" t="str">
        <f>'Reported burning'!E1946</f>
        <v>Cattle, Extensive</v>
      </c>
      <c r="F1946" s="156" t="str">
        <f>'Reported burning'!F1946</f>
        <v>Pasture</v>
      </c>
      <c r="G1946" s="156" t="str">
        <f>'Reported burning'!G1946</f>
        <v>Pasture</v>
      </c>
      <c r="H1946" s="156" t="str">
        <f>'Reported burning'!H1946</f>
        <v>Presence</v>
      </c>
      <c r="I1946" s="5"/>
      <c r="J1946" s="4" t="s">
        <v>2276</v>
      </c>
      <c r="K1946" s="4" t="s">
        <v>2276</v>
      </c>
      <c r="L1946" s="4" t="s">
        <v>2276</v>
      </c>
      <c r="M1946" s="4" t="s">
        <v>2276</v>
      </c>
      <c r="N1946" s="4" t="s">
        <v>2276</v>
      </c>
      <c r="O1946" s="4" t="s">
        <v>2276</v>
      </c>
      <c r="P1946" s="4" t="s">
        <v>2276</v>
      </c>
      <c r="Q1946" s="4" t="s">
        <v>2276</v>
      </c>
      <c r="R1946" s="4" t="s">
        <v>2276</v>
      </c>
      <c r="S1946" s="4" t="s">
        <v>2276</v>
      </c>
      <c r="T1946" s="4" t="s">
        <v>2276</v>
      </c>
      <c r="U1946" s="4" t="s">
        <v>2276</v>
      </c>
      <c r="V1946" s="4" t="s">
        <v>2276</v>
      </c>
      <c r="W1946" s="4" t="s">
        <v>2276</v>
      </c>
      <c r="X1946" s="4" t="s">
        <v>2276</v>
      </c>
      <c r="Y1946" s="4" t="s">
        <v>2276</v>
      </c>
      <c r="Z1946" s="4" t="s">
        <v>2276</v>
      </c>
      <c r="AA1946" s="4"/>
      <c r="AB1946" s="4"/>
    </row>
    <row r="1947" spans="1:28" ht="29" customHeight="1">
      <c r="A1947" s="156" t="str">
        <f>'Reported burning'!A1947</f>
        <v>222b</v>
      </c>
      <c r="B1947" s="156" t="str">
        <f>'Reported burning'!B1947</f>
        <v>222b.3</v>
      </c>
      <c r="C1947" s="156" t="str">
        <f>'Reported burning'!C1947</f>
        <v>Human, deliberate</v>
      </c>
      <c r="D1947" s="156" t="str">
        <f>'Reported burning'!D1947</f>
        <v>Pasture renewal</v>
      </c>
      <c r="E1947" s="156" t="str">
        <f>'Reported burning'!E1947</f>
        <v>Cattle, Extensive</v>
      </c>
      <c r="F1947" s="156" t="str">
        <f>'Reported burning'!F1947</f>
        <v>Pasture</v>
      </c>
      <c r="G1947" s="156" t="str">
        <f>'Reported burning'!G1947</f>
        <v>Pasture</v>
      </c>
      <c r="H1947" s="156" t="str">
        <f>'Reported burning'!H1947</f>
        <v>Presence</v>
      </c>
      <c r="I1947" s="5"/>
      <c r="J1947" s="4" t="s">
        <v>2276</v>
      </c>
      <c r="K1947" s="4" t="s">
        <v>2276</v>
      </c>
      <c r="L1947" s="4" t="s">
        <v>2276</v>
      </c>
      <c r="M1947" s="4" t="s">
        <v>2276</v>
      </c>
      <c r="N1947" s="4" t="s">
        <v>2276</v>
      </c>
      <c r="O1947" s="4" t="s">
        <v>2276</v>
      </c>
      <c r="P1947" s="4" t="s">
        <v>2276</v>
      </c>
      <c r="Q1947" s="4" t="s">
        <v>2276</v>
      </c>
      <c r="R1947" s="4" t="s">
        <v>2276</v>
      </c>
      <c r="S1947" s="4" t="s">
        <v>2276</v>
      </c>
      <c r="T1947" s="4" t="s">
        <v>2276</v>
      </c>
      <c r="U1947" s="4" t="s">
        <v>2276</v>
      </c>
      <c r="V1947" s="4" t="s">
        <v>2276</v>
      </c>
      <c r="W1947" s="4" t="s">
        <v>2276</v>
      </c>
      <c r="X1947" s="4" t="s">
        <v>2276</v>
      </c>
      <c r="Y1947" s="4" t="s">
        <v>2276</v>
      </c>
      <c r="Z1947" s="4" t="s">
        <v>2276</v>
      </c>
      <c r="AA1947" s="4"/>
      <c r="AB1947" s="4"/>
    </row>
    <row r="1948" spans="1:28" ht="29" customHeight="1">
      <c r="A1948" s="156" t="str">
        <f>'Reported burning'!A1948</f>
        <v>222a</v>
      </c>
      <c r="B1948" s="156" t="str">
        <f>'Reported burning'!B1948</f>
        <v>222a.4</v>
      </c>
      <c r="C1948" s="156" t="str">
        <f>'Reported burning'!C1948</f>
        <v>Human, escaped</v>
      </c>
      <c r="D1948" s="156" t="str">
        <f>'Reported burning'!D1948</f>
        <v>Forest clearance</v>
      </c>
      <c r="E1948" s="156" t="str">
        <f>'Reported burning'!E1948</f>
        <v>Cattle, Extensive</v>
      </c>
      <c r="F1948" s="156" t="str">
        <f>'Reported burning'!F1948</f>
        <v>Pasture</v>
      </c>
      <c r="G1948" s="156" t="str">
        <f>'Reported burning'!G1948</f>
        <v>ND</v>
      </c>
      <c r="H1948" s="156" t="str">
        <f>'Reported burning'!H1948</f>
        <v>Presence</v>
      </c>
      <c r="I1948" s="5"/>
      <c r="J1948" s="4" t="s">
        <v>2276</v>
      </c>
      <c r="K1948" s="4" t="s">
        <v>2276</v>
      </c>
      <c r="L1948" s="4" t="s">
        <v>2276</v>
      </c>
      <c r="M1948" s="4" t="s">
        <v>2276</v>
      </c>
      <c r="N1948" s="4" t="s">
        <v>2276</v>
      </c>
      <c r="O1948" s="4" t="s">
        <v>2276</v>
      </c>
      <c r="P1948" s="4" t="s">
        <v>2276</v>
      </c>
      <c r="Q1948" s="4" t="s">
        <v>2276</v>
      </c>
      <c r="R1948" s="4" t="s">
        <v>2276</v>
      </c>
      <c r="S1948" s="4" t="s">
        <v>2276</v>
      </c>
      <c r="T1948" s="4" t="s">
        <v>2276</v>
      </c>
      <c r="U1948" s="4" t="s">
        <v>2276</v>
      </c>
      <c r="V1948" s="4" t="s">
        <v>2276</v>
      </c>
      <c r="W1948" s="4" t="s">
        <v>2276</v>
      </c>
      <c r="X1948" s="4" t="s">
        <v>2276</v>
      </c>
      <c r="Y1948" s="4" t="s">
        <v>2276</v>
      </c>
      <c r="Z1948" s="4" t="s">
        <v>2276</v>
      </c>
      <c r="AA1948" s="4"/>
      <c r="AB1948" s="4"/>
    </row>
    <row r="1949" spans="1:28" ht="29" customHeight="1">
      <c r="A1949" s="156" t="str">
        <f>'Reported burning'!A1949</f>
        <v>222b</v>
      </c>
      <c r="B1949" s="156" t="str">
        <f>'Reported burning'!B1949</f>
        <v>222b.4</v>
      </c>
      <c r="C1949" s="156" t="str">
        <f>'Reported burning'!C1949</f>
        <v>Human, escaped</v>
      </c>
      <c r="D1949" s="156" t="str">
        <f>'Reported burning'!D1949</f>
        <v>Forest clearance</v>
      </c>
      <c r="E1949" s="156" t="str">
        <f>'Reported burning'!E1949</f>
        <v>Cattle, Extensive</v>
      </c>
      <c r="F1949" s="156" t="str">
        <f>'Reported burning'!F1949</f>
        <v>Pasture</v>
      </c>
      <c r="G1949" s="156" t="str">
        <f>'Reported burning'!G1949</f>
        <v>ND</v>
      </c>
      <c r="H1949" s="156" t="str">
        <f>'Reported burning'!H1949</f>
        <v>Presence</v>
      </c>
      <c r="I1949" s="5"/>
      <c r="J1949" s="4" t="s">
        <v>2276</v>
      </c>
      <c r="K1949" s="4" t="s">
        <v>2276</v>
      </c>
      <c r="L1949" s="4" t="s">
        <v>2276</v>
      </c>
      <c r="M1949" s="4" t="s">
        <v>2276</v>
      </c>
      <c r="N1949" s="4" t="s">
        <v>2276</v>
      </c>
      <c r="O1949" s="4" t="s">
        <v>2276</v>
      </c>
      <c r="P1949" s="4" t="s">
        <v>2276</v>
      </c>
      <c r="Q1949" s="4" t="s">
        <v>2276</v>
      </c>
      <c r="R1949" s="4" t="s">
        <v>2276</v>
      </c>
      <c r="S1949" s="4" t="s">
        <v>2276</v>
      </c>
      <c r="T1949" s="4" t="s">
        <v>2276</v>
      </c>
      <c r="U1949" s="4" t="s">
        <v>2276</v>
      </c>
      <c r="V1949" s="4" t="s">
        <v>2276</v>
      </c>
      <c r="W1949" s="4" t="s">
        <v>2276</v>
      </c>
      <c r="X1949" s="4" t="s">
        <v>2276</v>
      </c>
      <c r="Y1949" s="4" t="s">
        <v>2276</v>
      </c>
      <c r="Z1949" s="4" t="s">
        <v>2276</v>
      </c>
      <c r="AA1949" s="4"/>
      <c r="AB1949" s="4"/>
    </row>
    <row r="1950" spans="1:28" ht="111" customHeight="1">
      <c r="A1950" s="156" t="str">
        <f>'Reported burning'!A1950</f>
        <v>222a</v>
      </c>
      <c r="B1950" s="156" t="str">
        <f>'Reported burning'!B1950</f>
        <v>222a.5</v>
      </c>
      <c r="C1950" s="156" t="str">
        <f>'Reported burning'!C1950</f>
        <v>Human, escaped</v>
      </c>
      <c r="D1950" s="156" t="str">
        <f>'Reported burning'!D1950</f>
        <v>ND</v>
      </c>
      <c r="E1950" s="156" t="str">
        <f>'Reported burning'!E1950</f>
        <v>Cattle, Extensive</v>
      </c>
      <c r="F1950" s="156" t="str">
        <f>'Reported burning'!F1950</f>
        <v>Pasture</v>
      </c>
      <c r="G1950" s="156" t="str">
        <f>'Reported burning'!G1950</f>
        <v>ND</v>
      </c>
      <c r="H1950" s="156" t="str">
        <f>'Reported burning'!H1950</f>
        <v>Presence</v>
      </c>
      <c r="I1950" s="5"/>
      <c r="J1950" s="4" t="s">
        <v>2276</v>
      </c>
      <c r="K1950" s="4" t="s">
        <v>2276</v>
      </c>
      <c r="L1950" s="4" t="s">
        <v>2276</v>
      </c>
      <c r="M1950" s="4" t="s">
        <v>2276</v>
      </c>
      <c r="N1950" s="4" t="s">
        <v>2276</v>
      </c>
      <c r="O1950" s="4" t="s">
        <v>2276</v>
      </c>
      <c r="P1950" s="4" t="s">
        <v>2276</v>
      </c>
      <c r="Q1950" s="4" t="s">
        <v>2276</v>
      </c>
      <c r="R1950" s="4" t="s">
        <v>2276</v>
      </c>
      <c r="S1950" s="4" t="s">
        <v>2276</v>
      </c>
      <c r="T1950" s="4" t="s">
        <v>2276</v>
      </c>
      <c r="U1950" s="4" t="s">
        <v>2276</v>
      </c>
      <c r="V1950" s="4" t="s">
        <v>2276</v>
      </c>
      <c r="W1950" s="21" t="s">
        <v>2401</v>
      </c>
      <c r="X1950" s="4" t="s">
        <v>2276</v>
      </c>
      <c r="Y1950" s="4" t="s">
        <v>2276</v>
      </c>
      <c r="Z1950" s="4" t="s">
        <v>2276</v>
      </c>
      <c r="AA1950" s="4" t="s">
        <v>5614</v>
      </c>
      <c r="AB1950" s="4" t="s">
        <v>5613</v>
      </c>
    </row>
    <row r="1951" spans="1:28" ht="111" customHeight="1">
      <c r="A1951" s="156" t="str">
        <f>'Reported burning'!A1951</f>
        <v>222b</v>
      </c>
      <c r="B1951" s="156" t="str">
        <f>'Reported burning'!B1951</f>
        <v>222b.5</v>
      </c>
      <c r="C1951" s="156" t="str">
        <f>'Reported burning'!C1951</f>
        <v>Human, escaped</v>
      </c>
      <c r="D1951" s="156" t="str">
        <f>'Reported burning'!D1951</f>
        <v>ND</v>
      </c>
      <c r="E1951" s="156" t="str">
        <f>'Reported burning'!E1951</f>
        <v>Cattle, Extensive</v>
      </c>
      <c r="F1951" s="156" t="str">
        <f>'Reported burning'!F1951</f>
        <v>Pasture</v>
      </c>
      <c r="G1951" s="156" t="str">
        <f>'Reported burning'!G1951</f>
        <v>ND</v>
      </c>
      <c r="H1951" s="156" t="str">
        <f>'Reported burning'!H1951</f>
        <v>Presence</v>
      </c>
      <c r="I1951" s="5"/>
      <c r="J1951" s="4" t="s">
        <v>2276</v>
      </c>
      <c r="K1951" s="4" t="s">
        <v>2276</v>
      </c>
      <c r="L1951" s="4" t="s">
        <v>2276</v>
      </c>
      <c r="M1951" s="4" t="s">
        <v>2276</v>
      </c>
      <c r="N1951" s="4" t="s">
        <v>2276</v>
      </c>
      <c r="O1951" s="4" t="s">
        <v>2276</v>
      </c>
      <c r="P1951" s="4" t="s">
        <v>2276</v>
      </c>
      <c r="Q1951" s="4" t="s">
        <v>2276</v>
      </c>
      <c r="R1951" s="4" t="s">
        <v>2276</v>
      </c>
      <c r="S1951" s="4" t="s">
        <v>2276</v>
      </c>
      <c r="T1951" s="4" t="s">
        <v>2276</v>
      </c>
      <c r="U1951" s="4" t="s">
        <v>2276</v>
      </c>
      <c r="V1951" s="4" t="s">
        <v>2276</v>
      </c>
      <c r="W1951" s="21" t="s">
        <v>2401</v>
      </c>
      <c r="X1951" s="4" t="s">
        <v>2276</v>
      </c>
      <c r="Y1951" s="4" t="s">
        <v>2276</v>
      </c>
      <c r="Z1951" s="4" t="s">
        <v>2276</v>
      </c>
      <c r="AA1951" s="4" t="s">
        <v>5614</v>
      </c>
      <c r="AB1951" s="4" t="s">
        <v>5613</v>
      </c>
    </row>
    <row r="1952" spans="1:28" ht="29" customHeight="1">
      <c r="A1952" s="156" t="str">
        <f>'Reported burning'!A1952</f>
        <v>222b</v>
      </c>
      <c r="B1952" s="156" t="str">
        <f>'Reported burning'!B1952</f>
        <v>222b.6</v>
      </c>
      <c r="C1952" s="156" t="str">
        <f>'Reported burning'!C1952</f>
        <v>Human, accidental</v>
      </c>
      <c r="D1952" s="156" t="str">
        <f>'Reported burning'!D1952</f>
        <v>Accidental</v>
      </c>
      <c r="E1952" s="156" t="str">
        <f>'Reported burning'!E1952</f>
        <v>ND</v>
      </c>
      <c r="F1952" s="156" t="str">
        <f>'Reported burning'!F1952</f>
        <v>ND</v>
      </c>
      <c r="G1952" s="156" t="str">
        <f>'Reported burning'!G1952</f>
        <v>ND</v>
      </c>
      <c r="H1952" s="156" t="str">
        <f>'Reported burning'!H1952</f>
        <v>Presence</v>
      </c>
      <c r="I1952" s="5"/>
      <c r="J1952" s="4" t="s">
        <v>2276</v>
      </c>
      <c r="K1952" s="4" t="s">
        <v>2276</v>
      </c>
      <c r="L1952" s="4" t="s">
        <v>2276</v>
      </c>
      <c r="M1952" s="4" t="s">
        <v>2276</v>
      </c>
      <c r="N1952" s="4" t="s">
        <v>2276</v>
      </c>
      <c r="O1952" s="4" t="s">
        <v>2276</v>
      </c>
      <c r="P1952" s="4" t="s">
        <v>2276</v>
      </c>
      <c r="Q1952" s="4" t="s">
        <v>2276</v>
      </c>
      <c r="R1952" s="4" t="s">
        <v>2276</v>
      </c>
      <c r="S1952" s="4" t="s">
        <v>2276</v>
      </c>
      <c r="T1952" s="4" t="s">
        <v>2276</v>
      </c>
      <c r="U1952" s="4" t="s">
        <v>2276</v>
      </c>
      <c r="V1952" s="4" t="s">
        <v>2276</v>
      </c>
      <c r="W1952" s="4" t="s">
        <v>2276</v>
      </c>
      <c r="X1952" s="4" t="s">
        <v>2276</v>
      </c>
      <c r="Y1952" s="4" t="s">
        <v>2276</v>
      </c>
      <c r="Z1952" s="4" t="s">
        <v>2276</v>
      </c>
      <c r="AA1952" s="3"/>
      <c r="AB1952" s="3"/>
    </row>
    <row r="1953" spans="1:28" ht="29" customHeight="1">
      <c r="A1953" s="156" t="str">
        <f>'Reported burning'!A1953</f>
        <v>222b</v>
      </c>
      <c r="B1953" s="156" t="str">
        <f>'Reported burning'!B1953</f>
        <v>222b.7</v>
      </c>
      <c r="C1953" s="156" t="str">
        <f>'Reported burning'!C1953</f>
        <v>Human, deliberate</v>
      </c>
      <c r="D1953" s="156" t="str">
        <f>'Reported burning'!D1953</f>
        <v>Arson</v>
      </c>
      <c r="E1953" s="156" t="str">
        <f>'Reported burning'!E1953</f>
        <v>ND</v>
      </c>
      <c r="F1953" s="156" t="str">
        <f>'Reported burning'!F1953</f>
        <v>ND</v>
      </c>
      <c r="G1953" s="156" t="str">
        <f>'Reported burning'!G1953</f>
        <v>ND</v>
      </c>
      <c r="H1953" s="156" t="str">
        <f>'Reported burning'!H1953</f>
        <v>Presence</v>
      </c>
      <c r="I1953" s="5"/>
      <c r="J1953" s="4" t="s">
        <v>2276</v>
      </c>
      <c r="K1953" s="4" t="s">
        <v>2276</v>
      </c>
      <c r="L1953" s="4" t="s">
        <v>2276</v>
      </c>
      <c r="M1953" s="4" t="s">
        <v>2276</v>
      </c>
      <c r="N1953" s="4" t="s">
        <v>2276</v>
      </c>
      <c r="O1953" s="4" t="s">
        <v>2276</v>
      </c>
      <c r="P1953" s="4" t="s">
        <v>2276</v>
      </c>
      <c r="Q1953" s="4" t="s">
        <v>2276</v>
      </c>
      <c r="R1953" s="4" t="s">
        <v>2276</v>
      </c>
      <c r="S1953" s="4" t="s">
        <v>2276</v>
      </c>
      <c r="T1953" s="4" t="s">
        <v>2276</v>
      </c>
      <c r="U1953" s="4" t="s">
        <v>2276</v>
      </c>
      <c r="V1953" s="4" t="s">
        <v>2276</v>
      </c>
      <c r="W1953" s="4" t="s">
        <v>2276</v>
      </c>
      <c r="X1953" s="4" t="s">
        <v>2276</v>
      </c>
      <c r="Y1953" s="4" t="s">
        <v>2276</v>
      </c>
      <c r="Z1953" s="4" t="s">
        <v>2276</v>
      </c>
      <c r="AA1953" s="3"/>
      <c r="AB1953" s="3"/>
    </row>
    <row r="1954" spans="1:28" ht="29" customHeight="1">
      <c r="A1954" s="156" t="str">
        <f>'Reported burning'!A1954</f>
        <v>222b</v>
      </c>
      <c r="B1954" s="156" t="str">
        <f>'Reported burning'!B1954</f>
        <v>222b.8</v>
      </c>
      <c r="C1954" s="156" t="str">
        <f>'Reported burning'!C1954</f>
        <v>Human, deliberate</v>
      </c>
      <c r="D1954" s="156" t="str">
        <f>'Reported burning'!D1954</f>
        <v>Domestic</v>
      </c>
      <c r="E1954" s="156" t="str">
        <f>'Reported burning'!E1954</f>
        <v>ND</v>
      </c>
      <c r="F1954" s="156" t="str">
        <f>'Reported burning'!F1954</f>
        <v>ND</v>
      </c>
      <c r="G1954" s="156" t="str">
        <f>'Reported burning'!G1954</f>
        <v>ND</v>
      </c>
      <c r="H1954" s="156" t="str">
        <f>'Reported burning'!H1954</f>
        <v>Presence</v>
      </c>
      <c r="I1954" s="5"/>
      <c r="J1954" s="4" t="s">
        <v>2276</v>
      </c>
      <c r="K1954" s="4" t="s">
        <v>2276</v>
      </c>
      <c r="L1954" s="4" t="s">
        <v>2276</v>
      </c>
      <c r="M1954" s="4" t="s">
        <v>2276</v>
      </c>
      <c r="N1954" s="4" t="s">
        <v>2276</v>
      </c>
      <c r="O1954" s="4" t="s">
        <v>2276</v>
      </c>
      <c r="P1954" s="4" t="s">
        <v>2276</v>
      </c>
      <c r="Q1954" s="4" t="s">
        <v>2276</v>
      </c>
      <c r="R1954" s="4" t="s">
        <v>2276</v>
      </c>
      <c r="S1954" s="4" t="s">
        <v>2276</v>
      </c>
      <c r="T1954" s="4" t="s">
        <v>2276</v>
      </c>
      <c r="U1954" s="4" t="s">
        <v>2276</v>
      </c>
      <c r="V1954" s="4" t="s">
        <v>2276</v>
      </c>
      <c r="W1954" s="4" t="s">
        <v>2276</v>
      </c>
      <c r="X1954" s="4" t="s">
        <v>2276</v>
      </c>
      <c r="Y1954" s="4" t="s">
        <v>2276</v>
      </c>
      <c r="Z1954" s="4" t="s">
        <v>2276</v>
      </c>
      <c r="AA1954" s="3"/>
      <c r="AB1954" s="3"/>
    </row>
    <row r="1955" spans="1:28" ht="32.5" customHeight="1">
      <c r="A1955" s="156" t="str">
        <f>'Reported burning'!A1955</f>
        <v>223a</v>
      </c>
      <c r="B1955" s="156" t="str">
        <f>'Reported burning'!B1955</f>
        <v>223a.1</v>
      </c>
      <c r="C1955" s="156" t="str">
        <f>'Reported burning'!C1955</f>
        <v>Human, deliberate</v>
      </c>
      <c r="D1955" s="156" t="str">
        <f>'Reported burning'!D1955</f>
        <v>Crop field preparation</v>
      </c>
      <c r="E1955" s="156" t="str">
        <f>'Reported burning'!E1955</f>
        <v>Cropping, Swidden</v>
      </c>
      <c r="F1955" s="156" t="str">
        <f>'Reported burning'!F1955</f>
        <v>Secondary vegetation</v>
      </c>
      <c r="G1955" s="156" t="str">
        <f>'Reported burning'!G1955</f>
        <v>ND</v>
      </c>
      <c r="H1955" s="156" t="str">
        <f>'Reported burning'!H1955</f>
        <v>Presence</v>
      </c>
      <c r="I1955" s="5"/>
      <c r="J1955" s="4" t="s">
        <v>2276</v>
      </c>
      <c r="K1955" s="4" t="s">
        <v>2276</v>
      </c>
      <c r="L1955" s="4" t="s">
        <v>2276</v>
      </c>
      <c r="M1955" s="4" t="s">
        <v>2276</v>
      </c>
      <c r="N1955" s="4" t="s">
        <v>2276</v>
      </c>
      <c r="O1955" s="4" t="s">
        <v>2276</v>
      </c>
      <c r="P1955" s="4" t="s">
        <v>2276</v>
      </c>
      <c r="Q1955" s="4" t="s">
        <v>2276</v>
      </c>
      <c r="R1955" s="4" t="s">
        <v>2276</v>
      </c>
      <c r="S1955" s="4" t="s">
        <v>2276</v>
      </c>
      <c r="T1955" s="4" t="s">
        <v>2276</v>
      </c>
      <c r="U1955" s="4" t="s">
        <v>2276</v>
      </c>
      <c r="V1955" s="4" t="s">
        <v>2276</v>
      </c>
      <c r="W1955" s="4" t="s">
        <v>2276</v>
      </c>
      <c r="X1955" s="4" t="s">
        <v>2276</v>
      </c>
      <c r="Y1955" s="4" t="s">
        <v>2276</v>
      </c>
      <c r="Z1955" s="4" t="s">
        <v>2276</v>
      </c>
      <c r="AA1955" s="3"/>
      <c r="AB1955" s="3"/>
    </row>
    <row r="1956" spans="1:28" ht="32.5" customHeight="1">
      <c r="A1956" s="156" t="str">
        <f>'Reported burning'!A1956</f>
        <v>223b</v>
      </c>
      <c r="B1956" s="156" t="str">
        <f>'Reported burning'!B1956</f>
        <v>223b.1</v>
      </c>
      <c r="C1956" s="156" t="str">
        <f>'Reported burning'!C1956</f>
        <v>Human, deliberate</v>
      </c>
      <c r="D1956" s="156" t="str">
        <f>'Reported burning'!D1956</f>
        <v>Crop field preparation</v>
      </c>
      <c r="E1956" s="156" t="str">
        <f>'Reported burning'!E1956</f>
        <v>Cropping, Swidden</v>
      </c>
      <c r="F1956" s="156" t="str">
        <f>'Reported burning'!F1956</f>
        <v>Secondary vegetation</v>
      </c>
      <c r="G1956" s="156" t="str">
        <f>'Reported burning'!G1956</f>
        <v>ND</v>
      </c>
      <c r="H1956" s="156" t="str">
        <f>'Reported burning'!H1956</f>
        <v>Presence</v>
      </c>
      <c r="I1956" s="5"/>
      <c r="J1956" s="4" t="s">
        <v>2276</v>
      </c>
      <c r="K1956" s="4" t="s">
        <v>2276</v>
      </c>
      <c r="L1956" s="4" t="s">
        <v>2276</v>
      </c>
      <c r="M1956" s="4" t="s">
        <v>2276</v>
      </c>
      <c r="N1956" s="4" t="s">
        <v>2276</v>
      </c>
      <c r="O1956" s="4" t="s">
        <v>2276</v>
      </c>
      <c r="P1956" s="4" t="s">
        <v>2276</v>
      </c>
      <c r="Q1956" s="4" t="s">
        <v>2276</v>
      </c>
      <c r="R1956" s="4" t="s">
        <v>2276</v>
      </c>
      <c r="S1956" s="4" t="s">
        <v>2276</v>
      </c>
      <c r="T1956" s="4" t="s">
        <v>2276</v>
      </c>
      <c r="U1956" s="4" t="s">
        <v>2276</v>
      </c>
      <c r="V1956" s="4" t="s">
        <v>2276</v>
      </c>
      <c r="W1956" s="4" t="s">
        <v>2276</v>
      </c>
      <c r="X1956" s="4" t="s">
        <v>2276</v>
      </c>
      <c r="Y1956" s="4" t="s">
        <v>2276</v>
      </c>
      <c r="Z1956" s="4" t="s">
        <v>2276</v>
      </c>
      <c r="AA1956" s="3"/>
      <c r="AB1956" s="3"/>
    </row>
    <row r="1957" spans="1:28" ht="32.5" customHeight="1">
      <c r="A1957" s="156" t="str">
        <f>'Reported burning'!A1957</f>
        <v>223c</v>
      </c>
      <c r="B1957" s="156" t="str">
        <f>'Reported burning'!B1957</f>
        <v>223c.1</v>
      </c>
      <c r="C1957" s="156" t="str">
        <f>'Reported burning'!C1957</f>
        <v>Human, deliberate</v>
      </c>
      <c r="D1957" s="156" t="str">
        <f>'Reported burning'!D1957</f>
        <v>Crop field preparation</v>
      </c>
      <c r="E1957" s="156" t="str">
        <f>'Reported burning'!E1957</f>
        <v>Cropping, Swidden</v>
      </c>
      <c r="F1957" s="156" t="str">
        <f>'Reported burning'!F1957</f>
        <v>Secondary vegetation</v>
      </c>
      <c r="G1957" s="156" t="str">
        <f>'Reported burning'!G1957</f>
        <v>ND</v>
      </c>
      <c r="H1957" s="156" t="str">
        <f>'Reported burning'!H1957</f>
        <v>Presence</v>
      </c>
      <c r="I1957" s="5"/>
      <c r="J1957" s="4" t="s">
        <v>2276</v>
      </c>
      <c r="K1957" s="4" t="s">
        <v>2276</v>
      </c>
      <c r="L1957" s="4" t="s">
        <v>2276</v>
      </c>
      <c r="M1957" s="4" t="s">
        <v>2276</v>
      </c>
      <c r="N1957" s="4" t="s">
        <v>2276</v>
      </c>
      <c r="O1957" s="4" t="s">
        <v>2276</v>
      </c>
      <c r="P1957" s="4" t="s">
        <v>2276</v>
      </c>
      <c r="Q1957" s="4" t="s">
        <v>2276</v>
      </c>
      <c r="R1957" s="4" t="s">
        <v>2276</v>
      </c>
      <c r="S1957" s="4" t="s">
        <v>2276</v>
      </c>
      <c r="T1957" s="4" t="s">
        <v>2276</v>
      </c>
      <c r="U1957" s="4" t="s">
        <v>2276</v>
      </c>
      <c r="V1957" s="4" t="s">
        <v>2276</v>
      </c>
      <c r="W1957" s="4" t="s">
        <v>2276</v>
      </c>
      <c r="X1957" s="4" t="s">
        <v>2276</v>
      </c>
      <c r="Y1957" s="4" t="s">
        <v>2276</v>
      </c>
      <c r="Z1957" s="4" t="s">
        <v>2276</v>
      </c>
      <c r="AA1957" s="3"/>
      <c r="AB1957" s="3"/>
    </row>
    <row r="1958" spans="1:28" ht="32.5" customHeight="1">
      <c r="A1958" s="156" t="str">
        <f>'Reported burning'!A1958</f>
        <v>223d</v>
      </c>
      <c r="B1958" s="156" t="str">
        <f>'Reported burning'!B1958</f>
        <v>223d.1</v>
      </c>
      <c r="C1958" s="156" t="str">
        <f>'Reported burning'!C1958</f>
        <v>Human, deliberate</v>
      </c>
      <c r="D1958" s="156" t="str">
        <f>'Reported burning'!D1958</f>
        <v>Crop field preparation</v>
      </c>
      <c r="E1958" s="156" t="str">
        <f>'Reported burning'!E1958</f>
        <v>Cropping, Swidden</v>
      </c>
      <c r="F1958" s="156" t="str">
        <f>'Reported burning'!F1958</f>
        <v>Secondary vegetation</v>
      </c>
      <c r="G1958" s="156" t="str">
        <f>'Reported burning'!G1958</f>
        <v>ND</v>
      </c>
      <c r="H1958" s="156" t="str">
        <f>'Reported burning'!H1958</f>
        <v>Presence</v>
      </c>
      <c r="I1958" s="5"/>
      <c r="J1958" s="4" t="s">
        <v>2276</v>
      </c>
      <c r="K1958" s="4" t="s">
        <v>2276</v>
      </c>
      <c r="L1958" s="4" t="s">
        <v>2276</v>
      </c>
      <c r="M1958" s="4" t="s">
        <v>2276</v>
      </c>
      <c r="N1958" s="4" t="s">
        <v>2276</v>
      </c>
      <c r="O1958" s="4" t="s">
        <v>2276</v>
      </c>
      <c r="P1958" s="4" t="s">
        <v>2276</v>
      </c>
      <c r="Q1958" s="4" t="s">
        <v>2276</v>
      </c>
      <c r="R1958" s="4" t="s">
        <v>2276</v>
      </c>
      <c r="S1958" s="4" t="s">
        <v>2276</v>
      </c>
      <c r="T1958" s="4" t="s">
        <v>2276</v>
      </c>
      <c r="U1958" s="4" t="s">
        <v>2276</v>
      </c>
      <c r="V1958" s="4" t="s">
        <v>2276</v>
      </c>
      <c r="W1958" s="4" t="s">
        <v>2276</v>
      </c>
      <c r="X1958" s="4" t="s">
        <v>2276</v>
      </c>
      <c r="Y1958" s="4" t="s">
        <v>2276</v>
      </c>
      <c r="Z1958" s="4" t="s">
        <v>2276</v>
      </c>
      <c r="AA1958" s="3"/>
      <c r="AB1958" s="3"/>
    </row>
    <row r="1959" spans="1:28" ht="32.5" customHeight="1">
      <c r="A1959" s="156" t="str">
        <f>'Reported burning'!A1959</f>
        <v>223a</v>
      </c>
      <c r="B1959" s="156" t="str">
        <f>'Reported burning'!B1959</f>
        <v>223a.2</v>
      </c>
      <c r="C1959" s="156" t="str">
        <f>'Reported burning'!C1959</f>
        <v>Human, deliberate</v>
      </c>
      <c r="D1959" s="156" t="str">
        <f>'Reported burning'!D1959</f>
        <v>Pasture renewal</v>
      </c>
      <c r="E1959" s="156" t="str">
        <f>'Reported burning'!E1959</f>
        <v>Cattle, Extensive</v>
      </c>
      <c r="F1959" s="156" t="str">
        <f>'Reported burning'!F1959</f>
        <v>Pasture</v>
      </c>
      <c r="G1959" s="156" t="str">
        <f>'Reported burning'!G1959</f>
        <v>ND</v>
      </c>
      <c r="H1959" s="156" t="str">
        <f>'Reported burning'!H1959</f>
        <v>Presence</v>
      </c>
      <c r="I1959" s="5"/>
      <c r="J1959" s="4" t="s">
        <v>2276</v>
      </c>
      <c r="K1959" s="4" t="s">
        <v>2276</v>
      </c>
      <c r="L1959" s="4" t="s">
        <v>2276</v>
      </c>
      <c r="M1959" s="4" t="s">
        <v>2276</v>
      </c>
      <c r="N1959" s="4" t="s">
        <v>2276</v>
      </c>
      <c r="O1959" s="4" t="s">
        <v>2276</v>
      </c>
      <c r="P1959" s="4" t="s">
        <v>2276</v>
      </c>
      <c r="Q1959" s="4" t="s">
        <v>2276</v>
      </c>
      <c r="R1959" s="4" t="s">
        <v>2276</v>
      </c>
      <c r="S1959" s="4" t="s">
        <v>2276</v>
      </c>
      <c r="T1959" s="4" t="s">
        <v>2276</v>
      </c>
      <c r="U1959" s="4" t="s">
        <v>2276</v>
      </c>
      <c r="V1959" s="4" t="s">
        <v>2276</v>
      </c>
      <c r="W1959" s="4" t="s">
        <v>2276</v>
      </c>
      <c r="X1959" s="4" t="s">
        <v>2276</v>
      </c>
      <c r="Y1959" s="4" t="s">
        <v>2276</v>
      </c>
      <c r="Z1959" s="4" t="s">
        <v>2276</v>
      </c>
      <c r="AA1959" s="3"/>
      <c r="AB1959" s="3"/>
    </row>
    <row r="1960" spans="1:28" ht="32.5" customHeight="1">
      <c r="A1960" s="156" t="str">
        <f>'Reported burning'!A1960</f>
        <v>223b</v>
      </c>
      <c r="B1960" s="156" t="str">
        <f>'Reported burning'!B1960</f>
        <v>223b.2</v>
      </c>
      <c r="C1960" s="156" t="str">
        <f>'Reported burning'!C1960</f>
        <v>Human, deliberate</v>
      </c>
      <c r="D1960" s="156" t="str">
        <f>'Reported burning'!D1960</f>
        <v>Pasture renewal</v>
      </c>
      <c r="E1960" s="156" t="str">
        <f>'Reported burning'!E1960</f>
        <v>Cattle, Extensive</v>
      </c>
      <c r="F1960" s="156" t="str">
        <f>'Reported burning'!F1960</f>
        <v>Pasture</v>
      </c>
      <c r="G1960" s="156" t="str">
        <f>'Reported burning'!G1960</f>
        <v>ND</v>
      </c>
      <c r="H1960" s="156" t="str">
        <f>'Reported burning'!H1960</f>
        <v>Presence</v>
      </c>
      <c r="I1960" s="5"/>
      <c r="J1960" s="4" t="s">
        <v>2276</v>
      </c>
      <c r="K1960" s="4" t="s">
        <v>2276</v>
      </c>
      <c r="L1960" s="4" t="s">
        <v>2276</v>
      </c>
      <c r="M1960" s="4" t="s">
        <v>2276</v>
      </c>
      <c r="N1960" s="4" t="s">
        <v>2276</v>
      </c>
      <c r="O1960" s="4" t="s">
        <v>2276</v>
      </c>
      <c r="P1960" s="4" t="s">
        <v>2276</v>
      </c>
      <c r="Q1960" s="4" t="s">
        <v>2276</v>
      </c>
      <c r="R1960" s="4" t="s">
        <v>2276</v>
      </c>
      <c r="S1960" s="4" t="s">
        <v>2276</v>
      </c>
      <c r="T1960" s="4" t="s">
        <v>2276</v>
      </c>
      <c r="U1960" s="4" t="s">
        <v>2276</v>
      </c>
      <c r="V1960" s="4" t="s">
        <v>2276</v>
      </c>
      <c r="W1960" s="4" t="s">
        <v>2276</v>
      </c>
      <c r="X1960" s="4" t="s">
        <v>2276</v>
      </c>
      <c r="Y1960" s="4" t="s">
        <v>2276</v>
      </c>
      <c r="Z1960" s="4" t="s">
        <v>2276</v>
      </c>
      <c r="AA1960" s="3"/>
      <c r="AB1960" s="3"/>
    </row>
    <row r="1961" spans="1:28" ht="32.5" customHeight="1">
      <c r="A1961" s="156" t="str">
        <f>'Reported burning'!A1961</f>
        <v>223c</v>
      </c>
      <c r="B1961" s="156" t="str">
        <f>'Reported burning'!B1961</f>
        <v>223c.2</v>
      </c>
      <c r="C1961" s="156" t="str">
        <f>'Reported burning'!C1961</f>
        <v>Human, deliberate</v>
      </c>
      <c r="D1961" s="156" t="str">
        <f>'Reported burning'!D1961</f>
        <v>Pasture renewal</v>
      </c>
      <c r="E1961" s="156" t="str">
        <f>'Reported burning'!E1961</f>
        <v>Cattle, Extensive</v>
      </c>
      <c r="F1961" s="156" t="str">
        <f>'Reported burning'!F1961</f>
        <v>Pasture</v>
      </c>
      <c r="G1961" s="156" t="str">
        <f>'Reported burning'!G1961</f>
        <v>ND</v>
      </c>
      <c r="H1961" s="156" t="str">
        <f>'Reported burning'!H1961</f>
        <v>Presence</v>
      </c>
      <c r="I1961" s="5"/>
      <c r="J1961" s="4" t="s">
        <v>2276</v>
      </c>
      <c r="K1961" s="4" t="s">
        <v>2276</v>
      </c>
      <c r="L1961" s="4" t="s">
        <v>2276</v>
      </c>
      <c r="M1961" s="4" t="s">
        <v>2276</v>
      </c>
      <c r="N1961" s="4" t="s">
        <v>2276</v>
      </c>
      <c r="O1961" s="4" t="s">
        <v>2276</v>
      </c>
      <c r="P1961" s="4" t="s">
        <v>2276</v>
      </c>
      <c r="Q1961" s="4" t="s">
        <v>2276</v>
      </c>
      <c r="R1961" s="4" t="s">
        <v>2276</v>
      </c>
      <c r="S1961" s="4" t="s">
        <v>2276</v>
      </c>
      <c r="T1961" s="4" t="s">
        <v>2276</v>
      </c>
      <c r="U1961" s="4" t="s">
        <v>2276</v>
      </c>
      <c r="V1961" s="4" t="s">
        <v>2276</v>
      </c>
      <c r="W1961" s="4" t="s">
        <v>2276</v>
      </c>
      <c r="X1961" s="4" t="s">
        <v>2276</v>
      </c>
      <c r="Y1961" s="4" t="s">
        <v>2276</v>
      </c>
      <c r="Z1961" s="4" t="s">
        <v>2276</v>
      </c>
      <c r="AA1961" s="3"/>
      <c r="AB1961" s="3"/>
    </row>
    <row r="1962" spans="1:28" ht="85.5" customHeight="1">
      <c r="A1962" s="156" t="str">
        <f>'Reported burning'!A1962</f>
        <v>223d</v>
      </c>
      <c r="B1962" s="156" t="str">
        <f>'Reported burning'!B1962</f>
        <v>223d.2</v>
      </c>
      <c r="C1962" s="156" t="str">
        <f>'Reported burning'!C1962</f>
        <v>Human, deliberate</v>
      </c>
      <c r="D1962" s="156" t="str">
        <f>'Reported burning'!D1962</f>
        <v>Pasture renewal</v>
      </c>
      <c r="E1962" s="156" t="str">
        <f>'Reported burning'!E1962</f>
        <v>Cattle, Extensive</v>
      </c>
      <c r="F1962" s="156" t="str">
        <f>'Reported burning'!F1962</f>
        <v>Pasture</v>
      </c>
      <c r="G1962" s="156" t="str">
        <f>'Reported burning'!G1962</f>
        <v>ND</v>
      </c>
      <c r="H1962" s="156" t="str">
        <f>'Reported burning'!H1962</f>
        <v>Presence</v>
      </c>
      <c r="I1962" s="5"/>
      <c r="J1962" s="4" t="s">
        <v>2276</v>
      </c>
      <c r="K1962" s="4" t="s">
        <v>2276</v>
      </c>
      <c r="L1962" s="4" t="s">
        <v>2276</v>
      </c>
      <c r="M1962" s="4" t="s">
        <v>2276</v>
      </c>
      <c r="N1962" s="4" t="s">
        <v>2276</v>
      </c>
      <c r="O1962" s="4" t="s">
        <v>2276</v>
      </c>
      <c r="P1962" s="4" t="s">
        <v>2276</v>
      </c>
      <c r="Q1962" s="4" t="s">
        <v>2276</v>
      </c>
      <c r="R1962" s="4" t="s">
        <v>2276</v>
      </c>
      <c r="S1962" s="4" t="s">
        <v>2276</v>
      </c>
      <c r="T1962" s="4" t="s">
        <v>2276</v>
      </c>
      <c r="U1962" s="4" t="s">
        <v>2276</v>
      </c>
      <c r="V1962" s="4" t="s">
        <v>2276</v>
      </c>
      <c r="W1962" s="4" t="s">
        <v>2276</v>
      </c>
      <c r="X1962" s="4" t="s">
        <v>2276</v>
      </c>
      <c r="Y1962" s="4" t="s">
        <v>2276</v>
      </c>
      <c r="Z1962" s="4" t="s">
        <v>2276</v>
      </c>
      <c r="AA1962" s="4"/>
      <c r="AB1962" s="4"/>
    </row>
    <row r="1963" spans="1:28" ht="85.5" customHeight="1">
      <c r="A1963" s="156" t="str">
        <f>'Reported burning'!A1963</f>
        <v>223a</v>
      </c>
      <c r="B1963" s="156" t="str">
        <f>'Reported burning'!B1963</f>
        <v>223a.3</v>
      </c>
      <c r="C1963" s="156" t="str">
        <f>'Reported burning'!C1963</f>
        <v>Human, escaped</v>
      </c>
      <c r="D1963" s="156" t="str">
        <f>'Reported burning'!D1963</f>
        <v>ND</v>
      </c>
      <c r="E1963" s="156" t="str">
        <f>'Reported burning'!E1963</f>
        <v>ND</v>
      </c>
      <c r="F1963" s="156" t="str">
        <f>'Reported burning'!F1963</f>
        <v>ND</v>
      </c>
      <c r="G1963" s="156" t="str">
        <f>'Reported burning'!G1963</f>
        <v>ND</v>
      </c>
      <c r="H1963" s="156" t="str">
        <f>'Reported burning'!H1963</f>
        <v>Presence</v>
      </c>
      <c r="I1963" s="5"/>
      <c r="J1963" s="4" t="s">
        <v>2276</v>
      </c>
      <c r="K1963" s="4" t="s">
        <v>2276</v>
      </c>
      <c r="L1963" s="4" t="s">
        <v>2276</v>
      </c>
      <c r="M1963" s="4" t="s">
        <v>2276</v>
      </c>
      <c r="N1963" s="4" t="s">
        <v>2276</v>
      </c>
      <c r="O1963" s="4" t="s">
        <v>2276</v>
      </c>
      <c r="P1963" s="4" t="s">
        <v>2276</v>
      </c>
      <c r="Q1963" s="4" t="s">
        <v>2276</v>
      </c>
      <c r="R1963" s="21" t="s">
        <v>2378</v>
      </c>
      <c r="S1963" s="4" t="s">
        <v>2276</v>
      </c>
      <c r="T1963" s="4" t="s">
        <v>2276</v>
      </c>
      <c r="U1963" s="4" t="s">
        <v>2276</v>
      </c>
      <c r="V1963" s="4" t="s">
        <v>2276</v>
      </c>
      <c r="W1963" s="21" t="s">
        <v>2403</v>
      </c>
      <c r="X1963" s="4" t="s">
        <v>2276</v>
      </c>
      <c r="Y1963" s="4" t="s">
        <v>2276</v>
      </c>
      <c r="Z1963" s="4" t="s">
        <v>2276</v>
      </c>
      <c r="AA1963" s="4" t="s">
        <v>5646</v>
      </c>
      <c r="AB1963" s="4" t="s">
        <v>5647</v>
      </c>
    </row>
    <row r="1964" spans="1:28" ht="85.5" customHeight="1">
      <c r="A1964" s="156" t="str">
        <f>'Reported burning'!A1964</f>
        <v>223b</v>
      </c>
      <c r="B1964" s="156" t="str">
        <f>'Reported burning'!B1964</f>
        <v>223b.3</v>
      </c>
      <c r="C1964" s="156" t="str">
        <f>'Reported burning'!C1964</f>
        <v>Human, escaped</v>
      </c>
      <c r="D1964" s="156" t="str">
        <f>'Reported burning'!D1964</f>
        <v>ND</v>
      </c>
      <c r="E1964" s="156" t="str">
        <f>'Reported burning'!E1964</f>
        <v>ND</v>
      </c>
      <c r="F1964" s="156" t="str">
        <f>'Reported burning'!F1964</f>
        <v>ND</v>
      </c>
      <c r="G1964" s="156" t="str">
        <f>'Reported burning'!G1964</f>
        <v>ND</v>
      </c>
      <c r="H1964" s="156" t="str">
        <f>'Reported burning'!H1964</f>
        <v>Presence</v>
      </c>
      <c r="I1964" s="5"/>
      <c r="J1964" s="4" t="s">
        <v>2276</v>
      </c>
      <c r="K1964" s="4" t="s">
        <v>2276</v>
      </c>
      <c r="L1964" s="4" t="s">
        <v>2276</v>
      </c>
      <c r="M1964" s="4" t="s">
        <v>2276</v>
      </c>
      <c r="N1964" s="4" t="s">
        <v>2276</v>
      </c>
      <c r="O1964" s="4" t="s">
        <v>2276</v>
      </c>
      <c r="P1964" s="4" t="s">
        <v>2276</v>
      </c>
      <c r="Q1964" s="4" t="s">
        <v>2276</v>
      </c>
      <c r="R1964" s="21" t="s">
        <v>2378</v>
      </c>
      <c r="S1964" s="4" t="s">
        <v>2276</v>
      </c>
      <c r="T1964" s="4" t="s">
        <v>2276</v>
      </c>
      <c r="U1964" s="4" t="s">
        <v>2276</v>
      </c>
      <c r="V1964" s="4" t="s">
        <v>2276</v>
      </c>
      <c r="W1964" s="21" t="s">
        <v>2403</v>
      </c>
      <c r="X1964" s="4" t="s">
        <v>2276</v>
      </c>
      <c r="Y1964" s="4" t="s">
        <v>2276</v>
      </c>
      <c r="Z1964" s="4" t="s">
        <v>2276</v>
      </c>
      <c r="AA1964" s="4" t="s">
        <v>5646</v>
      </c>
      <c r="AB1964" s="4" t="s">
        <v>5647</v>
      </c>
    </row>
    <row r="1965" spans="1:28" ht="85.5" customHeight="1">
      <c r="A1965" s="156" t="str">
        <f>'Reported burning'!A1965</f>
        <v>223c</v>
      </c>
      <c r="B1965" s="156" t="str">
        <f>'Reported burning'!B1965</f>
        <v>223c.3</v>
      </c>
      <c r="C1965" s="156" t="str">
        <f>'Reported burning'!C1965</f>
        <v>Human, escaped</v>
      </c>
      <c r="D1965" s="156" t="str">
        <f>'Reported burning'!D1965</f>
        <v>ND</v>
      </c>
      <c r="E1965" s="156" t="str">
        <f>'Reported burning'!E1965</f>
        <v>ND</v>
      </c>
      <c r="F1965" s="156" t="str">
        <f>'Reported burning'!F1965</f>
        <v>ND</v>
      </c>
      <c r="G1965" s="156" t="str">
        <f>'Reported burning'!G1965</f>
        <v>ND</v>
      </c>
      <c r="H1965" s="156" t="str">
        <f>'Reported burning'!H1965</f>
        <v>Presence</v>
      </c>
      <c r="I1965" s="5"/>
      <c r="J1965" s="4" t="s">
        <v>2276</v>
      </c>
      <c r="K1965" s="4" t="s">
        <v>2276</v>
      </c>
      <c r="L1965" s="4" t="s">
        <v>2276</v>
      </c>
      <c r="M1965" s="4" t="s">
        <v>2276</v>
      </c>
      <c r="N1965" s="4" t="s">
        <v>2276</v>
      </c>
      <c r="O1965" s="4" t="s">
        <v>2276</v>
      </c>
      <c r="P1965" s="4" t="s">
        <v>2276</v>
      </c>
      <c r="Q1965" s="4" t="s">
        <v>2276</v>
      </c>
      <c r="R1965" s="21" t="s">
        <v>2378</v>
      </c>
      <c r="S1965" s="4" t="s">
        <v>2276</v>
      </c>
      <c r="T1965" s="4" t="s">
        <v>2276</v>
      </c>
      <c r="U1965" s="4" t="s">
        <v>2276</v>
      </c>
      <c r="V1965" s="4" t="s">
        <v>2276</v>
      </c>
      <c r="W1965" s="21" t="s">
        <v>2403</v>
      </c>
      <c r="X1965" s="4" t="s">
        <v>2276</v>
      </c>
      <c r="Y1965" s="4" t="s">
        <v>2276</v>
      </c>
      <c r="Z1965" s="4" t="s">
        <v>2276</v>
      </c>
      <c r="AA1965" s="4" t="s">
        <v>5646</v>
      </c>
      <c r="AB1965" s="4" t="s">
        <v>5647</v>
      </c>
    </row>
    <row r="1966" spans="1:28" ht="85.5" customHeight="1">
      <c r="A1966" s="156" t="str">
        <f>'Reported burning'!A1966</f>
        <v>223d</v>
      </c>
      <c r="B1966" s="156" t="str">
        <f>'Reported burning'!B1966</f>
        <v>223d.3</v>
      </c>
      <c r="C1966" s="156" t="str">
        <f>'Reported burning'!C1966</f>
        <v>Human, escaped</v>
      </c>
      <c r="D1966" s="156" t="str">
        <f>'Reported burning'!D1966</f>
        <v>ND</v>
      </c>
      <c r="E1966" s="156" t="str">
        <f>'Reported burning'!E1966</f>
        <v>ND</v>
      </c>
      <c r="F1966" s="156" t="str">
        <f>'Reported burning'!F1966</f>
        <v>ND</v>
      </c>
      <c r="G1966" s="156" t="str">
        <f>'Reported burning'!G1966</f>
        <v>ND</v>
      </c>
      <c r="H1966" s="156" t="str">
        <f>'Reported burning'!H1966</f>
        <v>Presence</v>
      </c>
      <c r="I1966" s="5"/>
      <c r="J1966" s="4" t="s">
        <v>2276</v>
      </c>
      <c r="K1966" s="4" t="s">
        <v>2276</v>
      </c>
      <c r="L1966" s="4" t="s">
        <v>2276</v>
      </c>
      <c r="M1966" s="4" t="s">
        <v>2276</v>
      </c>
      <c r="N1966" s="4" t="s">
        <v>2276</v>
      </c>
      <c r="O1966" s="4" t="s">
        <v>2276</v>
      </c>
      <c r="P1966" s="4" t="s">
        <v>2276</v>
      </c>
      <c r="Q1966" s="4" t="s">
        <v>2276</v>
      </c>
      <c r="R1966" s="21" t="s">
        <v>2378</v>
      </c>
      <c r="S1966" s="4" t="s">
        <v>2276</v>
      </c>
      <c r="T1966" s="4" t="s">
        <v>2276</v>
      </c>
      <c r="U1966" s="4" t="s">
        <v>2276</v>
      </c>
      <c r="V1966" s="4" t="s">
        <v>2276</v>
      </c>
      <c r="W1966" s="21" t="s">
        <v>2403</v>
      </c>
      <c r="X1966" s="4" t="s">
        <v>2276</v>
      </c>
      <c r="Y1966" s="4" t="s">
        <v>2276</v>
      </c>
      <c r="Z1966" s="4" t="s">
        <v>2276</v>
      </c>
      <c r="AA1966" s="4" t="s">
        <v>5646</v>
      </c>
      <c r="AB1966" s="4" t="s">
        <v>5647</v>
      </c>
    </row>
    <row r="1967" spans="1:28" ht="40" customHeight="1">
      <c r="A1967" s="156" t="str">
        <f>'Reported burning'!A1967</f>
        <v>224a</v>
      </c>
      <c r="B1967" s="156" t="str">
        <f>'Reported burning'!B1967</f>
        <v>224a.1</v>
      </c>
      <c r="C1967" s="156" t="str">
        <f>'Reported burning'!C1967</f>
        <v>Human, deliberate</v>
      </c>
      <c r="D1967" s="156" t="str">
        <f>'Reported burning'!D1967</f>
        <v>Land clearance</v>
      </c>
      <c r="E1967" s="156" t="str">
        <f>'Reported burning'!E1967</f>
        <v>Cropping, Swidden</v>
      </c>
      <c r="F1967" s="156" t="str">
        <f>'Reported burning'!F1967</f>
        <v>Forest</v>
      </c>
      <c r="G1967" s="156" t="str">
        <f>'Reported burning'!G1967</f>
        <v>ND</v>
      </c>
      <c r="H1967" s="156" t="str">
        <f>'Reported burning'!H1967</f>
        <v>Presence</v>
      </c>
      <c r="I1967" s="5"/>
      <c r="J1967" s="4" t="s">
        <v>2276</v>
      </c>
      <c r="K1967" s="4" t="s">
        <v>2276</v>
      </c>
      <c r="L1967" s="4" t="s">
        <v>2276</v>
      </c>
      <c r="M1967" s="4" t="s">
        <v>2276</v>
      </c>
      <c r="N1967" s="4" t="s">
        <v>2276</v>
      </c>
      <c r="O1967" s="4" t="s">
        <v>2276</v>
      </c>
      <c r="P1967" s="4" t="s">
        <v>2276</v>
      </c>
      <c r="Q1967" s="4" t="s">
        <v>2276</v>
      </c>
      <c r="R1967" s="4" t="s">
        <v>2276</v>
      </c>
      <c r="S1967" s="4" t="s">
        <v>2276</v>
      </c>
      <c r="T1967" s="4" t="s">
        <v>2276</v>
      </c>
      <c r="U1967" s="4" t="s">
        <v>2276</v>
      </c>
      <c r="V1967" s="4" t="s">
        <v>2276</v>
      </c>
      <c r="W1967" s="4" t="s">
        <v>2276</v>
      </c>
      <c r="X1967" s="4" t="s">
        <v>2276</v>
      </c>
      <c r="Y1967" s="4" t="s">
        <v>2276</v>
      </c>
      <c r="Z1967" s="4" t="s">
        <v>2276</v>
      </c>
      <c r="AA1967" s="3"/>
      <c r="AB1967" s="3"/>
    </row>
    <row r="1968" spans="1:28" ht="40" customHeight="1">
      <c r="A1968" s="156" t="str">
        <f>'Reported burning'!A1968</f>
        <v>224a</v>
      </c>
      <c r="B1968" s="156" t="str">
        <f>'Reported burning'!B1968</f>
        <v>224a.2</v>
      </c>
      <c r="C1968" s="156" t="str">
        <f>'Reported burning'!C1968</f>
        <v>Human, deliberate</v>
      </c>
      <c r="D1968" s="156" t="str">
        <f>'Reported burning'!D1968</f>
        <v>Land clearance</v>
      </c>
      <c r="E1968" s="156" t="str">
        <f>'Reported burning'!E1968</f>
        <v>Cropping, Monoculture, Market-oriented</v>
      </c>
      <c r="F1968" s="156" t="str">
        <f>'Reported burning'!F1968</f>
        <v>Forest</v>
      </c>
      <c r="G1968" s="156" t="str">
        <f>'Reported burning'!G1968</f>
        <v>ND</v>
      </c>
      <c r="H1968" s="156" t="str">
        <f>'Reported burning'!H1968</f>
        <v>Presence</v>
      </c>
      <c r="I1968" s="5"/>
      <c r="J1968" s="4" t="s">
        <v>2276</v>
      </c>
      <c r="K1968" s="4" t="s">
        <v>2276</v>
      </c>
      <c r="L1968" s="4" t="s">
        <v>2276</v>
      </c>
      <c r="M1968" s="4" t="s">
        <v>2276</v>
      </c>
      <c r="N1968" s="4" t="s">
        <v>2276</v>
      </c>
      <c r="O1968" s="4" t="s">
        <v>2276</v>
      </c>
      <c r="P1968" s="4" t="s">
        <v>2276</v>
      </c>
      <c r="Q1968" s="4" t="s">
        <v>2276</v>
      </c>
      <c r="R1968" s="4" t="s">
        <v>2276</v>
      </c>
      <c r="S1968" s="4" t="s">
        <v>2276</v>
      </c>
      <c r="T1968" s="4" t="s">
        <v>2276</v>
      </c>
      <c r="U1968" s="4" t="s">
        <v>2276</v>
      </c>
      <c r="V1968" s="4" t="s">
        <v>2276</v>
      </c>
      <c r="W1968" s="4" t="s">
        <v>2276</v>
      </c>
      <c r="X1968" s="4" t="s">
        <v>2276</v>
      </c>
      <c r="Y1968" s="4" t="s">
        <v>2276</v>
      </c>
      <c r="Z1968" s="4" t="s">
        <v>2276</v>
      </c>
      <c r="AA1968" s="3"/>
      <c r="AB1968" s="3"/>
    </row>
    <row r="1969" spans="1:28" ht="40" customHeight="1">
      <c r="A1969" s="156" t="str">
        <f>'Reported burning'!A1969</f>
        <v>224a</v>
      </c>
      <c r="B1969" s="156" t="str">
        <f>'Reported burning'!B1969</f>
        <v>224a.3</v>
      </c>
      <c r="C1969" s="156" t="str">
        <f>'Reported burning'!C1969</f>
        <v>Human, deliberate</v>
      </c>
      <c r="D1969" s="156" t="str">
        <f>'Reported burning'!D1969</f>
        <v>Land clearance</v>
      </c>
      <c r="E1969" s="156" t="str">
        <f>'Reported burning'!E1969</f>
        <v>Cattle, Intensive</v>
      </c>
      <c r="F1969" s="156" t="str">
        <f>'Reported burning'!F1969</f>
        <v>Forest</v>
      </c>
      <c r="G1969" s="156" t="str">
        <f>'Reported burning'!G1969</f>
        <v>ND</v>
      </c>
      <c r="H1969" s="156" t="str">
        <f>'Reported burning'!H1969</f>
        <v>Presence</v>
      </c>
      <c r="I1969" s="5"/>
      <c r="J1969" s="4" t="s">
        <v>2276</v>
      </c>
      <c r="K1969" s="4" t="s">
        <v>2276</v>
      </c>
      <c r="L1969" s="4" t="s">
        <v>2276</v>
      </c>
      <c r="M1969" s="4" t="s">
        <v>2276</v>
      </c>
      <c r="N1969" s="4" t="s">
        <v>2276</v>
      </c>
      <c r="O1969" s="4" t="s">
        <v>2276</v>
      </c>
      <c r="P1969" s="4" t="s">
        <v>2276</v>
      </c>
      <c r="Q1969" s="4" t="s">
        <v>2276</v>
      </c>
      <c r="R1969" s="4" t="s">
        <v>2276</v>
      </c>
      <c r="S1969" s="4" t="s">
        <v>2276</v>
      </c>
      <c r="T1969" s="4" t="s">
        <v>2276</v>
      </c>
      <c r="U1969" s="4" t="s">
        <v>2276</v>
      </c>
      <c r="V1969" s="4" t="s">
        <v>2276</v>
      </c>
      <c r="W1969" s="4" t="s">
        <v>2276</v>
      </c>
      <c r="X1969" s="4" t="s">
        <v>2276</v>
      </c>
      <c r="Y1969" s="4" t="s">
        <v>2276</v>
      </c>
      <c r="Z1969" s="4" t="s">
        <v>2276</v>
      </c>
      <c r="AA1969" s="3"/>
      <c r="AB1969" s="3"/>
    </row>
    <row r="1970" spans="1:28" ht="40" customHeight="1">
      <c r="A1970" s="156" t="str">
        <f>'Reported burning'!A1970</f>
        <v>224a</v>
      </c>
      <c r="B1970" s="156" t="str">
        <f>'Reported burning'!B1970</f>
        <v>224a.4</v>
      </c>
      <c r="C1970" s="156" t="str">
        <f>'Reported burning'!C1970</f>
        <v>Human, deliberate</v>
      </c>
      <c r="D1970" s="156" t="str">
        <f>'Reported burning'!D1970</f>
        <v>Arson</v>
      </c>
      <c r="E1970" s="156" t="str">
        <f>'Reported burning'!E1970</f>
        <v>Cropping, Monoculture, Market-oriented</v>
      </c>
      <c r="F1970" s="156" t="str">
        <f>'Reported burning'!F1970</f>
        <v>Forest</v>
      </c>
      <c r="G1970" s="156" t="str">
        <f>'Reported burning'!G1970</f>
        <v>ND</v>
      </c>
      <c r="H1970" s="156" t="str">
        <f>'Reported burning'!H1970</f>
        <v>Presence</v>
      </c>
      <c r="I1970" s="5"/>
      <c r="J1970" s="4" t="s">
        <v>2276</v>
      </c>
      <c r="K1970" s="4" t="s">
        <v>2276</v>
      </c>
      <c r="L1970" s="4" t="s">
        <v>2276</v>
      </c>
      <c r="M1970" s="4" t="s">
        <v>2276</v>
      </c>
      <c r="N1970" s="4" t="s">
        <v>2276</v>
      </c>
      <c r="O1970" s="4" t="s">
        <v>2276</v>
      </c>
      <c r="P1970" s="4" t="s">
        <v>2276</v>
      </c>
      <c r="Q1970" s="4" t="s">
        <v>2276</v>
      </c>
      <c r="R1970" s="4" t="s">
        <v>2276</v>
      </c>
      <c r="S1970" s="4" t="s">
        <v>2276</v>
      </c>
      <c r="T1970" s="4" t="s">
        <v>2276</v>
      </c>
      <c r="U1970" s="4" t="s">
        <v>2276</v>
      </c>
      <c r="V1970" s="4" t="s">
        <v>2276</v>
      </c>
      <c r="W1970" s="4" t="s">
        <v>2276</v>
      </c>
      <c r="X1970" s="4" t="s">
        <v>2276</v>
      </c>
      <c r="Y1970" s="4" t="s">
        <v>2276</v>
      </c>
      <c r="Z1970" s="4" t="s">
        <v>2276</v>
      </c>
      <c r="AA1970" s="3"/>
      <c r="AB1970" s="3"/>
    </row>
    <row r="1971" spans="1:28" ht="40" customHeight="1">
      <c r="A1971" s="156" t="str">
        <f>'Reported burning'!A1971</f>
        <v>224a</v>
      </c>
      <c r="B1971" s="156" t="str">
        <f>'Reported burning'!B1971</f>
        <v>224a.5</v>
      </c>
      <c r="C1971" s="156" t="str">
        <f>'Reported burning'!C1971</f>
        <v>Human, deliberate</v>
      </c>
      <c r="D1971" s="156" t="str">
        <f>'Reported burning'!D1971</f>
        <v>Arson</v>
      </c>
      <c r="E1971" s="156" t="str">
        <f>'Reported burning'!E1971</f>
        <v>Cattle, Intensive</v>
      </c>
      <c r="F1971" s="156" t="str">
        <f>'Reported burning'!F1971</f>
        <v>Forest</v>
      </c>
      <c r="G1971" s="156" t="str">
        <f>'Reported burning'!G1971</f>
        <v>ND</v>
      </c>
      <c r="H1971" s="156" t="str">
        <f>'Reported burning'!H1971</f>
        <v>Presence</v>
      </c>
      <c r="I1971" s="5"/>
      <c r="J1971" s="4" t="s">
        <v>2276</v>
      </c>
      <c r="K1971" s="4" t="s">
        <v>2276</v>
      </c>
      <c r="L1971" s="4" t="s">
        <v>2276</v>
      </c>
      <c r="M1971" s="4" t="s">
        <v>2276</v>
      </c>
      <c r="N1971" s="4" t="s">
        <v>2276</v>
      </c>
      <c r="O1971" s="4" t="s">
        <v>2276</v>
      </c>
      <c r="P1971" s="4" t="s">
        <v>2276</v>
      </c>
      <c r="Q1971" s="4" t="s">
        <v>2276</v>
      </c>
      <c r="R1971" s="4" t="s">
        <v>2276</v>
      </c>
      <c r="S1971" s="4" t="s">
        <v>2276</v>
      </c>
      <c r="T1971" s="4" t="s">
        <v>2276</v>
      </c>
      <c r="U1971" s="4" t="s">
        <v>2276</v>
      </c>
      <c r="V1971" s="4" t="s">
        <v>2276</v>
      </c>
      <c r="W1971" s="4" t="s">
        <v>2276</v>
      </c>
      <c r="X1971" s="4" t="s">
        <v>2276</v>
      </c>
      <c r="Y1971" s="4" t="s">
        <v>2276</v>
      </c>
      <c r="Z1971" s="4" t="s">
        <v>2276</v>
      </c>
      <c r="AA1971" s="3"/>
      <c r="AB1971" s="3"/>
    </row>
    <row r="1972" spans="1:28" ht="29">
      <c r="A1972" s="156" t="str">
        <f>'Reported burning'!A1972</f>
        <v>225a</v>
      </c>
      <c r="B1972" s="156" t="str">
        <f>'Reported burning'!B1972</f>
        <v>225a.1</v>
      </c>
      <c r="C1972" s="156" t="str">
        <f>'Reported burning'!C1972</f>
        <v>Human, deliberate</v>
      </c>
      <c r="D1972" s="156" t="str">
        <f>'Reported burning'!D1972</f>
        <v>Cultural &amp; Spiritual</v>
      </c>
      <c r="E1972" s="156" t="str">
        <f>'Reported burning'!E1972</f>
        <v>Biodiversity conservation</v>
      </c>
      <c r="F1972" s="156" t="str">
        <f>'Reported burning'!F1972</f>
        <v>Shrubland (Mixed forest &amp; grassland)</v>
      </c>
      <c r="G1972" s="156" t="str">
        <f>'Reported burning'!G1972</f>
        <v>ND</v>
      </c>
      <c r="H1972" s="156" t="str">
        <f>'Reported burning'!H1972</f>
        <v>Absence</v>
      </c>
      <c r="I1972" s="5"/>
      <c r="J1972" s="21">
        <v>0</v>
      </c>
      <c r="K1972" s="21">
        <v>0</v>
      </c>
      <c r="L1972" s="21">
        <v>0</v>
      </c>
      <c r="M1972" s="21">
        <v>0</v>
      </c>
      <c r="N1972" s="21">
        <v>0</v>
      </c>
      <c r="O1972" s="21">
        <v>0</v>
      </c>
      <c r="P1972" s="21">
        <v>0</v>
      </c>
      <c r="Q1972" s="21">
        <v>0</v>
      </c>
      <c r="R1972" s="21">
        <v>0</v>
      </c>
      <c r="S1972" s="21">
        <v>0</v>
      </c>
      <c r="T1972" s="21">
        <v>0</v>
      </c>
      <c r="U1972" s="21">
        <v>0</v>
      </c>
      <c r="V1972" s="21">
        <v>0</v>
      </c>
      <c r="W1972" s="4" t="s">
        <v>2276</v>
      </c>
      <c r="X1972" s="4" t="s">
        <v>2276</v>
      </c>
      <c r="Y1972" s="4" t="s">
        <v>2276</v>
      </c>
      <c r="Z1972" s="4" t="s">
        <v>2276</v>
      </c>
      <c r="AA1972" s="4" t="s">
        <v>5672</v>
      </c>
      <c r="AB1972" s="3"/>
    </row>
    <row r="1973" spans="1:28" ht="29">
      <c r="A1973" s="156" t="str">
        <f>'Reported burning'!A1973</f>
        <v>225a</v>
      </c>
      <c r="B1973" s="156" t="str">
        <f>'Reported burning'!B1973</f>
        <v>225a.2</v>
      </c>
      <c r="C1973" s="156" t="str">
        <f>'Reported burning'!C1973</f>
        <v>Human, deliberate</v>
      </c>
      <c r="D1973" s="156" t="str">
        <f>'Reported burning'!D1973</f>
        <v>Pyrome management</v>
      </c>
      <c r="E1973" s="156" t="str">
        <f>'Reported burning'!E1973</f>
        <v>Biodiversity conservation</v>
      </c>
      <c r="F1973" s="156" t="str">
        <f>'Reported burning'!F1973</f>
        <v>Shrubland (Mixed forest &amp; grassland)</v>
      </c>
      <c r="G1973" s="156" t="str">
        <f>'Reported burning'!G1973</f>
        <v>ND</v>
      </c>
      <c r="H1973" s="156" t="str">
        <f>'Reported burning'!H1973</f>
        <v>Absence</v>
      </c>
      <c r="I1973" s="5"/>
      <c r="J1973" s="21">
        <v>0</v>
      </c>
      <c r="K1973" s="21">
        <v>0</v>
      </c>
      <c r="L1973" s="21">
        <v>0</v>
      </c>
      <c r="M1973" s="21">
        <v>0</v>
      </c>
      <c r="N1973" s="21">
        <v>0</v>
      </c>
      <c r="O1973" s="21">
        <v>0</v>
      </c>
      <c r="P1973" s="21">
        <v>0</v>
      </c>
      <c r="Q1973" s="21">
        <v>0</v>
      </c>
      <c r="R1973" s="21">
        <v>0</v>
      </c>
      <c r="S1973" s="21">
        <v>0</v>
      </c>
      <c r="T1973" s="21">
        <v>0</v>
      </c>
      <c r="U1973" s="21">
        <v>0</v>
      </c>
      <c r="V1973" s="21">
        <v>0</v>
      </c>
      <c r="W1973" s="4" t="s">
        <v>2276</v>
      </c>
      <c r="X1973" s="4" t="s">
        <v>2276</v>
      </c>
      <c r="Y1973" s="4" t="s">
        <v>2276</v>
      </c>
      <c r="Z1973" s="4" t="s">
        <v>2276</v>
      </c>
      <c r="AA1973" s="4" t="s">
        <v>5672</v>
      </c>
      <c r="AB1973" s="3"/>
    </row>
    <row r="1974" spans="1:28" ht="29">
      <c r="A1974" s="156" t="str">
        <f>'Reported burning'!A1974</f>
        <v>225a</v>
      </c>
      <c r="B1974" s="156" t="str">
        <f>'Reported burning'!B1974</f>
        <v>225a.3</v>
      </c>
      <c r="C1974" s="156" t="str">
        <f>'Reported burning'!C1974</f>
        <v>Human, deliberate</v>
      </c>
      <c r="D1974" s="156" t="str">
        <f>'Reported burning'!D1974</f>
        <v>Cultural &amp; Spiritual</v>
      </c>
      <c r="E1974" s="156" t="str">
        <f>'Reported burning'!E1974</f>
        <v>Biodiversity conservation</v>
      </c>
      <c r="F1974" s="156" t="str">
        <f>'Reported burning'!F1974</f>
        <v>Shrubland (Mixed forest &amp; grassland)</v>
      </c>
      <c r="G1974" s="156" t="str">
        <f>'Reported burning'!G1974</f>
        <v>ND</v>
      </c>
      <c r="H1974" s="156" t="str">
        <f>'Reported burning'!H1974</f>
        <v>Absence</v>
      </c>
      <c r="I1974" s="5"/>
      <c r="J1974" s="21">
        <v>0</v>
      </c>
      <c r="K1974" s="21">
        <v>0</v>
      </c>
      <c r="L1974" s="21">
        <v>0</v>
      </c>
      <c r="M1974" s="21">
        <v>0</v>
      </c>
      <c r="N1974" s="21">
        <v>0</v>
      </c>
      <c r="O1974" s="21">
        <v>0</v>
      </c>
      <c r="P1974" s="21">
        <v>0</v>
      </c>
      <c r="Q1974" s="21">
        <v>0</v>
      </c>
      <c r="R1974" s="21">
        <v>0</v>
      </c>
      <c r="S1974" s="21">
        <v>0</v>
      </c>
      <c r="T1974" s="21">
        <v>0</v>
      </c>
      <c r="U1974" s="21">
        <v>0</v>
      </c>
      <c r="V1974" s="21">
        <v>0</v>
      </c>
      <c r="W1974" s="4" t="s">
        <v>2276</v>
      </c>
      <c r="X1974" s="4" t="s">
        <v>2276</v>
      </c>
      <c r="Y1974" s="4" t="s">
        <v>2276</v>
      </c>
      <c r="Z1974" s="4" t="s">
        <v>2276</v>
      </c>
      <c r="AA1974" s="4" t="s">
        <v>5672</v>
      </c>
      <c r="AB1974" s="3"/>
    </row>
    <row r="1975" spans="1:28" ht="29">
      <c r="A1975" s="156" t="str">
        <f>'Reported burning'!A1975</f>
        <v>225a</v>
      </c>
      <c r="B1975" s="156" t="str">
        <f>'Reported burning'!B1975</f>
        <v>225a.4</v>
      </c>
      <c r="C1975" s="156" t="str">
        <f>'Reported burning'!C1975</f>
        <v>Human, deliberate</v>
      </c>
      <c r="D1975" s="156" t="str">
        <f>'Reported burning'!D1975</f>
        <v>Pyrome management</v>
      </c>
      <c r="E1975" s="156" t="str">
        <f>'Reported burning'!E1975</f>
        <v>Biodiversity conservation</v>
      </c>
      <c r="F1975" s="156" t="str">
        <f>'Reported burning'!F1975</f>
        <v>Shrubland (Mixed forest &amp; grassland)</v>
      </c>
      <c r="G1975" s="156" t="str">
        <f>'Reported burning'!G1975</f>
        <v>ND</v>
      </c>
      <c r="H1975" s="156" t="str">
        <f>'Reported burning'!H1975</f>
        <v>Absence</v>
      </c>
      <c r="I1975" s="5"/>
      <c r="J1975" s="21">
        <v>0</v>
      </c>
      <c r="K1975" s="21">
        <v>0</v>
      </c>
      <c r="L1975" s="21">
        <v>0</v>
      </c>
      <c r="M1975" s="21">
        <v>0</v>
      </c>
      <c r="N1975" s="21">
        <v>0</v>
      </c>
      <c r="O1975" s="21">
        <v>0</v>
      </c>
      <c r="P1975" s="21">
        <v>0</v>
      </c>
      <c r="Q1975" s="21">
        <v>0</v>
      </c>
      <c r="R1975" s="21">
        <v>0</v>
      </c>
      <c r="S1975" s="21">
        <v>0</v>
      </c>
      <c r="T1975" s="21">
        <v>0</v>
      </c>
      <c r="U1975" s="21">
        <v>0</v>
      </c>
      <c r="V1975" s="21">
        <v>0</v>
      </c>
      <c r="W1975" s="4" t="s">
        <v>2276</v>
      </c>
      <c r="X1975" s="4" t="s">
        <v>2276</v>
      </c>
      <c r="Y1975" s="4" t="s">
        <v>2276</v>
      </c>
      <c r="Z1975" s="4" t="s">
        <v>2276</v>
      </c>
      <c r="AA1975" s="4" t="s">
        <v>5672</v>
      </c>
      <c r="AB1975" s="3"/>
    </row>
    <row r="1976" spans="1:28" ht="29">
      <c r="A1976" s="156" t="str">
        <f>'Reported burning'!A1976</f>
        <v>225a</v>
      </c>
      <c r="B1976" s="156" t="str">
        <f>'Reported burning'!B1976</f>
        <v>225a.5</v>
      </c>
      <c r="C1976" s="156" t="str">
        <f>'Reported burning'!C1976</f>
        <v>Human, deliberate</v>
      </c>
      <c r="D1976" s="156" t="str">
        <f>'Reported burning'!D1976</f>
        <v>Cultural &amp; Spiritual</v>
      </c>
      <c r="E1976" s="156" t="str">
        <f>'Reported burning'!E1976</f>
        <v>Forestry, Traditional</v>
      </c>
      <c r="F1976" s="156" t="str">
        <f>'Reported burning'!F1976</f>
        <v>Shrubland (Mixed forest &amp; grassland)</v>
      </c>
      <c r="G1976" s="156" t="str">
        <f>'Reported burning'!G1976</f>
        <v>ND</v>
      </c>
      <c r="H1976" s="156" t="str">
        <f>'Reported burning'!H1976</f>
        <v>Presence</v>
      </c>
      <c r="I1976" s="5"/>
      <c r="J1976" s="4" t="s">
        <v>2276</v>
      </c>
      <c r="K1976" s="4" t="s">
        <v>2276</v>
      </c>
      <c r="L1976" s="4" t="s">
        <v>2276</v>
      </c>
      <c r="M1976" s="4" t="s">
        <v>2276</v>
      </c>
      <c r="N1976" s="4" t="s">
        <v>2276</v>
      </c>
      <c r="O1976" s="4" t="s">
        <v>2276</v>
      </c>
      <c r="P1976" s="4" t="s">
        <v>2276</v>
      </c>
      <c r="Q1976" s="4" t="s">
        <v>2276</v>
      </c>
      <c r="R1976" s="4" t="s">
        <v>2276</v>
      </c>
      <c r="S1976" s="4" t="s">
        <v>2276</v>
      </c>
      <c r="T1976" s="4" t="s">
        <v>2276</v>
      </c>
      <c r="U1976" s="4" t="s">
        <v>2276</v>
      </c>
      <c r="V1976" s="4" t="s">
        <v>2276</v>
      </c>
      <c r="W1976" s="4" t="s">
        <v>2276</v>
      </c>
      <c r="X1976" s="4" t="s">
        <v>2276</v>
      </c>
      <c r="Y1976" s="4" t="s">
        <v>2276</v>
      </c>
      <c r="Z1976" s="4" t="s">
        <v>2276</v>
      </c>
      <c r="AA1976" s="4" t="s">
        <v>5673</v>
      </c>
      <c r="AB1976" s="3"/>
    </row>
    <row r="1977" spans="1:28" ht="29">
      <c r="A1977" s="156" t="str">
        <f>'Reported burning'!A1977</f>
        <v>225a</v>
      </c>
      <c r="B1977" s="156" t="str">
        <f>'Reported burning'!B1977</f>
        <v>225a.6</v>
      </c>
      <c r="C1977" s="156" t="str">
        <f>'Reported burning'!C1977</f>
        <v>Human, deliberate</v>
      </c>
      <c r="D1977" s="156" t="str">
        <f>'Reported burning'!D1977</f>
        <v>Pyrome management</v>
      </c>
      <c r="E1977" s="156" t="str">
        <f>'Reported burning'!E1977</f>
        <v>Forestry, Traditional</v>
      </c>
      <c r="F1977" s="156" t="str">
        <f>'Reported burning'!F1977</f>
        <v>Shrubland (Mixed forest &amp; grassland)</v>
      </c>
      <c r="G1977" s="156" t="str">
        <f>'Reported burning'!G1977</f>
        <v>ND</v>
      </c>
      <c r="H1977" s="156" t="str">
        <f>'Reported burning'!H1977</f>
        <v>Presence</v>
      </c>
      <c r="I1977" s="5"/>
      <c r="J1977" s="4" t="s">
        <v>2276</v>
      </c>
      <c r="K1977" s="4" t="s">
        <v>2276</v>
      </c>
      <c r="L1977" s="4" t="s">
        <v>2276</v>
      </c>
      <c r="M1977" s="4" t="s">
        <v>2276</v>
      </c>
      <c r="N1977" s="4" t="s">
        <v>2276</v>
      </c>
      <c r="O1977" s="4" t="s">
        <v>2276</v>
      </c>
      <c r="P1977" s="4" t="s">
        <v>2276</v>
      </c>
      <c r="Q1977" s="4" t="s">
        <v>2276</v>
      </c>
      <c r="R1977" s="4" t="s">
        <v>2276</v>
      </c>
      <c r="S1977" s="4" t="s">
        <v>2276</v>
      </c>
      <c r="T1977" s="4" t="s">
        <v>2276</v>
      </c>
      <c r="U1977" s="4" t="s">
        <v>2276</v>
      </c>
      <c r="V1977" s="4" t="s">
        <v>2276</v>
      </c>
      <c r="W1977" s="4" t="s">
        <v>2276</v>
      </c>
      <c r="X1977" s="4" t="s">
        <v>2276</v>
      </c>
      <c r="Y1977" s="4" t="s">
        <v>2276</v>
      </c>
      <c r="Z1977" s="4" t="s">
        <v>2276</v>
      </c>
      <c r="AA1977" s="4" t="s">
        <v>5673</v>
      </c>
      <c r="AB1977" s="3"/>
    </row>
    <row r="1978" spans="1:28" ht="29">
      <c r="A1978" s="156" t="str">
        <f>'Reported burning'!A1978</f>
        <v>225a</v>
      </c>
      <c r="B1978" s="156" t="str">
        <f>'Reported burning'!B1978</f>
        <v>225a.7</v>
      </c>
      <c r="C1978" s="156" t="str">
        <f>'Reported burning'!C1978</f>
        <v>Human, deliberate</v>
      </c>
      <c r="D1978" s="156" t="str">
        <f>'Reported burning'!D1978</f>
        <v>Cultural &amp; Spiritual</v>
      </c>
      <c r="E1978" s="156" t="str">
        <f>'Reported burning'!E1978</f>
        <v>Forestry, Traditional</v>
      </c>
      <c r="F1978" s="156" t="str">
        <f>'Reported burning'!F1978</f>
        <v>Shrubland (Mixed forest &amp; grassland)</v>
      </c>
      <c r="G1978" s="156" t="str">
        <f>'Reported burning'!G1978</f>
        <v>ND</v>
      </c>
      <c r="H1978" s="156" t="str">
        <f>'Reported burning'!H1978</f>
        <v>Presence</v>
      </c>
      <c r="I1978" s="5"/>
      <c r="J1978" s="4" t="s">
        <v>2276</v>
      </c>
      <c r="K1978" s="4" t="s">
        <v>2276</v>
      </c>
      <c r="L1978" s="4" t="s">
        <v>2276</v>
      </c>
      <c r="M1978" s="4" t="s">
        <v>2276</v>
      </c>
      <c r="N1978" s="4" t="s">
        <v>2276</v>
      </c>
      <c r="O1978" s="4" t="s">
        <v>2276</v>
      </c>
      <c r="P1978" s="4" t="s">
        <v>2276</v>
      </c>
      <c r="Q1978" s="4" t="s">
        <v>2276</v>
      </c>
      <c r="R1978" s="4" t="s">
        <v>2276</v>
      </c>
      <c r="S1978" s="4" t="s">
        <v>2276</v>
      </c>
      <c r="T1978" s="4" t="s">
        <v>2276</v>
      </c>
      <c r="U1978" s="4" t="s">
        <v>2276</v>
      </c>
      <c r="V1978" s="4" t="s">
        <v>2276</v>
      </c>
      <c r="W1978" s="4" t="s">
        <v>2276</v>
      </c>
      <c r="X1978" s="4" t="s">
        <v>2276</v>
      </c>
      <c r="Y1978" s="4" t="s">
        <v>2276</v>
      </c>
      <c r="Z1978" s="4" t="s">
        <v>2276</v>
      </c>
      <c r="AA1978" s="4" t="s">
        <v>5673</v>
      </c>
      <c r="AB1978" s="3"/>
    </row>
    <row r="1979" spans="1:28" ht="29">
      <c r="A1979" s="156" t="str">
        <f>'Reported burning'!A1979</f>
        <v>225a</v>
      </c>
      <c r="B1979" s="156" t="str">
        <f>'Reported burning'!B1979</f>
        <v>225a.8</v>
      </c>
      <c r="C1979" s="156" t="str">
        <f>'Reported burning'!C1979</f>
        <v>Human, deliberate</v>
      </c>
      <c r="D1979" s="156" t="str">
        <f>'Reported burning'!D1979</f>
        <v>Pyrome management</v>
      </c>
      <c r="E1979" s="156" t="str">
        <f>'Reported burning'!E1979</f>
        <v>Forestry, Traditional</v>
      </c>
      <c r="F1979" s="156" t="str">
        <f>'Reported burning'!F1979</f>
        <v>Shrubland (Mixed forest &amp; grassland)</v>
      </c>
      <c r="G1979" s="156" t="str">
        <f>'Reported burning'!G1979</f>
        <v>ND</v>
      </c>
      <c r="H1979" s="156" t="str">
        <f>'Reported burning'!H1979</f>
        <v>Presence</v>
      </c>
      <c r="I1979" s="5"/>
      <c r="J1979" s="4" t="s">
        <v>2276</v>
      </c>
      <c r="K1979" s="4" t="s">
        <v>2276</v>
      </c>
      <c r="L1979" s="4" t="s">
        <v>2276</v>
      </c>
      <c r="M1979" s="4" t="s">
        <v>2276</v>
      </c>
      <c r="N1979" s="4" t="s">
        <v>2276</v>
      </c>
      <c r="O1979" s="4" t="s">
        <v>2276</v>
      </c>
      <c r="P1979" s="4" t="s">
        <v>2276</v>
      </c>
      <c r="Q1979" s="4" t="s">
        <v>2276</v>
      </c>
      <c r="R1979" s="4" t="s">
        <v>2276</v>
      </c>
      <c r="S1979" s="4" t="s">
        <v>2276</v>
      </c>
      <c r="T1979" s="4" t="s">
        <v>2276</v>
      </c>
      <c r="U1979" s="4" t="s">
        <v>2276</v>
      </c>
      <c r="V1979" s="4" t="s">
        <v>2276</v>
      </c>
      <c r="W1979" s="4" t="s">
        <v>2276</v>
      </c>
      <c r="X1979" s="4" t="s">
        <v>2276</v>
      </c>
      <c r="Y1979" s="4" t="s">
        <v>2276</v>
      </c>
      <c r="Z1979" s="4" t="s">
        <v>2276</v>
      </c>
      <c r="AA1979" s="4" t="s">
        <v>5673</v>
      </c>
      <c r="AB1979" s="3"/>
    </row>
    <row r="1980" spans="1:28" ht="24.5" customHeight="1">
      <c r="A1980" s="156" t="str">
        <f>'Reported burning'!A1980</f>
        <v>226a</v>
      </c>
      <c r="B1980" s="156" t="str">
        <f>'Reported burning'!B1980</f>
        <v>226a.1</v>
      </c>
      <c r="C1980" s="156" t="str">
        <f>'Reported burning'!C1980</f>
        <v>Human, deliberate</v>
      </c>
      <c r="D1980" s="156" t="str">
        <f>'Reported burning'!D1980</f>
        <v>Pyrome management</v>
      </c>
      <c r="E1980" s="156" t="str">
        <f>'Reported burning'!E1980</f>
        <v>Biodiversity conservation</v>
      </c>
      <c r="F1980" s="156" t="str">
        <f>'Reported burning'!F1980</f>
        <v>Forest</v>
      </c>
      <c r="G1980" s="156" t="str">
        <f>'Reported burning'!G1980</f>
        <v>ND</v>
      </c>
      <c r="H1980" s="156" t="str">
        <f>'Reported burning'!H1980</f>
        <v>Presence</v>
      </c>
      <c r="I1980" s="5"/>
      <c r="J1980" s="4" t="s">
        <v>2276</v>
      </c>
      <c r="K1980" s="4" t="s">
        <v>2276</v>
      </c>
      <c r="L1980" s="4" t="s">
        <v>2276</v>
      </c>
      <c r="M1980" s="4" t="s">
        <v>2276</v>
      </c>
      <c r="N1980" s="4" t="s">
        <v>2276</v>
      </c>
      <c r="O1980" s="4" t="s">
        <v>2276</v>
      </c>
      <c r="P1980" s="4" t="s">
        <v>2276</v>
      </c>
      <c r="Q1980" s="4" t="s">
        <v>2276</v>
      </c>
      <c r="R1980" s="4" t="s">
        <v>2276</v>
      </c>
      <c r="S1980" s="4" t="s">
        <v>2276</v>
      </c>
      <c r="T1980" s="4" t="s">
        <v>2276</v>
      </c>
      <c r="U1980" s="4" t="s">
        <v>2276</v>
      </c>
      <c r="V1980" s="4" t="s">
        <v>2276</v>
      </c>
      <c r="W1980" s="4" t="s">
        <v>2276</v>
      </c>
      <c r="X1980" s="4" t="s">
        <v>2276</v>
      </c>
      <c r="Y1980" s="4" t="s">
        <v>2276</v>
      </c>
      <c r="Z1980" s="4" t="s">
        <v>2276</v>
      </c>
      <c r="AA1980" s="3"/>
      <c r="AB1980" s="3"/>
    </row>
    <row r="1981" spans="1:28" ht="24.5" customHeight="1">
      <c r="A1981" s="156" t="str">
        <f>'Reported burning'!A1981</f>
        <v>226a</v>
      </c>
      <c r="B1981" s="156" t="str">
        <f>'Reported burning'!B1981</f>
        <v>226a.2</v>
      </c>
      <c r="C1981" s="156" t="str">
        <f>'Reported burning'!C1981</f>
        <v>Human, deliberate</v>
      </c>
      <c r="D1981" s="156" t="str">
        <f>'Reported burning'!D1981</f>
        <v>Pyrome management</v>
      </c>
      <c r="E1981" s="156" t="str">
        <f>'Reported burning'!E1981</f>
        <v>Forestry, Industrial</v>
      </c>
      <c r="F1981" s="156" t="str">
        <f>'Reported burning'!F1981</f>
        <v>Forest</v>
      </c>
      <c r="G1981" s="156" t="str">
        <f>'Reported burning'!G1981</f>
        <v>ND</v>
      </c>
      <c r="H1981" s="156" t="str">
        <f>'Reported burning'!H1981</f>
        <v>Presence</v>
      </c>
      <c r="I1981" s="5"/>
      <c r="J1981" s="4" t="s">
        <v>2276</v>
      </c>
      <c r="K1981" s="4" t="s">
        <v>2276</v>
      </c>
      <c r="L1981" s="4" t="s">
        <v>2276</v>
      </c>
      <c r="M1981" s="4" t="s">
        <v>2276</v>
      </c>
      <c r="N1981" s="4" t="s">
        <v>2276</v>
      </c>
      <c r="O1981" s="4" t="s">
        <v>2276</v>
      </c>
      <c r="P1981" s="4" t="s">
        <v>2276</v>
      </c>
      <c r="Q1981" s="4" t="s">
        <v>2276</v>
      </c>
      <c r="R1981" s="4" t="s">
        <v>2276</v>
      </c>
      <c r="S1981" s="4" t="s">
        <v>2276</v>
      </c>
      <c r="T1981" s="4" t="s">
        <v>2276</v>
      </c>
      <c r="U1981" s="4" t="s">
        <v>2276</v>
      </c>
      <c r="V1981" s="4" t="s">
        <v>2276</v>
      </c>
      <c r="W1981" s="4" t="s">
        <v>2276</v>
      </c>
      <c r="X1981" s="4" t="s">
        <v>2276</v>
      </c>
      <c r="Y1981" s="4" t="s">
        <v>2276</v>
      </c>
      <c r="Z1981" s="4" t="s">
        <v>2276</v>
      </c>
      <c r="AA1981" s="3"/>
      <c r="AB1981" s="3"/>
    </row>
    <row r="1982" spans="1:28" ht="24.5" customHeight="1">
      <c r="A1982" s="156" t="str">
        <f>'Reported burning'!A1982</f>
        <v>226a</v>
      </c>
      <c r="B1982" s="156" t="str">
        <f>'Reported burning'!B1982</f>
        <v>226a.3</v>
      </c>
      <c r="C1982" s="156" t="str">
        <f>'Reported burning'!C1982</f>
        <v>Human, deliberate</v>
      </c>
      <c r="D1982" s="156" t="str">
        <f>'Reported burning'!D1982</f>
        <v>Harvesting of NTFP</v>
      </c>
      <c r="E1982" s="156" t="str">
        <f>'Reported burning'!E1982</f>
        <v>Forestry, Traditional</v>
      </c>
      <c r="F1982" s="156" t="str">
        <f>'Reported burning'!F1982</f>
        <v>Forest</v>
      </c>
      <c r="G1982" s="156" t="str">
        <f>'Reported burning'!G1982</f>
        <v>ND</v>
      </c>
      <c r="H1982" s="156" t="str">
        <f>'Reported burning'!H1982</f>
        <v>Presence</v>
      </c>
      <c r="I1982" s="5"/>
      <c r="J1982" s="4" t="s">
        <v>2276</v>
      </c>
      <c r="K1982" s="4" t="s">
        <v>2276</v>
      </c>
      <c r="L1982" s="4" t="s">
        <v>2276</v>
      </c>
      <c r="M1982" s="4" t="s">
        <v>2276</v>
      </c>
      <c r="N1982" s="4" t="s">
        <v>2276</v>
      </c>
      <c r="O1982" s="4" t="s">
        <v>2276</v>
      </c>
      <c r="P1982" s="4" t="s">
        <v>2276</v>
      </c>
      <c r="Q1982" s="4" t="s">
        <v>2276</v>
      </c>
      <c r="R1982" s="4" t="s">
        <v>2276</v>
      </c>
      <c r="S1982" s="4" t="s">
        <v>2276</v>
      </c>
      <c r="T1982" s="4" t="s">
        <v>2276</v>
      </c>
      <c r="U1982" s="4" t="s">
        <v>2276</v>
      </c>
      <c r="V1982" s="4" t="s">
        <v>2276</v>
      </c>
      <c r="W1982" s="4" t="s">
        <v>2276</v>
      </c>
      <c r="X1982" s="4" t="s">
        <v>2276</v>
      </c>
      <c r="Y1982" s="4" t="s">
        <v>2276</v>
      </c>
      <c r="Z1982" s="4" t="s">
        <v>2276</v>
      </c>
      <c r="AA1982" s="3"/>
      <c r="AB1982" s="3"/>
    </row>
    <row r="1983" spans="1:28" ht="25.5" customHeight="1">
      <c r="A1983" s="156" t="str">
        <f>'Reported burning'!A1983</f>
        <v>227a</v>
      </c>
      <c r="B1983" s="156" t="str">
        <f>'Reported burning'!B1983</f>
        <v>227a.1</v>
      </c>
      <c r="C1983" s="156" t="str">
        <f>'Reported burning'!C1983</f>
        <v>Human, deliberate</v>
      </c>
      <c r="D1983" s="156" t="str">
        <f>'Reported burning'!D1983</f>
        <v>Pyrome management</v>
      </c>
      <c r="E1983" s="156" t="str">
        <f>'Reported burning'!E1983</f>
        <v>Biodiversity conservation</v>
      </c>
      <c r="F1983" s="156" t="str">
        <f>'Reported burning'!F1983</f>
        <v>Forest</v>
      </c>
      <c r="G1983" s="156" t="str">
        <f>'Reported burning'!G1983</f>
        <v>ND</v>
      </c>
      <c r="H1983" s="156" t="str">
        <f>'Reported burning'!H1983</f>
        <v>Presence</v>
      </c>
      <c r="I1983" s="5"/>
      <c r="J1983" s="4" t="s">
        <v>2276</v>
      </c>
      <c r="K1983" s="4" t="s">
        <v>2276</v>
      </c>
      <c r="L1983" s="4" t="s">
        <v>2276</v>
      </c>
      <c r="M1983" s="4" t="s">
        <v>2276</v>
      </c>
      <c r="N1983" s="4" t="s">
        <v>2276</v>
      </c>
      <c r="O1983" s="4" t="s">
        <v>2276</v>
      </c>
      <c r="P1983" s="4" t="s">
        <v>2276</v>
      </c>
      <c r="Q1983" s="4" t="s">
        <v>2276</v>
      </c>
      <c r="R1983" s="4" t="s">
        <v>2276</v>
      </c>
      <c r="S1983" s="4" t="s">
        <v>2276</v>
      </c>
      <c r="T1983" s="4" t="s">
        <v>2276</v>
      </c>
      <c r="U1983" s="4" t="s">
        <v>2276</v>
      </c>
      <c r="V1983" s="4" t="s">
        <v>2276</v>
      </c>
      <c r="W1983" s="4" t="s">
        <v>2276</v>
      </c>
      <c r="X1983" s="4" t="s">
        <v>2276</v>
      </c>
      <c r="Y1983" s="4" t="s">
        <v>2276</v>
      </c>
      <c r="Z1983" s="4" t="s">
        <v>2276</v>
      </c>
      <c r="AA1983" s="3"/>
      <c r="AB1983" s="3"/>
    </row>
    <row r="1984" spans="1:28" ht="25.5" customHeight="1">
      <c r="A1984" s="156" t="str">
        <f>'Reported burning'!A1984</f>
        <v>227a</v>
      </c>
      <c r="B1984" s="156" t="str">
        <f>'Reported burning'!B1984</f>
        <v>227a.2</v>
      </c>
      <c r="C1984" s="156" t="str">
        <f>'Reported burning'!C1984</f>
        <v>Human, deliberate</v>
      </c>
      <c r="D1984" s="156" t="str">
        <f>'Reported burning'!E1984</f>
        <v>Forestry, Traditional</v>
      </c>
      <c r="E1984" s="156" t="str">
        <f>'Reported burning'!E1984</f>
        <v>Forestry, Traditional</v>
      </c>
      <c r="F1984" s="156" t="str">
        <f>'Reported burning'!F1984</f>
        <v>Forest</v>
      </c>
      <c r="G1984" s="156" t="str">
        <f>'Reported burning'!G1984</f>
        <v>ND</v>
      </c>
      <c r="H1984" s="156" t="str">
        <f>'Reported burning'!H1984</f>
        <v>Presence</v>
      </c>
      <c r="I1984" s="5"/>
      <c r="J1984" s="4" t="s">
        <v>2276</v>
      </c>
      <c r="K1984" s="4" t="s">
        <v>2276</v>
      </c>
      <c r="L1984" s="4" t="s">
        <v>2276</v>
      </c>
      <c r="M1984" s="4" t="s">
        <v>2276</v>
      </c>
      <c r="N1984" s="4" t="s">
        <v>2276</v>
      </c>
      <c r="O1984" s="4" t="s">
        <v>2276</v>
      </c>
      <c r="P1984" s="4" t="s">
        <v>2276</v>
      </c>
      <c r="Q1984" s="4" t="s">
        <v>2276</v>
      </c>
      <c r="R1984" s="4" t="s">
        <v>2276</v>
      </c>
      <c r="S1984" s="4" t="s">
        <v>2276</v>
      </c>
      <c r="T1984" s="4" t="s">
        <v>2276</v>
      </c>
      <c r="U1984" s="4" t="s">
        <v>2276</v>
      </c>
      <c r="V1984" s="4" t="s">
        <v>2276</v>
      </c>
      <c r="W1984" s="4" t="s">
        <v>2276</v>
      </c>
      <c r="X1984" s="4" t="s">
        <v>2276</v>
      </c>
      <c r="Y1984" s="4" t="s">
        <v>2276</v>
      </c>
      <c r="Z1984" s="4" t="s">
        <v>2276</v>
      </c>
      <c r="AA1984" s="3"/>
      <c r="AB1984" s="3"/>
    </row>
    <row r="1985" spans="1:28" ht="25.5" customHeight="1">
      <c r="A1985" s="156" t="str">
        <f>'Reported burning'!A1985</f>
        <v>227a</v>
      </c>
      <c r="B1985" s="156" t="str">
        <f>'Reported burning'!B1985</f>
        <v>227a.3</v>
      </c>
      <c r="C1985" s="156" t="str">
        <f>'Reported burning'!C1985</f>
        <v>Human, deliberate</v>
      </c>
      <c r="D1985" s="156" t="str">
        <f>'Reported burning'!D1985</f>
        <v>Harvesting of NTFP</v>
      </c>
      <c r="E1985" s="156" t="str">
        <f>'Reported burning'!E1985</f>
        <v>Forestry, Traditional</v>
      </c>
      <c r="F1985" s="156" t="str">
        <f>'Reported burning'!F1985</f>
        <v>Forest</v>
      </c>
      <c r="G1985" s="156" t="str">
        <f>'Reported burning'!G1985</f>
        <v>ND</v>
      </c>
      <c r="H1985" s="156" t="str">
        <f>'Reported burning'!H1985</f>
        <v>Presence</v>
      </c>
      <c r="I1985" s="5"/>
      <c r="J1985" s="4" t="s">
        <v>2276</v>
      </c>
      <c r="K1985" s="4" t="s">
        <v>2276</v>
      </c>
      <c r="L1985" s="4" t="s">
        <v>2276</v>
      </c>
      <c r="M1985" s="4" t="s">
        <v>2276</v>
      </c>
      <c r="N1985" s="4" t="s">
        <v>2276</v>
      </c>
      <c r="O1985" s="4" t="s">
        <v>2276</v>
      </c>
      <c r="P1985" s="4" t="s">
        <v>2276</v>
      </c>
      <c r="Q1985" s="4" t="s">
        <v>2276</v>
      </c>
      <c r="R1985" s="4" t="s">
        <v>2276</v>
      </c>
      <c r="S1985" s="4" t="s">
        <v>2276</v>
      </c>
      <c r="T1985" s="4" t="s">
        <v>2276</v>
      </c>
      <c r="U1985" s="4" t="s">
        <v>2276</v>
      </c>
      <c r="V1985" s="4" t="s">
        <v>2276</v>
      </c>
      <c r="W1985" s="4" t="s">
        <v>2276</v>
      </c>
      <c r="X1985" s="4" t="s">
        <v>2276</v>
      </c>
      <c r="Y1985" s="4" t="s">
        <v>2276</v>
      </c>
      <c r="Z1985" s="4" t="s">
        <v>2276</v>
      </c>
      <c r="AA1985" s="3"/>
      <c r="AB1985" s="3"/>
    </row>
    <row r="1986" spans="1:28" ht="39.5" customHeight="1">
      <c r="A1986" s="152" t="str">
        <f>'Reported burning'!A1986</f>
        <v>228a</v>
      </c>
      <c r="B1986" s="152" t="str">
        <f>'Reported burning'!B1986</f>
        <v>228a.1</v>
      </c>
      <c r="C1986" s="152" t="str">
        <f>'Reported burning'!C1986</f>
        <v>Human, deliberate</v>
      </c>
      <c r="D1986" s="152" t="str">
        <f>'Reported burning'!D1986</f>
        <v>Crop field preparation</v>
      </c>
      <c r="E1986" s="152" t="str">
        <f>'Reported burning'!E1986</f>
        <v>Cropping, Swidden</v>
      </c>
      <c r="F1986" s="152" t="str">
        <f>'Reported burning'!F1986</f>
        <v>Forest</v>
      </c>
      <c r="G1986" s="152" t="str">
        <f>'Reported burning'!G1986</f>
        <v>ND</v>
      </c>
      <c r="H1986" s="152" t="str">
        <f>'Reported burning'!H1986</f>
        <v>Presence</v>
      </c>
      <c r="I1986" s="3"/>
      <c r="J1986" s="4" t="s">
        <v>2276</v>
      </c>
      <c r="K1986" s="4" t="s">
        <v>2276</v>
      </c>
      <c r="L1986" s="4" t="s">
        <v>2276</v>
      </c>
      <c r="M1986" s="4" t="s">
        <v>2276</v>
      </c>
      <c r="N1986" s="4" t="s">
        <v>2276</v>
      </c>
      <c r="O1986" s="21" t="s">
        <v>2373</v>
      </c>
      <c r="P1986" s="21"/>
      <c r="Q1986" s="21" t="s">
        <v>2375</v>
      </c>
      <c r="R1986" s="4" t="s">
        <v>2276</v>
      </c>
      <c r="S1986" s="4" t="s">
        <v>2276</v>
      </c>
      <c r="T1986" s="4" t="s">
        <v>2276</v>
      </c>
      <c r="U1986" s="4" t="s">
        <v>2276</v>
      </c>
      <c r="V1986" s="4" t="s">
        <v>2276</v>
      </c>
      <c r="W1986" s="4" t="s">
        <v>2276</v>
      </c>
      <c r="X1986" s="3" t="s">
        <v>35</v>
      </c>
      <c r="Y1986" s="3" t="s">
        <v>127</v>
      </c>
      <c r="Z1986" s="3" t="s">
        <v>2655</v>
      </c>
      <c r="AA1986" s="4" t="s">
        <v>5703</v>
      </c>
      <c r="AB1986" s="3"/>
    </row>
    <row r="1987" spans="1:28" ht="30" customHeight="1">
      <c r="A1987" s="152" t="str">
        <f>'Reported burning'!A1987</f>
        <v>228a</v>
      </c>
      <c r="B1987" s="152" t="str">
        <f>'Reported burning'!B1987</f>
        <v>228a.2</v>
      </c>
      <c r="C1987" s="152" t="str">
        <f>'Reported burning'!C1987</f>
        <v>Human, deliberate</v>
      </c>
      <c r="D1987" s="152" t="str">
        <f>'Reported burning'!D1987</f>
        <v>Pasture renewal</v>
      </c>
      <c r="E1987" s="152" t="str">
        <f>'Reported burning'!E1987</f>
        <v>Cattle, Extensive</v>
      </c>
      <c r="F1987" s="152" t="str">
        <f>'Reported burning'!F1987</f>
        <v>Grassland</v>
      </c>
      <c r="G1987" s="152" t="str">
        <f>'Reported burning'!G1987</f>
        <v>ND</v>
      </c>
      <c r="H1987" s="152" t="str">
        <f>'Reported burning'!H1987</f>
        <v>Presence</v>
      </c>
      <c r="I1987" s="3"/>
      <c r="J1987" s="4" t="s">
        <v>2276</v>
      </c>
      <c r="K1987" s="4" t="s">
        <v>2276</v>
      </c>
      <c r="L1987" s="4" t="s">
        <v>2276</v>
      </c>
      <c r="M1987" s="4" t="s">
        <v>2276</v>
      </c>
      <c r="N1987" s="4" t="s">
        <v>2276</v>
      </c>
      <c r="O1987" s="4" t="s">
        <v>2276</v>
      </c>
      <c r="P1987" s="4" t="s">
        <v>2276</v>
      </c>
      <c r="Q1987" s="4" t="s">
        <v>2276</v>
      </c>
      <c r="R1987" s="4" t="s">
        <v>2276</v>
      </c>
      <c r="S1987" s="4" t="s">
        <v>2276</v>
      </c>
      <c r="T1987" s="4" t="s">
        <v>2276</v>
      </c>
      <c r="U1987" s="4" t="s">
        <v>2276</v>
      </c>
      <c r="V1987" s="4" t="s">
        <v>2276</v>
      </c>
      <c r="W1987" s="21" t="s">
        <v>2401</v>
      </c>
      <c r="X1987" s="3" t="s">
        <v>34</v>
      </c>
      <c r="Y1987" s="3" t="s">
        <v>404</v>
      </c>
      <c r="Z1987" s="3" t="s">
        <v>2655</v>
      </c>
      <c r="AA1987" s="11" t="s">
        <v>5702</v>
      </c>
      <c r="AB1987" s="3"/>
    </row>
    <row r="1988" spans="1:28" ht="30" customHeight="1">
      <c r="A1988" s="152" t="str">
        <f>'Reported burning'!A1988</f>
        <v>228a</v>
      </c>
      <c r="B1988" s="152" t="str">
        <f>'Reported burning'!B1988</f>
        <v>228a.3</v>
      </c>
      <c r="C1988" s="152" t="str">
        <f>'Reported burning'!C1988</f>
        <v>Human, deliberate</v>
      </c>
      <c r="D1988" s="152" t="str">
        <f>'Reported burning'!D1988</f>
        <v>Pasture renewal</v>
      </c>
      <c r="E1988" s="152" t="str">
        <f>'Reported burning'!E1988</f>
        <v>Cattle, Extensive</v>
      </c>
      <c r="F1988" s="152" t="str">
        <f>'Reported burning'!F1988</f>
        <v>Pasture</v>
      </c>
      <c r="G1988" s="152" t="str">
        <f>'Reported burning'!G1988</f>
        <v>ND</v>
      </c>
      <c r="H1988" s="152" t="str">
        <f>'Reported burning'!H1988</f>
        <v>Presence</v>
      </c>
      <c r="I1988" s="3"/>
      <c r="J1988" s="4" t="s">
        <v>2276</v>
      </c>
      <c r="K1988" s="4" t="s">
        <v>2276</v>
      </c>
      <c r="L1988" s="4" t="s">
        <v>2276</v>
      </c>
      <c r="M1988" s="4" t="s">
        <v>2276</v>
      </c>
      <c r="N1988" s="4" t="s">
        <v>2276</v>
      </c>
      <c r="O1988" s="4" t="s">
        <v>2276</v>
      </c>
      <c r="P1988" s="4" t="s">
        <v>2276</v>
      </c>
      <c r="Q1988" s="4" t="s">
        <v>2276</v>
      </c>
      <c r="R1988" s="4" t="s">
        <v>2276</v>
      </c>
      <c r="S1988" s="4" t="s">
        <v>2276</v>
      </c>
      <c r="T1988" s="4" t="s">
        <v>2276</v>
      </c>
      <c r="U1988" s="4" t="s">
        <v>2276</v>
      </c>
      <c r="V1988" s="4" t="s">
        <v>2276</v>
      </c>
      <c r="W1988" s="21" t="s">
        <v>2401</v>
      </c>
      <c r="X1988" s="3" t="s">
        <v>34</v>
      </c>
      <c r="Y1988" s="3" t="s">
        <v>404</v>
      </c>
      <c r="Z1988" s="3" t="s">
        <v>2655</v>
      </c>
      <c r="AA1988" s="11" t="s">
        <v>5702</v>
      </c>
      <c r="AB1988" s="3"/>
    </row>
    <row r="1989" spans="1:28" ht="30" customHeight="1">
      <c r="A1989" s="152" t="str">
        <f>'Reported burning'!A1989</f>
        <v>228a</v>
      </c>
      <c r="B1989" s="152" t="str">
        <f>'Reported burning'!B1989</f>
        <v>228a.3</v>
      </c>
      <c r="C1989" s="152" t="str">
        <f>'Reported burning'!C1989</f>
        <v>Human, deliberate</v>
      </c>
      <c r="D1989" s="152" t="str">
        <f>'Reported burning'!D1989</f>
        <v>Forest clearance</v>
      </c>
      <c r="E1989" s="152" t="str">
        <f>'Reported burning'!E1989</f>
        <v>Cattle, Extensive</v>
      </c>
      <c r="F1989" s="152" t="str">
        <f>'Reported burning'!F1989</f>
        <v>Forest</v>
      </c>
      <c r="G1989" s="152" t="str">
        <f>'Reported burning'!G1989</f>
        <v>ND</v>
      </c>
      <c r="H1989" s="152" t="str">
        <f>'Reported burning'!H1989</f>
        <v>Presence</v>
      </c>
      <c r="I1989" s="3"/>
      <c r="J1989" s="4" t="s">
        <v>2276</v>
      </c>
      <c r="K1989" s="4" t="s">
        <v>2276</v>
      </c>
      <c r="L1989" s="4" t="s">
        <v>2276</v>
      </c>
      <c r="M1989" s="4" t="s">
        <v>2276</v>
      </c>
      <c r="N1989" s="4" t="s">
        <v>2276</v>
      </c>
      <c r="O1989" s="4" t="s">
        <v>2276</v>
      </c>
      <c r="P1989" s="4" t="s">
        <v>2276</v>
      </c>
      <c r="Q1989" s="4" t="s">
        <v>2276</v>
      </c>
      <c r="R1989" s="4" t="s">
        <v>2276</v>
      </c>
      <c r="S1989" s="4" t="s">
        <v>2276</v>
      </c>
      <c r="T1989" s="4" t="s">
        <v>2276</v>
      </c>
      <c r="U1989" s="4" t="s">
        <v>2276</v>
      </c>
      <c r="V1989" s="4" t="s">
        <v>2276</v>
      </c>
      <c r="W1989" s="4" t="s">
        <v>2276</v>
      </c>
      <c r="X1989" s="4" t="s">
        <v>2276</v>
      </c>
      <c r="Y1989" s="4" t="s">
        <v>2276</v>
      </c>
      <c r="Z1989" s="4" t="s">
        <v>2276</v>
      </c>
      <c r="AA1989" s="3"/>
      <c r="AB1989" s="3"/>
    </row>
    <row r="1990" spans="1:28" ht="30" customHeight="1">
      <c r="A1990" s="152" t="str">
        <f>'Reported burning'!A1990</f>
        <v>228a</v>
      </c>
      <c r="B1990" s="152" t="str">
        <f>'Reported burning'!B1990</f>
        <v>228a.4</v>
      </c>
      <c r="C1990" s="152" t="str">
        <f>'Reported burning'!C1990</f>
        <v>Human, deliberate</v>
      </c>
      <c r="D1990" s="152" t="str">
        <f>'Reported burning'!D1990</f>
        <v>Forest clearance</v>
      </c>
      <c r="E1990" s="152" t="str">
        <f>'Reported burning'!E1990</f>
        <v>Cattle, Intensive</v>
      </c>
      <c r="F1990" s="152" t="str">
        <f>'Reported burning'!F1990</f>
        <v>Forest</v>
      </c>
      <c r="G1990" s="152" t="str">
        <f>'Reported burning'!G1990</f>
        <v>ND</v>
      </c>
      <c r="H1990" s="152" t="str">
        <f>'Reported burning'!H1990</f>
        <v>Absence</v>
      </c>
      <c r="I1990" s="3"/>
      <c r="J1990" s="4">
        <v>0</v>
      </c>
      <c r="K1990" s="4">
        <v>0</v>
      </c>
      <c r="L1990" s="4">
        <v>0</v>
      </c>
      <c r="M1990" s="4">
        <v>0</v>
      </c>
      <c r="N1990" s="4">
        <v>0</v>
      </c>
      <c r="O1990" s="4">
        <v>0</v>
      </c>
      <c r="P1990" s="4">
        <v>0</v>
      </c>
      <c r="Q1990" s="4">
        <v>0</v>
      </c>
      <c r="R1990" s="4">
        <v>0</v>
      </c>
      <c r="S1990" s="4">
        <v>0</v>
      </c>
      <c r="T1990" s="4">
        <v>0</v>
      </c>
      <c r="U1990" s="4">
        <v>0</v>
      </c>
      <c r="V1990" s="4">
        <v>0</v>
      </c>
      <c r="W1990" s="4" t="s">
        <v>2276</v>
      </c>
      <c r="X1990" s="4" t="s">
        <v>2276</v>
      </c>
      <c r="Y1990" s="4" t="s">
        <v>2276</v>
      </c>
      <c r="Z1990" s="4" t="s">
        <v>2276</v>
      </c>
      <c r="AA1990" s="3" t="s">
        <v>5704</v>
      </c>
      <c r="AB1990" s="3"/>
    </row>
    <row r="1991" spans="1:28" ht="32.5" customHeight="1">
      <c r="A1991" s="156" t="str">
        <f>'Reported burning'!A1991</f>
        <v>228a</v>
      </c>
      <c r="B1991" s="156" t="str">
        <f>'Reported burning'!B1991</f>
        <v>228a.5</v>
      </c>
      <c r="C1991" s="156" t="str">
        <f>'Reported burning'!C1991</f>
        <v>Human, escaped</v>
      </c>
      <c r="D1991" s="156" t="str">
        <f>'Reported burning'!D1991</f>
        <v>Crop field preparation</v>
      </c>
      <c r="E1991" s="156" t="str">
        <f>'Reported burning'!E1991</f>
        <v>Cropping, Swidden</v>
      </c>
      <c r="F1991" s="156" t="str">
        <f>'Reported burning'!F1991</f>
        <v>Forest</v>
      </c>
      <c r="G1991" s="156" t="str">
        <f>'Reported burning'!G1991</f>
        <v>ND</v>
      </c>
      <c r="H1991" s="156" t="str">
        <f>'Reported burning'!H1991</f>
        <v>Presence</v>
      </c>
      <c r="I1991" s="5"/>
      <c r="J1991" s="4" t="s">
        <v>2276</v>
      </c>
      <c r="K1991" s="4" t="s">
        <v>2276</v>
      </c>
      <c r="L1991" s="4" t="s">
        <v>2276</v>
      </c>
      <c r="M1991" s="4" t="s">
        <v>2276</v>
      </c>
      <c r="N1991" s="4" t="s">
        <v>2276</v>
      </c>
      <c r="O1991" s="4" t="s">
        <v>2276</v>
      </c>
      <c r="P1991" s="4" t="s">
        <v>2276</v>
      </c>
      <c r="Q1991" s="4" t="s">
        <v>2276</v>
      </c>
      <c r="R1991" s="4" t="s">
        <v>2276</v>
      </c>
      <c r="S1991" s="4" t="s">
        <v>2276</v>
      </c>
      <c r="T1991" s="4" t="s">
        <v>2276</v>
      </c>
      <c r="U1991" s="4" t="s">
        <v>2276</v>
      </c>
      <c r="V1991" s="4" t="s">
        <v>2276</v>
      </c>
      <c r="W1991" s="4" t="s">
        <v>2276</v>
      </c>
      <c r="X1991" s="4" t="s">
        <v>2276</v>
      </c>
      <c r="Y1991" s="4" t="s">
        <v>2276</v>
      </c>
      <c r="Z1991" s="4" t="s">
        <v>2276</v>
      </c>
      <c r="AA1991" s="3"/>
      <c r="AB1991" s="3"/>
    </row>
    <row r="1992" spans="1:28" ht="32.5" customHeight="1">
      <c r="A1992" s="156" t="str">
        <f>'Reported burning'!A1992</f>
        <v>228a</v>
      </c>
      <c r="B1992" s="156" t="str">
        <f>'Reported burning'!B1992</f>
        <v>228a.6</v>
      </c>
      <c r="C1992" s="156" t="str">
        <f>'Reported burning'!C1992</f>
        <v>Human, escaped</v>
      </c>
      <c r="D1992" s="156" t="str">
        <f>'Reported burning'!D1992</f>
        <v>Pasture renewal</v>
      </c>
      <c r="E1992" s="156" t="str">
        <f>'Reported burning'!E1992</f>
        <v>Cattle, Extensive</v>
      </c>
      <c r="F1992" s="156" t="str">
        <f>'Reported burning'!F1992</f>
        <v>Grassland</v>
      </c>
      <c r="G1992" s="156" t="str">
        <f>'Reported burning'!G1992</f>
        <v>ND</v>
      </c>
      <c r="H1992" s="156" t="str">
        <f>'Reported burning'!H1992</f>
        <v>Presence</v>
      </c>
      <c r="I1992" s="5"/>
      <c r="J1992" s="4" t="s">
        <v>2276</v>
      </c>
      <c r="K1992" s="4" t="s">
        <v>2276</v>
      </c>
      <c r="L1992" s="4" t="s">
        <v>2276</v>
      </c>
      <c r="M1992" s="4" t="s">
        <v>2276</v>
      </c>
      <c r="N1992" s="4" t="s">
        <v>2276</v>
      </c>
      <c r="O1992" s="4" t="s">
        <v>2276</v>
      </c>
      <c r="P1992" s="4" t="s">
        <v>2276</v>
      </c>
      <c r="Q1992" s="4" t="s">
        <v>2276</v>
      </c>
      <c r="R1992" s="4" t="s">
        <v>2276</v>
      </c>
      <c r="S1992" s="4" t="s">
        <v>2276</v>
      </c>
      <c r="T1992" s="4" t="s">
        <v>2276</v>
      </c>
      <c r="U1992" s="4" t="s">
        <v>2276</v>
      </c>
      <c r="V1992" s="4" t="s">
        <v>2276</v>
      </c>
      <c r="W1992" s="4" t="s">
        <v>2276</v>
      </c>
      <c r="X1992" s="4" t="s">
        <v>2276</v>
      </c>
      <c r="Y1992" s="4" t="s">
        <v>2276</v>
      </c>
      <c r="Z1992" s="4" t="s">
        <v>2276</v>
      </c>
      <c r="AA1992" s="3"/>
      <c r="AB1992" s="3"/>
    </row>
    <row r="1993" spans="1:28" ht="32.5" customHeight="1">
      <c r="A1993" s="156" t="str">
        <f>'Reported burning'!A1993</f>
        <v>228a</v>
      </c>
      <c r="B1993" s="156" t="str">
        <f>'Reported burning'!B1993</f>
        <v>228a.7</v>
      </c>
      <c r="C1993" s="156" t="str">
        <f>'Reported burning'!C1993</f>
        <v>Human, escaped</v>
      </c>
      <c r="D1993" s="156" t="str">
        <f>'Reported burning'!D1993</f>
        <v>Pasture renewal</v>
      </c>
      <c r="E1993" s="156" t="str">
        <f>'Reported burning'!E1993</f>
        <v>Cattle, Extensive</v>
      </c>
      <c r="F1993" s="156" t="str">
        <f>'Reported burning'!F1993</f>
        <v>Pasture</v>
      </c>
      <c r="G1993" s="156" t="str">
        <f>'Reported burning'!G1993</f>
        <v>ND</v>
      </c>
      <c r="H1993" s="156" t="str">
        <f>'Reported burning'!H1993</f>
        <v>Presence</v>
      </c>
      <c r="I1993" s="5"/>
      <c r="J1993" s="4" t="s">
        <v>2276</v>
      </c>
      <c r="K1993" s="4" t="s">
        <v>2276</v>
      </c>
      <c r="L1993" s="4" t="s">
        <v>2276</v>
      </c>
      <c r="M1993" s="4" t="s">
        <v>2276</v>
      </c>
      <c r="N1993" s="4" t="s">
        <v>2276</v>
      </c>
      <c r="O1993" s="4" t="s">
        <v>2276</v>
      </c>
      <c r="P1993" s="4" t="s">
        <v>2276</v>
      </c>
      <c r="Q1993" s="4" t="s">
        <v>2276</v>
      </c>
      <c r="R1993" s="4" t="s">
        <v>2276</v>
      </c>
      <c r="S1993" s="4" t="s">
        <v>2276</v>
      </c>
      <c r="T1993" s="4" t="s">
        <v>2276</v>
      </c>
      <c r="U1993" s="4" t="s">
        <v>2276</v>
      </c>
      <c r="V1993" s="4" t="s">
        <v>2276</v>
      </c>
      <c r="W1993" s="4" t="s">
        <v>2276</v>
      </c>
      <c r="X1993" s="4" t="s">
        <v>2276</v>
      </c>
      <c r="Y1993" s="4" t="s">
        <v>2276</v>
      </c>
      <c r="Z1993" s="4" t="s">
        <v>2276</v>
      </c>
      <c r="AA1993" s="3"/>
      <c r="AB1993" s="3"/>
    </row>
    <row r="1994" spans="1:28" ht="32.5" customHeight="1">
      <c r="A1994" s="156" t="str">
        <f>'Reported burning'!A1994</f>
        <v>228a</v>
      </c>
      <c r="B1994" s="156" t="str">
        <f>'Reported burning'!B1994</f>
        <v>228a.8</v>
      </c>
      <c r="C1994" s="156" t="str">
        <f>'Reported burning'!C1994</f>
        <v>Human, deliberate</v>
      </c>
      <c r="D1994" s="156" t="str">
        <f>'Reported burning'!D1994</f>
        <v>Hunting</v>
      </c>
      <c r="E1994" s="156" t="str">
        <f>'Reported burning'!E1994</f>
        <v>Forestry, Traditional</v>
      </c>
      <c r="F1994" s="156" t="str">
        <f>'Reported burning'!F1994</f>
        <v>ND</v>
      </c>
      <c r="G1994" s="156" t="str">
        <f>'Reported burning'!G1994</f>
        <v>ND</v>
      </c>
      <c r="H1994" s="156" t="str">
        <f>'Reported burning'!H1994</f>
        <v>Presence</v>
      </c>
      <c r="I1994" s="5"/>
      <c r="J1994" s="4" t="s">
        <v>2276</v>
      </c>
      <c r="K1994" s="4" t="s">
        <v>2276</v>
      </c>
      <c r="L1994" s="4" t="s">
        <v>2276</v>
      </c>
      <c r="M1994" s="4" t="s">
        <v>2276</v>
      </c>
      <c r="N1994" s="4" t="s">
        <v>2276</v>
      </c>
      <c r="O1994" s="4" t="s">
        <v>2276</v>
      </c>
      <c r="P1994" s="4" t="s">
        <v>2276</v>
      </c>
      <c r="Q1994" s="4" t="s">
        <v>2276</v>
      </c>
      <c r="R1994" s="4" t="s">
        <v>2276</v>
      </c>
      <c r="S1994" s="4" t="s">
        <v>2276</v>
      </c>
      <c r="T1994" s="4" t="s">
        <v>2276</v>
      </c>
      <c r="U1994" s="4" t="s">
        <v>2276</v>
      </c>
      <c r="V1994" s="4" t="s">
        <v>2276</v>
      </c>
      <c r="W1994" s="4" t="s">
        <v>2276</v>
      </c>
      <c r="X1994" s="4" t="s">
        <v>2276</v>
      </c>
      <c r="Y1994" s="4" t="s">
        <v>2276</v>
      </c>
      <c r="Z1994" s="4" t="s">
        <v>2276</v>
      </c>
      <c r="AA1994" s="3"/>
      <c r="AB1994" s="3"/>
    </row>
    <row r="1995" spans="1:28" ht="32.5" customHeight="1">
      <c r="A1995" s="156" t="str">
        <f>'Reported burning'!A1995</f>
        <v>229a</v>
      </c>
      <c r="B1995" s="156" t="str">
        <f>'Reported burning'!B1995</f>
        <v>229a.1</v>
      </c>
      <c r="C1995" s="156" t="str">
        <f>'Reported burning'!C1995</f>
        <v>Human, deliberate</v>
      </c>
      <c r="D1995" s="156" t="str">
        <f>'Reported burning'!D1995</f>
        <v>Crop field preparation</v>
      </c>
      <c r="E1995" s="156" t="str">
        <f>'Reported burning'!E1995</f>
        <v>Cropping, Swidden</v>
      </c>
      <c r="F1995" s="156" t="str">
        <f>'Reported burning'!F1995</f>
        <v>Forest</v>
      </c>
      <c r="G1995" s="156" t="str">
        <f>'Reported burning'!G1995</f>
        <v>ND</v>
      </c>
      <c r="H1995" s="156" t="str">
        <f>'Reported burning'!H1995</f>
        <v>Absence</v>
      </c>
      <c r="I1995" s="5"/>
      <c r="J1995" s="21">
        <v>0</v>
      </c>
      <c r="K1995" s="21">
        <v>0</v>
      </c>
      <c r="L1995" s="21">
        <v>0</v>
      </c>
      <c r="M1995" s="21">
        <v>0</v>
      </c>
      <c r="N1995" s="21">
        <v>0</v>
      </c>
      <c r="O1995" s="21">
        <v>0</v>
      </c>
      <c r="P1995" s="21">
        <v>0</v>
      </c>
      <c r="Q1995" s="21">
        <v>0</v>
      </c>
      <c r="R1995" s="21">
        <v>0</v>
      </c>
      <c r="S1995" s="21">
        <v>0</v>
      </c>
      <c r="T1995" s="21">
        <v>0</v>
      </c>
      <c r="U1995" s="21">
        <v>0</v>
      </c>
      <c r="V1995" s="21">
        <v>0</v>
      </c>
      <c r="W1995" s="4" t="s">
        <v>2276</v>
      </c>
      <c r="X1995" s="4" t="s">
        <v>2276</v>
      </c>
      <c r="Y1995" s="4" t="s">
        <v>2276</v>
      </c>
      <c r="Z1995" s="4" t="s">
        <v>2276</v>
      </c>
      <c r="AA1995" s="3"/>
      <c r="AB1995" s="3"/>
    </row>
    <row r="1996" spans="1:28" ht="32.5" customHeight="1">
      <c r="A1996" s="156" t="str">
        <f>'Reported burning'!A1996</f>
        <v>229a</v>
      </c>
      <c r="B1996" s="156" t="str">
        <f>'Reported burning'!B1996</f>
        <v>229a.2</v>
      </c>
      <c r="C1996" s="156" t="str">
        <f>'Reported burning'!C1996</f>
        <v>Human, deliberate</v>
      </c>
      <c r="D1996" s="156" t="str">
        <f>'Reported burning'!D1996</f>
        <v>Pasture renewal</v>
      </c>
      <c r="E1996" s="156" t="str">
        <f>'Reported burning'!E1996</f>
        <v>Cattle, Extensive</v>
      </c>
      <c r="F1996" s="156" t="str">
        <f>'Reported burning'!F1996</f>
        <v>Forest</v>
      </c>
      <c r="G1996" s="156" t="str">
        <f>'Reported burning'!G1996</f>
        <v>ND</v>
      </c>
      <c r="H1996" s="156" t="str">
        <f>'Reported burning'!H1996</f>
        <v>Absence</v>
      </c>
      <c r="I1996" s="5"/>
      <c r="J1996" s="21">
        <v>0</v>
      </c>
      <c r="K1996" s="21">
        <v>0</v>
      </c>
      <c r="L1996" s="21">
        <v>0</v>
      </c>
      <c r="M1996" s="21">
        <v>0</v>
      </c>
      <c r="N1996" s="21">
        <v>0</v>
      </c>
      <c r="O1996" s="21">
        <v>0</v>
      </c>
      <c r="P1996" s="21">
        <v>0</v>
      </c>
      <c r="Q1996" s="21">
        <v>0</v>
      </c>
      <c r="R1996" s="21">
        <v>0</v>
      </c>
      <c r="S1996" s="21">
        <v>0</v>
      </c>
      <c r="T1996" s="21">
        <v>0</v>
      </c>
      <c r="U1996" s="21">
        <v>0</v>
      </c>
      <c r="V1996" s="21">
        <v>0</v>
      </c>
      <c r="W1996" s="4" t="s">
        <v>2276</v>
      </c>
      <c r="X1996" s="4" t="s">
        <v>2276</v>
      </c>
      <c r="Y1996" s="4" t="s">
        <v>2276</v>
      </c>
      <c r="Z1996" s="4" t="s">
        <v>2276</v>
      </c>
      <c r="AA1996" s="3"/>
      <c r="AB1996" s="3"/>
    </row>
    <row r="1997" spans="1:28" ht="32.5" customHeight="1">
      <c r="A1997" s="156" t="str">
        <f>'Reported burning'!A1997</f>
        <v>229a</v>
      </c>
      <c r="B1997" s="156" t="str">
        <f>'Reported burning'!B1997</f>
        <v>229a.3</v>
      </c>
      <c r="C1997" s="156" t="str">
        <f>'Reported burning'!C1997</f>
        <v>Human, deliberate</v>
      </c>
      <c r="D1997" s="156" t="str">
        <f>'Reported burning'!D1997</f>
        <v>Harvesting of NTFP</v>
      </c>
      <c r="E1997" s="156" t="str">
        <f>'Reported burning'!E1997</f>
        <v>Forestry, Traditional</v>
      </c>
      <c r="F1997" s="156" t="str">
        <f>'Reported burning'!F1997</f>
        <v>Forest</v>
      </c>
      <c r="G1997" s="156" t="str">
        <f>'Reported burning'!G1997</f>
        <v>ND</v>
      </c>
      <c r="H1997" s="156" t="str">
        <f>'Reported burning'!H1997</f>
        <v>Absence</v>
      </c>
      <c r="I1997" s="5"/>
      <c r="J1997" s="21">
        <v>0</v>
      </c>
      <c r="K1997" s="21">
        <v>0</v>
      </c>
      <c r="L1997" s="21">
        <v>0</v>
      </c>
      <c r="M1997" s="21">
        <v>0</v>
      </c>
      <c r="N1997" s="21">
        <v>0</v>
      </c>
      <c r="O1997" s="21">
        <v>0</v>
      </c>
      <c r="P1997" s="21">
        <v>0</v>
      </c>
      <c r="Q1997" s="21">
        <v>0</v>
      </c>
      <c r="R1997" s="21">
        <v>0</v>
      </c>
      <c r="S1997" s="21">
        <v>0</v>
      </c>
      <c r="T1997" s="21">
        <v>0</v>
      </c>
      <c r="U1997" s="21">
        <v>0</v>
      </c>
      <c r="V1997" s="21">
        <v>0</v>
      </c>
      <c r="W1997" s="4" t="s">
        <v>2276</v>
      </c>
      <c r="X1997" s="4" t="s">
        <v>2276</v>
      </c>
      <c r="Y1997" s="4" t="s">
        <v>2276</v>
      </c>
      <c r="Z1997" s="4" t="s">
        <v>2276</v>
      </c>
      <c r="AA1997" s="3"/>
      <c r="AB1997" s="3"/>
    </row>
    <row r="1998" spans="1:28" ht="39" customHeight="1">
      <c r="A1998" s="156" t="str">
        <f>'Reported burning'!A1998</f>
        <v>229a</v>
      </c>
      <c r="B1998" s="156" t="str">
        <f>'Reported burning'!B1998</f>
        <v>229a.4</v>
      </c>
      <c r="C1998" s="156" t="str">
        <f>'Reported burning'!C1998</f>
        <v>Human, deliberate</v>
      </c>
      <c r="D1998" s="156" t="str">
        <f>'Reported burning'!D1998</f>
        <v>All</v>
      </c>
      <c r="E1998" s="156" t="str">
        <f>'Reported burning'!E1998</f>
        <v>Biodiversity conservation</v>
      </c>
      <c r="F1998" s="156" t="str">
        <f>'Reported burning'!F1998</f>
        <v>Forest</v>
      </c>
      <c r="G1998" s="156" t="str">
        <f>'Reported burning'!G1998</f>
        <v>ND</v>
      </c>
      <c r="H1998" s="156" t="str">
        <f>'Reported burning'!H1998</f>
        <v>Absence</v>
      </c>
      <c r="I1998" s="5"/>
      <c r="J1998" s="21">
        <v>0</v>
      </c>
      <c r="K1998" s="21">
        <v>0</v>
      </c>
      <c r="L1998" s="21">
        <v>0</v>
      </c>
      <c r="M1998" s="21">
        <v>0</v>
      </c>
      <c r="N1998" s="21">
        <v>0</v>
      </c>
      <c r="O1998" s="21">
        <v>0</v>
      </c>
      <c r="P1998" s="21">
        <v>0</v>
      </c>
      <c r="Q1998" s="21">
        <v>0</v>
      </c>
      <c r="R1998" s="21">
        <v>0</v>
      </c>
      <c r="S1998" s="21">
        <v>0</v>
      </c>
      <c r="T1998" s="21">
        <v>0</v>
      </c>
      <c r="U1998" s="21">
        <v>0</v>
      </c>
      <c r="V1998" s="21">
        <v>0</v>
      </c>
      <c r="W1998" s="4" t="s">
        <v>2276</v>
      </c>
      <c r="X1998" s="4" t="s">
        <v>2276</v>
      </c>
      <c r="Y1998" s="4" t="s">
        <v>2276</v>
      </c>
      <c r="Z1998" s="4" t="s">
        <v>2276</v>
      </c>
      <c r="AA1998" s="3"/>
      <c r="AB1998" s="3"/>
    </row>
    <row r="1999" spans="1:28" ht="65.5" customHeight="1">
      <c r="A1999" s="156" t="str">
        <f>'Reported burning'!A1999</f>
        <v>230a</v>
      </c>
      <c r="B1999" s="156" t="str">
        <f>'Reported burning'!B1999</f>
        <v>230a.1</v>
      </c>
      <c r="C1999" s="156" t="str">
        <f>'Reported burning'!C1999</f>
        <v>Human, deliberate</v>
      </c>
      <c r="D1999" s="156" t="str">
        <f>'Reported burning'!D1999</f>
        <v>Pest management</v>
      </c>
      <c r="E1999" s="156" t="str">
        <f>'Reported burning'!E1999</f>
        <v>Cropping, Monoculture, Market-oriented</v>
      </c>
      <c r="F1999" s="156" t="str">
        <f>'Reported burning'!F1999</f>
        <v>Cropland</v>
      </c>
      <c r="G1999" s="156" t="str">
        <f>'Reported burning'!G1999</f>
        <v>ND</v>
      </c>
      <c r="H1999" s="156" t="str">
        <f>'Reported burning'!H1999</f>
        <v>Presence</v>
      </c>
      <c r="I1999" s="5"/>
      <c r="J1999" s="4" t="s">
        <v>2276</v>
      </c>
      <c r="K1999" s="4" t="s">
        <v>2276</v>
      </c>
      <c r="L1999" s="4" t="s">
        <v>2276</v>
      </c>
      <c r="M1999" s="4" t="s">
        <v>2276</v>
      </c>
      <c r="N1999" s="4" t="s">
        <v>2276</v>
      </c>
      <c r="O1999" s="4" t="s">
        <v>2276</v>
      </c>
      <c r="P1999" s="4" t="s">
        <v>2276</v>
      </c>
      <c r="Q1999" s="4" t="s">
        <v>2276</v>
      </c>
      <c r="R1999" s="4" t="s">
        <v>2276</v>
      </c>
      <c r="S1999" s="4" t="s">
        <v>2276</v>
      </c>
      <c r="T1999" s="4" t="s">
        <v>2276</v>
      </c>
      <c r="U1999" s="4" t="s">
        <v>2276</v>
      </c>
      <c r="V1999" s="4" t="s">
        <v>2276</v>
      </c>
      <c r="W1999" s="4" t="s">
        <v>2276</v>
      </c>
      <c r="X1999" s="4" t="s">
        <v>2276</v>
      </c>
      <c r="Y1999" s="4" t="s">
        <v>2276</v>
      </c>
      <c r="Z1999" s="4" t="s">
        <v>2276</v>
      </c>
      <c r="AA1999" s="4" t="s">
        <v>5733</v>
      </c>
      <c r="AB1999" s="3"/>
    </row>
    <row r="2000" spans="1:28" ht="58">
      <c r="A2000" s="156" t="str">
        <f>'Reported burning'!A2000</f>
        <v>230b</v>
      </c>
      <c r="B2000" s="156" t="str">
        <f>'Reported burning'!B2000</f>
        <v>230b.1</v>
      </c>
      <c r="C2000" s="156" t="str">
        <f>'Reported burning'!C2000</f>
        <v>Human, deliberate</v>
      </c>
      <c r="D2000" s="156" t="str">
        <f>'Reported burning'!D2000</f>
        <v>Pest management</v>
      </c>
      <c r="E2000" s="156" t="str">
        <f>'Reported burning'!E2000</f>
        <v>Cropping, Monoculture, Market-oriented</v>
      </c>
      <c r="F2000" s="156" t="str">
        <f>'Reported burning'!F2000</f>
        <v>Cropland</v>
      </c>
      <c r="G2000" s="156" t="str">
        <f>'Reported burning'!G2000</f>
        <v>ND</v>
      </c>
      <c r="H2000" s="156" t="str">
        <f>'Reported burning'!H2000</f>
        <v>Presence</v>
      </c>
      <c r="I2000" s="5"/>
      <c r="J2000" s="4" t="s">
        <v>2276</v>
      </c>
      <c r="K2000" s="4" t="s">
        <v>2276</v>
      </c>
      <c r="L2000" s="4" t="s">
        <v>2276</v>
      </c>
      <c r="M2000" s="4" t="s">
        <v>2276</v>
      </c>
      <c r="N2000" s="4" t="s">
        <v>2276</v>
      </c>
      <c r="O2000" s="4" t="s">
        <v>2276</v>
      </c>
      <c r="P2000" s="4" t="s">
        <v>2276</v>
      </c>
      <c r="Q2000" s="4" t="s">
        <v>2276</v>
      </c>
      <c r="R2000" s="4" t="s">
        <v>2276</v>
      </c>
      <c r="S2000" s="4" t="s">
        <v>2276</v>
      </c>
      <c r="T2000" s="4" t="s">
        <v>2276</v>
      </c>
      <c r="U2000" s="4" t="s">
        <v>2276</v>
      </c>
      <c r="V2000" s="4" t="s">
        <v>2276</v>
      </c>
      <c r="W2000" s="4" t="s">
        <v>2276</v>
      </c>
      <c r="X2000" s="4" t="s">
        <v>2276</v>
      </c>
      <c r="Y2000" s="4" t="s">
        <v>2276</v>
      </c>
      <c r="Z2000" s="4" t="s">
        <v>2276</v>
      </c>
      <c r="AA2000" s="4" t="s">
        <v>5733</v>
      </c>
      <c r="AB2000" s="3"/>
    </row>
    <row r="2001" spans="1:28" ht="58">
      <c r="A2001" s="156" t="str">
        <f>'Reported burning'!A2001</f>
        <v>230c</v>
      </c>
      <c r="B2001" s="156" t="str">
        <f>'Reported burning'!B2001</f>
        <v>230c.1</v>
      </c>
      <c r="C2001" s="156" t="str">
        <f>'Reported burning'!C2001</f>
        <v>Human, deliberate</v>
      </c>
      <c r="D2001" s="156" t="str">
        <f>'Reported burning'!D2001</f>
        <v>Pest management</v>
      </c>
      <c r="E2001" s="156" t="str">
        <f>'Reported burning'!E2001</f>
        <v>Cropping, Monoculture, Market-oriented</v>
      </c>
      <c r="F2001" s="156" t="str">
        <f>'Reported burning'!F2001</f>
        <v>Cropland</v>
      </c>
      <c r="G2001" s="156" t="str">
        <f>'Reported burning'!G2001</f>
        <v>ND</v>
      </c>
      <c r="H2001" s="156" t="str">
        <f>'Reported burning'!H2001</f>
        <v>Presence</v>
      </c>
      <c r="I2001" s="5"/>
      <c r="J2001" s="4" t="s">
        <v>2276</v>
      </c>
      <c r="K2001" s="4" t="s">
        <v>2276</v>
      </c>
      <c r="L2001" s="4" t="s">
        <v>2276</v>
      </c>
      <c r="M2001" s="4" t="s">
        <v>2276</v>
      </c>
      <c r="N2001" s="4" t="s">
        <v>2276</v>
      </c>
      <c r="O2001" s="4" t="s">
        <v>2276</v>
      </c>
      <c r="P2001" s="4" t="s">
        <v>2276</v>
      </c>
      <c r="Q2001" s="4" t="s">
        <v>2276</v>
      </c>
      <c r="R2001" s="4" t="s">
        <v>2276</v>
      </c>
      <c r="S2001" s="4" t="s">
        <v>2276</v>
      </c>
      <c r="T2001" s="4" t="s">
        <v>2276</v>
      </c>
      <c r="U2001" s="4" t="s">
        <v>2276</v>
      </c>
      <c r="V2001" s="4" t="s">
        <v>2276</v>
      </c>
      <c r="W2001" s="4" t="s">
        <v>2276</v>
      </c>
      <c r="X2001" s="4" t="s">
        <v>2276</v>
      </c>
      <c r="Y2001" s="4" t="s">
        <v>2276</v>
      </c>
      <c r="Z2001" s="4" t="s">
        <v>2276</v>
      </c>
      <c r="AA2001" s="4" t="s">
        <v>5733</v>
      </c>
      <c r="AB2001" s="3"/>
    </row>
    <row r="2002" spans="1:28" ht="58">
      <c r="A2002" s="156" t="str">
        <f>'Reported burning'!A2002</f>
        <v>230d</v>
      </c>
      <c r="B2002" s="156" t="str">
        <f>'Reported burning'!B2002</f>
        <v>230d.1</v>
      </c>
      <c r="C2002" s="156" t="str">
        <f>'Reported burning'!C2002</f>
        <v>Human, deliberate</v>
      </c>
      <c r="D2002" s="156" t="str">
        <f>'Reported burning'!D2002</f>
        <v>Pest management</v>
      </c>
      <c r="E2002" s="156" t="str">
        <f>'Reported burning'!E2002</f>
        <v>Cropping, Monoculture, Market-oriented</v>
      </c>
      <c r="F2002" s="156" t="str">
        <f>'Reported burning'!F2002</f>
        <v>Cropland</v>
      </c>
      <c r="G2002" s="156" t="str">
        <f>'Reported burning'!G2002</f>
        <v>ND</v>
      </c>
      <c r="H2002" s="156" t="str">
        <f>'Reported burning'!H2002</f>
        <v>Presence</v>
      </c>
      <c r="I2002" s="5"/>
      <c r="J2002" s="4" t="s">
        <v>2276</v>
      </c>
      <c r="K2002" s="4" t="s">
        <v>2276</v>
      </c>
      <c r="L2002" s="4" t="s">
        <v>2276</v>
      </c>
      <c r="M2002" s="4" t="s">
        <v>2276</v>
      </c>
      <c r="N2002" s="4" t="s">
        <v>2276</v>
      </c>
      <c r="O2002" s="4" t="s">
        <v>2276</v>
      </c>
      <c r="P2002" s="4" t="s">
        <v>2276</v>
      </c>
      <c r="Q2002" s="4" t="s">
        <v>2276</v>
      </c>
      <c r="R2002" s="4" t="s">
        <v>2276</v>
      </c>
      <c r="S2002" s="4" t="s">
        <v>2276</v>
      </c>
      <c r="T2002" s="4" t="s">
        <v>2276</v>
      </c>
      <c r="U2002" s="4" t="s">
        <v>2276</v>
      </c>
      <c r="V2002" s="4" t="s">
        <v>2276</v>
      </c>
      <c r="W2002" s="4" t="s">
        <v>2276</v>
      </c>
      <c r="X2002" s="4" t="s">
        <v>2276</v>
      </c>
      <c r="Y2002" s="4" t="s">
        <v>2276</v>
      </c>
      <c r="Z2002" s="4" t="s">
        <v>2276</v>
      </c>
      <c r="AA2002" s="4" t="s">
        <v>5733</v>
      </c>
      <c r="AB2002" s="3"/>
    </row>
    <row r="2003" spans="1:28" ht="40" customHeight="1">
      <c r="A2003" s="152" t="str">
        <f>'Reported burning'!A2003</f>
        <v>231a</v>
      </c>
      <c r="B2003" s="152" t="str">
        <f>'Reported burning'!B2003</f>
        <v>231a.1</v>
      </c>
      <c r="C2003" s="152" t="str">
        <f>'Reported burning'!C2003</f>
        <v>All</v>
      </c>
      <c r="D2003" s="152" t="str">
        <f>'Reported burning'!D2003</f>
        <v>All</v>
      </c>
      <c r="E2003" s="152" t="str">
        <f>'Reported burning'!E2003</f>
        <v>All</v>
      </c>
      <c r="F2003" s="152" t="str">
        <f>'Reported burning'!F2003</f>
        <v>All</v>
      </c>
      <c r="G2003" s="152" t="str">
        <f>'Reported burning'!G2003</f>
        <v>Forest</v>
      </c>
      <c r="H2003" s="152" t="str">
        <f>'Reported burning'!H2003</f>
        <v>Presence</v>
      </c>
      <c r="I2003" s="3"/>
      <c r="J2003" s="4" t="s">
        <v>2276</v>
      </c>
      <c r="K2003" s="4" t="s">
        <v>2276</v>
      </c>
      <c r="L2003" s="21" t="s">
        <v>2362</v>
      </c>
      <c r="M2003" s="4" t="s">
        <v>2276</v>
      </c>
      <c r="N2003" s="21" t="s">
        <v>2380</v>
      </c>
      <c r="O2003" s="4" t="s">
        <v>2276</v>
      </c>
      <c r="P2003" s="21" t="s">
        <v>2377</v>
      </c>
      <c r="Q2003" s="4" t="s">
        <v>2276</v>
      </c>
      <c r="R2003" s="21" t="s">
        <v>2362</v>
      </c>
      <c r="S2003" s="4" t="s">
        <v>2276</v>
      </c>
      <c r="T2003" s="4" t="s">
        <v>2276</v>
      </c>
      <c r="U2003" s="4" t="s">
        <v>2276</v>
      </c>
      <c r="V2003" s="4" t="s">
        <v>2276</v>
      </c>
      <c r="W2003" s="4" t="s">
        <v>2276</v>
      </c>
      <c r="X2003" s="4" t="s">
        <v>2276</v>
      </c>
      <c r="Y2003" s="4" t="s">
        <v>2276</v>
      </c>
      <c r="Z2003" s="4" t="s">
        <v>2276</v>
      </c>
      <c r="AA2003" s="4"/>
      <c r="AB2003" s="4" t="s">
        <v>5749</v>
      </c>
    </row>
    <row r="2004" spans="1:28" ht="40" customHeight="1">
      <c r="A2004" s="152" t="str">
        <f>'Reported burning'!A2004</f>
        <v>231b</v>
      </c>
      <c r="B2004" s="152" t="str">
        <f>'Reported burning'!B2004</f>
        <v>231b.1</v>
      </c>
      <c r="C2004" s="152" t="str">
        <f>'Reported burning'!C2004</f>
        <v>All</v>
      </c>
      <c r="D2004" s="152" t="str">
        <f>'Reported burning'!D2004</f>
        <v>All</v>
      </c>
      <c r="E2004" s="152" t="str">
        <f>'Reported burning'!E2004</f>
        <v>All</v>
      </c>
      <c r="F2004" s="152" t="str">
        <f>'Reported burning'!F2004</f>
        <v>All</v>
      </c>
      <c r="G2004" s="152" t="str">
        <f>'Reported burning'!G2004</f>
        <v>Forest</v>
      </c>
      <c r="H2004" s="152" t="str">
        <f>'Reported burning'!H2004</f>
        <v>Presence</v>
      </c>
      <c r="I2004" s="3"/>
      <c r="J2004" s="4" t="s">
        <v>2276</v>
      </c>
      <c r="K2004" s="4" t="s">
        <v>2276</v>
      </c>
      <c r="L2004" s="21" t="s">
        <v>2362</v>
      </c>
      <c r="M2004" s="4" t="s">
        <v>2276</v>
      </c>
      <c r="N2004" s="21" t="s">
        <v>2380</v>
      </c>
      <c r="O2004" s="4" t="s">
        <v>2276</v>
      </c>
      <c r="P2004" s="21" t="s">
        <v>2377</v>
      </c>
      <c r="Q2004" s="4" t="s">
        <v>2276</v>
      </c>
      <c r="R2004" s="21" t="s">
        <v>2362</v>
      </c>
      <c r="S2004" s="4" t="s">
        <v>2276</v>
      </c>
      <c r="T2004" s="4" t="s">
        <v>2276</v>
      </c>
      <c r="U2004" s="4" t="s">
        <v>2276</v>
      </c>
      <c r="V2004" s="4" t="s">
        <v>2276</v>
      </c>
      <c r="W2004" s="4" t="s">
        <v>2276</v>
      </c>
      <c r="X2004" s="4" t="s">
        <v>2276</v>
      </c>
      <c r="Y2004" s="4" t="s">
        <v>2276</v>
      </c>
      <c r="Z2004" s="4" t="s">
        <v>2276</v>
      </c>
      <c r="AA2004" s="3"/>
      <c r="AB2004" s="4" t="s">
        <v>5749</v>
      </c>
    </row>
    <row r="2005" spans="1:28" ht="40" customHeight="1">
      <c r="A2005" s="152" t="str">
        <f>'Reported burning'!A2005</f>
        <v>231c</v>
      </c>
      <c r="B2005" s="152" t="str">
        <f>'Reported burning'!B2005</f>
        <v>231c.1</v>
      </c>
      <c r="C2005" s="152" t="str">
        <f>'Reported burning'!C2005</f>
        <v>All</v>
      </c>
      <c r="D2005" s="152" t="str">
        <f>'Reported burning'!D2005</f>
        <v>All</v>
      </c>
      <c r="E2005" s="152" t="str">
        <f>'Reported burning'!E2005</f>
        <v>All</v>
      </c>
      <c r="F2005" s="152" t="str">
        <f>'Reported burning'!F2005</f>
        <v>All</v>
      </c>
      <c r="G2005" s="152" t="str">
        <f>'Reported burning'!G2005</f>
        <v>Forest</v>
      </c>
      <c r="H2005" s="152" t="str">
        <f>'Reported burning'!H2005</f>
        <v>Presence</v>
      </c>
      <c r="I2005" s="3"/>
      <c r="J2005" s="4" t="s">
        <v>2276</v>
      </c>
      <c r="K2005" s="4" t="s">
        <v>2276</v>
      </c>
      <c r="L2005" s="21" t="s">
        <v>2362</v>
      </c>
      <c r="M2005" s="4" t="s">
        <v>2276</v>
      </c>
      <c r="N2005" s="21" t="s">
        <v>2380</v>
      </c>
      <c r="O2005" s="4" t="s">
        <v>2276</v>
      </c>
      <c r="P2005" s="21" t="s">
        <v>2377</v>
      </c>
      <c r="Q2005" s="4" t="s">
        <v>2276</v>
      </c>
      <c r="R2005" s="21" t="s">
        <v>2362</v>
      </c>
      <c r="S2005" s="4" t="s">
        <v>2276</v>
      </c>
      <c r="T2005" s="4" t="s">
        <v>2276</v>
      </c>
      <c r="U2005" s="4" t="s">
        <v>2276</v>
      </c>
      <c r="V2005" s="4" t="s">
        <v>2276</v>
      </c>
      <c r="W2005" s="4" t="s">
        <v>2276</v>
      </c>
      <c r="X2005" s="4" t="s">
        <v>2276</v>
      </c>
      <c r="Y2005" s="4" t="s">
        <v>2276</v>
      </c>
      <c r="Z2005" s="4" t="s">
        <v>2276</v>
      </c>
      <c r="AA2005" s="3"/>
      <c r="AB2005" s="4" t="s">
        <v>5749</v>
      </c>
    </row>
    <row r="2006" spans="1:28" ht="51" customHeight="1">
      <c r="A2006" s="156" t="str">
        <f>'Reported burning'!A2006</f>
        <v>231a</v>
      </c>
      <c r="B2006" s="156" t="str">
        <f>'Reported burning'!B2006</f>
        <v>231a.2</v>
      </c>
      <c r="C2006" s="156" t="str">
        <f>'Reported burning'!C2006</f>
        <v>Human, deliberate</v>
      </c>
      <c r="D2006" s="156" t="str">
        <f>'Reported burning'!D2006</f>
        <v>Pyrome management</v>
      </c>
      <c r="E2006" s="156" t="str">
        <f>'Reported burning'!E2006</f>
        <v>Cropping, Monoculture, Subsistence-oriented</v>
      </c>
      <c r="F2006" s="156" t="str">
        <f>'Reported burning'!F2006</f>
        <v>Forest</v>
      </c>
      <c r="G2006" s="156" t="str">
        <f>'Reported burning'!G2006</f>
        <v>ND</v>
      </c>
      <c r="H2006" s="156" t="str">
        <f>'Reported burning'!H2006</f>
        <v>Presence</v>
      </c>
      <c r="I2006" s="5"/>
      <c r="J2006" s="4" t="s">
        <v>2276</v>
      </c>
      <c r="K2006" s="21" t="s">
        <v>2362</v>
      </c>
      <c r="L2006" s="4" t="s">
        <v>2276</v>
      </c>
      <c r="M2006" s="4" t="s">
        <v>2276</v>
      </c>
      <c r="N2006" s="4" t="s">
        <v>2276</v>
      </c>
      <c r="O2006" s="21" t="s">
        <v>2362</v>
      </c>
      <c r="P2006" s="4" t="s">
        <v>2276</v>
      </c>
      <c r="Q2006" s="21" t="s">
        <v>2362</v>
      </c>
      <c r="R2006" s="4" t="s">
        <v>2276</v>
      </c>
      <c r="S2006" s="4" t="s">
        <v>2276</v>
      </c>
      <c r="T2006" s="4" t="s">
        <v>2276</v>
      </c>
      <c r="U2006" s="4" t="s">
        <v>2276</v>
      </c>
      <c r="V2006" s="4" t="s">
        <v>2276</v>
      </c>
      <c r="W2006" s="4" t="s">
        <v>2276</v>
      </c>
      <c r="X2006" s="4" t="s">
        <v>2276</v>
      </c>
      <c r="Y2006" s="4" t="s">
        <v>2276</v>
      </c>
      <c r="Z2006" s="4" t="s">
        <v>2276</v>
      </c>
      <c r="AA2006" s="3"/>
      <c r="AB2006" s="4" t="s">
        <v>5758</v>
      </c>
    </row>
    <row r="2007" spans="1:28" ht="51" customHeight="1">
      <c r="A2007" s="156" t="str">
        <f>'Reported burning'!A2007</f>
        <v>231b</v>
      </c>
      <c r="B2007" s="156" t="str">
        <f>'Reported burning'!B2007</f>
        <v>231b.2</v>
      </c>
      <c r="C2007" s="156" t="str">
        <f>'Reported burning'!C2007</f>
        <v>Human, deliberate</v>
      </c>
      <c r="D2007" s="156" t="str">
        <f>'Reported burning'!D2007</f>
        <v>Pyrome management</v>
      </c>
      <c r="E2007" s="156" t="str">
        <f>'Reported burning'!E2007</f>
        <v>Cropping, Monoculture, Subsistence-oriented</v>
      </c>
      <c r="F2007" s="156" t="str">
        <f>'Reported burning'!F2007</f>
        <v>Forest</v>
      </c>
      <c r="G2007" s="156" t="str">
        <f>'Reported burning'!G2007</f>
        <v>ND</v>
      </c>
      <c r="H2007" s="156" t="str">
        <f>'Reported burning'!H2007</f>
        <v>Presence</v>
      </c>
      <c r="I2007" s="5"/>
      <c r="J2007" s="4" t="s">
        <v>2276</v>
      </c>
      <c r="K2007" s="21" t="s">
        <v>2362</v>
      </c>
      <c r="L2007" s="4" t="s">
        <v>2276</v>
      </c>
      <c r="M2007" s="4" t="s">
        <v>2276</v>
      </c>
      <c r="N2007" s="4" t="s">
        <v>2276</v>
      </c>
      <c r="O2007" s="21" t="s">
        <v>2362</v>
      </c>
      <c r="P2007" s="4" t="s">
        <v>2276</v>
      </c>
      <c r="Q2007" s="21" t="s">
        <v>2362</v>
      </c>
      <c r="R2007" s="4" t="s">
        <v>2276</v>
      </c>
      <c r="S2007" s="4" t="s">
        <v>2276</v>
      </c>
      <c r="T2007" s="4" t="s">
        <v>2276</v>
      </c>
      <c r="U2007" s="4" t="s">
        <v>2276</v>
      </c>
      <c r="V2007" s="4" t="s">
        <v>2276</v>
      </c>
      <c r="W2007" s="4" t="s">
        <v>2276</v>
      </c>
      <c r="X2007" s="4" t="s">
        <v>2276</v>
      </c>
      <c r="Y2007" s="4" t="s">
        <v>2276</v>
      </c>
      <c r="Z2007" s="4" t="s">
        <v>2276</v>
      </c>
      <c r="AA2007" s="3"/>
      <c r="AB2007" s="4" t="s">
        <v>5758</v>
      </c>
    </row>
    <row r="2008" spans="1:28" ht="51" customHeight="1">
      <c r="A2008" s="156" t="str">
        <f>'Reported burning'!A2008</f>
        <v>231c</v>
      </c>
      <c r="B2008" s="156" t="str">
        <f>'Reported burning'!B2008</f>
        <v>231c.2</v>
      </c>
      <c r="C2008" s="156" t="str">
        <f>'Reported burning'!C2008</f>
        <v>Human, deliberate</v>
      </c>
      <c r="D2008" s="156" t="str">
        <f>'Reported burning'!D2008</f>
        <v>Pyrome management</v>
      </c>
      <c r="E2008" s="156" t="str">
        <f>'Reported burning'!E2008</f>
        <v>Cropping, Monoculture, Subsistence-oriented</v>
      </c>
      <c r="F2008" s="156" t="str">
        <f>'Reported burning'!F2008</f>
        <v>Forest</v>
      </c>
      <c r="G2008" s="156" t="str">
        <f>'Reported burning'!G2008</f>
        <v>ND</v>
      </c>
      <c r="H2008" s="156" t="str">
        <f>'Reported burning'!H2008</f>
        <v>Presence</v>
      </c>
      <c r="I2008" s="5"/>
      <c r="J2008" s="4" t="s">
        <v>2276</v>
      </c>
      <c r="K2008" s="21" t="s">
        <v>2362</v>
      </c>
      <c r="L2008" s="4" t="s">
        <v>2276</v>
      </c>
      <c r="M2008" s="4" t="s">
        <v>2276</v>
      </c>
      <c r="N2008" s="4" t="s">
        <v>2276</v>
      </c>
      <c r="O2008" s="21" t="s">
        <v>2362</v>
      </c>
      <c r="P2008" s="4" t="s">
        <v>2276</v>
      </c>
      <c r="Q2008" s="21" t="s">
        <v>2362</v>
      </c>
      <c r="R2008" s="4" t="s">
        <v>2276</v>
      </c>
      <c r="S2008" s="4" t="s">
        <v>2276</v>
      </c>
      <c r="T2008" s="4" t="s">
        <v>2276</v>
      </c>
      <c r="U2008" s="4" t="s">
        <v>2276</v>
      </c>
      <c r="V2008" s="4" t="s">
        <v>2276</v>
      </c>
      <c r="W2008" s="4" t="s">
        <v>2276</v>
      </c>
      <c r="X2008" s="4" t="s">
        <v>2276</v>
      </c>
      <c r="Y2008" s="4" t="s">
        <v>2276</v>
      </c>
      <c r="Z2008" s="4" t="s">
        <v>2276</v>
      </c>
      <c r="AA2008" s="3"/>
      <c r="AB2008" s="4" t="s">
        <v>5758</v>
      </c>
    </row>
    <row r="2009" spans="1:28" ht="65" customHeight="1">
      <c r="A2009" s="156" t="str">
        <f>'Reported burning'!A2009</f>
        <v>231a</v>
      </c>
      <c r="B2009" s="156" t="str">
        <f>'Reported burning'!B2009</f>
        <v>231a.3</v>
      </c>
      <c r="C2009" s="156" t="str">
        <f>'Reported burning'!C2009</f>
        <v>Human, deliberate</v>
      </c>
      <c r="D2009" s="156" t="str">
        <f>'Reported burning'!D2009</f>
        <v>Crop residue burning</v>
      </c>
      <c r="E2009" s="156" t="str">
        <f>'Reported burning'!E2009</f>
        <v>Cropping, Monoculture, Subsistence-oriented</v>
      </c>
      <c r="F2009" s="156" t="str">
        <f>'Reported burning'!F2009</f>
        <v>Cropland</v>
      </c>
      <c r="G2009" s="156" t="str">
        <f>'Reported burning'!G2009</f>
        <v>ND</v>
      </c>
      <c r="H2009" s="156" t="str">
        <f>'Reported burning'!H2009</f>
        <v>Presence</v>
      </c>
      <c r="I2009" s="5"/>
      <c r="J2009" s="4" t="s">
        <v>2276</v>
      </c>
      <c r="K2009" s="103" t="s">
        <v>2362</v>
      </c>
      <c r="L2009" s="4" t="s">
        <v>2276</v>
      </c>
      <c r="M2009" s="4" t="s">
        <v>2276</v>
      </c>
      <c r="N2009" s="4" t="s">
        <v>2276</v>
      </c>
      <c r="O2009" s="103" t="s">
        <v>2362</v>
      </c>
      <c r="P2009" s="4" t="s">
        <v>2276</v>
      </c>
      <c r="Q2009" s="103" t="s">
        <v>2362</v>
      </c>
      <c r="R2009" s="4" t="s">
        <v>2276</v>
      </c>
      <c r="S2009" s="21" t="s">
        <v>2389</v>
      </c>
      <c r="T2009" s="4" t="s">
        <v>2276</v>
      </c>
      <c r="U2009" s="4" t="s">
        <v>2276</v>
      </c>
      <c r="V2009" s="4" t="s">
        <v>2276</v>
      </c>
      <c r="W2009" s="4" t="s">
        <v>2276</v>
      </c>
      <c r="X2009" s="4" t="s">
        <v>2276</v>
      </c>
      <c r="Y2009" s="4" t="s">
        <v>2276</v>
      </c>
      <c r="Z2009" s="4" t="s">
        <v>2276</v>
      </c>
      <c r="AA2009" s="3"/>
      <c r="AB2009" s="4" t="s">
        <v>5763</v>
      </c>
    </row>
    <row r="2010" spans="1:28" ht="65" customHeight="1">
      <c r="A2010" s="156" t="str">
        <f>'Reported burning'!A2010</f>
        <v>231b</v>
      </c>
      <c r="B2010" s="156" t="str">
        <f>'Reported burning'!B2010</f>
        <v>231b.3</v>
      </c>
      <c r="C2010" s="156" t="str">
        <f>'Reported burning'!C2010</f>
        <v>Human, deliberate</v>
      </c>
      <c r="D2010" s="156" t="str">
        <f>'Reported burning'!D2010</f>
        <v>Crop residue burning</v>
      </c>
      <c r="E2010" s="156" t="str">
        <f>'Reported burning'!E2010</f>
        <v>Cropping, Monoculture, Subsistence-oriented</v>
      </c>
      <c r="F2010" s="156" t="str">
        <f>'Reported burning'!F2010</f>
        <v>Cropland</v>
      </c>
      <c r="G2010" s="156" t="str">
        <f>'Reported burning'!G2010</f>
        <v>ND</v>
      </c>
      <c r="H2010" s="156" t="str">
        <f>'Reported burning'!H2010</f>
        <v>Presence</v>
      </c>
      <c r="I2010" s="5"/>
      <c r="J2010" s="4" t="s">
        <v>2276</v>
      </c>
      <c r="K2010" s="103" t="s">
        <v>2362</v>
      </c>
      <c r="L2010" s="4" t="s">
        <v>2276</v>
      </c>
      <c r="M2010" s="4" t="s">
        <v>2276</v>
      </c>
      <c r="N2010" s="4" t="s">
        <v>2276</v>
      </c>
      <c r="O2010" s="103" t="s">
        <v>2362</v>
      </c>
      <c r="P2010" s="4" t="s">
        <v>2276</v>
      </c>
      <c r="Q2010" s="103" t="s">
        <v>2362</v>
      </c>
      <c r="R2010" s="4" t="s">
        <v>2276</v>
      </c>
      <c r="S2010" s="21" t="s">
        <v>2389</v>
      </c>
      <c r="T2010" s="4" t="s">
        <v>2276</v>
      </c>
      <c r="U2010" s="4" t="s">
        <v>2276</v>
      </c>
      <c r="V2010" s="4" t="s">
        <v>2276</v>
      </c>
      <c r="W2010" s="4" t="s">
        <v>2276</v>
      </c>
      <c r="X2010" s="4" t="s">
        <v>2276</v>
      </c>
      <c r="Y2010" s="4" t="s">
        <v>2276</v>
      </c>
      <c r="Z2010" s="4" t="s">
        <v>2276</v>
      </c>
      <c r="AA2010" s="3"/>
      <c r="AB2010" s="4" t="s">
        <v>5763</v>
      </c>
    </row>
    <row r="2011" spans="1:28" ht="65" customHeight="1">
      <c r="A2011" s="156" t="str">
        <f>'Reported burning'!A2011</f>
        <v>231c</v>
      </c>
      <c r="B2011" s="156" t="str">
        <f>'Reported burning'!B2011</f>
        <v>231c.3</v>
      </c>
      <c r="C2011" s="156" t="str">
        <f>'Reported burning'!C2011</f>
        <v>Human, deliberate</v>
      </c>
      <c r="D2011" s="156" t="str">
        <f>'Reported burning'!D2011</f>
        <v>Crop residue burning</v>
      </c>
      <c r="E2011" s="156" t="str">
        <f>'Reported burning'!E2011</f>
        <v>Cropping, Monoculture, Subsistence-oriented</v>
      </c>
      <c r="F2011" s="156" t="str">
        <f>'Reported burning'!F2011</f>
        <v>Cropland</v>
      </c>
      <c r="G2011" s="156" t="str">
        <f>'Reported burning'!G2011</f>
        <v>ND</v>
      </c>
      <c r="H2011" s="156" t="str">
        <f>'Reported burning'!H2011</f>
        <v>Presence</v>
      </c>
      <c r="I2011" s="5"/>
      <c r="J2011" s="4" t="s">
        <v>2276</v>
      </c>
      <c r="K2011" s="103" t="s">
        <v>2362</v>
      </c>
      <c r="L2011" s="4" t="s">
        <v>2276</v>
      </c>
      <c r="M2011" s="4" t="s">
        <v>2276</v>
      </c>
      <c r="N2011" s="4" t="s">
        <v>2276</v>
      </c>
      <c r="O2011" s="103" t="s">
        <v>2362</v>
      </c>
      <c r="P2011" s="4" t="s">
        <v>2276</v>
      </c>
      <c r="Q2011" s="103" t="s">
        <v>2362</v>
      </c>
      <c r="R2011" s="4" t="s">
        <v>2276</v>
      </c>
      <c r="S2011" s="21" t="s">
        <v>2389</v>
      </c>
      <c r="T2011" s="4" t="s">
        <v>2276</v>
      </c>
      <c r="U2011" s="4" t="s">
        <v>2276</v>
      </c>
      <c r="V2011" s="4" t="s">
        <v>2276</v>
      </c>
      <c r="W2011" s="4" t="s">
        <v>2276</v>
      </c>
      <c r="X2011" s="4" t="s">
        <v>2276</v>
      </c>
      <c r="Y2011" s="4" t="s">
        <v>2276</v>
      </c>
      <c r="Z2011" s="4" t="s">
        <v>2276</v>
      </c>
      <c r="AA2011" s="3"/>
      <c r="AB2011" s="4" t="s">
        <v>5763</v>
      </c>
    </row>
    <row r="2012" spans="1:28" ht="30" customHeight="1">
      <c r="A2012" s="156" t="str">
        <f>'Reported burning'!A2012</f>
        <v>231a</v>
      </c>
      <c r="B2012" s="156" t="str">
        <f>'Reported burning'!B2012</f>
        <v>231a.4</v>
      </c>
      <c r="C2012" s="156" t="str">
        <f>'Reported burning'!C2012</f>
        <v>Human, deliberate</v>
      </c>
      <c r="D2012" s="156" t="str">
        <f>'Reported burning'!D2012</f>
        <v>Domestic</v>
      </c>
      <c r="E2012" s="156" t="str">
        <f>'Reported burning'!E2012</f>
        <v>ND</v>
      </c>
      <c r="F2012" s="156" t="str">
        <f>'Reported burning'!F2012</f>
        <v>ND</v>
      </c>
      <c r="G2012" s="156" t="str">
        <f>'Reported burning'!G2012</f>
        <v>ND</v>
      </c>
      <c r="H2012" s="156" t="str">
        <f>'Reported burning'!H2012</f>
        <v>Presence</v>
      </c>
      <c r="I2012" s="5"/>
      <c r="J2012" s="4" t="s">
        <v>2276</v>
      </c>
      <c r="K2012" s="4" t="s">
        <v>2276</v>
      </c>
      <c r="L2012" s="4" t="s">
        <v>2276</v>
      </c>
      <c r="M2012" s="4" t="s">
        <v>2276</v>
      </c>
      <c r="N2012" s="4" t="s">
        <v>2276</v>
      </c>
      <c r="O2012" s="4" t="s">
        <v>2276</v>
      </c>
      <c r="P2012" s="4" t="s">
        <v>2276</v>
      </c>
      <c r="Q2012" s="4" t="s">
        <v>2276</v>
      </c>
      <c r="R2012" s="4" t="s">
        <v>2276</v>
      </c>
      <c r="S2012" s="4" t="s">
        <v>2276</v>
      </c>
      <c r="T2012" s="4" t="s">
        <v>2276</v>
      </c>
      <c r="U2012" s="4" t="s">
        <v>2276</v>
      </c>
      <c r="V2012" s="4" t="s">
        <v>2276</v>
      </c>
      <c r="W2012" s="4" t="s">
        <v>2276</v>
      </c>
      <c r="X2012" s="4" t="s">
        <v>2276</v>
      </c>
      <c r="Y2012" s="4" t="s">
        <v>2276</v>
      </c>
      <c r="Z2012" s="4" t="s">
        <v>2276</v>
      </c>
      <c r="AA2012" s="3" t="s">
        <v>5770</v>
      </c>
      <c r="AB2012" s="3"/>
    </row>
    <row r="2013" spans="1:28" ht="30" customHeight="1">
      <c r="A2013" s="156" t="str">
        <f>'Reported burning'!A2013</f>
        <v>231b</v>
      </c>
      <c r="B2013" s="156" t="str">
        <f>'Reported burning'!B2013</f>
        <v>231b.4</v>
      </c>
      <c r="C2013" s="156" t="str">
        <f>'Reported burning'!C2013</f>
        <v>Human, deliberate</v>
      </c>
      <c r="D2013" s="156" t="str">
        <f>'Reported burning'!D2013</f>
        <v>Domestic</v>
      </c>
      <c r="E2013" s="156" t="str">
        <f>'Reported burning'!E2013</f>
        <v>ND</v>
      </c>
      <c r="F2013" s="156" t="str">
        <f>'Reported burning'!F2013</f>
        <v>ND</v>
      </c>
      <c r="G2013" s="156" t="str">
        <f>'Reported burning'!G2013</f>
        <v>ND</v>
      </c>
      <c r="H2013" s="156" t="str">
        <f>'Reported burning'!H2013</f>
        <v>Presence</v>
      </c>
      <c r="I2013" s="5"/>
      <c r="J2013" s="4" t="s">
        <v>2276</v>
      </c>
      <c r="K2013" s="4" t="s">
        <v>2276</v>
      </c>
      <c r="L2013" s="4" t="s">
        <v>2276</v>
      </c>
      <c r="M2013" s="4" t="s">
        <v>2276</v>
      </c>
      <c r="N2013" s="4" t="s">
        <v>2276</v>
      </c>
      <c r="O2013" s="4" t="s">
        <v>2276</v>
      </c>
      <c r="P2013" s="4" t="s">
        <v>2276</v>
      </c>
      <c r="Q2013" s="4" t="s">
        <v>2276</v>
      </c>
      <c r="R2013" s="4" t="s">
        <v>2276</v>
      </c>
      <c r="S2013" s="4" t="s">
        <v>2276</v>
      </c>
      <c r="T2013" s="4" t="s">
        <v>2276</v>
      </c>
      <c r="U2013" s="4" t="s">
        <v>2276</v>
      </c>
      <c r="V2013" s="4" t="s">
        <v>2276</v>
      </c>
      <c r="W2013" s="4" t="s">
        <v>2276</v>
      </c>
      <c r="X2013" s="4" t="s">
        <v>2276</v>
      </c>
      <c r="Y2013" s="4" t="s">
        <v>2276</v>
      </c>
      <c r="Z2013" s="4" t="s">
        <v>2276</v>
      </c>
      <c r="AA2013" s="3" t="s">
        <v>5770</v>
      </c>
      <c r="AB2013" s="3"/>
    </row>
    <row r="2014" spans="1:28" ht="30" customHeight="1">
      <c r="A2014" s="156" t="str">
        <f>'Reported burning'!A2014</f>
        <v>231c</v>
      </c>
      <c r="B2014" s="156" t="str">
        <f>'Reported burning'!B2014</f>
        <v>231c.4</v>
      </c>
      <c r="C2014" s="156" t="str">
        <f>'Reported burning'!C2014</f>
        <v>Human, deliberate</v>
      </c>
      <c r="D2014" s="156" t="str">
        <f>'Reported burning'!D2014</f>
        <v>Domestic</v>
      </c>
      <c r="E2014" s="156" t="str">
        <f>'Reported burning'!E2014</f>
        <v>ND</v>
      </c>
      <c r="F2014" s="156" t="str">
        <f>'Reported burning'!F2014</f>
        <v>ND</v>
      </c>
      <c r="G2014" s="156" t="str">
        <f>'Reported burning'!G2014</f>
        <v>ND</v>
      </c>
      <c r="H2014" s="156" t="str">
        <f>'Reported burning'!H2014</f>
        <v>Presence</v>
      </c>
      <c r="I2014" s="5"/>
      <c r="J2014" s="4" t="s">
        <v>2276</v>
      </c>
      <c r="K2014" s="4" t="s">
        <v>2276</v>
      </c>
      <c r="L2014" s="4" t="s">
        <v>2276</v>
      </c>
      <c r="M2014" s="4" t="s">
        <v>2276</v>
      </c>
      <c r="N2014" s="4" t="s">
        <v>2276</v>
      </c>
      <c r="O2014" s="4" t="s">
        <v>2276</v>
      </c>
      <c r="P2014" s="4" t="s">
        <v>2276</v>
      </c>
      <c r="Q2014" s="4" t="s">
        <v>2276</v>
      </c>
      <c r="R2014" s="4" t="s">
        <v>2276</v>
      </c>
      <c r="S2014" s="4" t="s">
        <v>2276</v>
      </c>
      <c r="T2014" s="4" t="s">
        <v>2276</v>
      </c>
      <c r="U2014" s="4" t="s">
        <v>2276</v>
      </c>
      <c r="V2014" s="4" t="s">
        <v>2276</v>
      </c>
      <c r="W2014" s="4" t="s">
        <v>2276</v>
      </c>
      <c r="X2014" s="4" t="s">
        <v>2276</v>
      </c>
      <c r="Y2014" s="4" t="s">
        <v>2276</v>
      </c>
      <c r="Z2014" s="4" t="s">
        <v>2276</v>
      </c>
      <c r="AA2014" s="3" t="s">
        <v>5770</v>
      </c>
      <c r="AB2014" s="3"/>
    </row>
    <row r="2015" spans="1:28" ht="30" customHeight="1">
      <c r="A2015" s="156" t="str">
        <f>'Reported burning'!A2015</f>
        <v>231a</v>
      </c>
      <c r="B2015" s="156" t="str">
        <f>'Reported burning'!B2015</f>
        <v>231a.5</v>
      </c>
      <c r="C2015" s="156" t="str">
        <f>'Reported burning'!C2015</f>
        <v>Human, deliberate</v>
      </c>
      <c r="D2015" s="156" t="str">
        <f>'Reported burning'!D2015</f>
        <v>Rangeland management</v>
      </c>
      <c r="E2015" s="156" t="str">
        <f>'Reported burning'!E2015</f>
        <v>Cattle, Extensive</v>
      </c>
      <c r="F2015" s="156" t="str">
        <f>'Reported burning'!F2015</f>
        <v>Shrubland (Mixed forest &amp; grassland)</v>
      </c>
      <c r="G2015" s="156" t="str">
        <f>'Reported burning'!G2015</f>
        <v>ND</v>
      </c>
      <c r="H2015" s="156" t="str">
        <f>'Reported burning'!H2015</f>
        <v>Presence</v>
      </c>
      <c r="I2015" s="5"/>
      <c r="J2015" s="4" t="s">
        <v>2276</v>
      </c>
      <c r="K2015" s="4" t="s">
        <v>2276</v>
      </c>
      <c r="L2015" s="4" t="s">
        <v>2276</v>
      </c>
      <c r="M2015" s="4" t="s">
        <v>2276</v>
      </c>
      <c r="N2015" s="4" t="s">
        <v>2276</v>
      </c>
      <c r="O2015" s="4" t="s">
        <v>2276</v>
      </c>
      <c r="P2015" s="4" t="s">
        <v>2276</v>
      </c>
      <c r="Q2015" s="4" t="s">
        <v>2276</v>
      </c>
      <c r="R2015" s="4" t="s">
        <v>2276</v>
      </c>
      <c r="S2015" s="4" t="s">
        <v>2276</v>
      </c>
      <c r="T2015" s="4" t="s">
        <v>2276</v>
      </c>
      <c r="U2015" s="4" t="s">
        <v>2276</v>
      </c>
      <c r="V2015" s="4" t="s">
        <v>2276</v>
      </c>
      <c r="W2015" s="4" t="s">
        <v>2276</v>
      </c>
      <c r="X2015" s="4" t="s">
        <v>2276</v>
      </c>
      <c r="Y2015" s="4" t="s">
        <v>2276</v>
      </c>
      <c r="Z2015" s="4" t="s">
        <v>2276</v>
      </c>
      <c r="AA2015" s="3"/>
      <c r="AB2015" s="3"/>
    </row>
    <row r="2016" spans="1:28" ht="30" customHeight="1">
      <c r="A2016" s="156" t="str">
        <f>'Reported burning'!A2016</f>
        <v>231b</v>
      </c>
      <c r="B2016" s="156" t="str">
        <f>'Reported burning'!B2016</f>
        <v>231b.5</v>
      </c>
      <c r="C2016" s="156" t="str">
        <f>'Reported burning'!C2016</f>
        <v>Human, deliberate</v>
      </c>
      <c r="D2016" s="156" t="str">
        <f>'Reported burning'!D2016</f>
        <v>Rangeland management</v>
      </c>
      <c r="E2016" s="156" t="str">
        <f>'Reported burning'!E2016</f>
        <v>Cattle, Extensive</v>
      </c>
      <c r="F2016" s="156" t="str">
        <f>'Reported burning'!F2016</f>
        <v>Shrubland (Mixed forest &amp; grassland)</v>
      </c>
      <c r="G2016" s="156" t="str">
        <f>'Reported burning'!G2016</f>
        <v>ND</v>
      </c>
      <c r="H2016" s="156" t="str">
        <f>'Reported burning'!H2016</f>
        <v>Presence</v>
      </c>
      <c r="I2016" s="5"/>
      <c r="J2016" s="4" t="s">
        <v>2276</v>
      </c>
      <c r="K2016" s="4" t="s">
        <v>2276</v>
      </c>
      <c r="L2016" s="4" t="s">
        <v>2276</v>
      </c>
      <c r="M2016" s="4" t="s">
        <v>2276</v>
      </c>
      <c r="N2016" s="4" t="s">
        <v>2276</v>
      </c>
      <c r="O2016" s="4" t="s">
        <v>2276</v>
      </c>
      <c r="P2016" s="4" t="s">
        <v>2276</v>
      </c>
      <c r="Q2016" s="4" t="s">
        <v>2276</v>
      </c>
      <c r="R2016" s="4" t="s">
        <v>2276</v>
      </c>
      <c r="S2016" s="4" t="s">
        <v>2276</v>
      </c>
      <c r="T2016" s="4" t="s">
        <v>2276</v>
      </c>
      <c r="U2016" s="4" t="s">
        <v>2276</v>
      </c>
      <c r="V2016" s="4" t="s">
        <v>2276</v>
      </c>
      <c r="W2016" s="4" t="s">
        <v>2276</v>
      </c>
      <c r="X2016" s="4" t="s">
        <v>2276</v>
      </c>
      <c r="Y2016" s="4" t="s">
        <v>2276</v>
      </c>
      <c r="Z2016" s="4" t="s">
        <v>2276</v>
      </c>
      <c r="AA2016" s="3"/>
      <c r="AB2016" s="3"/>
    </row>
    <row r="2017" spans="1:28" ht="30" customHeight="1">
      <c r="A2017" s="156" t="str">
        <f>'Reported burning'!A2017</f>
        <v>231c</v>
      </c>
      <c r="B2017" s="156" t="str">
        <f>'Reported burning'!B2017</f>
        <v>231c.5</v>
      </c>
      <c r="C2017" s="156" t="str">
        <f>'Reported burning'!C2017</f>
        <v>Human, deliberate</v>
      </c>
      <c r="D2017" s="156" t="str">
        <f>'Reported burning'!D2017</f>
        <v>Rangeland management</v>
      </c>
      <c r="E2017" s="156" t="str">
        <f>'Reported burning'!E2017</f>
        <v>Cattle, Extensive</v>
      </c>
      <c r="F2017" s="156" t="str">
        <f>'Reported burning'!F2017</f>
        <v>Shrubland (Mixed forest &amp; grassland)</v>
      </c>
      <c r="G2017" s="156" t="str">
        <f>'Reported burning'!G2017</f>
        <v>ND</v>
      </c>
      <c r="H2017" s="156" t="str">
        <f>'Reported burning'!H2017</f>
        <v>Presence</v>
      </c>
      <c r="I2017" s="5"/>
      <c r="J2017" s="4" t="s">
        <v>2276</v>
      </c>
      <c r="K2017" s="4" t="s">
        <v>2276</v>
      </c>
      <c r="L2017" s="4" t="s">
        <v>2276</v>
      </c>
      <c r="M2017" s="4" t="s">
        <v>2276</v>
      </c>
      <c r="N2017" s="4" t="s">
        <v>2276</v>
      </c>
      <c r="O2017" s="4" t="s">
        <v>2276</v>
      </c>
      <c r="P2017" s="4" t="s">
        <v>2276</v>
      </c>
      <c r="Q2017" s="4" t="s">
        <v>2276</v>
      </c>
      <c r="R2017" s="4" t="s">
        <v>2276</v>
      </c>
      <c r="S2017" s="4" t="s">
        <v>2276</v>
      </c>
      <c r="T2017" s="4" t="s">
        <v>2276</v>
      </c>
      <c r="U2017" s="4" t="s">
        <v>2276</v>
      </c>
      <c r="V2017" s="4" t="s">
        <v>2276</v>
      </c>
      <c r="W2017" s="4" t="s">
        <v>2276</v>
      </c>
      <c r="X2017" s="4" t="s">
        <v>2276</v>
      </c>
      <c r="Y2017" s="4" t="s">
        <v>2276</v>
      </c>
      <c r="Z2017" s="4" t="s">
        <v>2276</v>
      </c>
      <c r="AA2017" s="3"/>
      <c r="AB2017" s="3"/>
    </row>
    <row r="2018" spans="1:28" ht="30" customHeight="1">
      <c r="A2018" s="156" t="str">
        <f>'Reported burning'!A2018</f>
        <v>231a</v>
      </c>
      <c r="B2018" s="156" t="str">
        <f>'Reported burning'!B2018</f>
        <v>231a.6</v>
      </c>
      <c r="C2018" s="156" t="str">
        <f>'Reported burning'!C2018</f>
        <v>Human, deliberate</v>
      </c>
      <c r="D2018" s="156" t="str">
        <f>'Reported burning'!D2018</f>
        <v>Harvesting of NTFP</v>
      </c>
      <c r="E2018" s="156" t="str">
        <f>'Reported burning'!E2018</f>
        <v>ND</v>
      </c>
      <c r="F2018" s="156" t="str">
        <f>'Reported burning'!F2018</f>
        <v>Forest</v>
      </c>
      <c r="G2018" s="156" t="str">
        <f>'Reported burning'!G2018</f>
        <v>ND</v>
      </c>
      <c r="H2018" s="156" t="str">
        <f>'Reported burning'!H2018</f>
        <v>Presence</v>
      </c>
      <c r="I2018" s="5"/>
      <c r="J2018" s="4" t="s">
        <v>2276</v>
      </c>
      <c r="K2018" s="4" t="s">
        <v>2276</v>
      </c>
      <c r="L2018" s="4" t="s">
        <v>2276</v>
      </c>
      <c r="M2018" s="4" t="s">
        <v>2276</v>
      </c>
      <c r="N2018" s="4" t="s">
        <v>2276</v>
      </c>
      <c r="O2018" s="4" t="s">
        <v>2276</v>
      </c>
      <c r="P2018" s="4" t="s">
        <v>2276</v>
      </c>
      <c r="Q2018" s="4" t="s">
        <v>2276</v>
      </c>
      <c r="R2018" s="4" t="s">
        <v>2276</v>
      </c>
      <c r="S2018" s="4" t="s">
        <v>2276</v>
      </c>
      <c r="T2018" s="4" t="s">
        <v>2276</v>
      </c>
      <c r="U2018" s="4" t="s">
        <v>2276</v>
      </c>
      <c r="V2018" s="4" t="s">
        <v>2276</v>
      </c>
      <c r="W2018" s="4" t="s">
        <v>2276</v>
      </c>
      <c r="X2018" s="4" t="s">
        <v>2276</v>
      </c>
      <c r="Y2018" s="4" t="s">
        <v>2276</v>
      </c>
      <c r="Z2018" s="4" t="s">
        <v>2276</v>
      </c>
      <c r="AA2018" s="3"/>
      <c r="AB2018" s="3"/>
    </row>
    <row r="2019" spans="1:28" ht="30" customHeight="1">
      <c r="A2019" s="156" t="str">
        <f>'Reported burning'!A2019</f>
        <v>231b</v>
      </c>
      <c r="B2019" s="156" t="str">
        <f>'Reported burning'!B2019</f>
        <v>231b.6</v>
      </c>
      <c r="C2019" s="156" t="str">
        <f>'Reported burning'!C2019</f>
        <v>Human, deliberate</v>
      </c>
      <c r="D2019" s="156" t="str">
        <f>'Reported burning'!D2019</f>
        <v>Harvesting of NTFP</v>
      </c>
      <c r="E2019" s="156" t="str">
        <f>'Reported burning'!E2019</f>
        <v>ND</v>
      </c>
      <c r="F2019" s="156" t="str">
        <f>'Reported burning'!F2019</f>
        <v>Forest</v>
      </c>
      <c r="G2019" s="156" t="str">
        <f>'Reported burning'!G2019</f>
        <v>ND</v>
      </c>
      <c r="H2019" s="156" t="str">
        <f>'Reported burning'!H2019</f>
        <v>Presence</v>
      </c>
      <c r="I2019" s="5"/>
      <c r="J2019" s="4" t="s">
        <v>2276</v>
      </c>
      <c r="K2019" s="4" t="s">
        <v>2276</v>
      </c>
      <c r="L2019" s="4" t="s">
        <v>2276</v>
      </c>
      <c r="M2019" s="4" t="s">
        <v>2276</v>
      </c>
      <c r="N2019" s="4" t="s">
        <v>2276</v>
      </c>
      <c r="O2019" s="4" t="s">
        <v>2276</v>
      </c>
      <c r="P2019" s="4" t="s">
        <v>2276</v>
      </c>
      <c r="Q2019" s="4" t="s">
        <v>2276</v>
      </c>
      <c r="R2019" s="4" t="s">
        <v>2276</v>
      </c>
      <c r="S2019" s="4" t="s">
        <v>2276</v>
      </c>
      <c r="T2019" s="4" t="s">
        <v>2276</v>
      </c>
      <c r="U2019" s="4" t="s">
        <v>2276</v>
      </c>
      <c r="V2019" s="4" t="s">
        <v>2276</v>
      </c>
      <c r="W2019" s="4" t="s">
        <v>2276</v>
      </c>
      <c r="X2019" s="4" t="s">
        <v>2276</v>
      </c>
      <c r="Y2019" s="4" t="s">
        <v>2276</v>
      </c>
      <c r="Z2019" s="4" t="s">
        <v>2276</v>
      </c>
      <c r="AA2019" s="3"/>
      <c r="AB2019" s="3"/>
    </row>
    <row r="2020" spans="1:28" ht="30" customHeight="1">
      <c r="A2020" s="156" t="str">
        <f>'Reported burning'!A2020</f>
        <v>231c</v>
      </c>
      <c r="B2020" s="156" t="str">
        <f>'Reported burning'!B2020</f>
        <v>231c.6</v>
      </c>
      <c r="C2020" s="156" t="str">
        <f>'Reported burning'!C2020</f>
        <v>Human, deliberate</v>
      </c>
      <c r="D2020" s="156" t="str">
        <f>'Reported burning'!D2020</f>
        <v>Harvesting of NTFP</v>
      </c>
      <c r="E2020" s="156" t="str">
        <f>'Reported burning'!E2020</f>
        <v>ND</v>
      </c>
      <c r="F2020" s="156" t="str">
        <f>'Reported burning'!F2020</f>
        <v>Forest</v>
      </c>
      <c r="G2020" s="156" t="str">
        <f>'Reported burning'!G2020</f>
        <v>ND</v>
      </c>
      <c r="H2020" s="156" t="str">
        <f>'Reported burning'!H2020</f>
        <v>Presence</v>
      </c>
      <c r="I2020" s="5"/>
      <c r="J2020" s="4" t="s">
        <v>2276</v>
      </c>
      <c r="K2020" s="4" t="s">
        <v>2276</v>
      </c>
      <c r="L2020" s="4" t="s">
        <v>2276</v>
      </c>
      <c r="M2020" s="4" t="s">
        <v>2276</v>
      </c>
      <c r="N2020" s="4" t="s">
        <v>2276</v>
      </c>
      <c r="O2020" s="4" t="s">
        <v>2276</v>
      </c>
      <c r="P2020" s="4" t="s">
        <v>2276</v>
      </c>
      <c r="Q2020" s="4" t="s">
        <v>2276</v>
      </c>
      <c r="R2020" s="4" t="s">
        <v>2276</v>
      </c>
      <c r="S2020" s="4" t="s">
        <v>2276</v>
      </c>
      <c r="T2020" s="4" t="s">
        <v>2276</v>
      </c>
      <c r="U2020" s="4" t="s">
        <v>2276</v>
      </c>
      <c r="V2020" s="4" t="s">
        <v>2276</v>
      </c>
      <c r="W2020" s="4" t="s">
        <v>2276</v>
      </c>
      <c r="X2020" s="4" t="s">
        <v>2276</v>
      </c>
      <c r="Y2020" s="4" t="s">
        <v>2276</v>
      </c>
      <c r="Z2020" s="4" t="s">
        <v>2276</v>
      </c>
      <c r="AA2020" s="3"/>
      <c r="AB2020" s="3"/>
    </row>
    <row r="2021" spans="1:28" ht="30" customHeight="1">
      <c r="A2021" s="156" t="str">
        <f>'Reported burning'!A2021</f>
        <v>231a</v>
      </c>
      <c r="B2021" s="156" t="str">
        <f>'Reported burning'!B2021</f>
        <v>231a.7</v>
      </c>
      <c r="C2021" s="156" t="str">
        <f>'Reported burning'!C2021</f>
        <v>Human, deliberate</v>
      </c>
      <c r="D2021" s="156" t="str">
        <f>'Reported burning'!D2021</f>
        <v>Forest clearance</v>
      </c>
      <c r="E2021" s="156" t="str">
        <f>'Reported burning'!E2021</f>
        <v>Cattle, Extensive</v>
      </c>
      <c r="F2021" s="156" t="str">
        <f>'Reported burning'!F2021</f>
        <v>Forest</v>
      </c>
      <c r="G2021" s="156" t="str">
        <f>'Reported burning'!G2021</f>
        <v>ND</v>
      </c>
      <c r="H2021" s="156" t="str">
        <f>'Reported burning'!H2021</f>
        <v>Presence</v>
      </c>
      <c r="I2021" s="5"/>
      <c r="J2021" s="4" t="s">
        <v>2276</v>
      </c>
      <c r="K2021" s="4" t="s">
        <v>2276</v>
      </c>
      <c r="L2021" s="4" t="s">
        <v>2276</v>
      </c>
      <c r="M2021" s="4" t="s">
        <v>2276</v>
      </c>
      <c r="N2021" s="4" t="s">
        <v>2276</v>
      </c>
      <c r="O2021" s="4" t="s">
        <v>2276</v>
      </c>
      <c r="P2021" s="4" t="s">
        <v>2276</v>
      </c>
      <c r="Q2021" s="4" t="s">
        <v>2276</v>
      </c>
      <c r="R2021" s="4" t="s">
        <v>2276</v>
      </c>
      <c r="S2021" s="4" t="s">
        <v>2276</v>
      </c>
      <c r="T2021" s="4" t="s">
        <v>2276</v>
      </c>
      <c r="U2021" s="4" t="s">
        <v>2276</v>
      </c>
      <c r="V2021" s="4" t="s">
        <v>2276</v>
      </c>
      <c r="W2021" s="4" t="s">
        <v>2276</v>
      </c>
      <c r="X2021" s="4" t="s">
        <v>2276</v>
      </c>
      <c r="Y2021" s="4" t="s">
        <v>2276</v>
      </c>
      <c r="Z2021" s="4" t="s">
        <v>2276</v>
      </c>
      <c r="AA2021" s="3"/>
      <c r="AB2021" s="3"/>
    </row>
    <row r="2022" spans="1:28" ht="30" customHeight="1">
      <c r="A2022" s="156" t="str">
        <f>'Reported burning'!A2022</f>
        <v>231b</v>
      </c>
      <c r="B2022" s="156" t="str">
        <f>'Reported burning'!B2022</f>
        <v>231b.7</v>
      </c>
      <c r="C2022" s="156" t="str">
        <f>'Reported burning'!C2022</f>
        <v>Human, deliberate</v>
      </c>
      <c r="D2022" s="156" t="str">
        <f>'Reported burning'!D2022</f>
        <v>Forest clearance</v>
      </c>
      <c r="E2022" s="156" t="str">
        <f>'Reported burning'!E2022</f>
        <v>Cattle, Extensive</v>
      </c>
      <c r="F2022" s="156" t="str">
        <f>'Reported burning'!F2022</f>
        <v>Forest</v>
      </c>
      <c r="G2022" s="156" t="str">
        <f>'Reported burning'!G2022</f>
        <v>ND</v>
      </c>
      <c r="H2022" s="156" t="str">
        <f>'Reported burning'!H2022</f>
        <v>Presence</v>
      </c>
      <c r="I2022" s="5"/>
      <c r="J2022" s="4" t="s">
        <v>2276</v>
      </c>
      <c r="K2022" s="4" t="s">
        <v>2276</v>
      </c>
      <c r="L2022" s="4" t="s">
        <v>2276</v>
      </c>
      <c r="M2022" s="4" t="s">
        <v>2276</v>
      </c>
      <c r="N2022" s="4" t="s">
        <v>2276</v>
      </c>
      <c r="O2022" s="4" t="s">
        <v>2276</v>
      </c>
      <c r="P2022" s="4" t="s">
        <v>2276</v>
      </c>
      <c r="Q2022" s="4" t="s">
        <v>2276</v>
      </c>
      <c r="R2022" s="4" t="s">
        <v>2276</v>
      </c>
      <c r="S2022" s="4" t="s">
        <v>2276</v>
      </c>
      <c r="T2022" s="4" t="s">
        <v>2276</v>
      </c>
      <c r="U2022" s="4" t="s">
        <v>2276</v>
      </c>
      <c r="V2022" s="4" t="s">
        <v>2276</v>
      </c>
      <c r="W2022" s="4" t="s">
        <v>2276</v>
      </c>
      <c r="X2022" s="4" t="s">
        <v>2276</v>
      </c>
      <c r="Y2022" s="4" t="s">
        <v>2276</v>
      </c>
      <c r="Z2022" s="4" t="s">
        <v>2276</v>
      </c>
      <c r="AA2022" s="3"/>
      <c r="AB2022" s="3"/>
    </row>
    <row r="2023" spans="1:28" ht="30" customHeight="1">
      <c r="A2023" s="156" t="str">
        <f>'Reported burning'!A2023</f>
        <v>231c</v>
      </c>
      <c r="B2023" s="156" t="str">
        <f>'Reported burning'!B2023</f>
        <v>231c.7</v>
      </c>
      <c r="C2023" s="156" t="str">
        <f>'Reported burning'!C2023</f>
        <v>Human, deliberate</v>
      </c>
      <c r="D2023" s="156" t="str">
        <f>'Reported burning'!D2023</f>
        <v>Forest clearance</v>
      </c>
      <c r="E2023" s="156" t="str">
        <f>'Reported burning'!E2023</f>
        <v>Cattle, Extensive</v>
      </c>
      <c r="F2023" s="156" t="str">
        <f>'Reported burning'!F2023</f>
        <v>Forest</v>
      </c>
      <c r="G2023" s="156" t="str">
        <f>'Reported burning'!G2023</f>
        <v>ND</v>
      </c>
      <c r="H2023" s="156" t="str">
        <f>'Reported burning'!H2023</f>
        <v>Presence</v>
      </c>
      <c r="I2023" s="5"/>
      <c r="J2023" s="4" t="s">
        <v>2276</v>
      </c>
      <c r="K2023" s="4" t="s">
        <v>2276</v>
      </c>
      <c r="L2023" s="4" t="s">
        <v>2276</v>
      </c>
      <c r="M2023" s="4" t="s">
        <v>2276</v>
      </c>
      <c r="N2023" s="4" t="s">
        <v>2276</v>
      </c>
      <c r="O2023" s="4" t="s">
        <v>2276</v>
      </c>
      <c r="P2023" s="4" t="s">
        <v>2276</v>
      </c>
      <c r="Q2023" s="4" t="s">
        <v>2276</v>
      </c>
      <c r="R2023" s="4" t="s">
        <v>2276</v>
      </c>
      <c r="S2023" s="4" t="s">
        <v>2276</v>
      </c>
      <c r="T2023" s="4" t="s">
        <v>2276</v>
      </c>
      <c r="U2023" s="4" t="s">
        <v>2276</v>
      </c>
      <c r="V2023" s="4" t="s">
        <v>2276</v>
      </c>
      <c r="W2023" s="4" t="s">
        <v>2276</v>
      </c>
      <c r="X2023" s="4" t="s">
        <v>2276</v>
      </c>
      <c r="Y2023" s="4" t="s">
        <v>2276</v>
      </c>
      <c r="Z2023" s="4" t="s">
        <v>2276</v>
      </c>
      <c r="AA2023" s="3"/>
      <c r="AB2023" s="3"/>
    </row>
    <row r="2024" spans="1:28" ht="30" customHeight="1">
      <c r="A2024" s="156" t="str">
        <f>'Reported burning'!A2024</f>
        <v>231a</v>
      </c>
      <c r="B2024" s="156" t="str">
        <f>'Reported burning'!B2024</f>
        <v>231a.8</v>
      </c>
      <c r="C2024" s="156" t="str">
        <f>'Reported burning'!C2024</f>
        <v>Human, deliberate</v>
      </c>
      <c r="D2024" s="156" t="str">
        <f>'Reported burning'!D2024</f>
        <v>Forest clearance</v>
      </c>
      <c r="E2024" s="156" t="str">
        <f>'Reported burning'!E2024</f>
        <v>Cropping, Monoculture, Subsistence-oriented</v>
      </c>
      <c r="F2024" s="156" t="str">
        <f>'Reported burning'!F2024</f>
        <v>Forest</v>
      </c>
      <c r="G2024" s="156" t="str">
        <f>'Reported burning'!G2024</f>
        <v>ND</v>
      </c>
      <c r="H2024" s="156" t="str">
        <f>'Reported burning'!H2024</f>
        <v>Presence</v>
      </c>
      <c r="I2024" s="5"/>
      <c r="J2024" s="4" t="s">
        <v>2276</v>
      </c>
      <c r="K2024" s="4" t="s">
        <v>2276</v>
      </c>
      <c r="L2024" s="4" t="s">
        <v>2276</v>
      </c>
      <c r="M2024" s="4" t="s">
        <v>2276</v>
      </c>
      <c r="N2024" s="4" t="s">
        <v>2276</v>
      </c>
      <c r="O2024" s="4" t="s">
        <v>2276</v>
      </c>
      <c r="P2024" s="4" t="s">
        <v>2276</v>
      </c>
      <c r="Q2024" s="4" t="s">
        <v>2276</v>
      </c>
      <c r="R2024" s="4" t="s">
        <v>2276</v>
      </c>
      <c r="S2024" s="4" t="s">
        <v>2276</v>
      </c>
      <c r="T2024" s="4" t="s">
        <v>2276</v>
      </c>
      <c r="U2024" s="4" t="s">
        <v>2276</v>
      </c>
      <c r="V2024" s="4" t="s">
        <v>2276</v>
      </c>
      <c r="W2024" s="4" t="s">
        <v>2276</v>
      </c>
      <c r="X2024" s="4" t="s">
        <v>2276</v>
      </c>
      <c r="Y2024" s="4" t="s">
        <v>2276</v>
      </c>
      <c r="Z2024" s="4" t="s">
        <v>2276</v>
      </c>
      <c r="AA2024" s="3"/>
      <c r="AB2024" s="3"/>
    </row>
    <row r="2025" spans="1:28" ht="30" customHeight="1">
      <c r="A2025" s="156" t="str">
        <f>'Reported burning'!A2025</f>
        <v>231b</v>
      </c>
      <c r="B2025" s="156" t="str">
        <f>'Reported burning'!B2025</f>
        <v>231b.8</v>
      </c>
      <c r="C2025" s="156" t="str">
        <f>'Reported burning'!C2025</f>
        <v>Human, deliberate</v>
      </c>
      <c r="D2025" s="156" t="str">
        <f>'Reported burning'!D2025</f>
        <v>Forest clearance</v>
      </c>
      <c r="E2025" s="156" t="str">
        <f>'Reported burning'!E2025</f>
        <v>Cropping, Monoculture, Subsistence-oriented</v>
      </c>
      <c r="F2025" s="156" t="str">
        <f>'Reported burning'!F2025</f>
        <v>Forest</v>
      </c>
      <c r="G2025" s="156" t="str">
        <f>'Reported burning'!G2025</f>
        <v>ND</v>
      </c>
      <c r="H2025" s="156" t="str">
        <f>'Reported burning'!H2025</f>
        <v>Presence</v>
      </c>
      <c r="I2025" s="5"/>
      <c r="J2025" s="4" t="s">
        <v>2276</v>
      </c>
      <c r="K2025" s="4" t="s">
        <v>2276</v>
      </c>
      <c r="L2025" s="4" t="s">
        <v>2276</v>
      </c>
      <c r="M2025" s="4" t="s">
        <v>2276</v>
      </c>
      <c r="N2025" s="4" t="s">
        <v>2276</v>
      </c>
      <c r="O2025" s="4" t="s">
        <v>2276</v>
      </c>
      <c r="P2025" s="4" t="s">
        <v>2276</v>
      </c>
      <c r="Q2025" s="4" t="s">
        <v>2276</v>
      </c>
      <c r="R2025" s="4" t="s">
        <v>2276</v>
      </c>
      <c r="S2025" s="4" t="s">
        <v>2276</v>
      </c>
      <c r="T2025" s="4" t="s">
        <v>2276</v>
      </c>
      <c r="U2025" s="4" t="s">
        <v>2276</v>
      </c>
      <c r="V2025" s="4" t="s">
        <v>2276</v>
      </c>
      <c r="W2025" s="4" t="s">
        <v>2276</v>
      </c>
      <c r="X2025" s="4" t="s">
        <v>2276</v>
      </c>
      <c r="Y2025" s="4" t="s">
        <v>2276</v>
      </c>
      <c r="Z2025" s="4" t="s">
        <v>2276</v>
      </c>
      <c r="AA2025" s="3"/>
      <c r="AB2025" s="3"/>
    </row>
    <row r="2026" spans="1:28" ht="30" customHeight="1">
      <c r="A2026" s="156" t="str">
        <f>'Reported burning'!A2026</f>
        <v>231c</v>
      </c>
      <c r="B2026" s="156" t="str">
        <f>'Reported burning'!B2026</f>
        <v>231c.8</v>
      </c>
      <c r="C2026" s="156" t="str">
        <f>'Reported burning'!C2026</f>
        <v>Human, deliberate</v>
      </c>
      <c r="D2026" s="156" t="str">
        <f>'Reported burning'!D2026</f>
        <v>Forest clearance</v>
      </c>
      <c r="E2026" s="156" t="str">
        <f>'Reported burning'!E2026</f>
        <v>Cropping, Monoculture, Subsistence-oriented</v>
      </c>
      <c r="F2026" s="156" t="str">
        <f>'Reported burning'!F2026</f>
        <v>Forest</v>
      </c>
      <c r="G2026" s="156" t="str">
        <f>'Reported burning'!G2026</f>
        <v>ND</v>
      </c>
      <c r="H2026" s="156" t="str">
        <f>'Reported burning'!H2026</f>
        <v>Presence</v>
      </c>
      <c r="I2026" s="5"/>
      <c r="J2026" s="4" t="s">
        <v>2276</v>
      </c>
      <c r="K2026" s="4" t="s">
        <v>2276</v>
      </c>
      <c r="L2026" s="4" t="s">
        <v>2276</v>
      </c>
      <c r="M2026" s="4" t="s">
        <v>2276</v>
      </c>
      <c r="N2026" s="4" t="s">
        <v>2276</v>
      </c>
      <c r="O2026" s="4" t="s">
        <v>2276</v>
      </c>
      <c r="P2026" s="4" t="s">
        <v>2276</v>
      </c>
      <c r="Q2026" s="4" t="s">
        <v>2276</v>
      </c>
      <c r="R2026" s="4" t="s">
        <v>2276</v>
      </c>
      <c r="S2026" s="4" t="s">
        <v>2276</v>
      </c>
      <c r="T2026" s="4" t="s">
        <v>2276</v>
      </c>
      <c r="U2026" s="4" t="s">
        <v>2276</v>
      </c>
      <c r="V2026" s="4" t="s">
        <v>2276</v>
      </c>
      <c r="W2026" s="4" t="s">
        <v>2276</v>
      </c>
      <c r="X2026" s="4" t="s">
        <v>2276</v>
      </c>
      <c r="Y2026" s="4" t="s">
        <v>2276</v>
      </c>
      <c r="Z2026" s="4" t="s">
        <v>2276</v>
      </c>
      <c r="AA2026" s="3"/>
      <c r="AB2026" s="3"/>
    </row>
    <row r="2027" spans="1:28" ht="29" customHeight="1">
      <c r="A2027" s="152" t="str">
        <f>'Reported burning'!A2027</f>
        <v>232a</v>
      </c>
      <c r="B2027" s="152" t="str">
        <f>'Reported burning'!B2027</f>
        <v>232a.1</v>
      </c>
      <c r="C2027" s="152" t="str">
        <f>'Reported burning'!C2027</f>
        <v>Human, deliberate</v>
      </c>
      <c r="D2027" s="152" t="str">
        <f>'Reported burning'!D2027</f>
        <v>Pyrome management</v>
      </c>
      <c r="E2027" s="152" t="str">
        <f>'Reported burning'!E2027</f>
        <v>All</v>
      </c>
      <c r="F2027" s="152" t="str">
        <f>'Reported burning'!F2027</f>
        <v>Forest</v>
      </c>
      <c r="G2027" s="152" t="str">
        <f>'Reported burning'!G2027</f>
        <v>ND</v>
      </c>
      <c r="H2027" s="152" t="str">
        <f>'Reported burning'!H2027</f>
        <v>Absence</v>
      </c>
      <c r="I2027" s="3"/>
      <c r="J2027" s="21">
        <v>0</v>
      </c>
      <c r="K2027" s="21">
        <v>0</v>
      </c>
      <c r="L2027" s="21">
        <v>0</v>
      </c>
      <c r="M2027" s="21">
        <v>0</v>
      </c>
      <c r="N2027" s="21">
        <v>0</v>
      </c>
      <c r="O2027" s="21">
        <v>0</v>
      </c>
      <c r="P2027" s="21">
        <v>0</v>
      </c>
      <c r="Q2027" s="21">
        <v>0</v>
      </c>
      <c r="R2027" s="21">
        <v>0</v>
      </c>
      <c r="S2027" s="21">
        <v>0</v>
      </c>
      <c r="T2027" s="21">
        <v>0</v>
      </c>
      <c r="U2027" s="21">
        <v>0</v>
      </c>
      <c r="V2027" s="4" t="s">
        <v>2276</v>
      </c>
      <c r="W2027" s="4" t="s">
        <v>2276</v>
      </c>
      <c r="X2027" s="4" t="s">
        <v>2276</v>
      </c>
      <c r="Y2027" s="4" t="s">
        <v>2276</v>
      </c>
      <c r="Z2027" s="4" t="s">
        <v>2276</v>
      </c>
      <c r="AA2027" s="3"/>
      <c r="AB2027" s="3"/>
    </row>
    <row r="2028" spans="1:28" ht="29" customHeight="1">
      <c r="A2028" s="152" t="str">
        <f>'Reported burning'!A2028</f>
        <v>232a</v>
      </c>
      <c r="B2028" s="152" t="str">
        <f>'Reported burning'!B2028</f>
        <v>232a.2</v>
      </c>
      <c r="C2028" s="152" t="str">
        <f>'Reported burning'!C2028</f>
        <v>Human, deliberate</v>
      </c>
      <c r="D2028" s="152" t="str">
        <f>'Reported burning'!D2028</f>
        <v>Pyrome management</v>
      </c>
      <c r="E2028" s="152" t="str">
        <f>'Reported burning'!E2028</f>
        <v>All</v>
      </c>
      <c r="F2028" s="152" t="str">
        <f>'Reported burning'!F2028</f>
        <v>Forest</v>
      </c>
      <c r="G2028" s="152" t="str">
        <f>'Reported burning'!G2028</f>
        <v>ND</v>
      </c>
      <c r="H2028" s="152" t="str">
        <f>'Reported burning'!H2028</f>
        <v>Absence</v>
      </c>
      <c r="I2028" s="3"/>
      <c r="J2028" s="21">
        <v>0</v>
      </c>
      <c r="K2028" s="21">
        <v>0</v>
      </c>
      <c r="L2028" s="21">
        <v>0</v>
      </c>
      <c r="M2028" s="21">
        <v>0</v>
      </c>
      <c r="N2028" s="21">
        <v>0</v>
      </c>
      <c r="O2028" s="21">
        <v>0</v>
      </c>
      <c r="P2028" s="21">
        <v>0</v>
      </c>
      <c r="Q2028" s="21">
        <v>0</v>
      </c>
      <c r="R2028" s="21">
        <v>0</v>
      </c>
      <c r="S2028" s="21">
        <v>0</v>
      </c>
      <c r="T2028" s="21">
        <v>0</v>
      </c>
      <c r="U2028" s="21">
        <v>0</v>
      </c>
      <c r="V2028" s="4" t="s">
        <v>2276</v>
      </c>
      <c r="W2028" s="4" t="s">
        <v>2276</v>
      </c>
      <c r="X2028" s="4" t="s">
        <v>2276</v>
      </c>
      <c r="Y2028" s="4" t="s">
        <v>2276</v>
      </c>
      <c r="Z2028" s="4" t="s">
        <v>2276</v>
      </c>
      <c r="AA2028" s="3"/>
      <c r="AB2028" s="3"/>
    </row>
    <row r="2029" spans="1:28" ht="29" customHeight="1">
      <c r="A2029" s="152" t="str">
        <f>'Reported burning'!A2029</f>
        <v>232b</v>
      </c>
      <c r="B2029" s="152" t="str">
        <f>'Reported burning'!B2029</f>
        <v>232b.1</v>
      </c>
      <c r="C2029" s="152" t="str">
        <f>'Reported burning'!C2029</f>
        <v>Human, deliberate</v>
      </c>
      <c r="D2029" s="152" t="str">
        <f>'Reported burning'!D2029</f>
        <v>Hunting</v>
      </c>
      <c r="E2029" s="152" t="str">
        <f>'Reported burning'!E2029</f>
        <v>Forestry, Traditional</v>
      </c>
      <c r="F2029" s="152" t="str">
        <f>'Reported burning'!F2029</f>
        <v>Forest</v>
      </c>
      <c r="G2029" s="152" t="str">
        <f>'Reported burning'!G2029</f>
        <v>ND</v>
      </c>
      <c r="H2029" s="152" t="str">
        <f>'Reported burning'!H2029</f>
        <v>Presence</v>
      </c>
      <c r="I2029" s="3"/>
      <c r="J2029" s="4" t="s">
        <v>2276</v>
      </c>
      <c r="K2029" s="4" t="s">
        <v>2276</v>
      </c>
      <c r="L2029" s="4" t="s">
        <v>2276</v>
      </c>
      <c r="M2029" s="4" t="s">
        <v>2276</v>
      </c>
      <c r="N2029" s="4" t="s">
        <v>2276</v>
      </c>
      <c r="O2029" s="4" t="s">
        <v>2276</v>
      </c>
      <c r="P2029" s="4" t="s">
        <v>2276</v>
      </c>
      <c r="Q2029" s="4" t="s">
        <v>2276</v>
      </c>
      <c r="R2029" s="4" t="s">
        <v>2276</v>
      </c>
      <c r="S2029" s="4" t="s">
        <v>2276</v>
      </c>
      <c r="T2029" s="4" t="s">
        <v>2276</v>
      </c>
      <c r="U2029" s="4" t="s">
        <v>2276</v>
      </c>
      <c r="V2029" s="4" t="s">
        <v>2276</v>
      </c>
      <c r="W2029" s="4" t="s">
        <v>2276</v>
      </c>
      <c r="X2029" s="4" t="s">
        <v>2276</v>
      </c>
      <c r="Y2029" s="4" t="s">
        <v>2276</v>
      </c>
      <c r="Z2029" s="4" t="s">
        <v>2276</v>
      </c>
      <c r="AA2029" s="3"/>
      <c r="AB2029" s="3"/>
    </row>
    <row r="2030" spans="1:28" ht="29" customHeight="1">
      <c r="A2030" s="152" t="str">
        <f>'Reported burning'!A2030</f>
        <v>232b</v>
      </c>
      <c r="B2030" s="152" t="str">
        <f>'Reported burning'!B2030</f>
        <v>232b.2</v>
      </c>
      <c r="C2030" s="152" t="str">
        <f>'Reported burning'!C2030</f>
        <v>Human, deliberate</v>
      </c>
      <c r="D2030" s="152" t="str">
        <f>'Reported burning'!D2030</f>
        <v>Hunting</v>
      </c>
      <c r="E2030" s="152" t="str">
        <f>'Reported burning'!E2030</f>
        <v>Forestry, Traditional</v>
      </c>
      <c r="F2030" s="152" t="str">
        <f>'Reported burning'!F2030</f>
        <v>Forest</v>
      </c>
      <c r="G2030" s="152" t="str">
        <f>'Reported burning'!G2030</f>
        <v>ND</v>
      </c>
      <c r="H2030" s="152" t="str">
        <f>'Reported burning'!H2030</f>
        <v>Absence</v>
      </c>
      <c r="I2030" s="3"/>
      <c r="J2030" s="21">
        <v>0</v>
      </c>
      <c r="K2030" s="21">
        <v>0</v>
      </c>
      <c r="L2030" s="21">
        <v>0</v>
      </c>
      <c r="M2030" s="21">
        <v>0</v>
      </c>
      <c r="N2030" s="21">
        <v>0</v>
      </c>
      <c r="O2030" s="21">
        <v>0</v>
      </c>
      <c r="P2030" s="21">
        <v>0</v>
      </c>
      <c r="Q2030" s="21">
        <v>0</v>
      </c>
      <c r="R2030" s="21">
        <v>0</v>
      </c>
      <c r="S2030" s="21">
        <v>0</v>
      </c>
      <c r="T2030" s="21">
        <v>0</v>
      </c>
      <c r="U2030" s="21">
        <v>0</v>
      </c>
      <c r="V2030" s="4" t="s">
        <v>2276</v>
      </c>
      <c r="W2030" s="4" t="s">
        <v>2276</v>
      </c>
      <c r="X2030" s="4" t="s">
        <v>2276</v>
      </c>
      <c r="Y2030" s="4" t="s">
        <v>2276</v>
      </c>
      <c r="Z2030" s="4" t="s">
        <v>2276</v>
      </c>
      <c r="AA2030" s="4" t="s">
        <v>5795</v>
      </c>
      <c r="AB2030" s="3"/>
    </row>
    <row r="2031" spans="1:28" ht="29" customHeight="1">
      <c r="A2031" s="152" t="str">
        <f>'Reported burning'!A2031</f>
        <v>232b</v>
      </c>
      <c r="B2031" s="152" t="str">
        <f>'Reported burning'!B2031</f>
        <v>232b.3</v>
      </c>
      <c r="C2031" s="152" t="str">
        <f>'Reported burning'!C2031</f>
        <v>Human, deliberate</v>
      </c>
      <c r="D2031" s="152" t="str">
        <f>'Reported burning'!D2031</f>
        <v>Hunting</v>
      </c>
      <c r="E2031" s="152" t="str">
        <f>'Reported burning'!E2031</f>
        <v>Forestry, Traditional</v>
      </c>
      <c r="F2031" s="152" t="str">
        <f>'Reported burning'!F2031</f>
        <v>Forest</v>
      </c>
      <c r="G2031" s="152" t="str">
        <f>'Reported burning'!G2031</f>
        <v>ND</v>
      </c>
      <c r="H2031" s="152" t="str">
        <f>'Reported burning'!H2031</f>
        <v>Absence</v>
      </c>
      <c r="I2031" s="3"/>
      <c r="J2031" s="21">
        <v>0</v>
      </c>
      <c r="K2031" s="21">
        <v>0</v>
      </c>
      <c r="L2031" s="21">
        <v>0</v>
      </c>
      <c r="M2031" s="21">
        <v>0</v>
      </c>
      <c r="N2031" s="21">
        <v>0</v>
      </c>
      <c r="O2031" s="21">
        <v>0</v>
      </c>
      <c r="P2031" s="21">
        <v>0</v>
      </c>
      <c r="Q2031" s="21">
        <v>0</v>
      </c>
      <c r="R2031" s="21">
        <v>0</v>
      </c>
      <c r="S2031" s="21">
        <v>0</v>
      </c>
      <c r="T2031" s="21">
        <v>0</v>
      </c>
      <c r="U2031" s="21">
        <v>0</v>
      </c>
      <c r="V2031" s="4" t="s">
        <v>2276</v>
      </c>
      <c r="W2031" s="4" t="s">
        <v>2276</v>
      </c>
      <c r="X2031" s="4" t="s">
        <v>2276</v>
      </c>
      <c r="Y2031" s="4" t="s">
        <v>2276</v>
      </c>
      <c r="Z2031" s="4" t="s">
        <v>2276</v>
      </c>
      <c r="AA2031" s="4" t="s">
        <v>5795</v>
      </c>
      <c r="AB2031" s="3"/>
    </row>
    <row r="2032" spans="1:28" ht="29" customHeight="1">
      <c r="A2032" s="152" t="str">
        <f>'Reported burning'!A2032</f>
        <v>232b</v>
      </c>
      <c r="B2032" s="152" t="str">
        <f>'Reported burning'!B2032</f>
        <v>232b.4</v>
      </c>
      <c r="C2032" s="152" t="str">
        <f>'Reported burning'!C2032</f>
        <v>Human, deliberate</v>
      </c>
      <c r="D2032" s="152" t="str">
        <f>'Reported burning'!D2032</f>
        <v>Pyrome management</v>
      </c>
      <c r="E2032" s="152" t="str">
        <f>'Reported burning'!E2032</f>
        <v>Forestry, Traditional</v>
      </c>
      <c r="F2032" s="152" t="str">
        <f>'Reported burning'!F2032</f>
        <v>Forest</v>
      </c>
      <c r="G2032" s="152" t="str">
        <f>'Reported burning'!G2032</f>
        <v>ND</v>
      </c>
      <c r="H2032" s="152" t="str">
        <f>'Reported burning'!H2032</f>
        <v>Presence</v>
      </c>
      <c r="I2032" s="3"/>
      <c r="J2032" s="4" t="s">
        <v>2276</v>
      </c>
      <c r="K2032" s="4" t="s">
        <v>2276</v>
      </c>
      <c r="L2032" s="4" t="s">
        <v>2276</v>
      </c>
      <c r="M2032" s="4" t="s">
        <v>2276</v>
      </c>
      <c r="N2032" s="4" t="s">
        <v>2276</v>
      </c>
      <c r="O2032" s="4" t="s">
        <v>2276</v>
      </c>
      <c r="P2032" s="4" t="s">
        <v>2276</v>
      </c>
      <c r="Q2032" s="4" t="s">
        <v>2276</v>
      </c>
      <c r="R2032" s="4" t="s">
        <v>2276</v>
      </c>
      <c r="S2032" s="4" t="s">
        <v>2276</v>
      </c>
      <c r="T2032" s="4" t="s">
        <v>2276</v>
      </c>
      <c r="U2032" s="4" t="s">
        <v>2276</v>
      </c>
      <c r="V2032" s="4" t="s">
        <v>2276</v>
      </c>
      <c r="W2032" s="4" t="s">
        <v>2276</v>
      </c>
      <c r="X2032" s="4" t="s">
        <v>2276</v>
      </c>
      <c r="Y2032" s="4" t="s">
        <v>2276</v>
      </c>
      <c r="Z2032" s="4" t="s">
        <v>2276</v>
      </c>
      <c r="AA2032" s="4"/>
      <c r="AB2032" s="3"/>
    </row>
    <row r="2033" spans="1:28" ht="29" customHeight="1">
      <c r="A2033" s="152" t="str">
        <f>'Reported burning'!A2033</f>
        <v>232b</v>
      </c>
      <c r="B2033" s="152" t="str">
        <f>'Reported burning'!B2033</f>
        <v>232b.5</v>
      </c>
      <c r="C2033" s="152" t="str">
        <f>'Reported burning'!C2033</f>
        <v>Human, deliberate</v>
      </c>
      <c r="D2033" s="152" t="str">
        <f>'Reported burning'!D2033</f>
        <v>Pyrome management</v>
      </c>
      <c r="E2033" s="152" t="str">
        <f>'Reported burning'!E2033</f>
        <v>Forestry, Traditional</v>
      </c>
      <c r="F2033" s="152" t="str">
        <f>'Reported burning'!F2033</f>
        <v>Forest</v>
      </c>
      <c r="G2033" s="152" t="str">
        <f>'Reported burning'!G2033</f>
        <v>ND</v>
      </c>
      <c r="H2033" s="152" t="str">
        <f>'Reported burning'!H2033</f>
        <v>Absence</v>
      </c>
      <c r="I2033" s="3"/>
      <c r="J2033" s="21">
        <v>0</v>
      </c>
      <c r="K2033" s="21">
        <v>0</v>
      </c>
      <c r="L2033" s="21">
        <v>0</v>
      </c>
      <c r="M2033" s="21">
        <v>0</v>
      </c>
      <c r="N2033" s="21">
        <v>0</v>
      </c>
      <c r="O2033" s="21">
        <v>0</v>
      </c>
      <c r="P2033" s="21">
        <v>0</v>
      </c>
      <c r="Q2033" s="21">
        <v>0</v>
      </c>
      <c r="R2033" s="21">
        <v>0</v>
      </c>
      <c r="S2033" s="21">
        <v>0</v>
      </c>
      <c r="T2033" s="21">
        <v>0</v>
      </c>
      <c r="U2033" s="21">
        <v>0</v>
      </c>
      <c r="V2033" s="4" t="s">
        <v>2276</v>
      </c>
      <c r="W2033" s="4" t="s">
        <v>2276</v>
      </c>
      <c r="X2033" s="4" t="s">
        <v>2276</v>
      </c>
      <c r="Y2033" s="4" t="s">
        <v>2276</v>
      </c>
      <c r="Z2033" s="4" t="s">
        <v>2276</v>
      </c>
      <c r="AA2033" s="4" t="s">
        <v>5795</v>
      </c>
      <c r="AB2033" s="3"/>
    </row>
    <row r="2034" spans="1:28" ht="29" customHeight="1">
      <c r="A2034" s="152" t="str">
        <f>'Reported burning'!A2034</f>
        <v>232b</v>
      </c>
      <c r="B2034" s="152" t="str">
        <f>'Reported burning'!B2034</f>
        <v>232b.6</v>
      </c>
      <c r="C2034" s="152" t="str">
        <f>'Reported burning'!C2034</f>
        <v>Human, deliberate</v>
      </c>
      <c r="D2034" s="152" t="str">
        <f>'Reported burning'!D2034</f>
        <v>Pyrome management</v>
      </c>
      <c r="E2034" s="152" t="str">
        <f>'Reported burning'!E2034</f>
        <v>Forestry, Traditional</v>
      </c>
      <c r="F2034" s="152" t="str">
        <f>'Reported burning'!F2034</f>
        <v>Forest</v>
      </c>
      <c r="G2034" s="152" t="str">
        <f>'Reported burning'!G2034</f>
        <v>ND</v>
      </c>
      <c r="H2034" s="152" t="str">
        <f>'Reported burning'!H2034</f>
        <v>Absence</v>
      </c>
      <c r="I2034" s="3"/>
      <c r="J2034" s="21">
        <v>0</v>
      </c>
      <c r="K2034" s="21">
        <v>0</v>
      </c>
      <c r="L2034" s="21">
        <v>0</v>
      </c>
      <c r="M2034" s="21">
        <v>0</v>
      </c>
      <c r="N2034" s="21">
        <v>0</v>
      </c>
      <c r="O2034" s="21">
        <v>0</v>
      </c>
      <c r="P2034" s="21">
        <v>0</v>
      </c>
      <c r="Q2034" s="21">
        <v>0</v>
      </c>
      <c r="R2034" s="21">
        <v>0</v>
      </c>
      <c r="S2034" s="21">
        <v>0</v>
      </c>
      <c r="T2034" s="21">
        <v>0</v>
      </c>
      <c r="U2034" s="21">
        <v>0</v>
      </c>
      <c r="V2034" s="4" t="s">
        <v>2276</v>
      </c>
      <c r="W2034" s="4" t="s">
        <v>2276</v>
      </c>
      <c r="X2034" s="4" t="s">
        <v>2276</v>
      </c>
      <c r="Y2034" s="4" t="s">
        <v>2276</v>
      </c>
      <c r="Z2034" s="4" t="s">
        <v>2276</v>
      </c>
      <c r="AA2034" s="4" t="s">
        <v>5795</v>
      </c>
      <c r="AB2034" s="3"/>
    </row>
    <row r="2035" spans="1:28" ht="29">
      <c r="A2035" s="152" t="str">
        <f>'Reported burning'!A2035</f>
        <v>233a</v>
      </c>
      <c r="B2035" s="152" t="str">
        <f>'Reported burning'!B2035</f>
        <v>233a.1</v>
      </c>
      <c r="C2035" s="152" t="str">
        <f>'Reported burning'!C2035</f>
        <v>Human, deliberate</v>
      </c>
      <c r="D2035" s="152" t="str">
        <f>'Reported burning'!D2035</f>
        <v>Crop residue burning</v>
      </c>
      <c r="E2035" s="152" t="str">
        <f>'Reported burning'!E2035</f>
        <v>Cropping, Monoculture, Market-oriented</v>
      </c>
      <c r="F2035" s="152" t="str">
        <f>'Reported burning'!F2035</f>
        <v>Cropland</v>
      </c>
      <c r="G2035" s="152" t="str">
        <f>'Reported burning'!G2035</f>
        <v>ND</v>
      </c>
      <c r="H2035" s="152" t="str">
        <f>'Reported burning'!H2035</f>
        <v>Presence</v>
      </c>
      <c r="I2035" s="3"/>
      <c r="J2035" s="4" t="s">
        <v>2276</v>
      </c>
      <c r="K2035" s="4" t="s">
        <v>2276</v>
      </c>
      <c r="L2035" s="4" t="s">
        <v>2276</v>
      </c>
      <c r="M2035" s="4" t="s">
        <v>2276</v>
      </c>
      <c r="N2035" s="4" t="s">
        <v>2276</v>
      </c>
      <c r="O2035" s="4" t="s">
        <v>2276</v>
      </c>
      <c r="P2035" s="4" t="s">
        <v>2276</v>
      </c>
      <c r="Q2035" s="4" t="s">
        <v>2276</v>
      </c>
      <c r="R2035" s="4" t="s">
        <v>2276</v>
      </c>
      <c r="S2035" s="4" t="s">
        <v>2276</v>
      </c>
      <c r="T2035" s="4" t="s">
        <v>2276</v>
      </c>
      <c r="U2035" s="4" t="s">
        <v>2276</v>
      </c>
      <c r="V2035" s="4" t="s">
        <v>2276</v>
      </c>
      <c r="W2035" s="4" t="s">
        <v>2276</v>
      </c>
      <c r="X2035" s="4" t="s">
        <v>2276</v>
      </c>
      <c r="Y2035" s="4" t="s">
        <v>2276</v>
      </c>
      <c r="Z2035" s="4" t="s">
        <v>2276</v>
      </c>
      <c r="AA2035" s="3"/>
      <c r="AB2035" s="3"/>
    </row>
    <row r="2036" spans="1:28" ht="31.5" customHeight="1">
      <c r="A2036" s="152" t="str">
        <f>'Reported burning'!A2036</f>
        <v>233a</v>
      </c>
      <c r="B2036" s="152" t="str">
        <f>'Reported burning'!B2036</f>
        <v>233a.2</v>
      </c>
      <c r="C2036" s="152" t="str">
        <f>'Reported burning'!C2036</f>
        <v>Human, deliberate</v>
      </c>
      <c r="D2036" s="152" t="str">
        <f>'Reported burning'!D2036</f>
        <v>Domestic</v>
      </c>
      <c r="E2036" s="152" t="str">
        <f>'Reported burning'!E2036</f>
        <v>Cropping, Monoculture, Market-oriented</v>
      </c>
      <c r="F2036" s="152" t="str">
        <f>'Reported burning'!F2036</f>
        <v>ND</v>
      </c>
      <c r="G2036" s="152" t="str">
        <f>'Reported burning'!G2036</f>
        <v>ND</v>
      </c>
      <c r="H2036" s="152" t="str">
        <f>'Reported burning'!H2036</f>
        <v>Presence</v>
      </c>
      <c r="I2036" s="3"/>
      <c r="J2036" s="4" t="s">
        <v>2276</v>
      </c>
      <c r="K2036" s="4" t="s">
        <v>2276</v>
      </c>
      <c r="L2036" s="4" t="s">
        <v>2276</v>
      </c>
      <c r="M2036" s="4" t="s">
        <v>2276</v>
      </c>
      <c r="N2036" s="4" t="s">
        <v>2276</v>
      </c>
      <c r="O2036" s="4" t="s">
        <v>2276</v>
      </c>
      <c r="P2036" s="4" t="s">
        <v>2276</v>
      </c>
      <c r="Q2036" s="4" t="s">
        <v>2276</v>
      </c>
      <c r="R2036" s="4" t="s">
        <v>2276</v>
      </c>
      <c r="S2036" s="4" t="s">
        <v>2276</v>
      </c>
      <c r="T2036" s="4" t="s">
        <v>2276</v>
      </c>
      <c r="U2036" s="4" t="s">
        <v>2276</v>
      </c>
      <c r="V2036" s="4" t="s">
        <v>2276</v>
      </c>
      <c r="W2036" s="4" t="s">
        <v>2276</v>
      </c>
      <c r="X2036" s="4" t="s">
        <v>2276</v>
      </c>
      <c r="Y2036" s="4" t="s">
        <v>2276</v>
      </c>
      <c r="Z2036" s="4" t="s">
        <v>2276</v>
      </c>
      <c r="AA2036" s="3"/>
      <c r="AB2036" s="3"/>
    </row>
    <row r="2037" spans="1:28" ht="31.5" customHeight="1">
      <c r="A2037" s="156" t="str">
        <f>'Reported burning'!A2037</f>
        <v>233a</v>
      </c>
      <c r="B2037" s="156" t="str">
        <f>'Reported burning'!B2037</f>
        <v>233a.3</v>
      </c>
      <c r="C2037" s="156" t="str">
        <f>'Reported burning'!C2037</f>
        <v>Human, deliberate</v>
      </c>
      <c r="D2037" s="156" t="str">
        <f>'Reported burning'!D2037</f>
        <v>Vegetation management</v>
      </c>
      <c r="E2037" s="156" t="str">
        <f>'Reported burning'!E2037</f>
        <v>Cropping, Monoculture, Market-oriented</v>
      </c>
      <c r="F2037" s="156" t="str">
        <f>'Reported burning'!F2037</f>
        <v>Cropland</v>
      </c>
      <c r="G2037" s="156" t="str">
        <f>'Reported burning'!G2037</f>
        <v>ND</v>
      </c>
      <c r="H2037" s="156" t="str">
        <f>'Reported burning'!H2037</f>
        <v>Presence</v>
      </c>
      <c r="I2037" s="5"/>
      <c r="J2037" s="4" t="s">
        <v>2276</v>
      </c>
      <c r="K2037" s="4" t="s">
        <v>2276</v>
      </c>
      <c r="L2037" s="4" t="s">
        <v>2276</v>
      </c>
      <c r="M2037" s="4" t="s">
        <v>2276</v>
      </c>
      <c r="N2037" s="4" t="s">
        <v>2276</v>
      </c>
      <c r="O2037" s="4" t="s">
        <v>2276</v>
      </c>
      <c r="P2037" s="4" t="s">
        <v>2276</v>
      </c>
      <c r="Q2037" s="4" t="s">
        <v>2276</v>
      </c>
      <c r="R2037" s="4" t="s">
        <v>2276</v>
      </c>
      <c r="S2037" s="4" t="s">
        <v>2276</v>
      </c>
      <c r="T2037" s="4" t="s">
        <v>2276</v>
      </c>
      <c r="U2037" s="4" t="s">
        <v>2276</v>
      </c>
      <c r="V2037" s="4" t="s">
        <v>2276</v>
      </c>
      <c r="W2037" s="4" t="s">
        <v>2276</v>
      </c>
      <c r="X2037" s="4" t="s">
        <v>2276</v>
      </c>
      <c r="Y2037" s="4" t="s">
        <v>2276</v>
      </c>
      <c r="Z2037" s="4" t="s">
        <v>2276</v>
      </c>
      <c r="AA2037" s="3"/>
      <c r="AB2037" s="3"/>
    </row>
    <row r="2038" spans="1:28" ht="31.5" customHeight="1">
      <c r="A2038" s="156" t="str">
        <f>'Reported burning'!A2038</f>
        <v>233a</v>
      </c>
      <c r="B2038" s="156" t="str">
        <f>'Reported burning'!B2038</f>
        <v>233a.4</v>
      </c>
      <c r="C2038" s="156" t="str">
        <f>'Reported burning'!C2038</f>
        <v>Human, deliberate</v>
      </c>
      <c r="D2038" s="156" t="str">
        <f>'Reported burning'!D2038</f>
        <v>Pyrome management</v>
      </c>
      <c r="E2038" s="156" t="str">
        <f>'Reported burning'!E2038</f>
        <v>Cropping, Monoculture, Market-oriented</v>
      </c>
      <c r="F2038" s="156" t="str">
        <f>'Reported burning'!F2038</f>
        <v>Shrubland (Mixed forest &amp; grassland)</v>
      </c>
      <c r="G2038" s="156" t="str">
        <f>'Reported burning'!G2038</f>
        <v>ND</v>
      </c>
      <c r="H2038" s="156" t="str">
        <f>'Reported burning'!H2038</f>
        <v>Presence</v>
      </c>
      <c r="I2038" s="5"/>
      <c r="J2038" s="4" t="s">
        <v>2276</v>
      </c>
      <c r="K2038" s="4" t="s">
        <v>2276</v>
      </c>
      <c r="L2038" s="4" t="s">
        <v>2276</v>
      </c>
      <c r="M2038" s="4" t="s">
        <v>2276</v>
      </c>
      <c r="N2038" s="4" t="s">
        <v>2276</v>
      </c>
      <c r="O2038" s="4" t="s">
        <v>2276</v>
      </c>
      <c r="P2038" s="4" t="s">
        <v>2276</v>
      </c>
      <c r="Q2038" s="4" t="s">
        <v>2276</v>
      </c>
      <c r="R2038" s="4" t="s">
        <v>2276</v>
      </c>
      <c r="S2038" s="4" t="s">
        <v>2276</v>
      </c>
      <c r="T2038" s="4" t="s">
        <v>2276</v>
      </c>
      <c r="U2038" s="4" t="s">
        <v>2276</v>
      </c>
      <c r="V2038" s="4" t="s">
        <v>2276</v>
      </c>
      <c r="W2038" s="4" t="s">
        <v>2276</v>
      </c>
      <c r="X2038" s="4" t="s">
        <v>2276</v>
      </c>
      <c r="Y2038" s="4" t="s">
        <v>2276</v>
      </c>
      <c r="Z2038" s="4" t="s">
        <v>2276</v>
      </c>
      <c r="AA2038" s="3"/>
      <c r="AB2038" s="3"/>
    </row>
    <row r="2039" spans="1:28" ht="31.5" customHeight="1">
      <c r="A2039" s="156" t="str">
        <f>'Reported burning'!A2039</f>
        <v>233a</v>
      </c>
      <c r="B2039" s="156" t="str">
        <f>'Reported burning'!B2039</f>
        <v>233a.5</v>
      </c>
      <c r="C2039" s="156" t="str">
        <f>'Reported burning'!C2039</f>
        <v>Human, deliberate</v>
      </c>
      <c r="D2039" s="156" t="str">
        <f>'Reported burning'!D2039</f>
        <v>Arson</v>
      </c>
      <c r="E2039" s="156" t="str">
        <f>'Reported burning'!E2039</f>
        <v>ND</v>
      </c>
      <c r="F2039" s="156" t="str">
        <f>'Reported burning'!F2039</f>
        <v>ND</v>
      </c>
      <c r="G2039" s="156" t="str">
        <f>'Reported burning'!G2039</f>
        <v>ND</v>
      </c>
      <c r="H2039" s="156" t="str">
        <f>'Reported burning'!H2039</f>
        <v>Presence</v>
      </c>
      <c r="I2039" s="5"/>
      <c r="J2039" s="4" t="s">
        <v>2276</v>
      </c>
      <c r="K2039" s="4" t="s">
        <v>2276</v>
      </c>
      <c r="L2039" s="4" t="s">
        <v>2276</v>
      </c>
      <c r="M2039" s="4" t="s">
        <v>2276</v>
      </c>
      <c r="N2039" s="4" t="s">
        <v>2276</v>
      </c>
      <c r="O2039" s="4" t="s">
        <v>2276</v>
      </c>
      <c r="P2039" s="4" t="s">
        <v>2276</v>
      </c>
      <c r="Q2039" s="4" t="s">
        <v>2276</v>
      </c>
      <c r="R2039" s="4" t="s">
        <v>2276</v>
      </c>
      <c r="S2039" s="4" t="s">
        <v>2276</v>
      </c>
      <c r="T2039" s="4" t="s">
        <v>2276</v>
      </c>
      <c r="U2039" s="4" t="s">
        <v>2276</v>
      </c>
      <c r="V2039" s="4" t="s">
        <v>2276</v>
      </c>
      <c r="W2039" s="4" t="s">
        <v>2276</v>
      </c>
      <c r="X2039" s="4" t="s">
        <v>2276</v>
      </c>
      <c r="Y2039" s="4" t="s">
        <v>2276</v>
      </c>
      <c r="Z2039" s="4" t="s">
        <v>2276</v>
      </c>
      <c r="AA2039" s="3"/>
      <c r="AB2039" s="3"/>
    </row>
    <row r="2040" spans="1:28" ht="31.5" customHeight="1">
      <c r="A2040" s="156" t="str">
        <f>'Reported burning'!A2040</f>
        <v>233a</v>
      </c>
      <c r="B2040" s="156" t="str">
        <f>'Reported burning'!B2040</f>
        <v>233a.6</v>
      </c>
      <c r="C2040" s="156" t="str">
        <f>'Reported burning'!C2040</f>
        <v>Human, escaped</v>
      </c>
      <c r="D2040" s="156" t="str">
        <f>'Reported burning'!D2040</f>
        <v>Domestic</v>
      </c>
      <c r="E2040" s="156" t="str">
        <f>'Reported burning'!E2040</f>
        <v>Tourism manager</v>
      </c>
      <c r="F2040" s="156" t="str">
        <f>'Reported burning'!F2040</f>
        <v>ND</v>
      </c>
      <c r="G2040" s="156" t="str">
        <f>'Reported burning'!G2040</f>
        <v>ND</v>
      </c>
      <c r="H2040" s="156" t="str">
        <f>'Reported burning'!H2040</f>
        <v>Presence</v>
      </c>
      <c r="I2040" s="5"/>
      <c r="J2040" s="4" t="s">
        <v>2276</v>
      </c>
      <c r="K2040" s="4" t="s">
        <v>2276</v>
      </c>
      <c r="L2040" s="4" t="s">
        <v>2276</v>
      </c>
      <c r="M2040" s="4" t="s">
        <v>2276</v>
      </c>
      <c r="N2040" s="4" t="s">
        <v>2276</v>
      </c>
      <c r="O2040" s="4" t="s">
        <v>2276</v>
      </c>
      <c r="P2040" s="4" t="s">
        <v>2276</v>
      </c>
      <c r="Q2040" s="4" t="s">
        <v>2276</v>
      </c>
      <c r="R2040" s="4" t="s">
        <v>2276</v>
      </c>
      <c r="S2040" s="4" t="s">
        <v>2276</v>
      </c>
      <c r="T2040" s="4" t="s">
        <v>2276</v>
      </c>
      <c r="U2040" s="4" t="s">
        <v>2276</v>
      </c>
      <c r="V2040" s="4" t="s">
        <v>2276</v>
      </c>
      <c r="W2040" s="4" t="s">
        <v>2276</v>
      </c>
      <c r="X2040" s="4" t="s">
        <v>2276</v>
      </c>
      <c r="Y2040" s="4" t="s">
        <v>2276</v>
      </c>
      <c r="Z2040" s="4" t="s">
        <v>2276</v>
      </c>
      <c r="AA2040" s="3"/>
      <c r="AB2040" s="3"/>
    </row>
    <row r="2041" spans="1:28" ht="68.5" customHeight="1">
      <c r="A2041" s="156" t="str">
        <f>'Reported burning'!A2041</f>
        <v>233a</v>
      </c>
      <c r="B2041" s="156" t="str">
        <f>'Reported burning'!B2041</f>
        <v>233a.7</v>
      </c>
      <c r="C2041" s="156" t="str">
        <f>'Reported burning'!C2041</f>
        <v>All</v>
      </c>
      <c r="D2041" s="156" t="str">
        <f>'Reported burning'!D2041</f>
        <v>All</v>
      </c>
      <c r="E2041" s="156" t="str">
        <f>'Reported burning'!E2041</f>
        <v>All</v>
      </c>
      <c r="F2041" s="156" t="str">
        <f>'Reported burning'!F2041</f>
        <v>ND</v>
      </c>
      <c r="G2041" s="156" t="str">
        <f>'Reported burning'!G2041</f>
        <v>ND</v>
      </c>
      <c r="H2041" s="156" t="str">
        <f>'Reported burning'!H2041</f>
        <v>Presence</v>
      </c>
      <c r="I2041" s="5"/>
      <c r="J2041" s="21" t="s">
        <v>2372</v>
      </c>
      <c r="K2041" s="103" t="s">
        <v>2362</v>
      </c>
      <c r="L2041" s="21" t="s">
        <v>2362</v>
      </c>
      <c r="M2041" s="4" t="s">
        <v>2276</v>
      </c>
      <c r="N2041" s="4" t="s">
        <v>2276</v>
      </c>
      <c r="O2041" s="4" t="s">
        <v>2276</v>
      </c>
      <c r="P2041" s="21" t="s">
        <v>2373</v>
      </c>
      <c r="Q2041" s="21" t="s">
        <v>2362</v>
      </c>
      <c r="R2041" s="21" t="s">
        <v>2362</v>
      </c>
      <c r="S2041" s="4" t="s">
        <v>2276</v>
      </c>
      <c r="T2041" s="4" t="s">
        <v>2276</v>
      </c>
      <c r="U2041" s="4" t="s">
        <v>2276</v>
      </c>
      <c r="V2041" s="21" t="s">
        <v>2527</v>
      </c>
      <c r="W2041" s="4" t="s">
        <v>2276</v>
      </c>
      <c r="X2041" s="4" t="s">
        <v>2276</v>
      </c>
      <c r="Y2041" s="4" t="s">
        <v>2276</v>
      </c>
      <c r="Z2041" s="4" t="s">
        <v>2276</v>
      </c>
      <c r="AA2041" s="3"/>
      <c r="AB2041" s="4" t="s">
        <v>5809</v>
      </c>
    </row>
    <row r="2042" spans="1:28" ht="32.5" customHeight="1">
      <c r="A2042" s="156" t="str">
        <f>'Reported burning'!A2042</f>
        <v>234a</v>
      </c>
      <c r="B2042" s="156" t="str">
        <f>'Reported burning'!B2042</f>
        <v>234a.1</v>
      </c>
      <c r="C2042" s="156" t="str">
        <f>'Reported burning'!C2042</f>
        <v>Human, deliberate</v>
      </c>
      <c r="D2042" s="156" t="str">
        <f>'Reported burning'!D2042</f>
        <v>Crop field preparation</v>
      </c>
      <c r="E2042" s="156" t="str">
        <f>'Reported burning'!E2042</f>
        <v>Cropping, Swidden</v>
      </c>
      <c r="F2042" s="156" t="str">
        <f>'Reported burning'!F2042</f>
        <v>Secondary vegetation</v>
      </c>
      <c r="G2042" s="156" t="str">
        <f>'Reported burning'!G2042</f>
        <v>ND</v>
      </c>
      <c r="H2042" s="156" t="str">
        <f>'Reported burning'!H2042</f>
        <v>Presence</v>
      </c>
      <c r="I2042" s="5"/>
      <c r="J2042" s="4" t="s">
        <v>2276</v>
      </c>
      <c r="K2042" s="4" t="s">
        <v>2276</v>
      </c>
      <c r="L2042" s="4" t="s">
        <v>2276</v>
      </c>
      <c r="M2042" s="4" t="s">
        <v>2276</v>
      </c>
      <c r="N2042" s="4" t="s">
        <v>2276</v>
      </c>
      <c r="O2042" s="4" t="s">
        <v>2276</v>
      </c>
      <c r="P2042" s="4" t="s">
        <v>2276</v>
      </c>
      <c r="Q2042" s="4" t="s">
        <v>2276</v>
      </c>
      <c r="R2042" s="4" t="s">
        <v>2276</v>
      </c>
      <c r="S2042" s="4" t="s">
        <v>2276</v>
      </c>
      <c r="T2042" s="4" t="s">
        <v>2276</v>
      </c>
      <c r="U2042" s="4" t="s">
        <v>2276</v>
      </c>
      <c r="V2042" s="4" t="s">
        <v>2276</v>
      </c>
      <c r="W2042" s="4" t="s">
        <v>2276</v>
      </c>
      <c r="X2042" s="4" t="s">
        <v>2276</v>
      </c>
      <c r="Y2042" s="4" t="s">
        <v>2276</v>
      </c>
      <c r="Z2042" s="4" t="s">
        <v>2276</v>
      </c>
      <c r="AA2042" s="3"/>
      <c r="AB2042" s="3"/>
    </row>
    <row r="2043" spans="1:28" ht="32.5" customHeight="1">
      <c r="A2043" s="156" t="str">
        <f>'Reported burning'!A2043</f>
        <v>234a</v>
      </c>
      <c r="B2043" s="156" t="str">
        <f>'Reported burning'!B2043</f>
        <v>234a.2</v>
      </c>
      <c r="C2043" s="156" t="str">
        <f>'Reported burning'!C2043</f>
        <v>Human, deliberate</v>
      </c>
      <c r="D2043" s="156" t="str">
        <f>'Reported burning'!D2043</f>
        <v>Crop field preparation</v>
      </c>
      <c r="E2043" s="156" t="str">
        <f>'Reported burning'!E2043</f>
        <v>Cropping, Monoculture, Market-oriented</v>
      </c>
      <c r="F2043" s="156" t="str">
        <f>'Reported burning'!F2043</f>
        <v>Secondary vegetation</v>
      </c>
      <c r="G2043" s="156" t="str">
        <f>'Reported burning'!G2043</f>
        <v>ND</v>
      </c>
      <c r="H2043" s="156" t="str">
        <f>'Reported burning'!H2043</f>
        <v>Absence</v>
      </c>
      <c r="I2043" s="5"/>
      <c r="J2043" s="21">
        <v>0</v>
      </c>
      <c r="K2043" s="21">
        <v>0</v>
      </c>
      <c r="L2043" s="21">
        <v>0</v>
      </c>
      <c r="M2043" s="21">
        <v>0</v>
      </c>
      <c r="N2043" s="21">
        <v>0</v>
      </c>
      <c r="O2043" s="21">
        <v>0</v>
      </c>
      <c r="P2043" s="21">
        <v>0</v>
      </c>
      <c r="Q2043" s="21">
        <v>0</v>
      </c>
      <c r="R2043" s="21">
        <v>0</v>
      </c>
      <c r="S2043" s="21">
        <v>0</v>
      </c>
      <c r="T2043" s="21">
        <v>0</v>
      </c>
      <c r="U2043" s="21">
        <v>0</v>
      </c>
      <c r="V2043" s="21">
        <v>0</v>
      </c>
      <c r="W2043" s="4" t="s">
        <v>2276</v>
      </c>
      <c r="X2043" s="4" t="s">
        <v>2276</v>
      </c>
      <c r="Y2043" s="4" t="s">
        <v>2276</v>
      </c>
      <c r="Z2043" s="4" t="s">
        <v>2276</v>
      </c>
      <c r="AA2043" s="3"/>
      <c r="AB2043" s="3"/>
    </row>
    <row r="2044" spans="1:28" ht="32.5" customHeight="1">
      <c r="A2044" s="156" t="str">
        <f>'Reported burning'!A2044</f>
        <v>234a</v>
      </c>
      <c r="B2044" s="156" t="str">
        <f>'Reported burning'!B2044</f>
        <v>234a.3</v>
      </c>
      <c r="C2044" s="156" t="str">
        <f>'Reported burning'!C2044</f>
        <v>Human, deliberate</v>
      </c>
      <c r="D2044" s="156" t="str">
        <f>'Reported burning'!D2044</f>
        <v>Land clearance</v>
      </c>
      <c r="E2044" s="156" t="str">
        <f>'Reported burning'!E2044</f>
        <v>Cropping, Monoculture, Market-oriented</v>
      </c>
      <c r="F2044" s="156" t="str">
        <f>'Reported burning'!F2044</f>
        <v>Secondary vegetation</v>
      </c>
      <c r="G2044" s="156" t="str">
        <f>'Reported burning'!G2044</f>
        <v>ND</v>
      </c>
      <c r="H2044" s="156" t="str">
        <f>'Reported burning'!H2044</f>
        <v>Presence</v>
      </c>
      <c r="I2044" s="5"/>
      <c r="J2044" s="4" t="s">
        <v>2276</v>
      </c>
      <c r="K2044" s="4" t="s">
        <v>2276</v>
      </c>
      <c r="L2044" s="4" t="s">
        <v>2276</v>
      </c>
      <c r="M2044" s="4" t="s">
        <v>2276</v>
      </c>
      <c r="N2044" s="4" t="s">
        <v>2276</v>
      </c>
      <c r="O2044" s="4" t="s">
        <v>2276</v>
      </c>
      <c r="P2044" s="4" t="s">
        <v>2276</v>
      </c>
      <c r="Q2044" s="4" t="s">
        <v>2276</v>
      </c>
      <c r="R2044" s="4" t="s">
        <v>2276</v>
      </c>
      <c r="S2044" s="4" t="s">
        <v>2276</v>
      </c>
      <c r="T2044" s="4" t="s">
        <v>2276</v>
      </c>
      <c r="U2044" s="4" t="s">
        <v>2276</v>
      </c>
      <c r="V2044" s="4" t="s">
        <v>2276</v>
      </c>
      <c r="W2044" s="4" t="s">
        <v>2276</v>
      </c>
      <c r="X2044" s="4" t="s">
        <v>2276</v>
      </c>
      <c r="Y2044" s="4" t="s">
        <v>2276</v>
      </c>
      <c r="Z2044" s="4" t="s">
        <v>2276</v>
      </c>
      <c r="AA2044" s="3"/>
      <c r="AB2044" s="3"/>
    </row>
    <row r="2045" spans="1:28" ht="33" customHeight="1">
      <c r="A2045" s="156" t="str">
        <f>'Reported burning'!A2045</f>
        <v>234b</v>
      </c>
      <c r="B2045" s="156" t="str">
        <f>'Reported burning'!B2045</f>
        <v>234b.1</v>
      </c>
      <c r="C2045" s="156" t="str">
        <f>'Reported burning'!C2045</f>
        <v>Human, deliberate</v>
      </c>
      <c r="D2045" s="156" t="str">
        <f>'Reported burning'!D2045</f>
        <v>Crop field preparation</v>
      </c>
      <c r="E2045" s="156" t="str">
        <f>'Reported burning'!E2045</f>
        <v>Cropping, Swidden</v>
      </c>
      <c r="F2045" s="156" t="str">
        <f>'Reported burning'!F2045</f>
        <v>Secondary vegetation</v>
      </c>
      <c r="G2045" s="156" t="str">
        <f>'Reported burning'!G2045</f>
        <v>ND</v>
      </c>
      <c r="H2045" s="156" t="str">
        <f>'Reported burning'!H2045</f>
        <v>Presence</v>
      </c>
      <c r="I2045" s="5"/>
      <c r="J2045" s="4" t="s">
        <v>2276</v>
      </c>
      <c r="K2045" s="4" t="s">
        <v>2276</v>
      </c>
      <c r="L2045" s="4" t="s">
        <v>2276</v>
      </c>
      <c r="M2045" s="4" t="s">
        <v>2276</v>
      </c>
      <c r="N2045" s="4" t="s">
        <v>2276</v>
      </c>
      <c r="O2045" s="4" t="s">
        <v>2276</v>
      </c>
      <c r="P2045" s="4" t="s">
        <v>2276</v>
      </c>
      <c r="Q2045" s="4" t="s">
        <v>2276</v>
      </c>
      <c r="R2045" s="4" t="s">
        <v>2276</v>
      </c>
      <c r="S2045" s="4" t="s">
        <v>2276</v>
      </c>
      <c r="T2045" s="4" t="s">
        <v>2276</v>
      </c>
      <c r="U2045" s="4" t="s">
        <v>2276</v>
      </c>
      <c r="V2045" s="4" t="s">
        <v>2276</v>
      </c>
      <c r="W2045" s="4" t="s">
        <v>2276</v>
      </c>
      <c r="X2045" s="4" t="s">
        <v>2276</v>
      </c>
      <c r="Y2045" s="4" t="s">
        <v>2276</v>
      </c>
      <c r="Z2045" s="4" t="s">
        <v>2276</v>
      </c>
      <c r="AA2045" s="3"/>
      <c r="AB2045" s="3"/>
    </row>
    <row r="2046" spans="1:28" ht="33" customHeight="1">
      <c r="A2046" s="156" t="str">
        <f>'Reported burning'!A2046</f>
        <v>234b</v>
      </c>
      <c r="B2046" s="156" t="str">
        <f>'Reported burning'!B2046</f>
        <v>234b.2</v>
      </c>
      <c r="C2046" s="156" t="str">
        <f>'Reported burning'!C2046</f>
        <v>Human, deliberate</v>
      </c>
      <c r="D2046" s="156" t="str">
        <f>'Reported burning'!D2046</f>
        <v>Crop field preparation</v>
      </c>
      <c r="E2046" s="156" t="str">
        <f>'Reported burning'!E2046</f>
        <v>Cropping, Monoculture, Market-oriented</v>
      </c>
      <c r="F2046" s="156" t="str">
        <f>'Reported burning'!F2046</f>
        <v>Secondary vegetation</v>
      </c>
      <c r="G2046" s="156" t="str">
        <f>'Reported burning'!G2046</f>
        <v>ND</v>
      </c>
      <c r="H2046" s="156" t="str">
        <f>'Reported burning'!H2046</f>
        <v>Absence</v>
      </c>
      <c r="I2046" s="5"/>
      <c r="J2046" s="21">
        <v>0</v>
      </c>
      <c r="K2046" s="21">
        <v>0</v>
      </c>
      <c r="L2046" s="21">
        <v>0</v>
      </c>
      <c r="M2046" s="21">
        <v>0</v>
      </c>
      <c r="N2046" s="21">
        <v>0</v>
      </c>
      <c r="O2046" s="21">
        <v>0</v>
      </c>
      <c r="P2046" s="21">
        <v>0</v>
      </c>
      <c r="Q2046" s="21">
        <v>0</v>
      </c>
      <c r="R2046" s="21">
        <v>0</v>
      </c>
      <c r="S2046" s="21">
        <v>0</v>
      </c>
      <c r="T2046" s="21">
        <v>0</v>
      </c>
      <c r="U2046" s="21">
        <v>0</v>
      </c>
      <c r="V2046" s="21">
        <v>0</v>
      </c>
      <c r="W2046" s="4" t="s">
        <v>2276</v>
      </c>
      <c r="X2046" s="4" t="s">
        <v>2276</v>
      </c>
      <c r="Y2046" s="4" t="s">
        <v>2276</v>
      </c>
      <c r="Z2046" s="4" t="s">
        <v>2276</v>
      </c>
      <c r="AA2046" s="3"/>
      <c r="AB2046" s="3"/>
    </row>
    <row r="2047" spans="1:28" ht="33" customHeight="1">
      <c r="A2047" s="156" t="str">
        <f>'Reported burning'!A2047</f>
        <v>234b</v>
      </c>
      <c r="B2047" s="156" t="str">
        <f>'Reported burning'!B2047</f>
        <v>234b.3</v>
      </c>
      <c r="C2047" s="156" t="str">
        <f>'Reported burning'!C2047</f>
        <v>Human, deliberate</v>
      </c>
      <c r="D2047" s="156" t="str">
        <f>'Reported burning'!D2047</f>
        <v>Land clearance</v>
      </c>
      <c r="E2047" s="156" t="str">
        <f>'Reported burning'!E2047</f>
        <v>Cropping, Monoculture, Market-oriented</v>
      </c>
      <c r="F2047" s="156" t="str">
        <f>'Reported burning'!F2047</f>
        <v>Secondary vegetation</v>
      </c>
      <c r="G2047" s="156" t="str">
        <f>'Reported burning'!G2047</f>
        <v>ND</v>
      </c>
      <c r="H2047" s="156" t="str">
        <f>'Reported burning'!H2047</f>
        <v>Presence</v>
      </c>
      <c r="I2047" s="5"/>
      <c r="J2047" s="4" t="s">
        <v>2276</v>
      </c>
      <c r="K2047" s="4" t="s">
        <v>2276</v>
      </c>
      <c r="L2047" s="4" t="s">
        <v>2276</v>
      </c>
      <c r="M2047" s="4" t="s">
        <v>2276</v>
      </c>
      <c r="N2047" s="4" t="s">
        <v>2276</v>
      </c>
      <c r="O2047" s="4" t="s">
        <v>2276</v>
      </c>
      <c r="P2047" s="4" t="s">
        <v>2276</v>
      </c>
      <c r="Q2047" s="4" t="s">
        <v>2276</v>
      </c>
      <c r="R2047" s="4" t="s">
        <v>2276</v>
      </c>
      <c r="S2047" s="4" t="s">
        <v>2276</v>
      </c>
      <c r="T2047" s="4" t="s">
        <v>2276</v>
      </c>
      <c r="U2047" s="4" t="s">
        <v>2276</v>
      </c>
      <c r="V2047" s="4" t="s">
        <v>2276</v>
      </c>
      <c r="W2047" s="4" t="s">
        <v>2276</v>
      </c>
      <c r="X2047" s="4" t="s">
        <v>2276</v>
      </c>
      <c r="Y2047" s="4" t="s">
        <v>2276</v>
      </c>
      <c r="Z2047" s="4" t="s">
        <v>2276</v>
      </c>
      <c r="AA2047" s="3"/>
      <c r="AB2047" s="3"/>
    </row>
    <row r="2048" spans="1:28" ht="50" customHeight="1">
      <c r="A2048" s="156" t="str">
        <f>'Reported burning'!A2048</f>
        <v>235a</v>
      </c>
      <c r="B2048" s="156" t="str">
        <f>'Reported burning'!B2048</f>
        <v>235a.1</v>
      </c>
      <c r="C2048" s="156" t="str">
        <f>'Reported burning'!C2048</f>
        <v>Human, deliberate</v>
      </c>
      <c r="D2048" s="156" t="str">
        <f>'Reported burning'!D2048</f>
        <v>Crop field preparation</v>
      </c>
      <c r="E2048" s="156" t="str">
        <f>'Reported burning'!E2048</f>
        <v>Cropping, Swidden</v>
      </c>
      <c r="F2048" s="156" t="str">
        <f>'Reported burning'!F2048</f>
        <v>Cropland</v>
      </c>
      <c r="G2048" s="156" t="str">
        <f>'Reported burning'!G2048</f>
        <v>Cropland</v>
      </c>
      <c r="H2048" s="156" t="str">
        <f>'Reported burning'!H2048</f>
        <v>Presence</v>
      </c>
      <c r="I2048" s="5"/>
      <c r="J2048" s="4" t="s">
        <v>2276</v>
      </c>
      <c r="K2048" s="4" t="s">
        <v>2276</v>
      </c>
      <c r="L2048" s="4" t="s">
        <v>2276</v>
      </c>
      <c r="M2048" s="4" t="s">
        <v>2276</v>
      </c>
      <c r="N2048" s="4" t="s">
        <v>2276</v>
      </c>
      <c r="O2048" s="4" t="s">
        <v>2276</v>
      </c>
      <c r="P2048" s="4" t="s">
        <v>2276</v>
      </c>
      <c r="Q2048" s="4" t="s">
        <v>2276</v>
      </c>
      <c r="R2048" s="4" t="s">
        <v>2276</v>
      </c>
      <c r="S2048" s="4" t="s">
        <v>2276</v>
      </c>
      <c r="T2048" s="4" t="s">
        <v>2276</v>
      </c>
      <c r="U2048" s="4" t="s">
        <v>2276</v>
      </c>
      <c r="V2048" s="4" t="s">
        <v>2276</v>
      </c>
      <c r="W2048" s="4" t="s">
        <v>2276</v>
      </c>
      <c r="X2048" s="4" t="s">
        <v>2276</v>
      </c>
      <c r="Y2048" s="4" t="s">
        <v>2276</v>
      </c>
      <c r="Z2048" s="4" t="s">
        <v>2276</v>
      </c>
      <c r="AA2048" s="4" t="s">
        <v>5834</v>
      </c>
      <c r="AB2048" s="3"/>
    </row>
    <row r="2049" spans="1:28" ht="38" customHeight="1">
      <c r="A2049" s="156" t="str">
        <f>'Reported burning'!A2049</f>
        <v>235a</v>
      </c>
      <c r="B2049" s="156" t="str">
        <f>'Reported burning'!B2049</f>
        <v>235a.2</v>
      </c>
      <c r="C2049" s="156" t="str">
        <f>'Reported burning'!C2049</f>
        <v>Human, deliberate</v>
      </c>
      <c r="D2049" s="156" t="str">
        <f>'Reported burning'!D2049</f>
        <v>Crop field preparation</v>
      </c>
      <c r="E2049" s="156" t="str">
        <f>'Reported burning'!E2049</f>
        <v>Cropping, Swidden</v>
      </c>
      <c r="F2049" s="156" t="str">
        <f>'Reported burning'!F2049</f>
        <v>Secondary vegetation</v>
      </c>
      <c r="G2049" s="156" t="str">
        <f>'Reported burning'!G2049</f>
        <v>Cropland</v>
      </c>
      <c r="H2049" s="156" t="str">
        <f>'Reported burning'!H2049</f>
        <v>Absence</v>
      </c>
      <c r="I2049" s="5"/>
      <c r="J2049" s="21">
        <v>0</v>
      </c>
      <c r="K2049" s="21">
        <v>0</v>
      </c>
      <c r="L2049" s="21">
        <v>0</v>
      </c>
      <c r="M2049" s="21">
        <v>0</v>
      </c>
      <c r="N2049" s="21">
        <v>0</v>
      </c>
      <c r="O2049" s="21">
        <v>0</v>
      </c>
      <c r="P2049" s="21">
        <v>0</v>
      </c>
      <c r="Q2049" s="21">
        <v>0</v>
      </c>
      <c r="R2049" s="21">
        <v>0</v>
      </c>
      <c r="S2049" s="21">
        <v>0</v>
      </c>
      <c r="T2049" s="21">
        <v>0</v>
      </c>
      <c r="U2049" s="21">
        <v>0</v>
      </c>
      <c r="V2049" s="21">
        <v>0</v>
      </c>
      <c r="W2049" s="4" t="s">
        <v>2276</v>
      </c>
      <c r="X2049" s="4" t="s">
        <v>2276</v>
      </c>
      <c r="Y2049" s="4" t="s">
        <v>2276</v>
      </c>
      <c r="Z2049" s="4" t="s">
        <v>2276</v>
      </c>
      <c r="AA2049" s="4" t="s">
        <v>5835</v>
      </c>
      <c r="AB2049" s="3"/>
    </row>
    <row r="2050" spans="1:28" ht="32.5" customHeight="1">
      <c r="A2050" s="156" t="str">
        <f>'Reported burning'!A2050</f>
        <v>236a</v>
      </c>
      <c r="B2050" s="156" t="str">
        <f>'Reported burning'!B2050</f>
        <v>236a.1</v>
      </c>
      <c r="C2050" s="156" t="str">
        <f>'Reported burning'!C2050</f>
        <v>Human, deliberate</v>
      </c>
      <c r="D2050" s="156" t="str">
        <f>'Reported burning'!D2050</f>
        <v>Pasture renewal</v>
      </c>
      <c r="E2050" s="156" t="str">
        <f>'Reported burning'!E2050</f>
        <v>Cattle, Extensive</v>
      </c>
      <c r="F2050" s="156" t="str">
        <f>'Reported burning'!F2050</f>
        <v>Shrubland (Mixed forest &amp; grassland)</v>
      </c>
      <c r="G2050" s="156" t="str">
        <f>'Reported burning'!G2050</f>
        <v>ND</v>
      </c>
      <c r="H2050" s="156" t="str">
        <f>'Reported burning'!H2050</f>
        <v>Presence</v>
      </c>
      <c r="I2050" s="5"/>
      <c r="J2050" s="4" t="s">
        <v>2276</v>
      </c>
      <c r="K2050" s="4" t="s">
        <v>2276</v>
      </c>
      <c r="L2050" s="4" t="s">
        <v>2276</v>
      </c>
      <c r="M2050" s="4" t="s">
        <v>2276</v>
      </c>
      <c r="N2050" s="4" t="s">
        <v>2276</v>
      </c>
      <c r="O2050" s="4" t="s">
        <v>2276</v>
      </c>
      <c r="P2050" s="4" t="s">
        <v>2276</v>
      </c>
      <c r="Q2050" s="4" t="s">
        <v>2276</v>
      </c>
      <c r="R2050" s="4" t="s">
        <v>2276</v>
      </c>
      <c r="S2050" s="4" t="s">
        <v>2276</v>
      </c>
      <c r="T2050" s="4" t="s">
        <v>2276</v>
      </c>
      <c r="U2050" s="4" t="s">
        <v>2276</v>
      </c>
      <c r="V2050" s="4" t="s">
        <v>2276</v>
      </c>
      <c r="W2050" s="21" t="s">
        <v>2401</v>
      </c>
      <c r="X2050" s="3" t="s">
        <v>399</v>
      </c>
      <c r="Y2050" s="3" t="s">
        <v>189</v>
      </c>
      <c r="Z2050" s="4" t="s">
        <v>2276</v>
      </c>
      <c r="AA2050" s="3"/>
      <c r="AB2050" s="3"/>
    </row>
    <row r="2051" spans="1:28" ht="29">
      <c r="A2051" s="156" t="str">
        <f>'Reported burning'!A2051</f>
        <v>237a</v>
      </c>
      <c r="B2051" s="156" t="str">
        <f>'Reported burning'!B2051</f>
        <v>237a.1</v>
      </c>
      <c r="C2051" s="156" t="str">
        <f>'Reported burning'!C2051</f>
        <v>Human, deliberate</v>
      </c>
      <c r="D2051" s="156" t="str">
        <f>'Reported burning'!D2051</f>
        <v>Hunting</v>
      </c>
      <c r="E2051" s="156" t="str">
        <f>'Reported burning'!E2051</f>
        <v>Forestry, Traditional</v>
      </c>
      <c r="F2051" s="156" t="str">
        <f>'Reported burning'!F2051</f>
        <v>Shrubland (Mixed forest &amp; grassland)</v>
      </c>
      <c r="G2051" s="156" t="str">
        <f>'Reported burning'!G2051</f>
        <v>Shrubland (Mixed forest &amp; grassland)</v>
      </c>
      <c r="H2051" s="156" t="str">
        <f>'Reported burning'!H2051</f>
        <v>Presence</v>
      </c>
      <c r="I2051" s="5"/>
      <c r="J2051" s="4" t="s">
        <v>2276</v>
      </c>
      <c r="K2051" s="4" t="s">
        <v>2276</v>
      </c>
      <c r="L2051" s="4" t="s">
        <v>2276</v>
      </c>
      <c r="M2051" s="4" t="s">
        <v>2276</v>
      </c>
      <c r="N2051" s="4" t="s">
        <v>2276</v>
      </c>
      <c r="O2051" s="4" t="s">
        <v>2276</v>
      </c>
      <c r="P2051" s="4" t="s">
        <v>2276</v>
      </c>
      <c r="Q2051" s="4" t="s">
        <v>2276</v>
      </c>
      <c r="R2051" s="4" t="s">
        <v>2276</v>
      </c>
      <c r="S2051" s="4" t="s">
        <v>2276</v>
      </c>
      <c r="T2051" s="4" t="s">
        <v>2276</v>
      </c>
      <c r="U2051" s="4" t="s">
        <v>2276</v>
      </c>
      <c r="V2051" s="4" t="s">
        <v>2276</v>
      </c>
      <c r="W2051" s="4" t="s">
        <v>2276</v>
      </c>
      <c r="X2051" s="3" t="s">
        <v>399</v>
      </c>
      <c r="Y2051" s="3" t="s">
        <v>189</v>
      </c>
      <c r="Z2051" s="4" t="s">
        <v>2276</v>
      </c>
      <c r="AA2051" s="3"/>
      <c r="AB2051" s="3"/>
    </row>
    <row r="2052" spans="1:28" ht="29">
      <c r="A2052" s="156" t="str">
        <f>'Reported burning'!A2052</f>
        <v>237a</v>
      </c>
      <c r="B2052" s="156" t="str">
        <f>'Reported burning'!B2052</f>
        <v>237a.2</v>
      </c>
      <c r="C2052" s="156" t="str">
        <f>'Reported burning'!C2052</f>
        <v>Human, deliberate</v>
      </c>
      <c r="D2052" s="156" t="str">
        <f>'Reported burning'!D2052</f>
        <v>Pasture renewal</v>
      </c>
      <c r="E2052" s="156" t="str">
        <f>'Reported burning'!E2052</f>
        <v>Pastoralism, Migratory</v>
      </c>
      <c r="F2052" s="156" t="str">
        <f>'Reported burning'!F2052</f>
        <v>Shrubland (Mixed forest &amp; grassland)</v>
      </c>
      <c r="G2052" s="156" t="str">
        <f>'Reported burning'!G2052</f>
        <v>Shrubland (Mixed forest &amp; grassland)</v>
      </c>
      <c r="H2052" s="156" t="str">
        <f>'Reported burning'!H2052</f>
        <v>Presence</v>
      </c>
      <c r="I2052" s="5"/>
      <c r="J2052" s="4" t="s">
        <v>2276</v>
      </c>
      <c r="K2052" s="4" t="s">
        <v>2276</v>
      </c>
      <c r="L2052" s="4" t="s">
        <v>2276</v>
      </c>
      <c r="M2052" s="4" t="s">
        <v>2276</v>
      </c>
      <c r="N2052" s="4" t="s">
        <v>2276</v>
      </c>
      <c r="O2052" s="4" t="s">
        <v>2276</v>
      </c>
      <c r="P2052" s="4" t="s">
        <v>2276</v>
      </c>
      <c r="Q2052" s="4" t="s">
        <v>2276</v>
      </c>
      <c r="R2052" s="4" t="s">
        <v>2276</v>
      </c>
      <c r="S2052" s="4" t="s">
        <v>2276</v>
      </c>
      <c r="T2052" s="4" t="s">
        <v>2276</v>
      </c>
      <c r="U2052" s="4" t="s">
        <v>2276</v>
      </c>
      <c r="V2052" s="4" t="s">
        <v>2276</v>
      </c>
      <c r="W2052" s="4" t="s">
        <v>2276</v>
      </c>
      <c r="X2052" s="3" t="s">
        <v>399</v>
      </c>
      <c r="Y2052" s="3" t="s">
        <v>189</v>
      </c>
      <c r="Z2052" s="4" t="s">
        <v>2276</v>
      </c>
      <c r="AA2052" s="3"/>
      <c r="AB2052" s="3"/>
    </row>
    <row r="2053" spans="1:28" ht="29">
      <c r="A2053" s="156" t="str">
        <f>'Reported burning'!A2053</f>
        <v>237a</v>
      </c>
      <c r="B2053" s="156" t="str">
        <f>'Reported burning'!B2053</f>
        <v>237a.3</v>
      </c>
      <c r="C2053" s="156" t="str">
        <f>'Reported burning'!C2053</f>
        <v>All</v>
      </c>
      <c r="D2053" s="156" t="str">
        <f>'Reported burning'!D2053</f>
        <v>All</v>
      </c>
      <c r="E2053" s="156" t="str">
        <f>'Reported burning'!E2053</f>
        <v>All</v>
      </c>
      <c r="F2053" s="156" t="str">
        <f>'Reported burning'!F2053</f>
        <v>ND</v>
      </c>
      <c r="G2053" s="156" t="str">
        <f>'Reported burning'!G2053</f>
        <v>Shrubland (Mixed forest &amp; grassland)</v>
      </c>
      <c r="H2053" s="156" t="str">
        <f>'Reported burning'!H2053</f>
        <v>Presence</v>
      </c>
      <c r="I2053" s="5"/>
      <c r="J2053" s="4" t="s">
        <v>2276</v>
      </c>
      <c r="K2053" s="4" t="s">
        <v>2276</v>
      </c>
      <c r="L2053" s="4" t="s">
        <v>2276</v>
      </c>
      <c r="M2053" s="4" t="s">
        <v>2276</v>
      </c>
      <c r="N2053" s="4" t="s">
        <v>2276</v>
      </c>
      <c r="O2053" s="4" t="s">
        <v>2276</v>
      </c>
      <c r="P2053" s="4" t="s">
        <v>2276</v>
      </c>
      <c r="Q2053" s="4" t="s">
        <v>2276</v>
      </c>
      <c r="R2053" s="4" t="s">
        <v>2276</v>
      </c>
      <c r="S2053" s="4" t="s">
        <v>2276</v>
      </c>
      <c r="T2053" s="4" t="s">
        <v>2276</v>
      </c>
      <c r="U2053" s="4" t="s">
        <v>2276</v>
      </c>
      <c r="V2053" s="4" t="s">
        <v>2276</v>
      </c>
      <c r="W2053" s="4" t="s">
        <v>2276</v>
      </c>
      <c r="X2053" s="3" t="s">
        <v>399</v>
      </c>
      <c r="Y2053" s="3" t="s">
        <v>189</v>
      </c>
      <c r="Z2053" s="4" t="s">
        <v>2276</v>
      </c>
      <c r="AA2053" s="3"/>
      <c r="AB2053" s="3" t="s">
        <v>5853</v>
      </c>
    </row>
    <row r="2054" spans="1:28" ht="29">
      <c r="A2054" s="156" t="str">
        <f>'Reported burning'!A2054</f>
        <v>238a</v>
      </c>
      <c r="B2054" s="156" t="str">
        <f>'Reported burning'!B2054</f>
        <v>238a.1</v>
      </c>
      <c r="C2054" s="156" t="str">
        <f>'Reported burning'!C2054</f>
        <v>Human, deliberate</v>
      </c>
      <c r="D2054" s="156" t="str">
        <f>'Reported burning'!D2054</f>
        <v>Pasture renewal</v>
      </c>
      <c r="E2054" s="156" t="str">
        <f>'Reported burning'!E2054</f>
        <v>Pastoralism, Migratory</v>
      </c>
      <c r="F2054" s="156" t="str">
        <f>'Reported burning'!F2054</f>
        <v>Shrubland (Mixed forest &amp; grassland)</v>
      </c>
      <c r="G2054" s="156" t="str">
        <f>'Reported burning'!G2054</f>
        <v>ND</v>
      </c>
      <c r="H2054" s="156" t="str">
        <f>'Reported burning'!H2054</f>
        <v>Presence</v>
      </c>
      <c r="I2054" s="5"/>
      <c r="J2054" s="4" t="s">
        <v>2276</v>
      </c>
      <c r="K2054" s="187" t="s">
        <v>2276</v>
      </c>
      <c r="L2054" s="187" t="s">
        <v>2276</v>
      </c>
      <c r="M2054" s="187" t="s">
        <v>2276</v>
      </c>
      <c r="N2054" s="187" t="s">
        <v>2276</v>
      </c>
      <c r="O2054" s="21" t="s">
        <v>2373</v>
      </c>
      <c r="P2054" s="4" t="s">
        <v>2276</v>
      </c>
      <c r="Q2054" s="21" t="s">
        <v>2373</v>
      </c>
      <c r="R2054" s="187" t="s">
        <v>2276</v>
      </c>
      <c r="S2054" s="187" t="s">
        <v>2276</v>
      </c>
      <c r="T2054" s="187" t="s">
        <v>2276</v>
      </c>
      <c r="U2054" s="187" t="s">
        <v>2276</v>
      </c>
      <c r="V2054" s="187" t="s">
        <v>2276</v>
      </c>
      <c r="W2054" s="187" t="s">
        <v>2276</v>
      </c>
      <c r="X2054" s="3" t="s">
        <v>399</v>
      </c>
      <c r="Y2054" s="3" t="s">
        <v>189</v>
      </c>
      <c r="Z2054" s="4" t="s">
        <v>2276</v>
      </c>
      <c r="AA2054" s="3"/>
      <c r="AB2054" s="3"/>
    </row>
    <row r="2055" spans="1:28" ht="29">
      <c r="A2055" s="156" t="str">
        <f>'Reported burning'!A2055</f>
        <v>238a</v>
      </c>
      <c r="B2055" s="156" t="str">
        <f>'Reported burning'!B2055</f>
        <v>238a.2</v>
      </c>
      <c r="C2055" s="156" t="str">
        <f>'Reported burning'!C2055</f>
        <v>Human, escaped</v>
      </c>
      <c r="D2055" s="156" t="str">
        <f>'Reported burning'!D2055</f>
        <v>Pasture renewal</v>
      </c>
      <c r="E2055" s="156" t="str">
        <f>'Reported burning'!E2055</f>
        <v>Pastoralism, Migratory</v>
      </c>
      <c r="F2055" s="156" t="str">
        <f>'Reported burning'!F2055</f>
        <v>Shrubland (Mixed forest &amp; grassland)</v>
      </c>
      <c r="G2055" s="156" t="str">
        <f>'Reported burning'!G2055</f>
        <v>ND</v>
      </c>
      <c r="H2055" s="156" t="str">
        <f>'Reported burning'!H2055</f>
        <v>Presence</v>
      </c>
      <c r="I2055" s="5"/>
      <c r="J2055" s="187" t="s">
        <v>2276</v>
      </c>
      <c r="K2055" s="187" t="s">
        <v>2276</v>
      </c>
      <c r="L2055" s="187" t="s">
        <v>2276</v>
      </c>
      <c r="M2055" s="187" t="s">
        <v>2276</v>
      </c>
      <c r="N2055" s="187" t="s">
        <v>2276</v>
      </c>
      <c r="O2055" s="187" t="s">
        <v>2276</v>
      </c>
      <c r="P2055" s="187" t="s">
        <v>2276</v>
      </c>
      <c r="Q2055" s="187" t="s">
        <v>2276</v>
      </c>
      <c r="R2055" s="187" t="s">
        <v>2276</v>
      </c>
      <c r="S2055" s="187" t="s">
        <v>2276</v>
      </c>
      <c r="T2055" s="187" t="s">
        <v>2276</v>
      </c>
      <c r="U2055" s="187" t="s">
        <v>2276</v>
      </c>
      <c r="V2055" s="187" t="s">
        <v>2276</v>
      </c>
      <c r="W2055" s="187" t="s">
        <v>2276</v>
      </c>
      <c r="X2055" s="3" t="s">
        <v>399</v>
      </c>
      <c r="Y2055" s="3" t="s">
        <v>189</v>
      </c>
      <c r="Z2055" s="4" t="s">
        <v>2276</v>
      </c>
      <c r="AA2055" s="3"/>
      <c r="AB2055" s="3"/>
    </row>
    <row r="2056" spans="1:28" ht="32.5" customHeight="1">
      <c r="A2056" s="156" t="str">
        <f>'Reported burning'!A2056</f>
        <v>238a</v>
      </c>
      <c r="B2056" s="156" t="str">
        <f>'Reported burning'!B2056</f>
        <v>238a.3</v>
      </c>
      <c r="C2056" s="156" t="str">
        <f>'Reported burning'!C2056</f>
        <v>Lightning</v>
      </c>
      <c r="D2056" s="156" t="str">
        <f>'Reported burning'!D2056</f>
        <v>ND</v>
      </c>
      <c r="E2056" s="156" t="str">
        <f>'Reported burning'!E2056</f>
        <v>ND</v>
      </c>
      <c r="F2056" s="156" t="str">
        <f>'Reported burning'!F2056</f>
        <v>ND</v>
      </c>
      <c r="G2056" s="156" t="str">
        <f>'Reported burning'!G2056</f>
        <v>Shrubland (Mixed forest &amp; grassland)</v>
      </c>
      <c r="H2056" s="156" t="str">
        <f>'Reported burning'!H2056</f>
        <v>Absence</v>
      </c>
      <c r="I2056" s="5"/>
      <c r="J2056" s="21">
        <v>0</v>
      </c>
      <c r="K2056" s="21">
        <v>0</v>
      </c>
      <c r="L2056" s="21">
        <v>0</v>
      </c>
      <c r="M2056" s="21">
        <v>0</v>
      </c>
      <c r="N2056" s="21">
        <v>0</v>
      </c>
      <c r="O2056" s="21">
        <v>0</v>
      </c>
      <c r="P2056" s="21">
        <v>0</v>
      </c>
      <c r="Q2056" s="21">
        <v>0</v>
      </c>
      <c r="R2056" s="21">
        <v>0</v>
      </c>
      <c r="S2056" s="21">
        <v>0</v>
      </c>
      <c r="T2056" s="21">
        <v>0</v>
      </c>
      <c r="U2056" s="21">
        <v>0</v>
      </c>
      <c r="V2056" s="21">
        <v>0</v>
      </c>
      <c r="W2056" s="187" t="s">
        <v>2276</v>
      </c>
      <c r="X2056" s="3" t="s">
        <v>399</v>
      </c>
      <c r="Y2056" s="3" t="s">
        <v>189</v>
      </c>
      <c r="Z2056" s="4" t="s">
        <v>2276</v>
      </c>
      <c r="AA2056" s="3"/>
      <c r="AB2056" s="3"/>
    </row>
    <row r="2057" spans="1:28" ht="67" customHeight="1">
      <c r="A2057" s="156" t="str">
        <f>'Reported burning'!A2057</f>
        <v>238a</v>
      </c>
      <c r="B2057" s="156" t="str">
        <f>'Reported burning'!B2057</f>
        <v>238a.4</v>
      </c>
      <c r="C2057" s="156" t="str">
        <f>'Reported burning'!C2057</f>
        <v>All</v>
      </c>
      <c r="D2057" s="156" t="str">
        <f>'Reported burning'!D2057</f>
        <v>All</v>
      </c>
      <c r="E2057" s="156" t="str">
        <f>'Reported burning'!E2057</f>
        <v>All</v>
      </c>
      <c r="F2057" s="156" t="str">
        <f>'Reported burning'!F2057</f>
        <v>ND</v>
      </c>
      <c r="G2057" s="156" t="str">
        <f>'Reported burning'!G2057</f>
        <v>Shrubland (Mixed forest &amp; grassland)</v>
      </c>
      <c r="H2057" s="156" t="str">
        <f>'Reported burning'!H2057</f>
        <v>Presence</v>
      </c>
      <c r="I2057" s="5"/>
      <c r="J2057" s="187" t="s">
        <v>2276</v>
      </c>
      <c r="K2057" s="187" t="s">
        <v>2276</v>
      </c>
      <c r="L2057" s="187" t="s">
        <v>2276</v>
      </c>
      <c r="M2057" s="187" t="s">
        <v>2276</v>
      </c>
      <c r="N2057" s="187" t="s">
        <v>2276</v>
      </c>
      <c r="O2057" s="187" t="s">
        <v>2276</v>
      </c>
      <c r="P2057" s="187" t="s">
        <v>2276</v>
      </c>
      <c r="Q2057" s="187" t="s">
        <v>2276</v>
      </c>
      <c r="R2057" s="187" t="s">
        <v>2276</v>
      </c>
      <c r="S2057" s="187" t="s">
        <v>2276</v>
      </c>
      <c r="T2057" s="187" t="s">
        <v>2276</v>
      </c>
      <c r="U2057" s="187" t="s">
        <v>2276</v>
      </c>
      <c r="V2057" s="187" t="s">
        <v>2276</v>
      </c>
      <c r="W2057" s="187" t="s">
        <v>2276</v>
      </c>
      <c r="X2057" s="3" t="s">
        <v>399</v>
      </c>
      <c r="Y2057" s="3" t="s">
        <v>189</v>
      </c>
      <c r="Z2057" s="4" t="s">
        <v>2276</v>
      </c>
      <c r="AA2057" s="3"/>
      <c r="AB2057" s="4" t="s">
        <v>5865</v>
      </c>
    </row>
    <row r="2058" spans="1:28" ht="67" customHeight="1">
      <c r="A2058" s="156" t="str">
        <f>'Reported burning'!A2058</f>
        <v>238a</v>
      </c>
      <c r="B2058" s="156" t="str">
        <f>'Reported burning'!B2058</f>
        <v>238a.5</v>
      </c>
      <c r="C2058" s="156" t="str">
        <f>'Reported burning'!C2058</f>
        <v>All</v>
      </c>
      <c r="D2058" s="156" t="str">
        <f>'Reported burning'!D2058</f>
        <v>All</v>
      </c>
      <c r="E2058" s="156" t="str">
        <f>'Reported burning'!E2058</f>
        <v>All</v>
      </c>
      <c r="F2058" s="156" t="str">
        <f>'Reported burning'!F2058</f>
        <v>ND</v>
      </c>
      <c r="G2058" s="156" t="str">
        <f>'Reported burning'!G2058</f>
        <v>Shrubland (Mixed forest &amp; grassland)</v>
      </c>
      <c r="H2058" s="156" t="str">
        <f>'Reported burning'!H2058</f>
        <v>Presence</v>
      </c>
      <c r="I2058" s="5"/>
      <c r="J2058" s="187" t="s">
        <v>2276</v>
      </c>
      <c r="K2058" s="187" t="s">
        <v>2276</v>
      </c>
      <c r="L2058" s="187" t="s">
        <v>2276</v>
      </c>
      <c r="M2058" s="187" t="s">
        <v>2276</v>
      </c>
      <c r="N2058" s="4" t="s">
        <v>2276</v>
      </c>
      <c r="O2058" s="4" t="s">
        <v>2276</v>
      </c>
      <c r="P2058" s="4" t="s">
        <v>2276</v>
      </c>
      <c r="Q2058" s="4" t="s">
        <v>2276</v>
      </c>
      <c r="R2058" s="4" t="s">
        <v>2276</v>
      </c>
      <c r="S2058" s="187" t="s">
        <v>2276</v>
      </c>
      <c r="T2058" s="187" t="s">
        <v>2276</v>
      </c>
      <c r="U2058" s="4" t="s">
        <v>2276</v>
      </c>
      <c r="V2058" s="21" t="s">
        <v>2389</v>
      </c>
      <c r="W2058" s="187" t="s">
        <v>2276</v>
      </c>
      <c r="X2058" s="3" t="s">
        <v>399</v>
      </c>
      <c r="Y2058" s="3" t="s">
        <v>189</v>
      </c>
      <c r="Z2058" s="4" t="s">
        <v>2276</v>
      </c>
      <c r="AA2058" s="3"/>
      <c r="AB2058" s="4" t="s">
        <v>5866</v>
      </c>
    </row>
    <row r="2059" spans="1:28" ht="31.5" customHeight="1">
      <c r="A2059" s="156" t="str">
        <f>'Reported burning'!A2059</f>
        <v>239a</v>
      </c>
      <c r="B2059" s="156" t="str">
        <f>'Reported burning'!B2059</f>
        <v>239a.1</v>
      </c>
      <c r="C2059" s="156" t="str">
        <f>'Reported burning'!C2059</f>
        <v>Human, deliberate</v>
      </c>
      <c r="D2059" s="156" t="str">
        <f>'Reported burning'!D2059</f>
        <v>Pasture renewal</v>
      </c>
      <c r="E2059" s="156" t="str">
        <f>'Reported burning'!E2059</f>
        <v>Pastoralism, Migratory</v>
      </c>
      <c r="F2059" s="156" t="str">
        <f>'Reported burning'!F2059</f>
        <v>Shrubland (Mixed forest &amp; grassland)</v>
      </c>
      <c r="G2059" s="156" t="str">
        <f>'Reported burning'!G2059</f>
        <v>ND</v>
      </c>
      <c r="H2059" s="156" t="str">
        <f>'Reported burning'!H2059</f>
        <v>Presence</v>
      </c>
      <c r="I2059" s="5"/>
      <c r="J2059" s="187" t="s">
        <v>2276</v>
      </c>
      <c r="K2059" s="187" t="s">
        <v>2276</v>
      </c>
      <c r="L2059" s="187" t="s">
        <v>2276</v>
      </c>
      <c r="M2059" s="187" t="s">
        <v>2276</v>
      </c>
      <c r="N2059" s="187" t="s">
        <v>2276</v>
      </c>
      <c r="O2059" s="187" t="s">
        <v>2276</v>
      </c>
      <c r="P2059" s="187" t="s">
        <v>2276</v>
      </c>
      <c r="Q2059" s="187" t="s">
        <v>2276</v>
      </c>
      <c r="R2059" s="187" t="s">
        <v>2276</v>
      </c>
      <c r="S2059" s="187" t="s">
        <v>2276</v>
      </c>
      <c r="T2059" s="187" t="s">
        <v>2276</v>
      </c>
      <c r="U2059" s="187" t="s">
        <v>2276</v>
      </c>
      <c r="V2059" s="187" t="s">
        <v>2276</v>
      </c>
      <c r="W2059" s="187" t="s">
        <v>2276</v>
      </c>
      <c r="X2059" s="187" t="s">
        <v>2276</v>
      </c>
      <c r="Y2059" s="187" t="s">
        <v>2276</v>
      </c>
      <c r="Z2059" s="187" t="s">
        <v>2276</v>
      </c>
      <c r="AA2059" s="3"/>
      <c r="AB2059" s="3"/>
    </row>
    <row r="2060" spans="1:28" ht="31.5" customHeight="1">
      <c r="A2060" s="156" t="str">
        <f>'Reported burning'!A2060</f>
        <v>239a</v>
      </c>
      <c r="B2060" s="156" t="str">
        <f>'Reported burning'!B2060</f>
        <v>239a.2</v>
      </c>
      <c r="C2060" s="156" t="str">
        <f>'Reported burning'!C2060</f>
        <v>Human, deliberate</v>
      </c>
      <c r="D2060" s="156" t="str">
        <f>'Reported burning'!D2060</f>
        <v>Crop field preparation</v>
      </c>
      <c r="E2060" s="156" t="str">
        <f>'Reported burning'!E2060</f>
        <v>Cropping, Swidden</v>
      </c>
      <c r="F2060" s="156" t="str">
        <f>'Reported burning'!F2060</f>
        <v>Secondary vegetation</v>
      </c>
      <c r="G2060" s="156" t="str">
        <f>'Reported burning'!G2060</f>
        <v>ND</v>
      </c>
      <c r="H2060" s="156" t="str">
        <f>'Reported burning'!H2060</f>
        <v>Presence</v>
      </c>
      <c r="I2060" s="5"/>
      <c r="J2060" s="187" t="s">
        <v>2276</v>
      </c>
      <c r="K2060" s="187" t="s">
        <v>2276</v>
      </c>
      <c r="L2060" s="187" t="s">
        <v>2276</v>
      </c>
      <c r="M2060" s="187" t="s">
        <v>2276</v>
      </c>
      <c r="N2060" s="187" t="s">
        <v>2276</v>
      </c>
      <c r="O2060" s="187" t="s">
        <v>2276</v>
      </c>
      <c r="P2060" s="187" t="s">
        <v>2276</v>
      </c>
      <c r="Q2060" s="187" t="s">
        <v>2276</v>
      </c>
      <c r="R2060" s="187" t="s">
        <v>2276</v>
      </c>
      <c r="S2060" s="187" t="s">
        <v>2276</v>
      </c>
      <c r="T2060" s="187" t="s">
        <v>2276</v>
      </c>
      <c r="U2060" s="187" t="s">
        <v>2276</v>
      </c>
      <c r="V2060" s="187" t="s">
        <v>2276</v>
      </c>
      <c r="W2060" s="187" t="s">
        <v>2276</v>
      </c>
      <c r="X2060" s="187" t="s">
        <v>2276</v>
      </c>
      <c r="Y2060" s="187" t="s">
        <v>2276</v>
      </c>
      <c r="Z2060" s="187" t="s">
        <v>2276</v>
      </c>
      <c r="AA2060" s="3"/>
      <c r="AB2060" s="3"/>
    </row>
    <row r="2061" spans="1:28" ht="31.5" customHeight="1">
      <c r="A2061" s="156" t="str">
        <f>'Reported burning'!A2061</f>
        <v>239b</v>
      </c>
      <c r="B2061" s="156" t="str">
        <f>'Reported burning'!B2061</f>
        <v>239b.1</v>
      </c>
      <c r="C2061" s="156" t="str">
        <f>'Reported burning'!C2061</f>
        <v>Human, deliberate</v>
      </c>
      <c r="D2061" s="156" t="str">
        <f>'Reported burning'!D2061</f>
        <v>Pasture renewal</v>
      </c>
      <c r="E2061" s="156" t="str">
        <f>'Reported burning'!E2061</f>
        <v>Pastoralism, Migratory</v>
      </c>
      <c r="F2061" s="156" t="str">
        <f>'Reported burning'!F2061</f>
        <v>Shrubland (Mixed forest &amp; grassland)</v>
      </c>
      <c r="G2061" s="156" t="str">
        <f>'Reported burning'!G2061</f>
        <v>ND</v>
      </c>
      <c r="H2061" s="156" t="str">
        <f>'Reported burning'!H2061</f>
        <v>Presence</v>
      </c>
      <c r="I2061" s="5"/>
      <c r="J2061" s="187" t="s">
        <v>2276</v>
      </c>
      <c r="K2061" s="187" t="s">
        <v>2276</v>
      </c>
      <c r="L2061" s="187" t="s">
        <v>2276</v>
      </c>
      <c r="M2061" s="187" t="s">
        <v>2276</v>
      </c>
      <c r="N2061" s="187" t="s">
        <v>2276</v>
      </c>
      <c r="O2061" s="187" t="s">
        <v>2276</v>
      </c>
      <c r="P2061" s="187" t="s">
        <v>2276</v>
      </c>
      <c r="Q2061" s="187" t="s">
        <v>2276</v>
      </c>
      <c r="R2061" s="187" t="s">
        <v>2276</v>
      </c>
      <c r="S2061" s="187" t="s">
        <v>2276</v>
      </c>
      <c r="T2061" s="187" t="s">
        <v>2276</v>
      </c>
      <c r="U2061" s="187" t="s">
        <v>2276</v>
      </c>
      <c r="V2061" s="187" t="s">
        <v>2276</v>
      </c>
      <c r="W2061" s="187" t="s">
        <v>2276</v>
      </c>
      <c r="X2061" s="187" t="s">
        <v>2276</v>
      </c>
      <c r="Y2061" s="187" t="s">
        <v>2276</v>
      </c>
      <c r="Z2061" s="187" t="s">
        <v>2276</v>
      </c>
      <c r="AA2061" s="3"/>
      <c r="AB2061" s="3"/>
    </row>
    <row r="2062" spans="1:28" ht="31.5" customHeight="1">
      <c r="A2062" s="156" t="str">
        <f>'Reported burning'!A2062</f>
        <v>239c</v>
      </c>
      <c r="B2062" s="156" t="str">
        <f>'Reported burning'!B2062</f>
        <v>239c.1</v>
      </c>
      <c r="C2062" s="156" t="str">
        <f>'Reported burning'!C2062</f>
        <v>Human, deliberate</v>
      </c>
      <c r="D2062" s="156" t="str">
        <f>'Reported burning'!D2062</f>
        <v>Hunting</v>
      </c>
      <c r="E2062" s="156" t="str">
        <f>'Reported burning'!E2062</f>
        <v>Forestry, Traditional</v>
      </c>
      <c r="F2062" s="156" t="str">
        <f>'Reported burning'!F2062</f>
        <v>Shrubland (Mixed forest &amp; grassland)</v>
      </c>
      <c r="G2062" s="156" t="str">
        <f>'Reported burning'!G2062</f>
        <v>ND</v>
      </c>
      <c r="H2062" s="156" t="str">
        <f>'Reported burning'!H2062</f>
        <v>Presence</v>
      </c>
      <c r="I2062" s="5"/>
      <c r="J2062" s="187" t="s">
        <v>2276</v>
      </c>
      <c r="K2062" s="187" t="s">
        <v>2276</v>
      </c>
      <c r="L2062" s="187" t="s">
        <v>2276</v>
      </c>
      <c r="M2062" s="187" t="s">
        <v>2276</v>
      </c>
      <c r="N2062" s="187" t="s">
        <v>2276</v>
      </c>
      <c r="O2062" s="187" t="s">
        <v>2276</v>
      </c>
      <c r="P2062" s="187" t="s">
        <v>2276</v>
      </c>
      <c r="Q2062" s="187" t="s">
        <v>2276</v>
      </c>
      <c r="R2062" s="187" t="s">
        <v>2276</v>
      </c>
      <c r="S2062" s="187" t="s">
        <v>2276</v>
      </c>
      <c r="T2062" s="187" t="s">
        <v>2276</v>
      </c>
      <c r="U2062" s="187" t="s">
        <v>2276</v>
      </c>
      <c r="V2062" s="187" t="s">
        <v>2276</v>
      </c>
      <c r="W2062" s="187" t="s">
        <v>2276</v>
      </c>
      <c r="X2062" s="187" t="s">
        <v>2276</v>
      </c>
      <c r="Y2062" s="187" t="s">
        <v>2276</v>
      </c>
      <c r="Z2062" s="187" t="s">
        <v>2276</v>
      </c>
      <c r="AA2062" s="3"/>
      <c r="AB2062" s="3"/>
    </row>
    <row r="2063" spans="1:28" ht="35.5" customHeight="1">
      <c r="A2063" s="156" t="str">
        <f>'Reported burning'!A2063</f>
        <v>240a</v>
      </c>
      <c r="B2063" s="156" t="str">
        <f>'Reported burning'!B2063</f>
        <v>240a.1</v>
      </c>
      <c r="C2063" s="156" t="str">
        <f>'Reported burning'!C2063</f>
        <v>Human, deliberate</v>
      </c>
      <c r="D2063" s="156" t="str">
        <f>'Reported burning'!D2063</f>
        <v>Land clearance</v>
      </c>
      <c r="E2063" s="156" t="str">
        <f>'Reported burning'!E2063</f>
        <v>Cattle, Extensive</v>
      </c>
      <c r="F2063" s="156" t="str">
        <f>'Reported burning'!F2063</f>
        <v>Shrubland (Mixed forest &amp; grassland)</v>
      </c>
      <c r="G2063" s="156" t="str">
        <f>'Reported burning'!G2063</f>
        <v>ND</v>
      </c>
      <c r="H2063" s="156" t="str">
        <f>'Reported burning'!H2063</f>
        <v>Presence</v>
      </c>
      <c r="I2063" s="5"/>
      <c r="J2063" s="187" t="s">
        <v>2276</v>
      </c>
      <c r="K2063" s="187" t="s">
        <v>2276</v>
      </c>
      <c r="L2063" s="187" t="s">
        <v>2276</v>
      </c>
      <c r="M2063" s="187" t="s">
        <v>2276</v>
      </c>
      <c r="N2063" s="187" t="s">
        <v>2276</v>
      </c>
      <c r="O2063" s="187" t="s">
        <v>2276</v>
      </c>
      <c r="P2063" s="187" t="s">
        <v>2276</v>
      </c>
      <c r="Q2063" s="187" t="s">
        <v>2276</v>
      </c>
      <c r="R2063" s="187" t="s">
        <v>2276</v>
      </c>
      <c r="S2063" s="187" t="s">
        <v>2276</v>
      </c>
      <c r="T2063" s="187" t="s">
        <v>2276</v>
      </c>
      <c r="U2063" s="187" t="s">
        <v>2276</v>
      </c>
      <c r="V2063" s="187" t="s">
        <v>2276</v>
      </c>
      <c r="W2063" s="187" t="s">
        <v>2276</v>
      </c>
      <c r="X2063" s="187" t="s">
        <v>2276</v>
      </c>
      <c r="Y2063" s="187" t="s">
        <v>2276</v>
      </c>
      <c r="Z2063" s="187" t="s">
        <v>2276</v>
      </c>
      <c r="AA2063" s="3"/>
      <c r="AB2063" s="3"/>
    </row>
    <row r="2064" spans="1:28" ht="35.5" customHeight="1">
      <c r="A2064" s="156" t="str">
        <f>'Reported burning'!A2064</f>
        <v>240a</v>
      </c>
      <c r="B2064" s="156" t="str">
        <f>'Reported burning'!B2064</f>
        <v>240a.2</v>
      </c>
      <c r="C2064" s="156" t="str">
        <f>'Reported burning'!C2064</f>
        <v>Human, deliberate</v>
      </c>
      <c r="D2064" s="156" t="str">
        <f>'Reported burning'!D2064</f>
        <v>Domestic</v>
      </c>
      <c r="E2064" s="156" t="str">
        <f>'Reported burning'!E2064</f>
        <v>Urban planner</v>
      </c>
      <c r="F2064" s="156" t="str">
        <f>'Reported burning'!F2064</f>
        <v>ND</v>
      </c>
      <c r="G2064" s="156" t="str">
        <f>'Reported burning'!G2064</f>
        <v>ND</v>
      </c>
      <c r="H2064" s="156" t="str">
        <f>'Reported burning'!H2064</f>
        <v>Presence</v>
      </c>
      <c r="I2064" s="5"/>
      <c r="J2064" s="187" t="s">
        <v>2276</v>
      </c>
      <c r="K2064" s="187" t="s">
        <v>2276</v>
      </c>
      <c r="L2064" s="187" t="s">
        <v>2276</v>
      </c>
      <c r="M2064" s="187" t="s">
        <v>2276</v>
      </c>
      <c r="N2064" s="187" t="s">
        <v>2276</v>
      </c>
      <c r="O2064" s="187" t="s">
        <v>2276</v>
      </c>
      <c r="P2064" s="187" t="s">
        <v>2276</v>
      </c>
      <c r="Q2064" s="187" t="s">
        <v>2276</v>
      </c>
      <c r="R2064" s="187" t="s">
        <v>2276</v>
      </c>
      <c r="S2064" s="187" t="s">
        <v>2276</v>
      </c>
      <c r="T2064" s="187" t="s">
        <v>2276</v>
      </c>
      <c r="U2064" s="187" t="s">
        <v>2276</v>
      </c>
      <c r="V2064" s="187" t="s">
        <v>2276</v>
      </c>
      <c r="W2064" s="187" t="s">
        <v>2276</v>
      </c>
      <c r="X2064" s="187" t="s">
        <v>2276</v>
      </c>
      <c r="Y2064" s="187" t="s">
        <v>2276</v>
      </c>
      <c r="Z2064" s="187" t="s">
        <v>2276</v>
      </c>
      <c r="AA2064" s="3"/>
      <c r="AB2064" s="3"/>
    </row>
    <row r="2065" spans="1:28" ht="35.5" customHeight="1">
      <c r="A2065" s="156" t="str">
        <f>'Reported burning'!A2065</f>
        <v>240a</v>
      </c>
      <c r="B2065" s="156" t="str">
        <f>'Reported burning'!B2065</f>
        <v>240a.3</v>
      </c>
      <c r="C2065" s="156" t="str">
        <f>'Reported burning'!C2065</f>
        <v>Human, escaped</v>
      </c>
      <c r="D2065" s="156" t="str">
        <f>'Reported burning'!D2065</f>
        <v>Domestic</v>
      </c>
      <c r="E2065" s="156" t="str">
        <f>'Reported burning'!E2065</f>
        <v>Urban planner</v>
      </c>
      <c r="F2065" s="156" t="str">
        <f>'Reported burning'!F2065</f>
        <v>ND</v>
      </c>
      <c r="G2065" s="156" t="str">
        <f>'Reported burning'!G2065</f>
        <v>ND</v>
      </c>
      <c r="H2065" s="156" t="str">
        <f>'Reported burning'!H2065</f>
        <v>Presence</v>
      </c>
      <c r="I2065" s="5"/>
      <c r="J2065" s="187" t="s">
        <v>2276</v>
      </c>
      <c r="K2065" s="187" t="s">
        <v>2276</v>
      </c>
      <c r="L2065" s="187" t="s">
        <v>2276</v>
      </c>
      <c r="M2065" s="187" t="s">
        <v>2276</v>
      </c>
      <c r="N2065" s="187" t="s">
        <v>2276</v>
      </c>
      <c r="O2065" s="187" t="s">
        <v>2276</v>
      </c>
      <c r="P2065" s="187" t="s">
        <v>2276</v>
      </c>
      <c r="Q2065" s="187" t="s">
        <v>2276</v>
      </c>
      <c r="R2065" s="187" t="s">
        <v>2276</v>
      </c>
      <c r="S2065" s="187" t="s">
        <v>2276</v>
      </c>
      <c r="T2065" s="187" t="s">
        <v>2276</v>
      </c>
      <c r="U2065" s="187" t="s">
        <v>2276</v>
      </c>
      <c r="V2065" s="187" t="s">
        <v>2276</v>
      </c>
      <c r="W2065" s="187" t="s">
        <v>2276</v>
      </c>
      <c r="X2065" s="187" t="s">
        <v>2276</v>
      </c>
      <c r="Y2065" s="187" t="s">
        <v>2276</v>
      </c>
      <c r="Z2065" s="187" t="s">
        <v>2276</v>
      </c>
      <c r="AA2065" s="3"/>
      <c r="AB2065" s="3"/>
    </row>
    <row r="2066" spans="1:28" ht="35.5" customHeight="1">
      <c r="A2066" s="156" t="str">
        <f>'Reported burning'!A2066</f>
        <v>240a</v>
      </c>
      <c r="B2066" s="156" t="str">
        <f>'Reported burning'!B2066</f>
        <v>240a.4</v>
      </c>
      <c r="C2066" s="156" t="str">
        <f>'Reported burning'!C2066</f>
        <v>Human, deliberate</v>
      </c>
      <c r="D2066" s="156" t="str">
        <f>'Reported burning'!D2066</f>
        <v>Domestic</v>
      </c>
      <c r="E2066" s="156" t="str">
        <f>'Reported burning'!E2066</f>
        <v>Cattle, Extensive</v>
      </c>
      <c r="F2066" s="156" t="str">
        <f>'Reported burning'!F2066</f>
        <v>ND</v>
      </c>
      <c r="G2066" s="156" t="str">
        <f>'Reported burning'!G2066</f>
        <v>ND</v>
      </c>
      <c r="H2066" s="156" t="str">
        <f>'Reported burning'!H2066</f>
        <v>Presence</v>
      </c>
      <c r="I2066" s="5"/>
      <c r="J2066" s="187" t="s">
        <v>2276</v>
      </c>
      <c r="K2066" s="187" t="s">
        <v>2276</v>
      </c>
      <c r="L2066" s="187" t="s">
        <v>2276</v>
      </c>
      <c r="M2066" s="187" t="s">
        <v>2276</v>
      </c>
      <c r="N2066" s="187" t="s">
        <v>2276</v>
      </c>
      <c r="O2066" s="187" t="s">
        <v>2276</v>
      </c>
      <c r="P2066" s="187" t="s">
        <v>2276</v>
      </c>
      <c r="Q2066" s="187" t="s">
        <v>2276</v>
      </c>
      <c r="R2066" s="187" t="s">
        <v>2276</v>
      </c>
      <c r="S2066" s="187" t="s">
        <v>2276</v>
      </c>
      <c r="T2066" s="187" t="s">
        <v>2276</v>
      </c>
      <c r="U2066" s="187" t="s">
        <v>2276</v>
      </c>
      <c r="V2066" s="187" t="s">
        <v>2276</v>
      </c>
      <c r="W2066" s="187" t="s">
        <v>2276</v>
      </c>
      <c r="X2066" s="187" t="s">
        <v>2276</v>
      </c>
      <c r="Y2066" s="187" t="s">
        <v>2276</v>
      </c>
      <c r="Z2066" s="187" t="s">
        <v>2276</v>
      </c>
      <c r="AA2066" s="3"/>
      <c r="AB2066" s="3"/>
    </row>
    <row r="2067" spans="1:28" ht="35.5" customHeight="1">
      <c r="A2067" s="156" t="str">
        <f>'Reported burning'!A2067</f>
        <v>240a</v>
      </c>
      <c r="B2067" s="156" t="str">
        <f>'Reported burning'!B2067</f>
        <v>240a.5</v>
      </c>
      <c r="C2067" s="156" t="str">
        <f>'Reported burning'!C2067</f>
        <v>Human, escaped</v>
      </c>
      <c r="D2067" s="156" t="str">
        <f>'Reported burning'!D2067</f>
        <v>Domestic</v>
      </c>
      <c r="E2067" s="156" t="str">
        <f>'Reported burning'!E2067</f>
        <v>Cattle, Extensive</v>
      </c>
      <c r="F2067" s="156" t="str">
        <f>'Reported burning'!F2067</f>
        <v>ND</v>
      </c>
      <c r="G2067" s="156" t="str">
        <f>'Reported burning'!G2067</f>
        <v>ND</v>
      </c>
      <c r="H2067" s="156" t="str">
        <f>'Reported burning'!H2067</f>
        <v>Presence</v>
      </c>
      <c r="I2067" s="5"/>
      <c r="J2067" s="187" t="s">
        <v>2276</v>
      </c>
      <c r="K2067" s="187" t="s">
        <v>2276</v>
      </c>
      <c r="L2067" s="187" t="s">
        <v>2276</v>
      </c>
      <c r="M2067" s="187" t="s">
        <v>2276</v>
      </c>
      <c r="N2067" s="187" t="s">
        <v>2276</v>
      </c>
      <c r="O2067" s="187" t="s">
        <v>2276</v>
      </c>
      <c r="P2067" s="187" t="s">
        <v>2276</v>
      </c>
      <c r="Q2067" s="187" t="s">
        <v>2276</v>
      </c>
      <c r="R2067" s="187" t="s">
        <v>2276</v>
      </c>
      <c r="S2067" s="187" t="s">
        <v>2276</v>
      </c>
      <c r="T2067" s="187" t="s">
        <v>2276</v>
      </c>
      <c r="U2067" s="187" t="s">
        <v>2276</v>
      </c>
      <c r="V2067" s="187" t="s">
        <v>2276</v>
      </c>
      <c r="W2067" s="187" t="s">
        <v>2276</v>
      </c>
      <c r="X2067" s="187" t="s">
        <v>2276</v>
      </c>
      <c r="Y2067" s="187" t="s">
        <v>2276</v>
      </c>
      <c r="Z2067" s="187" t="s">
        <v>2276</v>
      </c>
      <c r="AA2067" s="3"/>
      <c r="AB2067" s="3"/>
    </row>
    <row r="2068" spans="1:28" ht="35.5" customHeight="1">
      <c r="A2068" s="156" t="str">
        <f>'Reported burning'!A2068</f>
        <v>240a</v>
      </c>
      <c r="B2068" s="156" t="str">
        <f>'Reported burning'!B2068</f>
        <v>240a.6</v>
      </c>
      <c r="C2068" s="156" t="str">
        <f>'Reported burning'!C2068</f>
        <v>Human, deliberate</v>
      </c>
      <c r="D2068" s="156" t="str">
        <f>'Reported burning'!D2068</f>
        <v>Cultural &amp; Spiritual</v>
      </c>
      <c r="E2068" s="156" t="str">
        <f>'Reported burning'!E2068</f>
        <v>Cattle, Extensive</v>
      </c>
      <c r="F2068" s="156" t="str">
        <f>'Reported burning'!F2068</f>
        <v>ND</v>
      </c>
      <c r="G2068" s="156" t="str">
        <f>'Reported burning'!G2068</f>
        <v>ND</v>
      </c>
      <c r="H2068" s="156" t="str">
        <f>'Reported burning'!H2068</f>
        <v>Presence</v>
      </c>
      <c r="I2068" s="5"/>
      <c r="J2068" s="187" t="s">
        <v>2276</v>
      </c>
      <c r="K2068" s="187" t="s">
        <v>2276</v>
      </c>
      <c r="L2068" s="187" t="s">
        <v>2276</v>
      </c>
      <c r="M2068" s="187" t="s">
        <v>2276</v>
      </c>
      <c r="N2068" s="187" t="s">
        <v>2276</v>
      </c>
      <c r="O2068" s="187" t="s">
        <v>2276</v>
      </c>
      <c r="P2068" s="187" t="s">
        <v>2276</v>
      </c>
      <c r="Q2068" s="187" t="s">
        <v>2276</v>
      </c>
      <c r="R2068" s="187" t="s">
        <v>2276</v>
      </c>
      <c r="S2068" s="187" t="s">
        <v>2276</v>
      </c>
      <c r="T2068" s="187" t="s">
        <v>2276</v>
      </c>
      <c r="U2068" s="187" t="s">
        <v>2276</v>
      </c>
      <c r="V2068" s="187" t="s">
        <v>2276</v>
      </c>
      <c r="W2068" s="187" t="s">
        <v>2276</v>
      </c>
      <c r="X2068" s="187" t="s">
        <v>2276</v>
      </c>
      <c r="Y2068" s="187" t="s">
        <v>2276</v>
      </c>
      <c r="Z2068" s="187" t="s">
        <v>2276</v>
      </c>
      <c r="AA2068" s="3"/>
      <c r="AB2068" s="3"/>
    </row>
    <row r="2069" spans="1:28" ht="35.5" customHeight="1">
      <c r="A2069" s="156" t="str">
        <f>'Reported burning'!A2069</f>
        <v>240a</v>
      </c>
      <c r="B2069" s="156" t="str">
        <f>'Reported burning'!B2069</f>
        <v>240a.7</v>
      </c>
      <c r="C2069" s="156" t="str">
        <f>'Reported burning'!C2069</f>
        <v>Human, escaped</v>
      </c>
      <c r="D2069" s="156" t="str">
        <f>'Reported burning'!D2069</f>
        <v>Domestic</v>
      </c>
      <c r="E2069" s="156" t="str">
        <f>'Reported burning'!E2069</f>
        <v>Tourism manager</v>
      </c>
      <c r="F2069" s="156" t="str">
        <f>'Reported burning'!F2069</f>
        <v>ND</v>
      </c>
      <c r="G2069" s="156" t="str">
        <f>'Reported burning'!G2069</f>
        <v>ND</v>
      </c>
      <c r="H2069" s="156" t="str">
        <f>'Reported burning'!H2069</f>
        <v>Presence</v>
      </c>
      <c r="I2069" s="5"/>
      <c r="J2069" s="187" t="s">
        <v>2276</v>
      </c>
      <c r="K2069" s="187" t="s">
        <v>2276</v>
      </c>
      <c r="L2069" s="187" t="s">
        <v>2276</v>
      </c>
      <c r="M2069" s="187" t="s">
        <v>2276</v>
      </c>
      <c r="N2069" s="187" t="s">
        <v>2276</v>
      </c>
      <c r="O2069" s="187" t="s">
        <v>2276</v>
      </c>
      <c r="P2069" s="187" t="s">
        <v>2276</v>
      </c>
      <c r="Q2069" s="187" t="s">
        <v>2276</v>
      </c>
      <c r="R2069" s="187" t="s">
        <v>2276</v>
      </c>
      <c r="S2069" s="187" t="s">
        <v>2276</v>
      </c>
      <c r="T2069" s="187" t="s">
        <v>2276</v>
      </c>
      <c r="U2069" s="187" t="s">
        <v>2276</v>
      </c>
      <c r="V2069" s="187" t="s">
        <v>2276</v>
      </c>
      <c r="W2069" s="187" t="s">
        <v>2276</v>
      </c>
      <c r="X2069" s="187" t="s">
        <v>2276</v>
      </c>
      <c r="Y2069" s="187" t="s">
        <v>2276</v>
      </c>
      <c r="Z2069" s="187" t="s">
        <v>2276</v>
      </c>
      <c r="AA2069" s="3"/>
      <c r="AB2069" s="3"/>
    </row>
    <row r="2070" spans="1:28" ht="35.5" customHeight="1">
      <c r="A2070" s="156" t="str">
        <f>'Reported burning'!A2070</f>
        <v>240b</v>
      </c>
      <c r="B2070" s="156" t="str">
        <f>'Reported burning'!B2070</f>
        <v>240b.1</v>
      </c>
      <c r="C2070" s="156" t="str">
        <f>'Reported burning'!C2070</f>
        <v>Human, escaped</v>
      </c>
      <c r="D2070" s="156" t="str">
        <f>'Reported burning'!D2070</f>
        <v>ND</v>
      </c>
      <c r="E2070" s="156" t="str">
        <f>'Reported burning'!E2070</f>
        <v>All</v>
      </c>
      <c r="F2070" s="156" t="str">
        <f>'Reported burning'!F2070</f>
        <v>ND</v>
      </c>
      <c r="G2070" s="156" t="str">
        <f>'Reported burning'!G2070</f>
        <v>ND</v>
      </c>
      <c r="H2070" s="156" t="str">
        <f>'Reported burning'!H2070</f>
        <v>Presence</v>
      </c>
      <c r="I2070" s="5"/>
      <c r="J2070" s="21" t="s">
        <v>2367</v>
      </c>
      <c r="K2070" s="187" t="s">
        <v>2276</v>
      </c>
      <c r="L2070" s="187" t="s">
        <v>2276</v>
      </c>
      <c r="M2070" s="187" t="s">
        <v>2276</v>
      </c>
      <c r="N2070" s="187" t="s">
        <v>2276</v>
      </c>
      <c r="O2070" s="187" t="s">
        <v>2276</v>
      </c>
      <c r="P2070" s="187" t="s">
        <v>2276</v>
      </c>
      <c r="Q2070" s="187" t="s">
        <v>2276</v>
      </c>
      <c r="R2070" s="187" t="s">
        <v>2276</v>
      </c>
      <c r="S2070" s="187" t="s">
        <v>2276</v>
      </c>
      <c r="T2070" s="187" t="s">
        <v>2276</v>
      </c>
      <c r="U2070" s="187" t="s">
        <v>2276</v>
      </c>
      <c r="V2070" s="187" t="s">
        <v>2276</v>
      </c>
      <c r="W2070" s="187" t="s">
        <v>2276</v>
      </c>
      <c r="X2070" s="187" t="s">
        <v>2276</v>
      </c>
      <c r="Y2070" s="187" t="s">
        <v>2276</v>
      </c>
      <c r="Z2070" s="187" t="s">
        <v>2276</v>
      </c>
      <c r="AA2070" s="3"/>
      <c r="AB2070" s="3"/>
    </row>
    <row r="2071" spans="1:28" ht="32.5" customHeight="1">
      <c r="A2071" s="156" t="str">
        <f>'Reported burning'!A2071</f>
        <v>240b</v>
      </c>
      <c r="B2071" s="156" t="str">
        <f>'Reported burning'!B2071</f>
        <v>240b.2</v>
      </c>
      <c r="C2071" s="156" t="str">
        <f>'Reported burning'!C2071</f>
        <v>Human, deliberate</v>
      </c>
      <c r="D2071" s="156" t="str">
        <f>'Reported burning'!D2071</f>
        <v>Arson</v>
      </c>
      <c r="E2071" s="156" t="str">
        <f>'Reported burning'!E2071</f>
        <v>ND</v>
      </c>
      <c r="F2071" s="156" t="str">
        <f>'Reported burning'!F2071</f>
        <v>ND</v>
      </c>
      <c r="G2071" s="156" t="str">
        <f>'Reported burning'!G2071</f>
        <v>ND</v>
      </c>
      <c r="H2071" s="156" t="str">
        <f>'Reported burning'!H2071</f>
        <v>Presence</v>
      </c>
      <c r="I2071" s="5"/>
      <c r="J2071" s="21" t="s">
        <v>2365</v>
      </c>
      <c r="K2071" s="187" t="s">
        <v>2276</v>
      </c>
      <c r="L2071" s="187" t="s">
        <v>2276</v>
      </c>
      <c r="M2071" s="187" t="s">
        <v>2276</v>
      </c>
      <c r="N2071" s="187" t="s">
        <v>2276</v>
      </c>
      <c r="O2071" s="187" t="s">
        <v>2276</v>
      </c>
      <c r="P2071" s="187" t="s">
        <v>2276</v>
      </c>
      <c r="Q2071" s="187" t="s">
        <v>2276</v>
      </c>
      <c r="R2071" s="187" t="s">
        <v>2276</v>
      </c>
      <c r="S2071" s="187" t="s">
        <v>2276</v>
      </c>
      <c r="T2071" s="187" t="s">
        <v>2276</v>
      </c>
      <c r="U2071" s="187" t="s">
        <v>2276</v>
      </c>
      <c r="V2071" s="187" t="s">
        <v>2276</v>
      </c>
      <c r="W2071" s="187" t="s">
        <v>2276</v>
      </c>
      <c r="X2071" s="187" t="s">
        <v>2276</v>
      </c>
      <c r="Y2071" s="187" t="s">
        <v>2276</v>
      </c>
      <c r="Z2071" s="187" t="s">
        <v>2276</v>
      </c>
      <c r="AA2071" s="3"/>
      <c r="AB2071" s="3"/>
    </row>
    <row r="2072" spans="1:28" ht="100" customHeight="1">
      <c r="A2072" s="156" t="str">
        <f>'Reported burning'!A2072</f>
        <v>241a</v>
      </c>
      <c r="B2072" s="156" t="str">
        <f>'Reported burning'!B2072</f>
        <v>241a.1</v>
      </c>
      <c r="C2072" s="156" t="str">
        <f>'Reported burning'!C2072</f>
        <v>Human, deliberate</v>
      </c>
      <c r="D2072" s="156" t="str">
        <f>'Reported burning'!D2072</f>
        <v>Conservation</v>
      </c>
      <c r="E2072" s="156" t="str">
        <f>'Reported burning'!E2072</f>
        <v>Cattle, Intensive</v>
      </c>
      <c r="F2072" s="156" t="str">
        <f>'Reported burning'!F2072</f>
        <v>Grassland</v>
      </c>
      <c r="G2072" s="156" t="str">
        <f>'Reported burning'!G2072</f>
        <v>ND</v>
      </c>
      <c r="H2072" s="156" t="str">
        <f>'Reported burning'!H2072</f>
        <v>Absence</v>
      </c>
      <c r="I2072" s="5"/>
      <c r="J2072" s="21">
        <v>0</v>
      </c>
      <c r="K2072" s="21">
        <v>0</v>
      </c>
      <c r="L2072" s="21">
        <v>0</v>
      </c>
      <c r="M2072" s="21">
        <v>0</v>
      </c>
      <c r="N2072" s="21">
        <v>0</v>
      </c>
      <c r="O2072" s="21">
        <v>0</v>
      </c>
      <c r="P2072" s="21">
        <v>0</v>
      </c>
      <c r="Q2072" s="21">
        <v>0</v>
      </c>
      <c r="R2072" s="21">
        <v>0</v>
      </c>
      <c r="S2072" s="21">
        <v>0</v>
      </c>
      <c r="T2072" s="21">
        <v>0</v>
      </c>
      <c r="U2072" s="21">
        <v>0</v>
      </c>
      <c r="V2072" s="21">
        <v>0</v>
      </c>
      <c r="W2072" s="4" t="s">
        <v>2276</v>
      </c>
      <c r="X2072" s="4" t="s">
        <v>2276</v>
      </c>
      <c r="Y2072" s="4" t="s">
        <v>2276</v>
      </c>
      <c r="Z2072" s="4" t="s">
        <v>2276</v>
      </c>
      <c r="AA2072" s="4" t="s">
        <v>5904</v>
      </c>
      <c r="AB2072" s="3"/>
    </row>
    <row r="2073" spans="1:28" ht="100" customHeight="1">
      <c r="A2073" s="156" t="str">
        <f>'Reported burning'!A2073</f>
        <v>241a</v>
      </c>
      <c r="B2073" s="156" t="str">
        <f>'Reported burning'!B2073</f>
        <v>241a.2</v>
      </c>
      <c r="C2073" s="156" t="str">
        <f>'Reported burning'!C2073</f>
        <v>Human, deliberate</v>
      </c>
      <c r="D2073" s="156" t="str">
        <f>'Reported burning'!D2073</f>
        <v>Conservation</v>
      </c>
      <c r="E2073" s="156" t="str">
        <f>'Reported burning'!E2073</f>
        <v>Tourism manager</v>
      </c>
      <c r="F2073" s="156" t="str">
        <f>'Reported burning'!F2073</f>
        <v>Grassland</v>
      </c>
      <c r="G2073" s="156" t="str">
        <f>'Reported burning'!G2073</f>
        <v>ND</v>
      </c>
      <c r="H2073" s="156" t="str">
        <f>'Reported burning'!H2073</f>
        <v>Absence</v>
      </c>
      <c r="I2073" s="5"/>
      <c r="J2073" s="21">
        <v>0</v>
      </c>
      <c r="K2073" s="21">
        <v>0</v>
      </c>
      <c r="L2073" s="21">
        <v>0</v>
      </c>
      <c r="M2073" s="21">
        <v>0</v>
      </c>
      <c r="N2073" s="21">
        <v>0</v>
      </c>
      <c r="O2073" s="21">
        <v>0</v>
      </c>
      <c r="P2073" s="21">
        <v>0</v>
      </c>
      <c r="Q2073" s="21">
        <v>0</v>
      </c>
      <c r="R2073" s="21">
        <v>0</v>
      </c>
      <c r="S2073" s="21">
        <v>0</v>
      </c>
      <c r="T2073" s="21">
        <v>0</v>
      </c>
      <c r="U2073" s="21">
        <v>0</v>
      </c>
      <c r="V2073" s="21">
        <v>0</v>
      </c>
      <c r="W2073" s="4" t="s">
        <v>2276</v>
      </c>
      <c r="X2073" s="4" t="s">
        <v>2276</v>
      </c>
      <c r="Y2073" s="4" t="s">
        <v>2276</v>
      </c>
      <c r="Z2073" s="4" t="s">
        <v>2276</v>
      </c>
      <c r="AA2073" s="4" t="s">
        <v>5904</v>
      </c>
      <c r="AB2073" s="3"/>
    </row>
    <row r="2074" spans="1:28" ht="100" customHeight="1">
      <c r="A2074" s="156" t="str">
        <f>'Reported burning'!A2074</f>
        <v>241a</v>
      </c>
      <c r="B2074" s="156" t="str">
        <f>'Reported burning'!B2074</f>
        <v>241a.3</v>
      </c>
      <c r="C2074" s="156" t="str">
        <f>'Reported burning'!C2074</f>
        <v>Human, deliberate</v>
      </c>
      <c r="D2074" s="156" t="str">
        <f>'Reported burning'!D2074</f>
        <v>Pasture renewal</v>
      </c>
      <c r="E2074" s="156" t="str">
        <f>'Reported burning'!E2074</f>
        <v>Cattle, Intensive</v>
      </c>
      <c r="F2074" s="156" t="str">
        <f>'Reported burning'!F2074</f>
        <v>Grassland</v>
      </c>
      <c r="G2074" s="156" t="str">
        <f>'Reported burning'!G2074</f>
        <v>ND</v>
      </c>
      <c r="H2074" s="156" t="str">
        <f>'Reported burning'!H2074</f>
        <v>Absence</v>
      </c>
      <c r="I2074" s="5"/>
      <c r="J2074" s="21">
        <v>0</v>
      </c>
      <c r="K2074" s="21">
        <v>0</v>
      </c>
      <c r="L2074" s="21">
        <v>0</v>
      </c>
      <c r="M2074" s="21">
        <v>0</v>
      </c>
      <c r="N2074" s="21">
        <v>0</v>
      </c>
      <c r="O2074" s="21">
        <v>0</v>
      </c>
      <c r="P2074" s="21">
        <v>0</v>
      </c>
      <c r="Q2074" s="21">
        <v>0</v>
      </c>
      <c r="R2074" s="21">
        <v>0</v>
      </c>
      <c r="S2074" s="21">
        <v>0</v>
      </c>
      <c r="T2074" s="21">
        <v>0</v>
      </c>
      <c r="U2074" s="21">
        <v>0</v>
      </c>
      <c r="V2074" s="21">
        <v>0</v>
      </c>
      <c r="W2074" s="4" t="s">
        <v>2276</v>
      </c>
      <c r="X2074" s="4" t="s">
        <v>2276</v>
      </c>
      <c r="Y2074" s="4" t="s">
        <v>2276</v>
      </c>
      <c r="Z2074" s="4" t="s">
        <v>2276</v>
      </c>
      <c r="AA2074" s="4" t="s">
        <v>5904</v>
      </c>
      <c r="AB2074" s="3"/>
    </row>
    <row r="2075" spans="1:28" ht="100" customHeight="1">
      <c r="A2075" s="156" t="str">
        <f>'Reported burning'!A2075</f>
        <v>241a</v>
      </c>
      <c r="B2075" s="156" t="str">
        <f>'Reported burning'!B2075</f>
        <v>241a.4</v>
      </c>
      <c r="C2075" s="156" t="str">
        <f>'Reported burning'!C2075</f>
        <v>Human, deliberate</v>
      </c>
      <c r="D2075" s="156" t="str">
        <f>'Reported burning'!D2075</f>
        <v>Conservation</v>
      </c>
      <c r="E2075" s="156" t="str">
        <f>'Reported burning'!E2075</f>
        <v>Biodiversity conservation</v>
      </c>
      <c r="F2075" s="156" t="str">
        <f>'Reported burning'!F2075</f>
        <v>Grassland</v>
      </c>
      <c r="G2075" s="156" t="str">
        <f>'Reported burning'!G2075</f>
        <v>ND</v>
      </c>
      <c r="H2075" s="156" t="str">
        <f>'Reported burning'!H2075</f>
        <v>Presence</v>
      </c>
      <c r="I2075" s="5"/>
      <c r="J2075" s="6" t="s">
        <v>2276</v>
      </c>
      <c r="K2075" s="6" t="s">
        <v>2276</v>
      </c>
      <c r="L2075" s="6" t="s">
        <v>2276</v>
      </c>
      <c r="M2075" s="6" t="s">
        <v>2276</v>
      </c>
      <c r="N2075" s="6" t="s">
        <v>2276</v>
      </c>
      <c r="O2075" s="6" t="s">
        <v>2276</v>
      </c>
      <c r="P2075" s="6" t="s">
        <v>2276</v>
      </c>
      <c r="Q2075" s="6" t="s">
        <v>2276</v>
      </c>
      <c r="R2075" s="6" t="s">
        <v>2276</v>
      </c>
      <c r="S2075" s="6" t="s">
        <v>2276</v>
      </c>
      <c r="T2075" s="6" t="s">
        <v>2276</v>
      </c>
      <c r="U2075" s="6" t="s">
        <v>2276</v>
      </c>
      <c r="V2075" s="6" t="s">
        <v>2276</v>
      </c>
      <c r="W2075" s="4" t="s">
        <v>2276</v>
      </c>
      <c r="X2075" s="4" t="s">
        <v>2276</v>
      </c>
      <c r="Y2075" s="4" t="s">
        <v>2276</v>
      </c>
      <c r="Z2075" s="4" t="s">
        <v>2276</v>
      </c>
      <c r="AA2075" s="4" t="s">
        <v>5905</v>
      </c>
      <c r="AB2075" s="3"/>
    </row>
    <row r="2076" spans="1:28" ht="33" customHeight="1">
      <c r="A2076" s="156" t="str">
        <f>'Reported burning'!A2076</f>
        <v>242a</v>
      </c>
      <c r="B2076" s="156" t="str">
        <f>'Reported burning'!B2076</f>
        <v>242a.1</v>
      </c>
      <c r="C2076" s="156" t="str">
        <f>'Reported burning'!C2076</f>
        <v>Human, deliberate</v>
      </c>
      <c r="D2076" s="156" t="str">
        <f>'Reported burning'!D2076</f>
        <v>Rangeland management</v>
      </c>
      <c r="E2076" s="156" t="str">
        <f>'Reported burning'!E2076</f>
        <v>Tourism manager</v>
      </c>
      <c r="F2076" s="156" t="str">
        <f>'Reported burning'!F2076</f>
        <v>Grassland</v>
      </c>
      <c r="G2076" s="156" t="str">
        <f>'Reported burning'!G2076</f>
        <v>ND</v>
      </c>
      <c r="H2076" s="156" t="str">
        <f>'Reported burning'!H2076</f>
        <v>Presence</v>
      </c>
      <c r="I2076" s="5"/>
      <c r="J2076" s="6" t="s">
        <v>2276</v>
      </c>
      <c r="K2076" s="4" t="s">
        <v>2276</v>
      </c>
      <c r="L2076" s="4" t="s">
        <v>2276</v>
      </c>
      <c r="M2076" s="4" t="s">
        <v>2276</v>
      </c>
      <c r="N2076" s="4" t="s">
        <v>2276</v>
      </c>
      <c r="O2076" s="4" t="s">
        <v>2276</v>
      </c>
      <c r="P2076" s="4" t="s">
        <v>2276</v>
      </c>
      <c r="Q2076" s="4" t="s">
        <v>2276</v>
      </c>
      <c r="R2076" s="4" t="s">
        <v>2276</v>
      </c>
      <c r="S2076" s="4" t="s">
        <v>2276</v>
      </c>
      <c r="T2076" s="4" t="s">
        <v>2276</v>
      </c>
      <c r="U2076" s="4" t="s">
        <v>2276</v>
      </c>
      <c r="V2076" s="4" t="s">
        <v>2276</v>
      </c>
      <c r="W2076" s="4" t="s">
        <v>2276</v>
      </c>
      <c r="X2076" s="4" t="s">
        <v>2276</v>
      </c>
      <c r="Y2076" s="4" t="s">
        <v>2276</v>
      </c>
      <c r="Z2076" s="4" t="s">
        <v>2276</v>
      </c>
      <c r="AA2076" s="3"/>
      <c r="AB2076" s="3"/>
    </row>
    <row r="2077" spans="1:28" ht="33" customHeight="1">
      <c r="A2077" s="156" t="str">
        <f>'Reported burning'!A2077</f>
        <v>242a</v>
      </c>
      <c r="B2077" s="156" t="str">
        <f>'Reported burning'!B2077</f>
        <v>242a.2</v>
      </c>
      <c r="C2077" s="156" t="str">
        <f>'Reported burning'!C2077</f>
        <v>Human, deliberate</v>
      </c>
      <c r="D2077" s="156" t="str">
        <f>'Reported burning'!D2077</f>
        <v>Rangeland management</v>
      </c>
      <c r="E2077" s="156" t="str">
        <f>'Reported burning'!E2077</f>
        <v>Cattle, Intensive</v>
      </c>
      <c r="F2077" s="156" t="str">
        <f>'Reported burning'!F2077</f>
        <v>Grassland</v>
      </c>
      <c r="G2077" s="156" t="str">
        <f>'Reported burning'!G2077</f>
        <v>ND</v>
      </c>
      <c r="H2077" s="156" t="str">
        <f>'Reported burning'!H2077</f>
        <v>Presence</v>
      </c>
      <c r="I2077" s="5"/>
      <c r="J2077" s="6" t="s">
        <v>2276</v>
      </c>
      <c r="K2077" s="4" t="s">
        <v>2276</v>
      </c>
      <c r="L2077" s="4" t="s">
        <v>2276</v>
      </c>
      <c r="M2077" s="4" t="s">
        <v>2276</v>
      </c>
      <c r="N2077" s="4" t="s">
        <v>2276</v>
      </c>
      <c r="O2077" s="4" t="s">
        <v>2276</v>
      </c>
      <c r="P2077" s="4" t="s">
        <v>2276</v>
      </c>
      <c r="Q2077" s="4" t="s">
        <v>2276</v>
      </c>
      <c r="R2077" s="4" t="s">
        <v>2276</v>
      </c>
      <c r="S2077" s="4" t="s">
        <v>2276</v>
      </c>
      <c r="T2077" s="4" t="s">
        <v>2276</v>
      </c>
      <c r="U2077" s="4" t="s">
        <v>2276</v>
      </c>
      <c r="V2077" s="4" t="s">
        <v>2276</v>
      </c>
      <c r="W2077" s="4" t="s">
        <v>2276</v>
      </c>
      <c r="X2077" s="4" t="s">
        <v>2276</v>
      </c>
      <c r="Y2077" s="4" t="s">
        <v>2276</v>
      </c>
      <c r="Z2077" s="4" t="s">
        <v>2276</v>
      </c>
      <c r="AA2077" s="3"/>
      <c r="AB2077" s="3"/>
    </row>
    <row r="2078" spans="1:28" ht="33" customHeight="1">
      <c r="A2078" s="156" t="str">
        <f>'Reported burning'!A2078</f>
        <v>243a</v>
      </c>
      <c r="B2078" s="156" t="str">
        <f>'Reported burning'!B2078</f>
        <v>243a.1</v>
      </c>
      <c r="C2078" s="156" t="str">
        <f>'Reported burning'!C2078</f>
        <v>Human, accidental</v>
      </c>
      <c r="D2078" s="156" t="str">
        <f>'Reported burning'!D2078</f>
        <v>Accidental</v>
      </c>
      <c r="E2078" s="156" t="str">
        <f>'Reported burning'!E2078</f>
        <v>ND</v>
      </c>
      <c r="F2078" s="156" t="str">
        <f>'Reported burning'!F2078</f>
        <v>ND</v>
      </c>
      <c r="G2078" s="156" t="str">
        <f>'Reported burning'!G2078</f>
        <v>ND</v>
      </c>
      <c r="H2078" s="156" t="str">
        <f>'Reported burning'!H2078</f>
        <v>Presence</v>
      </c>
      <c r="I2078" s="5"/>
      <c r="J2078" s="6" t="s">
        <v>2276</v>
      </c>
      <c r="K2078" s="4" t="s">
        <v>2276</v>
      </c>
      <c r="L2078" s="4" t="s">
        <v>2276</v>
      </c>
      <c r="M2078" s="4" t="s">
        <v>2276</v>
      </c>
      <c r="N2078" s="4" t="s">
        <v>2276</v>
      </c>
      <c r="O2078" s="4" t="s">
        <v>2276</v>
      </c>
      <c r="P2078" s="4" t="s">
        <v>2276</v>
      </c>
      <c r="Q2078" s="4" t="s">
        <v>2276</v>
      </c>
      <c r="R2078" s="4" t="s">
        <v>2276</v>
      </c>
      <c r="S2078" s="4" t="s">
        <v>2276</v>
      </c>
      <c r="T2078" s="4" t="s">
        <v>2276</v>
      </c>
      <c r="U2078" s="4" t="s">
        <v>2276</v>
      </c>
      <c r="V2078" s="4" t="s">
        <v>2276</v>
      </c>
      <c r="W2078" s="4" t="s">
        <v>2276</v>
      </c>
      <c r="X2078" s="4" t="s">
        <v>2276</v>
      </c>
      <c r="Y2078" s="4" t="s">
        <v>2276</v>
      </c>
      <c r="Z2078" s="4" t="s">
        <v>2276</v>
      </c>
      <c r="AA2078" s="3"/>
      <c r="AB2078" s="3"/>
    </row>
    <row r="2079" spans="1:28" ht="33" customHeight="1">
      <c r="A2079" s="156" t="str">
        <f>'Reported burning'!A2079</f>
        <v>243a</v>
      </c>
      <c r="B2079" s="156" t="str">
        <f>'Reported burning'!B2079</f>
        <v>243a.2</v>
      </c>
      <c r="C2079" s="156" t="str">
        <f>'Reported burning'!C2079</f>
        <v>Human, deliberate</v>
      </c>
      <c r="D2079" s="156" t="str">
        <f>'Reported burning'!D2079</f>
        <v>Arson</v>
      </c>
      <c r="E2079" s="156" t="str">
        <f>'Reported burning'!E2079</f>
        <v>Pastoralism, Migratory</v>
      </c>
      <c r="F2079" s="156" t="str">
        <f>'Reported burning'!F2079</f>
        <v>ND</v>
      </c>
      <c r="G2079" s="156" t="str">
        <f>'Reported burning'!G2079</f>
        <v>ND</v>
      </c>
      <c r="H2079" s="156" t="str">
        <f>'Reported burning'!H2079</f>
        <v>Presence</v>
      </c>
      <c r="I2079" s="5"/>
      <c r="J2079" s="6" t="s">
        <v>2276</v>
      </c>
      <c r="K2079" s="4" t="s">
        <v>2276</v>
      </c>
      <c r="L2079" s="4" t="s">
        <v>2276</v>
      </c>
      <c r="M2079" s="4" t="s">
        <v>2276</v>
      </c>
      <c r="N2079" s="4" t="s">
        <v>2276</v>
      </c>
      <c r="O2079" s="4" t="s">
        <v>2276</v>
      </c>
      <c r="P2079" s="4" t="s">
        <v>2276</v>
      </c>
      <c r="Q2079" s="4" t="s">
        <v>2276</v>
      </c>
      <c r="R2079" s="4" t="s">
        <v>2276</v>
      </c>
      <c r="S2079" s="4" t="s">
        <v>2276</v>
      </c>
      <c r="T2079" s="4" t="s">
        <v>2276</v>
      </c>
      <c r="U2079" s="4" t="s">
        <v>2276</v>
      </c>
      <c r="V2079" s="4" t="s">
        <v>2276</v>
      </c>
      <c r="W2079" s="4" t="s">
        <v>2276</v>
      </c>
      <c r="X2079" s="4" t="s">
        <v>2276</v>
      </c>
      <c r="Y2079" s="4" t="s">
        <v>2276</v>
      </c>
      <c r="Z2079" s="4" t="s">
        <v>2276</v>
      </c>
      <c r="AA2079" s="3"/>
      <c r="AB2079" s="3"/>
    </row>
    <row r="2080" spans="1:28" ht="33" customHeight="1">
      <c r="A2080" s="156" t="str">
        <f>'Reported burning'!A2080</f>
        <v>243a</v>
      </c>
      <c r="B2080" s="156" t="str">
        <f>'Reported burning'!B2080</f>
        <v>243a.3</v>
      </c>
      <c r="C2080" s="156" t="str">
        <f>'Reported burning'!C2080</f>
        <v>Human, deliberate</v>
      </c>
      <c r="D2080" s="156" t="str">
        <f>'Reported burning'!D2080</f>
        <v>Arson</v>
      </c>
      <c r="E2080" s="156" t="str">
        <f>'Reported burning'!E2080</f>
        <v>Forestry, Traditional</v>
      </c>
      <c r="F2080" s="156" t="str">
        <f>'Reported burning'!F2080</f>
        <v>ND</v>
      </c>
      <c r="G2080" s="156" t="str">
        <f>'Reported burning'!G2080</f>
        <v>ND</v>
      </c>
      <c r="H2080" s="156" t="str">
        <f>'Reported burning'!H2080</f>
        <v>Presence</v>
      </c>
      <c r="I2080" s="5"/>
      <c r="J2080" s="6" t="s">
        <v>2276</v>
      </c>
      <c r="K2080" s="4" t="s">
        <v>2276</v>
      </c>
      <c r="L2080" s="4" t="s">
        <v>2276</v>
      </c>
      <c r="M2080" s="4" t="s">
        <v>2276</v>
      </c>
      <c r="N2080" s="4" t="s">
        <v>2276</v>
      </c>
      <c r="O2080" s="4" t="s">
        <v>2276</v>
      </c>
      <c r="P2080" s="4" t="s">
        <v>2276</v>
      </c>
      <c r="Q2080" s="4" t="s">
        <v>2276</v>
      </c>
      <c r="R2080" s="4" t="s">
        <v>2276</v>
      </c>
      <c r="S2080" s="4" t="s">
        <v>2276</v>
      </c>
      <c r="T2080" s="4" t="s">
        <v>2276</v>
      </c>
      <c r="U2080" s="4" t="s">
        <v>2276</v>
      </c>
      <c r="V2080" s="4" t="s">
        <v>2276</v>
      </c>
      <c r="W2080" s="4" t="s">
        <v>2276</v>
      </c>
      <c r="X2080" s="4" t="s">
        <v>2276</v>
      </c>
      <c r="Y2080" s="4" t="s">
        <v>2276</v>
      </c>
      <c r="Z2080" s="4" t="s">
        <v>2276</v>
      </c>
      <c r="AA2080" s="3"/>
      <c r="AB2080" s="3"/>
    </row>
    <row r="2081" spans="1:28" ht="33" customHeight="1">
      <c r="A2081" s="156" t="str">
        <f>'Reported burning'!A2081</f>
        <v>243a</v>
      </c>
      <c r="B2081" s="156" t="str">
        <f>'Reported burning'!B2081</f>
        <v>243a.4</v>
      </c>
      <c r="C2081" s="156" t="str">
        <f>'Reported burning'!C2081</f>
        <v>Human, deliberate</v>
      </c>
      <c r="D2081" s="156" t="str">
        <f>'Reported burning'!D2081</f>
        <v>Harvesting of NTFP</v>
      </c>
      <c r="E2081" s="156" t="str">
        <f>'Reported burning'!E2081</f>
        <v>Forestry, Traditional</v>
      </c>
      <c r="F2081" s="156" t="str">
        <f>'Reported burning'!F2081</f>
        <v>ND</v>
      </c>
      <c r="G2081" s="156" t="str">
        <f>'Reported burning'!G2081</f>
        <v>ND</v>
      </c>
      <c r="H2081" s="156" t="str">
        <f>'Reported burning'!H2081</f>
        <v>Presence</v>
      </c>
      <c r="I2081" s="5"/>
      <c r="J2081" s="6" t="s">
        <v>2276</v>
      </c>
      <c r="K2081" s="4" t="s">
        <v>2276</v>
      </c>
      <c r="L2081" s="4" t="s">
        <v>2276</v>
      </c>
      <c r="M2081" s="4" t="s">
        <v>2276</v>
      </c>
      <c r="N2081" s="4" t="s">
        <v>2276</v>
      </c>
      <c r="O2081" s="4" t="s">
        <v>2276</v>
      </c>
      <c r="P2081" s="4" t="s">
        <v>2276</v>
      </c>
      <c r="Q2081" s="4" t="s">
        <v>2276</v>
      </c>
      <c r="R2081" s="4" t="s">
        <v>2276</v>
      </c>
      <c r="S2081" s="4" t="s">
        <v>2276</v>
      </c>
      <c r="T2081" s="4" t="s">
        <v>2276</v>
      </c>
      <c r="U2081" s="4" t="s">
        <v>2276</v>
      </c>
      <c r="V2081" s="4" t="s">
        <v>2276</v>
      </c>
      <c r="W2081" s="4" t="s">
        <v>2276</v>
      </c>
      <c r="X2081" s="4" t="s">
        <v>2276</v>
      </c>
      <c r="Y2081" s="4" t="s">
        <v>2276</v>
      </c>
      <c r="Z2081" s="4" t="s">
        <v>2276</v>
      </c>
      <c r="AA2081" s="3"/>
      <c r="AB2081" s="3"/>
    </row>
    <row r="2082" spans="1:28" ht="33" customHeight="1">
      <c r="A2082" s="156" t="str">
        <f>'Reported burning'!A2082</f>
        <v>243a</v>
      </c>
      <c r="B2082" s="156" t="str">
        <f>'Reported burning'!B2082</f>
        <v>243a.5</v>
      </c>
      <c r="C2082" s="156" t="str">
        <f>'Reported burning'!C2082</f>
        <v>Human, deliberate</v>
      </c>
      <c r="D2082" s="156" t="str">
        <f>'Reported burning'!D2082</f>
        <v>Hunting</v>
      </c>
      <c r="E2082" s="156" t="str">
        <f>'Reported burning'!E2082</f>
        <v>Forestry, Traditional</v>
      </c>
      <c r="F2082" s="156" t="str">
        <f>'Reported burning'!F2082</f>
        <v>ND</v>
      </c>
      <c r="G2082" s="156" t="str">
        <f>'Reported burning'!G2082</f>
        <v>ND</v>
      </c>
      <c r="H2082" s="156" t="str">
        <f>'Reported burning'!H2082</f>
        <v>Presence</v>
      </c>
      <c r="I2082" s="5"/>
      <c r="J2082" s="6" t="s">
        <v>2276</v>
      </c>
      <c r="K2082" s="4" t="s">
        <v>2276</v>
      </c>
      <c r="L2082" s="4" t="s">
        <v>2276</v>
      </c>
      <c r="M2082" s="4" t="s">
        <v>2276</v>
      </c>
      <c r="N2082" s="4" t="s">
        <v>2276</v>
      </c>
      <c r="O2082" s="4" t="s">
        <v>2276</v>
      </c>
      <c r="P2082" s="4" t="s">
        <v>2276</v>
      </c>
      <c r="Q2082" s="4" t="s">
        <v>2276</v>
      </c>
      <c r="R2082" s="4" t="s">
        <v>2276</v>
      </c>
      <c r="S2082" s="4" t="s">
        <v>2276</v>
      </c>
      <c r="T2082" s="4" t="s">
        <v>2276</v>
      </c>
      <c r="U2082" s="4" t="s">
        <v>2276</v>
      </c>
      <c r="V2082" s="4" t="s">
        <v>2276</v>
      </c>
      <c r="W2082" s="4" t="s">
        <v>2276</v>
      </c>
      <c r="X2082" s="4" t="s">
        <v>2276</v>
      </c>
      <c r="Y2082" s="4" t="s">
        <v>2276</v>
      </c>
      <c r="Z2082" s="4" t="s">
        <v>2276</v>
      </c>
      <c r="AA2082" s="3"/>
      <c r="AB2082" s="3"/>
    </row>
    <row r="2083" spans="1:28" ht="33" customHeight="1">
      <c r="A2083" s="156" t="str">
        <f>'Reported burning'!A2083</f>
        <v>243a</v>
      </c>
      <c r="B2083" s="156" t="str">
        <f>'Reported burning'!B2083</f>
        <v>243a.6</v>
      </c>
      <c r="C2083" s="156" t="str">
        <f>'Reported burning'!C2083</f>
        <v>Human, deliberate</v>
      </c>
      <c r="D2083" s="156" t="str">
        <f>'Reported burning'!D2083</f>
        <v>Pasture renewal</v>
      </c>
      <c r="E2083" s="156" t="str">
        <f>'Reported burning'!E2083</f>
        <v>Pastoralism, Migratory</v>
      </c>
      <c r="F2083" s="156" t="str">
        <f>'Reported burning'!F2083</f>
        <v>ND</v>
      </c>
      <c r="G2083" s="156" t="str">
        <f>'Reported burning'!G2083</f>
        <v>ND</v>
      </c>
      <c r="H2083" s="156" t="str">
        <f>'Reported burning'!H2083</f>
        <v>Presence</v>
      </c>
      <c r="I2083" s="5"/>
      <c r="J2083" s="6" t="s">
        <v>2276</v>
      </c>
      <c r="K2083" s="4" t="s">
        <v>2276</v>
      </c>
      <c r="L2083" s="4" t="s">
        <v>2276</v>
      </c>
      <c r="M2083" s="4" t="s">
        <v>2276</v>
      </c>
      <c r="N2083" s="4" t="s">
        <v>2276</v>
      </c>
      <c r="O2083" s="4" t="s">
        <v>2276</v>
      </c>
      <c r="P2083" s="4" t="s">
        <v>2276</v>
      </c>
      <c r="Q2083" s="4" t="s">
        <v>2276</v>
      </c>
      <c r="R2083" s="4" t="s">
        <v>2276</v>
      </c>
      <c r="S2083" s="4" t="s">
        <v>2276</v>
      </c>
      <c r="T2083" s="4" t="s">
        <v>2276</v>
      </c>
      <c r="U2083" s="4" t="s">
        <v>2276</v>
      </c>
      <c r="V2083" s="4" t="s">
        <v>2276</v>
      </c>
      <c r="W2083" s="4" t="s">
        <v>2276</v>
      </c>
      <c r="X2083" s="4" t="s">
        <v>2276</v>
      </c>
      <c r="Y2083" s="4" t="s">
        <v>2276</v>
      </c>
      <c r="Z2083" s="4" t="s">
        <v>2276</v>
      </c>
      <c r="AA2083" s="3"/>
      <c r="AB2083" s="3"/>
    </row>
    <row r="2084" spans="1:28" ht="33" customHeight="1">
      <c r="A2084" s="156" t="str">
        <f>'Reported burning'!A2084</f>
        <v>243a</v>
      </c>
      <c r="B2084" s="156" t="str">
        <f>'Reported burning'!B2084</f>
        <v>243a.7</v>
      </c>
      <c r="C2084" s="156" t="str">
        <f>'Reported burning'!C2084</f>
        <v>Human, deliberate</v>
      </c>
      <c r="D2084" s="156" t="str">
        <f>'Reported burning'!D2084</f>
        <v>Accessibility</v>
      </c>
      <c r="E2084" s="156" t="str">
        <f>'Reported burning'!E2084</f>
        <v>Pastoralism, Migratory</v>
      </c>
      <c r="F2084" s="156" t="str">
        <f>'Reported burning'!F2084</f>
        <v>ND</v>
      </c>
      <c r="G2084" s="156" t="str">
        <f>'Reported burning'!G2084</f>
        <v>ND</v>
      </c>
      <c r="H2084" s="156" t="str">
        <f>'Reported burning'!H2084</f>
        <v>Presence</v>
      </c>
      <c r="I2084" s="5"/>
      <c r="J2084" s="6" t="s">
        <v>2276</v>
      </c>
      <c r="K2084" s="4" t="s">
        <v>2276</v>
      </c>
      <c r="L2084" s="4" t="s">
        <v>2276</v>
      </c>
      <c r="M2084" s="4" t="s">
        <v>2276</v>
      </c>
      <c r="N2084" s="4" t="s">
        <v>2276</v>
      </c>
      <c r="O2084" s="4" t="s">
        <v>2276</v>
      </c>
      <c r="P2084" s="4" t="s">
        <v>2276</v>
      </c>
      <c r="Q2084" s="4" t="s">
        <v>2276</v>
      </c>
      <c r="R2084" s="4" t="s">
        <v>2276</v>
      </c>
      <c r="S2084" s="4" t="s">
        <v>2276</v>
      </c>
      <c r="T2084" s="4" t="s">
        <v>2276</v>
      </c>
      <c r="U2084" s="4" t="s">
        <v>2276</v>
      </c>
      <c r="V2084" s="4" t="s">
        <v>2276</v>
      </c>
      <c r="W2084" s="4" t="s">
        <v>2276</v>
      </c>
      <c r="X2084" s="4" t="s">
        <v>2276</v>
      </c>
      <c r="Y2084" s="4" t="s">
        <v>2276</v>
      </c>
      <c r="Z2084" s="4" t="s">
        <v>2276</v>
      </c>
      <c r="AA2084" s="3"/>
      <c r="AB2084" s="3"/>
    </row>
    <row r="2085" spans="1:28" ht="33" customHeight="1">
      <c r="A2085" s="156" t="str">
        <f>'Reported burning'!A2085</f>
        <v>243a</v>
      </c>
      <c r="B2085" s="156" t="str">
        <f>'Reported burning'!B2085</f>
        <v>243a.8</v>
      </c>
      <c r="C2085" s="156" t="str">
        <f>'Reported burning'!C2085</f>
        <v>Human, escaped</v>
      </c>
      <c r="D2085" s="156" t="str">
        <f>'Reported burning'!D2085</f>
        <v>Charcoal production</v>
      </c>
      <c r="E2085" s="156" t="str">
        <f>'Reported burning'!E2085</f>
        <v>Forestry, Small-scale</v>
      </c>
      <c r="F2085" s="156" t="str">
        <f>'Reported burning'!F2085</f>
        <v>ND</v>
      </c>
      <c r="G2085" s="156" t="str">
        <f>'Reported burning'!G2085</f>
        <v>ND</v>
      </c>
      <c r="H2085" s="156" t="str">
        <f>'Reported burning'!H2085</f>
        <v>Presence</v>
      </c>
      <c r="I2085" s="5"/>
      <c r="J2085" s="6" t="s">
        <v>2276</v>
      </c>
      <c r="K2085" s="4" t="s">
        <v>2276</v>
      </c>
      <c r="L2085" s="4" t="s">
        <v>2276</v>
      </c>
      <c r="M2085" s="4" t="s">
        <v>2276</v>
      </c>
      <c r="N2085" s="4" t="s">
        <v>2276</v>
      </c>
      <c r="O2085" s="4" t="s">
        <v>2276</v>
      </c>
      <c r="P2085" s="4" t="s">
        <v>2276</v>
      </c>
      <c r="Q2085" s="4" t="s">
        <v>2276</v>
      </c>
      <c r="R2085" s="4" t="s">
        <v>2276</v>
      </c>
      <c r="S2085" s="4" t="s">
        <v>2276</v>
      </c>
      <c r="T2085" s="4" t="s">
        <v>2276</v>
      </c>
      <c r="U2085" s="4" t="s">
        <v>2276</v>
      </c>
      <c r="V2085" s="4" t="s">
        <v>2276</v>
      </c>
      <c r="W2085" s="4" t="s">
        <v>2276</v>
      </c>
      <c r="X2085" s="4" t="s">
        <v>2276</v>
      </c>
      <c r="Y2085" s="4" t="s">
        <v>2276</v>
      </c>
      <c r="Z2085" s="4" t="s">
        <v>2276</v>
      </c>
      <c r="AA2085" s="3"/>
      <c r="AB2085" s="3"/>
    </row>
    <row r="2086" spans="1:28" ht="33" customHeight="1">
      <c r="A2086" s="156" t="str">
        <f>'Reported burning'!A2086</f>
        <v>243a</v>
      </c>
      <c r="B2086" s="156" t="str">
        <f>'Reported burning'!B2086</f>
        <v>243a.9</v>
      </c>
      <c r="C2086" s="156" t="str">
        <f>'Reported burning'!C2086</f>
        <v>Human, deliberate</v>
      </c>
      <c r="D2086" s="156" t="str">
        <f>'Reported burning'!D2086</f>
        <v>Crop field preparation</v>
      </c>
      <c r="E2086" s="156" t="str">
        <f>'Reported burning'!E2086</f>
        <v>Cropping, Swidden</v>
      </c>
      <c r="F2086" s="156" t="str">
        <f>'Reported burning'!F2086</f>
        <v>ND</v>
      </c>
      <c r="G2086" s="156" t="str">
        <f>'Reported burning'!G2086</f>
        <v>ND</v>
      </c>
      <c r="H2086" s="156" t="str">
        <f>'Reported burning'!H2086</f>
        <v>Presence</v>
      </c>
      <c r="I2086" s="5"/>
      <c r="J2086" s="6" t="s">
        <v>2276</v>
      </c>
      <c r="K2086" s="4" t="s">
        <v>2276</v>
      </c>
      <c r="L2086" s="4" t="s">
        <v>2276</v>
      </c>
      <c r="M2086" s="4" t="s">
        <v>2276</v>
      </c>
      <c r="N2086" s="4" t="s">
        <v>2276</v>
      </c>
      <c r="O2086" s="4" t="s">
        <v>2276</v>
      </c>
      <c r="P2086" s="4" t="s">
        <v>2276</v>
      </c>
      <c r="Q2086" s="4" t="s">
        <v>2276</v>
      </c>
      <c r="R2086" s="4" t="s">
        <v>2276</v>
      </c>
      <c r="S2086" s="4" t="s">
        <v>2276</v>
      </c>
      <c r="T2086" s="4" t="s">
        <v>2276</v>
      </c>
      <c r="U2086" s="4" t="s">
        <v>2276</v>
      </c>
      <c r="V2086" s="4" t="s">
        <v>2276</v>
      </c>
      <c r="W2086" s="4" t="s">
        <v>2276</v>
      </c>
      <c r="X2086" s="3" t="s">
        <v>399</v>
      </c>
      <c r="Y2086" s="3" t="s">
        <v>189</v>
      </c>
      <c r="Z2086" s="4" t="s">
        <v>2276</v>
      </c>
      <c r="AA2086" s="3"/>
      <c r="AB2086" s="3"/>
    </row>
    <row r="2087" spans="1:28" ht="50.5" customHeight="1">
      <c r="A2087" s="156" t="str">
        <f>'Reported burning'!A2087</f>
        <v>243a</v>
      </c>
      <c r="B2087" s="156" t="str">
        <f>'Reported burning'!B2087</f>
        <v>243a.10</v>
      </c>
      <c r="C2087" s="156" t="str">
        <f>'Reported burning'!C2087</f>
        <v>Human, escaped</v>
      </c>
      <c r="D2087" s="156" t="str">
        <f>'Reported burning'!D2087</f>
        <v>ND</v>
      </c>
      <c r="E2087" s="156" t="str">
        <f>'Reported burning'!E2087</f>
        <v>ND</v>
      </c>
      <c r="F2087" s="156" t="str">
        <f>'Reported burning'!F2087</f>
        <v>ND</v>
      </c>
      <c r="G2087" s="156" t="str">
        <f>'Reported burning'!G2087</f>
        <v>ND</v>
      </c>
      <c r="H2087" s="156" t="str">
        <f>'Reported burning'!H2087</f>
        <v>Presence</v>
      </c>
      <c r="I2087" s="5"/>
      <c r="J2087" s="21" t="s">
        <v>2366</v>
      </c>
      <c r="K2087" s="4" t="s">
        <v>2276</v>
      </c>
      <c r="L2087" s="4" t="s">
        <v>2276</v>
      </c>
      <c r="M2087" s="4" t="s">
        <v>2276</v>
      </c>
      <c r="N2087" s="4" t="s">
        <v>2276</v>
      </c>
      <c r="O2087" s="4" t="s">
        <v>2276</v>
      </c>
      <c r="P2087" s="4" t="s">
        <v>2276</v>
      </c>
      <c r="Q2087" s="4" t="s">
        <v>2276</v>
      </c>
      <c r="R2087" s="4" t="s">
        <v>2276</v>
      </c>
      <c r="S2087" s="4" t="s">
        <v>2276</v>
      </c>
      <c r="T2087" s="4" t="s">
        <v>2276</v>
      </c>
      <c r="U2087" s="4" t="s">
        <v>2276</v>
      </c>
      <c r="V2087" s="4" t="s">
        <v>2276</v>
      </c>
      <c r="W2087" s="4" t="s">
        <v>2276</v>
      </c>
      <c r="X2087" s="3" t="s">
        <v>399</v>
      </c>
      <c r="Y2087" s="3" t="s">
        <v>189</v>
      </c>
      <c r="Z2087" s="4" t="s">
        <v>2276</v>
      </c>
      <c r="AA2087" s="3"/>
      <c r="AB2087" s="4" t="s">
        <v>5924</v>
      </c>
    </row>
    <row r="2088" spans="1:28" ht="50.5" customHeight="1">
      <c r="A2088" s="156" t="str">
        <f>'Reported burning'!A2088</f>
        <v>243a</v>
      </c>
      <c r="B2088" s="156" t="str">
        <f>'Reported burning'!B2088</f>
        <v>243a.11</v>
      </c>
      <c r="C2088" s="156" t="str">
        <f>'Reported burning'!C2088</f>
        <v>Human, escaped</v>
      </c>
      <c r="D2088" s="156" t="str">
        <f>'Reported burning'!D2088</f>
        <v>ND</v>
      </c>
      <c r="E2088" s="156" t="str">
        <f>'Reported burning'!E2088</f>
        <v>ND</v>
      </c>
      <c r="F2088" s="156" t="str">
        <f>'Reported burning'!F2088</f>
        <v>ND</v>
      </c>
      <c r="G2088" s="156" t="str">
        <f>'Reported burning'!G2088</f>
        <v>ND</v>
      </c>
      <c r="H2088" s="156" t="str">
        <f>'Reported burning'!H2088</f>
        <v>Presence</v>
      </c>
      <c r="I2088" s="5"/>
      <c r="J2088" s="21" t="s">
        <v>2366</v>
      </c>
      <c r="K2088" s="4" t="s">
        <v>2276</v>
      </c>
      <c r="L2088" s="4" t="s">
        <v>2276</v>
      </c>
      <c r="M2088" s="4" t="s">
        <v>2276</v>
      </c>
      <c r="N2088" s="4" t="s">
        <v>2276</v>
      </c>
      <c r="O2088" s="4" t="s">
        <v>2276</v>
      </c>
      <c r="P2088" s="4" t="s">
        <v>2276</v>
      </c>
      <c r="Q2088" s="4" t="s">
        <v>2276</v>
      </c>
      <c r="R2088" s="4" t="s">
        <v>2276</v>
      </c>
      <c r="S2088" s="4" t="s">
        <v>2276</v>
      </c>
      <c r="T2088" s="4" t="s">
        <v>2276</v>
      </c>
      <c r="U2088" s="4" t="s">
        <v>2276</v>
      </c>
      <c r="V2088" s="4" t="s">
        <v>2276</v>
      </c>
      <c r="W2088" s="4" t="s">
        <v>2276</v>
      </c>
      <c r="X2088" s="3" t="s">
        <v>405</v>
      </c>
      <c r="Y2088" s="3" t="s">
        <v>68</v>
      </c>
      <c r="Z2088" s="4" t="s">
        <v>2276</v>
      </c>
      <c r="AA2088" s="3"/>
      <c r="AB2088" s="4" t="s">
        <v>5924</v>
      </c>
    </row>
    <row r="2089" spans="1:28" ht="46.5" customHeight="1">
      <c r="A2089" s="156" t="str">
        <f>'Reported burning'!A2089</f>
        <v>243a</v>
      </c>
      <c r="B2089" s="156" t="str">
        <f>'Reported burning'!B2089</f>
        <v>243a.12</v>
      </c>
      <c r="C2089" s="156" t="str">
        <f>'Reported burning'!C2089</f>
        <v>Human, deliberate</v>
      </c>
      <c r="D2089" s="156" t="str">
        <f>'Reported burning'!D2089</f>
        <v>Pyrome management</v>
      </c>
      <c r="E2089" s="156" t="str">
        <f>'Reported burning'!E2089</f>
        <v>Biodiversity conservation</v>
      </c>
      <c r="F2089" s="156" t="str">
        <f>'Reported burning'!F2089</f>
        <v>ND</v>
      </c>
      <c r="G2089" s="156" t="str">
        <f>'Reported burning'!G2089</f>
        <v>ND</v>
      </c>
      <c r="H2089" s="156" t="str">
        <f>'Reported burning'!H2089</f>
        <v>Absence</v>
      </c>
      <c r="I2089" s="5"/>
      <c r="J2089" s="21">
        <v>0</v>
      </c>
      <c r="K2089" s="21">
        <v>0</v>
      </c>
      <c r="L2089" s="21">
        <v>0</v>
      </c>
      <c r="M2089" s="21">
        <v>0</v>
      </c>
      <c r="N2089" s="21">
        <v>0</v>
      </c>
      <c r="O2089" s="21">
        <v>0</v>
      </c>
      <c r="P2089" s="21">
        <v>0</v>
      </c>
      <c r="Q2089" s="21">
        <v>0</v>
      </c>
      <c r="R2089" s="21">
        <v>0</v>
      </c>
      <c r="S2089" s="21">
        <v>0</v>
      </c>
      <c r="T2089" s="21">
        <v>0</v>
      </c>
      <c r="U2089" s="21">
        <v>0</v>
      </c>
      <c r="V2089" s="21">
        <v>0</v>
      </c>
      <c r="W2089" s="4" t="s">
        <v>2276</v>
      </c>
      <c r="X2089" s="4" t="s">
        <v>2276</v>
      </c>
      <c r="Y2089" s="4" t="s">
        <v>2276</v>
      </c>
      <c r="Z2089" s="4" t="s">
        <v>2276</v>
      </c>
      <c r="AA2089" s="4" t="s">
        <v>5926</v>
      </c>
      <c r="AB2089" s="3"/>
    </row>
    <row r="2090" spans="1:28" ht="46.5" customHeight="1">
      <c r="A2090" s="156" t="str">
        <f>'Reported burning'!A2090</f>
        <v>243a</v>
      </c>
      <c r="B2090" s="156" t="str">
        <f>'Reported burning'!B2090</f>
        <v>243a.13</v>
      </c>
      <c r="C2090" s="156" t="str">
        <f>'Reported burning'!C2090</f>
        <v>Human, deliberate</v>
      </c>
      <c r="D2090" s="156" t="str">
        <f>'Reported burning'!D2090</f>
        <v>Conservation</v>
      </c>
      <c r="E2090" s="156" t="str">
        <f>'Reported burning'!E2090</f>
        <v>Biodiversity conservation</v>
      </c>
      <c r="F2090" s="156" t="str">
        <f>'Reported burning'!F2090</f>
        <v>ND</v>
      </c>
      <c r="G2090" s="156" t="str">
        <f>'Reported burning'!G2090</f>
        <v>ND</v>
      </c>
      <c r="H2090" s="156" t="str">
        <f>'Reported burning'!H2090</f>
        <v>Absence</v>
      </c>
      <c r="I2090" s="5"/>
      <c r="J2090" s="21">
        <v>0</v>
      </c>
      <c r="K2090" s="21">
        <v>0</v>
      </c>
      <c r="L2090" s="21">
        <v>0</v>
      </c>
      <c r="M2090" s="21">
        <v>0</v>
      </c>
      <c r="N2090" s="21">
        <v>0</v>
      </c>
      <c r="O2090" s="21">
        <v>0</v>
      </c>
      <c r="P2090" s="21">
        <v>0</v>
      </c>
      <c r="Q2090" s="21">
        <v>0</v>
      </c>
      <c r="R2090" s="21">
        <v>0</v>
      </c>
      <c r="S2090" s="21">
        <v>0</v>
      </c>
      <c r="T2090" s="21">
        <v>0</v>
      </c>
      <c r="U2090" s="21">
        <v>0</v>
      </c>
      <c r="V2090" s="21">
        <v>0</v>
      </c>
      <c r="W2090" s="4" t="s">
        <v>2276</v>
      </c>
      <c r="X2090" s="4" t="s">
        <v>2276</v>
      </c>
      <c r="Y2090" s="4" t="s">
        <v>2276</v>
      </c>
      <c r="Z2090" s="4" t="s">
        <v>2276</v>
      </c>
      <c r="AA2090" s="4" t="s">
        <v>5926</v>
      </c>
      <c r="AB2090" s="3"/>
    </row>
    <row r="2091" spans="1:28" ht="29">
      <c r="A2091" s="156" t="str">
        <f>'Reported burning'!A2091</f>
        <v>244a</v>
      </c>
      <c r="B2091" s="156" t="str">
        <f>'Reported burning'!B2091</f>
        <v>244a.1</v>
      </c>
      <c r="C2091" s="156" t="str">
        <f>'Reported burning'!C2091</f>
        <v>Human, deliberate</v>
      </c>
      <c r="D2091" s="156" t="str">
        <f>'Reported burning'!D2091</f>
        <v>Hunting</v>
      </c>
      <c r="E2091" s="156" t="str">
        <f>'Reported burning'!E2091</f>
        <v>Forestry, Traditional</v>
      </c>
      <c r="F2091" s="156" t="str">
        <f>'Reported burning'!F2091</f>
        <v>Shrubland (Mixed forest &amp; grassland)</v>
      </c>
      <c r="G2091" s="156" t="str">
        <f>'Reported burning'!G2091</f>
        <v>ND</v>
      </c>
      <c r="H2091" s="156" t="str">
        <f>'Reported burning'!H2091</f>
        <v>Presence</v>
      </c>
      <c r="I2091" s="5"/>
      <c r="J2091" s="4" t="s">
        <v>2276</v>
      </c>
      <c r="K2091" s="4" t="s">
        <v>2276</v>
      </c>
      <c r="L2091" s="4" t="s">
        <v>2276</v>
      </c>
      <c r="M2091" s="4" t="s">
        <v>2276</v>
      </c>
      <c r="N2091" s="4" t="s">
        <v>2276</v>
      </c>
      <c r="O2091" s="4" t="s">
        <v>2276</v>
      </c>
      <c r="P2091" s="4" t="s">
        <v>2276</v>
      </c>
      <c r="Q2091" s="4" t="s">
        <v>2276</v>
      </c>
      <c r="R2091" s="4" t="s">
        <v>2276</v>
      </c>
      <c r="S2091" s="4" t="s">
        <v>2276</v>
      </c>
      <c r="T2091" s="4" t="s">
        <v>2276</v>
      </c>
      <c r="U2091" s="4" t="s">
        <v>2276</v>
      </c>
      <c r="V2091" s="4" t="s">
        <v>2276</v>
      </c>
      <c r="W2091" s="4" t="s">
        <v>2276</v>
      </c>
      <c r="X2091" s="4" t="s">
        <v>2276</v>
      </c>
      <c r="Y2091" s="4" t="s">
        <v>2276</v>
      </c>
      <c r="Z2091" s="4" t="s">
        <v>2276</v>
      </c>
      <c r="AA2091" s="3"/>
      <c r="AB2091" s="3"/>
    </row>
    <row r="2092" spans="1:28" ht="29">
      <c r="A2092" s="156" t="str">
        <f>'Reported burning'!A2092</f>
        <v>244a</v>
      </c>
      <c r="B2092" s="156" t="str">
        <f>'Reported burning'!B2092</f>
        <v>244a.2</v>
      </c>
      <c r="C2092" s="156" t="str">
        <f>'Reported burning'!C2092</f>
        <v>Human, deliberate</v>
      </c>
      <c r="D2092" s="156" t="str">
        <f>'Reported burning'!D2092</f>
        <v>Accessibility</v>
      </c>
      <c r="E2092" s="156" t="str">
        <f>'Reported burning'!E2092</f>
        <v>Forestry, Traditional</v>
      </c>
      <c r="F2092" s="156" t="str">
        <f>'Reported burning'!F2092</f>
        <v>Shrubland (Mixed forest &amp; grassland)</v>
      </c>
      <c r="G2092" s="156" t="str">
        <f>'Reported burning'!G2092</f>
        <v>ND</v>
      </c>
      <c r="H2092" s="156" t="str">
        <f>'Reported burning'!H2092</f>
        <v>Presence</v>
      </c>
      <c r="I2092" s="5"/>
      <c r="J2092" s="4" t="s">
        <v>2276</v>
      </c>
      <c r="K2092" s="4" t="s">
        <v>2276</v>
      </c>
      <c r="L2092" s="4" t="s">
        <v>2276</v>
      </c>
      <c r="M2092" s="4" t="s">
        <v>2276</v>
      </c>
      <c r="N2092" s="4" t="s">
        <v>2276</v>
      </c>
      <c r="O2092" s="4" t="s">
        <v>2276</v>
      </c>
      <c r="P2092" s="4" t="s">
        <v>2276</v>
      </c>
      <c r="Q2092" s="4" t="s">
        <v>2276</v>
      </c>
      <c r="R2092" s="4" t="s">
        <v>2276</v>
      </c>
      <c r="S2092" s="4" t="s">
        <v>2276</v>
      </c>
      <c r="T2092" s="4" t="s">
        <v>2276</v>
      </c>
      <c r="U2092" s="4" t="s">
        <v>2276</v>
      </c>
      <c r="V2092" s="4" t="s">
        <v>2276</v>
      </c>
      <c r="W2092" s="4" t="s">
        <v>2276</v>
      </c>
      <c r="X2092" s="4" t="s">
        <v>2276</v>
      </c>
      <c r="Y2092" s="4" t="s">
        <v>2276</v>
      </c>
      <c r="Z2092" s="4" t="s">
        <v>2276</v>
      </c>
      <c r="AA2092" s="3"/>
      <c r="AB2092" s="3"/>
    </row>
    <row r="2093" spans="1:28" ht="29">
      <c r="A2093" s="156" t="str">
        <f>'Reported burning'!A2093</f>
        <v>244a</v>
      </c>
      <c r="B2093" s="156" t="str">
        <f>'Reported burning'!B2093</f>
        <v>244a.3</v>
      </c>
      <c r="C2093" s="156" t="str">
        <f>'Reported burning'!C2093</f>
        <v>Human, deliberate</v>
      </c>
      <c r="D2093" s="156" t="str">
        <f>'Reported burning'!D2093</f>
        <v>Pyrome management</v>
      </c>
      <c r="E2093" s="156" t="str">
        <f>'Reported burning'!E2093</f>
        <v>Forestry, Traditional</v>
      </c>
      <c r="F2093" s="156" t="str">
        <f>'Reported burning'!F2093</f>
        <v>Shrubland (Mixed forest &amp; grassland)</v>
      </c>
      <c r="G2093" s="156" t="str">
        <f>'Reported burning'!G2093</f>
        <v>ND</v>
      </c>
      <c r="H2093" s="156" t="str">
        <f>'Reported burning'!H2093</f>
        <v>Presence</v>
      </c>
      <c r="I2093" s="5"/>
      <c r="J2093" s="4" t="s">
        <v>2276</v>
      </c>
      <c r="K2093" s="4" t="s">
        <v>2276</v>
      </c>
      <c r="L2093" s="4" t="s">
        <v>2276</v>
      </c>
      <c r="M2093" s="4" t="s">
        <v>2276</v>
      </c>
      <c r="N2093" s="4" t="s">
        <v>2276</v>
      </c>
      <c r="O2093" s="4" t="s">
        <v>2276</v>
      </c>
      <c r="P2093" s="4" t="s">
        <v>2276</v>
      </c>
      <c r="Q2093" s="4" t="s">
        <v>2276</v>
      </c>
      <c r="R2093" s="4" t="s">
        <v>2276</v>
      </c>
      <c r="S2093" s="4" t="s">
        <v>2276</v>
      </c>
      <c r="T2093" s="4" t="s">
        <v>2276</v>
      </c>
      <c r="U2093" s="4" t="s">
        <v>2276</v>
      </c>
      <c r="V2093" s="4" t="s">
        <v>2276</v>
      </c>
      <c r="W2093" s="4" t="s">
        <v>2276</v>
      </c>
      <c r="X2093" s="4" t="s">
        <v>2276</v>
      </c>
      <c r="Y2093" s="4" t="s">
        <v>2276</v>
      </c>
      <c r="Z2093" s="4" t="s">
        <v>2276</v>
      </c>
      <c r="AA2093" s="3"/>
      <c r="AB2093" s="3"/>
    </row>
    <row r="2094" spans="1:28" ht="29">
      <c r="A2094" s="156" t="str">
        <f>'Reported burning'!A2094</f>
        <v>244a</v>
      </c>
      <c r="B2094" s="156" t="str">
        <f>'Reported burning'!B2094</f>
        <v>244a.4</v>
      </c>
      <c r="C2094" s="156" t="str">
        <f>'Reported burning'!C2094</f>
        <v>Human, deliberate</v>
      </c>
      <c r="D2094" s="156" t="str">
        <f>'Reported burning'!D2094</f>
        <v>Cultural &amp; Spiritual</v>
      </c>
      <c r="E2094" s="156" t="str">
        <f>'Reported burning'!E2094</f>
        <v>Forestry, Traditional</v>
      </c>
      <c r="F2094" s="156" t="str">
        <f>'Reported burning'!F2094</f>
        <v>Shrubland (Mixed forest &amp; grassland)</v>
      </c>
      <c r="G2094" s="156" t="str">
        <f>'Reported burning'!G2094</f>
        <v>ND</v>
      </c>
      <c r="H2094" s="156" t="str">
        <f>'Reported burning'!H2094</f>
        <v>Presence</v>
      </c>
      <c r="I2094" s="5"/>
      <c r="J2094" s="4" t="s">
        <v>2276</v>
      </c>
      <c r="K2094" s="4" t="s">
        <v>2276</v>
      </c>
      <c r="L2094" s="4" t="s">
        <v>2276</v>
      </c>
      <c r="M2094" s="4" t="s">
        <v>2276</v>
      </c>
      <c r="N2094" s="4" t="s">
        <v>2276</v>
      </c>
      <c r="O2094" s="4" t="s">
        <v>2276</v>
      </c>
      <c r="P2094" s="4" t="s">
        <v>2276</v>
      </c>
      <c r="Q2094" s="4" t="s">
        <v>2276</v>
      </c>
      <c r="R2094" s="4" t="s">
        <v>2276</v>
      </c>
      <c r="S2094" s="4" t="s">
        <v>2276</v>
      </c>
      <c r="T2094" s="4" t="s">
        <v>2276</v>
      </c>
      <c r="U2094" s="4" t="s">
        <v>2276</v>
      </c>
      <c r="V2094" s="4" t="s">
        <v>2276</v>
      </c>
      <c r="W2094" s="4" t="s">
        <v>2276</v>
      </c>
      <c r="X2094" s="4" t="s">
        <v>2276</v>
      </c>
      <c r="Y2094" s="4" t="s">
        <v>2276</v>
      </c>
      <c r="Z2094" s="4" t="s">
        <v>2276</v>
      </c>
      <c r="AA2094" s="3"/>
      <c r="AB2094" s="3"/>
    </row>
    <row r="2095" spans="1:28" ht="29">
      <c r="A2095" s="156" t="str">
        <f>'Reported burning'!A2095</f>
        <v>244a</v>
      </c>
      <c r="B2095" s="156" t="str">
        <f>'Reported burning'!B2095</f>
        <v>244a.5</v>
      </c>
      <c r="C2095" s="156" t="str">
        <f>'Reported burning'!C2095</f>
        <v>Human, deliberate</v>
      </c>
      <c r="D2095" s="156" t="str">
        <f>'Reported burning'!D2095</f>
        <v>Conservation</v>
      </c>
      <c r="E2095" s="156" t="str">
        <f>'Reported burning'!E2095</f>
        <v>Forestry, Traditional</v>
      </c>
      <c r="F2095" s="156" t="str">
        <f>'Reported burning'!F2095</f>
        <v>Shrubland (Mixed forest &amp; grassland)</v>
      </c>
      <c r="G2095" s="156" t="str">
        <f>'Reported burning'!G2095</f>
        <v>ND</v>
      </c>
      <c r="H2095" s="156" t="str">
        <f>'Reported burning'!H2095</f>
        <v>Presence</v>
      </c>
      <c r="I2095" s="5"/>
      <c r="J2095" s="4" t="s">
        <v>2276</v>
      </c>
      <c r="K2095" s="4" t="s">
        <v>2276</v>
      </c>
      <c r="L2095" s="4" t="s">
        <v>2276</v>
      </c>
      <c r="M2095" s="4" t="s">
        <v>2276</v>
      </c>
      <c r="N2095" s="4" t="s">
        <v>2276</v>
      </c>
      <c r="O2095" s="4" t="s">
        <v>2276</v>
      </c>
      <c r="P2095" s="4" t="s">
        <v>2276</v>
      </c>
      <c r="Q2095" s="4" t="s">
        <v>2276</v>
      </c>
      <c r="R2095" s="4" t="s">
        <v>2276</v>
      </c>
      <c r="S2095" s="4" t="s">
        <v>2276</v>
      </c>
      <c r="T2095" s="4" t="s">
        <v>2276</v>
      </c>
      <c r="U2095" s="4" t="s">
        <v>2276</v>
      </c>
      <c r="V2095" s="4" t="s">
        <v>2276</v>
      </c>
      <c r="W2095" s="4" t="s">
        <v>2276</v>
      </c>
      <c r="X2095" s="4" t="s">
        <v>2276</v>
      </c>
      <c r="Y2095" s="4" t="s">
        <v>2276</v>
      </c>
      <c r="Z2095" s="4" t="s">
        <v>2276</v>
      </c>
      <c r="AA2095" s="3"/>
      <c r="AB2095" s="3"/>
    </row>
    <row r="2096" spans="1:28" ht="29">
      <c r="A2096" s="156" t="str">
        <f>'Reported burning'!A2096</f>
        <v>244a</v>
      </c>
      <c r="B2096" s="156" t="str">
        <f>'Reported burning'!B2096</f>
        <v>244a.6</v>
      </c>
      <c r="C2096" s="156" t="str">
        <f>'Reported burning'!C2096</f>
        <v>Human, deliberate</v>
      </c>
      <c r="D2096" s="156" t="str">
        <f>'Reported burning'!D2096</f>
        <v>Arson</v>
      </c>
      <c r="E2096" s="156" t="str">
        <f>'Reported burning'!E2096</f>
        <v>Forestry, Traditional</v>
      </c>
      <c r="F2096" s="156" t="str">
        <f>'Reported burning'!F2096</f>
        <v>Shrubland (Mixed forest &amp; grassland)</v>
      </c>
      <c r="G2096" s="156" t="str">
        <f>'Reported burning'!G2096</f>
        <v>ND</v>
      </c>
      <c r="H2096" s="156" t="str">
        <f>'Reported burning'!H2096</f>
        <v>Presence</v>
      </c>
      <c r="I2096" s="5"/>
      <c r="J2096" s="4" t="s">
        <v>2276</v>
      </c>
      <c r="K2096" s="4" t="s">
        <v>2276</v>
      </c>
      <c r="L2096" s="4" t="s">
        <v>2276</v>
      </c>
      <c r="M2096" s="4" t="s">
        <v>2276</v>
      </c>
      <c r="N2096" s="4" t="s">
        <v>2276</v>
      </c>
      <c r="O2096" s="4" t="s">
        <v>2276</v>
      </c>
      <c r="P2096" s="4" t="s">
        <v>2276</v>
      </c>
      <c r="Q2096" s="4" t="s">
        <v>2276</v>
      </c>
      <c r="R2096" s="4" t="s">
        <v>2276</v>
      </c>
      <c r="S2096" s="4" t="s">
        <v>2276</v>
      </c>
      <c r="T2096" s="4" t="s">
        <v>2276</v>
      </c>
      <c r="U2096" s="4" t="s">
        <v>2276</v>
      </c>
      <c r="V2096" s="4" t="s">
        <v>2276</v>
      </c>
      <c r="W2096" s="4" t="s">
        <v>2276</v>
      </c>
      <c r="X2096" s="4" t="s">
        <v>2276</v>
      </c>
      <c r="Y2096" s="4" t="s">
        <v>2276</v>
      </c>
      <c r="Z2096" s="4" t="s">
        <v>2276</v>
      </c>
      <c r="AA2096" s="3"/>
      <c r="AB2096" s="3"/>
    </row>
    <row r="2097" spans="1:28" ht="29">
      <c r="A2097" s="156" t="str">
        <f>'Reported burning'!A2097</f>
        <v>244a</v>
      </c>
      <c r="B2097" s="156" t="str">
        <f>'Reported burning'!B2097</f>
        <v>244a.7</v>
      </c>
      <c r="C2097" s="156" t="str">
        <f>'Reported burning'!C2097</f>
        <v>Human, deliberate</v>
      </c>
      <c r="D2097" s="156" t="str">
        <f>'Reported burning'!D2097</f>
        <v>Crop field preparation</v>
      </c>
      <c r="E2097" s="156" t="str">
        <f>'Reported burning'!E2097</f>
        <v>Cropping, Swidden</v>
      </c>
      <c r="F2097" s="156" t="str">
        <f>'Reported burning'!F2097</f>
        <v>Shrubland (Mixed forest &amp; grassland)</v>
      </c>
      <c r="G2097" s="156" t="str">
        <f>'Reported burning'!G2097</f>
        <v>ND</v>
      </c>
      <c r="H2097" s="156" t="str">
        <f>'Reported burning'!H2097</f>
        <v>Presence</v>
      </c>
      <c r="I2097" s="5"/>
      <c r="J2097" s="4" t="s">
        <v>2276</v>
      </c>
      <c r="K2097" s="4" t="s">
        <v>2276</v>
      </c>
      <c r="L2097" s="4" t="s">
        <v>2276</v>
      </c>
      <c r="M2097" s="4" t="s">
        <v>2276</v>
      </c>
      <c r="N2097" s="4" t="s">
        <v>2276</v>
      </c>
      <c r="O2097" s="4" t="s">
        <v>2276</v>
      </c>
      <c r="P2097" s="4" t="s">
        <v>2276</v>
      </c>
      <c r="Q2097" s="4" t="s">
        <v>2276</v>
      </c>
      <c r="R2097" s="4" t="s">
        <v>2276</v>
      </c>
      <c r="S2097" s="4" t="s">
        <v>2276</v>
      </c>
      <c r="T2097" s="4" t="s">
        <v>2276</v>
      </c>
      <c r="U2097" s="4" t="s">
        <v>2276</v>
      </c>
      <c r="V2097" s="4" t="s">
        <v>2276</v>
      </c>
      <c r="W2097" s="4" t="s">
        <v>2276</v>
      </c>
      <c r="X2097" s="4" t="s">
        <v>2276</v>
      </c>
      <c r="Y2097" s="4" t="s">
        <v>2276</v>
      </c>
      <c r="Z2097" s="4" t="s">
        <v>2276</v>
      </c>
      <c r="AA2097" s="3"/>
      <c r="AB2097" s="3"/>
    </row>
    <row r="2098" spans="1:28" ht="38" customHeight="1">
      <c r="A2098" s="156" t="str">
        <f>'Reported burning'!A2098</f>
        <v>245a</v>
      </c>
      <c r="B2098" s="156" t="str">
        <f>'Reported burning'!B2098</f>
        <v>245a.1</v>
      </c>
      <c r="C2098" s="156" t="str">
        <f>'Reported burning'!C2098</f>
        <v>Human, deliberate</v>
      </c>
      <c r="D2098" s="156" t="str">
        <f>'Reported burning'!D2098</f>
        <v>Arson</v>
      </c>
      <c r="E2098" s="156" t="str">
        <f>'Reported burning'!E2098</f>
        <v>Cropping, Swidden</v>
      </c>
      <c r="F2098" s="156" t="str">
        <f>'Reported burning'!F2098</f>
        <v>Cropland</v>
      </c>
      <c r="G2098" s="156" t="str">
        <f>'Reported burning'!G2098</f>
        <v>ND</v>
      </c>
      <c r="H2098" s="156" t="str">
        <f>'Reported burning'!H2098</f>
        <v>Presence</v>
      </c>
      <c r="I2098" s="3">
        <v>2011</v>
      </c>
      <c r="J2098" s="4" t="s">
        <v>2276</v>
      </c>
      <c r="K2098" s="4" t="s">
        <v>2276</v>
      </c>
      <c r="L2098" s="4" t="s">
        <v>2276</v>
      </c>
      <c r="M2098" s="4" t="s">
        <v>2276</v>
      </c>
      <c r="N2098" s="4" t="s">
        <v>2276</v>
      </c>
      <c r="O2098" s="4" t="s">
        <v>2276</v>
      </c>
      <c r="P2098" s="4" t="s">
        <v>2276</v>
      </c>
      <c r="Q2098" s="4" t="s">
        <v>2276</v>
      </c>
      <c r="R2098" s="4" t="s">
        <v>2276</v>
      </c>
      <c r="S2098" s="4" t="s">
        <v>2276</v>
      </c>
      <c r="T2098" s="4" t="s">
        <v>2276</v>
      </c>
      <c r="U2098" s="4" t="s">
        <v>2276</v>
      </c>
      <c r="V2098" s="4" t="s">
        <v>2276</v>
      </c>
      <c r="W2098" s="4" t="s">
        <v>2276</v>
      </c>
      <c r="X2098" s="4" t="s">
        <v>2276</v>
      </c>
      <c r="Y2098" s="4" t="s">
        <v>2276</v>
      </c>
      <c r="Z2098" s="4" t="s">
        <v>2276</v>
      </c>
      <c r="AA2098" s="4" t="s">
        <v>5955</v>
      </c>
      <c r="AB2098" s="3"/>
    </row>
    <row r="2099" spans="1:28" ht="29">
      <c r="A2099" s="156" t="str">
        <f>'Reported burning'!A2099</f>
        <v>246a</v>
      </c>
      <c r="B2099" s="156" t="str">
        <f>'Reported burning'!B2099</f>
        <v>246a.1</v>
      </c>
      <c r="C2099" s="156" t="str">
        <f>'Reported burning'!C2099</f>
        <v>Human, deliberate</v>
      </c>
      <c r="D2099" s="156" t="str">
        <f>'Reported burning'!D2099</f>
        <v>Conservation</v>
      </c>
      <c r="E2099" s="156" t="str">
        <f>'Reported burning'!E2099</f>
        <v>Biodiversity conservation</v>
      </c>
      <c r="F2099" s="156" t="str">
        <f>'Reported burning'!F2099</f>
        <v>Forest</v>
      </c>
      <c r="G2099" s="156" t="str">
        <f>'Reported burning'!G2099</f>
        <v>ND</v>
      </c>
      <c r="H2099" s="156" t="str">
        <f>'Reported burning'!H2099</f>
        <v>Presence</v>
      </c>
      <c r="I2099" s="5"/>
      <c r="J2099" s="4" t="s">
        <v>2276</v>
      </c>
      <c r="K2099" s="4" t="s">
        <v>2276</v>
      </c>
      <c r="L2099" s="4" t="s">
        <v>2276</v>
      </c>
      <c r="M2099" s="4" t="s">
        <v>2276</v>
      </c>
      <c r="N2099" s="4" t="s">
        <v>2276</v>
      </c>
      <c r="O2099" s="4" t="s">
        <v>2276</v>
      </c>
      <c r="P2099" s="4" t="s">
        <v>2276</v>
      </c>
      <c r="Q2099" s="4" t="s">
        <v>2276</v>
      </c>
      <c r="R2099" s="4" t="s">
        <v>2276</v>
      </c>
      <c r="S2099" s="4" t="s">
        <v>2276</v>
      </c>
      <c r="T2099" s="4" t="s">
        <v>2276</v>
      </c>
      <c r="U2099" s="4" t="s">
        <v>2276</v>
      </c>
      <c r="V2099" s="4" t="s">
        <v>2276</v>
      </c>
      <c r="W2099" s="4" t="s">
        <v>2276</v>
      </c>
      <c r="X2099" s="4" t="s">
        <v>2276</v>
      </c>
      <c r="Y2099" s="4" t="s">
        <v>2276</v>
      </c>
      <c r="Z2099" s="4" t="s">
        <v>2276</v>
      </c>
      <c r="AA2099" s="4" t="s">
        <v>5962</v>
      </c>
      <c r="AB2099" s="3"/>
    </row>
    <row r="2100" spans="1:28" ht="29">
      <c r="A2100" s="156" t="str">
        <f>'Reported burning'!A2100</f>
        <v>246a</v>
      </c>
      <c r="B2100" s="156" t="str">
        <f>'Reported burning'!B2100</f>
        <v>246a.2</v>
      </c>
      <c r="C2100" s="156" t="str">
        <f>'Reported burning'!C2100</f>
        <v>Human, deliberate</v>
      </c>
      <c r="D2100" s="156" t="str">
        <f>'Reported burning'!D2100</f>
        <v>Conservation</v>
      </c>
      <c r="E2100" s="156" t="str">
        <f>'Reported burning'!E2100</f>
        <v>Forestry, Traditional</v>
      </c>
      <c r="F2100" s="156" t="str">
        <f>'Reported burning'!F2100</f>
        <v>Forest</v>
      </c>
      <c r="G2100" s="156" t="str">
        <f>'Reported burning'!G2100</f>
        <v>ND</v>
      </c>
      <c r="H2100" s="156" t="str">
        <f>'Reported burning'!H2100</f>
        <v>Presence</v>
      </c>
      <c r="I2100" s="5"/>
      <c r="J2100" s="4" t="s">
        <v>2276</v>
      </c>
      <c r="K2100" s="4" t="s">
        <v>2276</v>
      </c>
      <c r="L2100" s="4" t="s">
        <v>2276</v>
      </c>
      <c r="M2100" s="4" t="s">
        <v>2276</v>
      </c>
      <c r="N2100" s="4" t="s">
        <v>2276</v>
      </c>
      <c r="O2100" s="4" t="s">
        <v>2276</v>
      </c>
      <c r="P2100" s="4" t="s">
        <v>2276</v>
      </c>
      <c r="Q2100" s="4" t="s">
        <v>2276</v>
      </c>
      <c r="R2100" s="4" t="s">
        <v>2276</v>
      </c>
      <c r="S2100" s="4" t="s">
        <v>2276</v>
      </c>
      <c r="T2100" s="4" t="s">
        <v>2276</v>
      </c>
      <c r="U2100" s="4" t="s">
        <v>2276</v>
      </c>
      <c r="V2100" s="4" t="s">
        <v>2276</v>
      </c>
      <c r="W2100" s="4" t="s">
        <v>2276</v>
      </c>
      <c r="X2100" s="4" t="s">
        <v>2276</v>
      </c>
      <c r="Y2100" s="4" t="s">
        <v>2276</v>
      </c>
      <c r="Z2100" s="4" t="s">
        <v>2276</v>
      </c>
      <c r="AA2100" s="4" t="s">
        <v>5962</v>
      </c>
      <c r="AB2100" s="3"/>
    </row>
    <row r="2101" spans="1:28" ht="29">
      <c r="A2101" s="156" t="str">
        <f>'Reported burning'!A2101</f>
        <v>246a</v>
      </c>
      <c r="B2101" s="156" t="str">
        <f>'Reported burning'!B2101</f>
        <v>246a.3</v>
      </c>
      <c r="C2101" s="156" t="str">
        <f>'Reported burning'!C2101</f>
        <v>Human, deliberate</v>
      </c>
      <c r="D2101" s="156" t="str">
        <f>'Reported burning'!D2101</f>
        <v>Harvesting of NTFP</v>
      </c>
      <c r="E2101" s="156" t="str">
        <f>'Reported burning'!E2101</f>
        <v>Forestry, Traditional</v>
      </c>
      <c r="F2101" s="156" t="str">
        <f>'Reported burning'!F2101</f>
        <v>Forest</v>
      </c>
      <c r="G2101" s="156" t="str">
        <f>'Reported burning'!G2101</f>
        <v>ND</v>
      </c>
      <c r="H2101" s="156" t="str">
        <f>'Reported burning'!H2101</f>
        <v>Presence</v>
      </c>
      <c r="I2101" s="5"/>
      <c r="J2101" s="4" t="s">
        <v>2276</v>
      </c>
      <c r="K2101" s="4" t="s">
        <v>2276</v>
      </c>
      <c r="L2101" s="4" t="s">
        <v>2276</v>
      </c>
      <c r="M2101" s="4" t="s">
        <v>2276</v>
      </c>
      <c r="N2101" s="4" t="s">
        <v>2276</v>
      </c>
      <c r="O2101" s="4" t="s">
        <v>2276</v>
      </c>
      <c r="P2101" s="4" t="s">
        <v>2276</v>
      </c>
      <c r="Q2101" s="4" t="s">
        <v>2276</v>
      </c>
      <c r="R2101" s="4" t="s">
        <v>2276</v>
      </c>
      <c r="S2101" s="4" t="s">
        <v>2276</v>
      </c>
      <c r="T2101" s="4" t="s">
        <v>2276</v>
      </c>
      <c r="U2101" s="4" t="s">
        <v>2276</v>
      </c>
      <c r="V2101" s="4" t="s">
        <v>2276</v>
      </c>
      <c r="W2101" s="4" t="s">
        <v>2276</v>
      </c>
      <c r="X2101" s="4" t="s">
        <v>2276</v>
      </c>
      <c r="Y2101" s="4" t="s">
        <v>2276</v>
      </c>
      <c r="Z2101" s="4" t="s">
        <v>2276</v>
      </c>
      <c r="AA2101" s="4" t="s">
        <v>5962</v>
      </c>
      <c r="AB2101" s="3"/>
    </row>
    <row r="2102" spans="1:28" ht="89" customHeight="1">
      <c r="A2102" s="156" t="str">
        <f>'Reported burning'!A2102</f>
        <v>247a</v>
      </c>
      <c r="B2102" s="156" t="str">
        <f>'Reported burning'!B2102</f>
        <v>247a.1</v>
      </c>
      <c r="C2102" s="156" t="str">
        <f>'Reported burning'!C2102</f>
        <v>Human, deliberate</v>
      </c>
      <c r="D2102" s="156" t="str">
        <f>'Reported burning'!D2102</f>
        <v>Forest clearance</v>
      </c>
      <c r="E2102" s="156" t="str">
        <f>'Reported burning'!E2102</f>
        <v>Cropping, Intensive</v>
      </c>
      <c r="F2102" s="156" t="str">
        <f>'Reported burning'!F2102</f>
        <v>Forest</v>
      </c>
      <c r="G2102" s="156" t="str">
        <f>'Reported burning'!G2102</f>
        <v>ND</v>
      </c>
      <c r="H2102" s="156" t="str">
        <f>'Reported burning'!H2102</f>
        <v>Presence</v>
      </c>
      <c r="I2102" s="5"/>
      <c r="J2102" s="4" t="s">
        <v>2276</v>
      </c>
      <c r="K2102" s="4" t="s">
        <v>2276</v>
      </c>
      <c r="L2102" s="4" t="s">
        <v>2276</v>
      </c>
      <c r="M2102" s="4" t="s">
        <v>2276</v>
      </c>
      <c r="N2102" s="4" t="s">
        <v>2276</v>
      </c>
      <c r="O2102" s="21" t="s">
        <v>2378</v>
      </c>
      <c r="P2102" s="4" t="s">
        <v>2276</v>
      </c>
      <c r="Q2102" s="4" t="s">
        <v>2276</v>
      </c>
      <c r="R2102" s="4" t="s">
        <v>2276</v>
      </c>
      <c r="S2102" s="4" t="s">
        <v>2276</v>
      </c>
      <c r="T2102" s="4" t="s">
        <v>2276</v>
      </c>
      <c r="U2102" s="4" t="s">
        <v>2276</v>
      </c>
      <c r="V2102" s="4" t="s">
        <v>2276</v>
      </c>
      <c r="W2102" s="4" t="s">
        <v>2276</v>
      </c>
      <c r="X2102" s="4" t="s">
        <v>2276</v>
      </c>
      <c r="Y2102" s="4" t="s">
        <v>2276</v>
      </c>
      <c r="Z2102" s="4" t="s">
        <v>2276</v>
      </c>
      <c r="AA2102" s="4" t="s">
        <v>5979</v>
      </c>
      <c r="AB2102" s="4" t="s">
        <v>5978</v>
      </c>
    </row>
    <row r="2103" spans="1:28" ht="84.5" customHeight="1">
      <c r="A2103" s="156" t="str">
        <f>'Reported burning'!A2103</f>
        <v>247a</v>
      </c>
      <c r="B2103" s="156" t="str">
        <f>'Reported burning'!B2103</f>
        <v>247a.2</v>
      </c>
      <c r="C2103" s="156" t="str">
        <f>'Reported burning'!C2103</f>
        <v>Human, deliberate</v>
      </c>
      <c r="D2103" s="156" t="str">
        <f>'Reported burning'!D2103</f>
        <v>Forest clearance</v>
      </c>
      <c r="E2103" s="156" t="str">
        <f>'Reported burning'!E2103</f>
        <v>Cropping, Monoculture, Market-oriented</v>
      </c>
      <c r="F2103" s="156" t="str">
        <f>'Reported burning'!F2103</f>
        <v>Forest</v>
      </c>
      <c r="G2103" s="156" t="str">
        <f>'Reported burning'!G2103</f>
        <v>ND</v>
      </c>
      <c r="H2103" s="156" t="str">
        <f>'Reported burning'!H2103</f>
        <v>Presence</v>
      </c>
      <c r="I2103" s="5"/>
      <c r="J2103" s="4" t="s">
        <v>2276</v>
      </c>
      <c r="K2103" s="4" t="s">
        <v>2276</v>
      </c>
      <c r="L2103" s="4" t="s">
        <v>2276</v>
      </c>
      <c r="M2103" s="4" t="s">
        <v>2276</v>
      </c>
      <c r="N2103" s="4" t="s">
        <v>2276</v>
      </c>
      <c r="O2103" s="21" t="s">
        <v>2377</v>
      </c>
      <c r="P2103" s="4" t="s">
        <v>2276</v>
      </c>
      <c r="Q2103" s="4" t="s">
        <v>2276</v>
      </c>
      <c r="R2103" s="4" t="s">
        <v>2276</v>
      </c>
      <c r="S2103" s="4" t="s">
        <v>2276</v>
      </c>
      <c r="T2103" s="4" t="s">
        <v>2276</v>
      </c>
      <c r="U2103" s="4" t="s">
        <v>2276</v>
      </c>
      <c r="V2103" s="4" t="s">
        <v>2276</v>
      </c>
      <c r="W2103" s="4" t="s">
        <v>2276</v>
      </c>
      <c r="X2103" s="4" t="s">
        <v>2276</v>
      </c>
      <c r="Y2103" s="4" t="s">
        <v>2276</v>
      </c>
      <c r="Z2103" s="4" t="s">
        <v>2276</v>
      </c>
      <c r="AA2103" s="4" t="s">
        <v>5979</v>
      </c>
      <c r="AB2103" s="4" t="s">
        <v>5978</v>
      </c>
    </row>
    <row r="2104" spans="1:28" ht="52.5" customHeight="1">
      <c r="A2104" s="156" t="str">
        <f>'Reported burning'!A2104</f>
        <v>247a</v>
      </c>
      <c r="B2104" s="156" t="str">
        <f>'Reported burning'!B2104</f>
        <v>247a.3</v>
      </c>
      <c r="C2104" s="156" t="str">
        <f>'Reported burning'!C2104</f>
        <v>Human, deliberate</v>
      </c>
      <c r="D2104" s="156" t="str">
        <f>'Reported burning'!D2104</f>
        <v>Forest clearance</v>
      </c>
      <c r="E2104" s="156" t="str">
        <f>'Reported burning'!E2104</f>
        <v>Cropping, Swidden</v>
      </c>
      <c r="F2104" s="156" t="str">
        <f>'Reported burning'!F2104</f>
        <v>Forest</v>
      </c>
      <c r="G2104" s="156" t="str">
        <f>'Reported burning'!G2104</f>
        <v>ND</v>
      </c>
      <c r="H2104" s="156" t="str">
        <f>'Reported burning'!H2104</f>
        <v>Presence</v>
      </c>
      <c r="I2104" s="5"/>
      <c r="J2104" s="4" t="s">
        <v>2276</v>
      </c>
      <c r="K2104" s="4" t="s">
        <v>2276</v>
      </c>
      <c r="L2104" s="4" t="s">
        <v>2276</v>
      </c>
      <c r="M2104" s="4" t="s">
        <v>2276</v>
      </c>
      <c r="N2104" s="4" t="s">
        <v>2276</v>
      </c>
      <c r="O2104" s="21" t="s">
        <v>2375</v>
      </c>
      <c r="P2104" s="4" t="s">
        <v>2276</v>
      </c>
      <c r="Q2104" s="4" t="s">
        <v>2276</v>
      </c>
      <c r="R2104" s="4" t="s">
        <v>2276</v>
      </c>
      <c r="S2104" s="4" t="s">
        <v>2276</v>
      </c>
      <c r="T2104" s="4" t="s">
        <v>2276</v>
      </c>
      <c r="U2104" s="4" t="s">
        <v>2276</v>
      </c>
      <c r="V2104" s="4" t="s">
        <v>2276</v>
      </c>
      <c r="W2104" s="4" t="s">
        <v>2276</v>
      </c>
      <c r="X2104" s="4" t="s">
        <v>2276</v>
      </c>
      <c r="Y2104" s="4" t="s">
        <v>2276</v>
      </c>
      <c r="Z2104" s="4" t="s">
        <v>2276</v>
      </c>
      <c r="AA2104" s="3"/>
      <c r="AB2104" s="4" t="s">
        <v>5978</v>
      </c>
    </row>
    <row r="2105" spans="1:28" ht="34" customHeight="1">
      <c r="A2105" s="156" t="str">
        <f>'Reported burning'!A2105</f>
        <v>247a</v>
      </c>
      <c r="B2105" s="156" t="str">
        <f>'Reported burning'!B2105</f>
        <v>247a.4</v>
      </c>
      <c r="C2105" s="156" t="str">
        <f>'Reported burning'!C2105</f>
        <v>Human, deliberate</v>
      </c>
      <c r="D2105" s="156" t="str">
        <f>'Reported burning'!D2105</f>
        <v>Arson</v>
      </c>
      <c r="E2105" s="156" t="str">
        <f>'Reported burning'!E2105</f>
        <v>Cropping, Swidden</v>
      </c>
      <c r="F2105" s="156" t="str">
        <f>'Reported burning'!F2105</f>
        <v>Cropland</v>
      </c>
      <c r="G2105" s="156" t="str">
        <f>'Reported burning'!G2105</f>
        <v>ND</v>
      </c>
      <c r="H2105" s="156" t="str">
        <f>'Reported burning'!H2105</f>
        <v>Presence</v>
      </c>
      <c r="I2105" s="5"/>
      <c r="J2105" s="4" t="s">
        <v>2276</v>
      </c>
      <c r="K2105" s="4" t="s">
        <v>2276</v>
      </c>
      <c r="L2105" s="4" t="s">
        <v>2276</v>
      </c>
      <c r="M2105" s="4" t="s">
        <v>2276</v>
      </c>
      <c r="N2105" s="4" t="s">
        <v>2276</v>
      </c>
      <c r="O2105" s="4" t="s">
        <v>2276</v>
      </c>
      <c r="P2105" s="4" t="s">
        <v>2276</v>
      </c>
      <c r="Q2105" s="4" t="s">
        <v>2276</v>
      </c>
      <c r="R2105" s="4" t="s">
        <v>2276</v>
      </c>
      <c r="S2105" s="4" t="s">
        <v>2276</v>
      </c>
      <c r="T2105" s="4" t="s">
        <v>2276</v>
      </c>
      <c r="U2105" s="4" t="s">
        <v>2276</v>
      </c>
      <c r="V2105" s="4" t="s">
        <v>2276</v>
      </c>
      <c r="W2105" s="4" t="s">
        <v>2276</v>
      </c>
      <c r="X2105" s="4" t="s">
        <v>2276</v>
      </c>
      <c r="Y2105" s="4" t="s">
        <v>2276</v>
      </c>
      <c r="Z2105" s="4" t="s">
        <v>2276</v>
      </c>
      <c r="AA2105" s="3"/>
      <c r="AB2105" s="3"/>
    </row>
    <row r="2106" spans="1:28" ht="34" customHeight="1">
      <c r="A2106" s="156" t="str">
        <f>'Reported burning'!A2106</f>
        <v>247a</v>
      </c>
      <c r="B2106" s="156" t="str">
        <f>'Reported burning'!B2106</f>
        <v>247a.5</v>
      </c>
      <c r="C2106" s="156" t="str">
        <f>'Reported burning'!C2106</f>
        <v>Human, deliberate</v>
      </c>
      <c r="D2106" s="156" t="str">
        <f>'Reported burning'!D2106</f>
        <v>Arson</v>
      </c>
      <c r="E2106" s="156" t="str">
        <f>'Reported burning'!E2106</f>
        <v>Cropping, Monoculture, Market-oriented</v>
      </c>
      <c r="F2106" s="156" t="str">
        <f>'Reported burning'!F2106</f>
        <v>Cropland</v>
      </c>
      <c r="G2106" s="156" t="str">
        <f>'Reported burning'!G2106</f>
        <v>ND</v>
      </c>
      <c r="H2106" s="156" t="str">
        <f>'Reported burning'!H2106</f>
        <v>Presence</v>
      </c>
      <c r="I2106" s="5"/>
      <c r="J2106" s="4" t="s">
        <v>2276</v>
      </c>
      <c r="K2106" s="4" t="s">
        <v>2276</v>
      </c>
      <c r="L2106" s="4" t="s">
        <v>2276</v>
      </c>
      <c r="M2106" s="4" t="s">
        <v>2276</v>
      </c>
      <c r="N2106" s="4" t="s">
        <v>2276</v>
      </c>
      <c r="O2106" s="4" t="s">
        <v>2276</v>
      </c>
      <c r="P2106" s="4" t="s">
        <v>2276</v>
      </c>
      <c r="Q2106" s="4" t="s">
        <v>2276</v>
      </c>
      <c r="R2106" s="4" t="s">
        <v>2276</v>
      </c>
      <c r="S2106" s="4" t="s">
        <v>2276</v>
      </c>
      <c r="T2106" s="4" t="s">
        <v>2276</v>
      </c>
      <c r="U2106" s="4" t="s">
        <v>2276</v>
      </c>
      <c r="V2106" s="4" t="s">
        <v>2276</v>
      </c>
      <c r="W2106" s="4" t="s">
        <v>2276</v>
      </c>
      <c r="X2106" s="4" t="s">
        <v>2276</v>
      </c>
      <c r="Y2106" s="4" t="s">
        <v>2276</v>
      </c>
      <c r="Z2106" s="4" t="s">
        <v>2276</v>
      </c>
      <c r="AA2106" s="3"/>
      <c r="AB2106" s="3"/>
    </row>
    <row r="2107" spans="1:28" ht="71.5" customHeight="1">
      <c r="A2107" s="156" t="str">
        <f>'Reported burning'!A2107</f>
        <v>248a</v>
      </c>
      <c r="B2107" s="156" t="str">
        <f>'Reported burning'!B2107</f>
        <v>248a.1</v>
      </c>
      <c r="C2107" s="156" t="str">
        <f>'Reported burning'!C2107</f>
        <v>Human, deliberate</v>
      </c>
      <c r="D2107" s="156" t="str">
        <f>'Reported burning'!D2107</f>
        <v>Crop field preparation</v>
      </c>
      <c r="E2107" s="156" t="str">
        <f>'Reported burning'!E2107</f>
        <v>Cropping, Swidden</v>
      </c>
      <c r="F2107" s="156" t="str">
        <f>'Reported burning'!F2107</f>
        <v>Secondary vegetation</v>
      </c>
      <c r="G2107" s="156" t="str">
        <f>'Reported burning'!G2107</f>
        <v>ND</v>
      </c>
      <c r="H2107" s="156" t="str">
        <f>'Reported burning'!H2107</f>
        <v>Presence</v>
      </c>
      <c r="I2107" s="5"/>
      <c r="J2107" s="4" t="s">
        <v>2276</v>
      </c>
      <c r="K2107" s="4" t="s">
        <v>2276</v>
      </c>
      <c r="L2107" s="4" t="s">
        <v>2276</v>
      </c>
      <c r="M2107" s="4" t="s">
        <v>2276</v>
      </c>
      <c r="N2107" s="4" t="s">
        <v>2276</v>
      </c>
      <c r="O2107" s="4" t="s">
        <v>2276</v>
      </c>
      <c r="P2107" s="4" t="s">
        <v>2276</v>
      </c>
      <c r="Q2107" s="4" t="s">
        <v>2276</v>
      </c>
      <c r="R2107" s="4" t="s">
        <v>2276</v>
      </c>
      <c r="S2107" s="4" t="s">
        <v>2276</v>
      </c>
      <c r="T2107" s="4" t="s">
        <v>2276</v>
      </c>
      <c r="U2107" s="4" t="s">
        <v>2276</v>
      </c>
      <c r="V2107" s="4" t="s">
        <v>2276</v>
      </c>
      <c r="W2107" s="21" t="s">
        <v>2404</v>
      </c>
      <c r="X2107" s="3" t="s">
        <v>405</v>
      </c>
      <c r="Y2107" s="3" t="s">
        <v>405</v>
      </c>
      <c r="Z2107" s="3" t="s">
        <v>2655</v>
      </c>
      <c r="AA2107" s="4" t="s">
        <v>5990</v>
      </c>
      <c r="AB2107" s="4" t="s">
        <v>5989</v>
      </c>
    </row>
    <row r="2108" spans="1:28" ht="71.5" customHeight="1">
      <c r="A2108" s="156" t="str">
        <f>'Reported burning'!A2108</f>
        <v>248a</v>
      </c>
      <c r="B2108" s="156" t="str">
        <f>'Reported burning'!B2108</f>
        <v>248a.2</v>
      </c>
      <c r="C2108" s="156" t="str">
        <f>'Reported burning'!C2108</f>
        <v>Human, deliberate</v>
      </c>
      <c r="D2108" s="156" t="str">
        <f>'Reported burning'!D2108</f>
        <v>Crop field preparation</v>
      </c>
      <c r="E2108" s="156" t="str">
        <f>'Reported burning'!E2108</f>
        <v>Tourism manager</v>
      </c>
      <c r="F2108" s="156" t="str">
        <f>'Reported burning'!F2108</f>
        <v>Secondary vegetation</v>
      </c>
      <c r="G2108" s="156" t="str">
        <f>'Reported burning'!G2108</f>
        <v>ND</v>
      </c>
      <c r="H2108" s="156" t="str">
        <f>'Reported burning'!H2108</f>
        <v>Presence</v>
      </c>
      <c r="I2108" s="5"/>
      <c r="J2108" s="4" t="s">
        <v>2276</v>
      </c>
      <c r="K2108" s="4" t="s">
        <v>2276</v>
      </c>
      <c r="L2108" s="4" t="s">
        <v>2276</v>
      </c>
      <c r="M2108" s="4" t="s">
        <v>2276</v>
      </c>
      <c r="N2108" s="4" t="s">
        <v>2276</v>
      </c>
      <c r="O2108" s="4" t="s">
        <v>2276</v>
      </c>
      <c r="P2108" s="4" t="s">
        <v>2276</v>
      </c>
      <c r="Q2108" s="4" t="s">
        <v>2276</v>
      </c>
      <c r="R2108" s="4" t="s">
        <v>2276</v>
      </c>
      <c r="S2108" s="4" t="s">
        <v>2276</v>
      </c>
      <c r="T2108" s="4" t="s">
        <v>2276</v>
      </c>
      <c r="U2108" s="4" t="s">
        <v>2276</v>
      </c>
      <c r="V2108" s="4" t="s">
        <v>2276</v>
      </c>
      <c r="W2108" s="21" t="s">
        <v>2404</v>
      </c>
      <c r="X2108" s="3" t="s">
        <v>405</v>
      </c>
      <c r="Y2108" s="3" t="s">
        <v>405</v>
      </c>
      <c r="Z2108" s="3" t="s">
        <v>2655</v>
      </c>
      <c r="AA2108" s="4" t="s">
        <v>5991</v>
      </c>
      <c r="AB2108" s="4" t="s">
        <v>5989</v>
      </c>
    </row>
    <row r="2109" spans="1:28" ht="41" customHeight="1">
      <c r="A2109" s="156" t="str">
        <f>'Reported burning'!A2109</f>
        <v>249a</v>
      </c>
      <c r="B2109" s="156" t="str">
        <f>'Reported burning'!B2109</f>
        <v>249a.1</v>
      </c>
      <c r="C2109" s="156" t="str">
        <f>'Reported burning'!C2109</f>
        <v>Human, deliberate</v>
      </c>
      <c r="D2109" s="156" t="str">
        <f>'Reported burning'!D2109</f>
        <v>All</v>
      </c>
      <c r="E2109" s="156" t="str">
        <f>'Reported burning'!E2109</f>
        <v>Forestry, Traditional</v>
      </c>
      <c r="F2109" s="156" t="str">
        <f>'Reported burning'!F2109</f>
        <v>Shrubland (Mixed forest &amp; grassland)</v>
      </c>
      <c r="G2109" s="156" t="str">
        <f>'Reported burning'!G2109</f>
        <v>Shrubland (Mixed forest &amp; grassland)</v>
      </c>
      <c r="H2109" s="156" t="str">
        <f>'Reported burning'!H2109</f>
        <v>Presence</v>
      </c>
      <c r="I2109" s="5"/>
      <c r="J2109" s="21" t="s">
        <v>2368</v>
      </c>
      <c r="K2109" s="103" t="s">
        <v>2362</v>
      </c>
      <c r="L2109" s="4" t="s">
        <v>2276</v>
      </c>
      <c r="M2109" s="4" t="s">
        <v>2276</v>
      </c>
      <c r="N2109" s="4" t="s">
        <v>2276</v>
      </c>
      <c r="O2109" s="21" t="s">
        <v>2377</v>
      </c>
      <c r="P2109" s="4" t="s">
        <v>2276</v>
      </c>
      <c r="Q2109" s="4" t="s">
        <v>2276</v>
      </c>
      <c r="R2109" s="4" t="s">
        <v>2276</v>
      </c>
      <c r="S2109" s="4" t="s">
        <v>2276</v>
      </c>
      <c r="T2109" s="4" t="s">
        <v>2276</v>
      </c>
      <c r="U2109" s="4" t="s">
        <v>2276</v>
      </c>
      <c r="V2109" s="4" t="s">
        <v>2276</v>
      </c>
      <c r="W2109" s="4" t="s">
        <v>2276</v>
      </c>
      <c r="X2109" s="3" t="s">
        <v>35</v>
      </c>
      <c r="Y2109" s="3" t="s">
        <v>86</v>
      </c>
      <c r="Z2109" s="3" t="s">
        <v>2276</v>
      </c>
      <c r="AA2109" s="3"/>
      <c r="AB2109" s="3"/>
    </row>
    <row r="2110" spans="1:28" ht="41" customHeight="1">
      <c r="A2110" s="156" t="str">
        <f>'Reported burning'!A2110</f>
        <v>249a</v>
      </c>
      <c r="B2110" s="156" t="str">
        <f>'Reported burning'!B2110</f>
        <v>249a.2</v>
      </c>
      <c r="C2110" s="156" t="str">
        <f>'Reported burning'!C2110</f>
        <v>Human, deliberate</v>
      </c>
      <c r="D2110" s="156" t="str">
        <f>'Reported burning'!D2110</f>
        <v>All</v>
      </c>
      <c r="E2110" s="156" t="str">
        <f>'Reported burning'!E2110</f>
        <v>Forestry, Traditional</v>
      </c>
      <c r="F2110" s="156" t="str">
        <f>'Reported burning'!F2110</f>
        <v>Shrubland (Mixed forest &amp; grassland)</v>
      </c>
      <c r="G2110" s="156" t="str">
        <f>'Reported burning'!G2110</f>
        <v>Shrubland (Mixed forest &amp; grassland)</v>
      </c>
      <c r="H2110" s="156" t="str">
        <f>'Reported burning'!H2110</f>
        <v>Presence</v>
      </c>
      <c r="I2110" s="5"/>
      <c r="J2110" s="21" t="s">
        <v>2368</v>
      </c>
      <c r="K2110" s="103" t="s">
        <v>2362</v>
      </c>
      <c r="L2110" s="4" t="s">
        <v>2276</v>
      </c>
      <c r="M2110" s="4" t="s">
        <v>2276</v>
      </c>
      <c r="N2110" s="4" t="s">
        <v>2276</v>
      </c>
      <c r="O2110" s="21" t="s">
        <v>2377</v>
      </c>
      <c r="P2110" s="4" t="s">
        <v>2276</v>
      </c>
      <c r="Q2110" s="4" t="s">
        <v>2276</v>
      </c>
      <c r="R2110" s="4" t="s">
        <v>2276</v>
      </c>
      <c r="S2110" s="4" t="s">
        <v>2276</v>
      </c>
      <c r="T2110" s="4" t="s">
        <v>2276</v>
      </c>
      <c r="U2110" s="4" t="s">
        <v>2276</v>
      </c>
      <c r="V2110" s="4" t="s">
        <v>2276</v>
      </c>
      <c r="W2110" s="4" t="s">
        <v>2276</v>
      </c>
      <c r="X2110" s="3" t="s">
        <v>34</v>
      </c>
      <c r="Y2110" s="3" t="s">
        <v>68</v>
      </c>
      <c r="Z2110" s="3" t="s">
        <v>2276</v>
      </c>
      <c r="AA2110" s="3"/>
      <c r="AB2110" s="3"/>
    </row>
    <row r="2111" spans="1:28" ht="41" customHeight="1">
      <c r="A2111" s="156" t="str">
        <f>'Reported burning'!A2111</f>
        <v>249a</v>
      </c>
      <c r="B2111" s="156" t="str">
        <f>'Reported burning'!B2111</f>
        <v>249a.3</v>
      </c>
      <c r="C2111" s="156" t="str">
        <f>'Reported burning'!C2111</f>
        <v>Human, escaped</v>
      </c>
      <c r="D2111" s="156" t="str">
        <f>'Reported burning'!D2111</f>
        <v>All</v>
      </c>
      <c r="E2111" s="156" t="str">
        <f>'Reported burning'!E2111</f>
        <v>Forestry, Traditional</v>
      </c>
      <c r="F2111" s="156" t="str">
        <f>'Reported burning'!F2111</f>
        <v>Shrubland (Mixed forest &amp; grassland)</v>
      </c>
      <c r="G2111" s="156" t="str">
        <f>'Reported burning'!G2111</f>
        <v>Shrubland (Mixed forest &amp; grassland)</v>
      </c>
      <c r="H2111" s="156" t="str">
        <f>'Reported burning'!H2111</f>
        <v>Presence</v>
      </c>
      <c r="I2111" s="5"/>
      <c r="J2111" s="4" t="s">
        <v>2276</v>
      </c>
      <c r="K2111" s="4" t="s">
        <v>2276</v>
      </c>
      <c r="L2111" s="4" t="s">
        <v>2276</v>
      </c>
      <c r="M2111" s="4" t="s">
        <v>2276</v>
      </c>
      <c r="N2111" s="21" t="s">
        <v>2386</v>
      </c>
      <c r="O2111" s="4" t="s">
        <v>2276</v>
      </c>
      <c r="P2111" s="4" t="s">
        <v>2276</v>
      </c>
      <c r="Q2111" s="4" t="s">
        <v>2276</v>
      </c>
      <c r="R2111" s="4" t="s">
        <v>2276</v>
      </c>
      <c r="S2111" s="4" t="s">
        <v>2276</v>
      </c>
      <c r="T2111" s="4" t="s">
        <v>2276</v>
      </c>
      <c r="U2111" s="4" t="s">
        <v>2276</v>
      </c>
      <c r="V2111" s="4" t="s">
        <v>2276</v>
      </c>
      <c r="W2111" s="4" t="s">
        <v>2276</v>
      </c>
      <c r="X2111" s="3" t="s">
        <v>2276</v>
      </c>
      <c r="Y2111" s="3" t="s">
        <v>2276</v>
      </c>
      <c r="Z2111" s="3" t="s">
        <v>2276</v>
      </c>
      <c r="AA2111" s="3"/>
      <c r="AB2111" s="3"/>
    </row>
    <row r="2112" spans="1:28" ht="43.5" customHeight="1">
      <c r="A2112" s="156" t="str">
        <f>'Reported burning'!A2112</f>
        <v>249b</v>
      </c>
      <c r="B2112" s="156" t="str">
        <f>'Reported burning'!B2112</f>
        <v>249b.1</v>
      </c>
      <c r="C2112" s="156" t="str">
        <f>'Reported burning'!C2112</f>
        <v>Lightning</v>
      </c>
      <c r="D2112" s="156" t="str">
        <f>'Reported burning'!D2112</f>
        <v>ND</v>
      </c>
      <c r="E2112" s="156" t="str">
        <f>'Reported burning'!E2112</f>
        <v>ND</v>
      </c>
      <c r="F2112" s="156" t="str">
        <f>'Reported burning'!F2112</f>
        <v>ND</v>
      </c>
      <c r="G2112" s="156" t="str">
        <f>'Reported burning'!G2112</f>
        <v>Shrubland (Mixed forest &amp; grassland)</v>
      </c>
      <c r="H2112" s="156" t="str">
        <f>'Reported burning'!H2112</f>
        <v>Presence</v>
      </c>
      <c r="I2112" s="5"/>
      <c r="J2112" s="21" t="s">
        <v>2366</v>
      </c>
      <c r="K2112" s="4" t="s">
        <v>2276</v>
      </c>
      <c r="L2112" s="103" t="s">
        <v>2362</v>
      </c>
      <c r="M2112" s="4" t="s">
        <v>2276</v>
      </c>
      <c r="N2112" s="21" t="s">
        <v>2386</v>
      </c>
      <c r="O2112" s="4" t="s">
        <v>2276</v>
      </c>
      <c r="P2112" s="4" t="s">
        <v>2276</v>
      </c>
      <c r="Q2112" s="4" t="s">
        <v>2276</v>
      </c>
      <c r="R2112" s="4" t="s">
        <v>2276</v>
      </c>
      <c r="S2112" s="4" t="s">
        <v>2276</v>
      </c>
      <c r="T2112" s="4" t="s">
        <v>2276</v>
      </c>
      <c r="U2112" s="4" t="s">
        <v>2276</v>
      </c>
      <c r="V2112" s="4" t="s">
        <v>2276</v>
      </c>
      <c r="W2112" s="4" t="s">
        <v>2276</v>
      </c>
      <c r="X2112" s="3" t="s">
        <v>35</v>
      </c>
      <c r="Y2112" s="3" t="s">
        <v>86</v>
      </c>
      <c r="Z2112" s="3" t="s">
        <v>2276</v>
      </c>
      <c r="AA2112" s="3"/>
      <c r="AB2112" s="3"/>
    </row>
    <row r="2113" spans="1:28" ht="40.5" customHeight="1">
      <c r="A2113" s="156" t="str">
        <f>'Reported burning'!A2113</f>
        <v>249b</v>
      </c>
      <c r="B2113" s="156" t="str">
        <f>'Reported burning'!B2113</f>
        <v>249b.2</v>
      </c>
      <c r="C2113" s="156" t="str">
        <f>'Reported burning'!C2113</f>
        <v>Lightning</v>
      </c>
      <c r="D2113" s="156" t="str">
        <f>'Reported burning'!D2113</f>
        <v>ND</v>
      </c>
      <c r="E2113" s="156" t="str">
        <f>'Reported burning'!E2113</f>
        <v>ND</v>
      </c>
      <c r="F2113" s="156" t="str">
        <f>'Reported burning'!F2113</f>
        <v>ND</v>
      </c>
      <c r="G2113" s="156" t="str">
        <f>'Reported burning'!G2113</f>
        <v>Shrubland (Mixed forest &amp; grassland)</v>
      </c>
      <c r="H2113" s="156" t="str">
        <f>'Reported burning'!H2113</f>
        <v>Presence</v>
      </c>
      <c r="I2113" s="5"/>
      <c r="J2113" s="21" t="s">
        <v>2366</v>
      </c>
      <c r="K2113" s="4" t="s">
        <v>2276</v>
      </c>
      <c r="L2113" s="103" t="s">
        <v>2362</v>
      </c>
      <c r="M2113" s="4" t="s">
        <v>2276</v>
      </c>
      <c r="N2113" s="21" t="s">
        <v>2386</v>
      </c>
      <c r="O2113" s="4" t="s">
        <v>2276</v>
      </c>
      <c r="P2113" s="4" t="s">
        <v>2276</v>
      </c>
      <c r="Q2113" s="4" t="s">
        <v>2276</v>
      </c>
      <c r="R2113" s="4" t="s">
        <v>2276</v>
      </c>
      <c r="S2113" s="4" t="s">
        <v>2276</v>
      </c>
      <c r="T2113" s="4" t="s">
        <v>2276</v>
      </c>
      <c r="U2113" s="4" t="s">
        <v>2276</v>
      </c>
      <c r="V2113" s="4" t="s">
        <v>2276</v>
      </c>
      <c r="W2113" s="4" t="s">
        <v>2276</v>
      </c>
      <c r="X2113" s="3" t="s">
        <v>34</v>
      </c>
      <c r="Y2113" s="3" t="s">
        <v>68</v>
      </c>
      <c r="Z2113" s="3" t="s">
        <v>2276</v>
      </c>
      <c r="AA2113" s="3"/>
      <c r="AB2113" s="3"/>
    </row>
    <row r="2114" spans="1:28" ht="36.5" customHeight="1">
      <c r="A2114" s="156" t="str">
        <f>'Reported burning'!A2114</f>
        <v>249a</v>
      </c>
      <c r="B2114" s="156" t="str">
        <f>'Reported burning'!B2114</f>
        <v>249a.4</v>
      </c>
      <c r="C2114" s="156" t="str">
        <f>'Reported burning'!C2114</f>
        <v>Human, deliberate</v>
      </c>
      <c r="D2114" s="156" t="str">
        <f>'Reported burning'!D2114</f>
        <v>Harvesting of NTFP</v>
      </c>
      <c r="E2114" s="156" t="str">
        <f>'Reported burning'!E2114</f>
        <v>Forestry, Traditional</v>
      </c>
      <c r="F2114" s="156" t="str">
        <f>'Reported burning'!F2114</f>
        <v>Shrubland (Mixed forest &amp; grassland)</v>
      </c>
      <c r="G2114" s="156" t="str">
        <f>'Reported burning'!G2114</f>
        <v>Shrubland (Mixed forest &amp; grassland)</v>
      </c>
      <c r="H2114" s="156" t="str">
        <f>'Reported burning'!H2114</f>
        <v>Presence</v>
      </c>
      <c r="I2114" s="5"/>
      <c r="J2114" s="4" t="s">
        <v>2276</v>
      </c>
      <c r="K2114" s="4" t="s">
        <v>2276</v>
      </c>
      <c r="L2114" s="4" t="s">
        <v>2276</v>
      </c>
      <c r="M2114" s="4" t="s">
        <v>2276</v>
      </c>
      <c r="N2114" s="4" t="s">
        <v>2276</v>
      </c>
      <c r="O2114" s="4" t="s">
        <v>2276</v>
      </c>
      <c r="P2114" s="4" t="s">
        <v>2276</v>
      </c>
      <c r="Q2114" s="4" t="s">
        <v>2276</v>
      </c>
      <c r="R2114" s="4" t="s">
        <v>2276</v>
      </c>
      <c r="S2114" s="4" t="s">
        <v>2276</v>
      </c>
      <c r="T2114" s="4" t="s">
        <v>2276</v>
      </c>
      <c r="U2114" s="4" t="s">
        <v>2276</v>
      </c>
      <c r="V2114" s="4" t="s">
        <v>2276</v>
      </c>
      <c r="W2114" s="4" t="s">
        <v>2276</v>
      </c>
      <c r="X2114" s="3" t="s">
        <v>38</v>
      </c>
      <c r="Y2114" s="3" t="s">
        <v>425</v>
      </c>
      <c r="Z2114" s="3" t="s">
        <v>2276</v>
      </c>
      <c r="AA2114" s="3"/>
      <c r="AB2114" s="3"/>
    </row>
    <row r="2115" spans="1:28" ht="36.5" customHeight="1">
      <c r="A2115" s="156" t="str">
        <f>'Reported burning'!A2115</f>
        <v>249a</v>
      </c>
      <c r="B2115" s="156" t="str">
        <f>'Reported burning'!B2115</f>
        <v>249a.5</v>
      </c>
      <c r="C2115" s="156" t="str">
        <f>'Reported burning'!C2115</f>
        <v>Human, deliberate</v>
      </c>
      <c r="D2115" s="156" t="str">
        <f>'Reported burning'!D2115</f>
        <v>Hunting</v>
      </c>
      <c r="E2115" s="156" t="str">
        <f>'Reported burning'!E2115</f>
        <v>Forestry, Traditional</v>
      </c>
      <c r="F2115" s="156" t="str">
        <f>'Reported burning'!F2115</f>
        <v>Shrubland (Mixed forest &amp; grassland)</v>
      </c>
      <c r="G2115" s="156" t="str">
        <f>'Reported burning'!G2115</f>
        <v>Shrubland (Mixed forest &amp; grassland)</v>
      </c>
      <c r="H2115" s="156" t="str">
        <f>'Reported burning'!H2115</f>
        <v>Presence</v>
      </c>
      <c r="I2115" s="5"/>
      <c r="J2115" s="4" t="s">
        <v>2276</v>
      </c>
      <c r="K2115" s="4" t="s">
        <v>2276</v>
      </c>
      <c r="L2115" s="4" t="s">
        <v>2276</v>
      </c>
      <c r="M2115" s="4" t="s">
        <v>2276</v>
      </c>
      <c r="N2115" s="4" t="s">
        <v>2276</v>
      </c>
      <c r="O2115" s="4" t="s">
        <v>2276</v>
      </c>
      <c r="P2115" s="4" t="s">
        <v>2276</v>
      </c>
      <c r="Q2115" s="4" t="s">
        <v>2276</v>
      </c>
      <c r="R2115" s="4" t="s">
        <v>2276</v>
      </c>
      <c r="S2115" s="4" t="s">
        <v>2276</v>
      </c>
      <c r="T2115" s="4" t="s">
        <v>2276</v>
      </c>
      <c r="U2115" s="4" t="s">
        <v>2276</v>
      </c>
      <c r="V2115" s="4" t="s">
        <v>2276</v>
      </c>
      <c r="W2115" s="4" t="s">
        <v>2276</v>
      </c>
      <c r="X2115" s="3" t="s">
        <v>38</v>
      </c>
      <c r="Y2115" s="3" t="s">
        <v>425</v>
      </c>
      <c r="Z2115" s="3" t="s">
        <v>2276</v>
      </c>
      <c r="AA2115" s="3"/>
      <c r="AB2115" s="3"/>
    </row>
    <row r="2116" spans="1:28" ht="31.5" customHeight="1">
      <c r="A2116" s="156" t="str">
        <f>'Reported burning'!A2116</f>
        <v>250a</v>
      </c>
      <c r="B2116" s="156" t="str">
        <f>'Reported burning'!B2116</f>
        <v>250a.1</v>
      </c>
      <c r="C2116" s="156" t="str">
        <f>'Reported burning'!C2116</f>
        <v>Human, deliberate</v>
      </c>
      <c r="D2116" s="156" t="str">
        <f>'Reported burning'!D2116</f>
        <v>Crop field preparation</v>
      </c>
      <c r="E2116" s="156" t="str">
        <f>'Reported burning'!E2116</f>
        <v>Cropping, Swidden</v>
      </c>
      <c r="F2116" s="156" t="str">
        <f>'Reported burning'!F2116</f>
        <v>Secondary vegetation</v>
      </c>
      <c r="G2116" s="156" t="str">
        <f>'Reported burning'!G2116</f>
        <v>ND</v>
      </c>
      <c r="H2116" s="156" t="str">
        <f>'Reported burning'!H2116</f>
        <v>Presence</v>
      </c>
      <c r="I2116" s="5"/>
      <c r="J2116" s="3" t="s">
        <v>2276</v>
      </c>
      <c r="K2116" s="3" t="s">
        <v>2276</v>
      </c>
      <c r="L2116" s="3" t="s">
        <v>2276</v>
      </c>
      <c r="M2116" s="3" t="s">
        <v>2276</v>
      </c>
      <c r="N2116" s="3" t="s">
        <v>2276</v>
      </c>
      <c r="O2116" s="3" t="s">
        <v>2276</v>
      </c>
      <c r="P2116" s="3" t="s">
        <v>2276</v>
      </c>
      <c r="Q2116" s="3" t="s">
        <v>2276</v>
      </c>
      <c r="R2116" s="3" t="s">
        <v>2276</v>
      </c>
      <c r="S2116" s="3" t="s">
        <v>2276</v>
      </c>
      <c r="T2116" s="3" t="s">
        <v>2276</v>
      </c>
      <c r="U2116" s="3" t="s">
        <v>2276</v>
      </c>
      <c r="V2116" s="3" t="s">
        <v>2276</v>
      </c>
      <c r="W2116" s="3" t="s">
        <v>2276</v>
      </c>
      <c r="X2116" s="3" t="s">
        <v>2276</v>
      </c>
      <c r="Y2116" s="3" t="s">
        <v>2276</v>
      </c>
      <c r="Z2116" s="3" t="s">
        <v>2276</v>
      </c>
      <c r="AA2116" s="3"/>
      <c r="AB2116" s="3"/>
    </row>
    <row r="2117" spans="1:28" ht="31.5" customHeight="1">
      <c r="A2117" s="156" t="str">
        <f>'Reported burning'!A2117</f>
        <v>250a</v>
      </c>
      <c r="B2117" s="156" t="str">
        <f>'Reported burning'!B2117</f>
        <v>250a.2</v>
      </c>
      <c r="C2117" s="156" t="str">
        <f>'Reported burning'!C2117</f>
        <v>Human, deliberate</v>
      </c>
      <c r="D2117" s="156" t="str">
        <f>'Reported burning'!D2117</f>
        <v>Pasture renewal</v>
      </c>
      <c r="E2117" s="156" t="str">
        <f>'Reported burning'!E2117</f>
        <v>Cattle, Extensive</v>
      </c>
      <c r="F2117" s="156" t="str">
        <f>'Reported burning'!F2117</f>
        <v>Shrubland (Mixed forest &amp; grassland)</v>
      </c>
      <c r="G2117" s="156" t="str">
        <f>'Reported burning'!G2117</f>
        <v>ND</v>
      </c>
      <c r="H2117" s="156" t="str">
        <f>'Reported burning'!H2117</f>
        <v>Presence</v>
      </c>
      <c r="I2117" s="5"/>
      <c r="J2117" s="3" t="s">
        <v>2276</v>
      </c>
      <c r="K2117" s="3" t="s">
        <v>2276</v>
      </c>
      <c r="L2117" s="3" t="s">
        <v>2276</v>
      </c>
      <c r="M2117" s="3" t="s">
        <v>2276</v>
      </c>
      <c r="N2117" s="3" t="s">
        <v>2276</v>
      </c>
      <c r="O2117" s="3" t="s">
        <v>2276</v>
      </c>
      <c r="P2117" s="3" t="s">
        <v>2276</v>
      </c>
      <c r="Q2117" s="3" t="s">
        <v>2276</v>
      </c>
      <c r="R2117" s="3" t="s">
        <v>2276</v>
      </c>
      <c r="S2117" s="3" t="s">
        <v>2276</v>
      </c>
      <c r="T2117" s="3" t="s">
        <v>2276</v>
      </c>
      <c r="U2117" s="3" t="s">
        <v>2276</v>
      </c>
      <c r="V2117" s="3" t="s">
        <v>2276</v>
      </c>
      <c r="W2117" s="21" t="s">
        <v>2401</v>
      </c>
      <c r="X2117" s="3" t="s">
        <v>2276</v>
      </c>
      <c r="Y2117" s="3" t="s">
        <v>2276</v>
      </c>
      <c r="Z2117" s="3" t="s">
        <v>2276</v>
      </c>
      <c r="AA2117" s="3"/>
      <c r="AB2117" s="3" t="s">
        <v>6016</v>
      </c>
    </row>
    <row r="2118" spans="1:28" ht="31.5" customHeight="1">
      <c r="A2118" s="156" t="str">
        <f>'Reported burning'!A2118</f>
        <v>250a</v>
      </c>
      <c r="B2118" s="156" t="str">
        <f>'Reported burning'!B2118</f>
        <v>250a.3</v>
      </c>
      <c r="C2118" s="156" t="str">
        <f>'Reported burning'!C2118</f>
        <v>Human, deliberate</v>
      </c>
      <c r="D2118" s="156" t="str">
        <f>'Reported burning'!D2118</f>
        <v>Pasture renewal</v>
      </c>
      <c r="E2118" s="156" t="str">
        <f>'Reported burning'!E2118</f>
        <v>Cattle, Extensive</v>
      </c>
      <c r="F2118" s="156" t="str">
        <f>'Reported burning'!F2118</f>
        <v>Pasture</v>
      </c>
      <c r="G2118" s="156" t="str">
        <f>'Reported burning'!G2118</f>
        <v>ND</v>
      </c>
      <c r="H2118" s="156" t="str">
        <f>'Reported burning'!H2118</f>
        <v>Presence</v>
      </c>
      <c r="I2118" s="5"/>
      <c r="J2118" s="3" t="s">
        <v>2276</v>
      </c>
      <c r="K2118" s="3" t="s">
        <v>2276</v>
      </c>
      <c r="L2118" s="3" t="s">
        <v>2276</v>
      </c>
      <c r="M2118" s="3" t="s">
        <v>2276</v>
      </c>
      <c r="N2118" s="3" t="s">
        <v>2276</v>
      </c>
      <c r="O2118" s="3" t="s">
        <v>2276</v>
      </c>
      <c r="P2118" s="3" t="s">
        <v>2276</v>
      </c>
      <c r="Q2118" s="3" t="s">
        <v>2276</v>
      </c>
      <c r="R2118" s="3" t="s">
        <v>2276</v>
      </c>
      <c r="S2118" s="3" t="s">
        <v>2276</v>
      </c>
      <c r="T2118" s="3" t="s">
        <v>2276</v>
      </c>
      <c r="U2118" s="3" t="s">
        <v>2276</v>
      </c>
      <c r="V2118" s="3" t="s">
        <v>2276</v>
      </c>
      <c r="W2118" s="21" t="s">
        <v>2401</v>
      </c>
      <c r="X2118" s="3" t="s">
        <v>2276</v>
      </c>
      <c r="Y2118" s="3" t="s">
        <v>2276</v>
      </c>
      <c r="Z2118" s="3" t="s">
        <v>2276</v>
      </c>
      <c r="AA2118" s="3"/>
      <c r="AB2118" s="3" t="s">
        <v>6016</v>
      </c>
    </row>
    <row r="2119" spans="1:28" ht="48" customHeight="1">
      <c r="A2119" s="156" t="str">
        <f>'Reported burning'!A2119</f>
        <v>251a</v>
      </c>
      <c r="B2119" s="156" t="str">
        <f>'Reported burning'!B2119</f>
        <v>251a.1</v>
      </c>
      <c r="C2119" s="156" t="str">
        <f>'Reported burning'!C2119</f>
        <v>Human, deliberate</v>
      </c>
      <c r="D2119" s="156" t="str">
        <f>'Reported burning'!D2119</f>
        <v>Harvesting of NTFP</v>
      </c>
      <c r="E2119" s="156" t="str">
        <f>'Reported burning'!E2119</f>
        <v>Forestry, Traditional</v>
      </c>
      <c r="F2119" s="156" t="str">
        <f>'Reported burning'!F2119</f>
        <v>Forest</v>
      </c>
      <c r="G2119" s="156" t="str">
        <f>'Reported burning'!G2119</f>
        <v>ND</v>
      </c>
      <c r="H2119" s="156" t="str">
        <f>'Reported burning'!H2119</f>
        <v>Presence</v>
      </c>
      <c r="I2119" s="5"/>
      <c r="J2119" s="3" t="s">
        <v>2276</v>
      </c>
      <c r="K2119" s="3" t="s">
        <v>2276</v>
      </c>
      <c r="L2119" s="3" t="s">
        <v>2276</v>
      </c>
      <c r="M2119" s="3" t="s">
        <v>2276</v>
      </c>
      <c r="N2119" s="3" t="s">
        <v>2276</v>
      </c>
      <c r="O2119" s="3" t="s">
        <v>2276</v>
      </c>
      <c r="P2119" s="3" t="s">
        <v>2276</v>
      </c>
      <c r="Q2119" s="3" t="s">
        <v>2276</v>
      </c>
      <c r="R2119" s="3" t="s">
        <v>2276</v>
      </c>
      <c r="S2119" s="3" t="s">
        <v>2276</v>
      </c>
      <c r="T2119" s="3" t="s">
        <v>2276</v>
      </c>
      <c r="U2119" s="3" t="s">
        <v>2276</v>
      </c>
      <c r="V2119" s="3" t="s">
        <v>2276</v>
      </c>
      <c r="W2119" s="3" t="s">
        <v>2276</v>
      </c>
      <c r="X2119" s="3" t="s">
        <v>2276</v>
      </c>
      <c r="Y2119" s="3" t="s">
        <v>2276</v>
      </c>
      <c r="Z2119" s="3" t="s">
        <v>2276</v>
      </c>
      <c r="AA2119" s="4" t="s">
        <v>6029</v>
      </c>
      <c r="AB2119" s="3"/>
    </row>
    <row r="2120" spans="1:28" ht="48" customHeight="1">
      <c r="A2120" s="156" t="str">
        <f>'Reported burning'!A2120</f>
        <v>251a</v>
      </c>
      <c r="B2120" s="156" t="str">
        <f>'Reported burning'!B2120</f>
        <v>251a.2</v>
      </c>
      <c r="C2120" s="156" t="str">
        <f>'Reported burning'!C2120</f>
        <v>Human, deliberate</v>
      </c>
      <c r="D2120" s="156" t="str">
        <f>'Reported burning'!D2120</f>
        <v>Conservation</v>
      </c>
      <c r="E2120" s="156" t="str">
        <f>'Reported burning'!E2120</f>
        <v>Forestry, Traditional</v>
      </c>
      <c r="F2120" s="156" t="str">
        <f>'Reported burning'!F2120</f>
        <v>Forest</v>
      </c>
      <c r="G2120" s="156" t="str">
        <f>'Reported burning'!G2120</f>
        <v>ND</v>
      </c>
      <c r="H2120" s="156" t="str">
        <f>'Reported burning'!H2120</f>
        <v>Presence</v>
      </c>
      <c r="I2120" s="5"/>
      <c r="J2120" s="3" t="s">
        <v>2276</v>
      </c>
      <c r="K2120" s="3" t="s">
        <v>2276</v>
      </c>
      <c r="L2120" s="3" t="s">
        <v>2276</v>
      </c>
      <c r="M2120" s="3" t="s">
        <v>2276</v>
      </c>
      <c r="N2120" s="3" t="s">
        <v>2276</v>
      </c>
      <c r="O2120" s="3" t="s">
        <v>2276</v>
      </c>
      <c r="P2120" s="3" t="s">
        <v>2276</v>
      </c>
      <c r="Q2120" s="3" t="s">
        <v>2276</v>
      </c>
      <c r="R2120" s="3" t="s">
        <v>2276</v>
      </c>
      <c r="S2120" s="3" t="s">
        <v>2276</v>
      </c>
      <c r="T2120" s="3" t="s">
        <v>2276</v>
      </c>
      <c r="U2120" s="3" t="s">
        <v>2276</v>
      </c>
      <c r="V2120" s="3" t="s">
        <v>2276</v>
      </c>
      <c r="W2120" s="3" t="s">
        <v>2276</v>
      </c>
      <c r="X2120" s="3" t="s">
        <v>2276</v>
      </c>
      <c r="Y2120" s="3" t="s">
        <v>2276</v>
      </c>
      <c r="Z2120" s="3" t="s">
        <v>2276</v>
      </c>
      <c r="AA2120" s="4" t="s">
        <v>6029</v>
      </c>
      <c r="AB2120" s="3"/>
    </row>
    <row r="2121" spans="1:28" ht="48" customHeight="1">
      <c r="A2121" s="156" t="str">
        <f>'Reported burning'!A2121</f>
        <v>251a</v>
      </c>
      <c r="B2121" s="156" t="str">
        <f>'Reported burning'!B2121</f>
        <v>251a.3</v>
      </c>
      <c r="C2121" s="156" t="str">
        <f>'Reported burning'!C2121</f>
        <v>Human, deliberate</v>
      </c>
      <c r="D2121" s="156" t="str">
        <f>'Reported burning'!D2121</f>
        <v>Cultural &amp; Spiritual</v>
      </c>
      <c r="E2121" s="156" t="str">
        <f>'Reported burning'!E2121</f>
        <v>Forestry, Traditional</v>
      </c>
      <c r="F2121" s="156" t="str">
        <f>'Reported burning'!F2121</f>
        <v>Forest</v>
      </c>
      <c r="G2121" s="156" t="str">
        <f>'Reported burning'!G2121</f>
        <v>ND</v>
      </c>
      <c r="H2121" s="156" t="str">
        <f>'Reported burning'!H2121</f>
        <v>Presence</v>
      </c>
      <c r="I2121" s="5"/>
      <c r="J2121" s="3" t="s">
        <v>2276</v>
      </c>
      <c r="K2121" s="3" t="s">
        <v>2276</v>
      </c>
      <c r="L2121" s="3" t="s">
        <v>2276</v>
      </c>
      <c r="M2121" s="3" t="s">
        <v>2276</v>
      </c>
      <c r="N2121" s="3" t="s">
        <v>2276</v>
      </c>
      <c r="O2121" s="3" t="s">
        <v>2276</v>
      </c>
      <c r="P2121" s="3" t="s">
        <v>2276</v>
      </c>
      <c r="Q2121" s="3" t="s">
        <v>2276</v>
      </c>
      <c r="R2121" s="3" t="s">
        <v>2276</v>
      </c>
      <c r="S2121" s="3" t="s">
        <v>2276</v>
      </c>
      <c r="T2121" s="3" t="s">
        <v>2276</v>
      </c>
      <c r="U2121" s="3" t="s">
        <v>2276</v>
      </c>
      <c r="V2121" s="3" t="s">
        <v>2276</v>
      </c>
      <c r="W2121" s="3" t="s">
        <v>2276</v>
      </c>
      <c r="X2121" s="3" t="s">
        <v>2276</v>
      </c>
      <c r="Y2121" s="3" t="s">
        <v>2276</v>
      </c>
      <c r="Z2121" s="3" t="s">
        <v>2276</v>
      </c>
      <c r="AA2121" s="4" t="s">
        <v>6029</v>
      </c>
      <c r="AB2121" s="3"/>
    </row>
    <row r="2122" spans="1:28" ht="48" customHeight="1">
      <c r="A2122" s="156" t="str">
        <f>'Reported burning'!A2122</f>
        <v>251a</v>
      </c>
      <c r="B2122" s="156" t="str">
        <f>'Reported burning'!B2122</f>
        <v>251a.4</v>
      </c>
      <c r="C2122" s="156" t="str">
        <f>'Reported burning'!C2122</f>
        <v>Human, deliberate</v>
      </c>
      <c r="D2122" s="156" t="str">
        <f>'Reported burning'!D2122</f>
        <v>Conservation</v>
      </c>
      <c r="E2122" s="156" t="str">
        <f>'Reported burning'!E2122</f>
        <v>Biodiversity conservation</v>
      </c>
      <c r="F2122" s="156" t="str">
        <f>'Reported burning'!F2122</f>
        <v>Forest</v>
      </c>
      <c r="G2122" s="156" t="str">
        <f>'Reported burning'!G2122</f>
        <v>ND</v>
      </c>
      <c r="H2122" s="156" t="str">
        <f>'Reported burning'!H2122</f>
        <v>Presence</v>
      </c>
      <c r="I2122" s="5"/>
      <c r="J2122" s="3" t="s">
        <v>2276</v>
      </c>
      <c r="K2122" s="3" t="s">
        <v>2276</v>
      </c>
      <c r="L2122" s="3" t="s">
        <v>2276</v>
      </c>
      <c r="M2122" s="3" t="s">
        <v>2276</v>
      </c>
      <c r="N2122" s="3" t="s">
        <v>2276</v>
      </c>
      <c r="O2122" s="3" t="s">
        <v>2276</v>
      </c>
      <c r="P2122" s="3" t="s">
        <v>2276</v>
      </c>
      <c r="Q2122" s="3" t="s">
        <v>2276</v>
      </c>
      <c r="R2122" s="3" t="s">
        <v>2276</v>
      </c>
      <c r="S2122" s="3" t="s">
        <v>2276</v>
      </c>
      <c r="T2122" s="3" t="s">
        <v>2276</v>
      </c>
      <c r="U2122" s="3" t="s">
        <v>2276</v>
      </c>
      <c r="V2122" s="3" t="s">
        <v>2276</v>
      </c>
      <c r="W2122" s="3" t="s">
        <v>2276</v>
      </c>
      <c r="X2122" s="3" t="s">
        <v>2276</v>
      </c>
      <c r="Y2122" s="3" t="s">
        <v>2276</v>
      </c>
      <c r="Z2122" s="3" t="s">
        <v>2276</v>
      </c>
      <c r="AA2122" s="4" t="s">
        <v>6029</v>
      </c>
      <c r="AB2122" s="3"/>
    </row>
    <row r="2123" spans="1:28" ht="49" customHeight="1">
      <c r="A2123" s="156" t="str">
        <f>'Reported burning'!A2123</f>
        <v>251a</v>
      </c>
      <c r="B2123" s="156" t="str">
        <f>'Reported burning'!B2123</f>
        <v>251a.5</v>
      </c>
      <c r="C2123" s="156" t="str">
        <f>'Reported burning'!C2123</f>
        <v>Human, deliberate</v>
      </c>
      <c r="D2123" s="156" t="str">
        <f>'Reported burning'!D2123</f>
        <v>Harvesting of NTFP</v>
      </c>
      <c r="E2123" s="156" t="str">
        <f>'Reported burning'!E2123</f>
        <v>Forestry, Traditional</v>
      </c>
      <c r="F2123" s="156" t="str">
        <f>'Reported burning'!F2123</f>
        <v>Forest</v>
      </c>
      <c r="G2123" s="156" t="str">
        <f>'Reported burning'!G2123</f>
        <v>ND</v>
      </c>
      <c r="H2123" s="156" t="str">
        <f>'Reported burning'!H2123</f>
        <v>Absence</v>
      </c>
      <c r="I2123" s="5"/>
      <c r="J2123" s="21">
        <v>0</v>
      </c>
      <c r="K2123" s="21">
        <v>0</v>
      </c>
      <c r="L2123" s="21">
        <v>0</v>
      </c>
      <c r="M2123" s="21">
        <v>0</v>
      </c>
      <c r="N2123" s="21">
        <v>0</v>
      </c>
      <c r="O2123" s="21">
        <v>0</v>
      </c>
      <c r="P2123" s="21">
        <v>0</v>
      </c>
      <c r="Q2123" s="21">
        <v>0</v>
      </c>
      <c r="R2123" s="21">
        <v>0</v>
      </c>
      <c r="S2123" s="21">
        <v>0</v>
      </c>
      <c r="T2123" s="21">
        <v>0</v>
      </c>
      <c r="U2123" s="21">
        <v>0</v>
      </c>
      <c r="V2123" s="21">
        <v>0</v>
      </c>
      <c r="W2123" s="3" t="s">
        <v>2276</v>
      </c>
      <c r="X2123" s="3" t="s">
        <v>2276</v>
      </c>
      <c r="Y2123" s="3" t="s">
        <v>2276</v>
      </c>
      <c r="Z2123" s="3" t="s">
        <v>2276</v>
      </c>
      <c r="AA2123" s="4" t="s">
        <v>6030</v>
      </c>
      <c r="AB2123" s="3"/>
    </row>
    <row r="2124" spans="1:28" ht="49" customHeight="1">
      <c r="A2124" s="156" t="str">
        <f>'Reported burning'!A2124</f>
        <v>251a</v>
      </c>
      <c r="B2124" s="156" t="str">
        <f>'Reported burning'!B2124</f>
        <v>251a.6</v>
      </c>
      <c r="C2124" s="156" t="str">
        <f>'Reported burning'!C2124</f>
        <v>Human, deliberate</v>
      </c>
      <c r="D2124" s="156" t="str">
        <f>'Reported burning'!D2124</f>
        <v>Conservation</v>
      </c>
      <c r="E2124" s="156" t="str">
        <f>'Reported burning'!E2124</f>
        <v>Forestry, Traditional</v>
      </c>
      <c r="F2124" s="156" t="str">
        <f>'Reported burning'!F2124</f>
        <v>Forest</v>
      </c>
      <c r="G2124" s="156" t="str">
        <f>'Reported burning'!G2124</f>
        <v>ND</v>
      </c>
      <c r="H2124" s="156" t="str">
        <f>'Reported burning'!H2124</f>
        <v>Absence</v>
      </c>
      <c r="I2124" s="5"/>
      <c r="J2124" s="21">
        <v>0</v>
      </c>
      <c r="K2124" s="21">
        <v>0</v>
      </c>
      <c r="L2124" s="21">
        <v>0</v>
      </c>
      <c r="M2124" s="21">
        <v>0</v>
      </c>
      <c r="N2124" s="21">
        <v>0</v>
      </c>
      <c r="O2124" s="21">
        <v>0</v>
      </c>
      <c r="P2124" s="21">
        <v>0</v>
      </c>
      <c r="Q2124" s="21">
        <v>0</v>
      </c>
      <c r="R2124" s="21">
        <v>0</v>
      </c>
      <c r="S2124" s="21">
        <v>0</v>
      </c>
      <c r="T2124" s="21">
        <v>0</v>
      </c>
      <c r="U2124" s="21">
        <v>0</v>
      </c>
      <c r="V2124" s="21">
        <v>0</v>
      </c>
      <c r="W2124" s="3" t="s">
        <v>2276</v>
      </c>
      <c r="X2124" s="3" t="s">
        <v>2276</v>
      </c>
      <c r="Y2124" s="3" t="s">
        <v>2276</v>
      </c>
      <c r="Z2124" s="3" t="s">
        <v>2276</v>
      </c>
      <c r="AA2124" s="4" t="s">
        <v>6030</v>
      </c>
      <c r="AB2124" s="3"/>
    </row>
    <row r="2125" spans="1:28" ht="49" customHeight="1">
      <c r="A2125" s="156" t="str">
        <f>'Reported burning'!A2125</f>
        <v>251a</v>
      </c>
      <c r="B2125" s="156" t="str">
        <f>'Reported burning'!B2125</f>
        <v>251a.7</v>
      </c>
      <c r="C2125" s="156" t="str">
        <f>'Reported burning'!C2125</f>
        <v>Human, deliberate</v>
      </c>
      <c r="D2125" s="156" t="str">
        <f>'Reported burning'!D2125</f>
        <v>Cultural &amp; Spiritual</v>
      </c>
      <c r="E2125" s="156" t="str">
        <f>'Reported burning'!E2125</f>
        <v>Forestry, Traditional</v>
      </c>
      <c r="F2125" s="156" t="str">
        <f>'Reported burning'!F2125</f>
        <v>Forest</v>
      </c>
      <c r="G2125" s="156" t="str">
        <f>'Reported burning'!G2125</f>
        <v>ND</v>
      </c>
      <c r="H2125" s="156" t="str">
        <f>'Reported burning'!H2125</f>
        <v>Absence</v>
      </c>
      <c r="I2125" s="5"/>
      <c r="J2125" s="21">
        <v>0</v>
      </c>
      <c r="K2125" s="21">
        <v>0</v>
      </c>
      <c r="L2125" s="21">
        <v>0</v>
      </c>
      <c r="M2125" s="21">
        <v>0</v>
      </c>
      <c r="N2125" s="21">
        <v>0</v>
      </c>
      <c r="O2125" s="21">
        <v>0</v>
      </c>
      <c r="P2125" s="21">
        <v>0</v>
      </c>
      <c r="Q2125" s="21">
        <v>0</v>
      </c>
      <c r="R2125" s="21">
        <v>0</v>
      </c>
      <c r="S2125" s="21">
        <v>0</v>
      </c>
      <c r="T2125" s="21">
        <v>0</v>
      </c>
      <c r="U2125" s="21">
        <v>0</v>
      </c>
      <c r="V2125" s="21">
        <v>0</v>
      </c>
      <c r="W2125" s="3" t="s">
        <v>2276</v>
      </c>
      <c r="X2125" s="3" t="s">
        <v>2276</v>
      </c>
      <c r="Y2125" s="3" t="s">
        <v>2276</v>
      </c>
      <c r="Z2125" s="3" t="s">
        <v>2276</v>
      </c>
      <c r="AA2125" s="4" t="s">
        <v>6030</v>
      </c>
      <c r="AB2125" s="3"/>
    </row>
    <row r="2126" spans="1:28" ht="49" customHeight="1">
      <c r="A2126" s="156" t="str">
        <f>'Reported burning'!A2126</f>
        <v>251a</v>
      </c>
      <c r="B2126" s="156" t="str">
        <f>'Reported burning'!B2126</f>
        <v>251a.8</v>
      </c>
      <c r="C2126" s="156" t="str">
        <f>'Reported burning'!C2126</f>
        <v>Human, deliberate</v>
      </c>
      <c r="D2126" s="156" t="str">
        <f>'Reported burning'!D2126</f>
        <v>Conservation</v>
      </c>
      <c r="E2126" s="156" t="str">
        <f>'Reported burning'!E2126</f>
        <v>Biodiversity conservation</v>
      </c>
      <c r="F2126" s="156" t="str">
        <f>'Reported burning'!F2126</f>
        <v>Forest</v>
      </c>
      <c r="G2126" s="156" t="str">
        <f>'Reported burning'!G2126</f>
        <v>ND</v>
      </c>
      <c r="H2126" s="156" t="str">
        <f>'Reported burning'!H2126</f>
        <v>Absence</v>
      </c>
      <c r="I2126" s="5"/>
      <c r="J2126" s="21">
        <v>0</v>
      </c>
      <c r="K2126" s="21">
        <v>0</v>
      </c>
      <c r="L2126" s="21">
        <v>0</v>
      </c>
      <c r="M2126" s="21">
        <v>0</v>
      </c>
      <c r="N2126" s="21">
        <v>0</v>
      </c>
      <c r="O2126" s="21">
        <v>0</v>
      </c>
      <c r="P2126" s="21">
        <v>0</v>
      </c>
      <c r="Q2126" s="21">
        <v>0</v>
      </c>
      <c r="R2126" s="21">
        <v>0</v>
      </c>
      <c r="S2126" s="21">
        <v>0</v>
      </c>
      <c r="T2126" s="21">
        <v>0</v>
      </c>
      <c r="U2126" s="21">
        <v>0</v>
      </c>
      <c r="V2126" s="21">
        <v>0</v>
      </c>
      <c r="W2126" s="3" t="s">
        <v>2276</v>
      </c>
      <c r="X2126" s="3" t="s">
        <v>2276</v>
      </c>
      <c r="Y2126" s="3" t="s">
        <v>2276</v>
      </c>
      <c r="Z2126" s="3" t="s">
        <v>2276</v>
      </c>
      <c r="AA2126" s="4" t="s">
        <v>6030</v>
      </c>
      <c r="AB2126" s="3"/>
    </row>
    <row r="2127" spans="1:28" ht="34.5" customHeight="1">
      <c r="A2127" s="156" t="str">
        <f>'Reported burning'!A2127</f>
        <v>252a</v>
      </c>
      <c r="B2127" s="156" t="str">
        <f>'Reported burning'!B2127</f>
        <v>252a.1</v>
      </c>
      <c r="C2127" s="156" t="str">
        <f>'Reported burning'!C2127</f>
        <v>Human, deliberate</v>
      </c>
      <c r="D2127" s="156" t="str">
        <f>'Reported burning'!D2127</f>
        <v>Conservation</v>
      </c>
      <c r="E2127" s="156" t="str">
        <f>'Reported burning'!E2127</f>
        <v>Biodiversity conservation</v>
      </c>
      <c r="F2127" s="156" t="str">
        <f>'Reported burning'!F2127</f>
        <v>Grassland</v>
      </c>
      <c r="G2127" s="156" t="str">
        <f>'Reported burning'!G2127</f>
        <v>ND</v>
      </c>
      <c r="H2127" s="156" t="str">
        <f>'Reported burning'!H2127</f>
        <v>Presence</v>
      </c>
      <c r="I2127" s="5"/>
      <c r="J2127" s="3" t="s">
        <v>2276</v>
      </c>
      <c r="K2127" s="3" t="s">
        <v>2276</v>
      </c>
      <c r="L2127" s="3" t="s">
        <v>2276</v>
      </c>
      <c r="M2127" s="3" t="s">
        <v>2276</v>
      </c>
      <c r="N2127" s="3" t="s">
        <v>2276</v>
      </c>
      <c r="O2127" s="3" t="s">
        <v>2276</v>
      </c>
      <c r="P2127" s="3" t="s">
        <v>2276</v>
      </c>
      <c r="Q2127" s="3" t="s">
        <v>2276</v>
      </c>
      <c r="R2127" s="3" t="s">
        <v>2276</v>
      </c>
      <c r="S2127" s="3" t="s">
        <v>2276</v>
      </c>
      <c r="T2127" s="3" t="s">
        <v>2276</v>
      </c>
      <c r="U2127" s="3" t="s">
        <v>2276</v>
      </c>
      <c r="V2127" s="3" t="s">
        <v>2276</v>
      </c>
      <c r="W2127" s="3" t="s">
        <v>2276</v>
      </c>
      <c r="X2127" s="3" t="s">
        <v>2276</v>
      </c>
      <c r="Y2127" s="3" t="s">
        <v>2276</v>
      </c>
      <c r="Z2127" s="3" t="s">
        <v>2276</v>
      </c>
      <c r="AA2127" s="3"/>
      <c r="AB2127" s="3"/>
    </row>
    <row r="2128" spans="1:28" ht="34.5" customHeight="1">
      <c r="A2128" s="156" t="str">
        <f>'Reported burning'!A2128</f>
        <v>252a</v>
      </c>
      <c r="B2128" s="156" t="str">
        <f>'Reported burning'!B2128</f>
        <v>252a.2</v>
      </c>
      <c r="C2128" s="156" t="str">
        <f>'Reported burning'!C2128</f>
        <v>Human, deliberate</v>
      </c>
      <c r="D2128" s="156" t="str">
        <f>'Reported burning'!D2128</f>
        <v>Pasture renewal</v>
      </c>
      <c r="E2128" s="156" t="str">
        <f>'Reported burning'!E2128</f>
        <v>Cattle, Extensive</v>
      </c>
      <c r="F2128" s="156" t="str">
        <f>'Reported burning'!F2128</f>
        <v>Grassland</v>
      </c>
      <c r="G2128" s="156" t="str">
        <f>'Reported burning'!G2128</f>
        <v>ND</v>
      </c>
      <c r="H2128" s="156" t="str">
        <f>'Reported burning'!H2128</f>
        <v>Presence</v>
      </c>
      <c r="I2128" s="5"/>
      <c r="J2128" s="3" t="s">
        <v>2276</v>
      </c>
      <c r="K2128" s="3" t="s">
        <v>2276</v>
      </c>
      <c r="L2128" s="3" t="s">
        <v>2276</v>
      </c>
      <c r="M2128" s="3" t="s">
        <v>2276</v>
      </c>
      <c r="N2128" s="3" t="s">
        <v>2276</v>
      </c>
      <c r="O2128" s="3" t="s">
        <v>2276</v>
      </c>
      <c r="P2128" s="3" t="s">
        <v>2276</v>
      </c>
      <c r="Q2128" s="3" t="s">
        <v>2276</v>
      </c>
      <c r="R2128" s="3" t="s">
        <v>2276</v>
      </c>
      <c r="S2128" s="3" t="s">
        <v>2276</v>
      </c>
      <c r="T2128" s="3" t="s">
        <v>2276</v>
      </c>
      <c r="U2128" s="3" t="s">
        <v>2276</v>
      </c>
      <c r="V2128" s="3" t="s">
        <v>2276</v>
      </c>
      <c r="W2128" s="3" t="s">
        <v>2276</v>
      </c>
      <c r="X2128" s="3" t="s">
        <v>2276</v>
      </c>
      <c r="Y2128" s="3" t="s">
        <v>2276</v>
      </c>
      <c r="Z2128" s="3" t="s">
        <v>2276</v>
      </c>
      <c r="AA2128" s="4"/>
      <c r="AB2128" s="3"/>
    </row>
    <row r="2129" spans="1:29" ht="34.5" customHeight="1">
      <c r="A2129" s="156" t="str">
        <f>'Reported burning'!A2129</f>
        <v>252a</v>
      </c>
      <c r="B2129" s="156" t="str">
        <f>'Reported burning'!B2129</f>
        <v>252a.3</v>
      </c>
      <c r="C2129" s="156" t="str">
        <f>'Reported burning'!C2129</f>
        <v>Human, deliberate</v>
      </c>
      <c r="D2129" s="156" t="str">
        <f>'Reported burning'!D2129</f>
        <v>All</v>
      </c>
      <c r="E2129" s="156" t="str">
        <f>'Reported burning'!E2129</f>
        <v>Abandoned agricultural land</v>
      </c>
      <c r="F2129" s="156" t="str">
        <f>'Reported burning'!F2129</f>
        <v>Grassland</v>
      </c>
      <c r="G2129" s="156" t="str">
        <f>'Reported burning'!G2129</f>
        <v>ND</v>
      </c>
      <c r="H2129" s="156" t="str">
        <f>'Reported burning'!H2129</f>
        <v>Absence</v>
      </c>
      <c r="I2129" s="5"/>
      <c r="J2129" s="21">
        <v>0</v>
      </c>
      <c r="K2129" s="21">
        <v>0</v>
      </c>
      <c r="L2129" s="21">
        <v>0</v>
      </c>
      <c r="M2129" s="21">
        <v>0</v>
      </c>
      <c r="N2129" s="21">
        <v>0</v>
      </c>
      <c r="O2129" s="21">
        <v>0</v>
      </c>
      <c r="P2129" s="21">
        <v>0</v>
      </c>
      <c r="Q2129" s="21">
        <v>0</v>
      </c>
      <c r="R2129" s="21">
        <v>0</v>
      </c>
      <c r="S2129" s="21">
        <v>0</v>
      </c>
      <c r="T2129" s="21">
        <v>0</v>
      </c>
      <c r="U2129" s="21">
        <v>0</v>
      </c>
      <c r="V2129" s="21">
        <v>0</v>
      </c>
      <c r="W2129" s="3" t="s">
        <v>2276</v>
      </c>
      <c r="X2129" s="3" t="s">
        <v>2276</v>
      </c>
      <c r="Y2129" s="3" t="s">
        <v>2276</v>
      </c>
      <c r="Z2129" s="3" t="s">
        <v>2276</v>
      </c>
      <c r="AA2129" s="4"/>
      <c r="AB2129" s="3"/>
    </row>
    <row r="2130" spans="1:29" ht="48" customHeight="1">
      <c r="A2130" s="156" t="str">
        <f>'Reported burning'!A2130</f>
        <v>253a</v>
      </c>
      <c r="B2130" s="156" t="str">
        <f>'Reported burning'!B2130</f>
        <v>253a.1</v>
      </c>
      <c r="C2130" s="156" t="str">
        <f>'Reported burning'!C2130</f>
        <v>Human, deliberate</v>
      </c>
      <c r="D2130" s="156" t="str">
        <f>'Reported burning'!D2130</f>
        <v>Pasture renewal</v>
      </c>
      <c r="E2130" s="156" t="str">
        <f>'Reported burning'!E2130</f>
        <v>Pastoralism, Migratory</v>
      </c>
      <c r="F2130" s="156" t="str">
        <f>'Reported burning'!F2130</f>
        <v>Grassland</v>
      </c>
      <c r="G2130" s="156" t="str">
        <f>'Reported burning'!G2130</f>
        <v>ND</v>
      </c>
      <c r="H2130" s="156" t="str">
        <f>'Reported burning'!H2130</f>
        <v>Presence</v>
      </c>
      <c r="I2130" s="5"/>
      <c r="J2130" s="3" t="s">
        <v>2276</v>
      </c>
      <c r="K2130" s="3" t="s">
        <v>2276</v>
      </c>
      <c r="L2130" s="3" t="s">
        <v>2276</v>
      </c>
      <c r="M2130" s="3" t="s">
        <v>2276</v>
      </c>
      <c r="N2130" s="3" t="s">
        <v>2276</v>
      </c>
      <c r="O2130" s="3" t="s">
        <v>2276</v>
      </c>
      <c r="P2130" s="3" t="s">
        <v>2276</v>
      </c>
      <c r="Q2130" s="3" t="s">
        <v>2276</v>
      </c>
      <c r="R2130" s="3" t="s">
        <v>2276</v>
      </c>
      <c r="S2130" s="3" t="s">
        <v>2276</v>
      </c>
      <c r="T2130" s="3" t="s">
        <v>2276</v>
      </c>
      <c r="U2130" s="3" t="s">
        <v>2276</v>
      </c>
      <c r="V2130" s="3" t="s">
        <v>2276</v>
      </c>
      <c r="W2130" s="3" t="s">
        <v>2276</v>
      </c>
      <c r="X2130" s="3" t="s">
        <v>2276</v>
      </c>
      <c r="Y2130" s="3" t="s">
        <v>2276</v>
      </c>
      <c r="Z2130" s="3" t="s">
        <v>2276</v>
      </c>
      <c r="AA2130" s="4" t="s">
        <v>6047</v>
      </c>
      <c r="AB2130" s="3"/>
    </row>
    <row r="2131" spans="1:29" ht="48" customHeight="1">
      <c r="A2131" s="156" t="str">
        <f>'Reported burning'!A2131</f>
        <v>253a</v>
      </c>
      <c r="B2131" s="156" t="str">
        <f>'Reported burning'!B2131</f>
        <v>253a.2</v>
      </c>
      <c r="C2131" s="156" t="str">
        <f>'Reported burning'!C2131</f>
        <v>Human, deliberate</v>
      </c>
      <c r="D2131" s="156" t="str">
        <f>'Reported burning'!D2131</f>
        <v>Pasture renewal</v>
      </c>
      <c r="E2131" s="156" t="str">
        <f>'Reported burning'!E2131</f>
        <v>Mixed cropping-livestock small holder, Market-oriented</v>
      </c>
      <c r="F2131" s="156" t="str">
        <f>'Reported burning'!F2131</f>
        <v>Grassland</v>
      </c>
      <c r="G2131" s="156" t="str">
        <f>'Reported burning'!G2131</f>
        <v>ND</v>
      </c>
      <c r="H2131" s="156" t="str">
        <f>'Reported burning'!H2131</f>
        <v>Presence</v>
      </c>
      <c r="I2131" s="5"/>
      <c r="J2131" s="3" t="s">
        <v>2276</v>
      </c>
      <c r="K2131" s="3" t="s">
        <v>2276</v>
      </c>
      <c r="L2131" s="3" t="s">
        <v>2276</v>
      </c>
      <c r="M2131" s="3" t="s">
        <v>2276</v>
      </c>
      <c r="N2131" s="3" t="s">
        <v>2276</v>
      </c>
      <c r="O2131" s="3" t="s">
        <v>2276</v>
      </c>
      <c r="P2131" s="3" t="s">
        <v>2276</v>
      </c>
      <c r="Q2131" s="3" t="s">
        <v>2276</v>
      </c>
      <c r="R2131" s="3" t="s">
        <v>2276</v>
      </c>
      <c r="S2131" s="3" t="s">
        <v>2276</v>
      </c>
      <c r="T2131" s="3" t="s">
        <v>2276</v>
      </c>
      <c r="U2131" s="3" t="s">
        <v>2276</v>
      </c>
      <c r="V2131" s="3" t="s">
        <v>2276</v>
      </c>
      <c r="W2131" s="3" t="s">
        <v>2276</v>
      </c>
      <c r="X2131" s="3" t="s">
        <v>2276</v>
      </c>
      <c r="Y2131" s="3" t="s">
        <v>2276</v>
      </c>
      <c r="Z2131" s="3" t="s">
        <v>2276</v>
      </c>
      <c r="AA2131" s="4" t="s">
        <v>6046</v>
      </c>
      <c r="AB2131" s="3"/>
    </row>
    <row r="2132" spans="1:29" ht="48" customHeight="1">
      <c r="A2132" s="156" t="str">
        <f>'Reported burning'!A2132</f>
        <v>253a</v>
      </c>
      <c r="B2132" s="156" t="str">
        <f>'Reported burning'!B2132</f>
        <v>253a.3</v>
      </c>
      <c r="C2132" s="156" t="str">
        <f>'Reported burning'!C2132</f>
        <v>Human, deliberate</v>
      </c>
      <c r="D2132" s="156" t="str">
        <f>'Reported burning'!D2132</f>
        <v>Pasture renewal</v>
      </c>
      <c r="E2132" s="156" t="str">
        <f>'Reported burning'!E2132</f>
        <v>Abandoned agricultural land</v>
      </c>
      <c r="F2132" s="156" t="str">
        <f>'Reported burning'!F2132</f>
        <v>Grassland</v>
      </c>
      <c r="G2132" s="156" t="str">
        <f>'Reported burning'!G2132</f>
        <v>ND</v>
      </c>
      <c r="H2132" s="156" t="str">
        <f>'Reported burning'!H2132</f>
        <v>Absence</v>
      </c>
      <c r="I2132" s="5"/>
      <c r="J2132" s="21">
        <v>0</v>
      </c>
      <c r="K2132" s="21">
        <v>0</v>
      </c>
      <c r="L2132" s="21">
        <v>0</v>
      </c>
      <c r="M2132" s="21">
        <v>0</v>
      </c>
      <c r="N2132" s="21">
        <v>0</v>
      </c>
      <c r="O2132" s="21">
        <v>0</v>
      </c>
      <c r="P2132" s="21">
        <v>0</v>
      </c>
      <c r="Q2132" s="21">
        <v>0</v>
      </c>
      <c r="R2132" s="21">
        <v>0</v>
      </c>
      <c r="S2132" s="21">
        <v>0</v>
      </c>
      <c r="T2132" s="21">
        <v>0</v>
      </c>
      <c r="U2132" s="21">
        <v>0</v>
      </c>
      <c r="V2132" s="21">
        <v>0</v>
      </c>
      <c r="W2132" s="3" t="s">
        <v>2276</v>
      </c>
      <c r="X2132" s="3" t="s">
        <v>2276</v>
      </c>
      <c r="Y2132" s="3" t="s">
        <v>2276</v>
      </c>
      <c r="Z2132" s="3" t="s">
        <v>2276</v>
      </c>
      <c r="AA2132" s="3"/>
      <c r="AB2132" s="3"/>
    </row>
    <row r="2133" spans="1:29" ht="31.5" customHeight="1">
      <c r="A2133" s="156" t="str">
        <f>'Reported burning'!A2133</f>
        <v>254a</v>
      </c>
      <c r="B2133" s="156" t="str">
        <f>'Reported burning'!B2133</f>
        <v>254a.1</v>
      </c>
      <c r="C2133" s="156" t="str">
        <f>'Reported burning'!C2133</f>
        <v>Human, deliberate</v>
      </c>
      <c r="D2133" s="156" t="str">
        <f>'Reported burning'!D2133</f>
        <v>Crop field preparation</v>
      </c>
      <c r="E2133" s="156" t="str">
        <f>'Reported burning'!E2133</f>
        <v>Cropping, Swidden</v>
      </c>
      <c r="F2133" s="156" t="str">
        <f>'Reported burning'!F2133</f>
        <v>Secondary vegetation</v>
      </c>
      <c r="G2133" s="156" t="str">
        <f>'Reported burning'!G2133</f>
        <v>ND</v>
      </c>
      <c r="H2133" s="156" t="str">
        <f>'Reported burning'!H2133</f>
        <v>Presence</v>
      </c>
      <c r="I2133" s="5"/>
      <c r="J2133" s="3" t="s">
        <v>2276</v>
      </c>
      <c r="K2133" s="3" t="s">
        <v>2276</v>
      </c>
      <c r="L2133" s="3" t="s">
        <v>2276</v>
      </c>
      <c r="M2133" s="3" t="s">
        <v>2276</v>
      </c>
      <c r="N2133" s="3" t="s">
        <v>2276</v>
      </c>
      <c r="O2133" s="3" t="s">
        <v>2276</v>
      </c>
      <c r="P2133" s="3" t="s">
        <v>2276</v>
      </c>
      <c r="Q2133" s="3" t="s">
        <v>2276</v>
      </c>
      <c r="R2133" s="3" t="s">
        <v>2276</v>
      </c>
      <c r="S2133" s="3" t="s">
        <v>2276</v>
      </c>
      <c r="T2133" s="3" t="s">
        <v>2276</v>
      </c>
      <c r="U2133" s="3" t="s">
        <v>2276</v>
      </c>
      <c r="V2133" s="3" t="s">
        <v>2276</v>
      </c>
      <c r="W2133" s="3" t="s">
        <v>2276</v>
      </c>
      <c r="X2133" s="3" t="s">
        <v>2276</v>
      </c>
      <c r="Y2133" s="3" t="s">
        <v>38</v>
      </c>
      <c r="Z2133" s="3" t="s">
        <v>86</v>
      </c>
      <c r="AA2133" s="3"/>
      <c r="AB2133" s="3"/>
      <c r="AC2133" s="3"/>
    </row>
    <row r="2134" spans="1:29" ht="31.5" customHeight="1">
      <c r="A2134" s="156" t="str">
        <f>'Reported burning'!A2134</f>
        <v>254a</v>
      </c>
      <c r="B2134" s="156" t="str">
        <f>'Reported burning'!B2134</f>
        <v>254a.2</v>
      </c>
      <c r="C2134" s="156" t="str">
        <f>'Reported burning'!C2134</f>
        <v>Human, deliberate</v>
      </c>
      <c r="D2134" s="156" t="str">
        <f>'Reported burning'!D2134</f>
        <v>Pasture renewal</v>
      </c>
      <c r="E2134" s="156" t="str">
        <f>'Reported burning'!E2134</f>
        <v>Cattle, Extensive</v>
      </c>
      <c r="F2134" s="156" t="str">
        <f>'Reported burning'!F2134</f>
        <v>Pasture</v>
      </c>
      <c r="G2134" s="156" t="str">
        <f>'Reported burning'!G2134</f>
        <v>ND</v>
      </c>
      <c r="H2134" s="156" t="str">
        <f>'Reported burning'!H2134</f>
        <v>Presence</v>
      </c>
      <c r="I2134" s="5"/>
      <c r="J2134" s="3" t="s">
        <v>2276</v>
      </c>
      <c r="K2134" s="3" t="s">
        <v>2276</v>
      </c>
      <c r="L2134" s="3" t="s">
        <v>2276</v>
      </c>
      <c r="M2134" s="3" t="s">
        <v>2276</v>
      </c>
      <c r="N2134" s="3" t="s">
        <v>2276</v>
      </c>
      <c r="O2134" s="3" t="s">
        <v>2276</v>
      </c>
      <c r="P2134" s="3" t="s">
        <v>2276</v>
      </c>
      <c r="Q2134" s="3" t="s">
        <v>2276</v>
      </c>
      <c r="R2134" s="3" t="s">
        <v>2276</v>
      </c>
      <c r="S2134" s="3" t="s">
        <v>2276</v>
      </c>
      <c r="T2134" s="3" t="s">
        <v>2276</v>
      </c>
      <c r="U2134" s="3" t="s">
        <v>2276</v>
      </c>
      <c r="V2134" s="3" t="s">
        <v>2276</v>
      </c>
      <c r="W2134" s="3" t="s">
        <v>2276</v>
      </c>
      <c r="X2134" s="3" t="s">
        <v>2276</v>
      </c>
      <c r="Y2134" s="3" t="s">
        <v>2276</v>
      </c>
      <c r="Z2134" s="3" t="s">
        <v>2276</v>
      </c>
      <c r="AA2134" s="3"/>
      <c r="AB2134" s="3"/>
      <c r="AC2134" s="3"/>
    </row>
    <row r="2135" spans="1:29" ht="61" customHeight="1">
      <c r="A2135" s="156" t="str">
        <f>'Reported burning'!A2135</f>
        <v>254a</v>
      </c>
      <c r="B2135" s="156" t="str">
        <f>'Reported burning'!B2135</f>
        <v>254a.3</v>
      </c>
      <c r="C2135" s="156" t="str">
        <f>'Reported burning'!C2135</f>
        <v>Human, escaped</v>
      </c>
      <c r="D2135" s="156" t="str">
        <f>'Reported burning'!D2135</f>
        <v>Crop field preparation</v>
      </c>
      <c r="E2135" s="156" t="str">
        <f>'Reported burning'!E2135</f>
        <v>Cropping, Swidden</v>
      </c>
      <c r="F2135" s="156" t="str">
        <f>'Reported burning'!F2135</f>
        <v>Secondary vegetation</v>
      </c>
      <c r="G2135" s="156" t="str">
        <f>'Reported burning'!G2135</f>
        <v>ND</v>
      </c>
      <c r="H2135" s="156" t="str">
        <f>'Reported burning'!H2135</f>
        <v>Presence</v>
      </c>
      <c r="I2135" s="5"/>
      <c r="J2135" s="3" t="s">
        <v>2276</v>
      </c>
      <c r="K2135" s="3" t="s">
        <v>2276</v>
      </c>
      <c r="L2135" s="3" t="s">
        <v>2276</v>
      </c>
      <c r="M2135" s="3" t="s">
        <v>2276</v>
      </c>
      <c r="N2135" s="3" t="s">
        <v>2276</v>
      </c>
      <c r="O2135" s="3" t="s">
        <v>2276</v>
      </c>
      <c r="P2135" s="3" t="s">
        <v>2276</v>
      </c>
      <c r="Q2135" s="3" t="s">
        <v>2276</v>
      </c>
      <c r="R2135" s="21" t="s">
        <v>2362</v>
      </c>
      <c r="S2135" s="3" t="s">
        <v>2276</v>
      </c>
      <c r="T2135" s="3" t="s">
        <v>2276</v>
      </c>
      <c r="U2135" s="3" t="s">
        <v>2276</v>
      </c>
      <c r="V2135" s="3" t="s">
        <v>2276</v>
      </c>
      <c r="W2135" s="3" t="s">
        <v>2276</v>
      </c>
      <c r="X2135" s="3" t="s">
        <v>2276</v>
      </c>
      <c r="Y2135" s="3" t="s">
        <v>38</v>
      </c>
      <c r="Z2135" s="3" t="s">
        <v>86</v>
      </c>
      <c r="AA2135" s="4" t="s">
        <v>6057</v>
      </c>
      <c r="AB2135" s="3"/>
      <c r="AC2135" s="3"/>
    </row>
    <row r="2136" spans="1:29" ht="38" customHeight="1">
      <c r="A2136" s="156" t="str">
        <f>'Reported burning'!A2136</f>
        <v>255b</v>
      </c>
      <c r="B2136" s="156" t="str">
        <f>'Reported burning'!B2136</f>
        <v>255b.1</v>
      </c>
      <c r="C2136" s="156" t="str">
        <f>'Reported burning'!C2136</f>
        <v>Human, deliberate</v>
      </c>
      <c r="D2136" s="156" t="str">
        <f>'Reported burning'!D2136</f>
        <v>Crop field preparation</v>
      </c>
      <c r="E2136" s="156" t="str">
        <f>'Reported burning'!E2136</f>
        <v>Cropping, Swidden</v>
      </c>
      <c r="F2136" s="156" t="str">
        <f>'Reported burning'!F2136</f>
        <v>Forest</v>
      </c>
      <c r="G2136" s="156" t="str">
        <f>'Reported burning'!G2136</f>
        <v>ND</v>
      </c>
      <c r="H2136" s="156" t="str">
        <f>'Reported burning'!H2136</f>
        <v>Presence</v>
      </c>
      <c r="I2136" s="5"/>
      <c r="J2136" s="3" t="s">
        <v>2276</v>
      </c>
      <c r="K2136" s="3" t="s">
        <v>2276</v>
      </c>
      <c r="L2136" s="3" t="s">
        <v>2276</v>
      </c>
      <c r="M2136" s="3" t="s">
        <v>2276</v>
      </c>
      <c r="N2136" s="3" t="s">
        <v>2276</v>
      </c>
      <c r="O2136" s="3" t="s">
        <v>2276</v>
      </c>
      <c r="P2136" s="3" t="s">
        <v>2276</v>
      </c>
      <c r="Q2136" s="3" t="s">
        <v>2276</v>
      </c>
      <c r="R2136" s="3" t="s">
        <v>2276</v>
      </c>
      <c r="S2136" s="3" t="s">
        <v>2276</v>
      </c>
      <c r="T2136" s="3" t="s">
        <v>2276</v>
      </c>
      <c r="U2136" s="3" t="s">
        <v>2276</v>
      </c>
      <c r="V2136" s="3" t="s">
        <v>2276</v>
      </c>
      <c r="W2136" s="3" t="s">
        <v>2276</v>
      </c>
      <c r="X2136" s="3" t="s">
        <v>2276</v>
      </c>
      <c r="Y2136" s="3" t="s">
        <v>2276</v>
      </c>
      <c r="Z2136" s="3" t="s">
        <v>2276</v>
      </c>
      <c r="AA2136" s="3"/>
      <c r="AB2136" s="3"/>
    </row>
    <row r="2137" spans="1:29" ht="38" customHeight="1">
      <c r="A2137" s="156" t="str">
        <f>'Reported burning'!A2137</f>
        <v>255b</v>
      </c>
      <c r="B2137" s="156" t="str">
        <f>'Reported burning'!B2137</f>
        <v>255b.2</v>
      </c>
      <c r="C2137" s="156" t="str">
        <f>'Reported burning'!C2137</f>
        <v>Human, deliberate</v>
      </c>
      <c r="D2137" s="156" t="str">
        <f>'Reported burning'!D2137</f>
        <v>Forest clearance</v>
      </c>
      <c r="E2137" s="156" t="str">
        <f>'Reported burning'!E2137</f>
        <v>Cattle, Extensive</v>
      </c>
      <c r="F2137" s="156" t="str">
        <f>'Reported burning'!F2137</f>
        <v>Forest</v>
      </c>
      <c r="G2137" s="156" t="str">
        <f>'Reported burning'!G2137</f>
        <v>ND</v>
      </c>
      <c r="H2137" s="156" t="str">
        <f>'Reported burning'!H2137</f>
        <v>Presence</v>
      </c>
      <c r="I2137" s="5"/>
      <c r="J2137" s="3" t="s">
        <v>2276</v>
      </c>
      <c r="K2137" s="3" t="s">
        <v>2276</v>
      </c>
      <c r="L2137" s="3" t="s">
        <v>2276</v>
      </c>
      <c r="M2137" s="3" t="s">
        <v>2276</v>
      </c>
      <c r="N2137" s="3" t="s">
        <v>2276</v>
      </c>
      <c r="O2137" s="3" t="s">
        <v>2276</v>
      </c>
      <c r="P2137" s="3" t="s">
        <v>2276</v>
      </c>
      <c r="Q2137" s="3" t="s">
        <v>2276</v>
      </c>
      <c r="R2137" s="3" t="s">
        <v>2276</v>
      </c>
      <c r="S2137" s="3" t="s">
        <v>2276</v>
      </c>
      <c r="T2137" s="3" t="s">
        <v>2276</v>
      </c>
      <c r="U2137" s="3" t="s">
        <v>2276</v>
      </c>
      <c r="V2137" s="3" t="s">
        <v>2276</v>
      </c>
      <c r="W2137" s="3" t="s">
        <v>2276</v>
      </c>
      <c r="X2137" s="3" t="s">
        <v>2276</v>
      </c>
      <c r="Y2137" s="3" t="s">
        <v>2276</v>
      </c>
      <c r="Z2137" s="3" t="s">
        <v>2276</v>
      </c>
      <c r="AA2137" s="3"/>
      <c r="AB2137" s="3"/>
    </row>
    <row r="2138" spans="1:29" ht="38" customHeight="1">
      <c r="A2138" s="156" t="str">
        <f>'Reported burning'!A2138</f>
        <v>255c</v>
      </c>
      <c r="B2138" s="156" t="str">
        <f>'Reported burning'!B2138</f>
        <v>255c.1</v>
      </c>
      <c r="C2138" s="156" t="str">
        <f>'Reported burning'!C2138</f>
        <v>Human, deliberate</v>
      </c>
      <c r="D2138" s="156" t="str">
        <f>'Reported burning'!D2138</f>
        <v>Forest clearance</v>
      </c>
      <c r="E2138" s="156" t="str">
        <f>'Reported burning'!E2138</f>
        <v>Cattle, Extensive</v>
      </c>
      <c r="F2138" s="156" t="str">
        <f>'Reported burning'!F2138</f>
        <v>Forest</v>
      </c>
      <c r="G2138" s="156" t="str">
        <f>'Reported burning'!G2138</f>
        <v>ND</v>
      </c>
      <c r="H2138" s="156" t="str">
        <f>'Reported burning'!H2138</f>
        <v>Presence</v>
      </c>
      <c r="I2138" s="5"/>
      <c r="J2138" s="3" t="s">
        <v>2276</v>
      </c>
      <c r="K2138" s="3" t="s">
        <v>2276</v>
      </c>
      <c r="L2138" s="3" t="s">
        <v>2276</v>
      </c>
      <c r="M2138" s="3" t="s">
        <v>2276</v>
      </c>
      <c r="N2138" s="3" t="s">
        <v>2276</v>
      </c>
      <c r="O2138" s="3" t="s">
        <v>2276</v>
      </c>
      <c r="P2138" s="3" t="s">
        <v>2276</v>
      </c>
      <c r="Q2138" s="3" t="s">
        <v>2276</v>
      </c>
      <c r="R2138" s="3" t="s">
        <v>2276</v>
      </c>
      <c r="S2138" s="3" t="s">
        <v>2276</v>
      </c>
      <c r="T2138" s="3" t="s">
        <v>2276</v>
      </c>
      <c r="U2138" s="3" t="s">
        <v>2276</v>
      </c>
      <c r="V2138" s="3" t="s">
        <v>2276</v>
      </c>
      <c r="W2138" s="3" t="s">
        <v>2276</v>
      </c>
      <c r="X2138" s="3" t="s">
        <v>2276</v>
      </c>
      <c r="Y2138" s="3" t="s">
        <v>2276</v>
      </c>
      <c r="Z2138" s="3" t="s">
        <v>2276</v>
      </c>
      <c r="AA2138" s="3"/>
      <c r="AB2138" s="3"/>
    </row>
    <row r="2139" spans="1:29" ht="38" customHeight="1">
      <c r="A2139" s="156" t="str">
        <f>'Reported burning'!A2139</f>
        <v>255b</v>
      </c>
      <c r="B2139" s="156" t="str">
        <f>'Reported burning'!B2139</f>
        <v>255b.3</v>
      </c>
      <c r="C2139" s="156" t="str">
        <f>'Reported burning'!C2139</f>
        <v>Human, deliberate</v>
      </c>
      <c r="D2139" s="156" t="str">
        <f>'Reported burning'!D2139</f>
        <v>Pasture renewal</v>
      </c>
      <c r="E2139" s="156" t="str">
        <f>'Reported burning'!E2139</f>
        <v>Cattle, Extensive</v>
      </c>
      <c r="F2139" s="156" t="str">
        <f>'Reported burning'!F2139</f>
        <v>Pasture</v>
      </c>
      <c r="G2139" s="156" t="str">
        <f>'Reported burning'!G2139</f>
        <v>ND</v>
      </c>
      <c r="H2139" s="156" t="str">
        <f>'Reported burning'!H2139</f>
        <v>Presence</v>
      </c>
      <c r="I2139" s="5"/>
      <c r="J2139" s="3" t="s">
        <v>2276</v>
      </c>
      <c r="K2139" s="3" t="s">
        <v>2276</v>
      </c>
      <c r="L2139" s="3" t="s">
        <v>2276</v>
      </c>
      <c r="M2139" s="3" t="s">
        <v>2276</v>
      </c>
      <c r="N2139" s="3" t="s">
        <v>2276</v>
      </c>
      <c r="O2139" s="3" t="s">
        <v>2276</v>
      </c>
      <c r="P2139" s="3" t="s">
        <v>2276</v>
      </c>
      <c r="Q2139" s="3" t="s">
        <v>2276</v>
      </c>
      <c r="R2139" s="3" t="s">
        <v>2276</v>
      </c>
      <c r="S2139" s="3" t="s">
        <v>2276</v>
      </c>
      <c r="T2139" s="3" t="s">
        <v>2276</v>
      </c>
      <c r="U2139" s="3" t="s">
        <v>2276</v>
      </c>
      <c r="V2139" s="3" t="s">
        <v>2276</v>
      </c>
      <c r="W2139" s="3" t="s">
        <v>2276</v>
      </c>
      <c r="X2139" s="3" t="s">
        <v>2276</v>
      </c>
      <c r="Y2139" s="3" t="s">
        <v>2276</v>
      </c>
      <c r="Z2139" s="3" t="s">
        <v>2276</v>
      </c>
      <c r="AA2139" s="3"/>
      <c r="AB2139" s="3"/>
    </row>
    <row r="2140" spans="1:29" ht="38" customHeight="1">
      <c r="A2140" s="156" t="str">
        <f>'Reported burning'!A2140</f>
        <v>255c</v>
      </c>
      <c r="B2140" s="156" t="str">
        <f>'Reported burning'!B2140</f>
        <v>255c.2</v>
      </c>
      <c r="C2140" s="156" t="str">
        <f>'Reported burning'!C2140</f>
        <v>Human, deliberate</v>
      </c>
      <c r="D2140" s="156" t="str">
        <f>'Reported burning'!D2140</f>
        <v>Pasture renewal</v>
      </c>
      <c r="E2140" s="156" t="str">
        <f>'Reported burning'!E2140</f>
        <v>Cattle, Extensive</v>
      </c>
      <c r="F2140" s="156" t="str">
        <f>'Reported burning'!F2140</f>
        <v>Pasture</v>
      </c>
      <c r="G2140" s="156" t="str">
        <f>'Reported burning'!G2140</f>
        <v>ND</v>
      </c>
      <c r="H2140" s="156" t="str">
        <f>'Reported burning'!H2140</f>
        <v>Presence</v>
      </c>
      <c r="I2140" s="5"/>
      <c r="J2140" s="3" t="s">
        <v>2276</v>
      </c>
      <c r="K2140" s="3" t="s">
        <v>2276</v>
      </c>
      <c r="L2140" s="3" t="s">
        <v>2276</v>
      </c>
      <c r="M2140" s="3" t="s">
        <v>2276</v>
      </c>
      <c r="N2140" s="3" t="s">
        <v>2276</v>
      </c>
      <c r="O2140" s="3" t="s">
        <v>2276</v>
      </c>
      <c r="P2140" s="3" t="s">
        <v>2276</v>
      </c>
      <c r="Q2140" s="3" t="s">
        <v>2276</v>
      </c>
      <c r="R2140" s="3" t="s">
        <v>2276</v>
      </c>
      <c r="S2140" s="3" t="s">
        <v>2276</v>
      </c>
      <c r="T2140" s="3" t="s">
        <v>2276</v>
      </c>
      <c r="U2140" s="3" t="s">
        <v>2276</v>
      </c>
      <c r="V2140" s="3" t="s">
        <v>2276</v>
      </c>
      <c r="W2140" s="3" t="s">
        <v>2276</v>
      </c>
      <c r="X2140" s="3" t="s">
        <v>2276</v>
      </c>
      <c r="Y2140" s="3" t="s">
        <v>2276</v>
      </c>
      <c r="Z2140" s="3" t="s">
        <v>2276</v>
      </c>
      <c r="AA2140" s="3"/>
      <c r="AB2140" s="3"/>
    </row>
    <row r="2141" spans="1:29" ht="38" customHeight="1">
      <c r="A2141" s="156" t="str">
        <f>'Reported burning'!A2141</f>
        <v>255c</v>
      </c>
      <c r="B2141" s="156" t="str">
        <f>'Reported burning'!B2141</f>
        <v>255c.3</v>
      </c>
      <c r="C2141" s="156" t="str">
        <f>'Reported burning'!C2141</f>
        <v>Human, deliberate</v>
      </c>
      <c r="D2141" s="156" t="str">
        <f>'Reported burning'!D2141</f>
        <v>Pasture renewal</v>
      </c>
      <c r="E2141" s="156" t="str">
        <f>'Reported burning'!E2141</f>
        <v>Cattle, Intensive</v>
      </c>
      <c r="F2141" s="156" t="str">
        <f>'Reported burning'!F2141</f>
        <v>Pasture</v>
      </c>
      <c r="G2141" s="156" t="str">
        <f>'Reported burning'!G2141</f>
        <v>ND</v>
      </c>
      <c r="H2141" s="156" t="str">
        <f>'Reported burning'!H2141</f>
        <v>Absence</v>
      </c>
      <c r="I2141" s="5"/>
      <c r="J2141" s="3">
        <v>0</v>
      </c>
      <c r="K2141" s="3">
        <v>0</v>
      </c>
      <c r="L2141" s="3">
        <v>0</v>
      </c>
      <c r="M2141" s="3">
        <v>0</v>
      </c>
      <c r="N2141" s="3">
        <v>0</v>
      </c>
      <c r="O2141" s="3">
        <v>0</v>
      </c>
      <c r="P2141" s="3">
        <v>0</v>
      </c>
      <c r="Q2141" s="3">
        <v>0</v>
      </c>
      <c r="R2141" s="3">
        <v>0</v>
      </c>
      <c r="S2141" s="3">
        <v>0</v>
      </c>
      <c r="T2141" s="3">
        <v>0</v>
      </c>
      <c r="U2141" s="3">
        <v>0</v>
      </c>
      <c r="V2141" s="3">
        <v>0</v>
      </c>
      <c r="W2141" s="3" t="s">
        <v>2276</v>
      </c>
      <c r="X2141" s="3" t="s">
        <v>2276</v>
      </c>
      <c r="Y2141" s="3" t="s">
        <v>2276</v>
      </c>
      <c r="Z2141" s="3" t="s">
        <v>2276</v>
      </c>
      <c r="AA2141" s="3"/>
      <c r="AB2141" s="3"/>
    </row>
    <row r="2142" spans="1:29" ht="36.5" customHeight="1">
      <c r="A2142" s="156" t="str">
        <f>'Reported burning'!A2142</f>
        <v>256a</v>
      </c>
      <c r="B2142" s="156" t="str">
        <f>'Reported burning'!B2142</f>
        <v>256a.1</v>
      </c>
      <c r="C2142" s="156" t="str">
        <f>'Reported burning'!C2142</f>
        <v>Human, deliberate</v>
      </c>
      <c r="D2142" s="156" t="str">
        <f>'Reported burning'!D2142</f>
        <v>Rangeland management</v>
      </c>
      <c r="E2142" s="156" t="str">
        <f>'Reported burning'!E2142</f>
        <v>Cattle, Extensive</v>
      </c>
      <c r="F2142" s="156" t="str">
        <f>'Reported burning'!F2142</f>
        <v>Shrubland (Mixed forest &amp; grassland)</v>
      </c>
      <c r="G2142" s="156" t="str">
        <f>'Reported burning'!G2142</f>
        <v>ND</v>
      </c>
      <c r="H2142" s="156" t="str">
        <f>'Reported burning'!H2142</f>
        <v>Presence</v>
      </c>
      <c r="I2142" s="5"/>
      <c r="J2142" s="3" t="s">
        <v>2276</v>
      </c>
      <c r="K2142" s="3" t="s">
        <v>2276</v>
      </c>
      <c r="L2142" s="3" t="s">
        <v>2276</v>
      </c>
      <c r="M2142" s="3" t="s">
        <v>2276</v>
      </c>
      <c r="N2142" s="3" t="s">
        <v>2276</v>
      </c>
      <c r="O2142" s="3" t="s">
        <v>2276</v>
      </c>
      <c r="P2142" s="3" t="s">
        <v>2276</v>
      </c>
      <c r="Q2142" s="3" t="s">
        <v>2276</v>
      </c>
      <c r="R2142" s="3" t="s">
        <v>2276</v>
      </c>
      <c r="S2142" s="3" t="s">
        <v>2276</v>
      </c>
      <c r="T2142" s="3" t="s">
        <v>2276</v>
      </c>
      <c r="U2142" s="3" t="s">
        <v>2276</v>
      </c>
      <c r="V2142" s="3" t="s">
        <v>2276</v>
      </c>
      <c r="W2142" s="3" t="s">
        <v>2276</v>
      </c>
      <c r="X2142" s="3" t="s">
        <v>2276</v>
      </c>
      <c r="Y2142" s="3" t="s">
        <v>2276</v>
      </c>
      <c r="Z2142" s="3" t="s">
        <v>2276</v>
      </c>
      <c r="AA2142" s="3"/>
      <c r="AB2142" s="3"/>
    </row>
    <row r="2143" spans="1:29" ht="36.5" customHeight="1">
      <c r="A2143" s="156" t="str">
        <f>'Reported burning'!A2143</f>
        <v>256a</v>
      </c>
      <c r="B2143" s="156" t="str">
        <f>'Reported burning'!B2143</f>
        <v>256a.2</v>
      </c>
      <c r="C2143" s="156" t="str">
        <f>'Reported burning'!C2143</f>
        <v>Human, deliberate</v>
      </c>
      <c r="D2143" s="156" t="str">
        <f>'Reported burning'!D2143</f>
        <v>Rangeland management</v>
      </c>
      <c r="E2143" s="156" t="str">
        <f>'Reported burning'!E2143</f>
        <v>Pastoralism, Migratory</v>
      </c>
      <c r="F2143" s="156" t="str">
        <f>'Reported burning'!F2143</f>
        <v>Shrubland (Mixed forest &amp; grassland)</v>
      </c>
      <c r="G2143" s="156" t="str">
        <f>'Reported burning'!G2143</f>
        <v>ND</v>
      </c>
      <c r="H2143" s="156" t="str">
        <f>'Reported burning'!H2143</f>
        <v>Presence</v>
      </c>
      <c r="I2143" s="5"/>
      <c r="J2143" s="3" t="s">
        <v>2276</v>
      </c>
      <c r="K2143" s="3" t="s">
        <v>2276</v>
      </c>
      <c r="L2143" s="3" t="s">
        <v>2276</v>
      </c>
      <c r="M2143" s="3" t="s">
        <v>2276</v>
      </c>
      <c r="N2143" s="3" t="s">
        <v>2276</v>
      </c>
      <c r="O2143" s="3" t="s">
        <v>2276</v>
      </c>
      <c r="P2143" s="3" t="s">
        <v>2276</v>
      </c>
      <c r="Q2143" s="3" t="s">
        <v>2276</v>
      </c>
      <c r="R2143" s="3" t="s">
        <v>2276</v>
      </c>
      <c r="S2143" s="3" t="s">
        <v>2276</v>
      </c>
      <c r="T2143" s="3" t="s">
        <v>2276</v>
      </c>
      <c r="U2143" s="3" t="s">
        <v>2276</v>
      </c>
      <c r="V2143" s="3" t="s">
        <v>2276</v>
      </c>
      <c r="W2143" s="3" t="s">
        <v>2276</v>
      </c>
      <c r="X2143" s="3" t="s">
        <v>2276</v>
      </c>
      <c r="Y2143" s="3" t="s">
        <v>2276</v>
      </c>
      <c r="Z2143" s="3" t="s">
        <v>2276</v>
      </c>
      <c r="AA2143" s="3"/>
      <c r="AB2143" s="3"/>
    </row>
    <row r="2144" spans="1:29" ht="36.5" customHeight="1">
      <c r="A2144" s="156" t="str">
        <f>'Reported burning'!A2144</f>
        <v>256a</v>
      </c>
      <c r="B2144" s="156" t="str">
        <f>'Reported burning'!B2144</f>
        <v>256a.3</v>
      </c>
      <c r="C2144" s="156" t="str">
        <f>'Reported burning'!C2144</f>
        <v>Human, deliberate</v>
      </c>
      <c r="D2144" s="156" t="str">
        <f>'Reported burning'!D2144</f>
        <v>Rangeland management</v>
      </c>
      <c r="E2144" s="156" t="str">
        <f>'Reported burning'!E2144</f>
        <v>Cropping, Swidden</v>
      </c>
      <c r="F2144" s="156" t="str">
        <f>'Reported burning'!F2144</f>
        <v>Shrubland (Mixed forest &amp; grassland)</v>
      </c>
      <c r="G2144" s="156" t="str">
        <f>'Reported burning'!G2144</f>
        <v>ND</v>
      </c>
      <c r="H2144" s="156" t="str">
        <f>'Reported burning'!H2144</f>
        <v>Presence</v>
      </c>
      <c r="I2144" s="5"/>
      <c r="J2144" s="3" t="s">
        <v>2276</v>
      </c>
      <c r="K2144" s="3" t="s">
        <v>2276</v>
      </c>
      <c r="L2144" s="3" t="s">
        <v>2276</v>
      </c>
      <c r="M2144" s="3" t="s">
        <v>2276</v>
      </c>
      <c r="N2144" s="3" t="s">
        <v>2276</v>
      </c>
      <c r="O2144" s="3" t="s">
        <v>2276</v>
      </c>
      <c r="P2144" s="3" t="s">
        <v>2276</v>
      </c>
      <c r="Q2144" s="3" t="s">
        <v>2276</v>
      </c>
      <c r="R2144" s="3" t="s">
        <v>2276</v>
      </c>
      <c r="S2144" s="3" t="s">
        <v>2276</v>
      </c>
      <c r="T2144" s="3" t="s">
        <v>2276</v>
      </c>
      <c r="U2144" s="3" t="s">
        <v>2276</v>
      </c>
      <c r="V2144" s="3" t="s">
        <v>2276</v>
      </c>
      <c r="W2144" s="3" t="s">
        <v>2276</v>
      </c>
      <c r="X2144" s="3" t="s">
        <v>2276</v>
      </c>
      <c r="Y2144" s="3" t="s">
        <v>2276</v>
      </c>
      <c r="Z2144" s="3" t="s">
        <v>2276</v>
      </c>
      <c r="AA2144" s="3"/>
      <c r="AB2144" s="3"/>
    </row>
    <row r="2145" spans="1:28" s="203" customFormat="1" ht="65" customHeight="1">
      <c r="A2145" s="156" t="str">
        <f>'Reported burning'!A2145</f>
        <v>257a</v>
      </c>
      <c r="B2145" s="156" t="str">
        <f>'Reported burning'!B2145</f>
        <v>257a.1</v>
      </c>
      <c r="C2145" s="156" t="str">
        <f>'Reported burning'!C2145</f>
        <v>Human, deliberate</v>
      </c>
      <c r="D2145" s="156" t="str">
        <f>'Reported burning'!D2145</f>
        <v>Rangeland management</v>
      </c>
      <c r="E2145" s="156" t="str">
        <f>'Reported burning'!E2145</f>
        <v>Pastoralism, Migratory</v>
      </c>
      <c r="F2145" s="156" t="str">
        <f>'Reported burning'!F2145</f>
        <v>Shrubland (Mixed forest &amp; grassland)</v>
      </c>
      <c r="G2145" s="156" t="str">
        <f>'Reported burning'!G2145</f>
        <v>ND</v>
      </c>
      <c r="H2145" s="156" t="str">
        <f>'Reported burning'!H2145</f>
        <v>Presence</v>
      </c>
      <c r="I2145" s="5"/>
      <c r="J2145" s="204" t="s">
        <v>2276</v>
      </c>
      <c r="K2145" s="204" t="s">
        <v>2276</v>
      </c>
      <c r="L2145" s="204" t="s">
        <v>2276</v>
      </c>
      <c r="M2145" s="204" t="s">
        <v>2276</v>
      </c>
      <c r="N2145" s="204" t="s">
        <v>2276</v>
      </c>
      <c r="O2145" s="204" t="s">
        <v>2276</v>
      </c>
      <c r="P2145" s="204" t="s">
        <v>2276</v>
      </c>
      <c r="Q2145" s="204" t="s">
        <v>2276</v>
      </c>
      <c r="R2145" s="204" t="s">
        <v>2276</v>
      </c>
      <c r="S2145" s="204" t="s">
        <v>2276</v>
      </c>
      <c r="T2145" s="204" t="s">
        <v>2276</v>
      </c>
      <c r="U2145" s="204" t="s">
        <v>2276</v>
      </c>
      <c r="V2145" s="204" t="s">
        <v>2276</v>
      </c>
      <c r="W2145" s="21" t="s">
        <v>2375</v>
      </c>
      <c r="X2145" s="204" t="s">
        <v>68</v>
      </c>
      <c r="Y2145" s="204" t="s">
        <v>188</v>
      </c>
      <c r="Z2145" s="204" t="s">
        <v>2655</v>
      </c>
      <c r="AA2145" s="4" t="s">
        <v>6983</v>
      </c>
      <c r="AB2145" s="4" t="s">
        <v>6986</v>
      </c>
    </row>
    <row r="2146" spans="1:28" s="203" customFormat="1" ht="65" customHeight="1">
      <c r="A2146" s="156" t="str">
        <f>'Reported burning'!A2146</f>
        <v>257a</v>
      </c>
      <c r="B2146" s="156" t="str">
        <f>'Reported burning'!B2146</f>
        <v>257a.2</v>
      </c>
      <c r="C2146" s="156" t="str">
        <f>'Reported burning'!C2146</f>
        <v>Human, deliberate</v>
      </c>
      <c r="D2146" s="156" t="str">
        <f>'Reported burning'!D2146</f>
        <v>Crop field preparation</v>
      </c>
      <c r="E2146" s="156" t="str">
        <f>'Reported burning'!E2146</f>
        <v>Cropping, Swidden</v>
      </c>
      <c r="F2146" s="156" t="str">
        <f>'Reported burning'!F2146</f>
        <v>Secondary vegetation</v>
      </c>
      <c r="G2146" s="156" t="str">
        <f>'Reported burning'!G2146</f>
        <v>ND</v>
      </c>
      <c r="H2146" s="156" t="str">
        <f>'Reported burning'!H2146</f>
        <v>Presence</v>
      </c>
      <c r="I2146" s="5"/>
      <c r="J2146" s="204" t="s">
        <v>2276</v>
      </c>
      <c r="K2146" s="204" t="s">
        <v>2276</v>
      </c>
      <c r="L2146" s="204" t="s">
        <v>2276</v>
      </c>
      <c r="M2146" s="204" t="s">
        <v>2276</v>
      </c>
      <c r="N2146" s="204" t="s">
        <v>2276</v>
      </c>
      <c r="O2146" s="204" t="s">
        <v>2276</v>
      </c>
      <c r="P2146" s="204" t="s">
        <v>2276</v>
      </c>
      <c r="Q2146" s="204" t="s">
        <v>2276</v>
      </c>
      <c r="R2146" s="204" t="s">
        <v>2276</v>
      </c>
      <c r="S2146" s="204" t="s">
        <v>2276</v>
      </c>
      <c r="T2146" s="204" t="s">
        <v>2276</v>
      </c>
      <c r="U2146" s="204" t="s">
        <v>2276</v>
      </c>
      <c r="V2146" s="204" t="s">
        <v>2276</v>
      </c>
      <c r="W2146" s="21" t="s">
        <v>2404</v>
      </c>
      <c r="X2146" s="204" t="s">
        <v>2276</v>
      </c>
      <c r="Y2146" s="204" t="s">
        <v>2276</v>
      </c>
      <c r="Z2146" s="204" t="s">
        <v>2276</v>
      </c>
      <c r="AA2146" s="204"/>
      <c r="AB2146" s="4" t="s">
        <v>6987</v>
      </c>
    </row>
    <row r="2147" spans="1:28" s="203" customFormat="1" ht="65" customHeight="1">
      <c r="A2147" s="156" t="str">
        <f>'Reported burning'!A2147</f>
        <v>257b</v>
      </c>
      <c r="B2147" s="156" t="str">
        <f>'Reported burning'!B2147</f>
        <v>257b.1</v>
      </c>
      <c r="C2147" s="156" t="str">
        <f>'Reported burning'!C2147</f>
        <v>Human, deliberate</v>
      </c>
      <c r="D2147" s="156" t="str">
        <f>'Reported burning'!D2147</f>
        <v>Rangeland management</v>
      </c>
      <c r="E2147" s="156" t="str">
        <f>'Reported burning'!E2147</f>
        <v>Pastoralism, Migratory</v>
      </c>
      <c r="F2147" s="156" t="str">
        <f>'Reported burning'!F2147</f>
        <v>Shrubland (Mixed forest &amp; grassland)</v>
      </c>
      <c r="G2147" s="156" t="str">
        <f>'Reported burning'!G2147</f>
        <v>ND</v>
      </c>
      <c r="H2147" s="156" t="str">
        <f>'Reported burning'!H2147</f>
        <v>Presence</v>
      </c>
      <c r="I2147" s="5"/>
      <c r="J2147" s="204" t="s">
        <v>2276</v>
      </c>
      <c r="K2147" s="204" t="s">
        <v>2276</v>
      </c>
      <c r="L2147" s="204" t="s">
        <v>2276</v>
      </c>
      <c r="M2147" s="204" t="s">
        <v>2276</v>
      </c>
      <c r="N2147" s="204" t="s">
        <v>2276</v>
      </c>
      <c r="O2147" s="204" t="s">
        <v>2276</v>
      </c>
      <c r="P2147" s="204" t="s">
        <v>2276</v>
      </c>
      <c r="Q2147" s="204" t="s">
        <v>2276</v>
      </c>
      <c r="R2147" s="204" t="s">
        <v>2276</v>
      </c>
      <c r="S2147" s="204" t="s">
        <v>2276</v>
      </c>
      <c r="T2147" s="204" t="s">
        <v>2276</v>
      </c>
      <c r="U2147" s="204" t="s">
        <v>2276</v>
      </c>
      <c r="V2147" s="204" t="s">
        <v>2276</v>
      </c>
      <c r="W2147" s="21" t="s">
        <v>2375</v>
      </c>
      <c r="X2147" s="204" t="s">
        <v>68</v>
      </c>
      <c r="Y2147" s="204" t="s">
        <v>188</v>
      </c>
      <c r="Z2147" s="204" t="s">
        <v>2655</v>
      </c>
      <c r="AA2147" s="4" t="s">
        <v>6983</v>
      </c>
      <c r="AB2147" s="4" t="s">
        <v>6986</v>
      </c>
    </row>
    <row r="2148" spans="1:28" s="203" customFormat="1" ht="65" customHeight="1">
      <c r="A2148" s="156" t="str">
        <f>'Reported burning'!A2148</f>
        <v>257b</v>
      </c>
      <c r="B2148" s="156" t="str">
        <f>'Reported burning'!B2148</f>
        <v>257b.2</v>
      </c>
      <c r="C2148" s="156" t="str">
        <f>'Reported burning'!C2148</f>
        <v>Human, deliberate</v>
      </c>
      <c r="D2148" s="156" t="str">
        <f>'Reported burning'!D2148</f>
        <v>Crop field preparation</v>
      </c>
      <c r="E2148" s="156" t="str">
        <f>'Reported burning'!E2148</f>
        <v>Cropping, Swidden</v>
      </c>
      <c r="F2148" s="156" t="str">
        <f>'Reported burning'!F2148</f>
        <v>Secondary vegetation</v>
      </c>
      <c r="G2148" s="156" t="str">
        <f>'Reported burning'!G2148</f>
        <v>ND</v>
      </c>
      <c r="H2148" s="156" t="str">
        <f>'Reported burning'!H2148</f>
        <v>Presence</v>
      </c>
      <c r="I2148" s="5"/>
      <c r="J2148" s="204" t="s">
        <v>2276</v>
      </c>
      <c r="K2148" s="204" t="s">
        <v>2276</v>
      </c>
      <c r="L2148" s="204" t="s">
        <v>2276</v>
      </c>
      <c r="M2148" s="204" t="s">
        <v>2276</v>
      </c>
      <c r="N2148" s="204" t="s">
        <v>2276</v>
      </c>
      <c r="O2148" s="204" t="s">
        <v>2276</v>
      </c>
      <c r="P2148" s="204" t="s">
        <v>2276</v>
      </c>
      <c r="Q2148" s="204" t="s">
        <v>2276</v>
      </c>
      <c r="R2148" s="204" t="s">
        <v>2276</v>
      </c>
      <c r="S2148" s="204" t="s">
        <v>2276</v>
      </c>
      <c r="T2148" s="204" t="s">
        <v>2276</v>
      </c>
      <c r="U2148" s="204" t="s">
        <v>2276</v>
      </c>
      <c r="V2148" s="204" t="s">
        <v>2276</v>
      </c>
      <c r="W2148" s="204" t="s">
        <v>2276</v>
      </c>
      <c r="X2148" s="204" t="s">
        <v>2276</v>
      </c>
      <c r="Y2148" s="204" t="s">
        <v>2276</v>
      </c>
      <c r="Z2148" s="204" t="s">
        <v>2276</v>
      </c>
      <c r="AA2148" s="204"/>
      <c r="AB2148" s="204"/>
    </row>
    <row r="2149" spans="1:28" ht="46" customHeight="1">
      <c r="A2149" s="156" t="str">
        <f>'Reported burning'!A2149</f>
        <v>258a</v>
      </c>
      <c r="B2149" s="156" t="str">
        <f>'Reported burning'!B2149</f>
        <v>258a.1</v>
      </c>
      <c r="C2149" s="156" t="str">
        <f>'Reported burning'!C2149</f>
        <v>Lightning</v>
      </c>
      <c r="D2149" s="156" t="s">
        <v>2276</v>
      </c>
      <c r="E2149" s="156" t="str">
        <f>'Reported burning'!E2149</f>
        <v>ND</v>
      </c>
      <c r="F2149" s="156" t="str">
        <f>'Reported burning'!F2149</f>
        <v>ND</v>
      </c>
      <c r="G2149" s="156" t="str">
        <f>'Reported burning'!G2149</f>
        <v>Forest</v>
      </c>
      <c r="H2149" s="156" t="str">
        <f>'Reported burning'!H2149</f>
        <v>Presence</v>
      </c>
      <c r="I2149" s="3"/>
      <c r="J2149" s="21" t="s">
        <v>2276</v>
      </c>
      <c r="K2149" s="103" t="s">
        <v>2276</v>
      </c>
      <c r="L2149" s="21" t="s">
        <v>2276</v>
      </c>
      <c r="M2149" s="21" t="s">
        <v>2276</v>
      </c>
      <c r="N2149" s="21" t="s">
        <v>2386</v>
      </c>
      <c r="O2149" s="21" t="s">
        <v>2276</v>
      </c>
      <c r="P2149" s="21" t="s">
        <v>2276</v>
      </c>
      <c r="Q2149" s="21" t="s">
        <v>2276</v>
      </c>
      <c r="R2149" s="21" t="s">
        <v>2276</v>
      </c>
      <c r="S2149" s="21" t="s">
        <v>2276</v>
      </c>
      <c r="T2149" s="21" t="s">
        <v>2276</v>
      </c>
      <c r="U2149" s="21" t="s">
        <v>2276</v>
      </c>
      <c r="V2149" s="21" t="s">
        <v>2276</v>
      </c>
      <c r="W2149" s="21" t="s">
        <v>2276</v>
      </c>
      <c r="X2149" s="3" t="s">
        <v>404</v>
      </c>
      <c r="Y2149" s="3" t="s">
        <v>405</v>
      </c>
      <c r="Z2149" s="3" t="s">
        <v>2276</v>
      </c>
      <c r="AA2149" s="3"/>
      <c r="AB2149" s="3"/>
    </row>
    <row r="2150" spans="1:28" ht="46" customHeight="1">
      <c r="A2150" s="156" t="str">
        <f>'Reported burning'!A2150</f>
        <v>258a</v>
      </c>
      <c r="B2150" s="156" t="str">
        <f>'Reported burning'!B2150</f>
        <v>258a.2</v>
      </c>
      <c r="C2150" s="156" t="str">
        <f>'Reported burning'!C2150</f>
        <v>Human, escaped</v>
      </c>
      <c r="D2150" s="156" t="str">
        <f>'Reported burning'!D2150</f>
        <v>Domestic</v>
      </c>
      <c r="E2150" s="156" t="str">
        <f>'Reported burning'!E2150</f>
        <v>Tourism manager</v>
      </c>
      <c r="F2150" s="156" t="str">
        <f>'Reported burning'!F2150</f>
        <v>ND</v>
      </c>
      <c r="G2150" s="156" t="str">
        <f>'Reported burning'!G2150</f>
        <v>Forest</v>
      </c>
      <c r="H2150" s="156" t="str">
        <f>'Reported burning'!H2150</f>
        <v>Presence</v>
      </c>
      <c r="I2150" s="3"/>
      <c r="J2150" s="21" t="s">
        <v>2276</v>
      </c>
      <c r="K2150" s="103" t="s">
        <v>2276</v>
      </c>
      <c r="L2150" s="21" t="s">
        <v>2276</v>
      </c>
      <c r="M2150" s="21" t="s">
        <v>2276</v>
      </c>
      <c r="N2150" s="21" t="s">
        <v>2386</v>
      </c>
      <c r="O2150" s="21" t="s">
        <v>2276</v>
      </c>
      <c r="P2150" s="21" t="s">
        <v>2276</v>
      </c>
      <c r="Q2150" s="21" t="s">
        <v>2276</v>
      </c>
      <c r="R2150" s="21" t="s">
        <v>2276</v>
      </c>
      <c r="S2150" s="21" t="s">
        <v>2276</v>
      </c>
      <c r="T2150" s="21" t="s">
        <v>2276</v>
      </c>
      <c r="U2150" s="21" t="s">
        <v>2276</v>
      </c>
      <c r="V2150" s="21" t="s">
        <v>2276</v>
      </c>
      <c r="W2150" s="21" t="s">
        <v>2276</v>
      </c>
      <c r="X2150" s="3" t="s">
        <v>404</v>
      </c>
      <c r="Y2150" s="3" t="s">
        <v>405</v>
      </c>
      <c r="Z2150" s="3" t="s">
        <v>2276</v>
      </c>
      <c r="AA2150" s="3"/>
      <c r="AB2150" s="3"/>
    </row>
    <row r="2151" spans="1:28" s="203" customFormat="1" ht="46" customHeight="1">
      <c r="A2151" s="156" t="str">
        <f>'Reported burning'!A2151</f>
        <v>258a</v>
      </c>
      <c r="B2151" s="156" t="str">
        <f>'Reported burning'!B2151</f>
        <v>258a.3</v>
      </c>
      <c r="C2151" s="156" t="str">
        <f>'Reported burning'!C2151</f>
        <v>Human, deliberate</v>
      </c>
      <c r="D2151" s="156" t="str">
        <f>'Reported burning'!D2151</f>
        <v>Pyrome management</v>
      </c>
      <c r="E2151" s="156" t="str">
        <f>'Reported burning'!E2151</f>
        <v>Forestry, Industrial</v>
      </c>
      <c r="F2151" s="156" t="str">
        <f>'Reported burning'!F2151</f>
        <v>Forest</v>
      </c>
      <c r="G2151" s="156" t="str">
        <f>'Reported burning'!G2151</f>
        <v>Forest</v>
      </c>
      <c r="H2151" s="156" t="str">
        <f>'Reported burning'!H2151</f>
        <v>Presence</v>
      </c>
      <c r="I2151" s="204"/>
      <c r="J2151" s="21" t="s">
        <v>2276</v>
      </c>
      <c r="K2151" s="21" t="s">
        <v>2276</v>
      </c>
      <c r="L2151" s="21" t="s">
        <v>2276</v>
      </c>
      <c r="M2151" s="21" t="s">
        <v>2276</v>
      </c>
      <c r="N2151" s="21" t="s">
        <v>2276</v>
      </c>
      <c r="O2151" s="21" t="s">
        <v>2276</v>
      </c>
      <c r="P2151" s="21" t="s">
        <v>2276</v>
      </c>
      <c r="Q2151" s="21" t="s">
        <v>2276</v>
      </c>
      <c r="R2151" s="21" t="s">
        <v>2276</v>
      </c>
      <c r="S2151" s="21" t="s">
        <v>2276</v>
      </c>
      <c r="T2151" s="21" t="s">
        <v>2276</v>
      </c>
      <c r="U2151" s="21" t="s">
        <v>2276</v>
      </c>
      <c r="V2151" s="21" t="s">
        <v>2276</v>
      </c>
      <c r="W2151" s="21" t="s">
        <v>2276</v>
      </c>
      <c r="X2151" s="21" t="s">
        <v>2276</v>
      </c>
      <c r="Y2151" s="21" t="s">
        <v>2276</v>
      </c>
      <c r="Z2151" s="21" t="s">
        <v>2276</v>
      </c>
      <c r="AA2151" s="204"/>
      <c r="AB2151" s="204"/>
    </row>
    <row r="2152" spans="1:28" ht="46" customHeight="1">
      <c r="A2152" s="156" t="str">
        <f>'Reported burning'!A2152</f>
        <v>258a</v>
      </c>
      <c r="B2152" s="156" t="str">
        <f>'Reported burning'!B2152</f>
        <v>258a.4</v>
      </c>
      <c r="C2152" s="156" t="str">
        <f>'Reported burning'!C2152</f>
        <v>Human, deliberate</v>
      </c>
      <c r="D2152" s="156" t="str">
        <f>'Reported burning'!D2152</f>
        <v>Pyrome management</v>
      </c>
      <c r="E2152" s="156" t="str">
        <f>'Reported burning'!E2152</f>
        <v>Biodiversity conservation</v>
      </c>
      <c r="F2152" s="156" t="str">
        <f>'Reported burning'!F2152</f>
        <v>Forest</v>
      </c>
      <c r="G2152" s="156" t="str">
        <f>'Reported burning'!G2152</f>
        <v>Forest</v>
      </c>
      <c r="H2152" s="156" t="str">
        <f>'Reported burning'!H2152</f>
        <v>Presence</v>
      </c>
      <c r="I2152" s="3"/>
      <c r="J2152" s="21" t="s">
        <v>2276</v>
      </c>
      <c r="K2152" s="103" t="s">
        <v>2276</v>
      </c>
      <c r="L2152" s="21" t="s">
        <v>2276</v>
      </c>
      <c r="M2152" s="21" t="s">
        <v>2276</v>
      </c>
      <c r="N2152" s="21" t="s">
        <v>2276</v>
      </c>
      <c r="O2152" s="21" t="s">
        <v>2276</v>
      </c>
      <c r="P2152" s="21" t="s">
        <v>2276</v>
      </c>
      <c r="Q2152" s="21" t="s">
        <v>2276</v>
      </c>
      <c r="R2152" s="21" t="s">
        <v>2276</v>
      </c>
      <c r="S2152" s="21" t="s">
        <v>2276</v>
      </c>
      <c r="T2152" s="21" t="s">
        <v>2276</v>
      </c>
      <c r="U2152" s="21" t="s">
        <v>2276</v>
      </c>
      <c r="V2152" s="21" t="s">
        <v>2276</v>
      </c>
      <c r="W2152" s="21" t="s">
        <v>2276</v>
      </c>
      <c r="X2152" s="21" t="s">
        <v>2276</v>
      </c>
      <c r="Y2152" s="21" t="s">
        <v>2276</v>
      </c>
      <c r="Z2152" s="3" t="s">
        <v>2276</v>
      </c>
      <c r="AA2152" s="3"/>
      <c r="AB2152" s="3"/>
    </row>
    <row r="2153" spans="1:28" ht="46" customHeight="1">
      <c r="A2153" s="156" t="str">
        <f>'Reported burning'!A2153</f>
        <v>258b</v>
      </c>
      <c r="B2153" s="156" t="str">
        <f>'Reported burning'!B2153</f>
        <v>258b.1</v>
      </c>
      <c r="C2153" s="156" t="str">
        <f>'Reported burning'!C2153</f>
        <v>Human, accidental</v>
      </c>
      <c r="D2153" s="156" t="str">
        <f>'Reported burning'!D2153</f>
        <v>Accidental</v>
      </c>
      <c r="E2153" s="156" t="str">
        <f>'Reported burning'!E2153</f>
        <v>Urban planner</v>
      </c>
      <c r="F2153" s="156" t="str">
        <f>'Reported burning'!F2153</f>
        <v>ND</v>
      </c>
      <c r="G2153" s="156" t="str">
        <f>'Reported burning'!G2153</f>
        <v>Forest</v>
      </c>
      <c r="H2153" s="156" t="str">
        <f>'Reported burning'!H2153</f>
        <v>Presence</v>
      </c>
      <c r="I2153" s="3"/>
      <c r="J2153" s="21" t="s">
        <v>2276</v>
      </c>
      <c r="K2153" s="103" t="s">
        <v>2276</v>
      </c>
      <c r="L2153" s="21" t="s">
        <v>2276</v>
      </c>
      <c r="M2153" s="21" t="s">
        <v>2276</v>
      </c>
      <c r="N2153" s="21" t="s">
        <v>2386</v>
      </c>
      <c r="O2153" s="21" t="s">
        <v>2276</v>
      </c>
      <c r="P2153" s="21" t="s">
        <v>2276</v>
      </c>
      <c r="Q2153" s="21" t="s">
        <v>2276</v>
      </c>
      <c r="R2153" s="21" t="s">
        <v>2276</v>
      </c>
      <c r="S2153" s="21" t="s">
        <v>2276</v>
      </c>
      <c r="T2153" s="21" t="s">
        <v>2276</v>
      </c>
      <c r="U2153" s="21" t="s">
        <v>2276</v>
      </c>
      <c r="V2153" s="21" t="s">
        <v>2276</v>
      </c>
      <c r="W2153" s="21" t="s">
        <v>2276</v>
      </c>
      <c r="X2153" s="3" t="s">
        <v>68</v>
      </c>
      <c r="Y2153" s="3" t="s">
        <v>127</v>
      </c>
      <c r="Z2153" s="3" t="s">
        <v>2276</v>
      </c>
      <c r="AA2153" s="3" t="s">
        <v>6189</v>
      </c>
      <c r="AB2153" s="3"/>
    </row>
    <row r="2154" spans="1:28" ht="46" customHeight="1">
      <c r="A2154" s="156" t="str">
        <f>'Reported burning'!A2154</f>
        <v>258b</v>
      </c>
      <c r="B2154" s="156" t="str">
        <f>'Reported burning'!B2154</f>
        <v>258b.2</v>
      </c>
      <c r="C2154" s="156" t="str">
        <f>'Reported burning'!C2154</f>
        <v>Human, accidental</v>
      </c>
      <c r="D2154" s="156" t="str">
        <f>'Reported burning'!D2154</f>
        <v>ND</v>
      </c>
      <c r="E2154" s="156" t="str">
        <f>'Reported burning'!E2154</f>
        <v>Tourism manager</v>
      </c>
      <c r="F2154" s="156" t="str">
        <f>'Reported burning'!F2154</f>
        <v>ND</v>
      </c>
      <c r="G2154" s="156" t="str">
        <f>'Reported burning'!G2154</f>
        <v>Forest</v>
      </c>
      <c r="H2154" s="156" t="str">
        <f>'Reported burning'!H2154</f>
        <v>Presence</v>
      </c>
      <c r="I2154" s="3"/>
      <c r="J2154" s="21" t="s">
        <v>2276</v>
      </c>
      <c r="K2154" s="103" t="s">
        <v>2276</v>
      </c>
      <c r="L2154" s="21" t="s">
        <v>2276</v>
      </c>
      <c r="M2154" s="21" t="s">
        <v>2276</v>
      </c>
      <c r="N2154" s="21" t="s">
        <v>2386</v>
      </c>
      <c r="O2154" s="21" t="s">
        <v>2276</v>
      </c>
      <c r="P2154" s="21" t="s">
        <v>2276</v>
      </c>
      <c r="Q2154" s="21" t="s">
        <v>2276</v>
      </c>
      <c r="R2154" s="21" t="s">
        <v>2276</v>
      </c>
      <c r="S2154" s="21" t="s">
        <v>2276</v>
      </c>
      <c r="T2154" s="21" t="s">
        <v>2276</v>
      </c>
      <c r="U2154" s="21" t="s">
        <v>2276</v>
      </c>
      <c r="V2154" s="21" t="s">
        <v>2276</v>
      </c>
      <c r="W2154" s="21" t="s">
        <v>2276</v>
      </c>
      <c r="X2154" s="3" t="s">
        <v>68</v>
      </c>
      <c r="Y2154" s="3" t="s">
        <v>127</v>
      </c>
      <c r="Z2154" s="3" t="s">
        <v>2276</v>
      </c>
      <c r="AA2154" s="3" t="s">
        <v>6189</v>
      </c>
      <c r="AB2154" s="3"/>
    </row>
    <row r="2155" spans="1:28" ht="46" customHeight="1">
      <c r="A2155" s="156" t="str">
        <f>'Reported burning'!A2155</f>
        <v>258b</v>
      </c>
      <c r="B2155" s="156" t="str">
        <f>'Reported burning'!B2155</f>
        <v>258b.3</v>
      </c>
      <c r="C2155" s="156" t="str">
        <f>'Reported burning'!C2155</f>
        <v>Human, deliberate</v>
      </c>
      <c r="D2155" s="156" t="str">
        <f>'Reported burning'!D2155</f>
        <v>Pyrome management</v>
      </c>
      <c r="E2155" s="156" t="str">
        <f>'Reported burning'!E2155</f>
        <v>Biodiversity conservation</v>
      </c>
      <c r="F2155" s="156" t="str">
        <f>'Reported burning'!F2155</f>
        <v>Forest</v>
      </c>
      <c r="G2155" s="156" t="str">
        <f>'Reported burning'!G2155</f>
        <v>Forest</v>
      </c>
      <c r="H2155" s="156" t="str">
        <f>'Reported burning'!H2155</f>
        <v>Presence</v>
      </c>
      <c r="I2155" s="3"/>
      <c r="J2155" s="21" t="s">
        <v>2276</v>
      </c>
      <c r="K2155" s="103" t="s">
        <v>2276</v>
      </c>
      <c r="L2155" s="21" t="s">
        <v>2276</v>
      </c>
      <c r="M2155" s="21" t="s">
        <v>2276</v>
      </c>
      <c r="N2155" s="21" t="s">
        <v>2276</v>
      </c>
      <c r="O2155" s="21" t="s">
        <v>2276</v>
      </c>
      <c r="P2155" s="21" t="s">
        <v>2276</v>
      </c>
      <c r="Q2155" s="21" t="s">
        <v>2276</v>
      </c>
      <c r="R2155" s="21" t="s">
        <v>2276</v>
      </c>
      <c r="S2155" s="21" t="s">
        <v>2276</v>
      </c>
      <c r="T2155" s="21" t="s">
        <v>2276</v>
      </c>
      <c r="U2155" s="21" t="s">
        <v>2276</v>
      </c>
      <c r="V2155" s="21" t="s">
        <v>2276</v>
      </c>
      <c r="W2155" s="21" t="s">
        <v>2276</v>
      </c>
      <c r="X2155" s="21" t="s">
        <v>2276</v>
      </c>
      <c r="Y2155" s="21" t="s">
        <v>2276</v>
      </c>
      <c r="Z2155" s="21" t="s">
        <v>2276</v>
      </c>
      <c r="AA2155" s="3"/>
      <c r="AB2155" s="3"/>
    </row>
    <row r="2156" spans="1:28" ht="46" customHeight="1">
      <c r="A2156" s="156" t="str">
        <f>'Reported burning'!A2156</f>
        <v>258b</v>
      </c>
      <c r="B2156" s="156" t="str">
        <f>'Reported burning'!B2156</f>
        <v>258b.4</v>
      </c>
      <c r="C2156" s="156" t="str">
        <f>'Reported burning'!C2156</f>
        <v>Human, deliberate</v>
      </c>
      <c r="D2156" s="156" t="str">
        <f>'Reported burning'!D2156</f>
        <v>Pyrome management</v>
      </c>
      <c r="E2156" s="156" t="str">
        <f>'Reported burning'!E2156</f>
        <v>Forestry, Industrial</v>
      </c>
      <c r="F2156" s="156" t="str">
        <f>'Reported burning'!F2156</f>
        <v>Forest</v>
      </c>
      <c r="G2156" s="156" t="str">
        <f>'Reported burning'!G2156</f>
        <v>Forest</v>
      </c>
      <c r="H2156" s="156" t="str">
        <f>'Reported burning'!H2156</f>
        <v>Presence</v>
      </c>
      <c r="I2156" s="3"/>
      <c r="J2156" s="21" t="s">
        <v>2276</v>
      </c>
      <c r="K2156" s="21" t="s">
        <v>2276</v>
      </c>
      <c r="L2156" s="21" t="s">
        <v>2276</v>
      </c>
      <c r="M2156" s="21" t="s">
        <v>2276</v>
      </c>
      <c r="N2156" s="21" t="s">
        <v>2276</v>
      </c>
      <c r="O2156" s="21" t="s">
        <v>2276</v>
      </c>
      <c r="P2156" s="21" t="s">
        <v>2276</v>
      </c>
      <c r="Q2156" s="21" t="s">
        <v>2276</v>
      </c>
      <c r="R2156" s="21" t="s">
        <v>2276</v>
      </c>
      <c r="S2156" s="21" t="s">
        <v>2276</v>
      </c>
      <c r="T2156" s="21" t="s">
        <v>2276</v>
      </c>
      <c r="U2156" s="21" t="s">
        <v>2276</v>
      </c>
      <c r="V2156" s="21" t="s">
        <v>2276</v>
      </c>
      <c r="W2156" s="21" t="s">
        <v>2276</v>
      </c>
      <c r="X2156" s="21" t="s">
        <v>2276</v>
      </c>
      <c r="Y2156" s="21" t="s">
        <v>2276</v>
      </c>
      <c r="Z2156" s="21" t="s">
        <v>2276</v>
      </c>
      <c r="AA2156" s="3"/>
      <c r="AB2156" s="3"/>
    </row>
    <row r="2157" spans="1:28" s="203" customFormat="1" ht="46" customHeight="1">
      <c r="A2157" s="156" t="str">
        <f>'Reported burning'!A2157</f>
        <v>258c</v>
      </c>
      <c r="B2157" s="156" t="str">
        <f>'Reported burning'!B2157</f>
        <v>258c.1</v>
      </c>
      <c r="C2157" s="156" t="str">
        <f>'Reported burning'!C2157</f>
        <v>Human, deliberate</v>
      </c>
      <c r="D2157" s="156" t="str">
        <f>'Reported burning'!D2157</f>
        <v>Pyrome management</v>
      </c>
      <c r="E2157" s="156" t="str">
        <f>'Reported burning'!E2157</f>
        <v>Biodiversity conservation</v>
      </c>
      <c r="F2157" s="156" t="str">
        <f>'Reported burning'!F2157</f>
        <v>Forest</v>
      </c>
      <c r="G2157" s="156" t="str">
        <f>'Reported burning'!G2157</f>
        <v>Forest</v>
      </c>
      <c r="H2157" s="156" t="str">
        <f>'Reported burning'!H2157</f>
        <v>Presence</v>
      </c>
      <c r="I2157" s="204"/>
      <c r="J2157" s="21" t="s">
        <v>2276</v>
      </c>
      <c r="K2157" s="21" t="s">
        <v>2276</v>
      </c>
      <c r="L2157" s="21" t="s">
        <v>2276</v>
      </c>
      <c r="M2157" s="21" t="s">
        <v>2276</v>
      </c>
      <c r="N2157" s="21" t="s">
        <v>2276</v>
      </c>
      <c r="O2157" s="21" t="s">
        <v>2276</v>
      </c>
      <c r="P2157" s="21" t="s">
        <v>2276</v>
      </c>
      <c r="Q2157" s="21" t="s">
        <v>2276</v>
      </c>
      <c r="R2157" s="21" t="s">
        <v>2276</v>
      </c>
      <c r="S2157" s="21" t="s">
        <v>2527</v>
      </c>
      <c r="T2157" s="21" t="s">
        <v>2276</v>
      </c>
      <c r="U2157" s="21" t="s">
        <v>2527</v>
      </c>
      <c r="V2157" s="21" t="s">
        <v>2276</v>
      </c>
      <c r="W2157" s="21" t="s">
        <v>2276</v>
      </c>
      <c r="X2157" s="21" t="s">
        <v>2276</v>
      </c>
      <c r="Y2157" s="21" t="s">
        <v>2276</v>
      </c>
      <c r="Z2157" s="21" t="s">
        <v>2276</v>
      </c>
      <c r="AA2157" s="204"/>
      <c r="AB2157" s="204"/>
    </row>
    <row r="2158" spans="1:28" s="203" customFormat="1" ht="46" customHeight="1">
      <c r="A2158" s="156" t="str">
        <f>'Reported burning'!A2158</f>
        <v>258c</v>
      </c>
      <c r="B2158" s="156" t="str">
        <f>'Reported burning'!B2158</f>
        <v>258c.2</v>
      </c>
      <c r="C2158" s="156" t="str">
        <f>'Reported burning'!C2158</f>
        <v>Human, deliberate</v>
      </c>
      <c r="D2158" s="156" t="str">
        <f>'Reported burning'!D2158</f>
        <v>Pyrome management</v>
      </c>
      <c r="E2158" s="156" t="str">
        <f>'Reported burning'!E2158</f>
        <v>Forestry, Industrial</v>
      </c>
      <c r="F2158" s="156" t="str">
        <f>'Reported burning'!F2158</f>
        <v>Forest</v>
      </c>
      <c r="G2158" s="156" t="str">
        <f>'Reported burning'!G2158</f>
        <v>Forest</v>
      </c>
      <c r="H2158" s="156" t="str">
        <f>'Reported burning'!H2158</f>
        <v>Presence</v>
      </c>
      <c r="I2158" s="204"/>
      <c r="J2158" s="21" t="s">
        <v>2276</v>
      </c>
      <c r="K2158" s="21" t="s">
        <v>2276</v>
      </c>
      <c r="L2158" s="21" t="s">
        <v>2276</v>
      </c>
      <c r="M2158" s="21" t="s">
        <v>2276</v>
      </c>
      <c r="N2158" s="21" t="s">
        <v>2276</v>
      </c>
      <c r="O2158" s="21" t="s">
        <v>2276</v>
      </c>
      <c r="P2158" s="21" t="s">
        <v>2276</v>
      </c>
      <c r="Q2158" s="21" t="s">
        <v>2276</v>
      </c>
      <c r="R2158" s="21" t="s">
        <v>2276</v>
      </c>
      <c r="S2158" s="21" t="s">
        <v>2527</v>
      </c>
      <c r="T2158" s="21" t="s">
        <v>2276</v>
      </c>
      <c r="U2158" s="21" t="s">
        <v>2527</v>
      </c>
      <c r="V2158" s="21" t="s">
        <v>2276</v>
      </c>
      <c r="W2158" s="21" t="s">
        <v>2276</v>
      </c>
      <c r="X2158" s="21" t="s">
        <v>2276</v>
      </c>
      <c r="Y2158" s="21" t="s">
        <v>2276</v>
      </c>
      <c r="Z2158" s="21" t="s">
        <v>2276</v>
      </c>
      <c r="AA2158" s="204"/>
      <c r="AB2158" s="204"/>
    </row>
    <row r="2159" spans="1:28" s="203" customFormat="1" ht="46" customHeight="1">
      <c r="A2159" s="156" t="str">
        <f>'Reported burning'!A2159</f>
        <v>258d</v>
      </c>
      <c r="B2159" s="156" t="str">
        <f>'Reported burning'!B2159</f>
        <v>258d.1</v>
      </c>
      <c r="C2159" s="156" t="str">
        <f>'Reported burning'!C2159</f>
        <v>Human, deliberate</v>
      </c>
      <c r="D2159" s="156" t="str">
        <f>'Reported burning'!D2159</f>
        <v>Pyrome management</v>
      </c>
      <c r="E2159" s="156" t="str">
        <f>'Reported burning'!E2159</f>
        <v>Biodiversity conservation</v>
      </c>
      <c r="F2159" s="156" t="str">
        <f>'Reported burning'!F2159</f>
        <v>Forest</v>
      </c>
      <c r="G2159" s="156" t="str">
        <f>'Reported burning'!G2159</f>
        <v>Forest</v>
      </c>
      <c r="H2159" s="156" t="str">
        <f>'Reported burning'!H2159</f>
        <v>Presence</v>
      </c>
      <c r="I2159" s="204"/>
      <c r="J2159" s="21" t="s">
        <v>2276</v>
      </c>
      <c r="K2159" s="21" t="s">
        <v>2276</v>
      </c>
      <c r="L2159" s="21" t="s">
        <v>2276</v>
      </c>
      <c r="M2159" s="21" t="s">
        <v>2276</v>
      </c>
      <c r="N2159" s="21" t="s">
        <v>2276</v>
      </c>
      <c r="O2159" s="21" t="s">
        <v>2276</v>
      </c>
      <c r="P2159" s="21" t="s">
        <v>2276</v>
      </c>
      <c r="Q2159" s="21" t="s">
        <v>2276</v>
      </c>
      <c r="R2159" s="21" t="s">
        <v>2276</v>
      </c>
      <c r="S2159" s="21" t="s">
        <v>2527</v>
      </c>
      <c r="T2159" s="21" t="s">
        <v>2276</v>
      </c>
      <c r="U2159" s="21" t="s">
        <v>2527</v>
      </c>
      <c r="V2159" s="21" t="s">
        <v>2276</v>
      </c>
      <c r="W2159" s="21" t="s">
        <v>2276</v>
      </c>
      <c r="X2159" s="21" t="s">
        <v>2276</v>
      </c>
      <c r="Y2159" s="21" t="s">
        <v>2276</v>
      </c>
      <c r="Z2159" s="21" t="s">
        <v>2276</v>
      </c>
      <c r="AA2159" s="204"/>
      <c r="AB2159" s="204"/>
    </row>
    <row r="2160" spans="1:28" s="203" customFormat="1" ht="46" customHeight="1">
      <c r="A2160" s="156" t="str">
        <f>'Reported burning'!A2160</f>
        <v>258d</v>
      </c>
      <c r="B2160" s="156" t="str">
        <f>'Reported burning'!B2160</f>
        <v>258d.2</v>
      </c>
      <c r="C2160" s="156" t="str">
        <f>'Reported burning'!C2160</f>
        <v>Human, deliberate</v>
      </c>
      <c r="D2160" s="156" t="str">
        <f>'Reported burning'!D2160</f>
        <v>Pyrome management</v>
      </c>
      <c r="E2160" s="156" t="str">
        <f>'Reported burning'!E2160</f>
        <v>Forestry, Industrial</v>
      </c>
      <c r="F2160" s="156" t="str">
        <f>'Reported burning'!F2160</f>
        <v>Forest</v>
      </c>
      <c r="G2160" s="156" t="str">
        <f>'Reported burning'!G2160</f>
        <v>Forest</v>
      </c>
      <c r="H2160" s="156" t="str">
        <f>'Reported burning'!H2160</f>
        <v>Presence</v>
      </c>
      <c r="I2160" s="204"/>
      <c r="J2160" s="21" t="s">
        <v>2276</v>
      </c>
      <c r="K2160" s="21" t="s">
        <v>2276</v>
      </c>
      <c r="L2160" s="21" t="s">
        <v>2276</v>
      </c>
      <c r="M2160" s="21" t="s">
        <v>2276</v>
      </c>
      <c r="N2160" s="21" t="s">
        <v>2276</v>
      </c>
      <c r="O2160" s="21" t="s">
        <v>2276</v>
      </c>
      <c r="P2160" s="21" t="s">
        <v>2276</v>
      </c>
      <c r="Q2160" s="21" t="s">
        <v>2276</v>
      </c>
      <c r="R2160" s="21" t="s">
        <v>2276</v>
      </c>
      <c r="S2160" s="21" t="s">
        <v>2527</v>
      </c>
      <c r="T2160" s="21" t="s">
        <v>2276</v>
      </c>
      <c r="U2160" s="21" t="s">
        <v>2527</v>
      </c>
      <c r="V2160" s="21" t="s">
        <v>2276</v>
      </c>
      <c r="W2160" s="21" t="s">
        <v>2276</v>
      </c>
      <c r="X2160" s="21" t="s">
        <v>2276</v>
      </c>
      <c r="Y2160" s="21" t="s">
        <v>2276</v>
      </c>
      <c r="Z2160" s="21" t="s">
        <v>2276</v>
      </c>
      <c r="AA2160" s="204"/>
      <c r="AB2160" s="204"/>
    </row>
    <row r="2161" spans="1:28" s="203" customFormat="1" ht="46" customHeight="1">
      <c r="A2161" s="156" t="str">
        <f>'Reported burning'!A2161</f>
        <v>258e</v>
      </c>
      <c r="B2161" s="156" t="str">
        <f>'Reported burning'!B2161</f>
        <v>258e.1</v>
      </c>
      <c r="C2161" s="156" t="str">
        <f>'Reported burning'!C2161</f>
        <v>Human, deliberate</v>
      </c>
      <c r="D2161" s="156" t="str">
        <f>'Reported burning'!D2161</f>
        <v>Pyrome management</v>
      </c>
      <c r="E2161" s="156" t="str">
        <f>'Reported burning'!E2161</f>
        <v>Biodiversity conservation</v>
      </c>
      <c r="F2161" s="156" t="str">
        <f>'Reported burning'!F2161</f>
        <v>Forest</v>
      </c>
      <c r="G2161" s="156" t="str">
        <f>'Reported burning'!G2161</f>
        <v>Forest</v>
      </c>
      <c r="H2161" s="156" t="str">
        <f>'Reported burning'!H2161</f>
        <v>Presence</v>
      </c>
      <c r="I2161" s="204"/>
      <c r="J2161" s="21" t="s">
        <v>2276</v>
      </c>
      <c r="K2161" s="21" t="s">
        <v>2276</v>
      </c>
      <c r="L2161" s="21" t="s">
        <v>2276</v>
      </c>
      <c r="M2161" s="21" t="s">
        <v>2276</v>
      </c>
      <c r="N2161" s="21" t="s">
        <v>2276</v>
      </c>
      <c r="O2161" s="21" t="s">
        <v>2276</v>
      </c>
      <c r="P2161" s="21" t="s">
        <v>2276</v>
      </c>
      <c r="Q2161" s="21" t="s">
        <v>2276</v>
      </c>
      <c r="R2161" s="21" t="s">
        <v>2276</v>
      </c>
      <c r="S2161" s="21" t="s">
        <v>2527</v>
      </c>
      <c r="T2161" s="21" t="s">
        <v>2276</v>
      </c>
      <c r="U2161" s="21" t="s">
        <v>2527</v>
      </c>
      <c r="V2161" s="21" t="s">
        <v>2276</v>
      </c>
      <c r="W2161" s="21" t="s">
        <v>2276</v>
      </c>
      <c r="X2161" s="21" t="s">
        <v>2276</v>
      </c>
      <c r="Y2161" s="21" t="s">
        <v>2276</v>
      </c>
      <c r="Z2161" s="21" t="s">
        <v>2276</v>
      </c>
      <c r="AA2161" s="204"/>
      <c r="AB2161" s="204"/>
    </row>
    <row r="2162" spans="1:28" s="203" customFormat="1" ht="46" customHeight="1">
      <c r="A2162" s="156" t="str">
        <f>'Reported burning'!A2162</f>
        <v>258e</v>
      </c>
      <c r="B2162" s="156" t="str">
        <f>'Reported burning'!B2162</f>
        <v>258e.2</v>
      </c>
      <c r="C2162" s="156" t="str">
        <f>'Reported burning'!C2162</f>
        <v>Human, deliberate</v>
      </c>
      <c r="D2162" s="156" t="str">
        <f>'Reported burning'!D2162</f>
        <v>Pyrome management</v>
      </c>
      <c r="E2162" s="156" t="str">
        <f>'Reported burning'!E2162</f>
        <v>Forestry, Industrial</v>
      </c>
      <c r="F2162" s="156" t="str">
        <f>'Reported burning'!F2162</f>
        <v>Forest</v>
      </c>
      <c r="G2162" s="156" t="str">
        <f>'Reported burning'!G2162</f>
        <v>Forest</v>
      </c>
      <c r="H2162" s="156" t="str">
        <f>'Reported burning'!H2162</f>
        <v>Presence</v>
      </c>
      <c r="I2162" s="204"/>
      <c r="J2162" s="21" t="s">
        <v>2276</v>
      </c>
      <c r="K2162" s="21" t="s">
        <v>2276</v>
      </c>
      <c r="L2162" s="21" t="s">
        <v>2276</v>
      </c>
      <c r="M2162" s="21" t="s">
        <v>2276</v>
      </c>
      <c r="N2162" s="21" t="s">
        <v>2276</v>
      </c>
      <c r="O2162" s="21" t="s">
        <v>2276</v>
      </c>
      <c r="P2162" s="21" t="s">
        <v>2276</v>
      </c>
      <c r="Q2162" s="21" t="s">
        <v>2276</v>
      </c>
      <c r="R2162" s="21" t="s">
        <v>2276</v>
      </c>
      <c r="S2162" s="21" t="s">
        <v>2527</v>
      </c>
      <c r="T2162" s="21" t="s">
        <v>2276</v>
      </c>
      <c r="U2162" s="21" t="s">
        <v>2527</v>
      </c>
      <c r="V2162" s="21" t="s">
        <v>2276</v>
      </c>
      <c r="W2162" s="21" t="s">
        <v>2276</v>
      </c>
      <c r="X2162" s="21" t="s">
        <v>2276</v>
      </c>
      <c r="Y2162" s="21" t="s">
        <v>2276</v>
      </c>
      <c r="Z2162" s="21" t="s">
        <v>2276</v>
      </c>
      <c r="AA2162" s="204"/>
      <c r="AB2162" s="204"/>
    </row>
    <row r="2163" spans="1:28" ht="46" customHeight="1">
      <c r="A2163" s="156" t="str">
        <f>'Reported burning'!A2163</f>
        <v>259a</v>
      </c>
      <c r="B2163" s="156" t="str">
        <f>'Reported burning'!B2163</f>
        <v>259a.1</v>
      </c>
      <c r="C2163" s="156" t="str">
        <f>'Reported burning'!C2163</f>
        <v>Unknown</v>
      </c>
      <c r="D2163" s="156" t="str">
        <f>'Reported burning'!D2163</f>
        <v>ND</v>
      </c>
      <c r="E2163" s="156" t="str">
        <f>'Reported burning'!E2163</f>
        <v>ND</v>
      </c>
      <c r="F2163" s="156" t="str">
        <f>'Reported burning'!F2163</f>
        <v>ND</v>
      </c>
      <c r="G2163" s="156" t="str">
        <f>'Reported burning'!G2163</f>
        <v>Shrubland (Mixed forest &amp; grassland)</v>
      </c>
      <c r="H2163" s="156" t="str">
        <f>'Reported burning'!H2163</f>
        <v>Presence</v>
      </c>
      <c r="I2163" s="3">
        <v>2007</v>
      </c>
      <c r="J2163" s="21" t="s">
        <v>2276</v>
      </c>
      <c r="K2163" s="103" t="s">
        <v>2276</v>
      </c>
      <c r="L2163" s="21" t="s">
        <v>2362</v>
      </c>
      <c r="M2163" s="21" t="s">
        <v>2276</v>
      </c>
      <c r="N2163" s="21" t="s">
        <v>2386</v>
      </c>
      <c r="O2163" s="21" t="s">
        <v>2276</v>
      </c>
      <c r="P2163" s="21" t="s">
        <v>2276</v>
      </c>
      <c r="Q2163" s="21" t="s">
        <v>2276</v>
      </c>
      <c r="R2163" s="21" t="s">
        <v>2362</v>
      </c>
      <c r="S2163" s="21" t="s">
        <v>2276</v>
      </c>
      <c r="T2163" s="21" t="s">
        <v>2276</v>
      </c>
      <c r="U2163" s="21" t="s">
        <v>2276</v>
      </c>
      <c r="V2163" s="21" t="s">
        <v>2276</v>
      </c>
      <c r="W2163" s="21" t="s">
        <v>2276</v>
      </c>
      <c r="X2163" s="3" t="s">
        <v>34</v>
      </c>
      <c r="Y2163" s="3" t="s">
        <v>405</v>
      </c>
      <c r="Z2163" s="3" t="s">
        <v>2276</v>
      </c>
      <c r="AA2163" s="3"/>
      <c r="AB2163" s="4" t="s">
        <v>6664</v>
      </c>
    </row>
    <row r="2164" spans="1:28" s="203" customFormat="1" ht="46" customHeight="1">
      <c r="A2164" s="156" t="str">
        <f>'Reported burning'!A2164</f>
        <v>259a</v>
      </c>
      <c r="B2164" s="156" t="str">
        <f>'Reported burning'!B2164</f>
        <v>259a.2</v>
      </c>
      <c r="C2164" s="156" t="str">
        <f>'Reported burning'!C2164</f>
        <v>Unknown</v>
      </c>
      <c r="D2164" s="156" t="str">
        <f>'Reported burning'!D2164</f>
        <v>ND</v>
      </c>
      <c r="E2164" s="156" t="str">
        <f>'Reported burning'!E2164</f>
        <v>ND</v>
      </c>
      <c r="F2164" s="156" t="str">
        <f>'Reported burning'!F2164</f>
        <v>ND</v>
      </c>
      <c r="G2164" s="156" t="str">
        <f>'Reported burning'!G2164</f>
        <v>Shrubland (Mixed forest &amp; grassland)</v>
      </c>
      <c r="H2164" s="156" t="str">
        <f>'Reported burning'!H2164</f>
        <v>Presence</v>
      </c>
      <c r="I2164" s="204">
        <v>2000</v>
      </c>
      <c r="J2164" s="21" t="s">
        <v>2276</v>
      </c>
      <c r="K2164" s="103" t="s">
        <v>2276</v>
      </c>
      <c r="L2164" s="21" t="s">
        <v>2362</v>
      </c>
      <c r="M2164" s="21" t="s">
        <v>2276</v>
      </c>
      <c r="N2164" s="21" t="s">
        <v>2385</v>
      </c>
      <c r="O2164" s="21" t="s">
        <v>2276</v>
      </c>
      <c r="P2164" s="21" t="s">
        <v>2276</v>
      </c>
      <c r="Q2164" s="21" t="s">
        <v>2276</v>
      </c>
      <c r="R2164" s="21" t="s">
        <v>2362</v>
      </c>
      <c r="S2164" s="21" t="s">
        <v>2276</v>
      </c>
      <c r="T2164" s="21" t="s">
        <v>2276</v>
      </c>
      <c r="U2164" s="21" t="s">
        <v>2276</v>
      </c>
      <c r="V2164" s="21" t="s">
        <v>2276</v>
      </c>
      <c r="W2164" s="21" t="s">
        <v>2276</v>
      </c>
      <c r="X2164" s="204" t="s">
        <v>34</v>
      </c>
      <c r="Y2164" s="204" t="s">
        <v>405</v>
      </c>
      <c r="Z2164" s="204" t="s">
        <v>2276</v>
      </c>
      <c r="AA2164" s="204"/>
      <c r="AB2164" s="4" t="s">
        <v>6664</v>
      </c>
    </row>
    <row r="2165" spans="1:28" s="203" customFormat="1" ht="46" customHeight="1">
      <c r="A2165" s="156" t="str">
        <f>'Reported burning'!A2165</f>
        <v>259a</v>
      </c>
      <c r="B2165" s="156" t="str">
        <f>'Reported burning'!B2165</f>
        <v>259a.3</v>
      </c>
      <c r="C2165" s="156" t="str">
        <f>'Reported burning'!C2165</f>
        <v>Unknown</v>
      </c>
      <c r="D2165" s="156" t="str">
        <f>'Reported burning'!D2165</f>
        <v>ND</v>
      </c>
      <c r="E2165" s="156" t="str">
        <f>'Reported burning'!E2165</f>
        <v>ND</v>
      </c>
      <c r="F2165" s="156" t="str">
        <f>'Reported burning'!F2165</f>
        <v>ND</v>
      </c>
      <c r="G2165" s="156" t="str">
        <f>'Reported burning'!G2165</f>
        <v>Shrubland (Mixed forest &amp; grassland)</v>
      </c>
      <c r="H2165" s="156" t="str">
        <f>'Reported burning'!H2165</f>
        <v>Presence</v>
      </c>
      <c r="I2165" s="204">
        <v>2001</v>
      </c>
      <c r="J2165" s="21" t="s">
        <v>2276</v>
      </c>
      <c r="K2165" s="103" t="s">
        <v>2276</v>
      </c>
      <c r="L2165" s="21" t="s">
        <v>2362</v>
      </c>
      <c r="M2165" s="21" t="s">
        <v>2276</v>
      </c>
      <c r="N2165" s="21" t="s">
        <v>2385</v>
      </c>
      <c r="O2165" s="21" t="s">
        <v>2276</v>
      </c>
      <c r="P2165" s="21" t="s">
        <v>2276</v>
      </c>
      <c r="Q2165" s="21" t="s">
        <v>2276</v>
      </c>
      <c r="R2165" s="21" t="s">
        <v>2362</v>
      </c>
      <c r="S2165" s="21" t="s">
        <v>2276</v>
      </c>
      <c r="T2165" s="21" t="s">
        <v>2276</v>
      </c>
      <c r="U2165" s="21" t="s">
        <v>2276</v>
      </c>
      <c r="V2165" s="21" t="s">
        <v>2276</v>
      </c>
      <c r="W2165" s="21" t="s">
        <v>2276</v>
      </c>
      <c r="X2165" s="204" t="s">
        <v>34</v>
      </c>
      <c r="Y2165" s="204" t="s">
        <v>405</v>
      </c>
      <c r="Z2165" s="204" t="s">
        <v>2276</v>
      </c>
      <c r="AA2165" s="204"/>
      <c r="AB2165" s="4" t="s">
        <v>6664</v>
      </c>
    </row>
    <row r="2166" spans="1:28" s="203" customFormat="1" ht="46" customHeight="1">
      <c r="A2166" s="156" t="str">
        <f>'Reported burning'!A2166</f>
        <v>259a</v>
      </c>
      <c r="B2166" s="156" t="str">
        <f>'Reported burning'!B2166</f>
        <v>259a.4</v>
      </c>
      <c r="C2166" s="156" t="str">
        <f>'Reported burning'!C2166</f>
        <v>Unknown</v>
      </c>
      <c r="D2166" s="156" t="str">
        <f>'Reported burning'!D2166</f>
        <v>ND</v>
      </c>
      <c r="E2166" s="156" t="str">
        <f>'Reported burning'!E2166</f>
        <v>ND</v>
      </c>
      <c r="F2166" s="156" t="str">
        <f>'Reported burning'!F2166</f>
        <v>ND</v>
      </c>
      <c r="G2166" s="156" t="str">
        <f>'Reported burning'!G2166</f>
        <v>Shrubland (Mixed forest &amp; grassland)</v>
      </c>
      <c r="H2166" s="156" t="str">
        <f>'Reported burning'!H2166</f>
        <v>Presence</v>
      </c>
      <c r="I2166" s="204">
        <v>2002</v>
      </c>
      <c r="J2166" s="21" t="s">
        <v>2276</v>
      </c>
      <c r="K2166" s="103" t="s">
        <v>2276</v>
      </c>
      <c r="L2166" s="21" t="s">
        <v>2362</v>
      </c>
      <c r="M2166" s="21" t="s">
        <v>2276</v>
      </c>
      <c r="N2166" s="21" t="s">
        <v>2385</v>
      </c>
      <c r="O2166" s="21" t="s">
        <v>2276</v>
      </c>
      <c r="P2166" s="21" t="s">
        <v>2276</v>
      </c>
      <c r="Q2166" s="21" t="s">
        <v>2276</v>
      </c>
      <c r="R2166" s="21" t="s">
        <v>2362</v>
      </c>
      <c r="S2166" s="21" t="s">
        <v>2276</v>
      </c>
      <c r="T2166" s="21" t="s">
        <v>2276</v>
      </c>
      <c r="U2166" s="21" t="s">
        <v>2276</v>
      </c>
      <c r="V2166" s="21" t="s">
        <v>2276</v>
      </c>
      <c r="W2166" s="21" t="s">
        <v>2276</v>
      </c>
      <c r="X2166" s="204" t="s">
        <v>34</v>
      </c>
      <c r="Y2166" s="204" t="s">
        <v>405</v>
      </c>
      <c r="Z2166" s="204" t="s">
        <v>2276</v>
      </c>
      <c r="AA2166" s="204"/>
      <c r="AB2166" s="4" t="s">
        <v>6664</v>
      </c>
    </row>
    <row r="2167" spans="1:28" s="203" customFormat="1" ht="46" customHeight="1">
      <c r="A2167" s="156" t="str">
        <f>'Reported burning'!A2167</f>
        <v>259a</v>
      </c>
      <c r="B2167" s="156" t="str">
        <f>'Reported burning'!B2167</f>
        <v>259a.5</v>
      </c>
      <c r="C2167" s="156" t="str">
        <f>'Reported burning'!C2167</f>
        <v>Unknown</v>
      </c>
      <c r="D2167" s="156" t="str">
        <f>'Reported burning'!D2167</f>
        <v>ND</v>
      </c>
      <c r="E2167" s="156" t="str">
        <f>'Reported burning'!E2167</f>
        <v>ND</v>
      </c>
      <c r="F2167" s="156" t="str">
        <f>'Reported burning'!F2167</f>
        <v>ND</v>
      </c>
      <c r="G2167" s="156" t="str">
        <f>'Reported burning'!G2167</f>
        <v>Shrubland (Mixed forest &amp; grassland)</v>
      </c>
      <c r="H2167" s="156" t="str">
        <f>'Reported burning'!H2167</f>
        <v>Presence</v>
      </c>
      <c r="I2167" s="204">
        <v>2003</v>
      </c>
      <c r="J2167" s="21" t="s">
        <v>2276</v>
      </c>
      <c r="K2167" s="103" t="s">
        <v>2276</v>
      </c>
      <c r="L2167" s="21" t="s">
        <v>2362</v>
      </c>
      <c r="M2167" s="21" t="s">
        <v>2276</v>
      </c>
      <c r="N2167" s="21" t="s">
        <v>2385</v>
      </c>
      <c r="O2167" s="21" t="s">
        <v>2276</v>
      </c>
      <c r="P2167" s="21" t="s">
        <v>2276</v>
      </c>
      <c r="Q2167" s="21" t="s">
        <v>2276</v>
      </c>
      <c r="R2167" s="21" t="s">
        <v>2362</v>
      </c>
      <c r="S2167" s="21" t="s">
        <v>2276</v>
      </c>
      <c r="T2167" s="21" t="s">
        <v>2276</v>
      </c>
      <c r="U2167" s="21" t="s">
        <v>2276</v>
      </c>
      <c r="V2167" s="21" t="s">
        <v>2276</v>
      </c>
      <c r="W2167" s="21" t="s">
        <v>2276</v>
      </c>
      <c r="X2167" s="204" t="s">
        <v>34</v>
      </c>
      <c r="Y2167" s="204" t="s">
        <v>405</v>
      </c>
      <c r="Z2167" s="204" t="s">
        <v>2276</v>
      </c>
      <c r="AA2167" s="204"/>
      <c r="AB2167" s="4" t="s">
        <v>6664</v>
      </c>
    </row>
    <row r="2168" spans="1:28" s="203" customFormat="1" ht="46" customHeight="1">
      <c r="A2168" s="156" t="str">
        <f>'Reported burning'!A2168</f>
        <v>259a</v>
      </c>
      <c r="B2168" s="156" t="str">
        <f>'Reported burning'!B2168</f>
        <v>259a.6</v>
      </c>
      <c r="C2168" s="156" t="str">
        <f>'Reported burning'!C2168</f>
        <v>Unknown</v>
      </c>
      <c r="D2168" s="156" t="str">
        <f>'Reported burning'!D2168</f>
        <v>ND</v>
      </c>
      <c r="E2168" s="156" t="str">
        <f>'Reported burning'!E2168</f>
        <v>ND</v>
      </c>
      <c r="F2168" s="156" t="str">
        <f>'Reported burning'!F2168</f>
        <v>ND</v>
      </c>
      <c r="G2168" s="156" t="str">
        <f>'Reported burning'!G2168</f>
        <v>Shrubland (Mixed forest &amp; grassland)</v>
      </c>
      <c r="H2168" s="156" t="str">
        <f>'Reported burning'!H2168</f>
        <v>Presence</v>
      </c>
      <c r="I2168" s="204">
        <v>2004</v>
      </c>
      <c r="J2168" s="21" t="s">
        <v>2276</v>
      </c>
      <c r="K2168" s="103" t="s">
        <v>2276</v>
      </c>
      <c r="L2168" s="21" t="s">
        <v>2362</v>
      </c>
      <c r="M2168" s="21" t="s">
        <v>2276</v>
      </c>
      <c r="N2168" s="21" t="s">
        <v>2385</v>
      </c>
      <c r="O2168" s="21" t="s">
        <v>2276</v>
      </c>
      <c r="P2168" s="21" t="s">
        <v>2276</v>
      </c>
      <c r="Q2168" s="21" t="s">
        <v>2276</v>
      </c>
      <c r="R2168" s="21" t="s">
        <v>2362</v>
      </c>
      <c r="S2168" s="21" t="s">
        <v>2276</v>
      </c>
      <c r="T2168" s="21" t="s">
        <v>2276</v>
      </c>
      <c r="U2168" s="21" t="s">
        <v>2276</v>
      </c>
      <c r="V2168" s="21" t="s">
        <v>2276</v>
      </c>
      <c r="W2168" s="21" t="s">
        <v>2276</v>
      </c>
      <c r="X2168" s="204" t="s">
        <v>34</v>
      </c>
      <c r="Y2168" s="204" t="s">
        <v>405</v>
      </c>
      <c r="Z2168" s="204" t="s">
        <v>2276</v>
      </c>
      <c r="AA2168" s="204"/>
      <c r="AB2168" s="4" t="s">
        <v>6664</v>
      </c>
    </row>
    <row r="2169" spans="1:28" s="203" customFormat="1" ht="46" customHeight="1">
      <c r="A2169" s="156" t="str">
        <f>'Reported burning'!A2169</f>
        <v>259a</v>
      </c>
      <c r="B2169" s="156" t="str">
        <f>'Reported burning'!B2169</f>
        <v>259a.7</v>
      </c>
      <c r="C2169" s="156" t="str">
        <f>'Reported burning'!C2169</f>
        <v>Unknown</v>
      </c>
      <c r="D2169" s="156" t="str">
        <f>'Reported burning'!D2169</f>
        <v>ND</v>
      </c>
      <c r="E2169" s="156" t="str">
        <f>'Reported burning'!E2169</f>
        <v>ND</v>
      </c>
      <c r="F2169" s="156" t="str">
        <f>'Reported burning'!F2169</f>
        <v>ND</v>
      </c>
      <c r="G2169" s="156" t="str">
        <f>'Reported burning'!G2169</f>
        <v>Shrubland (Mixed forest &amp; grassland)</v>
      </c>
      <c r="H2169" s="156" t="str">
        <f>'Reported burning'!H2169</f>
        <v>Presence</v>
      </c>
      <c r="I2169" s="204">
        <v>2005</v>
      </c>
      <c r="J2169" s="21" t="s">
        <v>2276</v>
      </c>
      <c r="K2169" s="103" t="s">
        <v>2276</v>
      </c>
      <c r="L2169" s="21" t="s">
        <v>2362</v>
      </c>
      <c r="M2169" s="21" t="s">
        <v>2276</v>
      </c>
      <c r="N2169" s="21" t="s">
        <v>2385</v>
      </c>
      <c r="O2169" s="21" t="s">
        <v>2276</v>
      </c>
      <c r="P2169" s="21" t="s">
        <v>2276</v>
      </c>
      <c r="Q2169" s="21" t="s">
        <v>2276</v>
      </c>
      <c r="R2169" s="21" t="s">
        <v>2362</v>
      </c>
      <c r="S2169" s="21" t="s">
        <v>2276</v>
      </c>
      <c r="T2169" s="21" t="s">
        <v>2276</v>
      </c>
      <c r="U2169" s="21" t="s">
        <v>2276</v>
      </c>
      <c r="V2169" s="21" t="s">
        <v>2276</v>
      </c>
      <c r="W2169" s="21" t="s">
        <v>2276</v>
      </c>
      <c r="X2169" s="204" t="s">
        <v>34</v>
      </c>
      <c r="Y2169" s="204" t="s">
        <v>405</v>
      </c>
      <c r="Z2169" s="204" t="s">
        <v>2276</v>
      </c>
      <c r="AA2169" s="204"/>
      <c r="AB2169" s="4" t="s">
        <v>6664</v>
      </c>
    </row>
    <row r="2170" spans="1:28" s="203" customFormat="1" ht="46" customHeight="1">
      <c r="A2170" s="156" t="str">
        <f>'Reported burning'!A2170</f>
        <v>259a</v>
      </c>
      <c r="B2170" s="156" t="str">
        <f>'Reported burning'!B2170</f>
        <v>259a.8</v>
      </c>
      <c r="C2170" s="156" t="str">
        <f>'Reported burning'!C2170</f>
        <v>Unknown</v>
      </c>
      <c r="D2170" s="156" t="str">
        <f>'Reported burning'!D2170</f>
        <v>ND</v>
      </c>
      <c r="E2170" s="156" t="str">
        <f>'Reported burning'!E2170</f>
        <v>ND</v>
      </c>
      <c r="F2170" s="156" t="str">
        <f>'Reported burning'!F2170</f>
        <v>ND</v>
      </c>
      <c r="G2170" s="156" t="str">
        <f>'Reported burning'!G2170</f>
        <v>Shrubland (Mixed forest &amp; grassland)</v>
      </c>
      <c r="H2170" s="156" t="str">
        <f>'Reported burning'!H2170</f>
        <v>Presence</v>
      </c>
      <c r="I2170" s="204">
        <v>2006</v>
      </c>
      <c r="J2170" s="21" t="s">
        <v>2276</v>
      </c>
      <c r="K2170" s="103" t="s">
        <v>2276</v>
      </c>
      <c r="L2170" s="21" t="s">
        <v>2362</v>
      </c>
      <c r="M2170" s="21" t="s">
        <v>2276</v>
      </c>
      <c r="N2170" s="21" t="s">
        <v>2385</v>
      </c>
      <c r="O2170" s="21" t="s">
        <v>2276</v>
      </c>
      <c r="P2170" s="21" t="s">
        <v>2276</v>
      </c>
      <c r="Q2170" s="21" t="s">
        <v>2276</v>
      </c>
      <c r="R2170" s="21" t="s">
        <v>2362</v>
      </c>
      <c r="S2170" s="21" t="s">
        <v>2276</v>
      </c>
      <c r="T2170" s="21" t="s">
        <v>2276</v>
      </c>
      <c r="U2170" s="21" t="s">
        <v>2276</v>
      </c>
      <c r="V2170" s="21" t="s">
        <v>2276</v>
      </c>
      <c r="W2170" s="21" t="s">
        <v>2276</v>
      </c>
      <c r="X2170" s="204" t="s">
        <v>34</v>
      </c>
      <c r="Y2170" s="204" t="s">
        <v>405</v>
      </c>
      <c r="Z2170" s="204" t="s">
        <v>2276</v>
      </c>
      <c r="AA2170" s="204"/>
      <c r="AB2170" s="4" t="s">
        <v>6664</v>
      </c>
    </row>
    <row r="2171" spans="1:28" ht="46" customHeight="1">
      <c r="A2171" s="156" t="str">
        <f>'Reported burning'!A2171</f>
        <v>260a</v>
      </c>
      <c r="B2171" s="156" t="str">
        <f>'Reported burning'!B2171</f>
        <v>260a.1</v>
      </c>
      <c r="C2171" s="156" t="str">
        <f>'Reported burning'!C2171</f>
        <v>All</v>
      </c>
      <c r="D2171" s="156" t="str">
        <f>'Reported burning'!D2171</f>
        <v>All</v>
      </c>
      <c r="E2171" s="156" t="str">
        <f>'Reported burning'!E2171</f>
        <v>All</v>
      </c>
      <c r="F2171" s="156" t="str">
        <f>'Reported burning'!F2171</f>
        <v>ND</v>
      </c>
      <c r="G2171" s="156" t="str">
        <f>'Reported burning'!G2171</f>
        <v>ND</v>
      </c>
      <c r="H2171" s="156" t="str">
        <f>'Reported burning'!H2171</f>
        <v>Presence</v>
      </c>
      <c r="I2171" s="4">
        <v>2003</v>
      </c>
      <c r="J2171" s="21" t="s">
        <v>2276</v>
      </c>
      <c r="K2171" s="103" t="s">
        <v>2276</v>
      </c>
      <c r="L2171" s="21" t="s">
        <v>2362</v>
      </c>
      <c r="M2171" s="21" t="s">
        <v>2276</v>
      </c>
      <c r="N2171" s="21" t="s">
        <v>2276</v>
      </c>
      <c r="O2171" s="21" t="s">
        <v>2276</v>
      </c>
      <c r="P2171" s="21" t="s">
        <v>2276</v>
      </c>
      <c r="Q2171" s="21" t="s">
        <v>2276</v>
      </c>
      <c r="R2171" s="21" t="s">
        <v>2362</v>
      </c>
      <c r="S2171" s="21" t="s">
        <v>2276</v>
      </c>
      <c r="T2171" s="21" t="s">
        <v>2276</v>
      </c>
      <c r="U2171" s="21" t="s">
        <v>2276</v>
      </c>
      <c r="V2171" s="21" t="s">
        <v>2276</v>
      </c>
      <c r="W2171" s="21" t="s">
        <v>2276</v>
      </c>
      <c r="X2171" s="21" t="s">
        <v>2276</v>
      </c>
      <c r="Y2171" s="21" t="s">
        <v>2276</v>
      </c>
      <c r="Z2171" s="21" t="s">
        <v>2276</v>
      </c>
      <c r="AA2171" s="3"/>
      <c r="AB2171" s="4" t="s">
        <v>6672</v>
      </c>
    </row>
    <row r="2172" spans="1:28" ht="52.5" customHeight="1">
      <c r="A2172" s="156" t="str">
        <f>'Reported burning'!A2172</f>
        <v>260a</v>
      </c>
      <c r="B2172" s="156" t="str">
        <f>'Reported burning'!B2172</f>
        <v>260a.2</v>
      </c>
      <c r="C2172" s="156" t="str">
        <f>'Reported burning'!C2173</f>
        <v>All</v>
      </c>
      <c r="D2172" s="156" t="str">
        <f>'Reported burning'!D2173</f>
        <v>All</v>
      </c>
      <c r="E2172" s="156" t="str">
        <f>'Reported burning'!E2173</f>
        <v>All</v>
      </c>
      <c r="F2172" s="156" t="str">
        <f>'Reported burning'!F2173</f>
        <v>ND</v>
      </c>
      <c r="G2172" s="156" t="str">
        <f>'Reported burning'!G2173</f>
        <v>Forest</v>
      </c>
      <c r="H2172" s="156" t="str">
        <f>'Reported burning'!H2173</f>
        <v>Presence</v>
      </c>
      <c r="I2172" s="4">
        <v>2003</v>
      </c>
      <c r="J2172" s="21" t="s">
        <v>2276</v>
      </c>
      <c r="K2172" s="103" t="s">
        <v>2276</v>
      </c>
      <c r="L2172" s="21" t="s">
        <v>2362</v>
      </c>
      <c r="M2172" s="21" t="s">
        <v>2276</v>
      </c>
      <c r="N2172" s="21" t="s">
        <v>2276</v>
      </c>
      <c r="O2172" s="21" t="s">
        <v>2276</v>
      </c>
      <c r="P2172" s="21" t="s">
        <v>2276</v>
      </c>
      <c r="Q2172" s="21" t="s">
        <v>2276</v>
      </c>
      <c r="R2172" s="21" t="s">
        <v>2362</v>
      </c>
      <c r="S2172" s="21" t="s">
        <v>2276</v>
      </c>
      <c r="T2172" s="21" t="s">
        <v>2276</v>
      </c>
      <c r="U2172" s="21" t="s">
        <v>2276</v>
      </c>
      <c r="V2172" s="21" t="s">
        <v>2276</v>
      </c>
      <c r="W2172" s="21" t="s">
        <v>2276</v>
      </c>
      <c r="X2172" s="21" t="s">
        <v>2276</v>
      </c>
      <c r="Y2172" s="21" t="s">
        <v>2276</v>
      </c>
      <c r="Z2172" s="21" t="s">
        <v>2276</v>
      </c>
      <c r="AA2172" s="4"/>
      <c r="AB2172" s="4" t="s">
        <v>6672</v>
      </c>
    </row>
    <row r="2173" spans="1:28" s="203" customFormat="1" ht="48.5" customHeight="1">
      <c r="A2173" s="156" t="str">
        <f>'Reported burning'!A2173</f>
        <v>260a</v>
      </c>
      <c r="B2173" s="156" t="str">
        <f>'Reported burning'!B2173</f>
        <v>260a.3</v>
      </c>
      <c r="C2173" s="156" t="str">
        <f>'Reported burning'!C2173</f>
        <v>All</v>
      </c>
      <c r="D2173" s="156" t="str">
        <f>'Reported burning'!D2173</f>
        <v>All</v>
      </c>
      <c r="E2173" s="156" t="str">
        <f>'Reported burning'!E2173</f>
        <v>All</v>
      </c>
      <c r="F2173" s="156" t="str">
        <f>'Reported burning'!F2173</f>
        <v>ND</v>
      </c>
      <c r="G2173" s="156" t="str">
        <f>'Reported burning'!G2173</f>
        <v>Forest</v>
      </c>
      <c r="H2173" s="156" t="str">
        <f>'Reported burning'!H2173</f>
        <v>Presence</v>
      </c>
      <c r="I2173" s="4">
        <v>2005</v>
      </c>
      <c r="J2173" s="21" t="s">
        <v>2276</v>
      </c>
      <c r="K2173" s="103" t="s">
        <v>2276</v>
      </c>
      <c r="L2173" s="21" t="s">
        <v>2362</v>
      </c>
      <c r="M2173" s="21" t="s">
        <v>2276</v>
      </c>
      <c r="N2173" s="21" t="s">
        <v>2276</v>
      </c>
      <c r="O2173" s="21" t="s">
        <v>2276</v>
      </c>
      <c r="P2173" s="21" t="s">
        <v>2276</v>
      </c>
      <c r="Q2173" s="21" t="s">
        <v>2276</v>
      </c>
      <c r="R2173" s="21" t="s">
        <v>2362</v>
      </c>
      <c r="S2173" s="21" t="s">
        <v>2276</v>
      </c>
      <c r="T2173" s="21" t="s">
        <v>2276</v>
      </c>
      <c r="U2173" s="21" t="s">
        <v>2276</v>
      </c>
      <c r="V2173" s="21" t="s">
        <v>2276</v>
      </c>
      <c r="W2173" s="21" t="s">
        <v>2276</v>
      </c>
      <c r="X2173" s="21" t="s">
        <v>2276</v>
      </c>
      <c r="Y2173" s="21" t="s">
        <v>2276</v>
      </c>
      <c r="Z2173" s="21" t="s">
        <v>2276</v>
      </c>
      <c r="AA2173" s="4"/>
      <c r="AB2173" s="4" t="s">
        <v>6673</v>
      </c>
    </row>
    <row r="2174" spans="1:28" s="203" customFormat="1" ht="48" customHeight="1">
      <c r="A2174" s="156" t="str">
        <f>'Reported burning'!A2174</f>
        <v>260a</v>
      </c>
      <c r="B2174" s="156" t="str">
        <f>'Reported burning'!B2174</f>
        <v>260a.4</v>
      </c>
      <c r="C2174" s="156" t="str">
        <f>'Reported burning'!C2175</f>
        <v>All</v>
      </c>
      <c r="D2174" s="156" t="str">
        <f>'Reported burning'!D2175</f>
        <v>All</v>
      </c>
      <c r="E2174" s="156" t="str">
        <f>'Reported burning'!E2175</f>
        <v>All</v>
      </c>
      <c r="F2174" s="156" t="str">
        <f>'Reported burning'!F2175</f>
        <v>ND</v>
      </c>
      <c r="G2174" s="156" t="str">
        <f>'Reported burning'!G2175</f>
        <v>ND</v>
      </c>
      <c r="H2174" s="156" t="str">
        <f>'Reported burning'!H2175</f>
        <v>Presence</v>
      </c>
      <c r="I2174" s="4">
        <v>2002</v>
      </c>
      <c r="J2174" s="21" t="s">
        <v>2276</v>
      </c>
      <c r="K2174" s="103" t="s">
        <v>2276</v>
      </c>
      <c r="L2174" s="21" t="s">
        <v>2362</v>
      </c>
      <c r="M2174" s="21" t="s">
        <v>2276</v>
      </c>
      <c r="N2174" s="21" t="s">
        <v>2276</v>
      </c>
      <c r="O2174" s="21" t="s">
        <v>2276</v>
      </c>
      <c r="P2174" s="21" t="s">
        <v>2276</v>
      </c>
      <c r="Q2174" s="21" t="s">
        <v>2276</v>
      </c>
      <c r="R2174" s="21" t="s">
        <v>2362</v>
      </c>
      <c r="S2174" s="21" t="s">
        <v>2276</v>
      </c>
      <c r="T2174" s="21" t="s">
        <v>2276</v>
      </c>
      <c r="U2174" s="21" t="s">
        <v>2276</v>
      </c>
      <c r="V2174" s="21" t="s">
        <v>2276</v>
      </c>
      <c r="W2174" s="21" t="s">
        <v>2276</v>
      </c>
      <c r="X2174" s="21" t="s">
        <v>2276</v>
      </c>
      <c r="Y2174" s="21" t="s">
        <v>2276</v>
      </c>
      <c r="Z2174" s="21" t="s">
        <v>2276</v>
      </c>
      <c r="AA2174" s="4"/>
      <c r="AB2174" s="4" t="s">
        <v>6673</v>
      </c>
    </row>
    <row r="2175" spans="1:28" s="203" customFormat="1" ht="52.5" customHeight="1">
      <c r="A2175" s="156" t="str">
        <f>'Reported burning'!A2175</f>
        <v>260a</v>
      </c>
      <c r="B2175" s="156" t="str">
        <f>'Reported burning'!B2175</f>
        <v>260a.5</v>
      </c>
      <c r="C2175" s="156" t="str">
        <f>'Reported burning'!C2175</f>
        <v>All</v>
      </c>
      <c r="D2175" s="156" t="str">
        <f>'Reported burning'!D2175</f>
        <v>All</v>
      </c>
      <c r="E2175" s="156" t="str">
        <f>'Reported burning'!E2175</f>
        <v>All</v>
      </c>
      <c r="F2175" s="156" t="str">
        <f>'Reported burning'!F2175</f>
        <v>ND</v>
      </c>
      <c r="G2175" s="156" t="str">
        <f>'Reported burning'!G2175</f>
        <v>ND</v>
      </c>
      <c r="H2175" s="156" t="str">
        <f>'Reported burning'!H2175</f>
        <v>Presence</v>
      </c>
      <c r="I2175" s="4">
        <v>2006</v>
      </c>
      <c r="J2175" s="21" t="s">
        <v>2276</v>
      </c>
      <c r="K2175" s="103" t="s">
        <v>2276</v>
      </c>
      <c r="L2175" s="21" t="s">
        <v>2362</v>
      </c>
      <c r="M2175" s="21" t="s">
        <v>2276</v>
      </c>
      <c r="N2175" s="21" t="s">
        <v>2276</v>
      </c>
      <c r="O2175" s="21" t="s">
        <v>2276</v>
      </c>
      <c r="P2175" s="21" t="s">
        <v>2276</v>
      </c>
      <c r="Q2175" s="21" t="s">
        <v>2276</v>
      </c>
      <c r="R2175" s="21" t="s">
        <v>2362</v>
      </c>
      <c r="S2175" s="21" t="s">
        <v>2276</v>
      </c>
      <c r="T2175" s="21" t="s">
        <v>2276</v>
      </c>
      <c r="U2175" s="21" t="s">
        <v>2276</v>
      </c>
      <c r="V2175" s="21" t="s">
        <v>2276</v>
      </c>
      <c r="W2175" s="21" t="s">
        <v>2276</v>
      </c>
      <c r="X2175" s="21" t="s">
        <v>2276</v>
      </c>
      <c r="Y2175" s="21" t="s">
        <v>2276</v>
      </c>
      <c r="Z2175" s="21" t="s">
        <v>2276</v>
      </c>
      <c r="AA2175" s="4"/>
      <c r="AB2175" s="4" t="s">
        <v>6673</v>
      </c>
    </row>
    <row r="2176" spans="1:28" s="203" customFormat="1" ht="46" customHeight="1">
      <c r="A2176" s="156" t="str">
        <f>'Reported burning'!A2176</f>
        <v>260a</v>
      </c>
      <c r="B2176" s="156" t="str">
        <f>'Reported burning'!B2176</f>
        <v>260a.6</v>
      </c>
      <c r="C2176" s="156" t="str">
        <f>'Reported burning'!C2177</f>
        <v>Human, deliberate</v>
      </c>
      <c r="D2176" s="156" t="str">
        <f>'Reported burning'!D2177</f>
        <v>Arson</v>
      </c>
      <c r="E2176" s="156" t="str">
        <f>'Reported burning'!E2176</f>
        <v>Urban planner</v>
      </c>
      <c r="F2176" s="156" t="str">
        <f>'Reported burning'!F2177</f>
        <v>ND</v>
      </c>
      <c r="G2176" s="156" t="str">
        <f>'Reported burning'!G2177</f>
        <v>ND</v>
      </c>
      <c r="H2176" s="156" t="str">
        <f>'Reported burning'!H2177</f>
        <v>Presence</v>
      </c>
      <c r="I2176" s="204"/>
      <c r="J2176" s="21" t="s">
        <v>2276</v>
      </c>
      <c r="K2176" s="103" t="s">
        <v>2276</v>
      </c>
      <c r="L2176" s="103" t="s">
        <v>2276</v>
      </c>
      <c r="M2176" s="103" t="s">
        <v>2276</v>
      </c>
      <c r="N2176" s="103" t="s">
        <v>2276</v>
      </c>
      <c r="O2176" s="103" t="s">
        <v>2276</v>
      </c>
      <c r="P2176" s="103" t="s">
        <v>2276</v>
      </c>
      <c r="Q2176" s="103" t="s">
        <v>2276</v>
      </c>
      <c r="R2176" s="103" t="s">
        <v>2276</v>
      </c>
      <c r="S2176" s="103" t="s">
        <v>2276</v>
      </c>
      <c r="T2176" s="103" t="s">
        <v>2276</v>
      </c>
      <c r="U2176" s="103" t="s">
        <v>2276</v>
      </c>
      <c r="V2176" s="103" t="s">
        <v>2276</v>
      </c>
      <c r="W2176" s="103" t="s">
        <v>2276</v>
      </c>
      <c r="X2176" s="103" t="s">
        <v>2276</v>
      </c>
      <c r="Y2176" s="103" t="s">
        <v>2276</v>
      </c>
      <c r="Z2176" s="103" t="s">
        <v>2276</v>
      </c>
      <c r="AA2176" s="4"/>
      <c r="AB2176" s="204"/>
    </row>
    <row r="2177" spans="1:28" ht="46" customHeight="1">
      <c r="A2177" s="156" t="str">
        <f>'Reported burning'!A2177</f>
        <v>260b</v>
      </c>
      <c r="B2177" s="156" t="str">
        <f>'Reported burning'!B2177</f>
        <v>260b.1</v>
      </c>
      <c r="C2177" s="156" t="str">
        <f>'Reported burning'!C2177</f>
        <v>Human, deliberate</v>
      </c>
      <c r="D2177" s="156" t="str">
        <f>'Reported burning'!D2177</f>
        <v>Arson</v>
      </c>
      <c r="E2177" s="156" t="str">
        <f>'Reported burning'!E2177</f>
        <v>ND</v>
      </c>
      <c r="F2177" s="156" t="str">
        <f>'Reported burning'!F2177</f>
        <v>ND</v>
      </c>
      <c r="G2177" s="156" t="str">
        <f>'Reported burning'!G2177</f>
        <v>ND</v>
      </c>
      <c r="H2177" s="156" t="str">
        <f>'Reported burning'!H2177</f>
        <v>Presence</v>
      </c>
      <c r="I2177" s="3"/>
      <c r="J2177" s="21" t="s">
        <v>2276</v>
      </c>
      <c r="K2177" s="103" t="s">
        <v>2276</v>
      </c>
      <c r="L2177" s="21" t="s">
        <v>2276</v>
      </c>
      <c r="M2177" s="21" t="s">
        <v>2276</v>
      </c>
      <c r="N2177" s="21" t="s">
        <v>2276</v>
      </c>
      <c r="O2177" s="21" t="s">
        <v>2276</v>
      </c>
      <c r="P2177" s="21" t="s">
        <v>2276</v>
      </c>
      <c r="Q2177" s="21" t="s">
        <v>2276</v>
      </c>
      <c r="R2177" s="21" t="s">
        <v>2276</v>
      </c>
      <c r="S2177" s="21" t="s">
        <v>2276</v>
      </c>
      <c r="T2177" s="21" t="s">
        <v>2276</v>
      </c>
      <c r="U2177" s="21" t="s">
        <v>2276</v>
      </c>
      <c r="V2177" s="21" t="s">
        <v>2276</v>
      </c>
      <c r="W2177" s="21" t="s">
        <v>2276</v>
      </c>
      <c r="X2177" s="4" t="s">
        <v>404</v>
      </c>
      <c r="Y2177" s="4" t="s">
        <v>405</v>
      </c>
      <c r="Z2177" s="204" t="s">
        <v>64</v>
      </c>
      <c r="AA2177" s="3"/>
      <c r="AB2177" s="3"/>
    </row>
    <row r="2178" spans="1:28" s="203" customFormat="1" ht="46" customHeight="1">
      <c r="A2178" s="156" t="str">
        <f>'Reported burning'!A2178</f>
        <v>260b</v>
      </c>
      <c r="B2178" s="156" t="str">
        <f>'Reported burning'!B2178</f>
        <v>260b.2</v>
      </c>
      <c r="C2178" s="156" t="str">
        <f>'Reported burning'!C2178</f>
        <v>All</v>
      </c>
      <c r="D2178" s="156" t="str">
        <f>'Reported burning'!D2178</f>
        <v>All</v>
      </c>
      <c r="E2178" s="156" t="str">
        <f>'Reported burning'!E2178</f>
        <v>All</v>
      </c>
      <c r="F2178" s="156" t="str">
        <f>'Reported burning'!F2178</f>
        <v>ND</v>
      </c>
      <c r="G2178" s="156" t="str">
        <f>'Reported burning'!G2178</f>
        <v>ND</v>
      </c>
      <c r="H2178" s="156" t="str">
        <f>'Reported burning'!H2178</f>
        <v>Presence</v>
      </c>
      <c r="I2178" s="204"/>
      <c r="J2178" s="21" t="s">
        <v>2276</v>
      </c>
      <c r="K2178" s="21" t="s">
        <v>2276</v>
      </c>
      <c r="L2178" s="21" t="s">
        <v>2276</v>
      </c>
      <c r="M2178" s="21" t="s">
        <v>2276</v>
      </c>
      <c r="N2178" s="21" t="s">
        <v>2276</v>
      </c>
      <c r="O2178" s="21" t="s">
        <v>2276</v>
      </c>
      <c r="P2178" s="21" t="s">
        <v>2276</v>
      </c>
      <c r="Q2178" s="21" t="s">
        <v>2276</v>
      </c>
      <c r="R2178" s="21" t="s">
        <v>2276</v>
      </c>
      <c r="S2178" s="21" t="s">
        <v>2276</v>
      </c>
      <c r="T2178" s="21" t="s">
        <v>2276</v>
      </c>
      <c r="U2178" s="21" t="s">
        <v>2276</v>
      </c>
      <c r="V2178" s="21" t="s">
        <v>2276</v>
      </c>
      <c r="W2178" s="21" t="s">
        <v>2276</v>
      </c>
      <c r="X2178" s="4" t="s">
        <v>404</v>
      </c>
      <c r="Y2178" s="4" t="s">
        <v>405</v>
      </c>
      <c r="Z2178" s="204" t="s">
        <v>64</v>
      </c>
      <c r="AA2178" s="204"/>
      <c r="AB2178" s="204"/>
    </row>
    <row r="2179" spans="1:28" s="203" customFormat="1" ht="46" customHeight="1">
      <c r="A2179" s="156" t="str">
        <f>'Reported burning'!A2179</f>
        <v>260c</v>
      </c>
      <c r="B2179" s="156" t="str">
        <f>'Reported burning'!B2179</f>
        <v>260c.1</v>
      </c>
      <c r="C2179" s="156" t="str">
        <f>'Reported burning'!C2179</f>
        <v>All</v>
      </c>
      <c r="D2179" s="156" t="str">
        <f>'Reported burning'!D2179</f>
        <v>All</v>
      </c>
      <c r="E2179" s="156" t="str">
        <f>'Reported burning'!E2179</f>
        <v>All</v>
      </c>
      <c r="F2179" s="156" t="str">
        <f>'Reported burning'!F2179</f>
        <v>ND</v>
      </c>
      <c r="G2179" s="156" t="str">
        <f>'Reported burning'!G2179</f>
        <v>ND</v>
      </c>
      <c r="H2179" s="156" t="str">
        <f>'Reported burning'!H2179</f>
        <v>Presence</v>
      </c>
      <c r="I2179" s="204"/>
      <c r="J2179" s="21" t="s">
        <v>2276</v>
      </c>
      <c r="K2179" s="21" t="s">
        <v>2276</v>
      </c>
      <c r="L2179" s="21" t="s">
        <v>2276</v>
      </c>
      <c r="M2179" s="21" t="s">
        <v>2276</v>
      </c>
      <c r="N2179" s="21" t="s">
        <v>2276</v>
      </c>
      <c r="O2179" s="21" t="s">
        <v>2276</v>
      </c>
      <c r="P2179" s="21" t="s">
        <v>2276</v>
      </c>
      <c r="Q2179" s="21" t="s">
        <v>2276</v>
      </c>
      <c r="R2179" s="21" t="s">
        <v>2276</v>
      </c>
      <c r="S2179" s="21" t="s">
        <v>2276</v>
      </c>
      <c r="T2179" s="21" t="s">
        <v>2276</v>
      </c>
      <c r="U2179" s="21" t="s">
        <v>2276</v>
      </c>
      <c r="V2179" s="21" t="s">
        <v>2276</v>
      </c>
      <c r="W2179" s="21" t="s">
        <v>2276</v>
      </c>
      <c r="X2179" s="4" t="s">
        <v>2276</v>
      </c>
      <c r="Y2179" s="4" t="s">
        <v>2276</v>
      </c>
      <c r="Z2179" s="4" t="s">
        <v>2276</v>
      </c>
      <c r="AA2179" s="204"/>
      <c r="AB2179" s="204"/>
    </row>
    <row r="2180" spans="1:28" ht="46" customHeight="1">
      <c r="A2180" s="156" t="str">
        <f>'Reported burning'!A2180</f>
        <v>260d</v>
      </c>
      <c r="B2180" s="156" t="str">
        <f>'Reported burning'!B2180</f>
        <v>260d.1</v>
      </c>
      <c r="C2180" s="156" t="str">
        <f>'Reported burning'!C2180</f>
        <v>All</v>
      </c>
      <c r="D2180" s="156" t="str">
        <f>'Reported burning'!D2180</f>
        <v>All</v>
      </c>
      <c r="E2180" s="156" t="str">
        <f>'Reported burning'!E2180</f>
        <v>All</v>
      </c>
      <c r="F2180" s="156" t="str">
        <f>'Reported burning'!F2180</f>
        <v>ND</v>
      </c>
      <c r="G2180" s="156" t="str">
        <f>'Reported burning'!G2180</f>
        <v>ND</v>
      </c>
      <c r="H2180" s="156" t="str">
        <f>'Reported burning'!H2180</f>
        <v>Presence</v>
      </c>
      <c r="I2180" s="3"/>
      <c r="J2180" s="21" t="s">
        <v>2276</v>
      </c>
      <c r="K2180" s="103" t="s">
        <v>2276</v>
      </c>
      <c r="L2180" s="21" t="s">
        <v>2276</v>
      </c>
      <c r="M2180" s="21" t="s">
        <v>2276</v>
      </c>
      <c r="N2180" s="21" t="s">
        <v>2386</v>
      </c>
      <c r="O2180" s="21" t="s">
        <v>2276</v>
      </c>
      <c r="P2180" s="21" t="s">
        <v>2276</v>
      </c>
      <c r="Q2180" s="21" t="s">
        <v>2276</v>
      </c>
      <c r="R2180" s="21" t="s">
        <v>2276</v>
      </c>
      <c r="S2180" s="21" t="s">
        <v>2276</v>
      </c>
      <c r="T2180" s="21" t="s">
        <v>2276</v>
      </c>
      <c r="U2180" s="21" t="s">
        <v>2276</v>
      </c>
      <c r="V2180" s="21" t="s">
        <v>2276</v>
      </c>
      <c r="W2180" s="21" t="s">
        <v>2276</v>
      </c>
      <c r="X2180" s="3" t="s">
        <v>404</v>
      </c>
      <c r="Y2180" s="3" t="s">
        <v>405</v>
      </c>
      <c r="Z2180" s="3" t="s">
        <v>2276</v>
      </c>
      <c r="AA2180" s="4" t="s">
        <v>6680</v>
      </c>
      <c r="AB2180" s="3"/>
    </row>
    <row r="2181" spans="1:28" ht="46" customHeight="1">
      <c r="A2181" s="156" t="str">
        <f>'Reported burning'!A2181</f>
        <v>261a</v>
      </c>
      <c r="B2181" s="156" t="str">
        <f>'Reported burning'!B2181</f>
        <v>261a.1</v>
      </c>
      <c r="C2181" s="156" t="str">
        <f>'Reported burning'!C2181</f>
        <v>All</v>
      </c>
      <c r="D2181" s="156" t="str">
        <f>'Reported burning'!D2181</f>
        <v>All</v>
      </c>
      <c r="E2181" s="156" t="str">
        <f>'Reported burning'!E2181</f>
        <v>All</v>
      </c>
      <c r="F2181" s="156" t="str">
        <f>'Reported burning'!F2181</f>
        <v>ND</v>
      </c>
      <c r="G2181" s="156" t="str">
        <f>'Reported burning'!G2181</f>
        <v>Shrubland (Mixed forest &amp; grassland)</v>
      </c>
      <c r="H2181" s="156" t="str">
        <f>'Reported burning'!H2181</f>
        <v>Presence</v>
      </c>
      <c r="I2181" s="3"/>
      <c r="J2181" s="21" t="s">
        <v>2368</v>
      </c>
      <c r="K2181" s="103" t="s">
        <v>2276</v>
      </c>
      <c r="L2181" s="21" t="s">
        <v>2276</v>
      </c>
      <c r="M2181" s="21" t="s">
        <v>2276</v>
      </c>
      <c r="N2181" s="21" t="s">
        <v>2276</v>
      </c>
      <c r="O2181" s="21" t="s">
        <v>2276</v>
      </c>
      <c r="P2181" s="21" t="s">
        <v>2276</v>
      </c>
      <c r="Q2181" s="21" t="s">
        <v>2276</v>
      </c>
      <c r="R2181" s="21" t="s">
        <v>2276</v>
      </c>
      <c r="S2181" s="21" t="s">
        <v>2276</v>
      </c>
      <c r="T2181" s="21" t="s">
        <v>2276</v>
      </c>
      <c r="U2181" s="21" t="s">
        <v>2276</v>
      </c>
      <c r="V2181" s="21" t="s">
        <v>2389</v>
      </c>
      <c r="W2181" s="21" t="s">
        <v>2276</v>
      </c>
      <c r="X2181" s="3" t="s">
        <v>2276</v>
      </c>
      <c r="Y2181" s="3" t="s">
        <v>2276</v>
      </c>
      <c r="Z2181" s="3" t="s">
        <v>2276</v>
      </c>
      <c r="AA2181" s="3" t="s">
        <v>6188</v>
      </c>
      <c r="AB2181" s="3"/>
    </row>
    <row r="2182" spans="1:28" ht="46" customHeight="1">
      <c r="A2182" s="156" t="str">
        <f>'Reported burning'!A2182</f>
        <v>261b</v>
      </c>
      <c r="B2182" s="156" t="str">
        <f>'Reported burning'!B2182</f>
        <v>261b.1</v>
      </c>
      <c r="C2182" s="156" t="str">
        <f>'Reported burning'!C2182</f>
        <v>All</v>
      </c>
      <c r="D2182" s="156" t="str">
        <f>'Reported burning'!D2182</f>
        <v>All</v>
      </c>
      <c r="E2182" s="156" t="str">
        <f>'Reported burning'!E2182</f>
        <v>All</v>
      </c>
      <c r="F2182" s="156" t="str">
        <f>'Reported burning'!F2182</f>
        <v>ND</v>
      </c>
      <c r="G2182" s="156" t="str">
        <f>'Reported burning'!G2182</f>
        <v>Shrubland (Mixed forest &amp; grassland)</v>
      </c>
      <c r="H2182" s="156" t="str">
        <f>'Reported burning'!H2182</f>
        <v>Presence</v>
      </c>
      <c r="I2182" s="3"/>
      <c r="J2182" s="21" t="s">
        <v>2368</v>
      </c>
      <c r="K2182" s="103" t="s">
        <v>2276</v>
      </c>
      <c r="L2182" s="21" t="s">
        <v>2276</v>
      </c>
      <c r="M2182" s="21" t="s">
        <v>2276</v>
      </c>
      <c r="N2182" s="21" t="s">
        <v>2276</v>
      </c>
      <c r="O2182" s="21" t="s">
        <v>2276</v>
      </c>
      <c r="P2182" s="21" t="s">
        <v>2276</v>
      </c>
      <c r="Q2182" s="21" t="s">
        <v>2276</v>
      </c>
      <c r="R2182" s="21" t="s">
        <v>2276</v>
      </c>
      <c r="S2182" s="21" t="s">
        <v>2276</v>
      </c>
      <c r="T2182" s="21" t="s">
        <v>2276</v>
      </c>
      <c r="U2182" s="21" t="s">
        <v>2276</v>
      </c>
      <c r="V2182" s="21" t="s">
        <v>2389</v>
      </c>
      <c r="W2182" s="21" t="s">
        <v>2276</v>
      </c>
      <c r="X2182" s="3" t="s">
        <v>2276</v>
      </c>
      <c r="Y2182" s="3" t="s">
        <v>2276</v>
      </c>
      <c r="Z2182" s="3" t="s">
        <v>2276</v>
      </c>
      <c r="AA2182" s="3" t="s">
        <v>6188</v>
      </c>
      <c r="AB2182" s="3"/>
    </row>
    <row r="2183" spans="1:28" ht="46" customHeight="1">
      <c r="A2183" s="156" t="str">
        <f>'Reported burning'!A2183</f>
        <v>261c</v>
      </c>
      <c r="B2183" s="156" t="str">
        <f>'Reported burning'!B2183</f>
        <v>261c.1</v>
      </c>
      <c r="C2183" s="156" t="str">
        <f>'Reported burning'!C2183</f>
        <v>All</v>
      </c>
      <c r="D2183" s="156" t="str">
        <f>'Reported burning'!D2183</f>
        <v>All</v>
      </c>
      <c r="E2183" s="156" t="str">
        <f>'Reported burning'!E2183</f>
        <v>All</v>
      </c>
      <c r="F2183" s="156" t="str">
        <f>'Reported burning'!F2183</f>
        <v>ND</v>
      </c>
      <c r="G2183" s="156" t="str">
        <f>'Reported burning'!G2183</f>
        <v>Shrubland (Mixed forest &amp; grassland)</v>
      </c>
      <c r="H2183" s="156" t="str">
        <f>'Reported burning'!H2183</f>
        <v>Presence</v>
      </c>
      <c r="I2183" s="3"/>
      <c r="J2183" s="21" t="s">
        <v>2367</v>
      </c>
      <c r="K2183" s="103" t="s">
        <v>2276</v>
      </c>
      <c r="L2183" s="21" t="s">
        <v>2276</v>
      </c>
      <c r="M2183" s="21" t="s">
        <v>2276</v>
      </c>
      <c r="N2183" s="21" t="s">
        <v>2276</v>
      </c>
      <c r="O2183" s="21" t="s">
        <v>2276</v>
      </c>
      <c r="P2183" s="21" t="s">
        <v>2276</v>
      </c>
      <c r="Q2183" s="21" t="s">
        <v>2276</v>
      </c>
      <c r="R2183" s="21" t="s">
        <v>2276</v>
      </c>
      <c r="S2183" s="21" t="s">
        <v>2276</v>
      </c>
      <c r="T2183" s="21" t="s">
        <v>2276</v>
      </c>
      <c r="U2183" s="21" t="s">
        <v>2276</v>
      </c>
      <c r="V2183" s="21" t="s">
        <v>2376</v>
      </c>
      <c r="W2183" s="21" t="s">
        <v>2276</v>
      </c>
      <c r="X2183" s="3" t="s">
        <v>2276</v>
      </c>
      <c r="Y2183" s="3" t="s">
        <v>2276</v>
      </c>
      <c r="Z2183" s="3" t="s">
        <v>2276</v>
      </c>
      <c r="AA2183" s="3" t="s">
        <v>6188</v>
      </c>
      <c r="AB2183" s="3"/>
    </row>
    <row r="2184" spans="1:28" ht="46" customHeight="1">
      <c r="A2184" s="156" t="str">
        <f>'Reported burning'!A2184</f>
        <v>261d</v>
      </c>
      <c r="B2184" s="156" t="str">
        <f>'Reported burning'!B2184</f>
        <v>261d.1</v>
      </c>
      <c r="C2184" s="156" t="str">
        <f>'Reported burning'!C2184</f>
        <v>All</v>
      </c>
      <c r="D2184" s="156" t="str">
        <f>'Reported burning'!D2184</f>
        <v>All</v>
      </c>
      <c r="E2184" s="156" t="str">
        <f>'Reported burning'!E2184</f>
        <v>All</v>
      </c>
      <c r="F2184" s="156" t="str">
        <f>'Reported burning'!F2184</f>
        <v>ND</v>
      </c>
      <c r="G2184" s="156" t="str">
        <f>'Reported burning'!G2184</f>
        <v>Shrubland (Mixed forest &amp; grassland)</v>
      </c>
      <c r="H2184" s="156" t="str">
        <f>'Reported burning'!H2184</f>
        <v>Presence</v>
      </c>
      <c r="I2184" s="3"/>
      <c r="J2184" s="21" t="s">
        <v>2366</v>
      </c>
      <c r="K2184" s="103" t="s">
        <v>2276</v>
      </c>
      <c r="L2184" s="21" t="s">
        <v>2276</v>
      </c>
      <c r="M2184" s="21" t="s">
        <v>2276</v>
      </c>
      <c r="N2184" s="21" t="s">
        <v>2276</v>
      </c>
      <c r="O2184" s="21" t="s">
        <v>2276</v>
      </c>
      <c r="P2184" s="21" t="s">
        <v>2276</v>
      </c>
      <c r="Q2184" s="21" t="s">
        <v>2276</v>
      </c>
      <c r="R2184" s="21" t="s">
        <v>2276</v>
      </c>
      <c r="S2184" s="21" t="s">
        <v>2276</v>
      </c>
      <c r="T2184" s="21" t="s">
        <v>2276</v>
      </c>
      <c r="U2184" s="21" t="s">
        <v>2276</v>
      </c>
      <c r="V2184" s="21" t="s">
        <v>2374</v>
      </c>
      <c r="W2184" s="21" t="s">
        <v>2276</v>
      </c>
      <c r="X2184" s="3" t="s">
        <v>2276</v>
      </c>
      <c r="Y2184" s="3" t="s">
        <v>2276</v>
      </c>
      <c r="Z2184" s="3" t="s">
        <v>2276</v>
      </c>
      <c r="AA2184" s="3" t="s">
        <v>6188</v>
      </c>
      <c r="AB2184" s="3"/>
    </row>
    <row r="2185" spans="1:28" ht="46" customHeight="1">
      <c r="A2185" s="156" t="str">
        <f>'Reported burning'!A2185</f>
        <v>261e</v>
      </c>
      <c r="B2185" s="156" t="str">
        <f>'Reported burning'!B2185</f>
        <v>261e.1</v>
      </c>
      <c r="C2185" s="156" t="str">
        <f>'Reported burning'!C2185</f>
        <v>All</v>
      </c>
      <c r="D2185" s="156" t="str">
        <f>'Reported burning'!D2185</f>
        <v>All</v>
      </c>
      <c r="E2185" s="156" t="str">
        <f>'Reported burning'!E2185</f>
        <v>All</v>
      </c>
      <c r="F2185" s="156" t="str">
        <f>'Reported burning'!F2185</f>
        <v>ND</v>
      </c>
      <c r="G2185" s="156" t="str">
        <f>'Reported burning'!G2185</f>
        <v>Shrubland (Mixed forest &amp; grassland)</v>
      </c>
      <c r="H2185" s="156" t="str">
        <f>'Reported burning'!H2185</f>
        <v>Presence</v>
      </c>
      <c r="I2185" s="3"/>
      <c r="J2185" s="21" t="s">
        <v>2366</v>
      </c>
      <c r="K2185" s="103" t="s">
        <v>2276</v>
      </c>
      <c r="L2185" s="21" t="s">
        <v>2276</v>
      </c>
      <c r="M2185" s="21" t="s">
        <v>2276</v>
      </c>
      <c r="N2185" s="21" t="s">
        <v>2276</v>
      </c>
      <c r="O2185" s="21" t="s">
        <v>2276</v>
      </c>
      <c r="P2185" s="21" t="s">
        <v>2276</v>
      </c>
      <c r="Q2185" s="21" t="s">
        <v>2276</v>
      </c>
      <c r="R2185" s="21" t="s">
        <v>2276</v>
      </c>
      <c r="S2185" s="21" t="s">
        <v>2276</v>
      </c>
      <c r="T2185" s="21" t="s">
        <v>2276</v>
      </c>
      <c r="U2185" s="21" t="s">
        <v>2276</v>
      </c>
      <c r="V2185" s="21" t="s">
        <v>2527</v>
      </c>
      <c r="W2185" s="21" t="s">
        <v>2276</v>
      </c>
      <c r="X2185" s="3" t="s">
        <v>2276</v>
      </c>
      <c r="Y2185" s="3" t="s">
        <v>2276</v>
      </c>
      <c r="Z2185" s="3" t="s">
        <v>2276</v>
      </c>
      <c r="AA2185" s="3" t="s">
        <v>6188</v>
      </c>
      <c r="AB2185" s="3"/>
    </row>
    <row r="2186" spans="1:28" ht="46" customHeight="1">
      <c r="A2186" s="156" t="str">
        <f>'Reported burning'!A2186</f>
        <v>261f</v>
      </c>
      <c r="B2186" s="156" t="str">
        <f>'Reported burning'!B2186</f>
        <v>261f.1</v>
      </c>
      <c r="C2186" s="156" t="str">
        <f>'Reported burning'!C2186</f>
        <v>All</v>
      </c>
      <c r="D2186" s="156" t="str">
        <f>'Reported burning'!D2186</f>
        <v>All</v>
      </c>
      <c r="E2186" s="156" t="str">
        <f>'Reported burning'!E2186</f>
        <v>All</v>
      </c>
      <c r="F2186" s="156" t="str">
        <f>'Reported burning'!F2186</f>
        <v>ND</v>
      </c>
      <c r="G2186" s="156" t="str">
        <f>'Reported burning'!G2186</f>
        <v>Shrubland (Mixed forest &amp; grassland)</v>
      </c>
      <c r="H2186" s="156" t="str">
        <f>'Reported burning'!H2186</f>
        <v>Presence</v>
      </c>
      <c r="I2186" s="3"/>
      <c r="J2186" s="21" t="s">
        <v>2366</v>
      </c>
      <c r="K2186" s="103" t="s">
        <v>2276</v>
      </c>
      <c r="L2186" s="21" t="s">
        <v>2276</v>
      </c>
      <c r="M2186" s="21" t="s">
        <v>2276</v>
      </c>
      <c r="N2186" s="21" t="s">
        <v>2276</v>
      </c>
      <c r="O2186" s="21" t="s">
        <v>2276</v>
      </c>
      <c r="P2186" s="21" t="s">
        <v>2276</v>
      </c>
      <c r="Q2186" s="21" t="s">
        <v>2276</v>
      </c>
      <c r="R2186" s="21" t="s">
        <v>2276</v>
      </c>
      <c r="S2186" s="21" t="s">
        <v>2276</v>
      </c>
      <c r="T2186" s="21" t="s">
        <v>2276</v>
      </c>
      <c r="U2186" s="21" t="s">
        <v>2276</v>
      </c>
      <c r="V2186" s="21" t="s">
        <v>2374</v>
      </c>
      <c r="W2186" s="21" t="s">
        <v>2276</v>
      </c>
      <c r="X2186" s="3" t="s">
        <v>2276</v>
      </c>
      <c r="Y2186" s="3" t="s">
        <v>2276</v>
      </c>
      <c r="Z2186" s="3" t="s">
        <v>2276</v>
      </c>
      <c r="AA2186" s="3" t="s">
        <v>6188</v>
      </c>
      <c r="AB2186" s="3"/>
    </row>
    <row r="2187" spans="1:28" ht="49.5" customHeight="1">
      <c r="A2187" s="156" t="str">
        <f>'Reported burning'!A2187</f>
        <v>262a</v>
      </c>
      <c r="B2187" s="156" t="str">
        <f>'Reported burning'!B2187</f>
        <v>262a.1</v>
      </c>
      <c r="C2187" s="156" t="str">
        <f>'Reported burning'!C2187</f>
        <v>Human, accidental</v>
      </c>
      <c r="D2187" s="156" t="str">
        <f>'Reported burning'!D2187</f>
        <v>Accidental</v>
      </c>
      <c r="E2187" s="156" t="str">
        <f>'Reported burning'!E2187</f>
        <v>Urban planner</v>
      </c>
      <c r="F2187" s="156" t="str">
        <f>'Reported burning'!F2187</f>
        <v>ND</v>
      </c>
      <c r="G2187" s="156" t="str">
        <f>'Reported burning'!G2187</f>
        <v>Forest</v>
      </c>
      <c r="H2187" s="156" t="str">
        <f>'Reported burning'!H2187</f>
        <v>Presence</v>
      </c>
      <c r="I2187" s="3"/>
      <c r="J2187" s="21" t="s">
        <v>2276</v>
      </c>
      <c r="K2187" s="103" t="s">
        <v>2276</v>
      </c>
      <c r="L2187" s="21" t="s">
        <v>2276</v>
      </c>
      <c r="M2187" s="21" t="s">
        <v>2276</v>
      </c>
      <c r="N2187" s="21" t="s">
        <v>2377</v>
      </c>
      <c r="O2187" s="21" t="s">
        <v>2276</v>
      </c>
      <c r="P2187" s="21" t="s">
        <v>2276</v>
      </c>
      <c r="Q2187" s="21" t="s">
        <v>2276</v>
      </c>
      <c r="R2187" s="21" t="s">
        <v>2373</v>
      </c>
      <c r="S2187" s="21" t="s">
        <v>2276</v>
      </c>
      <c r="T2187" s="21" t="s">
        <v>2276</v>
      </c>
      <c r="U2187" s="21" t="s">
        <v>2276</v>
      </c>
      <c r="V2187" s="21" t="s">
        <v>2276</v>
      </c>
      <c r="W2187" s="21" t="s">
        <v>2276</v>
      </c>
      <c r="X2187" s="3" t="s">
        <v>188</v>
      </c>
      <c r="Y2187" s="3" t="s">
        <v>189</v>
      </c>
      <c r="Z2187" s="3" t="s">
        <v>2276</v>
      </c>
      <c r="AA2187" s="4"/>
      <c r="AB2187" s="4" t="s">
        <v>6683</v>
      </c>
    </row>
    <row r="2188" spans="1:28" s="203" customFormat="1" ht="46" customHeight="1">
      <c r="A2188" s="156" t="str">
        <f>'Reported burning'!A2188</f>
        <v>262a</v>
      </c>
      <c r="B2188" s="156" t="str">
        <f>'Reported burning'!B2188</f>
        <v>262a.2</v>
      </c>
      <c r="C2188" s="156" t="str">
        <f>'Reported burning'!C2188</f>
        <v>Human, accidental</v>
      </c>
      <c r="D2188" s="156" t="str">
        <f>'Reported burning'!D2188</f>
        <v>Accidental</v>
      </c>
      <c r="E2188" s="156" t="str">
        <f>'Reported burning'!E2188</f>
        <v>Tourism manager</v>
      </c>
      <c r="F2188" s="156" t="str">
        <f>'Reported burning'!F2188</f>
        <v>ND</v>
      </c>
      <c r="G2188" s="156" t="str">
        <f>'Reported burning'!G2188</f>
        <v>Forest</v>
      </c>
      <c r="H2188" s="156" t="str">
        <f>'Reported burning'!H2188</f>
        <v>Presence</v>
      </c>
      <c r="I2188" s="204"/>
      <c r="J2188" s="21" t="s">
        <v>2276</v>
      </c>
      <c r="K2188" s="21" t="s">
        <v>2276</v>
      </c>
      <c r="L2188" s="21" t="s">
        <v>2276</v>
      </c>
      <c r="M2188" s="21" t="s">
        <v>2276</v>
      </c>
      <c r="N2188" s="21" t="s">
        <v>2377</v>
      </c>
      <c r="O2188" s="21" t="s">
        <v>2276</v>
      </c>
      <c r="P2188" s="21" t="s">
        <v>2276</v>
      </c>
      <c r="Q2188" s="21" t="s">
        <v>2276</v>
      </c>
      <c r="R2188" s="21" t="s">
        <v>2373</v>
      </c>
      <c r="S2188" s="21" t="s">
        <v>2276</v>
      </c>
      <c r="T2188" s="21" t="s">
        <v>2276</v>
      </c>
      <c r="U2188" s="21" t="s">
        <v>2276</v>
      </c>
      <c r="V2188" s="21" t="s">
        <v>2276</v>
      </c>
      <c r="W2188" s="21" t="s">
        <v>2276</v>
      </c>
      <c r="X2188" s="204" t="s">
        <v>188</v>
      </c>
      <c r="Y2188" s="204" t="s">
        <v>189</v>
      </c>
      <c r="Z2188" s="21" t="s">
        <v>2276</v>
      </c>
      <c r="AA2188" s="4"/>
      <c r="AB2188" s="204"/>
    </row>
    <row r="2189" spans="1:28" ht="46" customHeight="1">
      <c r="A2189" s="156" t="str">
        <f>'Reported burning'!A2189</f>
        <v>263a</v>
      </c>
      <c r="B2189" s="156" t="str">
        <f>'Reported burning'!B2189</f>
        <v>263a.1</v>
      </c>
      <c r="C2189" s="156" t="str">
        <f>'Reported burning'!C2189</f>
        <v>Human, deliberate</v>
      </c>
      <c r="D2189" s="156" t="str">
        <f>'Reported burning'!D2189</f>
        <v>Arson</v>
      </c>
      <c r="E2189" s="156" t="str">
        <f>'Reported burning'!E2189</f>
        <v>Forestry, Industrial</v>
      </c>
      <c r="F2189" s="156" t="str">
        <f>'Reported burning'!F2189</f>
        <v>Forest</v>
      </c>
      <c r="G2189" s="156" t="str">
        <f>'Reported burning'!G2189</f>
        <v>Forest</v>
      </c>
      <c r="H2189" s="156" t="str">
        <f>'Reported burning'!H2189</f>
        <v>Presence</v>
      </c>
      <c r="I2189" s="3"/>
      <c r="J2189" s="21" t="s">
        <v>2276</v>
      </c>
      <c r="K2189" s="21" t="s">
        <v>2276</v>
      </c>
      <c r="L2189" s="21" t="s">
        <v>2276</v>
      </c>
      <c r="M2189" s="21" t="s">
        <v>2276</v>
      </c>
      <c r="N2189" s="21" t="s">
        <v>2276</v>
      </c>
      <c r="O2189" s="21" t="s">
        <v>2276</v>
      </c>
      <c r="P2189" s="21" t="s">
        <v>2276</v>
      </c>
      <c r="Q2189" s="21" t="s">
        <v>2276</v>
      </c>
      <c r="R2189" s="21" t="s">
        <v>2276</v>
      </c>
      <c r="S2189" s="21" t="s">
        <v>2276</v>
      </c>
      <c r="T2189" s="21" t="s">
        <v>2276</v>
      </c>
      <c r="U2189" s="21" t="s">
        <v>2276</v>
      </c>
      <c r="V2189" s="21" t="s">
        <v>2276</v>
      </c>
      <c r="W2189" s="21" t="s">
        <v>2276</v>
      </c>
      <c r="X2189" s="21" t="s">
        <v>2276</v>
      </c>
      <c r="Y2189" s="21" t="s">
        <v>2276</v>
      </c>
      <c r="Z2189" s="21" t="s">
        <v>2276</v>
      </c>
      <c r="AA2189" s="3"/>
      <c r="AB2189" s="3"/>
    </row>
    <row r="2190" spans="1:28" s="203" customFormat="1" ht="46" customHeight="1">
      <c r="A2190" s="156" t="str">
        <f>'Reported burning'!A2190</f>
        <v>263a</v>
      </c>
      <c r="B2190" s="156" t="str">
        <f>'Reported burning'!B2190</f>
        <v>263a.2</v>
      </c>
      <c r="C2190" s="156" t="str">
        <f>'Reported burning'!C2190</f>
        <v>Lightning</v>
      </c>
      <c r="D2190" s="156" t="str">
        <f>'Reported burning'!D2190</f>
        <v>ND</v>
      </c>
      <c r="E2190" s="156" t="str">
        <f>'Reported burning'!E2190</f>
        <v>Forestry, Industrial</v>
      </c>
      <c r="F2190" s="156" t="str">
        <f>'Reported burning'!F2190</f>
        <v>Forest</v>
      </c>
      <c r="G2190" s="156" t="str">
        <f>'Reported burning'!G2190</f>
        <v>Forest</v>
      </c>
      <c r="H2190" s="156" t="str">
        <f>'Reported burning'!H2190</f>
        <v>Presence</v>
      </c>
      <c r="I2190" s="204"/>
      <c r="J2190" s="21" t="s">
        <v>2276</v>
      </c>
      <c r="K2190" s="21" t="s">
        <v>2276</v>
      </c>
      <c r="L2190" s="21" t="s">
        <v>2276</v>
      </c>
      <c r="M2190" s="21" t="s">
        <v>2276</v>
      </c>
      <c r="N2190" s="21" t="s">
        <v>2276</v>
      </c>
      <c r="O2190" s="21" t="s">
        <v>2276</v>
      </c>
      <c r="P2190" s="21" t="s">
        <v>2276</v>
      </c>
      <c r="Q2190" s="21" t="s">
        <v>2276</v>
      </c>
      <c r="R2190" s="21" t="s">
        <v>2276</v>
      </c>
      <c r="S2190" s="21" t="s">
        <v>2276</v>
      </c>
      <c r="T2190" s="21" t="s">
        <v>2276</v>
      </c>
      <c r="U2190" s="21" t="s">
        <v>2276</v>
      </c>
      <c r="V2190" s="21" t="s">
        <v>2276</v>
      </c>
      <c r="W2190" s="21" t="s">
        <v>2276</v>
      </c>
      <c r="X2190" s="21" t="s">
        <v>2276</v>
      </c>
      <c r="Y2190" s="21" t="s">
        <v>2276</v>
      </c>
      <c r="Z2190" s="21" t="s">
        <v>2276</v>
      </c>
      <c r="AA2190" s="204"/>
      <c r="AB2190" s="204"/>
    </row>
    <row r="2191" spans="1:28" s="203" customFormat="1" ht="46" customHeight="1">
      <c r="A2191" s="156" t="str">
        <f>'Reported burning'!A2191</f>
        <v>263a</v>
      </c>
      <c r="B2191" s="156" t="str">
        <f>'Reported burning'!B2191</f>
        <v>263a.3</v>
      </c>
      <c r="C2191" s="156" t="str">
        <f>'Reported burning'!C2191</f>
        <v>Unknown</v>
      </c>
      <c r="D2191" s="156" t="str">
        <f>'Reported burning'!D2191</f>
        <v>ND</v>
      </c>
      <c r="E2191" s="156" t="str">
        <f>'Reported burning'!E2191</f>
        <v>Forestry, Industrial</v>
      </c>
      <c r="F2191" s="156" t="str">
        <f>'Reported burning'!F2191</f>
        <v>Forest</v>
      </c>
      <c r="G2191" s="156" t="str">
        <f>'Reported burning'!G2191</f>
        <v>Forest</v>
      </c>
      <c r="H2191" s="156" t="str">
        <f>'Reported burning'!H2191</f>
        <v>Presence</v>
      </c>
      <c r="I2191" s="204"/>
      <c r="J2191" s="21" t="s">
        <v>2276</v>
      </c>
      <c r="K2191" s="21" t="s">
        <v>2276</v>
      </c>
      <c r="L2191" s="21" t="s">
        <v>2276</v>
      </c>
      <c r="M2191" s="21" t="s">
        <v>2276</v>
      </c>
      <c r="N2191" s="21" t="s">
        <v>2276</v>
      </c>
      <c r="O2191" s="21" t="s">
        <v>2276</v>
      </c>
      <c r="P2191" s="21" t="s">
        <v>2276</v>
      </c>
      <c r="Q2191" s="21" t="s">
        <v>2276</v>
      </c>
      <c r="R2191" s="21" t="s">
        <v>2276</v>
      </c>
      <c r="S2191" s="21" t="s">
        <v>2276</v>
      </c>
      <c r="T2191" s="21" t="s">
        <v>2276</v>
      </c>
      <c r="U2191" s="21" t="s">
        <v>2276</v>
      </c>
      <c r="V2191" s="21" t="s">
        <v>2276</v>
      </c>
      <c r="W2191" s="21" t="s">
        <v>2276</v>
      </c>
      <c r="X2191" s="21" t="s">
        <v>2276</v>
      </c>
      <c r="Y2191" s="21" t="s">
        <v>2276</v>
      </c>
      <c r="Z2191" s="21" t="s">
        <v>2276</v>
      </c>
      <c r="AA2191" s="204"/>
      <c r="AB2191" s="204"/>
    </row>
    <row r="2192" spans="1:28" ht="46" customHeight="1">
      <c r="A2192" s="156" t="str">
        <f>'Reported burning'!A2192</f>
        <v>263a</v>
      </c>
      <c r="B2192" s="156" t="str">
        <f>'Reported burning'!B2192</f>
        <v>263a.4</v>
      </c>
      <c r="C2192" s="156" t="str">
        <f>'Reported burning'!C2192</f>
        <v>Human, deliberate</v>
      </c>
      <c r="D2192" s="156" t="str">
        <f>'Reported burning'!D2192</f>
        <v>Arson</v>
      </c>
      <c r="E2192" s="156" t="str">
        <f>'Reported burning'!E2192</f>
        <v>Forestry, Small-scale</v>
      </c>
      <c r="F2192" s="156" t="str">
        <f>'Reported burning'!F2192</f>
        <v>Forest</v>
      </c>
      <c r="G2192" s="156" t="str">
        <f>'Reported burning'!G2192</f>
        <v>Forest</v>
      </c>
      <c r="H2192" s="156" t="str">
        <f>'Reported burning'!H2192</f>
        <v>Presence</v>
      </c>
      <c r="I2192" s="3"/>
      <c r="J2192" s="21" t="s">
        <v>2276</v>
      </c>
      <c r="K2192" s="21" t="s">
        <v>2276</v>
      </c>
      <c r="L2192" s="21" t="s">
        <v>2276</v>
      </c>
      <c r="M2192" s="21" t="s">
        <v>2276</v>
      </c>
      <c r="N2192" s="21" t="s">
        <v>2276</v>
      </c>
      <c r="O2192" s="21" t="s">
        <v>2276</v>
      </c>
      <c r="P2192" s="21" t="s">
        <v>2276</v>
      </c>
      <c r="Q2192" s="21" t="s">
        <v>2276</v>
      </c>
      <c r="R2192" s="21" t="s">
        <v>2276</v>
      </c>
      <c r="S2192" s="21" t="s">
        <v>2276</v>
      </c>
      <c r="T2192" s="21" t="s">
        <v>2276</v>
      </c>
      <c r="U2192" s="21" t="s">
        <v>2276</v>
      </c>
      <c r="V2192" s="21" t="s">
        <v>2276</v>
      </c>
      <c r="W2192" s="21" t="s">
        <v>2276</v>
      </c>
      <c r="X2192" s="21" t="s">
        <v>2276</v>
      </c>
      <c r="Y2192" s="21" t="s">
        <v>2276</v>
      </c>
      <c r="Z2192" s="21" t="s">
        <v>2276</v>
      </c>
      <c r="AA2192" s="3"/>
      <c r="AB2192" s="3"/>
    </row>
    <row r="2193" spans="1:28" s="203" customFormat="1" ht="46" customHeight="1">
      <c r="A2193" s="156" t="str">
        <f>'Reported burning'!A2193</f>
        <v>263a</v>
      </c>
      <c r="B2193" s="156" t="str">
        <f>'Reported burning'!B2193</f>
        <v>263a.5</v>
      </c>
      <c r="C2193" s="156" t="str">
        <f>'Reported burning'!C2193</f>
        <v>Lightning</v>
      </c>
      <c r="D2193" s="156" t="str">
        <f>'Reported burning'!D2193</f>
        <v>ND</v>
      </c>
      <c r="E2193" s="156" t="str">
        <f>'Reported burning'!E2193</f>
        <v>Forestry, Small-scale</v>
      </c>
      <c r="F2193" s="156" t="str">
        <f>'Reported burning'!F2193</f>
        <v>Forest</v>
      </c>
      <c r="G2193" s="156" t="str">
        <f>'Reported burning'!G2193</f>
        <v>Forest</v>
      </c>
      <c r="H2193" s="156" t="str">
        <f>'Reported burning'!H2193</f>
        <v>Presence</v>
      </c>
      <c r="I2193" s="204"/>
      <c r="J2193" s="21" t="s">
        <v>2276</v>
      </c>
      <c r="K2193" s="21" t="s">
        <v>2276</v>
      </c>
      <c r="L2193" s="21" t="s">
        <v>2276</v>
      </c>
      <c r="M2193" s="21" t="s">
        <v>2276</v>
      </c>
      <c r="N2193" s="21" t="s">
        <v>2276</v>
      </c>
      <c r="O2193" s="21" t="s">
        <v>2276</v>
      </c>
      <c r="P2193" s="21" t="s">
        <v>2276</v>
      </c>
      <c r="Q2193" s="21" t="s">
        <v>2276</v>
      </c>
      <c r="R2193" s="21" t="s">
        <v>2276</v>
      </c>
      <c r="S2193" s="21" t="s">
        <v>2276</v>
      </c>
      <c r="T2193" s="21" t="s">
        <v>2276</v>
      </c>
      <c r="U2193" s="21" t="s">
        <v>2276</v>
      </c>
      <c r="V2193" s="21" t="s">
        <v>2276</v>
      </c>
      <c r="W2193" s="21" t="s">
        <v>2276</v>
      </c>
      <c r="X2193" s="21" t="s">
        <v>2276</v>
      </c>
      <c r="Y2193" s="21" t="s">
        <v>2276</v>
      </c>
      <c r="Z2193" s="21" t="s">
        <v>2276</v>
      </c>
      <c r="AA2193" s="204"/>
      <c r="AB2193" s="204"/>
    </row>
    <row r="2194" spans="1:28" s="203" customFormat="1" ht="46" customHeight="1">
      <c r="A2194" s="156" t="str">
        <f>'Reported burning'!A2194</f>
        <v>263a</v>
      </c>
      <c r="B2194" s="156" t="str">
        <f>'Reported burning'!B2194</f>
        <v>263a.6</v>
      </c>
      <c r="C2194" s="156" t="str">
        <f>'Reported burning'!C2194</f>
        <v>Unknown</v>
      </c>
      <c r="D2194" s="156" t="str">
        <f>'Reported burning'!D2194</f>
        <v>ND</v>
      </c>
      <c r="E2194" s="156" t="str">
        <f>'Reported burning'!E2194</f>
        <v>Forestry, Small-scale</v>
      </c>
      <c r="F2194" s="156" t="str">
        <f>'Reported burning'!F2194</f>
        <v>Forest</v>
      </c>
      <c r="G2194" s="156" t="str">
        <f>'Reported burning'!G2194</f>
        <v>Forest</v>
      </c>
      <c r="H2194" s="156" t="str">
        <f>'Reported burning'!H2194</f>
        <v>Presence</v>
      </c>
      <c r="I2194" s="204"/>
      <c r="J2194" s="21" t="s">
        <v>2276</v>
      </c>
      <c r="K2194" s="21" t="s">
        <v>2276</v>
      </c>
      <c r="L2194" s="21" t="s">
        <v>2276</v>
      </c>
      <c r="M2194" s="21" t="s">
        <v>2276</v>
      </c>
      <c r="N2194" s="21" t="s">
        <v>2276</v>
      </c>
      <c r="O2194" s="21" t="s">
        <v>2276</v>
      </c>
      <c r="P2194" s="21" t="s">
        <v>2276</v>
      </c>
      <c r="Q2194" s="21" t="s">
        <v>2276</v>
      </c>
      <c r="R2194" s="21" t="s">
        <v>2276</v>
      </c>
      <c r="S2194" s="21" t="s">
        <v>2276</v>
      </c>
      <c r="T2194" s="21" t="s">
        <v>2276</v>
      </c>
      <c r="U2194" s="21" t="s">
        <v>2276</v>
      </c>
      <c r="V2194" s="21" t="s">
        <v>2276</v>
      </c>
      <c r="W2194" s="21" t="s">
        <v>2276</v>
      </c>
      <c r="X2194" s="21" t="s">
        <v>2276</v>
      </c>
      <c r="Y2194" s="21" t="s">
        <v>2276</v>
      </c>
      <c r="Z2194" s="21" t="s">
        <v>2276</v>
      </c>
      <c r="AA2194" s="204"/>
      <c r="AB2194" s="204"/>
    </row>
    <row r="2195" spans="1:28" ht="46" customHeight="1">
      <c r="A2195" s="156" t="str">
        <f>'Reported burning'!A2195</f>
        <v>263a</v>
      </c>
      <c r="B2195" s="156" t="str">
        <f>'Reported burning'!B2195</f>
        <v>263a.7</v>
      </c>
      <c r="C2195" s="156" t="str">
        <f>'Reported burning'!C2195</f>
        <v>Human, deliberate</v>
      </c>
      <c r="D2195" s="156" t="str">
        <f>'Reported burning'!D2195</f>
        <v>Arson</v>
      </c>
      <c r="E2195" s="156" t="str">
        <f>'Reported burning'!E2195</f>
        <v>Biodiversity conservation</v>
      </c>
      <c r="F2195" s="156" t="str">
        <f>'Reported burning'!F2195</f>
        <v>Forest</v>
      </c>
      <c r="G2195" s="156" t="str">
        <f>'Reported burning'!G2195</f>
        <v>Forest</v>
      </c>
      <c r="H2195" s="156" t="str">
        <f>'Reported burning'!H2195</f>
        <v>Presence</v>
      </c>
      <c r="I2195" s="3"/>
      <c r="J2195" s="21" t="s">
        <v>2276</v>
      </c>
      <c r="K2195" s="21" t="s">
        <v>2276</v>
      </c>
      <c r="L2195" s="21" t="s">
        <v>2276</v>
      </c>
      <c r="M2195" s="21" t="s">
        <v>2276</v>
      </c>
      <c r="N2195" s="21" t="s">
        <v>2276</v>
      </c>
      <c r="O2195" s="21" t="s">
        <v>2276</v>
      </c>
      <c r="P2195" s="21" t="s">
        <v>2276</v>
      </c>
      <c r="Q2195" s="21" t="s">
        <v>2276</v>
      </c>
      <c r="R2195" s="21" t="s">
        <v>2276</v>
      </c>
      <c r="S2195" s="21" t="s">
        <v>2276</v>
      </c>
      <c r="T2195" s="21" t="s">
        <v>2276</v>
      </c>
      <c r="U2195" s="21" t="s">
        <v>2276</v>
      </c>
      <c r="V2195" s="21" t="s">
        <v>2276</v>
      </c>
      <c r="W2195" s="21" t="s">
        <v>2276</v>
      </c>
      <c r="X2195" s="21" t="s">
        <v>2276</v>
      </c>
      <c r="Y2195" s="21" t="s">
        <v>2276</v>
      </c>
      <c r="Z2195" s="21" t="s">
        <v>2276</v>
      </c>
      <c r="AA2195" s="3"/>
      <c r="AB2195" s="3"/>
    </row>
    <row r="2196" spans="1:28" s="203" customFormat="1" ht="46" customHeight="1">
      <c r="A2196" s="156" t="str">
        <f>'Reported burning'!A2196</f>
        <v>263a</v>
      </c>
      <c r="B2196" s="156" t="str">
        <f>'Reported burning'!B2196</f>
        <v>263a.8</v>
      </c>
      <c r="C2196" s="156" t="str">
        <f>'Reported burning'!C2196</f>
        <v>Lightning</v>
      </c>
      <c r="D2196" s="156" t="str">
        <f>'Reported burning'!D2196</f>
        <v>ND</v>
      </c>
      <c r="E2196" s="156" t="str">
        <f>'Reported burning'!E2196</f>
        <v>Biodiversity conservation</v>
      </c>
      <c r="F2196" s="156" t="str">
        <f>'Reported burning'!F2196</f>
        <v>Forest</v>
      </c>
      <c r="G2196" s="156" t="str">
        <f>'Reported burning'!G2196</f>
        <v>Forest</v>
      </c>
      <c r="H2196" s="156" t="str">
        <f>'Reported burning'!H2196</f>
        <v>Presence</v>
      </c>
      <c r="I2196" s="204"/>
      <c r="J2196" s="21" t="s">
        <v>2276</v>
      </c>
      <c r="K2196" s="21" t="s">
        <v>2276</v>
      </c>
      <c r="L2196" s="21" t="s">
        <v>2276</v>
      </c>
      <c r="M2196" s="21" t="s">
        <v>2276</v>
      </c>
      <c r="N2196" s="21" t="s">
        <v>2276</v>
      </c>
      <c r="O2196" s="21" t="s">
        <v>2276</v>
      </c>
      <c r="P2196" s="21" t="s">
        <v>2276</v>
      </c>
      <c r="Q2196" s="21" t="s">
        <v>2276</v>
      </c>
      <c r="R2196" s="21" t="s">
        <v>2276</v>
      </c>
      <c r="S2196" s="21" t="s">
        <v>2276</v>
      </c>
      <c r="T2196" s="21" t="s">
        <v>2276</v>
      </c>
      <c r="U2196" s="21" t="s">
        <v>2276</v>
      </c>
      <c r="V2196" s="21" t="s">
        <v>2276</v>
      </c>
      <c r="W2196" s="21" t="s">
        <v>2276</v>
      </c>
      <c r="X2196" s="21" t="s">
        <v>2276</v>
      </c>
      <c r="Y2196" s="21" t="s">
        <v>2276</v>
      </c>
      <c r="Z2196" s="21" t="s">
        <v>2276</v>
      </c>
      <c r="AA2196" s="204"/>
      <c r="AB2196" s="204"/>
    </row>
    <row r="2197" spans="1:28" s="203" customFormat="1" ht="46" customHeight="1">
      <c r="A2197" s="156" t="str">
        <f>'Reported burning'!A2197</f>
        <v>263a</v>
      </c>
      <c r="B2197" s="156" t="str">
        <f>'Reported burning'!B2197</f>
        <v>263a.9</v>
      </c>
      <c r="C2197" s="156" t="str">
        <f>'Reported burning'!C2197</f>
        <v>Unknown</v>
      </c>
      <c r="D2197" s="156" t="str">
        <f>'Reported burning'!D2197</f>
        <v>ND</v>
      </c>
      <c r="E2197" s="156" t="str">
        <f>'Reported burning'!E2197</f>
        <v>Biodiversity conservation</v>
      </c>
      <c r="F2197" s="156" t="str">
        <f>'Reported burning'!F2197</f>
        <v>Forest</v>
      </c>
      <c r="G2197" s="156" t="str">
        <f>'Reported burning'!G2197</f>
        <v>Forest</v>
      </c>
      <c r="H2197" s="156" t="str">
        <f>'Reported burning'!H2197</f>
        <v>Presence</v>
      </c>
      <c r="I2197" s="204"/>
      <c r="J2197" s="21" t="s">
        <v>2276</v>
      </c>
      <c r="K2197" s="21" t="s">
        <v>2276</v>
      </c>
      <c r="L2197" s="21" t="s">
        <v>2276</v>
      </c>
      <c r="M2197" s="21" t="s">
        <v>2276</v>
      </c>
      <c r="N2197" s="21" t="s">
        <v>2276</v>
      </c>
      <c r="O2197" s="21" t="s">
        <v>2276</v>
      </c>
      <c r="P2197" s="21" t="s">
        <v>2276</v>
      </c>
      <c r="Q2197" s="21" t="s">
        <v>2276</v>
      </c>
      <c r="R2197" s="21" t="s">
        <v>2276</v>
      </c>
      <c r="S2197" s="21" t="s">
        <v>2276</v>
      </c>
      <c r="T2197" s="21" t="s">
        <v>2276</v>
      </c>
      <c r="U2197" s="21" t="s">
        <v>2276</v>
      </c>
      <c r="V2197" s="21" t="s">
        <v>2276</v>
      </c>
      <c r="W2197" s="21" t="s">
        <v>2276</v>
      </c>
      <c r="X2197" s="21" t="s">
        <v>2276</v>
      </c>
      <c r="Y2197" s="21" t="s">
        <v>2276</v>
      </c>
      <c r="Z2197" s="21" t="s">
        <v>2276</v>
      </c>
      <c r="AA2197" s="204"/>
      <c r="AB2197" s="204"/>
    </row>
    <row r="2198" spans="1:28" s="203" customFormat="1" ht="46" customHeight="1">
      <c r="A2198" s="156" t="str">
        <f>'Reported burning'!A2198</f>
        <v>263a</v>
      </c>
      <c r="B2198" s="156" t="str">
        <f>'Reported burning'!B2198</f>
        <v>263a.10</v>
      </c>
      <c r="C2198" s="156" t="str">
        <f>'Reported burning'!C2198</f>
        <v>Human, deliberate</v>
      </c>
      <c r="D2198" s="156" t="str">
        <f>'Reported burning'!D2198</f>
        <v>Arson</v>
      </c>
      <c r="E2198" s="156" t="str">
        <f>'Reported burning'!E2198</f>
        <v>ND</v>
      </c>
      <c r="F2198" s="156" t="str">
        <f>'Reported burning'!F2198</f>
        <v>ND</v>
      </c>
      <c r="G2198" s="156" t="str">
        <f>'Reported burning'!G2198</f>
        <v>ND</v>
      </c>
      <c r="H2198" s="156" t="str">
        <f>'Reported burning'!H2198</f>
        <v>Presence</v>
      </c>
      <c r="I2198" s="204"/>
      <c r="J2198" s="21" t="s">
        <v>2276</v>
      </c>
      <c r="K2198" s="21" t="s">
        <v>2276</v>
      </c>
      <c r="L2198" s="21" t="s">
        <v>2276</v>
      </c>
      <c r="M2198" s="21" t="s">
        <v>2276</v>
      </c>
      <c r="N2198" s="21" t="s">
        <v>2276</v>
      </c>
      <c r="O2198" s="21" t="s">
        <v>2276</v>
      </c>
      <c r="P2198" s="21" t="s">
        <v>2276</v>
      </c>
      <c r="Q2198" s="21" t="s">
        <v>2276</v>
      </c>
      <c r="R2198" s="21" t="s">
        <v>2276</v>
      </c>
      <c r="S2198" s="21" t="s">
        <v>2276</v>
      </c>
      <c r="T2198" s="21" t="s">
        <v>2276</v>
      </c>
      <c r="U2198" s="21" t="s">
        <v>2276</v>
      </c>
      <c r="V2198" s="21" t="s">
        <v>2276</v>
      </c>
      <c r="W2198" s="21" t="s">
        <v>2276</v>
      </c>
      <c r="X2198" s="21" t="s">
        <v>2276</v>
      </c>
      <c r="Y2198" s="21" t="s">
        <v>2276</v>
      </c>
      <c r="Z2198" s="21" t="s">
        <v>2276</v>
      </c>
      <c r="AA2198" s="204"/>
      <c r="AB2198" s="204"/>
    </row>
    <row r="2199" spans="1:28" s="203" customFormat="1" ht="46" customHeight="1">
      <c r="A2199" s="156" t="str">
        <f>'Reported burning'!A2199</f>
        <v>263a</v>
      </c>
      <c r="B2199" s="156" t="str">
        <f>'Reported burning'!B2199</f>
        <v>263a.11</v>
      </c>
      <c r="C2199" s="156" t="str">
        <f>'Reported burning'!C2199</f>
        <v>Lightning</v>
      </c>
      <c r="D2199" s="156" t="str">
        <f>'Reported burning'!D2199</f>
        <v>ND</v>
      </c>
      <c r="E2199" s="156" t="str">
        <f>'Reported burning'!E2199</f>
        <v>ND</v>
      </c>
      <c r="F2199" s="156" t="str">
        <f>'Reported burning'!F2199</f>
        <v>ND</v>
      </c>
      <c r="G2199" s="156" t="str">
        <f>'Reported burning'!G2199</f>
        <v>ND</v>
      </c>
      <c r="H2199" s="156" t="str">
        <f>'Reported burning'!H2199</f>
        <v>Presence</v>
      </c>
      <c r="I2199" s="204"/>
      <c r="J2199" s="21" t="s">
        <v>2276</v>
      </c>
      <c r="K2199" s="21" t="s">
        <v>2276</v>
      </c>
      <c r="L2199" s="21" t="s">
        <v>2276</v>
      </c>
      <c r="M2199" s="21" t="s">
        <v>2276</v>
      </c>
      <c r="N2199" s="21" t="s">
        <v>2276</v>
      </c>
      <c r="O2199" s="21" t="s">
        <v>2276</v>
      </c>
      <c r="P2199" s="21" t="s">
        <v>2276</v>
      </c>
      <c r="Q2199" s="21" t="s">
        <v>2276</v>
      </c>
      <c r="R2199" s="21" t="s">
        <v>2276</v>
      </c>
      <c r="S2199" s="21" t="s">
        <v>2276</v>
      </c>
      <c r="T2199" s="21" t="s">
        <v>2276</v>
      </c>
      <c r="U2199" s="21" t="s">
        <v>2276</v>
      </c>
      <c r="V2199" s="21" t="s">
        <v>2276</v>
      </c>
      <c r="W2199" s="21" t="s">
        <v>2276</v>
      </c>
      <c r="X2199" s="21" t="s">
        <v>2276</v>
      </c>
      <c r="Y2199" s="21" t="s">
        <v>2276</v>
      </c>
      <c r="Z2199" s="21" t="s">
        <v>2276</v>
      </c>
      <c r="AA2199" s="204"/>
      <c r="AB2199" s="204"/>
    </row>
    <row r="2200" spans="1:28" s="203" customFormat="1" ht="46" customHeight="1">
      <c r="A2200" s="156" t="str">
        <f>'Reported burning'!A2200</f>
        <v>263a</v>
      </c>
      <c r="B2200" s="156" t="str">
        <f>'Reported burning'!B2200</f>
        <v>263a.12</v>
      </c>
      <c r="C2200" s="156" t="str">
        <f>'Reported burning'!C2200</f>
        <v>Unknown</v>
      </c>
      <c r="D2200" s="156" t="str">
        <f>'Reported burning'!D2200</f>
        <v>ND</v>
      </c>
      <c r="E2200" s="156" t="str">
        <f>'Reported burning'!E2200</f>
        <v>ND</v>
      </c>
      <c r="F2200" s="156" t="str">
        <f>'Reported burning'!F2200</f>
        <v>ND</v>
      </c>
      <c r="G2200" s="156" t="str">
        <f>'Reported burning'!G2200</f>
        <v>ND</v>
      </c>
      <c r="H2200" s="156" t="str">
        <f>'Reported burning'!H2200</f>
        <v>Presence</v>
      </c>
      <c r="I2200" s="204"/>
      <c r="J2200" s="21" t="s">
        <v>2276</v>
      </c>
      <c r="K2200" s="21" t="s">
        <v>2276</v>
      </c>
      <c r="L2200" s="21" t="s">
        <v>2276</v>
      </c>
      <c r="M2200" s="21" t="s">
        <v>2276</v>
      </c>
      <c r="N2200" s="21" t="s">
        <v>2276</v>
      </c>
      <c r="O2200" s="21" t="s">
        <v>2276</v>
      </c>
      <c r="P2200" s="21" t="s">
        <v>2276</v>
      </c>
      <c r="Q2200" s="21" t="s">
        <v>2276</v>
      </c>
      <c r="R2200" s="21" t="s">
        <v>2276</v>
      </c>
      <c r="S2200" s="21" t="s">
        <v>2276</v>
      </c>
      <c r="T2200" s="21" t="s">
        <v>2276</v>
      </c>
      <c r="U2200" s="21" t="s">
        <v>2276</v>
      </c>
      <c r="V2200" s="21" t="s">
        <v>2276</v>
      </c>
      <c r="W2200" s="21" t="s">
        <v>2276</v>
      </c>
      <c r="X2200" s="21" t="s">
        <v>2276</v>
      </c>
      <c r="Y2200" s="21" t="s">
        <v>2276</v>
      </c>
      <c r="Z2200" s="21" t="s">
        <v>2276</v>
      </c>
      <c r="AA2200" s="204"/>
      <c r="AB2200" s="204"/>
    </row>
    <row r="2201" spans="1:28" s="203" customFormat="1" ht="46" customHeight="1">
      <c r="A2201" s="156" t="str">
        <f>'Reported burning'!A2201</f>
        <v>264a</v>
      </c>
      <c r="B2201" s="156" t="str">
        <f>'Reported burning'!B2201</f>
        <v>264a.1</v>
      </c>
      <c r="C2201" s="156" t="str">
        <f>'Reported burning'!C2201</f>
        <v>All</v>
      </c>
      <c r="D2201" s="156" t="str">
        <f>'Reported burning'!D2201</f>
        <v>All</v>
      </c>
      <c r="E2201" s="156" t="str">
        <f>'Reported burning'!E2201</f>
        <v>All</v>
      </c>
      <c r="F2201" s="156" t="str">
        <f>'Reported burning'!F2201</f>
        <v>ND</v>
      </c>
      <c r="G2201" s="156" t="str">
        <f>'Reported burning'!G2201</f>
        <v>ND</v>
      </c>
      <c r="H2201" s="156" t="str">
        <f>'Reported burning'!H2201</f>
        <v>Presence</v>
      </c>
      <c r="I2201" s="204"/>
      <c r="J2201" s="21" t="s">
        <v>2276</v>
      </c>
      <c r="K2201" s="21" t="s">
        <v>2276</v>
      </c>
      <c r="L2201" s="21" t="s">
        <v>2276</v>
      </c>
      <c r="M2201" s="21" t="s">
        <v>2276</v>
      </c>
      <c r="N2201" s="21" t="s">
        <v>2276</v>
      </c>
      <c r="O2201" s="21" t="s">
        <v>2276</v>
      </c>
      <c r="P2201" s="21" t="s">
        <v>2276</v>
      </c>
      <c r="Q2201" s="21" t="s">
        <v>2276</v>
      </c>
      <c r="R2201" s="21" t="s">
        <v>2276</v>
      </c>
      <c r="S2201" s="21" t="s">
        <v>2276</v>
      </c>
      <c r="T2201" s="21" t="s">
        <v>2276</v>
      </c>
      <c r="U2201" s="21" t="s">
        <v>2276</v>
      </c>
      <c r="V2201" s="21" t="s">
        <v>2276</v>
      </c>
      <c r="W2201" s="21" t="s">
        <v>2276</v>
      </c>
      <c r="X2201" s="21" t="s">
        <v>2276</v>
      </c>
      <c r="Y2201" s="21" t="s">
        <v>2276</v>
      </c>
      <c r="Z2201" s="21" t="s">
        <v>2276</v>
      </c>
      <c r="AA2201" s="204"/>
      <c r="AB2201" s="204"/>
    </row>
    <row r="2202" spans="1:28" ht="84" customHeight="1">
      <c r="A2202" s="156" t="str">
        <f>'Reported burning'!A2202</f>
        <v>264a</v>
      </c>
      <c r="B2202" s="156" t="str">
        <f>'Reported burning'!B2202</f>
        <v>264a.2</v>
      </c>
      <c r="C2202" s="156" t="str">
        <f>'Reported burning'!C2202</f>
        <v>Human, deliberate</v>
      </c>
      <c r="D2202" s="156" t="str">
        <f>'Reported burning'!D2202</f>
        <v>Vegetation management</v>
      </c>
      <c r="E2202" s="156" t="str">
        <f>'Reported burning'!E2202</f>
        <v>Forestry, Industrial</v>
      </c>
      <c r="F2202" s="156" t="str">
        <f>'Reported burning'!F2202</f>
        <v>Plantation forest</v>
      </c>
      <c r="G2202" s="156" t="str">
        <f>'Reported burning'!G2202</f>
        <v>Plantation forest</v>
      </c>
      <c r="H2202" s="156" t="str">
        <f>'Reported burning'!H2202</f>
        <v>Presence</v>
      </c>
      <c r="I2202" s="3"/>
      <c r="J2202" s="21" t="s">
        <v>2276</v>
      </c>
      <c r="K2202" s="103" t="s">
        <v>2276</v>
      </c>
      <c r="L2202" s="21" t="s">
        <v>2276</v>
      </c>
      <c r="M2202" s="21" t="s">
        <v>2276</v>
      </c>
      <c r="N2202" s="21" t="s">
        <v>2276</v>
      </c>
      <c r="O2202" s="21" t="s">
        <v>2276</v>
      </c>
      <c r="P2202" s="21" t="s">
        <v>2276</v>
      </c>
      <c r="Q2202" s="21" t="s">
        <v>2276</v>
      </c>
      <c r="R2202" s="21" t="s">
        <v>2276</v>
      </c>
      <c r="S2202" s="21" t="s">
        <v>2276</v>
      </c>
      <c r="T2202" s="21" t="s">
        <v>2276</v>
      </c>
      <c r="U2202" s="21" t="s">
        <v>2276</v>
      </c>
      <c r="V2202" s="21" t="s">
        <v>2276</v>
      </c>
      <c r="W2202" s="21" t="s">
        <v>2276</v>
      </c>
      <c r="X2202" s="3" t="s">
        <v>2276</v>
      </c>
      <c r="Y2202" s="3" t="s">
        <v>2276</v>
      </c>
      <c r="Z2202" s="3" t="s">
        <v>2276</v>
      </c>
      <c r="AA2202" s="4"/>
      <c r="AB2202" s="3"/>
    </row>
    <row r="2203" spans="1:28" ht="77.5" customHeight="1">
      <c r="A2203" s="156" t="str">
        <f>'Reported burning'!A2203</f>
        <v>264a</v>
      </c>
      <c r="B2203" s="156" t="str">
        <f>'Reported burning'!B2203</f>
        <v>264a.3</v>
      </c>
      <c r="C2203" s="156" t="str">
        <f>'Reported burning'!C2203</f>
        <v>Human, deliberate</v>
      </c>
      <c r="D2203" s="156" t="str">
        <f>'Reported burning'!D2203</f>
        <v>Crop residue burning</v>
      </c>
      <c r="E2203" s="156" t="str">
        <f>'Reported burning'!E2203</f>
        <v>Mixed cropping-livestock small holder, Market-oriented</v>
      </c>
      <c r="F2203" s="156" t="str">
        <f>'Reported burning'!F2203</f>
        <v>Cropland</v>
      </c>
      <c r="G2203" s="156" t="str">
        <f>'Reported burning'!G2203</f>
        <v>ND</v>
      </c>
      <c r="H2203" s="156" t="str">
        <f>'Reported burning'!H2203</f>
        <v>Presence</v>
      </c>
      <c r="I2203" s="3"/>
      <c r="J2203" s="21" t="s">
        <v>2276</v>
      </c>
      <c r="K2203" s="103" t="s">
        <v>2276</v>
      </c>
      <c r="L2203" s="21" t="s">
        <v>2276</v>
      </c>
      <c r="M2203" s="21" t="s">
        <v>2276</v>
      </c>
      <c r="N2203" s="21" t="s">
        <v>2276</v>
      </c>
      <c r="O2203" s="21" t="s">
        <v>2276</v>
      </c>
      <c r="P2203" s="21" t="s">
        <v>2276</v>
      </c>
      <c r="Q2203" s="21" t="s">
        <v>2276</v>
      </c>
      <c r="R2203" s="21" t="s">
        <v>2276</v>
      </c>
      <c r="S2203" s="21" t="s">
        <v>2276</v>
      </c>
      <c r="T2203" s="21" t="s">
        <v>2276</v>
      </c>
      <c r="U2203" s="21" t="s">
        <v>2276</v>
      </c>
      <c r="V2203" s="21" t="s">
        <v>2276</v>
      </c>
      <c r="W2203" s="21" t="s">
        <v>2276</v>
      </c>
      <c r="X2203" s="3" t="s">
        <v>2276</v>
      </c>
      <c r="Y2203" s="3" t="s">
        <v>2276</v>
      </c>
      <c r="Z2203" s="3" t="s">
        <v>2276</v>
      </c>
      <c r="AA2203" s="4" t="s">
        <v>6700</v>
      </c>
      <c r="AB2203" s="3"/>
    </row>
    <row r="2204" spans="1:28" ht="81.5" customHeight="1">
      <c r="A2204" s="156" t="str">
        <f>'Reported burning'!A2204</f>
        <v>264a</v>
      </c>
      <c r="B2204" s="156" t="str">
        <f>'Reported burning'!B2204</f>
        <v>264a.4</v>
      </c>
      <c r="C2204" s="156" t="str">
        <f>'Reported burning'!C2204</f>
        <v>Human, deliberate</v>
      </c>
      <c r="D2204" s="156" t="str">
        <f>'Reported burning'!D2204</f>
        <v xml:space="preserve">Pasture renewal </v>
      </c>
      <c r="E2204" s="156" t="str">
        <f>'Reported burning'!E2204</f>
        <v>Mixed cropping-livestock small holder, Market-oriented</v>
      </c>
      <c r="F2204" s="156" t="str">
        <f>'Reported burning'!F2204</f>
        <v>Pasture</v>
      </c>
      <c r="G2204" s="156" t="str">
        <f>'Reported burning'!G2204</f>
        <v>ND</v>
      </c>
      <c r="H2204" s="156" t="str">
        <f>'Reported burning'!H2204</f>
        <v>Presence</v>
      </c>
      <c r="I2204" s="3"/>
      <c r="J2204" s="21" t="s">
        <v>2276</v>
      </c>
      <c r="K2204" s="103" t="s">
        <v>2276</v>
      </c>
      <c r="L2204" s="21" t="s">
        <v>2276</v>
      </c>
      <c r="M2204" s="21" t="s">
        <v>2276</v>
      </c>
      <c r="N2204" s="21" t="s">
        <v>2276</v>
      </c>
      <c r="O2204" s="21" t="s">
        <v>2276</v>
      </c>
      <c r="P2204" s="21" t="s">
        <v>2276</v>
      </c>
      <c r="Q2204" s="21" t="s">
        <v>2276</v>
      </c>
      <c r="R2204" s="21" t="s">
        <v>2276</v>
      </c>
      <c r="S2204" s="21" t="s">
        <v>2276</v>
      </c>
      <c r="T2204" s="21" t="s">
        <v>2276</v>
      </c>
      <c r="U2204" s="21" t="s">
        <v>2276</v>
      </c>
      <c r="V2204" s="21" t="s">
        <v>2276</v>
      </c>
      <c r="W2204" s="21" t="s">
        <v>2276</v>
      </c>
      <c r="X2204" s="3" t="s">
        <v>2276</v>
      </c>
      <c r="Y2204" s="3" t="s">
        <v>2276</v>
      </c>
      <c r="Z2204" s="3" t="s">
        <v>2276</v>
      </c>
      <c r="AA2204" s="4" t="s">
        <v>6701</v>
      </c>
      <c r="AB2204" s="3"/>
    </row>
    <row r="2205" spans="1:28" s="203" customFormat="1" ht="81.5" customHeight="1">
      <c r="A2205" s="156" t="str">
        <f>'Reported burning'!A2205</f>
        <v>264a</v>
      </c>
      <c r="B2205" s="156" t="str">
        <f>'Reported burning'!B2205</f>
        <v>264a.5</v>
      </c>
      <c r="C2205" s="156" t="str">
        <f>'Reported burning'!C2205</f>
        <v>Human, deliberate</v>
      </c>
      <c r="D2205" s="156" t="str">
        <f>'Reported burning'!D2205</f>
        <v>Land clearance</v>
      </c>
      <c r="E2205" s="156" t="str">
        <f>'Reported burning'!E2205</f>
        <v>Mixed cropping-livestock small holder, Market-oriented</v>
      </c>
      <c r="F2205" s="156" t="str">
        <f>'Reported burning'!F2205</f>
        <v>Shrubland (Mixed forest &amp; grassland)</v>
      </c>
      <c r="G2205" s="156" t="str">
        <f>'Reported burning'!G2205</f>
        <v>ND</v>
      </c>
      <c r="H2205" s="156" t="str">
        <f>'Reported burning'!H2205</f>
        <v>Presence</v>
      </c>
      <c r="I2205" s="204"/>
      <c r="J2205" s="21" t="s">
        <v>2276</v>
      </c>
      <c r="K2205" s="103" t="s">
        <v>2276</v>
      </c>
      <c r="L2205" s="21" t="s">
        <v>2276</v>
      </c>
      <c r="M2205" s="21" t="s">
        <v>2276</v>
      </c>
      <c r="N2205" s="21" t="s">
        <v>2276</v>
      </c>
      <c r="O2205" s="21" t="s">
        <v>2276</v>
      </c>
      <c r="P2205" s="21" t="s">
        <v>2276</v>
      </c>
      <c r="Q2205" s="21" t="s">
        <v>2276</v>
      </c>
      <c r="R2205" s="21" t="s">
        <v>2276</v>
      </c>
      <c r="S2205" s="21" t="s">
        <v>2276</v>
      </c>
      <c r="T2205" s="21" t="s">
        <v>2276</v>
      </c>
      <c r="U2205" s="21" t="s">
        <v>2276</v>
      </c>
      <c r="V2205" s="21" t="s">
        <v>2276</v>
      </c>
      <c r="W2205" s="21" t="s">
        <v>2276</v>
      </c>
      <c r="X2205" s="204" t="s">
        <v>2276</v>
      </c>
      <c r="Y2205" s="204" t="s">
        <v>2276</v>
      </c>
      <c r="Z2205" s="204" t="s">
        <v>2276</v>
      </c>
      <c r="AA2205" s="4" t="s">
        <v>6700</v>
      </c>
      <c r="AB2205" s="204"/>
    </row>
    <row r="2206" spans="1:28" ht="80.5" customHeight="1">
      <c r="A2206" s="156" t="str">
        <f>'Reported burning'!A2206</f>
        <v>264a</v>
      </c>
      <c r="B2206" s="156" t="str">
        <f>'Reported burning'!B2206</f>
        <v>264a.6</v>
      </c>
      <c r="C2206" s="156" t="str">
        <f>'Reported burning'!C2206</f>
        <v>Human, deliberate</v>
      </c>
      <c r="D2206" s="156" t="str">
        <f>'Reported burning'!D2206</f>
        <v>Arson</v>
      </c>
      <c r="E2206" s="156" t="str">
        <f>'Reported burning'!E2206</f>
        <v>ND</v>
      </c>
      <c r="F2206" s="156" t="str">
        <f>'Reported burning'!F2206</f>
        <v>ND</v>
      </c>
      <c r="G2206" s="156" t="str">
        <f>'Reported burning'!G2206</f>
        <v>ND</v>
      </c>
      <c r="H2206" s="156" t="str">
        <f>'Reported burning'!H2206</f>
        <v>Presence</v>
      </c>
      <c r="I2206" s="3"/>
      <c r="J2206" s="21" t="s">
        <v>2276</v>
      </c>
      <c r="K2206" s="103" t="s">
        <v>2276</v>
      </c>
      <c r="L2206" s="21" t="s">
        <v>2276</v>
      </c>
      <c r="M2206" s="21" t="s">
        <v>2276</v>
      </c>
      <c r="N2206" s="21" t="s">
        <v>2276</v>
      </c>
      <c r="O2206" s="21" t="s">
        <v>2276</v>
      </c>
      <c r="P2206" s="21" t="s">
        <v>2276</v>
      </c>
      <c r="Q2206" s="21" t="s">
        <v>2276</v>
      </c>
      <c r="R2206" s="21" t="s">
        <v>2276</v>
      </c>
      <c r="S2206" s="21" t="s">
        <v>2276</v>
      </c>
      <c r="T2206" s="21" t="s">
        <v>2276</v>
      </c>
      <c r="U2206" s="21" t="s">
        <v>2276</v>
      </c>
      <c r="V2206" s="21" t="s">
        <v>2276</v>
      </c>
      <c r="W2206" s="21" t="s">
        <v>2276</v>
      </c>
      <c r="X2206" s="3" t="s">
        <v>2276</v>
      </c>
      <c r="Y2206" s="3" t="s">
        <v>2276</v>
      </c>
      <c r="Z2206" s="3" t="s">
        <v>2276</v>
      </c>
      <c r="AA2206" s="4" t="s">
        <v>6702</v>
      </c>
      <c r="AB2206" s="3"/>
    </row>
    <row r="2207" spans="1:28" s="203" customFormat="1" ht="80.5" customHeight="1">
      <c r="A2207" s="156" t="str">
        <f>'Reported burning'!A2207</f>
        <v>264a</v>
      </c>
      <c r="B2207" s="156" t="str">
        <f>'Reported burning'!B2207</f>
        <v>264a.7</v>
      </c>
      <c r="C2207" s="156" t="str">
        <f>'Reported burning'!C2207</f>
        <v>Human, escaped</v>
      </c>
      <c r="D2207" s="156" t="str">
        <f>'Reported burning'!D2207</f>
        <v>Domestic</v>
      </c>
      <c r="E2207" s="156" t="str">
        <f>'Reported burning'!E2207</f>
        <v>Urban planner</v>
      </c>
      <c r="F2207" s="156" t="str">
        <f>'Reported burning'!F2207</f>
        <v>ND</v>
      </c>
      <c r="G2207" s="156" t="str">
        <f>'Reported burning'!G2207</f>
        <v>ND</v>
      </c>
      <c r="H2207" s="156" t="str">
        <f>'Reported burning'!H2207</f>
        <v>Presence</v>
      </c>
      <c r="I2207" s="204"/>
      <c r="J2207" s="21" t="s">
        <v>2276</v>
      </c>
      <c r="K2207" s="21" t="s">
        <v>2276</v>
      </c>
      <c r="L2207" s="21" t="s">
        <v>2276</v>
      </c>
      <c r="M2207" s="21" t="s">
        <v>2276</v>
      </c>
      <c r="N2207" s="21" t="s">
        <v>2276</v>
      </c>
      <c r="O2207" s="21" t="s">
        <v>2276</v>
      </c>
      <c r="P2207" s="21" t="s">
        <v>2276</v>
      </c>
      <c r="Q2207" s="21" t="s">
        <v>2276</v>
      </c>
      <c r="R2207" s="21" t="s">
        <v>2276</v>
      </c>
      <c r="S2207" s="21" t="s">
        <v>2276</v>
      </c>
      <c r="T2207" s="21" t="s">
        <v>2276</v>
      </c>
      <c r="U2207" s="21" t="s">
        <v>2276</v>
      </c>
      <c r="V2207" s="21" t="s">
        <v>2276</v>
      </c>
      <c r="W2207" s="21" t="s">
        <v>2276</v>
      </c>
      <c r="X2207" s="21" t="s">
        <v>2276</v>
      </c>
      <c r="Y2207" s="21" t="s">
        <v>2276</v>
      </c>
      <c r="Z2207" s="21" t="s">
        <v>2276</v>
      </c>
      <c r="AA2207" s="4" t="s">
        <v>6703</v>
      </c>
      <c r="AB2207" s="204"/>
    </row>
    <row r="2208" spans="1:28" s="203" customFormat="1" ht="80.5" customHeight="1">
      <c r="A2208" s="156" t="str">
        <f>'Reported burning'!A2208</f>
        <v>264a</v>
      </c>
      <c r="B2208" s="156" t="str">
        <f>'Reported burning'!B2208</f>
        <v>264a.8</v>
      </c>
      <c r="C2208" s="156" t="str">
        <f>'Reported burning'!C2208</f>
        <v>Human, deliberate</v>
      </c>
      <c r="D2208" s="156" t="str">
        <f>'Reported burning'!D2208</f>
        <v>Hunting</v>
      </c>
      <c r="E2208" s="156" t="str">
        <f>'Reported burning'!E2208</f>
        <v>Mixed cropping-livestock small holder, Market-oriented</v>
      </c>
      <c r="F2208" s="156" t="str">
        <f>'Reported burning'!F2208</f>
        <v>ND</v>
      </c>
      <c r="G2208" s="156" t="str">
        <f>'Reported burning'!G2208</f>
        <v>ND</v>
      </c>
      <c r="H2208" s="156" t="str">
        <f>'Reported burning'!H2208</f>
        <v>Presence</v>
      </c>
      <c r="I2208" s="204"/>
      <c r="J2208" s="21" t="s">
        <v>2276</v>
      </c>
      <c r="K2208" s="21" t="s">
        <v>2276</v>
      </c>
      <c r="L2208" s="21" t="s">
        <v>2276</v>
      </c>
      <c r="M2208" s="21" t="s">
        <v>2276</v>
      </c>
      <c r="N2208" s="21" t="s">
        <v>2276</v>
      </c>
      <c r="O2208" s="21" t="s">
        <v>2276</v>
      </c>
      <c r="P2208" s="21" t="s">
        <v>2276</v>
      </c>
      <c r="Q2208" s="21" t="s">
        <v>2276</v>
      </c>
      <c r="R2208" s="21" t="s">
        <v>2276</v>
      </c>
      <c r="S2208" s="21" t="s">
        <v>2276</v>
      </c>
      <c r="T2208" s="21" t="s">
        <v>2276</v>
      </c>
      <c r="U2208" s="21" t="s">
        <v>2276</v>
      </c>
      <c r="V2208" s="21" t="s">
        <v>2276</v>
      </c>
      <c r="W2208" s="21" t="s">
        <v>2276</v>
      </c>
      <c r="X2208" s="21" t="s">
        <v>2276</v>
      </c>
      <c r="Y2208" s="21" t="s">
        <v>2276</v>
      </c>
      <c r="Z2208" s="21" t="s">
        <v>2276</v>
      </c>
      <c r="AA2208" s="4" t="s">
        <v>6703</v>
      </c>
      <c r="AB2208" s="204"/>
    </row>
    <row r="2209" spans="1:28" s="203" customFormat="1" ht="80.5" customHeight="1">
      <c r="A2209" s="156" t="str">
        <f>'Reported burning'!A2209</f>
        <v>264a</v>
      </c>
      <c r="B2209" s="156" t="str">
        <f>'Reported burning'!B2209</f>
        <v>264a.9</v>
      </c>
      <c r="C2209" s="156" t="str">
        <f>'Reported burning'!C2209</f>
        <v>Human, accidental</v>
      </c>
      <c r="D2209" s="156" t="str">
        <f>'Reported burning'!D2209</f>
        <v>Accidental</v>
      </c>
      <c r="E2209" s="156" t="str">
        <f>'Reported burning'!E2209</f>
        <v>ND</v>
      </c>
      <c r="F2209" s="156" t="str">
        <f>'Reported burning'!F2209</f>
        <v>ND</v>
      </c>
      <c r="G2209" s="156" t="str">
        <f>'Reported burning'!G2209</f>
        <v>ND</v>
      </c>
      <c r="H2209" s="156" t="str">
        <f>'Reported burning'!H2209</f>
        <v>Presence</v>
      </c>
      <c r="I2209" s="204"/>
      <c r="J2209" s="21" t="s">
        <v>2276</v>
      </c>
      <c r="K2209" s="21" t="s">
        <v>2276</v>
      </c>
      <c r="L2209" s="21" t="s">
        <v>2276</v>
      </c>
      <c r="M2209" s="21" t="s">
        <v>2276</v>
      </c>
      <c r="N2209" s="21" t="s">
        <v>2276</v>
      </c>
      <c r="O2209" s="21" t="s">
        <v>2276</v>
      </c>
      <c r="P2209" s="21" t="s">
        <v>2276</v>
      </c>
      <c r="Q2209" s="21" t="s">
        <v>2276</v>
      </c>
      <c r="R2209" s="21" t="s">
        <v>2276</v>
      </c>
      <c r="S2209" s="21" t="s">
        <v>2276</v>
      </c>
      <c r="T2209" s="21" t="s">
        <v>2276</v>
      </c>
      <c r="U2209" s="21" t="s">
        <v>2276</v>
      </c>
      <c r="V2209" s="21" t="s">
        <v>2276</v>
      </c>
      <c r="W2209" s="21" t="s">
        <v>2276</v>
      </c>
      <c r="X2209" s="21" t="s">
        <v>2276</v>
      </c>
      <c r="Y2209" s="21" t="s">
        <v>2276</v>
      </c>
      <c r="Z2209" s="21" t="s">
        <v>2276</v>
      </c>
      <c r="AA2209" s="4" t="s">
        <v>6703</v>
      </c>
      <c r="AB2209" s="204"/>
    </row>
    <row r="2210" spans="1:28" s="203" customFormat="1" ht="80.5" customHeight="1">
      <c r="A2210" s="156" t="str">
        <f>'Reported burning'!A2210</f>
        <v>264a</v>
      </c>
      <c r="B2210" s="156" t="str">
        <f>'Reported burning'!B2210</f>
        <v>264a.10</v>
      </c>
      <c r="C2210" s="156" t="str">
        <f>'Reported burning'!C2210</f>
        <v>Lightning</v>
      </c>
      <c r="D2210" s="156" t="str">
        <f>'Reported burning'!D2210</f>
        <v>ND</v>
      </c>
      <c r="E2210" s="156" t="str">
        <f>'Reported burning'!E2210</f>
        <v>ND</v>
      </c>
      <c r="F2210" s="156" t="str">
        <f>'Reported burning'!F2210</f>
        <v>ND</v>
      </c>
      <c r="G2210" s="156" t="str">
        <f>'Reported burning'!G2210</f>
        <v>ND</v>
      </c>
      <c r="H2210" s="156" t="str">
        <f>'Reported burning'!H2210</f>
        <v>Presence</v>
      </c>
      <c r="I2210" s="204"/>
      <c r="J2210" s="21" t="s">
        <v>2276</v>
      </c>
      <c r="K2210" s="21" t="s">
        <v>2276</v>
      </c>
      <c r="L2210" s="21" t="s">
        <v>2276</v>
      </c>
      <c r="M2210" s="21" t="s">
        <v>2276</v>
      </c>
      <c r="N2210" s="21" t="s">
        <v>2276</v>
      </c>
      <c r="O2210" s="21" t="s">
        <v>2276</v>
      </c>
      <c r="P2210" s="21" t="s">
        <v>2276</v>
      </c>
      <c r="Q2210" s="21" t="s">
        <v>2276</v>
      </c>
      <c r="R2210" s="21" t="s">
        <v>2276</v>
      </c>
      <c r="S2210" s="21" t="s">
        <v>2276</v>
      </c>
      <c r="T2210" s="21" t="s">
        <v>2276</v>
      </c>
      <c r="U2210" s="21" t="s">
        <v>2276</v>
      </c>
      <c r="V2210" s="21" t="s">
        <v>2276</v>
      </c>
      <c r="W2210" s="21" t="s">
        <v>2276</v>
      </c>
      <c r="X2210" s="21" t="s">
        <v>2276</v>
      </c>
      <c r="Y2210" s="21" t="s">
        <v>2276</v>
      </c>
      <c r="Z2210" s="21" t="s">
        <v>2276</v>
      </c>
      <c r="AA2210" s="4" t="s">
        <v>6703</v>
      </c>
      <c r="AB2210" s="204"/>
    </row>
    <row r="2211" spans="1:28" ht="58.5" customHeight="1">
      <c r="A2211" s="156" t="str">
        <f>'Reported burning'!A2211</f>
        <v>265a</v>
      </c>
      <c r="B2211" s="156" t="str">
        <f>'Reported burning'!B2211</f>
        <v>265a.1</v>
      </c>
      <c r="C2211" s="156" t="str">
        <f>'Reported burning'!C2211</f>
        <v>All</v>
      </c>
      <c r="D2211" s="156" t="str">
        <f>'Reported burning'!D2211</f>
        <v>All</v>
      </c>
      <c r="E2211" s="156" t="str">
        <f>'Reported burning'!E2211</f>
        <v>All</v>
      </c>
      <c r="F2211" s="156" t="str">
        <f>'Reported burning'!F2211</f>
        <v>ND</v>
      </c>
      <c r="G2211" s="156" t="str">
        <f>'Reported burning'!G2211</f>
        <v>ND</v>
      </c>
      <c r="H2211" s="156" t="str">
        <f>'Reported burning'!H2211</f>
        <v>Presence</v>
      </c>
      <c r="I2211" s="4">
        <v>2003</v>
      </c>
      <c r="J2211" s="77" t="s">
        <v>2370</v>
      </c>
      <c r="K2211" s="103" t="s">
        <v>2276</v>
      </c>
      <c r="L2211" s="21" t="s">
        <v>2362</v>
      </c>
      <c r="M2211" s="21" t="s">
        <v>2276</v>
      </c>
      <c r="N2211" s="21" t="s">
        <v>2276</v>
      </c>
      <c r="O2211" s="21" t="s">
        <v>2276</v>
      </c>
      <c r="P2211" s="21" t="s">
        <v>2276</v>
      </c>
      <c r="Q2211" s="21" t="s">
        <v>2276</v>
      </c>
      <c r="R2211" s="21" t="s">
        <v>2276</v>
      </c>
      <c r="S2211" s="21" t="s">
        <v>2276</v>
      </c>
      <c r="T2211" s="21" t="s">
        <v>2276</v>
      </c>
      <c r="U2211" s="21" t="s">
        <v>2276</v>
      </c>
      <c r="V2211" s="21" t="s">
        <v>2276</v>
      </c>
      <c r="W2211" s="21" t="s">
        <v>2276</v>
      </c>
      <c r="X2211" s="204" t="s">
        <v>86</v>
      </c>
      <c r="Y2211" s="204" t="s">
        <v>405</v>
      </c>
      <c r="Z2211" s="4" t="s">
        <v>2276</v>
      </c>
      <c r="AA2211" s="4"/>
      <c r="AB2211" s="3" t="s">
        <v>6711</v>
      </c>
    </row>
    <row r="2212" spans="1:28" ht="87" customHeight="1">
      <c r="A2212" s="156" t="str">
        <f>'Reported burning'!A2212</f>
        <v>265b</v>
      </c>
      <c r="B2212" s="156" t="str">
        <f>'Reported burning'!B2212</f>
        <v>265b.1</v>
      </c>
      <c r="C2212" s="156" t="str">
        <f>'Reported burning'!C2212</f>
        <v>All</v>
      </c>
      <c r="D2212" s="156" t="str">
        <f>'Reported burning'!D2212</f>
        <v>All</v>
      </c>
      <c r="E2212" s="156" t="str">
        <f>'Reported burning'!E2212</f>
        <v>All</v>
      </c>
      <c r="F2212" s="156" t="str">
        <f>'Reported burning'!F2212</f>
        <v>ND</v>
      </c>
      <c r="G2212" s="156" t="str">
        <f>'Reported burning'!G2212</f>
        <v>ND</v>
      </c>
      <c r="H2212" s="156" t="str">
        <f>'Reported burning'!H2212</f>
        <v>Presence</v>
      </c>
      <c r="I2212" s="4">
        <v>2003</v>
      </c>
      <c r="J2212" s="77" t="s">
        <v>2371</v>
      </c>
      <c r="K2212" s="103" t="s">
        <v>2276</v>
      </c>
      <c r="L2212" s="21" t="s">
        <v>2362</v>
      </c>
      <c r="M2212" s="21" t="s">
        <v>2276</v>
      </c>
      <c r="N2212" s="21" t="s">
        <v>2276</v>
      </c>
      <c r="O2212" s="21" t="s">
        <v>2276</v>
      </c>
      <c r="P2212" s="21" t="s">
        <v>2276</v>
      </c>
      <c r="Q2212" s="21" t="s">
        <v>2276</v>
      </c>
      <c r="R2212" s="21" t="s">
        <v>2276</v>
      </c>
      <c r="S2212" s="21" t="s">
        <v>2276</v>
      </c>
      <c r="T2212" s="21" t="s">
        <v>2276</v>
      </c>
      <c r="U2212" s="21" t="s">
        <v>2276</v>
      </c>
      <c r="V2212" s="21" t="s">
        <v>2276</v>
      </c>
      <c r="W2212" s="21" t="s">
        <v>2276</v>
      </c>
      <c r="X2212" s="204" t="s">
        <v>86</v>
      </c>
      <c r="Y2212" s="204" t="s">
        <v>405</v>
      </c>
      <c r="Z2212" s="4" t="s">
        <v>2276</v>
      </c>
      <c r="AA2212" s="4"/>
      <c r="AB2212" s="204" t="s">
        <v>6711</v>
      </c>
    </row>
    <row r="2213" spans="1:28" ht="87" customHeight="1">
      <c r="A2213" s="156" t="str">
        <f>'Reported burning'!A2213</f>
        <v>265c</v>
      </c>
      <c r="B2213" s="156" t="str">
        <f>'Reported burning'!B2213</f>
        <v>265c.1</v>
      </c>
      <c r="C2213" s="156" t="str">
        <f>'Reported burning'!C2213</f>
        <v>All</v>
      </c>
      <c r="D2213" s="156" t="str">
        <f>'Reported burning'!D2213</f>
        <v>All</v>
      </c>
      <c r="E2213" s="156" t="str">
        <f>'Reported burning'!E2213</f>
        <v>All</v>
      </c>
      <c r="F2213" s="156" t="str">
        <f>'Reported burning'!F2213</f>
        <v>ND</v>
      </c>
      <c r="G2213" s="156" t="str">
        <f>'Reported burning'!G2213</f>
        <v>ND</v>
      </c>
      <c r="H2213" s="156" t="str">
        <f>'Reported burning'!H2213</f>
        <v>Presence</v>
      </c>
      <c r="I2213" s="4">
        <v>2003</v>
      </c>
      <c r="J2213" s="77" t="s">
        <v>2371</v>
      </c>
      <c r="K2213" s="103" t="s">
        <v>2276</v>
      </c>
      <c r="L2213" s="21" t="s">
        <v>2362</v>
      </c>
      <c r="M2213" s="21" t="s">
        <v>2276</v>
      </c>
      <c r="N2213" s="21" t="s">
        <v>2276</v>
      </c>
      <c r="O2213" s="21" t="s">
        <v>2276</v>
      </c>
      <c r="P2213" s="21" t="s">
        <v>2276</v>
      </c>
      <c r="Q2213" s="21" t="s">
        <v>2276</v>
      </c>
      <c r="R2213" s="21" t="s">
        <v>2276</v>
      </c>
      <c r="S2213" s="21" t="s">
        <v>2276</v>
      </c>
      <c r="T2213" s="21" t="s">
        <v>2276</v>
      </c>
      <c r="U2213" s="21" t="s">
        <v>2276</v>
      </c>
      <c r="V2213" s="21" t="s">
        <v>2276</v>
      </c>
      <c r="W2213" s="21" t="s">
        <v>2276</v>
      </c>
      <c r="X2213" s="204" t="s">
        <v>86</v>
      </c>
      <c r="Y2213" s="204" t="s">
        <v>405</v>
      </c>
      <c r="Z2213" s="4" t="s">
        <v>2276</v>
      </c>
      <c r="AA2213" s="4"/>
      <c r="AB2213" s="204" t="s">
        <v>6711</v>
      </c>
    </row>
    <row r="2214" spans="1:28" s="203" customFormat="1" ht="87" customHeight="1">
      <c r="A2214" s="156" t="str">
        <f>'Reported burning'!A2214</f>
        <v>265a</v>
      </c>
      <c r="B2214" s="156" t="str">
        <f>'Reported burning'!B2214</f>
        <v>265a.2</v>
      </c>
      <c r="C2214" s="156" t="str">
        <f>'Reported burning'!C2214</f>
        <v>All</v>
      </c>
      <c r="D2214" s="156" t="str">
        <f>'Reported burning'!D2214</f>
        <v>All</v>
      </c>
      <c r="E2214" s="156" t="str">
        <f>'Reported burning'!E2214</f>
        <v>All</v>
      </c>
      <c r="F2214" s="156" t="str">
        <f>'Reported burning'!F2214</f>
        <v>ND</v>
      </c>
      <c r="G2214" s="156" t="str">
        <f>'Reported burning'!G2214</f>
        <v>Forest</v>
      </c>
      <c r="H2214" s="156" t="str">
        <f>'Reported burning'!H2214</f>
        <v>Presence</v>
      </c>
      <c r="I2214" s="204"/>
      <c r="J2214" s="103" t="s">
        <v>2276</v>
      </c>
      <c r="K2214" s="103" t="s">
        <v>2276</v>
      </c>
      <c r="L2214" s="21" t="s">
        <v>2362</v>
      </c>
      <c r="M2214" s="21" t="s">
        <v>2276</v>
      </c>
      <c r="N2214" s="21" t="s">
        <v>2276</v>
      </c>
      <c r="O2214" s="21" t="s">
        <v>2276</v>
      </c>
      <c r="P2214" s="21" t="s">
        <v>2376</v>
      </c>
      <c r="Q2214" s="21" t="s">
        <v>2276</v>
      </c>
      <c r="R2214" s="21" t="s">
        <v>2373</v>
      </c>
      <c r="S2214" s="21" t="s">
        <v>2276</v>
      </c>
      <c r="T2214" s="21" t="s">
        <v>2276</v>
      </c>
      <c r="U2214" s="21" t="s">
        <v>2276</v>
      </c>
      <c r="V2214" s="21" t="s">
        <v>2276</v>
      </c>
      <c r="W2214" s="21" t="s">
        <v>2276</v>
      </c>
      <c r="X2214" s="204" t="s">
        <v>86</v>
      </c>
      <c r="Y2214" s="204" t="s">
        <v>405</v>
      </c>
      <c r="Z2214" s="4" t="s">
        <v>2276</v>
      </c>
      <c r="AA2214" s="4"/>
      <c r="AB2214" s="4" t="s">
        <v>6707</v>
      </c>
    </row>
    <row r="2215" spans="1:28" s="203" customFormat="1" ht="87" customHeight="1">
      <c r="A2215" s="156" t="str">
        <f>'Reported burning'!A2215</f>
        <v>265b</v>
      </c>
      <c r="B2215" s="156" t="str">
        <f>'Reported burning'!B2215</f>
        <v>265b.2</v>
      </c>
      <c r="C2215" s="156" t="str">
        <f>'Reported burning'!C2215</f>
        <v>All</v>
      </c>
      <c r="D2215" s="156" t="str">
        <f>'Reported burning'!D2215</f>
        <v>All</v>
      </c>
      <c r="E2215" s="156" t="str">
        <f>'Reported burning'!E2215</f>
        <v>All</v>
      </c>
      <c r="F2215" s="156" t="str">
        <f>'Reported burning'!F2215</f>
        <v>ND</v>
      </c>
      <c r="G2215" s="156" t="str">
        <f>'Reported burning'!G2215</f>
        <v>Forest</v>
      </c>
      <c r="H2215" s="156" t="str">
        <f>'Reported burning'!H2215</f>
        <v>Presence</v>
      </c>
      <c r="I2215" s="204"/>
      <c r="J2215" s="103" t="s">
        <v>2276</v>
      </c>
      <c r="K2215" s="103" t="s">
        <v>2276</v>
      </c>
      <c r="L2215" s="21" t="s">
        <v>2362</v>
      </c>
      <c r="M2215" s="21" t="s">
        <v>2276</v>
      </c>
      <c r="N2215" s="21" t="s">
        <v>2276</v>
      </c>
      <c r="O2215" s="21" t="s">
        <v>2276</v>
      </c>
      <c r="P2215" s="21" t="s">
        <v>2376</v>
      </c>
      <c r="Q2215" s="21" t="s">
        <v>2276</v>
      </c>
      <c r="R2215" s="21" t="s">
        <v>2373</v>
      </c>
      <c r="S2215" s="21" t="s">
        <v>2276</v>
      </c>
      <c r="T2215" s="21" t="s">
        <v>2276</v>
      </c>
      <c r="U2215" s="21" t="s">
        <v>2276</v>
      </c>
      <c r="V2215" s="21" t="s">
        <v>2276</v>
      </c>
      <c r="W2215" s="21" t="s">
        <v>2276</v>
      </c>
      <c r="X2215" s="204" t="s">
        <v>86</v>
      </c>
      <c r="Y2215" s="204" t="s">
        <v>405</v>
      </c>
      <c r="Z2215" s="4" t="s">
        <v>2276</v>
      </c>
      <c r="AA2215" s="4"/>
      <c r="AB2215" s="4" t="s">
        <v>6707</v>
      </c>
    </row>
    <row r="2216" spans="1:28" s="203" customFormat="1" ht="87" customHeight="1">
      <c r="A2216" s="156" t="str">
        <f>'Reported burning'!A2216</f>
        <v>265c</v>
      </c>
      <c r="B2216" s="156" t="str">
        <f>'Reported burning'!B2216</f>
        <v>265c.2</v>
      </c>
      <c r="C2216" s="156" t="str">
        <f>'Reported burning'!C2216</f>
        <v>All</v>
      </c>
      <c r="D2216" s="156" t="str">
        <f>'Reported burning'!D2216</f>
        <v>All</v>
      </c>
      <c r="E2216" s="156" t="str">
        <f>'Reported burning'!E2216</f>
        <v>All</v>
      </c>
      <c r="F2216" s="156" t="str">
        <f>'Reported burning'!F2216</f>
        <v>ND</v>
      </c>
      <c r="G2216" s="156" t="str">
        <f>'Reported burning'!G2216</f>
        <v>Forest</v>
      </c>
      <c r="H2216" s="156" t="str">
        <f>'Reported burning'!H2216</f>
        <v>Presence</v>
      </c>
      <c r="I2216" s="204"/>
      <c r="J2216" s="103" t="s">
        <v>2276</v>
      </c>
      <c r="K2216" s="103" t="s">
        <v>2276</v>
      </c>
      <c r="L2216" s="21" t="s">
        <v>2362</v>
      </c>
      <c r="M2216" s="21" t="s">
        <v>2276</v>
      </c>
      <c r="N2216" s="21" t="s">
        <v>2276</v>
      </c>
      <c r="O2216" s="21" t="s">
        <v>2276</v>
      </c>
      <c r="P2216" s="21" t="s">
        <v>2376</v>
      </c>
      <c r="Q2216" s="21" t="s">
        <v>2276</v>
      </c>
      <c r="R2216" s="21" t="s">
        <v>2373</v>
      </c>
      <c r="S2216" s="21" t="s">
        <v>2276</v>
      </c>
      <c r="T2216" s="21" t="s">
        <v>2276</v>
      </c>
      <c r="U2216" s="21" t="s">
        <v>2276</v>
      </c>
      <c r="V2216" s="21" t="s">
        <v>2276</v>
      </c>
      <c r="W2216" s="21" t="s">
        <v>2276</v>
      </c>
      <c r="X2216" s="204" t="s">
        <v>86</v>
      </c>
      <c r="Y2216" s="204" t="s">
        <v>405</v>
      </c>
      <c r="Z2216" s="4" t="s">
        <v>2276</v>
      </c>
      <c r="AA2216" s="4"/>
      <c r="AB2216" s="4" t="s">
        <v>6707</v>
      </c>
    </row>
    <row r="2217" spans="1:28" s="203" customFormat="1" ht="87" customHeight="1">
      <c r="A2217" s="156" t="str">
        <f>'Reported burning'!A2217</f>
        <v>265a</v>
      </c>
      <c r="B2217" s="156" t="str">
        <f>'Reported burning'!B2217</f>
        <v>265a.3</v>
      </c>
      <c r="C2217" s="156" t="str">
        <f>'Reported burning'!C2217</f>
        <v>All</v>
      </c>
      <c r="D2217" s="156" t="str">
        <f>'Reported burning'!D2217</f>
        <v>All</v>
      </c>
      <c r="E2217" s="156" t="str">
        <f>'Reported burning'!E2217</f>
        <v>All</v>
      </c>
      <c r="F2217" s="156" t="str">
        <f>'Reported burning'!F2217</f>
        <v>ND</v>
      </c>
      <c r="G2217" s="156" t="str">
        <f>'Reported burning'!G2217</f>
        <v>ND</v>
      </c>
      <c r="H2217" s="156" t="str">
        <f>'Reported burning'!H2217</f>
        <v>Presence</v>
      </c>
      <c r="I2217" s="204"/>
      <c r="J2217" s="77" t="s">
        <v>2369</v>
      </c>
      <c r="K2217" s="103" t="s">
        <v>2276</v>
      </c>
      <c r="L2217" s="21" t="s">
        <v>2362</v>
      </c>
      <c r="M2217" s="21" t="s">
        <v>2276</v>
      </c>
      <c r="N2217" s="21" t="s">
        <v>2276</v>
      </c>
      <c r="O2217" s="21" t="s">
        <v>2276</v>
      </c>
      <c r="P2217" s="21" t="s">
        <v>2276</v>
      </c>
      <c r="Q2217" s="21" t="s">
        <v>2276</v>
      </c>
      <c r="R2217" s="21" t="s">
        <v>2276</v>
      </c>
      <c r="S2217" s="21" t="s">
        <v>2276</v>
      </c>
      <c r="T2217" s="21" t="s">
        <v>2276</v>
      </c>
      <c r="U2217" s="21" t="s">
        <v>2276</v>
      </c>
      <c r="V2217" s="21" t="s">
        <v>2276</v>
      </c>
      <c r="W2217" s="21" t="s">
        <v>2276</v>
      </c>
      <c r="X2217" s="204" t="s">
        <v>86</v>
      </c>
      <c r="Y2217" s="204" t="s">
        <v>405</v>
      </c>
      <c r="Z2217" s="4" t="s">
        <v>2276</v>
      </c>
      <c r="AA2217" s="4"/>
      <c r="AB2217" s="204" t="s">
        <v>6711</v>
      </c>
    </row>
    <row r="2218" spans="1:28" s="203" customFormat="1" ht="87" customHeight="1">
      <c r="A2218" s="156" t="str">
        <f>'Reported burning'!A2218</f>
        <v>265b</v>
      </c>
      <c r="B2218" s="156" t="str">
        <f>'Reported burning'!B2218</f>
        <v>265b.3</v>
      </c>
      <c r="C2218" s="156" t="str">
        <f>'Reported burning'!C2218</f>
        <v>All</v>
      </c>
      <c r="D2218" s="156" t="str">
        <f>'Reported burning'!D2218</f>
        <v>All</v>
      </c>
      <c r="E2218" s="156" t="str">
        <f>'Reported burning'!E2218</f>
        <v>All</v>
      </c>
      <c r="F2218" s="156" t="str">
        <f>'Reported burning'!F2218</f>
        <v>ND</v>
      </c>
      <c r="G2218" s="156" t="str">
        <f>'Reported burning'!G2218</f>
        <v>ND</v>
      </c>
      <c r="H2218" s="156" t="str">
        <f>'Reported burning'!H2218</f>
        <v>Presence</v>
      </c>
      <c r="I2218" s="204"/>
      <c r="J2218" s="77" t="s">
        <v>2369</v>
      </c>
      <c r="K2218" s="103" t="s">
        <v>2276</v>
      </c>
      <c r="L2218" s="21" t="s">
        <v>2362</v>
      </c>
      <c r="M2218" s="21" t="s">
        <v>2276</v>
      </c>
      <c r="N2218" s="21" t="s">
        <v>2276</v>
      </c>
      <c r="O2218" s="21" t="s">
        <v>2276</v>
      </c>
      <c r="P2218" s="21" t="s">
        <v>2276</v>
      </c>
      <c r="Q2218" s="21" t="s">
        <v>2276</v>
      </c>
      <c r="R2218" s="21" t="s">
        <v>2276</v>
      </c>
      <c r="S2218" s="21" t="s">
        <v>2276</v>
      </c>
      <c r="T2218" s="21" t="s">
        <v>2276</v>
      </c>
      <c r="U2218" s="21" t="s">
        <v>2276</v>
      </c>
      <c r="V2218" s="21" t="s">
        <v>2276</v>
      </c>
      <c r="W2218" s="21" t="s">
        <v>2276</v>
      </c>
      <c r="X2218" s="204" t="s">
        <v>86</v>
      </c>
      <c r="Y2218" s="204" t="s">
        <v>405</v>
      </c>
      <c r="Z2218" s="4" t="s">
        <v>2276</v>
      </c>
      <c r="AA2218" s="4"/>
      <c r="AB2218" s="204" t="s">
        <v>6711</v>
      </c>
    </row>
    <row r="2219" spans="1:28" s="203" customFormat="1" ht="87" customHeight="1">
      <c r="A2219" s="156" t="str">
        <f>'Reported burning'!A2219</f>
        <v>265c</v>
      </c>
      <c r="B2219" s="156" t="str">
        <f>'Reported burning'!B2219</f>
        <v>265c.3</v>
      </c>
      <c r="C2219" s="156" t="str">
        <f>'Reported burning'!C2219</f>
        <v>All</v>
      </c>
      <c r="D2219" s="156" t="str">
        <f>'Reported burning'!D2219</f>
        <v>All</v>
      </c>
      <c r="E2219" s="156" t="str">
        <f>'Reported burning'!E2219</f>
        <v>All</v>
      </c>
      <c r="F2219" s="156" t="str">
        <f>'Reported burning'!F2219</f>
        <v>ND</v>
      </c>
      <c r="G2219" s="156" t="str">
        <f>'Reported burning'!G2219</f>
        <v>ND</v>
      </c>
      <c r="H2219" s="156" t="str">
        <f>'Reported burning'!H2219</f>
        <v>Presence</v>
      </c>
      <c r="I2219" s="204"/>
      <c r="J2219" s="77" t="s">
        <v>2367</v>
      </c>
      <c r="K2219" s="103" t="s">
        <v>2276</v>
      </c>
      <c r="L2219" s="21" t="s">
        <v>2362</v>
      </c>
      <c r="M2219" s="21" t="s">
        <v>2276</v>
      </c>
      <c r="N2219" s="21" t="s">
        <v>2276</v>
      </c>
      <c r="O2219" s="21" t="s">
        <v>2276</v>
      </c>
      <c r="P2219" s="21" t="s">
        <v>2276</v>
      </c>
      <c r="Q2219" s="21" t="s">
        <v>2276</v>
      </c>
      <c r="R2219" s="21" t="s">
        <v>2276</v>
      </c>
      <c r="S2219" s="21" t="s">
        <v>2276</v>
      </c>
      <c r="T2219" s="21" t="s">
        <v>2276</v>
      </c>
      <c r="U2219" s="21" t="s">
        <v>2276</v>
      </c>
      <c r="V2219" s="21" t="s">
        <v>2276</v>
      </c>
      <c r="W2219" s="21" t="s">
        <v>2276</v>
      </c>
      <c r="X2219" s="204" t="s">
        <v>86</v>
      </c>
      <c r="Y2219" s="204" t="s">
        <v>405</v>
      </c>
      <c r="Z2219" s="4" t="s">
        <v>2276</v>
      </c>
      <c r="AA2219" s="4"/>
      <c r="AB2219" s="204" t="s">
        <v>6711</v>
      </c>
    </row>
    <row r="2220" spans="1:28" s="203" customFormat="1" ht="54" customHeight="1">
      <c r="A2220" s="215" t="str">
        <f>'Reported burning'!A2220</f>
        <v>266a</v>
      </c>
      <c r="B2220" s="215" t="str">
        <f>'Reported burning'!B2220</f>
        <v>266a.1</v>
      </c>
      <c r="C2220" s="215" t="str">
        <f>'Reported burning'!C2220</f>
        <v>All</v>
      </c>
      <c r="D2220" s="215" t="str">
        <f>'Reported burning'!D2220</f>
        <v>All</v>
      </c>
      <c r="E2220" s="215" t="str">
        <f>'Reported burning'!E2220</f>
        <v>All</v>
      </c>
      <c r="F2220" s="215" t="str">
        <f>'Reported burning'!F2220</f>
        <v>ND</v>
      </c>
      <c r="G2220" s="215" t="str">
        <f>'Reported burning'!G2220</f>
        <v>ND</v>
      </c>
      <c r="H2220" s="215" t="str">
        <f>'Reported burning'!H2220</f>
        <v>Presence</v>
      </c>
      <c r="I2220" s="11"/>
      <c r="J2220" s="216" t="s">
        <v>2276</v>
      </c>
      <c r="K2220" s="216" t="s">
        <v>2276</v>
      </c>
      <c r="L2220" s="216" t="s">
        <v>2276</v>
      </c>
      <c r="M2220" s="216" t="s">
        <v>2276</v>
      </c>
      <c r="N2220" s="21" t="s">
        <v>2380</v>
      </c>
      <c r="O2220" s="216" t="s">
        <v>2276</v>
      </c>
      <c r="P2220" s="216" t="s">
        <v>2276</v>
      </c>
      <c r="Q2220" s="216" t="s">
        <v>2276</v>
      </c>
      <c r="R2220" s="216" t="s">
        <v>2276</v>
      </c>
      <c r="S2220" s="216" t="s">
        <v>2276</v>
      </c>
      <c r="T2220" s="216" t="s">
        <v>2276</v>
      </c>
      <c r="U2220" s="216" t="s">
        <v>2276</v>
      </c>
      <c r="V2220" s="216" t="s">
        <v>2276</v>
      </c>
      <c r="W2220" s="216" t="s">
        <v>2276</v>
      </c>
      <c r="X2220" s="216" t="s">
        <v>2276</v>
      </c>
      <c r="Y2220" s="216" t="s">
        <v>2276</v>
      </c>
      <c r="Z2220" s="216" t="s">
        <v>2276</v>
      </c>
      <c r="AA2220" s="216" t="s">
        <v>2276</v>
      </c>
      <c r="AB2220" s="11"/>
    </row>
    <row r="2221" spans="1:28" s="203" customFormat="1" ht="127.5" customHeight="1">
      <c r="A2221" s="156" t="str">
        <f>'Reported burning'!A2221</f>
        <v>266b</v>
      </c>
      <c r="B2221" s="156" t="str">
        <f>'Reported burning'!B2221</f>
        <v>266b.1</v>
      </c>
      <c r="C2221" s="156" t="str">
        <f>'Reported burning'!C2221</f>
        <v>All</v>
      </c>
      <c r="D2221" s="156" t="str">
        <f>'Reported burning'!D2221</f>
        <v>All</v>
      </c>
      <c r="E2221" s="156" t="str">
        <f>'Reported burning'!E2221</f>
        <v>All</v>
      </c>
      <c r="F2221" s="156" t="str">
        <f>'Reported burning'!F2221</f>
        <v>ND</v>
      </c>
      <c r="G2221" s="156" t="str">
        <f>'Reported burning'!G2221</f>
        <v>ND</v>
      </c>
      <c r="H2221" s="156" t="str">
        <f>'Reported burning'!H2221</f>
        <v>Presence</v>
      </c>
      <c r="I2221" s="204"/>
      <c r="J2221" s="77" t="s">
        <v>2846</v>
      </c>
      <c r="K2221" s="103" t="s">
        <v>2276</v>
      </c>
      <c r="L2221" s="103" t="s">
        <v>2276</v>
      </c>
      <c r="M2221" s="103" t="s">
        <v>2276</v>
      </c>
      <c r="N2221" s="103" t="s">
        <v>2276</v>
      </c>
      <c r="O2221" s="103" t="s">
        <v>2276</v>
      </c>
      <c r="P2221" s="103" t="s">
        <v>2276</v>
      </c>
      <c r="Q2221" s="103" t="s">
        <v>2276</v>
      </c>
      <c r="R2221" s="74" t="s">
        <v>2373</v>
      </c>
      <c r="S2221" s="103" t="s">
        <v>2276</v>
      </c>
      <c r="T2221" s="103" t="s">
        <v>2276</v>
      </c>
      <c r="U2221" s="103" t="s">
        <v>2276</v>
      </c>
      <c r="V2221" s="103" t="s">
        <v>2276</v>
      </c>
      <c r="W2221" s="103" t="s">
        <v>2276</v>
      </c>
      <c r="X2221" s="103" t="s">
        <v>2276</v>
      </c>
      <c r="Y2221" s="103" t="s">
        <v>2276</v>
      </c>
      <c r="Z2221" s="103" t="s">
        <v>2276</v>
      </c>
      <c r="AA2221" s="19" t="s">
        <v>6803</v>
      </c>
      <c r="AB2221" s="11"/>
    </row>
    <row r="2222" spans="1:28" ht="46" customHeight="1">
      <c r="A2222" s="156" t="str">
        <f>'Reported burning'!A2222</f>
        <v>267a</v>
      </c>
      <c r="B2222" s="156" t="str">
        <f>'Reported burning'!B2222</f>
        <v>267a.1</v>
      </c>
      <c r="C2222" s="156" t="str">
        <f>'Reported burning'!C2222</f>
        <v>Human, escaped</v>
      </c>
      <c r="D2222" s="156" t="str">
        <f>'Reported burning'!D2222</f>
        <v>Crop residue burning</v>
      </c>
      <c r="E2222" s="156" t="str">
        <f>'Reported burning'!E2222</f>
        <v>Mixed cropping-livestock small holder, Market-oriented</v>
      </c>
      <c r="F2222" s="156" t="str">
        <f>'Reported burning'!F2222</f>
        <v>Cropland</v>
      </c>
      <c r="G2222" s="156" t="str">
        <f>'Reported burning'!G2222</f>
        <v>Forest</v>
      </c>
      <c r="H2222" s="156" t="str">
        <f>'Reported burning'!H2222</f>
        <v>Presence</v>
      </c>
      <c r="I2222" s="3"/>
      <c r="J2222" s="4" t="s">
        <v>2276</v>
      </c>
      <c r="K2222" s="4" t="s">
        <v>2276</v>
      </c>
      <c r="L2222" s="4" t="s">
        <v>2276</v>
      </c>
      <c r="M2222" s="4" t="s">
        <v>2276</v>
      </c>
      <c r="N2222" s="4" t="s">
        <v>2276</v>
      </c>
      <c r="O2222" s="4" t="s">
        <v>2276</v>
      </c>
      <c r="P2222" s="4" t="s">
        <v>2276</v>
      </c>
      <c r="Q2222" s="4" t="s">
        <v>2276</v>
      </c>
      <c r="R2222" s="4" t="s">
        <v>2276</v>
      </c>
      <c r="S2222" s="4" t="s">
        <v>2276</v>
      </c>
      <c r="T2222" s="4" t="s">
        <v>2276</v>
      </c>
      <c r="U2222" s="4" t="s">
        <v>2276</v>
      </c>
      <c r="V2222" s="4" t="s">
        <v>2276</v>
      </c>
      <c r="W2222" s="4" t="s">
        <v>2276</v>
      </c>
      <c r="X2222" s="4" t="s">
        <v>2276</v>
      </c>
      <c r="Y2222" s="4" t="s">
        <v>2276</v>
      </c>
      <c r="Z2222" s="4" t="s">
        <v>2276</v>
      </c>
      <c r="AA2222" s="3"/>
      <c r="AB2222" s="3"/>
    </row>
    <row r="2223" spans="1:28" ht="46" customHeight="1">
      <c r="A2223" s="156" t="str">
        <f>'Reported burning'!A2223</f>
        <v>267a</v>
      </c>
      <c r="B2223" s="156" t="str">
        <f>'Reported burning'!B2223</f>
        <v>267a.2</v>
      </c>
      <c r="C2223" s="156" t="str">
        <f>'Reported burning'!C2223</f>
        <v>Human, escaped</v>
      </c>
      <c r="D2223" s="156" t="str">
        <f>'Reported burning'!D2223</f>
        <v>Forest clearance</v>
      </c>
      <c r="E2223" s="156" t="str">
        <f>'Reported burning'!E2223</f>
        <v>Mixed cropping-livestock small holder, Market-oriented</v>
      </c>
      <c r="F2223" s="156" t="str">
        <f>'Reported burning'!F2223</f>
        <v>Cropland</v>
      </c>
      <c r="G2223" s="156" t="str">
        <f>'Reported burning'!G2223</f>
        <v>Forest</v>
      </c>
      <c r="H2223" s="156" t="str">
        <f>'Reported burning'!H2223</f>
        <v>Absence</v>
      </c>
      <c r="I2223" s="3"/>
      <c r="J2223" s="4">
        <v>0</v>
      </c>
      <c r="K2223" s="4">
        <v>0</v>
      </c>
      <c r="L2223" s="4">
        <v>0</v>
      </c>
      <c r="M2223" s="4">
        <v>0</v>
      </c>
      <c r="N2223" s="4">
        <v>0</v>
      </c>
      <c r="O2223" s="4">
        <v>0</v>
      </c>
      <c r="P2223" s="4">
        <v>0</v>
      </c>
      <c r="Q2223" s="4">
        <v>0</v>
      </c>
      <c r="R2223" s="4">
        <v>0</v>
      </c>
      <c r="S2223" s="4">
        <v>0</v>
      </c>
      <c r="T2223" s="4">
        <v>0</v>
      </c>
      <c r="U2223" s="4">
        <v>0</v>
      </c>
      <c r="V2223" s="4">
        <v>0</v>
      </c>
      <c r="W2223" s="4">
        <v>0</v>
      </c>
      <c r="X2223" s="4">
        <v>0</v>
      </c>
      <c r="Y2223" s="4" t="s">
        <v>2276</v>
      </c>
      <c r="Z2223" s="4" t="s">
        <v>2276</v>
      </c>
      <c r="AA2223" s="3"/>
      <c r="AB2223" s="3"/>
    </row>
    <row r="2224" spans="1:28" ht="46" customHeight="1">
      <c r="A2224" s="156" t="str">
        <f>'Reported burning'!A2224</f>
        <v>267a</v>
      </c>
      <c r="B2224" s="156" t="str">
        <f>'Reported burning'!B2224</f>
        <v>267a.3</v>
      </c>
      <c r="C2224" s="156" t="str">
        <f>'Reported burning'!C2224</f>
        <v>Human, deliberate</v>
      </c>
      <c r="D2224" s="156" t="str">
        <f>'Reported burning'!D2224</f>
        <v>Crop residue burning</v>
      </c>
      <c r="E2224" s="156" t="str">
        <f>'Reported burning'!E2224</f>
        <v>Mixed cropping-livestock small holder, Market-oriented</v>
      </c>
      <c r="F2224" s="156" t="str">
        <f>'Reported burning'!F2224</f>
        <v>Cropland</v>
      </c>
      <c r="G2224" s="156" t="str">
        <f>'Reported burning'!G2224</f>
        <v>Cropland</v>
      </c>
      <c r="H2224" s="156" t="str">
        <f>'Reported burning'!H2224</f>
        <v>Presence</v>
      </c>
      <c r="I2224" s="3"/>
      <c r="J2224" s="4" t="s">
        <v>2276</v>
      </c>
      <c r="K2224" s="4" t="s">
        <v>2276</v>
      </c>
      <c r="L2224" s="4" t="s">
        <v>2276</v>
      </c>
      <c r="M2224" s="4" t="s">
        <v>2276</v>
      </c>
      <c r="N2224" s="4" t="s">
        <v>2276</v>
      </c>
      <c r="O2224" s="4" t="s">
        <v>2276</v>
      </c>
      <c r="P2224" s="4" t="s">
        <v>2276</v>
      </c>
      <c r="Q2224" s="4" t="s">
        <v>2276</v>
      </c>
      <c r="R2224" s="4" t="s">
        <v>2276</v>
      </c>
      <c r="S2224" s="4" t="s">
        <v>2276</v>
      </c>
      <c r="T2224" s="4" t="s">
        <v>2276</v>
      </c>
      <c r="U2224" s="4" t="s">
        <v>2276</v>
      </c>
      <c r="V2224" s="4" t="s">
        <v>2276</v>
      </c>
      <c r="W2224" s="4" t="s">
        <v>2276</v>
      </c>
      <c r="X2224" s="4" t="s">
        <v>2276</v>
      </c>
      <c r="Y2224" s="4" t="s">
        <v>2276</v>
      </c>
      <c r="Z2224" s="4" t="s">
        <v>2276</v>
      </c>
      <c r="AA2224" s="3"/>
      <c r="AB2224" s="3"/>
    </row>
    <row r="2225" spans="1:28" ht="46" customHeight="1">
      <c r="A2225" s="156" t="str">
        <f>'Reported burning'!A2225</f>
        <v>267a</v>
      </c>
      <c r="B2225" s="156" t="str">
        <f>'Reported burning'!B2225</f>
        <v>267a.4</v>
      </c>
      <c r="C2225" s="156" t="str">
        <f>'Reported burning'!C2225</f>
        <v>Human, deliberate</v>
      </c>
      <c r="D2225" s="156" t="str">
        <f>'Reported burning'!D2225</f>
        <v>Forest clearance</v>
      </c>
      <c r="E2225" s="156" t="str">
        <f>'Reported burning'!E2225</f>
        <v>Mixed cropping-livestock small holder, Market-oriented</v>
      </c>
      <c r="F2225" s="156" t="str">
        <f>'Reported burning'!F2225</f>
        <v>Cropland</v>
      </c>
      <c r="G2225" s="156" t="str">
        <f>'Reported burning'!G2225</f>
        <v>Cropland</v>
      </c>
      <c r="H2225" s="156" t="str">
        <f>'Reported burning'!H2225</f>
        <v>Absence</v>
      </c>
      <c r="I2225" s="3"/>
      <c r="J2225" s="4">
        <v>0</v>
      </c>
      <c r="K2225" s="4">
        <v>0</v>
      </c>
      <c r="L2225" s="4">
        <v>0</v>
      </c>
      <c r="M2225" s="4">
        <v>0</v>
      </c>
      <c r="N2225" s="4">
        <v>0</v>
      </c>
      <c r="O2225" s="4">
        <v>0</v>
      </c>
      <c r="P2225" s="4">
        <v>0</v>
      </c>
      <c r="Q2225" s="4">
        <v>0</v>
      </c>
      <c r="R2225" s="4">
        <v>0</v>
      </c>
      <c r="S2225" s="4">
        <v>0</v>
      </c>
      <c r="T2225" s="4">
        <v>0</v>
      </c>
      <c r="U2225" s="4">
        <v>0</v>
      </c>
      <c r="V2225" s="4">
        <v>0</v>
      </c>
      <c r="W2225" s="4">
        <v>0</v>
      </c>
      <c r="X2225" s="4">
        <v>0</v>
      </c>
      <c r="Y2225" s="4" t="s">
        <v>2276</v>
      </c>
      <c r="Z2225" s="4" t="s">
        <v>2276</v>
      </c>
      <c r="AA2225" s="3"/>
      <c r="AB2225" s="3"/>
    </row>
    <row r="2226" spans="1:28" ht="46" customHeight="1">
      <c r="A2226" s="156" t="str">
        <f>'Reported burning'!A2226</f>
        <v>267a</v>
      </c>
      <c r="B2226" s="156" t="str">
        <f>'Reported burning'!B2226</f>
        <v>267a.5</v>
      </c>
      <c r="C2226" s="156" t="str">
        <f>'Reported burning'!C2226</f>
        <v>Human, escaped</v>
      </c>
      <c r="D2226" s="156" t="str">
        <f>'Reported burning'!D2226</f>
        <v>Pasture renewal</v>
      </c>
      <c r="E2226" s="156" t="str">
        <f>'Reported burning'!E2226</f>
        <v>Mixed cropping-livestock small holder, Market-oriented</v>
      </c>
      <c r="F2226" s="156" t="str">
        <f>'Reported burning'!F2226</f>
        <v>Pasture</v>
      </c>
      <c r="G2226" s="156" t="str">
        <f>'Reported burning'!G2226</f>
        <v>Cropland</v>
      </c>
      <c r="H2226" s="156" t="str">
        <f>'Reported burning'!H2226</f>
        <v>Presence</v>
      </c>
      <c r="I2226" s="3"/>
      <c r="J2226" s="4" t="s">
        <v>2276</v>
      </c>
      <c r="K2226" s="4" t="s">
        <v>2276</v>
      </c>
      <c r="L2226" s="4" t="s">
        <v>2276</v>
      </c>
      <c r="M2226" s="4" t="s">
        <v>2276</v>
      </c>
      <c r="N2226" s="4" t="s">
        <v>2276</v>
      </c>
      <c r="O2226" s="4" t="s">
        <v>2276</v>
      </c>
      <c r="P2226" s="4" t="s">
        <v>2276</v>
      </c>
      <c r="Q2226" s="4" t="s">
        <v>2276</v>
      </c>
      <c r="R2226" s="4" t="s">
        <v>2276</v>
      </c>
      <c r="S2226" s="4" t="s">
        <v>2276</v>
      </c>
      <c r="T2226" s="4" t="s">
        <v>2276</v>
      </c>
      <c r="U2226" s="4" t="s">
        <v>2276</v>
      </c>
      <c r="V2226" s="4" t="s">
        <v>2276</v>
      </c>
      <c r="W2226" s="4" t="s">
        <v>2276</v>
      </c>
      <c r="X2226" s="4" t="s">
        <v>2276</v>
      </c>
      <c r="Y2226" s="4" t="s">
        <v>2276</v>
      </c>
      <c r="Z2226" s="4" t="s">
        <v>2276</v>
      </c>
      <c r="AA2226" s="3"/>
      <c r="AB2226" s="3"/>
    </row>
    <row r="2227" spans="1:28" ht="46" customHeight="1">
      <c r="A2227" s="156" t="str">
        <f>'Reported burning'!A2227</f>
        <v>267a</v>
      </c>
      <c r="B2227" s="156" t="str">
        <f>'Reported burning'!B2227</f>
        <v>267a.6</v>
      </c>
      <c r="C2227" s="156" t="str">
        <f>'Reported burning'!C2227</f>
        <v>Human, deliberate</v>
      </c>
      <c r="D2227" s="156" t="str">
        <f>'Reported burning'!D2227</f>
        <v>Pasture renewal</v>
      </c>
      <c r="E2227" s="156" t="str">
        <f>'Reported burning'!E2227</f>
        <v>Mixed cropping-livestock small holder, Market-oriented</v>
      </c>
      <c r="F2227" s="156" t="str">
        <f>'Reported burning'!F2227</f>
        <v>Pasture</v>
      </c>
      <c r="G2227" s="156" t="str">
        <f>'Reported burning'!G2227</f>
        <v>Cropland</v>
      </c>
      <c r="H2227" s="156" t="str">
        <f>'Reported burning'!H2227</f>
        <v>Presence</v>
      </c>
      <c r="I2227" s="3"/>
      <c r="J2227" s="4" t="s">
        <v>2276</v>
      </c>
      <c r="K2227" s="4" t="s">
        <v>2276</v>
      </c>
      <c r="L2227" s="4" t="s">
        <v>2276</v>
      </c>
      <c r="M2227" s="4" t="s">
        <v>2276</v>
      </c>
      <c r="N2227" s="4" t="s">
        <v>2276</v>
      </c>
      <c r="O2227" s="4" t="s">
        <v>2276</v>
      </c>
      <c r="P2227" s="4" t="s">
        <v>2276</v>
      </c>
      <c r="Q2227" s="4" t="s">
        <v>2276</v>
      </c>
      <c r="R2227" s="4" t="s">
        <v>2276</v>
      </c>
      <c r="S2227" s="4" t="s">
        <v>2276</v>
      </c>
      <c r="T2227" s="4" t="s">
        <v>2276</v>
      </c>
      <c r="U2227" s="4" t="s">
        <v>2276</v>
      </c>
      <c r="V2227" s="4" t="s">
        <v>2276</v>
      </c>
      <c r="W2227" s="4" t="s">
        <v>2276</v>
      </c>
      <c r="X2227" s="4" t="s">
        <v>2276</v>
      </c>
      <c r="Y2227" s="4" t="s">
        <v>2276</v>
      </c>
      <c r="Z2227" s="4" t="s">
        <v>2276</v>
      </c>
      <c r="AA2227" s="3"/>
      <c r="AB2227" s="3"/>
    </row>
    <row r="2228" spans="1:28" ht="46" customHeight="1">
      <c r="A2228" s="156" t="str">
        <f>'Reported burning'!A2228</f>
        <v>267a</v>
      </c>
      <c r="B2228" s="156" t="str">
        <f>'Reported burning'!B2228</f>
        <v>267a.7</v>
      </c>
      <c r="C2228" s="156" t="str">
        <f>'Reported burning'!C2228</f>
        <v>Human, deliberate</v>
      </c>
      <c r="D2228" s="156" t="str">
        <f>'Reported burning'!D2228</f>
        <v>Arson</v>
      </c>
      <c r="E2228" s="156" t="str">
        <f>'Reported burning'!E2228</f>
        <v>Mixed cropping-livestock small holder, Market-oriented</v>
      </c>
      <c r="F2228" s="156" t="str">
        <f>'Reported burning'!F2228</f>
        <v>ND</v>
      </c>
      <c r="G2228" s="156" t="str">
        <f>'Reported burning'!G2228</f>
        <v>ND</v>
      </c>
      <c r="H2228" s="156" t="str">
        <f>'Reported burning'!H2228</f>
        <v>Presence</v>
      </c>
      <c r="I2228" s="3"/>
      <c r="J2228" s="4" t="s">
        <v>2276</v>
      </c>
      <c r="K2228" s="4" t="s">
        <v>2276</v>
      </c>
      <c r="L2228" s="4" t="s">
        <v>2276</v>
      </c>
      <c r="M2228" s="4" t="s">
        <v>2276</v>
      </c>
      <c r="N2228" s="4" t="s">
        <v>2276</v>
      </c>
      <c r="O2228" s="4" t="s">
        <v>2276</v>
      </c>
      <c r="P2228" s="4" t="s">
        <v>2276</v>
      </c>
      <c r="Q2228" s="4" t="s">
        <v>2276</v>
      </c>
      <c r="R2228" s="4" t="s">
        <v>2276</v>
      </c>
      <c r="S2228" s="4" t="s">
        <v>2276</v>
      </c>
      <c r="T2228" s="4" t="s">
        <v>2276</v>
      </c>
      <c r="U2228" s="4" t="s">
        <v>2276</v>
      </c>
      <c r="V2228" s="4" t="s">
        <v>2276</v>
      </c>
      <c r="W2228" s="4" t="s">
        <v>2276</v>
      </c>
      <c r="X2228" s="4" t="s">
        <v>2276</v>
      </c>
      <c r="Y2228" s="4" t="s">
        <v>2276</v>
      </c>
      <c r="Z2228" s="4" t="s">
        <v>2276</v>
      </c>
      <c r="AA2228" s="3"/>
      <c r="AB2228" s="3"/>
    </row>
    <row r="2229" spans="1:28" ht="46" customHeight="1">
      <c r="A2229" s="156" t="str">
        <f>'Reported burning'!A2229</f>
        <v>267b</v>
      </c>
      <c r="B2229" s="156" t="str">
        <f>'Reported burning'!B2229</f>
        <v>267b.1</v>
      </c>
      <c r="C2229" s="156" t="str">
        <f>'Reported burning'!C2229</f>
        <v>Human, escaped</v>
      </c>
      <c r="D2229" s="156" t="str">
        <f>'Reported burning'!D2229</f>
        <v>Crop residue burning</v>
      </c>
      <c r="E2229" s="156" t="str">
        <f>'Reported burning'!E2229</f>
        <v>Mixed cropping-livestock small holder, Market-oriented</v>
      </c>
      <c r="F2229" s="156" t="str">
        <f>'Reported burning'!F2229</f>
        <v>Cropland</v>
      </c>
      <c r="G2229" s="156" t="str">
        <f>'Reported burning'!G2229</f>
        <v>Forest</v>
      </c>
      <c r="H2229" s="156" t="str">
        <f>'Reported burning'!H2229</f>
        <v>Presence</v>
      </c>
      <c r="I2229" s="3"/>
      <c r="J2229" s="4" t="s">
        <v>2276</v>
      </c>
      <c r="K2229" s="4" t="s">
        <v>2276</v>
      </c>
      <c r="L2229" s="4" t="s">
        <v>2276</v>
      </c>
      <c r="M2229" s="4" t="s">
        <v>2276</v>
      </c>
      <c r="N2229" s="4" t="s">
        <v>2276</v>
      </c>
      <c r="O2229" s="4" t="s">
        <v>2276</v>
      </c>
      <c r="P2229" s="4" t="s">
        <v>2276</v>
      </c>
      <c r="Q2229" s="4" t="s">
        <v>2276</v>
      </c>
      <c r="R2229" s="4" t="s">
        <v>2276</v>
      </c>
      <c r="S2229" s="4" t="s">
        <v>2276</v>
      </c>
      <c r="T2229" s="4" t="s">
        <v>2276</v>
      </c>
      <c r="U2229" s="4" t="s">
        <v>2276</v>
      </c>
      <c r="V2229" s="4" t="s">
        <v>2276</v>
      </c>
      <c r="W2229" s="4" t="s">
        <v>2276</v>
      </c>
      <c r="X2229" s="4" t="s">
        <v>2276</v>
      </c>
      <c r="Y2229" s="4" t="s">
        <v>2276</v>
      </c>
      <c r="Z2229" s="4" t="s">
        <v>2276</v>
      </c>
      <c r="AA2229" s="3"/>
      <c r="AB2229" s="3"/>
    </row>
    <row r="2230" spans="1:28" ht="46" customHeight="1">
      <c r="A2230" s="156" t="str">
        <f>'Reported burning'!A2230</f>
        <v>267b</v>
      </c>
      <c r="B2230" s="156" t="str">
        <f>'Reported burning'!B2230</f>
        <v>267b.2</v>
      </c>
      <c r="C2230" s="156" t="str">
        <f>'Reported burning'!C2230</f>
        <v>Human, escaped</v>
      </c>
      <c r="D2230" s="156" t="str">
        <f>'Reported burning'!D2230</f>
        <v>Forest clearance</v>
      </c>
      <c r="E2230" s="156" t="str">
        <f>'Reported burning'!E2230</f>
        <v>Mixed cropping-livestock small holder, Market-oriented</v>
      </c>
      <c r="F2230" s="156" t="str">
        <f>'Reported burning'!F2230</f>
        <v>Cropland</v>
      </c>
      <c r="G2230" s="156" t="str">
        <f>'Reported burning'!G2230</f>
        <v>Forest</v>
      </c>
      <c r="H2230" s="156" t="str">
        <f>'Reported burning'!H2230</f>
        <v>Absence</v>
      </c>
      <c r="I2230" s="3"/>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t="s">
        <v>2276</v>
      </c>
      <c r="Z2230" s="4" t="s">
        <v>2276</v>
      </c>
      <c r="AA2230" s="3"/>
      <c r="AB2230" s="3"/>
    </row>
    <row r="2231" spans="1:28" ht="46" customHeight="1">
      <c r="A2231" s="156" t="str">
        <f>'Reported burning'!A2231</f>
        <v>267b</v>
      </c>
      <c r="B2231" s="156" t="str">
        <f>'Reported burning'!B2231</f>
        <v>267b.3</v>
      </c>
      <c r="C2231" s="156" t="str">
        <f>'Reported burning'!C2231</f>
        <v>Human, deliberate</v>
      </c>
      <c r="D2231" s="156" t="str">
        <f>'Reported burning'!D2231</f>
        <v>Crop residue burning</v>
      </c>
      <c r="E2231" s="156" t="str">
        <f>'Reported burning'!E2231</f>
        <v>Mixed cropping-livestock small holder, Market-oriented</v>
      </c>
      <c r="F2231" s="156" t="str">
        <f>'Reported burning'!F2231</f>
        <v>Cropland</v>
      </c>
      <c r="G2231" s="156" t="str">
        <f>'Reported burning'!G2231</f>
        <v>Cropland</v>
      </c>
      <c r="H2231" s="156" t="str">
        <f>'Reported burning'!H2231</f>
        <v>Presence</v>
      </c>
      <c r="I2231" s="3"/>
      <c r="J2231" s="4" t="s">
        <v>2276</v>
      </c>
      <c r="K2231" s="4" t="s">
        <v>2276</v>
      </c>
      <c r="L2231" s="4" t="s">
        <v>2276</v>
      </c>
      <c r="M2231" s="4" t="s">
        <v>2276</v>
      </c>
      <c r="N2231" s="4" t="s">
        <v>2276</v>
      </c>
      <c r="O2231" s="4" t="s">
        <v>2276</v>
      </c>
      <c r="P2231" s="4" t="s">
        <v>2276</v>
      </c>
      <c r="Q2231" s="4" t="s">
        <v>2276</v>
      </c>
      <c r="R2231" s="4" t="s">
        <v>2276</v>
      </c>
      <c r="S2231" s="4" t="s">
        <v>2276</v>
      </c>
      <c r="T2231" s="4" t="s">
        <v>2276</v>
      </c>
      <c r="U2231" s="4" t="s">
        <v>2276</v>
      </c>
      <c r="V2231" s="4" t="s">
        <v>2276</v>
      </c>
      <c r="W2231" s="4" t="s">
        <v>2276</v>
      </c>
      <c r="X2231" s="4" t="s">
        <v>2276</v>
      </c>
      <c r="Y2231" s="4" t="s">
        <v>2276</v>
      </c>
      <c r="Z2231" s="4" t="s">
        <v>2276</v>
      </c>
      <c r="AA2231" s="3"/>
      <c r="AB2231" s="3"/>
    </row>
    <row r="2232" spans="1:28" ht="46" customHeight="1">
      <c r="A2232" s="156" t="str">
        <f>'Reported burning'!A2232</f>
        <v>267b</v>
      </c>
      <c r="B2232" s="156" t="str">
        <f>'Reported burning'!B2232</f>
        <v>267b.4</v>
      </c>
      <c r="C2232" s="156" t="str">
        <f>'Reported burning'!C2232</f>
        <v>Human, deliberate</v>
      </c>
      <c r="D2232" s="156" t="str">
        <f>'Reported burning'!D2232</f>
        <v>Forest clearance</v>
      </c>
      <c r="E2232" s="156" t="str">
        <f>'Reported burning'!E2232</f>
        <v>Mixed cropping-livestock small holder, Market-oriented</v>
      </c>
      <c r="F2232" s="156" t="str">
        <f>'Reported burning'!F2232</f>
        <v>Cropland</v>
      </c>
      <c r="G2232" s="156" t="str">
        <f>'Reported burning'!G2232</f>
        <v>Cropland</v>
      </c>
      <c r="H2232" s="156" t="str">
        <f>'Reported burning'!H2232</f>
        <v>Absence</v>
      </c>
      <c r="I2232" s="3"/>
      <c r="J2232" s="4">
        <v>0</v>
      </c>
      <c r="K2232" s="4">
        <v>0</v>
      </c>
      <c r="L2232" s="4">
        <v>0</v>
      </c>
      <c r="M2232" s="4">
        <v>0</v>
      </c>
      <c r="N2232" s="4">
        <v>0</v>
      </c>
      <c r="O2232" s="4">
        <v>0</v>
      </c>
      <c r="P2232" s="4">
        <v>0</v>
      </c>
      <c r="Q2232" s="4">
        <v>0</v>
      </c>
      <c r="R2232" s="4">
        <v>0</v>
      </c>
      <c r="S2232" s="4">
        <v>0</v>
      </c>
      <c r="T2232" s="4">
        <v>0</v>
      </c>
      <c r="U2232" s="4">
        <v>0</v>
      </c>
      <c r="V2232" s="4">
        <v>0</v>
      </c>
      <c r="W2232" s="4">
        <v>0</v>
      </c>
      <c r="X2232" s="4">
        <v>0</v>
      </c>
      <c r="Y2232" s="4" t="s">
        <v>2276</v>
      </c>
      <c r="Z2232" s="4" t="s">
        <v>2276</v>
      </c>
      <c r="AA2232" s="3"/>
      <c r="AB2232" s="3"/>
    </row>
    <row r="2233" spans="1:28" ht="46" customHeight="1">
      <c r="A2233" s="156" t="str">
        <f>'Reported burning'!A2233</f>
        <v>267b</v>
      </c>
      <c r="B2233" s="156" t="str">
        <f>'Reported burning'!B2233</f>
        <v>267b.5</v>
      </c>
      <c r="C2233" s="156" t="str">
        <f>'Reported burning'!C2233</f>
        <v>Human, escaped</v>
      </c>
      <c r="D2233" s="156" t="str">
        <f>'Reported burning'!D2233</f>
        <v>Pasture renewal</v>
      </c>
      <c r="E2233" s="156" t="str">
        <f>'Reported burning'!E2233</f>
        <v>Mixed cropping-livestock small holder, Market-oriented</v>
      </c>
      <c r="F2233" s="156" t="str">
        <f>'Reported burning'!F2233</f>
        <v>Pasture</v>
      </c>
      <c r="G2233" s="156" t="str">
        <f>'Reported burning'!G2233</f>
        <v>Cropland</v>
      </c>
      <c r="H2233" s="156" t="str">
        <f>'Reported burning'!H2233</f>
        <v>Presence</v>
      </c>
      <c r="I2233" s="3"/>
      <c r="J2233" s="4" t="s">
        <v>2276</v>
      </c>
      <c r="K2233" s="4" t="s">
        <v>2276</v>
      </c>
      <c r="L2233" s="4" t="s">
        <v>2276</v>
      </c>
      <c r="M2233" s="4" t="s">
        <v>2276</v>
      </c>
      <c r="N2233" s="4" t="s">
        <v>2276</v>
      </c>
      <c r="O2233" s="4" t="s">
        <v>2276</v>
      </c>
      <c r="P2233" s="4" t="s">
        <v>2276</v>
      </c>
      <c r="Q2233" s="4" t="s">
        <v>2276</v>
      </c>
      <c r="R2233" s="4" t="s">
        <v>2276</v>
      </c>
      <c r="S2233" s="4" t="s">
        <v>2276</v>
      </c>
      <c r="T2233" s="4" t="s">
        <v>2276</v>
      </c>
      <c r="U2233" s="4" t="s">
        <v>2276</v>
      </c>
      <c r="V2233" s="4" t="s">
        <v>2276</v>
      </c>
      <c r="W2233" s="4" t="s">
        <v>2276</v>
      </c>
      <c r="X2233" s="4" t="s">
        <v>2276</v>
      </c>
      <c r="Y2233" s="4" t="s">
        <v>2276</v>
      </c>
      <c r="Z2233" s="4" t="s">
        <v>2276</v>
      </c>
      <c r="AA2233" s="3"/>
      <c r="AB2233" s="3"/>
    </row>
    <row r="2234" spans="1:28" ht="46" customHeight="1">
      <c r="A2234" s="156" t="str">
        <f>'Reported burning'!A2234</f>
        <v>267b</v>
      </c>
      <c r="B2234" s="156" t="str">
        <f>'Reported burning'!B2234</f>
        <v>267b.6</v>
      </c>
      <c r="C2234" s="156" t="str">
        <f>'Reported burning'!C2234</f>
        <v>Human, deliberate</v>
      </c>
      <c r="D2234" s="156" t="str">
        <f>'Reported burning'!D2234</f>
        <v>Pasture renewal</v>
      </c>
      <c r="E2234" s="156" t="str">
        <f>'Reported burning'!E2234</f>
        <v>Mixed cropping-livestock small holder, Market-oriented</v>
      </c>
      <c r="F2234" s="156" t="str">
        <f>'Reported burning'!F2234</f>
        <v>Pasture</v>
      </c>
      <c r="G2234" s="156" t="str">
        <f>'Reported burning'!G2234</f>
        <v>Cropland</v>
      </c>
      <c r="H2234" s="156" t="str">
        <f>'Reported burning'!H2234</f>
        <v>Presence</v>
      </c>
      <c r="I2234" s="3"/>
      <c r="J2234" s="4" t="s">
        <v>2276</v>
      </c>
      <c r="K2234" s="4" t="s">
        <v>2276</v>
      </c>
      <c r="L2234" s="4" t="s">
        <v>2276</v>
      </c>
      <c r="M2234" s="4" t="s">
        <v>2276</v>
      </c>
      <c r="N2234" s="4" t="s">
        <v>2276</v>
      </c>
      <c r="O2234" s="4" t="s">
        <v>2276</v>
      </c>
      <c r="P2234" s="4" t="s">
        <v>2276</v>
      </c>
      <c r="Q2234" s="4" t="s">
        <v>2276</v>
      </c>
      <c r="R2234" s="4" t="s">
        <v>2276</v>
      </c>
      <c r="S2234" s="4" t="s">
        <v>2276</v>
      </c>
      <c r="T2234" s="4" t="s">
        <v>2276</v>
      </c>
      <c r="U2234" s="4" t="s">
        <v>2276</v>
      </c>
      <c r="V2234" s="4" t="s">
        <v>2276</v>
      </c>
      <c r="W2234" s="4" t="s">
        <v>2276</v>
      </c>
      <c r="X2234" s="4" t="s">
        <v>2276</v>
      </c>
      <c r="Y2234" s="4" t="s">
        <v>2276</v>
      </c>
      <c r="Z2234" s="4" t="s">
        <v>2276</v>
      </c>
      <c r="AA2234" s="3"/>
      <c r="AB2234" s="3"/>
    </row>
    <row r="2235" spans="1:28" ht="46" customHeight="1">
      <c r="A2235" s="156" t="str">
        <f>'Reported burning'!A2235</f>
        <v>267b</v>
      </c>
      <c r="B2235" s="156" t="str">
        <f>'Reported burning'!B2235</f>
        <v>267b.7</v>
      </c>
      <c r="C2235" s="156" t="str">
        <f>'Reported burning'!C2235</f>
        <v>Human, deliberate</v>
      </c>
      <c r="D2235" s="156" t="str">
        <f>'Reported burning'!D2235</f>
        <v>Arson</v>
      </c>
      <c r="E2235" s="156" t="str">
        <f>'Reported burning'!E2235</f>
        <v>Mixed cropping-livestock small holder, Market-oriented</v>
      </c>
      <c r="F2235" s="156" t="str">
        <f>'Reported burning'!F2235</f>
        <v>ND</v>
      </c>
      <c r="G2235" s="156" t="str">
        <f>'Reported burning'!G2235</f>
        <v>ND</v>
      </c>
      <c r="H2235" s="156" t="str">
        <f>'Reported burning'!H2235</f>
        <v>Presence</v>
      </c>
      <c r="I2235" s="3"/>
      <c r="J2235" s="4" t="s">
        <v>2276</v>
      </c>
      <c r="K2235" s="4" t="s">
        <v>2276</v>
      </c>
      <c r="L2235" s="4" t="s">
        <v>2276</v>
      </c>
      <c r="M2235" s="4" t="s">
        <v>2276</v>
      </c>
      <c r="N2235" s="4" t="s">
        <v>2276</v>
      </c>
      <c r="O2235" s="4" t="s">
        <v>2276</v>
      </c>
      <c r="P2235" s="4" t="s">
        <v>2276</v>
      </c>
      <c r="Q2235" s="4" t="s">
        <v>2276</v>
      </c>
      <c r="R2235" s="4" t="s">
        <v>2276</v>
      </c>
      <c r="S2235" s="4" t="s">
        <v>2276</v>
      </c>
      <c r="T2235" s="4" t="s">
        <v>2276</v>
      </c>
      <c r="U2235" s="4" t="s">
        <v>2276</v>
      </c>
      <c r="V2235" s="4" t="s">
        <v>2276</v>
      </c>
      <c r="W2235" s="4" t="s">
        <v>2276</v>
      </c>
      <c r="X2235" s="4" t="s">
        <v>2276</v>
      </c>
      <c r="Y2235" s="4" t="s">
        <v>2276</v>
      </c>
      <c r="Z2235" s="4" t="s">
        <v>2276</v>
      </c>
      <c r="AA2235" s="3"/>
      <c r="AB2235" s="3"/>
    </row>
    <row r="2236" spans="1:28" ht="46" customHeight="1">
      <c r="A2236" s="156" t="str">
        <f>'Reported burning'!A2236</f>
        <v>267c</v>
      </c>
      <c r="B2236" s="156" t="str">
        <f>'Reported burning'!B2236</f>
        <v>267c.1</v>
      </c>
      <c r="C2236" s="156" t="str">
        <f>'Reported burning'!C2236</f>
        <v>Human, escaped</v>
      </c>
      <c r="D2236" s="156" t="str">
        <f>'Reported burning'!D2236</f>
        <v>Crop residue burning</v>
      </c>
      <c r="E2236" s="156" t="str">
        <f>'Reported burning'!E2236</f>
        <v>Mixed cropping-livestock small holder, Market-oriented</v>
      </c>
      <c r="F2236" s="156" t="str">
        <f>'Reported burning'!F2236</f>
        <v>Cropland</v>
      </c>
      <c r="G2236" s="156" t="str">
        <f>'Reported burning'!G2236</f>
        <v>Forest</v>
      </c>
      <c r="H2236" s="156" t="str">
        <f>'Reported burning'!H2236</f>
        <v>Presence</v>
      </c>
      <c r="I2236" s="3"/>
      <c r="J2236" s="4" t="s">
        <v>2276</v>
      </c>
      <c r="K2236" s="4" t="s">
        <v>2276</v>
      </c>
      <c r="L2236" s="4" t="s">
        <v>2276</v>
      </c>
      <c r="M2236" s="4" t="s">
        <v>2276</v>
      </c>
      <c r="N2236" s="4" t="s">
        <v>2276</v>
      </c>
      <c r="O2236" s="4" t="s">
        <v>2276</v>
      </c>
      <c r="P2236" s="4" t="s">
        <v>2276</v>
      </c>
      <c r="Q2236" s="4" t="s">
        <v>2276</v>
      </c>
      <c r="R2236" s="4" t="s">
        <v>2276</v>
      </c>
      <c r="S2236" s="4" t="s">
        <v>2276</v>
      </c>
      <c r="T2236" s="4" t="s">
        <v>2276</v>
      </c>
      <c r="U2236" s="4" t="s">
        <v>2276</v>
      </c>
      <c r="V2236" s="4" t="s">
        <v>2276</v>
      </c>
      <c r="W2236" s="4" t="s">
        <v>2276</v>
      </c>
      <c r="X2236" s="4" t="s">
        <v>2276</v>
      </c>
      <c r="Y2236" s="4" t="s">
        <v>2276</v>
      </c>
      <c r="Z2236" s="4" t="s">
        <v>2276</v>
      </c>
      <c r="AA2236" s="3"/>
      <c r="AB2236" s="3"/>
    </row>
    <row r="2237" spans="1:28" ht="46" customHeight="1">
      <c r="A2237" s="156" t="str">
        <f>'Reported burning'!A2237</f>
        <v>267c</v>
      </c>
      <c r="B2237" s="156" t="str">
        <f>'Reported burning'!B2237</f>
        <v>267c.2</v>
      </c>
      <c r="C2237" s="156" t="str">
        <f>'Reported burning'!C2237</f>
        <v>Human, escaped</v>
      </c>
      <c r="D2237" s="156" t="str">
        <f>'Reported burning'!D2237</f>
        <v>Forest clearance</v>
      </c>
      <c r="E2237" s="156" t="str">
        <f>'Reported burning'!E2237</f>
        <v>Mixed cropping-livestock small holder, Market-oriented</v>
      </c>
      <c r="F2237" s="156" t="str">
        <f>'Reported burning'!F2237</f>
        <v>Cropland</v>
      </c>
      <c r="G2237" s="156" t="str">
        <f>'Reported burning'!G2237</f>
        <v>Forest</v>
      </c>
      <c r="H2237" s="156" t="str">
        <f>'Reported burning'!H2237</f>
        <v>Absence</v>
      </c>
      <c r="I2237" s="3"/>
      <c r="J2237" s="4">
        <v>0</v>
      </c>
      <c r="K2237" s="4">
        <v>0</v>
      </c>
      <c r="L2237" s="4">
        <v>0</v>
      </c>
      <c r="M2237" s="4">
        <v>0</v>
      </c>
      <c r="N2237" s="4">
        <v>0</v>
      </c>
      <c r="O2237" s="4">
        <v>0</v>
      </c>
      <c r="P2237" s="4">
        <v>0</v>
      </c>
      <c r="Q2237" s="4">
        <v>0</v>
      </c>
      <c r="R2237" s="4">
        <v>0</v>
      </c>
      <c r="S2237" s="4">
        <v>0</v>
      </c>
      <c r="T2237" s="4">
        <v>0</v>
      </c>
      <c r="U2237" s="4">
        <v>0</v>
      </c>
      <c r="V2237" s="4">
        <v>0</v>
      </c>
      <c r="W2237" s="4">
        <v>0</v>
      </c>
      <c r="X2237" s="4">
        <v>0</v>
      </c>
      <c r="Y2237" s="4" t="s">
        <v>2276</v>
      </c>
      <c r="Z2237" s="4" t="s">
        <v>2276</v>
      </c>
      <c r="AA2237" s="3"/>
      <c r="AB2237" s="3"/>
    </row>
    <row r="2238" spans="1:28" ht="46" customHeight="1">
      <c r="A2238" s="156" t="str">
        <f>'Reported burning'!A2238</f>
        <v>267c</v>
      </c>
      <c r="B2238" s="156" t="str">
        <f>'Reported burning'!B2238</f>
        <v>267c.3</v>
      </c>
      <c r="C2238" s="156" t="str">
        <f>'Reported burning'!C2238</f>
        <v>Human, deliberate</v>
      </c>
      <c r="D2238" s="156" t="str">
        <f>'Reported burning'!D2238</f>
        <v>Crop residue burning</v>
      </c>
      <c r="E2238" s="156" t="str">
        <f>'Reported burning'!E2238</f>
        <v>Mixed cropping-livestock small holder, Market-oriented</v>
      </c>
      <c r="F2238" s="156" t="str">
        <f>'Reported burning'!F2238</f>
        <v>Cropland</v>
      </c>
      <c r="G2238" s="156" t="str">
        <f>'Reported burning'!G2238</f>
        <v>Cropland</v>
      </c>
      <c r="H2238" s="156" t="str">
        <f>'Reported burning'!H2238</f>
        <v>Presence</v>
      </c>
      <c r="I2238" s="3"/>
      <c r="J2238" s="4" t="s">
        <v>2276</v>
      </c>
      <c r="K2238" s="4" t="s">
        <v>2276</v>
      </c>
      <c r="L2238" s="4" t="s">
        <v>2276</v>
      </c>
      <c r="M2238" s="4" t="s">
        <v>2276</v>
      </c>
      <c r="N2238" s="4" t="s">
        <v>2276</v>
      </c>
      <c r="O2238" s="4" t="s">
        <v>2276</v>
      </c>
      <c r="P2238" s="4" t="s">
        <v>2276</v>
      </c>
      <c r="Q2238" s="4" t="s">
        <v>2276</v>
      </c>
      <c r="R2238" s="4" t="s">
        <v>2276</v>
      </c>
      <c r="S2238" s="4" t="s">
        <v>2276</v>
      </c>
      <c r="T2238" s="4" t="s">
        <v>2276</v>
      </c>
      <c r="U2238" s="4" t="s">
        <v>2276</v>
      </c>
      <c r="V2238" s="4" t="s">
        <v>2276</v>
      </c>
      <c r="W2238" s="4" t="s">
        <v>2276</v>
      </c>
      <c r="X2238" s="4" t="s">
        <v>2276</v>
      </c>
      <c r="Y2238" s="4" t="s">
        <v>2276</v>
      </c>
      <c r="Z2238" s="4" t="s">
        <v>2276</v>
      </c>
      <c r="AA2238" s="3"/>
      <c r="AB2238" s="3"/>
    </row>
    <row r="2239" spans="1:28" ht="46" customHeight="1">
      <c r="A2239" s="156" t="str">
        <f>'Reported burning'!A2239</f>
        <v>267c</v>
      </c>
      <c r="B2239" s="156" t="str">
        <f>'Reported burning'!B2239</f>
        <v>267c.4</v>
      </c>
      <c r="C2239" s="156" t="str">
        <f>'Reported burning'!C2239</f>
        <v>Human, deliberate</v>
      </c>
      <c r="D2239" s="156" t="str">
        <f>'Reported burning'!D2239</f>
        <v>Forest clearance</v>
      </c>
      <c r="E2239" s="156" t="str">
        <f>'Reported burning'!E2239</f>
        <v>Mixed cropping-livestock small holder, Market-oriented</v>
      </c>
      <c r="F2239" s="156" t="str">
        <f>'Reported burning'!F2239</f>
        <v>Cropland</v>
      </c>
      <c r="G2239" s="156" t="str">
        <f>'Reported burning'!G2239</f>
        <v>Cropland</v>
      </c>
      <c r="H2239" s="156" t="str">
        <f>'Reported burning'!H2239</f>
        <v>Absence</v>
      </c>
      <c r="I2239" s="3"/>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t="s">
        <v>2276</v>
      </c>
      <c r="Z2239" s="4" t="s">
        <v>2276</v>
      </c>
      <c r="AA2239" s="3"/>
      <c r="AB2239" s="3"/>
    </row>
    <row r="2240" spans="1:28" s="203" customFormat="1" ht="46" customHeight="1">
      <c r="A2240" s="156" t="str">
        <f>'Reported burning'!A2240</f>
        <v>267c</v>
      </c>
      <c r="B2240" s="156" t="str">
        <f>'Reported burning'!B2240</f>
        <v>267c.5</v>
      </c>
      <c r="C2240" s="156" t="str">
        <f>'Reported burning'!C2240</f>
        <v>Human, escaped</v>
      </c>
      <c r="D2240" s="156" t="str">
        <f>'Reported burning'!D2240</f>
        <v>Pasture renewal</v>
      </c>
      <c r="E2240" s="156" t="str">
        <f>'Reported burning'!E2240</f>
        <v>Mixed cropping-livestock small holder, Market-oriented</v>
      </c>
      <c r="F2240" s="156" t="str">
        <f>'Reported burning'!F2240</f>
        <v>Pasture</v>
      </c>
      <c r="G2240" s="156" t="str">
        <f>'Reported burning'!G2240</f>
        <v>Cropland</v>
      </c>
      <c r="H2240" s="156" t="str">
        <f>'Reported burning'!H2240</f>
        <v>Presence</v>
      </c>
      <c r="I2240" s="204"/>
      <c r="J2240" s="4" t="s">
        <v>2276</v>
      </c>
      <c r="K2240" s="4" t="s">
        <v>2276</v>
      </c>
      <c r="L2240" s="4" t="s">
        <v>2276</v>
      </c>
      <c r="M2240" s="4" t="s">
        <v>2276</v>
      </c>
      <c r="N2240" s="4" t="s">
        <v>2276</v>
      </c>
      <c r="O2240" s="4" t="s">
        <v>2276</v>
      </c>
      <c r="P2240" s="4" t="s">
        <v>2276</v>
      </c>
      <c r="Q2240" s="4" t="s">
        <v>2276</v>
      </c>
      <c r="R2240" s="4" t="s">
        <v>2276</v>
      </c>
      <c r="S2240" s="4" t="s">
        <v>2276</v>
      </c>
      <c r="T2240" s="4" t="s">
        <v>2276</v>
      </c>
      <c r="U2240" s="4" t="s">
        <v>2276</v>
      </c>
      <c r="V2240" s="4" t="s">
        <v>2276</v>
      </c>
      <c r="W2240" s="4" t="s">
        <v>2276</v>
      </c>
      <c r="X2240" s="4" t="s">
        <v>2276</v>
      </c>
      <c r="Y2240" s="4" t="s">
        <v>2276</v>
      </c>
      <c r="Z2240" s="4" t="s">
        <v>2276</v>
      </c>
      <c r="AA2240" s="204"/>
      <c r="AB2240" s="204"/>
    </row>
    <row r="2241" spans="1:28" s="203" customFormat="1" ht="46" customHeight="1">
      <c r="A2241" s="156" t="str">
        <f>'Reported burning'!A2241</f>
        <v>267c</v>
      </c>
      <c r="B2241" s="156" t="str">
        <f>'Reported burning'!B2241</f>
        <v>267c.6</v>
      </c>
      <c r="C2241" s="156" t="str">
        <f>'Reported burning'!C2241</f>
        <v>Human, deliberate</v>
      </c>
      <c r="D2241" s="156" t="str">
        <f>'Reported burning'!D2241</f>
        <v>Pasture renewal</v>
      </c>
      <c r="E2241" s="156" t="str">
        <f>'Reported burning'!E2241</f>
        <v>Mixed cropping-livestock small holder, Market-oriented</v>
      </c>
      <c r="F2241" s="156" t="str">
        <f>'Reported burning'!F2241</f>
        <v>Pasture</v>
      </c>
      <c r="G2241" s="156" t="str">
        <f>'Reported burning'!G2241</f>
        <v>Cropland</v>
      </c>
      <c r="H2241" s="156" t="str">
        <f>'Reported burning'!H2241</f>
        <v>Presence</v>
      </c>
      <c r="I2241" s="204"/>
      <c r="J2241" s="4" t="s">
        <v>2276</v>
      </c>
      <c r="K2241" s="4" t="s">
        <v>2276</v>
      </c>
      <c r="L2241" s="4" t="s">
        <v>2276</v>
      </c>
      <c r="M2241" s="4" t="s">
        <v>2276</v>
      </c>
      <c r="N2241" s="4" t="s">
        <v>2276</v>
      </c>
      <c r="O2241" s="4" t="s">
        <v>2276</v>
      </c>
      <c r="P2241" s="4" t="s">
        <v>2276</v>
      </c>
      <c r="Q2241" s="4" t="s">
        <v>2276</v>
      </c>
      <c r="R2241" s="4" t="s">
        <v>2276</v>
      </c>
      <c r="S2241" s="4" t="s">
        <v>2276</v>
      </c>
      <c r="T2241" s="4" t="s">
        <v>2276</v>
      </c>
      <c r="U2241" s="4" t="s">
        <v>2276</v>
      </c>
      <c r="V2241" s="4" t="s">
        <v>2276</v>
      </c>
      <c r="W2241" s="4" t="s">
        <v>2276</v>
      </c>
      <c r="X2241" s="4" t="s">
        <v>2276</v>
      </c>
      <c r="Y2241" s="4" t="s">
        <v>2276</v>
      </c>
      <c r="Z2241" s="4" t="s">
        <v>2276</v>
      </c>
      <c r="AA2241" s="204"/>
      <c r="AB2241" s="204"/>
    </row>
    <row r="2242" spans="1:28" s="203" customFormat="1" ht="46" customHeight="1">
      <c r="A2242" s="156" t="str">
        <f>'Reported burning'!A2242</f>
        <v>267c</v>
      </c>
      <c r="B2242" s="156" t="str">
        <f>'Reported burning'!B2242</f>
        <v>267c.7</v>
      </c>
      <c r="C2242" s="156" t="str">
        <f>'Reported burning'!C2242</f>
        <v>Human, deliberate</v>
      </c>
      <c r="D2242" s="156" t="str">
        <f>'Reported burning'!D2242</f>
        <v>Arson</v>
      </c>
      <c r="E2242" s="156" t="str">
        <f>'Reported burning'!E2242</f>
        <v>Mixed cropping-livestock small holder, Market-oriented</v>
      </c>
      <c r="F2242" s="156" t="str">
        <f>'Reported burning'!F2242</f>
        <v>ND</v>
      </c>
      <c r="G2242" s="156" t="str">
        <f>'Reported burning'!G2242</f>
        <v>ND</v>
      </c>
      <c r="H2242" s="156" t="str">
        <f>'Reported burning'!H2242</f>
        <v>Presence</v>
      </c>
      <c r="I2242" s="204"/>
      <c r="J2242" s="4" t="s">
        <v>2276</v>
      </c>
      <c r="K2242" s="4" t="s">
        <v>2276</v>
      </c>
      <c r="L2242" s="4" t="s">
        <v>2276</v>
      </c>
      <c r="M2242" s="4" t="s">
        <v>2276</v>
      </c>
      <c r="N2242" s="4" t="s">
        <v>2276</v>
      </c>
      <c r="O2242" s="4" t="s">
        <v>2276</v>
      </c>
      <c r="P2242" s="4" t="s">
        <v>2276</v>
      </c>
      <c r="Q2242" s="4" t="s">
        <v>2276</v>
      </c>
      <c r="R2242" s="4" t="s">
        <v>2276</v>
      </c>
      <c r="S2242" s="4" t="s">
        <v>2276</v>
      </c>
      <c r="T2242" s="4" t="s">
        <v>2276</v>
      </c>
      <c r="U2242" s="4" t="s">
        <v>2276</v>
      </c>
      <c r="V2242" s="4" t="s">
        <v>2276</v>
      </c>
      <c r="W2242" s="4" t="s">
        <v>2276</v>
      </c>
      <c r="X2242" s="4" t="s">
        <v>2276</v>
      </c>
      <c r="Y2242" s="4" t="s">
        <v>2276</v>
      </c>
      <c r="Z2242" s="4" t="s">
        <v>2276</v>
      </c>
      <c r="AA2242" s="204"/>
      <c r="AB2242" s="204"/>
    </row>
    <row r="2243" spans="1:28" s="203" customFormat="1" ht="46" customHeight="1">
      <c r="A2243" s="156" t="str">
        <f>'Reported burning'!A2243</f>
        <v>267d</v>
      </c>
      <c r="B2243" s="156" t="str">
        <f>'Reported burning'!B2243</f>
        <v>267d.1</v>
      </c>
      <c r="C2243" s="156" t="str">
        <f>'Reported burning'!C2243</f>
        <v>Human, escaped</v>
      </c>
      <c r="D2243" s="156" t="str">
        <f>'Reported burning'!D2243</f>
        <v>Crop residue burning</v>
      </c>
      <c r="E2243" s="156" t="str">
        <f>'Reported burning'!E2243</f>
        <v>Mixed cropping-livestock small holder, Market-oriented</v>
      </c>
      <c r="F2243" s="156" t="str">
        <f>'Reported burning'!F2243</f>
        <v>Cropland</v>
      </c>
      <c r="G2243" s="156" t="str">
        <f>'Reported burning'!G2243</f>
        <v>Forest</v>
      </c>
      <c r="H2243" s="156" t="str">
        <f>'Reported burning'!H2243</f>
        <v>Presence</v>
      </c>
      <c r="I2243" s="204"/>
      <c r="J2243" s="4" t="s">
        <v>2276</v>
      </c>
      <c r="K2243" s="4" t="s">
        <v>2276</v>
      </c>
      <c r="L2243" s="4" t="s">
        <v>2276</v>
      </c>
      <c r="M2243" s="4" t="s">
        <v>2276</v>
      </c>
      <c r="N2243" s="4" t="s">
        <v>2276</v>
      </c>
      <c r="O2243" s="4" t="s">
        <v>2276</v>
      </c>
      <c r="P2243" s="4" t="s">
        <v>2276</v>
      </c>
      <c r="Q2243" s="4" t="s">
        <v>2276</v>
      </c>
      <c r="R2243" s="4" t="s">
        <v>2276</v>
      </c>
      <c r="S2243" s="4" t="s">
        <v>2276</v>
      </c>
      <c r="T2243" s="4" t="s">
        <v>2276</v>
      </c>
      <c r="U2243" s="4" t="s">
        <v>2276</v>
      </c>
      <c r="V2243" s="4" t="s">
        <v>2276</v>
      </c>
      <c r="W2243" s="4" t="s">
        <v>2276</v>
      </c>
      <c r="X2243" s="4" t="s">
        <v>2276</v>
      </c>
      <c r="Y2243" s="4" t="s">
        <v>2276</v>
      </c>
      <c r="Z2243" s="4" t="s">
        <v>2276</v>
      </c>
      <c r="AA2243" s="204"/>
      <c r="AB2243" s="204"/>
    </row>
    <row r="2244" spans="1:28" s="203" customFormat="1" ht="46" customHeight="1">
      <c r="A2244" s="156" t="str">
        <f>'Reported burning'!A2244</f>
        <v>267d</v>
      </c>
      <c r="B2244" s="156" t="str">
        <f>'Reported burning'!B2244</f>
        <v>267d.2</v>
      </c>
      <c r="C2244" s="156" t="str">
        <f>'Reported burning'!C2244</f>
        <v>Human, escaped</v>
      </c>
      <c r="D2244" s="156" t="str">
        <f>'Reported burning'!D2244</f>
        <v>Forest clearance</v>
      </c>
      <c r="E2244" s="156" t="str">
        <f>'Reported burning'!E2244</f>
        <v>Mixed cropping-livestock small holder, Market-oriented</v>
      </c>
      <c r="F2244" s="156" t="str">
        <f>'Reported burning'!F2244</f>
        <v>Cropland</v>
      </c>
      <c r="G2244" s="156" t="str">
        <f>'Reported burning'!G2244</f>
        <v>Forest</v>
      </c>
      <c r="H2244" s="156" t="str">
        <f>'Reported burning'!H2244</f>
        <v>Absence</v>
      </c>
      <c r="I2244" s="204"/>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t="s">
        <v>2276</v>
      </c>
      <c r="Z2244" s="4" t="s">
        <v>2276</v>
      </c>
      <c r="AA2244" s="204"/>
      <c r="AB2244" s="204"/>
    </row>
    <row r="2245" spans="1:28" s="203" customFormat="1" ht="46" customHeight="1">
      <c r="A2245" s="156" t="str">
        <f>'Reported burning'!A2245</f>
        <v>267d</v>
      </c>
      <c r="B2245" s="156" t="str">
        <f>'Reported burning'!B2245</f>
        <v>267d.3</v>
      </c>
      <c r="C2245" s="156" t="str">
        <f>'Reported burning'!C2245</f>
        <v>Human, deliberate</v>
      </c>
      <c r="D2245" s="156" t="str">
        <f>'Reported burning'!D2245</f>
        <v>Crop residue burning</v>
      </c>
      <c r="E2245" s="156" t="str">
        <f>'Reported burning'!E2245</f>
        <v>Mixed cropping-livestock small holder, Market-oriented</v>
      </c>
      <c r="F2245" s="156" t="str">
        <f>'Reported burning'!F2245</f>
        <v>Cropland</v>
      </c>
      <c r="G2245" s="156" t="str">
        <f>'Reported burning'!G2245</f>
        <v>Cropland</v>
      </c>
      <c r="H2245" s="156" t="str">
        <f>'Reported burning'!H2245</f>
        <v>Presence</v>
      </c>
      <c r="I2245" s="204"/>
      <c r="J2245" s="4" t="s">
        <v>2276</v>
      </c>
      <c r="K2245" s="4" t="s">
        <v>2276</v>
      </c>
      <c r="L2245" s="4" t="s">
        <v>2276</v>
      </c>
      <c r="M2245" s="4" t="s">
        <v>2276</v>
      </c>
      <c r="N2245" s="4" t="s">
        <v>2276</v>
      </c>
      <c r="O2245" s="4" t="s">
        <v>2276</v>
      </c>
      <c r="P2245" s="4" t="s">
        <v>2276</v>
      </c>
      <c r="Q2245" s="4" t="s">
        <v>2276</v>
      </c>
      <c r="R2245" s="4" t="s">
        <v>2276</v>
      </c>
      <c r="S2245" s="4" t="s">
        <v>2276</v>
      </c>
      <c r="T2245" s="4" t="s">
        <v>2276</v>
      </c>
      <c r="U2245" s="4" t="s">
        <v>2276</v>
      </c>
      <c r="V2245" s="4" t="s">
        <v>2276</v>
      </c>
      <c r="W2245" s="4" t="s">
        <v>2276</v>
      </c>
      <c r="X2245" s="4" t="s">
        <v>2276</v>
      </c>
      <c r="Y2245" s="4" t="s">
        <v>2276</v>
      </c>
      <c r="Z2245" s="4" t="s">
        <v>2276</v>
      </c>
      <c r="AA2245" s="204"/>
      <c r="AB2245" s="204"/>
    </row>
    <row r="2246" spans="1:28" s="203" customFormat="1" ht="46" customHeight="1">
      <c r="A2246" s="156" t="str">
        <f>'Reported burning'!A2246</f>
        <v>267d</v>
      </c>
      <c r="B2246" s="156" t="str">
        <f>'Reported burning'!B2246</f>
        <v>267d.4</v>
      </c>
      <c r="C2246" s="156" t="str">
        <f>'Reported burning'!C2246</f>
        <v>Human, deliberate</v>
      </c>
      <c r="D2246" s="156" t="str">
        <f>'Reported burning'!D2246</f>
        <v>Forest clearance</v>
      </c>
      <c r="E2246" s="156" t="str">
        <f>'Reported burning'!E2246</f>
        <v>Mixed cropping-livestock small holder, Market-oriented</v>
      </c>
      <c r="F2246" s="156" t="str">
        <f>'Reported burning'!F2246</f>
        <v>Cropland</v>
      </c>
      <c r="G2246" s="156" t="str">
        <f>'Reported burning'!G2246</f>
        <v>Cropland</v>
      </c>
      <c r="H2246" s="156" t="str">
        <f>'Reported burning'!H2246</f>
        <v>Absence</v>
      </c>
      <c r="I2246" s="204"/>
      <c r="J2246" s="4">
        <v>0</v>
      </c>
      <c r="K2246" s="4">
        <v>0</v>
      </c>
      <c r="L2246" s="4">
        <v>0</v>
      </c>
      <c r="M2246" s="4">
        <v>0</v>
      </c>
      <c r="N2246" s="4">
        <v>0</v>
      </c>
      <c r="O2246" s="4">
        <v>0</v>
      </c>
      <c r="P2246" s="4">
        <v>0</v>
      </c>
      <c r="Q2246" s="4">
        <v>0</v>
      </c>
      <c r="R2246" s="4">
        <v>0</v>
      </c>
      <c r="S2246" s="4">
        <v>0</v>
      </c>
      <c r="T2246" s="4">
        <v>0</v>
      </c>
      <c r="U2246" s="4">
        <v>0</v>
      </c>
      <c r="V2246" s="4">
        <v>0</v>
      </c>
      <c r="W2246" s="4">
        <v>0</v>
      </c>
      <c r="X2246" s="4">
        <v>0</v>
      </c>
      <c r="Y2246" s="4" t="s">
        <v>2276</v>
      </c>
      <c r="Z2246" s="4" t="s">
        <v>2276</v>
      </c>
      <c r="AA2246" s="204"/>
      <c r="AB2246" s="204"/>
    </row>
    <row r="2247" spans="1:28" s="203" customFormat="1" ht="46" customHeight="1">
      <c r="A2247" s="156" t="str">
        <f>'Reported burning'!A2247</f>
        <v>267d</v>
      </c>
      <c r="B2247" s="156" t="str">
        <f>'Reported burning'!B2247</f>
        <v>267d.5</v>
      </c>
      <c r="C2247" s="156" t="str">
        <f>'Reported burning'!C2247</f>
        <v>Human, escaped</v>
      </c>
      <c r="D2247" s="156" t="str">
        <f>'Reported burning'!D2247</f>
        <v>Pasture renewal</v>
      </c>
      <c r="E2247" s="156" t="str">
        <f>'Reported burning'!E2247</f>
        <v>Mixed cropping-livestock small holder, Market-oriented</v>
      </c>
      <c r="F2247" s="156" t="str">
        <f>'Reported burning'!F2247</f>
        <v>Pasture</v>
      </c>
      <c r="G2247" s="156" t="str">
        <f>'Reported burning'!G2247</f>
        <v>Cropland</v>
      </c>
      <c r="H2247" s="156" t="str">
        <f>'Reported burning'!H2247</f>
        <v>Presence</v>
      </c>
      <c r="I2247" s="204"/>
      <c r="J2247" s="4" t="s">
        <v>2276</v>
      </c>
      <c r="K2247" s="4" t="s">
        <v>2276</v>
      </c>
      <c r="L2247" s="4" t="s">
        <v>2276</v>
      </c>
      <c r="M2247" s="4" t="s">
        <v>2276</v>
      </c>
      <c r="N2247" s="4" t="s">
        <v>2276</v>
      </c>
      <c r="O2247" s="4" t="s">
        <v>2276</v>
      </c>
      <c r="P2247" s="4" t="s">
        <v>2276</v>
      </c>
      <c r="Q2247" s="4" t="s">
        <v>2276</v>
      </c>
      <c r="R2247" s="4" t="s">
        <v>2276</v>
      </c>
      <c r="S2247" s="4" t="s">
        <v>2276</v>
      </c>
      <c r="T2247" s="4" t="s">
        <v>2276</v>
      </c>
      <c r="U2247" s="4" t="s">
        <v>2276</v>
      </c>
      <c r="V2247" s="4" t="s">
        <v>2276</v>
      </c>
      <c r="W2247" s="4" t="s">
        <v>2276</v>
      </c>
      <c r="X2247" s="4" t="s">
        <v>2276</v>
      </c>
      <c r="Y2247" s="4" t="s">
        <v>2276</v>
      </c>
      <c r="Z2247" s="4" t="s">
        <v>2276</v>
      </c>
      <c r="AA2247" s="204"/>
      <c r="AB2247" s="204"/>
    </row>
    <row r="2248" spans="1:28" s="203" customFormat="1" ht="46" customHeight="1">
      <c r="A2248" s="156" t="str">
        <f>'Reported burning'!A2248</f>
        <v>267d</v>
      </c>
      <c r="B2248" s="156" t="str">
        <f>'Reported burning'!B2248</f>
        <v>267d.6</v>
      </c>
      <c r="C2248" s="156" t="str">
        <f>'Reported burning'!C2248</f>
        <v>Human, deliberate</v>
      </c>
      <c r="D2248" s="156" t="str">
        <f>'Reported burning'!D2248</f>
        <v>Pasture renewal</v>
      </c>
      <c r="E2248" s="156" t="str">
        <f>'Reported burning'!E2248</f>
        <v>Mixed cropping-livestock small holder, Market-oriented</v>
      </c>
      <c r="F2248" s="156" t="str">
        <f>'Reported burning'!F2248</f>
        <v>Pasture</v>
      </c>
      <c r="G2248" s="156" t="str">
        <f>'Reported burning'!G2248</f>
        <v>Cropland</v>
      </c>
      <c r="H2248" s="156" t="str">
        <f>'Reported burning'!H2248</f>
        <v>Presence</v>
      </c>
      <c r="I2248" s="204"/>
      <c r="J2248" s="4" t="s">
        <v>2276</v>
      </c>
      <c r="K2248" s="4" t="s">
        <v>2276</v>
      </c>
      <c r="L2248" s="4" t="s">
        <v>2276</v>
      </c>
      <c r="M2248" s="4" t="s">
        <v>2276</v>
      </c>
      <c r="N2248" s="4" t="s">
        <v>2276</v>
      </c>
      <c r="O2248" s="4" t="s">
        <v>2276</v>
      </c>
      <c r="P2248" s="4" t="s">
        <v>2276</v>
      </c>
      <c r="Q2248" s="4" t="s">
        <v>2276</v>
      </c>
      <c r="R2248" s="4" t="s">
        <v>2276</v>
      </c>
      <c r="S2248" s="4" t="s">
        <v>2276</v>
      </c>
      <c r="T2248" s="4" t="s">
        <v>2276</v>
      </c>
      <c r="U2248" s="4" t="s">
        <v>2276</v>
      </c>
      <c r="V2248" s="4" t="s">
        <v>2276</v>
      </c>
      <c r="W2248" s="4" t="s">
        <v>2276</v>
      </c>
      <c r="X2248" s="4" t="s">
        <v>2276</v>
      </c>
      <c r="Y2248" s="4" t="s">
        <v>2276</v>
      </c>
      <c r="Z2248" s="4" t="s">
        <v>2276</v>
      </c>
      <c r="AA2248" s="204"/>
      <c r="AB2248" s="204"/>
    </row>
    <row r="2249" spans="1:28" s="203" customFormat="1" ht="46" customHeight="1">
      <c r="A2249" s="156" t="str">
        <f>'Reported burning'!A2249</f>
        <v>267d</v>
      </c>
      <c r="B2249" s="156" t="str">
        <f>'Reported burning'!B2249</f>
        <v>267d.7</v>
      </c>
      <c r="C2249" s="156" t="str">
        <f>'Reported burning'!C2249</f>
        <v>Human, deliberate</v>
      </c>
      <c r="D2249" s="156" t="str">
        <f>'Reported burning'!D2249</f>
        <v>Arson</v>
      </c>
      <c r="E2249" s="156" t="str">
        <f>'Reported burning'!E2249</f>
        <v>Mixed cropping-livestock small holder, Market-oriented</v>
      </c>
      <c r="F2249" s="156" t="str">
        <f>'Reported burning'!F2249</f>
        <v>ND</v>
      </c>
      <c r="G2249" s="156" t="str">
        <f>'Reported burning'!G2249</f>
        <v>ND</v>
      </c>
      <c r="H2249" s="156" t="str">
        <f>'Reported burning'!H2249</f>
        <v>Presence</v>
      </c>
      <c r="I2249" s="204"/>
      <c r="J2249" s="4" t="s">
        <v>2276</v>
      </c>
      <c r="K2249" s="4" t="s">
        <v>2276</v>
      </c>
      <c r="L2249" s="4" t="s">
        <v>2276</v>
      </c>
      <c r="M2249" s="4" t="s">
        <v>2276</v>
      </c>
      <c r="N2249" s="4" t="s">
        <v>2276</v>
      </c>
      <c r="O2249" s="4" t="s">
        <v>2276</v>
      </c>
      <c r="P2249" s="4" t="s">
        <v>2276</v>
      </c>
      <c r="Q2249" s="4" t="s">
        <v>2276</v>
      </c>
      <c r="R2249" s="4" t="s">
        <v>2276</v>
      </c>
      <c r="S2249" s="4" t="s">
        <v>2276</v>
      </c>
      <c r="T2249" s="4" t="s">
        <v>2276</v>
      </c>
      <c r="U2249" s="4" t="s">
        <v>2276</v>
      </c>
      <c r="V2249" s="4" t="s">
        <v>2276</v>
      </c>
      <c r="W2249" s="4" t="s">
        <v>2276</v>
      </c>
      <c r="X2249" s="4" t="s">
        <v>2276</v>
      </c>
      <c r="Y2249" s="4" t="s">
        <v>2276</v>
      </c>
      <c r="Z2249" s="4" t="s">
        <v>2276</v>
      </c>
      <c r="AA2249" s="204"/>
      <c r="AB2249" s="204"/>
    </row>
    <row r="2250" spans="1:28" s="203" customFormat="1" ht="46" customHeight="1">
      <c r="A2250" s="156" t="str">
        <f>'Reported burning'!A2250</f>
        <v>267e</v>
      </c>
      <c r="B2250" s="156" t="str">
        <f>'Reported burning'!B2250</f>
        <v>267e.1</v>
      </c>
      <c r="C2250" s="156" t="str">
        <f>'Reported burning'!C2250</f>
        <v>Human, escaped</v>
      </c>
      <c r="D2250" s="156" t="str">
        <f>'Reported burning'!D2250</f>
        <v>Crop residue burning</v>
      </c>
      <c r="E2250" s="156" t="str">
        <f>'Reported burning'!E2250</f>
        <v>Mixed cropping-livestock small holder, Market-oriented</v>
      </c>
      <c r="F2250" s="156" t="str">
        <f>'Reported burning'!F2250</f>
        <v>Cropland</v>
      </c>
      <c r="G2250" s="156" t="str">
        <f>'Reported burning'!G2250</f>
        <v>Forest</v>
      </c>
      <c r="H2250" s="156" t="str">
        <f>'Reported burning'!H2250</f>
        <v>Presence</v>
      </c>
      <c r="I2250" s="204"/>
      <c r="J2250" s="4" t="s">
        <v>2276</v>
      </c>
      <c r="K2250" s="4" t="s">
        <v>2276</v>
      </c>
      <c r="L2250" s="4" t="s">
        <v>2276</v>
      </c>
      <c r="M2250" s="4" t="s">
        <v>2276</v>
      </c>
      <c r="N2250" s="4" t="s">
        <v>2276</v>
      </c>
      <c r="O2250" s="4" t="s">
        <v>2276</v>
      </c>
      <c r="P2250" s="4" t="s">
        <v>2276</v>
      </c>
      <c r="Q2250" s="4" t="s">
        <v>2276</v>
      </c>
      <c r="R2250" s="4" t="s">
        <v>2276</v>
      </c>
      <c r="S2250" s="4" t="s">
        <v>2276</v>
      </c>
      <c r="T2250" s="4" t="s">
        <v>2276</v>
      </c>
      <c r="U2250" s="4" t="s">
        <v>2276</v>
      </c>
      <c r="V2250" s="4" t="s">
        <v>2276</v>
      </c>
      <c r="W2250" s="4" t="s">
        <v>2276</v>
      </c>
      <c r="X2250" s="4" t="s">
        <v>2276</v>
      </c>
      <c r="Y2250" s="4" t="s">
        <v>2276</v>
      </c>
      <c r="Z2250" s="4" t="s">
        <v>2276</v>
      </c>
      <c r="AA2250" s="204"/>
      <c r="AB2250" s="204"/>
    </row>
    <row r="2251" spans="1:28" s="203" customFormat="1" ht="46" customHeight="1">
      <c r="A2251" s="156" t="str">
        <f>'Reported burning'!A2251</f>
        <v>267e</v>
      </c>
      <c r="B2251" s="156" t="str">
        <f>'Reported burning'!B2251</f>
        <v>267e.2</v>
      </c>
      <c r="C2251" s="156" t="str">
        <f>'Reported burning'!C2251</f>
        <v>Human, escaped</v>
      </c>
      <c r="D2251" s="156" t="str">
        <f>'Reported burning'!D2251</f>
        <v>Forest clearance</v>
      </c>
      <c r="E2251" s="156" t="str">
        <f>'Reported burning'!E2251</f>
        <v>Mixed cropping-livestock small holder, Market-oriented</v>
      </c>
      <c r="F2251" s="156" t="str">
        <f>'Reported burning'!F2251</f>
        <v>Cropland</v>
      </c>
      <c r="G2251" s="156" t="str">
        <f>'Reported burning'!G2251</f>
        <v>Forest</v>
      </c>
      <c r="H2251" s="156" t="str">
        <f>'Reported burning'!H2251</f>
        <v>Absence</v>
      </c>
      <c r="I2251" s="204"/>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t="s">
        <v>2276</v>
      </c>
      <c r="Z2251" s="4" t="s">
        <v>2276</v>
      </c>
      <c r="AA2251" s="204"/>
      <c r="AB2251" s="204"/>
    </row>
    <row r="2252" spans="1:28" s="203" customFormat="1" ht="46" customHeight="1">
      <c r="A2252" s="156" t="str">
        <f>'Reported burning'!A2252</f>
        <v>267e</v>
      </c>
      <c r="B2252" s="156" t="str">
        <f>'Reported burning'!B2252</f>
        <v>267e.3</v>
      </c>
      <c r="C2252" s="156" t="str">
        <f>'Reported burning'!C2252</f>
        <v>Human, deliberate</v>
      </c>
      <c r="D2252" s="156" t="str">
        <f>'Reported burning'!D2252</f>
        <v>Crop residue burning</v>
      </c>
      <c r="E2252" s="156" t="str">
        <f>'Reported burning'!E2252</f>
        <v>Mixed cropping-livestock small holder, Market-oriented</v>
      </c>
      <c r="F2252" s="156" t="str">
        <f>'Reported burning'!F2252</f>
        <v>Cropland</v>
      </c>
      <c r="G2252" s="156" t="str">
        <f>'Reported burning'!G2252</f>
        <v>Cropland</v>
      </c>
      <c r="H2252" s="156" t="str">
        <f>'Reported burning'!H2252</f>
        <v>Presence</v>
      </c>
      <c r="I2252" s="204"/>
      <c r="J2252" s="4" t="s">
        <v>2276</v>
      </c>
      <c r="K2252" s="4" t="s">
        <v>2276</v>
      </c>
      <c r="L2252" s="4" t="s">
        <v>2276</v>
      </c>
      <c r="M2252" s="4" t="s">
        <v>2276</v>
      </c>
      <c r="N2252" s="4" t="s">
        <v>2276</v>
      </c>
      <c r="O2252" s="4" t="s">
        <v>2276</v>
      </c>
      <c r="P2252" s="4" t="s">
        <v>2276</v>
      </c>
      <c r="Q2252" s="4" t="s">
        <v>2276</v>
      </c>
      <c r="R2252" s="4" t="s">
        <v>2276</v>
      </c>
      <c r="S2252" s="4" t="s">
        <v>2276</v>
      </c>
      <c r="T2252" s="4" t="s">
        <v>2276</v>
      </c>
      <c r="U2252" s="4" t="s">
        <v>2276</v>
      </c>
      <c r="V2252" s="4" t="s">
        <v>2276</v>
      </c>
      <c r="W2252" s="4" t="s">
        <v>2276</v>
      </c>
      <c r="X2252" s="4" t="s">
        <v>2276</v>
      </c>
      <c r="Y2252" s="4" t="s">
        <v>2276</v>
      </c>
      <c r="Z2252" s="4" t="s">
        <v>2276</v>
      </c>
      <c r="AA2252" s="204"/>
      <c r="AB2252" s="204"/>
    </row>
    <row r="2253" spans="1:28" s="203" customFormat="1" ht="46" customHeight="1">
      <c r="A2253" s="156" t="str">
        <f>'Reported burning'!A2253</f>
        <v>267e</v>
      </c>
      <c r="B2253" s="156" t="str">
        <f>'Reported burning'!B2253</f>
        <v>267e.4</v>
      </c>
      <c r="C2253" s="156" t="str">
        <f>'Reported burning'!C2253</f>
        <v>Human, deliberate</v>
      </c>
      <c r="D2253" s="156" t="str">
        <f>'Reported burning'!D2253</f>
        <v>Forest clearance</v>
      </c>
      <c r="E2253" s="156" t="str">
        <f>'Reported burning'!E2253</f>
        <v>Mixed cropping-livestock small holder, Market-oriented</v>
      </c>
      <c r="F2253" s="156" t="str">
        <f>'Reported burning'!F2253</f>
        <v>Cropland</v>
      </c>
      <c r="G2253" s="156" t="str">
        <f>'Reported burning'!G2253</f>
        <v>Cropland</v>
      </c>
      <c r="H2253" s="156" t="str">
        <f>'Reported burning'!H2253</f>
        <v>Absence</v>
      </c>
      <c r="I2253" s="204"/>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t="s">
        <v>2276</v>
      </c>
      <c r="Z2253" s="4" t="s">
        <v>2276</v>
      </c>
      <c r="AA2253" s="204"/>
      <c r="AB2253" s="204"/>
    </row>
    <row r="2254" spans="1:28" s="203" customFormat="1" ht="46" customHeight="1">
      <c r="A2254" s="156" t="str">
        <f>'Reported burning'!A2254</f>
        <v>267e</v>
      </c>
      <c r="B2254" s="156" t="str">
        <f>'Reported burning'!B2254</f>
        <v>267e.5</v>
      </c>
      <c r="C2254" s="156" t="str">
        <f>'Reported burning'!C2254</f>
        <v>Human, escaped</v>
      </c>
      <c r="D2254" s="156" t="str">
        <f>'Reported burning'!D2254</f>
        <v>Pasture renewal</v>
      </c>
      <c r="E2254" s="156" t="str">
        <f>'Reported burning'!E2254</f>
        <v>Mixed cropping-livestock small holder, Market-oriented</v>
      </c>
      <c r="F2254" s="156" t="str">
        <f>'Reported burning'!F2254</f>
        <v>Pasture</v>
      </c>
      <c r="G2254" s="156" t="str">
        <f>'Reported burning'!G2254</f>
        <v>Cropland</v>
      </c>
      <c r="H2254" s="156" t="str">
        <f>'Reported burning'!H2254</f>
        <v>Presence</v>
      </c>
      <c r="I2254" s="204"/>
      <c r="J2254" s="4" t="s">
        <v>2276</v>
      </c>
      <c r="K2254" s="4" t="s">
        <v>2276</v>
      </c>
      <c r="L2254" s="4" t="s">
        <v>2276</v>
      </c>
      <c r="M2254" s="4" t="s">
        <v>2276</v>
      </c>
      <c r="N2254" s="4" t="s">
        <v>2276</v>
      </c>
      <c r="O2254" s="4" t="s">
        <v>2276</v>
      </c>
      <c r="P2254" s="4" t="s">
        <v>2276</v>
      </c>
      <c r="Q2254" s="4" t="s">
        <v>2276</v>
      </c>
      <c r="R2254" s="4" t="s">
        <v>2276</v>
      </c>
      <c r="S2254" s="4" t="s">
        <v>2276</v>
      </c>
      <c r="T2254" s="4" t="s">
        <v>2276</v>
      </c>
      <c r="U2254" s="4" t="s">
        <v>2276</v>
      </c>
      <c r="V2254" s="4" t="s">
        <v>2276</v>
      </c>
      <c r="W2254" s="4" t="s">
        <v>2276</v>
      </c>
      <c r="X2254" s="4" t="s">
        <v>2276</v>
      </c>
      <c r="Y2254" s="4" t="s">
        <v>2276</v>
      </c>
      <c r="Z2254" s="4" t="s">
        <v>2276</v>
      </c>
      <c r="AA2254" s="204"/>
      <c r="AB2254" s="204"/>
    </row>
    <row r="2255" spans="1:28" s="203" customFormat="1" ht="46" customHeight="1">
      <c r="A2255" s="156" t="str">
        <f>'Reported burning'!A2255</f>
        <v>267e</v>
      </c>
      <c r="B2255" s="156" t="str">
        <f>'Reported burning'!B2255</f>
        <v>267e.6</v>
      </c>
      <c r="C2255" s="156" t="str">
        <f>'Reported burning'!C2255</f>
        <v>Human, deliberate</v>
      </c>
      <c r="D2255" s="156" t="str">
        <f>'Reported burning'!D2255</f>
        <v>Pasture renewal</v>
      </c>
      <c r="E2255" s="156" t="str">
        <f>'Reported burning'!E2255</f>
        <v>Mixed cropping-livestock small holder, Market-oriented</v>
      </c>
      <c r="F2255" s="156" t="str">
        <f>'Reported burning'!F2255</f>
        <v>Pasture</v>
      </c>
      <c r="G2255" s="156" t="str">
        <f>'Reported burning'!G2255</f>
        <v>Cropland</v>
      </c>
      <c r="H2255" s="156" t="str">
        <f>'Reported burning'!H2255</f>
        <v>Presence</v>
      </c>
      <c r="I2255" s="204"/>
      <c r="J2255" s="4" t="s">
        <v>2276</v>
      </c>
      <c r="K2255" s="4" t="s">
        <v>2276</v>
      </c>
      <c r="L2255" s="4" t="s">
        <v>2276</v>
      </c>
      <c r="M2255" s="4" t="s">
        <v>2276</v>
      </c>
      <c r="N2255" s="4" t="s">
        <v>2276</v>
      </c>
      <c r="O2255" s="4" t="s">
        <v>2276</v>
      </c>
      <c r="P2255" s="4" t="s">
        <v>2276</v>
      </c>
      <c r="Q2255" s="4" t="s">
        <v>2276</v>
      </c>
      <c r="R2255" s="4" t="s">
        <v>2276</v>
      </c>
      <c r="S2255" s="4" t="s">
        <v>2276</v>
      </c>
      <c r="T2255" s="4" t="s">
        <v>2276</v>
      </c>
      <c r="U2255" s="4" t="s">
        <v>2276</v>
      </c>
      <c r="V2255" s="4" t="s">
        <v>2276</v>
      </c>
      <c r="W2255" s="4" t="s">
        <v>2276</v>
      </c>
      <c r="X2255" s="4" t="s">
        <v>2276</v>
      </c>
      <c r="Y2255" s="4" t="s">
        <v>2276</v>
      </c>
      <c r="Z2255" s="4" t="s">
        <v>2276</v>
      </c>
      <c r="AA2255" s="204"/>
      <c r="AB2255" s="204"/>
    </row>
    <row r="2256" spans="1:28" s="203" customFormat="1" ht="46" customHeight="1">
      <c r="A2256" s="156" t="str">
        <f>'Reported burning'!A2256</f>
        <v>267e</v>
      </c>
      <c r="B2256" s="156" t="str">
        <f>'Reported burning'!B2256</f>
        <v>267e.7</v>
      </c>
      <c r="C2256" s="156" t="str">
        <f>'Reported burning'!C2256</f>
        <v>Human, deliberate</v>
      </c>
      <c r="D2256" s="156" t="str">
        <f>'Reported burning'!D2256</f>
        <v>Arson</v>
      </c>
      <c r="E2256" s="156" t="str">
        <f>'Reported burning'!E2256</f>
        <v>Mixed cropping-livestock small holder, Market-oriented</v>
      </c>
      <c r="F2256" s="156" t="str">
        <f>'Reported burning'!F2256</f>
        <v>ND</v>
      </c>
      <c r="G2256" s="156" t="str">
        <f>'Reported burning'!G2256</f>
        <v>ND</v>
      </c>
      <c r="H2256" s="156" t="str">
        <f>'Reported burning'!H2256</f>
        <v>Presence</v>
      </c>
      <c r="I2256" s="204"/>
      <c r="J2256" s="4" t="s">
        <v>2276</v>
      </c>
      <c r="K2256" s="4" t="s">
        <v>2276</v>
      </c>
      <c r="L2256" s="4" t="s">
        <v>2276</v>
      </c>
      <c r="M2256" s="4" t="s">
        <v>2276</v>
      </c>
      <c r="N2256" s="4" t="s">
        <v>2276</v>
      </c>
      <c r="O2256" s="4" t="s">
        <v>2276</v>
      </c>
      <c r="P2256" s="4" t="s">
        <v>2276</v>
      </c>
      <c r="Q2256" s="4" t="s">
        <v>2276</v>
      </c>
      <c r="R2256" s="4" t="s">
        <v>2276</v>
      </c>
      <c r="S2256" s="4" t="s">
        <v>2276</v>
      </c>
      <c r="T2256" s="4" t="s">
        <v>2276</v>
      </c>
      <c r="U2256" s="4" t="s">
        <v>2276</v>
      </c>
      <c r="V2256" s="4" t="s">
        <v>2276</v>
      </c>
      <c r="W2256" s="4" t="s">
        <v>2276</v>
      </c>
      <c r="X2256" s="4" t="s">
        <v>2276</v>
      </c>
      <c r="Y2256" s="4" t="s">
        <v>2276</v>
      </c>
      <c r="Z2256" s="4" t="s">
        <v>2276</v>
      </c>
      <c r="AA2256" s="204"/>
      <c r="AB2256" s="204"/>
    </row>
    <row r="2257" spans="1:28" s="203" customFormat="1" ht="46" customHeight="1">
      <c r="A2257" s="156" t="str">
        <f>'Reported burning'!A2257</f>
        <v>267f</v>
      </c>
      <c r="B2257" s="156" t="str">
        <f>'Reported burning'!B2257</f>
        <v>267f.1</v>
      </c>
      <c r="C2257" s="156" t="str">
        <f>'Reported burning'!C2257</f>
        <v>Human, escaped</v>
      </c>
      <c r="D2257" s="156" t="str">
        <f>'Reported burning'!D2257</f>
        <v>Crop residue burning</v>
      </c>
      <c r="E2257" s="156" t="str">
        <f>'Reported burning'!E2257</f>
        <v>Mixed cropping-livestock small holder, Market-oriented</v>
      </c>
      <c r="F2257" s="156" t="str">
        <f>'Reported burning'!F2257</f>
        <v>Cropland</v>
      </c>
      <c r="G2257" s="156" t="str">
        <f>'Reported burning'!G2257</f>
        <v>Forest</v>
      </c>
      <c r="H2257" s="156" t="str">
        <f>'Reported burning'!H2257</f>
        <v>Presence</v>
      </c>
      <c r="I2257" s="204"/>
      <c r="J2257" s="4" t="s">
        <v>2276</v>
      </c>
      <c r="K2257" s="4" t="s">
        <v>2276</v>
      </c>
      <c r="L2257" s="4" t="s">
        <v>2276</v>
      </c>
      <c r="M2257" s="4" t="s">
        <v>2276</v>
      </c>
      <c r="N2257" s="4" t="s">
        <v>2276</v>
      </c>
      <c r="O2257" s="4" t="s">
        <v>2276</v>
      </c>
      <c r="P2257" s="4" t="s">
        <v>2276</v>
      </c>
      <c r="Q2257" s="4" t="s">
        <v>2276</v>
      </c>
      <c r="R2257" s="4" t="s">
        <v>2276</v>
      </c>
      <c r="S2257" s="4" t="s">
        <v>2276</v>
      </c>
      <c r="T2257" s="4" t="s">
        <v>2276</v>
      </c>
      <c r="U2257" s="4" t="s">
        <v>2276</v>
      </c>
      <c r="V2257" s="4" t="s">
        <v>2276</v>
      </c>
      <c r="W2257" s="4" t="s">
        <v>2276</v>
      </c>
      <c r="X2257" s="4" t="s">
        <v>2276</v>
      </c>
      <c r="Y2257" s="4" t="s">
        <v>2276</v>
      </c>
      <c r="Z2257" s="4" t="s">
        <v>2276</v>
      </c>
      <c r="AA2257" s="204"/>
      <c r="AB2257" s="204"/>
    </row>
    <row r="2258" spans="1:28" s="203" customFormat="1" ht="46" customHeight="1">
      <c r="A2258" s="156" t="str">
        <f>'Reported burning'!A2258</f>
        <v>267f</v>
      </c>
      <c r="B2258" s="156" t="str">
        <f>'Reported burning'!B2258</f>
        <v>267f.2</v>
      </c>
      <c r="C2258" s="156" t="str">
        <f>'Reported burning'!C2258</f>
        <v>Human, escaped</v>
      </c>
      <c r="D2258" s="156" t="str">
        <f>'Reported burning'!D2258</f>
        <v>Forest clearance</v>
      </c>
      <c r="E2258" s="156" t="str">
        <f>'Reported burning'!E2258</f>
        <v>Mixed cropping-livestock small holder, Market-oriented</v>
      </c>
      <c r="F2258" s="156" t="str">
        <f>'Reported burning'!F2258</f>
        <v>Cropland</v>
      </c>
      <c r="G2258" s="156" t="str">
        <f>'Reported burning'!G2258</f>
        <v>Forest</v>
      </c>
      <c r="H2258" s="156" t="str">
        <f>'Reported burning'!H2258</f>
        <v>Absence</v>
      </c>
      <c r="I2258" s="204"/>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t="s">
        <v>2276</v>
      </c>
      <c r="Z2258" s="4" t="s">
        <v>2276</v>
      </c>
      <c r="AA2258" s="204"/>
      <c r="AB2258" s="204"/>
    </row>
    <row r="2259" spans="1:28" s="203" customFormat="1" ht="46" customHeight="1">
      <c r="A2259" s="156" t="str">
        <f>'Reported burning'!A2259</f>
        <v>267f</v>
      </c>
      <c r="B2259" s="156" t="str">
        <f>'Reported burning'!B2259</f>
        <v>267f.3</v>
      </c>
      <c r="C2259" s="156" t="str">
        <f>'Reported burning'!C2259</f>
        <v>Human, deliberate</v>
      </c>
      <c r="D2259" s="156" t="str">
        <f>'Reported burning'!D2259</f>
        <v>Crop residue burning</v>
      </c>
      <c r="E2259" s="156" t="str">
        <f>'Reported burning'!E2259</f>
        <v>Mixed cropping-livestock small holder, Market-oriented</v>
      </c>
      <c r="F2259" s="156" t="str">
        <f>'Reported burning'!F2259</f>
        <v>Cropland</v>
      </c>
      <c r="G2259" s="156" t="str">
        <f>'Reported burning'!G2259</f>
        <v>Cropland</v>
      </c>
      <c r="H2259" s="156" t="str">
        <f>'Reported burning'!H2259</f>
        <v>Presence</v>
      </c>
      <c r="I2259" s="204"/>
      <c r="J2259" s="4" t="s">
        <v>2276</v>
      </c>
      <c r="K2259" s="4" t="s">
        <v>2276</v>
      </c>
      <c r="L2259" s="4" t="s">
        <v>2276</v>
      </c>
      <c r="M2259" s="4" t="s">
        <v>2276</v>
      </c>
      <c r="N2259" s="4" t="s">
        <v>2276</v>
      </c>
      <c r="O2259" s="4" t="s">
        <v>2276</v>
      </c>
      <c r="P2259" s="4" t="s">
        <v>2276</v>
      </c>
      <c r="Q2259" s="4" t="s">
        <v>2276</v>
      </c>
      <c r="R2259" s="4" t="s">
        <v>2276</v>
      </c>
      <c r="S2259" s="4" t="s">
        <v>2276</v>
      </c>
      <c r="T2259" s="4" t="s">
        <v>2276</v>
      </c>
      <c r="U2259" s="4" t="s">
        <v>2276</v>
      </c>
      <c r="V2259" s="4" t="s">
        <v>2276</v>
      </c>
      <c r="W2259" s="4" t="s">
        <v>2276</v>
      </c>
      <c r="X2259" s="4" t="s">
        <v>2276</v>
      </c>
      <c r="Y2259" s="4" t="s">
        <v>2276</v>
      </c>
      <c r="Z2259" s="4" t="s">
        <v>2276</v>
      </c>
      <c r="AA2259" s="204"/>
      <c r="AB2259" s="204"/>
    </row>
    <row r="2260" spans="1:28" s="203" customFormat="1" ht="46" customHeight="1">
      <c r="A2260" s="156" t="str">
        <f>'Reported burning'!A2260</f>
        <v>267f</v>
      </c>
      <c r="B2260" s="156" t="str">
        <f>'Reported burning'!B2260</f>
        <v>267f.4</v>
      </c>
      <c r="C2260" s="156" t="str">
        <f>'Reported burning'!C2260</f>
        <v>Human, deliberate</v>
      </c>
      <c r="D2260" s="156" t="str">
        <f>'Reported burning'!D2260</f>
        <v>Forest clearance</v>
      </c>
      <c r="E2260" s="156" t="str">
        <f>'Reported burning'!E2260</f>
        <v>Mixed cropping-livestock small holder, Market-oriented</v>
      </c>
      <c r="F2260" s="156" t="str">
        <f>'Reported burning'!F2260</f>
        <v>Cropland</v>
      </c>
      <c r="G2260" s="156" t="str">
        <f>'Reported burning'!G2260</f>
        <v>Cropland</v>
      </c>
      <c r="H2260" s="156" t="str">
        <f>'Reported burning'!H2260</f>
        <v>Absence</v>
      </c>
      <c r="I2260" s="204"/>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t="s">
        <v>2276</v>
      </c>
      <c r="Z2260" s="4" t="s">
        <v>2276</v>
      </c>
      <c r="AA2260" s="204"/>
      <c r="AB2260" s="204"/>
    </row>
    <row r="2261" spans="1:28" s="203" customFormat="1" ht="46" customHeight="1">
      <c r="A2261" s="156" t="str">
        <f>'Reported burning'!A2261</f>
        <v>267f</v>
      </c>
      <c r="B2261" s="156" t="str">
        <f>'Reported burning'!B2261</f>
        <v>267f.5</v>
      </c>
      <c r="C2261" s="156" t="str">
        <f>'Reported burning'!C2261</f>
        <v>Human, escaped</v>
      </c>
      <c r="D2261" s="156" t="str">
        <f>'Reported burning'!D2261</f>
        <v>Pasture renewal</v>
      </c>
      <c r="E2261" s="156" t="str">
        <f>'Reported burning'!E2261</f>
        <v>Mixed cropping-livestock small holder, Market-oriented</v>
      </c>
      <c r="F2261" s="156" t="str">
        <f>'Reported burning'!F2261</f>
        <v>Pasture</v>
      </c>
      <c r="G2261" s="156" t="str">
        <f>'Reported burning'!G2261</f>
        <v>Cropland</v>
      </c>
      <c r="H2261" s="156" t="str">
        <f>'Reported burning'!H2261</f>
        <v>Presence</v>
      </c>
      <c r="I2261" s="204"/>
      <c r="J2261" s="4" t="s">
        <v>2276</v>
      </c>
      <c r="K2261" s="4" t="s">
        <v>2276</v>
      </c>
      <c r="L2261" s="4" t="s">
        <v>2276</v>
      </c>
      <c r="M2261" s="4" t="s">
        <v>2276</v>
      </c>
      <c r="N2261" s="4" t="s">
        <v>2276</v>
      </c>
      <c r="O2261" s="4" t="s">
        <v>2276</v>
      </c>
      <c r="P2261" s="4" t="s">
        <v>2276</v>
      </c>
      <c r="Q2261" s="4" t="s">
        <v>2276</v>
      </c>
      <c r="R2261" s="4" t="s">
        <v>2276</v>
      </c>
      <c r="S2261" s="4" t="s">
        <v>2276</v>
      </c>
      <c r="T2261" s="4" t="s">
        <v>2276</v>
      </c>
      <c r="U2261" s="4" t="s">
        <v>2276</v>
      </c>
      <c r="V2261" s="4" t="s">
        <v>2276</v>
      </c>
      <c r="W2261" s="4" t="s">
        <v>2276</v>
      </c>
      <c r="X2261" s="4" t="s">
        <v>2276</v>
      </c>
      <c r="Y2261" s="4" t="s">
        <v>2276</v>
      </c>
      <c r="Z2261" s="4" t="s">
        <v>2276</v>
      </c>
      <c r="AA2261" s="204"/>
      <c r="AB2261" s="204"/>
    </row>
    <row r="2262" spans="1:28" s="203" customFormat="1" ht="46" customHeight="1">
      <c r="A2262" s="156" t="str">
        <f>'Reported burning'!A2262</f>
        <v>267f</v>
      </c>
      <c r="B2262" s="156" t="str">
        <f>'Reported burning'!B2262</f>
        <v>267f.6</v>
      </c>
      <c r="C2262" s="156" t="str">
        <f>'Reported burning'!C2262</f>
        <v>Human, deliberate</v>
      </c>
      <c r="D2262" s="156" t="str">
        <f>'Reported burning'!D2262</f>
        <v>Pasture renewal</v>
      </c>
      <c r="E2262" s="156" t="str">
        <f>'Reported burning'!E2262</f>
        <v>Mixed cropping-livestock small holder, Market-oriented</v>
      </c>
      <c r="F2262" s="156" t="str">
        <f>'Reported burning'!F2262</f>
        <v>Pasture</v>
      </c>
      <c r="G2262" s="156" t="str">
        <f>'Reported burning'!G2262</f>
        <v>Cropland</v>
      </c>
      <c r="H2262" s="156" t="str">
        <f>'Reported burning'!H2262</f>
        <v>Presence</v>
      </c>
      <c r="I2262" s="204"/>
      <c r="J2262" s="4" t="s">
        <v>2276</v>
      </c>
      <c r="K2262" s="4" t="s">
        <v>2276</v>
      </c>
      <c r="L2262" s="4" t="s">
        <v>2276</v>
      </c>
      <c r="M2262" s="4" t="s">
        <v>2276</v>
      </c>
      <c r="N2262" s="4" t="s">
        <v>2276</v>
      </c>
      <c r="O2262" s="4" t="s">
        <v>2276</v>
      </c>
      <c r="P2262" s="4" t="s">
        <v>2276</v>
      </c>
      <c r="Q2262" s="4" t="s">
        <v>2276</v>
      </c>
      <c r="R2262" s="4" t="s">
        <v>2276</v>
      </c>
      <c r="S2262" s="4" t="s">
        <v>2276</v>
      </c>
      <c r="T2262" s="4" t="s">
        <v>2276</v>
      </c>
      <c r="U2262" s="4" t="s">
        <v>2276</v>
      </c>
      <c r="V2262" s="4" t="s">
        <v>2276</v>
      </c>
      <c r="W2262" s="4" t="s">
        <v>2276</v>
      </c>
      <c r="X2262" s="4" t="s">
        <v>2276</v>
      </c>
      <c r="Y2262" s="4" t="s">
        <v>2276</v>
      </c>
      <c r="Z2262" s="4" t="s">
        <v>2276</v>
      </c>
      <c r="AA2262" s="204"/>
      <c r="AB2262" s="204"/>
    </row>
    <row r="2263" spans="1:28" s="203" customFormat="1" ht="46" customHeight="1">
      <c r="A2263" s="156" t="str">
        <f>'Reported burning'!A2263</f>
        <v>267f</v>
      </c>
      <c r="B2263" s="156" t="str">
        <f>'Reported burning'!B2263</f>
        <v>267f.7</v>
      </c>
      <c r="C2263" s="156" t="str">
        <f>'Reported burning'!C2263</f>
        <v>Human, deliberate</v>
      </c>
      <c r="D2263" s="156" t="str">
        <f>'Reported burning'!D2263</f>
        <v>Arson</v>
      </c>
      <c r="E2263" s="156" t="str">
        <f>'Reported burning'!E2263</f>
        <v>Mixed cropping-livestock small holder, Market-oriented</v>
      </c>
      <c r="F2263" s="156" t="str">
        <f>'Reported burning'!F2263</f>
        <v>ND</v>
      </c>
      <c r="G2263" s="156" t="str">
        <f>'Reported burning'!G2263</f>
        <v>ND</v>
      </c>
      <c r="H2263" s="156" t="str">
        <f>'Reported burning'!H2263</f>
        <v>Presence</v>
      </c>
      <c r="I2263" s="204"/>
      <c r="J2263" s="4" t="s">
        <v>2276</v>
      </c>
      <c r="K2263" s="4" t="s">
        <v>2276</v>
      </c>
      <c r="L2263" s="4" t="s">
        <v>2276</v>
      </c>
      <c r="M2263" s="4" t="s">
        <v>2276</v>
      </c>
      <c r="N2263" s="4" t="s">
        <v>2276</v>
      </c>
      <c r="O2263" s="4" t="s">
        <v>2276</v>
      </c>
      <c r="P2263" s="4" t="s">
        <v>2276</v>
      </c>
      <c r="Q2263" s="4" t="s">
        <v>2276</v>
      </c>
      <c r="R2263" s="4" t="s">
        <v>2276</v>
      </c>
      <c r="S2263" s="4" t="s">
        <v>2276</v>
      </c>
      <c r="T2263" s="4" t="s">
        <v>2276</v>
      </c>
      <c r="U2263" s="4" t="s">
        <v>2276</v>
      </c>
      <c r="V2263" s="4" t="s">
        <v>2276</v>
      </c>
      <c r="W2263" s="4" t="s">
        <v>2276</v>
      </c>
      <c r="X2263" s="4" t="s">
        <v>2276</v>
      </c>
      <c r="Y2263" s="4" t="s">
        <v>2276</v>
      </c>
      <c r="Z2263" s="4" t="s">
        <v>2276</v>
      </c>
      <c r="AA2263" s="204"/>
      <c r="AB2263" s="204"/>
    </row>
    <row r="2264" spans="1:28" s="203" customFormat="1" ht="46" customHeight="1">
      <c r="A2264" s="156" t="str">
        <f>'Reported burning'!A2264</f>
        <v>267g</v>
      </c>
      <c r="B2264" s="156" t="str">
        <f>'Reported burning'!B2264</f>
        <v>267g.1</v>
      </c>
      <c r="C2264" s="156" t="str">
        <f>'Reported burning'!C2264</f>
        <v>Human, escaped</v>
      </c>
      <c r="D2264" s="156" t="str">
        <f>'Reported burning'!D2264</f>
        <v>Crop residue burning</v>
      </c>
      <c r="E2264" s="156" t="str">
        <f>'Reported burning'!E2264</f>
        <v>Mixed cropping-livestock small holder, Market-oriented</v>
      </c>
      <c r="F2264" s="156" t="str">
        <f>'Reported burning'!F2264</f>
        <v>Cropland</v>
      </c>
      <c r="G2264" s="156" t="str">
        <f>'Reported burning'!G2264</f>
        <v>Forest</v>
      </c>
      <c r="H2264" s="156" t="str">
        <f>'Reported burning'!H2264</f>
        <v>Presence</v>
      </c>
      <c r="I2264" s="204"/>
      <c r="J2264" s="4" t="s">
        <v>2276</v>
      </c>
      <c r="K2264" s="4" t="s">
        <v>2276</v>
      </c>
      <c r="L2264" s="4" t="s">
        <v>2276</v>
      </c>
      <c r="M2264" s="4" t="s">
        <v>2276</v>
      </c>
      <c r="N2264" s="4" t="s">
        <v>2276</v>
      </c>
      <c r="O2264" s="4" t="s">
        <v>2276</v>
      </c>
      <c r="P2264" s="4" t="s">
        <v>2276</v>
      </c>
      <c r="Q2264" s="4" t="s">
        <v>2276</v>
      </c>
      <c r="R2264" s="4" t="s">
        <v>2276</v>
      </c>
      <c r="S2264" s="4" t="s">
        <v>2276</v>
      </c>
      <c r="T2264" s="4" t="s">
        <v>2276</v>
      </c>
      <c r="U2264" s="4" t="s">
        <v>2276</v>
      </c>
      <c r="V2264" s="4" t="s">
        <v>2276</v>
      </c>
      <c r="W2264" s="4" t="s">
        <v>2276</v>
      </c>
      <c r="X2264" s="4" t="s">
        <v>2276</v>
      </c>
      <c r="Y2264" s="4" t="s">
        <v>2276</v>
      </c>
      <c r="Z2264" s="4" t="s">
        <v>2276</v>
      </c>
      <c r="AA2264" s="204"/>
      <c r="AB2264" s="204"/>
    </row>
    <row r="2265" spans="1:28" s="203" customFormat="1" ht="46" customHeight="1">
      <c r="A2265" s="156" t="str">
        <f>'Reported burning'!A2265</f>
        <v>267g</v>
      </c>
      <c r="B2265" s="156" t="str">
        <f>'Reported burning'!B2265</f>
        <v>267g.2</v>
      </c>
      <c r="C2265" s="156" t="str">
        <f>'Reported burning'!C2265</f>
        <v>Human, escaped</v>
      </c>
      <c r="D2265" s="156" t="str">
        <f>'Reported burning'!D2265</f>
        <v>Forest clearance</v>
      </c>
      <c r="E2265" s="156" t="str">
        <f>'Reported burning'!E2265</f>
        <v>Mixed cropping-livestock small holder, Market-oriented</v>
      </c>
      <c r="F2265" s="156" t="str">
        <f>'Reported burning'!F2265</f>
        <v>Cropland</v>
      </c>
      <c r="G2265" s="156" t="str">
        <f>'Reported burning'!G2265</f>
        <v>Forest</v>
      </c>
      <c r="H2265" s="156" t="str">
        <f>'Reported burning'!H2265</f>
        <v>Absence</v>
      </c>
      <c r="I2265" s="204"/>
      <c r="J2265" s="4">
        <v>0</v>
      </c>
      <c r="K2265" s="4">
        <v>0</v>
      </c>
      <c r="L2265" s="4">
        <v>0</v>
      </c>
      <c r="M2265" s="4">
        <v>0</v>
      </c>
      <c r="N2265" s="4">
        <v>0</v>
      </c>
      <c r="O2265" s="4">
        <v>0</v>
      </c>
      <c r="P2265" s="4">
        <v>0</v>
      </c>
      <c r="Q2265" s="4">
        <v>0</v>
      </c>
      <c r="R2265" s="4">
        <v>0</v>
      </c>
      <c r="S2265" s="4">
        <v>0</v>
      </c>
      <c r="T2265" s="4">
        <v>0</v>
      </c>
      <c r="U2265" s="4">
        <v>0</v>
      </c>
      <c r="V2265" s="4">
        <v>0</v>
      </c>
      <c r="W2265" s="4">
        <v>0</v>
      </c>
      <c r="X2265" s="4">
        <v>0</v>
      </c>
      <c r="Y2265" s="4" t="s">
        <v>2276</v>
      </c>
      <c r="Z2265" s="4" t="s">
        <v>2276</v>
      </c>
      <c r="AA2265" s="204"/>
      <c r="AB2265" s="204"/>
    </row>
    <row r="2266" spans="1:28" s="203" customFormat="1" ht="46" customHeight="1">
      <c r="A2266" s="156" t="str">
        <f>'Reported burning'!A2266</f>
        <v>267g</v>
      </c>
      <c r="B2266" s="156" t="str">
        <f>'Reported burning'!B2266</f>
        <v>267g.3</v>
      </c>
      <c r="C2266" s="156" t="str">
        <f>'Reported burning'!C2266</f>
        <v>Human, deliberate</v>
      </c>
      <c r="D2266" s="156" t="str">
        <f>'Reported burning'!D2266</f>
        <v>Crop residue burning</v>
      </c>
      <c r="E2266" s="156" t="str">
        <f>'Reported burning'!E2266</f>
        <v>Mixed cropping-livestock small holder, Market-oriented</v>
      </c>
      <c r="F2266" s="156" t="str">
        <f>'Reported burning'!F2266</f>
        <v>Cropland</v>
      </c>
      <c r="G2266" s="156" t="str">
        <f>'Reported burning'!G2266</f>
        <v>Cropland</v>
      </c>
      <c r="H2266" s="156" t="str">
        <f>'Reported burning'!H2266</f>
        <v>Presence</v>
      </c>
      <c r="I2266" s="204"/>
      <c r="J2266" s="4" t="s">
        <v>2276</v>
      </c>
      <c r="K2266" s="4" t="s">
        <v>2276</v>
      </c>
      <c r="L2266" s="4" t="s">
        <v>2276</v>
      </c>
      <c r="M2266" s="4" t="s">
        <v>2276</v>
      </c>
      <c r="N2266" s="4" t="s">
        <v>2276</v>
      </c>
      <c r="O2266" s="4" t="s">
        <v>2276</v>
      </c>
      <c r="P2266" s="4" t="s">
        <v>2276</v>
      </c>
      <c r="Q2266" s="4" t="s">
        <v>2276</v>
      </c>
      <c r="R2266" s="4" t="s">
        <v>2276</v>
      </c>
      <c r="S2266" s="4" t="s">
        <v>2276</v>
      </c>
      <c r="T2266" s="4" t="s">
        <v>2276</v>
      </c>
      <c r="U2266" s="4" t="s">
        <v>2276</v>
      </c>
      <c r="V2266" s="4" t="s">
        <v>2276</v>
      </c>
      <c r="W2266" s="4" t="s">
        <v>2276</v>
      </c>
      <c r="X2266" s="4" t="s">
        <v>2276</v>
      </c>
      <c r="Y2266" s="4" t="s">
        <v>2276</v>
      </c>
      <c r="Z2266" s="4" t="s">
        <v>2276</v>
      </c>
      <c r="AA2266" s="204"/>
      <c r="AB2266" s="204"/>
    </row>
    <row r="2267" spans="1:28" s="203" customFormat="1" ht="46" customHeight="1">
      <c r="A2267" s="156" t="str">
        <f>'Reported burning'!A2267</f>
        <v>267g</v>
      </c>
      <c r="B2267" s="156" t="str">
        <f>'Reported burning'!B2267</f>
        <v>267g.4</v>
      </c>
      <c r="C2267" s="156" t="str">
        <f>'Reported burning'!C2267</f>
        <v>Human, deliberate</v>
      </c>
      <c r="D2267" s="156" t="str">
        <f>'Reported burning'!D2267</f>
        <v>Forest clearance</v>
      </c>
      <c r="E2267" s="156" t="str">
        <f>'Reported burning'!E2267</f>
        <v>Mixed cropping-livestock small holder, Market-oriented</v>
      </c>
      <c r="F2267" s="156" t="str">
        <f>'Reported burning'!F2267</f>
        <v>Cropland</v>
      </c>
      <c r="G2267" s="156" t="str">
        <f>'Reported burning'!G2267</f>
        <v>Cropland</v>
      </c>
      <c r="H2267" s="156" t="str">
        <f>'Reported burning'!H2267</f>
        <v>Absence</v>
      </c>
      <c r="I2267" s="204"/>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t="s">
        <v>2276</v>
      </c>
      <c r="Z2267" s="4" t="s">
        <v>2276</v>
      </c>
      <c r="AA2267" s="204"/>
      <c r="AB2267" s="204"/>
    </row>
    <row r="2268" spans="1:28" s="203" customFormat="1" ht="46" customHeight="1">
      <c r="A2268" s="156" t="str">
        <f>'Reported burning'!A2268</f>
        <v>267g</v>
      </c>
      <c r="B2268" s="156" t="str">
        <f>'Reported burning'!B2268</f>
        <v>267g.5</v>
      </c>
      <c r="C2268" s="156" t="str">
        <f>'Reported burning'!C2268</f>
        <v>Human, escaped</v>
      </c>
      <c r="D2268" s="156" t="str">
        <f>'Reported burning'!D2268</f>
        <v>Pasture renewal</v>
      </c>
      <c r="E2268" s="156" t="str">
        <f>'Reported burning'!E2268</f>
        <v>Mixed cropping-livestock small holder, Market-oriented</v>
      </c>
      <c r="F2268" s="156" t="str">
        <f>'Reported burning'!F2268</f>
        <v>Pasture</v>
      </c>
      <c r="G2268" s="156" t="str">
        <f>'Reported burning'!G2268</f>
        <v>Cropland</v>
      </c>
      <c r="H2268" s="156" t="str">
        <f>'Reported burning'!H2268</f>
        <v>Presence</v>
      </c>
      <c r="I2268" s="204"/>
      <c r="J2268" s="4" t="s">
        <v>2276</v>
      </c>
      <c r="K2268" s="4" t="s">
        <v>2276</v>
      </c>
      <c r="L2268" s="4" t="s">
        <v>2276</v>
      </c>
      <c r="M2268" s="4" t="s">
        <v>2276</v>
      </c>
      <c r="N2268" s="4" t="s">
        <v>2276</v>
      </c>
      <c r="O2268" s="4" t="s">
        <v>2276</v>
      </c>
      <c r="P2268" s="4" t="s">
        <v>2276</v>
      </c>
      <c r="Q2268" s="4" t="s">
        <v>2276</v>
      </c>
      <c r="R2268" s="4" t="s">
        <v>2276</v>
      </c>
      <c r="S2268" s="4" t="s">
        <v>2276</v>
      </c>
      <c r="T2268" s="4" t="s">
        <v>2276</v>
      </c>
      <c r="U2268" s="4" t="s">
        <v>2276</v>
      </c>
      <c r="V2268" s="4" t="s">
        <v>2276</v>
      </c>
      <c r="W2268" s="4" t="s">
        <v>2276</v>
      </c>
      <c r="X2268" s="4" t="s">
        <v>2276</v>
      </c>
      <c r="Y2268" s="4" t="s">
        <v>2276</v>
      </c>
      <c r="Z2268" s="4" t="s">
        <v>2276</v>
      </c>
      <c r="AA2268" s="204"/>
      <c r="AB2268" s="204"/>
    </row>
    <row r="2269" spans="1:28" s="203" customFormat="1" ht="46" customHeight="1">
      <c r="A2269" s="156" t="str">
        <f>'Reported burning'!A2269</f>
        <v>267g</v>
      </c>
      <c r="B2269" s="156" t="str">
        <f>'Reported burning'!B2269</f>
        <v>267g.6</v>
      </c>
      <c r="C2269" s="156" t="str">
        <f>'Reported burning'!C2269</f>
        <v>Human, deliberate</v>
      </c>
      <c r="D2269" s="156" t="str">
        <f>'Reported burning'!D2269</f>
        <v>Pasture renewal</v>
      </c>
      <c r="E2269" s="156" t="str">
        <f>'Reported burning'!E2269</f>
        <v>Mixed cropping-livestock small holder, Market-oriented</v>
      </c>
      <c r="F2269" s="156" t="str">
        <f>'Reported burning'!F2269</f>
        <v>Pasture</v>
      </c>
      <c r="G2269" s="156" t="str">
        <f>'Reported burning'!G2269</f>
        <v>Cropland</v>
      </c>
      <c r="H2269" s="156" t="str">
        <f>'Reported burning'!H2269</f>
        <v>Presence</v>
      </c>
      <c r="I2269" s="204"/>
      <c r="J2269" s="4" t="s">
        <v>2276</v>
      </c>
      <c r="K2269" s="4" t="s">
        <v>2276</v>
      </c>
      <c r="L2269" s="4" t="s">
        <v>2276</v>
      </c>
      <c r="M2269" s="4" t="s">
        <v>2276</v>
      </c>
      <c r="N2269" s="4" t="s">
        <v>2276</v>
      </c>
      <c r="O2269" s="4" t="s">
        <v>2276</v>
      </c>
      <c r="P2269" s="4" t="s">
        <v>2276</v>
      </c>
      <c r="Q2269" s="4" t="s">
        <v>2276</v>
      </c>
      <c r="R2269" s="4" t="s">
        <v>2276</v>
      </c>
      <c r="S2269" s="4" t="s">
        <v>2276</v>
      </c>
      <c r="T2269" s="4" t="s">
        <v>2276</v>
      </c>
      <c r="U2269" s="4" t="s">
        <v>2276</v>
      </c>
      <c r="V2269" s="4" t="s">
        <v>2276</v>
      </c>
      <c r="W2269" s="4" t="s">
        <v>2276</v>
      </c>
      <c r="X2269" s="4" t="s">
        <v>2276</v>
      </c>
      <c r="Y2269" s="4" t="s">
        <v>2276</v>
      </c>
      <c r="Z2269" s="4" t="s">
        <v>2276</v>
      </c>
      <c r="AA2269" s="204"/>
      <c r="AB2269" s="204"/>
    </row>
    <row r="2270" spans="1:28" s="203" customFormat="1" ht="46" customHeight="1">
      <c r="A2270" s="156" t="str">
        <f>'Reported burning'!A2270</f>
        <v>267g</v>
      </c>
      <c r="B2270" s="156" t="str">
        <f>'Reported burning'!B2270</f>
        <v>267g.7</v>
      </c>
      <c r="C2270" s="156" t="str">
        <f>'Reported burning'!C2270</f>
        <v>Human, deliberate</v>
      </c>
      <c r="D2270" s="156" t="str">
        <f>'Reported burning'!D2270</f>
        <v>Arson</v>
      </c>
      <c r="E2270" s="156" t="str">
        <f>'Reported burning'!E2270</f>
        <v>Mixed cropping-livestock small holder, Market-oriented</v>
      </c>
      <c r="F2270" s="156" t="str">
        <f>'Reported burning'!F2270</f>
        <v>ND</v>
      </c>
      <c r="G2270" s="156" t="str">
        <f>'Reported burning'!G2270</f>
        <v>ND</v>
      </c>
      <c r="H2270" s="156" t="str">
        <f>'Reported burning'!H2270</f>
        <v>Presence</v>
      </c>
      <c r="I2270" s="204"/>
      <c r="J2270" s="4" t="s">
        <v>2276</v>
      </c>
      <c r="K2270" s="4" t="s">
        <v>2276</v>
      </c>
      <c r="L2270" s="4" t="s">
        <v>2276</v>
      </c>
      <c r="M2270" s="4" t="s">
        <v>2276</v>
      </c>
      <c r="N2270" s="4" t="s">
        <v>2276</v>
      </c>
      <c r="O2270" s="4" t="s">
        <v>2276</v>
      </c>
      <c r="P2270" s="4" t="s">
        <v>2276</v>
      </c>
      <c r="Q2270" s="4" t="s">
        <v>2276</v>
      </c>
      <c r="R2270" s="4" t="s">
        <v>2276</v>
      </c>
      <c r="S2270" s="4" t="s">
        <v>2276</v>
      </c>
      <c r="T2270" s="4" t="s">
        <v>2276</v>
      </c>
      <c r="U2270" s="4" t="s">
        <v>2276</v>
      </c>
      <c r="V2270" s="4" t="s">
        <v>2276</v>
      </c>
      <c r="W2270" s="4" t="s">
        <v>2276</v>
      </c>
      <c r="X2270" s="4" t="s">
        <v>2276</v>
      </c>
      <c r="Y2270" s="4" t="s">
        <v>2276</v>
      </c>
      <c r="Z2270" s="4" t="s">
        <v>2276</v>
      </c>
      <c r="AA2270" s="204"/>
      <c r="AB2270" s="204"/>
    </row>
    <row r="2271" spans="1:28" s="203" customFormat="1" ht="46" customHeight="1">
      <c r="A2271" s="156" t="str">
        <f>'Reported burning'!A2271</f>
        <v>267h</v>
      </c>
      <c r="B2271" s="156" t="str">
        <f>'Reported burning'!B2271</f>
        <v>267h.1</v>
      </c>
      <c r="C2271" s="156" t="str">
        <f>'Reported burning'!C2271</f>
        <v>Human, escaped</v>
      </c>
      <c r="D2271" s="156" t="str">
        <f>'Reported burning'!D2271</f>
        <v>Crop residue burning</v>
      </c>
      <c r="E2271" s="156" t="str">
        <f>'Reported burning'!E2271</f>
        <v>Mixed cropping-livestock small holder, Market-oriented</v>
      </c>
      <c r="F2271" s="156" t="str">
        <f>'Reported burning'!F2271</f>
        <v>Cropland</v>
      </c>
      <c r="G2271" s="156" t="str">
        <f>'Reported burning'!G2271</f>
        <v>Forest</v>
      </c>
      <c r="H2271" s="156" t="str">
        <f>'Reported burning'!H2271</f>
        <v>Presence</v>
      </c>
      <c r="I2271" s="204"/>
      <c r="J2271" s="4" t="s">
        <v>2276</v>
      </c>
      <c r="K2271" s="4" t="s">
        <v>2276</v>
      </c>
      <c r="L2271" s="4" t="s">
        <v>2276</v>
      </c>
      <c r="M2271" s="4" t="s">
        <v>2276</v>
      </c>
      <c r="N2271" s="4" t="s">
        <v>2276</v>
      </c>
      <c r="O2271" s="4" t="s">
        <v>2276</v>
      </c>
      <c r="P2271" s="4" t="s">
        <v>2276</v>
      </c>
      <c r="Q2271" s="4" t="s">
        <v>2276</v>
      </c>
      <c r="R2271" s="4" t="s">
        <v>2276</v>
      </c>
      <c r="S2271" s="4" t="s">
        <v>2276</v>
      </c>
      <c r="T2271" s="4" t="s">
        <v>2276</v>
      </c>
      <c r="U2271" s="4" t="s">
        <v>2276</v>
      </c>
      <c r="V2271" s="4" t="s">
        <v>2276</v>
      </c>
      <c r="W2271" s="4" t="s">
        <v>2276</v>
      </c>
      <c r="X2271" s="4" t="s">
        <v>2276</v>
      </c>
      <c r="Y2271" s="4" t="s">
        <v>2276</v>
      </c>
      <c r="Z2271" s="4" t="s">
        <v>2276</v>
      </c>
      <c r="AA2271" s="204"/>
      <c r="AB2271" s="204"/>
    </row>
    <row r="2272" spans="1:28" s="203" customFormat="1" ht="46" customHeight="1">
      <c r="A2272" s="156" t="str">
        <f>'Reported burning'!A2272</f>
        <v>267h</v>
      </c>
      <c r="B2272" s="156" t="str">
        <f>'Reported burning'!B2272</f>
        <v>267h.2</v>
      </c>
      <c r="C2272" s="156" t="str">
        <f>'Reported burning'!C2272</f>
        <v>Human, escaped</v>
      </c>
      <c r="D2272" s="156" t="str">
        <f>'Reported burning'!D2272</f>
        <v>Forest clearance</v>
      </c>
      <c r="E2272" s="156" t="str">
        <f>'Reported burning'!E2272</f>
        <v>Mixed cropping-livestock small holder, Market-oriented</v>
      </c>
      <c r="F2272" s="156" t="str">
        <f>'Reported burning'!F2272</f>
        <v>Cropland</v>
      </c>
      <c r="G2272" s="156" t="str">
        <f>'Reported burning'!G2272</f>
        <v>Forest</v>
      </c>
      <c r="H2272" s="156" t="str">
        <f>'Reported burning'!H2272</f>
        <v>Absence</v>
      </c>
      <c r="I2272" s="204"/>
      <c r="J2272" s="4">
        <v>0</v>
      </c>
      <c r="K2272" s="4">
        <v>0</v>
      </c>
      <c r="L2272" s="4">
        <v>0</v>
      </c>
      <c r="M2272" s="4">
        <v>0</v>
      </c>
      <c r="N2272" s="4">
        <v>0</v>
      </c>
      <c r="O2272" s="4">
        <v>0</v>
      </c>
      <c r="P2272" s="4">
        <v>0</v>
      </c>
      <c r="Q2272" s="4">
        <v>0</v>
      </c>
      <c r="R2272" s="4">
        <v>0</v>
      </c>
      <c r="S2272" s="4">
        <v>0</v>
      </c>
      <c r="T2272" s="4">
        <v>0</v>
      </c>
      <c r="U2272" s="4">
        <v>0</v>
      </c>
      <c r="V2272" s="4">
        <v>0</v>
      </c>
      <c r="W2272" s="4">
        <v>0</v>
      </c>
      <c r="X2272" s="4">
        <v>0</v>
      </c>
      <c r="Y2272" s="4" t="s">
        <v>2276</v>
      </c>
      <c r="Z2272" s="4" t="s">
        <v>2276</v>
      </c>
      <c r="AA2272" s="204"/>
      <c r="AB2272" s="204"/>
    </row>
    <row r="2273" spans="1:28" s="203" customFormat="1" ht="46" customHeight="1">
      <c r="A2273" s="156" t="str">
        <f>'Reported burning'!A2273</f>
        <v>267h</v>
      </c>
      <c r="B2273" s="156" t="str">
        <f>'Reported burning'!B2273</f>
        <v>267h.3</v>
      </c>
      <c r="C2273" s="156" t="str">
        <f>'Reported burning'!C2273</f>
        <v>Human, deliberate</v>
      </c>
      <c r="D2273" s="156" t="str">
        <f>'Reported burning'!D2273</f>
        <v>Crop residue burning</v>
      </c>
      <c r="E2273" s="156" t="str">
        <f>'Reported burning'!E2273</f>
        <v>Mixed cropping-livestock small holder, Market-oriented</v>
      </c>
      <c r="F2273" s="156" t="str">
        <f>'Reported burning'!F2273</f>
        <v>Cropland</v>
      </c>
      <c r="G2273" s="156" t="str">
        <f>'Reported burning'!G2273</f>
        <v>Cropland</v>
      </c>
      <c r="H2273" s="156" t="str">
        <f>'Reported burning'!H2273</f>
        <v>Presence</v>
      </c>
      <c r="I2273" s="204"/>
      <c r="J2273" s="4" t="s">
        <v>2276</v>
      </c>
      <c r="K2273" s="4" t="s">
        <v>2276</v>
      </c>
      <c r="L2273" s="4" t="s">
        <v>2276</v>
      </c>
      <c r="M2273" s="4" t="s">
        <v>2276</v>
      </c>
      <c r="N2273" s="4" t="s">
        <v>2276</v>
      </c>
      <c r="O2273" s="4" t="s">
        <v>2276</v>
      </c>
      <c r="P2273" s="4" t="s">
        <v>2276</v>
      </c>
      <c r="Q2273" s="4" t="s">
        <v>2276</v>
      </c>
      <c r="R2273" s="4" t="s">
        <v>2276</v>
      </c>
      <c r="S2273" s="4" t="s">
        <v>2276</v>
      </c>
      <c r="T2273" s="4" t="s">
        <v>2276</v>
      </c>
      <c r="U2273" s="4" t="s">
        <v>2276</v>
      </c>
      <c r="V2273" s="4" t="s">
        <v>2276</v>
      </c>
      <c r="W2273" s="4" t="s">
        <v>2276</v>
      </c>
      <c r="X2273" s="4" t="s">
        <v>2276</v>
      </c>
      <c r="Y2273" s="4" t="s">
        <v>2276</v>
      </c>
      <c r="Z2273" s="4" t="s">
        <v>2276</v>
      </c>
      <c r="AA2273" s="204"/>
      <c r="AB2273" s="204"/>
    </row>
    <row r="2274" spans="1:28" s="203" customFormat="1" ht="46" customHeight="1">
      <c r="A2274" s="156" t="str">
        <f>'Reported burning'!A2274</f>
        <v>267h</v>
      </c>
      <c r="B2274" s="156" t="str">
        <f>'Reported burning'!B2274</f>
        <v>267h.4</v>
      </c>
      <c r="C2274" s="156" t="str">
        <f>'Reported burning'!C2274</f>
        <v>Human, deliberate</v>
      </c>
      <c r="D2274" s="156" t="str">
        <f>'Reported burning'!D2274</f>
        <v>Forest clearance</v>
      </c>
      <c r="E2274" s="156" t="str">
        <f>'Reported burning'!E2274</f>
        <v>Mixed cropping-livestock small holder, Market-oriented</v>
      </c>
      <c r="F2274" s="156" t="str">
        <f>'Reported burning'!F2274</f>
        <v>Cropland</v>
      </c>
      <c r="G2274" s="156" t="str">
        <f>'Reported burning'!G2274</f>
        <v>Cropland</v>
      </c>
      <c r="H2274" s="156" t="str">
        <f>'Reported burning'!H2274</f>
        <v>Absence</v>
      </c>
      <c r="I2274" s="204"/>
      <c r="J2274" s="4">
        <v>0</v>
      </c>
      <c r="K2274" s="4">
        <v>0</v>
      </c>
      <c r="L2274" s="4">
        <v>0</v>
      </c>
      <c r="M2274" s="4">
        <v>0</v>
      </c>
      <c r="N2274" s="4">
        <v>0</v>
      </c>
      <c r="O2274" s="4">
        <v>0</v>
      </c>
      <c r="P2274" s="4">
        <v>0</v>
      </c>
      <c r="Q2274" s="4">
        <v>0</v>
      </c>
      <c r="R2274" s="4">
        <v>0</v>
      </c>
      <c r="S2274" s="4">
        <v>0</v>
      </c>
      <c r="T2274" s="4">
        <v>0</v>
      </c>
      <c r="U2274" s="4">
        <v>0</v>
      </c>
      <c r="V2274" s="4">
        <v>0</v>
      </c>
      <c r="W2274" s="4">
        <v>0</v>
      </c>
      <c r="X2274" s="4">
        <v>0</v>
      </c>
      <c r="Y2274" s="4" t="s">
        <v>2276</v>
      </c>
      <c r="Z2274" s="4" t="s">
        <v>2276</v>
      </c>
      <c r="AA2274" s="204"/>
      <c r="AB2274" s="204"/>
    </row>
    <row r="2275" spans="1:28" s="203" customFormat="1" ht="46" customHeight="1">
      <c r="A2275" s="156" t="str">
        <f>'Reported burning'!A2275</f>
        <v>267h</v>
      </c>
      <c r="B2275" s="156" t="str">
        <f>'Reported burning'!B2275</f>
        <v>267h.5</v>
      </c>
      <c r="C2275" s="156" t="str">
        <f>'Reported burning'!C2275</f>
        <v>Human, escaped</v>
      </c>
      <c r="D2275" s="156" t="str">
        <f>'Reported burning'!D2275</f>
        <v>Pasture renewal</v>
      </c>
      <c r="E2275" s="156" t="str">
        <f>'Reported burning'!E2275</f>
        <v>Mixed cropping-livestock small holder, Market-oriented</v>
      </c>
      <c r="F2275" s="156" t="str">
        <f>'Reported burning'!F2275</f>
        <v>Pasture</v>
      </c>
      <c r="G2275" s="156" t="str">
        <f>'Reported burning'!G2275</f>
        <v>Cropland</v>
      </c>
      <c r="H2275" s="156" t="str">
        <f>'Reported burning'!H2275</f>
        <v>Presence</v>
      </c>
      <c r="I2275" s="204"/>
      <c r="J2275" s="4" t="s">
        <v>2276</v>
      </c>
      <c r="K2275" s="4" t="s">
        <v>2276</v>
      </c>
      <c r="L2275" s="4" t="s">
        <v>2276</v>
      </c>
      <c r="M2275" s="4" t="s">
        <v>2276</v>
      </c>
      <c r="N2275" s="4" t="s">
        <v>2276</v>
      </c>
      <c r="O2275" s="4" t="s">
        <v>2276</v>
      </c>
      <c r="P2275" s="4" t="s">
        <v>2276</v>
      </c>
      <c r="Q2275" s="4" t="s">
        <v>2276</v>
      </c>
      <c r="R2275" s="4" t="s">
        <v>2276</v>
      </c>
      <c r="S2275" s="4" t="s">
        <v>2276</v>
      </c>
      <c r="T2275" s="4" t="s">
        <v>2276</v>
      </c>
      <c r="U2275" s="4" t="s">
        <v>2276</v>
      </c>
      <c r="V2275" s="4" t="s">
        <v>2276</v>
      </c>
      <c r="W2275" s="4" t="s">
        <v>2276</v>
      </c>
      <c r="X2275" s="4" t="s">
        <v>2276</v>
      </c>
      <c r="Y2275" s="4" t="s">
        <v>2276</v>
      </c>
      <c r="Z2275" s="4" t="s">
        <v>2276</v>
      </c>
      <c r="AA2275" s="204"/>
      <c r="AB2275" s="204"/>
    </row>
    <row r="2276" spans="1:28" s="203" customFormat="1" ht="46" customHeight="1">
      <c r="A2276" s="156" t="str">
        <f>'Reported burning'!A2276</f>
        <v>267h</v>
      </c>
      <c r="B2276" s="156" t="str">
        <f>'Reported burning'!B2276</f>
        <v>267h.6</v>
      </c>
      <c r="C2276" s="156" t="str">
        <f>'Reported burning'!C2276</f>
        <v>Human, deliberate</v>
      </c>
      <c r="D2276" s="156" t="str">
        <f>'Reported burning'!D2276</f>
        <v>Pasture renewal</v>
      </c>
      <c r="E2276" s="156" t="str">
        <f>'Reported burning'!E2276</f>
        <v>Mixed cropping-livestock small holder, Market-oriented</v>
      </c>
      <c r="F2276" s="156" t="str">
        <f>'Reported burning'!F2276</f>
        <v>Pasture</v>
      </c>
      <c r="G2276" s="156" t="str">
        <f>'Reported burning'!G2276</f>
        <v>Cropland</v>
      </c>
      <c r="H2276" s="156" t="str">
        <f>'Reported burning'!H2276</f>
        <v>Presence</v>
      </c>
      <c r="I2276" s="204"/>
      <c r="J2276" s="4" t="s">
        <v>2276</v>
      </c>
      <c r="K2276" s="4" t="s">
        <v>2276</v>
      </c>
      <c r="L2276" s="4" t="s">
        <v>2276</v>
      </c>
      <c r="M2276" s="4" t="s">
        <v>2276</v>
      </c>
      <c r="N2276" s="4" t="s">
        <v>2276</v>
      </c>
      <c r="O2276" s="4" t="s">
        <v>2276</v>
      </c>
      <c r="P2276" s="4" t="s">
        <v>2276</v>
      </c>
      <c r="Q2276" s="4" t="s">
        <v>2276</v>
      </c>
      <c r="R2276" s="4" t="s">
        <v>2276</v>
      </c>
      <c r="S2276" s="4" t="s">
        <v>2276</v>
      </c>
      <c r="T2276" s="4" t="s">
        <v>2276</v>
      </c>
      <c r="U2276" s="4" t="s">
        <v>2276</v>
      </c>
      <c r="V2276" s="4" t="s">
        <v>2276</v>
      </c>
      <c r="W2276" s="4" t="s">
        <v>2276</v>
      </c>
      <c r="X2276" s="4" t="s">
        <v>2276</v>
      </c>
      <c r="Y2276" s="4" t="s">
        <v>2276</v>
      </c>
      <c r="Z2276" s="4" t="s">
        <v>2276</v>
      </c>
      <c r="AA2276" s="204"/>
      <c r="AB2276" s="204"/>
    </row>
    <row r="2277" spans="1:28" s="203" customFormat="1" ht="46" customHeight="1">
      <c r="A2277" s="156" t="str">
        <f>'Reported burning'!A2277</f>
        <v>267h</v>
      </c>
      <c r="B2277" s="156" t="str">
        <f>'Reported burning'!B2277</f>
        <v>267h.7</v>
      </c>
      <c r="C2277" s="156" t="str">
        <f>'Reported burning'!C2277</f>
        <v>Human, deliberate</v>
      </c>
      <c r="D2277" s="156" t="str">
        <f>'Reported burning'!D2277</f>
        <v>Arson</v>
      </c>
      <c r="E2277" s="156" t="str">
        <f>'Reported burning'!E2277</f>
        <v>Mixed cropping-livestock small holder, Market-oriented</v>
      </c>
      <c r="F2277" s="156" t="str">
        <f>'Reported burning'!F2277</f>
        <v>ND</v>
      </c>
      <c r="G2277" s="156" t="str">
        <f>'Reported burning'!G2277</f>
        <v>ND</v>
      </c>
      <c r="H2277" s="156" t="str">
        <f>'Reported burning'!H2277</f>
        <v>Presence</v>
      </c>
      <c r="I2277" s="204"/>
      <c r="J2277" s="4" t="s">
        <v>2276</v>
      </c>
      <c r="K2277" s="4" t="s">
        <v>2276</v>
      </c>
      <c r="L2277" s="4" t="s">
        <v>2276</v>
      </c>
      <c r="M2277" s="4" t="s">
        <v>2276</v>
      </c>
      <c r="N2277" s="4" t="s">
        <v>2276</v>
      </c>
      <c r="O2277" s="4" t="s">
        <v>2276</v>
      </c>
      <c r="P2277" s="4" t="s">
        <v>2276</v>
      </c>
      <c r="Q2277" s="4" t="s">
        <v>2276</v>
      </c>
      <c r="R2277" s="4" t="s">
        <v>2276</v>
      </c>
      <c r="S2277" s="4" t="s">
        <v>2276</v>
      </c>
      <c r="T2277" s="4" t="s">
        <v>2276</v>
      </c>
      <c r="U2277" s="4" t="s">
        <v>2276</v>
      </c>
      <c r="V2277" s="4" t="s">
        <v>2276</v>
      </c>
      <c r="W2277" s="4" t="s">
        <v>2276</v>
      </c>
      <c r="X2277" s="4" t="s">
        <v>2276</v>
      </c>
      <c r="Y2277" s="4" t="s">
        <v>2276</v>
      </c>
      <c r="Z2277" s="4" t="s">
        <v>2276</v>
      </c>
      <c r="AA2277" s="204"/>
      <c r="AB2277" s="204"/>
    </row>
    <row r="2278" spans="1:28" s="203" customFormat="1" ht="46" customHeight="1">
      <c r="A2278" s="156" t="str">
        <f>'Reported burning'!A2278</f>
        <v>267i</v>
      </c>
      <c r="B2278" s="156" t="str">
        <f>'Reported burning'!B2278</f>
        <v>267i.1</v>
      </c>
      <c r="C2278" s="156" t="str">
        <f>'Reported burning'!C2278</f>
        <v>Human, escaped</v>
      </c>
      <c r="D2278" s="156" t="str">
        <f>'Reported burning'!D2278</f>
        <v>Crop residue burning</v>
      </c>
      <c r="E2278" s="156" t="str">
        <f>'Reported burning'!E2278</f>
        <v>Mixed cropping-livestock small holder, Market-oriented</v>
      </c>
      <c r="F2278" s="156" t="str">
        <f>'Reported burning'!F2278</f>
        <v>Cropland</v>
      </c>
      <c r="G2278" s="156" t="str">
        <f>'Reported burning'!G2278</f>
        <v>Forest</v>
      </c>
      <c r="H2278" s="156" t="str">
        <f>'Reported burning'!H2278</f>
        <v>Presence</v>
      </c>
      <c r="I2278" s="204"/>
      <c r="J2278" s="4" t="s">
        <v>2276</v>
      </c>
      <c r="K2278" s="4" t="s">
        <v>2276</v>
      </c>
      <c r="L2278" s="4" t="s">
        <v>2276</v>
      </c>
      <c r="M2278" s="4" t="s">
        <v>2276</v>
      </c>
      <c r="N2278" s="4" t="s">
        <v>2276</v>
      </c>
      <c r="O2278" s="4" t="s">
        <v>2276</v>
      </c>
      <c r="P2278" s="4" t="s">
        <v>2276</v>
      </c>
      <c r="Q2278" s="4" t="s">
        <v>2276</v>
      </c>
      <c r="R2278" s="4" t="s">
        <v>2276</v>
      </c>
      <c r="S2278" s="4" t="s">
        <v>2276</v>
      </c>
      <c r="T2278" s="4" t="s">
        <v>2276</v>
      </c>
      <c r="U2278" s="4" t="s">
        <v>2276</v>
      </c>
      <c r="V2278" s="4" t="s">
        <v>2276</v>
      </c>
      <c r="W2278" s="4" t="s">
        <v>2276</v>
      </c>
      <c r="X2278" s="4" t="s">
        <v>2276</v>
      </c>
      <c r="Y2278" s="4" t="s">
        <v>2276</v>
      </c>
      <c r="Z2278" s="4" t="s">
        <v>2276</v>
      </c>
      <c r="AA2278" s="204"/>
      <c r="AB2278" s="204"/>
    </row>
    <row r="2279" spans="1:28" s="203" customFormat="1" ht="46" customHeight="1">
      <c r="A2279" s="156" t="str">
        <f>'Reported burning'!A2279</f>
        <v>267i</v>
      </c>
      <c r="B2279" s="156" t="str">
        <f>'Reported burning'!B2279</f>
        <v>267i.2</v>
      </c>
      <c r="C2279" s="156" t="str">
        <f>'Reported burning'!C2279</f>
        <v>Human, escaped</v>
      </c>
      <c r="D2279" s="156" t="str">
        <f>'Reported burning'!D2279</f>
        <v>Forest clearance</v>
      </c>
      <c r="E2279" s="156" t="str">
        <f>'Reported burning'!E2279</f>
        <v>Mixed cropping-livestock small holder, Market-oriented</v>
      </c>
      <c r="F2279" s="156" t="str">
        <f>'Reported burning'!F2279</f>
        <v>Cropland</v>
      </c>
      <c r="G2279" s="156" t="str">
        <f>'Reported burning'!G2279</f>
        <v>Forest</v>
      </c>
      <c r="H2279" s="156" t="str">
        <f>'Reported burning'!H2279</f>
        <v>Absence</v>
      </c>
      <c r="I2279" s="204"/>
      <c r="J2279" s="4">
        <v>0</v>
      </c>
      <c r="K2279" s="4">
        <v>0</v>
      </c>
      <c r="L2279" s="4">
        <v>0</v>
      </c>
      <c r="M2279" s="4">
        <v>0</v>
      </c>
      <c r="N2279" s="4">
        <v>0</v>
      </c>
      <c r="O2279" s="4">
        <v>0</v>
      </c>
      <c r="P2279" s="4">
        <v>0</v>
      </c>
      <c r="Q2279" s="4">
        <v>0</v>
      </c>
      <c r="R2279" s="4">
        <v>0</v>
      </c>
      <c r="S2279" s="4">
        <v>0</v>
      </c>
      <c r="T2279" s="4">
        <v>0</v>
      </c>
      <c r="U2279" s="4">
        <v>0</v>
      </c>
      <c r="V2279" s="4">
        <v>0</v>
      </c>
      <c r="W2279" s="4">
        <v>0</v>
      </c>
      <c r="X2279" s="4">
        <v>0</v>
      </c>
      <c r="Y2279" s="4" t="s">
        <v>2276</v>
      </c>
      <c r="Z2279" s="4" t="s">
        <v>2276</v>
      </c>
      <c r="AA2279" s="204"/>
      <c r="AB2279" s="204"/>
    </row>
    <row r="2280" spans="1:28" s="203" customFormat="1" ht="46" customHeight="1">
      <c r="A2280" s="156" t="str">
        <f>'Reported burning'!A2280</f>
        <v>267i</v>
      </c>
      <c r="B2280" s="156" t="str">
        <f>'Reported burning'!B2280</f>
        <v>267i.3</v>
      </c>
      <c r="C2280" s="156" t="str">
        <f>'Reported burning'!C2280</f>
        <v>Human, deliberate</v>
      </c>
      <c r="D2280" s="156" t="str">
        <f>'Reported burning'!D2280</f>
        <v>Crop residue burning</v>
      </c>
      <c r="E2280" s="156" t="str">
        <f>'Reported burning'!E2280</f>
        <v>Mixed cropping-livestock small holder, Market-oriented</v>
      </c>
      <c r="F2280" s="156" t="str">
        <f>'Reported burning'!F2280</f>
        <v>Cropland</v>
      </c>
      <c r="G2280" s="156" t="str">
        <f>'Reported burning'!G2280</f>
        <v>Cropland</v>
      </c>
      <c r="H2280" s="156" t="str">
        <f>'Reported burning'!H2280</f>
        <v>Presence</v>
      </c>
      <c r="I2280" s="204"/>
      <c r="J2280" s="4" t="s">
        <v>2276</v>
      </c>
      <c r="K2280" s="4" t="s">
        <v>2276</v>
      </c>
      <c r="L2280" s="4" t="s">
        <v>2276</v>
      </c>
      <c r="M2280" s="4" t="s">
        <v>2276</v>
      </c>
      <c r="N2280" s="4" t="s">
        <v>2276</v>
      </c>
      <c r="O2280" s="4" t="s">
        <v>2276</v>
      </c>
      <c r="P2280" s="4" t="s">
        <v>2276</v>
      </c>
      <c r="Q2280" s="4" t="s">
        <v>2276</v>
      </c>
      <c r="R2280" s="4" t="s">
        <v>2276</v>
      </c>
      <c r="S2280" s="4" t="s">
        <v>2276</v>
      </c>
      <c r="T2280" s="4" t="s">
        <v>2276</v>
      </c>
      <c r="U2280" s="4" t="s">
        <v>2276</v>
      </c>
      <c r="V2280" s="4" t="s">
        <v>2276</v>
      </c>
      <c r="W2280" s="4" t="s">
        <v>2276</v>
      </c>
      <c r="X2280" s="4" t="s">
        <v>2276</v>
      </c>
      <c r="Y2280" s="4" t="s">
        <v>2276</v>
      </c>
      <c r="Z2280" s="4" t="s">
        <v>2276</v>
      </c>
      <c r="AA2280" s="204"/>
      <c r="AB2280" s="204"/>
    </row>
    <row r="2281" spans="1:28" s="203" customFormat="1" ht="46" customHeight="1">
      <c r="A2281" s="156" t="str">
        <f>'Reported burning'!A2281</f>
        <v>267i</v>
      </c>
      <c r="B2281" s="156" t="str">
        <f>'Reported burning'!B2281</f>
        <v>267i.4</v>
      </c>
      <c r="C2281" s="156" t="str">
        <f>'Reported burning'!C2281</f>
        <v>Human, deliberate</v>
      </c>
      <c r="D2281" s="156" t="str">
        <f>'Reported burning'!D2281</f>
        <v>Forest clearance</v>
      </c>
      <c r="E2281" s="156" t="str">
        <f>'Reported burning'!E2281</f>
        <v>Mixed cropping-livestock small holder, Market-oriented</v>
      </c>
      <c r="F2281" s="156" t="str">
        <f>'Reported burning'!F2281</f>
        <v>Cropland</v>
      </c>
      <c r="G2281" s="156" t="str">
        <f>'Reported burning'!G2281</f>
        <v>Cropland</v>
      </c>
      <c r="H2281" s="156" t="str">
        <f>'Reported burning'!H2281</f>
        <v>Absence</v>
      </c>
      <c r="I2281" s="204"/>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t="s">
        <v>2276</v>
      </c>
      <c r="Z2281" s="4" t="s">
        <v>2276</v>
      </c>
      <c r="AA2281" s="204"/>
      <c r="AB2281" s="204"/>
    </row>
    <row r="2282" spans="1:28" s="203" customFormat="1" ht="46" customHeight="1">
      <c r="A2282" s="156" t="str">
        <f>'Reported burning'!A2282</f>
        <v>267i</v>
      </c>
      <c r="B2282" s="156" t="str">
        <f>'Reported burning'!B2282</f>
        <v>267i.5</v>
      </c>
      <c r="C2282" s="156" t="str">
        <f>'Reported burning'!C2282</f>
        <v>Human, escaped</v>
      </c>
      <c r="D2282" s="156" t="str">
        <f>'Reported burning'!D2282</f>
        <v>Pasture renewal</v>
      </c>
      <c r="E2282" s="156" t="str">
        <f>'Reported burning'!E2282</f>
        <v>Mixed cropping-livestock small holder, Market-oriented</v>
      </c>
      <c r="F2282" s="156" t="str">
        <f>'Reported burning'!F2282</f>
        <v>Pasture</v>
      </c>
      <c r="G2282" s="156" t="str">
        <f>'Reported burning'!G2282</f>
        <v>Cropland</v>
      </c>
      <c r="H2282" s="156" t="str">
        <f>'Reported burning'!H2282</f>
        <v>Presence</v>
      </c>
      <c r="I2282" s="204"/>
      <c r="J2282" s="4" t="s">
        <v>2276</v>
      </c>
      <c r="K2282" s="4" t="s">
        <v>2276</v>
      </c>
      <c r="L2282" s="4" t="s">
        <v>2276</v>
      </c>
      <c r="M2282" s="4" t="s">
        <v>2276</v>
      </c>
      <c r="N2282" s="4" t="s">
        <v>2276</v>
      </c>
      <c r="O2282" s="4" t="s">
        <v>2276</v>
      </c>
      <c r="P2282" s="4" t="s">
        <v>2276</v>
      </c>
      <c r="Q2282" s="4" t="s">
        <v>2276</v>
      </c>
      <c r="R2282" s="4" t="s">
        <v>2276</v>
      </c>
      <c r="S2282" s="4" t="s">
        <v>2276</v>
      </c>
      <c r="T2282" s="4" t="s">
        <v>2276</v>
      </c>
      <c r="U2282" s="4" t="s">
        <v>2276</v>
      </c>
      <c r="V2282" s="4" t="s">
        <v>2276</v>
      </c>
      <c r="W2282" s="4" t="s">
        <v>2276</v>
      </c>
      <c r="X2282" s="4" t="s">
        <v>2276</v>
      </c>
      <c r="Y2282" s="4" t="s">
        <v>2276</v>
      </c>
      <c r="Z2282" s="4" t="s">
        <v>2276</v>
      </c>
      <c r="AA2282" s="204"/>
      <c r="AB2282" s="204"/>
    </row>
    <row r="2283" spans="1:28" s="203" customFormat="1" ht="46" customHeight="1">
      <c r="A2283" s="156" t="str">
        <f>'Reported burning'!A2283</f>
        <v>267i</v>
      </c>
      <c r="B2283" s="156" t="str">
        <f>'Reported burning'!B2283</f>
        <v>267i.6</v>
      </c>
      <c r="C2283" s="156" t="str">
        <f>'Reported burning'!C2283</f>
        <v>Human, deliberate</v>
      </c>
      <c r="D2283" s="156" t="str">
        <f>'Reported burning'!D2283</f>
        <v>Pasture renewal</v>
      </c>
      <c r="E2283" s="156" t="str">
        <f>'Reported burning'!E2283</f>
        <v>Mixed cropping-livestock small holder, Market-oriented</v>
      </c>
      <c r="F2283" s="156" t="str">
        <f>'Reported burning'!F2283</f>
        <v>Pasture</v>
      </c>
      <c r="G2283" s="156" t="str">
        <f>'Reported burning'!G2283</f>
        <v>Cropland</v>
      </c>
      <c r="H2283" s="156" t="str">
        <f>'Reported burning'!H2283</f>
        <v>Presence</v>
      </c>
      <c r="I2283" s="204"/>
      <c r="J2283" s="4" t="s">
        <v>2276</v>
      </c>
      <c r="K2283" s="4" t="s">
        <v>2276</v>
      </c>
      <c r="L2283" s="4" t="s">
        <v>2276</v>
      </c>
      <c r="M2283" s="4" t="s">
        <v>2276</v>
      </c>
      <c r="N2283" s="4" t="s">
        <v>2276</v>
      </c>
      <c r="O2283" s="4" t="s">
        <v>2276</v>
      </c>
      <c r="P2283" s="4" t="s">
        <v>2276</v>
      </c>
      <c r="Q2283" s="4" t="s">
        <v>2276</v>
      </c>
      <c r="R2283" s="4" t="s">
        <v>2276</v>
      </c>
      <c r="S2283" s="4" t="s">
        <v>2276</v>
      </c>
      <c r="T2283" s="4" t="s">
        <v>2276</v>
      </c>
      <c r="U2283" s="4" t="s">
        <v>2276</v>
      </c>
      <c r="V2283" s="4" t="s">
        <v>2276</v>
      </c>
      <c r="W2283" s="4" t="s">
        <v>2276</v>
      </c>
      <c r="X2283" s="4" t="s">
        <v>2276</v>
      </c>
      <c r="Y2283" s="4" t="s">
        <v>2276</v>
      </c>
      <c r="Z2283" s="4" t="s">
        <v>2276</v>
      </c>
      <c r="AA2283" s="204"/>
      <c r="AB2283" s="204"/>
    </row>
    <row r="2284" spans="1:28" s="203" customFormat="1" ht="46" customHeight="1">
      <c r="A2284" s="156" t="str">
        <f>'Reported burning'!A2284</f>
        <v>267i</v>
      </c>
      <c r="B2284" s="156" t="str">
        <f>'Reported burning'!B2284</f>
        <v>267i.7</v>
      </c>
      <c r="C2284" s="156" t="str">
        <f>'Reported burning'!C2284</f>
        <v>Human, deliberate</v>
      </c>
      <c r="D2284" s="156" t="str">
        <f>'Reported burning'!D2284</f>
        <v>Arson</v>
      </c>
      <c r="E2284" s="156" t="str">
        <f>'Reported burning'!E2284</f>
        <v>Mixed cropping-livestock small holder, Market-oriented</v>
      </c>
      <c r="F2284" s="156" t="str">
        <f>'Reported burning'!F2284</f>
        <v>ND</v>
      </c>
      <c r="G2284" s="156" t="str">
        <f>'Reported burning'!G2284</f>
        <v>ND</v>
      </c>
      <c r="H2284" s="156" t="str">
        <f>'Reported burning'!H2284</f>
        <v>Presence</v>
      </c>
      <c r="I2284" s="204"/>
      <c r="J2284" s="4" t="s">
        <v>2276</v>
      </c>
      <c r="K2284" s="4" t="s">
        <v>2276</v>
      </c>
      <c r="L2284" s="4" t="s">
        <v>2276</v>
      </c>
      <c r="M2284" s="4" t="s">
        <v>2276</v>
      </c>
      <c r="N2284" s="4" t="s">
        <v>2276</v>
      </c>
      <c r="O2284" s="4" t="s">
        <v>2276</v>
      </c>
      <c r="P2284" s="4" t="s">
        <v>2276</v>
      </c>
      <c r="Q2284" s="4" t="s">
        <v>2276</v>
      </c>
      <c r="R2284" s="4" t="s">
        <v>2276</v>
      </c>
      <c r="S2284" s="4" t="s">
        <v>2276</v>
      </c>
      <c r="T2284" s="4" t="s">
        <v>2276</v>
      </c>
      <c r="U2284" s="4" t="s">
        <v>2276</v>
      </c>
      <c r="V2284" s="4" t="s">
        <v>2276</v>
      </c>
      <c r="W2284" s="4" t="s">
        <v>2276</v>
      </c>
      <c r="X2284" s="4" t="s">
        <v>2276</v>
      </c>
      <c r="Y2284" s="4" t="s">
        <v>2276</v>
      </c>
      <c r="Z2284" s="4" t="s">
        <v>2276</v>
      </c>
      <c r="AA2284" s="204"/>
      <c r="AB2284" s="204"/>
    </row>
    <row r="2285" spans="1:28" s="203" customFormat="1" ht="46" customHeight="1">
      <c r="A2285" s="156" t="str">
        <f>'Reported burning'!A2285</f>
        <v>267j</v>
      </c>
      <c r="B2285" s="156" t="str">
        <f>'Reported burning'!B2285</f>
        <v>267j.1</v>
      </c>
      <c r="C2285" s="156" t="str">
        <f>'Reported burning'!C2285</f>
        <v>Human, escaped</v>
      </c>
      <c r="D2285" s="156" t="str">
        <f>'Reported burning'!D2285</f>
        <v>Crop residue burning</v>
      </c>
      <c r="E2285" s="156" t="str">
        <f>'Reported burning'!E2285</f>
        <v>Mixed cropping-livestock small holder, Market-oriented</v>
      </c>
      <c r="F2285" s="156" t="str">
        <f>'Reported burning'!F2285</f>
        <v>Cropland</v>
      </c>
      <c r="G2285" s="156" t="str">
        <f>'Reported burning'!G2285</f>
        <v>Forest</v>
      </c>
      <c r="H2285" s="156" t="str">
        <f>'Reported burning'!H2285</f>
        <v>Presence</v>
      </c>
      <c r="I2285" s="204"/>
      <c r="J2285" s="4" t="s">
        <v>2276</v>
      </c>
      <c r="K2285" s="4" t="s">
        <v>2276</v>
      </c>
      <c r="L2285" s="4" t="s">
        <v>2276</v>
      </c>
      <c r="M2285" s="4" t="s">
        <v>2276</v>
      </c>
      <c r="N2285" s="4" t="s">
        <v>2276</v>
      </c>
      <c r="O2285" s="4" t="s">
        <v>2276</v>
      </c>
      <c r="P2285" s="4" t="s">
        <v>2276</v>
      </c>
      <c r="Q2285" s="4" t="s">
        <v>2276</v>
      </c>
      <c r="R2285" s="4" t="s">
        <v>2276</v>
      </c>
      <c r="S2285" s="4" t="s">
        <v>2276</v>
      </c>
      <c r="T2285" s="4" t="s">
        <v>2276</v>
      </c>
      <c r="U2285" s="4" t="s">
        <v>2276</v>
      </c>
      <c r="V2285" s="4" t="s">
        <v>2276</v>
      </c>
      <c r="W2285" s="4" t="s">
        <v>2276</v>
      </c>
      <c r="X2285" s="4" t="s">
        <v>2276</v>
      </c>
      <c r="Y2285" s="4" t="s">
        <v>2276</v>
      </c>
      <c r="Z2285" s="4" t="s">
        <v>2276</v>
      </c>
      <c r="AA2285" s="204"/>
      <c r="AB2285" s="204"/>
    </row>
    <row r="2286" spans="1:28" s="203" customFormat="1" ht="46" customHeight="1">
      <c r="A2286" s="156" t="str">
        <f>'Reported burning'!A2286</f>
        <v>267j</v>
      </c>
      <c r="B2286" s="156" t="str">
        <f>'Reported burning'!B2286</f>
        <v>267j.2</v>
      </c>
      <c r="C2286" s="156" t="str">
        <f>'Reported burning'!C2286</f>
        <v>Human, escaped</v>
      </c>
      <c r="D2286" s="156" t="str">
        <f>'Reported burning'!D2286</f>
        <v>Forest clearance</v>
      </c>
      <c r="E2286" s="156" t="str">
        <f>'Reported burning'!E2286</f>
        <v>Mixed cropping-livestock small holder, Market-oriented</v>
      </c>
      <c r="F2286" s="156" t="str">
        <f>'Reported burning'!F2286</f>
        <v>Cropland</v>
      </c>
      <c r="G2286" s="156" t="str">
        <f>'Reported burning'!G2286</f>
        <v>Forest</v>
      </c>
      <c r="H2286" s="156" t="str">
        <f>'Reported burning'!H2286</f>
        <v>Absence</v>
      </c>
      <c r="I2286" s="204"/>
      <c r="J2286" s="4">
        <v>0</v>
      </c>
      <c r="K2286" s="4">
        <v>0</v>
      </c>
      <c r="L2286" s="4">
        <v>0</v>
      </c>
      <c r="M2286" s="4">
        <v>0</v>
      </c>
      <c r="N2286" s="4">
        <v>0</v>
      </c>
      <c r="O2286" s="4">
        <v>0</v>
      </c>
      <c r="P2286" s="4">
        <v>0</v>
      </c>
      <c r="Q2286" s="4">
        <v>0</v>
      </c>
      <c r="R2286" s="4">
        <v>0</v>
      </c>
      <c r="S2286" s="4">
        <v>0</v>
      </c>
      <c r="T2286" s="4">
        <v>0</v>
      </c>
      <c r="U2286" s="4">
        <v>0</v>
      </c>
      <c r="V2286" s="4">
        <v>0</v>
      </c>
      <c r="W2286" s="4">
        <v>0</v>
      </c>
      <c r="X2286" s="4">
        <v>0</v>
      </c>
      <c r="Y2286" s="4" t="s">
        <v>2276</v>
      </c>
      <c r="Z2286" s="4" t="s">
        <v>2276</v>
      </c>
      <c r="AA2286" s="204"/>
      <c r="AB2286" s="204"/>
    </row>
    <row r="2287" spans="1:28" s="203" customFormat="1" ht="46" customHeight="1">
      <c r="A2287" s="156" t="str">
        <f>'Reported burning'!A2287</f>
        <v>267j</v>
      </c>
      <c r="B2287" s="156" t="str">
        <f>'Reported burning'!B2287</f>
        <v>267j.3</v>
      </c>
      <c r="C2287" s="156" t="str">
        <f>'Reported burning'!C2287</f>
        <v>Human, deliberate</v>
      </c>
      <c r="D2287" s="156" t="str">
        <f>'Reported burning'!D2287</f>
        <v>Crop residue burning</v>
      </c>
      <c r="E2287" s="156" t="str">
        <f>'Reported burning'!E2287</f>
        <v>Mixed cropping-livestock small holder, Market-oriented</v>
      </c>
      <c r="F2287" s="156" t="str">
        <f>'Reported burning'!F2287</f>
        <v>Cropland</v>
      </c>
      <c r="G2287" s="156" t="str">
        <f>'Reported burning'!G2287</f>
        <v>Cropland</v>
      </c>
      <c r="H2287" s="156" t="str">
        <f>'Reported burning'!H2287</f>
        <v>Presence</v>
      </c>
      <c r="I2287" s="204"/>
      <c r="J2287" s="4" t="s">
        <v>2276</v>
      </c>
      <c r="K2287" s="4" t="s">
        <v>2276</v>
      </c>
      <c r="L2287" s="4" t="s">
        <v>2276</v>
      </c>
      <c r="M2287" s="4" t="s">
        <v>2276</v>
      </c>
      <c r="N2287" s="4" t="s">
        <v>2276</v>
      </c>
      <c r="O2287" s="4" t="s">
        <v>2276</v>
      </c>
      <c r="P2287" s="4" t="s">
        <v>2276</v>
      </c>
      <c r="Q2287" s="4" t="s">
        <v>2276</v>
      </c>
      <c r="R2287" s="4" t="s">
        <v>2276</v>
      </c>
      <c r="S2287" s="4" t="s">
        <v>2276</v>
      </c>
      <c r="T2287" s="4" t="s">
        <v>2276</v>
      </c>
      <c r="U2287" s="4" t="s">
        <v>2276</v>
      </c>
      <c r="V2287" s="4" t="s">
        <v>2276</v>
      </c>
      <c r="W2287" s="4" t="s">
        <v>2276</v>
      </c>
      <c r="X2287" s="4" t="s">
        <v>2276</v>
      </c>
      <c r="Y2287" s="4" t="s">
        <v>2276</v>
      </c>
      <c r="Z2287" s="4" t="s">
        <v>2276</v>
      </c>
      <c r="AA2287" s="204"/>
      <c r="AB2287" s="204"/>
    </row>
    <row r="2288" spans="1:28" s="203" customFormat="1" ht="46" customHeight="1">
      <c r="A2288" s="156" t="str">
        <f>'Reported burning'!A2288</f>
        <v>267j</v>
      </c>
      <c r="B2288" s="156" t="str">
        <f>'Reported burning'!B2288</f>
        <v>267j.4</v>
      </c>
      <c r="C2288" s="156" t="str">
        <f>'Reported burning'!C2288</f>
        <v>Human, deliberate</v>
      </c>
      <c r="D2288" s="156" t="str">
        <f>'Reported burning'!D2288</f>
        <v>Forest clearance</v>
      </c>
      <c r="E2288" s="156" t="str">
        <f>'Reported burning'!E2288</f>
        <v>Mixed cropping-livestock small holder, Market-oriented</v>
      </c>
      <c r="F2288" s="156" t="str">
        <f>'Reported burning'!F2288</f>
        <v>Cropland</v>
      </c>
      <c r="G2288" s="156" t="str">
        <f>'Reported burning'!G2288</f>
        <v>Cropland</v>
      </c>
      <c r="H2288" s="156" t="str">
        <f>'Reported burning'!H2288</f>
        <v>Absence</v>
      </c>
      <c r="I2288" s="204"/>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t="s">
        <v>2276</v>
      </c>
      <c r="Z2288" s="4" t="s">
        <v>2276</v>
      </c>
      <c r="AA2288" s="204"/>
      <c r="AB2288" s="204"/>
    </row>
    <row r="2289" spans="1:28" s="203" customFormat="1" ht="46" customHeight="1">
      <c r="A2289" s="156" t="str">
        <f>'Reported burning'!A2289</f>
        <v>267j</v>
      </c>
      <c r="B2289" s="156" t="str">
        <f>'Reported burning'!B2289</f>
        <v>267j.5</v>
      </c>
      <c r="C2289" s="156" t="str">
        <f>'Reported burning'!C2289</f>
        <v>Human, escaped</v>
      </c>
      <c r="D2289" s="156" t="str">
        <f>'Reported burning'!D2289</f>
        <v>Pasture renewal</v>
      </c>
      <c r="E2289" s="156" t="str">
        <f>'Reported burning'!E2289</f>
        <v>Mixed cropping-livestock small holder, Market-oriented</v>
      </c>
      <c r="F2289" s="156" t="str">
        <f>'Reported burning'!F2289</f>
        <v>Pasture</v>
      </c>
      <c r="G2289" s="156" t="str">
        <f>'Reported burning'!G2289</f>
        <v>Cropland</v>
      </c>
      <c r="H2289" s="156" t="str">
        <f>'Reported burning'!H2289</f>
        <v>Presence</v>
      </c>
      <c r="I2289" s="204"/>
      <c r="J2289" s="4" t="s">
        <v>2276</v>
      </c>
      <c r="K2289" s="4" t="s">
        <v>2276</v>
      </c>
      <c r="L2289" s="4" t="s">
        <v>2276</v>
      </c>
      <c r="M2289" s="4" t="s">
        <v>2276</v>
      </c>
      <c r="N2289" s="4" t="s">
        <v>2276</v>
      </c>
      <c r="O2289" s="4" t="s">
        <v>2276</v>
      </c>
      <c r="P2289" s="4" t="s">
        <v>2276</v>
      </c>
      <c r="Q2289" s="4" t="s">
        <v>2276</v>
      </c>
      <c r="R2289" s="4" t="s">
        <v>2276</v>
      </c>
      <c r="S2289" s="4" t="s">
        <v>2276</v>
      </c>
      <c r="T2289" s="4" t="s">
        <v>2276</v>
      </c>
      <c r="U2289" s="4" t="s">
        <v>2276</v>
      </c>
      <c r="V2289" s="4" t="s">
        <v>2276</v>
      </c>
      <c r="W2289" s="4" t="s">
        <v>2276</v>
      </c>
      <c r="X2289" s="4" t="s">
        <v>2276</v>
      </c>
      <c r="Y2289" s="4" t="s">
        <v>2276</v>
      </c>
      <c r="Z2289" s="4" t="s">
        <v>2276</v>
      </c>
      <c r="AA2289" s="204"/>
      <c r="AB2289" s="204"/>
    </row>
    <row r="2290" spans="1:28" s="203" customFormat="1" ht="46" customHeight="1">
      <c r="A2290" s="156" t="str">
        <f>'Reported burning'!A2290</f>
        <v>267j</v>
      </c>
      <c r="B2290" s="156" t="str">
        <f>'Reported burning'!B2290</f>
        <v>267j.6</v>
      </c>
      <c r="C2290" s="156" t="str">
        <f>'Reported burning'!C2290</f>
        <v>Human, deliberate</v>
      </c>
      <c r="D2290" s="156" t="str">
        <f>'Reported burning'!D2290</f>
        <v>Pasture renewal</v>
      </c>
      <c r="E2290" s="156" t="str">
        <f>'Reported burning'!E2290</f>
        <v>Mixed cropping-livestock small holder, Market-oriented</v>
      </c>
      <c r="F2290" s="156" t="str">
        <f>'Reported burning'!F2290</f>
        <v>Pasture</v>
      </c>
      <c r="G2290" s="156" t="str">
        <f>'Reported burning'!G2290</f>
        <v>Cropland</v>
      </c>
      <c r="H2290" s="156" t="str">
        <f>'Reported burning'!H2290</f>
        <v>Presence</v>
      </c>
      <c r="I2290" s="204"/>
      <c r="J2290" s="4" t="s">
        <v>2276</v>
      </c>
      <c r="K2290" s="4" t="s">
        <v>2276</v>
      </c>
      <c r="L2290" s="4" t="s">
        <v>2276</v>
      </c>
      <c r="M2290" s="4" t="s">
        <v>2276</v>
      </c>
      <c r="N2290" s="4" t="s">
        <v>2276</v>
      </c>
      <c r="O2290" s="4" t="s">
        <v>2276</v>
      </c>
      <c r="P2290" s="4" t="s">
        <v>2276</v>
      </c>
      <c r="Q2290" s="4" t="s">
        <v>2276</v>
      </c>
      <c r="R2290" s="4" t="s">
        <v>2276</v>
      </c>
      <c r="S2290" s="4" t="s">
        <v>2276</v>
      </c>
      <c r="T2290" s="4" t="s">
        <v>2276</v>
      </c>
      <c r="U2290" s="4" t="s">
        <v>2276</v>
      </c>
      <c r="V2290" s="4" t="s">
        <v>2276</v>
      </c>
      <c r="W2290" s="4" t="s">
        <v>2276</v>
      </c>
      <c r="X2290" s="4" t="s">
        <v>2276</v>
      </c>
      <c r="Y2290" s="4" t="s">
        <v>2276</v>
      </c>
      <c r="Z2290" s="4" t="s">
        <v>2276</v>
      </c>
      <c r="AA2290" s="204"/>
      <c r="AB2290" s="204"/>
    </row>
    <row r="2291" spans="1:28" s="203" customFormat="1" ht="46" customHeight="1">
      <c r="A2291" s="156" t="str">
        <f>'Reported burning'!A2291</f>
        <v>267j</v>
      </c>
      <c r="B2291" s="156" t="str">
        <f>'Reported burning'!B2291</f>
        <v>267j.7</v>
      </c>
      <c r="C2291" s="156" t="str">
        <f>'Reported burning'!C2291</f>
        <v>Human, deliberate</v>
      </c>
      <c r="D2291" s="156" t="str">
        <f>'Reported burning'!D2291</f>
        <v>Arson</v>
      </c>
      <c r="E2291" s="156" t="str">
        <f>'Reported burning'!E2291</f>
        <v>Mixed cropping-livestock small holder, Market-oriented</v>
      </c>
      <c r="F2291" s="156" t="str">
        <f>'Reported burning'!F2291</f>
        <v>ND</v>
      </c>
      <c r="G2291" s="156" t="str">
        <f>'Reported burning'!G2291</f>
        <v>ND</v>
      </c>
      <c r="H2291" s="156" t="str">
        <f>'Reported burning'!H2291</f>
        <v>Presence</v>
      </c>
      <c r="I2291" s="204"/>
      <c r="J2291" s="4" t="s">
        <v>2276</v>
      </c>
      <c r="K2291" s="4" t="s">
        <v>2276</v>
      </c>
      <c r="L2291" s="4" t="s">
        <v>2276</v>
      </c>
      <c r="M2291" s="4" t="s">
        <v>2276</v>
      </c>
      <c r="N2291" s="4" t="s">
        <v>2276</v>
      </c>
      <c r="O2291" s="4" t="s">
        <v>2276</v>
      </c>
      <c r="P2291" s="4" t="s">
        <v>2276</v>
      </c>
      <c r="Q2291" s="4" t="s">
        <v>2276</v>
      </c>
      <c r="R2291" s="4" t="s">
        <v>2276</v>
      </c>
      <c r="S2291" s="4" t="s">
        <v>2276</v>
      </c>
      <c r="T2291" s="4" t="s">
        <v>2276</v>
      </c>
      <c r="U2291" s="4" t="s">
        <v>2276</v>
      </c>
      <c r="V2291" s="4" t="s">
        <v>2276</v>
      </c>
      <c r="W2291" s="4" t="s">
        <v>2276</v>
      </c>
      <c r="X2291" s="4" t="s">
        <v>2276</v>
      </c>
      <c r="Y2291" s="4" t="s">
        <v>2276</v>
      </c>
      <c r="Z2291" s="4" t="s">
        <v>2276</v>
      </c>
      <c r="AA2291" s="204"/>
      <c r="AB2291" s="204"/>
    </row>
    <row r="2292" spans="1:28" s="203" customFormat="1" ht="46" customHeight="1">
      <c r="A2292" s="156" t="str">
        <f>'Reported burning'!A2292</f>
        <v>267k</v>
      </c>
      <c r="B2292" s="156" t="str">
        <f>'Reported burning'!B2292</f>
        <v>267k.1</v>
      </c>
      <c r="C2292" s="156" t="str">
        <f>'Reported burning'!C2292</f>
        <v>Human, escaped</v>
      </c>
      <c r="D2292" s="156" t="str">
        <f>'Reported burning'!D2292</f>
        <v>Crop residue burning</v>
      </c>
      <c r="E2292" s="156" t="str">
        <f>'Reported burning'!E2292</f>
        <v>Mixed cropping-livestock small holder, Market-oriented</v>
      </c>
      <c r="F2292" s="156" t="str">
        <f>'Reported burning'!F2292</f>
        <v>Cropland</v>
      </c>
      <c r="G2292" s="156" t="str">
        <f>'Reported burning'!G2292</f>
        <v>Forest</v>
      </c>
      <c r="H2292" s="156" t="str">
        <f>'Reported burning'!H2292</f>
        <v>Presence</v>
      </c>
      <c r="I2292" s="204"/>
      <c r="J2292" s="4" t="s">
        <v>2276</v>
      </c>
      <c r="K2292" s="4" t="s">
        <v>2276</v>
      </c>
      <c r="L2292" s="4" t="s">
        <v>2276</v>
      </c>
      <c r="M2292" s="4" t="s">
        <v>2276</v>
      </c>
      <c r="N2292" s="4" t="s">
        <v>2276</v>
      </c>
      <c r="O2292" s="4" t="s">
        <v>2276</v>
      </c>
      <c r="P2292" s="4" t="s">
        <v>2276</v>
      </c>
      <c r="Q2292" s="4" t="s">
        <v>2276</v>
      </c>
      <c r="R2292" s="4" t="s">
        <v>2276</v>
      </c>
      <c r="S2292" s="4" t="s">
        <v>2276</v>
      </c>
      <c r="T2292" s="4" t="s">
        <v>2276</v>
      </c>
      <c r="U2292" s="4" t="s">
        <v>2276</v>
      </c>
      <c r="V2292" s="4" t="s">
        <v>2276</v>
      </c>
      <c r="W2292" s="4" t="s">
        <v>2276</v>
      </c>
      <c r="X2292" s="4" t="s">
        <v>2276</v>
      </c>
      <c r="Y2292" s="4" t="s">
        <v>2276</v>
      </c>
      <c r="Z2292" s="4" t="s">
        <v>2276</v>
      </c>
      <c r="AA2292" s="204"/>
      <c r="AB2292" s="204"/>
    </row>
    <row r="2293" spans="1:28" s="203" customFormat="1" ht="46" customHeight="1">
      <c r="A2293" s="156" t="str">
        <f>'Reported burning'!A2293</f>
        <v>267k</v>
      </c>
      <c r="B2293" s="156" t="str">
        <f>'Reported burning'!B2293</f>
        <v>267k.2</v>
      </c>
      <c r="C2293" s="156" t="str">
        <f>'Reported burning'!C2293</f>
        <v>Human, escaped</v>
      </c>
      <c r="D2293" s="156" t="str">
        <f>'Reported burning'!D2293</f>
        <v>Forest clearance</v>
      </c>
      <c r="E2293" s="156" t="str">
        <f>'Reported burning'!E2293</f>
        <v>Mixed cropping-livestock small holder, Market-oriented</v>
      </c>
      <c r="F2293" s="156" t="str">
        <f>'Reported burning'!F2293</f>
        <v>Cropland</v>
      </c>
      <c r="G2293" s="156" t="str">
        <f>'Reported burning'!G2293</f>
        <v>Forest</v>
      </c>
      <c r="H2293" s="156" t="str">
        <f>'Reported burning'!H2293</f>
        <v>Absence</v>
      </c>
      <c r="I2293" s="204"/>
      <c r="J2293" s="4">
        <v>0</v>
      </c>
      <c r="K2293" s="4">
        <v>0</v>
      </c>
      <c r="L2293" s="4">
        <v>0</v>
      </c>
      <c r="M2293" s="4">
        <v>0</v>
      </c>
      <c r="N2293" s="4">
        <v>0</v>
      </c>
      <c r="O2293" s="4">
        <v>0</v>
      </c>
      <c r="P2293" s="4">
        <v>0</v>
      </c>
      <c r="Q2293" s="4">
        <v>0</v>
      </c>
      <c r="R2293" s="4">
        <v>0</v>
      </c>
      <c r="S2293" s="4">
        <v>0</v>
      </c>
      <c r="T2293" s="4">
        <v>0</v>
      </c>
      <c r="U2293" s="4">
        <v>0</v>
      </c>
      <c r="V2293" s="4">
        <v>0</v>
      </c>
      <c r="W2293" s="4">
        <v>0</v>
      </c>
      <c r="X2293" s="4">
        <v>0</v>
      </c>
      <c r="Y2293" s="4" t="s">
        <v>2276</v>
      </c>
      <c r="Z2293" s="4" t="s">
        <v>2276</v>
      </c>
      <c r="AA2293" s="204"/>
      <c r="AB2293" s="204"/>
    </row>
    <row r="2294" spans="1:28" s="203" customFormat="1" ht="46" customHeight="1">
      <c r="A2294" s="156" t="str">
        <f>'Reported burning'!A2294</f>
        <v>267k</v>
      </c>
      <c r="B2294" s="156" t="str">
        <f>'Reported burning'!B2294</f>
        <v>267k.3</v>
      </c>
      <c r="C2294" s="156" t="str">
        <f>'Reported burning'!C2294</f>
        <v>Human, deliberate</v>
      </c>
      <c r="D2294" s="156" t="str">
        <f>'Reported burning'!D2294</f>
        <v>Crop residue burning</v>
      </c>
      <c r="E2294" s="156" t="str">
        <f>'Reported burning'!E2294</f>
        <v>Mixed cropping-livestock small holder, Market-oriented</v>
      </c>
      <c r="F2294" s="156" t="str">
        <f>'Reported burning'!F2294</f>
        <v>Cropland</v>
      </c>
      <c r="G2294" s="156" t="str">
        <f>'Reported burning'!G2294</f>
        <v>Cropland</v>
      </c>
      <c r="H2294" s="156" t="str">
        <f>'Reported burning'!H2294</f>
        <v>Presence</v>
      </c>
      <c r="I2294" s="204"/>
      <c r="J2294" s="4" t="s">
        <v>2276</v>
      </c>
      <c r="K2294" s="4" t="s">
        <v>2276</v>
      </c>
      <c r="L2294" s="4" t="s">
        <v>2276</v>
      </c>
      <c r="M2294" s="4" t="s">
        <v>2276</v>
      </c>
      <c r="N2294" s="4" t="s">
        <v>2276</v>
      </c>
      <c r="O2294" s="4" t="s">
        <v>2276</v>
      </c>
      <c r="P2294" s="4" t="s">
        <v>2276</v>
      </c>
      <c r="Q2294" s="4" t="s">
        <v>2276</v>
      </c>
      <c r="R2294" s="4" t="s">
        <v>2276</v>
      </c>
      <c r="S2294" s="4" t="s">
        <v>2276</v>
      </c>
      <c r="T2294" s="4" t="s">
        <v>2276</v>
      </c>
      <c r="U2294" s="4" t="s">
        <v>2276</v>
      </c>
      <c r="V2294" s="4" t="s">
        <v>2276</v>
      </c>
      <c r="W2294" s="4" t="s">
        <v>2276</v>
      </c>
      <c r="X2294" s="4" t="s">
        <v>2276</v>
      </c>
      <c r="Y2294" s="4" t="s">
        <v>2276</v>
      </c>
      <c r="Z2294" s="4" t="s">
        <v>2276</v>
      </c>
      <c r="AA2294" s="204"/>
      <c r="AB2294" s="204"/>
    </row>
    <row r="2295" spans="1:28" s="203" customFormat="1" ht="46" customHeight="1">
      <c r="A2295" s="156" t="str">
        <f>'Reported burning'!A2295</f>
        <v>267k</v>
      </c>
      <c r="B2295" s="156" t="str">
        <f>'Reported burning'!B2295</f>
        <v>267k.4</v>
      </c>
      <c r="C2295" s="156" t="str">
        <f>'Reported burning'!C2295</f>
        <v>Human, deliberate</v>
      </c>
      <c r="D2295" s="156" t="str">
        <f>'Reported burning'!D2295</f>
        <v>Forest clearance</v>
      </c>
      <c r="E2295" s="156" t="str">
        <f>'Reported burning'!E2295</f>
        <v>Mixed cropping-livestock small holder, Market-oriented</v>
      </c>
      <c r="F2295" s="156" t="str">
        <f>'Reported burning'!F2295</f>
        <v>Cropland</v>
      </c>
      <c r="G2295" s="156" t="str">
        <f>'Reported burning'!G2295</f>
        <v>Cropland</v>
      </c>
      <c r="H2295" s="156" t="str">
        <f>'Reported burning'!H2295</f>
        <v>Absence</v>
      </c>
      <c r="I2295" s="204"/>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t="s">
        <v>2276</v>
      </c>
      <c r="Z2295" s="4" t="s">
        <v>2276</v>
      </c>
      <c r="AA2295" s="204"/>
      <c r="AB2295" s="204"/>
    </row>
    <row r="2296" spans="1:28" s="203" customFormat="1" ht="46" customHeight="1">
      <c r="A2296" s="156" t="str">
        <f>'Reported burning'!A2296</f>
        <v>267k</v>
      </c>
      <c r="B2296" s="156" t="str">
        <f>'Reported burning'!B2296</f>
        <v>267k.5</v>
      </c>
      <c r="C2296" s="156" t="str">
        <f>'Reported burning'!C2296</f>
        <v>Human, escaped</v>
      </c>
      <c r="D2296" s="156" t="str">
        <f>'Reported burning'!D2296</f>
        <v>Pasture renewal</v>
      </c>
      <c r="E2296" s="156" t="str">
        <f>'Reported burning'!E2296</f>
        <v>Mixed cropping-livestock small holder, Market-oriented</v>
      </c>
      <c r="F2296" s="156" t="str">
        <f>'Reported burning'!F2296</f>
        <v>Pasture</v>
      </c>
      <c r="G2296" s="156" t="str">
        <f>'Reported burning'!G2296</f>
        <v>Cropland</v>
      </c>
      <c r="H2296" s="156" t="str">
        <f>'Reported burning'!H2296</f>
        <v>Presence</v>
      </c>
      <c r="I2296" s="204"/>
      <c r="J2296" s="4" t="s">
        <v>2276</v>
      </c>
      <c r="K2296" s="4" t="s">
        <v>2276</v>
      </c>
      <c r="L2296" s="4" t="s">
        <v>2276</v>
      </c>
      <c r="M2296" s="4" t="s">
        <v>2276</v>
      </c>
      <c r="N2296" s="4" t="s">
        <v>2276</v>
      </c>
      <c r="O2296" s="4" t="s">
        <v>2276</v>
      </c>
      <c r="P2296" s="4" t="s">
        <v>2276</v>
      </c>
      <c r="Q2296" s="4" t="s">
        <v>2276</v>
      </c>
      <c r="R2296" s="4" t="s">
        <v>2276</v>
      </c>
      <c r="S2296" s="4" t="s">
        <v>2276</v>
      </c>
      <c r="T2296" s="4" t="s">
        <v>2276</v>
      </c>
      <c r="U2296" s="4" t="s">
        <v>2276</v>
      </c>
      <c r="V2296" s="4" t="s">
        <v>2276</v>
      </c>
      <c r="W2296" s="4" t="s">
        <v>2276</v>
      </c>
      <c r="X2296" s="4" t="s">
        <v>2276</v>
      </c>
      <c r="Y2296" s="4" t="s">
        <v>2276</v>
      </c>
      <c r="Z2296" s="4" t="s">
        <v>2276</v>
      </c>
      <c r="AA2296" s="204"/>
      <c r="AB2296" s="204"/>
    </row>
    <row r="2297" spans="1:28" s="203" customFormat="1" ht="46" customHeight="1">
      <c r="A2297" s="156" t="str">
        <f>'Reported burning'!A2297</f>
        <v>267k</v>
      </c>
      <c r="B2297" s="156" t="str">
        <f>'Reported burning'!B2297</f>
        <v>267k.6</v>
      </c>
      <c r="C2297" s="156" t="str">
        <f>'Reported burning'!C2297</f>
        <v>Human, deliberate</v>
      </c>
      <c r="D2297" s="156" t="str">
        <f>'Reported burning'!D2297</f>
        <v>Pasture renewal</v>
      </c>
      <c r="E2297" s="156" t="str">
        <f>'Reported burning'!E2297</f>
        <v>Mixed cropping-livestock small holder, Market-oriented</v>
      </c>
      <c r="F2297" s="156" t="str">
        <f>'Reported burning'!F2297</f>
        <v>Pasture</v>
      </c>
      <c r="G2297" s="156" t="str">
        <f>'Reported burning'!G2297</f>
        <v>Cropland</v>
      </c>
      <c r="H2297" s="156" t="str">
        <f>'Reported burning'!H2297</f>
        <v>Presence</v>
      </c>
      <c r="I2297" s="204"/>
      <c r="J2297" s="4" t="s">
        <v>2276</v>
      </c>
      <c r="K2297" s="4" t="s">
        <v>2276</v>
      </c>
      <c r="L2297" s="4" t="s">
        <v>2276</v>
      </c>
      <c r="M2297" s="4" t="s">
        <v>2276</v>
      </c>
      <c r="N2297" s="4" t="s">
        <v>2276</v>
      </c>
      <c r="O2297" s="4" t="s">
        <v>2276</v>
      </c>
      <c r="P2297" s="4" t="s">
        <v>2276</v>
      </c>
      <c r="Q2297" s="4" t="s">
        <v>2276</v>
      </c>
      <c r="R2297" s="4" t="s">
        <v>2276</v>
      </c>
      <c r="S2297" s="4" t="s">
        <v>2276</v>
      </c>
      <c r="T2297" s="4" t="s">
        <v>2276</v>
      </c>
      <c r="U2297" s="4" t="s">
        <v>2276</v>
      </c>
      <c r="V2297" s="4" t="s">
        <v>2276</v>
      </c>
      <c r="W2297" s="4" t="s">
        <v>2276</v>
      </c>
      <c r="X2297" s="4" t="s">
        <v>2276</v>
      </c>
      <c r="Y2297" s="4" t="s">
        <v>2276</v>
      </c>
      <c r="Z2297" s="4" t="s">
        <v>2276</v>
      </c>
      <c r="AA2297" s="204"/>
      <c r="AB2297" s="204"/>
    </row>
    <row r="2298" spans="1:28" s="203" customFormat="1" ht="46" customHeight="1">
      <c r="A2298" s="156" t="str">
        <f>'Reported burning'!A2298</f>
        <v>267k</v>
      </c>
      <c r="B2298" s="156" t="str">
        <f>'Reported burning'!B2298</f>
        <v>267k.7</v>
      </c>
      <c r="C2298" s="156" t="str">
        <f>'Reported burning'!C2298</f>
        <v>Human, deliberate</v>
      </c>
      <c r="D2298" s="156" t="str">
        <f>'Reported burning'!D2298</f>
        <v>Arson</v>
      </c>
      <c r="E2298" s="156" t="str">
        <f>'Reported burning'!E2298</f>
        <v>Mixed cropping-livestock small holder, Market-oriented</v>
      </c>
      <c r="F2298" s="156" t="str">
        <f>'Reported burning'!F2298</f>
        <v>ND</v>
      </c>
      <c r="G2298" s="156" t="str">
        <f>'Reported burning'!G2298</f>
        <v>ND</v>
      </c>
      <c r="H2298" s="156" t="str">
        <f>'Reported burning'!H2298</f>
        <v>Presence</v>
      </c>
      <c r="I2298" s="204"/>
      <c r="J2298" s="4" t="s">
        <v>2276</v>
      </c>
      <c r="K2298" s="4" t="s">
        <v>2276</v>
      </c>
      <c r="L2298" s="4" t="s">
        <v>2276</v>
      </c>
      <c r="M2298" s="4" t="s">
        <v>2276</v>
      </c>
      <c r="N2298" s="4" t="s">
        <v>2276</v>
      </c>
      <c r="O2298" s="4" t="s">
        <v>2276</v>
      </c>
      <c r="P2298" s="4" t="s">
        <v>2276</v>
      </c>
      <c r="Q2298" s="4" t="s">
        <v>2276</v>
      </c>
      <c r="R2298" s="4" t="s">
        <v>2276</v>
      </c>
      <c r="S2298" s="4" t="s">
        <v>2276</v>
      </c>
      <c r="T2298" s="4" t="s">
        <v>2276</v>
      </c>
      <c r="U2298" s="4" t="s">
        <v>2276</v>
      </c>
      <c r="V2298" s="4" t="s">
        <v>2276</v>
      </c>
      <c r="W2298" s="4" t="s">
        <v>2276</v>
      </c>
      <c r="X2298" s="4" t="s">
        <v>2276</v>
      </c>
      <c r="Y2298" s="4" t="s">
        <v>2276</v>
      </c>
      <c r="Z2298" s="4" t="s">
        <v>2276</v>
      </c>
      <c r="AA2298" s="204"/>
      <c r="AB2298" s="204"/>
    </row>
    <row r="2299" spans="1:28" s="203" customFormat="1" ht="46" customHeight="1">
      <c r="A2299" s="156" t="str">
        <f>'Reported burning'!A2299</f>
        <v>267l</v>
      </c>
      <c r="B2299" s="156" t="str">
        <f>'Reported burning'!B2299</f>
        <v>267l.1</v>
      </c>
      <c r="C2299" s="156" t="str">
        <f>'Reported burning'!C2299</f>
        <v>Human, escaped</v>
      </c>
      <c r="D2299" s="156" t="str">
        <f>'Reported burning'!D2299</f>
        <v>Crop residue burning</v>
      </c>
      <c r="E2299" s="156" t="str">
        <f>'Reported burning'!E2299</f>
        <v>Mixed cropping-livestock small holder, Market-oriented</v>
      </c>
      <c r="F2299" s="156" t="str">
        <f>'Reported burning'!F2299</f>
        <v>Cropland</v>
      </c>
      <c r="G2299" s="156" t="str">
        <f>'Reported burning'!G2299</f>
        <v>Forest</v>
      </c>
      <c r="H2299" s="156" t="str">
        <f>'Reported burning'!H2299</f>
        <v>Presence</v>
      </c>
      <c r="I2299" s="204"/>
      <c r="J2299" s="4" t="s">
        <v>2276</v>
      </c>
      <c r="K2299" s="4" t="s">
        <v>2276</v>
      </c>
      <c r="L2299" s="4" t="s">
        <v>2276</v>
      </c>
      <c r="M2299" s="4" t="s">
        <v>2276</v>
      </c>
      <c r="N2299" s="4" t="s">
        <v>2276</v>
      </c>
      <c r="O2299" s="4" t="s">
        <v>2276</v>
      </c>
      <c r="P2299" s="4" t="s">
        <v>2276</v>
      </c>
      <c r="Q2299" s="4" t="s">
        <v>2276</v>
      </c>
      <c r="R2299" s="4" t="s">
        <v>2276</v>
      </c>
      <c r="S2299" s="4" t="s">
        <v>2276</v>
      </c>
      <c r="T2299" s="4" t="s">
        <v>2276</v>
      </c>
      <c r="U2299" s="4" t="s">
        <v>2276</v>
      </c>
      <c r="V2299" s="4" t="s">
        <v>2276</v>
      </c>
      <c r="W2299" s="4" t="s">
        <v>2276</v>
      </c>
      <c r="X2299" s="4" t="s">
        <v>2276</v>
      </c>
      <c r="Y2299" s="4" t="s">
        <v>2276</v>
      </c>
      <c r="Z2299" s="4" t="s">
        <v>2276</v>
      </c>
      <c r="AA2299" s="204"/>
      <c r="AB2299" s="204"/>
    </row>
    <row r="2300" spans="1:28" s="203" customFormat="1" ht="46" customHeight="1">
      <c r="A2300" s="156" t="str">
        <f>'Reported burning'!A2300</f>
        <v>267l</v>
      </c>
      <c r="B2300" s="156" t="str">
        <f>'Reported burning'!B2300</f>
        <v>267l.2</v>
      </c>
      <c r="C2300" s="156" t="str">
        <f>'Reported burning'!C2300</f>
        <v>Human, escaped</v>
      </c>
      <c r="D2300" s="156" t="str">
        <f>'Reported burning'!D2300</f>
        <v>Forest clearance</v>
      </c>
      <c r="E2300" s="156" t="str">
        <f>'Reported burning'!E2300</f>
        <v>Mixed cropping-livestock small holder, Market-oriented</v>
      </c>
      <c r="F2300" s="156" t="str">
        <f>'Reported burning'!F2300</f>
        <v>Cropland</v>
      </c>
      <c r="G2300" s="156" t="str">
        <f>'Reported burning'!G2300</f>
        <v>Forest</v>
      </c>
      <c r="H2300" s="156" t="str">
        <f>'Reported burning'!H2300</f>
        <v>Absence</v>
      </c>
      <c r="I2300" s="204"/>
      <c r="J2300" s="4">
        <v>0</v>
      </c>
      <c r="K2300" s="4">
        <v>0</v>
      </c>
      <c r="L2300" s="4">
        <v>0</v>
      </c>
      <c r="M2300" s="4">
        <v>0</v>
      </c>
      <c r="N2300" s="4">
        <v>0</v>
      </c>
      <c r="O2300" s="4">
        <v>0</v>
      </c>
      <c r="P2300" s="4">
        <v>0</v>
      </c>
      <c r="Q2300" s="4">
        <v>0</v>
      </c>
      <c r="R2300" s="4">
        <v>0</v>
      </c>
      <c r="S2300" s="4">
        <v>0</v>
      </c>
      <c r="T2300" s="4">
        <v>0</v>
      </c>
      <c r="U2300" s="4">
        <v>0</v>
      </c>
      <c r="V2300" s="4">
        <v>0</v>
      </c>
      <c r="W2300" s="4">
        <v>0</v>
      </c>
      <c r="X2300" s="4">
        <v>0</v>
      </c>
      <c r="Y2300" s="4" t="s">
        <v>2276</v>
      </c>
      <c r="Z2300" s="4" t="s">
        <v>2276</v>
      </c>
      <c r="AA2300" s="204"/>
      <c r="AB2300" s="204"/>
    </row>
    <row r="2301" spans="1:28" s="203" customFormat="1" ht="46" customHeight="1">
      <c r="A2301" s="156" t="str">
        <f>'Reported burning'!A2301</f>
        <v>267l</v>
      </c>
      <c r="B2301" s="156" t="str">
        <f>'Reported burning'!B2301</f>
        <v>267l.3</v>
      </c>
      <c r="C2301" s="156" t="str">
        <f>'Reported burning'!C2301</f>
        <v>Human, deliberate</v>
      </c>
      <c r="D2301" s="156" t="str">
        <f>'Reported burning'!D2301</f>
        <v>Crop residue burning</v>
      </c>
      <c r="E2301" s="156" t="str">
        <f>'Reported burning'!E2301</f>
        <v>Mixed cropping-livestock small holder, Market-oriented</v>
      </c>
      <c r="F2301" s="156" t="str">
        <f>'Reported burning'!F2301</f>
        <v>Cropland</v>
      </c>
      <c r="G2301" s="156" t="str">
        <f>'Reported burning'!G2301</f>
        <v>Cropland</v>
      </c>
      <c r="H2301" s="156" t="str">
        <f>'Reported burning'!H2301</f>
        <v>Presence</v>
      </c>
      <c r="I2301" s="204"/>
      <c r="J2301" s="4" t="s">
        <v>2276</v>
      </c>
      <c r="K2301" s="4" t="s">
        <v>2276</v>
      </c>
      <c r="L2301" s="4" t="s">
        <v>2276</v>
      </c>
      <c r="M2301" s="4" t="s">
        <v>2276</v>
      </c>
      <c r="N2301" s="4" t="s">
        <v>2276</v>
      </c>
      <c r="O2301" s="4" t="s">
        <v>2276</v>
      </c>
      <c r="P2301" s="4" t="s">
        <v>2276</v>
      </c>
      <c r="Q2301" s="4" t="s">
        <v>2276</v>
      </c>
      <c r="R2301" s="4" t="s">
        <v>2276</v>
      </c>
      <c r="S2301" s="4" t="s">
        <v>2276</v>
      </c>
      <c r="T2301" s="4" t="s">
        <v>2276</v>
      </c>
      <c r="U2301" s="4" t="s">
        <v>2276</v>
      </c>
      <c r="V2301" s="4" t="s">
        <v>2276</v>
      </c>
      <c r="W2301" s="4" t="s">
        <v>2276</v>
      </c>
      <c r="X2301" s="4" t="s">
        <v>2276</v>
      </c>
      <c r="Y2301" s="4" t="s">
        <v>2276</v>
      </c>
      <c r="Z2301" s="4" t="s">
        <v>2276</v>
      </c>
      <c r="AA2301" s="204"/>
      <c r="AB2301" s="204"/>
    </row>
    <row r="2302" spans="1:28" s="203" customFormat="1" ht="46" customHeight="1">
      <c r="A2302" s="156" t="str">
        <f>'Reported burning'!A2302</f>
        <v>267l</v>
      </c>
      <c r="B2302" s="156" t="str">
        <f>'Reported burning'!B2302</f>
        <v>267l.4</v>
      </c>
      <c r="C2302" s="156" t="str">
        <f>'Reported burning'!C2302</f>
        <v>Human, deliberate</v>
      </c>
      <c r="D2302" s="156" t="str">
        <f>'Reported burning'!D2302</f>
        <v>Forest clearance</v>
      </c>
      <c r="E2302" s="156" t="str">
        <f>'Reported burning'!E2302</f>
        <v>Mixed cropping-livestock small holder, Market-oriented</v>
      </c>
      <c r="F2302" s="156" t="str">
        <f>'Reported burning'!F2302</f>
        <v>Cropland</v>
      </c>
      <c r="G2302" s="156" t="str">
        <f>'Reported burning'!G2302</f>
        <v>Cropland</v>
      </c>
      <c r="H2302" s="156" t="str">
        <f>'Reported burning'!H2302</f>
        <v>Absence</v>
      </c>
      <c r="I2302" s="204"/>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t="s">
        <v>2276</v>
      </c>
      <c r="Z2302" s="4" t="s">
        <v>2276</v>
      </c>
      <c r="AA2302" s="204"/>
      <c r="AB2302" s="204"/>
    </row>
    <row r="2303" spans="1:28" s="203" customFormat="1" ht="46" customHeight="1">
      <c r="A2303" s="156" t="str">
        <f>'Reported burning'!A2303</f>
        <v>267l</v>
      </c>
      <c r="B2303" s="156" t="str">
        <f>'Reported burning'!B2303</f>
        <v>267l.5</v>
      </c>
      <c r="C2303" s="156" t="str">
        <f>'Reported burning'!C2303</f>
        <v>Human, escaped</v>
      </c>
      <c r="D2303" s="156" t="str">
        <f>'Reported burning'!D2303</f>
        <v>Pasture renewal</v>
      </c>
      <c r="E2303" s="156" t="str">
        <f>'Reported burning'!E2303</f>
        <v>Mixed cropping-livestock small holder, Market-oriented</v>
      </c>
      <c r="F2303" s="156" t="str">
        <f>'Reported burning'!F2303</f>
        <v>Pasture</v>
      </c>
      <c r="G2303" s="156" t="str">
        <f>'Reported burning'!G2303</f>
        <v>Cropland</v>
      </c>
      <c r="H2303" s="156" t="str">
        <f>'Reported burning'!H2303</f>
        <v>Presence</v>
      </c>
      <c r="I2303" s="204"/>
      <c r="J2303" s="4" t="s">
        <v>2276</v>
      </c>
      <c r="K2303" s="4" t="s">
        <v>2276</v>
      </c>
      <c r="L2303" s="4" t="s">
        <v>2276</v>
      </c>
      <c r="M2303" s="4" t="s">
        <v>2276</v>
      </c>
      <c r="N2303" s="4" t="s">
        <v>2276</v>
      </c>
      <c r="O2303" s="4" t="s">
        <v>2276</v>
      </c>
      <c r="P2303" s="4" t="s">
        <v>2276</v>
      </c>
      <c r="Q2303" s="4" t="s">
        <v>2276</v>
      </c>
      <c r="R2303" s="4" t="s">
        <v>2276</v>
      </c>
      <c r="S2303" s="4" t="s">
        <v>2276</v>
      </c>
      <c r="T2303" s="4" t="s">
        <v>2276</v>
      </c>
      <c r="U2303" s="4" t="s">
        <v>2276</v>
      </c>
      <c r="V2303" s="4" t="s">
        <v>2276</v>
      </c>
      <c r="W2303" s="4" t="s">
        <v>2276</v>
      </c>
      <c r="X2303" s="4" t="s">
        <v>2276</v>
      </c>
      <c r="Y2303" s="4" t="s">
        <v>2276</v>
      </c>
      <c r="Z2303" s="4" t="s">
        <v>2276</v>
      </c>
      <c r="AA2303" s="204"/>
      <c r="AB2303" s="204"/>
    </row>
    <row r="2304" spans="1:28" s="203" customFormat="1" ht="46" customHeight="1">
      <c r="A2304" s="156" t="str">
        <f>'Reported burning'!A2304</f>
        <v>267l</v>
      </c>
      <c r="B2304" s="156" t="str">
        <f>'Reported burning'!B2304</f>
        <v>267l.6</v>
      </c>
      <c r="C2304" s="156" t="str">
        <f>'Reported burning'!C2304</f>
        <v>Human, deliberate</v>
      </c>
      <c r="D2304" s="156" t="str">
        <f>'Reported burning'!D2304</f>
        <v>Pasture renewal</v>
      </c>
      <c r="E2304" s="156" t="str">
        <f>'Reported burning'!E2304</f>
        <v>Mixed cropping-livestock small holder, Market-oriented</v>
      </c>
      <c r="F2304" s="156" t="str">
        <f>'Reported burning'!F2304</f>
        <v>Pasture</v>
      </c>
      <c r="G2304" s="156" t="str">
        <f>'Reported burning'!G2304</f>
        <v>Cropland</v>
      </c>
      <c r="H2304" s="156" t="str">
        <f>'Reported burning'!H2304</f>
        <v>Presence</v>
      </c>
      <c r="I2304" s="204"/>
      <c r="J2304" s="4" t="s">
        <v>2276</v>
      </c>
      <c r="K2304" s="4" t="s">
        <v>2276</v>
      </c>
      <c r="L2304" s="4" t="s">
        <v>2276</v>
      </c>
      <c r="M2304" s="4" t="s">
        <v>2276</v>
      </c>
      <c r="N2304" s="4" t="s">
        <v>2276</v>
      </c>
      <c r="O2304" s="4" t="s">
        <v>2276</v>
      </c>
      <c r="P2304" s="4" t="s">
        <v>2276</v>
      </c>
      <c r="Q2304" s="4" t="s">
        <v>2276</v>
      </c>
      <c r="R2304" s="4" t="s">
        <v>2276</v>
      </c>
      <c r="S2304" s="4" t="s">
        <v>2276</v>
      </c>
      <c r="T2304" s="4" t="s">
        <v>2276</v>
      </c>
      <c r="U2304" s="4" t="s">
        <v>2276</v>
      </c>
      <c r="V2304" s="4" t="s">
        <v>2276</v>
      </c>
      <c r="W2304" s="4" t="s">
        <v>2276</v>
      </c>
      <c r="X2304" s="4" t="s">
        <v>2276</v>
      </c>
      <c r="Y2304" s="4" t="s">
        <v>2276</v>
      </c>
      <c r="Z2304" s="4" t="s">
        <v>2276</v>
      </c>
      <c r="AA2304" s="204"/>
      <c r="AB2304" s="204"/>
    </row>
    <row r="2305" spans="1:28" s="203" customFormat="1" ht="46" customHeight="1">
      <c r="A2305" s="156" t="str">
        <f>'Reported burning'!A2305</f>
        <v>267l</v>
      </c>
      <c r="B2305" s="156" t="str">
        <f>'Reported burning'!B2305</f>
        <v>267l.7</v>
      </c>
      <c r="C2305" s="156" t="str">
        <f>'Reported burning'!C2305</f>
        <v>Human, deliberate</v>
      </c>
      <c r="D2305" s="156" t="str">
        <f>'Reported burning'!D2305</f>
        <v>Arson</v>
      </c>
      <c r="E2305" s="156" t="str">
        <f>'Reported burning'!E2305</f>
        <v>Mixed cropping-livestock small holder, Market-oriented</v>
      </c>
      <c r="F2305" s="156" t="str">
        <f>'Reported burning'!F2305</f>
        <v>ND</v>
      </c>
      <c r="G2305" s="156" t="str">
        <f>'Reported burning'!G2305</f>
        <v>ND</v>
      </c>
      <c r="H2305" s="156" t="str">
        <f>'Reported burning'!H2305</f>
        <v>Presence</v>
      </c>
      <c r="I2305" s="204"/>
      <c r="J2305" s="4" t="s">
        <v>2276</v>
      </c>
      <c r="K2305" s="4" t="s">
        <v>2276</v>
      </c>
      <c r="L2305" s="4" t="s">
        <v>2276</v>
      </c>
      <c r="M2305" s="4" t="s">
        <v>2276</v>
      </c>
      <c r="N2305" s="4" t="s">
        <v>2276</v>
      </c>
      <c r="O2305" s="4" t="s">
        <v>2276</v>
      </c>
      <c r="P2305" s="4" t="s">
        <v>2276</v>
      </c>
      <c r="Q2305" s="4" t="s">
        <v>2276</v>
      </c>
      <c r="R2305" s="4" t="s">
        <v>2276</v>
      </c>
      <c r="S2305" s="4" t="s">
        <v>2276</v>
      </c>
      <c r="T2305" s="4" t="s">
        <v>2276</v>
      </c>
      <c r="U2305" s="4" t="s">
        <v>2276</v>
      </c>
      <c r="V2305" s="4" t="s">
        <v>2276</v>
      </c>
      <c r="W2305" s="4" t="s">
        <v>2276</v>
      </c>
      <c r="X2305" s="4" t="s">
        <v>2276</v>
      </c>
      <c r="Y2305" s="4" t="s">
        <v>2276</v>
      </c>
      <c r="Z2305" s="4" t="s">
        <v>2276</v>
      </c>
      <c r="AA2305" s="204"/>
      <c r="AB2305" s="204"/>
    </row>
    <row r="2306" spans="1:28" ht="46" customHeight="1">
      <c r="A2306" s="156" t="str">
        <f>'Reported burning'!A2309</f>
        <v>270a</v>
      </c>
      <c r="B2306" s="156" t="str">
        <f>'Reported burning'!B2309</f>
        <v>270a.1</v>
      </c>
      <c r="C2306" s="156" t="str">
        <f>'Reported burning'!C2309</f>
        <v>All</v>
      </c>
      <c r="D2306" s="156" t="str">
        <f>'Reported burning'!D2309</f>
        <v>All</v>
      </c>
      <c r="E2306" s="156" t="str">
        <f>'Reported burning'!E2306</f>
        <v>Cropping, Monoculture, Subsistence-oriented</v>
      </c>
      <c r="F2306" s="156" t="str">
        <f>'Reported burning'!F2309</f>
        <v>ND</v>
      </c>
      <c r="G2306" s="156" t="str">
        <f>'Reported burning'!G2309</f>
        <v>ND</v>
      </c>
      <c r="H2306" s="156" t="str">
        <f>'Reported burning'!H2309</f>
        <v>Presence</v>
      </c>
      <c r="I2306" s="3"/>
      <c r="J2306" s="21" t="s">
        <v>2276</v>
      </c>
      <c r="K2306" s="103" t="s">
        <v>2276</v>
      </c>
      <c r="L2306" s="21" t="s">
        <v>2276</v>
      </c>
      <c r="M2306" s="21" t="s">
        <v>2276</v>
      </c>
      <c r="N2306" s="21" t="s">
        <v>2276</v>
      </c>
      <c r="O2306" s="21" t="s">
        <v>2276</v>
      </c>
      <c r="P2306" s="21" t="s">
        <v>2276</v>
      </c>
      <c r="Q2306" s="21" t="s">
        <v>2276</v>
      </c>
      <c r="R2306" s="21" t="s">
        <v>2276</v>
      </c>
      <c r="S2306" s="21" t="s">
        <v>2276</v>
      </c>
      <c r="T2306" s="21" t="s">
        <v>2276</v>
      </c>
      <c r="U2306" s="21" t="s">
        <v>2276</v>
      </c>
      <c r="V2306" s="21" t="s">
        <v>2276</v>
      </c>
      <c r="W2306" s="21" t="s">
        <v>2276</v>
      </c>
      <c r="X2306" s="3" t="s">
        <v>2276</v>
      </c>
      <c r="Y2306" s="3" t="s">
        <v>2276</v>
      </c>
      <c r="Z2306" s="3" t="s">
        <v>2276</v>
      </c>
      <c r="AA2306" s="3"/>
      <c r="AB2306" s="3"/>
    </row>
    <row r="2307" spans="1:28" s="203" customFormat="1" ht="46" customHeight="1">
      <c r="A2307" s="156" t="str">
        <f>'Reported burning'!A2310</f>
        <v>270a</v>
      </c>
      <c r="B2307" s="156" t="str">
        <f>'Reported burning'!B2310</f>
        <v>270a.2</v>
      </c>
      <c r="C2307" s="156" t="str">
        <f>'Reported burning'!C2310</f>
        <v>All</v>
      </c>
      <c r="D2307" s="156" t="str">
        <f>'Reported burning'!D2310</f>
        <v>All</v>
      </c>
      <c r="E2307" s="156" t="str">
        <f>'Reported burning'!E2307</f>
        <v>Cropping, Agroecology</v>
      </c>
      <c r="F2307" s="156" t="str">
        <f>'Reported burning'!F2310</f>
        <v>ND</v>
      </c>
      <c r="G2307" s="156" t="str">
        <f>'Reported burning'!G2310</f>
        <v>ND</v>
      </c>
      <c r="H2307" s="156" t="str">
        <f>'Reported burning'!H2310</f>
        <v>Presence</v>
      </c>
      <c r="I2307" s="204"/>
      <c r="J2307" s="21" t="s">
        <v>2276</v>
      </c>
      <c r="K2307" s="21" t="s">
        <v>2276</v>
      </c>
      <c r="L2307" s="21" t="s">
        <v>2276</v>
      </c>
      <c r="M2307" s="21" t="s">
        <v>2276</v>
      </c>
      <c r="N2307" s="21" t="s">
        <v>2276</v>
      </c>
      <c r="O2307" s="21" t="s">
        <v>2276</v>
      </c>
      <c r="P2307" s="21" t="s">
        <v>2276</v>
      </c>
      <c r="Q2307" s="21" t="s">
        <v>2276</v>
      </c>
      <c r="R2307" s="21" t="s">
        <v>2276</v>
      </c>
      <c r="S2307" s="21" t="s">
        <v>2276</v>
      </c>
      <c r="T2307" s="21" t="s">
        <v>2276</v>
      </c>
      <c r="U2307" s="21" t="s">
        <v>2276</v>
      </c>
      <c r="V2307" s="21" t="s">
        <v>2276</v>
      </c>
      <c r="W2307" s="21" t="s">
        <v>2276</v>
      </c>
      <c r="X2307" s="21" t="s">
        <v>2276</v>
      </c>
      <c r="Y2307" s="21" t="s">
        <v>2276</v>
      </c>
      <c r="Z2307" s="21" t="s">
        <v>2276</v>
      </c>
      <c r="AA2307" s="204"/>
      <c r="AB2307" s="204"/>
    </row>
    <row r="2308" spans="1:28" s="203" customFormat="1" ht="46" customHeight="1">
      <c r="A2308" s="156" t="str">
        <f>'Reported burning'!A2311</f>
        <v>270a</v>
      </c>
      <c r="B2308" s="156" t="str">
        <f>'Reported burning'!B2311</f>
        <v>270a.3</v>
      </c>
      <c r="C2308" s="156" t="str">
        <f>'Reported burning'!C2311</f>
        <v>Human, deliberate</v>
      </c>
      <c r="D2308" s="156" t="str">
        <f>'Reported burning'!D2311</f>
        <v>ND</v>
      </c>
      <c r="E2308" s="156" t="str">
        <f>'Reported burning'!E2308</f>
        <v>Cropping, Agroecology</v>
      </c>
      <c r="F2308" s="156" t="str">
        <f>'Reported burning'!F2311</f>
        <v>Cropland</v>
      </c>
      <c r="G2308" s="156" t="str">
        <f>'Reported burning'!G2311</f>
        <v>Cropland</v>
      </c>
      <c r="H2308" s="156" t="str">
        <f>'Reported burning'!H2311</f>
        <v>Presence</v>
      </c>
      <c r="I2308" s="204"/>
      <c r="J2308" s="21" t="s">
        <v>2276</v>
      </c>
      <c r="K2308" s="21" t="s">
        <v>2276</v>
      </c>
      <c r="L2308" s="21" t="s">
        <v>2276</v>
      </c>
      <c r="M2308" s="21" t="s">
        <v>2276</v>
      </c>
      <c r="N2308" s="21" t="s">
        <v>2276</v>
      </c>
      <c r="O2308" s="21" t="s">
        <v>2276</v>
      </c>
      <c r="P2308" s="21" t="s">
        <v>2276</v>
      </c>
      <c r="Q2308" s="21" t="s">
        <v>2276</v>
      </c>
      <c r="R2308" s="21" t="s">
        <v>2276</v>
      </c>
      <c r="S2308" s="21" t="s">
        <v>2276</v>
      </c>
      <c r="T2308" s="21" t="s">
        <v>2276</v>
      </c>
      <c r="U2308" s="21" t="s">
        <v>2276</v>
      </c>
      <c r="V2308" s="21" t="s">
        <v>2276</v>
      </c>
      <c r="W2308" s="21" t="s">
        <v>2276</v>
      </c>
      <c r="X2308" s="21" t="s">
        <v>2276</v>
      </c>
      <c r="Y2308" s="21" t="s">
        <v>2276</v>
      </c>
      <c r="Z2308" s="21" t="s">
        <v>2276</v>
      </c>
      <c r="AA2308" s="204"/>
      <c r="AB2308" s="204"/>
    </row>
    <row r="2309" spans="1:28" s="203" customFormat="1" ht="46" customHeight="1">
      <c r="A2309" s="156" t="str">
        <f>'Reported burning'!A2312</f>
        <v>270a</v>
      </c>
      <c r="B2309" s="156" t="str">
        <f>'Reported burning'!B2312</f>
        <v>270a.4</v>
      </c>
      <c r="C2309" s="156" t="str">
        <f>'Reported burning'!C2312</f>
        <v>Human, deliberate</v>
      </c>
      <c r="D2309" s="156" t="str">
        <f>'Reported burning'!D2312</f>
        <v>ND</v>
      </c>
      <c r="E2309" s="156" t="str">
        <f>'Reported burning'!E2309</f>
        <v>All</v>
      </c>
      <c r="F2309" s="156" t="str">
        <f>'Reported burning'!F2312</f>
        <v>Pasture</v>
      </c>
      <c r="G2309" s="156" t="str">
        <f>'Reported burning'!G2312</f>
        <v>Pasture</v>
      </c>
      <c r="H2309" s="156" t="str">
        <f>'Reported burning'!H2312</f>
        <v>Presence</v>
      </c>
      <c r="I2309" s="204"/>
      <c r="J2309" s="21" t="s">
        <v>2276</v>
      </c>
      <c r="K2309" s="21" t="s">
        <v>2276</v>
      </c>
      <c r="L2309" s="21" t="s">
        <v>2276</v>
      </c>
      <c r="M2309" s="21" t="s">
        <v>2276</v>
      </c>
      <c r="N2309" s="21" t="s">
        <v>2276</v>
      </c>
      <c r="O2309" s="21" t="s">
        <v>2276</v>
      </c>
      <c r="P2309" s="21" t="s">
        <v>2276</v>
      </c>
      <c r="Q2309" s="21" t="s">
        <v>2276</v>
      </c>
      <c r="R2309" s="21" t="s">
        <v>2276</v>
      </c>
      <c r="S2309" s="21" t="s">
        <v>2276</v>
      </c>
      <c r="T2309" s="21" t="s">
        <v>2276</v>
      </c>
      <c r="U2309" s="21" t="s">
        <v>2276</v>
      </c>
      <c r="V2309" s="21" t="s">
        <v>2276</v>
      </c>
      <c r="W2309" s="21" t="s">
        <v>2276</v>
      </c>
      <c r="X2309" s="21" t="s">
        <v>2276</v>
      </c>
      <c r="Y2309" s="21" t="s">
        <v>2276</v>
      </c>
      <c r="Z2309" s="21" t="s">
        <v>2276</v>
      </c>
      <c r="AA2309" s="204"/>
      <c r="AB2309" s="204"/>
    </row>
    <row r="2310" spans="1:28" ht="46" customHeight="1">
      <c r="A2310" s="156" t="str">
        <f>'Reported burning'!A2310</f>
        <v>270a</v>
      </c>
      <c r="B2310" s="156" t="str">
        <f>'Reported burning'!B2310</f>
        <v>270a.2</v>
      </c>
      <c r="C2310" s="156" t="str">
        <f>'Reported burning'!C2310</f>
        <v>All</v>
      </c>
      <c r="D2310" s="156" t="str">
        <f>'Reported burning'!D2310</f>
        <v>All</v>
      </c>
      <c r="E2310" s="156" t="str">
        <f>'Reported burning'!E2310</f>
        <v>Abandoned agricultural land</v>
      </c>
      <c r="F2310" s="156" t="str">
        <f>'Reported burning'!F2310</f>
        <v>ND</v>
      </c>
      <c r="G2310" s="156" t="str">
        <f>'Reported burning'!G2310</f>
        <v>ND</v>
      </c>
      <c r="H2310" s="156" t="str">
        <f>'Reported burning'!H2310</f>
        <v>Presence</v>
      </c>
      <c r="I2310" s="3"/>
      <c r="J2310" s="21" t="s">
        <v>2276</v>
      </c>
      <c r="K2310" s="103" t="s">
        <v>2276</v>
      </c>
      <c r="L2310" s="21" t="s">
        <v>2276</v>
      </c>
      <c r="M2310" s="21" t="s">
        <v>2276</v>
      </c>
      <c r="N2310" s="21" t="s">
        <v>2276</v>
      </c>
      <c r="O2310" s="21" t="s">
        <v>2276</v>
      </c>
      <c r="P2310" s="21" t="s">
        <v>2276</v>
      </c>
      <c r="Q2310" s="21" t="s">
        <v>2276</v>
      </c>
      <c r="R2310" s="21" t="s">
        <v>2276</v>
      </c>
      <c r="S2310" s="21" t="s">
        <v>2276</v>
      </c>
      <c r="T2310" s="21" t="s">
        <v>2276</v>
      </c>
      <c r="U2310" s="21" t="s">
        <v>2276</v>
      </c>
      <c r="V2310" s="21" t="s">
        <v>2276</v>
      </c>
      <c r="W2310" s="21" t="s">
        <v>2276</v>
      </c>
      <c r="X2310" s="3" t="s">
        <v>2276</v>
      </c>
      <c r="Y2310" s="3" t="s">
        <v>2276</v>
      </c>
      <c r="Z2310" s="3" t="s">
        <v>2276</v>
      </c>
      <c r="AA2310" s="4" t="s">
        <v>6789</v>
      </c>
      <c r="AB2310" s="3"/>
    </row>
    <row r="2311" spans="1:28" s="203" customFormat="1" ht="46" customHeight="1">
      <c r="A2311" s="156" t="str">
        <f>'Reported burning'!A2311</f>
        <v>270a</v>
      </c>
      <c r="B2311" s="156" t="str">
        <f>'Reported burning'!B2311</f>
        <v>270a.3</v>
      </c>
      <c r="C2311" s="156" t="str">
        <f>'Reported burning'!C2311</f>
        <v>Human, deliberate</v>
      </c>
      <c r="D2311" s="156" t="str">
        <f>'Reported burning'!D2311</f>
        <v>ND</v>
      </c>
      <c r="E2311" s="156" t="str">
        <f>'Reported burning'!E2311</f>
        <v>Mixed cropping-livestock small holder, Market-oriented</v>
      </c>
      <c r="F2311" s="156" t="str">
        <f>'Reported burning'!F2311</f>
        <v>Cropland</v>
      </c>
      <c r="G2311" s="156" t="str">
        <f>'Reported burning'!G2311</f>
        <v>Cropland</v>
      </c>
      <c r="H2311" s="156" t="str">
        <f>'Reported burning'!H2311</f>
        <v>Presence</v>
      </c>
      <c r="I2311" s="204"/>
      <c r="J2311" s="21" t="s">
        <v>2276</v>
      </c>
      <c r="K2311" s="103" t="s">
        <v>2276</v>
      </c>
      <c r="L2311" s="21" t="s">
        <v>2276</v>
      </c>
      <c r="M2311" s="21" t="s">
        <v>2276</v>
      </c>
      <c r="N2311" s="21" t="s">
        <v>2276</v>
      </c>
      <c r="O2311" s="21" t="s">
        <v>2276</v>
      </c>
      <c r="P2311" s="21" t="s">
        <v>2276</v>
      </c>
      <c r="Q2311" s="21" t="s">
        <v>2276</v>
      </c>
      <c r="R2311" s="21" t="s">
        <v>2276</v>
      </c>
      <c r="S2311" s="21" t="s">
        <v>2276</v>
      </c>
      <c r="T2311" s="21" t="s">
        <v>2276</v>
      </c>
      <c r="U2311" s="21" t="s">
        <v>2276</v>
      </c>
      <c r="V2311" s="21" t="s">
        <v>2276</v>
      </c>
      <c r="W2311" s="21" t="s">
        <v>2276</v>
      </c>
      <c r="X2311" s="204" t="s">
        <v>2276</v>
      </c>
      <c r="Y2311" s="204" t="s">
        <v>2276</v>
      </c>
      <c r="Z2311" s="204" t="s">
        <v>2276</v>
      </c>
      <c r="AA2311" s="4" t="s">
        <v>6792</v>
      </c>
      <c r="AB2311" s="204"/>
    </row>
    <row r="2312" spans="1:28" s="203" customFormat="1" ht="46" customHeight="1">
      <c r="A2312" s="156" t="str">
        <f>'Reported burning'!A2312</f>
        <v>270a</v>
      </c>
      <c r="B2312" s="156" t="str">
        <f>'Reported burning'!B2312</f>
        <v>270a.4</v>
      </c>
      <c r="C2312" s="156" t="str">
        <f>'Reported burning'!C2312</f>
        <v>Human, deliberate</v>
      </c>
      <c r="D2312" s="156" t="str">
        <f>'Reported burning'!D2312</f>
        <v>ND</v>
      </c>
      <c r="E2312" s="156" t="str">
        <f>'Reported burning'!E2312</f>
        <v>Mixed cropping-livestock small holder, Market-oriented</v>
      </c>
      <c r="F2312" s="156" t="str">
        <f>'Reported burning'!F2312</f>
        <v>Pasture</v>
      </c>
      <c r="G2312" s="156" t="str">
        <f>'Reported burning'!G2312</f>
        <v>Pasture</v>
      </c>
      <c r="H2312" s="156" t="str">
        <f>'Reported burning'!H2312</f>
        <v>Presence</v>
      </c>
      <c r="I2312" s="204"/>
      <c r="J2312" s="21" t="s">
        <v>2276</v>
      </c>
      <c r="K2312" s="103" t="s">
        <v>2276</v>
      </c>
      <c r="L2312" s="21" t="s">
        <v>2276</v>
      </c>
      <c r="M2312" s="21" t="s">
        <v>2276</v>
      </c>
      <c r="N2312" s="21" t="s">
        <v>2276</v>
      </c>
      <c r="O2312" s="21" t="s">
        <v>2276</v>
      </c>
      <c r="P2312" s="21" t="s">
        <v>2276</v>
      </c>
      <c r="Q2312" s="21" t="s">
        <v>2276</v>
      </c>
      <c r="R2312" s="21" t="s">
        <v>2276</v>
      </c>
      <c r="S2312" s="21" t="s">
        <v>2276</v>
      </c>
      <c r="T2312" s="21" t="s">
        <v>2276</v>
      </c>
      <c r="U2312" s="21" t="s">
        <v>2276</v>
      </c>
      <c r="V2312" s="21" t="s">
        <v>2276</v>
      </c>
      <c r="W2312" s="21" t="s">
        <v>2276</v>
      </c>
      <c r="X2312" s="204" t="s">
        <v>2276</v>
      </c>
      <c r="Y2312" s="204" t="s">
        <v>2276</v>
      </c>
      <c r="Z2312" s="204" t="s">
        <v>2276</v>
      </c>
      <c r="AA2312" s="4" t="s">
        <v>6792</v>
      </c>
      <c r="AB2312" s="204"/>
    </row>
    <row r="2313" spans="1:28" ht="46" customHeight="1">
      <c r="A2313" s="156" t="str">
        <f>'Reported burning'!A2313</f>
        <v>271a</v>
      </c>
      <c r="B2313" s="156" t="str">
        <f>'Reported burning'!B2313</f>
        <v>271a.1</v>
      </c>
      <c r="C2313" s="156" t="str">
        <f>'Reported burning'!C2313</f>
        <v>All</v>
      </c>
      <c r="D2313" s="156" t="str">
        <f>'Reported burning'!D2313</f>
        <v>ND</v>
      </c>
      <c r="E2313" s="156" t="str">
        <f>'Reported burning'!E2313</f>
        <v>ND</v>
      </c>
      <c r="F2313" s="156" t="str">
        <f>'Reported burning'!F2313</f>
        <v>ND</v>
      </c>
      <c r="G2313" s="156" t="str">
        <f>'Reported burning'!G2313</f>
        <v>ND</v>
      </c>
      <c r="H2313" s="156" t="str">
        <f>'Reported burning'!H2313</f>
        <v>Presence</v>
      </c>
      <c r="I2313" s="3"/>
      <c r="J2313" s="21" t="s">
        <v>2276</v>
      </c>
      <c r="K2313" s="103" t="s">
        <v>2276</v>
      </c>
      <c r="L2313" s="21" t="s">
        <v>2276</v>
      </c>
      <c r="M2313" s="21" t="s">
        <v>2276</v>
      </c>
      <c r="N2313" s="21" t="s">
        <v>2276</v>
      </c>
      <c r="O2313" s="21" t="s">
        <v>2276</v>
      </c>
      <c r="P2313" s="21" t="s">
        <v>2276</v>
      </c>
      <c r="Q2313" s="21" t="s">
        <v>2276</v>
      </c>
      <c r="R2313" s="21" t="s">
        <v>2276</v>
      </c>
      <c r="S2313" s="21" t="s">
        <v>2276</v>
      </c>
      <c r="T2313" s="21" t="s">
        <v>2276</v>
      </c>
      <c r="U2313" s="21" t="s">
        <v>2276</v>
      </c>
      <c r="V2313" s="21" t="s">
        <v>2276</v>
      </c>
      <c r="W2313" s="21" t="s">
        <v>2276</v>
      </c>
      <c r="X2313" s="3" t="s">
        <v>2276</v>
      </c>
      <c r="Y2313" s="3" t="s">
        <v>2276</v>
      </c>
      <c r="Z2313" s="3" t="s">
        <v>2276</v>
      </c>
      <c r="AA2313" s="3"/>
      <c r="AB2313" s="3"/>
    </row>
    <row r="2314" spans="1:28" s="203" customFormat="1" ht="46" customHeight="1">
      <c r="A2314" s="156" t="str">
        <f>'Reported burning'!A2314</f>
        <v>271a</v>
      </c>
      <c r="B2314" s="156" t="str">
        <f>'Reported burning'!B2314</f>
        <v>271a.2</v>
      </c>
      <c r="C2314" s="156" t="str">
        <f>'Reported burning'!C2314</f>
        <v>Human, accidental</v>
      </c>
      <c r="D2314" s="156" t="str">
        <f>'Reported burning'!D2314</f>
        <v>Accidental</v>
      </c>
      <c r="E2314" s="156" t="str">
        <f>'Reported burning'!E2314</f>
        <v>Urban planner</v>
      </c>
      <c r="F2314" s="156" t="str">
        <f>'Reported burning'!F2314</f>
        <v>ND</v>
      </c>
      <c r="G2314" s="156" t="str">
        <f>'Reported burning'!G2314</f>
        <v>ND</v>
      </c>
      <c r="H2314" s="156" t="str">
        <f>'Reported burning'!H2314</f>
        <v>Presence</v>
      </c>
      <c r="I2314" s="204"/>
      <c r="J2314" s="21" t="s">
        <v>2372</v>
      </c>
      <c r="K2314" s="21" t="s">
        <v>2276</v>
      </c>
      <c r="L2314" s="21" t="s">
        <v>2276</v>
      </c>
      <c r="M2314" s="21" t="s">
        <v>2276</v>
      </c>
      <c r="N2314" s="21" t="s">
        <v>2276</v>
      </c>
      <c r="O2314" s="21" t="s">
        <v>2276</v>
      </c>
      <c r="P2314" s="21" t="s">
        <v>2276</v>
      </c>
      <c r="Q2314" s="21" t="s">
        <v>2276</v>
      </c>
      <c r="R2314" s="21" t="s">
        <v>2276</v>
      </c>
      <c r="S2314" s="21" t="s">
        <v>2276</v>
      </c>
      <c r="T2314" s="21" t="s">
        <v>2276</v>
      </c>
      <c r="U2314" s="21" t="s">
        <v>2276</v>
      </c>
      <c r="V2314" s="4" t="s">
        <v>2527</v>
      </c>
      <c r="W2314" s="21" t="s">
        <v>2276</v>
      </c>
      <c r="X2314" s="21" t="s">
        <v>2276</v>
      </c>
      <c r="Y2314" s="21" t="s">
        <v>2276</v>
      </c>
      <c r="Z2314" s="21" t="s">
        <v>2276</v>
      </c>
      <c r="AA2314" s="204"/>
      <c r="AB2314" s="4" t="s">
        <v>6795</v>
      </c>
    </row>
    <row r="2315" spans="1:28" s="203" customFormat="1" ht="46" customHeight="1">
      <c r="A2315" s="156" t="str">
        <f>'Reported burning'!A2315</f>
        <v>271a</v>
      </c>
      <c r="B2315" s="156" t="str">
        <f>'Reported burning'!B2315</f>
        <v>271a.3</v>
      </c>
      <c r="C2315" s="156" t="str">
        <f>'Reported burning'!C2315</f>
        <v>Human, escaped</v>
      </c>
      <c r="D2315" s="156" t="str">
        <f>'Reported burning'!D2315</f>
        <v>Pasture renewal</v>
      </c>
      <c r="E2315" s="156" t="str">
        <f>'Reported burning'!E2315</f>
        <v>Mixed cropping-livestock small holder, Market-oriented</v>
      </c>
      <c r="F2315" s="156" t="str">
        <f>'Reported burning'!F2315</f>
        <v>Pasture</v>
      </c>
      <c r="G2315" s="156" t="str">
        <f>'Reported burning'!G2315</f>
        <v>ND</v>
      </c>
      <c r="H2315" s="156" t="str">
        <f>'Reported burning'!H2315</f>
        <v>Presence</v>
      </c>
      <c r="I2315" s="204"/>
      <c r="J2315" s="21" t="s">
        <v>2276</v>
      </c>
      <c r="K2315" s="21" t="s">
        <v>2276</v>
      </c>
      <c r="L2315" s="21" t="s">
        <v>2276</v>
      </c>
      <c r="M2315" s="21" t="s">
        <v>2276</v>
      </c>
      <c r="N2315" s="21" t="s">
        <v>2276</v>
      </c>
      <c r="O2315" s="21" t="s">
        <v>2276</v>
      </c>
      <c r="P2315" s="21" t="s">
        <v>2276</v>
      </c>
      <c r="Q2315" s="21" t="s">
        <v>2276</v>
      </c>
      <c r="R2315" s="21" t="s">
        <v>2276</v>
      </c>
      <c r="S2315" s="21" t="s">
        <v>2276</v>
      </c>
      <c r="T2315" s="21" t="s">
        <v>2276</v>
      </c>
      <c r="U2315" s="21" t="s">
        <v>2276</v>
      </c>
      <c r="V2315" s="21" t="s">
        <v>2276</v>
      </c>
      <c r="W2315" s="21" t="s">
        <v>2276</v>
      </c>
      <c r="X2315" s="21" t="s">
        <v>2276</v>
      </c>
      <c r="Y2315" s="21" t="s">
        <v>2276</v>
      </c>
      <c r="Z2315" s="21" t="s">
        <v>2276</v>
      </c>
      <c r="AA2315" s="204"/>
      <c r="AB2315" s="204"/>
    </row>
    <row r="2316" spans="1:28" s="203" customFormat="1" ht="46" customHeight="1">
      <c r="A2316" s="156" t="str">
        <f>'Reported burning'!A2316</f>
        <v>272a</v>
      </c>
      <c r="B2316" s="156" t="str">
        <f>'Reported burning'!B2316</f>
        <v>272a.1</v>
      </c>
      <c r="C2316" s="156" t="str">
        <f>'Reported burning'!C2316</f>
        <v>All</v>
      </c>
      <c r="D2316" s="156" t="str">
        <f>'Reported burning'!D2316</f>
        <v>ND</v>
      </c>
      <c r="E2316" s="156" t="str">
        <f>'Reported burning'!E2316</f>
        <v>ND</v>
      </c>
      <c r="F2316" s="156" t="str">
        <f>'Reported burning'!F2316</f>
        <v>ND</v>
      </c>
      <c r="G2316" s="156" t="str">
        <f>'Reported burning'!G2316</f>
        <v>Forest</v>
      </c>
      <c r="H2316" s="156" t="str">
        <f>'Reported burning'!H2316</f>
        <v>Presence</v>
      </c>
      <c r="I2316" s="204"/>
      <c r="J2316" s="21" t="s">
        <v>2276</v>
      </c>
      <c r="K2316" s="21" t="s">
        <v>2276</v>
      </c>
      <c r="L2316" s="21" t="s">
        <v>2276</v>
      </c>
      <c r="M2316" s="21" t="s">
        <v>2276</v>
      </c>
      <c r="N2316" s="21" t="s">
        <v>2276</v>
      </c>
      <c r="O2316" s="21" t="s">
        <v>2276</v>
      </c>
      <c r="P2316" s="21" t="s">
        <v>2276</v>
      </c>
      <c r="Q2316" s="21" t="s">
        <v>2276</v>
      </c>
      <c r="R2316" s="21" t="s">
        <v>2276</v>
      </c>
      <c r="S2316" s="21" t="s">
        <v>2276</v>
      </c>
      <c r="T2316" s="21" t="s">
        <v>2276</v>
      </c>
      <c r="U2316" s="21" t="s">
        <v>2276</v>
      </c>
      <c r="V2316" s="21" t="s">
        <v>2276</v>
      </c>
      <c r="W2316" s="21" t="s">
        <v>2276</v>
      </c>
      <c r="X2316" s="21" t="s">
        <v>2276</v>
      </c>
      <c r="Y2316" s="21" t="s">
        <v>2276</v>
      </c>
      <c r="Z2316" s="21" t="s">
        <v>2276</v>
      </c>
      <c r="AA2316" s="204"/>
      <c r="AB2316" s="204"/>
    </row>
    <row r="2317" spans="1:28" s="203" customFormat="1" ht="46" customHeight="1">
      <c r="A2317" s="156" t="str">
        <f>'Reported burning'!A2317</f>
        <v>272a</v>
      </c>
      <c r="B2317" s="156" t="str">
        <f>'Reported burning'!B2317</f>
        <v>272a.2</v>
      </c>
      <c r="C2317" s="156" t="str">
        <f>'Reported burning'!C2317</f>
        <v>Human, deliberate</v>
      </c>
      <c r="D2317" s="156" t="str">
        <f>'Reported burning'!D2317</f>
        <v>ND</v>
      </c>
      <c r="E2317" s="156" t="str">
        <f>'Reported burning'!E2317</f>
        <v>ND</v>
      </c>
      <c r="F2317" s="156" t="str">
        <f>'Reported burning'!F2317</f>
        <v>ND</v>
      </c>
      <c r="G2317" s="156" t="str">
        <f>'Reported burning'!G2317</f>
        <v>Forest</v>
      </c>
      <c r="H2317" s="156" t="str">
        <f>'Reported burning'!H2317</f>
        <v>Presence</v>
      </c>
      <c r="I2317" s="204"/>
      <c r="J2317" s="21" t="s">
        <v>2276</v>
      </c>
      <c r="K2317" s="21" t="s">
        <v>2276</v>
      </c>
      <c r="L2317" s="21" t="s">
        <v>2276</v>
      </c>
      <c r="M2317" s="21" t="s">
        <v>2276</v>
      </c>
      <c r="N2317" s="21" t="s">
        <v>2276</v>
      </c>
      <c r="O2317" s="21" t="s">
        <v>2276</v>
      </c>
      <c r="P2317" s="4" t="s">
        <v>2373</v>
      </c>
      <c r="Q2317" s="21" t="s">
        <v>2276</v>
      </c>
      <c r="R2317" s="21" t="s">
        <v>2276</v>
      </c>
      <c r="S2317" s="21" t="s">
        <v>2276</v>
      </c>
      <c r="T2317" s="4" t="s">
        <v>2527</v>
      </c>
      <c r="U2317" s="21" t="s">
        <v>2276</v>
      </c>
      <c r="V2317" s="4" t="s">
        <v>2527</v>
      </c>
      <c r="W2317" s="21" t="s">
        <v>2276</v>
      </c>
      <c r="X2317" s="21" t="s">
        <v>2276</v>
      </c>
      <c r="Y2317" s="21" t="s">
        <v>2276</v>
      </c>
      <c r="Z2317" s="21" t="s">
        <v>2276</v>
      </c>
      <c r="AA2317" s="204"/>
      <c r="AB2317" s="204"/>
    </row>
    <row r="2318" spans="1:28" s="203" customFormat="1" ht="46" customHeight="1">
      <c r="A2318" s="156" t="str">
        <f>'Reported burning'!A2318</f>
        <v>272a</v>
      </c>
      <c r="B2318" s="156" t="str">
        <f>'Reported burning'!B2318</f>
        <v>272a.3</v>
      </c>
      <c r="C2318" s="156" t="str">
        <f>'Reported burning'!C2318</f>
        <v>Human, accidental</v>
      </c>
      <c r="D2318" s="156" t="str">
        <f>'Reported burning'!D2318</f>
        <v>ND</v>
      </c>
      <c r="E2318" s="156" t="str">
        <f>'Reported burning'!E2318</f>
        <v>ND</v>
      </c>
      <c r="F2318" s="156" t="str">
        <f>'Reported burning'!F2318</f>
        <v>ND</v>
      </c>
      <c r="G2318" s="156" t="str">
        <f>'Reported burning'!G2318</f>
        <v>Forest</v>
      </c>
      <c r="H2318" s="156" t="str">
        <f>'Reported burning'!H2318</f>
        <v>Presence</v>
      </c>
      <c r="I2318" s="204"/>
      <c r="J2318" s="21" t="s">
        <v>2276</v>
      </c>
      <c r="K2318" s="21" t="s">
        <v>2276</v>
      </c>
      <c r="L2318" s="21" t="s">
        <v>2276</v>
      </c>
      <c r="M2318" s="21" t="s">
        <v>2276</v>
      </c>
      <c r="N2318" s="21" t="s">
        <v>2276</v>
      </c>
      <c r="O2318" s="21" t="s">
        <v>2276</v>
      </c>
      <c r="P2318" s="4" t="s">
        <v>2373</v>
      </c>
      <c r="Q2318" s="21" t="s">
        <v>2276</v>
      </c>
      <c r="R2318" s="21" t="s">
        <v>2276</v>
      </c>
      <c r="S2318" s="21" t="s">
        <v>2276</v>
      </c>
      <c r="T2318" s="4" t="s">
        <v>2527</v>
      </c>
      <c r="U2318" s="21" t="s">
        <v>2276</v>
      </c>
      <c r="V2318" s="4" t="s">
        <v>2527</v>
      </c>
      <c r="W2318" s="21" t="s">
        <v>2276</v>
      </c>
      <c r="X2318" s="21" t="s">
        <v>2276</v>
      </c>
      <c r="Y2318" s="21" t="s">
        <v>2276</v>
      </c>
      <c r="Z2318" s="21" t="s">
        <v>2276</v>
      </c>
      <c r="AA2318" s="204"/>
      <c r="AB2318" s="204"/>
    </row>
    <row r="2319" spans="1:28" s="203" customFormat="1" ht="46" customHeight="1">
      <c r="A2319" s="156" t="str">
        <f>'Reported burning'!A2319</f>
        <v>272a</v>
      </c>
      <c r="B2319" s="156" t="str">
        <f>'Reported burning'!B2319</f>
        <v>272a.4</v>
      </c>
      <c r="C2319" s="156" t="str">
        <f>'Reported burning'!C2319</f>
        <v>Unknown</v>
      </c>
      <c r="D2319" s="156" t="str">
        <f>'Reported burning'!D2319</f>
        <v>ND</v>
      </c>
      <c r="E2319" s="156" t="str">
        <f>'Reported burning'!E2319</f>
        <v>ND</v>
      </c>
      <c r="F2319" s="156" t="str">
        <f>'Reported burning'!F2319</f>
        <v>ND</v>
      </c>
      <c r="G2319" s="156" t="str">
        <f>'Reported burning'!G2319</f>
        <v>Forest</v>
      </c>
      <c r="H2319" s="156" t="str">
        <f>'Reported burning'!H2319</f>
        <v>Presence</v>
      </c>
      <c r="I2319" s="204"/>
      <c r="J2319" s="21" t="s">
        <v>2276</v>
      </c>
      <c r="K2319" s="21" t="s">
        <v>2276</v>
      </c>
      <c r="L2319" s="21" t="s">
        <v>2276</v>
      </c>
      <c r="M2319" s="21" t="s">
        <v>2276</v>
      </c>
      <c r="N2319" s="21" t="s">
        <v>2276</v>
      </c>
      <c r="O2319" s="21" t="s">
        <v>2276</v>
      </c>
      <c r="P2319" s="4" t="s">
        <v>2373</v>
      </c>
      <c r="Q2319" s="21" t="s">
        <v>2276</v>
      </c>
      <c r="R2319" s="21" t="s">
        <v>2276</v>
      </c>
      <c r="S2319" s="21" t="s">
        <v>2276</v>
      </c>
      <c r="T2319" s="4" t="s">
        <v>2527</v>
      </c>
      <c r="U2319" s="21" t="s">
        <v>2276</v>
      </c>
      <c r="V2319" s="4" t="s">
        <v>2527</v>
      </c>
      <c r="W2319" s="21" t="s">
        <v>2276</v>
      </c>
      <c r="X2319" s="21" t="s">
        <v>2276</v>
      </c>
      <c r="Y2319" s="21" t="s">
        <v>2276</v>
      </c>
      <c r="Z2319" s="21" t="s">
        <v>2276</v>
      </c>
      <c r="AA2319" s="204"/>
      <c r="AB2319" s="204"/>
    </row>
    <row r="2320" spans="1:28" s="203" customFormat="1" ht="46" customHeight="1">
      <c r="A2320" s="156" t="str">
        <f>'Reported burning'!A2320</f>
        <v>272a</v>
      </c>
      <c r="B2320" s="156" t="str">
        <f>'Reported burning'!B2320</f>
        <v>272a.5</v>
      </c>
      <c r="C2320" s="156" t="str">
        <f>'Reported burning'!C2320</f>
        <v>Lightning</v>
      </c>
      <c r="D2320" s="156" t="str">
        <f>'Reported burning'!D2320</f>
        <v>ND</v>
      </c>
      <c r="E2320" s="156" t="str">
        <f>'Reported burning'!E2320</f>
        <v>ND</v>
      </c>
      <c r="F2320" s="156" t="str">
        <f>'Reported burning'!F2320</f>
        <v>ND</v>
      </c>
      <c r="G2320" s="156" t="str">
        <f>'Reported burning'!G2320</f>
        <v>Forest</v>
      </c>
      <c r="H2320" s="156" t="str">
        <f>'Reported burning'!H2320</f>
        <v>Presence</v>
      </c>
      <c r="I2320" s="204"/>
      <c r="J2320" s="21" t="s">
        <v>2276</v>
      </c>
      <c r="K2320" s="21" t="s">
        <v>2276</v>
      </c>
      <c r="L2320" s="21" t="s">
        <v>2276</v>
      </c>
      <c r="M2320" s="21" t="s">
        <v>2276</v>
      </c>
      <c r="N2320" s="21" t="s">
        <v>2276</v>
      </c>
      <c r="O2320" s="21" t="s">
        <v>2276</v>
      </c>
      <c r="P2320" s="4" t="s">
        <v>2373</v>
      </c>
      <c r="Q2320" s="21" t="s">
        <v>2276</v>
      </c>
      <c r="R2320" s="21" t="s">
        <v>2276</v>
      </c>
      <c r="S2320" s="21" t="s">
        <v>2276</v>
      </c>
      <c r="T2320" s="4" t="s">
        <v>2527</v>
      </c>
      <c r="U2320" s="21" t="s">
        <v>2276</v>
      </c>
      <c r="V2320" s="4" t="s">
        <v>2527</v>
      </c>
      <c r="W2320" s="21" t="s">
        <v>2276</v>
      </c>
      <c r="X2320" s="21" t="s">
        <v>2276</v>
      </c>
      <c r="Y2320" s="21" t="s">
        <v>2276</v>
      </c>
      <c r="Z2320" s="21" t="s">
        <v>2276</v>
      </c>
      <c r="AA2320" s="204"/>
      <c r="AB2320" s="204"/>
    </row>
    <row r="2321" spans="1:28" s="203" customFormat="1" ht="46" customHeight="1">
      <c r="A2321" s="156" t="str">
        <f>'Reported burning'!A2321</f>
        <v>272a</v>
      </c>
      <c r="B2321" s="156" t="str">
        <f>'Reported burning'!B2321</f>
        <v>272a.6</v>
      </c>
      <c r="C2321" s="156" t="str">
        <f>'Reported burning'!C2321</f>
        <v>Human, escaped</v>
      </c>
      <c r="D2321" s="156" t="str">
        <f>'Reported burning'!D2321</f>
        <v>Pasture renewal</v>
      </c>
      <c r="E2321" s="156" t="str">
        <f>'Reported burning'!E2321</f>
        <v>Mixed cropping-livestock small holder, Market-oriented</v>
      </c>
      <c r="F2321" s="156" t="str">
        <f>'Reported burning'!F2321</f>
        <v>Pasture</v>
      </c>
      <c r="G2321" s="156" t="str">
        <f>'Reported burning'!G2321</f>
        <v>Forest</v>
      </c>
      <c r="H2321" s="156" t="str">
        <f>'Reported burning'!H2321</f>
        <v>Presence</v>
      </c>
      <c r="I2321" s="204"/>
      <c r="J2321" s="21" t="s">
        <v>2276</v>
      </c>
      <c r="K2321" s="21" t="s">
        <v>2276</v>
      </c>
      <c r="L2321" s="21" t="s">
        <v>2276</v>
      </c>
      <c r="M2321" s="21" t="s">
        <v>2276</v>
      </c>
      <c r="N2321" s="21" t="s">
        <v>2276</v>
      </c>
      <c r="O2321" s="21" t="s">
        <v>2276</v>
      </c>
      <c r="P2321" s="21" t="s">
        <v>2276</v>
      </c>
      <c r="Q2321" s="21" t="s">
        <v>2276</v>
      </c>
      <c r="R2321" s="21" t="s">
        <v>2276</v>
      </c>
      <c r="S2321" s="21" t="s">
        <v>2276</v>
      </c>
      <c r="T2321" s="21" t="s">
        <v>2276</v>
      </c>
      <c r="U2321" s="21" t="s">
        <v>2276</v>
      </c>
      <c r="V2321" s="21" t="s">
        <v>2276</v>
      </c>
      <c r="W2321" s="21" t="s">
        <v>2276</v>
      </c>
      <c r="X2321" s="21" t="s">
        <v>2276</v>
      </c>
      <c r="Y2321" s="21" t="s">
        <v>2276</v>
      </c>
      <c r="Z2321" s="21" t="s">
        <v>2276</v>
      </c>
      <c r="AA2321" s="204"/>
      <c r="AB2321" s="204"/>
    </row>
    <row r="2322" spans="1:28" s="203" customFormat="1" ht="46" customHeight="1">
      <c r="A2322" s="156" t="str">
        <f>'Reported burning'!A2322</f>
        <v>272a</v>
      </c>
      <c r="B2322" s="156" t="str">
        <f>'Reported burning'!B2322</f>
        <v>272a.7</v>
      </c>
      <c r="C2322" s="156" t="str">
        <f>'Reported burning'!C2322</f>
        <v>Human, deliberate</v>
      </c>
      <c r="D2322" s="156" t="str">
        <f>'Reported burning'!D2322</f>
        <v>Rangeland management</v>
      </c>
      <c r="E2322" s="156" t="str">
        <f>'Reported burning'!E2322</f>
        <v>Mixed cropping-livestock small holder, Market-oriented</v>
      </c>
      <c r="F2322" s="156" t="str">
        <f>'Reported burning'!F2322</f>
        <v>Shrubland (Mixed forest &amp; grassland)</v>
      </c>
      <c r="G2322" s="156" t="str">
        <f>'Reported burning'!G2322</f>
        <v>Shrubland (Mixed forest &amp; grassland)</v>
      </c>
      <c r="H2322" s="156" t="str">
        <f>'Reported burning'!H2322</f>
        <v>Presence</v>
      </c>
      <c r="I2322" s="204"/>
      <c r="J2322" s="21" t="s">
        <v>2276</v>
      </c>
      <c r="K2322" s="21" t="s">
        <v>2276</v>
      </c>
      <c r="L2322" s="21" t="s">
        <v>2276</v>
      </c>
      <c r="M2322" s="21" t="s">
        <v>2276</v>
      </c>
      <c r="N2322" s="21" t="s">
        <v>2276</v>
      </c>
      <c r="O2322" s="21" t="s">
        <v>2276</v>
      </c>
      <c r="P2322" s="21" t="s">
        <v>2276</v>
      </c>
      <c r="Q2322" s="21" t="s">
        <v>2276</v>
      </c>
      <c r="R2322" s="21" t="s">
        <v>2276</v>
      </c>
      <c r="S2322" s="21" t="s">
        <v>2276</v>
      </c>
      <c r="T2322" s="21" t="s">
        <v>2276</v>
      </c>
      <c r="U2322" s="21" t="s">
        <v>2276</v>
      </c>
      <c r="V2322" s="21" t="s">
        <v>2276</v>
      </c>
      <c r="W2322" s="21" t="s">
        <v>2276</v>
      </c>
      <c r="X2322" s="21" t="s">
        <v>2276</v>
      </c>
      <c r="Y2322" s="21" t="s">
        <v>2276</v>
      </c>
      <c r="Z2322" s="21" t="s">
        <v>2276</v>
      </c>
      <c r="AA2322" s="204"/>
      <c r="AB2322" s="204"/>
    </row>
    <row r="2323" spans="1:28" s="203" customFormat="1" ht="46" customHeight="1">
      <c r="A2323" s="156" t="str">
        <f>'Reported burning'!A2323</f>
        <v>272a</v>
      </c>
      <c r="B2323" s="156" t="str">
        <f>'Reported burning'!B2323</f>
        <v>272a.8</v>
      </c>
      <c r="C2323" s="156" t="str">
        <f>'Reported burning'!C2323</f>
        <v>Human, escaped</v>
      </c>
      <c r="D2323" s="156" t="str">
        <f>'Reported burning'!D2323</f>
        <v>Land clearance</v>
      </c>
      <c r="E2323" s="156" t="str">
        <f>'Reported burning'!E2323</f>
        <v>Forestry, Industrial</v>
      </c>
      <c r="F2323" s="156" t="str">
        <f>'Reported burning'!F2323</f>
        <v>Shrubland (Mixed forest &amp; grassland)</v>
      </c>
      <c r="G2323" s="156" t="str">
        <f>'Reported burning'!G2323</f>
        <v>Forest</v>
      </c>
      <c r="H2323" s="156" t="str">
        <f>'Reported burning'!H2323</f>
        <v>Presence</v>
      </c>
      <c r="I2323" s="204"/>
      <c r="J2323" s="21" t="s">
        <v>2276</v>
      </c>
      <c r="K2323" s="21" t="s">
        <v>2276</v>
      </c>
      <c r="L2323" s="21" t="s">
        <v>2276</v>
      </c>
      <c r="M2323" s="21" t="s">
        <v>2276</v>
      </c>
      <c r="N2323" s="21" t="s">
        <v>2276</v>
      </c>
      <c r="O2323" s="21" t="s">
        <v>2276</v>
      </c>
      <c r="P2323" s="21" t="s">
        <v>2276</v>
      </c>
      <c r="Q2323" s="21" t="s">
        <v>2276</v>
      </c>
      <c r="R2323" s="21" t="s">
        <v>2276</v>
      </c>
      <c r="S2323" s="21" t="s">
        <v>2276</v>
      </c>
      <c r="T2323" s="21" t="s">
        <v>2276</v>
      </c>
      <c r="U2323" s="21" t="s">
        <v>2276</v>
      </c>
      <c r="V2323" s="21" t="s">
        <v>2276</v>
      </c>
      <c r="W2323" s="21" t="s">
        <v>2276</v>
      </c>
      <c r="X2323" s="21" t="s">
        <v>2276</v>
      </c>
      <c r="Y2323" s="21" t="s">
        <v>2276</v>
      </c>
      <c r="Z2323" s="21" t="s">
        <v>2276</v>
      </c>
      <c r="AA2323" s="204"/>
      <c r="AB2323" s="204"/>
    </row>
    <row r="2324" spans="1:28" s="203" customFormat="1" ht="46" customHeight="1">
      <c r="A2324" s="156" t="str">
        <f>'Reported burning'!A2324</f>
        <v>272a</v>
      </c>
      <c r="B2324" s="156" t="str">
        <f>'Reported burning'!B2324</f>
        <v>272a.9</v>
      </c>
      <c r="C2324" s="156" t="str">
        <f>'Reported burning'!C2324</f>
        <v>Human, deliberate</v>
      </c>
      <c r="D2324" s="156" t="str">
        <f>'Reported burning'!D2324</f>
        <v>Land clearance</v>
      </c>
      <c r="E2324" s="156" t="str">
        <f>'Reported burning'!E2324</f>
        <v>Forestry, Industrial</v>
      </c>
      <c r="F2324" s="156" t="str">
        <f>'Reported burning'!F2324</f>
        <v>Shrubland (Mixed forest &amp; grassland)</v>
      </c>
      <c r="G2324" s="156" t="str">
        <f>'Reported burning'!G2324</f>
        <v>Shrubland (Mixed forest &amp; grassland)</v>
      </c>
      <c r="H2324" s="156" t="str">
        <f>'Reported burning'!H2324</f>
        <v>Presence</v>
      </c>
      <c r="I2324" s="204"/>
      <c r="J2324" s="21" t="s">
        <v>2276</v>
      </c>
      <c r="K2324" s="21" t="s">
        <v>2276</v>
      </c>
      <c r="L2324" s="21" t="s">
        <v>2276</v>
      </c>
      <c r="M2324" s="21" t="s">
        <v>2276</v>
      </c>
      <c r="N2324" s="21" t="s">
        <v>2276</v>
      </c>
      <c r="O2324" s="21" t="s">
        <v>2276</v>
      </c>
      <c r="P2324" s="21" t="s">
        <v>2276</v>
      </c>
      <c r="Q2324" s="21" t="s">
        <v>2276</v>
      </c>
      <c r="R2324" s="21" t="s">
        <v>2276</v>
      </c>
      <c r="S2324" s="21" t="s">
        <v>2276</v>
      </c>
      <c r="T2324" s="21" t="s">
        <v>2276</v>
      </c>
      <c r="U2324" s="21" t="s">
        <v>2276</v>
      </c>
      <c r="V2324" s="21" t="s">
        <v>2276</v>
      </c>
      <c r="W2324" s="21" t="s">
        <v>2276</v>
      </c>
      <c r="X2324" s="21" t="s">
        <v>2276</v>
      </c>
      <c r="Y2324" s="21" t="s">
        <v>2276</v>
      </c>
      <c r="Z2324" s="21" t="s">
        <v>2276</v>
      </c>
      <c r="AA2324" s="204"/>
      <c r="AB2324" s="204"/>
    </row>
    <row r="2325" spans="1:28" s="203" customFormat="1" ht="46" customHeight="1">
      <c r="A2325" s="156" t="str">
        <f>'Reported burning'!A2325</f>
        <v>272a</v>
      </c>
      <c r="B2325" s="156" t="str">
        <f>'Reported burning'!B2325</f>
        <v>272a.10</v>
      </c>
      <c r="C2325" s="156" t="str">
        <f>'Reported burning'!C2325</f>
        <v>Human, escaped</v>
      </c>
      <c r="D2325" s="156" t="str">
        <f>'Reported burning'!D2325</f>
        <v>Crop residue burning</v>
      </c>
      <c r="E2325" s="156" t="str">
        <f>'Reported burning'!E2325</f>
        <v>Mixed cropping-livestock small holder, Market-oriented</v>
      </c>
      <c r="F2325" s="156" t="str">
        <f>'Reported burning'!F2325</f>
        <v>Cropland</v>
      </c>
      <c r="G2325" s="156" t="str">
        <f>'Reported burning'!G2325</f>
        <v>Forest</v>
      </c>
      <c r="H2325" s="156" t="str">
        <f>'Reported burning'!H2325</f>
        <v>Presence</v>
      </c>
      <c r="I2325" s="204"/>
      <c r="J2325" s="21" t="s">
        <v>2276</v>
      </c>
      <c r="K2325" s="21" t="s">
        <v>2276</v>
      </c>
      <c r="L2325" s="21" t="s">
        <v>2276</v>
      </c>
      <c r="M2325" s="21" t="s">
        <v>2276</v>
      </c>
      <c r="N2325" s="21" t="s">
        <v>2276</v>
      </c>
      <c r="O2325" s="21" t="s">
        <v>2276</v>
      </c>
      <c r="P2325" s="21" t="s">
        <v>2276</v>
      </c>
      <c r="Q2325" s="21" t="s">
        <v>2276</v>
      </c>
      <c r="R2325" s="21" t="s">
        <v>2276</v>
      </c>
      <c r="S2325" s="21" t="s">
        <v>2276</v>
      </c>
      <c r="T2325" s="21" t="s">
        <v>2276</v>
      </c>
      <c r="U2325" s="21" t="s">
        <v>2276</v>
      </c>
      <c r="V2325" s="21" t="s">
        <v>2276</v>
      </c>
      <c r="W2325" s="21" t="s">
        <v>2276</v>
      </c>
      <c r="X2325" s="21" t="s">
        <v>2276</v>
      </c>
      <c r="Y2325" s="21" t="s">
        <v>2276</v>
      </c>
      <c r="Z2325" s="21" t="s">
        <v>2276</v>
      </c>
      <c r="AA2325" s="204"/>
      <c r="AB2325" s="204"/>
    </row>
    <row r="2326" spans="1:28" s="203" customFormat="1" ht="46" customHeight="1">
      <c r="A2326" s="156" t="str">
        <f>'Reported burning'!A2326</f>
        <v>272a</v>
      </c>
      <c r="B2326" s="156" t="str">
        <f>'Reported burning'!B2326</f>
        <v>272a.11</v>
      </c>
      <c r="C2326" s="156" t="str">
        <f>'Reported burning'!C2326</f>
        <v>Human, deliberate</v>
      </c>
      <c r="D2326" s="156" t="str">
        <f>'Reported burning'!D2326</f>
        <v>Land clearance</v>
      </c>
      <c r="E2326" s="156" t="str">
        <f>'Reported burning'!E2326</f>
        <v>Mixed cropping-livestock small holder, Market-oriented</v>
      </c>
      <c r="F2326" s="156" t="str">
        <f>'Reported burning'!F2326</f>
        <v>Shrubland (Mixed forest &amp; grassland)</v>
      </c>
      <c r="G2326" s="156" t="str">
        <f>'Reported burning'!G2326</f>
        <v>Shrubland (Mixed forest &amp; grassland)</v>
      </c>
      <c r="H2326" s="156" t="str">
        <f>'Reported burning'!H2326</f>
        <v>Presence</v>
      </c>
      <c r="I2326" s="204"/>
      <c r="J2326" s="21" t="s">
        <v>2276</v>
      </c>
      <c r="K2326" s="21" t="s">
        <v>2276</v>
      </c>
      <c r="L2326" s="21" t="s">
        <v>2276</v>
      </c>
      <c r="M2326" s="21" t="s">
        <v>2276</v>
      </c>
      <c r="N2326" s="21" t="s">
        <v>2276</v>
      </c>
      <c r="O2326" s="21" t="s">
        <v>2276</v>
      </c>
      <c r="P2326" s="21" t="s">
        <v>2276</v>
      </c>
      <c r="Q2326" s="21" t="s">
        <v>2276</v>
      </c>
      <c r="R2326" s="21" t="s">
        <v>2276</v>
      </c>
      <c r="S2326" s="21" t="s">
        <v>2276</v>
      </c>
      <c r="T2326" s="21" t="s">
        <v>2276</v>
      </c>
      <c r="U2326" s="21" t="s">
        <v>2276</v>
      </c>
      <c r="V2326" s="21" t="s">
        <v>2276</v>
      </c>
      <c r="W2326" s="21" t="s">
        <v>2276</v>
      </c>
      <c r="X2326" s="21" t="s">
        <v>2276</v>
      </c>
      <c r="Y2326" s="21" t="s">
        <v>2276</v>
      </c>
      <c r="Z2326" s="21" t="s">
        <v>2276</v>
      </c>
      <c r="AA2326" s="204"/>
      <c r="AB2326" s="204"/>
    </row>
    <row r="2327" spans="1:28" s="203" customFormat="1" ht="46" customHeight="1">
      <c r="A2327" s="156" t="str">
        <f>'Reported burning'!A2327</f>
        <v>272a</v>
      </c>
      <c r="B2327" s="156" t="str">
        <f>'Reported burning'!B2327</f>
        <v>272a.12</v>
      </c>
      <c r="C2327" s="156" t="str">
        <f>'Reported burning'!C2327</f>
        <v>Human, deliberate</v>
      </c>
      <c r="D2327" s="156" t="str">
        <f>'Reported burning'!D2327</f>
        <v>Arson</v>
      </c>
      <c r="E2327" s="156" t="str">
        <f>'Reported burning'!E2327</f>
        <v>Mixed cropping-livestock small holder, Market-oriented</v>
      </c>
      <c r="F2327" s="156" t="str">
        <f>'Reported burning'!F2327</f>
        <v>Plantation forest</v>
      </c>
      <c r="G2327" s="156" t="str">
        <f>'Reported burning'!G2327</f>
        <v>Plantation forest</v>
      </c>
      <c r="H2327" s="156" t="str">
        <f>'Reported burning'!H2327</f>
        <v>Presence</v>
      </c>
      <c r="I2327" s="204"/>
      <c r="J2327" s="21" t="s">
        <v>2276</v>
      </c>
      <c r="K2327" s="21" t="s">
        <v>2276</v>
      </c>
      <c r="L2327" s="21" t="s">
        <v>2276</v>
      </c>
      <c r="M2327" s="21" t="s">
        <v>2276</v>
      </c>
      <c r="N2327" s="21" t="s">
        <v>2276</v>
      </c>
      <c r="O2327" s="21" t="s">
        <v>2276</v>
      </c>
      <c r="P2327" s="21" t="s">
        <v>2276</v>
      </c>
      <c r="Q2327" s="21" t="s">
        <v>2276</v>
      </c>
      <c r="R2327" s="21" t="s">
        <v>2276</v>
      </c>
      <c r="S2327" s="21" t="s">
        <v>2276</v>
      </c>
      <c r="T2327" s="21" t="s">
        <v>2276</v>
      </c>
      <c r="U2327" s="21" t="s">
        <v>2276</v>
      </c>
      <c r="V2327" s="21" t="s">
        <v>2276</v>
      </c>
      <c r="W2327" s="21" t="s">
        <v>2276</v>
      </c>
      <c r="X2327" s="21" t="s">
        <v>2276</v>
      </c>
      <c r="Y2327" s="21" t="s">
        <v>2276</v>
      </c>
      <c r="Z2327" s="21" t="s">
        <v>2276</v>
      </c>
      <c r="AA2327" s="204"/>
      <c r="AB2327" s="204"/>
    </row>
    <row r="2328" spans="1:28" s="203" customFormat="1" ht="46" customHeight="1">
      <c r="A2328" s="156" t="str">
        <f>'Reported burning'!A2328</f>
        <v>272a</v>
      </c>
      <c r="B2328" s="156" t="str">
        <f>'Reported burning'!B2328</f>
        <v>272a.13</v>
      </c>
      <c r="C2328" s="156" t="str">
        <f>'Reported burning'!C2328</f>
        <v>Human, deliberate</v>
      </c>
      <c r="D2328" s="156" t="str">
        <f>'Reported burning'!D2328</f>
        <v>Hunting</v>
      </c>
      <c r="E2328" s="156" t="str">
        <f>'Reported burning'!E2328</f>
        <v>Mixed cropping-livestock small holder, Market-oriented</v>
      </c>
      <c r="F2328" s="156" t="str">
        <f>'Reported burning'!F2328</f>
        <v>Forest</v>
      </c>
      <c r="G2328" s="156" t="str">
        <f>'Reported burning'!G2328</f>
        <v>Forest</v>
      </c>
      <c r="H2328" s="156" t="str">
        <f>'Reported burning'!H2328</f>
        <v>Presence</v>
      </c>
      <c r="I2328" s="204"/>
      <c r="J2328" s="21" t="s">
        <v>2276</v>
      </c>
      <c r="K2328" s="21" t="s">
        <v>2276</v>
      </c>
      <c r="L2328" s="21" t="s">
        <v>2276</v>
      </c>
      <c r="M2328" s="21" t="s">
        <v>2276</v>
      </c>
      <c r="N2328" s="21" t="s">
        <v>2276</v>
      </c>
      <c r="O2328" s="21" t="s">
        <v>2276</v>
      </c>
      <c r="P2328" s="21" t="s">
        <v>2276</v>
      </c>
      <c r="Q2328" s="21" t="s">
        <v>2276</v>
      </c>
      <c r="R2328" s="21" t="s">
        <v>2276</v>
      </c>
      <c r="S2328" s="21" t="s">
        <v>2276</v>
      </c>
      <c r="T2328" s="21" t="s">
        <v>2276</v>
      </c>
      <c r="U2328" s="21" t="s">
        <v>2276</v>
      </c>
      <c r="V2328" s="21" t="s">
        <v>2276</v>
      </c>
      <c r="W2328" s="21" t="s">
        <v>2276</v>
      </c>
      <c r="X2328" s="21" t="s">
        <v>2276</v>
      </c>
      <c r="Y2328" s="21" t="s">
        <v>2276</v>
      </c>
      <c r="Z2328" s="21" t="s">
        <v>2276</v>
      </c>
      <c r="AA2328" s="204"/>
      <c r="AB2328" s="204"/>
    </row>
    <row r="2329" spans="1:28" s="203" customFormat="1" ht="46" customHeight="1">
      <c r="A2329" s="156" t="str">
        <f>'Reported burning'!A2329</f>
        <v>272b</v>
      </c>
      <c r="B2329" s="156" t="str">
        <f>'Reported burning'!B2329</f>
        <v>272b.1</v>
      </c>
      <c r="C2329" s="156" t="str">
        <f>'Reported burning'!C2329</f>
        <v>All</v>
      </c>
      <c r="D2329" s="156" t="str">
        <f>'Reported burning'!D2329</f>
        <v>All</v>
      </c>
      <c r="E2329" s="156" t="str">
        <f>'Reported burning'!E2329</f>
        <v>All</v>
      </c>
      <c r="F2329" s="156" t="str">
        <f>'Reported burning'!F2329</f>
        <v>ND</v>
      </c>
      <c r="G2329" s="156" t="str">
        <f>'Reported burning'!G2329</f>
        <v>Forest</v>
      </c>
      <c r="H2329" s="156" t="str">
        <f>'Reported burning'!H2329</f>
        <v>Presence</v>
      </c>
      <c r="I2329" s="204"/>
      <c r="J2329" s="21" t="s">
        <v>2276</v>
      </c>
      <c r="K2329" s="21" t="s">
        <v>2276</v>
      </c>
      <c r="L2329" s="21" t="s">
        <v>2276</v>
      </c>
      <c r="M2329" s="21" t="s">
        <v>2276</v>
      </c>
      <c r="N2329" s="21" t="s">
        <v>2276</v>
      </c>
      <c r="O2329" s="21" t="s">
        <v>2276</v>
      </c>
      <c r="P2329" s="21" t="s">
        <v>2276</v>
      </c>
      <c r="Q2329" s="21" t="s">
        <v>2276</v>
      </c>
      <c r="R2329" s="21" t="s">
        <v>2276</v>
      </c>
      <c r="S2329" s="21" t="s">
        <v>2276</v>
      </c>
      <c r="T2329" s="21" t="s">
        <v>2276</v>
      </c>
      <c r="U2329" s="21" t="s">
        <v>2276</v>
      </c>
      <c r="V2329" s="4" t="s">
        <v>2527</v>
      </c>
      <c r="W2329" s="21" t="s">
        <v>2276</v>
      </c>
      <c r="X2329" s="21" t="s">
        <v>2276</v>
      </c>
      <c r="Y2329" s="21" t="s">
        <v>2276</v>
      </c>
      <c r="Z2329" s="21" t="s">
        <v>2276</v>
      </c>
      <c r="AA2329" s="204"/>
      <c r="AB2329" s="204"/>
    </row>
    <row r="2330" spans="1:28" s="203" customFormat="1" ht="46" customHeight="1">
      <c r="A2330" s="156" t="str">
        <f>'Reported burning'!A2330</f>
        <v>272b</v>
      </c>
      <c r="B2330" s="156" t="str">
        <f>'Reported burning'!B2330</f>
        <v>272b.2</v>
      </c>
      <c r="C2330" s="156" t="str">
        <f>'Reported burning'!C2330</f>
        <v>Human, deliberate</v>
      </c>
      <c r="D2330" s="156" t="str">
        <f>'Reported burning'!D2330</f>
        <v>ND</v>
      </c>
      <c r="E2330" s="156" t="str">
        <f>'Reported burning'!E2330</f>
        <v>Forestry, Industrial</v>
      </c>
      <c r="F2330" s="156" t="str">
        <f>'Reported burning'!F2330</f>
        <v>Forest</v>
      </c>
      <c r="G2330" s="156" t="str">
        <f>'Reported burning'!G2330</f>
        <v>Forest</v>
      </c>
      <c r="H2330" s="156" t="str">
        <f>'Reported burning'!H2330</f>
        <v>Presence</v>
      </c>
      <c r="I2330" s="204"/>
      <c r="J2330" s="21" t="s">
        <v>2276</v>
      </c>
      <c r="K2330" s="21" t="s">
        <v>2276</v>
      </c>
      <c r="L2330" s="21" t="s">
        <v>2276</v>
      </c>
      <c r="M2330" s="21" t="s">
        <v>2276</v>
      </c>
      <c r="N2330" s="21" t="s">
        <v>2276</v>
      </c>
      <c r="O2330" s="21" t="s">
        <v>2276</v>
      </c>
      <c r="P2330" s="21" t="s">
        <v>2276</v>
      </c>
      <c r="Q2330" s="21" t="s">
        <v>2276</v>
      </c>
      <c r="R2330" s="21" t="s">
        <v>2276</v>
      </c>
      <c r="S2330" s="21" t="s">
        <v>2276</v>
      </c>
      <c r="T2330" s="21" t="s">
        <v>2276</v>
      </c>
      <c r="U2330" s="21" t="s">
        <v>2276</v>
      </c>
      <c r="V2330" s="21" t="s">
        <v>2276</v>
      </c>
      <c r="W2330" s="21" t="s">
        <v>2276</v>
      </c>
      <c r="X2330" s="21" t="s">
        <v>2276</v>
      </c>
      <c r="Y2330" s="21" t="s">
        <v>2276</v>
      </c>
      <c r="Z2330" s="21" t="s">
        <v>2276</v>
      </c>
      <c r="AA2330" s="204"/>
      <c r="AB2330" s="204"/>
    </row>
    <row r="2331" spans="1:28" s="203" customFormat="1" ht="46" customHeight="1">
      <c r="A2331" s="156" t="str">
        <f>'Reported burning'!A2331</f>
        <v>272b</v>
      </c>
      <c r="B2331" s="156" t="str">
        <f>'Reported burning'!B2331</f>
        <v>272b.3</v>
      </c>
      <c r="C2331" s="156" t="str">
        <f>'Reported burning'!C2331</f>
        <v>Human, deliberate</v>
      </c>
      <c r="D2331" s="156" t="str">
        <f>'Reported burning'!D2331</f>
        <v>ND</v>
      </c>
      <c r="E2331" s="156" t="str">
        <f>'Reported burning'!E2331</f>
        <v>Mixed cropping-livestock small holder, Market-oriented</v>
      </c>
      <c r="F2331" s="156" t="str">
        <f>'Reported burning'!F2331</f>
        <v>Forest</v>
      </c>
      <c r="G2331" s="156" t="str">
        <f>'Reported burning'!G2331</f>
        <v>Forest</v>
      </c>
      <c r="H2331" s="156" t="str">
        <f>'Reported burning'!H2331</f>
        <v>Presence</v>
      </c>
      <c r="I2331" s="204"/>
      <c r="J2331" s="21" t="s">
        <v>2276</v>
      </c>
      <c r="K2331" s="21" t="s">
        <v>2276</v>
      </c>
      <c r="L2331" s="21" t="s">
        <v>2276</v>
      </c>
      <c r="M2331" s="21" t="s">
        <v>2276</v>
      </c>
      <c r="N2331" s="21" t="s">
        <v>2276</v>
      </c>
      <c r="O2331" s="21" t="s">
        <v>2276</v>
      </c>
      <c r="P2331" s="21" t="s">
        <v>2276</v>
      </c>
      <c r="Q2331" s="21" t="s">
        <v>2276</v>
      </c>
      <c r="R2331" s="21" t="s">
        <v>2276</v>
      </c>
      <c r="S2331" s="21" t="s">
        <v>2276</v>
      </c>
      <c r="T2331" s="21" t="s">
        <v>2276</v>
      </c>
      <c r="U2331" s="21" t="s">
        <v>2276</v>
      </c>
      <c r="V2331" s="21" t="s">
        <v>2276</v>
      </c>
      <c r="W2331" s="21" t="s">
        <v>2276</v>
      </c>
      <c r="X2331" s="21" t="s">
        <v>2276</v>
      </c>
      <c r="Y2331" s="21" t="s">
        <v>2276</v>
      </c>
      <c r="Z2331" s="21" t="s">
        <v>2276</v>
      </c>
      <c r="AA2331" s="204"/>
      <c r="AB2331" s="204"/>
    </row>
    <row r="2332" spans="1:28" s="203" customFormat="1" ht="46" customHeight="1">
      <c r="A2332" s="156" t="str">
        <f>'Reported burning'!A2332</f>
        <v>272b</v>
      </c>
      <c r="B2332" s="156" t="str">
        <f>'Reported burning'!B2332</f>
        <v>272b.4</v>
      </c>
      <c r="C2332" s="156" t="str">
        <f>'Reported burning'!C2332</f>
        <v>Human, escaped</v>
      </c>
      <c r="D2332" s="156" t="str">
        <f>'Reported burning'!D2332</f>
        <v>ND</v>
      </c>
      <c r="E2332" s="156" t="str">
        <f>'Reported burning'!E2332</f>
        <v>Mixed cropping-livestock small holder, Market-oriented</v>
      </c>
      <c r="F2332" s="156" t="str">
        <f>'Reported burning'!F2332</f>
        <v>ND</v>
      </c>
      <c r="G2332" s="156" t="str">
        <f>'Reported burning'!G2332</f>
        <v>Forest</v>
      </c>
      <c r="H2332" s="156" t="str">
        <f>'Reported burning'!H2332</f>
        <v>Presence</v>
      </c>
      <c r="I2332" s="204"/>
      <c r="J2332" s="21" t="s">
        <v>2276</v>
      </c>
      <c r="K2332" s="21" t="s">
        <v>2276</v>
      </c>
      <c r="L2332" s="21" t="s">
        <v>2276</v>
      </c>
      <c r="M2332" s="21" t="s">
        <v>2276</v>
      </c>
      <c r="N2332" s="21" t="s">
        <v>2276</v>
      </c>
      <c r="O2332" s="21" t="s">
        <v>2276</v>
      </c>
      <c r="P2332" s="21" t="s">
        <v>2276</v>
      </c>
      <c r="Q2332" s="21" t="s">
        <v>2276</v>
      </c>
      <c r="R2332" s="21" t="s">
        <v>2276</v>
      </c>
      <c r="S2332" s="21" t="s">
        <v>2276</v>
      </c>
      <c r="T2332" s="21" t="s">
        <v>2276</v>
      </c>
      <c r="U2332" s="21" t="s">
        <v>2276</v>
      </c>
      <c r="V2332" s="21" t="s">
        <v>2276</v>
      </c>
      <c r="W2332" s="21" t="s">
        <v>2276</v>
      </c>
      <c r="X2332" s="21" t="s">
        <v>2276</v>
      </c>
      <c r="Y2332" s="21" t="s">
        <v>2276</v>
      </c>
      <c r="Z2332" s="21" t="s">
        <v>2276</v>
      </c>
      <c r="AA2332" s="204"/>
      <c r="AB2332" s="204"/>
    </row>
    <row r="2333" spans="1:28" s="203" customFormat="1" ht="46" customHeight="1">
      <c r="A2333" s="156" t="str">
        <f>'Reported burning'!A2333</f>
        <v>272b</v>
      </c>
      <c r="B2333" s="156" t="str">
        <f>'Reported burning'!B2333</f>
        <v>272b.5</v>
      </c>
      <c r="C2333" s="156" t="str">
        <f>'Reported burning'!C2333</f>
        <v>Human, escaped</v>
      </c>
      <c r="D2333" s="156" t="str">
        <f>'Reported burning'!D2333</f>
        <v>ND</v>
      </c>
      <c r="E2333" s="156" t="str">
        <f>'Reported burning'!E2333</f>
        <v>Forestry, Industrial</v>
      </c>
      <c r="F2333" s="156" t="str">
        <f>'Reported burning'!F2333</f>
        <v>Shrubland (Mixed forest &amp; grassland)</v>
      </c>
      <c r="G2333" s="156" t="str">
        <f>'Reported burning'!G2333</f>
        <v>Forest</v>
      </c>
      <c r="H2333" s="156" t="str">
        <f>'Reported burning'!H2333</f>
        <v>Presence</v>
      </c>
      <c r="I2333" s="204"/>
      <c r="J2333" s="21" t="s">
        <v>2276</v>
      </c>
      <c r="K2333" s="21" t="s">
        <v>2276</v>
      </c>
      <c r="L2333" s="21" t="s">
        <v>2276</v>
      </c>
      <c r="M2333" s="21" t="s">
        <v>2276</v>
      </c>
      <c r="N2333" s="21" t="s">
        <v>2276</v>
      </c>
      <c r="O2333" s="21" t="s">
        <v>2276</v>
      </c>
      <c r="P2333" s="21" t="s">
        <v>2276</v>
      </c>
      <c r="Q2333" s="21" t="s">
        <v>2276</v>
      </c>
      <c r="R2333" s="21" t="s">
        <v>2276</v>
      </c>
      <c r="S2333" s="21" t="s">
        <v>2276</v>
      </c>
      <c r="T2333" s="21" t="s">
        <v>2276</v>
      </c>
      <c r="U2333" s="21" t="s">
        <v>2276</v>
      </c>
      <c r="V2333" s="21" t="s">
        <v>2276</v>
      </c>
      <c r="W2333" s="21" t="s">
        <v>2276</v>
      </c>
      <c r="X2333" s="21" t="s">
        <v>2276</v>
      </c>
      <c r="Y2333" s="21" t="s">
        <v>2276</v>
      </c>
      <c r="Z2333" s="21" t="s">
        <v>2276</v>
      </c>
      <c r="AA2333" s="204"/>
      <c r="AB2333" s="204"/>
    </row>
    <row r="2334" spans="1:28" s="203" customFormat="1" ht="46" customHeight="1">
      <c r="A2334" s="156" t="str">
        <f>'Reported burning'!A2334</f>
        <v>272b</v>
      </c>
      <c r="B2334" s="156" t="str">
        <f>'Reported burning'!B2334</f>
        <v>272b.6</v>
      </c>
      <c r="C2334" s="156" t="str">
        <f>'Reported burning'!C2334</f>
        <v>Human, deliberate</v>
      </c>
      <c r="D2334" s="156" t="str">
        <f>'Reported burning'!D2334</f>
        <v>Arson</v>
      </c>
      <c r="E2334" s="156" t="str">
        <f>'Reported burning'!E2334</f>
        <v>Mixed cropping-livestock small holder, Market-oriented</v>
      </c>
      <c r="F2334" s="156" t="str">
        <f>'Reported burning'!F2334</f>
        <v>Plantation forest</v>
      </c>
      <c r="G2334" s="156" t="str">
        <f>'Reported burning'!G2334</f>
        <v>Plantation forest</v>
      </c>
      <c r="H2334" s="156" t="str">
        <f>'Reported burning'!H2334</f>
        <v>Presence</v>
      </c>
      <c r="I2334" s="204"/>
      <c r="J2334" s="21" t="s">
        <v>2276</v>
      </c>
      <c r="K2334" s="21" t="s">
        <v>2276</v>
      </c>
      <c r="L2334" s="21" t="s">
        <v>2276</v>
      </c>
      <c r="M2334" s="21" t="s">
        <v>2276</v>
      </c>
      <c r="N2334" s="21" t="s">
        <v>2276</v>
      </c>
      <c r="O2334" s="21" t="s">
        <v>2276</v>
      </c>
      <c r="P2334" s="21" t="s">
        <v>2276</v>
      </c>
      <c r="Q2334" s="21" t="s">
        <v>2276</v>
      </c>
      <c r="R2334" s="21" t="s">
        <v>2276</v>
      </c>
      <c r="S2334" s="21" t="s">
        <v>2276</v>
      </c>
      <c r="T2334" s="21" t="s">
        <v>2276</v>
      </c>
      <c r="U2334" s="21" t="s">
        <v>2276</v>
      </c>
      <c r="V2334" s="21" t="s">
        <v>2276</v>
      </c>
      <c r="W2334" s="21" t="s">
        <v>2276</v>
      </c>
      <c r="X2334" s="21" t="s">
        <v>2276</v>
      </c>
      <c r="Y2334" s="21" t="s">
        <v>2276</v>
      </c>
      <c r="Z2334" s="21" t="s">
        <v>2276</v>
      </c>
      <c r="AA2334" s="204"/>
      <c r="AB2334" s="204"/>
    </row>
    <row r="2335" spans="1:28" s="203" customFormat="1" ht="46" customHeight="1">
      <c r="A2335" s="156" t="str">
        <f>'Reported burning'!A2335</f>
        <v>272b</v>
      </c>
      <c r="B2335" s="156" t="str">
        <f>'Reported burning'!B2335</f>
        <v>272b.7</v>
      </c>
      <c r="C2335" s="156" t="str">
        <f>'Reported burning'!C2335</f>
        <v>Human, accidental</v>
      </c>
      <c r="D2335" s="156" t="str">
        <f>'Reported burning'!D2335</f>
        <v>Accidental</v>
      </c>
      <c r="E2335" s="156" t="str">
        <f>'Reported burning'!E2335</f>
        <v>ND</v>
      </c>
      <c r="F2335" s="156" t="str">
        <f>'Reported burning'!F2335</f>
        <v>ND</v>
      </c>
      <c r="G2335" s="156" t="str">
        <f>'Reported burning'!G2335</f>
        <v>Forest</v>
      </c>
      <c r="H2335" s="156" t="str">
        <f>'Reported burning'!H2335</f>
        <v>Presence</v>
      </c>
      <c r="I2335" s="204"/>
      <c r="J2335" s="21" t="s">
        <v>2276</v>
      </c>
      <c r="K2335" s="21" t="s">
        <v>2276</v>
      </c>
      <c r="L2335" s="21" t="s">
        <v>2276</v>
      </c>
      <c r="M2335" s="21" t="s">
        <v>2276</v>
      </c>
      <c r="N2335" s="21" t="s">
        <v>2276</v>
      </c>
      <c r="O2335" s="21" t="s">
        <v>2276</v>
      </c>
      <c r="P2335" s="21" t="s">
        <v>2276</v>
      </c>
      <c r="Q2335" s="21" t="s">
        <v>2276</v>
      </c>
      <c r="R2335" s="21" t="s">
        <v>2276</v>
      </c>
      <c r="S2335" s="21" t="s">
        <v>2276</v>
      </c>
      <c r="T2335" s="21" t="s">
        <v>2276</v>
      </c>
      <c r="U2335" s="21" t="s">
        <v>2276</v>
      </c>
      <c r="V2335" s="21" t="s">
        <v>2276</v>
      </c>
      <c r="W2335" s="21" t="s">
        <v>2276</v>
      </c>
      <c r="X2335" s="21" t="s">
        <v>2276</v>
      </c>
      <c r="Y2335" s="21" t="s">
        <v>2276</v>
      </c>
      <c r="Z2335" s="21" t="s">
        <v>2276</v>
      </c>
      <c r="AA2335" s="204"/>
      <c r="AB2335" s="204"/>
    </row>
    <row r="2336" spans="1:28" s="203" customFormat="1" ht="46" customHeight="1">
      <c r="A2336" s="156" t="str">
        <f>'Reported burning'!A2336</f>
        <v>272b</v>
      </c>
      <c r="B2336" s="156" t="str">
        <f>'Reported burning'!B2336</f>
        <v>272b.8</v>
      </c>
      <c r="C2336" s="156" t="str">
        <f>'Reported burning'!C2336</f>
        <v>Lightning</v>
      </c>
      <c r="D2336" s="156" t="str">
        <f>'Reported burning'!D2336</f>
        <v>ND</v>
      </c>
      <c r="E2336" s="156" t="str">
        <f>'Reported burning'!E2336</f>
        <v>Mixed cropping-livestock small holder, Market-oriented</v>
      </c>
      <c r="F2336" s="156" t="str">
        <f>'Reported burning'!F2336</f>
        <v>ND</v>
      </c>
      <c r="G2336" s="156" t="str">
        <f>'Reported burning'!G2336</f>
        <v>Forest</v>
      </c>
      <c r="H2336" s="156" t="str">
        <f>'Reported burning'!H2336</f>
        <v>Presence</v>
      </c>
      <c r="I2336" s="204"/>
      <c r="J2336" s="21" t="s">
        <v>2276</v>
      </c>
      <c r="K2336" s="21" t="s">
        <v>2276</v>
      </c>
      <c r="L2336" s="21" t="s">
        <v>2276</v>
      </c>
      <c r="M2336" s="21" t="s">
        <v>2276</v>
      </c>
      <c r="N2336" s="21" t="s">
        <v>2276</v>
      </c>
      <c r="O2336" s="21" t="s">
        <v>2276</v>
      </c>
      <c r="P2336" s="21" t="s">
        <v>2276</v>
      </c>
      <c r="Q2336" s="21" t="s">
        <v>2276</v>
      </c>
      <c r="R2336" s="21" t="s">
        <v>2276</v>
      </c>
      <c r="S2336" s="21" t="s">
        <v>2276</v>
      </c>
      <c r="T2336" s="21" t="s">
        <v>2276</v>
      </c>
      <c r="U2336" s="21" t="s">
        <v>2276</v>
      </c>
      <c r="V2336" s="21" t="s">
        <v>2276</v>
      </c>
      <c r="W2336" s="21" t="s">
        <v>2276</v>
      </c>
      <c r="X2336" s="21" t="s">
        <v>2276</v>
      </c>
      <c r="Y2336" s="21" t="s">
        <v>2276</v>
      </c>
      <c r="Z2336" s="21" t="s">
        <v>2276</v>
      </c>
      <c r="AA2336" s="204"/>
      <c r="AB2336" s="204"/>
    </row>
    <row r="2337" spans="1:28" s="203" customFormat="1" ht="46" customHeight="1">
      <c r="A2337" s="156" t="str">
        <f>'Reported burning'!A2337</f>
        <v>272b</v>
      </c>
      <c r="B2337" s="156" t="str">
        <f>'Reported burning'!B2337</f>
        <v>272b.9</v>
      </c>
      <c r="C2337" s="156" t="str">
        <f>'Reported burning'!C2337</f>
        <v>Unknown</v>
      </c>
      <c r="D2337" s="156" t="str">
        <f>'Reported burning'!D2337</f>
        <v>ND</v>
      </c>
      <c r="E2337" s="156" t="str">
        <f>'Reported burning'!E2337</f>
        <v>ND</v>
      </c>
      <c r="F2337" s="156" t="str">
        <f>'Reported burning'!F2337</f>
        <v>ND</v>
      </c>
      <c r="G2337" s="156" t="str">
        <f>'Reported burning'!G2337</f>
        <v>Forest</v>
      </c>
      <c r="H2337" s="156" t="str">
        <f>'Reported burning'!H2337</f>
        <v>Presence</v>
      </c>
      <c r="I2337" s="204"/>
      <c r="J2337" s="21" t="s">
        <v>2276</v>
      </c>
      <c r="K2337" s="21" t="s">
        <v>2276</v>
      </c>
      <c r="L2337" s="21" t="s">
        <v>2276</v>
      </c>
      <c r="M2337" s="21" t="s">
        <v>2276</v>
      </c>
      <c r="N2337" s="21" t="s">
        <v>2276</v>
      </c>
      <c r="O2337" s="21" t="s">
        <v>2276</v>
      </c>
      <c r="P2337" s="21" t="s">
        <v>2276</v>
      </c>
      <c r="Q2337" s="21" t="s">
        <v>2276</v>
      </c>
      <c r="R2337" s="21" t="s">
        <v>2276</v>
      </c>
      <c r="S2337" s="21" t="s">
        <v>2276</v>
      </c>
      <c r="T2337" s="21" t="s">
        <v>2276</v>
      </c>
      <c r="U2337" s="21" t="s">
        <v>2276</v>
      </c>
      <c r="V2337" s="21" t="s">
        <v>2276</v>
      </c>
      <c r="W2337" s="21" t="s">
        <v>2276</v>
      </c>
      <c r="X2337" s="21" t="s">
        <v>2276</v>
      </c>
      <c r="Y2337" s="21" t="s">
        <v>2276</v>
      </c>
      <c r="Z2337" s="21" t="s">
        <v>2276</v>
      </c>
      <c r="AA2337" s="204"/>
      <c r="AB2337" s="204"/>
    </row>
    <row r="2338" spans="1:28" s="203" customFormat="1" ht="46" customHeight="1">
      <c r="A2338" s="156" t="str">
        <f>'Reported burning'!A2338</f>
        <v>272c</v>
      </c>
      <c r="B2338" s="156" t="str">
        <f>'Reported burning'!B2338</f>
        <v>272c.1</v>
      </c>
      <c r="C2338" s="156" t="str">
        <f>'Reported burning'!C2338</f>
        <v>All</v>
      </c>
      <c r="D2338" s="156" t="str">
        <f>'Reported burning'!D2338</f>
        <v>All</v>
      </c>
      <c r="E2338" s="156" t="str">
        <f>'Reported burning'!E2338</f>
        <v>All</v>
      </c>
      <c r="F2338" s="156" t="str">
        <f>'Reported burning'!F2338</f>
        <v>ND</v>
      </c>
      <c r="G2338" s="156" t="str">
        <f>'Reported burning'!G2338</f>
        <v>Forest</v>
      </c>
      <c r="H2338" s="156" t="str">
        <f>'Reported burning'!H2338</f>
        <v>Presence</v>
      </c>
      <c r="I2338" s="204"/>
      <c r="J2338" s="21" t="s">
        <v>2276</v>
      </c>
      <c r="K2338" s="21" t="s">
        <v>2276</v>
      </c>
      <c r="L2338" s="21" t="s">
        <v>2276</v>
      </c>
      <c r="M2338" s="21" t="s">
        <v>2276</v>
      </c>
      <c r="N2338" s="21" t="s">
        <v>2276</v>
      </c>
      <c r="O2338" s="21" t="s">
        <v>2276</v>
      </c>
      <c r="P2338" s="21" t="s">
        <v>2276</v>
      </c>
      <c r="Q2338" s="21" t="s">
        <v>2276</v>
      </c>
      <c r="R2338" s="21" t="s">
        <v>2276</v>
      </c>
      <c r="S2338" s="21" t="s">
        <v>2276</v>
      </c>
      <c r="T2338" s="21" t="s">
        <v>2276</v>
      </c>
      <c r="U2338" s="21" t="s">
        <v>2276</v>
      </c>
      <c r="V2338" s="4" t="s">
        <v>2527</v>
      </c>
      <c r="W2338" s="21" t="s">
        <v>2276</v>
      </c>
      <c r="X2338" s="21" t="s">
        <v>2276</v>
      </c>
      <c r="Y2338" s="21" t="s">
        <v>2276</v>
      </c>
      <c r="Z2338" s="21" t="s">
        <v>2276</v>
      </c>
      <c r="AA2338" s="204"/>
      <c r="AB2338" s="204"/>
    </row>
    <row r="2339" spans="1:28" ht="46" customHeight="1">
      <c r="A2339" s="156" t="str">
        <f>'Reported burning'!A2339</f>
        <v>272c</v>
      </c>
      <c r="B2339" s="156" t="str">
        <f>'Reported burning'!B2339</f>
        <v>272c.2</v>
      </c>
      <c r="C2339" s="156" t="str">
        <f>'Reported burning'!C2339</f>
        <v>Human, deliberate</v>
      </c>
      <c r="D2339" s="156" t="str">
        <f>'Reported burning'!D2339</f>
        <v>ND</v>
      </c>
      <c r="E2339" s="156" t="str">
        <f>'Reported burning'!E2339</f>
        <v>Forestry, Industrial</v>
      </c>
      <c r="F2339" s="156" t="str">
        <f>'Reported burning'!F2339</f>
        <v>Forest</v>
      </c>
      <c r="G2339" s="156" t="str">
        <f>'Reported burning'!G2339</f>
        <v>Forest</v>
      </c>
      <c r="H2339" s="156" t="str">
        <f>'Reported burning'!H2339</f>
        <v>Presence</v>
      </c>
      <c r="I2339" s="3"/>
      <c r="J2339" s="21" t="s">
        <v>2276</v>
      </c>
      <c r="K2339" s="21" t="s">
        <v>2276</v>
      </c>
      <c r="L2339" s="21" t="s">
        <v>2276</v>
      </c>
      <c r="M2339" s="21" t="s">
        <v>2276</v>
      </c>
      <c r="N2339" s="21" t="s">
        <v>2276</v>
      </c>
      <c r="O2339" s="21" t="s">
        <v>2276</v>
      </c>
      <c r="P2339" s="21" t="s">
        <v>2276</v>
      </c>
      <c r="Q2339" s="21" t="s">
        <v>2276</v>
      </c>
      <c r="R2339" s="21" t="s">
        <v>2276</v>
      </c>
      <c r="S2339" s="21" t="s">
        <v>2276</v>
      </c>
      <c r="T2339" s="21" t="s">
        <v>2276</v>
      </c>
      <c r="U2339" s="21" t="s">
        <v>2276</v>
      </c>
      <c r="V2339" s="21" t="s">
        <v>2276</v>
      </c>
      <c r="W2339" s="21" t="s">
        <v>2276</v>
      </c>
      <c r="X2339" s="21" t="s">
        <v>2276</v>
      </c>
      <c r="Y2339" s="21" t="s">
        <v>2276</v>
      </c>
      <c r="Z2339" s="21" t="s">
        <v>2276</v>
      </c>
      <c r="AA2339" s="3"/>
      <c r="AB2339" s="3"/>
    </row>
    <row r="2340" spans="1:28" s="203" customFormat="1" ht="46" customHeight="1">
      <c r="A2340" s="156" t="str">
        <f>'Reported burning'!A2340</f>
        <v>272c</v>
      </c>
      <c r="B2340" s="156" t="str">
        <f>'Reported burning'!B2340</f>
        <v>272c.3</v>
      </c>
      <c r="C2340" s="156" t="str">
        <f>'Reported burning'!C2340</f>
        <v>Human, deliberate</v>
      </c>
      <c r="D2340" s="156" t="str">
        <f>'Reported burning'!D2340</f>
        <v>ND</v>
      </c>
      <c r="E2340" s="156" t="str">
        <f>'Reported burning'!E2340</f>
        <v>Mixed cropping-livestock small holder, Market-oriented</v>
      </c>
      <c r="F2340" s="156" t="str">
        <f>'Reported burning'!F2340</f>
        <v>Forest</v>
      </c>
      <c r="G2340" s="156" t="str">
        <f>'Reported burning'!G2340</f>
        <v>Forest</v>
      </c>
      <c r="H2340" s="156" t="str">
        <f>'Reported burning'!H2340</f>
        <v>Presence</v>
      </c>
      <c r="I2340" s="5"/>
      <c r="J2340" s="21" t="s">
        <v>2276</v>
      </c>
      <c r="K2340" s="21" t="s">
        <v>2276</v>
      </c>
      <c r="L2340" s="21" t="s">
        <v>2276</v>
      </c>
      <c r="M2340" s="21" t="s">
        <v>2276</v>
      </c>
      <c r="N2340" s="21" t="s">
        <v>2276</v>
      </c>
      <c r="O2340" s="21" t="s">
        <v>2276</v>
      </c>
      <c r="P2340" s="21" t="s">
        <v>2276</v>
      </c>
      <c r="Q2340" s="21" t="s">
        <v>2276</v>
      </c>
      <c r="R2340" s="21" t="s">
        <v>2276</v>
      </c>
      <c r="S2340" s="21" t="s">
        <v>2276</v>
      </c>
      <c r="T2340" s="21" t="s">
        <v>2276</v>
      </c>
      <c r="U2340" s="21" t="s">
        <v>2276</v>
      </c>
      <c r="V2340" s="21" t="s">
        <v>2276</v>
      </c>
      <c r="W2340" s="21" t="s">
        <v>2276</v>
      </c>
      <c r="X2340" s="21" t="s">
        <v>2276</v>
      </c>
      <c r="Y2340" s="21" t="s">
        <v>2276</v>
      </c>
      <c r="Z2340" s="21" t="s">
        <v>2276</v>
      </c>
      <c r="AA2340" s="204"/>
      <c r="AB2340" s="204"/>
    </row>
    <row r="2341" spans="1:28" s="203" customFormat="1" ht="46" customHeight="1">
      <c r="A2341" s="156" t="str">
        <f>'Reported burning'!A2341</f>
        <v>272c</v>
      </c>
      <c r="B2341" s="156" t="str">
        <f>'Reported burning'!B2341</f>
        <v>272c.4</v>
      </c>
      <c r="C2341" s="156" t="str">
        <f>'Reported burning'!C2341</f>
        <v>Human, escaped</v>
      </c>
      <c r="D2341" s="156" t="str">
        <f>'Reported burning'!D2341</f>
        <v>ND</v>
      </c>
      <c r="E2341" s="156" t="str">
        <f>'Reported burning'!E2341</f>
        <v>Mixed cropping-livestock small holder, Market-oriented</v>
      </c>
      <c r="F2341" s="156" t="str">
        <f>'Reported burning'!F2341</f>
        <v>ND</v>
      </c>
      <c r="G2341" s="156" t="str">
        <f>'Reported burning'!G2341</f>
        <v>Forest</v>
      </c>
      <c r="H2341" s="156" t="str">
        <f>'Reported burning'!H2341</f>
        <v>Presence</v>
      </c>
      <c r="I2341" s="5"/>
      <c r="J2341" s="21" t="s">
        <v>2276</v>
      </c>
      <c r="K2341" s="21" t="s">
        <v>2276</v>
      </c>
      <c r="L2341" s="21" t="s">
        <v>2276</v>
      </c>
      <c r="M2341" s="21" t="s">
        <v>2276</v>
      </c>
      <c r="N2341" s="21" t="s">
        <v>2276</v>
      </c>
      <c r="O2341" s="21" t="s">
        <v>2276</v>
      </c>
      <c r="P2341" s="21" t="s">
        <v>2276</v>
      </c>
      <c r="Q2341" s="21" t="s">
        <v>2276</v>
      </c>
      <c r="R2341" s="21" t="s">
        <v>2276</v>
      </c>
      <c r="S2341" s="21" t="s">
        <v>2276</v>
      </c>
      <c r="T2341" s="21" t="s">
        <v>2276</v>
      </c>
      <c r="U2341" s="21" t="s">
        <v>2276</v>
      </c>
      <c r="V2341" s="21" t="s">
        <v>2276</v>
      </c>
      <c r="W2341" s="21" t="s">
        <v>2276</v>
      </c>
      <c r="X2341" s="21" t="s">
        <v>2276</v>
      </c>
      <c r="Y2341" s="21" t="s">
        <v>2276</v>
      </c>
      <c r="Z2341" s="21" t="s">
        <v>2276</v>
      </c>
      <c r="AA2341" s="204"/>
      <c r="AB2341" s="204"/>
    </row>
    <row r="2342" spans="1:28" s="203" customFormat="1" ht="46" customHeight="1">
      <c r="A2342" s="156" t="str">
        <f>'Reported burning'!A2342</f>
        <v>272c</v>
      </c>
      <c r="B2342" s="156" t="str">
        <f>'Reported burning'!B2342</f>
        <v>272c.5</v>
      </c>
      <c r="C2342" s="156" t="str">
        <f>'Reported burning'!C2342</f>
        <v>Human, escaped</v>
      </c>
      <c r="D2342" s="156" t="str">
        <f>'Reported burning'!D2342</f>
        <v>ND</v>
      </c>
      <c r="E2342" s="156" t="str">
        <f>'Reported burning'!E2342</f>
        <v>Forestry, Industrial</v>
      </c>
      <c r="F2342" s="156" t="str">
        <f>'Reported burning'!F2342</f>
        <v>Shrubland (Mixed forest &amp; grassland)</v>
      </c>
      <c r="G2342" s="156" t="str">
        <f>'Reported burning'!G2342</f>
        <v>Forest</v>
      </c>
      <c r="H2342" s="156" t="str">
        <f>'Reported burning'!H2342</f>
        <v>Presence</v>
      </c>
      <c r="I2342" s="5"/>
      <c r="J2342" s="21" t="s">
        <v>2276</v>
      </c>
      <c r="K2342" s="21" t="s">
        <v>2276</v>
      </c>
      <c r="L2342" s="21" t="s">
        <v>2276</v>
      </c>
      <c r="M2342" s="21" t="s">
        <v>2276</v>
      </c>
      <c r="N2342" s="21" t="s">
        <v>2276</v>
      </c>
      <c r="O2342" s="21" t="s">
        <v>2276</v>
      </c>
      <c r="P2342" s="21" t="s">
        <v>2276</v>
      </c>
      <c r="Q2342" s="21" t="s">
        <v>2276</v>
      </c>
      <c r="R2342" s="21" t="s">
        <v>2276</v>
      </c>
      <c r="S2342" s="21" t="s">
        <v>2276</v>
      </c>
      <c r="T2342" s="21" t="s">
        <v>2276</v>
      </c>
      <c r="U2342" s="21" t="s">
        <v>2276</v>
      </c>
      <c r="V2342" s="21" t="s">
        <v>2276</v>
      </c>
      <c r="W2342" s="21" t="s">
        <v>2276</v>
      </c>
      <c r="X2342" s="21" t="s">
        <v>2276</v>
      </c>
      <c r="Y2342" s="21" t="s">
        <v>2276</v>
      </c>
      <c r="Z2342" s="21" t="s">
        <v>2276</v>
      </c>
      <c r="AA2342" s="204"/>
      <c r="AB2342" s="204"/>
    </row>
    <row r="2343" spans="1:28" s="203" customFormat="1" ht="46" customHeight="1">
      <c r="A2343" s="156" t="str">
        <f>'Reported burning'!A2343</f>
        <v>272c</v>
      </c>
      <c r="B2343" s="156" t="str">
        <f>'Reported burning'!B2343</f>
        <v>272c.6</v>
      </c>
      <c r="C2343" s="156" t="str">
        <f>'Reported burning'!C2343</f>
        <v>Human, deliberate</v>
      </c>
      <c r="D2343" s="156" t="str">
        <f>'Reported burning'!D2343</f>
        <v>Arson</v>
      </c>
      <c r="E2343" s="156" t="str">
        <f>'Reported burning'!E2343</f>
        <v>Mixed cropping-livestock small holder, Market-oriented</v>
      </c>
      <c r="F2343" s="156" t="str">
        <f>'Reported burning'!F2343</f>
        <v>Plantation forest</v>
      </c>
      <c r="G2343" s="156" t="str">
        <f>'Reported burning'!G2343</f>
        <v>Plantation forest</v>
      </c>
      <c r="H2343" s="156" t="str">
        <f>'Reported burning'!H2343</f>
        <v>Presence</v>
      </c>
      <c r="I2343" s="5"/>
      <c r="J2343" s="21" t="s">
        <v>2276</v>
      </c>
      <c r="K2343" s="21" t="s">
        <v>2276</v>
      </c>
      <c r="L2343" s="21" t="s">
        <v>2276</v>
      </c>
      <c r="M2343" s="21" t="s">
        <v>2276</v>
      </c>
      <c r="N2343" s="21" t="s">
        <v>2276</v>
      </c>
      <c r="O2343" s="21" t="s">
        <v>2276</v>
      </c>
      <c r="P2343" s="21" t="s">
        <v>2276</v>
      </c>
      <c r="Q2343" s="21" t="s">
        <v>2276</v>
      </c>
      <c r="R2343" s="21" t="s">
        <v>2276</v>
      </c>
      <c r="S2343" s="21" t="s">
        <v>2276</v>
      </c>
      <c r="T2343" s="21" t="s">
        <v>2276</v>
      </c>
      <c r="U2343" s="21" t="s">
        <v>2276</v>
      </c>
      <c r="V2343" s="21" t="s">
        <v>2276</v>
      </c>
      <c r="W2343" s="21" t="s">
        <v>2276</v>
      </c>
      <c r="X2343" s="21" t="s">
        <v>2276</v>
      </c>
      <c r="Y2343" s="21" t="s">
        <v>2276</v>
      </c>
      <c r="Z2343" s="21" t="s">
        <v>2276</v>
      </c>
      <c r="AA2343" s="204"/>
      <c r="AB2343" s="204"/>
    </row>
    <row r="2344" spans="1:28" s="203" customFormat="1" ht="46" customHeight="1">
      <c r="A2344" s="156" t="str">
        <f>'Reported burning'!A2344</f>
        <v>272c</v>
      </c>
      <c r="B2344" s="156" t="str">
        <f>'Reported burning'!B2344</f>
        <v>272c.7</v>
      </c>
      <c r="C2344" s="156" t="str">
        <f>'Reported burning'!C2344</f>
        <v>Human, accidental</v>
      </c>
      <c r="D2344" s="156" t="str">
        <f>'Reported burning'!D2344</f>
        <v>Accidental</v>
      </c>
      <c r="E2344" s="156" t="str">
        <f>'Reported burning'!E2344</f>
        <v>ND</v>
      </c>
      <c r="F2344" s="156" t="str">
        <f>'Reported burning'!F2344</f>
        <v>ND</v>
      </c>
      <c r="G2344" s="156" t="str">
        <f>'Reported burning'!G2344</f>
        <v>Forest</v>
      </c>
      <c r="H2344" s="156" t="str">
        <f>'Reported burning'!H2344</f>
        <v>Presence</v>
      </c>
      <c r="I2344" s="5"/>
      <c r="J2344" s="21" t="s">
        <v>2276</v>
      </c>
      <c r="K2344" s="21" t="s">
        <v>2276</v>
      </c>
      <c r="L2344" s="21" t="s">
        <v>2276</v>
      </c>
      <c r="M2344" s="21" t="s">
        <v>2276</v>
      </c>
      <c r="N2344" s="21" t="s">
        <v>2276</v>
      </c>
      <c r="O2344" s="21" t="s">
        <v>2276</v>
      </c>
      <c r="P2344" s="21" t="s">
        <v>2276</v>
      </c>
      <c r="Q2344" s="21" t="s">
        <v>2276</v>
      </c>
      <c r="R2344" s="21" t="s">
        <v>2276</v>
      </c>
      <c r="S2344" s="21" t="s">
        <v>2276</v>
      </c>
      <c r="T2344" s="21" t="s">
        <v>2276</v>
      </c>
      <c r="U2344" s="21" t="s">
        <v>2276</v>
      </c>
      <c r="V2344" s="21" t="s">
        <v>2276</v>
      </c>
      <c r="W2344" s="21" t="s">
        <v>2276</v>
      </c>
      <c r="X2344" s="21" t="s">
        <v>2276</v>
      </c>
      <c r="Y2344" s="21" t="s">
        <v>2276</v>
      </c>
      <c r="Z2344" s="21" t="s">
        <v>2276</v>
      </c>
      <c r="AA2344" s="204"/>
      <c r="AB2344" s="204"/>
    </row>
    <row r="2345" spans="1:28" s="203" customFormat="1" ht="46" customHeight="1">
      <c r="A2345" s="156" t="str">
        <f>'Reported burning'!A2345</f>
        <v>272c</v>
      </c>
      <c r="B2345" s="156" t="str">
        <f>'Reported burning'!B2345</f>
        <v>272c.8</v>
      </c>
      <c r="C2345" s="156" t="str">
        <f>'Reported burning'!C2345</f>
        <v>Lightning</v>
      </c>
      <c r="D2345" s="156" t="str">
        <f>'Reported burning'!D2345</f>
        <v>ND</v>
      </c>
      <c r="E2345" s="156" t="str">
        <f>'Reported burning'!E2345</f>
        <v>Mixed cropping-livestock small holder, Market-oriented</v>
      </c>
      <c r="F2345" s="156" t="str">
        <f>'Reported burning'!F2345</f>
        <v>ND</v>
      </c>
      <c r="G2345" s="156" t="str">
        <f>'Reported burning'!G2345</f>
        <v>Forest</v>
      </c>
      <c r="H2345" s="156" t="str">
        <f>'Reported burning'!H2345</f>
        <v>Presence</v>
      </c>
      <c r="I2345" s="5"/>
      <c r="J2345" s="21" t="s">
        <v>2276</v>
      </c>
      <c r="K2345" s="21" t="s">
        <v>2276</v>
      </c>
      <c r="L2345" s="21" t="s">
        <v>2276</v>
      </c>
      <c r="M2345" s="21" t="s">
        <v>2276</v>
      </c>
      <c r="N2345" s="21" t="s">
        <v>2276</v>
      </c>
      <c r="O2345" s="21" t="s">
        <v>2276</v>
      </c>
      <c r="P2345" s="21" t="s">
        <v>2276</v>
      </c>
      <c r="Q2345" s="21" t="s">
        <v>2276</v>
      </c>
      <c r="R2345" s="21" t="s">
        <v>2276</v>
      </c>
      <c r="S2345" s="21" t="s">
        <v>2276</v>
      </c>
      <c r="T2345" s="21" t="s">
        <v>2276</v>
      </c>
      <c r="U2345" s="21" t="s">
        <v>2276</v>
      </c>
      <c r="V2345" s="21" t="s">
        <v>2276</v>
      </c>
      <c r="W2345" s="21" t="s">
        <v>2276</v>
      </c>
      <c r="X2345" s="21" t="s">
        <v>2276</v>
      </c>
      <c r="Y2345" s="21" t="s">
        <v>2276</v>
      </c>
      <c r="Z2345" s="21" t="s">
        <v>2276</v>
      </c>
      <c r="AA2345" s="204"/>
      <c r="AB2345" s="204"/>
    </row>
    <row r="2346" spans="1:28" s="203" customFormat="1" ht="46" customHeight="1">
      <c r="A2346" s="156" t="str">
        <f>'Reported burning'!A2346</f>
        <v>272c</v>
      </c>
      <c r="B2346" s="156" t="str">
        <f>'Reported burning'!B2346</f>
        <v>272c.9</v>
      </c>
      <c r="C2346" s="156" t="str">
        <f>'Reported burning'!C2346</f>
        <v>Unknown</v>
      </c>
      <c r="D2346" s="156" t="str">
        <f>'Reported burning'!D2346</f>
        <v>ND</v>
      </c>
      <c r="E2346" s="156" t="str">
        <f>'Reported burning'!E2346</f>
        <v>ND</v>
      </c>
      <c r="F2346" s="156" t="str">
        <f>'Reported burning'!F2346</f>
        <v>ND</v>
      </c>
      <c r="G2346" s="156" t="str">
        <f>'Reported burning'!G2346</f>
        <v>Forest</v>
      </c>
      <c r="H2346" s="156" t="str">
        <f>'Reported burning'!H2346</f>
        <v>Presence</v>
      </c>
      <c r="I2346" s="5"/>
      <c r="J2346" s="21" t="s">
        <v>2276</v>
      </c>
      <c r="K2346" s="21" t="s">
        <v>2276</v>
      </c>
      <c r="L2346" s="21" t="s">
        <v>2276</v>
      </c>
      <c r="M2346" s="21" t="s">
        <v>2276</v>
      </c>
      <c r="N2346" s="21" t="s">
        <v>2276</v>
      </c>
      <c r="O2346" s="21" t="s">
        <v>2276</v>
      </c>
      <c r="P2346" s="21" t="s">
        <v>2276</v>
      </c>
      <c r="Q2346" s="21" t="s">
        <v>2276</v>
      </c>
      <c r="R2346" s="21" t="s">
        <v>2276</v>
      </c>
      <c r="S2346" s="21" t="s">
        <v>2276</v>
      </c>
      <c r="T2346" s="21" t="s">
        <v>2276</v>
      </c>
      <c r="U2346" s="21" t="s">
        <v>2276</v>
      </c>
      <c r="V2346" s="21" t="s">
        <v>2276</v>
      </c>
      <c r="W2346" s="21" t="s">
        <v>2276</v>
      </c>
      <c r="X2346" s="21" t="s">
        <v>2276</v>
      </c>
      <c r="Y2346" s="21" t="s">
        <v>2276</v>
      </c>
      <c r="Z2346" s="21" t="s">
        <v>2276</v>
      </c>
      <c r="AA2346" s="204"/>
      <c r="AB2346" s="204"/>
    </row>
    <row r="2347" spans="1:28" s="203" customFormat="1" ht="46" customHeight="1">
      <c r="A2347" s="156" t="str">
        <f>'Reported burning'!A2347</f>
        <v>272d</v>
      </c>
      <c r="B2347" s="156" t="str">
        <f>'Reported burning'!B2347</f>
        <v>272d.1</v>
      </c>
      <c r="C2347" s="156" t="str">
        <f>'Reported burning'!C2347</f>
        <v>All</v>
      </c>
      <c r="D2347" s="156" t="str">
        <f>'Reported burning'!D2347</f>
        <v>All</v>
      </c>
      <c r="E2347" s="156" t="str">
        <f>'Reported burning'!E2347</f>
        <v>All</v>
      </c>
      <c r="F2347" s="156" t="str">
        <f>'Reported burning'!F2347</f>
        <v>ND</v>
      </c>
      <c r="G2347" s="156" t="str">
        <f>'Reported burning'!G2347</f>
        <v>Forest</v>
      </c>
      <c r="H2347" s="156" t="str">
        <f>'Reported burning'!H2347</f>
        <v>Presence</v>
      </c>
      <c r="I2347" s="5"/>
      <c r="J2347" s="21" t="s">
        <v>2276</v>
      </c>
      <c r="K2347" s="21" t="s">
        <v>2276</v>
      </c>
      <c r="L2347" s="21" t="s">
        <v>2276</v>
      </c>
      <c r="M2347" s="21" t="s">
        <v>2276</v>
      </c>
      <c r="N2347" s="21" t="s">
        <v>2276</v>
      </c>
      <c r="O2347" s="21" t="s">
        <v>2276</v>
      </c>
      <c r="P2347" s="21" t="s">
        <v>2276</v>
      </c>
      <c r="Q2347" s="21" t="s">
        <v>2276</v>
      </c>
      <c r="R2347" s="21" t="s">
        <v>2276</v>
      </c>
      <c r="S2347" s="21" t="s">
        <v>2276</v>
      </c>
      <c r="T2347" s="21" t="s">
        <v>2276</v>
      </c>
      <c r="U2347" s="21" t="s">
        <v>2276</v>
      </c>
      <c r="V2347" s="4" t="s">
        <v>2527</v>
      </c>
      <c r="W2347" s="21" t="s">
        <v>2276</v>
      </c>
      <c r="X2347" s="21" t="s">
        <v>2276</v>
      </c>
      <c r="Y2347" s="21" t="s">
        <v>2276</v>
      </c>
      <c r="Z2347" s="21" t="s">
        <v>2276</v>
      </c>
      <c r="AA2347" s="204"/>
      <c r="AB2347" s="204"/>
    </row>
    <row r="2348" spans="1:28" s="203" customFormat="1" ht="46" customHeight="1">
      <c r="A2348" s="156" t="str">
        <f>'Reported burning'!A2348</f>
        <v>272d</v>
      </c>
      <c r="B2348" s="156" t="str">
        <f>'Reported burning'!B2348</f>
        <v>272d.2</v>
      </c>
      <c r="C2348" s="156" t="str">
        <f>'Reported burning'!C2348</f>
        <v>Human, deliberate</v>
      </c>
      <c r="D2348" s="156" t="str">
        <f>'Reported burning'!D2348</f>
        <v>ND</v>
      </c>
      <c r="E2348" s="156" t="str">
        <f>'Reported burning'!E2348</f>
        <v>Forestry, Industrial</v>
      </c>
      <c r="F2348" s="156" t="str">
        <f>'Reported burning'!F2348</f>
        <v>Forest</v>
      </c>
      <c r="G2348" s="156" t="str">
        <f>'Reported burning'!G2348</f>
        <v>Forest</v>
      </c>
      <c r="H2348" s="156" t="str">
        <f>'Reported burning'!H2348</f>
        <v>Presence</v>
      </c>
      <c r="I2348" s="5"/>
      <c r="J2348" s="21" t="s">
        <v>2276</v>
      </c>
      <c r="K2348" s="21" t="s">
        <v>2276</v>
      </c>
      <c r="L2348" s="21" t="s">
        <v>2276</v>
      </c>
      <c r="M2348" s="21" t="s">
        <v>2276</v>
      </c>
      <c r="N2348" s="21" t="s">
        <v>2276</v>
      </c>
      <c r="O2348" s="21" t="s">
        <v>2276</v>
      </c>
      <c r="P2348" s="21" t="s">
        <v>2276</v>
      </c>
      <c r="Q2348" s="21" t="s">
        <v>2276</v>
      </c>
      <c r="R2348" s="21" t="s">
        <v>2276</v>
      </c>
      <c r="S2348" s="21" t="s">
        <v>2276</v>
      </c>
      <c r="T2348" s="21" t="s">
        <v>2276</v>
      </c>
      <c r="U2348" s="21" t="s">
        <v>2276</v>
      </c>
      <c r="V2348" s="21" t="s">
        <v>2276</v>
      </c>
      <c r="W2348" s="21" t="s">
        <v>2276</v>
      </c>
      <c r="X2348" s="21" t="s">
        <v>2276</v>
      </c>
      <c r="Y2348" s="21" t="s">
        <v>2276</v>
      </c>
      <c r="Z2348" s="21" t="s">
        <v>2276</v>
      </c>
      <c r="AA2348" s="204"/>
      <c r="AB2348" s="204"/>
    </row>
    <row r="2349" spans="1:28" s="203" customFormat="1" ht="46" customHeight="1">
      <c r="A2349" s="156" t="str">
        <f>'Reported burning'!A2349</f>
        <v>272d</v>
      </c>
      <c r="B2349" s="156" t="str">
        <f>'Reported burning'!B2349</f>
        <v>272d.3</v>
      </c>
      <c r="C2349" s="156" t="str">
        <f>'Reported burning'!C2349</f>
        <v>Human, deliberate</v>
      </c>
      <c r="D2349" s="156" t="str">
        <f>'Reported burning'!D2349</f>
        <v>ND</v>
      </c>
      <c r="E2349" s="156" t="str">
        <f>'Reported burning'!E2349</f>
        <v>Mixed cropping-livestock small holder, Market-oriented</v>
      </c>
      <c r="F2349" s="156" t="str">
        <f>'Reported burning'!F2349</f>
        <v>Forest</v>
      </c>
      <c r="G2349" s="156" t="str">
        <f>'Reported burning'!G2349</f>
        <v>Forest</v>
      </c>
      <c r="H2349" s="156" t="str">
        <f>'Reported burning'!H2349</f>
        <v>Presence</v>
      </c>
      <c r="I2349" s="5"/>
      <c r="J2349" s="21" t="s">
        <v>2276</v>
      </c>
      <c r="K2349" s="21" t="s">
        <v>2276</v>
      </c>
      <c r="L2349" s="21" t="s">
        <v>2276</v>
      </c>
      <c r="M2349" s="21" t="s">
        <v>2276</v>
      </c>
      <c r="N2349" s="21" t="s">
        <v>2276</v>
      </c>
      <c r="O2349" s="21" t="s">
        <v>2276</v>
      </c>
      <c r="P2349" s="21" t="s">
        <v>2276</v>
      </c>
      <c r="Q2349" s="21" t="s">
        <v>2276</v>
      </c>
      <c r="R2349" s="21" t="s">
        <v>2276</v>
      </c>
      <c r="S2349" s="21" t="s">
        <v>2276</v>
      </c>
      <c r="T2349" s="21" t="s">
        <v>2276</v>
      </c>
      <c r="U2349" s="21" t="s">
        <v>2276</v>
      </c>
      <c r="V2349" s="21" t="s">
        <v>2276</v>
      </c>
      <c r="W2349" s="21" t="s">
        <v>2276</v>
      </c>
      <c r="X2349" s="21" t="s">
        <v>2276</v>
      </c>
      <c r="Y2349" s="21" t="s">
        <v>2276</v>
      </c>
      <c r="Z2349" s="21" t="s">
        <v>2276</v>
      </c>
      <c r="AA2349" s="204"/>
      <c r="AB2349" s="204"/>
    </row>
    <row r="2350" spans="1:28" s="203" customFormat="1" ht="46" customHeight="1">
      <c r="A2350" s="156" t="str">
        <f>'Reported burning'!A2350</f>
        <v>272d</v>
      </c>
      <c r="B2350" s="156" t="str">
        <f>'Reported burning'!B2350</f>
        <v>272d.4</v>
      </c>
      <c r="C2350" s="156" t="str">
        <f>'Reported burning'!C2350</f>
        <v>Human, escaped</v>
      </c>
      <c r="D2350" s="156" t="str">
        <f>'Reported burning'!D2350</f>
        <v>ND</v>
      </c>
      <c r="E2350" s="156" t="str">
        <f>'Reported burning'!E2350</f>
        <v>Mixed cropping-livestock small holder, Market-oriented</v>
      </c>
      <c r="F2350" s="156" t="str">
        <f>'Reported burning'!F2350</f>
        <v>ND</v>
      </c>
      <c r="G2350" s="156" t="str">
        <f>'Reported burning'!G2350</f>
        <v>Forest</v>
      </c>
      <c r="H2350" s="156" t="str">
        <f>'Reported burning'!H2350</f>
        <v>Presence</v>
      </c>
      <c r="I2350" s="5"/>
      <c r="J2350" s="21" t="s">
        <v>2276</v>
      </c>
      <c r="K2350" s="21" t="s">
        <v>2276</v>
      </c>
      <c r="L2350" s="21" t="s">
        <v>2276</v>
      </c>
      <c r="M2350" s="21" t="s">
        <v>2276</v>
      </c>
      <c r="N2350" s="21" t="s">
        <v>2276</v>
      </c>
      <c r="O2350" s="21" t="s">
        <v>2276</v>
      </c>
      <c r="P2350" s="21" t="s">
        <v>2276</v>
      </c>
      <c r="Q2350" s="21" t="s">
        <v>2276</v>
      </c>
      <c r="R2350" s="21" t="s">
        <v>2276</v>
      </c>
      <c r="S2350" s="21" t="s">
        <v>2276</v>
      </c>
      <c r="T2350" s="21" t="s">
        <v>2276</v>
      </c>
      <c r="U2350" s="21" t="s">
        <v>2276</v>
      </c>
      <c r="V2350" s="21" t="s">
        <v>2276</v>
      </c>
      <c r="W2350" s="21" t="s">
        <v>2276</v>
      </c>
      <c r="X2350" s="21" t="s">
        <v>2276</v>
      </c>
      <c r="Y2350" s="21" t="s">
        <v>2276</v>
      </c>
      <c r="Z2350" s="21" t="s">
        <v>2276</v>
      </c>
      <c r="AA2350" s="204"/>
      <c r="AB2350" s="204"/>
    </row>
    <row r="2351" spans="1:28" s="203" customFormat="1" ht="46" customHeight="1">
      <c r="A2351" s="156" t="str">
        <f>'Reported burning'!A2351</f>
        <v>272d</v>
      </c>
      <c r="B2351" s="156" t="str">
        <f>'Reported burning'!B2351</f>
        <v>272d.5</v>
      </c>
      <c r="C2351" s="156" t="str">
        <f>'Reported burning'!C2351</f>
        <v>Human, escaped</v>
      </c>
      <c r="D2351" s="156" t="str">
        <f>'Reported burning'!D2351</f>
        <v>ND</v>
      </c>
      <c r="E2351" s="156" t="str">
        <f>'Reported burning'!E2351</f>
        <v>Forestry, Industrial</v>
      </c>
      <c r="F2351" s="156" t="str">
        <f>'Reported burning'!F2351</f>
        <v>Shrubland (Mixed forest &amp; grassland)</v>
      </c>
      <c r="G2351" s="156" t="str">
        <f>'Reported burning'!G2351</f>
        <v>Forest</v>
      </c>
      <c r="H2351" s="156" t="str">
        <f>'Reported burning'!H2351</f>
        <v>Presence</v>
      </c>
      <c r="I2351" s="5"/>
      <c r="J2351" s="21" t="s">
        <v>2276</v>
      </c>
      <c r="K2351" s="21" t="s">
        <v>2276</v>
      </c>
      <c r="L2351" s="21" t="s">
        <v>2276</v>
      </c>
      <c r="M2351" s="21" t="s">
        <v>2276</v>
      </c>
      <c r="N2351" s="21" t="s">
        <v>2276</v>
      </c>
      <c r="O2351" s="21" t="s">
        <v>2276</v>
      </c>
      <c r="P2351" s="21" t="s">
        <v>2276</v>
      </c>
      <c r="Q2351" s="21" t="s">
        <v>2276</v>
      </c>
      <c r="R2351" s="21" t="s">
        <v>2276</v>
      </c>
      <c r="S2351" s="21" t="s">
        <v>2276</v>
      </c>
      <c r="T2351" s="21" t="s">
        <v>2276</v>
      </c>
      <c r="U2351" s="21" t="s">
        <v>2276</v>
      </c>
      <c r="V2351" s="21" t="s">
        <v>2276</v>
      </c>
      <c r="W2351" s="21" t="s">
        <v>2276</v>
      </c>
      <c r="X2351" s="21" t="s">
        <v>2276</v>
      </c>
      <c r="Y2351" s="21" t="s">
        <v>2276</v>
      </c>
      <c r="Z2351" s="21" t="s">
        <v>2276</v>
      </c>
      <c r="AA2351" s="204"/>
      <c r="AB2351" s="204"/>
    </row>
    <row r="2352" spans="1:28" s="203" customFormat="1" ht="46" customHeight="1">
      <c r="A2352" s="156" t="str">
        <f>'Reported burning'!A2352</f>
        <v>272d</v>
      </c>
      <c r="B2352" s="156" t="str">
        <f>'Reported burning'!B2352</f>
        <v>272d.6</v>
      </c>
      <c r="C2352" s="156" t="str">
        <f>'Reported burning'!C2352</f>
        <v>Human, deliberate</v>
      </c>
      <c r="D2352" s="156" t="str">
        <f>'Reported burning'!D2352</f>
        <v>Arson</v>
      </c>
      <c r="E2352" s="156" t="str">
        <f>'Reported burning'!E2352</f>
        <v>Mixed cropping-livestock small holder, Market-oriented</v>
      </c>
      <c r="F2352" s="156" t="str">
        <f>'Reported burning'!F2352</f>
        <v>Plantation forest</v>
      </c>
      <c r="G2352" s="156" t="str">
        <f>'Reported burning'!G2352</f>
        <v>Plantation forest</v>
      </c>
      <c r="H2352" s="156" t="str">
        <f>'Reported burning'!H2352</f>
        <v>Presence</v>
      </c>
      <c r="I2352" s="5"/>
      <c r="J2352" s="21" t="s">
        <v>2276</v>
      </c>
      <c r="K2352" s="21" t="s">
        <v>2276</v>
      </c>
      <c r="L2352" s="21" t="s">
        <v>2276</v>
      </c>
      <c r="M2352" s="21" t="s">
        <v>2276</v>
      </c>
      <c r="N2352" s="21" t="s">
        <v>2276</v>
      </c>
      <c r="O2352" s="21" t="s">
        <v>2276</v>
      </c>
      <c r="P2352" s="21" t="s">
        <v>2276</v>
      </c>
      <c r="Q2352" s="21" t="s">
        <v>2276</v>
      </c>
      <c r="R2352" s="21" t="s">
        <v>2276</v>
      </c>
      <c r="S2352" s="21" t="s">
        <v>2276</v>
      </c>
      <c r="T2352" s="21" t="s">
        <v>2276</v>
      </c>
      <c r="U2352" s="21" t="s">
        <v>2276</v>
      </c>
      <c r="V2352" s="21" t="s">
        <v>2276</v>
      </c>
      <c r="W2352" s="21" t="s">
        <v>2276</v>
      </c>
      <c r="X2352" s="21" t="s">
        <v>2276</v>
      </c>
      <c r="Y2352" s="21" t="s">
        <v>2276</v>
      </c>
      <c r="Z2352" s="21" t="s">
        <v>2276</v>
      </c>
      <c r="AA2352" s="204"/>
      <c r="AB2352" s="204"/>
    </row>
    <row r="2353" spans="1:28" s="203" customFormat="1" ht="46" customHeight="1">
      <c r="A2353" s="156" t="str">
        <f>'Reported burning'!A2353</f>
        <v>272d</v>
      </c>
      <c r="B2353" s="156" t="str">
        <f>'Reported burning'!B2353</f>
        <v>272d.7</v>
      </c>
      <c r="C2353" s="156" t="str">
        <f>'Reported burning'!C2353</f>
        <v>Human, accidental</v>
      </c>
      <c r="D2353" s="156" t="str">
        <f>'Reported burning'!D2353</f>
        <v>Accidental</v>
      </c>
      <c r="E2353" s="156" t="str">
        <f>'Reported burning'!E2353</f>
        <v>ND</v>
      </c>
      <c r="F2353" s="156" t="str">
        <f>'Reported burning'!F2353</f>
        <v>ND</v>
      </c>
      <c r="G2353" s="156" t="str">
        <f>'Reported burning'!G2353</f>
        <v>Forest</v>
      </c>
      <c r="H2353" s="156" t="str">
        <f>'Reported burning'!H2353</f>
        <v>Presence</v>
      </c>
      <c r="I2353" s="5"/>
      <c r="J2353" s="21" t="s">
        <v>2276</v>
      </c>
      <c r="K2353" s="21" t="s">
        <v>2276</v>
      </c>
      <c r="L2353" s="21" t="s">
        <v>2276</v>
      </c>
      <c r="M2353" s="21" t="s">
        <v>2276</v>
      </c>
      <c r="N2353" s="21" t="s">
        <v>2276</v>
      </c>
      <c r="O2353" s="21" t="s">
        <v>2276</v>
      </c>
      <c r="P2353" s="21" t="s">
        <v>2276</v>
      </c>
      <c r="Q2353" s="21" t="s">
        <v>2276</v>
      </c>
      <c r="R2353" s="21" t="s">
        <v>2276</v>
      </c>
      <c r="S2353" s="21" t="s">
        <v>2276</v>
      </c>
      <c r="T2353" s="21" t="s">
        <v>2276</v>
      </c>
      <c r="U2353" s="21" t="s">
        <v>2276</v>
      </c>
      <c r="V2353" s="21" t="s">
        <v>2276</v>
      </c>
      <c r="W2353" s="21" t="s">
        <v>2276</v>
      </c>
      <c r="X2353" s="21" t="s">
        <v>2276</v>
      </c>
      <c r="Y2353" s="21" t="s">
        <v>2276</v>
      </c>
      <c r="Z2353" s="21" t="s">
        <v>2276</v>
      </c>
      <c r="AA2353" s="204"/>
      <c r="AB2353" s="204"/>
    </row>
    <row r="2354" spans="1:28" s="203" customFormat="1" ht="46" customHeight="1">
      <c r="A2354" s="156" t="str">
        <f>'Reported burning'!A2354</f>
        <v>272d</v>
      </c>
      <c r="B2354" s="156" t="str">
        <f>'Reported burning'!B2354</f>
        <v>272d.8</v>
      </c>
      <c r="C2354" s="156" t="str">
        <f>'Reported burning'!C2354</f>
        <v>Lightning</v>
      </c>
      <c r="D2354" s="156" t="str">
        <f>'Reported burning'!D2354</f>
        <v>ND</v>
      </c>
      <c r="E2354" s="156" t="str">
        <f>'Reported burning'!E2354</f>
        <v>Mixed cropping-livestock small holder, Market-oriented</v>
      </c>
      <c r="F2354" s="156" t="str">
        <f>'Reported burning'!F2354</f>
        <v>ND</v>
      </c>
      <c r="G2354" s="156" t="str">
        <f>'Reported burning'!G2354</f>
        <v>Forest</v>
      </c>
      <c r="H2354" s="156" t="str">
        <f>'Reported burning'!H2354</f>
        <v>Presence</v>
      </c>
      <c r="I2354" s="5"/>
      <c r="J2354" s="21" t="s">
        <v>2276</v>
      </c>
      <c r="K2354" s="21" t="s">
        <v>2276</v>
      </c>
      <c r="L2354" s="21" t="s">
        <v>2276</v>
      </c>
      <c r="M2354" s="21" t="s">
        <v>2276</v>
      </c>
      <c r="N2354" s="21" t="s">
        <v>2276</v>
      </c>
      <c r="O2354" s="21" t="s">
        <v>2276</v>
      </c>
      <c r="P2354" s="21" t="s">
        <v>2276</v>
      </c>
      <c r="Q2354" s="21" t="s">
        <v>2276</v>
      </c>
      <c r="R2354" s="21" t="s">
        <v>2276</v>
      </c>
      <c r="S2354" s="21" t="s">
        <v>2276</v>
      </c>
      <c r="T2354" s="21" t="s">
        <v>2276</v>
      </c>
      <c r="U2354" s="21" t="s">
        <v>2276</v>
      </c>
      <c r="V2354" s="21" t="s">
        <v>2276</v>
      </c>
      <c r="W2354" s="21" t="s">
        <v>2276</v>
      </c>
      <c r="X2354" s="21" t="s">
        <v>2276</v>
      </c>
      <c r="Y2354" s="21" t="s">
        <v>2276</v>
      </c>
      <c r="Z2354" s="21" t="s">
        <v>2276</v>
      </c>
      <c r="AA2354" s="204"/>
      <c r="AB2354" s="204"/>
    </row>
    <row r="2355" spans="1:28" s="203" customFormat="1" ht="46" customHeight="1">
      <c r="A2355" s="156" t="str">
        <f>'Reported burning'!A2355</f>
        <v>272d</v>
      </c>
      <c r="B2355" s="156" t="str">
        <f>'Reported burning'!B2355</f>
        <v>272d.9</v>
      </c>
      <c r="C2355" s="156" t="str">
        <f>'Reported burning'!C2355</f>
        <v>Unknown</v>
      </c>
      <c r="D2355" s="156" t="str">
        <f>'Reported burning'!D2355</f>
        <v>ND</v>
      </c>
      <c r="E2355" s="156" t="str">
        <f>'Reported burning'!E2355</f>
        <v>ND</v>
      </c>
      <c r="F2355" s="156" t="str">
        <f>'Reported burning'!F2355</f>
        <v>ND</v>
      </c>
      <c r="G2355" s="156" t="str">
        <f>'Reported burning'!G2355</f>
        <v>Forest</v>
      </c>
      <c r="H2355" s="156" t="str">
        <f>'Reported burning'!H2355</f>
        <v>Presence</v>
      </c>
      <c r="I2355" s="5"/>
      <c r="J2355" s="21" t="s">
        <v>2276</v>
      </c>
      <c r="K2355" s="21" t="s">
        <v>2276</v>
      </c>
      <c r="L2355" s="21" t="s">
        <v>2276</v>
      </c>
      <c r="M2355" s="21" t="s">
        <v>2276</v>
      </c>
      <c r="N2355" s="21" t="s">
        <v>2276</v>
      </c>
      <c r="O2355" s="21" t="s">
        <v>2276</v>
      </c>
      <c r="P2355" s="21" t="s">
        <v>2276</v>
      </c>
      <c r="Q2355" s="21" t="s">
        <v>2276</v>
      </c>
      <c r="R2355" s="21" t="s">
        <v>2276</v>
      </c>
      <c r="S2355" s="21" t="s">
        <v>2276</v>
      </c>
      <c r="T2355" s="21" t="s">
        <v>2276</v>
      </c>
      <c r="U2355" s="21" t="s">
        <v>2276</v>
      </c>
      <c r="V2355" s="21" t="s">
        <v>2276</v>
      </c>
      <c r="W2355" s="21" t="s">
        <v>2276</v>
      </c>
      <c r="X2355" s="21" t="s">
        <v>2276</v>
      </c>
      <c r="Y2355" s="21" t="s">
        <v>2276</v>
      </c>
      <c r="Z2355" s="21" t="s">
        <v>2276</v>
      </c>
      <c r="AA2355" s="204"/>
      <c r="AB2355" s="204"/>
    </row>
    <row r="2356" spans="1:28" s="203" customFormat="1" ht="46" customHeight="1">
      <c r="A2356" s="156" t="str">
        <f>'Reported burning'!A2356</f>
        <v>272e</v>
      </c>
      <c r="B2356" s="156" t="str">
        <f>'Reported burning'!B2356</f>
        <v>272e.1</v>
      </c>
      <c r="C2356" s="156" t="str">
        <f>'Reported burning'!C2356</f>
        <v>All</v>
      </c>
      <c r="D2356" s="156" t="str">
        <f>'Reported burning'!D2356</f>
        <v>All</v>
      </c>
      <c r="E2356" s="156" t="str">
        <f>'Reported burning'!E2356</f>
        <v>All</v>
      </c>
      <c r="F2356" s="156" t="str">
        <f>'Reported burning'!F2356</f>
        <v>ND</v>
      </c>
      <c r="G2356" s="156" t="str">
        <f>'Reported burning'!G2356</f>
        <v>Forest</v>
      </c>
      <c r="H2356" s="156" t="str">
        <f>'Reported burning'!H2356</f>
        <v>Presence</v>
      </c>
      <c r="I2356" s="5"/>
      <c r="J2356" s="21" t="s">
        <v>2276</v>
      </c>
      <c r="K2356" s="21" t="s">
        <v>2276</v>
      </c>
      <c r="L2356" s="21" t="s">
        <v>2276</v>
      </c>
      <c r="M2356" s="21" t="s">
        <v>2276</v>
      </c>
      <c r="N2356" s="21" t="s">
        <v>2276</v>
      </c>
      <c r="O2356" s="21" t="s">
        <v>2276</v>
      </c>
      <c r="P2356" s="21" t="s">
        <v>2276</v>
      </c>
      <c r="Q2356" s="21" t="s">
        <v>2276</v>
      </c>
      <c r="R2356" s="21" t="s">
        <v>2276</v>
      </c>
      <c r="S2356" s="21" t="s">
        <v>2276</v>
      </c>
      <c r="T2356" s="21" t="s">
        <v>2276</v>
      </c>
      <c r="U2356" s="21" t="s">
        <v>2276</v>
      </c>
      <c r="V2356" s="4" t="s">
        <v>2527</v>
      </c>
      <c r="W2356" s="21" t="s">
        <v>2276</v>
      </c>
      <c r="X2356" s="21" t="s">
        <v>2276</v>
      </c>
      <c r="Y2356" s="21" t="s">
        <v>2276</v>
      </c>
      <c r="Z2356" s="21" t="s">
        <v>2276</v>
      </c>
      <c r="AA2356" s="204"/>
      <c r="AB2356" s="204"/>
    </row>
    <row r="2357" spans="1:28" s="203" customFormat="1" ht="46" customHeight="1">
      <c r="A2357" s="156" t="str">
        <f>'Reported burning'!A2357</f>
        <v>272e</v>
      </c>
      <c r="B2357" s="156" t="str">
        <f>'Reported burning'!B2357</f>
        <v>272e.2</v>
      </c>
      <c r="C2357" s="156" t="str">
        <f>'Reported burning'!C2357</f>
        <v>Human, deliberate</v>
      </c>
      <c r="D2357" s="156" t="str">
        <f>'Reported burning'!D2357</f>
        <v>ND</v>
      </c>
      <c r="E2357" s="156" t="str">
        <f>'Reported burning'!E2357</f>
        <v>Forestry, Industrial</v>
      </c>
      <c r="F2357" s="156" t="str">
        <f>'Reported burning'!F2357</f>
        <v>Forest</v>
      </c>
      <c r="G2357" s="156" t="str">
        <f>'Reported burning'!G2357</f>
        <v>Forest</v>
      </c>
      <c r="H2357" s="156" t="str">
        <f>'Reported burning'!H2357</f>
        <v>Presence</v>
      </c>
      <c r="I2357" s="5"/>
      <c r="J2357" s="21" t="s">
        <v>2276</v>
      </c>
      <c r="K2357" s="21" t="s">
        <v>2276</v>
      </c>
      <c r="L2357" s="21" t="s">
        <v>2276</v>
      </c>
      <c r="M2357" s="21" t="s">
        <v>2276</v>
      </c>
      <c r="N2357" s="21" t="s">
        <v>2276</v>
      </c>
      <c r="O2357" s="21" t="s">
        <v>2276</v>
      </c>
      <c r="P2357" s="21" t="s">
        <v>2276</v>
      </c>
      <c r="Q2357" s="21" t="s">
        <v>2276</v>
      </c>
      <c r="R2357" s="21" t="s">
        <v>2276</v>
      </c>
      <c r="S2357" s="21" t="s">
        <v>2276</v>
      </c>
      <c r="T2357" s="21" t="s">
        <v>2276</v>
      </c>
      <c r="U2357" s="21" t="s">
        <v>2276</v>
      </c>
      <c r="V2357" s="21" t="s">
        <v>2276</v>
      </c>
      <c r="W2357" s="21" t="s">
        <v>2276</v>
      </c>
      <c r="X2357" s="21" t="s">
        <v>2276</v>
      </c>
      <c r="Y2357" s="21" t="s">
        <v>2276</v>
      </c>
      <c r="Z2357" s="21" t="s">
        <v>2276</v>
      </c>
      <c r="AA2357" s="204"/>
      <c r="AB2357" s="204"/>
    </row>
    <row r="2358" spans="1:28" s="203" customFormat="1" ht="46" customHeight="1">
      <c r="A2358" s="156" t="str">
        <f>'Reported burning'!A2358</f>
        <v>272e</v>
      </c>
      <c r="B2358" s="156" t="str">
        <f>'Reported burning'!B2358</f>
        <v>272e.3</v>
      </c>
      <c r="C2358" s="156" t="str">
        <f>'Reported burning'!C2358</f>
        <v>Human, deliberate</v>
      </c>
      <c r="D2358" s="156" t="str">
        <f>'Reported burning'!D2358</f>
        <v>ND</v>
      </c>
      <c r="E2358" s="156" t="str">
        <f>'Reported burning'!E2358</f>
        <v>Mixed cropping-livestock small holder, Market-oriented</v>
      </c>
      <c r="F2358" s="156" t="str">
        <f>'Reported burning'!F2358</f>
        <v>Forest</v>
      </c>
      <c r="G2358" s="156" t="str">
        <f>'Reported burning'!G2358</f>
        <v>Forest</v>
      </c>
      <c r="H2358" s="156" t="str">
        <f>'Reported burning'!H2358</f>
        <v>Presence</v>
      </c>
      <c r="I2358" s="5"/>
      <c r="J2358" s="21" t="s">
        <v>2276</v>
      </c>
      <c r="K2358" s="21" t="s">
        <v>2276</v>
      </c>
      <c r="L2358" s="21" t="s">
        <v>2276</v>
      </c>
      <c r="M2358" s="21" t="s">
        <v>2276</v>
      </c>
      <c r="N2358" s="21" t="s">
        <v>2276</v>
      </c>
      <c r="O2358" s="21" t="s">
        <v>2276</v>
      </c>
      <c r="P2358" s="21" t="s">
        <v>2276</v>
      </c>
      <c r="Q2358" s="21" t="s">
        <v>2276</v>
      </c>
      <c r="R2358" s="21" t="s">
        <v>2276</v>
      </c>
      <c r="S2358" s="21" t="s">
        <v>2276</v>
      </c>
      <c r="T2358" s="21" t="s">
        <v>2276</v>
      </c>
      <c r="U2358" s="21" t="s">
        <v>2276</v>
      </c>
      <c r="V2358" s="21" t="s">
        <v>2276</v>
      </c>
      <c r="W2358" s="21" t="s">
        <v>2276</v>
      </c>
      <c r="X2358" s="21" t="s">
        <v>2276</v>
      </c>
      <c r="Y2358" s="21" t="s">
        <v>2276</v>
      </c>
      <c r="Z2358" s="21" t="s">
        <v>2276</v>
      </c>
      <c r="AA2358" s="204"/>
      <c r="AB2358" s="204"/>
    </row>
    <row r="2359" spans="1:28" s="203" customFormat="1" ht="46" customHeight="1">
      <c r="A2359" s="156" t="str">
        <f>'Reported burning'!A2359</f>
        <v>272e</v>
      </c>
      <c r="B2359" s="156" t="str">
        <f>'Reported burning'!B2359</f>
        <v>272e.4</v>
      </c>
      <c r="C2359" s="156" t="str">
        <f>'Reported burning'!C2359</f>
        <v>Human, escaped</v>
      </c>
      <c r="D2359" s="156" t="str">
        <f>'Reported burning'!D2359</f>
        <v>ND</v>
      </c>
      <c r="E2359" s="156" t="str">
        <f>'Reported burning'!E2359</f>
        <v>Mixed cropping-livestock small holder, Market-oriented</v>
      </c>
      <c r="F2359" s="156" t="str">
        <f>'Reported burning'!F2359</f>
        <v>ND</v>
      </c>
      <c r="G2359" s="156" t="str">
        <f>'Reported burning'!G2359</f>
        <v>Forest</v>
      </c>
      <c r="H2359" s="156" t="str">
        <f>'Reported burning'!H2359</f>
        <v>Presence</v>
      </c>
      <c r="I2359" s="5"/>
      <c r="J2359" s="21" t="s">
        <v>2276</v>
      </c>
      <c r="K2359" s="21" t="s">
        <v>2276</v>
      </c>
      <c r="L2359" s="21" t="s">
        <v>2276</v>
      </c>
      <c r="M2359" s="21" t="s">
        <v>2276</v>
      </c>
      <c r="N2359" s="21" t="s">
        <v>2276</v>
      </c>
      <c r="O2359" s="21" t="s">
        <v>2276</v>
      </c>
      <c r="P2359" s="21" t="s">
        <v>2276</v>
      </c>
      <c r="Q2359" s="21" t="s">
        <v>2276</v>
      </c>
      <c r="R2359" s="21" t="s">
        <v>2276</v>
      </c>
      <c r="S2359" s="21" t="s">
        <v>2276</v>
      </c>
      <c r="T2359" s="21" t="s">
        <v>2276</v>
      </c>
      <c r="U2359" s="21" t="s">
        <v>2276</v>
      </c>
      <c r="V2359" s="21" t="s">
        <v>2276</v>
      </c>
      <c r="W2359" s="21" t="s">
        <v>2276</v>
      </c>
      <c r="X2359" s="21" t="s">
        <v>2276</v>
      </c>
      <c r="Y2359" s="21" t="s">
        <v>2276</v>
      </c>
      <c r="Z2359" s="21" t="s">
        <v>2276</v>
      </c>
      <c r="AA2359" s="204"/>
      <c r="AB2359" s="204"/>
    </row>
    <row r="2360" spans="1:28" s="203" customFormat="1" ht="46" customHeight="1">
      <c r="A2360" s="156" t="str">
        <f>'Reported burning'!A2360</f>
        <v>272e</v>
      </c>
      <c r="B2360" s="156" t="str">
        <f>'Reported burning'!B2360</f>
        <v>272e.5</v>
      </c>
      <c r="C2360" s="156" t="str">
        <f>'Reported burning'!C2360</f>
        <v>Human, escaped</v>
      </c>
      <c r="D2360" s="156" t="str">
        <f>'Reported burning'!D2360</f>
        <v>ND</v>
      </c>
      <c r="E2360" s="156" t="str">
        <f>'Reported burning'!E2360</f>
        <v>Forestry, Industrial</v>
      </c>
      <c r="F2360" s="156" t="str">
        <f>'Reported burning'!F2360</f>
        <v>Shrubland (Mixed forest &amp; grassland)</v>
      </c>
      <c r="G2360" s="156" t="str">
        <f>'Reported burning'!G2360</f>
        <v>Forest</v>
      </c>
      <c r="H2360" s="156" t="str">
        <f>'Reported burning'!H2360</f>
        <v>Presence</v>
      </c>
      <c r="I2360" s="5"/>
      <c r="J2360" s="21" t="s">
        <v>2276</v>
      </c>
      <c r="K2360" s="21" t="s">
        <v>2276</v>
      </c>
      <c r="L2360" s="21" t="s">
        <v>2276</v>
      </c>
      <c r="M2360" s="21" t="s">
        <v>2276</v>
      </c>
      <c r="N2360" s="21" t="s">
        <v>2276</v>
      </c>
      <c r="O2360" s="21" t="s">
        <v>2276</v>
      </c>
      <c r="P2360" s="21" t="s">
        <v>2276</v>
      </c>
      <c r="Q2360" s="21" t="s">
        <v>2276</v>
      </c>
      <c r="R2360" s="21" t="s">
        <v>2276</v>
      </c>
      <c r="S2360" s="21" t="s">
        <v>2276</v>
      </c>
      <c r="T2360" s="21" t="s">
        <v>2276</v>
      </c>
      <c r="U2360" s="21" t="s">
        <v>2276</v>
      </c>
      <c r="V2360" s="21" t="s">
        <v>2276</v>
      </c>
      <c r="W2360" s="21" t="s">
        <v>2276</v>
      </c>
      <c r="X2360" s="21" t="s">
        <v>2276</v>
      </c>
      <c r="Y2360" s="21" t="s">
        <v>2276</v>
      </c>
      <c r="Z2360" s="21" t="s">
        <v>2276</v>
      </c>
      <c r="AA2360" s="204"/>
      <c r="AB2360" s="204"/>
    </row>
    <row r="2361" spans="1:28" s="203" customFormat="1" ht="46" customHeight="1">
      <c r="A2361" s="156" t="str">
        <f>'Reported burning'!A2361</f>
        <v>272e</v>
      </c>
      <c r="B2361" s="156" t="str">
        <f>'Reported burning'!B2361</f>
        <v>272e.6</v>
      </c>
      <c r="C2361" s="156" t="str">
        <f>'Reported burning'!C2361</f>
        <v>Human, deliberate</v>
      </c>
      <c r="D2361" s="156" t="str">
        <f>'Reported burning'!D2361</f>
        <v>Arson</v>
      </c>
      <c r="E2361" s="156" t="str">
        <f>'Reported burning'!E2361</f>
        <v>Mixed cropping-livestock small holder, Market-oriented</v>
      </c>
      <c r="F2361" s="156" t="str">
        <f>'Reported burning'!F2361</f>
        <v>Plantation forest</v>
      </c>
      <c r="G2361" s="156" t="str">
        <f>'Reported burning'!G2361</f>
        <v>Plantation forest</v>
      </c>
      <c r="H2361" s="156" t="str">
        <f>'Reported burning'!H2361</f>
        <v>Presence</v>
      </c>
      <c r="I2361" s="5"/>
      <c r="J2361" s="21" t="s">
        <v>2276</v>
      </c>
      <c r="K2361" s="21" t="s">
        <v>2276</v>
      </c>
      <c r="L2361" s="21" t="s">
        <v>2276</v>
      </c>
      <c r="M2361" s="21" t="s">
        <v>2276</v>
      </c>
      <c r="N2361" s="21" t="s">
        <v>2276</v>
      </c>
      <c r="O2361" s="21" t="s">
        <v>2276</v>
      </c>
      <c r="P2361" s="21" t="s">
        <v>2276</v>
      </c>
      <c r="Q2361" s="21" t="s">
        <v>2276</v>
      </c>
      <c r="R2361" s="21" t="s">
        <v>2276</v>
      </c>
      <c r="S2361" s="21" t="s">
        <v>2276</v>
      </c>
      <c r="T2361" s="21" t="s">
        <v>2276</v>
      </c>
      <c r="U2361" s="21" t="s">
        <v>2276</v>
      </c>
      <c r="V2361" s="21" t="s">
        <v>2276</v>
      </c>
      <c r="W2361" s="21" t="s">
        <v>2276</v>
      </c>
      <c r="X2361" s="21" t="s">
        <v>2276</v>
      </c>
      <c r="Y2361" s="21" t="s">
        <v>2276</v>
      </c>
      <c r="Z2361" s="21" t="s">
        <v>2276</v>
      </c>
      <c r="AA2361" s="204"/>
      <c r="AB2361" s="204"/>
    </row>
    <row r="2362" spans="1:28" s="203" customFormat="1" ht="46" customHeight="1">
      <c r="A2362" s="156" t="str">
        <f>'Reported burning'!A2362</f>
        <v>272e</v>
      </c>
      <c r="B2362" s="156" t="str">
        <f>'Reported burning'!B2362</f>
        <v>272e.7</v>
      </c>
      <c r="C2362" s="156" t="str">
        <f>'Reported burning'!C2362</f>
        <v>Human, accidental</v>
      </c>
      <c r="D2362" s="156" t="str">
        <f>'Reported burning'!D2362</f>
        <v>Accidental</v>
      </c>
      <c r="E2362" s="156" t="str">
        <f>'Reported burning'!E2362</f>
        <v>ND</v>
      </c>
      <c r="F2362" s="156" t="str">
        <f>'Reported burning'!F2362</f>
        <v>ND</v>
      </c>
      <c r="G2362" s="156" t="str">
        <f>'Reported burning'!G2362</f>
        <v>Forest</v>
      </c>
      <c r="H2362" s="156" t="str">
        <f>'Reported burning'!H2362</f>
        <v>Presence</v>
      </c>
      <c r="I2362" s="5"/>
      <c r="J2362" s="21" t="s">
        <v>2276</v>
      </c>
      <c r="K2362" s="21" t="s">
        <v>2276</v>
      </c>
      <c r="L2362" s="21" t="s">
        <v>2276</v>
      </c>
      <c r="M2362" s="21" t="s">
        <v>2276</v>
      </c>
      <c r="N2362" s="21" t="s">
        <v>2276</v>
      </c>
      <c r="O2362" s="21" t="s">
        <v>2276</v>
      </c>
      <c r="P2362" s="21" t="s">
        <v>2276</v>
      </c>
      <c r="Q2362" s="21" t="s">
        <v>2276</v>
      </c>
      <c r="R2362" s="21" t="s">
        <v>2276</v>
      </c>
      <c r="S2362" s="21" t="s">
        <v>2276</v>
      </c>
      <c r="T2362" s="21" t="s">
        <v>2276</v>
      </c>
      <c r="U2362" s="21" t="s">
        <v>2276</v>
      </c>
      <c r="V2362" s="21" t="s">
        <v>2276</v>
      </c>
      <c r="W2362" s="21" t="s">
        <v>2276</v>
      </c>
      <c r="X2362" s="21" t="s">
        <v>2276</v>
      </c>
      <c r="Y2362" s="21" t="s">
        <v>2276</v>
      </c>
      <c r="Z2362" s="21" t="s">
        <v>2276</v>
      </c>
      <c r="AA2362" s="204"/>
      <c r="AB2362" s="204"/>
    </row>
    <row r="2363" spans="1:28" s="203" customFormat="1" ht="46" customHeight="1">
      <c r="A2363" s="156" t="str">
        <f>'Reported burning'!A2363</f>
        <v>272e</v>
      </c>
      <c r="B2363" s="156" t="str">
        <f>'Reported burning'!B2363</f>
        <v>272e.8</v>
      </c>
      <c r="C2363" s="156" t="str">
        <f>'Reported burning'!C2363</f>
        <v>Lightning</v>
      </c>
      <c r="D2363" s="156" t="str">
        <f>'Reported burning'!D2363</f>
        <v>ND</v>
      </c>
      <c r="E2363" s="156" t="str">
        <f>'Reported burning'!E2363</f>
        <v>Mixed cropping-livestock small holder, Market-oriented</v>
      </c>
      <c r="F2363" s="156" t="str">
        <f>'Reported burning'!F2363</f>
        <v>ND</v>
      </c>
      <c r="G2363" s="156" t="str">
        <f>'Reported burning'!G2363</f>
        <v>Forest</v>
      </c>
      <c r="H2363" s="156" t="str">
        <f>'Reported burning'!H2363</f>
        <v>Presence</v>
      </c>
      <c r="I2363" s="5"/>
      <c r="J2363" s="21" t="s">
        <v>2276</v>
      </c>
      <c r="K2363" s="21" t="s">
        <v>2276</v>
      </c>
      <c r="L2363" s="21" t="s">
        <v>2276</v>
      </c>
      <c r="M2363" s="21" t="s">
        <v>2276</v>
      </c>
      <c r="N2363" s="21" t="s">
        <v>2276</v>
      </c>
      <c r="O2363" s="21" t="s">
        <v>2276</v>
      </c>
      <c r="P2363" s="21" t="s">
        <v>2276</v>
      </c>
      <c r="Q2363" s="21" t="s">
        <v>2276</v>
      </c>
      <c r="R2363" s="21" t="s">
        <v>2276</v>
      </c>
      <c r="S2363" s="21" t="s">
        <v>2276</v>
      </c>
      <c r="T2363" s="21" t="s">
        <v>2276</v>
      </c>
      <c r="U2363" s="21" t="s">
        <v>2276</v>
      </c>
      <c r="V2363" s="21" t="s">
        <v>2276</v>
      </c>
      <c r="W2363" s="21" t="s">
        <v>2276</v>
      </c>
      <c r="X2363" s="21" t="s">
        <v>2276</v>
      </c>
      <c r="Y2363" s="21" t="s">
        <v>2276</v>
      </c>
      <c r="Z2363" s="21" t="s">
        <v>2276</v>
      </c>
      <c r="AA2363" s="204"/>
      <c r="AB2363" s="204"/>
    </row>
    <row r="2364" spans="1:28" s="203" customFormat="1" ht="46" customHeight="1">
      <c r="A2364" s="156" t="str">
        <f>'Reported burning'!A2364</f>
        <v>272e</v>
      </c>
      <c r="B2364" s="156" t="str">
        <f>'Reported burning'!B2364</f>
        <v>272e.9</v>
      </c>
      <c r="C2364" s="156" t="str">
        <f>'Reported burning'!C2364</f>
        <v>Unknown</v>
      </c>
      <c r="D2364" s="156" t="str">
        <f>'Reported burning'!D2364</f>
        <v>ND</v>
      </c>
      <c r="E2364" s="156" t="str">
        <f>'Reported burning'!E2364</f>
        <v>ND</v>
      </c>
      <c r="F2364" s="156" t="str">
        <f>'Reported burning'!F2364</f>
        <v>ND</v>
      </c>
      <c r="G2364" s="156" t="str">
        <f>'Reported burning'!G2364</f>
        <v>Forest</v>
      </c>
      <c r="H2364" s="156" t="str">
        <f>'Reported burning'!H2364</f>
        <v>Presence</v>
      </c>
      <c r="I2364" s="5"/>
      <c r="J2364" s="21" t="s">
        <v>2276</v>
      </c>
      <c r="K2364" s="21" t="s">
        <v>2276</v>
      </c>
      <c r="L2364" s="21" t="s">
        <v>2276</v>
      </c>
      <c r="M2364" s="21" t="s">
        <v>2276</v>
      </c>
      <c r="N2364" s="21" t="s">
        <v>2276</v>
      </c>
      <c r="O2364" s="21" t="s">
        <v>2276</v>
      </c>
      <c r="P2364" s="21" t="s">
        <v>2276</v>
      </c>
      <c r="Q2364" s="21" t="s">
        <v>2276</v>
      </c>
      <c r="R2364" s="21" t="s">
        <v>2276</v>
      </c>
      <c r="S2364" s="21" t="s">
        <v>2276</v>
      </c>
      <c r="T2364" s="21" t="s">
        <v>2276</v>
      </c>
      <c r="U2364" s="21" t="s">
        <v>2276</v>
      </c>
      <c r="V2364" s="21" t="s">
        <v>2276</v>
      </c>
      <c r="W2364" s="21" t="s">
        <v>2276</v>
      </c>
      <c r="X2364" s="21" t="s">
        <v>2276</v>
      </c>
      <c r="Y2364" s="21" t="s">
        <v>2276</v>
      </c>
      <c r="Z2364" s="21" t="s">
        <v>2276</v>
      </c>
      <c r="AA2364" s="204"/>
      <c r="AB2364" s="204"/>
    </row>
    <row r="2365" spans="1:28" s="203" customFormat="1" ht="46" customHeight="1">
      <c r="A2365" s="156" t="str">
        <f>'Reported burning'!A2365</f>
        <v>272f</v>
      </c>
      <c r="B2365" s="156" t="str">
        <f>'Reported burning'!B2365</f>
        <v>272f.1</v>
      </c>
      <c r="C2365" s="156" t="str">
        <f>'Reported burning'!C2365</f>
        <v>All</v>
      </c>
      <c r="D2365" s="156" t="str">
        <f>'Reported burning'!D2365</f>
        <v>All</v>
      </c>
      <c r="E2365" s="156" t="str">
        <f>'Reported burning'!E2365</f>
        <v>All</v>
      </c>
      <c r="F2365" s="156" t="str">
        <f>'Reported burning'!F2365</f>
        <v>ND</v>
      </c>
      <c r="G2365" s="156" t="str">
        <f>'Reported burning'!G2365</f>
        <v>Forest</v>
      </c>
      <c r="H2365" s="156" t="str">
        <f>'Reported burning'!H2365</f>
        <v>Presence</v>
      </c>
      <c r="I2365" s="5"/>
      <c r="J2365" s="21" t="s">
        <v>2276</v>
      </c>
      <c r="K2365" s="21" t="s">
        <v>2276</v>
      </c>
      <c r="L2365" s="21" t="s">
        <v>2276</v>
      </c>
      <c r="M2365" s="21" t="s">
        <v>2276</v>
      </c>
      <c r="N2365" s="21" t="s">
        <v>2276</v>
      </c>
      <c r="O2365" s="21" t="s">
        <v>2276</v>
      </c>
      <c r="P2365" s="21" t="s">
        <v>2276</v>
      </c>
      <c r="Q2365" s="21" t="s">
        <v>2276</v>
      </c>
      <c r="R2365" s="21" t="s">
        <v>2276</v>
      </c>
      <c r="S2365" s="21" t="s">
        <v>2276</v>
      </c>
      <c r="T2365" s="21" t="s">
        <v>2276</v>
      </c>
      <c r="U2365" s="21" t="s">
        <v>2276</v>
      </c>
      <c r="V2365" s="4" t="s">
        <v>2527</v>
      </c>
      <c r="W2365" s="21" t="s">
        <v>2276</v>
      </c>
      <c r="X2365" s="21" t="s">
        <v>2276</v>
      </c>
      <c r="Y2365" s="21" t="s">
        <v>2276</v>
      </c>
      <c r="Z2365" s="21" t="s">
        <v>2276</v>
      </c>
      <c r="AA2365" s="204"/>
      <c r="AB2365" s="204"/>
    </row>
    <row r="2366" spans="1:28" s="203" customFormat="1" ht="46" customHeight="1">
      <c r="A2366" s="156" t="str">
        <f>'Reported burning'!A2366</f>
        <v>272f</v>
      </c>
      <c r="B2366" s="156" t="str">
        <f>'Reported burning'!B2366</f>
        <v>272f.2</v>
      </c>
      <c r="C2366" s="156" t="str">
        <f>'Reported burning'!C2366</f>
        <v>Human, deliberate</v>
      </c>
      <c r="D2366" s="156" t="str">
        <f>'Reported burning'!D2366</f>
        <v>ND</v>
      </c>
      <c r="E2366" s="156" t="str">
        <f>'Reported burning'!E2366</f>
        <v>Forestry, Industrial</v>
      </c>
      <c r="F2366" s="156" t="str">
        <f>'Reported burning'!F2366</f>
        <v>Forest</v>
      </c>
      <c r="G2366" s="156" t="str">
        <f>'Reported burning'!G2366</f>
        <v>Forest</v>
      </c>
      <c r="H2366" s="156" t="str">
        <f>'Reported burning'!H2366</f>
        <v>Presence</v>
      </c>
      <c r="I2366" s="5"/>
      <c r="J2366" s="21" t="s">
        <v>2276</v>
      </c>
      <c r="K2366" s="21" t="s">
        <v>2276</v>
      </c>
      <c r="L2366" s="21" t="s">
        <v>2276</v>
      </c>
      <c r="M2366" s="21" t="s">
        <v>2276</v>
      </c>
      <c r="N2366" s="21" t="s">
        <v>2276</v>
      </c>
      <c r="O2366" s="21" t="s">
        <v>2276</v>
      </c>
      <c r="P2366" s="21" t="s">
        <v>2276</v>
      </c>
      <c r="Q2366" s="21" t="s">
        <v>2276</v>
      </c>
      <c r="R2366" s="21" t="s">
        <v>2276</v>
      </c>
      <c r="S2366" s="21" t="s">
        <v>2276</v>
      </c>
      <c r="T2366" s="21" t="s">
        <v>2276</v>
      </c>
      <c r="U2366" s="21" t="s">
        <v>2276</v>
      </c>
      <c r="V2366" s="21" t="s">
        <v>2276</v>
      </c>
      <c r="W2366" s="21" t="s">
        <v>2276</v>
      </c>
      <c r="X2366" s="21" t="s">
        <v>2276</v>
      </c>
      <c r="Y2366" s="21" t="s">
        <v>2276</v>
      </c>
      <c r="Z2366" s="21" t="s">
        <v>2276</v>
      </c>
      <c r="AA2366" s="204"/>
      <c r="AB2366" s="204"/>
    </row>
    <row r="2367" spans="1:28" s="203" customFormat="1" ht="46" customHeight="1">
      <c r="A2367" s="156" t="str">
        <f>'Reported burning'!A2367</f>
        <v>272f</v>
      </c>
      <c r="B2367" s="156" t="str">
        <f>'Reported burning'!B2367</f>
        <v>272f.3</v>
      </c>
      <c r="C2367" s="156" t="str">
        <f>'Reported burning'!C2367</f>
        <v>Human, deliberate</v>
      </c>
      <c r="D2367" s="156" t="str">
        <f>'Reported burning'!D2367</f>
        <v>ND</v>
      </c>
      <c r="E2367" s="156" t="str">
        <f>'Reported burning'!E2367</f>
        <v>Mixed cropping-livestock small holder, Market-oriented</v>
      </c>
      <c r="F2367" s="156" t="str">
        <f>'Reported burning'!F2367</f>
        <v>Forest</v>
      </c>
      <c r="G2367" s="156" t="str">
        <f>'Reported burning'!G2367</f>
        <v>Forest</v>
      </c>
      <c r="H2367" s="156" t="str">
        <f>'Reported burning'!H2367</f>
        <v>Presence</v>
      </c>
      <c r="I2367" s="5"/>
      <c r="J2367" s="21" t="s">
        <v>2276</v>
      </c>
      <c r="K2367" s="21" t="s">
        <v>2276</v>
      </c>
      <c r="L2367" s="21" t="s">
        <v>2276</v>
      </c>
      <c r="M2367" s="21" t="s">
        <v>2276</v>
      </c>
      <c r="N2367" s="21" t="s">
        <v>2276</v>
      </c>
      <c r="O2367" s="21" t="s">
        <v>2276</v>
      </c>
      <c r="P2367" s="21" t="s">
        <v>2276</v>
      </c>
      <c r="Q2367" s="21" t="s">
        <v>2276</v>
      </c>
      <c r="R2367" s="21" t="s">
        <v>2276</v>
      </c>
      <c r="S2367" s="21" t="s">
        <v>2276</v>
      </c>
      <c r="T2367" s="21" t="s">
        <v>2276</v>
      </c>
      <c r="U2367" s="21" t="s">
        <v>2276</v>
      </c>
      <c r="V2367" s="21" t="s">
        <v>2276</v>
      </c>
      <c r="W2367" s="21" t="s">
        <v>2276</v>
      </c>
      <c r="X2367" s="21" t="s">
        <v>2276</v>
      </c>
      <c r="Y2367" s="21" t="s">
        <v>2276</v>
      </c>
      <c r="Z2367" s="21" t="s">
        <v>2276</v>
      </c>
      <c r="AA2367" s="204"/>
      <c r="AB2367" s="204"/>
    </row>
    <row r="2368" spans="1:28" s="203" customFormat="1" ht="46" customHeight="1">
      <c r="A2368" s="156" t="str">
        <f>'Reported burning'!A2368</f>
        <v>272f</v>
      </c>
      <c r="B2368" s="156" t="str">
        <f>'Reported burning'!B2368</f>
        <v>272f.4</v>
      </c>
      <c r="C2368" s="156" t="str">
        <f>'Reported burning'!C2368</f>
        <v>Human, escaped</v>
      </c>
      <c r="D2368" s="156" t="str">
        <f>'Reported burning'!D2368</f>
        <v>ND</v>
      </c>
      <c r="E2368" s="156" t="str">
        <f>'Reported burning'!E2368</f>
        <v>Mixed cropping-livestock small holder, Market-oriented</v>
      </c>
      <c r="F2368" s="156" t="str">
        <f>'Reported burning'!F2368</f>
        <v>ND</v>
      </c>
      <c r="G2368" s="156" t="str">
        <f>'Reported burning'!G2368</f>
        <v>Forest</v>
      </c>
      <c r="H2368" s="156" t="str">
        <f>'Reported burning'!H2368</f>
        <v>Presence</v>
      </c>
      <c r="I2368" s="5"/>
      <c r="J2368" s="21" t="s">
        <v>2276</v>
      </c>
      <c r="K2368" s="21" t="s">
        <v>2276</v>
      </c>
      <c r="L2368" s="21" t="s">
        <v>2276</v>
      </c>
      <c r="M2368" s="21" t="s">
        <v>2276</v>
      </c>
      <c r="N2368" s="21" t="s">
        <v>2276</v>
      </c>
      <c r="O2368" s="21" t="s">
        <v>2276</v>
      </c>
      <c r="P2368" s="21" t="s">
        <v>2276</v>
      </c>
      <c r="Q2368" s="21" t="s">
        <v>2276</v>
      </c>
      <c r="R2368" s="21" t="s">
        <v>2276</v>
      </c>
      <c r="S2368" s="21" t="s">
        <v>2276</v>
      </c>
      <c r="T2368" s="21" t="s">
        <v>2276</v>
      </c>
      <c r="U2368" s="21" t="s">
        <v>2276</v>
      </c>
      <c r="V2368" s="21" t="s">
        <v>2276</v>
      </c>
      <c r="W2368" s="21" t="s">
        <v>2276</v>
      </c>
      <c r="X2368" s="21" t="s">
        <v>2276</v>
      </c>
      <c r="Y2368" s="21" t="s">
        <v>2276</v>
      </c>
      <c r="Z2368" s="21" t="s">
        <v>2276</v>
      </c>
      <c r="AA2368" s="204"/>
      <c r="AB2368" s="204"/>
    </row>
    <row r="2369" spans="1:28" s="203" customFormat="1" ht="46" customHeight="1">
      <c r="A2369" s="156" t="str">
        <f>'Reported burning'!A2369</f>
        <v>272f</v>
      </c>
      <c r="B2369" s="156" t="str">
        <f>'Reported burning'!B2369</f>
        <v>272f.5</v>
      </c>
      <c r="C2369" s="156" t="str">
        <f>'Reported burning'!C2369</f>
        <v>Human, escaped</v>
      </c>
      <c r="D2369" s="156" t="str">
        <f>'Reported burning'!D2369</f>
        <v>ND</v>
      </c>
      <c r="E2369" s="156" t="str">
        <f>'Reported burning'!E2369</f>
        <v>Forestry, Industrial</v>
      </c>
      <c r="F2369" s="156" t="str">
        <f>'Reported burning'!F2369</f>
        <v>Shrubland (Mixed forest &amp; grassland)</v>
      </c>
      <c r="G2369" s="156" t="str">
        <f>'Reported burning'!G2369</f>
        <v>Forest</v>
      </c>
      <c r="H2369" s="156" t="str">
        <f>'Reported burning'!H2369</f>
        <v>Presence</v>
      </c>
      <c r="I2369" s="5"/>
      <c r="J2369" s="21" t="s">
        <v>2276</v>
      </c>
      <c r="K2369" s="21" t="s">
        <v>2276</v>
      </c>
      <c r="L2369" s="21" t="s">
        <v>2276</v>
      </c>
      <c r="M2369" s="21" t="s">
        <v>2276</v>
      </c>
      <c r="N2369" s="21" t="s">
        <v>2276</v>
      </c>
      <c r="O2369" s="21" t="s">
        <v>2276</v>
      </c>
      <c r="P2369" s="21" t="s">
        <v>2276</v>
      </c>
      <c r="Q2369" s="21" t="s">
        <v>2276</v>
      </c>
      <c r="R2369" s="21" t="s">
        <v>2276</v>
      </c>
      <c r="S2369" s="21" t="s">
        <v>2276</v>
      </c>
      <c r="T2369" s="21" t="s">
        <v>2276</v>
      </c>
      <c r="U2369" s="21" t="s">
        <v>2276</v>
      </c>
      <c r="V2369" s="21" t="s">
        <v>2276</v>
      </c>
      <c r="W2369" s="21" t="s">
        <v>2276</v>
      </c>
      <c r="X2369" s="21" t="s">
        <v>2276</v>
      </c>
      <c r="Y2369" s="21" t="s">
        <v>2276</v>
      </c>
      <c r="Z2369" s="21" t="s">
        <v>2276</v>
      </c>
      <c r="AA2369" s="204"/>
      <c r="AB2369" s="204"/>
    </row>
    <row r="2370" spans="1:28" s="203" customFormat="1" ht="46" customHeight="1">
      <c r="A2370" s="156" t="str">
        <f>'Reported burning'!A2370</f>
        <v>272f</v>
      </c>
      <c r="B2370" s="156" t="str">
        <f>'Reported burning'!B2370</f>
        <v>272f.6</v>
      </c>
      <c r="C2370" s="156" t="str">
        <f>'Reported burning'!C2370</f>
        <v>Human, deliberate</v>
      </c>
      <c r="D2370" s="156" t="str">
        <f>'Reported burning'!D2370</f>
        <v>Arson</v>
      </c>
      <c r="E2370" s="156" t="str">
        <f>'Reported burning'!E2370</f>
        <v>Mixed cropping-livestock small holder, Market-oriented</v>
      </c>
      <c r="F2370" s="156" t="str">
        <f>'Reported burning'!F2370</f>
        <v>Plantation forest</v>
      </c>
      <c r="G2370" s="156" t="str">
        <f>'Reported burning'!G2370</f>
        <v>Plantation forest</v>
      </c>
      <c r="H2370" s="156" t="str">
        <f>'Reported burning'!H2370</f>
        <v>Presence</v>
      </c>
      <c r="I2370" s="5"/>
      <c r="J2370" s="21" t="s">
        <v>2276</v>
      </c>
      <c r="K2370" s="21" t="s">
        <v>2276</v>
      </c>
      <c r="L2370" s="21" t="s">
        <v>2276</v>
      </c>
      <c r="M2370" s="21" t="s">
        <v>2276</v>
      </c>
      <c r="N2370" s="21" t="s">
        <v>2276</v>
      </c>
      <c r="O2370" s="21" t="s">
        <v>2276</v>
      </c>
      <c r="P2370" s="21" t="s">
        <v>2276</v>
      </c>
      <c r="Q2370" s="21" t="s">
        <v>2276</v>
      </c>
      <c r="R2370" s="21" t="s">
        <v>2276</v>
      </c>
      <c r="S2370" s="21" t="s">
        <v>2276</v>
      </c>
      <c r="T2370" s="21" t="s">
        <v>2276</v>
      </c>
      <c r="U2370" s="21" t="s">
        <v>2276</v>
      </c>
      <c r="V2370" s="21" t="s">
        <v>2276</v>
      </c>
      <c r="W2370" s="21" t="s">
        <v>2276</v>
      </c>
      <c r="X2370" s="21" t="s">
        <v>2276</v>
      </c>
      <c r="Y2370" s="21" t="s">
        <v>2276</v>
      </c>
      <c r="Z2370" s="21" t="s">
        <v>2276</v>
      </c>
      <c r="AA2370" s="204"/>
      <c r="AB2370" s="204"/>
    </row>
    <row r="2371" spans="1:28" s="203" customFormat="1" ht="46" customHeight="1">
      <c r="A2371" s="156" t="str">
        <f>'Reported burning'!A2371</f>
        <v>272f</v>
      </c>
      <c r="B2371" s="156" t="str">
        <f>'Reported burning'!B2371</f>
        <v>272f.7</v>
      </c>
      <c r="C2371" s="156" t="str">
        <f>'Reported burning'!C2371</f>
        <v>Human, accidental</v>
      </c>
      <c r="D2371" s="156" t="str">
        <f>'Reported burning'!D2371</f>
        <v>Accidental</v>
      </c>
      <c r="E2371" s="156" t="str">
        <f>'Reported burning'!E2371</f>
        <v>ND</v>
      </c>
      <c r="F2371" s="156" t="str">
        <f>'Reported burning'!F2371</f>
        <v>ND</v>
      </c>
      <c r="G2371" s="156" t="str">
        <f>'Reported burning'!G2371</f>
        <v>Forest</v>
      </c>
      <c r="H2371" s="156" t="str">
        <f>'Reported burning'!H2371</f>
        <v>Presence</v>
      </c>
      <c r="I2371" s="5"/>
      <c r="J2371" s="21" t="s">
        <v>2276</v>
      </c>
      <c r="K2371" s="21" t="s">
        <v>2276</v>
      </c>
      <c r="L2371" s="21" t="s">
        <v>2276</v>
      </c>
      <c r="M2371" s="21" t="s">
        <v>2276</v>
      </c>
      <c r="N2371" s="21" t="s">
        <v>2276</v>
      </c>
      <c r="O2371" s="21" t="s">
        <v>2276</v>
      </c>
      <c r="P2371" s="21" t="s">
        <v>2276</v>
      </c>
      <c r="Q2371" s="21" t="s">
        <v>2276</v>
      </c>
      <c r="R2371" s="21" t="s">
        <v>2276</v>
      </c>
      <c r="S2371" s="21" t="s">
        <v>2276</v>
      </c>
      <c r="T2371" s="21" t="s">
        <v>2276</v>
      </c>
      <c r="U2371" s="21" t="s">
        <v>2276</v>
      </c>
      <c r="V2371" s="21" t="s">
        <v>2276</v>
      </c>
      <c r="W2371" s="21" t="s">
        <v>2276</v>
      </c>
      <c r="X2371" s="21" t="s">
        <v>2276</v>
      </c>
      <c r="Y2371" s="21" t="s">
        <v>2276</v>
      </c>
      <c r="Z2371" s="21" t="s">
        <v>2276</v>
      </c>
      <c r="AA2371" s="204"/>
      <c r="AB2371" s="204"/>
    </row>
    <row r="2372" spans="1:28" s="203" customFormat="1" ht="46" customHeight="1">
      <c r="A2372" s="156" t="str">
        <f>'Reported burning'!A2372</f>
        <v>272f</v>
      </c>
      <c r="B2372" s="156" t="str">
        <f>'Reported burning'!B2372</f>
        <v>272f.8</v>
      </c>
      <c r="C2372" s="156" t="str">
        <f>'Reported burning'!C2372</f>
        <v>Lightning</v>
      </c>
      <c r="D2372" s="156" t="str">
        <f>'Reported burning'!D2372</f>
        <v>ND</v>
      </c>
      <c r="E2372" s="156" t="str">
        <f>'Reported burning'!E2372</f>
        <v>Mixed cropping-livestock small holder, Market-oriented</v>
      </c>
      <c r="F2372" s="156" t="str">
        <f>'Reported burning'!F2372</f>
        <v>ND</v>
      </c>
      <c r="G2372" s="156" t="str">
        <f>'Reported burning'!G2372</f>
        <v>Forest</v>
      </c>
      <c r="H2372" s="156" t="str">
        <f>'Reported burning'!H2372</f>
        <v>Presence</v>
      </c>
      <c r="I2372" s="5"/>
      <c r="J2372" s="21" t="s">
        <v>2276</v>
      </c>
      <c r="K2372" s="21" t="s">
        <v>2276</v>
      </c>
      <c r="L2372" s="21" t="s">
        <v>2276</v>
      </c>
      <c r="M2372" s="21" t="s">
        <v>2276</v>
      </c>
      <c r="N2372" s="21" t="s">
        <v>2276</v>
      </c>
      <c r="O2372" s="21" t="s">
        <v>2276</v>
      </c>
      <c r="P2372" s="21" t="s">
        <v>2276</v>
      </c>
      <c r="Q2372" s="21" t="s">
        <v>2276</v>
      </c>
      <c r="R2372" s="21" t="s">
        <v>2276</v>
      </c>
      <c r="S2372" s="21" t="s">
        <v>2276</v>
      </c>
      <c r="T2372" s="21" t="s">
        <v>2276</v>
      </c>
      <c r="U2372" s="21" t="s">
        <v>2276</v>
      </c>
      <c r="V2372" s="21" t="s">
        <v>2276</v>
      </c>
      <c r="W2372" s="21" t="s">
        <v>2276</v>
      </c>
      <c r="X2372" s="21" t="s">
        <v>2276</v>
      </c>
      <c r="Y2372" s="21" t="s">
        <v>2276</v>
      </c>
      <c r="Z2372" s="21" t="s">
        <v>2276</v>
      </c>
      <c r="AA2372" s="204"/>
      <c r="AB2372" s="204"/>
    </row>
    <row r="2373" spans="1:28" s="203" customFormat="1" ht="46" customHeight="1">
      <c r="A2373" s="156" t="str">
        <f>'Reported burning'!A2373</f>
        <v>272f</v>
      </c>
      <c r="B2373" s="156" t="str">
        <f>'Reported burning'!B2373</f>
        <v>272f.9</v>
      </c>
      <c r="C2373" s="156" t="str">
        <f>'Reported burning'!C2373</f>
        <v>Unknown</v>
      </c>
      <c r="D2373" s="156" t="str">
        <f>'Reported burning'!D2373</f>
        <v>ND</v>
      </c>
      <c r="E2373" s="156" t="str">
        <f>'Reported burning'!E2373</f>
        <v>ND</v>
      </c>
      <c r="F2373" s="156" t="str">
        <f>'Reported burning'!F2373</f>
        <v>ND</v>
      </c>
      <c r="G2373" s="156" t="str">
        <f>'Reported burning'!G2373</f>
        <v>Forest</v>
      </c>
      <c r="H2373" s="156" t="str">
        <f>'Reported burning'!H2373</f>
        <v>Presence</v>
      </c>
      <c r="I2373" s="5"/>
      <c r="J2373" s="21" t="s">
        <v>2276</v>
      </c>
      <c r="K2373" s="21" t="s">
        <v>2276</v>
      </c>
      <c r="L2373" s="21" t="s">
        <v>2276</v>
      </c>
      <c r="M2373" s="21" t="s">
        <v>2276</v>
      </c>
      <c r="N2373" s="21" t="s">
        <v>2276</v>
      </c>
      <c r="O2373" s="21" t="s">
        <v>2276</v>
      </c>
      <c r="P2373" s="21" t="s">
        <v>2276</v>
      </c>
      <c r="Q2373" s="21" t="s">
        <v>2276</v>
      </c>
      <c r="R2373" s="21" t="s">
        <v>2276</v>
      </c>
      <c r="S2373" s="21" t="s">
        <v>2276</v>
      </c>
      <c r="T2373" s="21" t="s">
        <v>2276</v>
      </c>
      <c r="U2373" s="21" t="s">
        <v>2276</v>
      </c>
      <c r="V2373" s="21" t="s">
        <v>2276</v>
      </c>
      <c r="W2373" s="21" t="s">
        <v>2276</v>
      </c>
      <c r="X2373" s="21" t="s">
        <v>2276</v>
      </c>
      <c r="Y2373" s="21" t="s">
        <v>2276</v>
      </c>
      <c r="Z2373" s="21" t="s">
        <v>2276</v>
      </c>
      <c r="AA2373" s="204"/>
      <c r="AB2373" s="204"/>
    </row>
    <row r="2374" spans="1:28" s="203" customFormat="1" ht="46" customHeight="1">
      <c r="A2374" s="156" t="str">
        <f>'Reported burning'!A2374</f>
        <v>272g</v>
      </c>
      <c r="B2374" s="156" t="str">
        <f>'Reported burning'!B2374</f>
        <v>272g.1</v>
      </c>
      <c r="C2374" s="156" t="str">
        <f>'Reported burning'!C2374</f>
        <v>All</v>
      </c>
      <c r="D2374" s="156" t="str">
        <f>'Reported burning'!D2374</f>
        <v>All</v>
      </c>
      <c r="E2374" s="156" t="str">
        <f>'Reported burning'!E2374</f>
        <v>All</v>
      </c>
      <c r="F2374" s="156" t="str">
        <f>'Reported burning'!F2374</f>
        <v>ND</v>
      </c>
      <c r="G2374" s="156" t="str">
        <f>'Reported burning'!G2374</f>
        <v>Forest</v>
      </c>
      <c r="H2374" s="156" t="str">
        <f>'Reported burning'!H2374</f>
        <v>Presence</v>
      </c>
      <c r="I2374" s="5"/>
      <c r="J2374" s="21" t="s">
        <v>2276</v>
      </c>
      <c r="K2374" s="21" t="s">
        <v>2276</v>
      </c>
      <c r="L2374" s="21" t="s">
        <v>2276</v>
      </c>
      <c r="M2374" s="21" t="s">
        <v>2276</v>
      </c>
      <c r="N2374" s="21" t="s">
        <v>2276</v>
      </c>
      <c r="O2374" s="21" t="s">
        <v>2276</v>
      </c>
      <c r="P2374" s="21" t="s">
        <v>2276</v>
      </c>
      <c r="Q2374" s="21" t="s">
        <v>2276</v>
      </c>
      <c r="R2374" s="21" t="s">
        <v>2276</v>
      </c>
      <c r="S2374" s="21" t="s">
        <v>2276</v>
      </c>
      <c r="T2374" s="21" t="s">
        <v>2276</v>
      </c>
      <c r="U2374" s="21" t="s">
        <v>2276</v>
      </c>
      <c r="V2374" s="4" t="s">
        <v>2527</v>
      </c>
      <c r="W2374" s="21" t="s">
        <v>2276</v>
      </c>
      <c r="X2374" s="21" t="s">
        <v>2276</v>
      </c>
      <c r="Y2374" s="21" t="s">
        <v>2276</v>
      </c>
      <c r="Z2374" s="21" t="s">
        <v>2276</v>
      </c>
      <c r="AA2374" s="204"/>
      <c r="AB2374" s="204"/>
    </row>
    <row r="2375" spans="1:28" s="203" customFormat="1" ht="46" customHeight="1">
      <c r="A2375" s="156" t="str">
        <f>'Reported burning'!A2375</f>
        <v>272g</v>
      </c>
      <c r="B2375" s="156" t="str">
        <f>'Reported burning'!B2375</f>
        <v>272g.2</v>
      </c>
      <c r="C2375" s="156" t="str">
        <f>'Reported burning'!C2375</f>
        <v>Human, deliberate</v>
      </c>
      <c r="D2375" s="156" t="str">
        <f>'Reported burning'!D2375</f>
        <v>ND</v>
      </c>
      <c r="E2375" s="156" t="str">
        <f>'Reported burning'!E2375</f>
        <v>Forestry, Industrial</v>
      </c>
      <c r="F2375" s="156" t="str">
        <f>'Reported burning'!F2375</f>
        <v>Forest</v>
      </c>
      <c r="G2375" s="156" t="str">
        <f>'Reported burning'!G2375</f>
        <v>Forest</v>
      </c>
      <c r="H2375" s="156" t="str">
        <f>'Reported burning'!H2375</f>
        <v>Presence</v>
      </c>
      <c r="I2375" s="5"/>
      <c r="J2375" s="21" t="s">
        <v>2276</v>
      </c>
      <c r="K2375" s="21" t="s">
        <v>2276</v>
      </c>
      <c r="L2375" s="21" t="s">
        <v>2276</v>
      </c>
      <c r="M2375" s="21" t="s">
        <v>2276</v>
      </c>
      <c r="N2375" s="21" t="s">
        <v>2276</v>
      </c>
      <c r="O2375" s="21" t="s">
        <v>2276</v>
      </c>
      <c r="P2375" s="21" t="s">
        <v>2276</v>
      </c>
      <c r="Q2375" s="21" t="s">
        <v>2276</v>
      </c>
      <c r="R2375" s="21" t="s">
        <v>2276</v>
      </c>
      <c r="S2375" s="21" t="s">
        <v>2276</v>
      </c>
      <c r="T2375" s="21" t="s">
        <v>2276</v>
      </c>
      <c r="U2375" s="21" t="s">
        <v>2276</v>
      </c>
      <c r="V2375" s="21" t="s">
        <v>2276</v>
      </c>
      <c r="W2375" s="21" t="s">
        <v>2276</v>
      </c>
      <c r="X2375" s="21" t="s">
        <v>2276</v>
      </c>
      <c r="Y2375" s="21" t="s">
        <v>2276</v>
      </c>
      <c r="Z2375" s="21" t="s">
        <v>2276</v>
      </c>
      <c r="AA2375" s="204"/>
      <c r="AB2375" s="204"/>
    </row>
    <row r="2376" spans="1:28" s="203" customFormat="1" ht="46" customHeight="1">
      <c r="A2376" s="156" t="str">
        <f>'Reported burning'!A2376</f>
        <v>272g</v>
      </c>
      <c r="B2376" s="156" t="str">
        <f>'Reported burning'!B2376</f>
        <v>272g.3</v>
      </c>
      <c r="C2376" s="156" t="str">
        <f>'Reported burning'!C2376</f>
        <v>Human, deliberate</v>
      </c>
      <c r="D2376" s="156" t="str">
        <f>'Reported burning'!D2376</f>
        <v>ND</v>
      </c>
      <c r="E2376" s="156" t="str">
        <f>'Reported burning'!E2376</f>
        <v>Mixed cropping-livestock small holder, Market-oriented</v>
      </c>
      <c r="F2376" s="156" t="str">
        <f>'Reported burning'!F2376</f>
        <v>Forest</v>
      </c>
      <c r="G2376" s="156" t="str">
        <f>'Reported burning'!G2376</f>
        <v>Forest</v>
      </c>
      <c r="H2376" s="156" t="str">
        <f>'Reported burning'!H2376</f>
        <v>Presence</v>
      </c>
      <c r="I2376" s="5"/>
      <c r="J2376" s="21" t="s">
        <v>2276</v>
      </c>
      <c r="K2376" s="21" t="s">
        <v>2276</v>
      </c>
      <c r="L2376" s="21" t="s">
        <v>2276</v>
      </c>
      <c r="M2376" s="21" t="s">
        <v>2276</v>
      </c>
      <c r="N2376" s="21" t="s">
        <v>2276</v>
      </c>
      <c r="O2376" s="21" t="s">
        <v>2276</v>
      </c>
      <c r="P2376" s="21" t="s">
        <v>2276</v>
      </c>
      <c r="Q2376" s="21" t="s">
        <v>2276</v>
      </c>
      <c r="R2376" s="21" t="s">
        <v>2276</v>
      </c>
      <c r="S2376" s="21" t="s">
        <v>2276</v>
      </c>
      <c r="T2376" s="21" t="s">
        <v>2276</v>
      </c>
      <c r="U2376" s="21" t="s">
        <v>2276</v>
      </c>
      <c r="V2376" s="21" t="s">
        <v>2276</v>
      </c>
      <c r="W2376" s="21" t="s">
        <v>2276</v>
      </c>
      <c r="X2376" s="21" t="s">
        <v>2276</v>
      </c>
      <c r="Y2376" s="21" t="s">
        <v>2276</v>
      </c>
      <c r="Z2376" s="21" t="s">
        <v>2276</v>
      </c>
      <c r="AA2376" s="204"/>
      <c r="AB2376" s="204"/>
    </row>
    <row r="2377" spans="1:28" s="203" customFormat="1" ht="46" customHeight="1">
      <c r="A2377" s="156" t="str">
        <f>'Reported burning'!A2377</f>
        <v>272g</v>
      </c>
      <c r="B2377" s="156" t="str">
        <f>'Reported burning'!B2377</f>
        <v>272g.4</v>
      </c>
      <c r="C2377" s="156" t="str">
        <f>'Reported burning'!C2377</f>
        <v>Human, escaped</v>
      </c>
      <c r="D2377" s="156" t="str">
        <f>'Reported burning'!D2377</f>
        <v>ND</v>
      </c>
      <c r="E2377" s="156" t="str">
        <f>'Reported burning'!E2377</f>
        <v>Mixed cropping-livestock small holder, Market-oriented</v>
      </c>
      <c r="F2377" s="156" t="str">
        <f>'Reported burning'!F2377</f>
        <v>ND</v>
      </c>
      <c r="G2377" s="156" t="str">
        <f>'Reported burning'!G2377</f>
        <v>Forest</v>
      </c>
      <c r="H2377" s="156" t="str">
        <f>'Reported burning'!H2377</f>
        <v>Presence</v>
      </c>
      <c r="I2377" s="5"/>
      <c r="J2377" s="21" t="s">
        <v>2276</v>
      </c>
      <c r="K2377" s="21" t="s">
        <v>2276</v>
      </c>
      <c r="L2377" s="21" t="s">
        <v>2276</v>
      </c>
      <c r="M2377" s="21" t="s">
        <v>2276</v>
      </c>
      <c r="N2377" s="21" t="s">
        <v>2276</v>
      </c>
      <c r="O2377" s="21" t="s">
        <v>2276</v>
      </c>
      <c r="P2377" s="21" t="s">
        <v>2276</v>
      </c>
      <c r="Q2377" s="21" t="s">
        <v>2276</v>
      </c>
      <c r="R2377" s="21" t="s">
        <v>2276</v>
      </c>
      <c r="S2377" s="21" t="s">
        <v>2276</v>
      </c>
      <c r="T2377" s="21" t="s">
        <v>2276</v>
      </c>
      <c r="U2377" s="21" t="s">
        <v>2276</v>
      </c>
      <c r="V2377" s="21" t="s">
        <v>2276</v>
      </c>
      <c r="W2377" s="21" t="s">
        <v>2276</v>
      </c>
      <c r="X2377" s="21" t="s">
        <v>2276</v>
      </c>
      <c r="Y2377" s="21" t="s">
        <v>2276</v>
      </c>
      <c r="Z2377" s="21" t="s">
        <v>2276</v>
      </c>
      <c r="AA2377" s="204"/>
      <c r="AB2377" s="204"/>
    </row>
    <row r="2378" spans="1:28" s="203" customFormat="1" ht="46" customHeight="1">
      <c r="A2378" s="156" t="str">
        <f>'Reported burning'!A2378</f>
        <v>272g</v>
      </c>
      <c r="B2378" s="156" t="str">
        <f>'Reported burning'!B2378</f>
        <v>272g.5</v>
      </c>
      <c r="C2378" s="156" t="str">
        <f>'Reported burning'!C2378</f>
        <v>Human, escaped</v>
      </c>
      <c r="D2378" s="156" t="str">
        <f>'Reported burning'!D2378</f>
        <v>ND</v>
      </c>
      <c r="E2378" s="156" t="str">
        <f>'Reported burning'!E2378</f>
        <v>Forestry, Industrial</v>
      </c>
      <c r="F2378" s="156" t="str">
        <f>'Reported burning'!F2378</f>
        <v>Shrubland (Mixed forest &amp; grassland)</v>
      </c>
      <c r="G2378" s="156" t="str">
        <f>'Reported burning'!G2378</f>
        <v>Forest</v>
      </c>
      <c r="H2378" s="156" t="str">
        <f>'Reported burning'!H2378</f>
        <v>Presence</v>
      </c>
      <c r="I2378" s="5"/>
      <c r="J2378" s="21" t="s">
        <v>2276</v>
      </c>
      <c r="K2378" s="21" t="s">
        <v>2276</v>
      </c>
      <c r="L2378" s="21" t="s">
        <v>2276</v>
      </c>
      <c r="M2378" s="21" t="s">
        <v>2276</v>
      </c>
      <c r="N2378" s="21" t="s">
        <v>2276</v>
      </c>
      <c r="O2378" s="21" t="s">
        <v>2276</v>
      </c>
      <c r="P2378" s="21" t="s">
        <v>2276</v>
      </c>
      <c r="Q2378" s="21" t="s">
        <v>2276</v>
      </c>
      <c r="R2378" s="21" t="s">
        <v>2276</v>
      </c>
      <c r="S2378" s="21" t="s">
        <v>2276</v>
      </c>
      <c r="T2378" s="21" t="s">
        <v>2276</v>
      </c>
      <c r="U2378" s="21" t="s">
        <v>2276</v>
      </c>
      <c r="V2378" s="21" t="s">
        <v>2276</v>
      </c>
      <c r="W2378" s="21" t="s">
        <v>2276</v>
      </c>
      <c r="X2378" s="21" t="s">
        <v>2276</v>
      </c>
      <c r="Y2378" s="21" t="s">
        <v>2276</v>
      </c>
      <c r="Z2378" s="21" t="s">
        <v>2276</v>
      </c>
      <c r="AA2378" s="204"/>
      <c r="AB2378" s="204"/>
    </row>
    <row r="2379" spans="1:28" s="203" customFormat="1" ht="46" customHeight="1">
      <c r="A2379" s="156" t="str">
        <f>'Reported burning'!A2379</f>
        <v>272g</v>
      </c>
      <c r="B2379" s="156" t="str">
        <f>'Reported burning'!B2379</f>
        <v>272g.6</v>
      </c>
      <c r="C2379" s="156" t="str">
        <f>'Reported burning'!C2379</f>
        <v>Human, deliberate</v>
      </c>
      <c r="D2379" s="156" t="str">
        <f>'Reported burning'!D2379</f>
        <v>Arson</v>
      </c>
      <c r="E2379" s="156" t="str">
        <f>'Reported burning'!E2379</f>
        <v>Mixed cropping-livestock small holder, Market-oriented</v>
      </c>
      <c r="F2379" s="156" t="str">
        <f>'Reported burning'!F2379</f>
        <v>Plantation forest</v>
      </c>
      <c r="G2379" s="156" t="str">
        <f>'Reported burning'!G2379</f>
        <v>Plantation forest</v>
      </c>
      <c r="H2379" s="156" t="str">
        <f>'Reported burning'!H2379</f>
        <v>Presence</v>
      </c>
      <c r="I2379" s="5"/>
      <c r="J2379" s="21" t="s">
        <v>2276</v>
      </c>
      <c r="K2379" s="21" t="s">
        <v>2276</v>
      </c>
      <c r="L2379" s="21" t="s">
        <v>2276</v>
      </c>
      <c r="M2379" s="21" t="s">
        <v>2276</v>
      </c>
      <c r="N2379" s="21" t="s">
        <v>2276</v>
      </c>
      <c r="O2379" s="21" t="s">
        <v>2276</v>
      </c>
      <c r="P2379" s="21" t="s">
        <v>2276</v>
      </c>
      <c r="Q2379" s="21" t="s">
        <v>2276</v>
      </c>
      <c r="R2379" s="21" t="s">
        <v>2276</v>
      </c>
      <c r="S2379" s="21" t="s">
        <v>2276</v>
      </c>
      <c r="T2379" s="21" t="s">
        <v>2276</v>
      </c>
      <c r="U2379" s="21" t="s">
        <v>2276</v>
      </c>
      <c r="V2379" s="21" t="s">
        <v>2276</v>
      </c>
      <c r="W2379" s="21" t="s">
        <v>2276</v>
      </c>
      <c r="X2379" s="21" t="s">
        <v>2276</v>
      </c>
      <c r="Y2379" s="21" t="s">
        <v>2276</v>
      </c>
      <c r="Z2379" s="21" t="s">
        <v>2276</v>
      </c>
      <c r="AA2379" s="204"/>
      <c r="AB2379" s="204"/>
    </row>
    <row r="2380" spans="1:28" s="203" customFormat="1" ht="46" customHeight="1">
      <c r="A2380" s="156" t="str">
        <f>'Reported burning'!A2380</f>
        <v>272g</v>
      </c>
      <c r="B2380" s="156" t="str">
        <f>'Reported burning'!B2380</f>
        <v>272g.7</v>
      </c>
      <c r="C2380" s="156" t="str">
        <f>'Reported burning'!C2380</f>
        <v>Human, accidental</v>
      </c>
      <c r="D2380" s="156" t="str">
        <f>'Reported burning'!D2380</f>
        <v>Accidental</v>
      </c>
      <c r="E2380" s="156" t="str">
        <f>'Reported burning'!E2380</f>
        <v>ND</v>
      </c>
      <c r="F2380" s="156" t="str">
        <f>'Reported burning'!F2380</f>
        <v>ND</v>
      </c>
      <c r="G2380" s="156" t="str">
        <f>'Reported burning'!G2380</f>
        <v>Forest</v>
      </c>
      <c r="H2380" s="156" t="str">
        <f>'Reported burning'!H2380</f>
        <v>Presence</v>
      </c>
      <c r="I2380" s="5"/>
      <c r="J2380" s="21" t="s">
        <v>2276</v>
      </c>
      <c r="K2380" s="21" t="s">
        <v>2276</v>
      </c>
      <c r="L2380" s="21" t="s">
        <v>2276</v>
      </c>
      <c r="M2380" s="21" t="s">
        <v>2276</v>
      </c>
      <c r="N2380" s="21" t="s">
        <v>2276</v>
      </c>
      <c r="O2380" s="21" t="s">
        <v>2276</v>
      </c>
      <c r="P2380" s="21" t="s">
        <v>2276</v>
      </c>
      <c r="Q2380" s="21" t="s">
        <v>2276</v>
      </c>
      <c r="R2380" s="21" t="s">
        <v>2276</v>
      </c>
      <c r="S2380" s="21" t="s">
        <v>2276</v>
      </c>
      <c r="T2380" s="21" t="s">
        <v>2276</v>
      </c>
      <c r="U2380" s="21" t="s">
        <v>2276</v>
      </c>
      <c r="V2380" s="21" t="s">
        <v>2276</v>
      </c>
      <c r="W2380" s="21" t="s">
        <v>2276</v>
      </c>
      <c r="X2380" s="21" t="s">
        <v>2276</v>
      </c>
      <c r="Y2380" s="21" t="s">
        <v>2276</v>
      </c>
      <c r="Z2380" s="21" t="s">
        <v>2276</v>
      </c>
      <c r="AA2380" s="204"/>
      <c r="AB2380" s="204"/>
    </row>
    <row r="2381" spans="1:28" s="203" customFormat="1" ht="46" customHeight="1">
      <c r="A2381" s="156" t="str">
        <f>'Reported burning'!A2381</f>
        <v>272g</v>
      </c>
      <c r="B2381" s="156" t="str">
        <f>'Reported burning'!B2381</f>
        <v>272g.8</v>
      </c>
      <c r="C2381" s="156" t="str">
        <f>'Reported burning'!C2381</f>
        <v>Lightning</v>
      </c>
      <c r="D2381" s="156" t="str">
        <f>'Reported burning'!D2381</f>
        <v>ND</v>
      </c>
      <c r="E2381" s="156" t="str">
        <f>'Reported burning'!E2381</f>
        <v>Mixed cropping-livestock small holder, Market-oriented</v>
      </c>
      <c r="F2381" s="156" t="str">
        <f>'Reported burning'!F2381</f>
        <v>ND</v>
      </c>
      <c r="G2381" s="156" t="str">
        <f>'Reported burning'!G2381</f>
        <v>Forest</v>
      </c>
      <c r="H2381" s="156" t="str">
        <f>'Reported burning'!H2381</f>
        <v>Presence</v>
      </c>
      <c r="I2381" s="5"/>
      <c r="J2381" s="21" t="s">
        <v>2276</v>
      </c>
      <c r="K2381" s="21" t="s">
        <v>2276</v>
      </c>
      <c r="L2381" s="21" t="s">
        <v>2276</v>
      </c>
      <c r="M2381" s="21" t="s">
        <v>2276</v>
      </c>
      <c r="N2381" s="21" t="s">
        <v>2276</v>
      </c>
      <c r="O2381" s="21" t="s">
        <v>2276</v>
      </c>
      <c r="P2381" s="21" t="s">
        <v>2276</v>
      </c>
      <c r="Q2381" s="21" t="s">
        <v>2276</v>
      </c>
      <c r="R2381" s="21" t="s">
        <v>2276</v>
      </c>
      <c r="S2381" s="21" t="s">
        <v>2276</v>
      </c>
      <c r="T2381" s="21" t="s">
        <v>2276</v>
      </c>
      <c r="U2381" s="21" t="s">
        <v>2276</v>
      </c>
      <c r="V2381" s="21" t="s">
        <v>2276</v>
      </c>
      <c r="W2381" s="21" t="s">
        <v>2276</v>
      </c>
      <c r="X2381" s="21" t="s">
        <v>2276</v>
      </c>
      <c r="Y2381" s="21" t="s">
        <v>2276</v>
      </c>
      <c r="Z2381" s="21" t="s">
        <v>2276</v>
      </c>
      <c r="AA2381" s="204"/>
      <c r="AB2381" s="204"/>
    </row>
    <row r="2382" spans="1:28" s="203" customFormat="1" ht="46" customHeight="1">
      <c r="A2382" s="156" t="str">
        <f>'Reported burning'!A2382</f>
        <v>272g</v>
      </c>
      <c r="B2382" s="156" t="str">
        <f>'Reported burning'!B2382</f>
        <v>272g.9</v>
      </c>
      <c r="C2382" s="156" t="str">
        <f>'Reported burning'!C2382</f>
        <v>Unknown</v>
      </c>
      <c r="D2382" s="156" t="str">
        <f>'Reported burning'!D2382</f>
        <v>ND</v>
      </c>
      <c r="E2382" s="156" t="str">
        <f>'Reported burning'!E2382</f>
        <v>ND</v>
      </c>
      <c r="F2382" s="156" t="str">
        <f>'Reported burning'!F2382</f>
        <v>ND</v>
      </c>
      <c r="G2382" s="156" t="str">
        <f>'Reported burning'!G2382</f>
        <v>Forest</v>
      </c>
      <c r="H2382" s="156" t="str">
        <f>'Reported burning'!H2382</f>
        <v>Presence</v>
      </c>
      <c r="I2382" s="5"/>
      <c r="J2382" s="21" t="s">
        <v>2276</v>
      </c>
      <c r="K2382" s="21" t="s">
        <v>2276</v>
      </c>
      <c r="L2382" s="21" t="s">
        <v>2276</v>
      </c>
      <c r="M2382" s="21" t="s">
        <v>2276</v>
      </c>
      <c r="N2382" s="21" t="s">
        <v>2276</v>
      </c>
      <c r="O2382" s="21" t="s">
        <v>2276</v>
      </c>
      <c r="P2382" s="21" t="s">
        <v>2276</v>
      </c>
      <c r="Q2382" s="21" t="s">
        <v>2276</v>
      </c>
      <c r="R2382" s="21" t="s">
        <v>2276</v>
      </c>
      <c r="S2382" s="21" t="s">
        <v>2276</v>
      </c>
      <c r="T2382" s="21" t="s">
        <v>2276</v>
      </c>
      <c r="U2382" s="21" t="s">
        <v>2276</v>
      </c>
      <c r="V2382" s="21" t="s">
        <v>2276</v>
      </c>
      <c r="W2382" s="21" t="s">
        <v>2276</v>
      </c>
      <c r="X2382" s="21" t="s">
        <v>2276</v>
      </c>
      <c r="Y2382" s="21" t="s">
        <v>2276</v>
      </c>
      <c r="Z2382" s="21" t="s">
        <v>2276</v>
      </c>
      <c r="AA2382" s="204"/>
      <c r="AB2382" s="204"/>
    </row>
    <row r="2383" spans="1:28" s="203" customFormat="1" ht="46" customHeight="1">
      <c r="A2383" s="156" t="str">
        <f>'Reported burning'!A2383</f>
        <v>273a</v>
      </c>
      <c r="B2383" s="156" t="str">
        <f>'Reported burning'!B2383</f>
        <v>273a.1</v>
      </c>
      <c r="C2383" s="156" t="str">
        <f>'Reported burning'!C2383</f>
        <v>Human, deliberate</v>
      </c>
      <c r="D2383" s="156" t="str">
        <f>'Reported burning'!D2383</f>
        <v>Crop residue burning</v>
      </c>
      <c r="E2383" s="156" t="str">
        <f>'Reported burning'!E2383</f>
        <v>Cropping, Monoculture, Subsistence-oriented</v>
      </c>
      <c r="F2383" s="156" t="str">
        <f>'Reported burning'!F2383</f>
        <v>Cropland</v>
      </c>
      <c r="G2383" s="156" t="str">
        <f>'Reported burning'!G2383</f>
        <v>ND</v>
      </c>
      <c r="H2383" s="156" t="str">
        <f>'Reported burning'!H2383</f>
        <v>Presence</v>
      </c>
      <c r="I2383" s="5"/>
      <c r="J2383" s="21" t="s">
        <v>2276</v>
      </c>
      <c r="K2383" s="21" t="s">
        <v>2276</v>
      </c>
      <c r="L2383" s="21" t="s">
        <v>2276</v>
      </c>
      <c r="M2383" s="21" t="s">
        <v>2276</v>
      </c>
      <c r="N2383" s="21" t="s">
        <v>2276</v>
      </c>
      <c r="O2383" s="4" t="s">
        <v>2375</v>
      </c>
      <c r="P2383" s="21" t="s">
        <v>2276</v>
      </c>
      <c r="Q2383" s="21" t="s">
        <v>2276</v>
      </c>
      <c r="R2383" s="21" t="s">
        <v>2276</v>
      </c>
      <c r="S2383" s="21" t="s">
        <v>2276</v>
      </c>
      <c r="T2383" s="21" t="s">
        <v>2276</v>
      </c>
      <c r="U2383" s="21" t="s">
        <v>2276</v>
      </c>
      <c r="V2383" s="21" t="s">
        <v>2276</v>
      </c>
      <c r="W2383" s="4" t="s">
        <v>2375</v>
      </c>
      <c r="X2383" s="4" t="s">
        <v>399</v>
      </c>
      <c r="Y2383" s="4" t="s">
        <v>38</v>
      </c>
      <c r="Z2383" s="4" t="s">
        <v>64</v>
      </c>
      <c r="AA2383" s="4" t="s">
        <v>6435</v>
      </c>
      <c r="AB2383" s="4" t="s">
        <v>7867</v>
      </c>
    </row>
    <row r="2384" spans="1:28" s="203" customFormat="1" ht="46" customHeight="1">
      <c r="A2384" s="156" t="str">
        <f>'Reported burning'!A2384</f>
        <v>273a</v>
      </c>
      <c r="B2384" s="156" t="str">
        <f>'Reported burning'!B2384</f>
        <v>273a.2</v>
      </c>
      <c r="C2384" s="156" t="str">
        <f>'Reported burning'!C2384</f>
        <v>Human, deliberate</v>
      </c>
      <c r="D2384" s="156" t="str">
        <f>'Reported burning'!D2384</f>
        <v>Crop residue burning</v>
      </c>
      <c r="E2384" s="156" t="str">
        <f>'Reported burning'!E2384</f>
        <v>Cropping, Monoculture, Market-oriented</v>
      </c>
      <c r="F2384" s="156" t="str">
        <f>'Reported burning'!F2384</f>
        <v>Cropland</v>
      </c>
      <c r="G2384" s="156" t="str">
        <f>'Reported burning'!G2384</f>
        <v>ND</v>
      </c>
      <c r="H2384" s="156" t="str">
        <f>'Reported burning'!H2384</f>
        <v>Presence</v>
      </c>
      <c r="I2384" s="5"/>
      <c r="J2384" s="21" t="s">
        <v>2276</v>
      </c>
      <c r="K2384" s="21" t="s">
        <v>2276</v>
      </c>
      <c r="L2384" s="21" t="s">
        <v>2276</v>
      </c>
      <c r="M2384" s="21" t="s">
        <v>2276</v>
      </c>
      <c r="N2384" s="21" t="s">
        <v>2276</v>
      </c>
      <c r="O2384" s="4" t="s">
        <v>2373</v>
      </c>
      <c r="P2384" s="21" t="s">
        <v>2276</v>
      </c>
      <c r="Q2384" s="21" t="s">
        <v>2276</v>
      </c>
      <c r="R2384" s="21" t="s">
        <v>2276</v>
      </c>
      <c r="S2384" s="21" t="s">
        <v>2276</v>
      </c>
      <c r="T2384" s="21" t="s">
        <v>2276</v>
      </c>
      <c r="U2384" s="21" t="s">
        <v>2276</v>
      </c>
      <c r="V2384" s="21" t="s">
        <v>2276</v>
      </c>
      <c r="W2384" s="4" t="s">
        <v>2375</v>
      </c>
      <c r="X2384" s="4" t="s">
        <v>399</v>
      </c>
      <c r="Y2384" s="4" t="s">
        <v>38</v>
      </c>
      <c r="Z2384" s="4" t="s">
        <v>64</v>
      </c>
      <c r="AA2384" s="4" t="s">
        <v>6435</v>
      </c>
      <c r="AB2384" s="4" t="s">
        <v>7867</v>
      </c>
    </row>
    <row r="2385" spans="1:28" ht="46" customHeight="1">
      <c r="A2385" s="156" t="str">
        <f>'Reported burning'!A2385</f>
        <v>273b</v>
      </c>
      <c r="B2385" s="156" t="str">
        <f>'Reported burning'!B2385</f>
        <v>273b.1</v>
      </c>
      <c r="C2385" s="156" t="str">
        <f>'Reported burning'!C2385</f>
        <v>Human, deliberate</v>
      </c>
      <c r="D2385" s="156" t="str">
        <f>'Reported burning'!D2385</f>
        <v>Crop residue burning</v>
      </c>
      <c r="E2385" s="156" t="str">
        <f>'Reported burning'!E2385</f>
        <v>Cropping, Monoculture, Subsistence-oriented</v>
      </c>
      <c r="F2385" s="156" t="str">
        <f>'Reported burning'!F2385</f>
        <v>Cropland</v>
      </c>
      <c r="G2385" s="156" t="str">
        <f>'Reported burning'!G2385</f>
        <v>ND</v>
      </c>
      <c r="H2385" s="156" t="str">
        <f>'Reported burning'!H2385</f>
        <v>Presence</v>
      </c>
      <c r="I2385" s="5"/>
      <c r="J2385" s="21" t="s">
        <v>2276</v>
      </c>
      <c r="K2385" s="21" t="s">
        <v>2276</v>
      </c>
      <c r="L2385" s="21" t="s">
        <v>2276</v>
      </c>
      <c r="M2385" s="21" t="s">
        <v>2276</v>
      </c>
      <c r="N2385" s="21" t="s">
        <v>2276</v>
      </c>
      <c r="O2385" s="4" t="s">
        <v>2375</v>
      </c>
      <c r="P2385" s="21" t="s">
        <v>2276</v>
      </c>
      <c r="Q2385" s="21" t="s">
        <v>2276</v>
      </c>
      <c r="R2385" s="21" t="s">
        <v>2276</v>
      </c>
      <c r="S2385" s="21" t="s">
        <v>2276</v>
      </c>
      <c r="T2385" s="21" t="s">
        <v>2276</v>
      </c>
      <c r="U2385" s="21" t="s">
        <v>2276</v>
      </c>
      <c r="V2385" s="21" t="s">
        <v>2276</v>
      </c>
      <c r="W2385" s="4" t="s">
        <v>2375</v>
      </c>
      <c r="X2385" s="4" t="s">
        <v>399</v>
      </c>
      <c r="Y2385" s="4" t="s">
        <v>38</v>
      </c>
      <c r="Z2385" s="4" t="s">
        <v>64</v>
      </c>
      <c r="AA2385" s="4" t="s">
        <v>6435</v>
      </c>
      <c r="AB2385" s="4" t="s">
        <v>7867</v>
      </c>
    </row>
    <row r="2386" spans="1:28" ht="46" customHeight="1">
      <c r="A2386" s="156" t="str">
        <f>'Reported burning'!A2386</f>
        <v>273b</v>
      </c>
      <c r="B2386" s="156" t="str">
        <f>'Reported burning'!B2386</f>
        <v>273b.2</v>
      </c>
      <c r="C2386" s="156" t="str">
        <f>'Reported burning'!C2386</f>
        <v>Human, deliberate</v>
      </c>
      <c r="D2386" s="156" t="str">
        <f>'Reported burning'!D2386</f>
        <v>Crop residue burning</v>
      </c>
      <c r="E2386" s="156" t="str">
        <f>'Reported burning'!E2386</f>
        <v>Cropping, Monoculture, Market-oriented</v>
      </c>
      <c r="F2386" s="156" t="str">
        <f>'Reported burning'!F2386</f>
        <v>Cropland</v>
      </c>
      <c r="G2386" s="156" t="str">
        <f>'Reported burning'!G2386</f>
        <v>ND</v>
      </c>
      <c r="H2386" s="156" t="str">
        <f>'Reported burning'!H2386</f>
        <v>Presence</v>
      </c>
      <c r="I2386" s="5"/>
      <c r="J2386" s="21" t="s">
        <v>2276</v>
      </c>
      <c r="K2386" s="21" t="s">
        <v>2276</v>
      </c>
      <c r="L2386" s="21" t="s">
        <v>2276</v>
      </c>
      <c r="M2386" s="21" t="s">
        <v>2276</v>
      </c>
      <c r="N2386" s="21" t="s">
        <v>2276</v>
      </c>
      <c r="O2386" s="4" t="s">
        <v>2373</v>
      </c>
      <c r="P2386" s="21" t="s">
        <v>2276</v>
      </c>
      <c r="Q2386" s="21" t="s">
        <v>2276</v>
      </c>
      <c r="R2386" s="21" t="s">
        <v>2276</v>
      </c>
      <c r="S2386" s="21" t="s">
        <v>2276</v>
      </c>
      <c r="T2386" s="21" t="s">
        <v>2276</v>
      </c>
      <c r="U2386" s="21" t="s">
        <v>2276</v>
      </c>
      <c r="V2386" s="21" t="s">
        <v>2276</v>
      </c>
      <c r="W2386" s="4" t="s">
        <v>2375</v>
      </c>
      <c r="X2386" s="4" t="s">
        <v>399</v>
      </c>
      <c r="Y2386" s="4" t="s">
        <v>38</v>
      </c>
      <c r="Z2386" s="4" t="s">
        <v>64</v>
      </c>
      <c r="AA2386" s="4" t="s">
        <v>6435</v>
      </c>
      <c r="AB2386" s="4" t="s">
        <v>7867</v>
      </c>
    </row>
    <row r="2387" spans="1:28" ht="46" customHeight="1">
      <c r="A2387" s="156" t="str">
        <f>'Reported burning'!A2387</f>
        <v>273c</v>
      </c>
      <c r="B2387" s="156" t="str">
        <f>'Reported burning'!B2387</f>
        <v>273c.1</v>
      </c>
      <c r="C2387" s="156" t="str">
        <f>'Reported burning'!C2387</f>
        <v>Human, deliberate</v>
      </c>
      <c r="D2387" s="156" t="str">
        <f>'Reported burning'!D2387</f>
        <v>Crop residue burning</v>
      </c>
      <c r="E2387" s="156" t="str">
        <f>'Reported burning'!E2387</f>
        <v>Cropping, Monoculture, Subsistence-oriented</v>
      </c>
      <c r="F2387" s="156" t="str">
        <f>'Reported burning'!F2387</f>
        <v>Cropland</v>
      </c>
      <c r="G2387" s="156" t="str">
        <f>'Reported burning'!G2387</f>
        <v>ND</v>
      </c>
      <c r="H2387" s="156" t="str">
        <f>'Reported burning'!H2387</f>
        <v>Presence</v>
      </c>
      <c r="I2387" s="5"/>
      <c r="J2387" s="21" t="s">
        <v>2276</v>
      </c>
      <c r="K2387" s="21" t="s">
        <v>2276</v>
      </c>
      <c r="L2387" s="21" t="s">
        <v>2276</v>
      </c>
      <c r="M2387" s="21" t="s">
        <v>2276</v>
      </c>
      <c r="N2387" s="21" t="s">
        <v>2276</v>
      </c>
      <c r="O2387" s="4" t="s">
        <v>2375</v>
      </c>
      <c r="P2387" s="21" t="s">
        <v>2276</v>
      </c>
      <c r="Q2387" s="21" t="s">
        <v>2276</v>
      </c>
      <c r="R2387" s="21" t="s">
        <v>2276</v>
      </c>
      <c r="S2387" s="21" t="s">
        <v>2276</v>
      </c>
      <c r="T2387" s="21" t="s">
        <v>2276</v>
      </c>
      <c r="U2387" s="21" t="s">
        <v>2276</v>
      </c>
      <c r="V2387" s="21" t="s">
        <v>2276</v>
      </c>
      <c r="W2387" s="4" t="s">
        <v>2375</v>
      </c>
      <c r="X2387" s="4" t="s">
        <v>399</v>
      </c>
      <c r="Y2387" s="4" t="s">
        <v>38</v>
      </c>
      <c r="Z2387" s="4" t="s">
        <v>64</v>
      </c>
      <c r="AA2387" s="4" t="s">
        <v>6435</v>
      </c>
      <c r="AB2387" s="4" t="s">
        <v>7867</v>
      </c>
    </row>
    <row r="2388" spans="1:28" ht="46" customHeight="1">
      <c r="A2388" s="156" t="str">
        <f>'Reported burning'!A2388</f>
        <v>273c</v>
      </c>
      <c r="B2388" s="156" t="str">
        <f>'Reported burning'!B2388</f>
        <v>273c.2</v>
      </c>
      <c r="C2388" s="156" t="str">
        <f>'Reported burning'!C2388</f>
        <v>Human, deliberate</v>
      </c>
      <c r="D2388" s="156" t="str">
        <f>'Reported burning'!D2388</f>
        <v>Crop residue burning</v>
      </c>
      <c r="E2388" s="156" t="str">
        <f>'Reported burning'!E2388</f>
        <v>Cropping, Monoculture, Market-oriented</v>
      </c>
      <c r="F2388" s="156" t="str">
        <f>'Reported burning'!F2388</f>
        <v>Cropland</v>
      </c>
      <c r="G2388" s="156" t="str">
        <f>'Reported burning'!G2388</f>
        <v>ND</v>
      </c>
      <c r="H2388" s="156" t="str">
        <f>'Reported burning'!H2388</f>
        <v>Presence</v>
      </c>
      <c r="I2388" s="5"/>
      <c r="J2388" s="21" t="s">
        <v>2276</v>
      </c>
      <c r="K2388" s="21" t="s">
        <v>2276</v>
      </c>
      <c r="L2388" s="21" t="s">
        <v>2276</v>
      </c>
      <c r="M2388" s="21" t="s">
        <v>2276</v>
      </c>
      <c r="N2388" s="21" t="s">
        <v>2276</v>
      </c>
      <c r="O2388" s="4" t="s">
        <v>2373</v>
      </c>
      <c r="P2388" s="21" t="s">
        <v>2276</v>
      </c>
      <c r="Q2388" s="21" t="s">
        <v>2276</v>
      </c>
      <c r="R2388" s="21" t="s">
        <v>2276</v>
      </c>
      <c r="S2388" s="21" t="s">
        <v>2276</v>
      </c>
      <c r="T2388" s="21" t="s">
        <v>2276</v>
      </c>
      <c r="U2388" s="21" t="s">
        <v>2276</v>
      </c>
      <c r="V2388" s="21" t="s">
        <v>2276</v>
      </c>
      <c r="W2388" s="4" t="s">
        <v>2375</v>
      </c>
      <c r="X2388" s="4" t="s">
        <v>399</v>
      </c>
      <c r="Y2388" s="4" t="s">
        <v>38</v>
      </c>
      <c r="Z2388" s="4" t="s">
        <v>64</v>
      </c>
      <c r="AA2388" s="4" t="s">
        <v>6435</v>
      </c>
      <c r="AB2388" s="4" t="s">
        <v>7867</v>
      </c>
    </row>
    <row r="2389" spans="1:28" ht="81.5" customHeight="1">
      <c r="A2389" s="156" t="str">
        <f>'Reported burning'!A2389</f>
        <v>274a</v>
      </c>
      <c r="B2389" s="156" t="str">
        <f>'Reported burning'!B2389</f>
        <v>274a.1</v>
      </c>
      <c r="C2389" s="156" t="str">
        <f>'Reported burning'!C2389</f>
        <v>Human, deliberate</v>
      </c>
      <c r="D2389" s="156" t="str">
        <f>'Reported burning'!D2389</f>
        <v>Crop residue burning</v>
      </c>
      <c r="E2389" s="156" t="str">
        <f>'Reported burning'!E2389</f>
        <v>Cropping, Monoculture, Market-oriented</v>
      </c>
      <c r="F2389" s="156" t="str">
        <f>'Reported burning'!F2389</f>
        <v>Cropland</v>
      </c>
      <c r="G2389" s="156" t="str">
        <f>'Reported burning'!G2389</f>
        <v>ND</v>
      </c>
      <c r="H2389" s="156" t="str">
        <f>'Reported burning'!H2389</f>
        <v>Presence</v>
      </c>
      <c r="I2389" s="5"/>
      <c r="J2389" s="21" t="s">
        <v>2276</v>
      </c>
      <c r="K2389" s="21" t="s">
        <v>2276</v>
      </c>
      <c r="L2389" s="21" t="s">
        <v>2276</v>
      </c>
      <c r="M2389" s="21" t="s">
        <v>2276</v>
      </c>
      <c r="N2389" s="21" t="s">
        <v>2276</v>
      </c>
      <c r="O2389" s="4" t="s">
        <v>2373</v>
      </c>
      <c r="P2389" s="21" t="s">
        <v>2276</v>
      </c>
      <c r="Q2389" s="21" t="s">
        <v>2276</v>
      </c>
      <c r="R2389" s="21" t="s">
        <v>2276</v>
      </c>
      <c r="S2389" s="4" t="s">
        <v>2391</v>
      </c>
      <c r="T2389" s="21" t="s">
        <v>2276</v>
      </c>
      <c r="U2389" s="21" t="s">
        <v>2276</v>
      </c>
      <c r="V2389" s="21" t="s">
        <v>2276</v>
      </c>
      <c r="W2389" s="4" t="s">
        <v>2375</v>
      </c>
      <c r="X2389" s="21" t="s">
        <v>2276</v>
      </c>
      <c r="Y2389" s="21" t="s">
        <v>2276</v>
      </c>
      <c r="Z2389" s="4" t="s">
        <v>64</v>
      </c>
      <c r="AA2389" s="4" t="s">
        <v>7868</v>
      </c>
      <c r="AB2389" s="4" t="s">
        <v>6438</v>
      </c>
    </row>
    <row r="2390" spans="1:28" ht="81.5" customHeight="1">
      <c r="A2390" s="156" t="str">
        <f>'Reported burning'!A2390</f>
        <v>274a</v>
      </c>
      <c r="B2390" s="156" t="str">
        <f>'Reported burning'!B2390</f>
        <v>274a.2</v>
      </c>
      <c r="C2390" s="156" t="str">
        <f>'Reported burning'!C2390</f>
        <v>Human, deliberate</v>
      </c>
      <c r="D2390" s="156" t="str">
        <f>'Reported burning'!D2390</f>
        <v>Crop residue burning</v>
      </c>
      <c r="E2390" s="156" t="str">
        <f>'Reported burning'!E2390</f>
        <v>Cropping, Monoculture, Market-oriented</v>
      </c>
      <c r="F2390" s="156" t="str">
        <f>'Reported burning'!F2390</f>
        <v>Cropland</v>
      </c>
      <c r="G2390" s="156" t="str">
        <f>'Reported burning'!G2390</f>
        <v>ND</v>
      </c>
      <c r="H2390" s="156" t="str">
        <f>'Reported burning'!H2390</f>
        <v>Presence</v>
      </c>
      <c r="I2390" s="5"/>
      <c r="J2390" s="21" t="s">
        <v>2276</v>
      </c>
      <c r="K2390" s="21" t="s">
        <v>2276</v>
      </c>
      <c r="L2390" s="21" t="s">
        <v>2276</v>
      </c>
      <c r="M2390" s="21" t="s">
        <v>2276</v>
      </c>
      <c r="N2390" s="21" t="s">
        <v>2276</v>
      </c>
      <c r="O2390" s="4" t="s">
        <v>2373</v>
      </c>
      <c r="P2390" s="21" t="s">
        <v>2276</v>
      </c>
      <c r="Q2390" s="21" t="s">
        <v>2276</v>
      </c>
      <c r="R2390" s="21" t="s">
        <v>2276</v>
      </c>
      <c r="S2390" s="4" t="s">
        <v>2374</v>
      </c>
      <c r="T2390" s="21" t="s">
        <v>2276</v>
      </c>
      <c r="U2390" s="21" t="s">
        <v>2276</v>
      </c>
      <c r="V2390" s="21" t="s">
        <v>2276</v>
      </c>
      <c r="W2390" s="4" t="s">
        <v>2375</v>
      </c>
      <c r="X2390" s="21" t="s">
        <v>2276</v>
      </c>
      <c r="Y2390" s="21" t="s">
        <v>2276</v>
      </c>
      <c r="Z2390" s="4" t="s">
        <v>64</v>
      </c>
      <c r="AA2390" s="4" t="s">
        <v>7869</v>
      </c>
      <c r="AB2390" s="4" t="s">
        <v>6438</v>
      </c>
    </row>
    <row r="2391" spans="1:28" ht="81.5" customHeight="1">
      <c r="A2391" s="156" t="str">
        <f>'Reported burning'!A2391</f>
        <v>274a</v>
      </c>
      <c r="B2391" s="156" t="str">
        <f>'Reported burning'!B2391</f>
        <v>274a.3</v>
      </c>
      <c r="C2391" s="156" t="str">
        <f>'Reported burning'!C2391</f>
        <v>Human, deliberate</v>
      </c>
      <c r="D2391" s="156" t="str">
        <f>'Reported burning'!D2391</f>
        <v>Crop residue burning</v>
      </c>
      <c r="E2391" s="156" t="str">
        <f>'Reported burning'!E2391</f>
        <v>Cropping, Monoculture, Market-oriented</v>
      </c>
      <c r="F2391" s="156" t="str">
        <f>'Reported burning'!F2391</f>
        <v>Cropland</v>
      </c>
      <c r="G2391" s="156" t="str">
        <f>'Reported burning'!G2391</f>
        <v>ND</v>
      </c>
      <c r="H2391" s="156" t="str">
        <f>'Reported burning'!H2391</f>
        <v>Presence</v>
      </c>
      <c r="I2391" s="5"/>
      <c r="J2391" s="21" t="s">
        <v>2276</v>
      </c>
      <c r="K2391" s="21" t="s">
        <v>2276</v>
      </c>
      <c r="L2391" s="21" t="s">
        <v>2276</v>
      </c>
      <c r="M2391" s="21" t="s">
        <v>2276</v>
      </c>
      <c r="N2391" s="21" t="s">
        <v>2276</v>
      </c>
      <c r="O2391" s="4" t="s">
        <v>2375</v>
      </c>
      <c r="P2391" s="21" t="s">
        <v>2276</v>
      </c>
      <c r="Q2391" s="21" t="s">
        <v>2276</v>
      </c>
      <c r="R2391" s="21" t="s">
        <v>2276</v>
      </c>
      <c r="S2391" s="4" t="s">
        <v>2376</v>
      </c>
      <c r="T2391" s="21" t="s">
        <v>2276</v>
      </c>
      <c r="U2391" s="21" t="s">
        <v>2276</v>
      </c>
      <c r="V2391" s="21" t="s">
        <v>2276</v>
      </c>
      <c r="W2391" s="4" t="s">
        <v>2375</v>
      </c>
      <c r="X2391" s="21" t="s">
        <v>2276</v>
      </c>
      <c r="Y2391" s="21" t="s">
        <v>2276</v>
      </c>
      <c r="Z2391" s="4" t="s">
        <v>64</v>
      </c>
      <c r="AA2391" s="4" t="s">
        <v>7870</v>
      </c>
      <c r="AB2391" s="4" t="s">
        <v>6438</v>
      </c>
    </row>
    <row r="2392" spans="1:28" ht="81.5" customHeight="1">
      <c r="A2392" s="156" t="str">
        <f>'Reported burning'!A2392</f>
        <v>274a</v>
      </c>
      <c r="B2392" s="156" t="str">
        <f>'Reported burning'!B2392</f>
        <v>274a.4</v>
      </c>
      <c r="C2392" s="156" t="str">
        <f>'Reported burning'!C2392</f>
        <v>Human, deliberate</v>
      </c>
      <c r="D2392" s="156" t="str">
        <f>'Reported burning'!D2392</f>
        <v>Crop residue burning</v>
      </c>
      <c r="E2392" s="156" t="str">
        <f>'Reported burning'!E2392</f>
        <v>Cropping, Monoculture, Market-oriented</v>
      </c>
      <c r="F2392" s="156" t="str">
        <f>'Reported burning'!F2392</f>
        <v>Cropland</v>
      </c>
      <c r="G2392" s="156" t="str">
        <f>'Reported burning'!G2392</f>
        <v>ND</v>
      </c>
      <c r="H2392" s="156" t="str">
        <f>'Reported burning'!H2392</f>
        <v>Presence</v>
      </c>
      <c r="I2392" s="5"/>
      <c r="J2392" s="21" t="s">
        <v>2276</v>
      </c>
      <c r="K2392" s="21" t="s">
        <v>2276</v>
      </c>
      <c r="L2392" s="21" t="s">
        <v>2276</v>
      </c>
      <c r="M2392" s="21" t="s">
        <v>2276</v>
      </c>
      <c r="N2392" s="21" t="s">
        <v>2276</v>
      </c>
      <c r="O2392" s="4" t="s">
        <v>2375</v>
      </c>
      <c r="P2392" s="21" t="s">
        <v>2276</v>
      </c>
      <c r="Q2392" s="21" t="s">
        <v>2276</v>
      </c>
      <c r="R2392" s="21" t="s">
        <v>2276</v>
      </c>
      <c r="S2392" s="4" t="s">
        <v>2527</v>
      </c>
      <c r="T2392" s="21" t="s">
        <v>2276</v>
      </c>
      <c r="U2392" s="21" t="s">
        <v>2276</v>
      </c>
      <c r="V2392" s="21" t="s">
        <v>2276</v>
      </c>
      <c r="W2392" s="4" t="s">
        <v>2375</v>
      </c>
      <c r="X2392" s="21" t="s">
        <v>2276</v>
      </c>
      <c r="Y2392" s="21" t="s">
        <v>2276</v>
      </c>
      <c r="Z2392" s="4" t="s">
        <v>64</v>
      </c>
      <c r="AA2392" s="4" t="s">
        <v>7869</v>
      </c>
      <c r="AB2392" s="4" t="s">
        <v>6438</v>
      </c>
    </row>
    <row r="2393" spans="1:28" ht="58">
      <c r="A2393" s="156" t="str">
        <f>'Reported burning'!A2393</f>
        <v>274a</v>
      </c>
      <c r="B2393" s="156" t="str">
        <f>'Reported burning'!B2393</f>
        <v>274a.5</v>
      </c>
      <c r="C2393" s="156" t="str">
        <f>'Reported burning'!C2393</f>
        <v>Human, deliberate</v>
      </c>
      <c r="D2393" s="156" t="str">
        <f>'Reported burning'!D2393</f>
        <v>Crop residue burning</v>
      </c>
      <c r="E2393" s="156" t="str">
        <f>'Reported burning'!E2393</f>
        <v>Cropping, Monoculture, Market-oriented</v>
      </c>
      <c r="F2393" s="156" t="str">
        <f>'Reported burning'!F2393</f>
        <v>Cropland</v>
      </c>
      <c r="G2393" s="156" t="str">
        <f>'Reported burning'!G2393</f>
        <v>ND</v>
      </c>
      <c r="H2393" s="156" t="str">
        <f>'Reported burning'!H2393</f>
        <v>Presence</v>
      </c>
      <c r="I2393" s="5"/>
      <c r="J2393" s="21" t="s">
        <v>2276</v>
      </c>
      <c r="K2393" s="21" t="s">
        <v>2276</v>
      </c>
      <c r="L2393" s="21" t="s">
        <v>2276</v>
      </c>
      <c r="M2393" s="21" t="s">
        <v>2276</v>
      </c>
      <c r="N2393" s="21" t="s">
        <v>2276</v>
      </c>
      <c r="O2393" s="4" t="s">
        <v>2373</v>
      </c>
      <c r="P2393" s="21" t="s">
        <v>2276</v>
      </c>
      <c r="Q2393" s="21" t="s">
        <v>2276</v>
      </c>
      <c r="R2393" s="21" t="s">
        <v>2276</v>
      </c>
      <c r="S2393" s="4" t="s">
        <v>2389</v>
      </c>
      <c r="T2393" s="21" t="s">
        <v>2276</v>
      </c>
      <c r="U2393" s="21" t="s">
        <v>2276</v>
      </c>
      <c r="V2393" s="21" t="s">
        <v>2276</v>
      </c>
      <c r="W2393" s="4" t="s">
        <v>2375</v>
      </c>
      <c r="X2393" s="21" t="s">
        <v>2276</v>
      </c>
      <c r="Y2393" s="21" t="s">
        <v>2276</v>
      </c>
      <c r="Z2393" s="4" t="s">
        <v>64</v>
      </c>
      <c r="AA2393" s="4" t="s">
        <v>7871</v>
      </c>
      <c r="AB2393" s="4" t="s">
        <v>6438</v>
      </c>
    </row>
    <row r="2394" spans="1:28" ht="58">
      <c r="A2394" s="156" t="str">
        <f>'Reported burning'!A2394</f>
        <v>274a</v>
      </c>
      <c r="B2394" s="156" t="str">
        <f>'Reported burning'!B2394</f>
        <v>274a.6</v>
      </c>
      <c r="C2394" s="156" t="str">
        <f>'Reported burning'!C2394</f>
        <v>Human, deliberate</v>
      </c>
      <c r="D2394" s="156" t="str">
        <f>'Reported burning'!D2394</f>
        <v>Crop residue burning</v>
      </c>
      <c r="E2394" s="156" t="str">
        <f>'Reported burning'!E2394</f>
        <v>Cropping, Monoculture, Market-oriented</v>
      </c>
      <c r="F2394" s="156" t="str">
        <f>'Reported burning'!F2394</f>
        <v>Cropland</v>
      </c>
      <c r="G2394" s="156" t="str">
        <f>'Reported burning'!G2394</f>
        <v>ND</v>
      </c>
      <c r="H2394" s="156" t="str">
        <f>'Reported burning'!H2394</f>
        <v>Presence</v>
      </c>
      <c r="I2394" s="5"/>
      <c r="J2394" s="21" t="s">
        <v>2276</v>
      </c>
      <c r="K2394" s="21" t="s">
        <v>2276</v>
      </c>
      <c r="L2394" s="21" t="s">
        <v>2276</v>
      </c>
      <c r="M2394" s="21" t="s">
        <v>2276</v>
      </c>
      <c r="N2394" s="21" t="s">
        <v>2276</v>
      </c>
      <c r="O2394" s="4" t="s">
        <v>2373</v>
      </c>
      <c r="P2394" s="21" t="s">
        <v>2276</v>
      </c>
      <c r="Q2394" s="21" t="s">
        <v>2276</v>
      </c>
      <c r="R2394" s="21" t="s">
        <v>2276</v>
      </c>
      <c r="S2394" s="4" t="s">
        <v>2527</v>
      </c>
      <c r="T2394" s="21" t="s">
        <v>2276</v>
      </c>
      <c r="U2394" s="21" t="s">
        <v>2276</v>
      </c>
      <c r="V2394" s="21" t="s">
        <v>2276</v>
      </c>
      <c r="W2394" s="4" t="s">
        <v>2375</v>
      </c>
      <c r="X2394" s="21" t="s">
        <v>2276</v>
      </c>
      <c r="Y2394" s="21" t="s">
        <v>2276</v>
      </c>
      <c r="Z2394" s="4" t="s">
        <v>64</v>
      </c>
      <c r="AA2394" s="4" t="s">
        <v>7869</v>
      </c>
      <c r="AB2394" s="4" t="s">
        <v>6438</v>
      </c>
    </row>
    <row r="2395" spans="1:28" s="203" customFormat="1" ht="58">
      <c r="A2395" s="156" t="str">
        <f>'Reported burning'!A2395</f>
        <v>274a</v>
      </c>
      <c r="B2395" s="156" t="str">
        <f>'Reported burning'!B2395</f>
        <v>274a.7</v>
      </c>
      <c r="C2395" s="156" t="str">
        <f>'Reported burning'!C2395</f>
        <v>Human, deliberate</v>
      </c>
      <c r="D2395" s="156" t="str">
        <f>'Reported burning'!D2395</f>
        <v>Crop residue burning</v>
      </c>
      <c r="E2395" s="156" t="str">
        <f>'Reported burning'!E2395</f>
        <v>Cropping, Monoculture, Subsistence-oriented</v>
      </c>
      <c r="F2395" s="156" t="str">
        <f>'Reported burning'!F2395</f>
        <v>Cropland</v>
      </c>
      <c r="G2395" s="156" t="str">
        <f>'Reported burning'!G2395</f>
        <v>ND</v>
      </c>
      <c r="H2395" s="156" t="str">
        <f>'Reported burning'!H2395</f>
        <v>Presence</v>
      </c>
      <c r="I2395" s="5"/>
      <c r="J2395" s="4" t="s">
        <v>2276</v>
      </c>
      <c r="K2395" s="4" t="s">
        <v>2276</v>
      </c>
      <c r="L2395" s="4" t="s">
        <v>2276</v>
      </c>
      <c r="M2395" s="4" t="s">
        <v>2276</v>
      </c>
      <c r="N2395" s="4" t="s">
        <v>2276</v>
      </c>
      <c r="O2395" s="4" t="s">
        <v>2276</v>
      </c>
      <c r="P2395" s="4" t="s">
        <v>2276</v>
      </c>
      <c r="Q2395" s="4" t="s">
        <v>2276</v>
      </c>
      <c r="R2395" s="4" t="s">
        <v>2276</v>
      </c>
      <c r="S2395" s="4" t="s">
        <v>2276</v>
      </c>
      <c r="T2395" s="4" t="s">
        <v>2276</v>
      </c>
      <c r="U2395" s="4" t="s">
        <v>2276</v>
      </c>
      <c r="V2395" s="4" t="s">
        <v>2276</v>
      </c>
      <c r="W2395" s="4" t="s">
        <v>2276</v>
      </c>
      <c r="X2395" s="4" t="s">
        <v>2276</v>
      </c>
      <c r="Y2395" s="4" t="s">
        <v>2276</v>
      </c>
      <c r="Z2395" s="4" t="s">
        <v>64</v>
      </c>
      <c r="AA2395" s="4" t="s">
        <v>6437</v>
      </c>
      <c r="AB2395" s="4" t="s">
        <v>6438</v>
      </c>
    </row>
    <row r="2396" spans="1:28" s="203" customFormat="1" ht="58">
      <c r="A2396" s="156" t="str">
        <f>'Reported burning'!A2396</f>
        <v>274a</v>
      </c>
      <c r="B2396" s="156" t="str">
        <f>'Reported burning'!B2396</f>
        <v>274a.8</v>
      </c>
      <c r="C2396" s="156" t="str">
        <f>'Reported burning'!C2396</f>
        <v>Human, deliberate</v>
      </c>
      <c r="D2396" s="156" t="str">
        <f>'Reported burning'!D2396</f>
        <v>Crop residue burning</v>
      </c>
      <c r="E2396" s="156" t="str">
        <f>'Reported burning'!E2396</f>
        <v>Cropping, Monoculture, Subsistence-oriented</v>
      </c>
      <c r="F2396" s="156" t="str">
        <f>'Reported burning'!F2396</f>
        <v>Cropland</v>
      </c>
      <c r="G2396" s="156" t="str">
        <f>'Reported burning'!G2396</f>
        <v>ND</v>
      </c>
      <c r="H2396" s="156" t="str">
        <f>'Reported burning'!H2396</f>
        <v>Presence</v>
      </c>
      <c r="I2396" s="5"/>
      <c r="J2396" s="4" t="s">
        <v>2276</v>
      </c>
      <c r="K2396" s="4" t="s">
        <v>2276</v>
      </c>
      <c r="L2396" s="4" t="s">
        <v>2276</v>
      </c>
      <c r="M2396" s="4" t="s">
        <v>2276</v>
      </c>
      <c r="N2396" s="4" t="s">
        <v>2276</v>
      </c>
      <c r="O2396" s="4" t="s">
        <v>2276</v>
      </c>
      <c r="P2396" s="4" t="s">
        <v>2276</v>
      </c>
      <c r="Q2396" s="4" t="s">
        <v>2276</v>
      </c>
      <c r="R2396" s="4" t="s">
        <v>2276</v>
      </c>
      <c r="S2396" s="4" t="s">
        <v>2276</v>
      </c>
      <c r="T2396" s="4" t="s">
        <v>2276</v>
      </c>
      <c r="U2396" s="4" t="s">
        <v>2276</v>
      </c>
      <c r="V2396" s="4" t="s">
        <v>2276</v>
      </c>
      <c r="W2396" s="4" t="s">
        <v>2276</v>
      </c>
      <c r="X2396" s="4" t="s">
        <v>2276</v>
      </c>
      <c r="Y2396" s="4" t="s">
        <v>2276</v>
      </c>
      <c r="Z2396" s="4" t="s">
        <v>64</v>
      </c>
      <c r="AA2396" s="4" t="s">
        <v>6439</v>
      </c>
      <c r="AB2396" s="4" t="s">
        <v>6438</v>
      </c>
    </row>
    <row r="2397" spans="1:28" s="203" customFormat="1" ht="58">
      <c r="A2397" s="156" t="str">
        <f>'Reported burning'!A2397</f>
        <v>274a</v>
      </c>
      <c r="B2397" s="156" t="str">
        <f>'Reported burning'!B2397</f>
        <v>274a.9</v>
      </c>
      <c r="C2397" s="156" t="str">
        <f>'Reported burning'!C2397</f>
        <v>Human, deliberate</v>
      </c>
      <c r="D2397" s="156" t="str">
        <f>'Reported burning'!D2397</f>
        <v>Crop residue burning</v>
      </c>
      <c r="E2397" s="156" t="str">
        <f>'Reported burning'!E2397</f>
        <v>Cropping, Monoculture, Subsistence-oriented</v>
      </c>
      <c r="F2397" s="156" t="str">
        <f>'Reported burning'!F2397</f>
        <v>Cropland</v>
      </c>
      <c r="G2397" s="156" t="str">
        <f>'Reported burning'!G2397</f>
        <v>ND</v>
      </c>
      <c r="H2397" s="156" t="str">
        <f>'Reported burning'!H2397</f>
        <v>Presence</v>
      </c>
      <c r="I2397" s="5"/>
      <c r="J2397" s="4" t="s">
        <v>2276</v>
      </c>
      <c r="K2397" s="4" t="s">
        <v>2276</v>
      </c>
      <c r="L2397" s="4" t="s">
        <v>2276</v>
      </c>
      <c r="M2397" s="4" t="s">
        <v>2276</v>
      </c>
      <c r="N2397" s="4" t="s">
        <v>2276</v>
      </c>
      <c r="O2397" s="4" t="s">
        <v>2276</v>
      </c>
      <c r="P2397" s="4" t="s">
        <v>2276</v>
      </c>
      <c r="Q2397" s="4" t="s">
        <v>2276</v>
      </c>
      <c r="R2397" s="4" t="s">
        <v>2276</v>
      </c>
      <c r="S2397" s="4" t="s">
        <v>2276</v>
      </c>
      <c r="T2397" s="4" t="s">
        <v>2276</v>
      </c>
      <c r="U2397" s="4" t="s">
        <v>2276</v>
      </c>
      <c r="V2397" s="4" t="s">
        <v>2276</v>
      </c>
      <c r="W2397" s="4" t="s">
        <v>2276</v>
      </c>
      <c r="X2397" s="4" t="s">
        <v>2276</v>
      </c>
      <c r="Y2397" s="4" t="s">
        <v>2276</v>
      </c>
      <c r="Z2397" s="4" t="s">
        <v>64</v>
      </c>
      <c r="AA2397" s="4" t="s">
        <v>6440</v>
      </c>
      <c r="AB2397" s="4" t="s">
        <v>6438</v>
      </c>
    </row>
    <row r="2398" spans="1:28" s="203" customFormat="1" ht="58">
      <c r="A2398" s="156" t="str">
        <f>'Reported burning'!A2398</f>
        <v>274a</v>
      </c>
      <c r="B2398" s="156" t="str">
        <f>'Reported burning'!B2398</f>
        <v>274a.10</v>
      </c>
      <c r="C2398" s="156" t="str">
        <f>'Reported burning'!C2398</f>
        <v>Human, deliberate</v>
      </c>
      <c r="D2398" s="156" t="str">
        <f>'Reported burning'!D2398</f>
        <v>Crop residue burning</v>
      </c>
      <c r="E2398" s="156" t="str">
        <f>'Reported burning'!E2398</f>
        <v>Cropping, Monoculture, Subsistence-oriented</v>
      </c>
      <c r="F2398" s="156" t="str">
        <f>'Reported burning'!F2398</f>
        <v>Cropland</v>
      </c>
      <c r="G2398" s="156" t="str">
        <f>'Reported burning'!G2398</f>
        <v>ND</v>
      </c>
      <c r="H2398" s="156" t="str">
        <f>'Reported burning'!H2398</f>
        <v>Presence</v>
      </c>
      <c r="I2398" s="5"/>
      <c r="J2398" s="4" t="s">
        <v>2276</v>
      </c>
      <c r="K2398" s="4" t="s">
        <v>2276</v>
      </c>
      <c r="L2398" s="4" t="s">
        <v>2276</v>
      </c>
      <c r="M2398" s="4" t="s">
        <v>2276</v>
      </c>
      <c r="N2398" s="4" t="s">
        <v>2276</v>
      </c>
      <c r="O2398" s="4" t="s">
        <v>2276</v>
      </c>
      <c r="P2398" s="4" t="s">
        <v>2276</v>
      </c>
      <c r="Q2398" s="4" t="s">
        <v>2276</v>
      </c>
      <c r="R2398" s="4" t="s">
        <v>2276</v>
      </c>
      <c r="S2398" s="4" t="s">
        <v>2276</v>
      </c>
      <c r="T2398" s="4" t="s">
        <v>2276</v>
      </c>
      <c r="U2398" s="4" t="s">
        <v>2276</v>
      </c>
      <c r="V2398" s="4" t="s">
        <v>2276</v>
      </c>
      <c r="W2398" s="4" t="s">
        <v>2276</v>
      </c>
      <c r="X2398" s="4" t="s">
        <v>2276</v>
      </c>
      <c r="Y2398" s="4" t="s">
        <v>2276</v>
      </c>
      <c r="Z2398" s="4" t="s">
        <v>64</v>
      </c>
      <c r="AA2398" s="4" t="s">
        <v>6439</v>
      </c>
      <c r="AB2398" s="4" t="s">
        <v>6438</v>
      </c>
    </row>
    <row r="2399" spans="1:28" s="203" customFormat="1" ht="58">
      <c r="A2399" s="156" t="str">
        <f>'Reported burning'!A2399</f>
        <v>274a</v>
      </c>
      <c r="B2399" s="156" t="str">
        <f>'Reported burning'!B2399</f>
        <v>274a.11</v>
      </c>
      <c r="C2399" s="156" t="str">
        <f>'Reported burning'!C2399</f>
        <v>Human, deliberate</v>
      </c>
      <c r="D2399" s="156" t="str">
        <f>'Reported burning'!D2399</f>
        <v>Crop residue burning</v>
      </c>
      <c r="E2399" s="156" t="str">
        <f>'Reported burning'!E2399</f>
        <v>Cropping, Monoculture, Subsistence-oriented</v>
      </c>
      <c r="F2399" s="156" t="str">
        <f>'Reported burning'!F2399</f>
        <v>Cropland</v>
      </c>
      <c r="G2399" s="156" t="str">
        <f>'Reported burning'!G2399</f>
        <v>ND</v>
      </c>
      <c r="H2399" s="156" t="str">
        <f>'Reported burning'!H2399</f>
        <v>Presence</v>
      </c>
      <c r="I2399" s="5"/>
      <c r="J2399" s="4" t="s">
        <v>2276</v>
      </c>
      <c r="K2399" s="4" t="s">
        <v>2276</v>
      </c>
      <c r="L2399" s="4" t="s">
        <v>2276</v>
      </c>
      <c r="M2399" s="4" t="s">
        <v>2276</v>
      </c>
      <c r="N2399" s="4" t="s">
        <v>2276</v>
      </c>
      <c r="O2399" s="4" t="s">
        <v>2276</v>
      </c>
      <c r="P2399" s="4" t="s">
        <v>2276</v>
      </c>
      <c r="Q2399" s="4" t="s">
        <v>2276</v>
      </c>
      <c r="R2399" s="4" t="s">
        <v>2276</v>
      </c>
      <c r="S2399" s="4" t="s">
        <v>2276</v>
      </c>
      <c r="T2399" s="4" t="s">
        <v>2276</v>
      </c>
      <c r="U2399" s="4" t="s">
        <v>2276</v>
      </c>
      <c r="V2399" s="4" t="s">
        <v>2276</v>
      </c>
      <c r="W2399" s="4" t="s">
        <v>2276</v>
      </c>
      <c r="X2399" s="4" t="s">
        <v>2276</v>
      </c>
      <c r="Y2399" s="4" t="s">
        <v>2276</v>
      </c>
      <c r="Z2399" s="4" t="s">
        <v>64</v>
      </c>
      <c r="AA2399" s="4" t="s">
        <v>6441</v>
      </c>
      <c r="AB2399" s="4" t="s">
        <v>6438</v>
      </c>
    </row>
    <row r="2400" spans="1:28" s="203" customFormat="1" ht="58">
      <c r="A2400" s="156" t="str">
        <f>'Reported burning'!A2400</f>
        <v>274a</v>
      </c>
      <c r="B2400" s="156" t="str">
        <f>'Reported burning'!B2400</f>
        <v>274a.12</v>
      </c>
      <c r="C2400" s="156" t="str">
        <f>'Reported burning'!C2400</f>
        <v>Human, deliberate</v>
      </c>
      <c r="D2400" s="156" t="str">
        <f>'Reported burning'!D2400</f>
        <v>Crop residue burning</v>
      </c>
      <c r="E2400" s="156" t="str">
        <f>'Reported burning'!E2400</f>
        <v>Cropping, Monoculture, Subsistence-oriented</v>
      </c>
      <c r="F2400" s="156" t="str">
        <f>'Reported burning'!F2400</f>
        <v>Cropland</v>
      </c>
      <c r="G2400" s="156" t="str">
        <f>'Reported burning'!G2400</f>
        <v>ND</v>
      </c>
      <c r="H2400" s="156" t="str">
        <f>'Reported burning'!H2400</f>
        <v>Presence</v>
      </c>
      <c r="I2400" s="5"/>
      <c r="J2400" s="4" t="s">
        <v>2276</v>
      </c>
      <c r="K2400" s="4" t="s">
        <v>2276</v>
      </c>
      <c r="L2400" s="4" t="s">
        <v>2276</v>
      </c>
      <c r="M2400" s="4" t="s">
        <v>2276</v>
      </c>
      <c r="N2400" s="4" t="s">
        <v>2276</v>
      </c>
      <c r="O2400" s="4" t="s">
        <v>2276</v>
      </c>
      <c r="P2400" s="4" t="s">
        <v>2276</v>
      </c>
      <c r="Q2400" s="4" t="s">
        <v>2276</v>
      </c>
      <c r="R2400" s="4" t="s">
        <v>2276</v>
      </c>
      <c r="S2400" s="4" t="s">
        <v>2276</v>
      </c>
      <c r="T2400" s="4" t="s">
        <v>2276</v>
      </c>
      <c r="U2400" s="4" t="s">
        <v>2276</v>
      </c>
      <c r="V2400" s="4" t="s">
        <v>2276</v>
      </c>
      <c r="W2400" s="4" t="s">
        <v>2276</v>
      </c>
      <c r="X2400" s="4" t="s">
        <v>2276</v>
      </c>
      <c r="Y2400" s="4" t="s">
        <v>2276</v>
      </c>
      <c r="Z2400" s="4" t="s">
        <v>64</v>
      </c>
      <c r="AA2400" s="4" t="s">
        <v>6439</v>
      </c>
      <c r="AB2400" s="4" t="s">
        <v>6438</v>
      </c>
    </row>
    <row r="2401" spans="1:28" ht="87">
      <c r="A2401" s="156" t="str">
        <f>'Reported burning'!A2401</f>
        <v>275a</v>
      </c>
      <c r="B2401" s="156" t="str">
        <f>'Reported burning'!B2401</f>
        <v>275a.1</v>
      </c>
      <c r="C2401" s="156" t="str">
        <f>'Reported burning'!C2401</f>
        <v>Human, deliberate</v>
      </c>
      <c r="D2401" s="156" t="str">
        <f>'Reported burning'!D2401</f>
        <v>Crop residue burning</v>
      </c>
      <c r="E2401" s="156" t="str">
        <f>'Reported burning'!E2401</f>
        <v>Mixed cropping-livestock small holder, Market-oriented</v>
      </c>
      <c r="F2401" s="156" t="str">
        <f>'Reported burning'!F2401</f>
        <v>Cropland</v>
      </c>
      <c r="G2401" s="156" t="str">
        <f>'Reported burning'!G2401</f>
        <v>ND</v>
      </c>
      <c r="H2401" s="156" t="str">
        <f>'Reported burning'!H2401</f>
        <v>Presence</v>
      </c>
      <c r="I2401" s="5"/>
      <c r="J2401" s="4" t="s">
        <v>2276</v>
      </c>
      <c r="K2401" s="4" t="s">
        <v>2276</v>
      </c>
      <c r="L2401" s="4" t="s">
        <v>2276</v>
      </c>
      <c r="M2401" s="4" t="s">
        <v>2276</v>
      </c>
      <c r="N2401" s="4" t="s">
        <v>2276</v>
      </c>
      <c r="O2401" s="4" t="s">
        <v>2375</v>
      </c>
      <c r="P2401" s="4" t="s">
        <v>2276</v>
      </c>
      <c r="Q2401" s="4" t="s">
        <v>2276</v>
      </c>
      <c r="R2401" s="4" t="s">
        <v>2276</v>
      </c>
      <c r="S2401" s="21" t="s">
        <v>2391</v>
      </c>
      <c r="T2401" s="4" t="s">
        <v>2276</v>
      </c>
      <c r="U2401" s="4" t="s">
        <v>2276</v>
      </c>
      <c r="V2401" s="4" t="s">
        <v>2276</v>
      </c>
      <c r="W2401" s="4" t="s">
        <v>2375</v>
      </c>
      <c r="X2401" s="204" t="s">
        <v>68</v>
      </c>
      <c r="Y2401" s="204" t="s">
        <v>35</v>
      </c>
      <c r="Z2401" s="4" t="s">
        <v>64</v>
      </c>
      <c r="AA2401" s="4" t="s">
        <v>6437</v>
      </c>
      <c r="AB2401" s="4" t="s">
        <v>8381</v>
      </c>
    </row>
    <row r="2402" spans="1:28" ht="87">
      <c r="A2402" s="156" t="str">
        <f>'Reported burning'!A2402</f>
        <v>275a</v>
      </c>
      <c r="B2402" s="156" t="str">
        <f>'Reported burning'!B2402</f>
        <v>275a.2</v>
      </c>
      <c r="C2402" s="156" t="str">
        <f>'Reported burning'!C2402</f>
        <v>Human, deliberate</v>
      </c>
      <c r="D2402" s="156" t="str">
        <f>'Reported burning'!D2402</f>
        <v>Crop residue burning</v>
      </c>
      <c r="E2402" s="156" t="str">
        <f>'Reported burning'!E2402</f>
        <v>Mixed cropping-livestock small holder, Market-oriented</v>
      </c>
      <c r="F2402" s="156" t="str">
        <f>'Reported burning'!F2402</f>
        <v>Cropland</v>
      </c>
      <c r="G2402" s="156" t="str">
        <f>'Reported burning'!G2402</f>
        <v>ND</v>
      </c>
      <c r="H2402" s="156" t="str">
        <f>'Reported burning'!H2402</f>
        <v>Presence</v>
      </c>
      <c r="I2402" s="5"/>
      <c r="J2402" s="4" t="s">
        <v>2276</v>
      </c>
      <c r="K2402" s="4" t="s">
        <v>2276</v>
      </c>
      <c r="L2402" s="4" t="s">
        <v>2276</v>
      </c>
      <c r="M2402" s="4" t="s">
        <v>2276</v>
      </c>
      <c r="N2402" s="4" t="s">
        <v>2276</v>
      </c>
      <c r="O2402" s="4" t="s">
        <v>2375</v>
      </c>
      <c r="P2402" s="4" t="s">
        <v>2276</v>
      </c>
      <c r="Q2402" s="4" t="s">
        <v>2276</v>
      </c>
      <c r="R2402" s="4" t="s">
        <v>2276</v>
      </c>
      <c r="S2402" s="21" t="s">
        <v>2376</v>
      </c>
      <c r="T2402" s="4" t="s">
        <v>2276</v>
      </c>
      <c r="U2402" s="4" t="s">
        <v>2276</v>
      </c>
      <c r="V2402" s="4" t="s">
        <v>2276</v>
      </c>
      <c r="W2402" s="4" t="s">
        <v>2375</v>
      </c>
      <c r="X2402" s="204" t="s">
        <v>86</v>
      </c>
      <c r="Y2402" s="204" t="s">
        <v>34</v>
      </c>
      <c r="Z2402" s="4" t="s">
        <v>64</v>
      </c>
      <c r="AA2402" s="4" t="s">
        <v>6439</v>
      </c>
      <c r="AB2402" s="4" t="s">
        <v>8381</v>
      </c>
    </row>
    <row r="2403" spans="1:28" ht="87">
      <c r="A2403" s="156" t="str">
        <f>'Reported burning'!A2403</f>
        <v>275b</v>
      </c>
      <c r="B2403" s="156" t="str">
        <f>'Reported burning'!B2403</f>
        <v>275b.1</v>
      </c>
      <c r="C2403" s="156" t="str">
        <f>'Reported burning'!C2403</f>
        <v>Human, deliberate</v>
      </c>
      <c r="D2403" s="156" t="str">
        <f>'Reported burning'!D2403</f>
        <v>Crop residue burning</v>
      </c>
      <c r="E2403" s="156" t="str">
        <f>'Reported burning'!E2403</f>
        <v>Mixed cropping-livestock small holder, Market-oriented</v>
      </c>
      <c r="F2403" s="156" t="str">
        <f>'Reported burning'!F2403</f>
        <v>Cropland</v>
      </c>
      <c r="G2403" s="156" t="str">
        <f>'Reported burning'!G2403</f>
        <v>ND</v>
      </c>
      <c r="H2403" s="156" t="str">
        <f>'Reported burning'!H2403</f>
        <v>Presence</v>
      </c>
      <c r="I2403" s="5"/>
      <c r="J2403" s="4" t="s">
        <v>2276</v>
      </c>
      <c r="K2403" s="4" t="s">
        <v>2276</v>
      </c>
      <c r="L2403" s="4" t="s">
        <v>2276</v>
      </c>
      <c r="M2403" s="4" t="s">
        <v>2276</v>
      </c>
      <c r="N2403" s="4" t="s">
        <v>2276</v>
      </c>
      <c r="O2403" s="4" t="s">
        <v>2373</v>
      </c>
      <c r="P2403" s="4" t="s">
        <v>2276</v>
      </c>
      <c r="Q2403" s="4" t="s">
        <v>2276</v>
      </c>
      <c r="R2403" s="4" t="s">
        <v>2276</v>
      </c>
      <c r="S2403" s="21" t="s">
        <v>2389</v>
      </c>
      <c r="T2403" s="4" t="s">
        <v>2276</v>
      </c>
      <c r="U2403" s="4" t="s">
        <v>2276</v>
      </c>
      <c r="V2403" s="4" t="s">
        <v>2276</v>
      </c>
      <c r="W2403" s="4" t="s">
        <v>2375</v>
      </c>
      <c r="X2403" s="204" t="s">
        <v>68</v>
      </c>
      <c r="Y2403" s="204" t="s">
        <v>35</v>
      </c>
      <c r="Z2403" s="4" t="s">
        <v>64</v>
      </c>
      <c r="AA2403" s="4" t="s">
        <v>6437</v>
      </c>
      <c r="AB2403" s="4" t="s">
        <v>8381</v>
      </c>
    </row>
    <row r="2404" spans="1:28" ht="87">
      <c r="A2404" s="156" t="str">
        <f>'Reported burning'!A2404</f>
        <v>275b</v>
      </c>
      <c r="B2404" s="156" t="str">
        <f>'Reported burning'!B2404</f>
        <v>275b.2</v>
      </c>
      <c r="C2404" s="156" t="str">
        <f>'Reported burning'!C2404</f>
        <v>Human, deliberate</v>
      </c>
      <c r="D2404" s="156" t="str">
        <f>'Reported burning'!D2404</f>
        <v>Crop residue burning</v>
      </c>
      <c r="E2404" s="156" t="str">
        <f>'Reported burning'!E2404</f>
        <v>Mixed cropping-livestock small holder, Market-oriented</v>
      </c>
      <c r="F2404" s="156" t="str">
        <f>'Reported burning'!F2404</f>
        <v>Cropland</v>
      </c>
      <c r="G2404" s="156" t="str">
        <f>'Reported burning'!G2404</f>
        <v>ND</v>
      </c>
      <c r="H2404" s="156" t="str">
        <f>'Reported burning'!H2404</f>
        <v>Presence</v>
      </c>
      <c r="I2404" s="5"/>
      <c r="J2404" s="4" t="s">
        <v>2276</v>
      </c>
      <c r="K2404" s="4" t="s">
        <v>2276</v>
      </c>
      <c r="L2404" s="4" t="s">
        <v>2276</v>
      </c>
      <c r="M2404" s="4" t="s">
        <v>2276</v>
      </c>
      <c r="N2404" s="4" t="s">
        <v>2276</v>
      </c>
      <c r="O2404" s="4" t="s">
        <v>2373</v>
      </c>
      <c r="P2404" s="4" t="s">
        <v>2276</v>
      </c>
      <c r="Q2404" s="4" t="s">
        <v>2276</v>
      </c>
      <c r="R2404" s="4" t="s">
        <v>2276</v>
      </c>
      <c r="S2404" s="21" t="s">
        <v>2376</v>
      </c>
      <c r="T2404" s="4" t="s">
        <v>2276</v>
      </c>
      <c r="U2404" s="4" t="s">
        <v>2276</v>
      </c>
      <c r="V2404" s="4" t="s">
        <v>2276</v>
      </c>
      <c r="W2404" s="4" t="s">
        <v>2375</v>
      </c>
      <c r="X2404" s="204" t="s">
        <v>86</v>
      </c>
      <c r="Y2404" s="204" t="s">
        <v>34</v>
      </c>
      <c r="Z2404" s="4" t="s">
        <v>64</v>
      </c>
      <c r="AA2404" s="4" t="s">
        <v>6439</v>
      </c>
      <c r="AB2404" s="4" t="s">
        <v>8381</v>
      </c>
    </row>
    <row r="2405" spans="1:28" ht="56" customHeight="1">
      <c r="A2405" s="156" t="str">
        <f>'Reported burning'!A2405</f>
        <v>275c</v>
      </c>
      <c r="B2405" s="156" t="str">
        <f>'Reported burning'!B2405</f>
        <v>275c.1</v>
      </c>
      <c r="C2405" s="156" t="str">
        <f>'Reported burning'!C2405</f>
        <v>Human, deliberate</v>
      </c>
      <c r="D2405" s="156" t="str">
        <f>'Reported burning'!D2405</f>
        <v>Crop residue burning</v>
      </c>
      <c r="E2405" s="156" t="str">
        <f>'Reported burning'!E2405</f>
        <v>Mixed cropping-livestock small holder, Market-oriented</v>
      </c>
      <c r="F2405" s="156" t="str">
        <f>'Reported burning'!F2405</f>
        <v>Cropland</v>
      </c>
      <c r="G2405" s="156" t="str">
        <f>'Reported burning'!G2405</f>
        <v>ND</v>
      </c>
      <c r="H2405" s="156" t="str">
        <f>'Reported burning'!H2405</f>
        <v>Presence</v>
      </c>
      <c r="I2405" s="5"/>
      <c r="J2405" s="4" t="s">
        <v>2276</v>
      </c>
      <c r="K2405" s="4" t="s">
        <v>2276</v>
      </c>
      <c r="L2405" s="4" t="s">
        <v>2276</v>
      </c>
      <c r="M2405" s="4" t="s">
        <v>2276</v>
      </c>
      <c r="N2405" s="4" t="s">
        <v>2276</v>
      </c>
      <c r="O2405" s="4" t="s">
        <v>2375</v>
      </c>
      <c r="P2405" s="4" t="s">
        <v>2276</v>
      </c>
      <c r="Q2405" s="4" t="s">
        <v>2276</v>
      </c>
      <c r="R2405" s="4" t="s">
        <v>2276</v>
      </c>
      <c r="S2405" s="21" t="s">
        <v>2527</v>
      </c>
      <c r="T2405" s="4" t="s">
        <v>2276</v>
      </c>
      <c r="U2405" s="4" t="s">
        <v>2276</v>
      </c>
      <c r="V2405" s="4" t="s">
        <v>2276</v>
      </c>
      <c r="W2405" s="4" t="s">
        <v>2375</v>
      </c>
      <c r="X2405" s="204" t="s">
        <v>86</v>
      </c>
      <c r="Y2405" s="204" t="s">
        <v>34</v>
      </c>
      <c r="Z2405" s="4" t="s">
        <v>64</v>
      </c>
      <c r="AA2405" s="4" t="s">
        <v>6442</v>
      </c>
      <c r="AB2405" s="4" t="s">
        <v>8381</v>
      </c>
    </row>
    <row r="2406" spans="1:28" s="203" customFormat="1" ht="29">
      <c r="A2406" s="156" t="str">
        <f>'Reported burning'!A2406</f>
        <v>275c</v>
      </c>
      <c r="B2406" s="156" t="str">
        <f>'Reported burning'!B2406</f>
        <v>275c.2</v>
      </c>
      <c r="C2406" s="156" t="str">
        <f>'Reported burning'!C2406</f>
        <v>Human, deliberate</v>
      </c>
      <c r="D2406" s="156" t="str">
        <f>'Reported burning'!D2406</f>
        <v>Crop residue burning</v>
      </c>
      <c r="E2406" s="156" t="str">
        <f>'Reported burning'!E2406</f>
        <v>Mixed cropping-livestock small holder, Market-oriented</v>
      </c>
      <c r="F2406" s="156" t="str">
        <f>'Reported burning'!F2406</f>
        <v>Cropland</v>
      </c>
      <c r="G2406" s="156" t="str">
        <f>'Reported burning'!G2406</f>
        <v>ND</v>
      </c>
      <c r="H2406" s="156" t="str">
        <f>'Reported burning'!H2406</f>
        <v>Absence</v>
      </c>
      <c r="I2406" s="5"/>
      <c r="J2406" s="4">
        <v>0</v>
      </c>
      <c r="K2406" s="4">
        <v>0</v>
      </c>
      <c r="L2406" s="4">
        <v>0</v>
      </c>
      <c r="M2406" s="4">
        <v>0</v>
      </c>
      <c r="N2406" s="4">
        <v>0</v>
      </c>
      <c r="O2406" s="4">
        <v>0</v>
      </c>
      <c r="P2406" s="4">
        <v>0</v>
      </c>
      <c r="Q2406" s="4">
        <v>0</v>
      </c>
      <c r="R2406" s="4">
        <v>0</v>
      </c>
      <c r="S2406" s="4">
        <v>0</v>
      </c>
      <c r="T2406" s="4">
        <v>0</v>
      </c>
      <c r="U2406" s="4">
        <v>0</v>
      </c>
      <c r="V2406" s="4">
        <v>0</v>
      </c>
      <c r="W2406" s="4" t="s">
        <v>2276</v>
      </c>
      <c r="X2406" s="204" t="s">
        <v>68</v>
      </c>
      <c r="Y2406" s="204" t="s">
        <v>35</v>
      </c>
      <c r="Z2406" s="4" t="s">
        <v>2276</v>
      </c>
      <c r="AA2406" s="4" t="s">
        <v>8382</v>
      </c>
      <c r="AB2406" s="4"/>
    </row>
    <row r="2407" spans="1:28" ht="87">
      <c r="A2407" s="156" t="str">
        <f>'Reported burning'!A2407</f>
        <v>275d</v>
      </c>
      <c r="B2407" s="156" t="str">
        <f>'Reported burning'!B2407</f>
        <v>275d.1</v>
      </c>
      <c r="C2407" s="156" t="str">
        <f>'Reported burning'!C2407</f>
        <v>Human, deliberate</v>
      </c>
      <c r="D2407" s="156" t="str">
        <f>'Reported burning'!D2407</f>
        <v>Crop residue burning</v>
      </c>
      <c r="E2407" s="156" t="str">
        <f>'Reported burning'!E2407</f>
        <v>Mixed cropping-livestock small holder, Market-oriented</v>
      </c>
      <c r="F2407" s="156" t="str">
        <f>'Reported burning'!F2407</f>
        <v>Cropland</v>
      </c>
      <c r="G2407" s="156" t="str">
        <f>'Reported burning'!G2407</f>
        <v>ND</v>
      </c>
      <c r="H2407" s="156" t="str">
        <f>'Reported burning'!H2407</f>
        <v>Presence</v>
      </c>
      <c r="I2407" s="5"/>
      <c r="J2407" s="4" t="s">
        <v>2276</v>
      </c>
      <c r="K2407" s="4" t="s">
        <v>2276</v>
      </c>
      <c r="L2407" s="4" t="s">
        <v>2276</v>
      </c>
      <c r="M2407" s="4" t="s">
        <v>2276</v>
      </c>
      <c r="N2407" s="4" t="s">
        <v>2276</v>
      </c>
      <c r="O2407" s="4" t="s">
        <v>2375</v>
      </c>
      <c r="P2407" s="4" t="s">
        <v>2276</v>
      </c>
      <c r="Q2407" s="4" t="s">
        <v>2276</v>
      </c>
      <c r="R2407" s="4" t="s">
        <v>2276</v>
      </c>
      <c r="S2407" s="21" t="s">
        <v>2374</v>
      </c>
      <c r="T2407" s="4" t="s">
        <v>2276</v>
      </c>
      <c r="U2407" s="4" t="s">
        <v>2276</v>
      </c>
      <c r="V2407" s="4" t="s">
        <v>2276</v>
      </c>
      <c r="W2407" s="4" t="s">
        <v>2375</v>
      </c>
      <c r="X2407" s="204" t="s">
        <v>68</v>
      </c>
      <c r="Y2407" s="204" t="s">
        <v>35</v>
      </c>
      <c r="Z2407" s="4" t="s">
        <v>64</v>
      </c>
      <c r="AA2407" s="4" t="s">
        <v>6443</v>
      </c>
      <c r="AB2407" s="4" t="s">
        <v>8381</v>
      </c>
    </row>
    <row r="2408" spans="1:28" ht="87">
      <c r="A2408" s="156" t="str">
        <f>'Reported burning'!A2408</f>
        <v>275d</v>
      </c>
      <c r="B2408" s="156" t="str">
        <f>'Reported burning'!B2408</f>
        <v>275d.2</v>
      </c>
      <c r="C2408" s="156" t="str">
        <f>'Reported burning'!C2408</f>
        <v>Human, deliberate</v>
      </c>
      <c r="D2408" s="156" t="str">
        <f>'Reported burning'!D2408</f>
        <v>Crop residue burning</v>
      </c>
      <c r="E2408" s="156" t="str">
        <f>'Reported burning'!E2408</f>
        <v>Mixed cropping-livestock small holder, Market-oriented</v>
      </c>
      <c r="F2408" s="156" t="str">
        <f>'Reported burning'!F2408</f>
        <v>Cropland</v>
      </c>
      <c r="G2408" s="156" t="str">
        <f>'Reported burning'!G2408</f>
        <v>ND</v>
      </c>
      <c r="H2408" s="156" t="str">
        <f>'Reported burning'!H2408</f>
        <v>Presence</v>
      </c>
      <c r="I2408" s="5"/>
      <c r="J2408" s="4" t="s">
        <v>2276</v>
      </c>
      <c r="K2408" s="4" t="s">
        <v>2276</v>
      </c>
      <c r="L2408" s="4" t="s">
        <v>2276</v>
      </c>
      <c r="M2408" s="4" t="s">
        <v>2276</v>
      </c>
      <c r="N2408" s="4" t="s">
        <v>2276</v>
      </c>
      <c r="O2408" s="4" t="s">
        <v>2375</v>
      </c>
      <c r="P2408" s="4" t="s">
        <v>2276</v>
      </c>
      <c r="Q2408" s="4" t="s">
        <v>2276</v>
      </c>
      <c r="R2408" s="4" t="s">
        <v>2276</v>
      </c>
      <c r="S2408" s="21" t="s">
        <v>2376</v>
      </c>
      <c r="T2408" s="4" t="s">
        <v>2276</v>
      </c>
      <c r="U2408" s="4" t="s">
        <v>2276</v>
      </c>
      <c r="V2408" s="4" t="s">
        <v>2276</v>
      </c>
      <c r="W2408" s="4" t="s">
        <v>2375</v>
      </c>
      <c r="X2408" s="204" t="s">
        <v>86</v>
      </c>
      <c r="Y2408" s="204" t="s">
        <v>34</v>
      </c>
      <c r="Z2408" s="4" t="s">
        <v>64</v>
      </c>
      <c r="AA2408" s="4" t="s">
        <v>6444</v>
      </c>
      <c r="AB2408" s="4" t="s">
        <v>8381</v>
      </c>
    </row>
    <row r="2409" spans="1:28" ht="29">
      <c r="A2409" s="156" t="str">
        <f>'Reported burning'!A2409</f>
        <v>275e</v>
      </c>
      <c r="B2409" s="156" t="str">
        <f>'Reported burning'!B2409</f>
        <v>275e.1</v>
      </c>
      <c r="C2409" s="156" t="str">
        <f>'Reported burning'!C2409</f>
        <v>Human, deliberate</v>
      </c>
      <c r="D2409" s="156" t="str">
        <f>'Reported burning'!D2409</f>
        <v>Crop residue burning</v>
      </c>
      <c r="E2409" s="156" t="str">
        <f>'Reported burning'!E2409</f>
        <v>Mixed cropping-livestock small holder, Market-oriented</v>
      </c>
      <c r="F2409" s="156" t="str">
        <f>'Reported burning'!F2409</f>
        <v>Cropland</v>
      </c>
      <c r="G2409" s="156" t="str">
        <f>'Reported burning'!G2409</f>
        <v>ND</v>
      </c>
      <c r="H2409" s="156" t="str">
        <f>'Reported burning'!H2409</f>
        <v>Absence</v>
      </c>
      <c r="I2409" s="5"/>
      <c r="J2409" s="4">
        <v>0</v>
      </c>
      <c r="K2409" s="4">
        <v>0</v>
      </c>
      <c r="L2409" s="4">
        <v>0</v>
      </c>
      <c r="M2409" s="4">
        <v>0</v>
      </c>
      <c r="N2409" s="4">
        <v>0</v>
      </c>
      <c r="O2409" s="4">
        <v>0</v>
      </c>
      <c r="P2409" s="4">
        <v>0</v>
      </c>
      <c r="Q2409" s="4">
        <v>0</v>
      </c>
      <c r="R2409" s="4">
        <v>0</v>
      </c>
      <c r="S2409" s="4">
        <v>0</v>
      </c>
      <c r="T2409" s="4">
        <v>0</v>
      </c>
      <c r="U2409" s="4">
        <v>0</v>
      </c>
      <c r="V2409" s="4">
        <v>0</v>
      </c>
      <c r="W2409" s="4" t="s">
        <v>2276</v>
      </c>
      <c r="X2409" s="204" t="s">
        <v>68</v>
      </c>
      <c r="Y2409" s="204" t="s">
        <v>35</v>
      </c>
      <c r="Z2409" s="4" t="s">
        <v>64</v>
      </c>
      <c r="AA2409" s="4" t="s">
        <v>6443</v>
      </c>
      <c r="AB2409" s="4"/>
    </row>
    <row r="2410" spans="1:28" ht="29">
      <c r="A2410" s="156" t="str">
        <f>'Reported burning'!A2410</f>
        <v>275e</v>
      </c>
      <c r="B2410" s="156" t="str">
        <f>'Reported burning'!B2410</f>
        <v>275e.2</v>
      </c>
      <c r="C2410" s="156" t="str">
        <f>'Reported burning'!C2410</f>
        <v>Human, deliberate</v>
      </c>
      <c r="D2410" s="156" t="str">
        <f>'Reported burning'!D2410</f>
        <v>Crop residue burning</v>
      </c>
      <c r="E2410" s="156" t="str">
        <f>'Reported burning'!E2410</f>
        <v>Mixed cropping-livestock small holder, Market-oriented</v>
      </c>
      <c r="F2410" s="156" t="str">
        <f>'Reported burning'!F2410</f>
        <v>Cropland</v>
      </c>
      <c r="G2410" s="156" t="str">
        <f>'Reported burning'!G2410</f>
        <v>ND</v>
      </c>
      <c r="H2410" s="156" t="str">
        <f>'Reported burning'!H2410</f>
        <v>Absence</v>
      </c>
      <c r="I2410" s="5"/>
      <c r="J2410" s="4">
        <v>0</v>
      </c>
      <c r="K2410" s="4">
        <v>0</v>
      </c>
      <c r="L2410" s="4">
        <v>0</v>
      </c>
      <c r="M2410" s="4">
        <v>0</v>
      </c>
      <c r="N2410" s="4">
        <v>0</v>
      </c>
      <c r="O2410" s="4">
        <v>0</v>
      </c>
      <c r="P2410" s="4">
        <v>0</v>
      </c>
      <c r="Q2410" s="4">
        <v>0</v>
      </c>
      <c r="R2410" s="4">
        <v>0</v>
      </c>
      <c r="S2410" s="4">
        <v>0</v>
      </c>
      <c r="T2410" s="4">
        <v>0</v>
      </c>
      <c r="U2410" s="4">
        <v>0</v>
      </c>
      <c r="V2410" s="4">
        <v>0</v>
      </c>
      <c r="W2410" s="4" t="s">
        <v>2276</v>
      </c>
      <c r="X2410" s="204" t="s">
        <v>86</v>
      </c>
      <c r="Y2410" s="204" t="s">
        <v>34</v>
      </c>
      <c r="Z2410" s="4" t="s">
        <v>64</v>
      </c>
      <c r="AA2410" s="4" t="s">
        <v>6444</v>
      </c>
      <c r="AB2410" s="4"/>
    </row>
    <row r="2411" spans="1:28" ht="29">
      <c r="A2411" s="156" t="str">
        <f>'Reported burning'!A2411</f>
        <v>275f</v>
      </c>
      <c r="B2411" s="156" t="str">
        <f>'Reported burning'!B2411</f>
        <v>275f.1</v>
      </c>
      <c r="C2411" s="156" t="str">
        <f>'Reported burning'!C2411</f>
        <v>Human, deliberate</v>
      </c>
      <c r="D2411" s="156" t="str">
        <f>'Reported burning'!D2411</f>
        <v>Crop residue burning</v>
      </c>
      <c r="E2411" s="156" t="str">
        <f>'Reported burning'!E2411</f>
        <v>Mixed cropping-livestock small holder, Market-oriented</v>
      </c>
      <c r="F2411" s="156" t="str">
        <f>'Reported burning'!F2411</f>
        <v>Cropland</v>
      </c>
      <c r="G2411" s="156" t="str">
        <f>'Reported burning'!G2411</f>
        <v>ND</v>
      </c>
      <c r="H2411" s="156" t="str">
        <f>'Reported burning'!H2411</f>
        <v>Absence</v>
      </c>
      <c r="I2411" s="5"/>
      <c r="J2411" s="4">
        <v>0</v>
      </c>
      <c r="K2411" s="4">
        <v>0</v>
      </c>
      <c r="L2411" s="4">
        <v>0</v>
      </c>
      <c r="M2411" s="4">
        <v>0</v>
      </c>
      <c r="N2411" s="4">
        <v>0</v>
      </c>
      <c r="O2411" s="4">
        <v>0</v>
      </c>
      <c r="P2411" s="4">
        <v>0</v>
      </c>
      <c r="Q2411" s="4">
        <v>0</v>
      </c>
      <c r="R2411" s="4">
        <v>0</v>
      </c>
      <c r="S2411" s="4">
        <v>0</v>
      </c>
      <c r="T2411" s="4">
        <v>0</v>
      </c>
      <c r="U2411" s="4">
        <v>0</v>
      </c>
      <c r="V2411" s="4">
        <v>0</v>
      </c>
      <c r="W2411" s="4" t="s">
        <v>2276</v>
      </c>
      <c r="X2411" s="204" t="s">
        <v>68</v>
      </c>
      <c r="Y2411" s="204" t="s">
        <v>35</v>
      </c>
      <c r="Z2411" s="4" t="s">
        <v>64</v>
      </c>
      <c r="AA2411" s="4" t="s">
        <v>6443</v>
      </c>
      <c r="AB2411" s="4"/>
    </row>
    <row r="2412" spans="1:28" ht="87">
      <c r="A2412" s="156" t="str">
        <f>'Reported burning'!A2412</f>
        <v>275f</v>
      </c>
      <c r="B2412" s="156" t="str">
        <f>'Reported burning'!B2412</f>
        <v>275f.2</v>
      </c>
      <c r="C2412" s="156" t="str">
        <f>'Reported burning'!C2412</f>
        <v>Human, deliberate</v>
      </c>
      <c r="D2412" s="156" t="str">
        <f>'Reported burning'!D2412</f>
        <v>Crop residue burning</v>
      </c>
      <c r="E2412" s="156" t="str">
        <f>'Reported burning'!E2412</f>
        <v>Mixed cropping-livestock small holder, Market-oriented</v>
      </c>
      <c r="F2412" s="156" t="str">
        <f>'Reported burning'!F2412</f>
        <v>Cropland</v>
      </c>
      <c r="G2412" s="156" t="str">
        <f>'Reported burning'!G2412</f>
        <v>ND</v>
      </c>
      <c r="H2412" s="156" t="str">
        <f>'Reported burning'!H2412</f>
        <v>Presence</v>
      </c>
      <c r="I2412" s="5"/>
      <c r="J2412" s="4" t="s">
        <v>2276</v>
      </c>
      <c r="K2412" s="4" t="s">
        <v>2276</v>
      </c>
      <c r="L2412" s="4" t="s">
        <v>2276</v>
      </c>
      <c r="M2412" s="4" t="s">
        <v>2276</v>
      </c>
      <c r="N2412" s="4" t="s">
        <v>2276</v>
      </c>
      <c r="O2412" s="4" t="s">
        <v>2375</v>
      </c>
      <c r="P2412" s="4" t="s">
        <v>2276</v>
      </c>
      <c r="Q2412" s="4" t="s">
        <v>2276</v>
      </c>
      <c r="R2412" s="4" t="s">
        <v>2276</v>
      </c>
      <c r="S2412" s="21" t="s">
        <v>2374</v>
      </c>
      <c r="T2412" s="4" t="s">
        <v>2276</v>
      </c>
      <c r="U2412" s="4" t="s">
        <v>2276</v>
      </c>
      <c r="V2412" s="4" t="s">
        <v>2276</v>
      </c>
      <c r="W2412" s="4" t="s">
        <v>2375</v>
      </c>
      <c r="X2412" s="204" t="s">
        <v>86</v>
      </c>
      <c r="Y2412" s="204" t="s">
        <v>34</v>
      </c>
      <c r="Z2412" s="4" t="s">
        <v>64</v>
      </c>
      <c r="AA2412" s="4" t="s">
        <v>6444</v>
      </c>
      <c r="AB2412" s="4" t="s">
        <v>8381</v>
      </c>
    </row>
    <row r="2413" spans="1:28" ht="29">
      <c r="A2413" s="156" t="str">
        <f>'Reported burning'!A2413</f>
        <v>275g</v>
      </c>
      <c r="B2413" s="156" t="str">
        <f>'Reported burning'!B2413</f>
        <v>275g.1</v>
      </c>
      <c r="C2413" s="156" t="str">
        <f>'Reported burning'!C2413</f>
        <v>Human, deliberate</v>
      </c>
      <c r="D2413" s="156" t="str">
        <f>'Reported burning'!D2413</f>
        <v>Crop residue burning</v>
      </c>
      <c r="E2413" s="156" t="str">
        <f>'Reported burning'!E2413</f>
        <v>Mixed cropping-livestock small holder, Subsistence-oriented</v>
      </c>
      <c r="F2413" s="156" t="str">
        <f>'Reported burning'!F2413</f>
        <v>Cropland</v>
      </c>
      <c r="G2413" s="156" t="str">
        <f>'Reported burning'!G2413</f>
        <v>ND</v>
      </c>
      <c r="H2413" s="156" t="str">
        <f>'Reported burning'!H2413</f>
        <v>Absence</v>
      </c>
      <c r="I2413" s="5"/>
      <c r="J2413" s="4">
        <v>0</v>
      </c>
      <c r="K2413" s="4">
        <v>0</v>
      </c>
      <c r="L2413" s="4">
        <v>0</v>
      </c>
      <c r="M2413" s="4">
        <v>0</v>
      </c>
      <c r="N2413" s="4">
        <v>0</v>
      </c>
      <c r="O2413" s="4">
        <v>0</v>
      </c>
      <c r="P2413" s="4">
        <v>0</v>
      </c>
      <c r="Q2413" s="4">
        <v>0</v>
      </c>
      <c r="R2413" s="4">
        <v>0</v>
      </c>
      <c r="S2413" s="4">
        <v>0</v>
      </c>
      <c r="T2413" s="4">
        <v>0</v>
      </c>
      <c r="U2413" s="4">
        <v>0</v>
      </c>
      <c r="V2413" s="4">
        <v>0</v>
      </c>
      <c r="W2413" s="4" t="s">
        <v>2276</v>
      </c>
      <c r="X2413" s="204" t="s">
        <v>68</v>
      </c>
      <c r="Y2413" s="204" t="s">
        <v>35</v>
      </c>
      <c r="Z2413" s="4" t="s">
        <v>64</v>
      </c>
      <c r="AA2413" s="4" t="s">
        <v>6445</v>
      </c>
      <c r="AB2413" s="4"/>
    </row>
    <row r="2414" spans="1:28" ht="29">
      <c r="A2414" s="156" t="str">
        <f>'Reported burning'!A2414</f>
        <v>275g</v>
      </c>
      <c r="B2414" s="156" t="str">
        <f>'Reported burning'!B2414</f>
        <v>275g.2</v>
      </c>
      <c r="C2414" s="156" t="str">
        <f>'Reported burning'!C2414</f>
        <v>Human, deliberate</v>
      </c>
      <c r="D2414" s="156" t="str">
        <f>'Reported burning'!D2414</f>
        <v>Crop residue burning</v>
      </c>
      <c r="E2414" s="156" t="str">
        <f>'Reported burning'!E2414</f>
        <v>Mixed cropping-livestock small holder, Subsistence-oriented</v>
      </c>
      <c r="F2414" s="156" t="str">
        <f>'Reported burning'!F2414</f>
        <v>Cropland</v>
      </c>
      <c r="G2414" s="156" t="str">
        <f>'Reported burning'!G2414</f>
        <v>ND</v>
      </c>
      <c r="H2414" s="156" t="str">
        <f>'Reported burning'!H2414</f>
        <v>Absence</v>
      </c>
      <c r="I2414" s="5"/>
      <c r="J2414" s="4">
        <v>0</v>
      </c>
      <c r="K2414" s="4">
        <v>0</v>
      </c>
      <c r="L2414" s="4">
        <v>0</v>
      </c>
      <c r="M2414" s="4">
        <v>0</v>
      </c>
      <c r="N2414" s="4">
        <v>0</v>
      </c>
      <c r="O2414" s="4">
        <v>0</v>
      </c>
      <c r="P2414" s="4">
        <v>0</v>
      </c>
      <c r="Q2414" s="4">
        <v>0</v>
      </c>
      <c r="R2414" s="4">
        <v>0</v>
      </c>
      <c r="S2414" s="4">
        <v>0</v>
      </c>
      <c r="T2414" s="4">
        <v>0</v>
      </c>
      <c r="U2414" s="4">
        <v>0</v>
      </c>
      <c r="V2414" s="4">
        <v>0</v>
      </c>
      <c r="W2414" s="4" t="s">
        <v>2276</v>
      </c>
      <c r="X2414" s="204" t="s">
        <v>86</v>
      </c>
      <c r="Y2414" s="204" t="s">
        <v>34</v>
      </c>
      <c r="Z2414" s="4" t="s">
        <v>64</v>
      </c>
      <c r="AA2414" s="4" t="s">
        <v>6446</v>
      </c>
      <c r="AB2414" s="4"/>
    </row>
    <row r="2415" spans="1:28" ht="87">
      <c r="A2415" s="156" t="str">
        <f>'Reported burning'!A2415</f>
        <v>275h</v>
      </c>
      <c r="B2415" s="156" t="str">
        <f>'Reported burning'!B2415</f>
        <v>275h.1</v>
      </c>
      <c r="C2415" s="156" t="str">
        <f>'Reported burning'!C2415</f>
        <v>Human, deliberate</v>
      </c>
      <c r="D2415" s="156" t="str">
        <f>'Reported burning'!D2415</f>
        <v>Crop residue burning</v>
      </c>
      <c r="E2415" s="156" t="str">
        <f>'Reported burning'!E2415</f>
        <v>Mixed cropping-livestock small holder, Subsistence-oriented</v>
      </c>
      <c r="F2415" s="156" t="str">
        <f>'Reported burning'!F2415</f>
        <v>Cropland</v>
      </c>
      <c r="G2415" s="156" t="str">
        <f>'Reported burning'!G2415</f>
        <v>ND</v>
      </c>
      <c r="H2415" s="156" t="str">
        <f>'Reported burning'!H2415</f>
        <v>Presence</v>
      </c>
      <c r="I2415" s="5"/>
      <c r="J2415" s="4" t="s">
        <v>2276</v>
      </c>
      <c r="K2415" s="4" t="s">
        <v>2276</v>
      </c>
      <c r="L2415" s="4" t="s">
        <v>2276</v>
      </c>
      <c r="M2415" s="4" t="s">
        <v>2276</v>
      </c>
      <c r="N2415" s="4" t="s">
        <v>2276</v>
      </c>
      <c r="O2415" s="4" t="s">
        <v>2375</v>
      </c>
      <c r="P2415" s="4" t="s">
        <v>2276</v>
      </c>
      <c r="Q2415" s="4" t="s">
        <v>2276</v>
      </c>
      <c r="R2415" s="4" t="s">
        <v>2276</v>
      </c>
      <c r="S2415" s="21" t="s">
        <v>2527</v>
      </c>
      <c r="T2415" s="4" t="s">
        <v>2276</v>
      </c>
      <c r="U2415" s="4" t="s">
        <v>2276</v>
      </c>
      <c r="V2415" s="4" t="s">
        <v>2276</v>
      </c>
      <c r="W2415" s="4" t="s">
        <v>2375</v>
      </c>
      <c r="X2415" s="204" t="s">
        <v>68</v>
      </c>
      <c r="Y2415" s="204" t="s">
        <v>35</v>
      </c>
      <c r="Z2415" s="4" t="s">
        <v>64</v>
      </c>
      <c r="AA2415" s="4" t="s">
        <v>6443</v>
      </c>
      <c r="AB2415" s="4" t="s">
        <v>8381</v>
      </c>
    </row>
    <row r="2416" spans="1:28" ht="87">
      <c r="A2416" s="156" t="str">
        <f>'Reported burning'!A2416</f>
        <v>275h</v>
      </c>
      <c r="B2416" s="156" t="str">
        <f>'Reported burning'!B2416</f>
        <v>275h.2</v>
      </c>
      <c r="C2416" s="156" t="str">
        <f>'Reported burning'!C2416</f>
        <v>Human, deliberate</v>
      </c>
      <c r="D2416" s="156" t="str">
        <f>'Reported burning'!D2416</f>
        <v>Crop residue burning</v>
      </c>
      <c r="E2416" s="156" t="str">
        <f>'Reported burning'!E2416</f>
        <v>Mixed cropping-livestock small holder, Subsistence-oriented</v>
      </c>
      <c r="F2416" s="156" t="str">
        <f>'Reported burning'!F2416</f>
        <v>Cropland</v>
      </c>
      <c r="G2416" s="156" t="str">
        <f>'Reported burning'!G2416</f>
        <v>ND</v>
      </c>
      <c r="H2416" s="156" t="str">
        <f>'Reported burning'!H2416</f>
        <v>Presence</v>
      </c>
      <c r="I2416" s="5"/>
      <c r="J2416" s="4" t="s">
        <v>2276</v>
      </c>
      <c r="K2416" s="4" t="s">
        <v>2276</v>
      </c>
      <c r="L2416" s="4" t="s">
        <v>2276</v>
      </c>
      <c r="M2416" s="4" t="s">
        <v>2276</v>
      </c>
      <c r="N2416" s="4" t="s">
        <v>2276</v>
      </c>
      <c r="O2416" s="4" t="s">
        <v>2375</v>
      </c>
      <c r="P2416" s="4" t="s">
        <v>2276</v>
      </c>
      <c r="Q2416" s="4" t="s">
        <v>2276</v>
      </c>
      <c r="R2416" s="4" t="s">
        <v>2276</v>
      </c>
      <c r="S2416" s="21" t="s">
        <v>2527</v>
      </c>
      <c r="T2416" s="4" t="s">
        <v>2276</v>
      </c>
      <c r="U2416" s="4" t="s">
        <v>2276</v>
      </c>
      <c r="V2416" s="4" t="s">
        <v>2276</v>
      </c>
      <c r="W2416" s="4" t="s">
        <v>2375</v>
      </c>
      <c r="X2416" s="204" t="s">
        <v>86</v>
      </c>
      <c r="Y2416" s="204" t="s">
        <v>34</v>
      </c>
      <c r="Z2416" s="4" t="s">
        <v>64</v>
      </c>
      <c r="AA2416" s="4" t="s">
        <v>6444</v>
      </c>
      <c r="AB2416" s="4" t="s">
        <v>8381</v>
      </c>
    </row>
    <row r="2417" spans="1:28" ht="87">
      <c r="A2417" s="156" t="str">
        <f>'Reported burning'!A2417</f>
        <v>275i</v>
      </c>
      <c r="B2417" s="156" t="str">
        <f>'Reported burning'!B2417</f>
        <v>275i.1</v>
      </c>
      <c r="C2417" s="156" t="str">
        <f>'Reported burning'!C2417</f>
        <v>Human, deliberate</v>
      </c>
      <c r="D2417" s="156" t="str">
        <f>'Reported burning'!D2417</f>
        <v>Crop residue burning</v>
      </c>
      <c r="E2417" s="156" t="str">
        <f>'Reported burning'!E2417</f>
        <v>Mixed cropping-livestock small holder, Subsistence-oriented</v>
      </c>
      <c r="F2417" s="156" t="str">
        <f>'Reported burning'!F2417</f>
        <v>Cropland</v>
      </c>
      <c r="G2417" s="156" t="str">
        <f>'Reported burning'!G2417</f>
        <v>ND</v>
      </c>
      <c r="H2417" s="156" t="str">
        <f>'Reported burning'!H2417</f>
        <v>Presence</v>
      </c>
      <c r="I2417" s="5"/>
      <c r="J2417" s="4" t="s">
        <v>2276</v>
      </c>
      <c r="K2417" s="4" t="s">
        <v>2276</v>
      </c>
      <c r="L2417" s="4" t="s">
        <v>2276</v>
      </c>
      <c r="M2417" s="4" t="s">
        <v>2276</v>
      </c>
      <c r="N2417" s="4" t="s">
        <v>2276</v>
      </c>
      <c r="O2417" s="4" t="s">
        <v>2362</v>
      </c>
      <c r="P2417" s="4" t="s">
        <v>2276</v>
      </c>
      <c r="Q2417" s="4" t="s">
        <v>2276</v>
      </c>
      <c r="R2417" s="4" t="s">
        <v>2276</v>
      </c>
      <c r="S2417" s="21" t="s">
        <v>2527</v>
      </c>
      <c r="T2417" s="4" t="s">
        <v>2276</v>
      </c>
      <c r="U2417" s="4" t="s">
        <v>2276</v>
      </c>
      <c r="V2417" s="4" t="s">
        <v>2276</v>
      </c>
      <c r="W2417" s="4" t="s">
        <v>2375</v>
      </c>
      <c r="X2417" s="204" t="s">
        <v>68</v>
      </c>
      <c r="Y2417" s="204" t="s">
        <v>35</v>
      </c>
      <c r="Z2417" s="4" t="s">
        <v>64</v>
      </c>
      <c r="AA2417" s="4" t="s">
        <v>6447</v>
      </c>
      <c r="AB2417" s="4" t="s">
        <v>8381</v>
      </c>
    </row>
    <row r="2418" spans="1:28" ht="87">
      <c r="A2418" s="156" t="str">
        <f>'Reported burning'!A2418</f>
        <v>275i</v>
      </c>
      <c r="B2418" s="156" t="str">
        <f>'Reported burning'!B2418</f>
        <v>275i.2</v>
      </c>
      <c r="C2418" s="156" t="str">
        <f>'Reported burning'!C2418</f>
        <v>Human, deliberate</v>
      </c>
      <c r="D2418" s="156" t="str">
        <f>'Reported burning'!D2418</f>
        <v>Crop residue burning</v>
      </c>
      <c r="E2418" s="156" t="str">
        <f>'Reported burning'!E2418</f>
        <v>Mixed cropping-livestock small holder, Subsistence-oriented</v>
      </c>
      <c r="F2418" s="156" t="str">
        <f>'Reported burning'!F2418</f>
        <v>Cropland</v>
      </c>
      <c r="G2418" s="156" t="str">
        <f>'Reported burning'!G2418</f>
        <v>ND</v>
      </c>
      <c r="H2418" s="156" t="str">
        <f>'Reported burning'!H2418</f>
        <v>Presence</v>
      </c>
      <c r="I2418" s="5"/>
      <c r="J2418" s="4" t="s">
        <v>2276</v>
      </c>
      <c r="K2418" s="4" t="s">
        <v>2276</v>
      </c>
      <c r="L2418" s="4" t="s">
        <v>2276</v>
      </c>
      <c r="M2418" s="4" t="s">
        <v>2276</v>
      </c>
      <c r="N2418" s="4" t="s">
        <v>2276</v>
      </c>
      <c r="O2418" s="4" t="s">
        <v>2362</v>
      </c>
      <c r="P2418" s="4" t="s">
        <v>2276</v>
      </c>
      <c r="Q2418" s="4" t="s">
        <v>2276</v>
      </c>
      <c r="R2418" s="4" t="s">
        <v>2276</v>
      </c>
      <c r="S2418" s="4" t="s">
        <v>2374</v>
      </c>
      <c r="T2418" s="4" t="s">
        <v>2276</v>
      </c>
      <c r="U2418" s="4" t="s">
        <v>2276</v>
      </c>
      <c r="V2418" s="4" t="s">
        <v>2276</v>
      </c>
      <c r="W2418" s="4" t="s">
        <v>2375</v>
      </c>
      <c r="X2418" s="204" t="s">
        <v>86</v>
      </c>
      <c r="Y2418" s="204" t="s">
        <v>34</v>
      </c>
      <c r="Z2418" s="4" t="s">
        <v>64</v>
      </c>
      <c r="AA2418" s="4" t="s">
        <v>6448</v>
      </c>
      <c r="AB2418" s="4" t="s">
        <v>8381</v>
      </c>
    </row>
    <row r="2419" spans="1:28" ht="87">
      <c r="A2419" s="156" t="str">
        <f>'Reported burning'!A2419</f>
        <v>275j</v>
      </c>
      <c r="B2419" s="156" t="str">
        <f>'Reported burning'!B2419</f>
        <v>275j.1</v>
      </c>
      <c r="C2419" s="156" t="str">
        <f>'Reported burning'!C2419</f>
        <v>Human, deliberate</v>
      </c>
      <c r="D2419" s="156" t="str">
        <f>'Reported burning'!D2419</f>
        <v>Crop residue burning</v>
      </c>
      <c r="E2419" s="156" t="str">
        <f>'Reported burning'!E2419</f>
        <v>Mixed cropping-livestock small holder, Subsistence-oriented</v>
      </c>
      <c r="F2419" s="156" t="str">
        <f>'Reported burning'!F2419</f>
        <v>Cropland</v>
      </c>
      <c r="G2419" s="156" t="str">
        <f>'Reported burning'!G2419</f>
        <v>ND</v>
      </c>
      <c r="H2419" s="156" t="str">
        <f>'Reported burning'!H2419</f>
        <v>Presence</v>
      </c>
      <c r="I2419" s="5"/>
      <c r="J2419" s="4" t="s">
        <v>2276</v>
      </c>
      <c r="K2419" s="4" t="s">
        <v>2276</v>
      </c>
      <c r="L2419" s="4" t="s">
        <v>2276</v>
      </c>
      <c r="M2419" s="4" t="s">
        <v>2276</v>
      </c>
      <c r="N2419" s="4" t="s">
        <v>2276</v>
      </c>
      <c r="O2419" s="4" t="s">
        <v>2362</v>
      </c>
      <c r="P2419" s="4" t="s">
        <v>2276</v>
      </c>
      <c r="Q2419" s="4" t="s">
        <v>2276</v>
      </c>
      <c r="R2419" s="4" t="s">
        <v>2276</v>
      </c>
      <c r="S2419" s="4" t="s">
        <v>2527</v>
      </c>
      <c r="T2419" s="4" t="s">
        <v>2276</v>
      </c>
      <c r="U2419" s="4" t="s">
        <v>2276</v>
      </c>
      <c r="V2419" s="4" t="s">
        <v>2276</v>
      </c>
      <c r="W2419" s="4" t="s">
        <v>2375</v>
      </c>
      <c r="X2419" s="204" t="s">
        <v>68</v>
      </c>
      <c r="Y2419" s="204" t="s">
        <v>35</v>
      </c>
      <c r="Z2419" s="4" t="s">
        <v>64</v>
      </c>
      <c r="AA2419" s="4" t="s">
        <v>6449</v>
      </c>
      <c r="AB2419" s="4" t="s">
        <v>8381</v>
      </c>
    </row>
    <row r="2420" spans="1:28" ht="87">
      <c r="A2420" s="156" t="str">
        <f>'Reported burning'!A2420</f>
        <v>275j</v>
      </c>
      <c r="B2420" s="156" t="str">
        <f>'Reported burning'!B2420</f>
        <v>275j.2</v>
      </c>
      <c r="C2420" s="156" t="str">
        <f>'Reported burning'!C2420</f>
        <v>Human, deliberate</v>
      </c>
      <c r="D2420" s="156" t="str">
        <f>'Reported burning'!D2420</f>
        <v>Crop residue burning</v>
      </c>
      <c r="E2420" s="156" t="str">
        <f>'Reported burning'!E2420</f>
        <v>Mixed cropping-livestock small holder, Subsistence-oriented</v>
      </c>
      <c r="F2420" s="156" t="str">
        <f>'Reported burning'!F2420</f>
        <v>Cropland</v>
      </c>
      <c r="G2420" s="156" t="str">
        <f>'Reported burning'!G2420</f>
        <v>ND</v>
      </c>
      <c r="H2420" s="156" t="str">
        <f>'Reported burning'!H2420</f>
        <v>Presence</v>
      </c>
      <c r="I2420" s="5"/>
      <c r="J2420" s="4" t="s">
        <v>2276</v>
      </c>
      <c r="K2420" s="4" t="s">
        <v>2276</v>
      </c>
      <c r="L2420" s="4" t="s">
        <v>2276</v>
      </c>
      <c r="M2420" s="4" t="s">
        <v>2276</v>
      </c>
      <c r="N2420" s="4" t="s">
        <v>2276</v>
      </c>
      <c r="O2420" s="4" t="s">
        <v>2362</v>
      </c>
      <c r="P2420" s="4" t="s">
        <v>2276</v>
      </c>
      <c r="Q2420" s="4" t="s">
        <v>2276</v>
      </c>
      <c r="R2420" s="4" t="s">
        <v>2276</v>
      </c>
      <c r="S2420" s="4" t="s">
        <v>2527</v>
      </c>
      <c r="T2420" s="4" t="s">
        <v>2276</v>
      </c>
      <c r="U2420" s="4" t="s">
        <v>2276</v>
      </c>
      <c r="V2420" s="4" t="s">
        <v>2276</v>
      </c>
      <c r="W2420" s="4" t="s">
        <v>2375</v>
      </c>
      <c r="X2420" s="204" t="s">
        <v>86</v>
      </c>
      <c r="Y2420" s="204" t="s">
        <v>34</v>
      </c>
      <c r="Z2420" s="4" t="s">
        <v>64</v>
      </c>
      <c r="AA2420" s="4" t="s">
        <v>6449</v>
      </c>
      <c r="AB2420" s="4" t="s">
        <v>8381</v>
      </c>
    </row>
    <row r="2421" spans="1:28" ht="87">
      <c r="A2421" s="156" t="str">
        <f>'Reported burning'!A2421</f>
        <v>275k</v>
      </c>
      <c r="B2421" s="156" t="str">
        <f>'Reported burning'!B2421</f>
        <v>275k.1</v>
      </c>
      <c r="C2421" s="156" t="str">
        <f>'Reported burning'!C2421</f>
        <v>Human, deliberate</v>
      </c>
      <c r="D2421" s="156" t="str">
        <f>'Reported burning'!D2421</f>
        <v>Crop residue burning</v>
      </c>
      <c r="E2421" s="156" t="str">
        <f>'Reported burning'!E2421</f>
        <v>Mixed cropping-livestock small holder, Subsistence-oriented</v>
      </c>
      <c r="F2421" s="156" t="str">
        <f>'Reported burning'!F2421</f>
        <v>Cropland</v>
      </c>
      <c r="G2421" s="156" t="str">
        <f>'Reported burning'!G2421</f>
        <v>ND</v>
      </c>
      <c r="H2421" s="156" t="str">
        <f>'Reported burning'!H2421</f>
        <v>Presence</v>
      </c>
      <c r="I2421" s="5"/>
      <c r="J2421" s="4" t="s">
        <v>2276</v>
      </c>
      <c r="K2421" s="4" t="s">
        <v>2276</v>
      </c>
      <c r="L2421" s="4" t="s">
        <v>2276</v>
      </c>
      <c r="M2421" s="4" t="s">
        <v>2276</v>
      </c>
      <c r="N2421" s="4" t="s">
        <v>2276</v>
      </c>
      <c r="O2421" s="4" t="s">
        <v>2362</v>
      </c>
      <c r="P2421" s="4" t="s">
        <v>2276</v>
      </c>
      <c r="Q2421" s="4" t="s">
        <v>2276</v>
      </c>
      <c r="R2421" s="4" t="s">
        <v>2276</v>
      </c>
      <c r="S2421" s="4" t="s">
        <v>2527</v>
      </c>
      <c r="T2421" s="4" t="s">
        <v>2276</v>
      </c>
      <c r="U2421" s="4" t="s">
        <v>2276</v>
      </c>
      <c r="V2421" s="4" t="s">
        <v>2276</v>
      </c>
      <c r="W2421" s="4" t="s">
        <v>2375</v>
      </c>
      <c r="X2421" s="204" t="s">
        <v>68</v>
      </c>
      <c r="Y2421" s="204" t="s">
        <v>35</v>
      </c>
      <c r="Z2421" s="4" t="s">
        <v>64</v>
      </c>
      <c r="AA2421" s="4" t="s">
        <v>6449</v>
      </c>
      <c r="AB2421" s="4" t="s">
        <v>8381</v>
      </c>
    </row>
    <row r="2422" spans="1:28" ht="87">
      <c r="A2422" s="156" t="str">
        <f>'Reported burning'!A2422</f>
        <v>275k</v>
      </c>
      <c r="B2422" s="156" t="str">
        <f>'Reported burning'!B2422</f>
        <v>275k.2</v>
      </c>
      <c r="C2422" s="156" t="str">
        <f>'Reported burning'!C2422</f>
        <v>Human, deliberate</v>
      </c>
      <c r="D2422" s="156" t="str">
        <f>'Reported burning'!D2422</f>
        <v>Crop residue burning</v>
      </c>
      <c r="E2422" s="156" t="str">
        <f>'Reported burning'!E2422</f>
        <v>Mixed cropping-livestock small holder, Subsistence-oriented</v>
      </c>
      <c r="F2422" s="156" t="str">
        <f>'Reported burning'!F2422</f>
        <v>Cropland</v>
      </c>
      <c r="G2422" s="156" t="str">
        <f>'Reported burning'!G2422</f>
        <v>ND</v>
      </c>
      <c r="H2422" s="156" t="str">
        <f>'Reported burning'!H2422</f>
        <v>Presence</v>
      </c>
      <c r="I2422" s="5"/>
      <c r="J2422" s="4" t="s">
        <v>2276</v>
      </c>
      <c r="K2422" s="4" t="s">
        <v>2276</v>
      </c>
      <c r="L2422" s="4" t="s">
        <v>2276</v>
      </c>
      <c r="M2422" s="4" t="s">
        <v>2276</v>
      </c>
      <c r="N2422" s="4" t="s">
        <v>2276</v>
      </c>
      <c r="O2422" s="4" t="s">
        <v>2362</v>
      </c>
      <c r="P2422" s="4" t="s">
        <v>2276</v>
      </c>
      <c r="Q2422" s="4" t="s">
        <v>2276</v>
      </c>
      <c r="R2422" s="4" t="s">
        <v>2276</v>
      </c>
      <c r="S2422" s="4" t="s">
        <v>2527</v>
      </c>
      <c r="T2422" s="4" t="s">
        <v>2276</v>
      </c>
      <c r="U2422" s="4" t="s">
        <v>2276</v>
      </c>
      <c r="V2422" s="4" t="s">
        <v>2276</v>
      </c>
      <c r="W2422" s="4" t="s">
        <v>2375</v>
      </c>
      <c r="X2422" s="204" t="s">
        <v>86</v>
      </c>
      <c r="Y2422" s="204" t="s">
        <v>34</v>
      </c>
      <c r="Z2422" s="4" t="s">
        <v>64</v>
      </c>
      <c r="AA2422" s="4" t="s">
        <v>6449</v>
      </c>
      <c r="AB2422" s="4" t="s">
        <v>8381</v>
      </c>
    </row>
    <row r="2423" spans="1:28" ht="29">
      <c r="A2423" s="156" t="str">
        <f>'Reported burning'!A2423</f>
        <v>275l</v>
      </c>
      <c r="B2423" s="156" t="str">
        <f>'Reported burning'!B2423</f>
        <v>275l.1</v>
      </c>
      <c r="C2423" s="156" t="str">
        <f>'Reported burning'!C2423</f>
        <v>Human, deliberate</v>
      </c>
      <c r="D2423" s="156" t="str">
        <f>'Reported burning'!D2423</f>
        <v>Crop residue burning</v>
      </c>
      <c r="E2423" s="156" t="str">
        <f>'Reported burning'!E2423</f>
        <v>Mixed cropping-livestock small holder, Subsistence-oriented</v>
      </c>
      <c r="F2423" s="156" t="str">
        <f>'Reported burning'!F2423</f>
        <v>Cropland</v>
      </c>
      <c r="G2423" s="156" t="str">
        <f>'Reported burning'!G2423</f>
        <v>ND</v>
      </c>
      <c r="H2423" s="156" t="str">
        <f>'Reported burning'!H2423</f>
        <v>Absence</v>
      </c>
      <c r="I2423" s="5"/>
      <c r="J2423" s="4">
        <v>0</v>
      </c>
      <c r="K2423" s="4">
        <v>0</v>
      </c>
      <c r="L2423" s="4">
        <v>0</v>
      </c>
      <c r="M2423" s="4">
        <v>0</v>
      </c>
      <c r="N2423" s="4">
        <v>0</v>
      </c>
      <c r="O2423" s="4">
        <v>0</v>
      </c>
      <c r="P2423" s="4">
        <v>0</v>
      </c>
      <c r="Q2423" s="4">
        <v>0</v>
      </c>
      <c r="R2423" s="4">
        <v>0</v>
      </c>
      <c r="S2423" s="4">
        <v>0</v>
      </c>
      <c r="T2423" s="4">
        <v>0</v>
      </c>
      <c r="U2423" s="4">
        <v>0</v>
      </c>
      <c r="V2423" s="4">
        <v>0</v>
      </c>
      <c r="W2423" s="4" t="s">
        <v>2276</v>
      </c>
      <c r="X2423" s="204" t="s">
        <v>68</v>
      </c>
      <c r="Y2423" s="204" t="s">
        <v>35</v>
      </c>
      <c r="Z2423" s="4" t="s">
        <v>64</v>
      </c>
      <c r="AA2423" s="4" t="s">
        <v>6449</v>
      </c>
      <c r="AB2423" s="4"/>
    </row>
    <row r="2424" spans="1:28" ht="29">
      <c r="A2424" s="156" t="str">
        <f>'Reported burning'!A2424</f>
        <v>275l</v>
      </c>
      <c r="B2424" s="156" t="str">
        <f>'Reported burning'!B2424</f>
        <v>275l.2</v>
      </c>
      <c r="C2424" s="156" t="str">
        <f>'Reported burning'!C2424</f>
        <v>Human, deliberate</v>
      </c>
      <c r="D2424" s="156" t="str">
        <f>'Reported burning'!D2424</f>
        <v>Crop residue burning</v>
      </c>
      <c r="E2424" s="156" t="str">
        <f>'Reported burning'!E2424</f>
        <v>Mixed cropping-livestock small holder, Subsistence-oriented</v>
      </c>
      <c r="F2424" s="156" t="str">
        <f>'Reported burning'!F2424</f>
        <v>Cropland</v>
      </c>
      <c r="G2424" s="156" t="str">
        <f>'Reported burning'!G2424</f>
        <v>ND</v>
      </c>
      <c r="H2424" s="156" t="str">
        <f>'Reported burning'!H2424</f>
        <v>Absence</v>
      </c>
      <c r="I2424" s="5"/>
      <c r="J2424" s="4">
        <v>0</v>
      </c>
      <c r="K2424" s="4">
        <v>0</v>
      </c>
      <c r="L2424" s="4">
        <v>0</v>
      </c>
      <c r="M2424" s="4">
        <v>0</v>
      </c>
      <c r="N2424" s="4">
        <v>0</v>
      </c>
      <c r="O2424" s="4">
        <v>0</v>
      </c>
      <c r="P2424" s="4">
        <v>0</v>
      </c>
      <c r="Q2424" s="4">
        <v>0</v>
      </c>
      <c r="R2424" s="4">
        <v>0</v>
      </c>
      <c r="S2424" s="4">
        <v>0</v>
      </c>
      <c r="T2424" s="4">
        <v>0</v>
      </c>
      <c r="U2424" s="4">
        <v>0</v>
      </c>
      <c r="V2424" s="4">
        <v>0</v>
      </c>
      <c r="W2424" s="4" t="s">
        <v>2276</v>
      </c>
      <c r="X2424" s="204" t="s">
        <v>86</v>
      </c>
      <c r="Y2424" s="204" t="s">
        <v>34</v>
      </c>
      <c r="Z2424" s="4" t="s">
        <v>64</v>
      </c>
      <c r="AA2424" s="4" t="s">
        <v>6449</v>
      </c>
      <c r="AB2424" s="4"/>
    </row>
    <row r="2425" spans="1:28" ht="29">
      <c r="A2425" s="156" t="str">
        <f>'Reported burning'!A2425</f>
        <v>277aa</v>
      </c>
      <c r="B2425" s="156" t="str">
        <f>'Reported burning'!B2425</f>
        <v>277aa.1</v>
      </c>
      <c r="C2425" s="156" t="str">
        <f>'Reported burning'!C2425</f>
        <v>Human, deliberate</v>
      </c>
      <c r="D2425" s="156" t="str">
        <f>'Reported burning'!D2425</f>
        <v>Crop residue burning</v>
      </c>
      <c r="E2425" s="156" t="str">
        <f>'Reported burning'!E2425</f>
        <v>Cropping, Monoculture, Market-oriented</v>
      </c>
      <c r="F2425" s="156" t="str">
        <f>'Reported burning'!F2425</f>
        <v>Cropland</v>
      </c>
      <c r="G2425" s="156" t="str">
        <f>'Reported burning'!G2425</f>
        <v>ND</v>
      </c>
      <c r="H2425" s="156" t="str">
        <f>'Reported burning'!H2425</f>
        <v>Presence</v>
      </c>
      <c r="I2425" s="5"/>
      <c r="J2425" s="4" t="s">
        <v>2276</v>
      </c>
      <c r="K2425" s="4" t="s">
        <v>2276</v>
      </c>
      <c r="L2425" s="4" t="s">
        <v>2276</v>
      </c>
      <c r="M2425" s="4" t="s">
        <v>2276</v>
      </c>
      <c r="N2425" s="4" t="s">
        <v>2276</v>
      </c>
      <c r="O2425" s="4" t="s">
        <v>2276</v>
      </c>
      <c r="P2425" s="4" t="s">
        <v>2276</v>
      </c>
      <c r="Q2425" s="4" t="s">
        <v>2276</v>
      </c>
      <c r="R2425" s="4" t="s">
        <v>2276</v>
      </c>
      <c r="S2425" s="4" t="s">
        <v>2390</v>
      </c>
      <c r="T2425" s="4" t="s">
        <v>2276</v>
      </c>
      <c r="U2425" s="4" t="s">
        <v>2276</v>
      </c>
      <c r="V2425" s="4" t="s">
        <v>2276</v>
      </c>
      <c r="W2425" s="4" t="s">
        <v>2375</v>
      </c>
      <c r="X2425" s="4" t="s">
        <v>2276</v>
      </c>
      <c r="Y2425" s="4" t="s">
        <v>2276</v>
      </c>
      <c r="Z2425" s="4" t="s">
        <v>64</v>
      </c>
      <c r="AA2425" s="4" t="s">
        <v>6450</v>
      </c>
      <c r="AB2425" s="4" t="s">
        <v>8397</v>
      </c>
    </row>
    <row r="2426" spans="1:28" ht="29">
      <c r="A2426" s="156" t="str">
        <f>'Reported burning'!A2426</f>
        <v>277aa</v>
      </c>
      <c r="B2426" s="156" t="str">
        <f>'Reported burning'!B2426</f>
        <v>277aa.2</v>
      </c>
      <c r="C2426" s="156" t="str">
        <f>'Reported burning'!C2426</f>
        <v>Human, deliberate</v>
      </c>
      <c r="D2426" s="156" t="str">
        <f>'Reported burning'!D2426</f>
        <v>Crop residue burning</v>
      </c>
      <c r="E2426" s="156" t="str">
        <f>'Reported burning'!E2426</f>
        <v>Cropping, Monoculture, Market-oriented</v>
      </c>
      <c r="F2426" s="156" t="str">
        <f>'Reported burning'!F2426</f>
        <v>Cropland</v>
      </c>
      <c r="G2426" s="156" t="str">
        <f>'Reported burning'!G2426</f>
        <v>ND</v>
      </c>
      <c r="H2426" s="156" t="str">
        <f>'Reported burning'!H2426</f>
        <v>Presence</v>
      </c>
      <c r="I2426" s="5"/>
      <c r="J2426" s="4" t="s">
        <v>2276</v>
      </c>
      <c r="K2426" s="4" t="s">
        <v>2276</v>
      </c>
      <c r="L2426" s="4" t="s">
        <v>2276</v>
      </c>
      <c r="M2426" s="4" t="s">
        <v>2276</v>
      </c>
      <c r="N2426" s="4" t="s">
        <v>2276</v>
      </c>
      <c r="O2426" s="4" t="s">
        <v>2276</v>
      </c>
      <c r="P2426" s="4" t="s">
        <v>2276</v>
      </c>
      <c r="Q2426" s="4" t="s">
        <v>2276</v>
      </c>
      <c r="R2426" s="4" t="s">
        <v>2276</v>
      </c>
      <c r="S2426" s="4" t="s">
        <v>2374</v>
      </c>
      <c r="T2426" s="4" t="s">
        <v>2276</v>
      </c>
      <c r="U2426" s="4" t="s">
        <v>2276</v>
      </c>
      <c r="V2426" s="4" t="s">
        <v>2276</v>
      </c>
      <c r="W2426" s="4" t="s">
        <v>2375</v>
      </c>
      <c r="X2426" s="4" t="s">
        <v>2276</v>
      </c>
      <c r="Y2426" s="4" t="s">
        <v>2276</v>
      </c>
      <c r="Z2426" s="4" t="s">
        <v>64</v>
      </c>
      <c r="AA2426" s="4" t="s">
        <v>6450</v>
      </c>
      <c r="AB2426" s="4" t="s">
        <v>8397</v>
      </c>
    </row>
    <row r="2427" spans="1:28" ht="29">
      <c r="A2427" s="156" t="str">
        <f>'Reported burning'!A2427</f>
        <v>277aa</v>
      </c>
      <c r="B2427" s="156" t="str">
        <f>'Reported burning'!B2427</f>
        <v>277aa.3</v>
      </c>
      <c r="C2427" s="156" t="str">
        <f>'Reported burning'!C2427</f>
        <v>Human, deliberate</v>
      </c>
      <c r="D2427" s="156" t="str">
        <f>'Reported burning'!D2427</f>
        <v>Crop residue burning</v>
      </c>
      <c r="E2427" s="156" t="str">
        <f>'Reported burning'!E2427</f>
        <v>Cropping, Monoculture, Market-oriented</v>
      </c>
      <c r="F2427" s="156" t="str">
        <f>'Reported burning'!F2427</f>
        <v>Cropland</v>
      </c>
      <c r="G2427" s="156" t="str">
        <f>'Reported burning'!G2427</f>
        <v>ND</v>
      </c>
      <c r="H2427" s="156" t="str">
        <f>'Reported burning'!H2427</f>
        <v>Absence</v>
      </c>
      <c r="I2427" s="5"/>
      <c r="J2427" s="4">
        <v>0</v>
      </c>
      <c r="K2427" s="4">
        <v>0</v>
      </c>
      <c r="L2427" s="4">
        <v>0</v>
      </c>
      <c r="M2427" s="4">
        <v>0</v>
      </c>
      <c r="N2427" s="4">
        <v>0</v>
      </c>
      <c r="O2427" s="4">
        <v>0</v>
      </c>
      <c r="P2427" s="4">
        <v>0</v>
      </c>
      <c r="Q2427" s="4">
        <v>0</v>
      </c>
      <c r="R2427" s="4">
        <v>0</v>
      </c>
      <c r="S2427" s="4">
        <v>0</v>
      </c>
      <c r="T2427" s="4">
        <v>0</v>
      </c>
      <c r="U2427" s="4">
        <v>0</v>
      </c>
      <c r="V2427" s="4">
        <v>0</v>
      </c>
      <c r="W2427" s="4" t="s">
        <v>2375</v>
      </c>
      <c r="X2427" s="4" t="s">
        <v>2276</v>
      </c>
      <c r="Y2427" s="4" t="s">
        <v>2276</v>
      </c>
      <c r="Z2427" s="4" t="s">
        <v>64</v>
      </c>
      <c r="AA2427" s="4" t="s">
        <v>6450</v>
      </c>
      <c r="AB2427" s="4" t="s">
        <v>8397</v>
      </c>
    </row>
    <row r="2428" spans="1:28" ht="29">
      <c r="A2428" s="156" t="str">
        <f>'Reported burning'!A2428</f>
        <v>277ab</v>
      </c>
      <c r="B2428" s="156" t="str">
        <f>'Reported burning'!B2428</f>
        <v>277ab.1</v>
      </c>
      <c r="C2428" s="156" t="str">
        <f>'Reported burning'!C2428</f>
        <v>Human, deliberate</v>
      </c>
      <c r="D2428" s="156" t="str">
        <f>'Reported burning'!D2428</f>
        <v>Crop residue burning</v>
      </c>
      <c r="E2428" s="156" t="str">
        <f>'Reported burning'!E2428</f>
        <v>Cropping, Monoculture, Market-oriented</v>
      </c>
      <c r="F2428" s="156" t="str">
        <f>'Reported burning'!F2428</f>
        <v>Cropland</v>
      </c>
      <c r="G2428" s="156" t="str">
        <f>'Reported burning'!G2428</f>
        <v>ND</v>
      </c>
      <c r="H2428" s="156" t="str">
        <f>'Reported burning'!H2428</f>
        <v>Presence</v>
      </c>
      <c r="I2428" s="5"/>
      <c r="J2428" s="4" t="s">
        <v>2276</v>
      </c>
      <c r="K2428" s="4" t="s">
        <v>2276</v>
      </c>
      <c r="L2428" s="4" t="s">
        <v>2276</v>
      </c>
      <c r="M2428" s="4" t="s">
        <v>2276</v>
      </c>
      <c r="N2428" s="4" t="s">
        <v>2276</v>
      </c>
      <c r="O2428" s="4" t="s">
        <v>2276</v>
      </c>
      <c r="P2428" s="4" t="s">
        <v>2276</v>
      </c>
      <c r="Q2428" s="4" t="s">
        <v>2276</v>
      </c>
      <c r="R2428" s="4" t="s">
        <v>2276</v>
      </c>
      <c r="S2428" s="4" t="s">
        <v>2390</v>
      </c>
      <c r="T2428" s="21" t="s">
        <v>2276</v>
      </c>
      <c r="U2428" s="21" t="s">
        <v>2276</v>
      </c>
      <c r="V2428" s="21" t="s">
        <v>2276</v>
      </c>
      <c r="W2428" s="4" t="s">
        <v>2375</v>
      </c>
      <c r="X2428" s="4" t="s">
        <v>2276</v>
      </c>
      <c r="Y2428" s="4" t="s">
        <v>2276</v>
      </c>
      <c r="Z2428" s="4" t="s">
        <v>64</v>
      </c>
      <c r="AA2428" s="4" t="s">
        <v>6450</v>
      </c>
      <c r="AB2428" s="4" t="s">
        <v>8397</v>
      </c>
    </row>
    <row r="2429" spans="1:28" ht="29">
      <c r="A2429" s="156" t="str">
        <f>'Reported burning'!A2429</f>
        <v>277ab</v>
      </c>
      <c r="B2429" s="156" t="str">
        <f>'Reported burning'!B2429</f>
        <v>277ab.2</v>
      </c>
      <c r="C2429" s="156" t="str">
        <f>'Reported burning'!C2429</f>
        <v>Human, deliberate</v>
      </c>
      <c r="D2429" s="156" t="str">
        <f>'Reported burning'!D2429</f>
        <v>Crop residue burning</v>
      </c>
      <c r="E2429" s="156" t="str">
        <f>'Reported burning'!E2429</f>
        <v>Cropping, Monoculture, Market-oriented</v>
      </c>
      <c r="F2429" s="156" t="str">
        <f>'Reported burning'!F2429</f>
        <v>Cropland</v>
      </c>
      <c r="G2429" s="156" t="str">
        <f>'Reported burning'!G2429</f>
        <v>ND</v>
      </c>
      <c r="H2429" s="156" t="str">
        <f>'Reported burning'!H2429</f>
        <v>Presence</v>
      </c>
      <c r="I2429" s="5"/>
      <c r="J2429" s="4" t="s">
        <v>2276</v>
      </c>
      <c r="K2429" s="4" t="s">
        <v>2276</v>
      </c>
      <c r="L2429" s="4" t="s">
        <v>2276</v>
      </c>
      <c r="M2429" s="4" t="s">
        <v>2276</v>
      </c>
      <c r="N2429" s="4" t="s">
        <v>2276</v>
      </c>
      <c r="O2429" s="4" t="s">
        <v>2276</v>
      </c>
      <c r="P2429" s="4" t="s">
        <v>2276</v>
      </c>
      <c r="Q2429" s="4" t="s">
        <v>2276</v>
      </c>
      <c r="R2429" s="4" t="s">
        <v>2276</v>
      </c>
      <c r="S2429" s="4" t="s">
        <v>2374</v>
      </c>
      <c r="T2429" s="21" t="s">
        <v>2276</v>
      </c>
      <c r="U2429" s="21" t="s">
        <v>2276</v>
      </c>
      <c r="V2429" s="21" t="s">
        <v>2276</v>
      </c>
      <c r="W2429" s="4" t="s">
        <v>2375</v>
      </c>
      <c r="X2429" s="4" t="s">
        <v>2276</v>
      </c>
      <c r="Y2429" s="4" t="s">
        <v>2276</v>
      </c>
      <c r="Z2429" s="4" t="s">
        <v>64</v>
      </c>
      <c r="AA2429" s="4" t="s">
        <v>6450</v>
      </c>
      <c r="AB2429" s="4" t="s">
        <v>8397</v>
      </c>
    </row>
    <row r="2430" spans="1:28" ht="29">
      <c r="A2430" s="156" t="str">
        <f>'Reported burning'!A2430</f>
        <v>277ab</v>
      </c>
      <c r="B2430" s="156" t="str">
        <f>'Reported burning'!B2430</f>
        <v>277ab.3</v>
      </c>
      <c r="C2430" s="156" t="str">
        <f>'Reported burning'!C2430</f>
        <v>Human, deliberate</v>
      </c>
      <c r="D2430" s="156" t="str">
        <f>'Reported burning'!D2430</f>
        <v>Crop residue burning</v>
      </c>
      <c r="E2430" s="156" t="str">
        <f>'Reported burning'!E2430</f>
        <v>Cropping, Monoculture, Market-oriented</v>
      </c>
      <c r="F2430" s="156" t="str">
        <f>'Reported burning'!F2430</f>
        <v>Cropland</v>
      </c>
      <c r="G2430" s="156" t="str">
        <f>'Reported burning'!G2430</f>
        <v>ND</v>
      </c>
      <c r="H2430" s="156" t="str">
        <f>'Reported burning'!H2430</f>
        <v>Absence</v>
      </c>
      <c r="I2430" s="5"/>
      <c r="J2430" s="4">
        <v>0</v>
      </c>
      <c r="K2430" s="4">
        <v>0</v>
      </c>
      <c r="L2430" s="4">
        <v>0</v>
      </c>
      <c r="M2430" s="4">
        <v>0</v>
      </c>
      <c r="N2430" s="4">
        <v>0</v>
      </c>
      <c r="O2430" s="4">
        <v>0</v>
      </c>
      <c r="P2430" s="4">
        <v>0</v>
      </c>
      <c r="Q2430" s="4">
        <v>0</v>
      </c>
      <c r="R2430" s="4">
        <v>0</v>
      </c>
      <c r="S2430" s="4">
        <v>0</v>
      </c>
      <c r="T2430" s="4">
        <v>0</v>
      </c>
      <c r="U2430" s="4">
        <v>0</v>
      </c>
      <c r="V2430" s="4">
        <v>0</v>
      </c>
      <c r="W2430" s="4" t="s">
        <v>2375</v>
      </c>
      <c r="X2430" s="4" t="s">
        <v>2276</v>
      </c>
      <c r="Y2430" s="4" t="s">
        <v>2276</v>
      </c>
      <c r="Z2430" s="4" t="s">
        <v>64</v>
      </c>
      <c r="AA2430" s="4" t="s">
        <v>6450</v>
      </c>
      <c r="AB2430" s="4" t="s">
        <v>8397</v>
      </c>
    </row>
    <row r="2431" spans="1:28" ht="29">
      <c r="A2431" s="156" t="str">
        <f>'Reported burning'!A2431</f>
        <v>277ba</v>
      </c>
      <c r="B2431" s="156" t="str">
        <f>'Reported burning'!B2431</f>
        <v>277ba.1</v>
      </c>
      <c r="C2431" s="156" t="str">
        <f>'Reported burning'!C2431</f>
        <v>Human, deliberate</v>
      </c>
      <c r="D2431" s="156" t="str">
        <f>'Reported burning'!D2431</f>
        <v>Crop residue burning</v>
      </c>
      <c r="E2431" s="156" t="str">
        <f>'Reported burning'!E2431</f>
        <v>Cropping, Monoculture, Market-oriented</v>
      </c>
      <c r="F2431" s="156" t="str">
        <f>'Reported burning'!F2431</f>
        <v>Cropland</v>
      </c>
      <c r="G2431" s="156" t="str">
        <f>'Reported burning'!G2431</f>
        <v>ND</v>
      </c>
      <c r="H2431" s="156" t="str">
        <f>'Reported burning'!H2431</f>
        <v>Presence</v>
      </c>
      <c r="I2431" s="5"/>
      <c r="J2431" s="4" t="s">
        <v>2276</v>
      </c>
      <c r="K2431" s="4" t="s">
        <v>2276</v>
      </c>
      <c r="L2431" s="4" t="s">
        <v>2276</v>
      </c>
      <c r="M2431" s="4" t="s">
        <v>2276</v>
      </c>
      <c r="N2431" s="4" t="s">
        <v>2276</v>
      </c>
      <c r="O2431" s="4" t="s">
        <v>2276</v>
      </c>
      <c r="P2431" s="4" t="s">
        <v>2276</v>
      </c>
      <c r="Q2431" s="4" t="s">
        <v>2276</v>
      </c>
      <c r="R2431" s="4" t="s">
        <v>2276</v>
      </c>
      <c r="S2431" s="4" t="s">
        <v>2390</v>
      </c>
      <c r="T2431" s="21" t="s">
        <v>2276</v>
      </c>
      <c r="U2431" s="21" t="s">
        <v>2276</v>
      </c>
      <c r="V2431" s="21" t="s">
        <v>2276</v>
      </c>
      <c r="W2431" s="4" t="s">
        <v>2375</v>
      </c>
      <c r="X2431" s="4" t="s">
        <v>2276</v>
      </c>
      <c r="Y2431" s="4" t="s">
        <v>2276</v>
      </c>
      <c r="Z2431" s="4" t="s">
        <v>64</v>
      </c>
      <c r="AA2431" s="4" t="s">
        <v>6450</v>
      </c>
      <c r="AB2431" s="4" t="s">
        <v>8397</v>
      </c>
    </row>
    <row r="2432" spans="1:28" ht="29">
      <c r="A2432" s="156" t="str">
        <f>'Reported burning'!A2432</f>
        <v>277ba</v>
      </c>
      <c r="B2432" s="156" t="str">
        <f>'Reported burning'!B2432</f>
        <v>277ba.2</v>
      </c>
      <c r="C2432" s="156" t="str">
        <f>'Reported burning'!C2432</f>
        <v>Human, deliberate</v>
      </c>
      <c r="D2432" s="156" t="str">
        <f>'Reported burning'!D2432</f>
        <v>Crop residue burning</v>
      </c>
      <c r="E2432" s="156" t="str">
        <f>'Reported burning'!E2432</f>
        <v>Cropping, Monoculture, Market-oriented</v>
      </c>
      <c r="F2432" s="156" t="str">
        <f>'Reported burning'!F2432</f>
        <v>Cropland</v>
      </c>
      <c r="G2432" s="156" t="str">
        <f>'Reported burning'!G2432</f>
        <v>ND</v>
      </c>
      <c r="H2432" s="156" t="str">
        <f>'Reported burning'!H2432</f>
        <v>Presence</v>
      </c>
      <c r="I2432" s="5"/>
      <c r="J2432" s="4" t="s">
        <v>2276</v>
      </c>
      <c r="K2432" s="4" t="s">
        <v>2276</v>
      </c>
      <c r="L2432" s="4" t="s">
        <v>2276</v>
      </c>
      <c r="M2432" s="4" t="s">
        <v>2276</v>
      </c>
      <c r="N2432" s="4" t="s">
        <v>2276</v>
      </c>
      <c r="O2432" s="4" t="s">
        <v>2276</v>
      </c>
      <c r="P2432" s="4" t="s">
        <v>2276</v>
      </c>
      <c r="Q2432" s="4" t="s">
        <v>2276</v>
      </c>
      <c r="R2432" s="4" t="s">
        <v>2276</v>
      </c>
      <c r="S2432" s="4" t="s">
        <v>2527</v>
      </c>
      <c r="T2432" s="21" t="s">
        <v>2276</v>
      </c>
      <c r="U2432" s="21" t="s">
        <v>2276</v>
      </c>
      <c r="V2432" s="21" t="s">
        <v>2276</v>
      </c>
      <c r="W2432" s="4" t="s">
        <v>2375</v>
      </c>
      <c r="X2432" s="4" t="s">
        <v>2276</v>
      </c>
      <c r="Y2432" s="4" t="s">
        <v>2276</v>
      </c>
      <c r="Z2432" s="4" t="s">
        <v>64</v>
      </c>
      <c r="AA2432" s="4" t="s">
        <v>6450</v>
      </c>
      <c r="AB2432" s="4" t="s">
        <v>8397</v>
      </c>
    </row>
    <row r="2433" spans="1:28" ht="29">
      <c r="A2433" s="156" t="str">
        <f>'Reported burning'!A2433</f>
        <v>277ba</v>
      </c>
      <c r="B2433" s="156" t="str">
        <f>'Reported burning'!B2433</f>
        <v>277ba.3</v>
      </c>
      <c r="C2433" s="156" t="str">
        <f>'Reported burning'!C2433</f>
        <v>Human, deliberate</v>
      </c>
      <c r="D2433" s="156" t="str">
        <f>'Reported burning'!D2433</f>
        <v>Crop residue burning</v>
      </c>
      <c r="E2433" s="156" t="str">
        <f>'Reported burning'!E2433</f>
        <v>Cropping, Monoculture, Market-oriented</v>
      </c>
      <c r="F2433" s="156" t="str">
        <f>'Reported burning'!F2433</f>
        <v>Cropland</v>
      </c>
      <c r="G2433" s="156" t="str">
        <f>'Reported burning'!G2433</f>
        <v>ND</v>
      </c>
      <c r="H2433" s="156" t="str">
        <f>'Reported burning'!H2433</f>
        <v>Absence</v>
      </c>
      <c r="I2433" s="5"/>
      <c r="J2433" s="4">
        <v>0</v>
      </c>
      <c r="K2433" s="4">
        <v>0</v>
      </c>
      <c r="L2433" s="4">
        <v>0</v>
      </c>
      <c r="M2433" s="4">
        <v>0</v>
      </c>
      <c r="N2433" s="4">
        <v>0</v>
      </c>
      <c r="O2433" s="4">
        <v>0</v>
      </c>
      <c r="P2433" s="4">
        <v>0</v>
      </c>
      <c r="Q2433" s="4">
        <v>0</v>
      </c>
      <c r="R2433" s="4">
        <v>0</v>
      </c>
      <c r="S2433" s="4">
        <v>0</v>
      </c>
      <c r="T2433" s="4">
        <v>0</v>
      </c>
      <c r="U2433" s="4">
        <v>0</v>
      </c>
      <c r="V2433" s="4">
        <v>0</v>
      </c>
      <c r="W2433" s="4" t="s">
        <v>2375</v>
      </c>
      <c r="X2433" s="4" t="s">
        <v>2276</v>
      </c>
      <c r="Y2433" s="4" t="s">
        <v>2276</v>
      </c>
      <c r="Z2433" s="4" t="s">
        <v>64</v>
      </c>
      <c r="AA2433" s="4" t="s">
        <v>6450</v>
      </c>
      <c r="AB2433" s="4" t="s">
        <v>8397</v>
      </c>
    </row>
    <row r="2434" spans="1:28" ht="29">
      <c r="A2434" s="156" t="str">
        <f>'Reported burning'!A2434</f>
        <v>277bb</v>
      </c>
      <c r="B2434" s="156" t="str">
        <f>'Reported burning'!B2434</f>
        <v>277bb.1</v>
      </c>
      <c r="C2434" s="156" t="str">
        <f>'Reported burning'!C2434</f>
        <v>Human, deliberate</v>
      </c>
      <c r="D2434" s="156" t="str">
        <f>'Reported burning'!D2434</f>
        <v>Crop residue burning</v>
      </c>
      <c r="E2434" s="156" t="str">
        <f>'Reported burning'!E2434</f>
        <v>Cropping, Monoculture, Market-oriented</v>
      </c>
      <c r="F2434" s="156" t="str">
        <f>'Reported burning'!F2434</f>
        <v>Cropland</v>
      </c>
      <c r="G2434" s="156" t="str">
        <f>'Reported burning'!G2434</f>
        <v>ND</v>
      </c>
      <c r="H2434" s="156" t="str">
        <f>'Reported burning'!H2434</f>
        <v>Presence</v>
      </c>
      <c r="I2434" s="5"/>
      <c r="J2434" s="4" t="s">
        <v>2276</v>
      </c>
      <c r="K2434" s="4" t="s">
        <v>2276</v>
      </c>
      <c r="L2434" s="4" t="s">
        <v>2276</v>
      </c>
      <c r="M2434" s="4" t="s">
        <v>2276</v>
      </c>
      <c r="N2434" s="4" t="s">
        <v>2276</v>
      </c>
      <c r="O2434" s="4" t="s">
        <v>2276</v>
      </c>
      <c r="P2434" s="4" t="s">
        <v>2276</v>
      </c>
      <c r="Q2434" s="4" t="s">
        <v>2276</v>
      </c>
      <c r="R2434" s="4" t="s">
        <v>2276</v>
      </c>
      <c r="S2434" s="4" t="s">
        <v>2390</v>
      </c>
      <c r="T2434" s="21" t="s">
        <v>2276</v>
      </c>
      <c r="U2434" s="21" t="s">
        <v>2276</v>
      </c>
      <c r="V2434" s="21" t="s">
        <v>2276</v>
      </c>
      <c r="W2434" s="4" t="s">
        <v>2375</v>
      </c>
      <c r="X2434" s="4" t="s">
        <v>2276</v>
      </c>
      <c r="Y2434" s="4" t="s">
        <v>2276</v>
      </c>
      <c r="Z2434" s="4" t="s">
        <v>64</v>
      </c>
      <c r="AA2434" s="4" t="s">
        <v>6450</v>
      </c>
      <c r="AB2434" s="4" t="s">
        <v>8397</v>
      </c>
    </row>
    <row r="2435" spans="1:28" ht="29">
      <c r="A2435" s="156" t="str">
        <f>'Reported burning'!A2435</f>
        <v>277bb</v>
      </c>
      <c r="B2435" s="156" t="str">
        <f>'Reported burning'!B2435</f>
        <v>277bb.2</v>
      </c>
      <c r="C2435" s="156" t="str">
        <f>'Reported burning'!C2435</f>
        <v>Human, deliberate</v>
      </c>
      <c r="D2435" s="156" t="str">
        <f>'Reported burning'!D2435</f>
        <v>Crop residue burning</v>
      </c>
      <c r="E2435" s="156" t="str">
        <f>'Reported burning'!E2435</f>
        <v>Cropping, Monoculture, Market-oriented</v>
      </c>
      <c r="F2435" s="156" t="str">
        <f>'Reported burning'!F2435</f>
        <v>Cropland</v>
      </c>
      <c r="G2435" s="156" t="str">
        <f>'Reported burning'!G2435</f>
        <v>ND</v>
      </c>
      <c r="H2435" s="156" t="str">
        <f>'Reported burning'!H2435</f>
        <v>Presence</v>
      </c>
      <c r="I2435" s="5"/>
      <c r="J2435" s="4" t="s">
        <v>2276</v>
      </c>
      <c r="K2435" s="4" t="s">
        <v>2276</v>
      </c>
      <c r="L2435" s="4" t="s">
        <v>2276</v>
      </c>
      <c r="M2435" s="4" t="s">
        <v>2276</v>
      </c>
      <c r="N2435" s="4" t="s">
        <v>2276</v>
      </c>
      <c r="O2435" s="4" t="s">
        <v>2276</v>
      </c>
      <c r="P2435" s="4" t="s">
        <v>2276</v>
      </c>
      <c r="Q2435" s="4" t="s">
        <v>2276</v>
      </c>
      <c r="R2435" s="4" t="s">
        <v>2276</v>
      </c>
      <c r="S2435" s="4" t="s">
        <v>2527</v>
      </c>
      <c r="T2435" s="21" t="s">
        <v>2276</v>
      </c>
      <c r="U2435" s="21" t="s">
        <v>2276</v>
      </c>
      <c r="V2435" s="21" t="s">
        <v>2276</v>
      </c>
      <c r="W2435" s="4" t="s">
        <v>2375</v>
      </c>
      <c r="X2435" s="4" t="s">
        <v>2276</v>
      </c>
      <c r="Y2435" s="4" t="s">
        <v>2276</v>
      </c>
      <c r="Z2435" s="4" t="s">
        <v>64</v>
      </c>
      <c r="AA2435" s="4" t="s">
        <v>6450</v>
      </c>
      <c r="AB2435" s="4" t="s">
        <v>8397</v>
      </c>
    </row>
    <row r="2436" spans="1:28" ht="29">
      <c r="A2436" s="156" t="str">
        <f>'Reported burning'!A2436</f>
        <v>277bb</v>
      </c>
      <c r="B2436" s="156" t="str">
        <f>'Reported burning'!B2436</f>
        <v>277bb.3</v>
      </c>
      <c r="C2436" s="156" t="str">
        <f>'Reported burning'!C2436</f>
        <v>Human, deliberate</v>
      </c>
      <c r="D2436" s="156" t="str">
        <f>'Reported burning'!D2436</f>
        <v>Crop residue burning</v>
      </c>
      <c r="E2436" s="156" t="str">
        <f>'Reported burning'!E2436</f>
        <v>Cropping, Monoculture, Market-oriented</v>
      </c>
      <c r="F2436" s="156" t="str">
        <f>'Reported burning'!F2436</f>
        <v>Cropland</v>
      </c>
      <c r="G2436" s="156" t="str">
        <f>'Reported burning'!G2436</f>
        <v>ND</v>
      </c>
      <c r="H2436" s="156" t="str">
        <f>'Reported burning'!H2436</f>
        <v>Absence</v>
      </c>
      <c r="I2436" s="5"/>
      <c r="J2436" s="4">
        <v>0</v>
      </c>
      <c r="K2436" s="4">
        <v>0</v>
      </c>
      <c r="L2436" s="4">
        <v>0</v>
      </c>
      <c r="M2436" s="4">
        <v>0</v>
      </c>
      <c r="N2436" s="4">
        <v>0</v>
      </c>
      <c r="O2436" s="4">
        <v>0</v>
      </c>
      <c r="P2436" s="4">
        <v>0</v>
      </c>
      <c r="Q2436" s="4">
        <v>0</v>
      </c>
      <c r="R2436" s="4">
        <v>0</v>
      </c>
      <c r="S2436" s="4">
        <v>0</v>
      </c>
      <c r="T2436" s="4">
        <v>0</v>
      </c>
      <c r="U2436" s="4">
        <v>0</v>
      </c>
      <c r="V2436" s="4">
        <v>0</v>
      </c>
      <c r="W2436" s="4" t="s">
        <v>2375</v>
      </c>
      <c r="X2436" s="4" t="s">
        <v>2276</v>
      </c>
      <c r="Y2436" s="4" t="s">
        <v>2276</v>
      </c>
      <c r="Z2436" s="4" t="s">
        <v>64</v>
      </c>
      <c r="AA2436" s="4" t="s">
        <v>6450</v>
      </c>
      <c r="AB2436" s="4" t="s">
        <v>8397</v>
      </c>
    </row>
    <row r="2437" spans="1:28" ht="29">
      <c r="A2437" s="156" t="str">
        <f>'Reported burning'!A2437</f>
        <v>277ca</v>
      </c>
      <c r="B2437" s="156" t="str">
        <f>'Reported burning'!B2437</f>
        <v>277ca.1</v>
      </c>
      <c r="C2437" s="156" t="str">
        <f>'Reported burning'!C2437</f>
        <v>Human, deliberate</v>
      </c>
      <c r="D2437" s="156" t="str">
        <f>'Reported burning'!D2437</f>
        <v>Crop residue burning</v>
      </c>
      <c r="E2437" s="156" t="str">
        <f>'Reported burning'!E2437</f>
        <v>Cropping, Monoculture, Market-oriented</v>
      </c>
      <c r="F2437" s="156" t="str">
        <f>'Reported burning'!F2437</f>
        <v>Cropland</v>
      </c>
      <c r="G2437" s="156" t="str">
        <f>'Reported burning'!G2437</f>
        <v>ND</v>
      </c>
      <c r="H2437" s="156" t="str">
        <f>'Reported burning'!H2437</f>
        <v>Presence</v>
      </c>
      <c r="I2437" s="5"/>
      <c r="J2437" s="4" t="s">
        <v>2276</v>
      </c>
      <c r="K2437" s="4" t="s">
        <v>2276</v>
      </c>
      <c r="L2437" s="4" t="s">
        <v>2276</v>
      </c>
      <c r="M2437" s="4" t="s">
        <v>2276</v>
      </c>
      <c r="N2437" s="4" t="s">
        <v>2276</v>
      </c>
      <c r="O2437" s="4" t="s">
        <v>2276</v>
      </c>
      <c r="P2437" s="4" t="s">
        <v>2276</v>
      </c>
      <c r="Q2437" s="4" t="s">
        <v>2276</v>
      </c>
      <c r="R2437" s="4" t="s">
        <v>2276</v>
      </c>
      <c r="S2437" s="4" t="s">
        <v>2391</v>
      </c>
      <c r="T2437" s="21" t="s">
        <v>2276</v>
      </c>
      <c r="U2437" s="21" t="s">
        <v>2276</v>
      </c>
      <c r="V2437" s="21" t="s">
        <v>2276</v>
      </c>
      <c r="W2437" s="4" t="s">
        <v>2375</v>
      </c>
      <c r="X2437" s="4" t="s">
        <v>2276</v>
      </c>
      <c r="Y2437" s="4" t="s">
        <v>2276</v>
      </c>
      <c r="Z2437" s="4" t="s">
        <v>64</v>
      </c>
      <c r="AA2437" s="4" t="s">
        <v>6450</v>
      </c>
      <c r="AB2437" s="4" t="s">
        <v>8397</v>
      </c>
    </row>
    <row r="2438" spans="1:28" ht="29">
      <c r="A2438" s="156" t="str">
        <f>'Reported burning'!A2438</f>
        <v>277ca</v>
      </c>
      <c r="B2438" s="156" t="str">
        <f>'Reported burning'!B2438</f>
        <v>277ca.2</v>
      </c>
      <c r="C2438" s="156" t="str">
        <f>'Reported burning'!C2438</f>
        <v>Human, deliberate</v>
      </c>
      <c r="D2438" s="156" t="str">
        <f>'Reported burning'!D2438</f>
        <v>Crop residue burning</v>
      </c>
      <c r="E2438" s="156" t="str">
        <f>'Reported burning'!E2438</f>
        <v>Cropping, Monoculture, Market-oriented</v>
      </c>
      <c r="F2438" s="156" t="str">
        <f>'Reported burning'!F2438</f>
        <v>Cropland</v>
      </c>
      <c r="G2438" s="156" t="str">
        <f>'Reported burning'!G2438</f>
        <v>ND</v>
      </c>
      <c r="H2438" s="156" t="str">
        <f>'Reported burning'!H2438</f>
        <v>Presence</v>
      </c>
      <c r="I2438" s="5"/>
      <c r="J2438" s="4" t="s">
        <v>2276</v>
      </c>
      <c r="K2438" s="4" t="s">
        <v>2276</v>
      </c>
      <c r="L2438" s="4" t="s">
        <v>2276</v>
      </c>
      <c r="M2438" s="4" t="s">
        <v>2276</v>
      </c>
      <c r="N2438" s="4" t="s">
        <v>2276</v>
      </c>
      <c r="O2438" s="4" t="s">
        <v>2276</v>
      </c>
      <c r="P2438" s="4" t="s">
        <v>2276</v>
      </c>
      <c r="Q2438" s="4" t="s">
        <v>2276</v>
      </c>
      <c r="R2438" s="4" t="s">
        <v>2276</v>
      </c>
      <c r="S2438" s="4" t="s">
        <v>2376</v>
      </c>
      <c r="T2438" s="21" t="s">
        <v>2276</v>
      </c>
      <c r="U2438" s="21" t="s">
        <v>2276</v>
      </c>
      <c r="V2438" s="21" t="s">
        <v>2276</v>
      </c>
      <c r="W2438" s="4" t="s">
        <v>2375</v>
      </c>
      <c r="X2438" s="4" t="s">
        <v>2276</v>
      </c>
      <c r="Y2438" s="4" t="s">
        <v>2276</v>
      </c>
      <c r="Z2438" s="4" t="s">
        <v>64</v>
      </c>
      <c r="AA2438" s="4" t="s">
        <v>6450</v>
      </c>
      <c r="AB2438" s="4" t="s">
        <v>8397</v>
      </c>
    </row>
    <row r="2439" spans="1:28" ht="29">
      <c r="A2439" s="156" t="str">
        <f>'Reported burning'!A2439</f>
        <v>277ca</v>
      </c>
      <c r="B2439" s="156" t="str">
        <f>'Reported burning'!B2439</f>
        <v>277ca.3</v>
      </c>
      <c r="C2439" s="156" t="str">
        <f>'Reported burning'!C2439</f>
        <v>Human, deliberate</v>
      </c>
      <c r="D2439" s="156" t="str">
        <f>'Reported burning'!D2439</f>
        <v>Crop residue burning</v>
      </c>
      <c r="E2439" s="156" t="str">
        <f>'Reported burning'!E2439</f>
        <v>Cropping, Monoculture, Market-oriented</v>
      </c>
      <c r="F2439" s="156" t="str">
        <f>'Reported burning'!F2439</f>
        <v>Cropland</v>
      </c>
      <c r="G2439" s="156" t="str">
        <f>'Reported burning'!G2439</f>
        <v>ND</v>
      </c>
      <c r="H2439" s="156" t="str">
        <f>'Reported burning'!H2439</f>
        <v>Absence</v>
      </c>
      <c r="I2439" s="5"/>
      <c r="J2439" s="4">
        <v>0</v>
      </c>
      <c r="K2439" s="4">
        <v>0</v>
      </c>
      <c r="L2439" s="4">
        <v>0</v>
      </c>
      <c r="M2439" s="4">
        <v>0</v>
      </c>
      <c r="N2439" s="4">
        <v>0</v>
      </c>
      <c r="O2439" s="4">
        <v>0</v>
      </c>
      <c r="P2439" s="4">
        <v>0</v>
      </c>
      <c r="Q2439" s="4">
        <v>0</v>
      </c>
      <c r="R2439" s="4">
        <v>0</v>
      </c>
      <c r="S2439" s="4">
        <v>0</v>
      </c>
      <c r="T2439" s="4">
        <v>0</v>
      </c>
      <c r="U2439" s="4">
        <v>0</v>
      </c>
      <c r="V2439" s="4">
        <v>0</v>
      </c>
      <c r="W2439" s="4" t="s">
        <v>2375</v>
      </c>
      <c r="X2439" s="4" t="s">
        <v>2276</v>
      </c>
      <c r="Y2439" s="4" t="s">
        <v>2276</v>
      </c>
      <c r="Z2439" s="4" t="s">
        <v>64</v>
      </c>
      <c r="AA2439" s="4" t="s">
        <v>6450</v>
      </c>
      <c r="AB2439" s="4" t="s">
        <v>8397</v>
      </c>
    </row>
    <row r="2440" spans="1:28" ht="29">
      <c r="A2440" s="156" t="str">
        <f>'Reported burning'!A2440</f>
        <v>277cb</v>
      </c>
      <c r="B2440" s="156" t="str">
        <f>'Reported burning'!B2440</f>
        <v>277cb.1</v>
      </c>
      <c r="C2440" s="156" t="str">
        <f>'Reported burning'!C2440</f>
        <v>Human, deliberate</v>
      </c>
      <c r="D2440" s="156" t="str">
        <f>'Reported burning'!D2440</f>
        <v>Crop residue burning</v>
      </c>
      <c r="E2440" s="156" t="str">
        <f>'Reported burning'!E2440</f>
        <v>Cropping, Monoculture, Market-oriented</v>
      </c>
      <c r="F2440" s="156" t="str">
        <f>'Reported burning'!F2440</f>
        <v>Cropland</v>
      </c>
      <c r="G2440" s="156" t="str">
        <f>'Reported burning'!G2440</f>
        <v>ND</v>
      </c>
      <c r="H2440" s="156" t="str">
        <f>'Reported burning'!H2440</f>
        <v>Presence</v>
      </c>
      <c r="I2440" s="5"/>
      <c r="J2440" s="4" t="s">
        <v>2276</v>
      </c>
      <c r="K2440" s="4" t="s">
        <v>2276</v>
      </c>
      <c r="L2440" s="4" t="s">
        <v>2276</v>
      </c>
      <c r="M2440" s="4" t="s">
        <v>2276</v>
      </c>
      <c r="N2440" s="4" t="s">
        <v>2276</v>
      </c>
      <c r="O2440" s="4" t="s">
        <v>2276</v>
      </c>
      <c r="P2440" s="4" t="s">
        <v>2276</v>
      </c>
      <c r="Q2440" s="4" t="s">
        <v>2276</v>
      </c>
      <c r="R2440" s="4" t="s">
        <v>2276</v>
      </c>
      <c r="S2440" s="4" t="s">
        <v>2391</v>
      </c>
      <c r="T2440" s="21" t="s">
        <v>2276</v>
      </c>
      <c r="U2440" s="21" t="s">
        <v>2276</v>
      </c>
      <c r="V2440" s="21" t="s">
        <v>2276</v>
      </c>
      <c r="W2440" s="4" t="s">
        <v>2375</v>
      </c>
      <c r="X2440" s="4" t="s">
        <v>2276</v>
      </c>
      <c r="Y2440" s="4" t="s">
        <v>2276</v>
      </c>
      <c r="Z2440" s="4" t="s">
        <v>64</v>
      </c>
      <c r="AA2440" s="4" t="s">
        <v>6450</v>
      </c>
      <c r="AB2440" s="4" t="s">
        <v>8397</v>
      </c>
    </row>
    <row r="2441" spans="1:28" ht="29">
      <c r="A2441" s="156" t="str">
        <f>'Reported burning'!A2441</f>
        <v>277cb</v>
      </c>
      <c r="B2441" s="156" t="str">
        <f>'Reported burning'!B2441</f>
        <v>277cb.2</v>
      </c>
      <c r="C2441" s="156" t="str">
        <f>'Reported burning'!C2441</f>
        <v>Human, deliberate</v>
      </c>
      <c r="D2441" s="156" t="str">
        <f>'Reported burning'!D2441</f>
        <v>Crop residue burning</v>
      </c>
      <c r="E2441" s="156" t="str">
        <f>'Reported burning'!E2441</f>
        <v>Cropping, Monoculture, Market-oriented</v>
      </c>
      <c r="F2441" s="156" t="str">
        <f>'Reported burning'!F2441</f>
        <v>Cropland</v>
      </c>
      <c r="G2441" s="156" t="str">
        <f>'Reported burning'!G2441</f>
        <v>ND</v>
      </c>
      <c r="H2441" s="156" t="str">
        <f>'Reported burning'!H2441</f>
        <v>Presence</v>
      </c>
      <c r="I2441" s="5"/>
      <c r="J2441" s="4" t="s">
        <v>2276</v>
      </c>
      <c r="K2441" s="4" t="s">
        <v>2276</v>
      </c>
      <c r="L2441" s="4" t="s">
        <v>2276</v>
      </c>
      <c r="M2441" s="4" t="s">
        <v>2276</v>
      </c>
      <c r="N2441" s="4" t="s">
        <v>2276</v>
      </c>
      <c r="O2441" s="4" t="s">
        <v>2276</v>
      </c>
      <c r="P2441" s="4" t="s">
        <v>2276</v>
      </c>
      <c r="Q2441" s="4" t="s">
        <v>2276</v>
      </c>
      <c r="R2441" s="4" t="s">
        <v>2276</v>
      </c>
      <c r="S2441" s="4" t="s">
        <v>2376</v>
      </c>
      <c r="T2441" s="21" t="s">
        <v>2276</v>
      </c>
      <c r="U2441" s="21" t="s">
        <v>2276</v>
      </c>
      <c r="V2441" s="21" t="s">
        <v>2276</v>
      </c>
      <c r="W2441" s="4" t="s">
        <v>2375</v>
      </c>
      <c r="X2441" s="4" t="s">
        <v>2276</v>
      </c>
      <c r="Y2441" s="4" t="s">
        <v>2276</v>
      </c>
      <c r="Z2441" s="4" t="s">
        <v>64</v>
      </c>
      <c r="AA2441" s="4" t="s">
        <v>6450</v>
      </c>
      <c r="AB2441" s="4" t="s">
        <v>8397</v>
      </c>
    </row>
    <row r="2442" spans="1:28" ht="29">
      <c r="A2442" s="156" t="str">
        <f>'Reported burning'!A2442</f>
        <v>277cb</v>
      </c>
      <c r="B2442" s="156" t="str">
        <f>'Reported burning'!B2442</f>
        <v>277cb.3</v>
      </c>
      <c r="C2442" s="156" t="str">
        <f>'Reported burning'!C2442</f>
        <v>Human, deliberate</v>
      </c>
      <c r="D2442" s="156" t="str">
        <f>'Reported burning'!D2442</f>
        <v>Crop residue burning</v>
      </c>
      <c r="E2442" s="156" t="str">
        <f>'Reported burning'!E2442</f>
        <v>Cropping, Monoculture, Market-oriented</v>
      </c>
      <c r="F2442" s="156" t="str">
        <f>'Reported burning'!F2442</f>
        <v>Cropland</v>
      </c>
      <c r="G2442" s="156" t="str">
        <f>'Reported burning'!G2442</f>
        <v>ND</v>
      </c>
      <c r="H2442" s="156" t="str">
        <f>'Reported burning'!H2442</f>
        <v>Absence</v>
      </c>
      <c r="I2442" s="5"/>
      <c r="J2442" s="4">
        <v>0</v>
      </c>
      <c r="K2442" s="4">
        <v>0</v>
      </c>
      <c r="L2442" s="4">
        <v>0</v>
      </c>
      <c r="M2442" s="4">
        <v>0</v>
      </c>
      <c r="N2442" s="4">
        <v>0</v>
      </c>
      <c r="O2442" s="4">
        <v>0</v>
      </c>
      <c r="P2442" s="4">
        <v>0</v>
      </c>
      <c r="Q2442" s="4">
        <v>0</v>
      </c>
      <c r="R2442" s="4">
        <v>0</v>
      </c>
      <c r="S2442" s="4">
        <v>0</v>
      </c>
      <c r="T2442" s="4">
        <v>0</v>
      </c>
      <c r="U2442" s="4">
        <v>0</v>
      </c>
      <c r="V2442" s="4">
        <v>0</v>
      </c>
      <c r="W2442" s="4" t="s">
        <v>2375</v>
      </c>
      <c r="X2442" s="4" t="s">
        <v>2276</v>
      </c>
      <c r="Y2442" s="4" t="s">
        <v>2276</v>
      </c>
      <c r="Z2442" s="4" t="s">
        <v>64</v>
      </c>
      <c r="AA2442" s="4" t="s">
        <v>6450</v>
      </c>
      <c r="AB2442" s="4" t="s">
        <v>8397</v>
      </c>
    </row>
    <row r="2443" spans="1:28" ht="29">
      <c r="A2443" s="156" t="str">
        <f>'Reported burning'!A2443</f>
        <v>278a</v>
      </c>
      <c r="B2443" s="156" t="str">
        <f>'Reported burning'!B2443</f>
        <v>278a.1</v>
      </c>
      <c r="C2443" s="156" t="str">
        <f>'Reported burning'!C2443</f>
        <v>Human, deliberate</v>
      </c>
      <c r="D2443" s="156" t="str">
        <f>'Reported burning'!D2443</f>
        <v>Crop residue burning</v>
      </c>
      <c r="E2443" s="156" t="str">
        <f>'Reported burning'!E2443</f>
        <v>Mixed cropping-livestock small holder, Market-oriented</v>
      </c>
      <c r="F2443" s="156" t="str">
        <f>'Reported burning'!F2443</f>
        <v>Cropland</v>
      </c>
      <c r="G2443" s="156" t="str">
        <f>'Reported burning'!G2443</f>
        <v>ND</v>
      </c>
      <c r="H2443" s="156" t="str">
        <f>'Reported burning'!H2443</f>
        <v>Presence</v>
      </c>
      <c r="I2443" s="5"/>
      <c r="J2443" s="4" t="s">
        <v>2276</v>
      </c>
      <c r="K2443" s="4" t="s">
        <v>2276</v>
      </c>
      <c r="L2443" s="4" t="s">
        <v>2276</v>
      </c>
      <c r="M2443" s="4" t="s">
        <v>2276</v>
      </c>
      <c r="N2443" s="4" t="s">
        <v>2276</v>
      </c>
      <c r="O2443" s="4" t="s">
        <v>2373</v>
      </c>
      <c r="P2443" s="4" t="s">
        <v>2276</v>
      </c>
      <c r="Q2443" s="4" t="s">
        <v>2276</v>
      </c>
      <c r="R2443" s="4" t="s">
        <v>2276</v>
      </c>
      <c r="S2443" s="21" t="s">
        <v>2392</v>
      </c>
      <c r="T2443" s="21" t="s">
        <v>2276</v>
      </c>
      <c r="U2443" s="21" t="s">
        <v>2276</v>
      </c>
      <c r="V2443" s="21" t="s">
        <v>2276</v>
      </c>
      <c r="W2443" s="4" t="s">
        <v>2375</v>
      </c>
      <c r="X2443" s="4" t="s">
        <v>2276</v>
      </c>
      <c r="Y2443" s="4" t="s">
        <v>2276</v>
      </c>
      <c r="Z2443" s="4" t="s">
        <v>64</v>
      </c>
      <c r="AA2443" s="4"/>
      <c r="AB2443" s="4"/>
    </row>
    <row r="2444" spans="1:28" ht="29">
      <c r="A2444" s="156" t="str">
        <f>'Reported burning'!A2444</f>
        <v>278b</v>
      </c>
      <c r="B2444" s="156" t="str">
        <f>'Reported burning'!B2444</f>
        <v>278b.1</v>
      </c>
      <c r="C2444" s="156" t="str">
        <f>'Reported burning'!C2444</f>
        <v>Human, deliberate</v>
      </c>
      <c r="D2444" s="156" t="str">
        <f>'Reported burning'!D2444</f>
        <v>Crop residue burning</v>
      </c>
      <c r="E2444" s="156" t="str">
        <f>'Reported burning'!E2444</f>
        <v>Mixed cropping-livestock small holder, Market-oriented</v>
      </c>
      <c r="F2444" s="156" t="str">
        <f>'Reported burning'!F2444</f>
        <v>Cropland</v>
      </c>
      <c r="G2444" s="156" t="str">
        <f>'Reported burning'!G2444</f>
        <v>ND</v>
      </c>
      <c r="H2444" s="156" t="str">
        <f>'Reported burning'!H2444</f>
        <v>Presence</v>
      </c>
      <c r="I2444" s="5"/>
      <c r="J2444" s="4" t="s">
        <v>2276</v>
      </c>
      <c r="K2444" s="4" t="s">
        <v>2276</v>
      </c>
      <c r="L2444" s="4" t="s">
        <v>2276</v>
      </c>
      <c r="M2444" s="4" t="s">
        <v>2276</v>
      </c>
      <c r="N2444" s="4" t="s">
        <v>2276</v>
      </c>
      <c r="O2444" s="4" t="s">
        <v>2373</v>
      </c>
      <c r="P2444" s="4" t="s">
        <v>2276</v>
      </c>
      <c r="Q2444" s="4" t="s">
        <v>2276</v>
      </c>
      <c r="R2444" s="4" t="s">
        <v>2276</v>
      </c>
      <c r="S2444" s="21" t="s">
        <v>2392</v>
      </c>
      <c r="T2444" s="21" t="s">
        <v>2276</v>
      </c>
      <c r="U2444" s="21" t="s">
        <v>2276</v>
      </c>
      <c r="V2444" s="21" t="s">
        <v>2276</v>
      </c>
      <c r="W2444" s="4" t="s">
        <v>2375</v>
      </c>
      <c r="X2444" s="4" t="s">
        <v>2276</v>
      </c>
      <c r="Y2444" s="4" t="s">
        <v>2276</v>
      </c>
      <c r="Z2444" s="4" t="s">
        <v>64</v>
      </c>
      <c r="AA2444" s="4"/>
      <c r="AB2444" s="4"/>
    </row>
    <row r="2445" spans="1:28" ht="29">
      <c r="A2445" s="156" t="str">
        <f>'Reported burning'!A2445</f>
        <v>279a</v>
      </c>
      <c r="B2445" s="156" t="str">
        <f>'Reported burning'!B2445</f>
        <v>279a.1</v>
      </c>
      <c r="C2445" s="156" t="str">
        <f>'Reported burning'!C2445</f>
        <v>Human, deliberate</v>
      </c>
      <c r="D2445" s="156" t="str">
        <f>'Reported burning'!D2445</f>
        <v>Crop residue burning</v>
      </c>
      <c r="E2445" s="156" t="str">
        <f>'Reported burning'!E2445</f>
        <v>Mixed cropping-livestock small holder, Subsistence-oriented</v>
      </c>
      <c r="F2445" s="156" t="str">
        <f>'Reported burning'!F2445</f>
        <v>Cropland</v>
      </c>
      <c r="G2445" s="156" t="str">
        <f>'Reported burning'!G2445</f>
        <v>ND</v>
      </c>
      <c r="H2445" s="156" t="str">
        <f>'Reported burning'!H2445</f>
        <v>Presence</v>
      </c>
      <c r="I2445" s="5"/>
      <c r="J2445" s="4" t="s">
        <v>2276</v>
      </c>
      <c r="K2445" s="4" t="s">
        <v>2276</v>
      </c>
      <c r="L2445" s="4" t="s">
        <v>2276</v>
      </c>
      <c r="M2445" s="4" t="s">
        <v>2276</v>
      </c>
      <c r="N2445" s="4" t="s">
        <v>2276</v>
      </c>
      <c r="O2445" s="21" t="s">
        <v>2276</v>
      </c>
      <c r="P2445" s="21" t="s">
        <v>2276</v>
      </c>
      <c r="Q2445" s="21" t="s">
        <v>2276</v>
      </c>
      <c r="R2445" s="21" t="s">
        <v>2276</v>
      </c>
      <c r="S2445" s="4" t="s">
        <v>2374</v>
      </c>
      <c r="T2445" s="21" t="s">
        <v>2276</v>
      </c>
      <c r="U2445" s="21" t="s">
        <v>2276</v>
      </c>
      <c r="V2445" s="21" t="s">
        <v>2276</v>
      </c>
      <c r="W2445" s="4" t="s">
        <v>2375</v>
      </c>
      <c r="X2445" s="4" t="s">
        <v>405</v>
      </c>
      <c r="Y2445" s="4" t="s">
        <v>86</v>
      </c>
      <c r="Z2445" s="4" t="s">
        <v>64</v>
      </c>
      <c r="AA2445" s="4" t="s">
        <v>6451</v>
      </c>
      <c r="AB2445" s="4"/>
    </row>
    <row r="2446" spans="1:28" ht="29">
      <c r="A2446" s="156" t="str">
        <f>'Reported burning'!A2446</f>
        <v>279a</v>
      </c>
      <c r="B2446" s="156" t="str">
        <f>'Reported burning'!B2446</f>
        <v>279a.2</v>
      </c>
      <c r="C2446" s="156" t="str">
        <f>'Reported burning'!C2446</f>
        <v>Human, deliberate</v>
      </c>
      <c r="D2446" s="156" t="str">
        <f>'Reported burning'!D2446</f>
        <v>Crop residue burning</v>
      </c>
      <c r="E2446" s="156" t="str">
        <f>'Reported burning'!E2446</f>
        <v>Mixed cropping-livestock small holder, Subsistence-oriented</v>
      </c>
      <c r="F2446" s="156" t="str">
        <f>'Reported burning'!F2446</f>
        <v>Cropland</v>
      </c>
      <c r="G2446" s="156" t="str">
        <f>'Reported burning'!G2446</f>
        <v>ND</v>
      </c>
      <c r="H2446" s="156" t="str">
        <f>'Reported burning'!H2446</f>
        <v>Presence</v>
      </c>
      <c r="I2446" s="5"/>
      <c r="J2446" s="4" t="s">
        <v>2276</v>
      </c>
      <c r="K2446" s="4" t="s">
        <v>2276</v>
      </c>
      <c r="L2446" s="4" t="s">
        <v>2276</v>
      </c>
      <c r="M2446" s="4" t="s">
        <v>2276</v>
      </c>
      <c r="N2446" s="4" t="s">
        <v>2276</v>
      </c>
      <c r="O2446" s="21" t="s">
        <v>2276</v>
      </c>
      <c r="P2446" s="21" t="s">
        <v>2276</v>
      </c>
      <c r="Q2446" s="21" t="s">
        <v>2276</v>
      </c>
      <c r="R2446" s="21" t="s">
        <v>2276</v>
      </c>
      <c r="S2446" s="4" t="s">
        <v>2527</v>
      </c>
      <c r="T2446" s="21" t="s">
        <v>2276</v>
      </c>
      <c r="U2446" s="21" t="s">
        <v>2276</v>
      </c>
      <c r="V2446" s="21" t="s">
        <v>2276</v>
      </c>
      <c r="W2446" s="4" t="s">
        <v>2375</v>
      </c>
      <c r="X2446" s="4" t="s">
        <v>405</v>
      </c>
      <c r="Y2446" s="4" t="s">
        <v>86</v>
      </c>
      <c r="Z2446" s="4" t="s">
        <v>64</v>
      </c>
      <c r="AA2446" s="4" t="s">
        <v>6452</v>
      </c>
      <c r="AB2446" s="4"/>
    </row>
    <row r="2447" spans="1:28" ht="29">
      <c r="A2447" s="156" t="str">
        <f>'Reported burning'!A2447</f>
        <v>279b</v>
      </c>
      <c r="B2447" s="156" t="str">
        <f>'Reported burning'!B2447</f>
        <v>279b.1</v>
      </c>
      <c r="C2447" s="156" t="str">
        <f>'Reported burning'!C2447</f>
        <v>Human, deliberate</v>
      </c>
      <c r="D2447" s="156" t="str">
        <f>'Reported burning'!D2447</f>
        <v>Crop residue burning</v>
      </c>
      <c r="E2447" s="156" t="str">
        <f>'Reported burning'!E2447</f>
        <v>Mixed cropping-livestock small holder, Subsistence-oriented</v>
      </c>
      <c r="F2447" s="156" t="str">
        <f>'Reported burning'!F2447</f>
        <v>Cropland</v>
      </c>
      <c r="G2447" s="156" t="str">
        <f>'Reported burning'!G2447</f>
        <v>ND</v>
      </c>
      <c r="H2447" s="156" t="str">
        <f>'Reported burning'!H2447</f>
        <v>Absence</v>
      </c>
      <c r="I2447" s="5"/>
      <c r="J2447" s="75">
        <v>0</v>
      </c>
      <c r="K2447" s="75">
        <v>0</v>
      </c>
      <c r="L2447" s="75">
        <v>0</v>
      </c>
      <c r="M2447" s="75">
        <v>0</v>
      </c>
      <c r="N2447" s="75">
        <v>0</v>
      </c>
      <c r="O2447" s="75">
        <v>0</v>
      </c>
      <c r="P2447" s="75">
        <v>0</v>
      </c>
      <c r="Q2447" s="75">
        <v>0</v>
      </c>
      <c r="R2447" s="75">
        <v>0</v>
      </c>
      <c r="S2447" s="75">
        <v>0</v>
      </c>
      <c r="T2447" s="75">
        <v>0</v>
      </c>
      <c r="U2447" s="75">
        <v>0</v>
      </c>
      <c r="V2447" s="75">
        <v>0</v>
      </c>
      <c r="W2447" s="4" t="s">
        <v>2276</v>
      </c>
      <c r="X2447" s="4" t="s">
        <v>2276</v>
      </c>
      <c r="Y2447" s="4" t="s">
        <v>2276</v>
      </c>
      <c r="Z2447" s="4" t="s">
        <v>2276</v>
      </c>
      <c r="AA2447" s="4" t="s">
        <v>6453</v>
      </c>
      <c r="AB2447" s="4"/>
    </row>
    <row r="2448" spans="1:28" ht="29">
      <c r="A2448" s="156" t="str">
        <f>'Reported burning'!A2448</f>
        <v>279b</v>
      </c>
      <c r="B2448" s="156" t="str">
        <f>'Reported burning'!B2448</f>
        <v>279b.2</v>
      </c>
      <c r="C2448" s="156" t="str">
        <f>'Reported burning'!C2448</f>
        <v>Human, deliberate</v>
      </c>
      <c r="D2448" s="156" t="str">
        <f>'Reported burning'!D2448</f>
        <v>Crop residue burning</v>
      </c>
      <c r="E2448" s="156" t="str">
        <f>'Reported burning'!E2448</f>
        <v>Cropping, Monoculture, Subsistence-oriented</v>
      </c>
      <c r="F2448" s="156" t="str">
        <f>'Reported burning'!F2448</f>
        <v>Cropland</v>
      </c>
      <c r="G2448" s="156" t="str">
        <f>'Reported burning'!G2448</f>
        <v>ND</v>
      </c>
      <c r="H2448" s="156" t="str">
        <f>'Reported burning'!H2448</f>
        <v>Presence</v>
      </c>
      <c r="I2448" s="5"/>
      <c r="J2448" s="21" t="s">
        <v>2276</v>
      </c>
      <c r="K2448" s="21" t="s">
        <v>2276</v>
      </c>
      <c r="L2448" s="21" t="s">
        <v>2276</v>
      </c>
      <c r="M2448" s="21" t="s">
        <v>2276</v>
      </c>
      <c r="N2448" s="21" t="s">
        <v>2276</v>
      </c>
      <c r="O2448" s="21" t="s">
        <v>2276</v>
      </c>
      <c r="P2448" s="21" t="s">
        <v>2276</v>
      </c>
      <c r="Q2448" s="21" t="s">
        <v>2276</v>
      </c>
      <c r="R2448" s="21" t="s">
        <v>2276</v>
      </c>
      <c r="S2448" s="4" t="s">
        <v>2390</v>
      </c>
      <c r="T2448" s="21" t="s">
        <v>2276</v>
      </c>
      <c r="U2448" s="21" t="s">
        <v>2276</v>
      </c>
      <c r="V2448" s="21" t="s">
        <v>2276</v>
      </c>
      <c r="W2448" s="4" t="s">
        <v>2375</v>
      </c>
      <c r="X2448" s="4" t="s">
        <v>405</v>
      </c>
      <c r="Y2448" s="4" t="s">
        <v>86</v>
      </c>
      <c r="Z2448" s="4" t="s">
        <v>64</v>
      </c>
      <c r="AA2448" s="4" t="s">
        <v>6453</v>
      </c>
      <c r="AB2448" s="4"/>
    </row>
    <row r="2449" spans="1:28" ht="29">
      <c r="A2449" s="156" t="str">
        <f>'Reported burning'!A2449</f>
        <v>279c</v>
      </c>
      <c r="B2449" s="156" t="str">
        <f>'Reported burning'!B2449</f>
        <v>279c.1</v>
      </c>
      <c r="C2449" s="156" t="str">
        <f>'Reported burning'!C2449</f>
        <v>Human, deliberate</v>
      </c>
      <c r="D2449" s="156" t="str">
        <f>'Reported burning'!D2449</f>
        <v>Crop residue burning</v>
      </c>
      <c r="E2449" s="156" t="str">
        <f>'Reported burning'!E2449</f>
        <v>Cropping, Monoculture, Subsistence-oriented</v>
      </c>
      <c r="F2449" s="156" t="str">
        <f>'Reported burning'!F2449</f>
        <v>Cropland</v>
      </c>
      <c r="G2449" s="156" t="str">
        <f>'Reported burning'!G2449</f>
        <v>ND</v>
      </c>
      <c r="H2449" s="156" t="str">
        <f>'Reported burning'!H2449</f>
        <v>Presence</v>
      </c>
      <c r="I2449" s="5"/>
      <c r="J2449" s="21" t="s">
        <v>2276</v>
      </c>
      <c r="K2449" s="21" t="s">
        <v>2276</v>
      </c>
      <c r="L2449" s="21" t="s">
        <v>2276</v>
      </c>
      <c r="M2449" s="21" t="s">
        <v>2276</v>
      </c>
      <c r="N2449" s="21" t="s">
        <v>2276</v>
      </c>
      <c r="O2449" s="21" t="s">
        <v>2276</v>
      </c>
      <c r="P2449" s="21" t="s">
        <v>2276</v>
      </c>
      <c r="Q2449" s="21" t="s">
        <v>2276</v>
      </c>
      <c r="R2449" s="21" t="s">
        <v>2276</v>
      </c>
      <c r="S2449" s="21" t="s">
        <v>2276</v>
      </c>
      <c r="T2449" s="21" t="s">
        <v>2276</v>
      </c>
      <c r="U2449" s="21" t="s">
        <v>2276</v>
      </c>
      <c r="V2449" s="21" t="s">
        <v>2276</v>
      </c>
      <c r="W2449" s="4" t="s">
        <v>2375</v>
      </c>
      <c r="X2449" s="4" t="s">
        <v>405</v>
      </c>
      <c r="Y2449" s="4" t="s">
        <v>86</v>
      </c>
      <c r="Z2449" s="4" t="s">
        <v>64</v>
      </c>
      <c r="AA2449" s="4"/>
      <c r="AB2449" s="4"/>
    </row>
    <row r="2450" spans="1:28" ht="29">
      <c r="A2450" s="156" t="str">
        <f>'Reported burning'!A2450</f>
        <v>280a</v>
      </c>
      <c r="B2450" s="156" t="str">
        <f>'Reported burning'!B2450</f>
        <v>280a.1</v>
      </c>
      <c r="C2450" s="156" t="str">
        <f>'Reported burning'!C2450</f>
        <v>Human, deliberate</v>
      </c>
      <c r="D2450" s="156" t="str">
        <f>'Reported burning'!D2450</f>
        <v>Crop residue burning</v>
      </c>
      <c r="E2450" s="156" t="str">
        <f>'Reported burning'!E2450</f>
        <v>Mixed cropping-livestock small holder, Market-oriented</v>
      </c>
      <c r="F2450" s="156" t="str">
        <f>'Reported burning'!F2450</f>
        <v>Cropland</v>
      </c>
      <c r="G2450" s="156" t="str">
        <f>'Reported burning'!G2450</f>
        <v>ND</v>
      </c>
      <c r="H2450" s="156" t="str">
        <f>'Reported burning'!H2450</f>
        <v>Presence</v>
      </c>
      <c r="I2450" s="5"/>
      <c r="J2450" s="21" t="s">
        <v>2276</v>
      </c>
      <c r="K2450" s="21" t="s">
        <v>2276</v>
      </c>
      <c r="L2450" s="21" t="s">
        <v>2276</v>
      </c>
      <c r="M2450" s="21" t="s">
        <v>2276</v>
      </c>
      <c r="N2450" s="21" t="s">
        <v>2276</v>
      </c>
      <c r="O2450" s="4" t="s">
        <v>2362</v>
      </c>
      <c r="P2450" s="21" t="s">
        <v>2276</v>
      </c>
      <c r="Q2450" s="21" t="s">
        <v>2276</v>
      </c>
      <c r="R2450" s="21" t="s">
        <v>2276</v>
      </c>
      <c r="S2450" s="21" t="s">
        <v>2391</v>
      </c>
      <c r="T2450" s="21" t="s">
        <v>2276</v>
      </c>
      <c r="U2450" s="21" t="s">
        <v>2276</v>
      </c>
      <c r="V2450" s="21" t="s">
        <v>2276</v>
      </c>
      <c r="W2450" s="4" t="s">
        <v>2375</v>
      </c>
      <c r="X2450" s="204" t="s">
        <v>38</v>
      </c>
      <c r="Y2450" s="4" t="s">
        <v>86</v>
      </c>
      <c r="Z2450" s="4" t="s">
        <v>64</v>
      </c>
      <c r="AA2450" s="4" t="s">
        <v>8409</v>
      </c>
      <c r="AB2450" s="4" t="s">
        <v>8408</v>
      </c>
    </row>
    <row r="2451" spans="1:28" ht="29">
      <c r="A2451" s="156" t="str">
        <f>'Reported burning'!A2451</f>
        <v>280a</v>
      </c>
      <c r="B2451" s="156" t="str">
        <f>'Reported burning'!B2451</f>
        <v>280a.2</v>
      </c>
      <c r="C2451" s="156" t="str">
        <f>'Reported burning'!C2451</f>
        <v>Human, deliberate</v>
      </c>
      <c r="D2451" s="156" t="str">
        <f>'Reported burning'!D2451</f>
        <v>Crop residue burning</v>
      </c>
      <c r="E2451" s="156" t="str">
        <f>'Reported burning'!E2451</f>
        <v>Mixed cropping-livestock small holder, Market-oriented</v>
      </c>
      <c r="F2451" s="156" t="str">
        <f>'Reported burning'!F2451</f>
        <v>Cropland</v>
      </c>
      <c r="G2451" s="156" t="str">
        <f>'Reported burning'!G2451</f>
        <v>ND</v>
      </c>
      <c r="H2451" s="156" t="str">
        <f>'Reported burning'!H2451</f>
        <v>Presence</v>
      </c>
      <c r="I2451" s="5"/>
      <c r="J2451" s="21" t="s">
        <v>2276</v>
      </c>
      <c r="K2451" s="21" t="s">
        <v>2276</v>
      </c>
      <c r="L2451" s="21" t="s">
        <v>2276</v>
      </c>
      <c r="M2451" s="21" t="s">
        <v>2276</v>
      </c>
      <c r="N2451" s="21" t="s">
        <v>2276</v>
      </c>
      <c r="O2451" s="4" t="s">
        <v>2362</v>
      </c>
      <c r="P2451" s="21" t="s">
        <v>2276</v>
      </c>
      <c r="Q2451" s="21" t="s">
        <v>2276</v>
      </c>
      <c r="R2451" s="21" t="s">
        <v>2276</v>
      </c>
      <c r="S2451" s="4" t="s">
        <v>2376</v>
      </c>
      <c r="T2451" s="21" t="s">
        <v>2276</v>
      </c>
      <c r="U2451" s="21" t="s">
        <v>2276</v>
      </c>
      <c r="V2451" s="21" t="s">
        <v>2276</v>
      </c>
      <c r="W2451" s="4" t="s">
        <v>2375</v>
      </c>
      <c r="X2451" s="204" t="s">
        <v>425</v>
      </c>
      <c r="Y2451" s="204" t="s">
        <v>68</v>
      </c>
      <c r="Z2451" s="4" t="s">
        <v>64</v>
      </c>
      <c r="AA2451" s="4" t="s">
        <v>6456</v>
      </c>
      <c r="AB2451" s="4" t="s">
        <v>8410</v>
      </c>
    </row>
    <row r="2452" spans="1:28" ht="29">
      <c r="A2452" s="156" t="str">
        <f>'Reported burning'!A2452</f>
        <v>280b</v>
      </c>
      <c r="B2452" s="156" t="str">
        <f>'Reported burning'!B2452</f>
        <v>280b.1</v>
      </c>
      <c r="C2452" s="156" t="str">
        <f>'Reported burning'!C2452</f>
        <v>Human, deliberate</v>
      </c>
      <c r="D2452" s="156" t="str">
        <f>'Reported burning'!D2452</f>
        <v>Crop residue burning</v>
      </c>
      <c r="E2452" s="156" t="str">
        <f>'Reported burning'!E2452</f>
        <v>Mixed cropping-livestock small holder, Market-oriented</v>
      </c>
      <c r="F2452" s="156" t="str">
        <f>'Reported burning'!F2452</f>
        <v>Cropland</v>
      </c>
      <c r="G2452" s="156" t="str">
        <f>'Reported burning'!G2452</f>
        <v>ND</v>
      </c>
      <c r="H2452" s="156" t="str">
        <f>'Reported burning'!H2452</f>
        <v>Presence</v>
      </c>
      <c r="I2452" s="5"/>
      <c r="J2452" s="21" t="s">
        <v>2276</v>
      </c>
      <c r="K2452" s="21" t="s">
        <v>2276</v>
      </c>
      <c r="L2452" s="21" t="s">
        <v>2276</v>
      </c>
      <c r="M2452" s="21" t="s">
        <v>2276</v>
      </c>
      <c r="N2452" s="21" t="s">
        <v>2276</v>
      </c>
      <c r="O2452" s="4" t="s">
        <v>2362</v>
      </c>
      <c r="P2452" s="21" t="s">
        <v>2276</v>
      </c>
      <c r="Q2452" s="21" t="s">
        <v>2276</v>
      </c>
      <c r="R2452" s="21" t="s">
        <v>2276</v>
      </c>
      <c r="S2452" s="4" t="s">
        <v>2389</v>
      </c>
      <c r="T2452" s="21" t="s">
        <v>2276</v>
      </c>
      <c r="U2452" s="21" t="s">
        <v>2276</v>
      </c>
      <c r="V2452" s="21" t="s">
        <v>2276</v>
      </c>
      <c r="W2452" s="4" t="s">
        <v>2375</v>
      </c>
      <c r="X2452" s="204" t="s">
        <v>38</v>
      </c>
      <c r="Y2452" s="4" t="s">
        <v>86</v>
      </c>
      <c r="Z2452" s="4" t="s">
        <v>64</v>
      </c>
      <c r="AA2452" s="4" t="s">
        <v>6455</v>
      </c>
      <c r="AB2452" s="4" t="s">
        <v>8411</v>
      </c>
    </row>
    <row r="2453" spans="1:28" ht="29">
      <c r="A2453" s="156" t="str">
        <f>'Reported burning'!A2453</f>
        <v>280b</v>
      </c>
      <c r="B2453" s="156" t="str">
        <f>'Reported burning'!B2453</f>
        <v>280b.2</v>
      </c>
      <c r="C2453" s="156" t="str">
        <f>'Reported burning'!C2453</f>
        <v>Human, deliberate</v>
      </c>
      <c r="D2453" s="156" t="str">
        <f>'Reported burning'!D2453</f>
        <v>Crop residue burning</v>
      </c>
      <c r="E2453" s="156" t="str">
        <f>'Reported burning'!E2453</f>
        <v>Mixed cropping-livestock small holder, Market-oriented</v>
      </c>
      <c r="F2453" s="156" t="str">
        <f>'Reported burning'!F2453</f>
        <v>Cropland</v>
      </c>
      <c r="G2453" s="156" t="str">
        <f>'Reported burning'!G2453</f>
        <v>ND</v>
      </c>
      <c r="H2453" s="156" t="str">
        <f>'Reported burning'!H2453</f>
        <v>Presence</v>
      </c>
      <c r="I2453" s="5"/>
      <c r="J2453" s="21" t="s">
        <v>2276</v>
      </c>
      <c r="K2453" s="21" t="s">
        <v>2276</v>
      </c>
      <c r="L2453" s="21" t="s">
        <v>2276</v>
      </c>
      <c r="M2453" s="21" t="s">
        <v>2276</v>
      </c>
      <c r="N2453" s="21" t="s">
        <v>2276</v>
      </c>
      <c r="O2453" s="4" t="s">
        <v>2362</v>
      </c>
      <c r="P2453" s="21" t="s">
        <v>2276</v>
      </c>
      <c r="Q2453" s="21" t="s">
        <v>2276</v>
      </c>
      <c r="R2453" s="21" t="s">
        <v>2276</v>
      </c>
      <c r="S2453" s="4" t="s">
        <v>2389</v>
      </c>
      <c r="T2453" s="21" t="s">
        <v>2276</v>
      </c>
      <c r="U2453" s="21" t="s">
        <v>2276</v>
      </c>
      <c r="V2453" s="21" t="s">
        <v>2276</v>
      </c>
      <c r="W2453" s="4" t="s">
        <v>2375</v>
      </c>
      <c r="X2453" s="204" t="s">
        <v>425</v>
      </c>
      <c r="Y2453" s="204" t="s">
        <v>68</v>
      </c>
      <c r="Z2453" s="4" t="s">
        <v>64</v>
      </c>
      <c r="AA2453" s="4" t="s">
        <v>6456</v>
      </c>
      <c r="AB2453" s="4" t="s">
        <v>8411</v>
      </c>
    </row>
    <row r="2454" spans="1:28" ht="29">
      <c r="A2454" s="156" t="str">
        <f>'Reported burning'!A2454</f>
        <v>280c</v>
      </c>
      <c r="B2454" s="156" t="str">
        <f>'Reported burning'!B2454</f>
        <v>280c.1</v>
      </c>
      <c r="C2454" s="156" t="str">
        <f>'Reported burning'!C2454</f>
        <v>Human, deliberate</v>
      </c>
      <c r="D2454" s="156" t="str">
        <f>'Reported burning'!D2454</f>
        <v>Crop residue burning</v>
      </c>
      <c r="E2454" s="156" t="str">
        <f>'Reported burning'!E2454</f>
        <v>Mixed cropping-livestock small holder, Subsistence-oriented</v>
      </c>
      <c r="F2454" s="156" t="str">
        <f>'Reported burning'!F2454</f>
        <v>Cropland</v>
      </c>
      <c r="G2454" s="156" t="str">
        <f>'Reported burning'!G2454</f>
        <v>ND</v>
      </c>
      <c r="H2454" s="156" t="str">
        <f>'Reported burning'!H2454</f>
        <v>Absence</v>
      </c>
      <c r="I2454" s="5"/>
      <c r="J2454" s="75">
        <v>0</v>
      </c>
      <c r="K2454" s="75">
        <v>0</v>
      </c>
      <c r="L2454" s="75">
        <v>0</v>
      </c>
      <c r="M2454" s="75">
        <v>0</v>
      </c>
      <c r="N2454" s="75">
        <v>0</v>
      </c>
      <c r="O2454" s="75">
        <v>0</v>
      </c>
      <c r="P2454" s="75">
        <v>0</v>
      </c>
      <c r="Q2454" s="75">
        <v>0</v>
      </c>
      <c r="R2454" s="75">
        <v>0</v>
      </c>
      <c r="S2454" s="75">
        <v>0</v>
      </c>
      <c r="T2454" s="75">
        <v>0</v>
      </c>
      <c r="U2454" s="75">
        <v>0</v>
      </c>
      <c r="V2454" s="75">
        <v>0</v>
      </c>
      <c r="W2454" s="4" t="s">
        <v>2276</v>
      </c>
      <c r="X2454" s="204" t="s">
        <v>38</v>
      </c>
      <c r="Y2454" s="4" t="s">
        <v>86</v>
      </c>
      <c r="Z2454" s="4" t="s">
        <v>2276</v>
      </c>
      <c r="AA2454" s="4" t="s">
        <v>6455</v>
      </c>
      <c r="AB2454" s="4"/>
    </row>
    <row r="2455" spans="1:28" ht="29">
      <c r="A2455" s="156" t="str">
        <f>'Reported burning'!A2455</f>
        <v>280c</v>
      </c>
      <c r="B2455" s="156" t="str">
        <f>'Reported burning'!B2455</f>
        <v>280c.2</v>
      </c>
      <c r="C2455" s="156" t="str">
        <f>'Reported burning'!C2455</f>
        <v>Human, deliberate</v>
      </c>
      <c r="D2455" s="156" t="str">
        <f>'Reported burning'!D2455</f>
        <v>Crop residue burning</v>
      </c>
      <c r="E2455" s="156" t="str">
        <f>'Reported burning'!E2455</f>
        <v>Mixed cropping-livestock small holder, Subsistence-oriented</v>
      </c>
      <c r="F2455" s="156" t="str">
        <f>'Reported burning'!F2455</f>
        <v>Cropland</v>
      </c>
      <c r="G2455" s="156" t="str">
        <f>'Reported burning'!G2455</f>
        <v>ND</v>
      </c>
      <c r="H2455" s="156" t="str">
        <f>'Reported burning'!H2455</f>
        <v>Absence</v>
      </c>
      <c r="I2455" s="5"/>
      <c r="J2455" s="75">
        <v>0</v>
      </c>
      <c r="K2455" s="75">
        <v>0</v>
      </c>
      <c r="L2455" s="75">
        <v>0</v>
      </c>
      <c r="M2455" s="75">
        <v>0</v>
      </c>
      <c r="N2455" s="75">
        <v>0</v>
      </c>
      <c r="O2455" s="75">
        <v>0</v>
      </c>
      <c r="P2455" s="75">
        <v>0</v>
      </c>
      <c r="Q2455" s="75">
        <v>0</v>
      </c>
      <c r="R2455" s="75">
        <v>0</v>
      </c>
      <c r="S2455" s="75">
        <v>0</v>
      </c>
      <c r="T2455" s="75">
        <v>0</v>
      </c>
      <c r="U2455" s="75">
        <v>0</v>
      </c>
      <c r="V2455" s="75">
        <v>0</v>
      </c>
      <c r="W2455" s="4" t="s">
        <v>2276</v>
      </c>
      <c r="X2455" s="204" t="s">
        <v>425</v>
      </c>
      <c r="Y2455" s="204" t="s">
        <v>68</v>
      </c>
      <c r="Z2455" s="4" t="s">
        <v>2276</v>
      </c>
      <c r="AA2455" s="4" t="s">
        <v>6456</v>
      </c>
      <c r="AB2455" s="4"/>
    </row>
    <row r="2456" spans="1:28" ht="44.5" customHeight="1">
      <c r="A2456" s="232" t="str">
        <f>'Reported burning'!A2456</f>
        <v>281a</v>
      </c>
      <c r="B2456" s="232" t="str">
        <f>'Reported burning'!B2456</f>
        <v>281a.1</v>
      </c>
      <c r="C2456" s="232">
        <f>'Reported burning'!C2456</f>
        <v>0</v>
      </c>
      <c r="D2456" s="232">
        <f>'Reported burning'!D2456</f>
        <v>0</v>
      </c>
      <c r="E2456" s="232">
        <f>'Reported burning'!E2456</f>
        <v>0</v>
      </c>
      <c r="F2456" s="232">
        <f>'Reported burning'!F2456</f>
        <v>0</v>
      </c>
      <c r="G2456" s="232">
        <f>'Reported burning'!G2456</f>
        <v>0</v>
      </c>
      <c r="H2456" s="232">
        <f>'Reported burning'!H2456</f>
        <v>0</v>
      </c>
      <c r="I2456" s="78"/>
      <c r="J2456" s="58"/>
      <c r="K2456" s="58"/>
      <c r="L2456" s="58"/>
      <c r="M2456" s="58"/>
      <c r="N2456" s="58"/>
      <c r="O2456" s="58"/>
      <c r="P2456" s="58"/>
      <c r="Q2456" s="58"/>
      <c r="R2456" s="58"/>
      <c r="S2456" s="58"/>
      <c r="T2456" s="227"/>
      <c r="U2456" s="227"/>
      <c r="V2456" s="227"/>
      <c r="W2456" s="58"/>
      <c r="X2456" s="58"/>
      <c r="Y2456" s="58"/>
      <c r="Z2456" s="58"/>
      <c r="AA2456" s="58"/>
      <c r="AB2456" s="58"/>
    </row>
    <row r="2457" spans="1:28" ht="36" customHeight="1">
      <c r="A2457" s="156" t="str">
        <f>'Reported burning'!A2457</f>
        <v>282a</v>
      </c>
      <c r="B2457" s="156" t="str">
        <f>'Reported burning'!B2457</f>
        <v>282a.1</v>
      </c>
      <c r="C2457" s="156" t="str">
        <f>'Reported burning'!C2457</f>
        <v>Human, deliberate</v>
      </c>
      <c r="D2457" s="156" t="str">
        <f>'Reported burning'!D2457</f>
        <v>Crop residue burning</v>
      </c>
      <c r="E2457" s="156" t="str">
        <f>'Reported burning'!E2457</f>
        <v>Cropping, Monoculture, Subsistence-oriented</v>
      </c>
      <c r="F2457" s="156" t="str">
        <f>'Reported burning'!F2457</f>
        <v>Cropland</v>
      </c>
      <c r="G2457" s="156" t="str">
        <f>'Reported burning'!G2457</f>
        <v>ND</v>
      </c>
      <c r="H2457" s="156" t="str">
        <f>'Reported burning'!H2457</f>
        <v>Presence</v>
      </c>
      <c r="I2457" s="5"/>
      <c r="J2457" s="21" t="s">
        <v>2276</v>
      </c>
      <c r="K2457" s="21" t="s">
        <v>2276</v>
      </c>
      <c r="L2457" s="21" t="s">
        <v>2276</v>
      </c>
      <c r="M2457" s="21" t="s">
        <v>2276</v>
      </c>
      <c r="N2457" s="21" t="s">
        <v>2276</v>
      </c>
      <c r="O2457" s="21" t="s">
        <v>2276</v>
      </c>
      <c r="P2457" s="21" t="s">
        <v>2276</v>
      </c>
      <c r="Q2457" s="21" t="s">
        <v>2276</v>
      </c>
      <c r="R2457" s="21" t="s">
        <v>2276</v>
      </c>
      <c r="S2457" s="4" t="s">
        <v>2376</v>
      </c>
      <c r="T2457" s="21" t="s">
        <v>2276</v>
      </c>
      <c r="U2457" s="21" t="s">
        <v>2276</v>
      </c>
      <c r="V2457" s="21" t="s">
        <v>2276</v>
      </c>
      <c r="W2457" s="4" t="s">
        <v>2375</v>
      </c>
      <c r="X2457" s="4"/>
      <c r="Y2457" s="4"/>
      <c r="Z2457" s="204" t="s">
        <v>64</v>
      </c>
      <c r="AA2457" s="4" t="s">
        <v>6457</v>
      </c>
      <c r="AB2457" s="4"/>
    </row>
    <row r="2458" spans="1:28" ht="43.5">
      <c r="A2458" s="156" t="str">
        <f>'Reported burning'!A2458</f>
        <v>283a</v>
      </c>
      <c r="B2458" s="156" t="str">
        <f>'Reported burning'!B2458</f>
        <v>283a.1</v>
      </c>
      <c r="C2458" s="156" t="str">
        <f>'Reported burning'!C2458</f>
        <v>Human, deliberate</v>
      </c>
      <c r="D2458" s="156" t="str">
        <f>'Reported burning'!D2458</f>
        <v>Crop residue burning</v>
      </c>
      <c r="E2458" s="156" t="str">
        <f>'Reported burning'!E2458</f>
        <v>Cropping, Monoculture, Market-oriented</v>
      </c>
      <c r="F2458" s="156" t="str">
        <f>'Reported burning'!F2458</f>
        <v>Cropland</v>
      </c>
      <c r="G2458" s="156" t="str">
        <f>'Reported burning'!G2458</f>
        <v>ND</v>
      </c>
      <c r="H2458" s="156" t="str">
        <f>'Reported burning'!H2458</f>
        <v>Presence</v>
      </c>
      <c r="I2458" s="5"/>
      <c r="J2458" s="21" t="s">
        <v>2276</v>
      </c>
      <c r="K2458" s="21" t="s">
        <v>2276</v>
      </c>
      <c r="L2458" s="21" t="s">
        <v>2276</v>
      </c>
      <c r="M2458" s="21" t="s">
        <v>2276</v>
      </c>
      <c r="N2458" s="21" t="s">
        <v>2276</v>
      </c>
      <c r="O2458" s="21" t="s">
        <v>2276</v>
      </c>
      <c r="P2458" s="21" t="s">
        <v>2276</v>
      </c>
      <c r="Q2458" s="21" t="s">
        <v>2276</v>
      </c>
      <c r="R2458" s="21" t="s">
        <v>2276</v>
      </c>
      <c r="S2458" s="21" t="s">
        <v>2276</v>
      </c>
      <c r="T2458" s="21" t="s">
        <v>2276</v>
      </c>
      <c r="U2458" s="21" t="s">
        <v>2276</v>
      </c>
      <c r="V2458" s="166" t="s">
        <v>2527</v>
      </c>
      <c r="W2458" s="21" t="s">
        <v>2276</v>
      </c>
      <c r="X2458" s="4" t="s">
        <v>399</v>
      </c>
      <c r="Y2458" s="4" t="s">
        <v>34</v>
      </c>
      <c r="Z2458" s="4" t="s">
        <v>2276</v>
      </c>
      <c r="AA2458" s="4" t="s">
        <v>6458</v>
      </c>
      <c r="AB2458" s="4" t="s">
        <v>8414</v>
      </c>
    </row>
    <row r="2459" spans="1:28" ht="37.5" customHeight="1">
      <c r="A2459" s="156" t="str">
        <f>'Reported burning'!A2459</f>
        <v>284a</v>
      </c>
      <c r="B2459" s="156" t="str">
        <f>'Reported burning'!B2459</f>
        <v>284a.1</v>
      </c>
      <c r="C2459" s="156" t="str">
        <f>'Reported burning'!C2459</f>
        <v>Human, deliberate</v>
      </c>
      <c r="D2459" s="156" t="str">
        <f>'Reported burning'!D2459</f>
        <v>Pyrome management</v>
      </c>
      <c r="E2459" s="156" t="str">
        <f>'Reported burning'!E2459</f>
        <v>Biodiversity conservation</v>
      </c>
      <c r="F2459" s="156" t="str">
        <f>'Reported burning'!F2459</f>
        <v>Forest</v>
      </c>
      <c r="G2459" s="156" t="str">
        <f>'Reported burning'!G2459</f>
        <v>Forest</v>
      </c>
      <c r="H2459" s="156" t="str">
        <f>'Reported burning'!H2459</f>
        <v>Presence</v>
      </c>
      <c r="I2459" s="5"/>
      <c r="J2459" s="21" t="s">
        <v>2276</v>
      </c>
      <c r="K2459" s="21" t="s">
        <v>2276</v>
      </c>
      <c r="L2459" s="21" t="s">
        <v>2276</v>
      </c>
      <c r="M2459" s="21" t="s">
        <v>2276</v>
      </c>
      <c r="N2459" s="21" t="s">
        <v>2276</v>
      </c>
      <c r="O2459" s="21" t="s">
        <v>2276</v>
      </c>
      <c r="P2459" s="21" t="s">
        <v>2276</v>
      </c>
      <c r="Q2459" s="21" t="s">
        <v>2276</v>
      </c>
      <c r="R2459" s="21" t="s">
        <v>2276</v>
      </c>
      <c r="S2459" s="21" t="s">
        <v>2276</v>
      </c>
      <c r="T2459" s="21" t="s">
        <v>2276</v>
      </c>
      <c r="U2459" s="21" t="s">
        <v>2276</v>
      </c>
      <c r="V2459" s="21" t="s">
        <v>2276</v>
      </c>
      <c r="W2459" s="4" t="s">
        <v>2276</v>
      </c>
      <c r="X2459" s="4" t="s">
        <v>2276</v>
      </c>
      <c r="Y2459" s="4" t="s">
        <v>2276</v>
      </c>
      <c r="Z2459" s="4" t="s">
        <v>2276</v>
      </c>
      <c r="AA2459" s="4"/>
      <c r="AB2459" s="4" t="s">
        <v>6535</v>
      </c>
    </row>
    <row r="2460" spans="1:28" ht="55" customHeight="1">
      <c r="A2460" s="156" t="str">
        <f>'Reported burning'!A2460</f>
        <v>284a</v>
      </c>
      <c r="B2460" s="156" t="str">
        <f>'Reported burning'!B2460</f>
        <v>284a.2</v>
      </c>
      <c r="C2460" s="156" t="str">
        <f>'Reported burning'!C2460</f>
        <v>Other Natural</v>
      </c>
      <c r="D2460" s="156" t="str">
        <f>'Reported burning'!D2460</f>
        <v>ND</v>
      </c>
      <c r="E2460" s="156" t="str">
        <f>'Reported burning'!E2460</f>
        <v>ND</v>
      </c>
      <c r="F2460" s="156" t="str">
        <f>'Reported burning'!F2460</f>
        <v>ND</v>
      </c>
      <c r="G2460" s="156" t="str">
        <f>'Reported burning'!G2460</f>
        <v>ND</v>
      </c>
      <c r="H2460" s="156" t="str">
        <f>'Reported burning'!H2460</f>
        <v>Presence</v>
      </c>
      <c r="I2460" s="5"/>
      <c r="J2460" s="21" t="s">
        <v>2276</v>
      </c>
      <c r="K2460" s="21" t="s">
        <v>2276</v>
      </c>
      <c r="L2460" s="21" t="s">
        <v>2276</v>
      </c>
      <c r="M2460" s="21" t="s">
        <v>2276</v>
      </c>
      <c r="N2460" s="21" t="s">
        <v>2276</v>
      </c>
      <c r="O2460" s="21" t="s">
        <v>2276</v>
      </c>
      <c r="P2460" s="21" t="s">
        <v>2276</v>
      </c>
      <c r="Q2460" s="21" t="s">
        <v>2276</v>
      </c>
      <c r="R2460" s="21" t="s">
        <v>2276</v>
      </c>
      <c r="S2460" s="21" t="s">
        <v>2276</v>
      </c>
      <c r="T2460" s="21" t="s">
        <v>2276</v>
      </c>
      <c r="U2460" s="21" t="s">
        <v>2276</v>
      </c>
      <c r="V2460" s="21" t="s">
        <v>2276</v>
      </c>
      <c r="W2460" s="4" t="s">
        <v>2276</v>
      </c>
      <c r="X2460" s="4" t="s">
        <v>2276</v>
      </c>
      <c r="Y2460" s="4" t="s">
        <v>2276</v>
      </c>
      <c r="Z2460" s="4" t="s">
        <v>2276</v>
      </c>
      <c r="AA2460" s="4"/>
      <c r="AB2460" s="4" t="s">
        <v>6536</v>
      </c>
    </row>
    <row r="2461" spans="1:28" ht="47.5" customHeight="1">
      <c r="A2461" s="156" t="str">
        <f>'Reported burning'!A2461</f>
        <v>284b</v>
      </c>
      <c r="B2461" s="156" t="str">
        <f>'Reported burning'!B2461</f>
        <v>284b.1</v>
      </c>
      <c r="C2461" s="156" t="str">
        <f>'Reported burning'!C2461</f>
        <v>Human, deliberate</v>
      </c>
      <c r="D2461" s="156" t="str">
        <f>'Reported burning'!D2461</f>
        <v>Pyrome management</v>
      </c>
      <c r="E2461" s="156" t="str">
        <f>'Reported burning'!E2461</f>
        <v>Biodiversity conservation</v>
      </c>
      <c r="F2461" s="156" t="str">
        <f>'Reported burning'!F2461</f>
        <v>Forest</v>
      </c>
      <c r="G2461" s="156" t="str">
        <f>'Reported burning'!G2461</f>
        <v>Forest</v>
      </c>
      <c r="H2461" s="156" t="str">
        <f>'Reported burning'!H2461</f>
        <v>Presence</v>
      </c>
      <c r="I2461" s="5"/>
      <c r="J2461" s="21" t="s">
        <v>2276</v>
      </c>
      <c r="K2461" s="21" t="s">
        <v>2276</v>
      </c>
      <c r="L2461" s="21" t="s">
        <v>2276</v>
      </c>
      <c r="M2461" s="21" t="s">
        <v>2276</v>
      </c>
      <c r="N2461" s="21" t="s">
        <v>2276</v>
      </c>
      <c r="O2461" s="21" t="s">
        <v>2276</v>
      </c>
      <c r="P2461" s="21" t="s">
        <v>2276</v>
      </c>
      <c r="Q2461" s="21" t="s">
        <v>2276</v>
      </c>
      <c r="R2461" s="21" t="s">
        <v>2276</v>
      </c>
      <c r="S2461" s="21" t="s">
        <v>2276</v>
      </c>
      <c r="T2461" s="21" t="s">
        <v>2276</v>
      </c>
      <c r="U2461" s="21" t="s">
        <v>2276</v>
      </c>
      <c r="V2461" s="21" t="s">
        <v>2276</v>
      </c>
      <c r="W2461" s="21" t="s">
        <v>2402</v>
      </c>
      <c r="X2461" s="204" t="str">
        <f>'Reported burning'!Z2461</f>
        <v>December</v>
      </c>
      <c r="Y2461" s="204" t="str">
        <f>'Reported burning'!AA2461</f>
        <v>April</v>
      </c>
      <c r="Z2461" s="204" t="str">
        <f>'Reported burning'!AB2461</f>
        <v>ND</v>
      </c>
      <c r="AA2461" s="4"/>
      <c r="AB2461" s="4" t="s">
        <v>7861</v>
      </c>
    </row>
    <row r="2462" spans="1:28" ht="47.5" customHeight="1">
      <c r="A2462" s="156" t="str">
        <f>'Reported burning'!A2462</f>
        <v>284b</v>
      </c>
      <c r="B2462" s="156" t="str">
        <f>'Reported burning'!B2462</f>
        <v>284b.2</v>
      </c>
      <c r="C2462" s="156" t="str">
        <f>'Reported burning'!C2462</f>
        <v>Other Natural</v>
      </c>
      <c r="D2462" s="156" t="str">
        <f>'Reported burning'!D2462</f>
        <v>ND</v>
      </c>
      <c r="E2462" s="156" t="str">
        <f>'Reported burning'!E2462</f>
        <v>ND</v>
      </c>
      <c r="F2462" s="156" t="str">
        <f>'Reported burning'!F2462</f>
        <v>ND</v>
      </c>
      <c r="G2462" s="156" t="str">
        <f>'Reported burning'!G2462</f>
        <v>ND</v>
      </c>
      <c r="H2462" s="156" t="str">
        <f>'Reported burning'!H2462</f>
        <v>Presence</v>
      </c>
      <c r="I2462" s="5"/>
      <c r="J2462" s="21" t="s">
        <v>2276</v>
      </c>
      <c r="K2462" s="21" t="s">
        <v>2276</v>
      </c>
      <c r="L2462" s="21" t="s">
        <v>2276</v>
      </c>
      <c r="M2462" s="21" t="s">
        <v>2276</v>
      </c>
      <c r="N2462" s="21" t="s">
        <v>2276</v>
      </c>
      <c r="O2462" s="21" t="s">
        <v>2276</v>
      </c>
      <c r="P2462" s="21" t="s">
        <v>2276</v>
      </c>
      <c r="Q2462" s="21" t="s">
        <v>2276</v>
      </c>
      <c r="R2462" s="21" t="s">
        <v>2276</v>
      </c>
      <c r="S2462" s="21" t="s">
        <v>2276</v>
      </c>
      <c r="T2462" s="21" t="s">
        <v>2276</v>
      </c>
      <c r="U2462" s="21" t="s">
        <v>2276</v>
      </c>
      <c r="V2462" s="21" t="s">
        <v>2276</v>
      </c>
      <c r="W2462" s="21" t="s">
        <v>2276</v>
      </c>
      <c r="X2462" s="204" t="str">
        <f>'Reported burning'!Z2462</f>
        <v>December</v>
      </c>
      <c r="Y2462" s="204" t="str">
        <f>'Reported burning'!AA2462</f>
        <v>April</v>
      </c>
      <c r="Z2462" s="204" t="str">
        <f>'Reported burning'!AB2462</f>
        <v>ND</v>
      </c>
      <c r="AA2462" s="4"/>
      <c r="AB2462" s="4" t="s">
        <v>6537</v>
      </c>
    </row>
    <row r="2463" spans="1:28" ht="47.5" customHeight="1">
      <c r="A2463" s="156" t="str">
        <f>'Reported burning'!A2463</f>
        <v>285a</v>
      </c>
      <c r="B2463" s="156" t="str">
        <f>'Reported burning'!B2463</f>
        <v>285a.1</v>
      </c>
      <c r="C2463" s="156" t="str">
        <f>'Reported burning'!C2463</f>
        <v>Human, deliberate</v>
      </c>
      <c r="D2463" s="156" t="str">
        <f>'Reported burning'!D2463</f>
        <v>ND</v>
      </c>
      <c r="E2463" s="156" t="str">
        <f>'Reported burning'!E2463</f>
        <v>Urban planner</v>
      </c>
      <c r="F2463" s="156" t="str">
        <f>'Reported burning'!F2463</f>
        <v>ND</v>
      </c>
      <c r="G2463" s="156" t="str">
        <f>'Reported burning'!G2463</f>
        <v>ND</v>
      </c>
      <c r="H2463" s="156" t="str">
        <f>'Reported burning'!H2463</f>
        <v>Presence</v>
      </c>
      <c r="I2463" s="5"/>
      <c r="J2463" s="21" t="s">
        <v>2276</v>
      </c>
      <c r="K2463" s="21" t="s">
        <v>2276</v>
      </c>
      <c r="L2463" s="21" t="s">
        <v>2276</v>
      </c>
      <c r="M2463" s="21" t="s">
        <v>2276</v>
      </c>
      <c r="N2463" s="21" t="s">
        <v>2276</v>
      </c>
      <c r="O2463" s="21" t="s">
        <v>2276</v>
      </c>
      <c r="P2463" s="21" t="s">
        <v>2276</v>
      </c>
      <c r="Q2463" s="21" t="s">
        <v>2276</v>
      </c>
      <c r="R2463" s="21" t="s">
        <v>2276</v>
      </c>
      <c r="S2463" s="21" t="s">
        <v>2276</v>
      </c>
      <c r="T2463" s="21" t="s">
        <v>2276</v>
      </c>
      <c r="U2463" s="21" t="s">
        <v>2276</v>
      </c>
      <c r="V2463" s="21" t="s">
        <v>2276</v>
      </c>
      <c r="W2463" s="21" t="s">
        <v>2276</v>
      </c>
      <c r="X2463" s="204" t="str">
        <f>'Reported burning'!Z2463</f>
        <v>ND</v>
      </c>
      <c r="Y2463" s="204" t="str">
        <f>'Reported burning'!AA2463</f>
        <v>ND</v>
      </c>
      <c r="Z2463" s="204" t="str">
        <f>'Reported burning'!AB2463</f>
        <v>ND</v>
      </c>
      <c r="AA2463" s="204"/>
      <c r="AB2463" s="204"/>
    </row>
    <row r="2464" spans="1:28" ht="47.5" customHeight="1">
      <c r="A2464" s="156" t="str">
        <f>'Reported burning'!A2464</f>
        <v>285a</v>
      </c>
      <c r="B2464" s="156" t="str">
        <f>'Reported burning'!B2464</f>
        <v>285a.2</v>
      </c>
      <c r="C2464" s="156" t="str">
        <f>'Reported burning'!C2464</f>
        <v>Lightning</v>
      </c>
      <c r="D2464" s="156" t="str">
        <f>'Reported burning'!D2464</f>
        <v>ND</v>
      </c>
      <c r="E2464" s="156" t="str">
        <f>'Reported burning'!E2464</f>
        <v>ND</v>
      </c>
      <c r="F2464" s="156" t="str">
        <f>'Reported burning'!F2464</f>
        <v>ND</v>
      </c>
      <c r="G2464" s="156" t="str">
        <f>'Reported burning'!G2464</f>
        <v>ND</v>
      </c>
      <c r="H2464" s="156" t="str">
        <f>'Reported burning'!H2464</f>
        <v>Presence</v>
      </c>
      <c r="I2464" s="5"/>
      <c r="J2464" s="21" t="s">
        <v>2276</v>
      </c>
      <c r="K2464" s="21" t="s">
        <v>2276</v>
      </c>
      <c r="L2464" s="21" t="s">
        <v>2276</v>
      </c>
      <c r="M2464" s="21" t="s">
        <v>2276</v>
      </c>
      <c r="N2464" s="21" t="s">
        <v>2276</v>
      </c>
      <c r="O2464" s="21" t="s">
        <v>2276</v>
      </c>
      <c r="P2464" s="21" t="s">
        <v>2276</v>
      </c>
      <c r="Q2464" s="21" t="s">
        <v>2276</v>
      </c>
      <c r="R2464" s="21" t="s">
        <v>2276</v>
      </c>
      <c r="S2464" s="21" t="s">
        <v>2276</v>
      </c>
      <c r="T2464" s="21" t="s">
        <v>2276</v>
      </c>
      <c r="U2464" s="21" t="s">
        <v>2276</v>
      </c>
      <c r="V2464" s="21" t="s">
        <v>2276</v>
      </c>
      <c r="W2464" s="21" t="s">
        <v>2276</v>
      </c>
      <c r="X2464" s="204" t="str">
        <f>'Reported burning'!Z2464</f>
        <v>ND</v>
      </c>
      <c r="Y2464" s="204" t="str">
        <f>'Reported burning'!AA2464</f>
        <v>ND</v>
      </c>
      <c r="Z2464" s="204" t="str">
        <f>'Reported burning'!AB2464</f>
        <v>ND</v>
      </c>
      <c r="AA2464" s="204"/>
      <c r="AB2464" s="204"/>
    </row>
    <row r="2465" spans="1:28" ht="47.5" customHeight="1">
      <c r="A2465" s="156" t="str">
        <f>'Reported burning'!A2465</f>
        <v>285b</v>
      </c>
      <c r="B2465" s="156" t="str">
        <f>'Reported burning'!B2465</f>
        <v>285b.1</v>
      </c>
      <c r="C2465" s="156" t="str">
        <f>'Reported burning'!C2465</f>
        <v>Human, deliberate</v>
      </c>
      <c r="D2465" s="156" t="str">
        <f>'Reported burning'!D2465</f>
        <v>ND</v>
      </c>
      <c r="E2465" s="156" t="str">
        <f>'Reported burning'!E2465</f>
        <v>Urban planner</v>
      </c>
      <c r="F2465" s="156" t="str">
        <f>'Reported burning'!F2465</f>
        <v>ND</v>
      </c>
      <c r="G2465" s="156" t="str">
        <f>'Reported burning'!G2465</f>
        <v>ND</v>
      </c>
      <c r="H2465" s="156" t="str">
        <f>'Reported burning'!H2465</f>
        <v>Presence</v>
      </c>
      <c r="I2465" s="5"/>
      <c r="J2465" s="21" t="s">
        <v>2276</v>
      </c>
      <c r="K2465" s="21" t="s">
        <v>2276</v>
      </c>
      <c r="L2465" s="21" t="s">
        <v>2276</v>
      </c>
      <c r="M2465" s="21" t="s">
        <v>2276</v>
      </c>
      <c r="N2465" s="21" t="s">
        <v>2276</v>
      </c>
      <c r="O2465" s="21" t="s">
        <v>2276</v>
      </c>
      <c r="P2465" s="21" t="s">
        <v>2276</v>
      </c>
      <c r="Q2465" s="21" t="s">
        <v>2276</v>
      </c>
      <c r="R2465" s="21" t="s">
        <v>2276</v>
      </c>
      <c r="S2465" s="21" t="s">
        <v>2276</v>
      </c>
      <c r="T2465" s="21" t="s">
        <v>2276</v>
      </c>
      <c r="U2465" s="21" t="s">
        <v>2276</v>
      </c>
      <c r="V2465" s="21" t="s">
        <v>2276</v>
      </c>
      <c r="W2465" s="21" t="s">
        <v>2276</v>
      </c>
      <c r="X2465" s="204" t="str">
        <f>'Reported burning'!Z2465</f>
        <v>ND</v>
      </c>
      <c r="Y2465" s="204" t="str">
        <f>'Reported burning'!AA2465</f>
        <v>ND</v>
      </c>
      <c r="Z2465" s="204" t="str">
        <f>'Reported burning'!AB2465</f>
        <v>ND</v>
      </c>
      <c r="AA2465" s="204"/>
      <c r="AB2465" s="204"/>
    </row>
    <row r="2466" spans="1:28" ht="47.5" customHeight="1">
      <c r="A2466" s="156" t="str">
        <f>'Reported burning'!A2466</f>
        <v>285b</v>
      </c>
      <c r="B2466" s="156" t="str">
        <f>'Reported burning'!B2466</f>
        <v>285b.2</v>
      </c>
      <c r="C2466" s="156" t="str">
        <f>'Reported burning'!C2466</f>
        <v>Lightning</v>
      </c>
      <c r="D2466" s="156" t="str">
        <f>'Reported burning'!D2466</f>
        <v>ND</v>
      </c>
      <c r="E2466" s="156" t="str">
        <f>'Reported burning'!E2466</f>
        <v>ND</v>
      </c>
      <c r="F2466" s="156" t="str">
        <f>'Reported burning'!F2466</f>
        <v>ND</v>
      </c>
      <c r="G2466" s="156" t="str">
        <f>'Reported burning'!G2466</f>
        <v>ND</v>
      </c>
      <c r="H2466" s="156" t="str">
        <f>'Reported burning'!H2466</f>
        <v>Presence</v>
      </c>
      <c r="I2466" s="5"/>
      <c r="J2466" s="21" t="s">
        <v>2276</v>
      </c>
      <c r="K2466" s="21" t="s">
        <v>2276</v>
      </c>
      <c r="L2466" s="21" t="s">
        <v>2276</v>
      </c>
      <c r="M2466" s="21" t="s">
        <v>2276</v>
      </c>
      <c r="N2466" s="21" t="s">
        <v>2276</v>
      </c>
      <c r="O2466" s="21" t="s">
        <v>2276</v>
      </c>
      <c r="P2466" s="21" t="s">
        <v>2276</v>
      </c>
      <c r="Q2466" s="21" t="s">
        <v>2276</v>
      </c>
      <c r="R2466" s="21" t="s">
        <v>2276</v>
      </c>
      <c r="S2466" s="21" t="s">
        <v>2276</v>
      </c>
      <c r="T2466" s="21" t="s">
        <v>2276</v>
      </c>
      <c r="U2466" s="21" t="s">
        <v>2276</v>
      </c>
      <c r="V2466" s="21" t="s">
        <v>2374</v>
      </c>
      <c r="W2466" s="21" t="s">
        <v>2276</v>
      </c>
      <c r="X2466" s="204" t="str">
        <f>'Reported burning'!Z2466</f>
        <v>ND</v>
      </c>
      <c r="Y2466" s="204" t="str">
        <f>'Reported burning'!AA2466</f>
        <v>ND</v>
      </c>
      <c r="Z2466" s="204" t="str">
        <f>'Reported burning'!AB2466</f>
        <v>ND</v>
      </c>
      <c r="AA2466" s="204"/>
      <c r="AB2466" s="204"/>
    </row>
    <row r="2467" spans="1:28" ht="47.5" customHeight="1">
      <c r="A2467" s="156" t="str">
        <f>'Reported burning'!A2467</f>
        <v>287a</v>
      </c>
      <c r="B2467" s="156" t="str">
        <f>'Reported burning'!B2467</f>
        <v>287a.1</v>
      </c>
      <c r="C2467" s="156" t="str">
        <f>'Reported burning'!C2467</f>
        <v>Unknown</v>
      </c>
      <c r="D2467" s="156" t="str">
        <f>'Reported burning'!D2467</f>
        <v>ND</v>
      </c>
      <c r="E2467" s="156" t="str">
        <f>'Reported burning'!E2467</f>
        <v>Forestry, Industrial</v>
      </c>
      <c r="F2467" s="156" t="str">
        <f>'Reported burning'!F2467</f>
        <v>Forest</v>
      </c>
      <c r="G2467" s="156" t="str">
        <f>'Reported burning'!G2467</f>
        <v>Forest</v>
      </c>
      <c r="H2467" s="156" t="str">
        <f>'Reported burning'!H2467</f>
        <v>Presence</v>
      </c>
      <c r="I2467" s="5"/>
      <c r="J2467" s="21" t="s">
        <v>2276</v>
      </c>
      <c r="K2467" s="21" t="s">
        <v>2276</v>
      </c>
      <c r="L2467" s="21" t="s">
        <v>2276</v>
      </c>
      <c r="M2467" s="21" t="s">
        <v>2276</v>
      </c>
      <c r="N2467" s="21" t="s">
        <v>2276</v>
      </c>
      <c r="O2467" s="21" t="s">
        <v>2276</v>
      </c>
      <c r="P2467" s="21" t="s">
        <v>2276</v>
      </c>
      <c r="Q2467" s="21" t="s">
        <v>2276</v>
      </c>
      <c r="R2467" s="21" t="s">
        <v>2276</v>
      </c>
      <c r="S2467" s="21" t="s">
        <v>2276</v>
      </c>
      <c r="T2467" s="21" t="s">
        <v>2276</v>
      </c>
      <c r="U2467" s="21" t="s">
        <v>2276</v>
      </c>
      <c r="V2467" s="21" t="s">
        <v>2276</v>
      </c>
      <c r="W2467" s="21" t="s">
        <v>2276</v>
      </c>
      <c r="X2467" s="204" t="str">
        <f>'Reported burning'!Z2467</f>
        <v>ND</v>
      </c>
      <c r="Y2467" s="204" t="str">
        <f>'Reported burning'!AA2467</f>
        <v>ND</v>
      </c>
      <c r="Z2467" s="204" t="str">
        <f>'Reported burning'!AB2467</f>
        <v>ND</v>
      </c>
      <c r="AA2467" s="204"/>
      <c r="AB2467" s="204"/>
    </row>
    <row r="2468" spans="1:28" ht="47.5" customHeight="1">
      <c r="A2468" s="156" t="str">
        <f>'Reported burning'!A2468</f>
        <v>287a</v>
      </c>
      <c r="B2468" s="156" t="str">
        <f>'Reported burning'!B2468</f>
        <v>287a.2</v>
      </c>
      <c r="C2468" s="156" t="str">
        <f>'Reported burning'!C2468</f>
        <v>Human, deliberate</v>
      </c>
      <c r="D2468" s="156" t="str">
        <f>'Reported burning'!D2468</f>
        <v>Pyrome management</v>
      </c>
      <c r="E2468" s="156" t="str">
        <f>'Reported burning'!E2468</f>
        <v>Forestry, Industrial</v>
      </c>
      <c r="F2468" s="156" t="str">
        <f>'Reported burning'!F2468</f>
        <v>Forest</v>
      </c>
      <c r="G2468" s="156" t="str">
        <f>'Reported burning'!G2468</f>
        <v>Forest</v>
      </c>
      <c r="H2468" s="156" t="str">
        <f>'Reported burning'!H2468</f>
        <v>Presence</v>
      </c>
      <c r="I2468" s="5"/>
      <c r="J2468" s="21" t="s">
        <v>2276</v>
      </c>
      <c r="K2468" s="21" t="s">
        <v>2276</v>
      </c>
      <c r="L2468" s="21" t="s">
        <v>2276</v>
      </c>
      <c r="M2468" s="21" t="s">
        <v>2276</v>
      </c>
      <c r="N2468" s="21" t="s">
        <v>2276</v>
      </c>
      <c r="O2468" s="21" t="s">
        <v>2276</v>
      </c>
      <c r="P2468" s="21" t="s">
        <v>2276</v>
      </c>
      <c r="Q2468" s="21" t="s">
        <v>2276</v>
      </c>
      <c r="R2468" s="21" t="s">
        <v>2276</v>
      </c>
      <c r="S2468" s="21" t="s">
        <v>2276</v>
      </c>
      <c r="T2468" s="21" t="s">
        <v>2276</v>
      </c>
      <c r="U2468" s="21" t="s">
        <v>2276</v>
      </c>
      <c r="V2468" s="21" t="s">
        <v>2276</v>
      </c>
      <c r="W2468" s="21" t="s">
        <v>2276</v>
      </c>
      <c r="X2468" s="204" t="str">
        <f>'Reported burning'!Z2468</f>
        <v>ND</v>
      </c>
      <c r="Y2468" s="204" t="str">
        <f>'Reported burning'!AA2468</f>
        <v>ND</v>
      </c>
      <c r="Z2468" s="204" t="str">
        <f>'Reported burning'!AB2468</f>
        <v>ND</v>
      </c>
      <c r="AA2468" s="204"/>
      <c r="AB2468" s="204"/>
    </row>
    <row r="2469" spans="1:28" ht="47.5" customHeight="1">
      <c r="A2469" s="156" t="str">
        <f>'Reported burning'!A2469</f>
        <v>287b</v>
      </c>
      <c r="B2469" s="156" t="str">
        <f>'Reported burning'!B2469</f>
        <v>287b.1</v>
      </c>
      <c r="C2469" s="156" t="str">
        <f>'Reported burning'!C2469</f>
        <v>Unknown</v>
      </c>
      <c r="D2469" s="156" t="str">
        <f>'Reported burning'!D2469</f>
        <v>ND</v>
      </c>
      <c r="E2469" s="156" t="str">
        <f>'Reported burning'!E2469</f>
        <v>Forestry, Industrial</v>
      </c>
      <c r="F2469" s="156" t="str">
        <f>'Reported burning'!F2469</f>
        <v>Forest</v>
      </c>
      <c r="G2469" s="156" t="str">
        <f>'Reported burning'!G2469</f>
        <v>Forest</v>
      </c>
      <c r="H2469" s="156" t="str">
        <f>'Reported burning'!H2469</f>
        <v>Presence</v>
      </c>
      <c r="I2469" s="5"/>
      <c r="J2469" s="21" t="s">
        <v>2276</v>
      </c>
      <c r="K2469" s="21" t="s">
        <v>2276</v>
      </c>
      <c r="L2469" s="21" t="s">
        <v>2276</v>
      </c>
      <c r="M2469" s="21" t="s">
        <v>2276</v>
      </c>
      <c r="N2469" s="21" t="s">
        <v>2276</v>
      </c>
      <c r="O2469" s="21" t="s">
        <v>2276</v>
      </c>
      <c r="P2469" s="21" t="s">
        <v>2276</v>
      </c>
      <c r="Q2469" s="21" t="s">
        <v>2276</v>
      </c>
      <c r="R2469" s="21" t="s">
        <v>2276</v>
      </c>
      <c r="S2469" s="21" t="s">
        <v>2276</v>
      </c>
      <c r="T2469" s="21" t="s">
        <v>2276</v>
      </c>
      <c r="U2469" s="21" t="s">
        <v>2276</v>
      </c>
      <c r="V2469" s="21" t="s">
        <v>2276</v>
      </c>
      <c r="W2469" s="21" t="s">
        <v>2276</v>
      </c>
      <c r="X2469" s="204" t="str">
        <f>'Reported burning'!Z2469</f>
        <v>ND</v>
      </c>
      <c r="Y2469" s="204" t="str">
        <f>'Reported burning'!AA2469</f>
        <v>ND</v>
      </c>
      <c r="Z2469" s="204" t="str">
        <f>'Reported burning'!AB2469</f>
        <v>ND</v>
      </c>
      <c r="AA2469" s="204"/>
      <c r="AB2469" s="204"/>
    </row>
    <row r="2470" spans="1:28" ht="47.5" customHeight="1">
      <c r="A2470" s="156" t="str">
        <f>'Reported burning'!A2470</f>
        <v>287b</v>
      </c>
      <c r="B2470" s="156" t="str">
        <f>'Reported burning'!B2470</f>
        <v>287b.2</v>
      </c>
      <c r="C2470" s="156" t="str">
        <f>'Reported burning'!C2470</f>
        <v>Human, deliberate</v>
      </c>
      <c r="D2470" s="156" t="str">
        <f>'Reported burning'!D2470</f>
        <v>Pyrome management</v>
      </c>
      <c r="E2470" s="156" t="str">
        <f>'Reported burning'!E2470</f>
        <v>Forestry, Industrial</v>
      </c>
      <c r="F2470" s="156" t="str">
        <f>'Reported burning'!F2470</f>
        <v>Forest</v>
      </c>
      <c r="G2470" s="156" t="str">
        <f>'Reported burning'!G2470</f>
        <v>Forest</v>
      </c>
      <c r="H2470" s="156" t="str">
        <f>'Reported burning'!H2470</f>
        <v>Presence</v>
      </c>
      <c r="I2470" s="5"/>
      <c r="J2470" s="21" t="s">
        <v>2276</v>
      </c>
      <c r="K2470" s="21" t="s">
        <v>2276</v>
      </c>
      <c r="L2470" s="21" t="s">
        <v>2276</v>
      </c>
      <c r="M2470" s="21" t="s">
        <v>2276</v>
      </c>
      <c r="N2470" s="21" t="s">
        <v>2276</v>
      </c>
      <c r="O2470" s="21" t="s">
        <v>2276</v>
      </c>
      <c r="P2470" s="21" t="s">
        <v>2276</v>
      </c>
      <c r="Q2470" s="21" t="s">
        <v>2276</v>
      </c>
      <c r="R2470" s="21" t="s">
        <v>2276</v>
      </c>
      <c r="S2470" s="21" t="s">
        <v>2276</v>
      </c>
      <c r="T2470" s="21" t="s">
        <v>2276</v>
      </c>
      <c r="U2470" s="21" t="s">
        <v>2276</v>
      </c>
      <c r="V2470" s="21" t="s">
        <v>2276</v>
      </c>
      <c r="W2470" s="21" t="s">
        <v>2276</v>
      </c>
      <c r="X2470" s="204" t="str">
        <f>'Reported burning'!Z2470</f>
        <v>ND</v>
      </c>
      <c r="Y2470" s="204" t="str">
        <f>'Reported burning'!AA2470</f>
        <v>ND</v>
      </c>
      <c r="Z2470" s="204" t="str">
        <f>'Reported burning'!AB2470</f>
        <v>ND</v>
      </c>
      <c r="AA2470" s="204"/>
      <c r="AB2470" s="204"/>
    </row>
    <row r="2471" spans="1:28" ht="47.5" customHeight="1">
      <c r="A2471" s="156" t="str">
        <f>'Reported burning'!A2471</f>
        <v>287c</v>
      </c>
      <c r="B2471" s="156" t="str">
        <f>'Reported burning'!B2471</f>
        <v>287c.1</v>
      </c>
      <c r="C2471" s="156" t="str">
        <f>'Reported burning'!C2471</f>
        <v>Unknown</v>
      </c>
      <c r="D2471" s="156" t="str">
        <f>'Reported burning'!D2471</f>
        <v>ND</v>
      </c>
      <c r="E2471" s="156" t="str">
        <f>'Reported burning'!E2471</f>
        <v>Forestry, Industrial</v>
      </c>
      <c r="F2471" s="156" t="str">
        <f>'Reported burning'!F2471</f>
        <v>Forest</v>
      </c>
      <c r="G2471" s="156" t="str">
        <f>'Reported burning'!G2471</f>
        <v>Forest</v>
      </c>
      <c r="H2471" s="156" t="str">
        <f>'Reported burning'!H2471</f>
        <v>Presence</v>
      </c>
      <c r="I2471" s="5"/>
      <c r="J2471" s="21" t="s">
        <v>2276</v>
      </c>
      <c r="K2471" s="21" t="s">
        <v>2276</v>
      </c>
      <c r="L2471" s="21" t="s">
        <v>2276</v>
      </c>
      <c r="M2471" s="21" t="s">
        <v>2276</v>
      </c>
      <c r="N2471" s="21" t="s">
        <v>2276</v>
      </c>
      <c r="O2471" s="21" t="s">
        <v>2276</v>
      </c>
      <c r="P2471" s="21" t="s">
        <v>2276</v>
      </c>
      <c r="Q2471" s="21" t="s">
        <v>2276</v>
      </c>
      <c r="R2471" s="21" t="s">
        <v>2276</v>
      </c>
      <c r="S2471" s="21" t="s">
        <v>2276</v>
      </c>
      <c r="T2471" s="21" t="s">
        <v>2276</v>
      </c>
      <c r="U2471" s="21" t="s">
        <v>2276</v>
      </c>
      <c r="V2471" s="21" t="s">
        <v>2276</v>
      </c>
      <c r="W2471" s="21" t="s">
        <v>2276</v>
      </c>
      <c r="X2471" s="204" t="str">
        <f>'Reported burning'!Z2471</f>
        <v>ND</v>
      </c>
      <c r="Y2471" s="204" t="str">
        <f>'Reported burning'!AA2471</f>
        <v>ND</v>
      </c>
      <c r="Z2471" s="204" t="str">
        <f>'Reported burning'!AB2471</f>
        <v>ND</v>
      </c>
      <c r="AA2471" s="204"/>
      <c r="AB2471" s="204"/>
    </row>
    <row r="2472" spans="1:28" ht="47.5" customHeight="1">
      <c r="A2472" s="156" t="str">
        <f>'Reported burning'!A2472</f>
        <v>287c</v>
      </c>
      <c r="B2472" s="156" t="str">
        <f>'Reported burning'!B2472</f>
        <v>287c.2</v>
      </c>
      <c r="C2472" s="156" t="str">
        <f>'Reported burning'!C2472</f>
        <v>Human, deliberate</v>
      </c>
      <c r="D2472" s="156" t="str">
        <f>'Reported burning'!D2472</f>
        <v>Pyrome management</v>
      </c>
      <c r="E2472" s="156" t="str">
        <f>'Reported burning'!E2472</f>
        <v>Forestry, Industrial</v>
      </c>
      <c r="F2472" s="156" t="str">
        <f>'Reported burning'!F2472</f>
        <v>Forest</v>
      </c>
      <c r="G2472" s="156" t="str">
        <f>'Reported burning'!G2472</f>
        <v>Forest</v>
      </c>
      <c r="H2472" s="156" t="str">
        <f>'Reported burning'!H2472</f>
        <v>Presence</v>
      </c>
      <c r="I2472" s="5"/>
      <c r="J2472" s="21" t="s">
        <v>2276</v>
      </c>
      <c r="K2472" s="21" t="s">
        <v>2276</v>
      </c>
      <c r="L2472" s="21" t="s">
        <v>2276</v>
      </c>
      <c r="M2472" s="21" t="s">
        <v>2276</v>
      </c>
      <c r="N2472" s="21" t="s">
        <v>2276</v>
      </c>
      <c r="O2472" s="21" t="s">
        <v>2276</v>
      </c>
      <c r="P2472" s="21" t="s">
        <v>2276</v>
      </c>
      <c r="Q2472" s="21" t="s">
        <v>2276</v>
      </c>
      <c r="R2472" s="21" t="s">
        <v>2276</v>
      </c>
      <c r="S2472" s="21" t="s">
        <v>2276</v>
      </c>
      <c r="T2472" s="21" t="s">
        <v>2276</v>
      </c>
      <c r="U2472" s="21" t="s">
        <v>2276</v>
      </c>
      <c r="V2472" s="21" t="s">
        <v>2276</v>
      </c>
      <c r="W2472" s="21" t="s">
        <v>2276</v>
      </c>
      <c r="X2472" s="204" t="str">
        <f>'Reported burning'!Z2472</f>
        <v>ND</v>
      </c>
      <c r="Y2472" s="204" t="str">
        <f>'Reported burning'!AA2472</f>
        <v>ND</v>
      </c>
      <c r="Z2472" s="204" t="str">
        <f>'Reported burning'!AB2472</f>
        <v>ND</v>
      </c>
      <c r="AA2472" s="204"/>
      <c r="AB2472" s="204"/>
    </row>
    <row r="2473" spans="1:28" ht="47.5" customHeight="1">
      <c r="A2473" s="156" t="str">
        <f>'Reported burning'!A2473</f>
        <v>287d</v>
      </c>
      <c r="B2473" s="156" t="str">
        <f>'Reported burning'!B2473</f>
        <v>287d.1</v>
      </c>
      <c r="C2473" s="156" t="str">
        <f>'Reported burning'!C2473</f>
        <v>Unknown</v>
      </c>
      <c r="D2473" s="156" t="str">
        <f>'Reported burning'!D2473</f>
        <v>ND</v>
      </c>
      <c r="E2473" s="156" t="str">
        <f>'Reported burning'!E2473</f>
        <v>Forestry, Industrial</v>
      </c>
      <c r="F2473" s="156" t="str">
        <f>'Reported burning'!F2473</f>
        <v>Forest</v>
      </c>
      <c r="G2473" s="156" t="str">
        <f>'Reported burning'!G2473</f>
        <v>Forest</v>
      </c>
      <c r="H2473" s="156" t="str">
        <f>'Reported burning'!H2473</f>
        <v>Presence</v>
      </c>
      <c r="I2473" s="5"/>
      <c r="J2473" s="21" t="s">
        <v>2276</v>
      </c>
      <c r="K2473" s="21" t="s">
        <v>2276</v>
      </c>
      <c r="L2473" s="21" t="s">
        <v>2276</v>
      </c>
      <c r="M2473" s="21" t="s">
        <v>2276</v>
      </c>
      <c r="N2473" s="21" t="s">
        <v>2276</v>
      </c>
      <c r="O2473" s="21" t="s">
        <v>2276</v>
      </c>
      <c r="P2473" s="21" t="s">
        <v>2276</v>
      </c>
      <c r="Q2473" s="21" t="s">
        <v>2276</v>
      </c>
      <c r="R2473" s="21" t="s">
        <v>2276</v>
      </c>
      <c r="S2473" s="21" t="s">
        <v>2276</v>
      </c>
      <c r="T2473" s="21" t="s">
        <v>2276</v>
      </c>
      <c r="U2473" s="21" t="s">
        <v>2276</v>
      </c>
      <c r="V2473" s="21" t="s">
        <v>2276</v>
      </c>
      <c r="W2473" s="21" t="s">
        <v>2276</v>
      </c>
      <c r="X2473" s="204" t="str">
        <f>'Reported burning'!Z2473</f>
        <v>ND</v>
      </c>
      <c r="Y2473" s="204" t="str">
        <f>'Reported burning'!AA2473</f>
        <v>ND</v>
      </c>
      <c r="Z2473" s="204" t="str">
        <f>'Reported burning'!AB2473</f>
        <v>ND</v>
      </c>
      <c r="AA2473" s="204"/>
      <c r="AB2473" s="204"/>
    </row>
    <row r="2474" spans="1:28" ht="47.5" customHeight="1">
      <c r="A2474" s="156" t="str">
        <f>'Reported burning'!A2474</f>
        <v>287d</v>
      </c>
      <c r="B2474" s="156" t="str">
        <f>'Reported burning'!B2474</f>
        <v>287d.2</v>
      </c>
      <c r="C2474" s="156" t="str">
        <f>'Reported burning'!C2474</f>
        <v>Human, deliberate</v>
      </c>
      <c r="D2474" s="156" t="str">
        <f>'Reported burning'!D2474</f>
        <v>Pyrome management</v>
      </c>
      <c r="E2474" s="156" t="str">
        <f>'Reported burning'!E2474</f>
        <v>Forestry, Industrial</v>
      </c>
      <c r="F2474" s="156" t="str">
        <f>'Reported burning'!F2474</f>
        <v>Forest</v>
      </c>
      <c r="G2474" s="156" t="str">
        <f>'Reported burning'!G2474</f>
        <v>Forest</v>
      </c>
      <c r="H2474" s="156" t="str">
        <f>'Reported burning'!H2474</f>
        <v>Presence</v>
      </c>
      <c r="I2474" s="5"/>
      <c r="J2474" s="21" t="s">
        <v>2276</v>
      </c>
      <c r="K2474" s="21" t="s">
        <v>2276</v>
      </c>
      <c r="L2474" s="21" t="s">
        <v>2276</v>
      </c>
      <c r="M2474" s="21" t="s">
        <v>2276</v>
      </c>
      <c r="N2474" s="21" t="s">
        <v>2276</v>
      </c>
      <c r="O2474" s="21" t="s">
        <v>2276</v>
      </c>
      <c r="P2474" s="21" t="s">
        <v>2276</v>
      </c>
      <c r="Q2474" s="21" t="s">
        <v>2276</v>
      </c>
      <c r="R2474" s="21" t="s">
        <v>2276</v>
      </c>
      <c r="S2474" s="21" t="s">
        <v>2276</v>
      </c>
      <c r="T2474" s="21" t="s">
        <v>2276</v>
      </c>
      <c r="U2474" s="21" t="s">
        <v>2276</v>
      </c>
      <c r="V2474" s="21" t="s">
        <v>2276</v>
      </c>
      <c r="W2474" s="21" t="s">
        <v>2276</v>
      </c>
      <c r="X2474" s="204" t="str">
        <f>'Reported burning'!Z2474</f>
        <v>ND</v>
      </c>
      <c r="Y2474" s="204" t="str">
        <f>'Reported burning'!AA2474</f>
        <v>ND</v>
      </c>
      <c r="Z2474" s="204" t="str">
        <f>'Reported burning'!AB2474</f>
        <v>ND</v>
      </c>
      <c r="AA2474" s="204"/>
      <c r="AB2474" s="204"/>
    </row>
    <row r="2475" spans="1:28" ht="47.5" customHeight="1">
      <c r="A2475" s="156" t="str">
        <f>'Reported burning'!A2475</f>
        <v>288a</v>
      </c>
      <c r="B2475" s="156" t="str">
        <f>'Reported burning'!B2475</f>
        <v>288a.1</v>
      </c>
      <c r="C2475" s="156" t="str">
        <f>'Reported burning'!C2475</f>
        <v>Human, deliberate</v>
      </c>
      <c r="D2475" s="156" t="str">
        <f>'Reported burning'!D2475</f>
        <v>Crop residue burning</v>
      </c>
      <c r="E2475" s="156" t="str">
        <f>'Reported burning'!E2475</f>
        <v>Forestry, Industrial</v>
      </c>
      <c r="F2475" s="156" t="str">
        <f>'Reported burning'!F2475</f>
        <v>Forest</v>
      </c>
      <c r="G2475" s="156" t="str">
        <f>'Reported burning'!G2475</f>
        <v>Forest</v>
      </c>
      <c r="H2475" s="156" t="str">
        <f>'Reported burning'!H2475</f>
        <v>Presence</v>
      </c>
      <c r="I2475" s="5"/>
      <c r="J2475" s="21" t="s">
        <v>2276</v>
      </c>
      <c r="K2475" s="21" t="s">
        <v>2276</v>
      </c>
      <c r="L2475" s="21" t="s">
        <v>2276</v>
      </c>
      <c r="M2475" s="21" t="s">
        <v>2276</v>
      </c>
      <c r="N2475" s="21" t="s">
        <v>2276</v>
      </c>
      <c r="O2475" s="21" t="s">
        <v>2276</v>
      </c>
      <c r="P2475" s="21" t="s">
        <v>2276</v>
      </c>
      <c r="Q2475" s="21" t="s">
        <v>2276</v>
      </c>
      <c r="R2475" s="21" t="s">
        <v>2276</v>
      </c>
      <c r="S2475" s="21" t="s">
        <v>2276</v>
      </c>
      <c r="T2475" s="21" t="s">
        <v>2276</v>
      </c>
      <c r="U2475" s="21" t="s">
        <v>2276</v>
      </c>
      <c r="V2475" s="21" t="s">
        <v>2276</v>
      </c>
      <c r="W2475" s="21" t="s">
        <v>2276</v>
      </c>
      <c r="X2475" s="204" t="str">
        <f>'Reported burning'!Z2475</f>
        <v>ND</v>
      </c>
      <c r="Y2475" s="204" t="str">
        <f>'Reported burning'!AA2475</f>
        <v>ND</v>
      </c>
      <c r="Z2475" s="204" t="str">
        <f>'Reported burning'!AB2475</f>
        <v>ND</v>
      </c>
      <c r="AA2475" s="204"/>
      <c r="AB2475" s="204"/>
    </row>
    <row r="2476" spans="1:28" ht="47.5" customHeight="1">
      <c r="A2476" s="156" t="str">
        <f>'Reported burning'!A2476</f>
        <v>288b</v>
      </c>
      <c r="B2476" s="156" t="str">
        <f>'Reported burning'!B2476</f>
        <v>288b.1</v>
      </c>
      <c r="C2476" s="156" t="str">
        <f>'Reported burning'!C2476</f>
        <v>Human, deliberate</v>
      </c>
      <c r="D2476" s="156" t="str">
        <f>'Reported burning'!D2476</f>
        <v>Crop residue burning</v>
      </c>
      <c r="E2476" s="156" t="str">
        <f>'Reported burning'!E2476</f>
        <v>Forestry, Industrial</v>
      </c>
      <c r="F2476" s="156" t="str">
        <f>'Reported burning'!F2476</f>
        <v>Forest</v>
      </c>
      <c r="G2476" s="156" t="str">
        <f>'Reported burning'!G2476</f>
        <v>Forest</v>
      </c>
      <c r="H2476" s="156" t="str">
        <f>'Reported burning'!H2476</f>
        <v>Presence</v>
      </c>
      <c r="I2476" s="5"/>
      <c r="J2476" s="21" t="s">
        <v>2276</v>
      </c>
      <c r="K2476" s="21" t="s">
        <v>2276</v>
      </c>
      <c r="L2476" s="21" t="s">
        <v>2276</v>
      </c>
      <c r="M2476" s="21" t="s">
        <v>2276</v>
      </c>
      <c r="N2476" s="21" t="s">
        <v>2276</v>
      </c>
      <c r="O2476" s="21" t="s">
        <v>2276</v>
      </c>
      <c r="P2476" s="21" t="s">
        <v>2276</v>
      </c>
      <c r="Q2476" s="21" t="s">
        <v>2276</v>
      </c>
      <c r="R2476" s="21" t="s">
        <v>2276</v>
      </c>
      <c r="S2476" s="21" t="s">
        <v>2276</v>
      </c>
      <c r="T2476" s="21" t="s">
        <v>2276</v>
      </c>
      <c r="U2476" s="21" t="s">
        <v>2276</v>
      </c>
      <c r="V2476" s="21" t="s">
        <v>2276</v>
      </c>
      <c r="W2476" s="21" t="s">
        <v>2276</v>
      </c>
      <c r="X2476" s="204" t="str">
        <f>'Reported burning'!Z2476</f>
        <v>ND</v>
      </c>
      <c r="Y2476" s="204" t="str">
        <f>'Reported burning'!AA2476</f>
        <v>ND</v>
      </c>
      <c r="Z2476" s="204" t="str">
        <f>'Reported burning'!AB2476</f>
        <v>ND</v>
      </c>
      <c r="AA2476" s="204"/>
      <c r="AB2476" s="204"/>
    </row>
    <row r="2477" spans="1:28" ht="47.5" customHeight="1">
      <c r="A2477" s="156" t="str">
        <f>'Reported burning'!A2477</f>
        <v>288c</v>
      </c>
      <c r="B2477" s="156" t="str">
        <f>'Reported burning'!B2477</f>
        <v>288c.1</v>
      </c>
      <c r="C2477" s="156" t="str">
        <f>'Reported burning'!C2477</f>
        <v>Human, deliberate</v>
      </c>
      <c r="D2477" s="156" t="str">
        <f>'Reported burning'!D2477</f>
        <v>Crop residue burning</v>
      </c>
      <c r="E2477" s="156" t="str">
        <f>'Reported burning'!E2477</f>
        <v>Forestry, Industrial</v>
      </c>
      <c r="F2477" s="156" t="str">
        <f>'Reported burning'!F2477</f>
        <v>Forest</v>
      </c>
      <c r="G2477" s="156" t="str">
        <f>'Reported burning'!G2477</f>
        <v>Forest</v>
      </c>
      <c r="H2477" s="156" t="str">
        <f>'Reported burning'!H2477</f>
        <v>Presence</v>
      </c>
      <c r="I2477" s="5"/>
      <c r="J2477" s="21" t="s">
        <v>2276</v>
      </c>
      <c r="K2477" s="21" t="s">
        <v>2276</v>
      </c>
      <c r="L2477" s="21" t="s">
        <v>2276</v>
      </c>
      <c r="M2477" s="21" t="s">
        <v>2276</v>
      </c>
      <c r="N2477" s="21" t="s">
        <v>2276</v>
      </c>
      <c r="O2477" s="21" t="s">
        <v>2276</v>
      </c>
      <c r="P2477" s="21" t="s">
        <v>2276</v>
      </c>
      <c r="Q2477" s="21" t="s">
        <v>2276</v>
      </c>
      <c r="R2477" s="21" t="s">
        <v>2276</v>
      </c>
      <c r="S2477" s="21" t="s">
        <v>2276</v>
      </c>
      <c r="T2477" s="21" t="s">
        <v>2276</v>
      </c>
      <c r="U2477" s="21" t="s">
        <v>2276</v>
      </c>
      <c r="V2477" s="21" t="s">
        <v>2276</v>
      </c>
      <c r="W2477" s="21" t="s">
        <v>2276</v>
      </c>
      <c r="X2477" s="21" t="s">
        <v>2276</v>
      </c>
      <c r="Y2477" s="21" t="s">
        <v>2276</v>
      </c>
      <c r="Z2477" s="21" t="s">
        <v>2276</v>
      </c>
      <c r="AA2477" s="204"/>
      <c r="AB2477" s="204"/>
    </row>
    <row r="2478" spans="1:28" ht="47.5" customHeight="1">
      <c r="A2478" s="156" t="str">
        <f>'Reported burning'!A2478</f>
        <v>288c</v>
      </c>
      <c r="B2478" s="156" t="str">
        <f>'Reported burning'!B2478</f>
        <v>288c.2</v>
      </c>
      <c r="C2478" s="156" t="str">
        <f>'Reported burning'!C2478</f>
        <v>Human, deliberate</v>
      </c>
      <c r="D2478" s="156" t="str">
        <f>'Reported burning'!D2478</f>
        <v>Pyrome management</v>
      </c>
      <c r="E2478" s="156" t="str">
        <f>'Reported burning'!E2478</f>
        <v>Forestry, Industrial</v>
      </c>
      <c r="F2478" s="156" t="str">
        <f>'Reported burning'!F2478</f>
        <v>Forest</v>
      </c>
      <c r="G2478" s="156" t="str">
        <f>'Reported burning'!G2478</f>
        <v>Forest</v>
      </c>
      <c r="H2478" s="156" t="str">
        <f>'Reported burning'!H2478</f>
        <v>Presence</v>
      </c>
      <c r="I2478" s="5"/>
      <c r="J2478" s="21" t="s">
        <v>2276</v>
      </c>
      <c r="K2478" s="21" t="s">
        <v>2276</v>
      </c>
      <c r="L2478" s="21" t="s">
        <v>2276</v>
      </c>
      <c r="M2478" s="21" t="s">
        <v>2276</v>
      </c>
      <c r="N2478" s="21" t="s">
        <v>2276</v>
      </c>
      <c r="O2478" s="21" t="s">
        <v>2276</v>
      </c>
      <c r="P2478" s="21" t="s">
        <v>2276</v>
      </c>
      <c r="Q2478" s="21" t="s">
        <v>2276</v>
      </c>
      <c r="R2478" s="21" t="s">
        <v>2276</v>
      </c>
      <c r="S2478" s="21" t="s">
        <v>2276</v>
      </c>
      <c r="T2478" s="21" t="s">
        <v>2276</v>
      </c>
      <c r="U2478" s="21" t="s">
        <v>2276</v>
      </c>
      <c r="V2478" s="21" t="s">
        <v>2276</v>
      </c>
      <c r="W2478" s="21" t="s">
        <v>2276</v>
      </c>
      <c r="X2478" s="21" t="s">
        <v>2276</v>
      </c>
      <c r="Y2478" s="21" t="s">
        <v>2276</v>
      </c>
      <c r="Z2478" s="21" t="s">
        <v>2276</v>
      </c>
      <c r="AA2478" s="204"/>
      <c r="AB2478" s="204"/>
    </row>
    <row r="2479" spans="1:28" ht="47.5" customHeight="1">
      <c r="A2479" s="156" t="str">
        <f>'Reported burning'!A2479</f>
        <v>288d</v>
      </c>
      <c r="B2479" s="156" t="str">
        <f>'Reported burning'!B2479</f>
        <v>288d.1</v>
      </c>
      <c r="C2479" s="156" t="str">
        <f>'Reported burning'!C2479</f>
        <v>Human, deliberate</v>
      </c>
      <c r="D2479" s="156" t="str">
        <f>'Reported burning'!D2479</f>
        <v>Crop residue burning</v>
      </c>
      <c r="E2479" s="156" t="str">
        <f>'Reported burning'!E2479</f>
        <v>Forestry, Industrial</v>
      </c>
      <c r="F2479" s="156" t="str">
        <f>'Reported burning'!F2479</f>
        <v>Forest</v>
      </c>
      <c r="G2479" s="156" t="str">
        <f>'Reported burning'!G2479</f>
        <v>Forest</v>
      </c>
      <c r="H2479" s="156" t="str">
        <f>'Reported burning'!H2479</f>
        <v>Presence</v>
      </c>
      <c r="I2479" s="5"/>
      <c r="J2479" s="21" t="s">
        <v>2276</v>
      </c>
      <c r="K2479" s="21" t="s">
        <v>2276</v>
      </c>
      <c r="L2479" s="21" t="s">
        <v>2276</v>
      </c>
      <c r="M2479" s="21" t="s">
        <v>2276</v>
      </c>
      <c r="N2479" s="21" t="s">
        <v>2276</v>
      </c>
      <c r="O2479" s="21" t="s">
        <v>2276</v>
      </c>
      <c r="P2479" s="21" t="s">
        <v>2276</v>
      </c>
      <c r="Q2479" s="21" t="s">
        <v>2276</v>
      </c>
      <c r="R2479" s="21" t="s">
        <v>2276</v>
      </c>
      <c r="S2479" s="21" t="s">
        <v>2276</v>
      </c>
      <c r="T2479" s="21" t="s">
        <v>2276</v>
      </c>
      <c r="U2479" s="21" t="s">
        <v>2276</v>
      </c>
      <c r="V2479" s="21" t="s">
        <v>2276</v>
      </c>
      <c r="W2479" s="21" t="s">
        <v>2276</v>
      </c>
      <c r="X2479" s="21" t="s">
        <v>2276</v>
      </c>
      <c r="Y2479" s="21" t="s">
        <v>2276</v>
      </c>
      <c r="Z2479" s="21" t="s">
        <v>2276</v>
      </c>
      <c r="AA2479" s="204"/>
      <c r="AB2479" s="204"/>
    </row>
    <row r="2480" spans="1:28" s="203" customFormat="1" ht="47.5" customHeight="1">
      <c r="A2480" s="156" t="str">
        <f>'Reported burning'!A2480</f>
        <v>288d</v>
      </c>
      <c r="B2480" s="156" t="str">
        <f>'Reported burning'!B2480</f>
        <v>288d.2</v>
      </c>
      <c r="C2480" s="156" t="str">
        <f>'Reported burning'!C2480</f>
        <v>Human, deliberate</v>
      </c>
      <c r="D2480" s="156" t="str">
        <f>'Reported burning'!D2480</f>
        <v>Pyrome management</v>
      </c>
      <c r="E2480" s="156" t="str">
        <f>'Reported burning'!E2480</f>
        <v>Forestry, Industrial</v>
      </c>
      <c r="F2480" s="156" t="str">
        <f>'Reported burning'!F2480</f>
        <v>Forest</v>
      </c>
      <c r="G2480" s="156" t="str">
        <f>'Reported burning'!G2480</f>
        <v>Forest</v>
      </c>
      <c r="H2480" s="156" t="str">
        <f>'Reported burning'!H2480</f>
        <v>Presence</v>
      </c>
      <c r="I2480" s="5"/>
      <c r="J2480" s="21" t="s">
        <v>2276</v>
      </c>
      <c r="K2480" s="21" t="s">
        <v>2276</v>
      </c>
      <c r="L2480" s="21" t="s">
        <v>2276</v>
      </c>
      <c r="M2480" s="21" t="s">
        <v>2276</v>
      </c>
      <c r="N2480" s="21" t="s">
        <v>2276</v>
      </c>
      <c r="O2480" s="21" t="s">
        <v>2276</v>
      </c>
      <c r="P2480" s="21" t="s">
        <v>2276</v>
      </c>
      <c r="Q2480" s="21" t="s">
        <v>2276</v>
      </c>
      <c r="R2480" s="21" t="s">
        <v>2276</v>
      </c>
      <c r="S2480" s="21" t="s">
        <v>2276</v>
      </c>
      <c r="T2480" s="21" t="s">
        <v>2276</v>
      </c>
      <c r="U2480" s="21" t="s">
        <v>2276</v>
      </c>
      <c r="V2480" s="21" t="s">
        <v>2276</v>
      </c>
      <c r="W2480" s="21" t="s">
        <v>2276</v>
      </c>
      <c r="X2480" s="21" t="s">
        <v>2276</v>
      </c>
      <c r="Y2480" s="21" t="s">
        <v>2276</v>
      </c>
      <c r="Z2480" s="21" t="s">
        <v>2276</v>
      </c>
      <c r="AA2480" s="204"/>
      <c r="AB2480" s="204"/>
    </row>
    <row r="2481" spans="1:28" ht="47.5" customHeight="1">
      <c r="A2481" s="156" t="str">
        <f>'Reported burning'!A2481</f>
        <v>288e</v>
      </c>
      <c r="B2481" s="156" t="str">
        <f>'Reported burning'!B2481</f>
        <v>288e.1</v>
      </c>
      <c r="C2481" s="156" t="str">
        <f>'Reported burning'!C2481</f>
        <v>Human, deliberate</v>
      </c>
      <c r="D2481" s="156" t="str">
        <f>'Reported burning'!D2481</f>
        <v>Crop residue burning</v>
      </c>
      <c r="E2481" s="156" t="str">
        <f>'Reported burning'!E2481</f>
        <v>Forestry, Industrial</v>
      </c>
      <c r="F2481" s="156" t="str">
        <f>'Reported burning'!F2481</f>
        <v>Forest</v>
      </c>
      <c r="G2481" s="156" t="str">
        <f>'Reported burning'!G2481</f>
        <v>Forest</v>
      </c>
      <c r="H2481" s="156" t="str">
        <f>'Reported burning'!H2481</f>
        <v>Presence</v>
      </c>
      <c r="I2481" s="5"/>
      <c r="J2481" s="21" t="s">
        <v>2276</v>
      </c>
      <c r="K2481" s="21" t="s">
        <v>2276</v>
      </c>
      <c r="L2481" s="21" t="s">
        <v>2276</v>
      </c>
      <c r="M2481" s="21" t="s">
        <v>2276</v>
      </c>
      <c r="N2481" s="21" t="s">
        <v>2276</v>
      </c>
      <c r="O2481" s="21" t="s">
        <v>2276</v>
      </c>
      <c r="P2481" s="21" t="s">
        <v>2276</v>
      </c>
      <c r="Q2481" s="21" t="s">
        <v>2276</v>
      </c>
      <c r="R2481" s="21" t="s">
        <v>2276</v>
      </c>
      <c r="S2481" s="21" t="s">
        <v>2276</v>
      </c>
      <c r="T2481" s="21" t="s">
        <v>2276</v>
      </c>
      <c r="U2481" s="21" t="s">
        <v>2276</v>
      </c>
      <c r="V2481" s="21" t="s">
        <v>2276</v>
      </c>
      <c r="W2481" s="21" t="s">
        <v>2276</v>
      </c>
      <c r="X2481" s="21" t="s">
        <v>2276</v>
      </c>
      <c r="Y2481" s="21" t="s">
        <v>2276</v>
      </c>
      <c r="Z2481" s="21" t="s">
        <v>2276</v>
      </c>
      <c r="AA2481" s="204"/>
      <c r="AB2481" s="204"/>
    </row>
    <row r="2482" spans="1:28" s="203" customFormat="1" ht="47.5" customHeight="1">
      <c r="A2482" s="156" t="str">
        <f>'Reported burning'!A2482</f>
        <v>288f</v>
      </c>
      <c r="B2482" s="156" t="str">
        <f>'Reported burning'!B2482</f>
        <v>288f.1</v>
      </c>
      <c r="C2482" s="156" t="str">
        <f>'Reported burning'!C2482</f>
        <v>Human, deliberate</v>
      </c>
      <c r="D2482" s="156" t="str">
        <f>'Reported burning'!D2482</f>
        <v>Crop residue burning</v>
      </c>
      <c r="E2482" s="156" t="str">
        <f>'Reported burning'!E2482</f>
        <v>Forestry, Industrial</v>
      </c>
      <c r="F2482" s="156" t="str">
        <f>'Reported burning'!F2482</f>
        <v>Forest</v>
      </c>
      <c r="G2482" s="156" t="str">
        <f>'Reported burning'!G2482</f>
        <v>Forest</v>
      </c>
      <c r="H2482" s="156" t="str">
        <f>'Reported burning'!H2482</f>
        <v>Presence</v>
      </c>
      <c r="I2482" s="5"/>
      <c r="J2482" s="21" t="s">
        <v>2276</v>
      </c>
      <c r="K2482" s="21" t="s">
        <v>2276</v>
      </c>
      <c r="L2482" s="21" t="s">
        <v>2276</v>
      </c>
      <c r="M2482" s="21" t="s">
        <v>2276</v>
      </c>
      <c r="N2482" s="21" t="s">
        <v>2276</v>
      </c>
      <c r="O2482" s="21" t="s">
        <v>2276</v>
      </c>
      <c r="P2482" s="21" t="s">
        <v>2276</v>
      </c>
      <c r="Q2482" s="21" t="s">
        <v>2276</v>
      </c>
      <c r="R2482" s="21" t="s">
        <v>2276</v>
      </c>
      <c r="S2482" s="21" t="s">
        <v>2276</v>
      </c>
      <c r="T2482" s="21" t="s">
        <v>2276</v>
      </c>
      <c r="U2482" s="21" t="s">
        <v>2276</v>
      </c>
      <c r="V2482" s="21" t="s">
        <v>2276</v>
      </c>
      <c r="W2482" s="21" t="s">
        <v>2276</v>
      </c>
      <c r="X2482" s="21" t="s">
        <v>2276</v>
      </c>
      <c r="Y2482" s="21" t="s">
        <v>2276</v>
      </c>
      <c r="Z2482" s="21" t="s">
        <v>2276</v>
      </c>
      <c r="AA2482" s="204"/>
      <c r="AB2482" s="204"/>
    </row>
    <row r="2483" spans="1:28" ht="47.5" customHeight="1">
      <c r="A2483" s="156" t="str">
        <f>'Reported burning'!A2483</f>
        <v>288g</v>
      </c>
      <c r="B2483" s="156" t="str">
        <f>'Reported burning'!B2483</f>
        <v>288g.1</v>
      </c>
      <c r="C2483" s="156" t="str">
        <f>'Reported burning'!C2483</f>
        <v>Human, deliberate</v>
      </c>
      <c r="D2483" s="156" t="str">
        <f>'Reported burning'!D2483</f>
        <v>Crop residue burning</v>
      </c>
      <c r="E2483" s="156" t="str">
        <f>'Reported burning'!E2483</f>
        <v>Forestry, Industrial</v>
      </c>
      <c r="F2483" s="156" t="str">
        <f>'Reported burning'!F2483</f>
        <v>Forest</v>
      </c>
      <c r="G2483" s="156" t="str">
        <f>'Reported burning'!G2483</f>
        <v>Forest</v>
      </c>
      <c r="H2483" s="156" t="str">
        <f>'Reported burning'!H2483</f>
        <v>Presence</v>
      </c>
      <c r="I2483" s="5"/>
      <c r="J2483" s="21" t="s">
        <v>2276</v>
      </c>
      <c r="K2483" s="21" t="s">
        <v>2276</v>
      </c>
      <c r="L2483" s="21" t="s">
        <v>2276</v>
      </c>
      <c r="M2483" s="21" t="s">
        <v>2276</v>
      </c>
      <c r="N2483" s="21" t="s">
        <v>2276</v>
      </c>
      <c r="O2483" s="21" t="s">
        <v>2276</v>
      </c>
      <c r="P2483" s="21" t="s">
        <v>2276</v>
      </c>
      <c r="Q2483" s="21" t="s">
        <v>2276</v>
      </c>
      <c r="R2483" s="21" t="s">
        <v>2276</v>
      </c>
      <c r="S2483" s="21" t="s">
        <v>2276</v>
      </c>
      <c r="T2483" s="21" t="s">
        <v>2276</v>
      </c>
      <c r="U2483" s="21" t="s">
        <v>2276</v>
      </c>
      <c r="V2483" s="21" t="s">
        <v>2276</v>
      </c>
      <c r="W2483" s="21" t="s">
        <v>2276</v>
      </c>
      <c r="X2483" s="21" t="s">
        <v>2276</v>
      </c>
      <c r="Y2483" s="21" t="s">
        <v>2276</v>
      </c>
      <c r="Z2483" s="21" t="s">
        <v>2276</v>
      </c>
      <c r="AA2483" s="204"/>
      <c r="AB2483" s="204"/>
    </row>
    <row r="2484" spans="1:28" ht="47.5" customHeight="1">
      <c r="A2484" s="156" t="str">
        <f>'Reported burning'!A2484</f>
        <v>288g</v>
      </c>
      <c r="B2484" s="156" t="str">
        <f>'Reported burning'!B2484</f>
        <v>288g.2</v>
      </c>
      <c r="C2484" s="156" t="str">
        <f>'Reported burning'!C2484</f>
        <v>Human, deliberate</v>
      </c>
      <c r="D2484" s="156" t="str">
        <f>'Reported burning'!D2484</f>
        <v>Pyrome management</v>
      </c>
      <c r="E2484" s="156" t="str">
        <f>'Reported burning'!E2484</f>
        <v>Forestry, Industrial</v>
      </c>
      <c r="F2484" s="156" t="str">
        <f>'Reported burning'!F2484</f>
        <v>Forest</v>
      </c>
      <c r="G2484" s="156" t="str">
        <f>'Reported burning'!G2484</f>
        <v>Forest</v>
      </c>
      <c r="H2484" s="156" t="str">
        <f>'Reported burning'!H2484</f>
        <v>Presence</v>
      </c>
      <c r="I2484" s="5"/>
      <c r="J2484" s="21" t="s">
        <v>2276</v>
      </c>
      <c r="K2484" s="21" t="s">
        <v>2276</v>
      </c>
      <c r="L2484" s="21" t="s">
        <v>2276</v>
      </c>
      <c r="M2484" s="21" t="s">
        <v>2276</v>
      </c>
      <c r="N2484" s="21" t="s">
        <v>2276</v>
      </c>
      <c r="O2484" s="21" t="s">
        <v>2276</v>
      </c>
      <c r="P2484" s="21" t="s">
        <v>2276</v>
      </c>
      <c r="Q2484" s="21" t="s">
        <v>2276</v>
      </c>
      <c r="R2484" s="21" t="s">
        <v>2276</v>
      </c>
      <c r="S2484" s="21" t="s">
        <v>2276</v>
      </c>
      <c r="T2484" s="21" t="s">
        <v>2276</v>
      </c>
      <c r="U2484" s="21" t="s">
        <v>2276</v>
      </c>
      <c r="V2484" s="21" t="s">
        <v>2276</v>
      </c>
      <c r="W2484" s="21" t="s">
        <v>2276</v>
      </c>
      <c r="X2484" s="21" t="s">
        <v>2276</v>
      </c>
      <c r="Y2484" s="21" t="s">
        <v>2276</v>
      </c>
      <c r="Z2484" s="21" t="s">
        <v>2276</v>
      </c>
      <c r="AA2484" s="204"/>
      <c r="AB2484" s="204"/>
    </row>
    <row r="2485" spans="1:28" ht="47.5" customHeight="1">
      <c r="A2485" s="156" t="str">
        <f>'Reported burning'!A2485</f>
        <v>288h</v>
      </c>
      <c r="B2485" s="156" t="str">
        <f>'Reported burning'!B2485</f>
        <v>288h.1</v>
      </c>
      <c r="C2485" s="156" t="str">
        <f>'Reported burning'!C2485</f>
        <v>Human, deliberate</v>
      </c>
      <c r="D2485" s="156" t="str">
        <f>'Reported burning'!D2485</f>
        <v>Crop residue burning</v>
      </c>
      <c r="E2485" s="156" t="str">
        <f>'Reported burning'!E2485</f>
        <v>Forestry, Industrial</v>
      </c>
      <c r="F2485" s="156" t="str">
        <f>'Reported burning'!F2485</f>
        <v>Forest</v>
      </c>
      <c r="G2485" s="156" t="str">
        <f>'Reported burning'!G2485</f>
        <v>Forest</v>
      </c>
      <c r="H2485" s="156" t="str">
        <f>'Reported burning'!H2485</f>
        <v>Presence</v>
      </c>
      <c r="I2485" s="5"/>
      <c r="J2485" s="21" t="s">
        <v>2276</v>
      </c>
      <c r="K2485" s="21" t="s">
        <v>2276</v>
      </c>
      <c r="L2485" s="21" t="s">
        <v>2276</v>
      </c>
      <c r="M2485" s="21" t="s">
        <v>2276</v>
      </c>
      <c r="N2485" s="21" t="s">
        <v>2276</v>
      </c>
      <c r="O2485" s="21" t="s">
        <v>2276</v>
      </c>
      <c r="P2485" s="21" t="s">
        <v>2276</v>
      </c>
      <c r="Q2485" s="21" t="s">
        <v>2276</v>
      </c>
      <c r="R2485" s="21" t="s">
        <v>2276</v>
      </c>
      <c r="S2485" s="21" t="s">
        <v>2276</v>
      </c>
      <c r="T2485" s="21" t="s">
        <v>2276</v>
      </c>
      <c r="U2485" s="21" t="s">
        <v>2276</v>
      </c>
      <c r="V2485" s="21" t="s">
        <v>2276</v>
      </c>
      <c r="W2485" s="21" t="s">
        <v>2276</v>
      </c>
      <c r="X2485" s="21" t="s">
        <v>2276</v>
      </c>
      <c r="Y2485" s="21" t="s">
        <v>2276</v>
      </c>
      <c r="Z2485" s="21" t="s">
        <v>2276</v>
      </c>
      <c r="AA2485" s="204"/>
      <c r="AB2485" s="204"/>
    </row>
    <row r="2486" spans="1:28" s="203" customFormat="1" ht="47.5" customHeight="1">
      <c r="A2486" s="156" t="str">
        <f>'Reported burning'!A2486</f>
        <v>288i</v>
      </c>
      <c r="B2486" s="156" t="str">
        <f>'Reported burning'!B2486</f>
        <v>288i.1</v>
      </c>
      <c r="C2486" s="156" t="str">
        <f>'Reported burning'!C2486</f>
        <v>Human, deliberate</v>
      </c>
      <c r="D2486" s="156" t="str">
        <f>'Reported burning'!D2486</f>
        <v>Crop residue burning</v>
      </c>
      <c r="E2486" s="156" t="str">
        <f>'Reported burning'!E2486</f>
        <v>Forestry, Industrial</v>
      </c>
      <c r="F2486" s="156" t="str">
        <f>'Reported burning'!F2486</f>
        <v>Forest</v>
      </c>
      <c r="G2486" s="156" t="str">
        <f>'Reported burning'!G2486</f>
        <v>Forest</v>
      </c>
      <c r="H2486" s="156" t="str">
        <f>'Reported burning'!H2486</f>
        <v>Presence</v>
      </c>
      <c r="I2486" s="5"/>
      <c r="J2486" s="21" t="s">
        <v>2276</v>
      </c>
      <c r="K2486" s="21" t="s">
        <v>2276</v>
      </c>
      <c r="L2486" s="21" t="s">
        <v>2276</v>
      </c>
      <c r="M2486" s="21" t="s">
        <v>2276</v>
      </c>
      <c r="N2486" s="21" t="s">
        <v>2276</v>
      </c>
      <c r="O2486" s="21" t="s">
        <v>2276</v>
      </c>
      <c r="P2486" s="21" t="s">
        <v>2276</v>
      </c>
      <c r="Q2486" s="21" t="s">
        <v>2276</v>
      </c>
      <c r="R2486" s="21" t="s">
        <v>2276</v>
      </c>
      <c r="S2486" s="21" t="s">
        <v>2276</v>
      </c>
      <c r="T2486" s="21" t="s">
        <v>2276</v>
      </c>
      <c r="U2486" s="21" t="s">
        <v>2276</v>
      </c>
      <c r="V2486" s="21" t="s">
        <v>2276</v>
      </c>
      <c r="W2486" s="21" t="s">
        <v>2276</v>
      </c>
      <c r="X2486" s="21" t="s">
        <v>2276</v>
      </c>
      <c r="Y2486" s="21" t="s">
        <v>2276</v>
      </c>
      <c r="Z2486" s="21" t="s">
        <v>2276</v>
      </c>
      <c r="AA2486" s="204"/>
      <c r="AB2486" s="204"/>
    </row>
    <row r="2487" spans="1:28" ht="47.5" customHeight="1">
      <c r="A2487" s="156" t="str">
        <f>'Reported burning'!A2487</f>
        <v>288j</v>
      </c>
      <c r="B2487" s="156" t="str">
        <f>'Reported burning'!B2487</f>
        <v>288j.1</v>
      </c>
      <c r="C2487" s="156" t="str">
        <f>'Reported burning'!C2487</f>
        <v>Human, deliberate</v>
      </c>
      <c r="D2487" s="156" t="str">
        <f>'Reported burning'!D2487</f>
        <v>Crop residue burning</v>
      </c>
      <c r="E2487" s="156" t="str">
        <f>'Reported burning'!E2487</f>
        <v>Forestry, Industrial</v>
      </c>
      <c r="F2487" s="156" t="str">
        <f>'Reported burning'!F2487</f>
        <v>Forest</v>
      </c>
      <c r="G2487" s="156" t="str">
        <f>'Reported burning'!G2487</f>
        <v>Forest</v>
      </c>
      <c r="H2487" s="156" t="str">
        <f>'Reported burning'!H2487</f>
        <v>Presence</v>
      </c>
      <c r="I2487" s="5"/>
      <c r="J2487" s="21" t="s">
        <v>2276</v>
      </c>
      <c r="K2487" s="21" t="s">
        <v>2276</v>
      </c>
      <c r="L2487" s="21" t="s">
        <v>2276</v>
      </c>
      <c r="M2487" s="21" t="s">
        <v>2276</v>
      </c>
      <c r="N2487" s="21" t="s">
        <v>2276</v>
      </c>
      <c r="O2487" s="21" t="s">
        <v>2276</v>
      </c>
      <c r="P2487" s="21" t="s">
        <v>2276</v>
      </c>
      <c r="Q2487" s="21" t="s">
        <v>2276</v>
      </c>
      <c r="R2487" s="21" t="s">
        <v>2276</v>
      </c>
      <c r="S2487" s="21" t="s">
        <v>2276</v>
      </c>
      <c r="T2487" s="21" t="s">
        <v>2276</v>
      </c>
      <c r="U2487" s="21" t="s">
        <v>2276</v>
      </c>
      <c r="V2487" s="21" t="s">
        <v>2276</v>
      </c>
      <c r="W2487" s="21" t="s">
        <v>2276</v>
      </c>
      <c r="X2487" s="21" t="s">
        <v>2276</v>
      </c>
      <c r="Y2487" s="21" t="s">
        <v>2276</v>
      </c>
      <c r="Z2487" s="21" t="s">
        <v>2276</v>
      </c>
      <c r="AA2487" s="204"/>
      <c r="AB2487" s="204"/>
    </row>
    <row r="2488" spans="1:28" ht="47.5" customHeight="1">
      <c r="A2488" s="156" t="str">
        <f>'Reported burning'!A2488</f>
        <v>288j</v>
      </c>
      <c r="B2488" s="156" t="str">
        <f>'Reported burning'!B2488</f>
        <v>288j.2</v>
      </c>
      <c r="C2488" s="156" t="str">
        <f>'Reported burning'!C2488</f>
        <v>Human, deliberate</v>
      </c>
      <c r="D2488" s="156" t="str">
        <f>'Reported burning'!D2488</f>
        <v>Pyrome management</v>
      </c>
      <c r="E2488" s="156" t="str">
        <f>'Reported burning'!E2488</f>
        <v>Forestry, Industrial</v>
      </c>
      <c r="F2488" s="156" t="str">
        <f>'Reported burning'!F2488</f>
        <v>Forest</v>
      </c>
      <c r="G2488" s="156" t="str">
        <f>'Reported burning'!G2488</f>
        <v>Forest</v>
      </c>
      <c r="H2488" s="156" t="str">
        <f>'Reported burning'!H2488</f>
        <v>Presence</v>
      </c>
      <c r="I2488" s="5"/>
      <c r="J2488" s="21" t="s">
        <v>2276</v>
      </c>
      <c r="K2488" s="21" t="s">
        <v>2276</v>
      </c>
      <c r="L2488" s="21" t="s">
        <v>2276</v>
      </c>
      <c r="M2488" s="21" t="s">
        <v>2276</v>
      </c>
      <c r="N2488" s="21" t="s">
        <v>2276</v>
      </c>
      <c r="O2488" s="21" t="s">
        <v>2276</v>
      </c>
      <c r="P2488" s="21" t="s">
        <v>2276</v>
      </c>
      <c r="Q2488" s="21" t="s">
        <v>2276</v>
      </c>
      <c r="R2488" s="21" t="s">
        <v>2276</v>
      </c>
      <c r="S2488" s="21" t="s">
        <v>2276</v>
      </c>
      <c r="T2488" s="21" t="s">
        <v>2276</v>
      </c>
      <c r="U2488" s="21" t="s">
        <v>2276</v>
      </c>
      <c r="V2488" s="21" t="s">
        <v>2276</v>
      </c>
      <c r="W2488" s="21" t="s">
        <v>2276</v>
      </c>
      <c r="X2488" s="21" t="s">
        <v>2276</v>
      </c>
      <c r="Y2488" s="21" t="s">
        <v>2276</v>
      </c>
      <c r="Z2488" s="21" t="s">
        <v>2276</v>
      </c>
      <c r="AA2488" s="204"/>
      <c r="AB2488" s="204"/>
    </row>
    <row r="2489" spans="1:28" ht="47.5" customHeight="1">
      <c r="A2489" s="156" t="str">
        <f>'Reported burning'!A2489</f>
        <v>288k</v>
      </c>
      <c r="B2489" s="156" t="str">
        <f>'Reported burning'!B2489</f>
        <v>288k.1</v>
      </c>
      <c r="C2489" s="156" t="str">
        <f>'Reported burning'!C2489</f>
        <v>Human, deliberate</v>
      </c>
      <c r="D2489" s="156" t="str">
        <f>'Reported burning'!D2489</f>
        <v>Crop residue burning</v>
      </c>
      <c r="E2489" s="156" t="str">
        <f>'Reported burning'!E2489</f>
        <v>Forestry, Industrial</v>
      </c>
      <c r="F2489" s="156" t="str">
        <f>'Reported burning'!F2489</f>
        <v>Forest</v>
      </c>
      <c r="G2489" s="156" t="str">
        <f>'Reported burning'!G2489</f>
        <v>Forest</v>
      </c>
      <c r="H2489" s="156" t="str">
        <f>'Reported burning'!H2489</f>
        <v>Presence</v>
      </c>
      <c r="I2489" s="5"/>
      <c r="J2489" s="21" t="s">
        <v>2276</v>
      </c>
      <c r="K2489" s="21" t="s">
        <v>2276</v>
      </c>
      <c r="L2489" s="21" t="s">
        <v>2276</v>
      </c>
      <c r="M2489" s="21" t="s">
        <v>2276</v>
      </c>
      <c r="N2489" s="21" t="s">
        <v>2276</v>
      </c>
      <c r="O2489" s="21" t="s">
        <v>2276</v>
      </c>
      <c r="P2489" s="21" t="s">
        <v>2276</v>
      </c>
      <c r="Q2489" s="21" t="s">
        <v>2276</v>
      </c>
      <c r="R2489" s="21" t="s">
        <v>2276</v>
      </c>
      <c r="S2489" s="21" t="s">
        <v>2276</v>
      </c>
      <c r="T2489" s="21" t="s">
        <v>2276</v>
      </c>
      <c r="U2489" s="21" t="s">
        <v>2276</v>
      </c>
      <c r="V2489" s="21" t="s">
        <v>2276</v>
      </c>
      <c r="W2489" s="21" t="s">
        <v>2276</v>
      </c>
      <c r="X2489" s="21" t="s">
        <v>2276</v>
      </c>
      <c r="Y2489" s="21" t="s">
        <v>2276</v>
      </c>
      <c r="Z2489" s="21" t="s">
        <v>2276</v>
      </c>
      <c r="AA2489" s="204"/>
      <c r="AB2489" s="204"/>
    </row>
    <row r="2490" spans="1:28" s="203" customFormat="1" ht="47.5" customHeight="1">
      <c r="A2490" s="156" t="str">
        <f>'Reported burning'!A2490</f>
        <v>288k</v>
      </c>
      <c r="B2490" s="156" t="str">
        <f>'Reported burning'!B2490</f>
        <v>288k.2</v>
      </c>
      <c r="C2490" s="156" t="str">
        <f>'Reported burning'!C2490</f>
        <v>Human, deliberate</v>
      </c>
      <c r="D2490" s="156" t="str">
        <f>'Reported burning'!D2490</f>
        <v>Pyrome management</v>
      </c>
      <c r="E2490" s="156" t="str">
        <f>'Reported burning'!E2490</f>
        <v>Forestry, Industrial</v>
      </c>
      <c r="F2490" s="156" t="str">
        <f>'Reported burning'!F2490</f>
        <v>Forest</v>
      </c>
      <c r="G2490" s="156" t="str">
        <f>'Reported burning'!G2490</f>
        <v>Forest</v>
      </c>
      <c r="H2490" s="156" t="str">
        <f>'Reported burning'!H2490</f>
        <v>Presence</v>
      </c>
      <c r="I2490" s="5"/>
      <c r="J2490" s="21" t="s">
        <v>2276</v>
      </c>
      <c r="K2490" s="21" t="s">
        <v>2276</v>
      </c>
      <c r="L2490" s="21" t="s">
        <v>2276</v>
      </c>
      <c r="M2490" s="21" t="s">
        <v>2276</v>
      </c>
      <c r="N2490" s="21" t="s">
        <v>2276</v>
      </c>
      <c r="O2490" s="21" t="s">
        <v>2276</v>
      </c>
      <c r="P2490" s="21" t="s">
        <v>2276</v>
      </c>
      <c r="Q2490" s="21" t="s">
        <v>2276</v>
      </c>
      <c r="R2490" s="21" t="s">
        <v>2276</v>
      </c>
      <c r="S2490" s="21" t="s">
        <v>2276</v>
      </c>
      <c r="T2490" s="21" t="s">
        <v>2276</v>
      </c>
      <c r="U2490" s="21" t="s">
        <v>2276</v>
      </c>
      <c r="V2490" s="21" t="s">
        <v>2276</v>
      </c>
      <c r="W2490" s="21" t="s">
        <v>2276</v>
      </c>
      <c r="X2490" s="21" t="s">
        <v>2276</v>
      </c>
      <c r="Y2490" s="21" t="s">
        <v>2276</v>
      </c>
      <c r="Z2490" s="21" t="s">
        <v>2276</v>
      </c>
      <c r="AA2490" s="204"/>
      <c r="AB2490" s="204"/>
    </row>
    <row r="2491" spans="1:28" ht="47.5" customHeight="1">
      <c r="A2491" s="156" t="str">
        <f>'Reported burning'!A2491</f>
        <v>289a</v>
      </c>
      <c r="B2491" s="156" t="str">
        <f>'Reported burning'!B2491</f>
        <v>289a.1</v>
      </c>
      <c r="C2491" s="156" t="str">
        <f>'Reported burning'!C2491</f>
        <v>Human, escaped</v>
      </c>
      <c r="D2491" s="156" t="str">
        <f>'Reported burning'!D2491</f>
        <v>ND</v>
      </c>
      <c r="E2491" s="156" t="str">
        <f>'Reported burning'!E2491</f>
        <v>Tourism manager</v>
      </c>
      <c r="F2491" s="156" t="str">
        <f>'Reported burning'!F2491</f>
        <v>Forest</v>
      </c>
      <c r="G2491" s="156" t="str">
        <f>'Reported burning'!G2491</f>
        <v>Forest</v>
      </c>
      <c r="H2491" s="156" t="str">
        <f>'Reported burning'!H2491</f>
        <v>Presence</v>
      </c>
      <c r="I2491" s="5"/>
      <c r="J2491" s="21" t="s">
        <v>2276</v>
      </c>
      <c r="K2491" s="21" t="s">
        <v>2276</v>
      </c>
      <c r="L2491" s="21" t="s">
        <v>2276</v>
      </c>
      <c r="M2491" s="21" t="s">
        <v>2276</v>
      </c>
      <c r="N2491" s="21" t="s">
        <v>2276</v>
      </c>
      <c r="O2491" s="21" t="s">
        <v>2276</v>
      </c>
      <c r="P2491" s="21" t="s">
        <v>2276</v>
      </c>
      <c r="Q2491" s="21" t="s">
        <v>2276</v>
      </c>
      <c r="R2491" s="21" t="s">
        <v>2276</v>
      </c>
      <c r="S2491" s="21" t="s">
        <v>2276</v>
      </c>
      <c r="T2491" s="21" t="s">
        <v>2276</v>
      </c>
      <c r="U2491" s="21" t="s">
        <v>2276</v>
      </c>
      <c r="V2491" s="21" t="s">
        <v>2276</v>
      </c>
      <c r="W2491" s="21" t="s">
        <v>2276</v>
      </c>
      <c r="X2491" s="204" t="str">
        <f>'Reported burning'!Z2491</f>
        <v>March</v>
      </c>
      <c r="Y2491" s="204" t="str">
        <f>'Reported burning'!AA2491</f>
        <v>October</v>
      </c>
      <c r="Z2491" s="204" t="str">
        <f>'Reported burning'!AB2491</f>
        <v>ND</v>
      </c>
      <c r="AA2491" s="204"/>
      <c r="AB2491" s="204"/>
    </row>
    <row r="2492" spans="1:28" s="203" customFormat="1" ht="47.5" customHeight="1">
      <c r="A2492" s="156" t="str">
        <f>'Reported burning'!A2492</f>
        <v>289a</v>
      </c>
      <c r="B2492" s="156" t="str">
        <f>'Reported burning'!B2492</f>
        <v>289a.2</v>
      </c>
      <c r="C2492" s="156" t="str">
        <f>'Reported burning'!C2492</f>
        <v>Lightning</v>
      </c>
      <c r="D2492" s="156" t="str">
        <f>'Reported burning'!D2492</f>
        <v>ND</v>
      </c>
      <c r="E2492" s="156" t="str">
        <f>'Reported burning'!E2492</f>
        <v>Biodiversity conservation</v>
      </c>
      <c r="F2492" s="156" t="str">
        <f>'Reported burning'!F2492</f>
        <v>Forest</v>
      </c>
      <c r="G2492" s="156" t="str">
        <f>'Reported burning'!G2492</f>
        <v>Forest</v>
      </c>
      <c r="H2492" s="156" t="str">
        <f>'Reported burning'!H2492</f>
        <v>Presence</v>
      </c>
      <c r="I2492" s="5"/>
      <c r="J2492" s="21" t="s">
        <v>2276</v>
      </c>
      <c r="K2492" s="21" t="s">
        <v>2276</v>
      </c>
      <c r="L2492" s="21" t="s">
        <v>2276</v>
      </c>
      <c r="M2492" s="21" t="s">
        <v>2276</v>
      </c>
      <c r="N2492" s="21" t="s">
        <v>2276</v>
      </c>
      <c r="O2492" s="21" t="s">
        <v>2276</v>
      </c>
      <c r="P2492" s="21" t="s">
        <v>2276</v>
      </c>
      <c r="Q2492" s="21" t="s">
        <v>2276</v>
      </c>
      <c r="R2492" s="21" t="s">
        <v>2276</v>
      </c>
      <c r="S2492" s="21" t="s">
        <v>2276</v>
      </c>
      <c r="T2492" s="21" t="s">
        <v>2276</v>
      </c>
      <c r="U2492" s="21" t="s">
        <v>2276</v>
      </c>
      <c r="V2492" s="21" t="s">
        <v>2276</v>
      </c>
      <c r="W2492" s="21" t="s">
        <v>2276</v>
      </c>
      <c r="X2492" s="204" t="str">
        <f>'Reported burning'!Z2492</f>
        <v>March</v>
      </c>
      <c r="Y2492" s="204" t="str">
        <f>'Reported burning'!AA2492</f>
        <v>October</v>
      </c>
      <c r="Z2492" s="204" t="str">
        <f>'Reported burning'!AB2492</f>
        <v>ND</v>
      </c>
      <c r="AA2492" s="204"/>
      <c r="AB2492" s="204"/>
    </row>
    <row r="2493" spans="1:28" ht="47.5" customHeight="1">
      <c r="A2493" s="156" t="str">
        <f>'Reported burning'!A2493</f>
        <v>289a</v>
      </c>
      <c r="B2493" s="156" t="str">
        <f>'Reported burning'!B2493</f>
        <v>289a.3</v>
      </c>
      <c r="C2493" s="156" t="str">
        <f>'Reported burning'!C2493</f>
        <v>All</v>
      </c>
      <c r="D2493" s="156" t="str">
        <f>'Reported burning'!D2493</f>
        <v>ND</v>
      </c>
      <c r="E2493" s="156" t="str">
        <f>'Reported burning'!E2493</f>
        <v>All</v>
      </c>
      <c r="F2493" s="156" t="str">
        <f>'Reported burning'!F2493</f>
        <v>Forest</v>
      </c>
      <c r="G2493" s="156" t="str">
        <f>'Reported burning'!G2493</f>
        <v>Forest</v>
      </c>
      <c r="H2493" s="156" t="str">
        <f>'Reported burning'!H2493</f>
        <v>Presence</v>
      </c>
      <c r="I2493" s="5"/>
      <c r="J2493" s="21" t="s">
        <v>2368</v>
      </c>
      <c r="K2493" s="21" t="s">
        <v>2276</v>
      </c>
      <c r="L2493" s="21" t="s">
        <v>2362</v>
      </c>
      <c r="M2493" s="21" t="s">
        <v>2276</v>
      </c>
      <c r="N2493" s="21" t="s">
        <v>2276</v>
      </c>
      <c r="O2493" s="21" t="s">
        <v>2276</v>
      </c>
      <c r="P2493" s="21" t="s">
        <v>2276</v>
      </c>
      <c r="Q2493" s="21" t="s">
        <v>2276</v>
      </c>
      <c r="R2493" s="21" t="s">
        <v>2375</v>
      </c>
      <c r="S2493" s="21" t="s">
        <v>2276</v>
      </c>
      <c r="T2493" s="21" t="s">
        <v>2276</v>
      </c>
      <c r="U2493" s="21" t="s">
        <v>2276</v>
      </c>
      <c r="V2493" s="21" t="s">
        <v>2276</v>
      </c>
      <c r="W2493" s="21" t="s">
        <v>2276</v>
      </c>
      <c r="X2493" s="204" t="str">
        <f>'Reported burning'!Z2493</f>
        <v>March</v>
      </c>
      <c r="Y2493" s="204" t="str">
        <f>'Reported burning'!AA2493</f>
        <v>October</v>
      </c>
      <c r="Z2493" s="204" t="str">
        <f>'Reported burning'!AB2493</f>
        <v>ND</v>
      </c>
      <c r="AA2493" s="204"/>
      <c r="AB2493" s="4" t="s">
        <v>7858</v>
      </c>
    </row>
    <row r="2494" spans="1:28" ht="47.5" customHeight="1">
      <c r="A2494" s="156" t="str">
        <f>'Reported burning'!A2494</f>
        <v>289b</v>
      </c>
      <c r="B2494" s="156" t="str">
        <f>'Reported burning'!B2494</f>
        <v>289b.1</v>
      </c>
      <c r="C2494" s="156" t="str">
        <f>'Reported burning'!C2494</f>
        <v>Human, escaped</v>
      </c>
      <c r="D2494" s="156" t="str">
        <f>'Reported burning'!D2494</f>
        <v>ND</v>
      </c>
      <c r="E2494" s="156" t="str">
        <f>'Reported burning'!E2494</f>
        <v>Forestry, Industrial</v>
      </c>
      <c r="F2494" s="156" t="str">
        <f>'Reported burning'!F2494</f>
        <v>Forest</v>
      </c>
      <c r="G2494" s="156" t="str">
        <f>'Reported burning'!G2494</f>
        <v>Forest</v>
      </c>
      <c r="H2494" s="156" t="str">
        <f>'Reported burning'!H2494</f>
        <v>Presence</v>
      </c>
      <c r="I2494" s="5"/>
      <c r="J2494" s="21" t="s">
        <v>2276</v>
      </c>
      <c r="K2494" s="21" t="s">
        <v>2276</v>
      </c>
      <c r="L2494" s="21" t="s">
        <v>2276</v>
      </c>
      <c r="M2494" s="21" t="s">
        <v>2276</v>
      </c>
      <c r="N2494" s="21" t="s">
        <v>2276</v>
      </c>
      <c r="O2494" s="21" t="s">
        <v>2276</v>
      </c>
      <c r="P2494" s="21" t="s">
        <v>2276</v>
      </c>
      <c r="Q2494" s="21" t="s">
        <v>2276</v>
      </c>
      <c r="R2494" s="21" t="s">
        <v>2276</v>
      </c>
      <c r="S2494" s="21" t="s">
        <v>2276</v>
      </c>
      <c r="T2494" s="21" t="s">
        <v>2276</v>
      </c>
      <c r="U2494" s="21" t="s">
        <v>2276</v>
      </c>
      <c r="V2494" s="21" t="s">
        <v>2276</v>
      </c>
      <c r="W2494" s="21" t="s">
        <v>2276</v>
      </c>
      <c r="X2494" s="204" t="str">
        <f>'Reported burning'!Z2494</f>
        <v>March</v>
      </c>
      <c r="Y2494" s="204" t="str">
        <f>'Reported burning'!AA2494</f>
        <v>October</v>
      </c>
      <c r="Z2494" s="204" t="str">
        <f>'Reported burning'!AB2494</f>
        <v>ND</v>
      </c>
      <c r="AA2494" s="204"/>
      <c r="AB2494" s="4"/>
    </row>
    <row r="2495" spans="1:28" s="203" customFormat="1" ht="47.5" customHeight="1">
      <c r="A2495" s="156" t="str">
        <f>'Reported burning'!A2495</f>
        <v>289b</v>
      </c>
      <c r="B2495" s="156" t="str">
        <f>'Reported burning'!B2495</f>
        <v>289b.2</v>
      </c>
      <c r="C2495" s="156" t="str">
        <f>'Reported burning'!C2495</f>
        <v>Lightning</v>
      </c>
      <c r="D2495" s="156" t="str">
        <f>'Reported burning'!D2495</f>
        <v>ND</v>
      </c>
      <c r="E2495" s="156" t="str">
        <f>'Reported burning'!E2495</f>
        <v>Forestry, Industrial</v>
      </c>
      <c r="F2495" s="156" t="str">
        <f>'Reported burning'!F2495</f>
        <v>Forest</v>
      </c>
      <c r="G2495" s="156" t="str">
        <f>'Reported burning'!G2495</f>
        <v>Forest</v>
      </c>
      <c r="H2495" s="156" t="str">
        <f>'Reported burning'!H2495</f>
        <v>Presence</v>
      </c>
      <c r="I2495" s="5"/>
      <c r="J2495" s="21" t="s">
        <v>2276</v>
      </c>
      <c r="K2495" s="21" t="s">
        <v>2276</v>
      </c>
      <c r="L2495" s="21" t="s">
        <v>2276</v>
      </c>
      <c r="M2495" s="21" t="s">
        <v>2276</v>
      </c>
      <c r="N2495" s="21" t="s">
        <v>2276</v>
      </c>
      <c r="O2495" s="21" t="s">
        <v>2276</v>
      </c>
      <c r="P2495" s="21" t="s">
        <v>2276</v>
      </c>
      <c r="Q2495" s="21" t="s">
        <v>2276</v>
      </c>
      <c r="R2495" s="21" t="s">
        <v>2276</v>
      </c>
      <c r="S2495" s="21" t="s">
        <v>2276</v>
      </c>
      <c r="T2495" s="21" t="s">
        <v>2276</v>
      </c>
      <c r="U2495" s="21" t="s">
        <v>2276</v>
      </c>
      <c r="V2495" s="21" t="s">
        <v>2276</v>
      </c>
      <c r="W2495" s="21" t="s">
        <v>2276</v>
      </c>
      <c r="X2495" s="204" t="str">
        <f>'Reported burning'!Z2495</f>
        <v>March</v>
      </c>
      <c r="Y2495" s="204" t="str">
        <f>'Reported burning'!AA2495</f>
        <v>October</v>
      </c>
      <c r="Z2495" s="204" t="str">
        <f>'Reported burning'!AB2495</f>
        <v>ND</v>
      </c>
      <c r="AA2495" s="204"/>
      <c r="AB2495" s="4"/>
    </row>
    <row r="2496" spans="1:28" ht="47.5" customHeight="1">
      <c r="A2496" s="156" t="str">
        <f>'Reported burning'!A2496</f>
        <v>289b</v>
      </c>
      <c r="B2496" s="156" t="str">
        <f>'Reported burning'!B2496</f>
        <v>289b.3</v>
      </c>
      <c r="C2496" s="156" t="str">
        <f>'Reported burning'!C2496</f>
        <v>All</v>
      </c>
      <c r="D2496" s="156" t="str">
        <f>'Reported burning'!D2496</f>
        <v>ND</v>
      </c>
      <c r="E2496" s="156" t="str">
        <f>'Reported burning'!E2496</f>
        <v>All</v>
      </c>
      <c r="F2496" s="156" t="str">
        <f>'Reported burning'!F2496</f>
        <v>Forest</v>
      </c>
      <c r="G2496" s="156" t="str">
        <f>'Reported burning'!G2496</f>
        <v>Forest</v>
      </c>
      <c r="H2496" s="156" t="str">
        <f>'Reported burning'!H2496</f>
        <v>Presence</v>
      </c>
      <c r="I2496" s="5"/>
      <c r="J2496" s="21" t="s">
        <v>2369</v>
      </c>
      <c r="K2496" s="21" t="s">
        <v>2276</v>
      </c>
      <c r="L2496" s="21" t="s">
        <v>2362</v>
      </c>
      <c r="M2496" s="21" t="s">
        <v>2276</v>
      </c>
      <c r="N2496" s="21" t="s">
        <v>2276</v>
      </c>
      <c r="O2496" s="21" t="s">
        <v>2276</v>
      </c>
      <c r="P2496" s="21" t="s">
        <v>2276</v>
      </c>
      <c r="Q2496" s="21" t="s">
        <v>2276</v>
      </c>
      <c r="R2496" s="21" t="s">
        <v>2375</v>
      </c>
      <c r="S2496" s="21" t="s">
        <v>2276</v>
      </c>
      <c r="T2496" s="21" t="s">
        <v>2276</v>
      </c>
      <c r="U2496" s="21" t="s">
        <v>2276</v>
      </c>
      <c r="V2496" s="21" t="s">
        <v>2276</v>
      </c>
      <c r="W2496" s="21" t="s">
        <v>2276</v>
      </c>
      <c r="X2496" s="204" t="str">
        <f>'Reported burning'!Z2496</f>
        <v>March</v>
      </c>
      <c r="Y2496" s="204" t="str">
        <f>'Reported burning'!AA2496</f>
        <v>October</v>
      </c>
      <c r="Z2496" s="204" t="str">
        <f>'Reported burning'!AB2496</f>
        <v>ND</v>
      </c>
      <c r="AA2496" s="204"/>
      <c r="AB2496" s="4" t="s">
        <v>7858</v>
      </c>
    </row>
    <row r="2497" spans="1:28" ht="47.5" customHeight="1">
      <c r="A2497" s="156" t="str">
        <f>'Reported burning'!A2497</f>
        <v>290a</v>
      </c>
      <c r="B2497" s="156" t="str">
        <f>'Reported burning'!B2497</f>
        <v>290a.1</v>
      </c>
      <c r="C2497" s="156" t="str">
        <f>'Reported burning'!C2497</f>
        <v>All</v>
      </c>
      <c r="D2497" s="156" t="str">
        <f>'Reported burning'!D2497</f>
        <v>ND</v>
      </c>
      <c r="E2497" s="156" t="str">
        <f>'Reported burning'!E2497</f>
        <v>Forestry, Industrial</v>
      </c>
      <c r="F2497" s="156" t="str">
        <f>'Reported burning'!F2497</f>
        <v>Forest</v>
      </c>
      <c r="G2497" s="156" t="str">
        <f>'Reported burning'!G2497</f>
        <v>Forest</v>
      </c>
      <c r="H2497" s="156" t="str">
        <f>'Reported burning'!H2497</f>
        <v>Presence</v>
      </c>
      <c r="I2497" s="5"/>
      <c r="J2497" s="21" t="s">
        <v>2276</v>
      </c>
      <c r="K2497" s="21" t="s">
        <v>2276</v>
      </c>
      <c r="L2497" s="21" t="s">
        <v>2276</v>
      </c>
      <c r="M2497" s="21" t="s">
        <v>2276</v>
      </c>
      <c r="N2497" s="21" t="s">
        <v>2276</v>
      </c>
      <c r="O2497" s="21" t="s">
        <v>2276</v>
      </c>
      <c r="P2497" s="21" t="s">
        <v>2276</v>
      </c>
      <c r="Q2497" s="21" t="s">
        <v>2276</v>
      </c>
      <c r="R2497" s="21" t="s">
        <v>2276</v>
      </c>
      <c r="S2497" s="21" t="s">
        <v>2276</v>
      </c>
      <c r="T2497" s="21" t="s">
        <v>2276</v>
      </c>
      <c r="U2497" s="21" t="s">
        <v>2276</v>
      </c>
      <c r="V2497" s="21" t="s">
        <v>2276</v>
      </c>
      <c r="W2497" s="21" t="s">
        <v>2276</v>
      </c>
      <c r="X2497" s="204" t="str">
        <f>'Reported burning'!Z2497</f>
        <v>ND</v>
      </c>
      <c r="Y2497" s="204" t="str">
        <f>'Reported burning'!AA2497</f>
        <v>ND</v>
      </c>
      <c r="Z2497" s="204" t="str">
        <f>'Reported burning'!AB2497</f>
        <v>ND</v>
      </c>
      <c r="AA2497" s="204"/>
      <c r="AB2497" s="204"/>
    </row>
    <row r="2498" spans="1:28" s="203" customFormat="1" ht="47.5" customHeight="1">
      <c r="A2498" s="156" t="str">
        <f>'Reported burning'!A2498</f>
        <v>290a</v>
      </c>
      <c r="B2498" s="156" t="str">
        <f>'Reported burning'!B2498</f>
        <v>290a.2</v>
      </c>
      <c r="C2498" s="156" t="str">
        <f>'Reported burning'!C2498</f>
        <v>All</v>
      </c>
      <c r="D2498" s="156" t="str">
        <f>'Reported burning'!D2498</f>
        <v>ND</v>
      </c>
      <c r="E2498" s="156" t="str">
        <f>'Reported burning'!E2498</f>
        <v>Forestry, Industrial</v>
      </c>
      <c r="F2498" s="156" t="str">
        <f>'Reported burning'!F2498</f>
        <v>Forest</v>
      </c>
      <c r="G2498" s="156" t="str">
        <f>'Reported burning'!G2498</f>
        <v>Forest</v>
      </c>
      <c r="H2498" s="156" t="str">
        <f>'Reported burning'!H2498</f>
        <v>Presence</v>
      </c>
      <c r="I2498" s="5"/>
      <c r="J2498" s="21" t="s">
        <v>2276</v>
      </c>
      <c r="K2498" s="21" t="s">
        <v>2276</v>
      </c>
      <c r="L2498" s="21" t="s">
        <v>2276</v>
      </c>
      <c r="M2498" s="21" t="s">
        <v>2276</v>
      </c>
      <c r="N2498" s="21" t="s">
        <v>2276</v>
      </c>
      <c r="O2498" s="21" t="s">
        <v>2276</v>
      </c>
      <c r="P2498" s="21" t="s">
        <v>2276</v>
      </c>
      <c r="Q2498" s="21" t="s">
        <v>2276</v>
      </c>
      <c r="R2498" s="21" t="s">
        <v>2276</v>
      </c>
      <c r="S2498" s="21" t="s">
        <v>2276</v>
      </c>
      <c r="T2498" s="21" t="s">
        <v>2276</v>
      </c>
      <c r="U2498" s="21" t="s">
        <v>2276</v>
      </c>
      <c r="V2498" s="21" t="s">
        <v>2276</v>
      </c>
      <c r="W2498" s="21" t="s">
        <v>2276</v>
      </c>
      <c r="X2498" s="204" t="str">
        <f>'Reported burning'!Z2498</f>
        <v>ND</v>
      </c>
      <c r="Y2498" s="204" t="str">
        <f>'Reported burning'!AA2498</f>
        <v>ND</v>
      </c>
      <c r="Z2498" s="204" t="str">
        <f>'Reported burning'!AB2498</f>
        <v>ND</v>
      </c>
      <c r="AA2498" s="204"/>
      <c r="AB2498" s="204"/>
    </row>
    <row r="2499" spans="1:28" ht="47.5" customHeight="1">
      <c r="A2499" s="156" t="str">
        <f>'Reported burning'!A2499</f>
        <v>290a</v>
      </c>
      <c r="B2499" s="156" t="str">
        <f>'Reported burning'!B2499</f>
        <v>290a.3</v>
      </c>
      <c r="C2499" s="156" t="str">
        <f>'Reported burning'!C2499</f>
        <v>All</v>
      </c>
      <c r="D2499" s="156" t="str">
        <f>'Reported burning'!D2499</f>
        <v>ND</v>
      </c>
      <c r="E2499" s="156" t="str">
        <f>'Reported burning'!E2499</f>
        <v>Forestry, Industrial</v>
      </c>
      <c r="F2499" s="156" t="str">
        <f>'Reported burning'!F2499</f>
        <v>Forest</v>
      </c>
      <c r="G2499" s="156" t="str">
        <f>'Reported burning'!G2499</f>
        <v>Forest</v>
      </c>
      <c r="H2499" s="156" t="str">
        <f>'Reported burning'!H2499</f>
        <v>Presence</v>
      </c>
      <c r="I2499" s="5"/>
      <c r="J2499" s="21" t="s">
        <v>2276</v>
      </c>
      <c r="K2499" s="21" t="s">
        <v>2276</v>
      </c>
      <c r="L2499" s="21" t="s">
        <v>2276</v>
      </c>
      <c r="M2499" s="21" t="s">
        <v>2276</v>
      </c>
      <c r="N2499" s="21" t="s">
        <v>2276</v>
      </c>
      <c r="O2499" s="21" t="s">
        <v>2276</v>
      </c>
      <c r="P2499" s="21" t="s">
        <v>2276</v>
      </c>
      <c r="Q2499" s="21" t="s">
        <v>2276</v>
      </c>
      <c r="R2499" s="21" t="s">
        <v>2276</v>
      </c>
      <c r="S2499" s="21" t="s">
        <v>2276</v>
      </c>
      <c r="T2499" s="21" t="s">
        <v>2276</v>
      </c>
      <c r="U2499" s="21" t="s">
        <v>2276</v>
      </c>
      <c r="V2499" s="21" t="s">
        <v>2276</v>
      </c>
      <c r="W2499" s="21" t="s">
        <v>2276</v>
      </c>
      <c r="X2499" s="204" t="str">
        <f>'Reported burning'!Z2499</f>
        <v>ND</v>
      </c>
      <c r="Y2499" s="204" t="str">
        <f>'Reported burning'!AA2499</f>
        <v>ND</v>
      </c>
      <c r="Z2499" s="204" t="str">
        <f>'Reported burning'!AB2499</f>
        <v>ND</v>
      </c>
      <c r="AA2499" s="204"/>
      <c r="AB2499" s="204"/>
    </row>
    <row r="2500" spans="1:28" ht="47.5" customHeight="1">
      <c r="A2500" s="156" t="str">
        <f>'Reported burning'!A2500</f>
        <v>291a</v>
      </c>
      <c r="B2500" s="156" t="str">
        <f>'Reported burning'!B2500</f>
        <v>291a.1</v>
      </c>
      <c r="C2500" s="156" t="str">
        <f>'Reported burning'!C2500</f>
        <v>Human, deliberate</v>
      </c>
      <c r="D2500" s="156" t="str">
        <f>'Reported burning'!D2500</f>
        <v>Pyrome management</v>
      </c>
      <c r="E2500" s="156" t="str">
        <f>'Reported burning'!E2500</f>
        <v>Forestry, Industrial</v>
      </c>
      <c r="F2500" s="156" t="str">
        <f>'Reported burning'!F2500</f>
        <v>Forest</v>
      </c>
      <c r="G2500" s="156" t="str">
        <f>'Reported burning'!G2500</f>
        <v>Forest</v>
      </c>
      <c r="H2500" s="156" t="str">
        <f>'Reported burning'!H2500</f>
        <v>Presence</v>
      </c>
      <c r="I2500" s="5"/>
      <c r="J2500" s="21" t="s">
        <v>2276</v>
      </c>
      <c r="K2500" s="21" t="s">
        <v>2276</v>
      </c>
      <c r="L2500" s="21" t="s">
        <v>2276</v>
      </c>
      <c r="M2500" s="21" t="s">
        <v>2276</v>
      </c>
      <c r="N2500" s="21" t="s">
        <v>2276</v>
      </c>
      <c r="O2500" s="21" t="s">
        <v>2276</v>
      </c>
      <c r="P2500" s="21" t="s">
        <v>2276</v>
      </c>
      <c r="Q2500" s="21" t="s">
        <v>2276</v>
      </c>
      <c r="R2500" s="21" t="s">
        <v>2276</v>
      </c>
      <c r="S2500" s="21" t="s">
        <v>2276</v>
      </c>
      <c r="T2500" s="21" t="s">
        <v>2276</v>
      </c>
      <c r="U2500" s="21" t="s">
        <v>2276</v>
      </c>
      <c r="V2500" s="21" t="s">
        <v>2276</v>
      </c>
      <c r="W2500" s="21" t="s">
        <v>2276</v>
      </c>
      <c r="X2500" s="204" t="str">
        <f>'Reported burning'!Z2500</f>
        <v>June</v>
      </c>
      <c r="Y2500" s="204" t="str">
        <f>'Reported burning'!AA2500</f>
        <v>August</v>
      </c>
      <c r="Z2500" s="204" t="str">
        <f>'Reported burning'!AB2500</f>
        <v>Seasonal, Consistent</v>
      </c>
      <c r="AA2500" s="204"/>
      <c r="AB2500" s="204"/>
    </row>
    <row r="2501" spans="1:28" ht="47.5" customHeight="1">
      <c r="A2501" s="156" t="str">
        <f>'Reported burning'!A2501</f>
        <v>292a</v>
      </c>
      <c r="B2501" s="156" t="str">
        <f>'Reported burning'!B2501</f>
        <v>292a.1</v>
      </c>
      <c r="C2501" s="156" t="str">
        <f>'Reported burning'!C2501</f>
        <v>Human, deliberate</v>
      </c>
      <c r="D2501" s="156" t="str">
        <f>'Reported burning'!D2501</f>
        <v>Pyrome management</v>
      </c>
      <c r="E2501" s="156" t="str">
        <f>'Reported burning'!E2501</f>
        <v>Forestry, Industrial</v>
      </c>
      <c r="F2501" s="156" t="str">
        <f>'Reported burning'!F2501</f>
        <v>Forest</v>
      </c>
      <c r="G2501" s="156" t="str">
        <f>'Reported burning'!G2501</f>
        <v>Forest</v>
      </c>
      <c r="H2501" s="156" t="str">
        <f>'Reported burning'!H2501</f>
        <v>Presence</v>
      </c>
      <c r="I2501" s="5"/>
      <c r="J2501" s="21" t="s">
        <v>2276</v>
      </c>
      <c r="K2501" s="21" t="s">
        <v>2276</v>
      </c>
      <c r="L2501" s="21" t="s">
        <v>2276</v>
      </c>
      <c r="M2501" s="21" t="s">
        <v>2276</v>
      </c>
      <c r="N2501" s="21" t="s">
        <v>2276</v>
      </c>
      <c r="O2501" s="21" t="s">
        <v>2276</v>
      </c>
      <c r="P2501" s="21" t="s">
        <v>2276</v>
      </c>
      <c r="Q2501" s="21" t="s">
        <v>2276</v>
      </c>
      <c r="R2501" s="21" t="s">
        <v>2276</v>
      </c>
      <c r="S2501" s="21" t="s">
        <v>2276</v>
      </c>
      <c r="T2501" s="21" t="s">
        <v>2276</v>
      </c>
      <c r="U2501" s="21" t="s">
        <v>2276</v>
      </c>
      <c r="V2501" s="21" t="s">
        <v>2276</v>
      </c>
      <c r="W2501" s="21" t="s">
        <v>2276</v>
      </c>
      <c r="X2501" s="204" t="str">
        <f>'Reported burning'!Z2501</f>
        <v>ND</v>
      </c>
      <c r="Y2501" s="204" t="str">
        <f>'Reported burning'!AA2501</f>
        <v>ND</v>
      </c>
      <c r="Z2501" s="204" t="str">
        <f>'Reported burning'!AB2501</f>
        <v>ND</v>
      </c>
      <c r="AA2501" s="204"/>
      <c r="AB2501" s="204"/>
    </row>
    <row r="2502" spans="1:28" ht="47.5" customHeight="1">
      <c r="A2502" s="156" t="str">
        <f>'Reported burning'!A2502</f>
        <v>292a</v>
      </c>
      <c r="B2502" s="156" t="str">
        <f>'Reported burning'!B2502</f>
        <v>292a.2</v>
      </c>
      <c r="C2502" s="156" t="str">
        <f>'Reported burning'!C2502</f>
        <v>Lightning</v>
      </c>
      <c r="D2502" s="156" t="str">
        <f>'Reported burning'!D2502</f>
        <v>ND</v>
      </c>
      <c r="E2502" s="156" t="str">
        <f>'Reported burning'!E2502</f>
        <v>Forestry, Industrial</v>
      </c>
      <c r="F2502" s="156" t="str">
        <f>'Reported burning'!F2502</f>
        <v>Forest</v>
      </c>
      <c r="G2502" s="156" t="str">
        <f>'Reported burning'!G2502</f>
        <v>Forest</v>
      </c>
      <c r="H2502" s="156" t="str">
        <f>'Reported burning'!H2502</f>
        <v>Presence</v>
      </c>
      <c r="I2502" s="5"/>
      <c r="J2502" s="21" t="s">
        <v>2276</v>
      </c>
      <c r="K2502" s="21" t="s">
        <v>2276</v>
      </c>
      <c r="L2502" s="21" t="s">
        <v>2276</v>
      </c>
      <c r="M2502" s="21" t="s">
        <v>2276</v>
      </c>
      <c r="N2502" s="21" t="s">
        <v>2276</v>
      </c>
      <c r="O2502" s="21" t="s">
        <v>2276</v>
      </c>
      <c r="P2502" s="21" t="s">
        <v>2276</v>
      </c>
      <c r="Q2502" s="21" t="s">
        <v>2276</v>
      </c>
      <c r="R2502" s="21" t="s">
        <v>2276</v>
      </c>
      <c r="S2502" s="21" t="s">
        <v>2276</v>
      </c>
      <c r="T2502" s="21" t="s">
        <v>2276</v>
      </c>
      <c r="U2502" s="21" t="s">
        <v>2276</v>
      </c>
      <c r="V2502" s="21" t="s">
        <v>2276</v>
      </c>
      <c r="W2502" s="21" t="s">
        <v>2276</v>
      </c>
      <c r="X2502" s="204" t="str">
        <f>'Reported burning'!Z2502</f>
        <v>ND</v>
      </c>
      <c r="Y2502" s="204" t="str">
        <f>'Reported burning'!AA2502</f>
        <v>ND</v>
      </c>
      <c r="Z2502" s="204" t="str">
        <f>'Reported burning'!AB2502</f>
        <v>ND</v>
      </c>
      <c r="AA2502" s="204"/>
      <c r="AB2502" s="204"/>
    </row>
    <row r="2503" spans="1:28" ht="47.5" customHeight="1">
      <c r="A2503" s="156" t="str">
        <f>'Reported burning'!A2503</f>
        <v>294a</v>
      </c>
      <c r="B2503" s="156" t="str">
        <f>'Reported burning'!B2503</f>
        <v>294a.1</v>
      </c>
      <c r="C2503" s="156" t="str">
        <f>'Reported burning'!C2503</f>
        <v>Human, deliberate</v>
      </c>
      <c r="D2503" s="156" t="str">
        <f>'Reported burning'!D2503</f>
        <v>Pasture renewal</v>
      </c>
      <c r="E2503" s="156" t="str">
        <f>'Reported burning'!E2503</f>
        <v>Cattle, Extensive</v>
      </c>
      <c r="F2503" s="156" t="str">
        <f>'Reported burning'!F2503</f>
        <v>Pasture</v>
      </c>
      <c r="G2503" s="156" t="str">
        <f>'Reported burning'!G2503</f>
        <v>Pasture</v>
      </c>
      <c r="H2503" s="156" t="str">
        <f>'Reported burning'!H2503</f>
        <v>Presence</v>
      </c>
      <c r="I2503" s="5"/>
      <c r="J2503" s="21" t="s">
        <v>2276</v>
      </c>
      <c r="K2503" s="21" t="s">
        <v>2276</v>
      </c>
      <c r="L2503" s="21" t="s">
        <v>2276</v>
      </c>
      <c r="M2503" s="21" t="s">
        <v>2276</v>
      </c>
      <c r="N2503" s="21" t="s">
        <v>2276</v>
      </c>
      <c r="O2503" s="21" t="s">
        <v>2276</v>
      </c>
      <c r="P2503" s="21" t="s">
        <v>2276</v>
      </c>
      <c r="Q2503" s="21" t="s">
        <v>2276</v>
      </c>
      <c r="R2503" s="21" t="s">
        <v>2276</v>
      </c>
      <c r="S2503" s="21" t="s">
        <v>2276</v>
      </c>
      <c r="T2503" s="21" t="s">
        <v>2389</v>
      </c>
      <c r="U2503" s="21" t="s">
        <v>2276</v>
      </c>
      <c r="V2503" s="21" t="s">
        <v>2276</v>
      </c>
      <c r="W2503" s="21" t="s">
        <v>2402</v>
      </c>
      <c r="X2503" s="204" t="s">
        <v>405</v>
      </c>
      <c r="Y2503" s="204" t="s">
        <v>425</v>
      </c>
      <c r="Z2503" s="4" t="s">
        <v>64</v>
      </c>
      <c r="AA2503" s="204"/>
      <c r="AB2503" s="4" t="s">
        <v>7004</v>
      </c>
    </row>
    <row r="2504" spans="1:28" ht="47.5" customHeight="1">
      <c r="A2504" s="156" t="str">
        <f>'Reported burning'!A2504</f>
        <v>294a</v>
      </c>
      <c r="B2504" s="156" t="str">
        <f>'Reported burning'!B2504</f>
        <v>294a.2</v>
      </c>
      <c r="C2504" s="156" t="str">
        <f>'Reported burning'!C2504</f>
        <v>Human, deliberate</v>
      </c>
      <c r="D2504" s="156" t="str">
        <f>'Reported burning'!D2504</f>
        <v>Pasture renewal</v>
      </c>
      <c r="E2504" s="156" t="str">
        <f>'Reported burning'!E2504</f>
        <v>Cattle, Intensive</v>
      </c>
      <c r="F2504" s="156" t="str">
        <f>'Reported burning'!F2504</f>
        <v>Pasture</v>
      </c>
      <c r="G2504" s="156" t="str">
        <f>'Reported burning'!G2504</f>
        <v>Pasture</v>
      </c>
      <c r="H2504" s="156" t="str">
        <f>'Reported burning'!H2504</f>
        <v>Presence</v>
      </c>
      <c r="I2504" s="5"/>
      <c r="J2504" s="21" t="s">
        <v>2276</v>
      </c>
      <c r="K2504" s="21" t="s">
        <v>2276</v>
      </c>
      <c r="L2504" s="21" t="s">
        <v>2276</v>
      </c>
      <c r="M2504" s="21" t="s">
        <v>2276</v>
      </c>
      <c r="N2504" s="21" t="s">
        <v>2276</v>
      </c>
      <c r="O2504" s="21" t="s">
        <v>2276</v>
      </c>
      <c r="P2504" s="21" t="s">
        <v>2276</v>
      </c>
      <c r="Q2504" s="21" t="s">
        <v>2276</v>
      </c>
      <c r="R2504" s="21" t="s">
        <v>2276</v>
      </c>
      <c r="S2504" s="21" t="s">
        <v>2276</v>
      </c>
      <c r="T2504" s="21" t="s">
        <v>2527</v>
      </c>
      <c r="U2504" s="21" t="s">
        <v>2276</v>
      </c>
      <c r="V2504" s="21" t="s">
        <v>2276</v>
      </c>
      <c r="W2504" s="21" t="s">
        <v>2276</v>
      </c>
      <c r="X2504" s="204" t="s">
        <v>405</v>
      </c>
      <c r="Y2504" s="204" t="s">
        <v>425</v>
      </c>
      <c r="Z2504" s="4" t="s">
        <v>64</v>
      </c>
      <c r="AA2504" s="204"/>
      <c r="AB2504" s="4"/>
    </row>
    <row r="2505" spans="1:28" ht="123.5" customHeight="1">
      <c r="A2505" s="156" t="str">
        <f>'Reported burning'!A2505</f>
        <v>294a</v>
      </c>
      <c r="B2505" s="156" t="str">
        <f>'Reported burning'!B2505</f>
        <v>294a.3</v>
      </c>
      <c r="C2505" s="156" t="str">
        <f>'Reported burning'!C2505</f>
        <v>Human, escaped</v>
      </c>
      <c r="D2505" s="156" t="str">
        <f>'Reported burning'!D2505</f>
        <v>Pasture renewal</v>
      </c>
      <c r="E2505" s="156" t="str">
        <f>'Reported burning'!E2505</f>
        <v>Cattle, Extensive</v>
      </c>
      <c r="F2505" s="156" t="str">
        <f>'Reported burning'!F2505</f>
        <v>Pasture</v>
      </c>
      <c r="G2505" s="156" t="str">
        <f>'Reported burning'!G2505</f>
        <v>Secondary vegetation</v>
      </c>
      <c r="H2505" s="156" t="str">
        <f>'Reported burning'!H2505</f>
        <v>Presence</v>
      </c>
      <c r="I2505" s="5"/>
      <c r="J2505" s="21" t="s">
        <v>2276</v>
      </c>
      <c r="K2505" s="21" t="s">
        <v>2276</v>
      </c>
      <c r="L2505" s="21" t="s">
        <v>2276</v>
      </c>
      <c r="M2505" s="21" t="s">
        <v>2276</v>
      </c>
      <c r="N2505" s="21" t="s">
        <v>2276</v>
      </c>
      <c r="O2505" s="21" t="s">
        <v>2276</v>
      </c>
      <c r="P2505" s="21" t="s">
        <v>2276</v>
      </c>
      <c r="Q2505" s="21" t="s">
        <v>2276</v>
      </c>
      <c r="R2505" s="21" t="s">
        <v>2276</v>
      </c>
      <c r="S2505" s="21" t="s">
        <v>2276</v>
      </c>
      <c r="T2505" s="21" t="s">
        <v>2527</v>
      </c>
      <c r="U2505" s="21" t="s">
        <v>2276</v>
      </c>
      <c r="V2505" s="21" t="s">
        <v>2276</v>
      </c>
      <c r="W2505" s="21" t="s">
        <v>2403</v>
      </c>
      <c r="X2505" s="204" t="s">
        <v>405</v>
      </c>
      <c r="Y2505" s="204" t="s">
        <v>425</v>
      </c>
      <c r="Z2505" s="4" t="s">
        <v>64</v>
      </c>
      <c r="AA2505" s="4" t="s">
        <v>7006</v>
      </c>
      <c r="AB2505" s="4" t="s">
        <v>7005</v>
      </c>
    </row>
    <row r="2506" spans="1:28" ht="33" customHeight="1">
      <c r="A2506" s="156" t="str">
        <f>'Reported burning'!A2506</f>
        <v>294a</v>
      </c>
      <c r="B2506" s="156" t="str">
        <f>'Reported burning'!B2506</f>
        <v>294a.4</v>
      </c>
      <c r="C2506" s="156" t="str">
        <f>'Reported burning'!C2506</f>
        <v>Human, escaped</v>
      </c>
      <c r="D2506" s="156" t="str">
        <f>'Reported burning'!D2506</f>
        <v>Pasture renewal</v>
      </c>
      <c r="E2506" s="156" t="str">
        <f>'Reported burning'!E2506</f>
        <v>Cattle, Intensive</v>
      </c>
      <c r="F2506" s="156" t="str">
        <f>'Reported burning'!F2506</f>
        <v>Pasture</v>
      </c>
      <c r="G2506" s="156" t="str">
        <f>'Reported burning'!G2506</f>
        <v>Secondary vegetation</v>
      </c>
      <c r="H2506" s="156" t="str">
        <f>'Reported burning'!H2506</f>
        <v>Presence</v>
      </c>
      <c r="I2506" s="5"/>
      <c r="J2506" s="21" t="s">
        <v>2276</v>
      </c>
      <c r="K2506" s="21" t="s">
        <v>2276</v>
      </c>
      <c r="L2506" s="21" t="s">
        <v>2276</v>
      </c>
      <c r="M2506" s="21" t="s">
        <v>2276</v>
      </c>
      <c r="N2506" s="21" t="s">
        <v>2276</v>
      </c>
      <c r="O2506" s="21" t="s">
        <v>2276</v>
      </c>
      <c r="P2506" s="21" t="s">
        <v>2276</v>
      </c>
      <c r="Q2506" s="21" t="s">
        <v>2276</v>
      </c>
      <c r="R2506" s="21" t="s">
        <v>2276</v>
      </c>
      <c r="S2506" s="21" t="s">
        <v>2276</v>
      </c>
      <c r="T2506" s="21" t="s">
        <v>2527</v>
      </c>
      <c r="U2506" s="21" t="s">
        <v>2276</v>
      </c>
      <c r="V2506" s="21" t="s">
        <v>2276</v>
      </c>
      <c r="W2506" s="21" t="s">
        <v>2276</v>
      </c>
      <c r="X2506" s="204" t="s">
        <v>405</v>
      </c>
      <c r="Y2506" s="204" t="s">
        <v>425</v>
      </c>
      <c r="Z2506" s="4" t="s">
        <v>64</v>
      </c>
      <c r="AA2506" s="204"/>
      <c r="AB2506" s="204"/>
    </row>
    <row r="2507" spans="1:28" ht="78.5" customHeight="1">
      <c r="A2507" s="156" t="str">
        <f>'Reported burning'!A2507</f>
        <v>295a</v>
      </c>
      <c r="B2507" s="156" t="str">
        <f>'Reported burning'!B2507</f>
        <v>295a.1</v>
      </c>
      <c r="C2507" s="156" t="str">
        <f>'Reported burning'!C2507</f>
        <v>Human, deliberate</v>
      </c>
      <c r="D2507" s="156" t="str">
        <f>'Reported burning'!D2507</f>
        <v>Land clearance</v>
      </c>
      <c r="E2507" s="156" t="str">
        <f>'Reported burning'!E2507</f>
        <v>Cropping, Intensive</v>
      </c>
      <c r="F2507" s="156" t="str">
        <f>'Reported burning'!F2507</f>
        <v>Shrubland (Mixed forest &amp; grassland)</v>
      </c>
      <c r="G2507" s="156" t="str">
        <f>'Reported burning'!G2507</f>
        <v>Shrubland (Mixed forest &amp; grassland)</v>
      </c>
      <c r="H2507" s="156" t="str">
        <f>'Reported burning'!H2507</f>
        <v>Presence</v>
      </c>
      <c r="I2507" s="5"/>
      <c r="J2507" s="21"/>
      <c r="K2507" s="103"/>
      <c r="L2507" s="177" t="s">
        <v>2276</v>
      </c>
      <c r="M2507" s="21" t="s">
        <v>2276</v>
      </c>
      <c r="N2507" s="21" t="s">
        <v>2276</v>
      </c>
      <c r="O2507" s="21" t="s">
        <v>2276</v>
      </c>
      <c r="P2507" s="21" t="s">
        <v>2276</v>
      </c>
      <c r="Q2507" s="21" t="s">
        <v>2276</v>
      </c>
      <c r="R2507" s="21" t="s">
        <v>2276</v>
      </c>
      <c r="S2507" s="21" t="s">
        <v>2276</v>
      </c>
      <c r="T2507" s="21" t="s">
        <v>2276</v>
      </c>
      <c r="U2507" s="21" t="s">
        <v>2276</v>
      </c>
      <c r="V2507" s="21" t="s">
        <v>2276</v>
      </c>
      <c r="W2507" s="21" t="s">
        <v>2276</v>
      </c>
      <c r="X2507" s="21" t="s">
        <v>2276</v>
      </c>
      <c r="Y2507" s="21" t="s">
        <v>2276</v>
      </c>
      <c r="Z2507" s="21" t="s">
        <v>2276</v>
      </c>
      <c r="AA2507" s="204"/>
      <c r="AB2507" s="204"/>
    </row>
    <row r="2508" spans="1:28" ht="46.5" customHeight="1">
      <c r="A2508" s="156" t="str">
        <f>'Reported burning'!A2508</f>
        <v>295a</v>
      </c>
      <c r="B2508" s="156" t="str">
        <f>'Reported burning'!B2508</f>
        <v>295a.2</v>
      </c>
      <c r="C2508" s="156" t="str">
        <f>'Reported burning'!C2508</f>
        <v>Human, deliberate</v>
      </c>
      <c r="D2508" s="156" t="str">
        <f>'Reported burning'!D2508</f>
        <v>Pasture renewal</v>
      </c>
      <c r="E2508" s="156" t="str">
        <f>'Reported burning'!E2508</f>
        <v>Cattle, Extensive</v>
      </c>
      <c r="F2508" s="156" t="str">
        <f>'Reported burning'!F2508</f>
        <v>Pasture</v>
      </c>
      <c r="G2508" s="156" t="str">
        <f>'Reported burning'!G2508</f>
        <v>Pasture</v>
      </c>
      <c r="H2508" s="156" t="str">
        <f>'Reported burning'!H2508</f>
        <v>Presence</v>
      </c>
      <c r="I2508" s="5"/>
      <c r="J2508" s="21"/>
      <c r="K2508" s="103"/>
      <c r="L2508" s="177" t="s">
        <v>2276</v>
      </c>
      <c r="M2508" s="21" t="s">
        <v>2276</v>
      </c>
      <c r="N2508" s="21" t="s">
        <v>2276</v>
      </c>
      <c r="O2508" s="21" t="s">
        <v>2276</v>
      </c>
      <c r="P2508" s="21" t="s">
        <v>2276</v>
      </c>
      <c r="Q2508" s="21" t="s">
        <v>2276</v>
      </c>
      <c r="R2508" s="21" t="s">
        <v>2276</v>
      </c>
      <c r="S2508" s="21" t="s">
        <v>2276</v>
      </c>
      <c r="T2508" s="14" t="s">
        <v>2376</v>
      </c>
      <c r="U2508" s="21" t="s">
        <v>2276</v>
      </c>
      <c r="V2508" s="21" t="s">
        <v>2276</v>
      </c>
      <c r="W2508" s="21" t="s">
        <v>2276</v>
      </c>
      <c r="X2508" s="21" t="s">
        <v>2276</v>
      </c>
      <c r="Y2508" s="21" t="s">
        <v>2276</v>
      </c>
      <c r="Z2508" s="21" t="s">
        <v>2276</v>
      </c>
      <c r="AA2508" s="204"/>
      <c r="AB2508" s="204"/>
    </row>
    <row r="2509" spans="1:28" ht="40" customHeight="1">
      <c r="A2509" s="156" t="str">
        <f>'Reported burning'!A2509</f>
        <v>295a</v>
      </c>
      <c r="B2509" s="156" t="str">
        <f>'Reported burning'!B2509</f>
        <v>295a.2</v>
      </c>
      <c r="C2509" s="156" t="str">
        <f>'Reported burning'!C2509</f>
        <v>Human, escaped</v>
      </c>
      <c r="D2509" s="156" t="str">
        <f>'Reported burning'!D2509</f>
        <v>Pasture renewal</v>
      </c>
      <c r="E2509" s="156" t="str">
        <f>'Reported burning'!E2509</f>
        <v>Cattle, Intensive</v>
      </c>
      <c r="F2509" s="156" t="str">
        <f>'Reported burning'!F2509</f>
        <v>Pasture</v>
      </c>
      <c r="G2509" s="156" t="str">
        <f>'Reported burning'!G2509</f>
        <v>Forest</v>
      </c>
      <c r="H2509" s="156" t="str">
        <f>'Reported burning'!H2509</f>
        <v>Presence</v>
      </c>
      <c r="I2509" s="5"/>
      <c r="J2509" s="21"/>
      <c r="K2509" s="103"/>
      <c r="L2509" s="177" t="s">
        <v>2276</v>
      </c>
      <c r="M2509" s="21" t="s">
        <v>2276</v>
      </c>
      <c r="N2509" s="21" t="s">
        <v>2276</v>
      </c>
      <c r="O2509" s="21" t="s">
        <v>2276</v>
      </c>
      <c r="P2509" s="21" t="s">
        <v>2276</v>
      </c>
      <c r="Q2509" s="21" t="s">
        <v>2276</v>
      </c>
      <c r="R2509" s="21" t="s">
        <v>2276</v>
      </c>
      <c r="S2509" s="21" t="s">
        <v>2276</v>
      </c>
      <c r="T2509" s="21" t="s">
        <v>2276</v>
      </c>
      <c r="U2509" s="21" t="s">
        <v>2276</v>
      </c>
      <c r="V2509" s="21" t="s">
        <v>2276</v>
      </c>
      <c r="W2509" s="21" t="s">
        <v>2276</v>
      </c>
      <c r="X2509" s="21" t="s">
        <v>2276</v>
      </c>
      <c r="Y2509" s="21" t="s">
        <v>2276</v>
      </c>
      <c r="Z2509" s="21" t="s">
        <v>2276</v>
      </c>
      <c r="AA2509" s="204"/>
      <c r="AB2509" s="204"/>
    </row>
    <row r="2510" spans="1:28" ht="40" customHeight="1">
      <c r="A2510" s="156" t="str">
        <f>'Reported burning'!A2510</f>
        <v>296a</v>
      </c>
      <c r="B2510" s="156" t="str">
        <f>'Reported burning'!B2510</f>
        <v>296a.1</v>
      </c>
      <c r="C2510" s="156" t="str">
        <f>'Reported burning'!C2510</f>
        <v>Human, deliberate</v>
      </c>
      <c r="D2510" s="156" t="str">
        <f>'Reported burning'!D2510</f>
        <v>Forest clearance</v>
      </c>
      <c r="E2510" s="156" t="str">
        <f>'Reported burning'!E2510</f>
        <v>Cattle, Extensive</v>
      </c>
      <c r="F2510" s="156" t="str">
        <f>'Reported burning'!F2510</f>
        <v>Forest</v>
      </c>
      <c r="G2510" s="156" t="str">
        <f>'Reported burning'!G2510</f>
        <v>Forest</v>
      </c>
      <c r="H2510" s="156" t="str">
        <f>'Reported burning'!H2510</f>
        <v>Presence</v>
      </c>
      <c r="I2510" s="5"/>
      <c r="J2510" s="21"/>
      <c r="K2510" s="103"/>
      <c r="L2510" s="177" t="s">
        <v>2276</v>
      </c>
      <c r="M2510" s="21" t="s">
        <v>2381</v>
      </c>
      <c r="N2510" s="21" t="s">
        <v>2276</v>
      </c>
      <c r="O2510" s="21" t="s">
        <v>2276</v>
      </c>
      <c r="P2510" s="21" t="s">
        <v>2276</v>
      </c>
      <c r="Q2510" s="21" t="s">
        <v>2276</v>
      </c>
      <c r="R2510" s="21" t="s">
        <v>2276</v>
      </c>
      <c r="S2510" s="21" t="s">
        <v>2276</v>
      </c>
      <c r="T2510" s="21" t="s">
        <v>2276</v>
      </c>
      <c r="U2510" s="21" t="s">
        <v>2276</v>
      </c>
      <c r="V2510" s="21" t="s">
        <v>2276</v>
      </c>
      <c r="W2510" s="21" t="s">
        <v>2276</v>
      </c>
      <c r="X2510" s="21" t="s">
        <v>2276</v>
      </c>
      <c r="Y2510" s="21" t="s">
        <v>2276</v>
      </c>
      <c r="Z2510" s="21" t="s">
        <v>2276</v>
      </c>
      <c r="AA2510" s="4" t="s">
        <v>7022</v>
      </c>
      <c r="AB2510" s="4" t="s">
        <v>7027</v>
      </c>
    </row>
    <row r="2511" spans="1:28" ht="40" customHeight="1">
      <c r="A2511" s="156" t="str">
        <f>'Reported burning'!A2511</f>
        <v>296a</v>
      </c>
      <c r="B2511" s="156" t="str">
        <f>'Reported burning'!B2511</f>
        <v>296a.2</v>
      </c>
      <c r="C2511" s="156" t="str">
        <f>'Reported burning'!C2511</f>
        <v>Human, deliberate</v>
      </c>
      <c r="D2511" s="156" t="str">
        <f>'Reported burning'!D2511</f>
        <v>Forest clearance</v>
      </c>
      <c r="E2511" s="156" t="str">
        <f>'Reported burning'!E2511</f>
        <v>Cropping, Intensive</v>
      </c>
      <c r="F2511" s="156" t="str">
        <f>'Reported burning'!F2511</f>
        <v>Forest</v>
      </c>
      <c r="G2511" s="156" t="str">
        <f>'Reported burning'!G2511</f>
        <v>Forest</v>
      </c>
      <c r="H2511" s="156" t="str">
        <f>'Reported burning'!H2511</f>
        <v>Presence</v>
      </c>
      <c r="I2511" s="5"/>
      <c r="J2511" s="21"/>
      <c r="K2511" s="103"/>
      <c r="L2511" s="177" t="s">
        <v>2276</v>
      </c>
      <c r="M2511" s="177" t="s">
        <v>2276</v>
      </c>
      <c r="N2511" s="21" t="s">
        <v>2276</v>
      </c>
      <c r="O2511" s="21" t="s">
        <v>2276</v>
      </c>
      <c r="P2511" s="21" t="s">
        <v>2377</v>
      </c>
      <c r="Q2511" s="21" t="s">
        <v>2276</v>
      </c>
      <c r="R2511" s="21" t="s">
        <v>2376</v>
      </c>
      <c r="S2511" s="21" t="s">
        <v>2276</v>
      </c>
      <c r="T2511" s="21" t="s">
        <v>2276</v>
      </c>
      <c r="U2511" s="21" t="s">
        <v>2276</v>
      </c>
      <c r="V2511" s="21" t="s">
        <v>2276</v>
      </c>
      <c r="W2511" s="21" t="s">
        <v>2276</v>
      </c>
      <c r="X2511" s="21" t="s">
        <v>2276</v>
      </c>
      <c r="Y2511" s="21" t="s">
        <v>2276</v>
      </c>
      <c r="Z2511" s="21" t="s">
        <v>2276</v>
      </c>
      <c r="AA2511" s="4" t="s">
        <v>7022</v>
      </c>
      <c r="AB2511" s="4" t="s">
        <v>7021</v>
      </c>
    </row>
    <row r="2512" spans="1:28" ht="61" customHeight="1">
      <c r="A2512" s="156" t="str">
        <f>'Reported burning'!A2512</f>
        <v>297a</v>
      </c>
      <c r="B2512" s="156" t="str">
        <f>'Reported burning'!B2512</f>
        <v>297a.1</v>
      </c>
      <c r="C2512" s="156" t="str">
        <f>'Reported burning'!C2512</f>
        <v>Human, deliberate</v>
      </c>
      <c r="D2512" s="156" t="str">
        <f>'Reported burning'!D2512</f>
        <v>Conservation</v>
      </c>
      <c r="E2512" s="156" t="str">
        <f>'Reported burning'!E2512</f>
        <v>Biodiversity conservation</v>
      </c>
      <c r="F2512" s="156" t="str">
        <f>'Reported burning'!F2512</f>
        <v>Grassland</v>
      </c>
      <c r="G2512" s="156" t="str">
        <f>'Reported burning'!G2512</f>
        <v>Grassland</v>
      </c>
      <c r="H2512" s="156" t="str">
        <f>'Reported burning'!H2512</f>
        <v>Presence</v>
      </c>
      <c r="I2512" s="5"/>
      <c r="J2512" s="204" t="s">
        <v>2276</v>
      </c>
      <c r="K2512" s="204" t="s">
        <v>2276</v>
      </c>
      <c r="L2512" s="204" t="s">
        <v>2276</v>
      </c>
      <c r="M2512" s="204" t="s">
        <v>2276</v>
      </c>
      <c r="N2512" s="204" t="s">
        <v>2276</v>
      </c>
      <c r="O2512" s="204" t="s">
        <v>2276</v>
      </c>
      <c r="P2512" s="204" t="s">
        <v>2276</v>
      </c>
      <c r="Q2512" s="204" t="s">
        <v>2276</v>
      </c>
      <c r="R2512" s="204" t="s">
        <v>2276</v>
      </c>
      <c r="S2512" s="204" t="s">
        <v>2276</v>
      </c>
      <c r="T2512" s="204" t="s">
        <v>2276</v>
      </c>
      <c r="U2512" s="204" t="s">
        <v>2276</v>
      </c>
      <c r="V2512" s="204" t="s">
        <v>2276</v>
      </c>
      <c r="W2512" s="204" t="s">
        <v>2276</v>
      </c>
      <c r="X2512" s="204" t="s">
        <v>2276</v>
      </c>
      <c r="Y2512" s="204" t="s">
        <v>2276</v>
      </c>
      <c r="Z2512" s="204" t="s">
        <v>2276</v>
      </c>
      <c r="AA2512" s="204"/>
      <c r="AB2512" s="204"/>
    </row>
    <row r="2513" spans="1:28" ht="61" customHeight="1">
      <c r="A2513" s="156" t="str">
        <f>'Reported burning'!A2513</f>
        <v>297a</v>
      </c>
      <c r="B2513" s="156" t="str">
        <f>'Reported burning'!B2513</f>
        <v>297a.2</v>
      </c>
      <c r="C2513" s="156" t="str">
        <f>'Reported burning'!C2513</f>
        <v>Human, deliberate</v>
      </c>
      <c r="D2513" s="156" t="str">
        <f>'Reported burning'!D2513</f>
        <v>Conservation</v>
      </c>
      <c r="E2513" s="156" t="str">
        <f>'Reported burning'!E2513</f>
        <v>Cattle, Intensive</v>
      </c>
      <c r="F2513" s="156" t="str">
        <f>'Reported burning'!F2513</f>
        <v>Grassland</v>
      </c>
      <c r="G2513" s="156" t="str">
        <f>'Reported burning'!G2513</f>
        <v>Grassland</v>
      </c>
      <c r="H2513" s="156" t="str">
        <f>'Reported burning'!H2513</f>
        <v>Absence</v>
      </c>
      <c r="I2513" s="5"/>
      <c r="J2513" s="21">
        <v>0</v>
      </c>
      <c r="K2513" s="21">
        <v>0</v>
      </c>
      <c r="L2513" s="21">
        <v>0</v>
      </c>
      <c r="M2513" s="21">
        <v>0</v>
      </c>
      <c r="N2513" s="21">
        <v>0</v>
      </c>
      <c r="O2513" s="21">
        <v>0</v>
      </c>
      <c r="P2513" s="21">
        <v>0</v>
      </c>
      <c r="Q2513" s="21">
        <v>0</v>
      </c>
      <c r="R2513" s="21">
        <v>0</v>
      </c>
      <c r="S2513" s="21">
        <v>0</v>
      </c>
      <c r="T2513" s="21">
        <v>0</v>
      </c>
      <c r="U2513" s="21">
        <v>0</v>
      </c>
      <c r="V2513" s="21">
        <v>0</v>
      </c>
      <c r="W2513" s="204" t="s">
        <v>2276</v>
      </c>
      <c r="X2513" s="204" t="s">
        <v>2276</v>
      </c>
      <c r="Y2513" s="204" t="s">
        <v>2276</v>
      </c>
      <c r="Z2513" s="204" t="s">
        <v>2276</v>
      </c>
      <c r="AA2513" s="4" t="s">
        <v>7032</v>
      </c>
      <c r="AB2513" s="204"/>
    </row>
    <row r="2514" spans="1:28" ht="30.5" customHeight="1">
      <c r="A2514" s="156" t="str">
        <f>'Reported burning'!A2514</f>
        <v>297a</v>
      </c>
      <c r="B2514" s="156" t="str">
        <f>'Reported burning'!B2514</f>
        <v>297a.3</v>
      </c>
      <c r="C2514" s="156" t="str">
        <f>'Reported burning'!C2514</f>
        <v>Human, deliberate</v>
      </c>
      <c r="D2514" s="156" t="str">
        <f>'Reported burning'!D2514</f>
        <v>Pasture renewal</v>
      </c>
      <c r="E2514" s="156" t="str">
        <f>'Reported burning'!E2514</f>
        <v>Cattle, Intensive</v>
      </c>
      <c r="F2514" s="156" t="str">
        <f>'Reported burning'!F2514</f>
        <v>Grassland</v>
      </c>
      <c r="G2514" s="156" t="str">
        <f>'Reported burning'!G2514</f>
        <v>Grassland</v>
      </c>
      <c r="H2514" s="156" t="str">
        <f>'Reported burning'!H2514</f>
        <v>Absence</v>
      </c>
      <c r="I2514" s="5"/>
      <c r="J2514" s="21">
        <v>0</v>
      </c>
      <c r="K2514" s="21">
        <v>0</v>
      </c>
      <c r="L2514" s="21">
        <v>0</v>
      </c>
      <c r="M2514" s="21">
        <v>0</v>
      </c>
      <c r="N2514" s="21">
        <v>0</v>
      </c>
      <c r="O2514" s="21">
        <v>0</v>
      </c>
      <c r="P2514" s="21">
        <v>0</v>
      </c>
      <c r="Q2514" s="21">
        <v>0</v>
      </c>
      <c r="R2514" s="21">
        <v>0</v>
      </c>
      <c r="S2514" s="21">
        <v>0</v>
      </c>
      <c r="T2514" s="21">
        <v>0</v>
      </c>
      <c r="U2514" s="21">
        <v>0</v>
      </c>
      <c r="V2514" s="21">
        <v>0</v>
      </c>
      <c r="W2514" s="204" t="s">
        <v>2276</v>
      </c>
      <c r="X2514" s="204" t="s">
        <v>2276</v>
      </c>
      <c r="Y2514" s="204" t="s">
        <v>2276</v>
      </c>
      <c r="Z2514" s="204" t="s">
        <v>2276</v>
      </c>
      <c r="AA2514" s="4" t="s">
        <v>7032</v>
      </c>
      <c r="AB2514" s="204"/>
    </row>
    <row r="2515" spans="1:28" ht="78.5" customHeight="1">
      <c r="A2515" s="152" t="str">
        <f>'Reported burning'!A2515</f>
        <v>298a</v>
      </c>
      <c r="B2515" s="152" t="str">
        <f>'Reported burning'!B2515</f>
        <v>298a.1</v>
      </c>
      <c r="C2515" s="152" t="str">
        <f>'Reported burning'!C2515</f>
        <v>Human, deliberate</v>
      </c>
      <c r="D2515" s="152" t="str">
        <f>'Reported burning'!D2515</f>
        <v>Pasture renewal</v>
      </c>
      <c r="E2515" s="152" t="str">
        <f>'Reported burning'!E2515</f>
        <v>Cattle, Extensive</v>
      </c>
      <c r="F2515" s="152" t="str">
        <f>'Reported burning'!F2515</f>
        <v>Grassland</v>
      </c>
      <c r="G2515" s="152" t="str">
        <f>'Reported burning'!G2515</f>
        <v>Grassland</v>
      </c>
      <c r="H2515" s="152" t="str">
        <f>'Reported burning'!H2515</f>
        <v>Presence</v>
      </c>
      <c r="I2515" s="204"/>
      <c r="J2515" s="204" t="s">
        <v>2276</v>
      </c>
      <c r="K2515" s="204" t="s">
        <v>2276</v>
      </c>
      <c r="L2515" s="204" t="s">
        <v>2276</v>
      </c>
      <c r="M2515" s="204" t="s">
        <v>2276</v>
      </c>
      <c r="N2515" s="204" t="s">
        <v>2276</v>
      </c>
      <c r="O2515" s="204" t="s">
        <v>2276</v>
      </c>
      <c r="P2515" s="204" t="s">
        <v>2276</v>
      </c>
      <c r="Q2515" s="204" t="s">
        <v>2276</v>
      </c>
      <c r="R2515" s="204" t="s">
        <v>2276</v>
      </c>
      <c r="S2515" s="204" t="s">
        <v>2276</v>
      </c>
      <c r="T2515" s="204" t="s">
        <v>2276</v>
      </c>
      <c r="U2515" s="204" t="s">
        <v>2276</v>
      </c>
      <c r="V2515" s="204" t="s">
        <v>2276</v>
      </c>
      <c r="W2515" s="204" t="s">
        <v>2276</v>
      </c>
      <c r="X2515" s="204" t="s">
        <v>404</v>
      </c>
      <c r="Y2515" s="204" t="s">
        <v>405</v>
      </c>
      <c r="Z2515" s="204" t="s">
        <v>2276</v>
      </c>
      <c r="AA2515" s="204" t="s">
        <v>7037</v>
      </c>
      <c r="AB2515" s="4" t="s">
        <v>7038</v>
      </c>
    </row>
    <row r="2516" spans="1:28" ht="78.5" customHeight="1">
      <c r="A2516" s="152" t="str">
        <f>'Reported burning'!A2516</f>
        <v>299a</v>
      </c>
      <c r="B2516" s="152" t="str">
        <f>'Reported burning'!B2516</f>
        <v>299a.1</v>
      </c>
      <c r="C2516" s="152" t="str">
        <f>'Reported burning'!C2516</f>
        <v>Human, deliberate</v>
      </c>
      <c r="D2516" s="152" t="str">
        <f>'Reported burning'!D2516</f>
        <v>Rangeland management</v>
      </c>
      <c r="E2516" s="152" t="str">
        <f>'Reported burning'!E2516</f>
        <v>Cattle, Extensive</v>
      </c>
      <c r="F2516" s="152" t="str">
        <f>'Reported burning'!F2516</f>
        <v>Shrubland (Mixed forest &amp; grassland)</v>
      </c>
      <c r="G2516" s="152" t="str">
        <f>'Reported burning'!G2516</f>
        <v>Shrubland (Mixed forest &amp; grassland)</v>
      </c>
      <c r="H2516" s="152" t="str">
        <f>'Reported burning'!H2516</f>
        <v>Presence</v>
      </c>
      <c r="I2516" s="204"/>
      <c r="J2516" s="204" t="s">
        <v>2276</v>
      </c>
      <c r="K2516" s="204" t="s">
        <v>2276</v>
      </c>
      <c r="L2516" s="204" t="s">
        <v>2276</v>
      </c>
      <c r="M2516" s="204" t="s">
        <v>2276</v>
      </c>
      <c r="N2516" s="204" t="s">
        <v>2276</v>
      </c>
      <c r="O2516" s="204" t="s">
        <v>2276</v>
      </c>
      <c r="P2516" s="204" t="s">
        <v>2276</v>
      </c>
      <c r="Q2516" s="204" t="s">
        <v>2276</v>
      </c>
      <c r="R2516" s="204" t="s">
        <v>2276</v>
      </c>
      <c r="S2516" s="204" t="s">
        <v>2276</v>
      </c>
      <c r="T2516" s="204" t="s">
        <v>2276</v>
      </c>
      <c r="U2516" s="204" t="s">
        <v>2276</v>
      </c>
      <c r="V2516" s="204" t="s">
        <v>2276</v>
      </c>
      <c r="W2516" s="21" t="s">
        <v>2401</v>
      </c>
      <c r="X2516" s="204" t="s">
        <v>2276</v>
      </c>
      <c r="Y2516" s="204" t="s">
        <v>2276</v>
      </c>
      <c r="Z2516" s="204" t="s">
        <v>2276</v>
      </c>
      <c r="AA2516" s="204"/>
      <c r="AB2516" s="4" t="s">
        <v>7044</v>
      </c>
    </row>
    <row r="2517" spans="1:28" ht="31" customHeight="1">
      <c r="A2517" s="152" t="str">
        <f>'Reported burning'!A2517</f>
        <v>300a</v>
      </c>
      <c r="B2517" s="152" t="str">
        <f>'Reported burning'!B2517</f>
        <v>300a.1</v>
      </c>
      <c r="C2517" s="152" t="str">
        <f>'Reported burning'!C2517</f>
        <v>All</v>
      </c>
      <c r="D2517" s="152" t="str">
        <f>'Reported burning'!D2517</f>
        <v>All</v>
      </c>
      <c r="E2517" s="152" t="str">
        <f>'Reported burning'!E2517</f>
        <v>All</v>
      </c>
      <c r="F2517" s="152" t="str">
        <f>'Reported burning'!F2517</f>
        <v>ND</v>
      </c>
      <c r="G2517" s="152" t="str">
        <f>'Reported burning'!G2517</f>
        <v>Shrubland (Mixed forest &amp; grassland)</v>
      </c>
      <c r="H2517" s="152" t="str">
        <f>'Reported burning'!H2517</f>
        <v>Presence</v>
      </c>
      <c r="I2517" s="204"/>
      <c r="J2517" s="21" t="s">
        <v>2276</v>
      </c>
      <c r="K2517" s="21" t="s">
        <v>2276</v>
      </c>
      <c r="L2517" s="21" t="s">
        <v>2276</v>
      </c>
      <c r="M2517" s="21" t="s">
        <v>2276</v>
      </c>
      <c r="N2517" s="21" t="s">
        <v>2276</v>
      </c>
      <c r="O2517" s="21" t="s">
        <v>2276</v>
      </c>
      <c r="P2517" s="21" t="s">
        <v>2276</v>
      </c>
      <c r="Q2517" s="21" t="s">
        <v>2276</v>
      </c>
      <c r="R2517" s="21" t="s">
        <v>2276</v>
      </c>
      <c r="S2517" s="21" t="s">
        <v>2276</v>
      </c>
      <c r="T2517" s="21" t="s">
        <v>2276</v>
      </c>
      <c r="U2517" s="21" t="s">
        <v>2276</v>
      </c>
      <c r="V2517" s="21" t="s">
        <v>2390</v>
      </c>
      <c r="W2517" s="21" t="s">
        <v>2375</v>
      </c>
      <c r="X2517" s="204" t="s">
        <v>38</v>
      </c>
      <c r="Y2517" s="204" t="s">
        <v>425</v>
      </c>
      <c r="Z2517" s="204" t="s">
        <v>76</v>
      </c>
      <c r="AA2517" s="4" t="s">
        <v>7053</v>
      </c>
      <c r="AB2517" s="19" t="s">
        <v>7056</v>
      </c>
    </row>
    <row r="2518" spans="1:28" ht="118" customHeight="1">
      <c r="A2518" s="152" t="str">
        <f>'Reported burning'!A2518</f>
        <v>300b</v>
      </c>
      <c r="B2518" s="152" t="str">
        <f>'Reported burning'!B2518</f>
        <v>300a.2</v>
      </c>
      <c r="C2518" s="152" t="str">
        <f>'Reported burning'!C2518</f>
        <v>Human, deliberate</v>
      </c>
      <c r="D2518" s="152" t="str">
        <f>'Reported burning'!D2518</f>
        <v>Pasture renewal</v>
      </c>
      <c r="E2518" s="152" t="str">
        <f>'Reported burning'!E2518</f>
        <v>Cattle, Extensive</v>
      </c>
      <c r="F2518" s="152" t="str">
        <f>'Reported burning'!F2518</f>
        <v>Pasture</v>
      </c>
      <c r="G2518" s="152" t="str">
        <f>'Reported burning'!G2518</f>
        <v>Pasture</v>
      </c>
      <c r="H2518" s="152" t="str">
        <f>'Reported burning'!H2518</f>
        <v>Presence</v>
      </c>
      <c r="I2518" s="204"/>
      <c r="J2518" s="21" t="s">
        <v>2276</v>
      </c>
      <c r="K2518" s="21" t="s">
        <v>2276</v>
      </c>
      <c r="L2518" s="21" t="s">
        <v>2276</v>
      </c>
      <c r="M2518" s="21" t="s">
        <v>2276</v>
      </c>
      <c r="N2518" s="21" t="s">
        <v>2276</v>
      </c>
      <c r="O2518" s="21" t="s">
        <v>2276</v>
      </c>
      <c r="P2518" s="21" t="s">
        <v>2276</v>
      </c>
      <c r="Q2518" s="21" t="s">
        <v>2276</v>
      </c>
      <c r="R2518" s="21" t="s">
        <v>2276</v>
      </c>
      <c r="S2518" s="21" t="s">
        <v>2276</v>
      </c>
      <c r="T2518" s="21" t="s">
        <v>2276</v>
      </c>
      <c r="U2518" s="21" t="s">
        <v>2276</v>
      </c>
      <c r="V2518" s="21" t="s">
        <v>2276</v>
      </c>
      <c r="W2518" s="21" t="s">
        <v>2401</v>
      </c>
      <c r="X2518" s="204" t="s">
        <v>38</v>
      </c>
      <c r="Y2518" s="204" t="s">
        <v>425</v>
      </c>
      <c r="Z2518" s="204" t="s">
        <v>2276</v>
      </c>
      <c r="AA2518" s="4" t="s">
        <v>7054</v>
      </c>
      <c r="AB2518" s="4" t="s">
        <v>7057</v>
      </c>
    </row>
    <row r="2519" spans="1:28" ht="83" customHeight="1">
      <c r="A2519" s="152" t="str">
        <f>'Reported burning'!A2519</f>
        <v>300b</v>
      </c>
      <c r="B2519" s="152" t="str">
        <f>'Reported burning'!B2519</f>
        <v>300a.3</v>
      </c>
      <c r="C2519" s="152" t="str">
        <f>'Reported burning'!C2519</f>
        <v>Human, deliberate</v>
      </c>
      <c r="D2519" s="152" t="str">
        <f>'Reported burning'!D2519</f>
        <v>Pyrome management</v>
      </c>
      <c r="E2519" s="152" t="str">
        <f>'Reported burning'!E2519</f>
        <v>Cattle, Extensive</v>
      </c>
      <c r="F2519" s="152" t="str">
        <f>'Reported burning'!F2519</f>
        <v>Shrubland (Mixed forest &amp; grassland)</v>
      </c>
      <c r="G2519" s="152" t="str">
        <f>'Reported burning'!G2519</f>
        <v>Shrubland (Mixed forest &amp; grassland)</v>
      </c>
      <c r="H2519" s="152" t="str">
        <f>'Reported burning'!H2519</f>
        <v>Presence</v>
      </c>
      <c r="I2519" s="204"/>
      <c r="J2519" s="21" t="s">
        <v>2276</v>
      </c>
      <c r="K2519" s="21" t="s">
        <v>2276</v>
      </c>
      <c r="L2519" s="21" t="s">
        <v>2276</v>
      </c>
      <c r="M2519" s="21" t="s">
        <v>2276</v>
      </c>
      <c r="N2519" s="21" t="s">
        <v>2276</v>
      </c>
      <c r="O2519" s="21" t="s">
        <v>2276</v>
      </c>
      <c r="P2519" s="21" t="s">
        <v>2276</v>
      </c>
      <c r="Q2519" s="21" t="s">
        <v>2276</v>
      </c>
      <c r="R2519" s="21" t="s">
        <v>2276</v>
      </c>
      <c r="S2519" s="21" t="s">
        <v>2276</v>
      </c>
      <c r="T2519" s="21" t="s">
        <v>2276</v>
      </c>
      <c r="U2519" s="21" t="s">
        <v>2276</v>
      </c>
      <c r="V2519" s="21" t="s">
        <v>2276</v>
      </c>
      <c r="W2519" s="21" t="s">
        <v>2276</v>
      </c>
      <c r="X2519" s="204" t="s">
        <v>38</v>
      </c>
      <c r="Y2519" s="204" t="s">
        <v>86</v>
      </c>
      <c r="Z2519" s="204" t="s">
        <v>2655</v>
      </c>
      <c r="AA2519" s="4" t="s">
        <v>7055</v>
      </c>
      <c r="AB2519" s="204"/>
    </row>
    <row r="2520" spans="1:28" ht="51" customHeight="1">
      <c r="A2520" s="156" t="str">
        <f>'Reported burning'!A2520</f>
        <v>301a</v>
      </c>
      <c r="B2520" s="156" t="str">
        <f>'Reported burning'!B2520</f>
        <v>301a.1</v>
      </c>
      <c r="C2520" s="156" t="str">
        <f>'Reported burning'!C2520</f>
        <v>Human, deliberate</v>
      </c>
      <c r="D2520" s="156" t="str">
        <f>'Reported burning'!D2520</f>
        <v>Pasture renewal</v>
      </c>
      <c r="E2520" s="156" t="str">
        <f>'Reported burning'!E2520</f>
        <v>Cattle, Extensive</v>
      </c>
      <c r="F2520" s="156" t="str">
        <f>'Reported burning'!F2520</f>
        <v>Grassland</v>
      </c>
      <c r="G2520" s="156" t="str">
        <f>'Reported burning'!G2520</f>
        <v>Grassland</v>
      </c>
      <c r="H2520" s="156" t="str">
        <f>'Reported burning'!H2520</f>
        <v>Presence</v>
      </c>
      <c r="I2520" s="5"/>
      <c r="J2520" s="204" t="s">
        <v>2276</v>
      </c>
      <c r="K2520" s="204" t="s">
        <v>2276</v>
      </c>
      <c r="L2520" s="204" t="s">
        <v>2276</v>
      </c>
      <c r="M2520" s="204" t="s">
        <v>2276</v>
      </c>
      <c r="N2520" s="204" t="s">
        <v>2276</v>
      </c>
      <c r="O2520" s="204" t="s">
        <v>2276</v>
      </c>
      <c r="P2520" s="204" t="s">
        <v>2276</v>
      </c>
      <c r="Q2520" s="204" t="s">
        <v>2276</v>
      </c>
      <c r="R2520" s="204" t="s">
        <v>2276</v>
      </c>
      <c r="S2520" s="204" t="s">
        <v>2276</v>
      </c>
      <c r="T2520" s="204" t="s">
        <v>2276</v>
      </c>
      <c r="U2520" s="204" t="s">
        <v>2276</v>
      </c>
      <c r="V2520" s="204" t="s">
        <v>2276</v>
      </c>
      <c r="W2520" s="204" t="s">
        <v>2276</v>
      </c>
      <c r="X2520" s="204" t="s">
        <v>2276</v>
      </c>
      <c r="Y2520" s="204" t="s">
        <v>2276</v>
      </c>
      <c r="Z2520" s="204" t="s">
        <v>2276</v>
      </c>
      <c r="AA2520" s="4"/>
      <c r="AB2520" s="204"/>
    </row>
    <row r="2521" spans="1:28" ht="51" customHeight="1">
      <c r="A2521" s="156" t="str">
        <f>'Reported burning'!A2521</f>
        <v>301a</v>
      </c>
      <c r="B2521" s="156" t="str">
        <f>'Reported burning'!B2521</f>
        <v>301a.2</v>
      </c>
      <c r="C2521" s="156" t="str">
        <f>'Reported burning'!C2521</f>
        <v>Human, escaped</v>
      </c>
      <c r="D2521" s="156" t="str">
        <f>'Reported burning'!D2521</f>
        <v>Pasture renewal</v>
      </c>
      <c r="E2521" s="156" t="str">
        <f>'Reported burning'!E2521</f>
        <v>Cattle, Extensive</v>
      </c>
      <c r="F2521" s="156" t="str">
        <f>'Reported burning'!F2521</f>
        <v>Grassland</v>
      </c>
      <c r="G2521" s="156" t="str">
        <f>'Reported burning'!G2521</f>
        <v>ND</v>
      </c>
      <c r="H2521" s="156" t="str">
        <f>'Reported burning'!H2521</f>
        <v>Presence</v>
      </c>
      <c r="I2521" s="5"/>
      <c r="J2521" s="204" t="s">
        <v>2276</v>
      </c>
      <c r="K2521" s="204" t="s">
        <v>2276</v>
      </c>
      <c r="L2521" s="204" t="s">
        <v>2276</v>
      </c>
      <c r="M2521" s="204" t="s">
        <v>2276</v>
      </c>
      <c r="N2521" s="204" t="s">
        <v>2276</v>
      </c>
      <c r="O2521" s="204" t="s">
        <v>2276</v>
      </c>
      <c r="P2521" s="204" t="s">
        <v>2276</v>
      </c>
      <c r="Q2521" s="204" t="s">
        <v>2276</v>
      </c>
      <c r="R2521" s="204" t="s">
        <v>2276</v>
      </c>
      <c r="S2521" s="204" t="s">
        <v>2276</v>
      </c>
      <c r="T2521" s="204" t="s">
        <v>2276</v>
      </c>
      <c r="U2521" s="204" t="s">
        <v>2276</v>
      </c>
      <c r="V2521" s="204" t="s">
        <v>2276</v>
      </c>
      <c r="W2521" s="204" t="s">
        <v>2276</v>
      </c>
      <c r="X2521" s="204" t="s">
        <v>2276</v>
      </c>
      <c r="Y2521" s="204" t="s">
        <v>2276</v>
      </c>
      <c r="Z2521" s="204" t="s">
        <v>2276</v>
      </c>
      <c r="AA2521" s="204"/>
      <c r="AB2521" s="204"/>
    </row>
    <row r="2522" spans="1:28" ht="59" customHeight="1">
      <c r="A2522" s="156" t="str">
        <f>'Reported burning'!A2522</f>
        <v>301a</v>
      </c>
      <c r="B2522" s="156" t="str">
        <f>'Reported burning'!B2522</f>
        <v>301a.3</v>
      </c>
      <c r="C2522" s="156" t="str">
        <f>'Reported burning'!C2522</f>
        <v>Human, deliberate</v>
      </c>
      <c r="D2522" s="156" t="str">
        <f>'Reported burning'!D2522</f>
        <v>Crop field preparation</v>
      </c>
      <c r="E2522" s="156" t="str">
        <f>'Reported burning'!E2522</f>
        <v>Cropping, Swidden</v>
      </c>
      <c r="F2522" s="156" t="str">
        <f>'Reported burning'!F2522</f>
        <v>Secondary vegetation</v>
      </c>
      <c r="G2522" s="156" t="str">
        <f>'Reported burning'!G2522</f>
        <v>ND</v>
      </c>
      <c r="H2522" s="156" t="str">
        <f>'Reported burning'!H2522</f>
        <v>Presence</v>
      </c>
      <c r="I2522" s="5"/>
      <c r="J2522" s="204" t="s">
        <v>2276</v>
      </c>
      <c r="K2522" s="204" t="s">
        <v>2276</v>
      </c>
      <c r="L2522" s="204" t="s">
        <v>2276</v>
      </c>
      <c r="M2522" s="204" t="s">
        <v>2276</v>
      </c>
      <c r="N2522" s="204" t="s">
        <v>2276</v>
      </c>
      <c r="O2522" s="204" t="s">
        <v>2276</v>
      </c>
      <c r="P2522" s="204" t="s">
        <v>2276</v>
      </c>
      <c r="Q2522" s="204" t="s">
        <v>2276</v>
      </c>
      <c r="R2522" s="204" t="s">
        <v>2276</v>
      </c>
      <c r="S2522" s="204" t="s">
        <v>2276</v>
      </c>
      <c r="T2522" s="204" t="s">
        <v>2276</v>
      </c>
      <c r="U2522" s="204" t="s">
        <v>2276</v>
      </c>
      <c r="V2522" s="204" t="s">
        <v>2276</v>
      </c>
      <c r="W2522" s="204" t="s">
        <v>2276</v>
      </c>
      <c r="X2522" s="204" t="s">
        <v>2276</v>
      </c>
      <c r="Y2522" s="204" t="s">
        <v>2276</v>
      </c>
      <c r="Z2522" s="204" t="s">
        <v>2276</v>
      </c>
      <c r="AA2522" s="204"/>
      <c r="AB2522" s="204"/>
    </row>
    <row r="2523" spans="1:28" ht="59" customHeight="1">
      <c r="A2523" s="156" t="str">
        <f>'Reported burning'!A2523</f>
        <v>301a</v>
      </c>
      <c r="B2523" s="156" t="str">
        <f>'Reported burning'!B2523</f>
        <v>301a.4</v>
      </c>
      <c r="C2523" s="156" t="str">
        <f>'Reported burning'!C2523</f>
        <v>Human, deliberate</v>
      </c>
      <c r="D2523" s="156" t="str">
        <f>'Reported burning'!D2523</f>
        <v>Land clearance</v>
      </c>
      <c r="E2523" s="156" t="str">
        <f>'Reported burning'!E2523</f>
        <v>Cropping, Intensive</v>
      </c>
      <c r="F2523" s="156" t="str">
        <f>'Reported burning'!F2523</f>
        <v>Shrubland (Mixed forest &amp; grassland)</v>
      </c>
      <c r="G2523" s="156" t="str">
        <f>'Reported burning'!G2523</f>
        <v>Shrubland (Mixed forest &amp; grassland)</v>
      </c>
      <c r="H2523" s="156" t="str">
        <f>'Reported burning'!H2523</f>
        <v>Absence</v>
      </c>
      <c r="I2523" s="5"/>
      <c r="J2523" s="21">
        <v>0</v>
      </c>
      <c r="K2523" s="21">
        <v>0</v>
      </c>
      <c r="L2523" s="21">
        <v>0</v>
      </c>
      <c r="M2523" s="21">
        <v>0</v>
      </c>
      <c r="N2523" s="21">
        <v>0</v>
      </c>
      <c r="O2523" s="21">
        <v>0</v>
      </c>
      <c r="P2523" s="21">
        <v>0</v>
      </c>
      <c r="Q2523" s="21">
        <v>0</v>
      </c>
      <c r="R2523" s="21">
        <v>0</v>
      </c>
      <c r="S2523" s="21">
        <v>0</v>
      </c>
      <c r="T2523" s="21">
        <v>0</v>
      </c>
      <c r="U2523" s="21">
        <v>0</v>
      </c>
      <c r="V2523" s="21">
        <v>0</v>
      </c>
      <c r="W2523" s="204" t="s">
        <v>2276</v>
      </c>
      <c r="X2523" s="204" t="s">
        <v>2276</v>
      </c>
      <c r="Y2523" s="204" t="s">
        <v>2276</v>
      </c>
      <c r="Z2523" s="204" t="s">
        <v>2276</v>
      </c>
      <c r="AA2523" s="4" t="s">
        <v>7072</v>
      </c>
      <c r="AB2523" s="204"/>
    </row>
    <row r="2524" spans="1:28" ht="59" customHeight="1">
      <c r="A2524" s="152" t="str">
        <f>'Reported burning'!A2524</f>
        <v>301a</v>
      </c>
      <c r="B2524" s="152" t="str">
        <f>'Reported burning'!B2524</f>
        <v>301a.5</v>
      </c>
      <c r="C2524" s="152" t="str">
        <f>'Reported burning'!C2524</f>
        <v>Human, deliberate</v>
      </c>
      <c r="D2524" s="152" t="str">
        <f>'Reported burning'!D2524</f>
        <v>Arson</v>
      </c>
      <c r="E2524" s="152" t="str">
        <f>'Reported burning'!E2524</f>
        <v>Cropping, Swidden</v>
      </c>
      <c r="F2524" s="152" t="str">
        <f>'Reported burning'!F2524</f>
        <v>ND</v>
      </c>
      <c r="G2524" s="152" t="str">
        <f>'Reported burning'!G2524</f>
        <v>Shrubland (Mixed forest &amp; grassland)</v>
      </c>
      <c r="H2524" s="152" t="str">
        <f>'Reported burning'!H2524</f>
        <v>Presence</v>
      </c>
      <c r="I2524" s="204"/>
      <c r="J2524" s="204" t="s">
        <v>2276</v>
      </c>
      <c r="K2524" s="204" t="s">
        <v>2276</v>
      </c>
      <c r="L2524" s="204" t="s">
        <v>2276</v>
      </c>
      <c r="M2524" s="204" t="s">
        <v>2276</v>
      </c>
      <c r="N2524" s="204" t="s">
        <v>2276</v>
      </c>
      <c r="O2524" s="204" t="s">
        <v>2276</v>
      </c>
      <c r="P2524" s="204" t="s">
        <v>2276</v>
      </c>
      <c r="Q2524" s="204" t="s">
        <v>2276</v>
      </c>
      <c r="R2524" s="204" t="s">
        <v>2276</v>
      </c>
      <c r="S2524" s="204" t="s">
        <v>2276</v>
      </c>
      <c r="T2524" s="204" t="s">
        <v>2276</v>
      </c>
      <c r="U2524" s="204" t="s">
        <v>2276</v>
      </c>
      <c r="V2524" s="204" t="s">
        <v>2276</v>
      </c>
      <c r="W2524" s="204" t="s">
        <v>2276</v>
      </c>
      <c r="X2524" s="204" t="s">
        <v>2276</v>
      </c>
      <c r="Y2524" s="204" t="s">
        <v>2276</v>
      </c>
      <c r="Z2524" s="204" t="s">
        <v>2276</v>
      </c>
      <c r="AA2524" s="4" t="s">
        <v>7075</v>
      </c>
      <c r="AB2524" s="204"/>
    </row>
    <row r="2525" spans="1:28" ht="59" customHeight="1">
      <c r="A2525" s="152" t="str">
        <f>'Reported burning'!A2525</f>
        <v>301a</v>
      </c>
      <c r="B2525" s="152" t="str">
        <f>'Reported burning'!B2525</f>
        <v>301a.6</v>
      </c>
      <c r="C2525" s="152" t="str">
        <f>'Reported burning'!C2525</f>
        <v>Human, deliberate</v>
      </c>
      <c r="D2525" s="152" t="str">
        <f>'Reported burning'!D2525</f>
        <v>Arson</v>
      </c>
      <c r="E2525" s="152" t="str">
        <f>'Reported burning'!E2525</f>
        <v>Cattle, Extensive</v>
      </c>
      <c r="F2525" s="152" t="str">
        <f>'Reported burning'!F2525</f>
        <v>ND</v>
      </c>
      <c r="G2525" s="152" t="str">
        <f>'Reported burning'!G2525</f>
        <v>Shrubland (Mixed forest &amp; grassland)</v>
      </c>
      <c r="H2525" s="152" t="str">
        <f>'Reported burning'!H2525</f>
        <v>Presence</v>
      </c>
      <c r="I2525" s="204"/>
      <c r="J2525" s="204" t="s">
        <v>2276</v>
      </c>
      <c r="K2525" s="204" t="s">
        <v>2276</v>
      </c>
      <c r="L2525" s="204" t="s">
        <v>2276</v>
      </c>
      <c r="M2525" s="204" t="s">
        <v>2276</v>
      </c>
      <c r="N2525" s="204" t="s">
        <v>2276</v>
      </c>
      <c r="O2525" s="204" t="s">
        <v>2276</v>
      </c>
      <c r="P2525" s="204" t="s">
        <v>2276</v>
      </c>
      <c r="Q2525" s="204" t="s">
        <v>2276</v>
      </c>
      <c r="R2525" s="204" t="s">
        <v>2276</v>
      </c>
      <c r="S2525" s="204" t="s">
        <v>2276</v>
      </c>
      <c r="T2525" s="204" t="s">
        <v>2276</v>
      </c>
      <c r="U2525" s="204" t="s">
        <v>2276</v>
      </c>
      <c r="V2525" s="204" t="s">
        <v>2276</v>
      </c>
      <c r="W2525" s="204" t="s">
        <v>2276</v>
      </c>
      <c r="X2525" s="204" t="s">
        <v>2276</v>
      </c>
      <c r="Y2525" s="204" t="s">
        <v>2276</v>
      </c>
      <c r="Z2525" s="204" t="s">
        <v>2276</v>
      </c>
      <c r="AA2525" s="4" t="s">
        <v>7075</v>
      </c>
      <c r="AB2525" s="204"/>
    </row>
    <row r="2526" spans="1:28" ht="59" customHeight="1">
      <c r="A2526" s="156" t="str">
        <f>'Reported burning'!A2526</f>
        <v>302a</v>
      </c>
      <c r="B2526" s="156" t="str">
        <f>'Reported burning'!B2526</f>
        <v>302a.1</v>
      </c>
      <c r="C2526" s="156" t="str">
        <f>'Reported burning'!C2526</f>
        <v>Human, deliberate</v>
      </c>
      <c r="D2526" s="156" t="str">
        <f>'Reported burning'!D2526</f>
        <v>Pyrome management</v>
      </c>
      <c r="E2526" s="156" t="str">
        <f>'Reported burning'!E2526</f>
        <v>Fire suppression agent</v>
      </c>
      <c r="F2526" s="156" t="str">
        <f>'Reported burning'!F2526</f>
        <v>Shrubland (Mixed forest &amp; grassland)</v>
      </c>
      <c r="G2526" s="156" t="str">
        <f>'Reported burning'!G2526</f>
        <v>Shrubland (Mixed forest &amp; grassland)</v>
      </c>
      <c r="H2526" s="156" t="str">
        <f>'Reported burning'!H2526</f>
        <v>Presence</v>
      </c>
      <c r="I2526" s="5"/>
      <c r="J2526" s="204" t="s">
        <v>2276</v>
      </c>
      <c r="K2526" s="204" t="s">
        <v>2276</v>
      </c>
      <c r="L2526" s="204" t="s">
        <v>2276</v>
      </c>
      <c r="M2526" s="204" t="s">
        <v>2276</v>
      </c>
      <c r="N2526" s="204" t="s">
        <v>2276</v>
      </c>
      <c r="O2526" s="204" t="s">
        <v>2276</v>
      </c>
      <c r="P2526" s="204" t="s">
        <v>2276</v>
      </c>
      <c r="Q2526" s="204" t="s">
        <v>2276</v>
      </c>
      <c r="R2526" s="204" t="s">
        <v>2276</v>
      </c>
      <c r="S2526" s="204" t="s">
        <v>2276</v>
      </c>
      <c r="T2526" s="204" t="s">
        <v>2276</v>
      </c>
      <c r="U2526" s="204" t="s">
        <v>2276</v>
      </c>
      <c r="V2526" s="204" t="s">
        <v>2276</v>
      </c>
      <c r="W2526" s="204" t="s">
        <v>2276</v>
      </c>
      <c r="X2526" s="204" t="s">
        <v>35</v>
      </c>
      <c r="Y2526" s="204" t="s">
        <v>35</v>
      </c>
      <c r="Z2526" s="204" t="s">
        <v>2276</v>
      </c>
      <c r="AA2526" s="204"/>
      <c r="AB2526" s="204"/>
    </row>
    <row r="2527" spans="1:28" ht="56.5" customHeight="1">
      <c r="A2527" s="156" t="str">
        <f>'Reported burning'!A2527</f>
        <v>302a</v>
      </c>
      <c r="B2527" s="156" t="str">
        <f>'Reported burning'!B2527</f>
        <v>302a.2</v>
      </c>
      <c r="C2527" s="156" t="str">
        <f>'Reported burning'!C2527</f>
        <v>Human, deliberate</v>
      </c>
      <c r="D2527" s="156" t="str">
        <f>'Reported burning'!D2527</f>
        <v>Conservation</v>
      </c>
      <c r="E2527" s="156" t="str">
        <f>'Reported burning'!E2527</f>
        <v>Fire suppression agent</v>
      </c>
      <c r="F2527" s="156" t="str">
        <f>'Reported burning'!F2527</f>
        <v>Shrubland (Mixed forest &amp; grassland)</v>
      </c>
      <c r="G2527" s="156" t="str">
        <f>'Reported burning'!G2527</f>
        <v>Shrubland (Mixed forest &amp; grassland)</v>
      </c>
      <c r="H2527" s="156" t="str">
        <f>'Reported burning'!H2527</f>
        <v>Presence</v>
      </c>
      <c r="I2527" s="5"/>
      <c r="J2527" s="204" t="s">
        <v>2276</v>
      </c>
      <c r="K2527" s="204" t="s">
        <v>2276</v>
      </c>
      <c r="L2527" s="204" t="s">
        <v>2276</v>
      </c>
      <c r="M2527" s="204" t="s">
        <v>2276</v>
      </c>
      <c r="N2527" s="204" t="s">
        <v>2276</v>
      </c>
      <c r="O2527" s="204" t="s">
        <v>2276</v>
      </c>
      <c r="P2527" s="204" t="s">
        <v>2276</v>
      </c>
      <c r="Q2527" s="204" t="s">
        <v>2276</v>
      </c>
      <c r="R2527" s="204" t="s">
        <v>2276</v>
      </c>
      <c r="S2527" s="204" t="s">
        <v>2276</v>
      </c>
      <c r="T2527" s="204" t="s">
        <v>2276</v>
      </c>
      <c r="U2527" s="204" t="s">
        <v>2276</v>
      </c>
      <c r="V2527" s="204" t="s">
        <v>2276</v>
      </c>
      <c r="W2527" s="204" t="s">
        <v>2276</v>
      </c>
      <c r="X2527" s="204" t="s">
        <v>35</v>
      </c>
      <c r="Y2527" s="204" t="s">
        <v>35</v>
      </c>
      <c r="Z2527" s="204" t="s">
        <v>2276</v>
      </c>
      <c r="AA2527" s="204"/>
      <c r="AB2527" s="204"/>
    </row>
    <row r="2528" spans="1:28" ht="28" customHeight="1">
      <c r="A2528" s="156" t="str">
        <f>'Reported burning'!A2528</f>
        <v>302a</v>
      </c>
      <c r="B2528" s="156" t="str">
        <f>'Reported burning'!B2528</f>
        <v>302a.3</v>
      </c>
      <c r="C2528" s="156" t="str">
        <f>'Reported burning'!C2528</f>
        <v>Human, deliberate</v>
      </c>
      <c r="D2528" s="156" t="str">
        <f>'Reported burning'!D2528</f>
        <v>Rangeland management</v>
      </c>
      <c r="E2528" s="156" t="str">
        <f>'Reported burning'!E2528</f>
        <v>Cattle, Extensive</v>
      </c>
      <c r="F2528" s="156" t="str">
        <f>'Reported burning'!F2528</f>
        <v>Shrubland (Mixed forest &amp; grassland)</v>
      </c>
      <c r="G2528" s="152" t="str">
        <f>'Reported burning'!G2528</f>
        <v>ND</v>
      </c>
      <c r="H2528" s="156" t="str">
        <f>'Reported burning'!H2528</f>
        <v>Absence</v>
      </c>
      <c r="I2528" s="5"/>
      <c r="J2528" s="204" t="s">
        <v>2276</v>
      </c>
      <c r="K2528" s="204" t="s">
        <v>2276</v>
      </c>
      <c r="L2528" s="204" t="s">
        <v>2276</v>
      </c>
      <c r="M2528" s="204" t="s">
        <v>2276</v>
      </c>
      <c r="N2528" s="204" t="s">
        <v>2276</v>
      </c>
      <c r="O2528" s="204" t="s">
        <v>2276</v>
      </c>
      <c r="P2528" s="204" t="s">
        <v>2276</v>
      </c>
      <c r="Q2528" s="204" t="s">
        <v>2276</v>
      </c>
      <c r="R2528" s="204" t="s">
        <v>2276</v>
      </c>
      <c r="S2528" s="204" t="s">
        <v>2276</v>
      </c>
      <c r="T2528" s="204" t="s">
        <v>2276</v>
      </c>
      <c r="U2528" s="204" t="s">
        <v>2276</v>
      </c>
      <c r="V2528" s="204" t="s">
        <v>2276</v>
      </c>
      <c r="W2528" s="204" t="s">
        <v>2276</v>
      </c>
      <c r="X2528" s="204" t="s">
        <v>2276</v>
      </c>
      <c r="Y2528" s="204" t="s">
        <v>2276</v>
      </c>
      <c r="Z2528" s="204" t="s">
        <v>2276</v>
      </c>
      <c r="AA2528" s="4" t="s">
        <v>7088</v>
      </c>
      <c r="AB2528" s="204"/>
    </row>
    <row r="2529" spans="1:28" ht="28" customHeight="1">
      <c r="A2529" s="156" t="str">
        <f>'Reported burning'!A2529</f>
        <v>302a</v>
      </c>
      <c r="B2529" s="156" t="str">
        <f>'Reported burning'!B2529</f>
        <v>302a.4</v>
      </c>
      <c r="C2529" s="156" t="str">
        <f>'Reported burning'!C2529</f>
        <v>Human, deliberate</v>
      </c>
      <c r="D2529" s="156" t="str">
        <f>'Reported burning'!D2529</f>
        <v>Rangeland management</v>
      </c>
      <c r="E2529" s="156" t="str">
        <f>'Reported burning'!E2529</f>
        <v>Cattle, Extensive</v>
      </c>
      <c r="F2529" s="156" t="str">
        <f>'Reported burning'!F2529</f>
        <v>Shrubland (Mixed forest &amp; grassland)</v>
      </c>
      <c r="G2529" s="152" t="str">
        <f>'Reported burning'!G2529</f>
        <v>ND</v>
      </c>
      <c r="H2529" s="156" t="str">
        <f>'Reported burning'!H2529</f>
        <v>Presence</v>
      </c>
      <c r="I2529" s="5"/>
      <c r="J2529" s="204" t="s">
        <v>2276</v>
      </c>
      <c r="K2529" s="204" t="s">
        <v>2276</v>
      </c>
      <c r="L2529" s="204" t="s">
        <v>2276</v>
      </c>
      <c r="M2529" s="204" t="s">
        <v>2276</v>
      </c>
      <c r="N2529" s="204" t="s">
        <v>2276</v>
      </c>
      <c r="O2529" s="204" t="s">
        <v>2276</v>
      </c>
      <c r="P2529" s="204" t="s">
        <v>2276</v>
      </c>
      <c r="Q2529" s="204" t="s">
        <v>2276</v>
      </c>
      <c r="R2529" s="204" t="s">
        <v>2276</v>
      </c>
      <c r="S2529" s="204" t="s">
        <v>2276</v>
      </c>
      <c r="T2529" s="204" t="s">
        <v>2276</v>
      </c>
      <c r="U2529" s="204" t="s">
        <v>2276</v>
      </c>
      <c r="V2529" s="204" t="s">
        <v>2276</v>
      </c>
      <c r="W2529" s="204" t="s">
        <v>2276</v>
      </c>
      <c r="X2529" s="204" t="s">
        <v>2276</v>
      </c>
      <c r="Y2529" s="204" t="s">
        <v>2276</v>
      </c>
      <c r="Z2529" s="204" t="s">
        <v>2276</v>
      </c>
      <c r="AA2529" s="204"/>
      <c r="AB2529" s="204"/>
    </row>
    <row r="2530" spans="1:28" ht="36" customHeight="1">
      <c r="A2530" s="156" t="str">
        <f>'Reported burning'!A2530</f>
        <v>303a</v>
      </c>
      <c r="B2530" s="156" t="str">
        <f>'Reported burning'!B2530</f>
        <v>303a.1</v>
      </c>
      <c r="C2530" s="156" t="str">
        <f>'Reported burning'!C2530</f>
        <v>Human, deliberate</v>
      </c>
      <c r="D2530" s="156" t="str">
        <f>'Reported burning'!D2530</f>
        <v>Rangeland management</v>
      </c>
      <c r="E2530" s="156" t="str">
        <f>'Reported burning'!E2530</f>
        <v>Cattle, Extensive</v>
      </c>
      <c r="F2530" s="156" t="str">
        <f>'Reported burning'!F2530</f>
        <v>Shrubland (Mixed forest &amp; grassland)</v>
      </c>
      <c r="G2530" s="156" t="str">
        <f>'Reported burning'!G2530</f>
        <v>ND</v>
      </c>
      <c r="H2530" s="156" t="str">
        <f>'Reported burning'!H2530</f>
        <v>Presence</v>
      </c>
      <c r="I2530" s="5"/>
      <c r="J2530" s="204" t="s">
        <v>2276</v>
      </c>
      <c r="K2530" s="204" t="s">
        <v>2276</v>
      </c>
      <c r="L2530" s="204" t="s">
        <v>2276</v>
      </c>
      <c r="M2530" s="204" t="s">
        <v>2276</v>
      </c>
      <c r="N2530" s="204" t="s">
        <v>2276</v>
      </c>
      <c r="O2530" s="204" t="s">
        <v>2276</v>
      </c>
      <c r="P2530" s="204" t="s">
        <v>2276</v>
      </c>
      <c r="Q2530" s="204" t="s">
        <v>2276</v>
      </c>
      <c r="R2530" s="204" t="s">
        <v>2276</v>
      </c>
      <c r="S2530" s="204" t="s">
        <v>2276</v>
      </c>
      <c r="T2530" s="204" t="s">
        <v>2276</v>
      </c>
      <c r="U2530" s="204" t="s">
        <v>2276</v>
      </c>
      <c r="V2530" s="204" t="s">
        <v>2276</v>
      </c>
      <c r="W2530" s="204" t="s">
        <v>2276</v>
      </c>
      <c r="X2530" s="204" t="s">
        <v>2276</v>
      </c>
      <c r="Y2530" s="204" t="s">
        <v>2276</v>
      </c>
      <c r="Z2530" s="204" t="s">
        <v>2276</v>
      </c>
      <c r="AA2530" s="204"/>
      <c r="AB2530" s="204"/>
    </row>
    <row r="2531" spans="1:28" ht="28" customHeight="1">
      <c r="A2531" s="156" t="str">
        <f>'Reported burning'!A2531</f>
        <v>303g</v>
      </c>
      <c r="B2531" s="156" t="str">
        <f>'Reported burning'!B2531</f>
        <v>303g.1</v>
      </c>
      <c r="C2531" s="156" t="str">
        <f>'Reported burning'!C2531</f>
        <v>Human, deliberate</v>
      </c>
      <c r="D2531" s="156" t="str">
        <f>'Reported burning'!D2531</f>
        <v>Rangeland management</v>
      </c>
      <c r="E2531" s="156" t="str">
        <f>'Reported burning'!E2531</f>
        <v>Cattle, Extensive</v>
      </c>
      <c r="F2531" s="156" t="str">
        <f>'Reported burning'!F2531</f>
        <v>Shrubland (Mixed forest &amp; grassland)</v>
      </c>
      <c r="G2531" s="156" t="str">
        <f>'Reported burning'!G2531</f>
        <v>ND</v>
      </c>
      <c r="H2531" s="156" t="str">
        <f>'Reported burning'!H2531</f>
        <v>Presence</v>
      </c>
      <c r="I2531" s="5"/>
      <c r="J2531" s="204" t="s">
        <v>2276</v>
      </c>
      <c r="K2531" s="204" t="s">
        <v>2276</v>
      </c>
      <c r="L2531" s="204" t="s">
        <v>2276</v>
      </c>
      <c r="M2531" s="204" t="s">
        <v>2276</v>
      </c>
      <c r="N2531" s="204" t="s">
        <v>2276</v>
      </c>
      <c r="O2531" s="204" t="s">
        <v>2276</v>
      </c>
      <c r="P2531" s="204" t="s">
        <v>2276</v>
      </c>
      <c r="Q2531" s="204" t="s">
        <v>2276</v>
      </c>
      <c r="R2531" s="204" t="s">
        <v>2276</v>
      </c>
      <c r="S2531" s="204" t="s">
        <v>2276</v>
      </c>
      <c r="T2531" s="204" t="s">
        <v>2276</v>
      </c>
      <c r="U2531" s="204" t="s">
        <v>2276</v>
      </c>
      <c r="V2531" s="204" t="s">
        <v>2276</v>
      </c>
      <c r="W2531" s="204" t="s">
        <v>2276</v>
      </c>
      <c r="X2531" s="204" t="s">
        <v>2276</v>
      </c>
      <c r="Y2531" s="204" t="s">
        <v>2276</v>
      </c>
      <c r="Z2531" s="204" t="s">
        <v>2276</v>
      </c>
      <c r="AA2531" s="204"/>
      <c r="AB2531" s="204"/>
    </row>
    <row r="2532" spans="1:28" ht="36" customHeight="1">
      <c r="A2532" s="156" t="str">
        <f>'Reported burning'!A2532</f>
        <v>303h</v>
      </c>
      <c r="B2532" s="156" t="str">
        <f>'Reported burning'!B2532</f>
        <v>303h.1</v>
      </c>
      <c r="C2532" s="156" t="str">
        <f>'Reported burning'!C2532</f>
        <v>Human, deliberate</v>
      </c>
      <c r="D2532" s="156" t="str">
        <f>'Reported burning'!D2532</f>
        <v>Rangeland management</v>
      </c>
      <c r="E2532" s="156" t="str">
        <f>'Reported burning'!E2532</f>
        <v>Cattle, Extensive</v>
      </c>
      <c r="F2532" s="156" t="str">
        <f>'Reported burning'!F2532</f>
        <v>Shrubland (Mixed forest &amp; grassland)</v>
      </c>
      <c r="G2532" s="156" t="str">
        <f>'Reported burning'!G2532</f>
        <v>ND</v>
      </c>
      <c r="H2532" s="156" t="str">
        <f>'Reported burning'!H2532</f>
        <v>Presence</v>
      </c>
      <c r="I2532" s="5"/>
      <c r="J2532" s="204" t="s">
        <v>2276</v>
      </c>
      <c r="K2532" s="204" t="s">
        <v>2276</v>
      </c>
      <c r="L2532" s="204" t="s">
        <v>2276</v>
      </c>
      <c r="M2532" s="204" t="s">
        <v>2276</v>
      </c>
      <c r="N2532" s="204" t="s">
        <v>2276</v>
      </c>
      <c r="O2532" s="204" t="s">
        <v>2276</v>
      </c>
      <c r="P2532" s="204" t="s">
        <v>2276</v>
      </c>
      <c r="Q2532" s="204" t="s">
        <v>2276</v>
      </c>
      <c r="R2532" s="204" t="s">
        <v>2276</v>
      </c>
      <c r="S2532" s="204" t="s">
        <v>2276</v>
      </c>
      <c r="T2532" s="204" t="s">
        <v>2276</v>
      </c>
      <c r="U2532" s="204" t="s">
        <v>2276</v>
      </c>
      <c r="V2532" s="204" t="s">
        <v>2276</v>
      </c>
      <c r="W2532" s="204" t="s">
        <v>2276</v>
      </c>
      <c r="X2532" s="204" t="s">
        <v>2276</v>
      </c>
      <c r="Y2532" s="204" t="s">
        <v>2276</v>
      </c>
      <c r="Z2532" s="204" t="s">
        <v>2276</v>
      </c>
      <c r="AA2532" s="204"/>
      <c r="AB2532" s="204"/>
    </row>
    <row r="2533" spans="1:28" ht="36.5" customHeight="1">
      <c r="A2533" s="156" t="str">
        <f>'Reported burning'!A2533</f>
        <v>303i</v>
      </c>
      <c r="B2533" s="156" t="str">
        <f>'Reported burning'!B2533</f>
        <v>303i.1</v>
      </c>
      <c r="C2533" s="156" t="str">
        <f>'Reported burning'!C2533</f>
        <v>Human, deliberate</v>
      </c>
      <c r="D2533" s="156" t="str">
        <f>'Reported burning'!D2533</f>
        <v>Rangeland management</v>
      </c>
      <c r="E2533" s="156" t="str">
        <f>'Reported burning'!E2533</f>
        <v>Cattle, Extensive</v>
      </c>
      <c r="F2533" s="156" t="str">
        <f>'Reported burning'!F2533</f>
        <v>Shrubland (Mixed forest &amp; grassland)</v>
      </c>
      <c r="G2533" s="156" t="str">
        <f>'Reported burning'!G2533</f>
        <v>ND</v>
      </c>
      <c r="H2533" s="156" t="str">
        <f>'Reported burning'!H2533</f>
        <v>Presence</v>
      </c>
      <c r="I2533" s="5"/>
      <c r="J2533" s="204" t="s">
        <v>2276</v>
      </c>
      <c r="K2533" s="204" t="s">
        <v>2276</v>
      </c>
      <c r="L2533" s="204" t="s">
        <v>2276</v>
      </c>
      <c r="M2533" s="204" t="s">
        <v>2276</v>
      </c>
      <c r="N2533" s="204" t="s">
        <v>2276</v>
      </c>
      <c r="O2533" s="204" t="s">
        <v>2276</v>
      </c>
      <c r="P2533" s="204" t="s">
        <v>2276</v>
      </c>
      <c r="Q2533" s="204" t="s">
        <v>2276</v>
      </c>
      <c r="R2533" s="204" t="s">
        <v>2276</v>
      </c>
      <c r="S2533" s="204" t="s">
        <v>2276</v>
      </c>
      <c r="T2533" s="204" t="s">
        <v>2276</v>
      </c>
      <c r="U2533" s="204" t="s">
        <v>2276</v>
      </c>
      <c r="V2533" s="204" t="s">
        <v>2276</v>
      </c>
      <c r="W2533" s="204" t="s">
        <v>2276</v>
      </c>
      <c r="X2533" s="204" t="s">
        <v>2276</v>
      </c>
      <c r="Y2533" s="204" t="s">
        <v>2276</v>
      </c>
      <c r="Z2533" s="204" t="s">
        <v>2276</v>
      </c>
      <c r="AA2533" s="204"/>
      <c r="AB2533" s="204"/>
    </row>
    <row r="2534" spans="1:28" ht="36.5" customHeight="1">
      <c r="A2534" s="156" t="str">
        <f>'Reported burning'!A2534</f>
        <v>303j</v>
      </c>
      <c r="B2534" s="156" t="str">
        <f>'Reported burning'!B2534</f>
        <v>303j.1</v>
      </c>
      <c r="C2534" s="156" t="str">
        <f>'Reported burning'!C2534</f>
        <v>Human, deliberate</v>
      </c>
      <c r="D2534" s="156" t="str">
        <f>'Reported burning'!D2534</f>
        <v>Rangeland management</v>
      </c>
      <c r="E2534" s="156" t="str">
        <f>'Reported burning'!E2534</f>
        <v>Cattle, Extensive</v>
      </c>
      <c r="F2534" s="156" t="str">
        <f>'Reported burning'!F2534</f>
        <v>Shrubland (Mixed forest &amp; grassland)</v>
      </c>
      <c r="G2534" s="156" t="str">
        <f>'Reported burning'!G2534</f>
        <v>ND</v>
      </c>
      <c r="H2534" s="156" t="str">
        <f>'Reported burning'!H2534</f>
        <v>Presence</v>
      </c>
      <c r="I2534" s="5"/>
      <c r="J2534" s="204" t="s">
        <v>2276</v>
      </c>
      <c r="K2534" s="204" t="s">
        <v>2276</v>
      </c>
      <c r="L2534" s="204" t="s">
        <v>2276</v>
      </c>
      <c r="M2534" s="204" t="s">
        <v>2276</v>
      </c>
      <c r="N2534" s="204" t="s">
        <v>2276</v>
      </c>
      <c r="O2534" s="204" t="s">
        <v>2276</v>
      </c>
      <c r="P2534" s="204" t="s">
        <v>2276</v>
      </c>
      <c r="Q2534" s="204" t="s">
        <v>2276</v>
      </c>
      <c r="R2534" s="204" t="s">
        <v>2276</v>
      </c>
      <c r="S2534" s="204" t="s">
        <v>2276</v>
      </c>
      <c r="T2534" s="204" t="s">
        <v>2276</v>
      </c>
      <c r="U2534" s="204" t="s">
        <v>2276</v>
      </c>
      <c r="V2534" s="204" t="s">
        <v>2276</v>
      </c>
      <c r="W2534" s="204" t="s">
        <v>2276</v>
      </c>
      <c r="X2534" s="204" t="s">
        <v>2276</v>
      </c>
      <c r="Y2534" s="204" t="s">
        <v>2276</v>
      </c>
      <c r="Z2534" s="204" t="s">
        <v>2276</v>
      </c>
      <c r="AA2534" s="204"/>
      <c r="AB2534" s="204"/>
    </row>
    <row r="2535" spans="1:28" ht="36.5" customHeight="1">
      <c r="A2535" s="156" t="str">
        <f>'Reported burning'!A2535</f>
        <v>303k</v>
      </c>
      <c r="B2535" s="156" t="str">
        <f>'Reported burning'!B2535</f>
        <v>303k.1</v>
      </c>
      <c r="C2535" s="156" t="str">
        <f>'Reported burning'!C2535</f>
        <v>Human, deliberate</v>
      </c>
      <c r="D2535" s="156" t="str">
        <f>'Reported burning'!D2535</f>
        <v>Rangeland management</v>
      </c>
      <c r="E2535" s="156" t="str">
        <f>'Reported burning'!E2535</f>
        <v>Cattle, Extensive</v>
      </c>
      <c r="F2535" s="156" t="str">
        <f>'Reported burning'!F2535</f>
        <v>Shrubland (Mixed forest &amp; grassland)</v>
      </c>
      <c r="G2535" s="156" t="str">
        <f>'Reported burning'!G2535</f>
        <v>ND</v>
      </c>
      <c r="H2535" s="156" t="str">
        <f>'Reported burning'!H2535</f>
        <v>Presence</v>
      </c>
      <c r="I2535" s="5"/>
      <c r="J2535" s="204" t="s">
        <v>2276</v>
      </c>
      <c r="K2535" s="204" t="s">
        <v>2276</v>
      </c>
      <c r="L2535" s="204" t="s">
        <v>2276</v>
      </c>
      <c r="M2535" s="204" t="s">
        <v>2276</v>
      </c>
      <c r="N2535" s="204" t="s">
        <v>2276</v>
      </c>
      <c r="O2535" s="204" t="s">
        <v>2276</v>
      </c>
      <c r="P2535" s="204" t="s">
        <v>2276</v>
      </c>
      <c r="Q2535" s="204" t="s">
        <v>2276</v>
      </c>
      <c r="R2535" s="204" t="s">
        <v>2276</v>
      </c>
      <c r="S2535" s="204" t="s">
        <v>2276</v>
      </c>
      <c r="T2535" s="204" t="s">
        <v>2276</v>
      </c>
      <c r="U2535" s="204" t="s">
        <v>2276</v>
      </c>
      <c r="V2535" s="204" t="s">
        <v>2276</v>
      </c>
      <c r="W2535" s="204" t="s">
        <v>2276</v>
      </c>
      <c r="X2535" s="204" t="s">
        <v>2276</v>
      </c>
      <c r="Y2535" s="204" t="s">
        <v>2276</v>
      </c>
      <c r="Z2535" s="204" t="s">
        <v>2276</v>
      </c>
      <c r="AA2535" s="204"/>
      <c r="AB2535" s="204"/>
    </row>
    <row r="2536" spans="1:28" ht="36.5" customHeight="1">
      <c r="A2536" s="156" t="str">
        <f>'Reported burning'!A2536</f>
        <v>303l</v>
      </c>
      <c r="B2536" s="156" t="str">
        <f>'Reported burning'!B2536</f>
        <v>303l.1</v>
      </c>
      <c r="C2536" s="156" t="str">
        <f>'Reported burning'!C2536</f>
        <v>Human, deliberate</v>
      </c>
      <c r="D2536" s="156" t="str">
        <f>'Reported burning'!D2536</f>
        <v>Rangeland management</v>
      </c>
      <c r="E2536" s="156" t="str">
        <f>'Reported burning'!E2536</f>
        <v>Cattle, Extensive</v>
      </c>
      <c r="F2536" s="156" t="str">
        <f>'Reported burning'!F2536</f>
        <v>Shrubland (Mixed forest &amp; grassland)</v>
      </c>
      <c r="G2536" s="156" t="str">
        <f>'Reported burning'!G2536</f>
        <v>ND</v>
      </c>
      <c r="H2536" s="156" t="str">
        <f>'Reported burning'!H2536</f>
        <v>Presence</v>
      </c>
      <c r="I2536" s="5"/>
      <c r="J2536" s="204" t="s">
        <v>2276</v>
      </c>
      <c r="K2536" s="204" t="s">
        <v>2276</v>
      </c>
      <c r="L2536" s="204" t="s">
        <v>2276</v>
      </c>
      <c r="M2536" s="204" t="s">
        <v>2276</v>
      </c>
      <c r="N2536" s="204" t="s">
        <v>2276</v>
      </c>
      <c r="O2536" s="204" t="s">
        <v>2276</v>
      </c>
      <c r="P2536" s="204" t="s">
        <v>2276</v>
      </c>
      <c r="Q2536" s="204" t="s">
        <v>2276</v>
      </c>
      <c r="R2536" s="204" t="s">
        <v>2276</v>
      </c>
      <c r="S2536" s="204" t="s">
        <v>2276</v>
      </c>
      <c r="T2536" s="204" t="s">
        <v>2276</v>
      </c>
      <c r="U2536" s="204" t="s">
        <v>2276</v>
      </c>
      <c r="V2536" s="204" t="s">
        <v>2276</v>
      </c>
      <c r="W2536" s="204" t="s">
        <v>2276</v>
      </c>
      <c r="X2536" s="204" t="s">
        <v>2276</v>
      </c>
      <c r="Y2536" s="204" t="s">
        <v>2276</v>
      </c>
      <c r="Z2536" s="204" t="s">
        <v>2276</v>
      </c>
      <c r="AA2536" s="204"/>
      <c r="AB2536" s="204"/>
    </row>
    <row r="2537" spans="1:28" ht="36.5" customHeight="1">
      <c r="A2537" s="156" t="str">
        <f>'Reported burning'!A2537</f>
        <v>303aj</v>
      </c>
      <c r="B2537" s="156" t="str">
        <f>'Reported burning'!B2537</f>
        <v>303aj.1</v>
      </c>
      <c r="C2537" s="156" t="str">
        <f>'Reported burning'!C2537</f>
        <v>Human, deliberate</v>
      </c>
      <c r="D2537" s="156" t="str">
        <f>'Reported burning'!D2537</f>
        <v>Rangeland management</v>
      </c>
      <c r="E2537" s="156" t="str">
        <f>'Reported burning'!E2537</f>
        <v>Cattle, Extensive</v>
      </c>
      <c r="F2537" s="156" t="str">
        <f>'Reported burning'!F2537</f>
        <v>Shrubland (Mixed forest &amp; grassland)</v>
      </c>
      <c r="G2537" s="156" t="str">
        <f>'Reported burning'!G2537</f>
        <v>ND</v>
      </c>
      <c r="H2537" s="156" t="str">
        <f>'Reported burning'!H2537</f>
        <v>Presence</v>
      </c>
      <c r="I2537" s="5"/>
      <c r="J2537" s="204" t="s">
        <v>2276</v>
      </c>
      <c r="K2537" s="204" t="s">
        <v>2276</v>
      </c>
      <c r="L2537" s="204" t="s">
        <v>2276</v>
      </c>
      <c r="M2537" s="204" t="s">
        <v>2276</v>
      </c>
      <c r="N2537" s="204" t="s">
        <v>2276</v>
      </c>
      <c r="O2537" s="204" t="s">
        <v>2276</v>
      </c>
      <c r="P2537" s="204" t="s">
        <v>2276</v>
      </c>
      <c r="Q2537" s="204" t="s">
        <v>2276</v>
      </c>
      <c r="R2537" s="204" t="s">
        <v>2276</v>
      </c>
      <c r="S2537" s="204" t="s">
        <v>2276</v>
      </c>
      <c r="T2537" s="204" t="s">
        <v>2276</v>
      </c>
      <c r="U2537" s="204" t="s">
        <v>2276</v>
      </c>
      <c r="V2537" s="204" t="s">
        <v>2276</v>
      </c>
      <c r="W2537" s="21" t="s">
        <v>2401</v>
      </c>
      <c r="X2537" s="204" t="s">
        <v>34</v>
      </c>
      <c r="Y2537" s="204" t="s">
        <v>405</v>
      </c>
      <c r="Z2537" s="204" t="s">
        <v>2276</v>
      </c>
      <c r="AA2537" s="11" t="s">
        <v>7222</v>
      </c>
      <c r="AB2537" s="204"/>
    </row>
    <row r="2538" spans="1:28" ht="36.5" customHeight="1">
      <c r="A2538" s="156" t="str">
        <f>'Reported burning'!A2538</f>
        <v>303aj</v>
      </c>
      <c r="B2538" s="156" t="str">
        <f>'Reported burning'!B2538</f>
        <v>303aj.2</v>
      </c>
      <c r="C2538" s="156" t="str">
        <f>'Reported burning'!C2538</f>
        <v>Human, escaped</v>
      </c>
      <c r="D2538" s="156" t="str">
        <f>'Reported burning'!D2538</f>
        <v>Rangeland management</v>
      </c>
      <c r="E2538" s="156" t="str">
        <f>'Reported burning'!E2538</f>
        <v>Cattle, Extensive</v>
      </c>
      <c r="F2538" s="156" t="str">
        <f>'Reported burning'!F2538</f>
        <v>Shrubland (Mixed forest &amp; grassland)</v>
      </c>
      <c r="G2538" s="156" t="str">
        <f>'Reported burning'!G2538</f>
        <v>ND</v>
      </c>
      <c r="H2538" s="156" t="str">
        <f>'Reported burning'!H2538</f>
        <v>Presence</v>
      </c>
      <c r="I2538" s="5"/>
      <c r="J2538" s="204" t="s">
        <v>2276</v>
      </c>
      <c r="K2538" s="204" t="s">
        <v>2276</v>
      </c>
      <c r="L2538" s="204" t="s">
        <v>2276</v>
      </c>
      <c r="M2538" s="204" t="s">
        <v>2276</v>
      </c>
      <c r="N2538" s="204" t="s">
        <v>2276</v>
      </c>
      <c r="O2538" s="204" t="s">
        <v>2276</v>
      </c>
      <c r="P2538" s="204" t="s">
        <v>2276</v>
      </c>
      <c r="Q2538" s="204" t="s">
        <v>2276</v>
      </c>
      <c r="R2538" s="204" t="s">
        <v>2276</v>
      </c>
      <c r="S2538" s="204" t="s">
        <v>2276</v>
      </c>
      <c r="T2538" s="204" t="s">
        <v>2276</v>
      </c>
      <c r="U2538" s="204" t="s">
        <v>2276</v>
      </c>
      <c r="V2538" s="204" t="s">
        <v>2276</v>
      </c>
      <c r="W2538" s="204" t="s">
        <v>2276</v>
      </c>
      <c r="X2538" s="204" t="s">
        <v>2276</v>
      </c>
      <c r="Y2538" s="204" t="s">
        <v>2276</v>
      </c>
      <c r="Z2538" s="204" t="s">
        <v>2276</v>
      </c>
      <c r="AA2538" s="11" t="s">
        <v>7225</v>
      </c>
      <c r="AB2538" s="204"/>
    </row>
    <row r="2539" spans="1:28" ht="36.5" customHeight="1">
      <c r="A2539" s="156" t="str">
        <f>'Reported burning'!A2539</f>
        <v>303ak</v>
      </c>
      <c r="B2539" s="156" t="str">
        <f>'Reported burning'!B2539</f>
        <v>303ak.1</v>
      </c>
      <c r="C2539" s="156" t="str">
        <f>'Reported burning'!C2539</f>
        <v>Human, deliberate</v>
      </c>
      <c r="D2539" s="156" t="str">
        <f>'Reported burning'!D2539</f>
        <v>Rangeland management</v>
      </c>
      <c r="E2539" s="156" t="str">
        <f>'Reported burning'!E2539</f>
        <v>Cattle, Extensive</v>
      </c>
      <c r="F2539" s="156" t="str">
        <f>'Reported burning'!F2539</f>
        <v>Shrubland (Mixed forest &amp; grassland)</v>
      </c>
      <c r="G2539" s="156" t="str">
        <f>'Reported burning'!G2539</f>
        <v>ND</v>
      </c>
      <c r="H2539" s="156" t="str">
        <f>'Reported burning'!H2539</f>
        <v>Presence</v>
      </c>
      <c r="I2539" s="5"/>
      <c r="J2539" s="204" t="s">
        <v>2276</v>
      </c>
      <c r="K2539" s="204" t="s">
        <v>2276</v>
      </c>
      <c r="L2539" s="204" t="s">
        <v>2276</v>
      </c>
      <c r="M2539" s="204" t="s">
        <v>2276</v>
      </c>
      <c r="N2539" s="204" t="s">
        <v>2276</v>
      </c>
      <c r="O2539" s="204" t="s">
        <v>2276</v>
      </c>
      <c r="P2539" s="204" t="s">
        <v>2276</v>
      </c>
      <c r="Q2539" s="204" t="s">
        <v>2276</v>
      </c>
      <c r="R2539" s="204" t="s">
        <v>2276</v>
      </c>
      <c r="S2539" s="204" t="s">
        <v>2276</v>
      </c>
      <c r="T2539" s="204" t="s">
        <v>2276</v>
      </c>
      <c r="U2539" s="204" t="s">
        <v>2276</v>
      </c>
      <c r="V2539" s="204" t="s">
        <v>2276</v>
      </c>
      <c r="W2539" s="21" t="s">
        <v>2401</v>
      </c>
      <c r="X2539" s="204" t="s">
        <v>34</v>
      </c>
      <c r="Y2539" s="204" t="s">
        <v>405</v>
      </c>
      <c r="Z2539" s="204" t="s">
        <v>2276</v>
      </c>
      <c r="AA2539" s="11" t="s">
        <v>7222</v>
      </c>
      <c r="AB2539" s="204"/>
    </row>
    <row r="2540" spans="1:28" s="203" customFormat="1" ht="36.5" customHeight="1">
      <c r="A2540" s="152" t="str">
        <f>'Reported burning'!A2540</f>
        <v>303al</v>
      </c>
      <c r="B2540" s="152" t="str">
        <f>'Reported burning'!B2540</f>
        <v>303al.1</v>
      </c>
      <c r="C2540" s="152" t="str">
        <f>'Reported burning'!C2540</f>
        <v>Human, deliberate</v>
      </c>
      <c r="D2540" s="152" t="str">
        <f>'Reported burning'!D2540</f>
        <v>Rangeland management</v>
      </c>
      <c r="E2540" s="152" t="str">
        <f>'Reported burning'!E2540</f>
        <v>Cattle, Extensive</v>
      </c>
      <c r="F2540" s="152" t="str">
        <f>'Reported burning'!F2540</f>
        <v>Shrubland (Mixed forest &amp; grassland)</v>
      </c>
      <c r="G2540" s="152" t="str">
        <f>'Reported burning'!G2540</f>
        <v>ND</v>
      </c>
      <c r="H2540" s="152" t="str">
        <f>'Reported burning'!H2540</f>
        <v>Presence</v>
      </c>
      <c r="I2540" s="5"/>
      <c r="J2540" s="204" t="s">
        <v>2276</v>
      </c>
      <c r="K2540" s="204" t="s">
        <v>2276</v>
      </c>
      <c r="L2540" s="204" t="s">
        <v>2276</v>
      </c>
      <c r="M2540" s="204" t="s">
        <v>2276</v>
      </c>
      <c r="N2540" s="204" t="s">
        <v>2276</v>
      </c>
      <c r="O2540" s="204" t="s">
        <v>2276</v>
      </c>
      <c r="P2540" s="204" t="s">
        <v>2276</v>
      </c>
      <c r="Q2540" s="204" t="s">
        <v>2276</v>
      </c>
      <c r="R2540" s="204" t="s">
        <v>2276</v>
      </c>
      <c r="S2540" s="204" t="s">
        <v>2276</v>
      </c>
      <c r="T2540" s="204" t="s">
        <v>2276</v>
      </c>
      <c r="U2540" s="204" t="s">
        <v>2276</v>
      </c>
      <c r="V2540" s="204" t="s">
        <v>2276</v>
      </c>
      <c r="W2540" s="21" t="s">
        <v>2401</v>
      </c>
      <c r="X2540" s="204" t="s">
        <v>34</v>
      </c>
      <c r="Y2540" s="204" t="s">
        <v>405</v>
      </c>
      <c r="Z2540" s="204" t="s">
        <v>2276</v>
      </c>
      <c r="AA2540" s="11" t="s">
        <v>7222</v>
      </c>
      <c r="AB2540" s="204"/>
    </row>
    <row r="2541" spans="1:28" ht="36.5" customHeight="1">
      <c r="A2541" s="156" t="str">
        <f>'Reported burning'!A2541</f>
        <v>303am</v>
      </c>
      <c r="B2541" s="156" t="str">
        <f>'Reported burning'!B2541</f>
        <v>303am.1</v>
      </c>
      <c r="C2541" s="156" t="str">
        <f>'Reported burning'!C2541</f>
        <v>Human, deliberate</v>
      </c>
      <c r="D2541" s="156" t="str">
        <f>'Reported burning'!D2541</f>
        <v>Rangeland management</v>
      </c>
      <c r="E2541" s="156" t="str">
        <f>'Reported burning'!E2541</f>
        <v>Cattle, Extensive</v>
      </c>
      <c r="F2541" s="156" t="str">
        <f>'Reported burning'!F2541</f>
        <v>Shrubland (Mixed forest &amp; grassland)</v>
      </c>
      <c r="G2541" s="156" t="str">
        <f>'Reported burning'!G2541</f>
        <v>ND</v>
      </c>
      <c r="H2541" s="156" t="str">
        <f>'Reported burning'!H2541</f>
        <v>Presence</v>
      </c>
      <c r="I2541" s="5"/>
      <c r="J2541" s="204" t="s">
        <v>2276</v>
      </c>
      <c r="K2541" s="204" t="s">
        <v>2276</v>
      </c>
      <c r="L2541" s="204" t="s">
        <v>2276</v>
      </c>
      <c r="M2541" s="204" t="s">
        <v>2276</v>
      </c>
      <c r="N2541" s="204" t="s">
        <v>2276</v>
      </c>
      <c r="O2541" s="204" t="s">
        <v>2276</v>
      </c>
      <c r="P2541" s="204" t="s">
        <v>2276</v>
      </c>
      <c r="Q2541" s="204" t="s">
        <v>2276</v>
      </c>
      <c r="R2541" s="204" t="s">
        <v>2276</v>
      </c>
      <c r="S2541" s="204" t="s">
        <v>2276</v>
      </c>
      <c r="T2541" s="204" t="s">
        <v>2276</v>
      </c>
      <c r="U2541" s="204" t="s">
        <v>2276</v>
      </c>
      <c r="V2541" s="204" t="s">
        <v>2276</v>
      </c>
      <c r="W2541" s="204" t="s">
        <v>2276</v>
      </c>
      <c r="X2541" s="204" t="s">
        <v>2276</v>
      </c>
      <c r="Y2541" s="204" t="s">
        <v>2276</v>
      </c>
      <c r="Z2541" s="204" t="s">
        <v>2276</v>
      </c>
      <c r="AA2541" s="11"/>
      <c r="AB2541" s="204"/>
    </row>
    <row r="2542" spans="1:28" ht="37.5" customHeight="1">
      <c r="A2542" s="156" t="str">
        <f>'Reported burning'!A2542</f>
        <v>303am</v>
      </c>
      <c r="B2542" s="156" t="str">
        <f>'Reported burning'!B2542</f>
        <v>303am.2</v>
      </c>
      <c r="C2542" s="156" t="str">
        <f>'Reported burning'!C2542</f>
        <v>Human, deliberate</v>
      </c>
      <c r="D2542" s="156" t="str">
        <f>'Reported burning'!D2542</f>
        <v>Rangeland management</v>
      </c>
      <c r="E2542" s="156" t="str">
        <f>'Reported burning'!E2542</f>
        <v>Pastoralism, Migratory</v>
      </c>
      <c r="F2542" s="156" t="str">
        <f>'Reported burning'!F2542</f>
        <v>Shrubland (Mixed forest &amp; grassland)</v>
      </c>
      <c r="G2542" s="156" t="str">
        <f>'Reported burning'!G2542</f>
        <v>ND</v>
      </c>
      <c r="H2542" s="156" t="str">
        <f>'Reported burning'!H2542</f>
        <v>Presence</v>
      </c>
      <c r="I2542" s="5"/>
      <c r="J2542" s="204" t="s">
        <v>2276</v>
      </c>
      <c r="K2542" s="204" t="s">
        <v>2276</v>
      </c>
      <c r="L2542" s="204" t="s">
        <v>2276</v>
      </c>
      <c r="M2542" s="204" t="s">
        <v>2276</v>
      </c>
      <c r="N2542" s="204" t="s">
        <v>2276</v>
      </c>
      <c r="O2542" s="204" t="s">
        <v>2276</v>
      </c>
      <c r="P2542" s="204" t="s">
        <v>2276</v>
      </c>
      <c r="Q2542" s="204" t="s">
        <v>2276</v>
      </c>
      <c r="R2542" s="204" t="s">
        <v>2276</v>
      </c>
      <c r="S2542" s="204" t="s">
        <v>2276</v>
      </c>
      <c r="T2542" s="204" t="s">
        <v>2276</v>
      </c>
      <c r="U2542" s="204" t="s">
        <v>2276</v>
      </c>
      <c r="V2542" s="204" t="s">
        <v>2276</v>
      </c>
      <c r="W2542" s="204" t="s">
        <v>2276</v>
      </c>
      <c r="X2542" s="204" t="s">
        <v>2276</v>
      </c>
      <c r="Y2542" s="204" t="s">
        <v>2276</v>
      </c>
      <c r="Z2542" s="204" t="s">
        <v>2276</v>
      </c>
      <c r="AA2542" s="204"/>
      <c r="AB2542" s="204"/>
    </row>
    <row r="2543" spans="1:28" ht="44.5" customHeight="1">
      <c r="A2543" s="156" t="str">
        <f>'Reported burning'!A2543</f>
        <v>303an</v>
      </c>
      <c r="B2543" s="156" t="str">
        <f>'Reported burning'!B2543</f>
        <v>303an.1</v>
      </c>
      <c r="C2543" s="156" t="str">
        <f>'Reported burning'!C2543</f>
        <v>Human, deliberate</v>
      </c>
      <c r="D2543" s="156" t="str">
        <f>'Reported burning'!D2543</f>
        <v>Rangeland management</v>
      </c>
      <c r="E2543" s="156" t="str">
        <f>'Reported burning'!E2543</f>
        <v>Cattle, Extensive</v>
      </c>
      <c r="F2543" s="156" t="str">
        <f>'Reported burning'!F2543</f>
        <v>Shrubland (Mixed forest &amp; grassland)</v>
      </c>
      <c r="G2543" s="156" t="str">
        <f>'Reported burning'!G2543</f>
        <v>ND</v>
      </c>
      <c r="H2543" s="156" t="str">
        <f>'Reported burning'!H2543</f>
        <v>Presence</v>
      </c>
      <c r="I2543" s="5"/>
      <c r="J2543" s="204" t="s">
        <v>2276</v>
      </c>
      <c r="K2543" s="204" t="s">
        <v>2276</v>
      </c>
      <c r="L2543" s="204" t="s">
        <v>2276</v>
      </c>
      <c r="M2543" s="204" t="s">
        <v>2276</v>
      </c>
      <c r="N2543" s="204" t="s">
        <v>2276</v>
      </c>
      <c r="O2543" s="204" t="s">
        <v>2276</v>
      </c>
      <c r="P2543" s="204" t="s">
        <v>2276</v>
      </c>
      <c r="Q2543" s="204" t="s">
        <v>2276</v>
      </c>
      <c r="R2543" s="204" t="s">
        <v>2276</v>
      </c>
      <c r="S2543" s="204" t="s">
        <v>2276</v>
      </c>
      <c r="T2543" s="204" t="s">
        <v>2276</v>
      </c>
      <c r="U2543" s="204" t="s">
        <v>2276</v>
      </c>
      <c r="V2543" s="204" t="s">
        <v>2276</v>
      </c>
      <c r="W2543" s="204" t="s">
        <v>2276</v>
      </c>
      <c r="X2543" s="204" t="s">
        <v>2276</v>
      </c>
      <c r="Y2543" s="204" t="s">
        <v>2276</v>
      </c>
      <c r="Z2543" s="204" t="s">
        <v>2276</v>
      </c>
      <c r="AA2543" s="204"/>
      <c r="AB2543" s="204"/>
    </row>
    <row r="2544" spans="1:28" ht="44.5" customHeight="1">
      <c r="A2544" s="156" t="str">
        <f>'Reported burning'!A2544</f>
        <v>303an</v>
      </c>
      <c r="B2544" s="156" t="str">
        <f>'Reported burning'!B2544</f>
        <v>303an.2</v>
      </c>
      <c r="C2544" s="156" t="str">
        <f>'Reported burning'!C2544</f>
        <v>Human, deliberate</v>
      </c>
      <c r="D2544" s="156" t="str">
        <f>'Reported burning'!D2544</f>
        <v>Rangeland management</v>
      </c>
      <c r="E2544" s="156" t="str">
        <f>'Reported burning'!E2544</f>
        <v>Pastoralism, Migratory</v>
      </c>
      <c r="F2544" s="156" t="str">
        <f>'Reported burning'!F2544</f>
        <v>Shrubland (Mixed forest &amp; grassland)</v>
      </c>
      <c r="G2544" s="156" t="str">
        <f>'Reported burning'!G2544</f>
        <v>ND</v>
      </c>
      <c r="H2544" s="156" t="str">
        <f>'Reported burning'!H2544</f>
        <v>Presence</v>
      </c>
      <c r="I2544" s="5"/>
      <c r="J2544" s="204" t="s">
        <v>2276</v>
      </c>
      <c r="K2544" s="204" t="s">
        <v>2276</v>
      </c>
      <c r="L2544" s="204" t="s">
        <v>2276</v>
      </c>
      <c r="M2544" s="204" t="s">
        <v>2276</v>
      </c>
      <c r="N2544" s="204" t="s">
        <v>2276</v>
      </c>
      <c r="O2544" s="204" t="s">
        <v>2276</v>
      </c>
      <c r="P2544" s="204" t="s">
        <v>2276</v>
      </c>
      <c r="Q2544" s="204" t="s">
        <v>2276</v>
      </c>
      <c r="R2544" s="204" t="s">
        <v>2276</v>
      </c>
      <c r="S2544" s="204" t="s">
        <v>2276</v>
      </c>
      <c r="T2544" s="204" t="s">
        <v>2276</v>
      </c>
      <c r="U2544" s="204" t="s">
        <v>2276</v>
      </c>
      <c r="V2544" s="204" t="s">
        <v>2276</v>
      </c>
      <c r="W2544" s="204" t="s">
        <v>2276</v>
      </c>
      <c r="X2544" s="204" t="s">
        <v>2276</v>
      </c>
      <c r="Y2544" s="204" t="s">
        <v>2276</v>
      </c>
      <c r="Z2544" s="204" t="s">
        <v>2276</v>
      </c>
      <c r="AA2544" s="204"/>
      <c r="AB2544" s="204"/>
    </row>
    <row r="2545" spans="1:28" ht="44.5" customHeight="1">
      <c r="A2545" s="156" t="str">
        <f>'Reported burning'!A2545</f>
        <v>304a</v>
      </c>
      <c r="B2545" s="156" t="str">
        <f>'Reported burning'!B2545</f>
        <v>304a.1</v>
      </c>
      <c r="C2545" s="156" t="str">
        <f>'Reported burning'!C2545</f>
        <v>Human, deliberate</v>
      </c>
      <c r="D2545" s="156" t="str">
        <f>'Reported burning'!D2545</f>
        <v>Pyrome management</v>
      </c>
      <c r="E2545" s="156" t="str">
        <f>'Reported burning'!E2545</f>
        <v>Fire suppression agent</v>
      </c>
      <c r="F2545" s="156" t="str">
        <f>'Reported burning'!F2545</f>
        <v>Shrubland (Mixed forest &amp; grassland)</v>
      </c>
      <c r="G2545" s="156" t="str">
        <f>'Reported burning'!G2545</f>
        <v>ND</v>
      </c>
      <c r="H2545" s="156" t="str">
        <f>'Reported burning'!H2545</f>
        <v>Presence</v>
      </c>
      <c r="I2545" s="5"/>
      <c r="J2545" s="14" t="s">
        <v>2365</v>
      </c>
      <c r="K2545" s="204" t="s">
        <v>2276</v>
      </c>
      <c r="L2545" s="204" t="s">
        <v>2276</v>
      </c>
      <c r="M2545" s="21" t="s">
        <v>2379</v>
      </c>
      <c r="N2545" s="204" t="s">
        <v>2276</v>
      </c>
      <c r="O2545" s="21" t="s">
        <v>2377</v>
      </c>
      <c r="P2545" s="21" t="s">
        <v>2377</v>
      </c>
      <c r="Q2545" s="21" t="s">
        <v>2376</v>
      </c>
      <c r="R2545" s="21" t="s">
        <v>2376</v>
      </c>
      <c r="S2545" s="204" t="s">
        <v>2276</v>
      </c>
      <c r="T2545" s="204" t="s">
        <v>2276</v>
      </c>
      <c r="U2545" s="204" t="s">
        <v>2276</v>
      </c>
      <c r="V2545" s="204" t="s">
        <v>2276</v>
      </c>
      <c r="W2545" s="204" t="s">
        <v>2276</v>
      </c>
      <c r="X2545" s="204" t="s">
        <v>2276</v>
      </c>
      <c r="Y2545" s="204" t="s">
        <v>2276</v>
      </c>
      <c r="Z2545" s="204" t="s">
        <v>2276</v>
      </c>
      <c r="AA2545" s="204"/>
      <c r="AB2545" s="204"/>
    </row>
    <row r="2546" spans="1:28" ht="44.5" customHeight="1">
      <c r="A2546" s="156" t="str">
        <f>'Reported burning'!A2546</f>
        <v>304b</v>
      </c>
      <c r="B2546" s="156" t="str">
        <f>'Reported burning'!B2546</f>
        <v>304b.1</v>
      </c>
      <c r="C2546" s="156" t="str">
        <f>'Reported burning'!C2546</f>
        <v>Human, deliberate</v>
      </c>
      <c r="D2546" s="156" t="str">
        <f>'Reported burning'!D2546</f>
        <v>Pyrome management</v>
      </c>
      <c r="E2546" s="156" t="str">
        <f>'Reported burning'!E2546</f>
        <v>Fire suppression agent</v>
      </c>
      <c r="F2546" s="156" t="str">
        <f>'Reported burning'!F2546</f>
        <v>Shrubland (Mixed forest &amp; grassland)</v>
      </c>
      <c r="G2546" s="156" t="str">
        <f>'Reported burning'!G2546</f>
        <v>ND</v>
      </c>
      <c r="H2546" s="156" t="str">
        <f>'Reported burning'!H2546</f>
        <v>Absence</v>
      </c>
      <c r="I2546" s="5"/>
      <c r="J2546" s="21">
        <v>0</v>
      </c>
      <c r="K2546" s="21">
        <v>0</v>
      </c>
      <c r="L2546" s="21">
        <v>0</v>
      </c>
      <c r="M2546" s="21">
        <v>0</v>
      </c>
      <c r="N2546" s="21">
        <v>0</v>
      </c>
      <c r="O2546" s="21">
        <v>0</v>
      </c>
      <c r="P2546" s="21">
        <v>0</v>
      </c>
      <c r="Q2546" s="21">
        <v>0</v>
      </c>
      <c r="R2546" s="21">
        <v>0</v>
      </c>
      <c r="S2546" s="21">
        <v>0</v>
      </c>
      <c r="T2546" s="21">
        <v>0</v>
      </c>
      <c r="U2546" s="21">
        <v>0</v>
      </c>
      <c r="V2546" s="21">
        <v>0</v>
      </c>
      <c r="W2546" s="204" t="s">
        <v>2276</v>
      </c>
      <c r="X2546" s="204" t="s">
        <v>2276</v>
      </c>
      <c r="Y2546" s="204" t="s">
        <v>2276</v>
      </c>
      <c r="Z2546" s="204" t="s">
        <v>2276</v>
      </c>
      <c r="AA2546" s="204"/>
      <c r="AB2546" s="204"/>
    </row>
    <row r="2547" spans="1:28" ht="33" customHeight="1">
      <c r="A2547" s="156" t="str">
        <f>'Reported burning'!A2547</f>
        <v>304b</v>
      </c>
      <c r="B2547" s="156" t="str">
        <f>'Reported burning'!B2547</f>
        <v>304b.2</v>
      </c>
      <c r="C2547" s="156" t="str">
        <f>'Reported burning'!C2547</f>
        <v>Human, deliberate</v>
      </c>
      <c r="D2547" s="156" t="str">
        <f>'Reported burning'!D2547</f>
        <v>Pyrome management</v>
      </c>
      <c r="E2547" s="156" t="str">
        <f>'Reported burning'!E2547</f>
        <v>Fire suppression agent</v>
      </c>
      <c r="F2547" s="156" t="str">
        <f>'Reported burning'!F2547</f>
        <v>Shrubland (Mixed forest &amp; grassland)</v>
      </c>
      <c r="G2547" s="156" t="str">
        <f>'Reported burning'!G2547</f>
        <v>ND</v>
      </c>
      <c r="H2547" s="156" t="str">
        <f>'Reported burning'!H2547</f>
        <v>Absence</v>
      </c>
      <c r="I2547" s="5"/>
      <c r="J2547" s="21">
        <v>0</v>
      </c>
      <c r="K2547" s="21">
        <v>0</v>
      </c>
      <c r="L2547" s="21">
        <v>0</v>
      </c>
      <c r="M2547" s="21">
        <v>0</v>
      </c>
      <c r="N2547" s="21">
        <v>0</v>
      </c>
      <c r="O2547" s="21">
        <v>0</v>
      </c>
      <c r="P2547" s="21">
        <v>0</v>
      </c>
      <c r="Q2547" s="21">
        <v>0</v>
      </c>
      <c r="R2547" s="21">
        <v>0</v>
      </c>
      <c r="S2547" s="21">
        <v>0</v>
      </c>
      <c r="T2547" s="21">
        <v>0</v>
      </c>
      <c r="U2547" s="21">
        <v>0</v>
      </c>
      <c r="V2547" s="21">
        <v>0</v>
      </c>
      <c r="W2547" s="204" t="s">
        <v>2276</v>
      </c>
      <c r="X2547" s="204" t="s">
        <v>2276</v>
      </c>
      <c r="Y2547" s="204" t="s">
        <v>2276</v>
      </c>
      <c r="Z2547" s="204" t="s">
        <v>2276</v>
      </c>
      <c r="AA2547" s="204"/>
      <c r="AB2547" s="204"/>
    </row>
    <row r="2548" spans="1:28" ht="33" customHeight="1">
      <c r="A2548" s="156" t="str">
        <f>'Reported burning'!A2548</f>
        <v>304c</v>
      </c>
      <c r="B2548" s="156" t="str">
        <f>'Reported burning'!B2548</f>
        <v>304c.1</v>
      </c>
      <c r="C2548" s="156" t="str">
        <f>'Reported burning'!C2548</f>
        <v>Human, deliberate</v>
      </c>
      <c r="D2548" s="156" t="str">
        <f>'Reported burning'!D2548</f>
        <v>Pyrome management</v>
      </c>
      <c r="E2548" s="156" t="str">
        <f>'Reported burning'!E2548</f>
        <v>Fire suppression agent</v>
      </c>
      <c r="F2548" s="156" t="str">
        <f>'Reported burning'!F2548</f>
        <v>Shrubland (Mixed forest &amp; grassland)</v>
      </c>
      <c r="G2548" s="156" t="str">
        <f>'Reported burning'!G2548</f>
        <v>ND</v>
      </c>
      <c r="H2548" s="156" t="str">
        <f>'Reported burning'!H2548</f>
        <v>Presence</v>
      </c>
      <c r="I2548" s="5"/>
      <c r="J2548" s="204" t="s">
        <v>2276</v>
      </c>
      <c r="K2548" s="204" t="s">
        <v>2276</v>
      </c>
      <c r="L2548" s="204" t="s">
        <v>2276</v>
      </c>
      <c r="M2548" s="204" t="s">
        <v>2276</v>
      </c>
      <c r="N2548" s="204" t="s">
        <v>2276</v>
      </c>
      <c r="O2548" s="204" t="s">
        <v>2276</v>
      </c>
      <c r="P2548" s="204" t="s">
        <v>2276</v>
      </c>
      <c r="Q2548" s="204" t="s">
        <v>2276</v>
      </c>
      <c r="R2548" s="204" t="s">
        <v>2276</v>
      </c>
      <c r="S2548" s="204" t="s">
        <v>2276</v>
      </c>
      <c r="T2548" s="204" t="s">
        <v>2276</v>
      </c>
      <c r="U2548" s="204" t="s">
        <v>2276</v>
      </c>
      <c r="V2548" s="204" t="s">
        <v>2276</v>
      </c>
      <c r="W2548" s="204" t="s">
        <v>2276</v>
      </c>
      <c r="X2548" s="204" t="s">
        <v>2276</v>
      </c>
      <c r="Y2548" s="204" t="s">
        <v>2276</v>
      </c>
      <c r="Z2548" s="204" t="s">
        <v>2276</v>
      </c>
      <c r="AA2548" s="204"/>
      <c r="AB2548" s="204"/>
    </row>
    <row r="2549" spans="1:28" ht="33" customHeight="1">
      <c r="A2549" s="156" t="str">
        <f>'Reported burning'!A2549</f>
        <v>304d</v>
      </c>
      <c r="B2549" s="156" t="str">
        <f>'Reported burning'!B2549</f>
        <v>304d.1</v>
      </c>
      <c r="C2549" s="156" t="str">
        <f>'Reported burning'!C2549</f>
        <v>Human, deliberate</v>
      </c>
      <c r="D2549" s="156" t="str">
        <f>'Reported burning'!D2549</f>
        <v>Pyrome management</v>
      </c>
      <c r="E2549" s="156" t="str">
        <f>'Reported burning'!E2549</f>
        <v>Fire suppression agent</v>
      </c>
      <c r="F2549" s="156" t="str">
        <f>'Reported burning'!F2549</f>
        <v>Shrubland (Mixed forest &amp; grassland)</v>
      </c>
      <c r="G2549" s="156" t="str">
        <f>'Reported burning'!G2549</f>
        <v>ND</v>
      </c>
      <c r="H2549" s="156" t="str">
        <f>'Reported burning'!H2549</f>
        <v>Presence</v>
      </c>
      <c r="I2549" s="5"/>
      <c r="J2549" s="204" t="s">
        <v>2276</v>
      </c>
      <c r="K2549" s="204" t="s">
        <v>2276</v>
      </c>
      <c r="L2549" s="204" t="s">
        <v>2276</v>
      </c>
      <c r="M2549" s="204" t="s">
        <v>2276</v>
      </c>
      <c r="N2549" s="204" t="s">
        <v>2276</v>
      </c>
      <c r="O2549" s="204" t="s">
        <v>2276</v>
      </c>
      <c r="P2549" s="204" t="s">
        <v>2276</v>
      </c>
      <c r="Q2549" s="204" t="s">
        <v>2276</v>
      </c>
      <c r="R2549" s="204" t="s">
        <v>2276</v>
      </c>
      <c r="S2549" s="204" t="s">
        <v>2276</v>
      </c>
      <c r="T2549" s="204" t="s">
        <v>2276</v>
      </c>
      <c r="U2549" s="204" t="s">
        <v>2276</v>
      </c>
      <c r="V2549" s="204" t="s">
        <v>2276</v>
      </c>
      <c r="W2549" s="204" t="s">
        <v>2276</v>
      </c>
      <c r="X2549" s="204" t="s">
        <v>2276</v>
      </c>
      <c r="Y2549" s="204" t="s">
        <v>2276</v>
      </c>
      <c r="Z2549" s="204" t="s">
        <v>2276</v>
      </c>
      <c r="AA2549" s="204"/>
      <c r="AB2549" s="204"/>
    </row>
    <row r="2550" spans="1:28" ht="29" customHeight="1">
      <c r="A2550" s="156" t="str">
        <f>'Reported burning'!A2550</f>
        <v>304d</v>
      </c>
      <c r="B2550" s="156" t="str">
        <f>'Reported burning'!B2550</f>
        <v>304d.2</v>
      </c>
      <c r="C2550" s="156" t="str">
        <f>'Reported burning'!C2550</f>
        <v>Human, deliberate</v>
      </c>
      <c r="D2550" s="156" t="str">
        <f>'Reported burning'!D2550</f>
        <v>Rangeland management</v>
      </c>
      <c r="E2550" s="156" t="str">
        <f>'Reported burning'!E2550</f>
        <v>Cattle, Extensive</v>
      </c>
      <c r="F2550" s="156" t="str">
        <f>'Reported burning'!F2550</f>
        <v>Shrubland (Mixed forest &amp; grassland)</v>
      </c>
      <c r="G2550" s="156" t="str">
        <f>'Reported burning'!G2550</f>
        <v>ND</v>
      </c>
      <c r="H2550" s="156" t="str">
        <f>'Reported burning'!H2550</f>
        <v>Presence</v>
      </c>
      <c r="I2550" s="5"/>
      <c r="J2550" s="204" t="s">
        <v>2276</v>
      </c>
      <c r="K2550" s="204" t="s">
        <v>2276</v>
      </c>
      <c r="L2550" s="204" t="s">
        <v>2276</v>
      </c>
      <c r="M2550" s="204" t="s">
        <v>2276</v>
      </c>
      <c r="N2550" s="204" t="s">
        <v>2276</v>
      </c>
      <c r="O2550" s="204" t="s">
        <v>2276</v>
      </c>
      <c r="P2550" s="204" t="s">
        <v>2276</v>
      </c>
      <c r="Q2550" s="204" t="s">
        <v>2276</v>
      </c>
      <c r="R2550" s="204" t="s">
        <v>2276</v>
      </c>
      <c r="S2550" s="14" t="s">
        <v>2374</v>
      </c>
      <c r="T2550" s="204" t="s">
        <v>2276</v>
      </c>
      <c r="U2550" s="204" t="s">
        <v>2276</v>
      </c>
      <c r="V2550" s="204" t="s">
        <v>2276</v>
      </c>
      <c r="W2550" s="204" t="s">
        <v>2276</v>
      </c>
      <c r="X2550" s="204" t="s">
        <v>2276</v>
      </c>
      <c r="Y2550" s="204" t="s">
        <v>2276</v>
      </c>
      <c r="Z2550" s="204" t="s">
        <v>2276</v>
      </c>
      <c r="AA2550" s="204"/>
      <c r="AB2550" s="204"/>
    </row>
    <row r="2551" spans="1:28" ht="29" customHeight="1">
      <c r="A2551" s="156" t="str">
        <f>'Reported burning'!A2551</f>
        <v>304d</v>
      </c>
      <c r="B2551" s="156" t="str">
        <f>'Reported burning'!B2551</f>
        <v>304d.3</v>
      </c>
      <c r="C2551" s="156" t="str">
        <f>'Reported burning'!C2551</f>
        <v>Human, escaped</v>
      </c>
      <c r="D2551" s="156" t="str">
        <f>'Reported burning'!D2551</f>
        <v>Rangeland management</v>
      </c>
      <c r="E2551" s="156" t="str">
        <f>'Reported burning'!E2551</f>
        <v>Cattle, Extensive</v>
      </c>
      <c r="F2551" s="156" t="str">
        <f>'Reported burning'!F2551</f>
        <v>Shrubland (Mixed forest &amp; grassland)</v>
      </c>
      <c r="G2551" s="156" t="str">
        <f>'Reported burning'!G2551</f>
        <v>ND</v>
      </c>
      <c r="H2551" s="156" t="str">
        <f>'Reported burning'!H2551</f>
        <v>Presence</v>
      </c>
      <c r="I2551" s="5"/>
      <c r="J2551" s="204" t="s">
        <v>2276</v>
      </c>
      <c r="K2551" s="204" t="s">
        <v>2276</v>
      </c>
      <c r="L2551" s="204" t="s">
        <v>2276</v>
      </c>
      <c r="M2551" s="204" t="s">
        <v>2276</v>
      </c>
      <c r="N2551" s="204" t="s">
        <v>2276</v>
      </c>
      <c r="O2551" s="204" t="s">
        <v>2276</v>
      </c>
      <c r="P2551" s="204" t="s">
        <v>2276</v>
      </c>
      <c r="Q2551" s="204" t="s">
        <v>2276</v>
      </c>
      <c r="R2551" s="204" t="s">
        <v>2276</v>
      </c>
      <c r="S2551" s="204" t="s">
        <v>2276</v>
      </c>
      <c r="T2551" s="204" t="s">
        <v>2276</v>
      </c>
      <c r="U2551" s="204" t="s">
        <v>2276</v>
      </c>
      <c r="V2551" s="204" t="s">
        <v>2276</v>
      </c>
      <c r="W2551" s="204" t="s">
        <v>2276</v>
      </c>
      <c r="X2551" s="204" t="s">
        <v>2276</v>
      </c>
      <c r="Y2551" s="204" t="s">
        <v>2276</v>
      </c>
      <c r="Z2551" s="204" t="s">
        <v>2276</v>
      </c>
      <c r="AA2551" s="204"/>
      <c r="AB2551" s="204"/>
    </row>
    <row r="2552" spans="1:28" ht="29" customHeight="1">
      <c r="A2552" s="156" t="str">
        <f>'Reported burning'!A2552</f>
        <v>304e</v>
      </c>
      <c r="B2552" s="156" t="str">
        <f>'Reported burning'!B2552</f>
        <v>304e.1</v>
      </c>
      <c r="C2552" s="156" t="str">
        <f>'Reported burning'!C2552</f>
        <v>Human, deliberate</v>
      </c>
      <c r="D2552" s="156" t="str">
        <f>'Reported burning'!D2552</f>
        <v>Rangeland management</v>
      </c>
      <c r="E2552" s="156" t="str">
        <f>'Reported burning'!E2552</f>
        <v>Cattle, Extensive</v>
      </c>
      <c r="F2552" s="156" t="str">
        <f>'Reported burning'!F2552</f>
        <v>Shrubland (Mixed forest &amp; grassland)</v>
      </c>
      <c r="G2552" s="156" t="str">
        <f>'Reported burning'!G2552</f>
        <v>ND</v>
      </c>
      <c r="H2552" s="156" t="str">
        <f>'Reported burning'!H2552</f>
        <v>Presence</v>
      </c>
      <c r="I2552" s="5">
        <f>'Reported burning'!I2552</f>
        <v>1980</v>
      </c>
      <c r="J2552" s="204" t="s">
        <v>2276</v>
      </c>
      <c r="K2552" s="204" t="s">
        <v>2276</v>
      </c>
      <c r="L2552" s="204" t="s">
        <v>2276</v>
      </c>
      <c r="M2552" s="204" t="s">
        <v>2276</v>
      </c>
      <c r="N2552" s="204" t="s">
        <v>2276</v>
      </c>
      <c r="O2552" s="204" t="s">
        <v>2276</v>
      </c>
      <c r="P2552" s="204" t="s">
        <v>2276</v>
      </c>
      <c r="Q2552" s="204" t="s">
        <v>2276</v>
      </c>
      <c r="R2552" s="204" t="s">
        <v>2276</v>
      </c>
      <c r="S2552" s="204" t="s">
        <v>2276</v>
      </c>
      <c r="T2552" s="204" t="s">
        <v>2276</v>
      </c>
      <c r="U2552" s="204" t="s">
        <v>2276</v>
      </c>
      <c r="V2552" s="204" t="s">
        <v>2276</v>
      </c>
      <c r="W2552" s="204" t="s">
        <v>2276</v>
      </c>
      <c r="X2552" s="204" t="s">
        <v>2276</v>
      </c>
      <c r="Y2552" s="204" t="s">
        <v>2276</v>
      </c>
      <c r="Z2552" s="204" t="s">
        <v>2276</v>
      </c>
      <c r="AA2552" s="204"/>
      <c r="AB2552" s="204"/>
    </row>
    <row r="2553" spans="1:28" ht="29" customHeight="1">
      <c r="A2553" s="156" t="str">
        <f>'Reported burning'!A2553</f>
        <v>304e</v>
      </c>
      <c r="B2553" s="156" t="str">
        <f>'Reported burning'!B2553</f>
        <v>304e.2</v>
      </c>
      <c r="C2553" s="156" t="str">
        <f>'Reported burning'!C2553</f>
        <v>Human, deliberate</v>
      </c>
      <c r="D2553" s="156" t="str">
        <f>'Reported burning'!D2553</f>
        <v>Rangeland management</v>
      </c>
      <c r="E2553" s="156" t="str">
        <f>'Reported burning'!E2553</f>
        <v>Cattle, Extensive</v>
      </c>
      <c r="F2553" s="156" t="str">
        <f>'Reported burning'!F2553</f>
        <v>Shrubland (Mixed forest &amp; grassland)</v>
      </c>
      <c r="G2553" s="156" t="str">
        <f>'Reported burning'!G2553</f>
        <v>ND</v>
      </c>
      <c r="H2553" s="156" t="str">
        <f>'Reported burning'!H2553</f>
        <v>Presence</v>
      </c>
      <c r="I2553" s="5">
        <f>'Reported burning'!I2553</f>
        <v>1990</v>
      </c>
      <c r="J2553" s="204" t="s">
        <v>2276</v>
      </c>
      <c r="K2553" s="204" t="s">
        <v>2276</v>
      </c>
      <c r="L2553" s="204" t="s">
        <v>2276</v>
      </c>
      <c r="M2553" s="204" t="s">
        <v>2276</v>
      </c>
      <c r="N2553" s="204" t="s">
        <v>2276</v>
      </c>
      <c r="O2553" s="204" t="s">
        <v>2276</v>
      </c>
      <c r="P2553" s="204" t="s">
        <v>2276</v>
      </c>
      <c r="Q2553" s="204" t="s">
        <v>2276</v>
      </c>
      <c r="R2553" s="204" t="s">
        <v>2276</v>
      </c>
      <c r="S2553" s="204" t="s">
        <v>2276</v>
      </c>
      <c r="T2553" s="204" t="s">
        <v>2276</v>
      </c>
      <c r="U2553" s="204" t="s">
        <v>2276</v>
      </c>
      <c r="V2553" s="204" t="s">
        <v>2276</v>
      </c>
      <c r="W2553" s="204" t="s">
        <v>2276</v>
      </c>
      <c r="X2553" s="204" t="s">
        <v>2276</v>
      </c>
      <c r="Y2553" s="204" t="s">
        <v>2276</v>
      </c>
      <c r="Z2553" s="204" t="s">
        <v>2276</v>
      </c>
      <c r="AA2553" s="204"/>
      <c r="AB2553" s="204"/>
    </row>
    <row r="2554" spans="1:28" ht="33.5" customHeight="1">
      <c r="A2554" s="156" t="str">
        <f>'Reported burning'!A2554</f>
        <v>304e</v>
      </c>
      <c r="B2554" s="156" t="str">
        <f>'Reported burning'!B2554</f>
        <v>304e.3</v>
      </c>
      <c r="C2554" s="156" t="str">
        <f>'Reported burning'!C2554</f>
        <v>Human, deliberate</v>
      </c>
      <c r="D2554" s="156" t="str">
        <f>'Reported burning'!D2554</f>
        <v>Pyrome management</v>
      </c>
      <c r="E2554" s="156" t="str">
        <f>'Reported burning'!E2554</f>
        <v>Fire suppression agent</v>
      </c>
      <c r="F2554" s="156" t="str">
        <f>'Reported burning'!F2554</f>
        <v>Shrubland (Mixed forest &amp; grassland)</v>
      </c>
      <c r="G2554" s="156" t="str">
        <f>'Reported burning'!G2554</f>
        <v>ND</v>
      </c>
      <c r="H2554" s="156" t="str">
        <f>'Reported burning'!H2554</f>
        <v>Presence</v>
      </c>
      <c r="I2554" s="5"/>
      <c r="J2554" s="204" t="s">
        <v>2276</v>
      </c>
      <c r="K2554" s="204" t="s">
        <v>2276</v>
      </c>
      <c r="L2554" s="204" t="s">
        <v>2276</v>
      </c>
      <c r="M2554" s="204" t="s">
        <v>2276</v>
      </c>
      <c r="N2554" s="204" t="s">
        <v>2276</v>
      </c>
      <c r="O2554" s="204" t="s">
        <v>2276</v>
      </c>
      <c r="P2554" s="204" t="s">
        <v>2276</v>
      </c>
      <c r="Q2554" s="204" t="s">
        <v>2276</v>
      </c>
      <c r="R2554" s="204" t="s">
        <v>2276</v>
      </c>
      <c r="S2554" s="204" t="s">
        <v>2276</v>
      </c>
      <c r="T2554" s="204" t="s">
        <v>2276</v>
      </c>
      <c r="U2554" s="204" t="s">
        <v>2276</v>
      </c>
      <c r="V2554" s="204" t="s">
        <v>2276</v>
      </c>
      <c r="W2554" s="204" t="s">
        <v>2276</v>
      </c>
      <c r="X2554" s="204" t="s">
        <v>2276</v>
      </c>
      <c r="Y2554" s="204" t="s">
        <v>2276</v>
      </c>
      <c r="Z2554" s="204" t="s">
        <v>2276</v>
      </c>
      <c r="AA2554" s="204"/>
      <c r="AB2554" s="204"/>
    </row>
    <row r="2555" spans="1:28" ht="33.5" customHeight="1">
      <c r="A2555" s="156" t="str">
        <f>'Reported burning'!A2555</f>
        <v>305a</v>
      </c>
      <c r="B2555" s="156" t="str">
        <f>'Reported burning'!B2555</f>
        <v>305a.1</v>
      </c>
      <c r="C2555" s="156" t="str">
        <f>'Reported burning'!C2555</f>
        <v>Human, deliberate</v>
      </c>
      <c r="D2555" s="156" t="str">
        <f>'Reported burning'!D2555</f>
        <v>Pyrome management</v>
      </c>
      <c r="E2555" s="156" t="str">
        <f>'Reported burning'!E2555</f>
        <v>Fire suppression agent</v>
      </c>
      <c r="F2555" s="156" t="str">
        <f>'Reported burning'!F2555</f>
        <v>ND</v>
      </c>
      <c r="G2555" s="156" t="str">
        <f>'Reported burning'!G2555</f>
        <v>ND</v>
      </c>
      <c r="H2555" s="156" t="str">
        <f>'Reported burning'!H2555</f>
        <v>Absence</v>
      </c>
      <c r="I2555" s="5"/>
      <c r="J2555" s="204" t="s">
        <v>2276</v>
      </c>
      <c r="K2555" s="204" t="s">
        <v>2276</v>
      </c>
      <c r="L2555" s="204" t="s">
        <v>2276</v>
      </c>
      <c r="M2555" s="204" t="s">
        <v>2276</v>
      </c>
      <c r="N2555" s="204" t="s">
        <v>2276</v>
      </c>
      <c r="O2555" s="204" t="s">
        <v>2276</v>
      </c>
      <c r="P2555" s="204" t="s">
        <v>2276</v>
      </c>
      <c r="Q2555" s="204" t="s">
        <v>2276</v>
      </c>
      <c r="R2555" s="204" t="s">
        <v>2276</v>
      </c>
      <c r="S2555" s="204" t="s">
        <v>2276</v>
      </c>
      <c r="T2555" s="204" t="s">
        <v>2276</v>
      </c>
      <c r="U2555" s="204" t="s">
        <v>2276</v>
      </c>
      <c r="V2555" s="204" t="s">
        <v>2276</v>
      </c>
      <c r="W2555" s="204" t="s">
        <v>2276</v>
      </c>
      <c r="X2555" s="204" t="s">
        <v>2276</v>
      </c>
      <c r="Y2555" s="204" t="s">
        <v>2276</v>
      </c>
      <c r="Z2555" s="204" t="s">
        <v>2276</v>
      </c>
      <c r="AA2555" s="204"/>
      <c r="AB2555" s="204"/>
    </row>
    <row r="2556" spans="1:28" ht="33.5" customHeight="1">
      <c r="A2556" s="156" t="str">
        <f>'Reported burning'!A2556</f>
        <v>305b</v>
      </c>
      <c r="B2556" s="156" t="str">
        <f>'Reported burning'!B2556</f>
        <v>305b.1</v>
      </c>
      <c r="C2556" s="156" t="str">
        <f>'Reported burning'!C2556</f>
        <v>Human, deliberate</v>
      </c>
      <c r="D2556" s="156" t="str">
        <f>'Reported burning'!D2556</f>
        <v>Pyrome management</v>
      </c>
      <c r="E2556" s="156" t="str">
        <f>'Reported burning'!E2556</f>
        <v>Fire suppression agent</v>
      </c>
      <c r="F2556" s="156" t="str">
        <f>'Reported burning'!F2556</f>
        <v>ND</v>
      </c>
      <c r="G2556" s="156" t="str">
        <f>'Reported burning'!G2556</f>
        <v>ND</v>
      </c>
      <c r="H2556" s="156" t="str">
        <f>'Reported burning'!H2556</f>
        <v>Absence</v>
      </c>
      <c r="I2556" s="5"/>
      <c r="J2556" s="204" t="s">
        <v>2276</v>
      </c>
      <c r="K2556" s="204" t="s">
        <v>2276</v>
      </c>
      <c r="L2556" s="204" t="s">
        <v>2276</v>
      </c>
      <c r="M2556" s="204" t="s">
        <v>2276</v>
      </c>
      <c r="N2556" s="204" t="s">
        <v>2276</v>
      </c>
      <c r="O2556" s="204" t="s">
        <v>2276</v>
      </c>
      <c r="P2556" s="204" t="s">
        <v>2276</v>
      </c>
      <c r="Q2556" s="204" t="s">
        <v>2276</v>
      </c>
      <c r="R2556" s="204" t="s">
        <v>2276</v>
      </c>
      <c r="S2556" s="204" t="s">
        <v>2276</v>
      </c>
      <c r="T2556" s="204" t="s">
        <v>2276</v>
      </c>
      <c r="U2556" s="204" t="s">
        <v>2276</v>
      </c>
      <c r="V2556" s="204" t="s">
        <v>2276</v>
      </c>
      <c r="W2556" s="204" t="s">
        <v>2276</v>
      </c>
      <c r="X2556" s="204" t="s">
        <v>2276</v>
      </c>
      <c r="Y2556" s="204" t="s">
        <v>2276</v>
      </c>
      <c r="Z2556" s="204" t="s">
        <v>2276</v>
      </c>
      <c r="AA2556" s="204"/>
      <c r="AB2556" s="204"/>
    </row>
    <row r="2557" spans="1:28" ht="33.5" customHeight="1">
      <c r="A2557" s="156" t="str">
        <f>'Reported burning'!A2557</f>
        <v>305c</v>
      </c>
      <c r="B2557" s="156" t="str">
        <f>'Reported burning'!B2557</f>
        <v>305c.1</v>
      </c>
      <c r="C2557" s="156" t="str">
        <f>'Reported burning'!C2557</f>
        <v>Human, deliberate</v>
      </c>
      <c r="D2557" s="156" t="str">
        <f>'Reported burning'!D2557</f>
        <v>Pyrome management</v>
      </c>
      <c r="E2557" s="156" t="str">
        <f>'Reported burning'!E2557</f>
        <v>Fire suppression agent</v>
      </c>
      <c r="F2557" s="156" t="str">
        <f>'Reported burning'!F2557</f>
        <v>ND</v>
      </c>
      <c r="G2557" s="156" t="str">
        <f>'Reported burning'!G2557</f>
        <v>ND</v>
      </c>
      <c r="H2557" s="156" t="str">
        <f>'Reported burning'!H2557</f>
        <v>Absence</v>
      </c>
      <c r="I2557" s="5"/>
      <c r="J2557" s="204" t="s">
        <v>2276</v>
      </c>
      <c r="K2557" s="204" t="s">
        <v>2276</v>
      </c>
      <c r="L2557" s="204" t="s">
        <v>2276</v>
      </c>
      <c r="M2557" s="204" t="s">
        <v>2276</v>
      </c>
      <c r="N2557" s="204" t="s">
        <v>2276</v>
      </c>
      <c r="O2557" s="204" t="s">
        <v>2276</v>
      </c>
      <c r="P2557" s="204" t="s">
        <v>2276</v>
      </c>
      <c r="Q2557" s="204" t="s">
        <v>2276</v>
      </c>
      <c r="R2557" s="204" t="s">
        <v>2276</v>
      </c>
      <c r="S2557" s="204" t="s">
        <v>2276</v>
      </c>
      <c r="T2557" s="204" t="s">
        <v>2276</v>
      </c>
      <c r="U2557" s="204" t="s">
        <v>2276</v>
      </c>
      <c r="V2557" s="204" t="s">
        <v>2276</v>
      </c>
      <c r="W2557" s="204" t="s">
        <v>2276</v>
      </c>
      <c r="X2557" s="204" t="s">
        <v>2276</v>
      </c>
      <c r="Y2557" s="204" t="s">
        <v>2276</v>
      </c>
      <c r="Z2557" s="204" t="s">
        <v>2276</v>
      </c>
      <c r="AA2557" s="204"/>
      <c r="AB2557" s="204"/>
    </row>
    <row r="2558" spans="1:28" ht="33.5" customHeight="1">
      <c r="A2558" s="156" t="str">
        <f>'Reported burning'!A2558</f>
        <v>305d</v>
      </c>
      <c r="B2558" s="156" t="str">
        <f>'Reported burning'!B2558</f>
        <v>305d.1</v>
      </c>
      <c r="C2558" s="156" t="str">
        <f>'Reported burning'!C2558</f>
        <v>Human, deliberate</v>
      </c>
      <c r="D2558" s="156" t="str">
        <f>'Reported burning'!D2558</f>
        <v>Pyrome management</v>
      </c>
      <c r="E2558" s="156" t="str">
        <f>'Reported burning'!E2558</f>
        <v>Fire suppression agent</v>
      </c>
      <c r="F2558" s="156" t="str">
        <f>'Reported burning'!F2558</f>
        <v>ND</v>
      </c>
      <c r="G2558" s="156" t="str">
        <f>'Reported burning'!G2558</f>
        <v>ND</v>
      </c>
      <c r="H2558" s="156" t="str">
        <f>'Reported burning'!H2558</f>
        <v>Absence</v>
      </c>
      <c r="I2558" s="5"/>
      <c r="J2558" s="204" t="s">
        <v>2276</v>
      </c>
      <c r="K2558" s="204" t="s">
        <v>2276</v>
      </c>
      <c r="L2558" s="204" t="s">
        <v>2276</v>
      </c>
      <c r="M2558" s="204" t="s">
        <v>2276</v>
      </c>
      <c r="N2558" s="204" t="s">
        <v>2276</v>
      </c>
      <c r="O2558" s="204" t="s">
        <v>2276</v>
      </c>
      <c r="P2558" s="204" t="s">
        <v>2276</v>
      </c>
      <c r="Q2558" s="204" t="s">
        <v>2276</v>
      </c>
      <c r="R2558" s="204" t="s">
        <v>2276</v>
      </c>
      <c r="S2558" s="204" t="s">
        <v>2276</v>
      </c>
      <c r="T2558" s="204" t="s">
        <v>2276</v>
      </c>
      <c r="U2558" s="204" t="s">
        <v>2276</v>
      </c>
      <c r="V2558" s="204" t="s">
        <v>2276</v>
      </c>
      <c r="W2558" s="204" t="s">
        <v>2276</v>
      </c>
      <c r="X2558" s="204" t="s">
        <v>2276</v>
      </c>
      <c r="Y2558" s="204" t="s">
        <v>2276</v>
      </c>
      <c r="Z2558" s="204" t="s">
        <v>2276</v>
      </c>
      <c r="AA2558" s="204"/>
      <c r="AB2558" s="204"/>
    </row>
    <row r="2559" spans="1:28" ht="33.5" customHeight="1">
      <c r="A2559" s="156" t="str">
        <f>'Reported burning'!A2559</f>
        <v>305e</v>
      </c>
      <c r="B2559" s="156" t="str">
        <f>'Reported burning'!B2559</f>
        <v>305e.1</v>
      </c>
      <c r="C2559" s="156" t="str">
        <f>'Reported burning'!C2559</f>
        <v>Human, deliberate</v>
      </c>
      <c r="D2559" s="156" t="str">
        <f>'Reported burning'!D2559</f>
        <v>Pyrome management</v>
      </c>
      <c r="E2559" s="156" t="str">
        <f>'Reported burning'!E2559</f>
        <v>Fire suppression agent</v>
      </c>
      <c r="F2559" s="156" t="str">
        <f>'Reported burning'!F2559</f>
        <v>ND</v>
      </c>
      <c r="G2559" s="156" t="str">
        <f>'Reported burning'!G2559</f>
        <v>ND</v>
      </c>
      <c r="H2559" s="156" t="str">
        <f>'Reported burning'!H2559</f>
        <v>Absence</v>
      </c>
      <c r="I2559" s="5"/>
      <c r="J2559" s="204" t="s">
        <v>2276</v>
      </c>
      <c r="K2559" s="204" t="s">
        <v>2276</v>
      </c>
      <c r="L2559" s="204" t="s">
        <v>2276</v>
      </c>
      <c r="M2559" s="204" t="s">
        <v>2276</v>
      </c>
      <c r="N2559" s="204" t="s">
        <v>2276</v>
      </c>
      <c r="O2559" s="204" t="s">
        <v>2276</v>
      </c>
      <c r="P2559" s="204" t="s">
        <v>2276</v>
      </c>
      <c r="Q2559" s="204" t="s">
        <v>2276</v>
      </c>
      <c r="R2559" s="204" t="s">
        <v>2276</v>
      </c>
      <c r="S2559" s="204" t="s">
        <v>2276</v>
      </c>
      <c r="T2559" s="204" t="s">
        <v>2276</v>
      </c>
      <c r="U2559" s="204" t="s">
        <v>2276</v>
      </c>
      <c r="V2559" s="204" t="s">
        <v>2276</v>
      </c>
      <c r="W2559" s="204" t="s">
        <v>2276</v>
      </c>
      <c r="X2559" s="204" t="s">
        <v>2276</v>
      </c>
      <c r="Y2559" s="204" t="s">
        <v>2276</v>
      </c>
      <c r="Z2559" s="204" t="s">
        <v>2276</v>
      </c>
      <c r="AA2559" s="204"/>
      <c r="AB2559" s="204"/>
    </row>
    <row r="2560" spans="1:28" ht="33.5" customHeight="1">
      <c r="A2560" s="156" t="str">
        <f>'Reported burning'!A2560</f>
        <v>305f</v>
      </c>
      <c r="B2560" s="156" t="str">
        <f>'Reported burning'!B2560</f>
        <v>305f.1</v>
      </c>
      <c r="C2560" s="156" t="str">
        <f>'Reported burning'!C2560</f>
        <v>Human, deliberate</v>
      </c>
      <c r="D2560" s="156" t="str">
        <f>'Reported burning'!D2560</f>
        <v>Pyrome management</v>
      </c>
      <c r="E2560" s="156" t="str">
        <f>'Reported burning'!E2560</f>
        <v>Fire suppression agent</v>
      </c>
      <c r="F2560" s="156" t="str">
        <f>'Reported burning'!F2560</f>
        <v>ND</v>
      </c>
      <c r="G2560" s="156" t="str">
        <f>'Reported burning'!G2560</f>
        <v>ND</v>
      </c>
      <c r="H2560" s="156" t="str">
        <f>'Reported burning'!H2560</f>
        <v>Absence</v>
      </c>
      <c r="I2560" s="5"/>
      <c r="J2560" s="204" t="s">
        <v>2276</v>
      </c>
      <c r="K2560" s="204" t="s">
        <v>2276</v>
      </c>
      <c r="L2560" s="204" t="s">
        <v>2276</v>
      </c>
      <c r="M2560" s="204" t="s">
        <v>2276</v>
      </c>
      <c r="N2560" s="204" t="s">
        <v>2276</v>
      </c>
      <c r="O2560" s="204" t="s">
        <v>2276</v>
      </c>
      <c r="P2560" s="204" t="s">
        <v>2276</v>
      </c>
      <c r="Q2560" s="204" t="s">
        <v>2276</v>
      </c>
      <c r="R2560" s="204" t="s">
        <v>2276</v>
      </c>
      <c r="S2560" s="204" t="s">
        <v>2276</v>
      </c>
      <c r="T2560" s="204" t="s">
        <v>2276</v>
      </c>
      <c r="U2560" s="204" t="s">
        <v>2276</v>
      </c>
      <c r="V2560" s="204" t="s">
        <v>2276</v>
      </c>
      <c r="W2560" s="204" t="s">
        <v>2276</v>
      </c>
      <c r="X2560" s="204" t="s">
        <v>2276</v>
      </c>
      <c r="Y2560" s="204" t="s">
        <v>2276</v>
      </c>
      <c r="Z2560" s="204" t="s">
        <v>2276</v>
      </c>
      <c r="AA2560" s="204"/>
      <c r="AB2560" s="204"/>
    </row>
    <row r="2561" spans="1:28" ht="33.5" customHeight="1">
      <c r="A2561" s="156" t="str">
        <f>'Reported burning'!A2561</f>
        <v>305g</v>
      </c>
      <c r="B2561" s="156" t="str">
        <f>'Reported burning'!B2561</f>
        <v>305g.1</v>
      </c>
      <c r="C2561" s="156" t="str">
        <f>'Reported burning'!C2561</f>
        <v>Human, deliberate</v>
      </c>
      <c r="D2561" s="156" t="str">
        <f>'Reported burning'!D2561</f>
        <v>Pyrome management</v>
      </c>
      <c r="E2561" s="156" t="str">
        <f>'Reported burning'!E2561</f>
        <v>Fire suppression agent</v>
      </c>
      <c r="F2561" s="156" t="str">
        <f>'Reported burning'!F2561</f>
        <v>ND</v>
      </c>
      <c r="G2561" s="156" t="str">
        <f>'Reported burning'!G2561</f>
        <v>ND</v>
      </c>
      <c r="H2561" s="156" t="str">
        <f>'Reported burning'!H2561</f>
        <v>Absence</v>
      </c>
      <c r="I2561" s="5"/>
      <c r="J2561" s="204" t="s">
        <v>2276</v>
      </c>
      <c r="K2561" s="204" t="s">
        <v>2276</v>
      </c>
      <c r="L2561" s="204" t="s">
        <v>2276</v>
      </c>
      <c r="M2561" s="204" t="s">
        <v>2276</v>
      </c>
      <c r="N2561" s="204" t="s">
        <v>2276</v>
      </c>
      <c r="O2561" s="204" t="s">
        <v>2276</v>
      </c>
      <c r="P2561" s="204" t="s">
        <v>2276</v>
      </c>
      <c r="Q2561" s="204" t="s">
        <v>2276</v>
      </c>
      <c r="R2561" s="204" t="s">
        <v>2276</v>
      </c>
      <c r="S2561" s="204" t="s">
        <v>2276</v>
      </c>
      <c r="T2561" s="204" t="s">
        <v>2276</v>
      </c>
      <c r="U2561" s="204" t="s">
        <v>2276</v>
      </c>
      <c r="V2561" s="204" t="s">
        <v>2276</v>
      </c>
      <c r="W2561" s="204" t="s">
        <v>2276</v>
      </c>
      <c r="X2561" s="204" t="s">
        <v>2276</v>
      </c>
      <c r="Y2561" s="204" t="s">
        <v>2276</v>
      </c>
      <c r="Z2561" s="204" t="s">
        <v>2276</v>
      </c>
      <c r="AA2561" s="11" t="s">
        <v>7308</v>
      </c>
      <c r="AB2561" s="204"/>
    </row>
    <row r="2562" spans="1:28" ht="33.5" customHeight="1">
      <c r="A2562" s="156" t="str">
        <f>'Reported burning'!A2562</f>
        <v>305h</v>
      </c>
      <c r="B2562" s="156" t="str">
        <f>'Reported burning'!B2562</f>
        <v>305h.1</v>
      </c>
      <c r="C2562" s="156" t="str">
        <f>'Reported burning'!C2562</f>
        <v>Human, deliberate</v>
      </c>
      <c r="D2562" s="156" t="str">
        <f>'Reported burning'!D2562</f>
        <v>Pyrome management</v>
      </c>
      <c r="E2562" s="156" t="str">
        <f>'Reported burning'!E2562</f>
        <v>Fire suppression agent</v>
      </c>
      <c r="F2562" s="156" t="str">
        <f>'Reported burning'!F2562</f>
        <v>ND</v>
      </c>
      <c r="G2562" s="156" t="str">
        <f>'Reported burning'!G2562</f>
        <v>ND</v>
      </c>
      <c r="H2562" s="156" t="str">
        <f>'Reported burning'!H2562</f>
        <v>Absence</v>
      </c>
      <c r="I2562" s="5"/>
      <c r="J2562" s="204" t="s">
        <v>2276</v>
      </c>
      <c r="K2562" s="204" t="s">
        <v>2276</v>
      </c>
      <c r="L2562" s="204" t="s">
        <v>2276</v>
      </c>
      <c r="M2562" s="204" t="s">
        <v>2276</v>
      </c>
      <c r="N2562" s="204" t="s">
        <v>2276</v>
      </c>
      <c r="O2562" s="204" t="s">
        <v>2276</v>
      </c>
      <c r="P2562" s="204" t="s">
        <v>2276</v>
      </c>
      <c r="Q2562" s="204" t="s">
        <v>2276</v>
      </c>
      <c r="R2562" s="204" t="s">
        <v>2276</v>
      </c>
      <c r="S2562" s="204" t="s">
        <v>2276</v>
      </c>
      <c r="T2562" s="204" t="s">
        <v>2276</v>
      </c>
      <c r="U2562" s="204" t="s">
        <v>2276</v>
      </c>
      <c r="V2562" s="204" t="s">
        <v>2276</v>
      </c>
      <c r="W2562" s="204" t="s">
        <v>2276</v>
      </c>
      <c r="X2562" s="204" t="s">
        <v>2276</v>
      </c>
      <c r="Y2562" s="204" t="s">
        <v>2276</v>
      </c>
      <c r="Z2562" s="204" t="s">
        <v>2276</v>
      </c>
      <c r="AA2562" s="204"/>
      <c r="AB2562" s="204"/>
    </row>
    <row r="2563" spans="1:28" ht="33.5" customHeight="1">
      <c r="A2563" s="156" t="str">
        <f>'Reported burning'!A2563</f>
        <v>305i</v>
      </c>
      <c r="B2563" s="156" t="str">
        <f>'Reported burning'!B2563</f>
        <v>305i.1</v>
      </c>
      <c r="C2563" s="156" t="str">
        <f>'Reported burning'!C2563</f>
        <v>Human, deliberate</v>
      </c>
      <c r="D2563" s="156" t="str">
        <f>'Reported burning'!D2563</f>
        <v>Pyrome management</v>
      </c>
      <c r="E2563" s="156" t="str">
        <f>'Reported burning'!E2563</f>
        <v>Fire suppression agent</v>
      </c>
      <c r="F2563" s="156" t="str">
        <f>'Reported burning'!F2563</f>
        <v>ND</v>
      </c>
      <c r="G2563" s="156" t="str">
        <f>'Reported burning'!G2563</f>
        <v>ND</v>
      </c>
      <c r="H2563" s="156" t="str">
        <f>'Reported burning'!H2563</f>
        <v>Presence</v>
      </c>
      <c r="I2563" s="5">
        <f>'Reported burning'!I2563</f>
        <v>2001</v>
      </c>
      <c r="J2563" s="204" t="s">
        <v>2276</v>
      </c>
      <c r="K2563" s="204" t="s">
        <v>2276</v>
      </c>
      <c r="L2563" s="204" t="s">
        <v>2276</v>
      </c>
      <c r="M2563" s="204" t="s">
        <v>2276</v>
      </c>
      <c r="N2563" s="204" t="s">
        <v>2276</v>
      </c>
      <c r="O2563" s="204" t="s">
        <v>2276</v>
      </c>
      <c r="P2563" s="204" t="s">
        <v>2276</v>
      </c>
      <c r="Q2563" s="204" t="s">
        <v>2276</v>
      </c>
      <c r="R2563" s="204" t="s">
        <v>2276</v>
      </c>
      <c r="S2563" s="204" t="s">
        <v>2276</v>
      </c>
      <c r="T2563" s="204" t="s">
        <v>2276</v>
      </c>
      <c r="U2563" s="204" t="s">
        <v>2276</v>
      </c>
      <c r="V2563" s="204" t="s">
        <v>2276</v>
      </c>
      <c r="W2563" s="204" t="s">
        <v>2276</v>
      </c>
      <c r="X2563" s="204" t="s">
        <v>35</v>
      </c>
      <c r="Y2563" s="204" t="s">
        <v>38</v>
      </c>
      <c r="Z2563" s="204" t="s">
        <v>64</v>
      </c>
      <c r="AA2563" s="204" t="s">
        <v>7627</v>
      </c>
      <c r="AB2563" s="204"/>
    </row>
    <row r="2564" spans="1:28" ht="33.5" customHeight="1">
      <c r="A2564" s="156" t="str">
        <f>'Reported burning'!A2564</f>
        <v>305j</v>
      </c>
      <c r="B2564" s="156" t="str">
        <f>'Reported burning'!B2564</f>
        <v>305j.1</v>
      </c>
      <c r="C2564" s="156" t="str">
        <f>'Reported burning'!C2564</f>
        <v>Human, deliberate</v>
      </c>
      <c r="D2564" s="156" t="str">
        <f>'Reported burning'!D2564</f>
        <v>Pyrome management</v>
      </c>
      <c r="E2564" s="156" t="str">
        <f>'Reported burning'!E2564</f>
        <v>Fire suppression agent</v>
      </c>
      <c r="F2564" s="156" t="str">
        <f>'Reported burning'!F2564</f>
        <v>ND</v>
      </c>
      <c r="G2564" s="156" t="str">
        <f>'Reported burning'!G2564</f>
        <v>ND</v>
      </c>
      <c r="H2564" s="156" t="str">
        <f>'Reported burning'!H2564</f>
        <v>Presence</v>
      </c>
      <c r="I2564" s="5">
        <f>'Reported burning'!I2564</f>
        <v>2001</v>
      </c>
      <c r="J2564" s="204" t="s">
        <v>2276</v>
      </c>
      <c r="K2564" s="204" t="s">
        <v>2276</v>
      </c>
      <c r="L2564" s="204" t="s">
        <v>2276</v>
      </c>
      <c r="M2564" s="204" t="s">
        <v>2276</v>
      </c>
      <c r="N2564" s="204" t="s">
        <v>2276</v>
      </c>
      <c r="O2564" s="204" t="s">
        <v>2276</v>
      </c>
      <c r="P2564" s="204" t="s">
        <v>2276</v>
      </c>
      <c r="Q2564" s="204" t="s">
        <v>2276</v>
      </c>
      <c r="R2564" s="204" t="s">
        <v>2276</v>
      </c>
      <c r="S2564" s="204" t="s">
        <v>2276</v>
      </c>
      <c r="T2564" s="204" t="s">
        <v>2276</v>
      </c>
      <c r="U2564" s="204" t="s">
        <v>2276</v>
      </c>
      <c r="V2564" s="204" t="s">
        <v>2276</v>
      </c>
      <c r="W2564" s="204" t="s">
        <v>2276</v>
      </c>
      <c r="X2564" s="204" t="s">
        <v>35</v>
      </c>
      <c r="Y2564" s="204" t="s">
        <v>38</v>
      </c>
      <c r="Z2564" s="204" t="s">
        <v>64</v>
      </c>
      <c r="AA2564" s="204" t="s">
        <v>7627</v>
      </c>
      <c r="AB2564" s="204"/>
    </row>
    <row r="2565" spans="1:28" ht="33.5" customHeight="1">
      <c r="A2565" s="156" t="str">
        <f>'Reported burning'!A2565</f>
        <v>305k</v>
      </c>
      <c r="B2565" s="156" t="str">
        <f>'Reported burning'!B2565</f>
        <v>305k.1</v>
      </c>
      <c r="C2565" s="156" t="str">
        <f>'Reported burning'!C2565</f>
        <v>Human, deliberate</v>
      </c>
      <c r="D2565" s="156" t="str">
        <f>'Reported burning'!D2565</f>
        <v>Pyrome management</v>
      </c>
      <c r="E2565" s="156" t="str">
        <f>'Reported burning'!E2565</f>
        <v>Fire suppression agent</v>
      </c>
      <c r="F2565" s="156" t="str">
        <f>'Reported burning'!F2565</f>
        <v>ND</v>
      </c>
      <c r="G2565" s="156" t="str">
        <f>'Reported burning'!G2565</f>
        <v>ND</v>
      </c>
      <c r="H2565" s="156" t="str">
        <f>'Reported burning'!H2565</f>
        <v>Presence</v>
      </c>
      <c r="I2565" s="5">
        <f>'Reported burning'!I2565</f>
        <v>2001</v>
      </c>
      <c r="J2565" s="204" t="s">
        <v>2276</v>
      </c>
      <c r="K2565" s="204" t="s">
        <v>2276</v>
      </c>
      <c r="L2565" s="204" t="s">
        <v>2276</v>
      </c>
      <c r="M2565" s="204" t="s">
        <v>2276</v>
      </c>
      <c r="N2565" s="204" t="s">
        <v>2276</v>
      </c>
      <c r="O2565" s="204" t="s">
        <v>2276</v>
      </c>
      <c r="P2565" s="204" t="s">
        <v>2276</v>
      </c>
      <c r="Q2565" s="204" t="s">
        <v>2276</v>
      </c>
      <c r="R2565" s="204" t="s">
        <v>2276</v>
      </c>
      <c r="S2565" s="204" t="s">
        <v>2276</v>
      </c>
      <c r="T2565" s="204" t="s">
        <v>2276</v>
      </c>
      <c r="U2565" s="204" t="s">
        <v>2276</v>
      </c>
      <c r="V2565" s="204" t="s">
        <v>2276</v>
      </c>
      <c r="W2565" s="204" t="s">
        <v>2276</v>
      </c>
      <c r="X2565" s="204" t="s">
        <v>35</v>
      </c>
      <c r="Y2565" s="204" t="s">
        <v>38</v>
      </c>
      <c r="Z2565" s="204" t="s">
        <v>64</v>
      </c>
      <c r="AA2565" s="204" t="s">
        <v>7627</v>
      </c>
      <c r="AB2565" s="204"/>
    </row>
    <row r="2566" spans="1:28" ht="33.5" customHeight="1">
      <c r="A2566" s="156" t="str">
        <f>'Reported burning'!A2566</f>
        <v>305l</v>
      </c>
      <c r="B2566" s="156" t="str">
        <f>'Reported burning'!B2566</f>
        <v>305l.1</v>
      </c>
      <c r="C2566" s="156" t="str">
        <f>'Reported burning'!C2566</f>
        <v>Human, deliberate</v>
      </c>
      <c r="D2566" s="156" t="str">
        <f>'Reported burning'!D2566</f>
        <v>Pyrome management</v>
      </c>
      <c r="E2566" s="156" t="str">
        <f>'Reported burning'!E2566</f>
        <v>Fire suppression agent</v>
      </c>
      <c r="F2566" s="156" t="str">
        <f>'Reported burning'!F2566</f>
        <v>ND</v>
      </c>
      <c r="G2566" s="156" t="str">
        <f>'Reported burning'!G2566</f>
        <v>ND</v>
      </c>
      <c r="H2566" s="156" t="str">
        <f>'Reported burning'!H2566</f>
        <v>Presence</v>
      </c>
      <c r="I2566" s="5">
        <f>'Reported burning'!I2566</f>
        <v>2001</v>
      </c>
      <c r="J2566" s="204" t="s">
        <v>2276</v>
      </c>
      <c r="K2566" s="204" t="s">
        <v>2276</v>
      </c>
      <c r="L2566" s="204" t="s">
        <v>2276</v>
      </c>
      <c r="M2566" s="204" t="s">
        <v>2276</v>
      </c>
      <c r="N2566" s="204" t="s">
        <v>2276</v>
      </c>
      <c r="O2566" s="204" t="s">
        <v>2276</v>
      </c>
      <c r="P2566" s="204" t="s">
        <v>2276</v>
      </c>
      <c r="Q2566" s="204" t="s">
        <v>2276</v>
      </c>
      <c r="R2566" s="204" t="s">
        <v>2276</v>
      </c>
      <c r="S2566" s="204" t="s">
        <v>2276</v>
      </c>
      <c r="T2566" s="204" t="s">
        <v>2276</v>
      </c>
      <c r="U2566" s="204" t="s">
        <v>2276</v>
      </c>
      <c r="V2566" s="204" t="s">
        <v>2276</v>
      </c>
      <c r="W2566" s="204" t="s">
        <v>2276</v>
      </c>
      <c r="X2566" s="204" t="s">
        <v>35</v>
      </c>
      <c r="Y2566" s="204" t="s">
        <v>38</v>
      </c>
      <c r="Z2566" s="204" t="s">
        <v>64</v>
      </c>
      <c r="AA2566" s="204" t="s">
        <v>7627</v>
      </c>
      <c r="AB2566" s="204"/>
    </row>
    <row r="2567" spans="1:28" ht="33.5" customHeight="1">
      <c r="A2567" s="156" t="str">
        <f>'Reported burning'!A2567</f>
        <v>305m</v>
      </c>
      <c r="B2567" s="156" t="str">
        <f>'Reported burning'!B2567</f>
        <v>305m.1</v>
      </c>
      <c r="C2567" s="156" t="str">
        <f>'Reported burning'!C2567</f>
        <v>Human, deliberate</v>
      </c>
      <c r="D2567" s="156" t="str">
        <f>'Reported burning'!D2567</f>
        <v>Pyrome management</v>
      </c>
      <c r="E2567" s="156" t="str">
        <f>'Reported burning'!E2567</f>
        <v>Fire suppression agent</v>
      </c>
      <c r="F2567" s="156" t="str">
        <f>'Reported burning'!F2567</f>
        <v>ND</v>
      </c>
      <c r="G2567" s="156" t="str">
        <f>'Reported burning'!G2567</f>
        <v>ND</v>
      </c>
      <c r="H2567" s="156" t="str">
        <f>'Reported burning'!H2567</f>
        <v>Presence</v>
      </c>
      <c r="I2567" s="5">
        <f>'Reported burning'!I2567</f>
        <v>2001</v>
      </c>
      <c r="J2567" s="204" t="s">
        <v>2276</v>
      </c>
      <c r="K2567" s="204" t="s">
        <v>2276</v>
      </c>
      <c r="L2567" s="204" t="s">
        <v>2276</v>
      </c>
      <c r="M2567" s="204" t="s">
        <v>2276</v>
      </c>
      <c r="N2567" s="204" t="s">
        <v>2276</v>
      </c>
      <c r="O2567" s="204" t="s">
        <v>2276</v>
      </c>
      <c r="P2567" s="204" t="s">
        <v>2276</v>
      </c>
      <c r="Q2567" s="204" t="s">
        <v>2276</v>
      </c>
      <c r="R2567" s="204" t="s">
        <v>2276</v>
      </c>
      <c r="S2567" s="204" t="s">
        <v>2276</v>
      </c>
      <c r="T2567" s="204" t="s">
        <v>2276</v>
      </c>
      <c r="U2567" s="204" t="s">
        <v>2276</v>
      </c>
      <c r="V2567" s="204" t="s">
        <v>2276</v>
      </c>
      <c r="W2567" s="204" t="s">
        <v>2276</v>
      </c>
      <c r="X2567" s="204" t="s">
        <v>35</v>
      </c>
      <c r="Y2567" s="204" t="s">
        <v>38</v>
      </c>
      <c r="Z2567" s="204" t="s">
        <v>64</v>
      </c>
      <c r="AA2567" s="204" t="s">
        <v>7627</v>
      </c>
      <c r="AB2567" s="204"/>
    </row>
    <row r="2568" spans="1:28" ht="33.5" customHeight="1">
      <c r="A2568" s="156" t="str">
        <f>'Reported burning'!A2568</f>
        <v>305i</v>
      </c>
      <c r="B2568" s="156" t="str">
        <f>'Reported burning'!B2568</f>
        <v>305i.2</v>
      </c>
      <c r="C2568" s="156" t="str">
        <f>'Reported burning'!C2568</f>
        <v>Human, deliberate</v>
      </c>
      <c r="D2568" s="156" t="str">
        <f>'Reported burning'!D2568</f>
        <v>Pyrome management</v>
      </c>
      <c r="E2568" s="156" t="str">
        <f>'Reported burning'!E2568</f>
        <v>Fire suppression agent</v>
      </c>
      <c r="F2568" s="156" t="str">
        <f>'Reported burning'!F2568</f>
        <v>ND</v>
      </c>
      <c r="G2568" s="156" t="str">
        <f>'Reported burning'!G2568</f>
        <v>ND</v>
      </c>
      <c r="H2568" s="156" t="str">
        <f>'Reported burning'!H2568</f>
        <v>Presence</v>
      </c>
      <c r="I2568" s="5">
        <f>'Reported burning'!I2568</f>
        <v>2002</v>
      </c>
      <c r="J2568" s="204" t="s">
        <v>2276</v>
      </c>
      <c r="K2568" s="204" t="s">
        <v>2276</v>
      </c>
      <c r="L2568" s="204" t="s">
        <v>2276</v>
      </c>
      <c r="M2568" s="204" t="s">
        <v>2276</v>
      </c>
      <c r="N2568" s="204" t="s">
        <v>2276</v>
      </c>
      <c r="O2568" s="204" t="s">
        <v>2276</v>
      </c>
      <c r="P2568" s="204" t="s">
        <v>2276</v>
      </c>
      <c r="Q2568" s="204" t="s">
        <v>2276</v>
      </c>
      <c r="R2568" s="204" t="s">
        <v>2276</v>
      </c>
      <c r="S2568" s="204" t="s">
        <v>2276</v>
      </c>
      <c r="T2568" s="204" t="s">
        <v>2276</v>
      </c>
      <c r="U2568" s="204" t="s">
        <v>2276</v>
      </c>
      <c r="V2568" s="204" t="s">
        <v>2276</v>
      </c>
      <c r="W2568" s="204" t="s">
        <v>2276</v>
      </c>
      <c r="X2568" s="204" t="s">
        <v>35</v>
      </c>
      <c r="Y2568" s="204" t="s">
        <v>38</v>
      </c>
      <c r="Z2568" s="204" t="s">
        <v>64</v>
      </c>
      <c r="AA2568" s="204" t="s">
        <v>7627</v>
      </c>
      <c r="AB2568" s="204"/>
    </row>
    <row r="2569" spans="1:28" ht="33.5" customHeight="1">
      <c r="A2569" s="156" t="str">
        <f>'Reported burning'!A2569</f>
        <v>305j</v>
      </c>
      <c r="B2569" s="156" t="str">
        <f>'Reported burning'!B2569</f>
        <v>305j.2</v>
      </c>
      <c r="C2569" s="156" t="str">
        <f>'Reported burning'!C2569</f>
        <v>Human, deliberate</v>
      </c>
      <c r="D2569" s="156" t="str">
        <f>'Reported burning'!D2569</f>
        <v>Pyrome management</v>
      </c>
      <c r="E2569" s="156" t="str">
        <f>'Reported burning'!E2569</f>
        <v>Fire suppression agent</v>
      </c>
      <c r="F2569" s="156" t="str">
        <f>'Reported burning'!F2569</f>
        <v>ND</v>
      </c>
      <c r="G2569" s="156" t="str">
        <f>'Reported burning'!G2569</f>
        <v>ND</v>
      </c>
      <c r="H2569" s="156" t="str">
        <f>'Reported burning'!H2569</f>
        <v>Presence</v>
      </c>
      <c r="I2569" s="5">
        <f>'Reported burning'!I2569</f>
        <v>2002</v>
      </c>
      <c r="J2569" s="204" t="s">
        <v>2276</v>
      </c>
      <c r="K2569" s="204" t="s">
        <v>2276</v>
      </c>
      <c r="L2569" s="204" t="s">
        <v>2276</v>
      </c>
      <c r="M2569" s="204" t="s">
        <v>2276</v>
      </c>
      <c r="N2569" s="204" t="s">
        <v>2276</v>
      </c>
      <c r="O2569" s="204" t="s">
        <v>2276</v>
      </c>
      <c r="P2569" s="204" t="s">
        <v>2276</v>
      </c>
      <c r="Q2569" s="204" t="s">
        <v>2276</v>
      </c>
      <c r="R2569" s="204" t="s">
        <v>2276</v>
      </c>
      <c r="S2569" s="204" t="s">
        <v>2276</v>
      </c>
      <c r="T2569" s="204" t="s">
        <v>2276</v>
      </c>
      <c r="U2569" s="204" t="s">
        <v>2276</v>
      </c>
      <c r="V2569" s="204" t="s">
        <v>2276</v>
      </c>
      <c r="W2569" s="204" t="s">
        <v>2276</v>
      </c>
      <c r="X2569" s="204" t="s">
        <v>35</v>
      </c>
      <c r="Y2569" s="204" t="s">
        <v>38</v>
      </c>
      <c r="Z2569" s="204" t="s">
        <v>64</v>
      </c>
      <c r="AA2569" s="204" t="s">
        <v>7627</v>
      </c>
      <c r="AB2569" s="204"/>
    </row>
    <row r="2570" spans="1:28" ht="33.5" customHeight="1">
      <c r="A2570" s="156" t="str">
        <f>'Reported burning'!A2570</f>
        <v>305k</v>
      </c>
      <c r="B2570" s="156" t="str">
        <f>'Reported burning'!B2570</f>
        <v>305k.2</v>
      </c>
      <c r="C2570" s="156" t="str">
        <f>'Reported burning'!C2570</f>
        <v>Human, deliberate</v>
      </c>
      <c r="D2570" s="156" t="str">
        <f>'Reported burning'!D2570</f>
        <v>Pyrome management</v>
      </c>
      <c r="E2570" s="156" t="str">
        <f>'Reported burning'!E2570</f>
        <v>Fire suppression agent</v>
      </c>
      <c r="F2570" s="156" t="str">
        <f>'Reported burning'!F2570</f>
        <v>ND</v>
      </c>
      <c r="G2570" s="156" t="str">
        <f>'Reported burning'!G2570</f>
        <v>ND</v>
      </c>
      <c r="H2570" s="156" t="str">
        <f>'Reported burning'!H2570</f>
        <v>Presence</v>
      </c>
      <c r="I2570" s="5">
        <f>'Reported burning'!I2570</f>
        <v>2002</v>
      </c>
      <c r="J2570" s="204" t="s">
        <v>2276</v>
      </c>
      <c r="K2570" s="204" t="s">
        <v>2276</v>
      </c>
      <c r="L2570" s="204" t="s">
        <v>2276</v>
      </c>
      <c r="M2570" s="204" t="s">
        <v>2276</v>
      </c>
      <c r="N2570" s="204" t="s">
        <v>2276</v>
      </c>
      <c r="O2570" s="204" t="s">
        <v>2276</v>
      </c>
      <c r="P2570" s="204" t="s">
        <v>2276</v>
      </c>
      <c r="Q2570" s="204" t="s">
        <v>2276</v>
      </c>
      <c r="R2570" s="204" t="s">
        <v>2276</v>
      </c>
      <c r="S2570" s="204" t="s">
        <v>2276</v>
      </c>
      <c r="T2570" s="204" t="s">
        <v>2276</v>
      </c>
      <c r="U2570" s="204" t="s">
        <v>2276</v>
      </c>
      <c r="V2570" s="204" t="s">
        <v>2276</v>
      </c>
      <c r="W2570" s="204" t="s">
        <v>2276</v>
      </c>
      <c r="X2570" s="204" t="s">
        <v>35</v>
      </c>
      <c r="Y2570" s="204" t="s">
        <v>38</v>
      </c>
      <c r="Z2570" s="204" t="s">
        <v>64</v>
      </c>
      <c r="AA2570" s="204" t="s">
        <v>7627</v>
      </c>
      <c r="AB2570" s="204"/>
    </row>
    <row r="2571" spans="1:28" ht="33.5" customHeight="1">
      <c r="A2571" s="156" t="str">
        <f>'Reported burning'!A2571</f>
        <v>305l</v>
      </c>
      <c r="B2571" s="156" t="str">
        <f>'Reported burning'!B2571</f>
        <v>305l.2</v>
      </c>
      <c r="C2571" s="156" t="str">
        <f>'Reported burning'!C2571</f>
        <v>Human, deliberate</v>
      </c>
      <c r="D2571" s="156" t="str">
        <f>'Reported burning'!D2571</f>
        <v>Pyrome management</v>
      </c>
      <c r="E2571" s="156" t="str">
        <f>'Reported burning'!E2571</f>
        <v>Fire suppression agent</v>
      </c>
      <c r="F2571" s="156" t="str">
        <f>'Reported burning'!F2571</f>
        <v>ND</v>
      </c>
      <c r="G2571" s="156" t="str">
        <f>'Reported burning'!G2571</f>
        <v>ND</v>
      </c>
      <c r="H2571" s="156" t="str">
        <f>'Reported burning'!H2571</f>
        <v>Presence</v>
      </c>
      <c r="I2571" s="5">
        <f>'Reported burning'!I2571</f>
        <v>2002</v>
      </c>
      <c r="J2571" s="204" t="s">
        <v>2276</v>
      </c>
      <c r="K2571" s="204" t="s">
        <v>2276</v>
      </c>
      <c r="L2571" s="204" t="s">
        <v>2276</v>
      </c>
      <c r="M2571" s="204" t="s">
        <v>2276</v>
      </c>
      <c r="N2571" s="204" t="s">
        <v>2276</v>
      </c>
      <c r="O2571" s="204" t="s">
        <v>2276</v>
      </c>
      <c r="P2571" s="204" t="s">
        <v>2276</v>
      </c>
      <c r="Q2571" s="204" t="s">
        <v>2276</v>
      </c>
      <c r="R2571" s="204" t="s">
        <v>2276</v>
      </c>
      <c r="S2571" s="204" t="s">
        <v>2276</v>
      </c>
      <c r="T2571" s="204" t="s">
        <v>2276</v>
      </c>
      <c r="U2571" s="204" t="s">
        <v>2276</v>
      </c>
      <c r="V2571" s="204" t="s">
        <v>2276</v>
      </c>
      <c r="W2571" s="204" t="s">
        <v>2276</v>
      </c>
      <c r="X2571" s="204" t="s">
        <v>35</v>
      </c>
      <c r="Y2571" s="204" t="s">
        <v>38</v>
      </c>
      <c r="Z2571" s="204" t="s">
        <v>64</v>
      </c>
      <c r="AA2571" s="204" t="s">
        <v>7627</v>
      </c>
      <c r="AB2571" s="204"/>
    </row>
    <row r="2572" spans="1:28" ht="33.5" customHeight="1">
      <c r="A2572" s="156" t="str">
        <f>'Reported burning'!A2572</f>
        <v>305m</v>
      </c>
      <c r="B2572" s="156" t="str">
        <f>'Reported burning'!B2572</f>
        <v>305m.2</v>
      </c>
      <c r="C2572" s="156" t="str">
        <f>'Reported burning'!C2572</f>
        <v>Human, deliberate</v>
      </c>
      <c r="D2572" s="156" t="str">
        <f>'Reported burning'!D2572</f>
        <v>Pyrome management</v>
      </c>
      <c r="E2572" s="156" t="str">
        <f>'Reported burning'!E2572</f>
        <v>Fire suppression agent</v>
      </c>
      <c r="F2572" s="156" t="str">
        <f>'Reported burning'!F2572</f>
        <v>ND</v>
      </c>
      <c r="G2572" s="156" t="str">
        <f>'Reported burning'!G2572</f>
        <v>ND</v>
      </c>
      <c r="H2572" s="156" t="str">
        <f>'Reported burning'!H2572</f>
        <v>Presence</v>
      </c>
      <c r="I2572" s="5">
        <f>'Reported burning'!I2572</f>
        <v>2002</v>
      </c>
      <c r="J2572" s="204" t="s">
        <v>2276</v>
      </c>
      <c r="K2572" s="204" t="s">
        <v>2276</v>
      </c>
      <c r="L2572" s="204" t="s">
        <v>2276</v>
      </c>
      <c r="M2572" s="204" t="s">
        <v>2276</v>
      </c>
      <c r="N2572" s="204" t="s">
        <v>2276</v>
      </c>
      <c r="O2572" s="204" t="s">
        <v>2276</v>
      </c>
      <c r="P2572" s="204" t="s">
        <v>2276</v>
      </c>
      <c r="Q2572" s="204" t="s">
        <v>2276</v>
      </c>
      <c r="R2572" s="204" t="s">
        <v>2276</v>
      </c>
      <c r="S2572" s="204" t="s">
        <v>2276</v>
      </c>
      <c r="T2572" s="204" t="s">
        <v>2276</v>
      </c>
      <c r="U2572" s="204" t="s">
        <v>2276</v>
      </c>
      <c r="V2572" s="204" t="s">
        <v>2276</v>
      </c>
      <c r="W2572" s="204" t="s">
        <v>2276</v>
      </c>
      <c r="X2572" s="204" t="s">
        <v>35</v>
      </c>
      <c r="Y2572" s="204" t="s">
        <v>38</v>
      </c>
      <c r="Z2572" s="204" t="s">
        <v>64</v>
      </c>
      <c r="AA2572" s="204" t="s">
        <v>7627</v>
      </c>
      <c r="AB2572" s="204"/>
    </row>
    <row r="2573" spans="1:28" ht="33.5" customHeight="1">
      <c r="A2573" s="156" t="str">
        <f>'Reported burning'!A2573</f>
        <v>305i</v>
      </c>
      <c r="B2573" s="156" t="str">
        <f>'Reported burning'!B2573</f>
        <v>305i.3</v>
      </c>
      <c r="C2573" s="156" t="str">
        <f>'Reported burning'!C2573</f>
        <v>Human, deliberate</v>
      </c>
      <c r="D2573" s="156" t="str">
        <f>'Reported burning'!D2573</f>
        <v>Pyrome management</v>
      </c>
      <c r="E2573" s="156" t="str">
        <f>'Reported burning'!E2573</f>
        <v>Fire suppression agent</v>
      </c>
      <c r="F2573" s="156" t="str">
        <f>'Reported burning'!F2573</f>
        <v>ND</v>
      </c>
      <c r="G2573" s="156" t="str">
        <f>'Reported burning'!G2573</f>
        <v>ND</v>
      </c>
      <c r="H2573" s="156" t="str">
        <f>'Reported burning'!H2573</f>
        <v>Presence</v>
      </c>
      <c r="I2573" s="5">
        <f>'Reported burning'!I2573</f>
        <v>2003</v>
      </c>
      <c r="J2573" s="204" t="s">
        <v>2276</v>
      </c>
      <c r="K2573" s="204" t="s">
        <v>2276</v>
      </c>
      <c r="L2573" s="204" t="s">
        <v>2276</v>
      </c>
      <c r="M2573" s="204" t="s">
        <v>2276</v>
      </c>
      <c r="N2573" s="204" t="s">
        <v>2276</v>
      </c>
      <c r="O2573" s="204" t="s">
        <v>2276</v>
      </c>
      <c r="P2573" s="204" t="s">
        <v>2276</v>
      </c>
      <c r="Q2573" s="204" t="s">
        <v>2276</v>
      </c>
      <c r="R2573" s="204" t="s">
        <v>2276</v>
      </c>
      <c r="S2573" s="204" t="s">
        <v>2276</v>
      </c>
      <c r="T2573" s="204" t="s">
        <v>2276</v>
      </c>
      <c r="U2573" s="204" t="s">
        <v>2276</v>
      </c>
      <c r="V2573" s="204" t="s">
        <v>2276</v>
      </c>
      <c r="W2573" s="204" t="s">
        <v>2276</v>
      </c>
      <c r="X2573" s="204" t="s">
        <v>35</v>
      </c>
      <c r="Y2573" s="204" t="s">
        <v>38</v>
      </c>
      <c r="Z2573" s="204" t="s">
        <v>64</v>
      </c>
      <c r="AA2573" s="204" t="s">
        <v>7627</v>
      </c>
      <c r="AB2573" s="204"/>
    </row>
    <row r="2574" spans="1:28" ht="33.5" customHeight="1">
      <c r="A2574" s="156" t="str">
        <f>'Reported burning'!A2574</f>
        <v>305j</v>
      </c>
      <c r="B2574" s="156" t="str">
        <f>'Reported burning'!B2574</f>
        <v>305j.3</v>
      </c>
      <c r="C2574" s="156" t="str">
        <f>'Reported burning'!C2574</f>
        <v>Human, deliberate</v>
      </c>
      <c r="D2574" s="156" t="str">
        <f>'Reported burning'!D2574</f>
        <v>Pyrome management</v>
      </c>
      <c r="E2574" s="156" t="str">
        <f>'Reported burning'!E2574</f>
        <v>Fire suppression agent</v>
      </c>
      <c r="F2574" s="156" t="str">
        <f>'Reported burning'!F2574</f>
        <v>ND</v>
      </c>
      <c r="G2574" s="156" t="str">
        <f>'Reported burning'!G2574</f>
        <v>ND</v>
      </c>
      <c r="H2574" s="156" t="str">
        <f>'Reported burning'!H2574</f>
        <v>Presence</v>
      </c>
      <c r="I2574" s="5">
        <f>'Reported burning'!I2574</f>
        <v>2003</v>
      </c>
      <c r="J2574" s="204" t="s">
        <v>2276</v>
      </c>
      <c r="K2574" s="204" t="s">
        <v>2276</v>
      </c>
      <c r="L2574" s="204" t="s">
        <v>2276</v>
      </c>
      <c r="M2574" s="204" t="s">
        <v>2276</v>
      </c>
      <c r="N2574" s="204" t="s">
        <v>2276</v>
      </c>
      <c r="O2574" s="204" t="s">
        <v>2276</v>
      </c>
      <c r="P2574" s="204" t="s">
        <v>2276</v>
      </c>
      <c r="Q2574" s="204" t="s">
        <v>2276</v>
      </c>
      <c r="R2574" s="204" t="s">
        <v>2276</v>
      </c>
      <c r="S2574" s="204" t="s">
        <v>2276</v>
      </c>
      <c r="T2574" s="204" t="s">
        <v>2276</v>
      </c>
      <c r="U2574" s="204" t="s">
        <v>2276</v>
      </c>
      <c r="V2574" s="204" t="s">
        <v>2276</v>
      </c>
      <c r="W2574" s="204" t="s">
        <v>2276</v>
      </c>
      <c r="X2574" s="204" t="s">
        <v>35</v>
      </c>
      <c r="Y2574" s="204" t="s">
        <v>38</v>
      </c>
      <c r="Z2574" s="204" t="s">
        <v>64</v>
      </c>
      <c r="AA2574" s="204" t="s">
        <v>7627</v>
      </c>
      <c r="AB2574" s="204"/>
    </row>
    <row r="2575" spans="1:28" ht="33.5" customHeight="1">
      <c r="A2575" s="156" t="str">
        <f>'Reported burning'!A2575</f>
        <v>305k</v>
      </c>
      <c r="B2575" s="156" t="str">
        <f>'Reported burning'!B2575</f>
        <v>305k.3</v>
      </c>
      <c r="C2575" s="156" t="str">
        <f>'Reported burning'!C2575</f>
        <v>Human, deliberate</v>
      </c>
      <c r="D2575" s="156" t="str">
        <f>'Reported burning'!D2575</f>
        <v>Pyrome management</v>
      </c>
      <c r="E2575" s="156" t="str">
        <f>'Reported burning'!E2575</f>
        <v>Fire suppression agent</v>
      </c>
      <c r="F2575" s="156" t="str">
        <f>'Reported burning'!F2575</f>
        <v>ND</v>
      </c>
      <c r="G2575" s="156" t="str">
        <f>'Reported burning'!G2575</f>
        <v>ND</v>
      </c>
      <c r="H2575" s="156" t="str">
        <f>'Reported burning'!H2575</f>
        <v>Presence</v>
      </c>
      <c r="I2575" s="5">
        <f>'Reported burning'!I2575</f>
        <v>2003</v>
      </c>
      <c r="J2575" s="204" t="s">
        <v>2276</v>
      </c>
      <c r="K2575" s="204" t="s">
        <v>2276</v>
      </c>
      <c r="L2575" s="204" t="s">
        <v>2276</v>
      </c>
      <c r="M2575" s="204" t="s">
        <v>2276</v>
      </c>
      <c r="N2575" s="204" t="s">
        <v>2276</v>
      </c>
      <c r="O2575" s="204" t="s">
        <v>2276</v>
      </c>
      <c r="P2575" s="204" t="s">
        <v>2276</v>
      </c>
      <c r="Q2575" s="204" t="s">
        <v>2276</v>
      </c>
      <c r="R2575" s="204" t="s">
        <v>2276</v>
      </c>
      <c r="S2575" s="204" t="s">
        <v>2276</v>
      </c>
      <c r="T2575" s="204" t="s">
        <v>2276</v>
      </c>
      <c r="U2575" s="204" t="s">
        <v>2276</v>
      </c>
      <c r="V2575" s="204" t="s">
        <v>2276</v>
      </c>
      <c r="W2575" s="204" t="s">
        <v>2276</v>
      </c>
      <c r="X2575" s="204" t="s">
        <v>35</v>
      </c>
      <c r="Y2575" s="204" t="s">
        <v>38</v>
      </c>
      <c r="Z2575" s="204" t="s">
        <v>64</v>
      </c>
      <c r="AA2575" s="204" t="s">
        <v>7627</v>
      </c>
      <c r="AB2575" s="204"/>
    </row>
    <row r="2576" spans="1:28" ht="33.5" customHeight="1">
      <c r="A2576" s="156" t="str">
        <f>'Reported burning'!A2576</f>
        <v>305l</v>
      </c>
      <c r="B2576" s="156" t="str">
        <f>'Reported burning'!B2576</f>
        <v>305l.3</v>
      </c>
      <c r="C2576" s="156" t="str">
        <f>'Reported burning'!C2576</f>
        <v>Human, deliberate</v>
      </c>
      <c r="D2576" s="156" t="str">
        <f>'Reported burning'!D2576</f>
        <v>Pyrome management</v>
      </c>
      <c r="E2576" s="156" t="str">
        <f>'Reported burning'!E2576</f>
        <v>Fire suppression agent</v>
      </c>
      <c r="F2576" s="156" t="str">
        <f>'Reported burning'!F2576</f>
        <v>ND</v>
      </c>
      <c r="G2576" s="156" t="str">
        <f>'Reported burning'!G2576</f>
        <v>ND</v>
      </c>
      <c r="H2576" s="156" t="str">
        <f>'Reported burning'!H2576</f>
        <v>Presence</v>
      </c>
      <c r="I2576" s="5">
        <f>'Reported burning'!I2576</f>
        <v>2003</v>
      </c>
      <c r="J2576" s="204" t="s">
        <v>2276</v>
      </c>
      <c r="K2576" s="204" t="s">
        <v>2276</v>
      </c>
      <c r="L2576" s="204" t="s">
        <v>2276</v>
      </c>
      <c r="M2576" s="204" t="s">
        <v>2276</v>
      </c>
      <c r="N2576" s="204" t="s">
        <v>2276</v>
      </c>
      <c r="O2576" s="204" t="s">
        <v>2276</v>
      </c>
      <c r="P2576" s="204" t="s">
        <v>2276</v>
      </c>
      <c r="Q2576" s="204" t="s">
        <v>2276</v>
      </c>
      <c r="R2576" s="204" t="s">
        <v>2276</v>
      </c>
      <c r="S2576" s="204" t="s">
        <v>2276</v>
      </c>
      <c r="T2576" s="204" t="s">
        <v>2276</v>
      </c>
      <c r="U2576" s="204" t="s">
        <v>2276</v>
      </c>
      <c r="V2576" s="204" t="s">
        <v>2276</v>
      </c>
      <c r="W2576" s="204" t="s">
        <v>2276</v>
      </c>
      <c r="X2576" s="204" t="s">
        <v>35</v>
      </c>
      <c r="Y2576" s="204" t="s">
        <v>38</v>
      </c>
      <c r="Z2576" s="204" t="s">
        <v>64</v>
      </c>
      <c r="AA2576" s="204" t="s">
        <v>7627</v>
      </c>
      <c r="AB2576" s="204"/>
    </row>
    <row r="2577" spans="1:28" ht="33.5" customHeight="1">
      <c r="A2577" s="156" t="str">
        <f>'Reported burning'!A2577</f>
        <v>305m</v>
      </c>
      <c r="B2577" s="156" t="str">
        <f>'Reported burning'!B2577</f>
        <v>305m.3</v>
      </c>
      <c r="C2577" s="156" t="str">
        <f>'Reported burning'!C2577</f>
        <v>Human, deliberate</v>
      </c>
      <c r="D2577" s="156" t="str">
        <f>'Reported burning'!D2577</f>
        <v>Pyrome management</v>
      </c>
      <c r="E2577" s="156" t="str">
        <f>'Reported burning'!E2577</f>
        <v>Fire suppression agent</v>
      </c>
      <c r="F2577" s="156" t="str">
        <f>'Reported burning'!F2577</f>
        <v>ND</v>
      </c>
      <c r="G2577" s="156" t="str">
        <f>'Reported burning'!G2577</f>
        <v>ND</v>
      </c>
      <c r="H2577" s="156" t="str">
        <f>'Reported burning'!H2577</f>
        <v>Presence</v>
      </c>
      <c r="I2577" s="5">
        <f>'Reported burning'!I2577</f>
        <v>2003</v>
      </c>
      <c r="J2577" s="204" t="s">
        <v>2276</v>
      </c>
      <c r="K2577" s="204" t="s">
        <v>2276</v>
      </c>
      <c r="L2577" s="204" t="s">
        <v>2276</v>
      </c>
      <c r="M2577" s="204" t="s">
        <v>2276</v>
      </c>
      <c r="N2577" s="204" t="s">
        <v>2276</v>
      </c>
      <c r="O2577" s="204" t="s">
        <v>2276</v>
      </c>
      <c r="P2577" s="204" t="s">
        <v>2276</v>
      </c>
      <c r="Q2577" s="204" t="s">
        <v>2276</v>
      </c>
      <c r="R2577" s="204" t="s">
        <v>2276</v>
      </c>
      <c r="S2577" s="204" t="s">
        <v>2276</v>
      </c>
      <c r="T2577" s="204" t="s">
        <v>2276</v>
      </c>
      <c r="U2577" s="204" t="s">
        <v>2276</v>
      </c>
      <c r="V2577" s="204" t="s">
        <v>2276</v>
      </c>
      <c r="W2577" s="204" t="s">
        <v>2276</v>
      </c>
      <c r="X2577" s="204" t="s">
        <v>35</v>
      </c>
      <c r="Y2577" s="204" t="s">
        <v>38</v>
      </c>
      <c r="Z2577" s="204" t="s">
        <v>64</v>
      </c>
      <c r="AA2577" s="204" t="s">
        <v>7627</v>
      </c>
      <c r="AB2577" s="204"/>
    </row>
    <row r="2578" spans="1:28" ht="33.5" customHeight="1">
      <c r="A2578" s="156" t="str">
        <f>'Reported burning'!A2578</f>
        <v>305i</v>
      </c>
      <c r="B2578" s="156" t="str">
        <f>'Reported burning'!B2578</f>
        <v>305i.4</v>
      </c>
      <c r="C2578" s="156" t="str">
        <f>'Reported burning'!C2578</f>
        <v>Human, deliberate</v>
      </c>
      <c r="D2578" s="156" t="str">
        <f>'Reported burning'!D2578</f>
        <v>Pyrome management</v>
      </c>
      <c r="E2578" s="156" t="str">
        <f>'Reported burning'!E2578</f>
        <v>Fire suppression agent</v>
      </c>
      <c r="F2578" s="156" t="str">
        <f>'Reported burning'!F2578</f>
        <v>ND</v>
      </c>
      <c r="G2578" s="156" t="str">
        <f>'Reported burning'!G2578</f>
        <v>ND</v>
      </c>
      <c r="H2578" s="156" t="str">
        <f>'Reported burning'!H2578</f>
        <v>Presence</v>
      </c>
      <c r="I2578" s="5">
        <f>'Reported burning'!I2578</f>
        <v>2004</v>
      </c>
      <c r="J2578" s="204" t="s">
        <v>2276</v>
      </c>
      <c r="K2578" s="204" t="s">
        <v>2276</v>
      </c>
      <c r="L2578" s="204" t="s">
        <v>2276</v>
      </c>
      <c r="M2578" s="204" t="s">
        <v>2276</v>
      </c>
      <c r="N2578" s="204" t="s">
        <v>2276</v>
      </c>
      <c r="O2578" s="204" t="s">
        <v>2276</v>
      </c>
      <c r="P2578" s="204" t="s">
        <v>2276</v>
      </c>
      <c r="Q2578" s="204" t="s">
        <v>2276</v>
      </c>
      <c r="R2578" s="204" t="s">
        <v>2276</v>
      </c>
      <c r="S2578" s="204" t="s">
        <v>2276</v>
      </c>
      <c r="T2578" s="204" t="s">
        <v>2276</v>
      </c>
      <c r="U2578" s="204" t="s">
        <v>2276</v>
      </c>
      <c r="V2578" s="204" t="s">
        <v>2276</v>
      </c>
      <c r="W2578" s="204" t="s">
        <v>2276</v>
      </c>
      <c r="X2578" s="204" t="s">
        <v>35</v>
      </c>
      <c r="Y2578" s="204" t="s">
        <v>38</v>
      </c>
      <c r="Z2578" s="204" t="s">
        <v>64</v>
      </c>
      <c r="AA2578" s="204" t="s">
        <v>7627</v>
      </c>
      <c r="AB2578" s="204"/>
    </row>
    <row r="2579" spans="1:28" ht="33.5" customHeight="1">
      <c r="A2579" s="156" t="str">
        <f>'Reported burning'!A2579</f>
        <v>305j</v>
      </c>
      <c r="B2579" s="156" t="str">
        <f>'Reported burning'!B2579</f>
        <v>305j.4</v>
      </c>
      <c r="C2579" s="156" t="str">
        <f>'Reported burning'!C2579</f>
        <v>Human, deliberate</v>
      </c>
      <c r="D2579" s="156" t="str">
        <f>'Reported burning'!D2579</f>
        <v>Pyrome management</v>
      </c>
      <c r="E2579" s="156" t="str">
        <f>'Reported burning'!E2579</f>
        <v>Fire suppression agent</v>
      </c>
      <c r="F2579" s="156" t="str">
        <f>'Reported burning'!F2579</f>
        <v>ND</v>
      </c>
      <c r="G2579" s="156" t="str">
        <f>'Reported burning'!G2579</f>
        <v>ND</v>
      </c>
      <c r="H2579" s="156" t="str">
        <f>'Reported burning'!H2579</f>
        <v>Presence</v>
      </c>
      <c r="I2579" s="5">
        <f>'Reported burning'!I2579</f>
        <v>2004</v>
      </c>
      <c r="J2579" s="204" t="s">
        <v>2276</v>
      </c>
      <c r="K2579" s="204" t="s">
        <v>2276</v>
      </c>
      <c r="L2579" s="204" t="s">
        <v>2276</v>
      </c>
      <c r="M2579" s="204" t="s">
        <v>2276</v>
      </c>
      <c r="N2579" s="204" t="s">
        <v>2276</v>
      </c>
      <c r="O2579" s="204" t="s">
        <v>2276</v>
      </c>
      <c r="P2579" s="204" t="s">
        <v>2276</v>
      </c>
      <c r="Q2579" s="204" t="s">
        <v>2276</v>
      </c>
      <c r="R2579" s="204" t="s">
        <v>2276</v>
      </c>
      <c r="S2579" s="204" t="s">
        <v>2276</v>
      </c>
      <c r="T2579" s="204" t="s">
        <v>2276</v>
      </c>
      <c r="U2579" s="204" t="s">
        <v>2276</v>
      </c>
      <c r="V2579" s="204" t="s">
        <v>2276</v>
      </c>
      <c r="W2579" s="204" t="s">
        <v>2276</v>
      </c>
      <c r="X2579" s="204" t="s">
        <v>35</v>
      </c>
      <c r="Y2579" s="204" t="s">
        <v>38</v>
      </c>
      <c r="Z2579" s="204" t="s">
        <v>64</v>
      </c>
      <c r="AA2579" s="204" t="s">
        <v>7627</v>
      </c>
      <c r="AB2579" s="204"/>
    </row>
    <row r="2580" spans="1:28" ht="33.5" customHeight="1">
      <c r="A2580" s="156" t="str">
        <f>'Reported burning'!A2580</f>
        <v>305k</v>
      </c>
      <c r="B2580" s="156" t="str">
        <f>'Reported burning'!B2580</f>
        <v>305k.4</v>
      </c>
      <c r="C2580" s="156" t="str">
        <f>'Reported burning'!C2580</f>
        <v>Human, deliberate</v>
      </c>
      <c r="D2580" s="156" t="str">
        <f>'Reported burning'!D2580</f>
        <v>Pyrome management</v>
      </c>
      <c r="E2580" s="156" t="str">
        <f>'Reported burning'!E2580</f>
        <v>Fire suppression agent</v>
      </c>
      <c r="F2580" s="156" t="str">
        <f>'Reported burning'!F2580</f>
        <v>ND</v>
      </c>
      <c r="G2580" s="156" t="str">
        <f>'Reported burning'!G2580</f>
        <v>ND</v>
      </c>
      <c r="H2580" s="156" t="str">
        <f>'Reported burning'!H2580</f>
        <v>Presence</v>
      </c>
      <c r="I2580" s="5">
        <f>'Reported burning'!I2580</f>
        <v>2004</v>
      </c>
      <c r="J2580" s="204" t="s">
        <v>2276</v>
      </c>
      <c r="K2580" s="204" t="s">
        <v>2276</v>
      </c>
      <c r="L2580" s="204" t="s">
        <v>2276</v>
      </c>
      <c r="M2580" s="204" t="s">
        <v>2276</v>
      </c>
      <c r="N2580" s="204" t="s">
        <v>2276</v>
      </c>
      <c r="O2580" s="204" t="s">
        <v>2276</v>
      </c>
      <c r="P2580" s="204" t="s">
        <v>2276</v>
      </c>
      <c r="Q2580" s="204" t="s">
        <v>2276</v>
      </c>
      <c r="R2580" s="204" t="s">
        <v>2276</v>
      </c>
      <c r="S2580" s="204" t="s">
        <v>2276</v>
      </c>
      <c r="T2580" s="204" t="s">
        <v>2276</v>
      </c>
      <c r="U2580" s="204" t="s">
        <v>2276</v>
      </c>
      <c r="V2580" s="204" t="s">
        <v>2276</v>
      </c>
      <c r="W2580" s="204" t="s">
        <v>2276</v>
      </c>
      <c r="X2580" s="204" t="s">
        <v>35</v>
      </c>
      <c r="Y2580" s="204" t="s">
        <v>38</v>
      </c>
      <c r="Z2580" s="204" t="s">
        <v>64</v>
      </c>
      <c r="AA2580" s="204" t="s">
        <v>7627</v>
      </c>
      <c r="AB2580" s="204"/>
    </row>
    <row r="2581" spans="1:28" ht="33.5" customHeight="1">
      <c r="A2581" s="156" t="str">
        <f>'Reported burning'!A2581</f>
        <v>305l</v>
      </c>
      <c r="B2581" s="156" t="str">
        <f>'Reported burning'!B2581</f>
        <v>305l.4</v>
      </c>
      <c r="C2581" s="156" t="str">
        <f>'Reported burning'!C2581</f>
        <v>Human, deliberate</v>
      </c>
      <c r="D2581" s="156" t="str">
        <f>'Reported burning'!D2581</f>
        <v>Pyrome management</v>
      </c>
      <c r="E2581" s="156" t="str">
        <f>'Reported burning'!E2581</f>
        <v>Fire suppression agent</v>
      </c>
      <c r="F2581" s="156" t="str">
        <f>'Reported burning'!F2581</f>
        <v>ND</v>
      </c>
      <c r="G2581" s="156" t="str">
        <f>'Reported burning'!G2581</f>
        <v>ND</v>
      </c>
      <c r="H2581" s="156" t="str">
        <f>'Reported burning'!H2581</f>
        <v>Presence</v>
      </c>
      <c r="I2581" s="5">
        <f>'Reported burning'!I2581</f>
        <v>2004</v>
      </c>
      <c r="J2581" s="204" t="s">
        <v>2276</v>
      </c>
      <c r="K2581" s="204" t="s">
        <v>2276</v>
      </c>
      <c r="L2581" s="204" t="s">
        <v>2276</v>
      </c>
      <c r="M2581" s="204" t="s">
        <v>2276</v>
      </c>
      <c r="N2581" s="204" t="s">
        <v>2276</v>
      </c>
      <c r="O2581" s="204" t="s">
        <v>2276</v>
      </c>
      <c r="P2581" s="204" t="s">
        <v>2276</v>
      </c>
      <c r="Q2581" s="204" t="s">
        <v>2276</v>
      </c>
      <c r="R2581" s="204" t="s">
        <v>2276</v>
      </c>
      <c r="S2581" s="204" t="s">
        <v>2276</v>
      </c>
      <c r="T2581" s="204" t="s">
        <v>2276</v>
      </c>
      <c r="U2581" s="204" t="s">
        <v>2276</v>
      </c>
      <c r="V2581" s="204" t="s">
        <v>2276</v>
      </c>
      <c r="W2581" s="204" t="s">
        <v>2276</v>
      </c>
      <c r="X2581" s="204" t="s">
        <v>35</v>
      </c>
      <c r="Y2581" s="204" t="s">
        <v>38</v>
      </c>
      <c r="Z2581" s="204" t="s">
        <v>64</v>
      </c>
      <c r="AA2581" s="204" t="s">
        <v>7627</v>
      </c>
      <c r="AB2581" s="204"/>
    </row>
    <row r="2582" spans="1:28" ht="33.5" customHeight="1">
      <c r="A2582" s="156" t="str">
        <f>'Reported burning'!A2582</f>
        <v>305m</v>
      </c>
      <c r="B2582" s="156" t="str">
        <f>'Reported burning'!B2582</f>
        <v>305m.4</v>
      </c>
      <c r="C2582" s="156" t="str">
        <f>'Reported burning'!C2582</f>
        <v>Human, deliberate</v>
      </c>
      <c r="D2582" s="156" t="str">
        <f>'Reported burning'!D2582</f>
        <v>Pyrome management</v>
      </c>
      <c r="E2582" s="156" t="str">
        <f>'Reported burning'!E2582</f>
        <v>Fire suppression agent</v>
      </c>
      <c r="F2582" s="156" t="str">
        <f>'Reported burning'!F2582</f>
        <v>ND</v>
      </c>
      <c r="G2582" s="156" t="str">
        <f>'Reported burning'!G2582</f>
        <v>ND</v>
      </c>
      <c r="H2582" s="156" t="str">
        <f>'Reported burning'!H2582</f>
        <v>Presence</v>
      </c>
      <c r="I2582" s="5">
        <f>'Reported burning'!I2582</f>
        <v>2004</v>
      </c>
      <c r="J2582" s="204" t="s">
        <v>2276</v>
      </c>
      <c r="K2582" s="204" t="s">
        <v>2276</v>
      </c>
      <c r="L2582" s="204" t="s">
        <v>2276</v>
      </c>
      <c r="M2582" s="204" t="s">
        <v>2276</v>
      </c>
      <c r="N2582" s="204" t="s">
        <v>2276</v>
      </c>
      <c r="O2582" s="204" t="s">
        <v>2276</v>
      </c>
      <c r="P2582" s="204" t="s">
        <v>2276</v>
      </c>
      <c r="Q2582" s="204" t="s">
        <v>2276</v>
      </c>
      <c r="R2582" s="204" t="s">
        <v>2276</v>
      </c>
      <c r="S2582" s="204" t="s">
        <v>2276</v>
      </c>
      <c r="T2582" s="204" t="s">
        <v>2276</v>
      </c>
      <c r="U2582" s="204" t="s">
        <v>2276</v>
      </c>
      <c r="V2582" s="204" t="s">
        <v>2276</v>
      </c>
      <c r="W2582" s="204" t="s">
        <v>2276</v>
      </c>
      <c r="X2582" s="204" t="s">
        <v>35</v>
      </c>
      <c r="Y2582" s="204" t="s">
        <v>38</v>
      </c>
      <c r="Z2582" s="204" t="s">
        <v>64</v>
      </c>
      <c r="AA2582" s="204" t="s">
        <v>7627</v>
      </c>
      <c r="AB2582" s="204"/>
    </row>
    <row r="2583" spans="1:28" ht="33.5" customHeight="1">
      <c r="A2583" s="156" t="str">
        <f>'Reported burning'!A2583</f>
        <v>305i</v>
      </c>
      <c r="B2583" s="156" t="str">
        <f>'Reported burning'!B2583</f>
        <v>305i.5</v>
      </c>
      <c r="C2583" s="156" t="str">
        <f>'Reported burning'!C2583</f>
        <v>Human, deliberate</v>
      </c>
      <c r="D2583" s="156" t="str">
        <f>'Reported burning'!D2583</f>
        <v>Pyrome management</v>
      </c>
      <c r="E2583" s="156" t="str">
        <f>'Reported burning'!E2583</f>
        <v>Fire suppression agent</v>
      </c>
      <c r="F2583" s="156" t="str">
        <f>'Reported burning'!F2583</f>
        <v>ND</v>
      </c>
      <c r="G2583" s="156" t="str">
        <f>'Reported burning'!G2583</f>
        <v>ND</v>
      </c>
      <c r="H2583" s="156" t="str">
        <f>'Reported burning'!H2583</f>
        <v>Presence</v>
      </c>
      <c r="I2583" s="5">
        <f>'Reported burning'!I2583</f>
        <v>2005</v>
      </c>
      <c r="J2583" s="204" t="s">
        <v>2276</v>
      </c>
      <c r="K2583" s="204" t="s">
        <v>2276</v>
      </c>
      <c r="L2583" s="204" t="s">
        <v>2276</v>
      </c>
      <c r="M2583" s="204" t="s">
        <v>2276</v>
      </c>
      <c r="N2583" s="204" t="s">
        <v>2276</v>
      </c>
      <c r="O2583" s="204" t="s">
        <v>2276</v>
      </c>
      <c r="P2583" s="204" t="s">
        <v>2276</v>
      </c>
      <c r="Q2583" s="204" t="s">
        <v>2276</v>
      </c>
      <c r="R2583" s="204" t="s">
        <v>2276</v>
      </c>
      <c r="S2583" s="204" t="s">
        <v>2276</v>
      </c>
      <c r="T2583" s="204" t="s">
        <v>2276</v>
      </c>
      <c r="U2583" s="204" t="s">
        <v>2276</v>
      </c>
      <c r="V2583" s="204" t="s">
        <v>2276</v>
      </c>
      <c r="W2583" s="204" t="s">
        <v>2276</v>
      </c>
      <c r="X2583" s="204" t="s">
        <v>35</v>
      </c>
      <c r="Y2583" s="204" t="s">
        <v>38</v>
      </c>
      <c r="Z2583" s="204" t="s">
        <v>64</v>
      </c>
      <c r="AA2583" s="204" t="s">
        <v>7627</v>
      </c>
      <c r="AB2583" s="204"/>
    </row>
    <row r="2584" spans="1:28" ht="33.5" customHeight="1">
      <c r="A2584" s="156" t="str">
        <f>'Reported burning'!A2584</f>
        <v>305j</v>
      </c>
      <c r="B2584" s="156" t="str">
        <f>'Reported burning'!B2584</f>
        <v>305j.5</v>
      </c>
      <c r="C2584" s="156" t="str">
        <f>'Reported burning'!C2584</f>
        <v>Human, deliberate</v>
      </c>
      <c r="D2584" s="156" t="str">
        <f>'Reported burning'!D2584</f>
        <v>Pyrome management</v>
      </c>
      <c r="E2584" s="156" t="str">
        <f>'Reported burning'!E2584</f>
        <v>Fire suppression agent</v>
      </c>
      <c r="F2584" s="156" t="str">
        <f>'Reported burning'!F2584</f>
        <v>ND</v>
      </c>
      <c r="G2584" s="156" t="str">
        <f>'Reported burning'!G2584</f>
        <v>ND</v>
      </c>
      <c r="H2584" s="156" t="str">
        <f>'Reported burning'!H2584</f>
        <v>Presence</v>
      </c>
      <c r="I2584" s="5">
        <f>'Reported burning'!I2584</f>
        <v>2005</v>
      </c>
      <c r="J2584" s="204" t="s">
        <v>2276</v>
      </c>
      <c r="K2584" s="204" t="s">
        <v>2276</v>
      </c>
      <c r="L2584" s="204" t="s">
        <v>2276</v>
      </c>
      <c r="M2584" s="204" t="s">
        <v>2276</v>
      </c>
      <c r="N2584" s="204" t="s">
        <v>2276</v>
      </c>
      <c r="O2584" s="204" t="s">
        <v>2276</v>
      </c>
      <c r="P2584" s="204" t="s">
        <v>2276</v>
      </c>
      <c r="Q2584" s="204" t="s">
        <v>2276</v>
      </c>
      <c r="R2584" s="204" t="s">
        <v>2276</v>
      </c>
      <c r="S2584" s="204" t="s">
        <v>2276</v>
      </c>
      <c r="T2584" s="204" t="s">
        <v>2276</v>
      </c>
      <c r="U2584" s="204" t="s">
        <v>2276</v>
      </c>
      <c r="V2584" s="204" t="s">
        <v>2276</v>
      </c>
      <c r="W2584" s="204" t="s">
        <v>2276</v>
      </c>
      <c r="X2584" s="204" t="s">
        <v>35</v>
      </c>
      <c r="Y2584" s="204" t="s">
        <v>38</v>
      </c>
      <c r="Z2584" s="204" t="s">
        <v>64</v>
      </c>
      <c r="AA2584" s="204" t="s">
        <v>7627</v>
      </c>
      <c r="AB2584" s="204"/>
    </row>
    <row r="2585" spans="1:28" ht="33.5" customHeight="1">
      <c r="A2585" s="156" t="str">
        <f>'Reported burning'!A2585</f>
        <v>305k</v>
      </c>
      <c r="B2585" s="156" t="str">
        <f>'Reported burning'!B2585</f>
        <v>305k.5</v>
      </c>
      <c r="C2585" s="156" t="str">
        <f>'Reported burning'!C2585</f>
        <v>Human, deliberate</v>
      </c>
      <c r="D2585" s="156" t="str">
        <f>'Reported burning'!D2585</f>
        <v>Pyrome management</v>
      </c>
      <c r="E2585" s="156" t="str">
        <f>'Reported burning'!E2585</f>
        <v>Fire suppression agent</v>
      </c>
      <c r="F2585" s="156" t="str">
        <f>'Reported burning'!F2585</f>
        <v>ND</v>
      </c>
      <c r="G2585" s="156" t="str">
        <f>'Reported burning'!G2585</f>
        <v>ND</v>
      </c>
      <c r="H2585" s="156" t="str">
        <f>'Reported burning'!H2585</f>
        <v>Presence</v>
      </c>
      <c r="I2585" s="5">
        <f>'Reported burning'!I2585</f>
        <v>2005</v>
      </c>
      <c r="J2585" s="204" t="s">
        <v>2276</v>
      </c>
      <c r="K2585" s="204" t="s">
        <v>2276</v>
      </c>
      <c r="L2585" s="204" t="s">
        <v>2276</v>
      </c>
      <c r="M2585" s="204" t="s">
        <v>2276</v>
      </c>
      <c r="N2585" s="204" t="s">
        <v>2276</v>
      </c>
      <c r="O2585" s="204" t="s">
        <v>2276</v>
      </c>
      <c r="P2585" s="204" t="s">
        <v>2276</v>
      </c>
      <c r="Q2585" s="204" t="s">
        <v>2276</v>
      </c>
      <c r="R2585" s="204" t="s">
        <v>2276</v>
      </c>
      <c r="S2585" s="204" t="s">
        <v>2276</v>
      </c>
      <c r="T2585" s="204" t="s">
        <v>2276</v>
      </c>
      <c r="U2585" s="204" t="s">
        <v>2276</v>
      </c>
      <c r="V2585" s="204" t="s">
        <v>2276</v>
      </c>
      <c r="W2585" s="204" t="s">
        <v>2276</v>
      </c>
      <c r="X2585" s="204" t="s">
        <v>35</v>
      </c>
      <c r="Y2585" s="204" t="s">
        <v>38</v>
      </c>
      <c r="Z2585" s="204" t="s">
        <v>64</v>
      </c>
      <c r="AA2585" s="204" t="s">
        <v>7627</v>
      </c>
      <c r="AB2585" s="204"/>
    </row>
    <row r="2586" spans="1:28" ht="33.5" customHeight="1">
      <c r="A2586" s="156" t="str">
        <f>'Reported burning'!A2586</f>
        <v>305l</v>
      </c>
      <c r="B2586" s="156" t="str">
        <f>'Reported burning'!B2586</f>
        <v>305l.5</v>
      </c>
      <c r="C2586" s="156" t="str">
        <f>'Reported burning'!C2586</f>
        <v>Human, deliberate</v>
      </c>
      <c r="D2586" s="156" t="str">
        <f>'Reported burning'!D2586</f>
        <v>Pyrome management</v>
      </c>
      <c r="E2586" s="156" t="str">
        <f>'Reported burning'!E2586</f>
        <v>Fire suppression agent</v>
      </c>
      <c r="F2586" s="156" t="str">
        <f>'Reported burning'!F2586</f>
        <v>ND</v>
      </c>
      <c r="G2586" s="156" t="str">
        <f>'Reported burning'!G2586</f>
        <v>ND</v>
      </c>
      <c r="H2586" s="156" t="str">
        <f>'Reported burning'!H2586</f>
        <v>Presence</v>
      </c>
      <c r="I2586" s="5">
        <f>'Reported burning'!I2586</f>
        <v>2005</v>
      </c>
      <c r="J2586" s="204" t="s">
        <v>2276</v>
      </c>
      <c r="K2586" s="204" t="s">
        <v>2276</v>
      </c>
      <c r="L2586" s="204" t="s">
        <v>2276</v>
      </c>
      <c r="M2586" s="204" t="s">
        <v>2276</v>
      </c>
      <c r="N2586" s="204" t="s">
        <v>2276</v>
      </c>
      <c r="O2586" s="204" t="s">
        <v>2276</v>
      </c>
      <c r="P2586" s="204" t="s">
        <v>2276</v>
      </c>
      <c r="Q2586" s="204" t="s">
        <v>2276</v>
      </c>
      <c r="R2586" s="204" t="s">
        <v>2276</v>
      </c>
      <c r="S2586" s="204" t="s">
        <v>2276</v>
      </c>
      <c r="T2586" s="204" t="s">
        <v>2276</v>
      </c>
      <c r="U2586" s="204" t="s">
        <v>2276</v>
      </c>
      <c r="V2586" s="204" t="s">
        <v>2276</v>
      </c>
      <c r="W2586" s="204" t="s">
        <v>2276</v>
      </c>
      <c r="X2586" s="204" t="s">
        <v>35</v>
      </c>
      <c r="Y2586" s="204" t="s">
        <v>38</v>
      </c>
      <c r="Z2586" s="204" t="s">
        <v>64</v>
      </c>
      <c r="AA2586" s="204" t="s">
        <v>7627</v>
      </c>
      <c r="AB2586" s="204"/>
    </row>
    <row r="2587" spans="1:28" ht="33.5" customHeight="1">
      <c r="A2587" s="156" t="str">
        <f>'Reported burning'!A2587</f>
        <v>305m</v>
      </c>
      <c r="B2587" s="156" t="str">
        <f>'Reported burning'!B2587</f>
        <v>305m.5</v>
      </c>
      <c r="C2587" s="156" t="str">
        <f>'Reported burning'!C2587</f>
        <v>Human, deliberate</v>
      </c>
      <c r="D2587" s="156" t="str">
        <f>'Reported burning'!D2587</f>
        <v>Pyrome management</v>
      </c>
      <c r="E2587" s="156" t="str">
        <f>'Reported burning'!E2587</f>
        <v>Fire suppression agent</v>
      </c>
      <c r="F2587" s="156" t="str">
        <f>'Reported burning'!F2587</f>
        <v>ND</v>
      </c>
      <c r="G2587" s="156" t="str">
        <f>'Reported burning'!G2587</f>
        <v>ND</v>
      </c>
      <c r="H2587" s="156" t="str">
        <f>'Reported burning'!H2587</f>
        <v>Presence</v>
      </c>
      <c r="I2587" s="5">
        <f>'Reported burning'!I2587</f>
        <v>2005</v>
      </c>
      <c r="J2587" s="204" t="s">
        <v>2276</v>
      </c>
      <c r="K2587" s="204" t="s">
        <v>2276</v>
      </c>
      <c r="L2587" s="204" t="s">
        <v>2276</v>
      </c>
      <c r="M2587" s="204" t="s">
        <v>2276</v>
      </c>
      <c r="N2587" s="204" t="s">
        <v>2276</v>
      </c>
      <c r="O2587" s="204" t="s">
        <v>2276</v>
      </c>
      <c r="P2587" s="204" t="s">
        <v>2276</v>
      </c>
      <c r="Q2587" s="204" t="s">
        <v>2276</v>
      </c>
      <c r="R2587" s="204" t="s">
        <v>2276</v>
      </c>
      <c r="S2587" s="204" t="s">
        <v>2276</v>
      </c>
      <c r="T2587" s="204" t="s">
        <v>2276</v>
      </c>
      <c r="U2587" s="204" t="s">
        <v>2276</v>
      </c>
      <c r="V2587" s="204" t="s">
        <v>2276</v>
      </c>
      <c r="W2587" s="204" t="s">
        <v>2276</v>
      </c>
      <c r="X2587" s="204" t="s">
        <v>35</v>
      </c>
      <c r="Y2587" s="204" t="s">
        <v>38</v>
      </c>
      <c r="Z2587" s="204" t="s">
        <v>64</v>
      </c>
      <c r="AA2587" s="204" t="s">
        <v>7627</v>
      </c>
      <c r="AB2587" s="204"/>
    </row>
    <row r="2588" spans="1:28" ht="33.5" customHeight="1">
      <c r="A2588" s="156" t="str">
        <f>'Reported burning'!A2588</f>
        <v>305i</v>
      </c>
      <c r="B2588" s="156" t="str">
        <f>'Reported burning'!B2588</f>
        <v>305i.6</v>
      </c>
      <c r="C2588" s="156" t="str">
        <f>'Reported burning'!C2588</f>
        <v>Human, deliberate</v>
      </c>
      <c r="D2588" s="156" t="str">
        <f>'Reported burning'!D2588</f>
        <v>Pyrome management</v>
      </c>
      <c r="E2588" s="156" t="str">
        <f>'Reported burning'!E2588</f>
        <v>Fire suppression agent</v>
      </c>
      <c r="F2588" s="156" t="str">
        <f>'Reported burning'!F2588</f>
        <v>ND</v>
      </c>
      <c r="G2588" s="156" t="str">
        <f>'Reported burning'!G2588</f>
        <v>ND</v>
      </c>
      <c r="H2588" s="156" t="str">
        <f>'Reported burning'!H2588</f>
        <v>Presence</v>
      </c>
      <c r="I2588" s="5">
        <f>'Reported burning'!I2588</f>
        <v>2006</v>
      </c>
      <c r="J2588" s="204" t="s">
        <v>2276</v>
      </c>
      <c r="K2588" s="204" t="s">
        <v>2276</v>
      </c>
      <c r="L2588" s="204" t="s">
        <v>2276</v>
      </c>
      <c r="M2588" s="204" t="s">
        <v>2276</v>
      </c>
      <c r="N2588" s="204" t="s">
        <v>2276</v>
      </c>
      <c r="O2588" s="204" t="s">
        <v>2276</v>
      </c>
      <c r="P2588" s="204" t="s">
        <v>2276</v>
      </c>
      <c r="Q2588" s="204" t="s">
        <v>2276</v>
      </c>
      <c r="R2588" s="204" t="s">
        <v>2276</v>
      </c>
      <c r="S2588" s="204" t="s">
        <v>2276</v>
      </c>
      <c r="T2588" s="204" t="s">
        <v>2276</v>
      </c>
      <c r="U2588" s="204" t="s">
        <v>2276</v>
      </c>
      <c r="V2588" s="204" t="s">
        <v>2276</v>
      </c>
      <c r="W2588" s="204" t="s">
        <v>2276</v>
      </c>
      <c r="X2588" s="204" t="s">
        <v>35</v>
      </c>
      <c r="Y2588" s="204" t="s">
        <v>38</v>
      </c>
      <c r="Z2588" s="204" t="s">
        <v>64</v>
      </c>
      <c r="AA2588" s="204" t="s">
        <v>7627</v>
      </c>
      <c r="AB2588" s="204"/>
    </row>
    <row r="2589" spans="1:28" ht="33.5" customHeight="1">
      <c r="A2589" s="156" t="str">
        <f>'Reported burning'!A2589</f>
        <v>305j</v>
      </c>
      <c r="B2589" s="156" t="str">
        <f>'Reported burning'!B2589</f>
        <v>305j.6</v>
      </c>
      <c r="C2589" s="156" t="str">
        <f>'Reported burning'!C2589</f>
        <v>Human, deliberate</v>
      </c>
      <c r="D2589" s="156" t="str">
        <f>'Reported burning'!D2589</f>
        <v>Pyrome management</v>
      </c>
      <c r="E2589" s="156" t="str">
        <f>'Reported burning'!E2589</f>
        <v>Fire suppression agent</v>
      </c>
      <c r="F2589" s="156" t="str">
        <f>'Reported burning'!F2589</f>
        <v>ND</v>
      </c>
      <c r="G2589" s="156" t="str">
        <f>'Reported burning'!G2589</f>
        <v>ND</v>
      </c>
      <c r="H2589" s="156" t="str">
        <f>'Reported burning'!H2589</f>
        <v>Presence</v>
      </c>
      <c r="I2589" s="5">
        <f>'Reported burning'!I2589</f>
        <v>2006</v>
      </c>
      <c r="J2589" s="204" t="s">
        <v>2276</v>
      </c>
      <c r="K2589" s="204" t="s">
        <v>2276</v>
      </c>
      <c r="L2589" s="204" t="s">
        <v>2276</v>
      </c>
      <c r="M2589" s="204" t="s">
        <v>2276</v>
      </c>
      <c r="N2589" s="204" t="s">
        <v>2276</v>
      </c>
      <c r="O2589" s="204" t="s">
        <v>2276</v>
      </c>
      <c r="P2589" s="204" t="s">
        <v>2276</v>
      </c>
      <c r="Q2589" s="204" t="s">
        <v>2276</v>
      </c>
      <c r="R2589" s="204" t="s">
        <v>2276</v>
      </c>
      <c r="S2589" s="204" t="s">
        <v>2276</v>
      </c>
      <c r="T2589" s="204" t="s">
        <v>2276</v>
      </c>
      <c r="U2589" s="204" t="s">
        <v>2276</v>
      </c>
      <c r="V2589" s="204" t="s">
        <v>2276</v>
      </c>
      <c r="W2589" s="204" t="s">
        <v>2276</v>
      </c>
      <c r="X2589" s="204" t="s">
        <v>35</v>
      </c>
      <c r="Y2589" s="204" t="s">
        <v>38</v>
      </c>
      <c r="Z2589" s="204" t="s">
        <v>64</v>
      </c>
      <c r="AA2589" s="204" t="s">
        <v>7627</v>
      </c>
      <c r="AB2589" s="204"/>
    </row>
    <row r="2590" spans="1:28" ht="33.5" customHeight="1">
      <c r="A2590" s="156" t="str">
        <f>'Reported burning'!A2590</f>
        <v>305k</v>
      </c>
      <c r="B2590" s="156" t="str">
        <f>'Reported burning'!B2590</f>
        <v>305k.6</v>
      </c>
      <c r="C2590" s="156" t="str">
        <f>'Reported burning'!C2590</f>
        <v>Human, deliberate</v>
      </c>
      <c r="D2590" s="156" t="str">
        <f>'Reported burning'!D2590</f>
        <v>Pyrome management</v>
      </c>
      <c r="E2590" s="156" t="str">
        <f>'Reported burning'!E2590</f>
        <v>Fire suppression agent</v>
      </c>
      <c r="F2590" s="156" t="str">
        <f>'Reported burning'!F2590</f>
        <v>ND</v>
      </c>
      <c r="G2590" s="156" t="str">
        <f>'Reported burning'!G2590</f>
        <v>ND</v>
      </c>
      <c r="H2590" s="156" t="str">
        <f>'Reported burning'!H2590</f>
        <v>Presence</v>
      </c>
      <c r="I2590" s="5">
        <f>'Reported burning'!I2590</f>
        <v>2006</v>
      </c>
      <c r="J2590" s="204" t="s">
        <v>2276</v>
      </c>
      <c r="K2590" s="204" t="s">
        <v>2276</v>
      </c>
      <c r="L2590" s="204" t="s">
        <v>2276</v>
      </c>
      <c r="M2590" s="204" t="s">
        <v>2276</v>
      </c>
      <c r="N2590" s="204" t="s">
        <v>2276</v>
      </c>
      <c r="O2590" s="204" t="s">
        <v>2276</v>
      </c>
      <c r="P2590" s="204" t="s">
        <v>2276</v>
      </c>
      <c r="Q2590" s="204" t="s">
        <v>2276</v>
      </c>
      <c r="R2590" s="204" t="s">
        <v>2276</v>
      </c>
      <c r="S2590" s="204" t="s">
        <v>2276</v>
      </c>
      <c r="T2590" s="204" t="s">
        <v>2276</v>
      </c>
      <c r="U2590" s="204" t="s">
        <v>2276</v>
      </c>
      <c r="V2590" s="204" t="s">
        <v>2276</v>
      </c>
      <c r="W2590" s="204" t="s">
        <v>2276</v>
      </c>
      <c r="X2590" s="204" t="s">
        <v>35</v>
      </c>
      <c r="Y2590" s="204" t="s">
        <v>38</v>
      </c>
      <c r="Z2590" s="204" t="s">
        <v>64</v>
      </c>
      <c r="AA2590" s="204" t="s">
        <v>7627</v>
      </c>
      <c r="AB2590" s="204"/>
    </row>
    <row r="2591" spans="1:28" ht="33.5" customHeight="1">
      <c r="A2591" s="156" t="str">
        <f>'Reported burning'!A2591</f>
        <v>305l</v>
      </c>
      <c r="B2591" s="156" t="str">
        <f>'Reported burning'!B2591</f>
        <v>305l.6</v>
      </c>
      <c r="C2591" s="156" t="str">
        <f>'Reported burning'!C2591</f>
        <v>Human, deliberate</v>
      </c>
      <c r="D2591" s="156" t="str">
        <f>'Reported burning'!D2591</f>
        <v>Pyrome management</v>
      </c>
      <c r="E2591" s="156" t="str">
        <f>'Reported burning'!E2591</f>
        <v>Fire suppression agent</v>
      </c>
      <c r="F2591" s="156" t="str">
        <f>'Reported burning'!F2591</f>
        <v>ND</v>
      </c>
      <c r="G2591" s="156" t="str">
        <f>'Reported burning'!G2591</f>
        <v>ND</v>
      </c>
      <c r="H2591" s="156" t="str">
        <f>'Reported burning'!H2591</f>
        <v>Presence</v>
      </c>
      <c r="I2591" s="5">
        <f>'Reported burning'!I2591</f>
        <v>2006</v>
      </c>
      <c r="J2591" s="204" t="s">
        <v>2276</v>
      </c>
      <c r="K2591" s="204" t="s">
        <v>2276</v>
      </c>
      <c r="L2591" s="204" t="s">
        <v>2276</v>
      </c>
      <c r="M2591" s="204" t="s">
        <v>2276</v>
      </c>
      <c r="N2591" s="204" t="s">
        <v>2276</v>
      </c>
      <c r="O2591" s="204" t="s">
        <v>2276</v>
      </c>
      <c r="P2591" s="204" t="s">
        <v>2276</v>
      </c>
      <c r="Q2591" s="204" t="s">
        <v>2276</v>
      </c>
      <c r="R2591" s="204" t="s">
        <v>2276</v>
      </c>
      <c r="S2591" s="204" t="s">
        <v>2276</v>
      </c>
      <c r="T2591" s="204" t="s">
        <v>2276</v>
      </c>
      <c r="U2591" s="204" t="s">
        <v>2276</v>
      </c>
      <c r="V2591" s="204" t="s">
        <v>2276</v>
      </c>
      <c r="W2591" s="204" t="s">
        <v>2276</v>
      </c>
      <c r="X2591" s="204" t="s">
        <v>35</v>
      </c>
      <c r="Y2591" s="204" t="s">
        <v>38</v>
      </c>
      <c r="Z2591" s="204" t="s">
        <v>64</v>
      </c>
      <c r="AA2591" s="204" t="s">
        <v>7627</v>
      </c>
      <c r="AB2591" s="204"/>
    </row>
    <row r="2592" spans="1:28" ht="33.5" customHeight="1">
      <c r="A2592" s="156" t="str">
        <f>'Reported burning'!A2592</f>
        <v>305m</v>
      </c>
      <c r="B2592" s="156" t="str">
        <f>'Reported burning'!B2592</f>
        <v>305m.6</v>
      </c>
      <c r="C2592" s="156" t="str">
        <f>'Reported burning'!C2592</f>
        <v>Human, deliberate</v>
      </c>
      <c r="D2592" s="156" t="str">
        <f>'Reported burning'!D2592</f>
        <v>Pyrome management</v>
      </c>
      <c r="E2592" s="156" t="str">
        <f>'Reported burning'!E2592</f>
        <v>Fire suppression agent</v>
      </c>
      <c r="F2592" s="156" t="str">
        <f>'Reported burning'!F2592</f>
        <v>ND</v>
      </c>
      <c r="G2592" s="156" t="str">
        <f>'Reported burning'!G2592</f>
        <v>ND</v>
      </c>
      <c r="H2592" s="156" t="str">
        <f>'Reported burning'!H2592</f>
        <v>Presence</v>
      </c>
      <c r="I2592" s="5">
        <f>'Reported burning'!I2592</f>
        <v>2006</v>
      </c>
      <c r="J2592" s="204" t="s">
        <v>2276</v>
      </c>
      <c r="K2592" s="204" t="s">
        <v>2276</v>
      </c>
      <c r="L2592" s="204" t="s">
        <v>2276</v>
      </c>
      <c r="M2592" s="204" t="s">
        <v>2276</v>
      </c>
      <c r="N2592" s="204" t="s">
        <v>2276</v>
      </c>
      <c r="O2592" s="204" t="s">
        <v>2276</v>
      </c>
      <c r="P2592" s="204" t="s">
        <v>2276</v>
      </c>
      <c r="Q2592" s="204" t="s">
        <v>2276</v>
      </c>
      <c r="R2592" s="204" t="s">
        <v>2276</v>
      </c>
      <c r="S2592" s="204" t="s">
        <v>2276</v>
      </c>
      <c r="T2592" s="204" t="s">
        <v>2276</v>
      </c>
      <c r="U2592" s="204" t="s">
        <v>2276</v>
      </c>
      <c r="V2592" s="204" t="s">
        <v>2276</v>
      </c>
      <c r="W2592" s="204" t="s">
        <v>2276</v>
      </c>
      <c r="X2592" s="204" t="s">
        <v>35</v>
      </c>
      <c r="Y2592" s="204" t="s">
        <v>38</v>
      </c>
      <c r="Z2592" s="204" t="s">
        <v>64</v>
      </c>
      <c r="AA2592" s="204" t="s">
        <v>7627</v>
      </c>
      <c r="AB2592" s="204"/>
    </row>
    <row r="2593" spans="1:28" ht="33.5" customHeight="1">
      <c r="A2593" s="156" t="str">
        <f>'Reported burning'!A2593</f>
        <v>305i</v>
      </c>
      <c r="B2593" s="156" t="str">
        <f>'Reported burning'!B2593</f>
        <v>305i.7</v>
      </c>
      <c r="C2593" s="156" t="str">
        <f>'Reported burning'!C2593</f>
        <v>Human, deliberate</v>
      </c>
      <c r="D2593" s="156" t="str">
        <f>'Reported burning'!D2593</f>
        <v>Pyrome management</v>
      </c>
      <c r="E2593" s="156" t="str">
        <f>'Reported burning'!E2593</f>
        <v>Fire suppression agent</v>
      </c>
      <c r="F2593" s="156" t="str">
        <f>'Reported burning'!F2593</f>
        <v>ND</v>
      </c>
      <c r="G2593" s="156" t="str">
        <f>'Reported burning'!G2593</f>
        <v>ND</v>
      </c>
      <c r="H2593" s="156" t="str">
        <f>'Reported burning'!H2593</f>
        <v>Presence</v>
      </c>
      <c r="I2593" s="5">
        <f>'Reported burning'!I2593</f>
        <v>2007</v>
      </c>
      <c r="J2593" s="204" t="s">
        <v>2276</v>
      </c>
      <c r="K2593" s="204" t="s">
        <v>2276</v>
      </c>
      <c r="L2593" s="204" t="s">
        <v>2276</v>
      </c>
      <c r="M2593" s="204" t="s">
        <v>2276</v>
      </c>
      <c r="N2593" s="204" t="s">
        <v>2276</v>
      </c>
      <c r="O2593" s="204" t="s">
        <v>2276</v>
      </c>
      <c r="P2593" s="204" t="s">
        <v>2276</v>
      </c>
      <c r="Q2593" s="204" t="s">
        <v>2276</v>
      </c>
      <c r="R2593" s="204" t="s">
        <v>2276</v>
      </c>
      <c r="S2593" s="204" t="s">
        <v>2276</v>
      </c>
      <c r="T2593" s="204" t="s">
        <v>2276</v>
      </c>
      <c r="U2593" s="204" t="s">
        <v>2276</v>
      </c>
      <c r="V2593" s="204" t="s">
        <v>2276</v>
      </c>
      <c r="W2593" s="204" t="s">
        <v>2276</v>
      </c>
      <c r="X2593" s="204" t="s">
        <v>35</v>
      </c>
      <c r="Y2593" s="204" t="s">
        <v>38</v>
      </c>
      <c r="Z2593" s="204" t="s">
        <v>64</v>
      </c>
      <c r="AA2593" s="204" t="s">
        <v>7627</v>
      </c>
      <c r="AB2593" s="204"/>
    </row>
    <row r="2594" spans="1:28" ht="33.5" customHeight="1">
      <c r="A2594" s="156" t="str">
        <f>'Reported burning'!A2594</f>
        <v>305j</v>
      </c>
      <c r="B2594" s="156" t="str">
        <f>'Reported burning'!B2594</f>
        <v>305j.7</v>
      </c>
      <c r="C2594" s="156" t="str">
        <f>'Reported burning'!C2594</f>
        <v>Human, deliberate</v>
      </c>
      <c r="D2594" s="156" t="str">
        <f>'Reported burning'!D2594</f>
        <v>Pyrome management</v>
      </c>
      <c r="E2594" s="156" t="str">
        <f>'Reported burning'!E2594</f>
        <v>Fire suppression agent</v>
      </c>
      <c r="F2594" s="156" t="str">
        <f>'Reported burning'!F2594</f>
        <v>ND</v>
      </c>
      <c r="G2594" s="156" t="str">
        <f>'Reported burning'!G2594</f>
        <v>ND</v>
      </c>
      <c r="H2594" s="156" t="str">
        <f>'Reported burning'!H2594</f>
        <v>Presence</v>
      </c>
      <c r="I2594" s="5">
        <f>'Reported burning'!I2594</f>
        <v>2007</v>
      </c>
      <c r="J2594" s="204" t="s">
        <v>2276</v>
      </c>
      <c r="K2594" s="204" t="s">
        <v>2276</v>
      </c>
      <c r="L2594" s="204" t="s">
        <v>2276</v>
      </c>
      <c r="M2594" s="204" t="s">
        <v>2276</v>
      </c>
      <c r="N2594" s="204" t="s">
        <v>2276</v>
      </c>
      <c r="O2594" s="204" t="s">
        <v>2276</v>
      </c>
      <c r="P2594" s="204" t="s">
        <v>2276</v>
      </c>
      <c r="Q2594" s="204" t="s">
        <v>2276</v>
      </c>
      <c r="R2594" s="204" t="s">
        <v>2276</v>
      </c>
      <c r="S2594" s="204" t="s">
        <v>2276</v>
      </c>
      <c r="T2594" s="204" t="s">
        <v>2276</v>
      </c>
      <c r="U2594" s="204" t="s">
        <v>2276</v>
      </c>
      <c r="V2594" s="204" t="s">
        <v>2276</v>
      </c>
      <c r="W2594" s="204" t="s">
        <v>2276</v>
      </c>
      <c r="X2594" s="204" t="s">
        <v>35</v>
      </c>
      <c r="Y2594" s="204" t="s">
        <v>38</v>
      </c>
      <c r="Z2594" s="204" t="s">
        <v>64</v>
      </c>
      <c r="AA2594" s="204" t="s">
        <v>7627</v>
      </c>
      <c r="AB2594" s="204"/>
    </row>
    <row r="2595" spans="1:28" ht="33.5" customHeight="1">
      <c r="A2595" s="156" t="str">
        <f>'Reported burning'!A2595</f>
        <v>305k</v>
      </c>
      <c r="B2595" s="156" t="str">
        <f>'Reported burning'!B2595</f>
        <v>305k.7</v>
      </c>
      <c r="C2595" s="156" t="str">
        <f>'Reported burning'!C2595</f>
        <v>Human, deliberate</v>
      </c>
      <c r="D2595" s="156" t="str">
        <f>'Reported burning'!D2595</f>
        <v>Pyrome management</v>
      </c>
      <c r="E2595" s="156" t="str">
        <f>'Reported burning'!E2595</f>
        <v>Fire suppression agent</v>
      </c>
      <c r="F2595" s="156" t="str">
        <f>'Reported burning'!F2595</f>
        <v>ND</v>
      </c>
      <c r="G2595" s="156" t="str">
        <f>'Reported burning'!G2595</f>
        <v>ND</v>
      </c>
      <c r="H2595" s="156" t="str">
        <f>'Reported burning'!H2595</f>
        <v>Presence</v>
      </c>
      <c r="I2595" s="5">
        <f>'Reported burning'!I2595</f>
        <v>2007</v>
      </c>
      <c r="J2595" s="204" t="s">
        <v>2276</v>
      </c>
      <c r="K2595" s="204" t="s">
        <v>2276</v>
      </c>
      <c r="L2595" s="204" t="s">
        <v>2276</v>
      </c>
      <c r="M2595" s="204" t="s">
        <v>2276</v>
      </c>
      <c r="N2595" s="204" t="s">
        <v>2276</v>
      </c>
      <c r="O2595" s="204" t="s">
        <v>2276</v>
      </c>
      <c r="P2595" s="204" t="s">
        <v>2276</v>
      </c>
      <c r="Q2595" s="204" t="s">
        <v>2276</v>
      </c>
      <c r="R2595" s="204" t="s">
        <v>2276</v>
      </c>
      <c r="S2595" s="204" t="s">
        <v>2276</v>
      </c>
      <c r="T2595" s="204" t="s">
        <v>2276</v>
      </c>
      <c r="U2595" s="204" t="s">
        <v>2276</v>
      </c>
      <c r="V2595" s="204" t="s">
        <v>2276</v>
      </c>
      <c r="W2595" s="204" t="s">
        <v>2276</v>
      </c>
      <c r="X2595" s="204" t="s">
        <v>35</v>
      </c>
      <c r="Y2595" s="204" t="s">
        <v>38</v>
      </c>
      <c r="Z2595" s="204" t="s">
        <v>64</v>
      </c>
      <c r="AA2595" s="204" t="s">
        <v>7627</v>
      </c>
      <c r="AB2595" s="204"/>
    </row>
    <row r="2596" spans="1:28" ht="33.5" customHeight="1">
      <c r="A2596" s="156" t="str">
        <f>'Reported burning'!A2596</f>
        <v>305l</v>
      </c>
      <c r="B2596" s="156" t="str">
        <f>'Reported burning'!B2596</f>
        <v>305l.7</v>
      </c>
      <c r="C2596" s="156" t="str">
        <f>'Reported burning'!C2596</f>
        <v>Human, deliberate</v>
      </c>
      <c r="D2596" s="156" t="str">
        <f>'Reported burning'!D2596</f>
        <v>Pyrome management</v>
      </c>
      <c r="E2596" s="156" t="str">
        <f>'Reported burning'!E2596</f>
        <v>Fire suppression agent</v>
      </c>
      <c r="F2596" s="156" t="str">
        <f>'Reported burning'!F2596</f>
        <v>ND</v>
      </c>
      <c r="G2596" s="156" t="str">
        <f>'Reported burning'!G2596</f>
        <v>ND</v>
      </c>
      <c r="H2596" s="156" t="str">
        <f>'Reported burning'!H2596</f>
        <v>Presence</v>
      </c>
      <c r="I2596" s="5">
        <f>'Reported burning'!I2596</f>
        <v>2007</v>
      </c>
      <c r="J2596" s="204" t="s">
        <v>2276</v>
      </c>
      <c r="K2596" s="204" t="s">
        <v>2276</v>
      </c>
      <c r="L2596" s="204" t="s">
        <v>2276</v>
      </c>
      <c r="M2596" s="204" t="s">
        <v>2276</v>
      </c>
      <c r="N2596" s="204" t="s">
        <v>2276</v>
      </c>
      <c r="O2596" s="204" t="s">
        <v>2276</v>
      </c>
      <c r="P2596" s="204" t="s">
        <v>2276</v>
      </c>
      <c r="Q2596" s="204" t="s">
        <v>2276</v>
      </c>
      <c r="R2596" s="204" t="s">
        <v>2276</v>
      </c>
      <c r="S2596" s="204" t="s">
        <v>2276</v>
      </c>
      <c r="T2596" s="204" t="s">
        <v>2276</v>
      </c>
      <c r="U2596" s="204" t="s">
        <v>2276</v>
      </c>
      <c r="V2596" s="204" t="s">
        <v>2276</v>
      </c>
      <c r="W2596" s="204" t="s">
        <v>2276</v>
      </c>
      <c r="X2596" s="204" t="s">
        <v>35</v>
      </c>
      <c r="Y2596" s="204" t="s">
        <v>38</v>
      </c>
      <c r="Z2596" s="204" t="s">
        <v>64</v>
      </c>
      <c r="AA2596" s="204" t="s">
        <v>7627</v>
      </c>
      <c r="AB2596" s="204"/>
    </row>
    <row r="2597" spans="1:28" ht="33.5" customHeight="1">
      <c r="A2597" s="156" t="str">
        <f>'Reported burning'!A2597</f>
        <v>305m</v>
      </c>
      <c r="B2597" s="156" t="str">
        <f>'Reported burning'!B2597</f>
        <v>305m.7</v>
      </c>
      <c r="C2597" s="156" t="str">
        <f>'Reported burning'!C2597</f>
        <v>Human, deliberate</v>
      </c>
      <c r="D2597" s="156" t="str">
        <f>'Reported burning'!D2597</f>
        <v>Pyrome management</v>
      </c>
      <c r="E2597" s="156" t="str">
        <f>'Reported burning'!E2597</f>
        <v>Fire suppression agent</v>
      </c>
      <c r="F2597" s="156" t="str">
        <f>'Reported burning'!F2597</f>
        <v>ND</v>
      </c>
      <c r="G2597" s="156" t="str">
        <f>'Reported burning'!G2597</f>
        <v>ND</v>
      </c>
      <c r="H2597" s="156" t="str">
        <f>'Reported burning'!H2597</f>
        <v>Presence</v>
      </c>
      <c r="I2597" s="5">
        <f>'Reported burning'!I2597</f>
        <v>2007</v>
      </c>
      <c r="J2597" s="204" t="s">
        <v>2276</v>
      </c>
      <c r="K2597" s="204" t="s">
        <v>2276</v>
      </c>
      <c r="L2597" s="204" t="s">
        <v>2276</v>
      </c>
      <c r="M2597" s="204" t="s">
        <v>2276</v>
      </c>
      <c r="N2597" s="204" t="s">
        <v>2276</v>
      </c>
      <c r="O2597" s="204" t="s">
        <v>2276</v>
      </c>
      <c r="P2597" s="204" t="s">
        <v>2276</v>
      </c>
      <c r="Q2597" s="204" t="s">
        <v>2276</v>
      </c>
      <c r="R2597" s="204" t="s">
        <v>2276</v>
      </c>
      <c r="S2597" s="204" t="s">
        <v>2276</v>
      </c>
      <c r="T2597" s="204" t="s">
        <v>2276</v>
      </c>
      <c r="U2597" s="204" t="s">
        <v>2276</v>
      </c>
      <c r="V2597" s="204" t="s">
        <v>2276</v>
      </c>
      <c r="W2597" s="204" t="s">
        <v>2276</v>
      </c>
      <c r="X2597" s="204" t="s">
        <v>35</v>
      </c>
      <c r="Y2597" s="204" t="s">
        <v>38</v>
      </c>
      <c r="Z2597" s="204" t="s">
        <v>64</v>
      </c>
      <c r="AA2597" s="204" t="s">
        <v>7627</v>
      </c>
      <c r="AB2597" s="204"/>
    </row>
    <row r="2598" spans="1:28" ht="33.5" customHeight="1">
      <c r="A2598" s="156" t="str">
        <f>'Reported burning'!A2598</f>
        <v>305i</v>
      </c>
      <c r="B2598" s="156" t="str">
        <f>'Reported burning'!B2598</f>
        <v>305i.8</v>
      </c>
      <c r="C2598" s="156" t="str">
        <f>'Reported burning'!C2598</f>
        <v>Human, deliberate</v>
      </c>
      <c r="D2598" s="156" t="str">
        <f>'Reported burning'!D2598</f>
        <v>Pyrome management</v>
      </c>
      <c r="E2598" s="156" t="str">
        <f>'Reported burning'!E2598</f>
        <v>Fire suppression agent</v>
      </c>
      <c r="F2598" s="156" t="str">
        <f>'Reported burning'!F2598</f>
        <v>ND</v>
      </c>
      <c r="G2598" s="156" t="str">
        <f>'Reported burning'!G2598</f>
        <v>ND</v>
      </c>
      <c r="H2598" s="156" t="str">
        <f>'Reported burning'!H2598</f>
        <v>Presence</v>
      </c>
      <c r="I2598" s="5">
        <f>'Reported burning'!I2598</f>
        <v>2008</v>
      </c>
      <c r="J2598" s="204" t="s">
        <v>2276</v>
      </c>
      <c r="K2598" s="204" t="s">
        <v>2276</v>
      </c>
      <c r="L2598" s="204" t="s">
        <v>2276</v>
      </c>
      <c r="M2598" s="204" t="s">
        <v>2276</v>
      </c>
      <c r="N2598" s="204" t="s">
        <v>2276</v>
      </c>
      <c r="O2598" s="204" t="s">
        <v>2276</v>
      </c>
      <c r="P2598" s="204" t="s">
        <v>2276</v>
      </c>
      <c r="Q2598" s="204" t="s">
        <v>2276</v>
      </c>
      <c r="R2598" s="204" t="s">
        <v>2276</v>
      </c>
      <c r="S2598" s="204" t="s">
        <v>2276</v>
      </c>
      <c r="T2598" s="204" t="s">
        <v>2276</v>
      </c>
      <c r="U2598" s="204" t="s">
        <v>2276</v>
      </c>
      <c r="V2598" s="204" t="s">
        <v>2276</v>
      </c>
      <c r="W2598" s="204" t="s">
        <v>2276</v>
      </c>
      <c r="X2598" s="204" t="s">
        <v>35</v>
      </c>
      <c r="Y2598" s="204" t="s">
        <v>38</v>
      </c>
      <c r="Z2598" s="204" t="s">
        <v>64</v>
      </c>
      <c r="AA2598" s="204" t="s">
        <v>7627</v>
      </c>
      <c r="AB2598" s="204"/>
    </row>
    <row r="2599" spans="1:28" ht="33.5" customHeight="1">
      <c r="A2599" s="156" t="str">
        <f>'Reported burning'!A2599</f>
        <v>305j</v>
      </c>
      <c r="B2599" s="156" t="str">
        <f>'Reported burning'!B2599</f>
        <v>305j.8</v>
      </c>
      <c r="C2599" s="156" t="str">
        <f>'Reported burning'!C2599</f>
        <v>Human, deliberate</v>
      </c>
      <c r="D2599" s="156" t="str">
        <f>'Reported burning'!D2599</f>
        <v>Pyrome management</v>
      </c>
      <c r="E2599" s="156" t="str">
        <f>'Reported burning'!E2599</f>
        <v>Fire suppression agent</v>
      </c>
      <c r="F2599" s="156" t="str">
        <f>'Reported burning'!F2599</f>
        <v>ND</v>
      </c>
      <c r="G2599" s="156" t="str">
        <f>'Reported burning'!G2599</f>
        <v>ND</v>
      </c>
      <c r="H2599" s="156" t="str">
        <f>'Reported burning'!H2599</f>
        <v>Presence</v>
      </c>
      <c r="I2599" s="5">
        <f>'Reported burning'!I2599</f>
        <v>2008</v>
      </c>
      <c r="J2599" s="204" t="s">
        <v>2276</v>
      </c>
      <c r="K2599" s="204" t="s">
        <v>2276</v>
      </c>
      <c r="L2599" s="204" t="s">
        <v>2276</v>
      </c>
      <c r="M2599" s="204" t="s">
        <v>2276</v>
      </c>
      <c r="N2599" s="204" t="s">
        <v>2276</v>
      </c>
      <c r="O2599" s="204" t="s">
        <v>2276</v>
      </c>
      <c r="P2599" s="204" t="s">
        <v>2276</v>
      </c>
      <c r="Q2599" s="204" t="s">
        <v>2276</v>
      </c>
      <c r="R2599" s="204" t="s">
        <v>2276</v>
      </c>
      <c r="S2599" s="204" t="s">
        <v>2276</v>
      </c>
      <c r="T2599" s="204" t="s">
        <v>2276</v>
      </c>
      <c r="U2599" s="204" t="s">
        <v>2276</v>
      </c>
      <c r="V2599" s="204" t="s">
        <v>2276</v>
      </c>
      <c r="W2599" s="204" t="s">
        <v>2276</v>
      </c>
      <c r="X2599" s="204" t="s">
        <v>35</v>
      </c>
      <c r="Y2599" s="204" t="s">
        <v>38</v>
      </c>
      <c r="Z2599" s="204" t="s">
        <v>64</v>
      </c>
      <c r="AA2599" s="204" t="s">
        <v>7627</v>
      </c>
      <c r="AB2599" s="204"/>
    </row>
    <row r="2600" spans="1:28" ht="33.5" customHeight="1">
      <c r="A2600" s="156" t="str">
        <f>'Reported burning'!A2600</f>
        <v>305k</v>
      </c>
      <c r="B2600" s="156" t="str">
        <f>'Reported burning'!B2600</f>
        <v>305k.8</v>
      </c>
      <c r="C2600" s="156" t="str">
        <f>'Reported burning'!C2600</f>
        <v>Human, deliberate</v>
      </c>
      <c r="D2600" s="156" t="str">
        <f>'Reported burning'!D2600</f>
        <v>Pyrome management</v>
      </c>
      <c r="E2600" s="156" t="str">
        <f>'Reported burning'!E2600</f>
        <v>Fire suppression agent</v>
      </c>
      <c r="F2600" s="156" t="str">
        <f>'Reported burning'!F2600</f>
        <v>ND</v>
      </c>
      <c r="G2600" s="156" t="str">
        <f>'Reported burning'!G2600</f>
        <v>ND</v>
      </c>
      <c r="H2600" s="156" t="str">
        <f>'Reported burning'!H2600</f>
        <v>Presence</v>
      </c>
      <c r="I2600" s="5">
        <f>'Reported burning'!I2600</f>
        <v>2008</v>
      </c>
      <c r="J2600" s="204" t="s">
        <v>2276</v>
      </c>
      <c r="K2600" s="204" t="s">
        <v>2276</v>
      </c>
      <c r="L2600" s="204" t="s">
        <v>2276</v>
      </c>
      <c r="M2600" s="204" t="s">
        <v>2276</v>
      </c>
      <c r="N2600" s="204" t="s">
        <v>2276</v>
      </c>
      <c r="O2600" s="204" t="s">
        <v>2276</v>
      </c>
      <c r="P2600" s="204" t="s">
        <v>2276</v>
      </c>
      <c r="Q2600" s="204" t="s">
        <v>2276</v>
      </c>
      <c r="R2600" s="204" t="s">
        <v>2276</v>
      </c>
      <c r="S2600" s="204" t="s">
        <v>2276</v>
      </c>
      <c r="T2600" s="204" t="s">
        <v>2276</v>
      </c>
      <c r="U2600" s="204" t="s">
        <v>2276</v>
      </c>
      <c r="V2600" s="204" t="s">
        <v>2276</v>
      </c>
      <c r="W2600" s="204" t="s">
        <v>2276</v>
      </c>
      <c r="X2600" s="204" t="s">
        <v>35</v>
      </c>
      <c r="Y2600" s="204" t="s">
        <v>38</v>
      </c>
      <c r="Z2600" s="204" t="s">
        <v>64</v>
      </c>
      <c r="AA2600" s="204" t="s">
        <v>7627</v>
      </c>
      <c r="AB2600" s="204"/>
    </row>
    <row r="2601" spans="1:28" ht="33.5" customHeight="1">
      <c r="A2601" s="156" t="str">
        <f>'Reported burning'!A2601</f>
        <v>305l</v>
      </c>
      <c r="B2601" s="156" t="str">
        <f>'Reported burning'!B2601</f>
        <v>305l.8</v>
      </c>
      <c r="C2601" s="156" t="str">
        <f>'Reported burning'!C2601</f>
        <v>Human, deliberate</v>
      </c>
      <c r="D2601" s="156" t="str">
        <f>'Reported burning'!D2601</f>
        <v>Pyrome management</v>
      </c>
      <c r="E2601" s="156" t="str">
        <f>'Reported burning'!E2601</f>
        <v>Fire suppression agent</v>
      </c>
      <c r="F2601" s="156" t="str">
        <f>'Reported burning'!F2601</f>
        <v>ND</v>
      </c>
      <c r="G2601" s="156" t="str">
        <f>'Reported burning'!G2601</f>
        <v>ND</v>
      </c>
      <c r="H2601" s="156" t="str">
        <f>'Reported burning'!H2601</f>
        <v>Presence</v>
      </c>
      <c r="I2601" s="5">
        <f>'Reported burning'!I2601</f>
        <v>2008</v>
      </c>
      <c r="J2601" s="204" t="s">
        <v>2276</v>
      </c>
      <c r="K2601" s="204" t="s">
        <v>2276</v>
      </c>
      <c r="L2601" s="204" t="s">
        <v>2276</v>
      </c>
      <c r="M2601" s="204" t="s">
        <v>2276</v>
      </c>
      <c r="N2601" s="204" t="s">
        <v>2276</v>
      </c>
      <c r="O2601" s="204" t="s">
        <v>2276</v>
      </c>
      <c r="P2601" s="204" t="s">
        <v>2276</v>
      </c>
      <c r="Q2601" s="204" t="s">
        <v>2276</v>
      </c>
      <c r="R2601" s="204" t="s">
        <v>2276</v>
      </c>
      <c r="S2601" s="204" t="s">
        <v>2276</v>
      </c>
      <c r="T2601" s="204" t="s">
        <v>2276</v>
      </c>
      <c r="U2601" s="204" t="s">
        <v>2276</v>
      </c>
      <c r="V2601" s="204" t="s">
        <v>2276</v>
      </c>
      <c r="W2601" s="204" t="s">
        <v>2276</v>
      </c>
      <c r="X2601" s="204" t="s">
        <v>35</v>
      </c>
      <c r="Y2601" s="204" t="s">
        <v>38</v>
      </c>
      <c r="Z2601" s="204" t="s">
        <v>64</v>
      </c>
      <c r="AA2601" s="204" t="s">
        <v>7627</v>
      </c>
      <c r="AB2601" s="204"/>
    </row>
    <row r="2602" spans="1:28" ht="33.5" customHeight="1">
      <c r="A2602" s="156" t="str">
        <f>'Reported burning'!A2602</f>
        <v>305m</v>
      </c>
      <c r="B2602" s="156" t="str">
        <f>'Reported burning'!B2602</f>
        <v>305m.8</v>
      </c>
      <c r="C2602" s="156" t="str">
        <f>'Reported burning'!C2602</f>
        <v>Human, deliberate</v>
      </c>
      <c r="D2602" s="156" t="str">
        <f>'Reported burning'!D2602</f>
        <v>Pyrome management</v>
      </c>
      <c r="E2602" s="156" t="str">
        <f>'Reported burning'!E2602</f>
        <v>Fire suppression agent</v>
      </c>
      <c r="F2602" s="156" t="str">
        <f>'Reported burning'!F2602</f>
        <v>ND</v>
      </c>
      <c r="G2602" s="156" t="str">
        <f>'Reported burning'!G2602</f>
        <v>ND</v>
      </c>
      <c r="H2602" s="156" t="str">
        <f>'Reported burning'!H2602</f>
        <v>Presence</v>
      </c>
      <c r="I2602" s="5">
        <f>'Reported burning'!I2602</f>
        <v>2008</v>
      </c>
      <c r="J2602" s="204" t="s">
        <v>2276</v>
      </c>
      <c r="K2602" s="204" t="s">
        <v>2276</v>
      </c>
      <c r="L2602" s="204" t="s">
        <v>2276</v>
      </c>
      <c r="M2602" s="204" t="s">
        <v>2276</v>
      </c>
      <c r="N2602" s="204" t="s">
        <v>2276</v>
      </c>
      <c r="O2602" s="204" t="s">
        <v>2276</v>
      </c>
      <c r="P2602" s="204" t="s">
        <v>2276</v>
      </c>
      <c r="Q2602" s="204" t="s">
        <v>2276</v>
      </c>
      <c r="R2602" s="204" t="s">
        <v>2276</v>
      </c>
      <c r="S2602" s="204" t="s">
        <v>2276</v>
      </c>
      <c r="T2602" s="204" t="s">
        <v>2276</v>
      </c>
      <c r="U2602" s="204" t="s">
        <v>2276</v>
      </c>
      <c r="V2602" s="204" t="s">
        <v>2276</v>
      </c>
      <c r="W2602" s="204" t="s">
        <v>2276</v>
      </c>
      <c r="X2602" s="204" t="s">
        <v>35</v>
      </c>
      <c r="Y2602" s="204" t="s">
        <v>38</v>
      </c>
      <c r="Z2602" s="204" t="s">
        <v>64</v>
      </c>
      <c r="AA2602" s="204" t="s">
        <v>7627</v>
      </c>
      <c r="AB2602" s="204"/>
    </row>
    <row r="2603" spans="1:28" ht="33.5" customHeight="1">
      <c r="A2603" s="156" t="str">
        <f>'Reported burning'!A2603</f>
        <v>305i</v>
      </c>
      <c r="B2603" s="156" t="str">
        <f>'Reported burning'!B2603</f>
        <v>305i.9</v>
      </c>
      <c r="C2603" s="156" t="str">
        <f>'Reported burning'!C2603</f>
        <v>Human, deliberate</v>
      </c>
      <c r="D2603" s="156" t="str">
        <f>'Reported burning'!D2603</f>
        <v>Pyrome management</v>
      </c>
      <c r="E2603" s="156" t="str">
        <f>'Reported burning'!E2603</f>
        <v>Fire suppression agent</v>
      </c>
      <c r="F2603" s="156" t="str">
        <f>'Reported burning'!F2603</f>
        <v>ND</v>
      </c>
      <c r="G2603" s="156" t="str">
        <f>'Reported burning'!G2603</f>
        <v>ND</v>
      </c>
      <c r="H2603" s="156" t="str">
        <f>'Reported burning'!H2603</f>
        <v>Presence</v>
      </c>
      <c r="I2603" s="5">
        <f>'Reported burning'!I2603</f>
        <v>2009</v>
      </c>
      <c r="J2603" s="204" t="s">
        <v>2276</v>
      </c>
      <c r="K2603" s="204" t="s">
        <v>2276</v>
      </c>
      <c r="L2603" s="204" t="s">
        <v>2276</v>
      </c>
      <c r="M2603" s="204" t="s">
        <v>2276</v>
      </c>
      <c r="N2603" s="204" t="s">
        <v>2276</v>
      </c>
      <c r="O2603" s="204" t="s">
        <v>2276</v>
      </c>
      <c r="P2603" s="204" t="s">
        <v>2276</v>
      </c>
      <c r="Q2603" s="204" t="s">
        <v>2276</v>
      </c>
      <c r="R2603" s="204" t="s">
        <v>2276</v>
      </c>
      <c r="S2603" s="204" t="s">
        <v>2276</v>
      </c>
      <c r="T2603" s="204" t="s">
        <v>2276</v>
      </c>
      <c r="U2603" s="204" t="s">
        <v>2276</v>
      </c>
      <c r="V2603" s="204" t="s">
        <v>2276</v>
      </c>
      <c r="W2603" s="204" t="s">
        <v>2276</v>
      </c>
      <c r="X2603" s="204" t="s">
        <v>35</v>
      </c>
      <c r="Y2603" s="204" t="s">
        <v>38</v>
      </c>
      <c r="Z2603" s="204" t="s">
        <v>64</v>
      </c>
      <c r="AA2603" s="204" t="s">
        <v>7627</v>
      </c>
      <c r="AB2603" s="204"/>
    </row>
    <row r="2604" spans="1:28" ht="33.5" customHeight="1">
      <c r="A2604" s="156" t="str">
        <f>'Reported burning'!A2604</f>
        <v>305j</v>
      </c>
      <c r="B2604" s="156" t="str">
        <f>'Reported burning'!B2604</f>
        <v>305j.9</v>
      </c>
      <c r="C2604" s="156" t="str">
        <f>'Reported burning'!C2604</f>
        <v>Human, deliberate</v>
      </c>
      <c r="D2604" s="156" t="str">
        <f>'Reported burning'!D2604</f>
        <v>Pyrome management</v>
      </c>
      <c r="E2604" s="156" t="str">
        <f>'Reported burning'!E2604</f>
        <v>Fire suppression agent</v>
      </c>
      <c r="F2604" s="156" t="str">
        <f>'Reported burning'!F2604</f>
        <v>ND</v>
      </c>
      <c r="G2604" s="156" t="str">
        <f>'Reported burning'!G2604</f>
        <v>ND</v>
      </c>
      <c r="H2604" s="156" t="str">
        <f>'Reported burning'!H2604</f>
        <v>Presence</v>
      </c>
      <c r="I2604" s="5">
        <f>'Reported burning'!I2604</f>
        <v>2009</v>
      </c>
      <c r="J2604" s="204" t="s">
        <v>2276</v>
      </c>
      <c r="K2604" s="204" t="s">
        <v>2276</v>
      </c>
      <c r="L2604" s="204" t="s">
        <v>2276</v>
      </c>
      <c r="M2604" s="204" t="s">
        <v>2276</v>
      </c>
      <c r="N2604" s="204" t="s">
        <v>2276</v>
      </c>
      <c r="O2604" s="204" t="s">
        <v>2276</v>
      </c>
      <c r="P2604" s="204" t="s">
        <v>2276</v>
      </c>
      <c r="Q2604" s="204" t="s">
        <v>2276</v>
      </c>
      <c r="R2604" s="204" t="s">
        <v>2276</v>
      </c>
      <c r="S2604" s="204" t="s">
        <v>2276</v>
      </c>
      <c r="T2604" s="204" t="s">
        <v>2276</v>
      </c>
      <c r="U2604" s="204" t="s">
        <v>2276</v>
      </c>
      <c r="V2604" s="204" t="s">
        <v>2276</v>
      </c>
      <c r="W2604" s="204" t="s">
        <v>2276</v>
      </c>
      <c r="X2604" s="204" t="s">
        <v>35</v>
      </c>
      <c r="Y2604" s="204" t="s">
        <v>38</v>
      </c>
      <c r="Z2604" s="204" t="s">
        <v>64</v>
      </c>
      <c r="AA2604" s="204" t="s">
        <v>7627</v>
      </c>
      <c r="AB2604" s="204"/>
    </row>
    <row r="2605" spans="1:28" ht="33.5" customHeight="1">
      <c r="A2605" s="156" t="str">
        <f>'Reported burning'!A2605</f>
        <v>305k</v>
      </c>
      <c r="B2605" s="156" t="str">
        <f>'Reported burning'!B2605</f>
        <v>305k.9</v>
      </c>
      <c r="C2605" s="156" t="str">
        <f>'Reported burning'!C2605</f>
        <v>Human, deliberate</v>
      </c>
      <c r="D2605" s="156" t="str">
        <f>'Reported burning'!D2605</f>
        <v>Pyrome management</v>
      </c>
      <c r="E2605" s="156" t="str">
        <f>'Reported burning'!E2605</f>
        <v>Fire suppression agent</v>
      </c>
      <c r="F2605" s="156" t="str">
        <f>'Reported burning'!F2605</f>
        <v>ND</v>
      </c>
      <c r="G2605" s="156" t="str">
        <f>'Reported burning'!G2605</f>
        <v>ND</v>
      </c>
      <c r="H2605" s="156" t="str">
        <f>'Reported burning'!H2605</f>
        <v>Presence</v>
      </c>
      <c r="I2605" s="5">
        <f>'Reported burning'!I2605</f>
        <v>2009</v>
      </c>
      <c r="J2605" s="204" t="s">
        <v>2276</v>
      </c>
      <c r="K2605" s="204" t="s">
        <v>2276</v>
      </c>
      <c r="L2605" s="204" t="s">
        <v>2276</v>
      </c>
      <c r="M2605" s="204" t="s">
        <v>2276</v>
      </c>
      <c r="N2605" s="204" t="s">
        <v>2276</v>
      </c>
      <c r="O2605" s="204" t="s">
        <v>2276</v>
      </c>
      <c r="P2605" s="204" t="s">
        <v>2276</v>
      </c>
      <c r="Q2605" s="204" t="s">
        <v>2276</v>
      </c>
      <c r="R2605" s="204" t="s">
        <v>2276</v>
      </c>
      <c r="S2605" s="204" t="s">
        <v>2276</v>
      </c>
      <c r="T2605" s="204" t="s">
        <v>2276</v>
      </c>
      <c r="U2605" s="204" t="s">
        <v>2276</v>
      </c>
      <c r="V2605" s="204" t="s">
        <v>2276</v>
      </c>
      <c r="W2605" s="204" t="s">
        <v>2276</v>
      </c>
      <c r="X2605" s="204" t="s">
        <v>35</v>
      </c>
      <c r="Y2605" s="204" t="s">
        <v>38</v>
      </c>
      <c r="Z2605" s="204" t="s">
        <v>64</v>
      </c>
      <c r="AA2605" s="204" t="s">
        <v>7627</v>
      </c>
      <c r="AB2605" s="204"/>
    </row>
    <row r="2606" spans="1:28" ht="33.5" customHeight="1">
      <c r="A2606" s="156" t="str">
        <f>'Reported burning'!A2606</f>
        <v>305l</v>
      </c>
      <c r="B2606" s="156" t="str">
        <f>'Reported burning'!B2606</f>
        <v>305l.9</v>
      </c>
      <c r="C2606" s="156" t="str">
        <f>'Reported burning'!C2606</f>
        <v>Human, deliberate</v>
      </c>
      <c r="D2606" s="156" t="str">
        <f>'Reported burning'!D2606</f>
        <v>Pyrome management</v>
      </c>
      <c r="E2606" s="156" t="str">
        <f>'Reported burning'!E2606</f>
        <v>Fire suppression agent</v>
      </c>
      <c r="F2606" s="156" t="str">
        <f>'Reported burning'!F2606</f>
        <v>ND</v>
      </c>
      <c r="G2606" s="156" t="str">
        <f>'Reported burning'!G2606</f>
        <v>ND</v>
      </c>
      <c r="H2606" s="156" t="str">
        <f>'Reported burning'!H2606</f>
        <v>Presence</v>
      </c>
      <c r="I2606" s="5">
        <f>'Reported burning'!I2606</f>
        <v>2009</v>
      </c>
      <c r="J2606" s="204" t="s">
        <v>2276</v>
      </c>
      <c r="K2606" s="204" t="s">
        <v>2276</v>
      </c>
      <c r="L2606" s="204" t="s">
        <v>2276</v>
      </c>
      <c r="M2606" s="204" t="s">
        <v>2276</v>
      </c>
      <c r="N2606" s="204" t="s">
        <v>2276</v>
      </c>
      <c r="O2606" s="204" t="s">
        <v>2276</v>
      </c>
      <c r="P2606" s="204" t="s">
        <v>2276</v>
      </c>
      <c r="Q2606" s="204" t="s">
        <v>2276</v>
      </c>
      <c r="R2606" s="204" t="s">
        <v>2276</v>
      </c>
      <c r="S2606" s="204" t="s">
        <v>2276</v>
      </c>
      <c r="T2606" s="204" t="s">
        <v>2276</v>
      </c>
      <c r="U2606" s="204" t="s">
        <v>2276</v>
      </c>
      <c r="V2606" s="204" t="s">
        <v>2276</v>
      </c>
      <c r="W2606" s="204" t="s">
        <v>2276</v>
      </c>
      <c r="X2606" s="204" t="s">
        <v>35</v>
      </c>
      <c r="Y2606" s="204" t="s">
        <v>38</v>
      </c>
      <c r="Z2606" s="204" t="s">
        <v>64</v>
      </c>
      <c r="AA2606" s="204" t="s">
        <v>7627</v>
      </c>
      <c r="AB2606" s="204"/>
    </row>
    <row r="2607" spans="1:28" ht="33.5" customHeight="1">
      <c r="A2607" s="156" t="str">
        <f>'Reported burning'!A2607</f>
        <v>305m</v>
      </c>
      <c r="B2607" s="156" t="str">
        <f>'Reported burning'!B2607</f>
        <v>305m.9</v>
      </c>
      <c r="C2607" s="156" t="str">
        <f>'Reported burning'!C2607</f>
        <v>Human, deliberate</v>
      </c>
      <c r="D2607" s="156" t="str">
        <f>'Reported burning'!D2607</f>
        <v>Pyrome management</v>
      </c>
      <c r="E2607" s="156" t="str">
        <f>'Reported burning'!E2607</f>
        <v>Fire suppression agent</v>
      </c>
      <c r="F2607" s="156" t="str">
        <f>'Reported burning'!F2607</f>
        <v>ND</v>
      </c>
      <c r="G2607" s="156" t="str">
        <f>'Reported burning'!G2607</f>
        <v>ND</v>
      </c>
      <c r="H2607" s="156" t="str">
        <f>'Reported burning'!H2607</f>
        <v>Presence</v>
      </c>
      <c r="I2607" s="5">
        <f>'Reported burning'!I2607</f>
        <v>2009</v>
      </c>
      <c r="J2607" s="204" t="s">
        <v>2276</v>
      </c>
      <c r="K2607" s="204" t="s">
        <v>2276</v>
      </c>
      <c r="L2607" s="204" t="s">
        <v>2276</v>
      </c>
      <c r="M2607" s="204" t="s">
        <v>2276</v>
      </c>
      <c r="N2607" s="204" t="s">
        <v>2276</v>
      </c>
      <c r="O2607" s="204" t="s">
        <v>2276</v>
      </c>
      <c r="P2607" s="204" t="s">
        <v>2276</v>
      </c>
      <c r="Q2607" s="204" t="s">
        <v>2276</v>
      </c>
      <c r="R2607" s="204" t="s">
        <v>2276</v>
      </c>
      <c r="S2607" s="204" t="s">
        <v>2276</v>
      </c>
      <c r="T2607" s="204" t="s">
        <v>2276</v>
      </c>
      <c r="U2607" s="204" t="s">
        <v>2276</v>
      </c>
      <c r="V2607" s="204" t="s">
        <v>2276</v>
      </c>
      <c r="W2607" s="204" t="s">
        <v>2276</v>
      </c>
      <c r="X2607" s="204" t="s">
        <v>35</v>
      </c>
      <c r="Y2607" s="204" t="s">
        <v>38</v>
      </c>
      <c r="Z2607" s="204" t="s">
        <v>64</v>
      </c>
      <c r="AA2607" s="204" t="s">
        <v>7627</v>
      </c>
      <c r="AB2607" s="204"/>
    </row>
    <row r="2608" spans="1:28" ht="33.5" customHeight="1">
      <c r="A2608" s="156" t="str">
        <f>'Reported burning'!A2608</f>
        <v>305i</v>
      </c>
      <c r="B2608" s="156" t="str">
        <f>'Reported burning'!B2608</f>
        <v>305i.10</v>
      </c>
      <c r="C2608" s="156" t="str">
        <f>'Reported burning'!C2608</f>
        <v>Human, deliberate</v>
      </c>
      <c r="D2608" s="156" t="str">
        <f>'Reported burning'!D2608</f>
        <v>Pyrome management</v>
      </c>
      <c r="E2608" s="156" t="str">
        <f>'Reported burning'!E2608</f>
        <v>Fire suppression agent</v>
      </c>
      <c r="F2608" s="156" t="str">
        <f>'Reported burning'!F2608</f>
        <v>ND</v>
      </c>
      <c r="G2608" s="156" t="str">
        <f>'Reported burning'!G2608</f>
        <v>ND</v>
      </c>
      <c r="H2608" s="156" t="str">
        <f>'Reported burning'!H2608</f>
        <v>Presence</v>
      </c>
      <c r="I2608" s="5">
        <f>'Reported burning'!I2608</f>
        <v>2010</v>
      </c>
      <c r="J2608" s="204" t="s">
        <v>2276</v>
      </c>
      <c r="K2608" s="204" t="s">
        <v>2276</v>
      </c>
      <c r="L2608" s="204" t="s">
        <v>2276</v>
      </c>
      <c r="M2608" s="204" t="s">
        <v>2276</v>
      </c>
      <c r="N2608" s="204" t="s">
        <v>2276</v>
      </c>
      <c r="O2608" s="204" t="s">
        <v>2276</v>
      </c>
      <c r="P2608" s="204" t="s">
        <v>2276</v>
      </c>
      <c r="Q2608" s="204" t="s">
        <v>2276</v>
      </c>
      <c r="R2608" s="204" t="s">
        <v>2276</v>
      </c>
      <c r="S2608" s="204" t="s">
        <v>2276</v>
      </c>
      <c r="T2608" s="204" t="s">
        <v>2276</v>
      </c>
      <c r="U2608" s="204" t="s">
        <v>2276</v>
      </c>
      <c r="V2608" s="204" t="s">
        <v>2276</v>
      </c>
      <c r="W2608" s="204" t="s">
        <v>2276</v>
      </c>
      <c r="X2608" s="204" t="s">
        <v>35</v>
      </c>
      <c r="Y2608" s="204" t="s">
        <v>38</v>
      </c>
      <c r="Z2608" s="204" t="s">
        <v>64</v>
      </c>
      <c r="AA2608" s="204" t="s">
        <v>7627</v>
      </c>
      <c r="AB2608" s="204"/>
    </row>
    <row r="2609" spans="1:28" ht="33.5" customHeight="1">
      <c r="A2609" s="156" t="str">
        <f>'Reported burning'!A2609</f>
        <v>305j</v>
      </c>
      <c r="B2609" s="156" t="str">
        <f>'Reported burning'!B2609</f>
        <v>305j.10</v>
      </c>
      <c r="C2609" s="156" t="str">
        <f>'Reported burning'!C2609</f>
        <v>Human, deliberate</v>
      </c>
      <c r="D2609" s="156" t="str">
        <f>'Reported burning'!D2609</f>
        <v>Pyrome management</v>
      </c>
      <c r="E2609" s="156" t="str">
        <f>'Reported burning'!E2609</f>
        <v>Fire suppression agent</v>
      </c>
      <c r="F2609" s="156" t="str">
        <f>'Reported burning'!F2609</f>
        <v>ND</v>
      </c>
      <c r="G2609" s="156" t="str">
        <f>'Reported burning'!G2609</f>
        <v>ND</v>
      </c>
      <c r="H2609" s="156" t="str">
        <f>'Reported burning'!H2609</f>
        <v>Presence</v>
      </c>
      <c r="I2609" s="5">
        <f>'Reported burning'!I2609</f>
        <v>2010</v>
      </c>
      <c r="J2609" s="204" t="s">
        <v>2276</v>
      </c>
      <c r="K2609" s="204" t="s">
        <v>2276</v>
      </c>
      <c r="L2609" s="204" t="s">
        <v>2276</v>
      </c>
      <c r="M2609" s="204" t="s">
        <v>2276</v>
      </c>
      <c r="N2609" s="204" t="s">
        <v>2276</v>
      </c>
      <c r="O2609" s="204" t="s">
        <v>2276</v>
      </c>
      <c r="P2609" s="204" t="s">
        <v>2276</v>
      </c>
      <c r="Q2609" s="204" t="s">
        <v>2276</v>
      </c>
      <c r="R2609" s="204" t="s">
        <v>2276</v>
      </c>
      <c r="S2609" s="204" t="s">
        <v>2276</v>
      </c>
      <c r="T2609" s="204" t="s">
        <v>2276</v>
      </c>
      <c r="U2609" s="204" t="s">
        <v>2276</v>
      </c>
      <c r="V2609" s="204" t="s">
        <v>2276</v>
      </c>
      <c r="W2609" s="204" t="s">
        <v>2276</v>
      </c>
      <c r="X2609" s="204" t="s">
        <v>35</v>
      </c>
      <c r="Y2609" s="204" t="s">
        <v>38</v>
      </c>
      <c r="Z2609" s="204" t="s">
        <v>64</v>
      </c>
      <c r="AA2609" s="204" t="s">
        <v>7627</v>
      </c>
      <c r="AB2609" s="204"/>
    </row>
    <row r="2610" spans="1:28" ht="33.5" customHeight="1">
      <c r="A2610" s="156" t="str">
        <f>'Reported burning'!A2610</f>
        <v>305k</v>
      </c>
      <c r="B2610" s="156" t="str">
        <f>'Reported burning'!B2610</f>
        <v>305k.10</v>
      </c>
      <c r="C2610" s="156" t="str">
        <f>'Reported burning'!C2610</f>
        <v>Human, deliberate</v>
      </c>
      <c r="D2610" s="156" t="str">
        <f>'Reported burning'!D2610</f>
        <v>Pyrome management</v>
      </c>
      <c r="E2610" s="156" t="str">
        <f>'Reported burning'!E2610</f>
        <v>Fire suppression agent</v>
      </c>
      <c r="F2610" s="156" t="str">
        <f>'Reported burning'!F2610</f>
        <v>ND</v>
      </c>
      <c r="G2610" s="156" t="str">
        <f>'Reported burning'!G2610</f>
        <v>ND</v>
      </c>
      <c r="H2610" s="156" t="str">
        <f>'Reported burning'!H2610</f>
        <v>Presence</v>
      </c>
      <c r="I2610" s="5">
        <f>'Reported burning'!I2610</f>
        <v>2010</v>
      </c>
      <c r="J2610" s="204" t="s">
        <v>2276</v>
      </c>
      <c r="K2610" s="204" t="s">
        <v>2276</v>
      </c>
      <c r="L2610" s="204" t="s">
        <v>2276</v>
      </c>
      <c r="M2610" s="204" t="s">
        <v>2276</v>
      </c>
      <c r="N2610" s="204" t="s">
        <v>2276</v>
      </c>
      <c r="O2610" s="204" t="s">
        <v>2276</v>
      </c>
      <c r="P2610" s="204" t="s">
        <v>2276</v>
      </c>
      <c r="Q2610" s="204" t="s">
        <v>2276</v>
      </c>
      <c r="R2610" s="204" t="s">
        <v>2276</v>
      </c>
      <c r="S2610" s="204" t="s">
        <v>2276</v>
      </c>
      <c r="T2610" s="204" t="s">
        <v>2276</v>
      </c>
      <c r="U2610" s="204" t="s">
        <v>2276</v>
      </c>
      <c r="V2610" s="204" t="s">
        <v>2276</v>
      </c>
      <c r="W2610" s="204" t="s">
        <v>2276</v>
      </c>
      <c r="X2610" s="204" t="s">
        <v>35</v>
      </c>
      <c r="Y2610" s="204" t="s">
        <v>38</v>
      </c>
      <c r="Z2610" s="204" t="s">
        <v>64</v>
      </c>
      <c r="AA2610" s="204" t="s">
        <v>7627</v>
      </c>
      <c r="AB2610" s="204"/>
    </row>
    <row r="2611" spans="1:28" ht="33.5" customHeight="1">
      <c r="A2611" s="156" t="str">
        <f>'Reported burning'!A2611</f>
        <v>305l</v>
      </c>
      <c r="B2611" s="156" t="str">
        <f>'Reported burning'!B2611</f>
        <v>305l.10</v>
      </c>
      <c r="C2611" s="156" t="str">
        <f>'Reported burning'!C2611</f>
        <v>Human, deliberate</v>
      </c>
      <c r="D2611" s="156" t="str">
        <f>'Reported burning'!D2611</f>
        <v>Pyrome management</v>
      </c>
      <c r="E2611" s="156" t="str">
        <f>'Reported burning'!E2611</f>
        <v>Fire suppression agent</v>
      </c>
      <c r="F2611" s="156" t="str">
        <f>'Reported burning'!F2611</f>
        <v>ND</v>
      </c>
      <c r="G2611" s="156" t="str">
        <f>'Reported burning'!G2611</f>
        <v>ND</v>
      </c>
      <c r="H2611" s="156" t="str">
        <f>'Reported burning'!H2611</f>
        <v>Presence</v>
      </c>
      <c r="I2611" s="5">
        <f>'Reported burning'!I2611</f>
        <v>2010</v>
      </c>
      <c r="J2611" s="204" t="s">
        <v>2276</v>
      </c>
      <c r="K2611" s="204" t="s">
        <v>2276</v>
      </c>
      <c r="L2611" s="204" t="s">
        <v>2276</v>
      </c>
      <c r="M2611" s="204" t="s">
        <v>2276</v>
      </c>
      <c r="N2611" s="204" t="s">
        <v>2276</v>
      </c>
      <c r="O2611" s="204" t="s">
        <v>2276</v>
      </c>
      <c r="P2611" s="204" t="s">
        <v>2276</v>
      </c>
      <c r="Q2611" s="204" t="s">
        <v>2276</v>
      </c>
      <c r="R2611" s="204" t="s">
        <v>2276</v>
      </c>
      <c r="S2611" s="204" t="s">
        <v>2276</v>
      </c>
      <c r="T2611" s="204" t="s">
        <v>2276</v>
      </c>
      <c r="U2611" s="204" t="s">
        <v>2276</v>
      </c>
      <c r="V2611" s="204" t="s">
        <v>2276</v>
      </c>
      <c r="W2611" s="204" t="s">
        <v>2276</v>
      </c>
      <c r="X2611" s="204" t="s">
        <v>35</v>
      </c>
      <c r="Y2611" s="204" t="s">
        <v>38</v>
      </c>
      <c r="Z2611" s="204" t="s">
        <v>64</v>
      </c>
      <c r="AA2611" s="204" t="s">
        <v>7627</v>
      </c>
      <c r="AB2611" s="204"/>
    </row>
    <row r="2612" spans="1:28" ht="33.5" customHeight="1">
      <c r="A2612" s="156" t="str">
        <f>'Reported burning'!A2612</f>
        <v>305m</v>
      </c>
      <c r="B2612" s="156" t="str">
        <f>'Reported burning'!B2612</f>
        <v>305m.10</v>
      </c>
      <c r="C2612" s="156" t="str">
        <f>'Reported burning'!C2612</f>
        <v>Human, deliberate</v>
      </c>
      <c r="D2612" s="156" t="str">
        <f>'Reported burning'!D2612</f>
        <v>Pyrome management</v>
      </c>
      <c r="E2612" s="156" t="str">
        <f>'Reported burning'!E2612</f>
        <v>Fire suppression agent</v>
      </c>
      <c r="F2612" s="156" t="str">
        <f>'Reported burning'!F2612</f>
        <v>ND</v>
      </c>
      <c r="G2612" s="156" t="str">
        <f>'Reported burning'!G2612</f>
        <v>ND</v>
      </c>
      <c r="H2612" s="156" t="str">
        <f>'Reported burning'!H2612</f>
        <v>Presence</v>
      </c>
      <c r="I2612" s="5">
        <f>'Reported burning'!I2612</f>
        <v>2010</v>
      </c>
      <c r="J2612" s="204" t="s">
        <v>2276</v>
      </c>
      <c r="K2612" s="204" t="s">
        <v>2276</v>
      </c>
      <c r="L2612" s="204" t="s">
        <v>2276</v>
      </c>
      <c r="M2612" s="204" t="s">
        <v>2276</v>
      </c>
      <c r="N2612" s="204" t="s">
        <v>2276</v>
      </c>
      <c r="O2612" s="204" t="s">
        <v>2276</v>
      </c>
      <c r="P2612" s="204" t="s">
        <v>2276</v>
      </c>
      <c r="Q2612" s="204" t="s">
        <v>2276</v>
      </c>
      <c r="R2612" s="204" t="s">
        <v>2276</v>
      </c>
      <c r="S2612" s="204" t="s">
        <v>2276</v>
      </c>
      <c r="T2612" s="204" t="s">
        <v>2276</v>
      </c>
      <c r="U2612" s="204" t="s">
        <v>2276</v>
      </c>
      <c r="V2612" s="204" t="s">
        <v>2276</v>
      </c>
      <c r="W2612" s="204" t="s">
        <v>2276</v>
      </c>
      <c r="X2612" s="204" t="s">
        <v>35</v>
      </c>
      <c r="Y2612" s="204" t="s">
        <v>38</v>
      </c>
      <c r="Z2612" s="204" t="s">
        <v>64</v>
      </c>
      <c r="AA2612" s="204" t="s">
        <v>7627</v>
      </c>
      <c r="AB2612" s="204"/>
    </row>
    <row r="2613" spans="1:28" ht="33.5" customHeight="1">
      <c r="A2613" s="156" t="str">
        <f>'Reported burning'!A2613</f>
        <v>305i</v>
      </c>
      <c r="B2613" s="156" t="str">
        <f>'Reported burning'!B2613</f>
        <v>305i.11</v>
      </c>
      <c r="C2613" s="156" t="str">
        <f>'Reported burning'!C2613</f>
        <v>Human, deliberate</v>
      </c>
      <c r="D2613" s="156" t="str">
        <f>'Reported burning'!D2613</f>
        <v>Pyrome management</v>
      </c>
      <c r="E2613" s="156" t="str">
        <f>'Reported burning'!E2613</f>
        <v>Fire suppression agent</v>
      </c>
      <c r="F2613" s="156" t="str">
        <f>'Reported burning'!F2613</f>
        <v>ND</v>
      </c>
      <c r="G2613" s="156" t="str">
        <f>'Reported burning'!G2613</f>
        <v>ND</v>
      </c>
      <c r="H2613" s="156" t="str">
        <f>'Reported burning'!H2613</f>
        <v>Presence</v>
      </c>
      <c r="I2613" s="5">
        <f>'Reported burning'!I2613</f>
        <v>2011</v>
      </c>
      <c r="J2613" s="204" t="s">
        <v>2276</v>
      </c>
      <c r="K2613" s="204" t="s">
        <v>2276</v>
      </c>
      <c r="L2613" s="204" t="s">
        <v>2276</v>
      </c>
      <c r="M2613" s="204" t="s">
        <v>2276</v>
      </c>
      <c r="N2613" s="204" t="s">
        <v>2276</v>
      </c>
      <c r="O2613" s="204" t="s">
        <v>2276</v>
      </c>
      <c r="P2613" s="204" t="s">
        <v>2276</v>
      </c>
      <c r="Q2613" s="204" t="s">
        <v>2276</v>
      </c>
      <c r="R2613" s="204" t="s">
        <v>2276</v>
      </c>
      <c r="S2613" s="204" t="s">
        <v>2276</v>
      </c>
      <c r="T2613" s="204" t="s">
        <v>2276</v>
      </c>
      <c r="U2613" s="204" t="s">
        <v>2276</v>
      </c>
      <c r="V2613" s="204" t="s">
        <v>2276</v>
      </c>
      <c r="W2613" s="204" t="s">
        <v>2276</v>
      </c>
      <c r="X2613" s="204" t="s">
        <v>35</v>
      </c>
      <c r="Y2613" s="204" t="s">
        <v>38</v>
      </c>
      <c r="Z2613" s="204" t="s">
        <v>64</v>
      </c>
      <c r="AA2613" s="204" t="s">
        <v>7627</v>
      </c>
      <c r="AB2613" s="204"/>
    </row>
    <row r="2614" spans="1:28" ht="33.5" customHeight="1">
      <c r="A2614" s="156" t="str">
        <f>'Reported burning'!A2614</f>
        <v>305j</v>
      </c>
      <c r="B2614" s="156" t="str">
        <f>'Reported burning'!B2614</f>
        <v>305j.11</v>
      </c>
      <c r="C2614" s="156" t="str">
        <f>'Reported burning'!C2614</f>
        <v>Human, deliberate</v>
      </c>
      <c r="D2614" s="156" t="str">
        <f>'Reported burning'!D2614</f>
        <v>Pyrome management</v>
      </c>
      <c r="E2614" s="156" t="str">
        <f>'Reported burning'!E2614</f>
        <v>Fire suppression agent</v>
      </c>
      <c r="F2614" s="156" t="str">
        <f>'Reported burning'!F2614</f>
        <v>ND</v>
      </c>
      <c r="G2614" s="156" t="str">
        <f>'Reported burning'!G2614</f>
        <v>ND</v>
      </c>
      <c r="H2614" s="156" t="str">
        <f>'Reported burning'!H2614</f>
        <v>Presence</v>
      </c>
      <c r="I2614" s="5">
        <f>'Reported burning'!I2614</f>
        <v>2011</v>
      </c>
      <c r="J2614" s="204" t="s">
        <v>2276</v>
      </c>
      <c r="K2614" s="204" t="s">
        <v>2276</v>
      </c>
      <c r="L2614" s="204" t="s">
        <v>2276</v>
      </c>
      <c r="M2614" s="204" t="s">
        <v>2276</v>
      </c>
      <c r="N2614" s="204" t="s">
        <v>2276</v>
      </c>
      <c r="O2614" s="204" t="s">
        <v>2276</v>
      </c>
      <c r="P2614" s="204" t="s">
        <v>2276</v>
      </c>
      <c r="Q2614" s="204" t="s">
        <v>2276</v>
      </c>
      <c r="R2614" s="204" t="s">
        <v>2276</v>
      </c>
      <c r="S2614" s="204" t="s">
        <v>2276</v>
      </c>
      <c r="T2614" s="204" t="s">
        <v>2276</v>
      </c>
      <c r="U2614" s="204" t="s">
        <v>2276</v>
      </c>
      <c r="V2614" s="204" t="s">
        <v>2276</v>
      </c>
      <c r="W2614" s="204" t="s">
        <v>2276</v>
      </c>
      <c r="X2614" s="204" t="s">
        <v>35</v>
      </c>
      <c r="Y2614" s="204" t="s">
        <v>38</v>
      </c>
      <c r="Z2614" s="204" t="s">
        <v>64</v>
      </c>
      <c r="AA2614" s="204" t="s">
        <v>7627</v>
      </c>
      <c r="AB2614" s="204"/>
    </row>
    <row r="2615" spans="1:28" ht="33.5" customHeight="1">
      <c r="A2615" s="156" t="str">
        <f>'Reported burning'!A2615</f>
        <v>305k</v>
      </c>
      <c r="B2615" s="156" t="str">
        <f>'Reported burning'!B2615</f>
        <v>305k.11</v>
      </c>
      <c r="C2615" s="156" t="str">
        <f>'Reported burning'!C2615</f>
        <v>Human, deliberate</v>
      </c>
      <c r="D2615" s="156" t="str">
        <f>'Reported burning'!D2615</f>
        <v>Pyrome management</v>
      </c>
      <c r="E2615" s="156" t="str">
        <f>'Reported burning'!E2615</f>
        <v>Fire suppression agent</v>
      </c>
      <c r="F2615" s="156" t="str">
        <f>'Reported burning'!F2615</f>
        <v>ND</v>
      </c>
      <c r="G2615" s="156" t="str">
        <f>'Reported burning'!G2615</f>
        <v>ND</v>
      </c>
      <c r="H2615" s="156" t="str">
        <f>'Reported burning'!H2615</f>
        <v>Presence</v>
      </c>
      <c r="I2615" s="5">
        <f>'Reported burning'!I2615</f>
        <v>2011</v>
      </c>
      <c r="J2615" s="204" t="s">
        <v>2276</v>
      </c>
      <c r="K2615" s="204" t="s">
        <v>2276</v>
      </c>
      <c r="L2615" s="204" t="s">
        <v>2276</v>
      </c>
      <c r="M2615" s="204" t="s">
        <v>2276</v>
      </c>
      <c r="N2615" s="204" t="s">
        <v>2276</v>
      </c>
      <c r="O2615" s="204" t="s">
        <v>2276</v>
      </c>
      <c r="P2615" s="204" t="s">
        <v>2276</v>
      </c>
      <c r="Q2615" s="204" t="s">
        <v>2276</v>
      </c>
      <c r="R2615" s="204" t="s">
        <v>2276</v>
      </c>
      <c r="S2615" s="204" t="s">
        <v>2276</v>
      </c>
      <c r="T2615" s="204" t="s">
        <v>2276</v>
      </c>
      <c r="U2615" s="204" t="s">
        <v>2276</v>
      </c>
      <c r="V2615" s="204" t="s">
        <v>2276</v>
      </c>
      <c r="W2615" s="204" t="s">
        <v>2276</v>
      </c>
      <c r="X2615" s="204" t="s">
        <v>35</v>
      </c>
      <c r="Y2615" s="204" t="s">
        <v>38</v>
      </c>
      <c r="Z2615" s="204" t="s">
        <v>64</v>
      </c>
      <c r="AA2615" s="204" t="s">
        <v>7627</v>
      </c>
      <c r="AB2615" s="204"/>
    </row>
    <row r="2616" spans="1:28" ht="33.5" customHeight="1">
      <c r="A2616" s="156" t="str">
        <f>'Reported burning'!A2616</f>
        <v>305l</v>
      </c>
      <c r="B2616" s="156" t="str">
        <f>'Reported burning'!B2616</f>
        <v>305l.11</v>
      </c>
      <c r="C2616" s="156" t="str">
        <f>'Reported burning'!C2616</f>
        <v>Human, deliberate</v>
      </c>
      <c r="D2616" s="156" t="str">
        <f>'Reported burning'!D2616</f>
        <v>Pyrome management</v>
      </c>
      <c r="E2616" s="156" t="str">
        <f>'Reported burning'!E2616</f>
        <v>Fire suppression agent</v>
      </c>
      <c r="F2616" s="156" t="str">
        <f>'Reported burning'!F2616</f>
        <v>ND</v>
      </c>
      <c r="G2616" s="156" t="str">
        <f>'Reported burning'!G2616</f>
        <v>ND</v>
      </c>
      <c r="H2616" s="156" t="str">
        <f>'Reported burning'!H2616</f>
        <v>Presence</v>
      </c>
      <c r="I2616" s="5">
        <f>'Reported burning'!I2616</f>
        <v>2011</v>
      </c>
      <c r="J2616" s="204" t="s">
        <v>2276</v>
      </c>
      <c r="K2616" s="204" t="s">
        <v>2276</v>
      </c>
      <c r="L2616" s="204" t="s">
        <v>2276</v>
      </c>
      <c r="M2616" s="204" t="s">
        <v>2276</v>
      </c>
      <c r="N2616" s="204" t="s">
        <v>2276</v>
      </c>
      <c r="O2616" s="204" t="s">
        <v>2276</v>
      </c>
      <c r="P2616" s="204" t="s">
        <v>2276</v>
      </c>
      <c r="Q2616" s="204" t="s">
        <v>2276</v>
      </c>
      <c r="R2616" s="204" t="s">
        <v>2276</v>
      </c>
      <c r="S2616" s="204" t="s">
        <v>2276</v>
      </c>
      <c r="T2616" s="204" t="s">
        <v>2276</v>
      </c>
      <c r="U2616" s="204" t="s">
        <v>2276</v>
      </c>
      <c r="V2616" s="204" t="s">
        <v>2276</v>
      </c>
      <c r="W2616" s="204" t="s">
        <v>2276</v>
      </c>
      <c r="X2616" s="204" t="s">
        <v>35</v>
      </c>
      <c r="Y2616" s="204" t="s">
        <v>38</v>
      </c>
      <c r="Z2616" s="204" t="s">
        <v>64</v>
      </c>
      <c r="AA2616" s="204" t="s">
        <v>7627</v>
      </c>
      <c r="AB2616" s="204"/>
    </row>
    <row r="2617" spans="1:28" ht="33.5" customHeight="1">
      <c r="A2617" s="156" t="str">
        <f>'Reported burning'!A2617</f>
        <v>305m</v>
      </c>
      <c r="B2617" s="156" t="str">
        <f>'Reported burning'!B2617</f>
        <v>305m.11</v>
      </c>
      <c r="C2617" s="156" t="str">
        <f>'Reported burning'!C2617</f>
        <v>Human, deliberate</v>
      </c>
      <c r="D2617" s="156" t="str">
        <f>'Reported burning'!D2617</f>
        <v>Pyrome management</v>
      </c>
      <c r="E2617" s="156" t="str">
        <f>'Reported burning'!E2617</f>
        <v>Fire suppression agent</v>
      </c>
      <c r="F2617" s="156" t="str">
        <f>'Reported burning'!F2617</f>
        <v>ND</v>
      </c>
      <c r="G2617" s="156" t="str">
        <f>'Reported burning'!G2617</f>
        <v>ND</v>
      </c>
      <c r="H2617" s="156" t="str">
        <f>'Reported burning'!H2617</f>
        <v>Presence</v>
      </c>
      <c r="I2617" s="5">
        <f>'Reported burning'!I2617</f>
        <v>2011</v>
      </c>
      <c r="J2617" s="204" t="s">
        <v>2276</v>
      </c>
      <c r="K2617" s="204" t="s">
        <v>2276</v>
      </c>
      <c r="L2617" s="204" t="s">
        <v>2276</v>
      </c>
      <c r="M2617" s="204" t="s">
        <v>2276</v>
      </c>
      <c r="N2617" s="204" t="s">
        <v>2276</v>
      </c>
      <c r="O2617" s="204" t="s">
        <v>2276</v>
      </c>
      <c r="P2617" s="204" t="s">
        <v>2276</v>
      </c>
      <c r="Q2617" s="204" t="s">
        <v>2276</v>
      </c>
      <c r="R2617" s="204" t="s">
        <v>2276</v>
      </c>
      <c r="S2617" s="204" t="s">
        <v>2276</v>
      </c>
      <c r="T2617" s="204" t="s">
        <v>2276</v>
      </c>
      <c r="U2617" s="204" t="s">
        <v>2276</v>
      </c>
      <c r="V2617" s="204" t="s">
        <v>2276</v>
      </c>
      <c r="W2617" s="204" t="s">
        <v>2276</v>
      </c>
      <c r="X2617" s="204" t="s">
        <v>35</v>
      </c>
      <c r="Y2617" s="204" t="s">
        <v>38</v>
      </c>
      <c r="Z2617" s="204" t="s">
        <v>64</v>
      </c>
      <c r="AA2617" s="204" t="s">
        <v>7627</v>
      </c>
      <c r="AB2617" s="204"/>
    </row>
    <row r="2618" spans="1:28" ht="33.5" customHeight="1">
      <c r="A2618" s="156" t="str">
        <f>'Reported burning'!A2618</f>
        <v>305i</v>
      </c>
      <c r="B2618" s="156" t="str">
        <f>'Reported burning'!B2618</f>
        <v>305i.12</v>
      </c>
      <c r="C2618" s="156" t="str">
        <f>'Reported burning'!C2618</f>
        <v>Human, deliberate</v>
      </c>
      <c r="D2618" s="156" t="str">
        <f>'Reported burning'!D2618</f>
        <v>Pyrome management</v>
      </c>
      <c r="E2618" s="156" t="str">
        <f>'Reported burning'!E2618</f>
        <v>Fire suppression agent</v>
      </c>
      <c r="F2618" s="156" t="str">
        <f>'Reported burning'!F2618</f>
        <v>ND</v>
      </c>
      <c r="G2618" s="156" t="str">
        <f>'Reported burning'!G2618</f>
        <v>ND</v>
      </c>
      <c r="H2618" s="156" t="str">
        <f>'Reported burning'!H2618</f>
        <v>Presence</v>
      </c>
      <c r="I2618" s="5">
        <f>'Reported burning'!I2618</f>
        <v>2012</v>
      </c>
      <c r="J2618" s="204" t="s">
        <v>2276</v>
      </c>
      <c r="K2618" s="204" t="s">
        <v>2276</v>
      </c>
      <c r="L2618" s="204" t="s">
        <v>2276</v>
      </c>
      <c r="M2618" s="204" t="s">
        <v>2276</v>
      </c>
      <c r="N2618" s="204" t="s">
        <v>2276</v>
      </c>
      <c r="O2618" s="204" t="s">
        <v>2276</v>
      </c>
      <c r="P2618" s="204" t="s">
        <v>2276</v>
      </c>
      <c r="Q2618" s="204" t="s">
        <v>2276</v>
      </c>
      <c r="R2618" s="204" t="s">
        <v>2276</v>
      </c>
      <c r="S2618" s="204" t="s">
        <v>2276</v>
      </c>
      <c r="T2618" s="204" t="s">
        <v>2276</v>
      </c>
      <c r="U2618" s="204" t="s">
        <v>2276</v>
      </c>
      <c r="V2618" s="204" t="s">
        <v>2276</v>
      </c>
      <c r="W2618" s="204" t="s">
        <v>2276</v>
      </c>
      <c r="X2618" s="204" t="s">
        <v>35</v>
      </c>
      <c r="Y2618" s="204" t="s">
        <v>38</v>
      </c>
      <c r="Z2618" s="204" t="s">
        <v>64</v>
      </c>
      <c r="AA2618" s="204" t="s">
        <v>7627</v>
      </c>
      <c r="AB2618" s="204"/>
    </row>
    <row r="2619" spans="1:28" ht="33.5" customHeight="1">
      <c r="A2619" s="156" t="str">
        <f>'Reported burning'!A2619</f>
        <v>305j</v>
      </c>
      <c r="B2619" s="156" t="str">
        <f>'Reported burning'!B2619</f>
        <v>305j.12</v>
      </c>
      <c r="C2619" s="156" t="str">
        <f>'Reported burning'!C2619</f>
        <v>Human, deliberate</v>
      </c>
      <c r="D2619" s="156" t="str">
        <f>'Reported burning'!D2619</f>
        <v>Pyrome management</v>
      </c>
      <c r="E2619" s="156" t="str">
        <f>'Reported burning'!E2619</f>
        <v>Fire suppression agent</v>
      </c>
      <c r="F2619" s="156" t="str">
        <f>'Reported burning'!F2619</f>
        <v>ND</v>
      </c>
      <c r="G2619" s="156" t="str">
        <f>'Reported burning'!G2619</f>
        <v>ND</v>
      </c>
      <c r="H2619" s="156" t="str">
        <f>'Reported burning'!H2619</f>
        <v>Presence</v>
      </c>
      <c r="I2619" s="5">
        <f>'Reported burning'!I2619</f>
        <v>2012</v>
      </c>
      <c r="J2619" s="204" t="s">
        <v>2276</v>
      </c>
      <c r="K2619" s="204" t="s">
        <v>2276</v>
      </c>
      <c r="L2619" s="204" t="s">
        <v>2276</v>
      </c>
      <c r="M2619" s="204" t="s">
        <v>2276</v>
      </c>
      <c r="N2619" s="204" t="s">
        <v>2276</v>
      </c>
      <c r="O2619" s="204" t="s">
        <v>2276</v>
      </c>
      <c r="P2619" s="204" t="s">
        <v>2276</v>
      </c>
      <c r="Q2619" s="204" t="s">
        <v>2276</v>
      </c>
      <c r="R2619" s="204" t="s">
        <v>2276</v>
      </c>
      <c r="S2619" s="204" t="s">
        <v>2276</v>
      </c>
      <c r="T2619" s="204" t="s">
        <v>2276</v>
      </c>
      <c r="U2619" s="204" t="s">
        <v>2276</v>
      </c>
      <c r="V2619" s="204" t="s">
        <v>2276</v>
      </c>
      <c r="W2619" s="204" t="s">
        <v>2276</v>
      </c>
      <c r="X2619" s="204" t="s">
        <v>35</v>
      </c>
      <c r="Y2619" s="204" t="s">
        <v>38</v>
      </c>
      <c r="Z2619" s="204" t="s">
        <v>64</v>
      </c>
      <c r="AA2619" s="204" t="s">
        <v>7627</v>
      </c>
      <c r="AB2619" s="204"/>
    </row>
    <row r="2620" spans="1:28" ht="33.5" customHeight="1">
      <c r="A2620" s="156" t="str">
        <f>'Reported burning'!A2620</f>
        <v>305k</v>
      </c>
      <c r="B2620" s="156" t="str">
        <f>'Reported burning'!B2620</f>
        <v>305k.12</v>
      </c>
      <c r="C2620" s="156" t="str">
        <f>'Reported burning'!C2620</f>
        <v>Human, deliberate</v>
      </c>
      <c r="D2620" s="156" t="str">
        <f>'Reported burning'!D2620</f>
        <v>Pyrome management</v>
      </c>
      <c r="E2620" s="156" t="str">
        <f>'Reported burning'!E2620</f>
        <v>Fire suppression agent</v>
      </c>
      <c r="F2620" s="156" t="str">
        <f>'Reported burning'!F2620</f>
        <v>ND</v>
      </c>
      <c r="G2620" s="156" t="str">
        <f>'Reported burning'!G2620</f>
        <v>ND</v>
      </c>
      <c r="H2620" s="156" t="str">
        <f>'Reported burning'!H2620</f>
        <v>Presence</v>
      </c>
      <c r="I2620" s="5">
        <f>'Reported burning'!I2620</f>
        <v>2012</v>
      </c>
      <c r="J2620" s="204" t="s">
        <v>2276</v>
      </c>
      <c r="K2620" s="204" t="s">
        <v>2276</v>
      </c>
      <c r="L2620" s="204" t="s">
        <v>2276</v>
      </c>
      <c r="M2620" s="204" t="s">
        <v>2276</v>
      </c>
      <c r="N2620" s="204" t="s">
        <v>2276</v>
      </c>
      <c r="O2620" s="204" t="s">
        <v>2276</v>
      </c>
      <c r="P2620" s="204" t="s">
        <v>2276</v>
      </c>
      <c r="Q2620" s="204" t="s">
        <v>2276</v>
      </c>
      <c r="R2620" s="204" t="s">
        <v>2276</v>
      </c>
      <c r="S2620" s="204" t="s">
        <v>2276</v>
      </c>
      <c r="T2620" s="204" t="s">
        <v>2276</v>
      </c>
      <c r="U2620" s="204" t="s">
        <v>2276</v>
      </c>
      <c r="V2620" s="204" t="s">
        <v>2276</v>
      </c>
      <c r="W2620" s="204" t="s">
        <v>2276</v>
      </c>
      <c r="X2620" s="204" t="s">
        <v>35</v>
      </c>
      <c r="Y2620" s="204" t="s">
        <v>38</v>
      </c>
      <c r="Z2620" s="204" t="s">
        <v>64</v>
      </c>
      <c r="AA2620" s="204" t="s">
        <v>7627</v>
      </c>
      <c r="AB2620" s="204"/>
    </row>
    <row r="2621" spans="1:28" ht="33.5" customHeight="1">
      <c r="A2621" s="156" t="str">
        <f>'Reported burning'!A2621</f>
        <v>305l</v>
      </c>
      <c r="B2621" s="156" t="str">
        <f>'Reported burning'!B2621</f>
        <v>305l.12</v>
      </c>
      <c r="C2621" s="156" t="str">
        <f>'Reported burning'!C2621</f>
        <v>Human, deliberate</v>
      </c>
      <c r="D2621" s="156" t="str">
        <f>'Reported burning'!D2621</f>
        <v>Pyrome management</v>
      </c>
      <c r="E2621" s="156" t="str">
        <f>'Reported burning'!E2621</f>
        <v>Fire suppression agent</v>
      </c>
      <c r="F2621" s="156" t="str">
        <f>'Reported burning'!F2621</f>
        <v>ND</v>
      </c>
      <c r="G2621" s="156" t="str">
        <f>'Reported burning'!G2621</f>
        <v>ND</v>
      </c>
      <c r="H2621" s="156" t="str">
        <f>'Reported burning'!H2621</f>
        <v>Presence</v>
      </c>
      <c r="I2621" s="5">
        <f>'Reported burning'!I2621</f>
        <v>2012</v>
      </c>
      <c r="J2621" s="204" t="s">
        <v>2276</v>
      </c>
      <c r="K2621" s="204" t="s">
        <v>2276</v>
      </c>
      <c r="L2621" s="204" t="s">
        <v>2276</v>
      </c>
      <c r="M2621" s="204" t="s">
        <v>2276</v>
      </c>
      <c r="N2621" s="204" t="s">
        <v>2276</v>
      </c>
      <c r="O2621" s="204" t="s">
        <v>2276</v>
      </c>
      <c r="P2621" s="204" t="s">
        <v>2276</v>
      </c>
      <c r="Q2621" s="204" t="s">
        <v>2276</v>
      </c>
      <c r="R2621" s="204" t="s">
        <v>2276</v>
      </c>
      <c r="S2621" s="204" t="s">
        <v>2276</v>
      </c>
      <c r="T2621" s="204" t="s">
        <v>2276</v>
      </c>
      <c r="U2621" s="204" t="s">
        <v>2276</v>
      </c>
      <c r="V2621" s="204" t="s">
        <v>2276</v>
      </c>
      <c r="W2621" s="204" t="s">
        <v>2276</v>
      </c>
      <c r="X2621" s="204" t="s">
        <v>35</v>
      </c>
      <c r="Y2621" s="204" t="s">
        <v>38</v>
      </c>
      <c r="Z2621" s="204" t="s">
        <v>64</v>
      </c>
      <c r="AA2621" s="204" t="s">
        <v>7627</v>
      </c>
      <c r="AB2621" s="204"/>
    </row>
    <row r="2622" spans="1:28" ht="33.5" customHeight="1">
      <c r="A2622" s="156" t="str">
        <f>'Reported burning'!A2622</f>
        <v>305m</v>
      </c>
      <c r="B2622" s="156" t="str">
        <f>'Reported burning'!B2622</f>
        <v>305m.12</v>
      </c>
      <c r="C2622" s="156" t="str">
        <f>'Reported burning'!C2622</f>
        <v>Human, deliberate</v>
      </c>
      <c r="D2622" s="156" t="str">
        <f>'Reported burning'!D2622</f>
        <v>Pyrome management</v>
      </c>
      <c r="E2622" s="156" t="str">
        <f>'Reported burning'!E2622</f>
        <v>Fire suppression agent</v>
      </c>
      <c r="F2622" s="156" t="str">
        <f>'Reported burning'!F2622</f>
        <v>ND</v>
      </c>
      <c r="G2622" s="156" t="str">
        <f>'Reported burning'!G2622</f>
        <v>ND</v>
      </c>
      <c r="H2622" s="156" t="str">
        <f>'Reported burning'!H2622</f>
        <v>Presence</v>
      </c>
      <c r="I2622" s="5">
        <f>'Reported burning'!I2622</f>
        <v>2012</v>
      </c>
      <c r="J2622" s="204" t="s">
        <v>2276</v>
      </c>
      <c r="K2622" s="204" t="s">
        <v>2276</v>
      </c>
      <c r="L2622" s="204" t="s">
        <v>2276</v>
      </c>
      <c r="M2622" s="204" t="s">
        <v>2276</v>
      </c>
      <c r="N2622" s="204" t="s">
        <v>2276</v>
      </c>
      <c r="O2622" s="204" t="s">
        <v>2276</v>
      </c>
      <c r="P2622" s="204" t="s">
        <v>2276</v>
      </c>
      <c r="Q2622" s="204" t="s">
        <v>2276</v>
      </c>
      <c r="R2622" s="204" t="s">
        <v>2276</v>
      </c>
      <c r="S2622" s="204" t="s">
        <v>2276</v>
      </c>
      <c r="T2622" s="204" t="s">
        <v>2276</v>
      </c>
      <c r="U2622" s="204" t="s">
        <v>2276</v>
      </c>
      <c r="V2622" s="204" t="s">
        <v>2276</v>
      </c>
      <c r="W2622" s="204" t="s">
        <v>2276</v>
      </c>
      <c r="X2622" s="204" t="s">
        <v>35</v>
      </c>
      <c r="Y2622" s="204" t="s">
        <v>38</v>
      </c>
      <c r="Z2622" s="204" t="s">
        <v>64</v>
      </c>
      <c r="AA2622" s="204" t="s">
        <v>7627</v>
      </c>
      <c r="AB2622" s="204"/>
    </row>
    <row r="2623" spans="1:28" ht="33.5" customHeight="1">
      <c r="A2623" s="156" t="str">
        <f>'Reported burning'!A2623</f>
        <v>305i</v>
      </c>
      <c r="B2623" s="156" t="str">
        <f>'Reported burning'!B2623</f>
        <v>305i.13</v>
      </c>
      <c r="C2623" s="156" t="str">
        <f>'Reported burning'!C2623</f>
        <v>Human, deliberate</v>
      </c>
      <c r="D2623" s="156" t="str">
        <f>'Reported burning'!D2623</f>
        <v>Pyrome management</v>
      </c>
      <c r="E2623" s="156" t="str">
        <f>'Reported burning'!E2623</f>
        <v>Fire suppression agent</v>
      </c>
      <c r="F2623" s="156" t="str">
        <f>'Reported burning'!F2623</f>
        <v>ND</v>
      </c>
      <c r="G2623" s="156" t="str">
        <f>'Reported burning'!G2623</f>
        <v>ND</v>
      </c>
      <c r="H2623" s="156" t="str">
        <f>'Reported burning'!H2623</f>
        <v>Presence</v>
      </c>
      <c r="I2623" s="5">
        <f>'Reported burning'!I2623</f>
        <v>2013</v>
      </c>
      <c r="J2623" s="204" t="s">
        <v>2276</v>
      </c>
      <c r="K2623" s="204" t="s">
        <v>2276</v>
      </c>
      <c r="L2623" s="204" t="s">
        <v>2276</v>
      </c>
      <c r="M2623" s="204" t="s">
        <v>2276</v>
      </c>
      <c r="N2623" s="204" t="s">
        <v>2276</v>
      </c>
      <c r="O2623" s="204" t="s">
        <v>2276</v>
      </c>
      <c r="P2623" s="204" t="s">
        <v>2276</v>
      </c>
      <c r="Q2623" s="204" t="s">
        <v>2276</v>
      </c>
      <c r="R2623" s="204" t="s">
        <v>2276</v>
      </c>
      <c r="S2623" s="204" t="s">
        <v>2276</v>
      </c>
      <c r="T2623" s="204" t="s">
        <v>2276</v>
      </c>
      <c r="U2623" s="204" t="s">
        <v>2276</v>
      </c>
      <c r="V2623" s="204" t="s">
        <v>2276</v>
      </c>
      <c r="W2623" s="204" t="s">
        <v>2276</v>
      </c>
      <c r="X2623" s="204" t="s">
        <v>35</v>
      </c>
      <c r="Y2623" s="204" t="s">
        <v>38</v>
      </c>
      <c r="Z2623" s="204" t="s">
        <v>64</v>
      </c>
      <c r="AA2623" s="204" t="s">
        <v>7627</v>
      </c>
      <c r="AB2623" s="204"/>
    </row>
    <row r="2624" spans="1:28" ht="33.5" customHeight="1">
      <c r="A2624" s="156" t="str">
        <f>'Reported burning'!A2624</f>
        <v>305j</v>
      </c>
      <c r="B2624" s="156" t="str">
        <f>'Reported burning'!B2624</f>
        <v>305j.13</v>
      </c>
      <c r="C2624" s="156" t="str">
        <f>'Reported burning'!C2624</f>
        <v>Human, deliberate</v>
      </c>
      <c r="D2624" s="156" t="str">
        <f>'Reported burning'!D2624</f>
        <v>Pyrome management</v>
      </c>
      <c r="E2624" s="156" t="str">
        <f>'Reported burning'!E2624</f>
        <v>Fire suppression agent</v>
      </c>
      <c r="F2624" s="156" t="str">
        <f>'Reported burning'!F2624</f>
        <v>ND</v>
      </c>
      <c r="G2624" s="156" t="str">
        <f>'Reported burning'!G2624</f>
        <v>ND</v>
      </c>
      <c r="H2624" s="156" t="str">
        <f>'Reported burning'!H2624</f>
        <v>Presence</v>
      </c>
      <c r="I2624" s="5">
        <f>'Reported burning'!I2624</f>
        <v>2013</v>
      </c>
      <c r="J2624" s="204" t="s">
        <v>2276</v>
      </c>
      <c r="K2624" s="204" t="s">
        <v>2276</v>
      </c>
      <c r="L2624" s="204" t="s">
        <v>2276</v>
      </c>
      <c r="M2624" s="204" t="s">
        <v>2276</v>
      </c>
      <c r="N2624" s="204" t="s">
        <v>2276</v>
      </c>
      <c r="O2624" s="204" t="s">
        <v>2276</v>
      </c>
      <c r="P2624" s="204" t="s">
        <v>2276</v>
      </c>
      <c r="Q2624" s="204" t="s">
        <v>2276</v>
      </c>
      <c r="R2624" s="204" t="s">
        <v>2276</v>
      </c>
      <c r="S2624" s="204" t="s">
        <v>2276</v>
      </c>
      <c r="T2624" s="204" t="s">
        <v>2276</v>
      </c>
      <c r="U2624" s="204" t="s">
        <v>2276</v>
      </c>
      <c r="V2624" s="204" t="s">
        <v>2276</v>
      </c>
      <c r="W2624" s="204" t="s">
        <v>2276</v>
      </c>
      <c r="X2624" s="204" t="s">
        <v>35</v>
      </c>
      <c r="Y2624" s="204" t="s">
        <v>38</v>
      </c>
      <c r="Z2624" s="204" t="s">
        <v>64</v>
      </c>
      <c r="AA2624" s="204" t="s">
        <v>7627</v>
      </c>
      <c r="AB2624" s="204"/>
    </row>
    <row r="2625" spans="1:28" ht="33.5" customHeight="1">
      <c r="A2625" s="156" t="str">
        <f>'Reported burning'!A2625</f>
        <v>305k</v>
      </c>
      <c r="B2625" s="156" t="str">
        <f>'Reported burning'!B2625</f>
        <v>305k.13</v>
      </c>
      <c r="C2625" s="156" t="str">
        <f>'Reported burning'!C2625</f>
        <v>Human, deliberate</v>
      </c>
      <c r="D2625" s="156" t="str">
        <f>'Reported burning'!D2625</f>
        <v>Pyrome management</v>
      </c>
      <c r="E2625" s="156" t="str">
        <f>'Reported burning'!E2625</f>
        <v>Fire suppression agent</v>
      </c>
      <c r="F2625" s="156" t="str">
        <f>'Reported burning'!F2625</f>
        <v>ND</v>
      </c>
      <c r="G2625" s="156" t="str">
        <f>'Reported burning'!G2625</f>
        <v>ND</v>
      </c>
      <c r="H2625" s="156" t="str">
        <f>'Reported burning'!H2625</f>
        <v>Presence</v>
      </c>
      <c r="I2625" s="5">
        <f>'Reported burning'!I2625</f>
        <v>2013</v>
      </c>
      <c r="J2625" s="204" t="s">
        <v>2276</v>
      </c>
      <c r="K2625" s="204" t="s">
        <v>2276</v>
      </c>
      <c r="L2625" s="204" t="s">
        <v>2276</v>
      </c>
      <c r="M2625" s="204" t="s">
        <v>2276</v>
      </c>
      <c r="N2625" s="204" t="s">
        <v>2276</v>
      </c>
      <c r="O2625" s="204" t="s">
        <v>2276</v>
      </c>
      <c r="P2625" s="204" t="s">
        <v>2276</v>
      </c>
      <c r="Q2625" s="204" t="s">
        <v>2276</v>
      </c>
      <c r="R2625" s="204" t="s">
        <v>2276</v>
      </c>
      <c r="S2625" s="204" t="s">
        <v>2276</v>
      </c>
      <c r="T2625" s="204" t="s">
        <v>2276</v>
      </c>
      <c r="U2625" s="204" t="s">
        <v>2276</v>
      </c>
      <c r="V2625" s="204" t="s">
        <v>2276</v>
      </c>
      <c r="W2625" s="204" t="s">
        <v>2276</v>
      </c>
      <c r="X2625" s="204" t="s">
        <v>35</v>
      </c>
      <c r="Y2625" s="204" t="s">
        <v>38</v>
      </c>
      <c r="Z2625" s="204" t="s">
        <v>64</v>
      </c>
      <c r="AA2625" s="204" t="s">
        <v>7627</v>
      </c>
      <c r="AB2625" s="204"/>
    </row>
    <row r="2626" spans="1:28" ht="33.5" customHeight="1">
      <c r="A2626" s="156" t="str">
        <f>'Reported burning'!A2626</f>
        <v>305l</v>
      </c>
      <c r="B2626" s="156" t="str">
        <f>'Reported burning'!B2626</f>
        <v>305l.13</v>
      </c>
      <c r="C2626" s="156" t="str">
        <f>'Reported burning'!C2626</f>
        <v>Human, deliberate</v>
      </c>
      <c r="D2626" s="156" t="str">
        <f>'Reported burning'!D2626</f>
        <v>Pyrome management</v>
      </c>
      <c r="E2626" s="156" t="str">
        <f>'Reported burning'!E2626</f>
        <v>Fire suppression agent</v>
      </c>
      <c r="F2626" s="156" t="str">
        <f>'Reported burning'!F2626</f>
        <v>ND</v>
      </c>
      <c r="G2626" s="156" t="str">
        <f>'Reported burning'!G2626</f>
        <v>ND</v>
      </c>
      <c r="H2626" s="156" t="str">
        <f>'Reported burning'!H2626</f>
        <v>Presence</v>
      </c>
      <c r="I2626" s="5">
        <f>'Reported burning'!I2626</f>
        <v>2013</v>
      </c>
      <c r="J2626" s="204" t="s">
        <v>2276</v>
      </c>
      <c r="K2626" s="204" t="s">
        <v>2276</v>
      </c>
      <c r="L2626" s="204" t="s">
        <v>2276</v>
      </c>
      <c r="M2626" s="204" t="s">
        <v>2276</v>
      </c>
      <c r="N2626" s="204" t="s">
        <v>2276</v>
      </c>
      <c r="O2626" s="204" t="s">
        <v>2276</v>
      </c>
      <c r="P2626" s="204" t="s">
        <v>2276</v>
      </c>
      <c r="Q2626" s="204" t="s">
        <v>2276</v>
      </c>
      <c r="R2626" s="204" t="s">
        <v>2276</v>
      </c>
      <c r="S2626" s="204" t="s">
        <v>2276</v>
      </c>
      <c r="T2626" s="204" t="s">
        <v>2276</v>
      </c>
      <c r="U2626" s="204" t="s">
        <v>2276</v>
      </c>
      <c r="V2626" s="204" t="s">
        <v>2276</v>
      </c>
      <c r="W2626" s="204" t="s">
        <v>2276</v>
      </c>
      <c r="X2626" s="204" t="s">
        <v>35</v>
      </c>
      <c r="Y2626" s="204" t="s">
        <v>38</v>
      </c>
      <c r="Z2626" s="204" t="s">
        <v>64</v>
      </c>
      <c r="AA2626" s="204" t="s">
        <v>7627</v>
      </c>
      <c r="AB2626" s="204"/>
    </row>
    <row r="2627" spans="1:28" ht="33.5" customHeight="1">
      <c r="A2627" s="156" t="str">
        <f>'Reported burning'!A2627</f>
        <v>305m</v>
      </c>
      <c r="B2627" s="156" t="str">
        <f>'Reported burning'!B2627</f>
        <v>305m.13</v>
      </c>
      <c r="C2627" s="156" t="str">
        <f>'Reported burning'!C2627</f>
        <v>Human, deliberate</v>
      </c>
      <c r="D2627" s="156" t="str">
        <f>'Reported burning'!D2627</f>
        <v>Pyrome management</v>
      </c>
      <c r="E2627" s="156" t="str">
        <f>'Reported burning'!E2627</f>
        <v>Fire suppression agent</v>
      </c>
      <c r="F2627" s="156" t="str">
        <f>'Reported burning'!F2627</f>
        <v>ND</v>
      </c>
      <c r="G2627" s="156" t="str">
        <f>'Reported burning'!G2627</f>
        <v>ND</v>
      </c>
      <c r="H2627" s="156" t="str">
        <f>'Reported burning'!H2627</f>
        <v>Presence</v>
      </c>
      <c r="I2627" s="5">
        <f>'Reported burning'!I2627</f>
        <v>2013</v>
      </c>
      <c r="J2627" s="204" t="s">
        <v>2276</v>
      </c>
      <c r="K2627" s="204" t="s">
        <v>2276</v>
      </c>
      <c r="L2627" s="204" t="s">
        <v>2276</v>
      </c>
      <c r="M2627" s="204" t="s">
        <v>2276</v>
      </c>
      <c r="N2627" s="204" t="s">
        <v>2276</v>
      </c>
      <c r="O2627" s="204" t="s">
        <v>2276</v>
      </c>
      <c r="P2627" s="204" t="s">
        <v>2276</v>
      </c>
      <c r="Q2627" s="204" t="s">
        <v>2276</v>
      </c>
      <c r="R2627" s="204" t="s">
        <v>2276</v>
      </c>
      <c r="S2627" s="204" t="s">
        <v>2276</v>
      </c>
      <c r="T2627" s="204" t="s">
        <v>2276</v>
      </c>
      <c r="U2627" s="204" t="s">
        <v>2276</v>
      </c>
      <c r="V2627" s="204" t="s">
        <v>2276</v>
      </c>
      <c r="W2627" s="204" t="s">
        <v>2276</v>
      </c>
      <c r="X2627" s="204" t="s">
        <v>35</v>
      </c>
      <c r="Y2627" s="204" t="s">
        <v>38</v>
      </c>
      <c r="Z2627" s="204" t="s">
        <v>64</v>
      </c>
      <c r="AA2627" s="204" t="s">
        <v>7627</v>
      </c>
      <c r="AB2627" s="204"/>
    </row>
    <row r="2628" spans="1:28" ht="33.5" customHeight="1">
      <c r="A2628" s="156" t="str">
        <f>'Reported burning'!A2628</f>
        <v>305i</v>
      </c>
      <c r="B2628" s="156" t="str">
        <f>'Reported burning'!B2628</f>
        <v>305i.14</v>
      </c>
      <c r="C2628" s="156" t="str">
        <f>'Reported burning'!C2628</f>
        <v>Human, deliberate</v>
      </c>
      <c r="D2628" s="156" t="str">
        <f>'Reported burning'!D2628</f>
        <v>Pyrome management</v>
      </c>
      <c r="E2628" s="156" t="str">
        <f>'Reported burning'!E2628</f>
        <v>Fire suppression agent</v>
      </c>
      <c r="F2628" s="156" t="str">
        <f>'Reported burning'!F2628</f>
        <v>ND</v>
      </c>
      <c r="G2628" s="156" t="str">
        <f>'Reported burning'!G2628</f>
        <v>ND</v>
      </c>
      <c r="H2628" s="156" t="str">
        <f>'Reported burning'!H2628</f>
        <v>Presence</v>
      </c>
      <c r="I2628" s="5">
        <f>'Reported burning'!I2628</f>
        <v>2014</v>
      </c>
      <c r="J2628" s="204" t="s">
        <v>2276</v>
      </c>
      <c r="K2628" s="204" t="s">
        <v>2276</v>
      </c>
      <c r="L2628" s="204" t="s">
        <v>2276</v>
      </c>
      <c r="M2628" s="204" t="s">
        <v>2276</v>
      </c>
      <c r="N2628" s="204" t="s">
        <v>2276</v>
      </c>
      <c r="O2628" s="204" t="s">
        <v>2276</v>
      </c>
      <c r="P2628" s="204" t="s">
        <v>2276</v>
      </c>
      <c r="Q2628" s="204" t="s">
        <v>2276</v>
      </c>
      <c r="R2628" s="204" t="s">
        <v>2276</v>
      </c>
      <c r="S2628" s="204" t="s">
        <v>2276</v>
      </c>
      <c r="T2628" s="204" t="s">
        <v>2276</v>
      </c>
      <c r="U2628" s="204" t="s">
        <v>2276</v>
      </c>
      <c r="V2628" s="204" t="s">
        <v>2276</v>
      </c>
      <c r="W2628" s="204" t="s">
        <v>2276</v>
      </c>
      <c r="X2628" s="204" t="s">
        <v>35</v>
      </c>
      <c r="Y2628" s="204" t="s">
        <v>38</v>
      </c>
      <c r="Z2628" s="204" t="s">
        <v>64</v>
      </c>
      <c r="AA2628" s="204" t="s">
        <v>7627</v>
      </c>
      <c r="AB2628" s="204"/>
    </row>
    <row r="2629" spans="1:28" ht="33.5" customHeight="1">
      <c r="A2629" s="156" t="str">
        <f>'Reported burning'!A2629</f>
        <v>305j</v>
      </c>
      <c r="B2629" s="156" t="str">
        <f>'Reported burning'!B2629</f>
        <v>305j.14</v>
      </c>
      <c r="C2629" s="156" t="str">
        <f>'Reported burning'!C2629</f>
        <v>Human, deliberate</v>
      </c>
      <c r="D2629" s="156" t="str">
        <f>'Reported burning'!D2629</f>
        <v>Pyrome management</v>
      </c>
      <c r="E2629" s="156" t="str">
        <f>'Reported burning'!E2629</f>
        <v>Fire suppression agent</v>
      </c>
      <c r="F2629" s="156" t="str">
        <f>'Reported burning'!F2629</f>
        <v>ND</v>
      </c>
      <c r="G2629" s="156" t="str">
        <f>'Reported burning'!G2629</f>
        <v>ND</v>
      </c>
      <c r="H2629" s="156" t="str">
        <f>'Reported burning'!H2629</f>
        <v>Presence</v>
      </c>
      <c r="I2629" s="5">
        <f>'Reported burning'!I2629</f>
        <v>2014</v>
      </c>
      <c r="J2629" s="204" t="s">
        <v>2276</v>
      </c>
      <c r="K2629" s="204" t="s">
        <v>2276</v>
      </c>
      <c r="L2629" s="204" t="s">
        <v>2276</v>
      </c>
      <c r="M2629" s="204" t="s">
        <v>2276</v>
      </c>
      <c r="N2629" s="204" t="s">
        <v>2276</v>
      </c>
      <c r="O2629" s="204" t="s">
        <v>2276</v>
      </c>
      <c r="P2629" s="204" t="s">
        <v>2276</v>
      </c>
      <c r="Q2629" s="204" t="s">
        <v>2276</v>
      </c>
      <c r="R2629" s="204" t="s">
        <v>2276</v>
      </c>
      <c r="S2629" s="204" t="s">
        <v>2276</v>
      </c>
      <c r="T2629" s="204" t="s">
        <v>2276</v>
      </c>
      <c r="U2629" s="204" t="s">
        <v>2276</v>
      </c>
      <c r="V2629" s="204" t="s">
        <v>2276</v>
      </c>
      <c r="W2629" s="204" t="s">
        <v>2276</v>
      </c>
      <c r="X2629" s="204" t="s">
        <v>35</v>
      </c>
      <c r="Y2629" s="204" t="s">
        <v>38</v>
      </c>
      <c r="Z2629" s="204" t="s">
        <v>64</v>
      </c>
      <c r="AA2629" s="204" t="s">
        <v>7627</v>
      </c>
      <c r="AB2629" s="204"/>
    </row>
    <row r="2630" spans="1:28" ht="33.5" customHeight="1">
      <c r="A2630" s="156" t="str">
        <f>'Reported burning'!A2630</f>
        <v>305k</v>
      </c>
      <c r="B2630" s="156" t="str">
        <f>'Reported burning'!B2630</f>
        <v>305k.14</v>
      </c>
      <c r="C2630" s="156" t="str">
        <f>'Reported burning'!C2630</f>
        <v>Human, deliberate</v>
      </c>
      <c r="D2630" s="156" t="str">
        <f>'Reported burning'!D2630</f>
        <v>Pyrome management</v>
      </c>
      <c r="E2630" s="156" t="str">
        <f>'Reported burning'!E2630</f>
        <v>Fire suppression agent</v>
      </c>
      <c r="F2630" s="156" t="str">
        <f>'Reported burning'!F2630</f>
        <v>ND</v>
      </c>
      <c r="G2630" s="156" t="str">
        <f>'Reported burning'!G2630</f>
        <v>ND</v>
      </c>
      <c r="H2630" s="156" t="str">
        <f>'Reported burning'!H2630</f>
        <v>Presence</v>
      </c>
      <c r="I2630" s="5">
        <f>'Reported burning'!I2630</f>
        <v>2014</v>
      </c>
      <c r="J2630" s="204" t="s">
        <v>2276</v>
      </c>
      <c r="K2630" s="204" t="s">
        <v>2276</v>
      </c>
      <c r="L2630" s="204" t="s">
        <v>2276</v>
      </c>
      <c r="M2630" s="204" t="s">
        <v>2276</v>
      </c>
      <c r="N2630" s="204" t="s">
        <v>2276</v>
      </c>
      <c r="O2630" s="204" t="s">
        <v>2276</v>
      </c>
      <c r="P2630" s="204" t="s">
        <v>2276</v>
      </c>
      <c r="Q2630" s="204" t="s">
        <v>2276</v>
      </c>
      <c r="R2630" s="204" t="s">
        <v>2276</v>
      </c>
      <c r="S2630" s="204" t="s">
        <v>2276</v>
      </c>
      <c r="T2630" s="204" t="s">
        <v>2276</v>
      </c>
      <c r="U2630" s="204" t="s">
        <v>2276</v>
      </c>
      <c r="V2630" s="204" t="s">
        <v>2276</v>
      </c>
      <c r="W2630" s="204" t="s">
        <v>2276</v>
      </c>
      <c r="X2630" s="204" t="s">
        <v>35</v>
      </c>
      <c r="Y2630" s="204" t="s">
        <v>38</v>
      </c>
      <c r="Z2630" s="204" t="s">
        <v>64</v>
      </c>
      <c r="AA2630" s="204" t="s">
        <v>7627</v>
      </c>
      <c r="AB2630" s="204"/>
    </row>
    <row r="2631" spans="1:28" ht="33.5" customHeight="1">
      <c r="A2631" s="156" t="str">
        <f>'Reported burning'!A2631</f>
        <v>305l</v>
      </c>
      <c r="B2631" s="156" t="str">
        <f>'Reported burning'!B2631</f>
        <v>305l.14</v>
      </c>
      <c r="C2631" s="156" t="str">
        <f>'Reported burning'!C2631</f>
        <v>Human, deliberate</v>
      </c>
      <c r="D2631" s="156" t="str">
        <f>'Reported burning'!D2631</f>
        <v>Pyrome management</v>
      </c>
      <c r="E2631" s="156" t="str">
        <f>'Reported burning'!E2631</f>
        <v>Fire suppression agent</v>
      </c>
      <c r="F2631" s="156" t="str">
        <f>'Reported burning'!F2631</f>
        <v>ND</v>
      </c>
      <c r="G2631" s="156" t="str">
        <f>'Reported burning'!G2631</f>
        <v>ND</v>
      </c>
      <c r="H2631" s="156" t="str">
        <f>'Reported burning'!H2631</f>
        <v>Presence</v>
      </c>
      <c r="I2631" s="5">
        <f>'Reported burning'!I2631</f>
        <v>2014</v>
      </c>
      <c r="J2631" s="204" t="s">
        <v>2276</v>
      </c>
      <c r="K2631" s="204" t="s">
        <v>2276</v>
      </c>
      <c r="L2631" s="204" t="s">
        <v>2276</v>
      </c>
      <c r="M2631" s="204" t="s">
        <v>2276</v>
      </c>
      <c r="N2631" s="204" t="s">
        <v>2276</v>
      </c>
      <c r="O2631" s="204" t="s">
        <v>2276</v>
      </c>
      <c r="P2631" s="204" t="s">
        <v>2276</v>
      </c>
      <c r="Q2631" s="204" t="s">
        <v>2276</v>
      </c>
      <c r="R2631" s="204" t="s">
        <v>2276</v>
      </c>
      <c r="S2631" s="204" t="s">
        <v>2276</v>
      </c>
      <c r="T2631" s="204" t="s">
        <v>2276</v>
      </c>
      <c r="U2631" s="204" t="s">
        <v>2276</v>
      </c>
      <c r="V2631" s="204" t="s">
        <v>2276</v>
      </c>
      <c r="W2631" s="204" t="s">
        <v>2276</v>
      </c>
      <c r="X2631" s="204" t="s">
        <v>35</v>
      </c>
      <c r="Y2631" s="204" t="s">
        <v>38</v>
      </c>
      <c r="Z2631" s="204" t="s">
        <v>64</v>
      </c>
      <c r="AA2631" s="204" t="s">
        <v>7627</v>
      </c>
      <c r="AB2631" s="204"/>
    </row>
    <row r="2632" spans="1:28" ht="33.5" customHeight="1">
      <c r="A2632" s="156" t="str">
        <f>'Reported burning'!A2632</f>
        <v>305m</v>
      </c>
      <c r="B2632" s="156" t="str">
        <f>'Reported burning'!B2632</f>
        <v>305m.14</v>
      </c>
      <c r="C2632" s="156" t="str">
        <f>'Reported burning'!C2632</f>
        <v>Human, deliberate</v>
      </c>
      <c r="D2632" s="156" t="str">
        <f>'Reported burning'!D2632</f>
        <v>Pyrome management</v>
      </c>
      <c r="E2632" s="156" t="str">
        <f>'Reported burning'!E2632</f>
        <v>Fire suppression agent</v>
      </c>
      <c r="F2632" s="156" t="str">
        <f>'Reported burning'!F2632</f>
        <v>ND</v>
      </c>
      <c r="G2632" s="156" t="str">
        <f>'Reported burning'!G2632</f>
        <v>ND</v>
      </c>
      <c r="H2632" s="156" t="str">
        <f>'Reported burning'!H2632</f>
        <v>Presence</v>
      </c>
      <c r="I2632" s="5">
        <f>'Reported burning'!I2632</f>
        <v>2014</v>
      </c>
      <c r="J2632" s="204" t="s">
        <v>2276</v>
      </c>
      <c r="K2632" s="204" t="s">
        <v>2276</v>
      </c>
      <c r="L2632" s="204" t="s">
        <v>2276</v>
      </c>
      <c r="M2632" s="204" t="s">
        <v>2276</v>
      </c>
      <c r="N2632" s="204" t="s">
        <v>2276</v>
      </c>
      <c r="O2632" s="204" t="s">
        <v>2276</v>
      </c>
      <c r="P2632" s="204" t="s">
        <v>2276</v>
      </c>
      <c r="Q2632" s="204" t="s">
        <v>2276</v>
      </c>
      <c r="R2632" s="204" t="s">
        <v>2276</v>
      </c>
      <c r="S2632" s="204" t="s">
        <v>2276</v>
      </c>
      <c r="T2632" s="204" t="s">
        <v>2276</v>
      </c>
      <c r="U2632" s="204" t="s">
        <v>2276</v>
      </c>
      <c r="V2632" s="204" t="s">
        <v>2276</v>
      </c>
      <c r="W2632" s="204" t="s">
        <v>2276</v>
      </c>
      <c r="X2632" s="204" t="s">
        <v>35</v>
      </c>
      <c r="Y2632" s="204" t="s">
        <v>38</v>
      </c>
      <c r="Z2632" s="204" t="s">
        <v>64</v>
      </c>
      <c r="AA2632" s="204" t="s">
        <v>7627</v>
      </c>
      <c r="AB2632" s="204"/>
    </row>
    <row r="2633" spans="1:28" ht="33.5" customHeight="1">
      <c r="A2633" s="156" t="str">
        <f>'Reported burning'!A2633</f>
        <v>305i</v>
      </c>
      <c r="B2633" s="156" t="str">
        <f>'Reported burning'!B2633</f>
        <v>305i.15</v>
      </c>
      <c r="C2633" s="156" t="str">
        <f>'Reported burning'!C2633</f>
        <v>Human, deliberate</v>
      </c>
      <c r="D2633" s="156" t="str">
        <f>'Reported burning'!D2633</f>
        <v>Pyrome management</v>
      </c>
      <c r="E2633" s="156" t="str">
        <f>'Reported burning'!E2633</f>
        <v>Fire suppression agent</v>
      </c>
      <c r="F2633" s="156" t="str">
        <f>'Reported burning'!F2633</f>
        <v>ND</v>
      </c>
      <c r="G2633" s="156" t="str">
        <f>'Reported burning'!G2633</f>
        <v>ND</v>
      </c>
      <c r="H2633" s="156" t="str">
        <f>'Reported burning'!H2633</f>
        <v>Presence</v>
      </c>
      <c r="I2633" s="5">
        <f>'Reported burning'!I2633</f>
        <v>2015</v>
      </c>
      <c r="J2633" s="204" t="s">
        <v>2276</v>
      </c>
      <c r="K2633" s="204" t="s">
        <v>2276</v>
      </c>
      <c r="L2633" s="204" t="s">
        <v>2276</v>
      </c>
      <c r="M2633" s="204" t="s">
        <v>2276</v>
      </c>
      <c r="N2633" s="204" t="s">
        <v>2276</v>
      </c>
      <c r="O2633" s="204" t="s">
        <v>2276</v>
      </c>
      <c r="P2633" s="204" t="s">
        <v>2276</v>
      </c>
      <c r="Q2633" s="204" t="s">
        <v>2276</v>
      </c>
      <c r="R2633" s="204" t="s">
        <v>2276</v>
      </c>
      <c r="S2633" s="204" t="s">
        <v>2276</v>
      </c>
      <c r="T2633" s="204" t="s">
        <v>2276</v>
      </c>
      <c r="U2633" s="204" t="s">
        <v>2276</v>
      </c>
      <c r="V2633" s="204" t="s">
        <v>2276</v>
      </c>
      <c r="W2633" s="204" t="s">
        <v>2276</v>
      </c>
      <c r="X2633" s="204" t="s">
        <v>35</v>
      </c>
      <c r="Y2633" s="204" t="s">
        <v>38</v>
      </c>
      <c r="Z2633" s="204" t="s">
        <v>64</v>
      </c>
      <c r="AA2633" s="204" t="s">
        <v>7627</v>
      </c>
      <c r="AB2633" s="204"/>
    </row>
    <row r="2634" spans="1:28" ht="33.5" customHeight="1">
      <c r="A2634" s="156" t="str">
        <f>'Reported burning'!A2634</f>
        <v>305j</v>
      </c>
      <c r="B2634" s="156" t="str">
        <f>'Reported burning'!B2634</f>
        <v>305j.15</v>
      </c>
      <c r="C2634" s="156" t="str">
        <f>'Reported burning'!C2634</f>
        <v>Human, deliberate</v>
      </c>
      <c r="D2634" s="156" t="str">
        <f>'Reported burning'!D2634</f>
        <v>Pyrome management</v>
      </c>
      <c r="E2634" s="156" t="str">
        <f>'Reported burning'!E2634</f>
        <v>Fire suppression agent</v>
      </c>
      <c r="F2634" s="156" t="str">
        <f>'Reported burning'!F2634</f>
        <v>ND</v>
      </c>
      <c r="G2634" s="156" t="str">
        <f>'Reported burning'!G2634</f>
        <v>ND</v>
      </c>
      <c r="H2634" s="156" t="str">
        <f>'Reported burning'!H2634</f>
        <v>Presence</v>
      </c>
      <c r="I2634" s="5">
        <f>'Reported burning'!I2634</f>
        <v>2015</v>
      </c>
      <c r="J2634" s="204" t="s">
        <v>2276</v>
      </c>
      <c r="K2634" s="204" t="s">
        <v>2276</v>
      </c>
      <c r="L2634" s="204" t="s">
        <v>2276</v>
      </c>
      <c r="M2634" s="204" t="s">
        <v>2276</v>
      </c>
      <c r="N2634" s="204" t="s">
        <v>2276</v>
      </c>
      <c r="O2634" s="204" t="s">
        <v>2276</v>
      </c>
      <c r="P2634" s="204" t="s">
        <v>2276</v>
      </c>
      <c r="Q2634" s="204" t="s">
        <v>2276</v>
      </c>
      <c r="R2634" s="204" t="s">
        <v>2276</v>
      </c>
      <c r="S2634" s="204" t="s">
        <v>2276</v>
      </c>
      <c r="T2634" s="204" t="s">
        <v>2276</v>
      </c>
      <c r="U2634" s="204" t="s">
        <v>2276</v>
      </c>
      <c r="V2634" s="204" t="s">
        <v>2276</v>
      </c>
      <c r="W2634" s="204" t="s">
        <v>2276</v>
      </c>
      <c r="X2634" s="204" t="s">
        <v>35</v>
      </c>
      <c r="Y2634" s="204" t="s">
        <v>38</v>
      </c>
      <c r="Z2634" s="204" t="s">
        <v>64</v>
      </c>
      <c r="AA2634" s="204" t="s">
        <v>7627</v>
      </c>
      <c r="AB2634" s="204"/>
    </row>
    <row r="2635" spans="1:28" ht="33.5" customHeight="1">
      <c r="A2635" s="156" t="str">
        <f>'Reported burning'!A2635</f>
        <v>305k</v>
      </c>
      <c r="B2635" s="156" t="str">
        <f>'Reported burning'!B2635</f>
        <v>305k.15</v>
      </c>
      <c r="C2635" s="156" t="str">
        <f>'Reported burning'!C2635</f>
        <v>Human, deliberate</v>
      </c>
      <c r="D2635" s="156" t="str">
        <f>'Reported burning'!D2635</f>
        <v>Pyrome management</v>
      </c>
      <c r="E2635" s="156" t="str">
        <f>'Reported burning'!E2635</f>
        <v>Fire suppression agent</v>
      </c>
      <c r="F2635" s="156" t="str">
        <f>'Reported burning'!F2635</f>
        <v>ND</v>
      </c>
      <c r="G2635" s="156" t="str">
        <f>'Reported burning'!G2635</f>
        <v>ND</v>
      </c>
      <c r="H2635" s="156" t="str">
        <f>'Reported burning'!H2635</f>
        <v>Presence</v>
      </c>
      <c r="I2635" s="5">
        <f>'Reported burning'!I2635</f>
        <v>2015</v>
      </c>
      <c r="J2635" s="204" t="s">
        <v>2276</v>
      </c>
      <c r="K2635" s="204" t="s">
        <v>2276</v>
      </c>
      <c r="L2635" s="204" t="s">
        <v>2276</v>
      </c>
      <c r="M2635" s="204" t="s">
        <v>2276</v>
      </c>
      <c r="N2635" s="204" t="s">
        <v>2276</v>
      </c>
      <c r="O2635" s="204" t="s">
        <v>2276</v>
      </c>
      <c r="P2635" s="204" t="s">
        <v>2276</v>
      </c>
      <c r="Q2635" s="204" t="s">
        <v>2276</v>
      </c>
      <c r="R2635" s="204" t="s">
        <v>2276</v>
      </c>
      <c r="S2635" s="204" t="s">
        <v>2276</v>
      </c>
      <c r="T2635" s="204" t="s">
        <v>2276</v>
      </c>
      <c r="U2635" s="204" t="s">
        <v>2276</v>
      </c>
      <c r="V2635" s="204" t="s">
        <v>2276</v>
      </c>
      <c r="W2635" s="204" t="s">
        <v>2276</v>
      </c>
      <c r="X2635" s="204" t="s">
        <v>35</v>
      </c>
      <c r="Y2635" s="204" t="s">
        <v>38</v>
      </c>
      <c r="Z2635" s="204" t="s">
        <v>64</v>
      </c>
      <c r="AA2635" s="204" t="s">
        <v>7627</v>
      </c>
      <c r="AB2635" s="204"/>
    </row>
    <row r="2636" spans="1:28" ht="33.5" customHeight="1">
      <c r="A2636" s="156" t="str">
        <f>'Reported burning'!A2636</f>
        <v>305l</v>
      </c>
      <c r="B2636" s="156" t="str">
        <f>'Reported burning'!B2636</f>
        <v>305l.15</v>
      </c>
      <c r="C2636" s="156" t="str">
        <f>'Reported burning'!C2636</f>
        <v>Human, deliberate</v>
      </c>
      <c r="D2636" s="156" t="str">
        <f>'Reported burning'!D2636</f>
        <v>Pyrome management</v>
      </c>
      <c r="E2636" s="156" t="str">
        <f>'Reported burning'!E2636</f>
        <v>Fire suppression agent</v>
      </c>
      <c r="F2636" s="156" t="str">
        <f>'Reported burning'!F2636</f>
        <v>ND</v>
      </c>
      <c r="G2636" s="156" t="str">
        <f>'Reported burning'!G2636</f>
        <v>ND</v>
      </c>
      <c r="H2636" s="156" t="str">
        <f>'Reported burning'!H2636</f>
        <v>Presence</v>
      </c>
      <c r="I2636" s="5">
        <f>'Reported burning'!I2636</f>
        <v>2015</v>
      </c>
      <c r="J2636" s="204" t="s">
        <v>2276</v>
      </c>
      <c r="K2636" s="204" t="s">
        <v>2276</v>
      </c>
      <c r="L2636" s="204" t="s">
        <v>2276</v>
      </c>
      <c r="M2636" s="204" t="s">
        <v>2276</v>
      </c>
      <c r="N2636" s="204" t="s">
        <v>2276</v>
      </c>
      <c r="O2636" s="204" t="s">
        <v>2276</v>
      </c>
      <c r="P2636" s="204" t="s">
        <v>2276</v>
      </c>
      <c r="Q2636" s="204" t="s">
        <v>2276</v>
      </c>
      <c r="R2636" s="204" t="s">
        <v>2276</v>
      </c>
      <c r="S2636" s="204" t="s">
        <v>2276</v>
      </c>
      <c r="T2636" s="204" t="s">
        <v>2276</v>
      </c>
      <c r="U2636" s="204" t="s">
        <v>2276</v>
      </c>
      <c r="V2636" s="204" t="s">
        <v>2276</v>
      </c>
      <c r="W2636" s="204" t="s">
        <v>2276</v>
      </c>
      <c r="X2636" s="204" t="s">
        <v>35</v>
      </c>
      <c r="Y2636" s="204" t="s">
        <v>38</v>
      </c>
      <c r="Z2636" s="204" t="s">
        <v>64</v>
      </c>
      <c r="AA2636" s="204" t="s">
        <v>7627</v>
      </c>
      <c r="AB2636" s="204"/>
    </row>
    <row r="2637" spans="1:28" ht="33.5" customHeight="1">
      <c r="A2637" s="156" t="str">
        <f>'Reported burning'!A2637</f>
        <v>305m</v>
      </c>
      <c r="B2637" s="156" t="str">
        <f>'Reported burning'!B2637</f>
        <v>305m.15</v>
      </c>
      <c r="C2637" s="156" t="str">
        <f>'Reported burning'!C2637</f>
        <v>Human, deliberate</v>
      </c>
      <c r="D2637" s="156" t="str">
        <f>'Reported burning'!D2637</f>
        <v>Pyrome management</v>
      </c>
      <c r="E2637" s="156" t="str">
        <f>'Reported burning'!E2637</f>
        <v>Fire suppression agent</v>
      </c>
      <c r="F2637" s="156" t="str">
        <f>'Reported burning'!F2637</f>
        <v>ND</v>
      </c>
      <c r="G2637" s="156" t="str">
        <f>'Reported burning'!G2637</f>
        <v>ND</v>
      </c>
      <c r="H2637" s="156" t="str">
        <f>'Reported burning'!H2637</f>
        <v>Presence</v>
      </c>
      <c r="I2637" s="5">
        <f>'Reported burning'!I2637</f>
        <v>2015</v>
      </c>
      <c r="J2637" s="204" t="s">
        <v>2276</v>
      </c>
      <c r="K2637" s="204" t="s">
        <v>2276</v>
      </c>
      <c r="L2637" s="204" t="s">
        <v>2276</v>
      </c>
      <c r="M2637" s="204" t="s">
        <v>2276</v>
      </c>
      <c r="N2637" s="204" t="s">
        <v>2276</v>
      </c>
      <c r="O2637" s="204" t="s">
        <v>2276</v>
      </c>
      <c r="P2637" s="204" t="s">
        <v>2276</v>
      </c>
      <c r="Q2637" s="204" t="s">
        <v>2276</v>
      </c>
      <c r="R2637" s="204" t="s">
        <v>2276</v>
      </c>
      <c r="S2637" s="204" t="s">
        <v>2276</v>
      </c>
      <c r="T2637" s="204" t="s">
        <v>2276</v>
      </c>
      <c r="U2637" s="204" t="s">
        <v>2276</v>
      </c>
      <c r="V2637" s="204" t="s">
        <v>2276</v>
      </c>
      <c r="W2637" s="204" t="s">
        <v>2276</v>
      </c>
      <c r="X2637" s="204" t="s">
        <v>35</v>
      </c>
      <c r="Y2637" s="204" t="s">
        <v>38</v>
      </c>
      <c r="Z2637" s="204" t="s">
        <v>64</v>
      </c>
      <c r="AA2637" s="204" t="s">
        <v>7627</v>
      </c>
      <c r="AB2637" s="204"/>
    </row>
    <row r="2638" spans="1:28" ht="33.5" customHeight="1">
      <c r="A2638" s="156" t="str">
        <f>'Reported burning'!A2638</f>
        <v>305n</v>
      </c>
      <c r="B2638" s="156" t="str">
        <f>'Reported burning'!B2638</f>
        <v>305n.1</v>
      </c>
      <c r="C2638" s="156" t="str">
        <f>'Reported burning'!C2638</f>
        <v>Human, deliberate</v>
      </c>
      <c r="D2638" s="156" t="str">
        <f>'Reported burning'!D2638</f>
        <v>Pyrome management</v>
      </c>
      <c r="E2638" s="156" t="str">
        <f>'Reported burning'!E2638</f>
        <v>Fire suppression agent</v>
      </c>
      <c r="F2638" s="156" t="str">
        <f>'Reported burning'!F2638</f>
        <v>ND</v>
      </c>
      <c r="G2638" s="156" t="str">
        <f>'Reported burning'!G2638</f>
        <v>ND</v>
      </c>
      <c r="H2638" s="156" t="str">
        <f>'Reported burning'!H2638</f>
        <v>Presence</v>
      </c>
      <c r="I2638" s="5"/>
      <c r="J2638" s="204" t="s">
        <v>2276</v>
      </c>
      <c r="K2638" s="204" t="s">
        <v>2276</v>
      </c>
      <c r="L2638" s="204" t="s">
        <v>2276</v>
      </c>
      <c r="M2638" s="204" t="s">
        <v>2276</v>
      </c>
      <c r="N2638" s="204" t="s">
        <v>2276</v>
      </c>
      <c r="O2638" s="204" t="s">
        <v>2276</v>
      </c>
      <c r="P2638" s="204" t="s">
        <v>2276</v>
      </c>
      <c r="Q2638" s="204" t="s">
        <v>2276</v>
      </c>
      <c r="R2638" s="204" t="s">
        <v>2276</v>
      </c>
      <c r="S2638" s="204" t="s">
        <v>2276</v>
      </c>
      <c r="T2638" s="204" t="s">
        <v>2276</v>
      </c>
      <c r="U2638" s="204" t="s">
        <v>2276</v>
      </c>
      <c r="V2638" s="204" t="s">
        <v>2276</v>
      </c>
      <c r="W2638" s="204" t="s">
        <v>2276</v>
      </c>
      <c r="X2638" s="38" t="s">
        <v>68</v>
      </c>
      <c r="Y2638" s="204" t="s">
        <v>86</v>
      </c>
      <c r="Z2638" s="203" t="s">
        <v>76</v>
      </c>
      <c r="AA2638" s="204"/>
      <c r="AB2638" s="204"/>
    </row>
    <row r="2639" spans="1:28" ht="33.5" customHeight="1">
      <c r="A2639" s="156" t="str">
        <f>'Reported burning'!A2639</f>
        <v>305o</v>
      </c>
      <c r="B2639" s="156" t="str">
        <f>'Reported burning'!B2639</f>
        <v>305o.1</v>
      </c>
      <c r="C2639" s="156" t="str">
        <f>'Reported burning'!C2639</f>
        <v>Human, deliberate</v>
      </c>
      <c r="D2639" s="156" t="str">
        <f>'Reported burning'!D2639</f>
        <v>Pyrome management</v>
      </c>
      <c r="E2639" s="156" t="str">
        <f>'Reported burning'!E2639</f>
        <v>Fire suppression agent</v>
      </c>
      <c r="F2639" s="156" t="str">
        <f>'Reported burning'!F2639</f>
        <v>ND</v>
      </c>
      <c r="G2639" s="156" t="str">
        <f>'Reported burning'!G2639</f>
        <v>ND</v>
      </c>
      <c r="H2639" s="156" t="str">
        <f>'Reported burning'!H2639</f>
        <v>Presence</v>
      </c>
      <c r="I2639" s="5"/>
      <c r="J2639" s="204" t="s">
        <v>2276</v>
      </c>
      <c r="K2639" s="204" t="s">
        <v>2276</v>
      </c>
      <c r="L2639" s="204" t="s">
        <v>2276</v>
      </c>
      <c r="M2639" s="204" t="s">
        <v>2276</v>
      </c>
      <c r="N2639" s="204" t="s">
        <v>2276</v>
      </c>
      <c r="O2639" s="204" t="s">
        <v>2276</v>
      </c>
      <c r="P2639" s="204" t="s">
        <v>2276</v>
      </c>
      <c r="Q2639" s="204" t="s">
        <v>2276</v>
      </c>
      <c r="R2639" s="204" t="s">
        <v>2276</v>
      </c>
      <c r="S2639" s="204" t="s">
        <v>2276</v>
      </c>
      <c r="T2639" s="204" t="s">
        <v>2276</v>
      </c>
      <c r="U2639" s="204" t="s">
        <v>2276</v>
      </c>
      <c r="V2639" s="204" t="s">
        <v>2276</v>
      </c>
      <c r="W2639" s="204" t="s">
        <v>2276</v>
      </c>
      <c r="X2639" s="204" t="s">
        <v>68</v>
      </c>
      <c r="Y2639" s="204" t="s">
        <v>86</v>
      </c>
      <c r="Z2639" s="204" t="s">
        <v>76</v>
      </c>
      <c r="AA2639" s="204"/>
      <c r="AB2639" s="204"/>
    </row>
    <row r="2640" spans="1:28" ht="34.5" customHeight="1">
      <c r="A2640" s="156" t="str">
        <f>'Reported burning'!A2640</f>
        <v>305p</v>
      </c>
      <c r="B2640" s="156" t="str">
        <f>'Reported burning'!B2640</f>
        <v>305p.1</v>
      </c>
      <c r="C2640" s="156" t="str">
        <f>'Reported burning'!C2640</f>
        <v>Human, deliberate</v>
      </c>
      <c r="D2640" s="156" t="str">
        <f>'Reported burning'!D2640</f>
        <v>Pyrome management</v>
      </c>
      <c r="E2640" s="156" t="str">
        <f>'Reported burning'!E2640</f>
        <v>Fire suppression agent</v>
      </c>
      <c r="F2640" s="156" t="str">
        <f>'Reported burning'!F2640</f>
        <v>ND</v>
      </c>
      <c r="G2640" s="156" t="str">
        <f>'Reported burning'!G2640</f>
        <v>ND</v>
      </c>
      <c r="H2640" s="156" t="str">
        <f>'Reported burning'!H2640</f>
        <v>Presence</v>
      </c>
      <c r="I2640" s="5"/>
      <c r="J2640" s="204" t="s">
        <v>2276</v>
      </c>
      <c r="K2640" s="204" t="s">
        <v>2276</v>
      </c>
      <c r="L2640" s="204" t="s">
        <v>2276</v>
      </c>
      <c r="M2640" s="204" t="s">
        <v>2276</v>
      </c>
      <c r="N2640" s="204" t="s">
        <v>2276</v>
      </c>
      <c r="O2640" s="204" t="s">
        <v>2276</v>
      </c>
      <c r="P2640" s="204" t="s">
        <v>2276</v>
      </c>
      <c r="Q2640" s="204" t="s">
        <v>2276</v>
      </c>
      <c r="R2640" s="204" t="s">
        <v>2276</v>
      </c>
      <c r="S2640" s="204" t="s">
        <v>2276</v>
      </c>
      <c r="T2640" s="204" t="s">
        <v>2276</v>
      </c>
      <c r="U2640" s="204" t="s">
        <v>2276</v>
      </c>
      <c r="V2640" s="204" t="s">
        <v>2276</v>
      </c>
      <c r="W2640" s="204" t="s">
        <v>2276</v>
      </c>
      <c r="X2640" s="204" t="s">
        <v>68</v>
      </c>
      <c r="Y2640" s="204" t="s">
        <v>86</v>
      </c>
      <c r="Z2640" s="204" t="s">
        <v>76</v>
      </c>
      <c r="AA2640" s="204"/>
      <c r="AB2640" s="204"/>
    </row>
    <row r="2641" spans="1:28" ht="34.5" customHeight="1">
      <c r="A2641" s="156" t="str">
        <f>'Reported burning'!A2641</f>
        <v>305q</v>
      </c>
      <c r="B2641" s="156" t="str">
        <f>'Reported burning'!B2641</f>
        <v>305q.1</v>
      </c>
      <c r="C2641" s="156" t="str">
        <f>'Reported burning'!C2641</f>
        <v>Human, deliberate</v>
      </c>
      <c r="D2641" s="156" t="str">
        <f>'Reported burning'!D2641</f>
        <v>Pyrome management</v>
      </c>
      <c r="E2641" s="156" t="str">
        <f>'Reported burning'!E2641</f>
        <v>Fire suppression agent</v>
      </c>
      <c r="F2641" s="156" t="str">
        <f>'Reported burning'!F2641</f>
        <v>ND</v>
      </c>
      <c r="G2641" s="156" t="str">
        <f>'Reported burning'!G2641</f>
        <v>ND</v>
      </c>
      <c r="H2641" s="156" t="str">
        <f>'Reported burning'!H2641</f>
        <v>Presence</v>
      </c>
      <c r="I2641" s="5"/>
      <c r="J2641" s="204" t="s">
        <v>2276</v>
      </c>
      <c r="K2641" s="204" t="s">
        <v>2276</v>
      </c>
      <c r="L2641" s="204" t="s">
        <v>2276</v>
      </c>
      <c r="M2641" s="204" t="s">
        <v>2276</v>
      </c>
      <c r="N2641" s="204" t="s">
        <v>2276</v>
      </c>
      <c r="O2641" s="204" t="s">
        <v>2276</v>
      </c>
      <c r="P2641" s="204" t="s">
        <v>2276</v>
      </c>
      <c r="Q2641" s="204" t="s">
        <v>2276</v>
      </c>
      <c r="R2641" s="204" t="s">
        <v>2276</v>
      </c>
      <c r="S2641" s="204" t="s">
        <v>2276</v>
      </c>
      <c r="T2641" s="204" t="s">
        <v>2276</v>
      </c>
      <c r="U2641" s="204" t="s">
        <v>2276</v>
      </c>
      <c r="V2641" s="204" t="s">
        <v>2276</v>
      </c>
      <c r="W2641" s="204" t="s">
        <v>2276</v>
      </c>
      <c r="X2641" s="204" t="s">
        <v>68</v>
      </c>
      <c r="Y2641" s="204" t="s">
        <v>86</v>
      </c>
      <c r="Z2641" s="204" t="s">
        <v>76</v>
      </c>
      <c r="AA2641" s="204"/>
      <c r="AB2641" s="204"/>
    </row>
    <row r="2642" spans="1:28" ht="34.5" customHeight="1">
      <c r="A2642" s="156" t="str">
        <f>'Reported burning'!A2642</f>
        <v>305r</v>
      </c>
      <c r="B2642" s="156" t="str">
        <f>'Reported burning'!B2642</f>
        <v>305r.1</v>
      </c>
      <c r="C2642" s="156" t="str">
        <f>'Reported burning'!C2642</f>
        <v>Human, deliberate</v>
      </c>
      <c r="D2642" s="156" t="str">
        <f>'Reported burning'!D2642</f>
        <v>Pyrome management</v>
      </c>
      <c r="E2642" s="156" t="str">
        <f>'Reported burning'!E2642</f>
        <v>Fire suppression agent</v>
      </c>
      <c r="F2642" s="156" t="str">
        <f>'Reported burning'!F2642</f>
        <v>ND</v>
      </c>
      <c r="G2642" s="156" t="str">
        <f>'Reported burning'!G2642</f>
        <v>ND</v>
      </c>
      <c r="H2642" s="156" t="str">
        <f>'Reported burning'!H2642</f>
        <v>Absence</v>
      </c>
      <c r="I2642" s="5"/>
      <c r="J2642" s="14" t="s">
        <v>2364</v>
      </c>
      <c r="K2642" s="14" t="s">
        <v>2364</v>
      </c>
      <c r="L2642" s="14" t="s">
        <v>2364</v>
      </c>
      <c r="M2642" s="14" t="s">
        <v>2364</v>
      </c>
      <c r="N2642" s="14" t="s">
        <v>2364</v>
      </c>
      <c r="O2642" s="14" t="s">
        <v>2364</v>
      </c>
      <c r="P2642" s="14" t="s">
        <v>2364</v>
      </c>
      <c r="Q2642" s="14" t="s">
        <v>2364</v>
      </c>
      <c r="R2642" s="14" t="s">
        <v>2364</v>
      </c>
      <c r="S2642" s="14" t="s">
        <v>2364</v>
      </c>
      <c r="T2642" s="14" t="s">
        <v>2364</v>
      </c>
      <c r="U2642" s="14" t="s">
        <v>2364</v>
      </c>
      <c r="V2642" s="14" t="s">
        <v>2364</v>
      </c>
      <c r="W2642" s="204" t="s">
        <v>2276</v>
      </c>
      <c r="X2642" s="204" t="s">
        <v>68</v>
      </c>
      <c r="Y2642" s="204" t="s">
        <v>86</v>
      </c>
      <c r="Z2642" s="204" t="s">
        <v>76</v>
      </c>
      <c r="AA2642" s="204"/>
      <c r="AB2642" s="204"/>
    </row>
    <row r="2643" spans="1:28" ht="34.5" customHeight="1">
      <c r="A2643" s="156" t="str">
        <f>'Reported burning'!A2643</f>
        <v>305s</v>
      </c>
      <c r="B2643" s="156" t="str">
        <f>'Reported burning'!B2643</f>
        <v>305s.1</v>
      </c>
      <c r="C2643" s="156" t="str">
        <f>'Reported burning'!C2643</f>
        <v>Human, deliberate</v>
      </c>
      <c r="D2643" s="156" t="str">
        <f>'Reported burning'!D2643</f>
        <v>Pyrome management</v>
      </c>
      <c r="E2643" s="156" t="str">
        <f>'Reported burning'!E2643</f>
        <v>Fire suppression agent</v>
      </c>
      <c r="F2643" s="156" t="str">
        <f>'Reported burning'!F2643</f>
        <v>ND</v>
      </c>
      <c r="G2643" s="156" t="str">
        <f>'Reported burning'!G2643</f>
        <v>ND</v>
      </c>
      <c r="H2643" s="156" t="str">
        <f>'Reported burning'!H2643</f>
        <v>Absence</v>
      </c>
      <c r="I2643" s="5"/>
      <c r="J2643" s="14" t="s">
        <v>2364</v>
      </c>
      <c r="K2643" s="14" t="s">
        <v>2364</v>
      </c>
      <c r="L2643" s="14" t="s">
        <v>2364</v>
      </c>
      <c r="M2643" s="14" t="s">
        <v>2364</v>
      </c>
      <c r="N2643" s="14" t="s">
        <v>2364</v>
      </c>
      <c r="O2643" s="14" t="s">
        <v>2364</v>
      </c>
      <c r="P2643" s="14" t="s">
        <v>2364</v>
      </c>
      <c r="Q2643" s="14" t="s">
        <v>2364</v>
      </c>
      <c r="R2643" s="14" t="s">
        <v>2364</v>
      </c>
      <c r="S2643" s="14" t="s">
        <v>2364</v>
      </c>
      <c r="T2643" s="14" t="s">
        <v>2364</v>
      </c>
      <c r="U2643" s="14" t="s">
        <v>2364</v>
      </c>
      <c r="V2643" s="14" t="s">
        <v>2364</v>
      </c>
      <c r="W2643" s="204" t="s">
        <v>2276</v>
      </c>
      <c r="X2643" s="204" t="s">
        <v>68</v>
      </c>
      <c r="Y2643" s="204" t="s">
        <v>86</v>
      </c>
      <c r="Z2643" s="204" t="s">
        <v>76</v>
      </c>
      <c r="AA2643" s="204"/>
      <c r="AB2643" s="204"/>
    </row>
    <row r="2644" spans="1:28" ht="34.5" customHeight="1">
      <c r="A2644" s="156" t="str">
        <f>'Reported burning'!A2644</f>
        <v>305t</v>
      </c>
      <c r="B2644" s="156" t="str">
        <f>'Reported burning'!B2644</f>
        <v>305t.1</v>
      </c>
      <c r="C2644" s="156" t="str">
        <f>'Reported burning'!C2644</f>
        <v>Human, deliberate</v>
      </c>
      <c r="D2644" s="156" t="str">
        <f>'Reported burning'!D2644</f>
        <v>Pyrome management</v>
      </c>
      <c r="E2644" s="156" t="str">
        <f>'Reported burning'!E2644</f>
        <v>Fire suppression agent</v>
      </c>
      <c r="F2644" s="156" t="str">
        <f>'Reported burning'!F2644</f>
        <v>ND</v>
      </c>
      <c r="G2644" s="156" t="str">
        <f>'Reported burning'!G2644</f>
        <v>ND</v>
      </c>
      <c r="H2644" s="156" t="str">
        <f>'Reported burning'!H2644</f>
        <v>Absence</v>
      </c>
      <c r="I2644" s="5"/>
      <c r="J2644" s="14" t="s">
        <v>2364</v>
      </c>
      <c r="K2644" s="14" t="s">
        <v>2364</v>
      </c>
      <c r="L2644" s="14" t="s">
        <v>2364</v>
      </c>
      <c r="M2644" s="14" t="s">
        <v>2364</v>
      </c>
      <c r="N2644" s="14" t="s">
        <v>2364</v>
      </c>
      <c r="O2644" s="14" t="s">
        <v>2364</v>
      </c>
      <c r="P2644" s="14" t="s">
        <v>2364</v>
      </c>
      <c r="Q2644" s="14" t="s">
        <v>2364</v>
      </c>
      <c r="R2644" s="14" t="s">
        <v>2364</v>
      </c>
      <c r="S2644" s="14" t="s">
        <v>2364</v>
      </c>
      <c r="T2644" s="14" t="s">
        <v>2364</v>
      </c>
      <c r="U2644" s="14" t="s">
        <v>2364</v>
      </c>
      <c r="V2644" s="14" t="s">
        <v>2364</v>
      </c>
      <c r="W2644" s="204" t="s">
        <v>2276</v>
      </c>
      <c r="X2644" s="204" t="s">
        <v>68</v>
      </c>
      <c r="Y2644" s="204" t="s">
        <v>86</v>
      </c>
      <c r="Z2644" s="204" t="s">
        <v>76</v>
      </c>
      <c r="AA2644" s="204"/>
      <c r="AB2644" s="204"/>
    </row>
    <row r="2645" spans="1:28" ht="34.5" customHeight="1">
      <c r="A2645" s="156" t="str">
        <f>'Reported burning'!A2645</f>
        <v>305u</v>
      </c>
      <c r="B2645" s="156" t="str">
        <f>'Reported burning'!B2645</f>
        <v>305u.1</v>
      </c>
      <c r="C2645" s="156" t="str">
        <f>'Reported burning'!C2645</f>
        <v>Human, deliberate</v>
      </c>
      <c r="D2645" s="156" t="str">
        <f>'Reported burning'!D2645</f>
        <v>Pyrome management</v>
      </c>
      <c r="E2645" s="156" t="str">
        <f>'Reported burning'!E2645</f>
        <v>Fire suppression agent</v>
      </c>
      <c r="F2645" s="156" t="str">
        <f>'Reported burning'!F2645</f>
        <v>ND</v>
      </c>
      <c r="G2645" s="156" t="str">
        <f>'Reported burning'!G2645</f>
        <v>ND</v>
      </c>
      <c r="H2645" s="156" t="str">
        <f>'Reported burning'!H2645</f>
        <v>Presence</v>
      </c>
      <c r="I2645" s="5"/>
      <c r="J2645" s="204" t="s">
        <v>2276</v>
      </c>
      <c r="K2645" s="204" t="s">
        <v>2276</v>
      </c>
      <c r="L2645" s="204" t="s">
        <v>2276</v>
      </c>
      <c r="M2645" s="204" t="s">
        <v>2276</v>
      </c>
      <c r="N2645" s="204" t="s">
        <v>2276</v>
      </c>
      <c r="O2645" s="204" t="s">
        <v>2276</v>
      </c>
      <c r="P2645" s="204" t="s">
        <v>2276</v>
      </c>
      <c r="Q2645" s="204" t="s">
        <v>2276</v>
      </c>
      <c r="R2645" s="204" t="s">
        <v>2276</v>
      </c>
      <c r="S2645" s="204" t="s">
        <v>2276</v>
      </c>
      <c r="T2645" s="204" t="s">
        <v>2276</v>
      </c>
      <c r="U2645" s="204" t="s">
        <v>2276</v>
      </c>
      <c r="V2645" s="204" t="s">
        <v>2276</v>
      </c>
      <c r="W2645" s="204" t="s">
        <v>2276</v>
      </c>
      <c r="X2645" s="204" t="s">
        <v>68</v>
      </c>
      <c r="Y2645" s="204" t="s">
        <v>86</v>
      </c>
      <c r="Z2645" s="204" t="s">
        <v>76</v>
      </c>
      <c r="AA2645" s="204"/>
      <c r="AB2645" s="204"/>
    </row>
    <row r="2646" spans="1:28" ht="34.5" customHeight="1">
      <c r="A2646" s="156" t="str">
        <f>'Reported burning'!A2646</f>
        <v>305v</v>
      </c>
      <c r="B2646" s="156" t="str">
        <f>'Reported burning'!B2646</f>
        <v>305v.1</v>
      </c>
      <c r="C2646" s="156" t="str">
        <f>'Reported burning'!C2646</f>
        <v>Human, deliberate</v>
      </c>
      <c r="D2646" s="156" t="str">
        <f>'Reported burning'!D2646</f>
        <v>Pyrome management</v>
      </c>
      <c r="E2646" s="156" t="str">
        <f>'Reported burning'!E2646</f>
        <v>Fire suppression agent</v>
      </c>
      <c r="F2646" s="156" t="str">
        <f>'Reported burning'!F2646</f>
        <v>ND</v>
      </c>
      <c r="G2646" s="156" t="str">
        <f>'Reported burning'!G2646</f>
        <v>ND</v>
      </c>
      <c r="H2646" s="156" t="str">
        <f>'Reported burning'!H2646</f>
        <v>Presence</v>
      </c>
      <c r="I2646" s="5"/>
      <c r="J2646" s="204" t="s">
        <v>2276</v>
      </c>
      <c r="K2646" s="204" t="s">
        <v>2276</v>
      </c>
      <c r="L2646" s="204" t="s">
        <v>2276</v>
      </c>
      <c r="M2646" s="204" t="s">
        <v>2276</v>
      </c>
      <c r="N2646" s="204" t="s">
        <v>2276</v>
      </c>
      <c r="O2646" s="204" t="s">
        <v>2276</v>
      </c>
      <c r="P2646" s="204" t="s">
        <v>2276</v>
      </c>
      <c r="Q2646" s="204" t="s">
        <v>2276</v>
      </c>
      <c r="R2646" s="204" t="s">
        <v>2276</v>
      </c>
      <c r="S2646" s="204" t="s">
        <v>2276</v>
      </c>
      <c r="T2646" s="204" t="s">
        <v>2276</v>
      </c>
      <c r="U2646" s="204" t="s">
        <v>2276</v>
      </c>
      <c r="V2646" s="204" t="s">
        <v>2276</v>
      </c>
      <c r="W2646" s="204" t="s">
        <v>2276</v>
      </c>
      <c r="X2646" s="204" t="s">
        <v>68</v>
      </c>
      <c r="Y2646" s="204" t="s">
        <v>86</v>
      </c>
      <c r="Z2646" s="204" t="s">
        <v>76</v>
      </c>
      <c r="AA2646" s="204"/>
      <c r="AB2646" s="204"/>
    </row>
    <row r="2647" spans="1:28" ht="34.5" customHeight="1">
      <c r="A2647" s="156" t="str">
        <f>'Reported burning'!A2647</f>
        <v>305w</v>
      </c>
      <c r="B2647" s="156" t="str">
        <f>'Reported burning'!B2647</f>
        <v>305w.1</v>
      </c>
      <c r="C2647" s="156" t="str">
        <f>'Reported burning'!C2647</f>
        <v>Human, deliberate</v>
      </c>
      <c r="D2647" s="156" t="str">
        <f>'Reported burning'!D2647</f>
        <v>Pyrome management</v>
      </c>
      <c r="E2647" s="156" t="str">
        <f>'Reported burning'!E2647</f>
        <v>Fire suppression agent</v>
      </c>
      <c r="F2647" s="156" t="str">
        <f>'Reported burning'!F2647</f>
        <v>ND</v>
      </c>
      <c r="G2647" s="156" t="str">
        <f>'Reported burning'!G2647</f>
        <v>ND</v>
      </c>
      <c r="H2647" s="156" t="str">
        <f>'Reported burning'!H2647</f>
        <v>Presence</v>
      </c>
      <c r="I2647" s="5"/>
      <c r="J2647" s="204" t="s">
        <v>2276</v>
      </c>
      <c r="K2647" s="204" t="s">
        <v>2276</v>
      </c>
      <c r="L2647" s="204" t="s">
        <v>2276</v>
      </c>
      <c r="M2647" s="204" t="s">
        <v>2276</v>
      </c>
      <c r="N2647" s="204" t="s">
        <v>2276</v>
      </c>
      <c r="O2647" s="204" t="s">
        <v>2276</v>
      </c>
      <c r="P2647" s="204" t="s">
        <v>2276</v>
      </c>
      <c r="Q2647" s="204" t="s">
        <v>2276</v>
      </c>
      <c r="R2647" s="204" t="s">
        <v>2276</v>
      </c>
      <c r="S2647" s="204" t="s">
        <v>2276</v>
      </c>
      <c r="T2647" s="204" t="s">
        <v>2276</v>
      </c>
      <c r="U2647" s="204" t="s">
        <v>2276</v>
      </c>
      <c r="V2647" s="204" t="s">
        <v>2276</v>
      </c>
      <c r="W2647" s="204" t="s">
        <v>2276</v>
      </c>
      <c r="X2647" s="204" t="s">
        <v>68</v>
      </c>
      <c r="Y2647" s="204" t="s">
        <v>86</v>
      </c>
      <c r="Z2647" s="204" t="s">
        <v>76</v>
      </c>
      <c r="AA2647" s="204"/>
      <c r="AB2647" s="204"/>
    </row>
    <row r="2648" spans="1:28" ht="34.5" customHeight="1">
      <c r="A2648" s="156" t="str">
        <f>'Reported burning'!A2648</f>
        <v>305x</v>
      </c>
      <c r="B2648" s="156" t="str">
        <f>'Reported burning'!B2648</f>
        <v>305x.1</v>
      </c>
      <c r="C2648" s="156" t="str">
        <f>'Reported burning'!C2648</f>
        <v>Human, deliberate</v>
      </c>
      <c r="D2648" s="156" t="str">
        <f>'Reported burning'!D2648</f>
        <v>Pyrome management</v>
      </c>
      <c r="E2648" s="156" t="str">
        <f>'Reported burning'!E2648</f>
        <v>Fire suppression agent</v>
      </c>
      <c r="F2648" s="156" t="str">
        <f>'Reported burning'!F2648</f>
        <v>ND</v>
      </c>
      <c r="G2648" s="156" t="str">
        <f>'Reported burning'!G2648</f>
        <v>ND</v>
      </c>
      <c r="H2648" s="156" t="str">
        <f>'Reported burning'!H2648</f>
        <v>Presence</v>
      </c>
      <c r="I2648" s="5"/>
      <c r="J2648" s="204" t="s">
        <v>2276</v>
      </c>
      <c r="K2648" s="204" t="s">
        <v>2276</v>
      </c>
      <c r="L2648" s="204" t="s">
        <v>2276</v>
      </c>
      <c r="M2648" s="204" t="s">
        <v>2276</v>
      </c>
      <c r="N2648" s="204" t="s">
        <v>2276</v>
      </c>
      <c r="O2648" s="204" t="s">
        <v>2276</v>
      </c>
      <c r="P2648" s="204" t="s">
        <v>2276</v>
      </c>
      <c r="Q2648" s="204" t="s">
        <v>2276</v>
      </c>
      <c r="R2648" s="204" t="s">
        <v>2276</v>
      </c>
      <c r="S2648" s="204" t="s">
        <v>2276</v>
      </c>
      <c r="T2648" s="204" t="s">
        <v>2276</v>
      </c>
      <c r="U2648" s="204" t="s">
        <v>2276</v>
      </c>
      <c r="V2648" s="204" t="s">
        <v>2276</v>
      </c>
      <c r="W2648" s="204" t="s">
        <v>2276</v>
      </c>
      <c r="X2648" s="204" t="s">
        <v>68</v>
      </c>
      <c r="Y2648" s="204" t="s">
        <v>86</v>
      </c>
      <c r="Z2648" s="204" t="s">
        <v>76</v>
      </c>
      <c r="AA2648" s="204"/>
      <c r="AB2648" s="204"/>
    </row>
    <row r="2649" spans="1:28" ht="34.5" customHeight="1">
      <c r="A2649" s="156" t="str">
        <f>'Reported burning'!A2649</f>
        <v>305y</v>
      </c>
      <c r="B2649" s="156" t="str">
        <f>'Reported burning'!B2649</f>
        <v>305y.1</v>
      </c>
      <c r="C2649" s="156" t="str">
        <f>'Reported burning'!C2649</f>
        <v>Human, deliberate</v>
      </c>
      <c r="D2649" s="156" t="str">
        <f>'Reported burning'!D2649</f>
        <v>Pyrome management</v>
      </c>
      <c r="E2649" s="156" t="str">
        <f>'Reported burning'!E2649</f>
        <v>Fire suppression agent</v>
      </c>
      <c r="F2649" s="156" t="str">
        <f>'Reported burning'!F2649</f>
        <v>ND</v>
      </c>
      <c r="G2649" s="156" t="str">
        <f>'Reported burning'!G2649</f>
        <v>ND</v>
      </c>
      <c r="H2649" s="156" t="str">
        <f>'Reported burning'!H2649</f>
        <v>Presence</v>
      </c>
      <c r="I2649" s="5"/>
      <c r="J2649" s="204" t="s">
        <v>2276</v>
      </c>
      <c r="K2649" s="204" t="s">
        <v>2276</v>
      </c>
      <c r="L2649" s="204" t="s">
        <v>2276</v>
      </c>
      <c r="M2649" s="204" t="s">
        <v>2276</v>
      </c>
      <c r="N2649" s="204" t="s">
        <v>2276</v>
      </c>
      <c r="O2649" s="204" t="s">
        <v>2276</v>
      </c>
      <c r="P2649" s="204" t="s">
        <v>2276</v>
      </c>
      <c r="Q2649" s="204" t="s">
        <v>2276</v>
      </c>
      <c r="R2649" s="204" t="s">
        <v>2276</v>
      </c>
      <c r="S2649" s="204" t="s">
        <v>2276</v>
      </c>
      <c r="T2649" s="204" t="s">
        <v>2276</v>
      </c>
      <c r="U2649" s="204" t="s">
        <v>2276</v>
      </c>
      <c r="V2649" s="204" t="s">
        <v>2276</v>
      </c>
      <c r="W2649" s="204" t="s">
        <v>2276</v>
      </c>
      <c r="X2649" s="204" t="s">
        <v>68</v>
      </c>
      <c r="Y2649" s="204" t="s">
        <v>86</v>
      </c>
      <c r="Z2649" s="204" t="s">
        <v>76</v>
      </c>
      <c r="AA2649" s="204"/>
      <c r="AB2649" s="204"/>
    </row>
    <row r="2650" spans="1:28" ht="34.5" customHeight="1">
      <c r="A2650" s="156" t="str">
        <f>'Reported burning'!A2650</f>
        <v>305z</v>
      </c>
      <c r="B2650" s="156" t="str">
        <f>'Reported burning'!B2650</f>
        <v>305z.1</v>
      </c>
      <c r="C2650" s="156" t="str">
        <f>'Reported burning'!C2650</f>
        <v>Human, deliberate</v>
      </c>
      <c r="D2650" s="156" t="str">
        <f>'Reported burning'!D2650</f>
        <v>Pyrome management</v>
      </c>
      <c r="E2650" s="156" t="str">
        <f>'Reported burning'!E2650</f>
        <v>Fire suppression agent</v>
      </c>
      <c r="F2650" s="156" t="str">
        <f>'Reported burning'!F2650</f>
        <v>ND</v>
      </c>
      <c r="G2650" s="156" t="str">
        <f>'Reported burning'!G2650</f>
        <v>ND</v>
      </c>
      <c r="H2650" s="156" t="str">
        <f>'Reported burning'!H2650</f>
        <v>Presence</v>
      </c>
      <c r="I2650" s="5"/>
      <c r="J2650" s="204" t="s">
        <v>2276</v>
      </c>
      <c r="K2650" s="204" t="s">
        <v>2276</v>
      </c>
      <c r="L2650" s="204" t="s">
        <v>2276</v>
      </c>
      <c r="M2650" s="204" t="s">
        <v>2276</v>
      </c>
      <c r="N2650" s="204" t="s">
        <v>2276</v>
      </c>
      <c r="O2650" s="204" t="s">
        <v>2276</v>
      </c>
      <c r="P2650" s="204" t="s">
        <v>2276</v>
      </c>
      <c r="Q2650" s="204" t="s">
        <v>2276</v>
      </c>
      <c r="R2650" s="204" t="s">
        <v>2276</v>
      </c>
      <c r="S2650" s="204" t="s">
        <v>2276</v>
      </c>
      <c r="T2650" s="204" t="s">
        <v>2276</v>
      </c>
      <c r="U2650" s="204" t="s">
        <v>2276</v>
      </c>
      <c r="V2650" s="204" t="s">
        <v>2276</v>
      </c>
      <c r="W2650" s="204" t="s">
        <v>2276</v>
      </c>
      <c r="X2650" s="204" t="s">
        <v>68</v>
      </c>
      <c r="Y2650" s="204" t="s">
        <v>86</v>
      </c>
      <c r="Z2650" s="204" t="s">
        <v>76</v>
      </c>
      <c r="AA2650" s="204"/>
      <c r="AB2650" s="204"/>
    </row>
    <row r="2651" spans="1:28" ht="34.5" customHeight="1">
      <c r="A2651" s="156" t="str">
        <f>'Reported burning'!A2651</f>
        <v>305aa</v>
      </c>
      <c r="B2651" s="156" t="str">
        <f>'Reported burning'!B2651</f>
        <v>305aa.1</v>
      </c>
      <c r="C2651" s="156" t="str">
        <f>'Reported burning'!C2651</f>
        <v>Human, deliberate</v>
      </c>
      <c r="D2651" s="156" t="str">
        <f>'Reported burning'!D2651</f>
        <v>Pyrome management</v>
      </c>
      <c r="E2651" s="156" t="str">
        <f>'Reported burning'!E2651</f>
        <v>Fire suppression agent</v>
      </c>
      <c r="F2651" s="156" t="str">
        <f>'Reported burning'!F2651</f>
        <v>ND</v>
      </c>
      <c r="G2651" s="156" t="str">
        <f>'Reported burning'!G2651</f>
        <v>ND</v>
      </c>
      <c r="H2651" s="156" t="str">
        <f>'Reported burning'!H2651</f>
        <v>Presence</v>
      </c>
      <c r="I2651" s="5"/>
      <c r="J2651" s="204" t="s">
        <v>2276</v>
      </c>
      <c r="K2651" s="204" t="s">
        <v>2276</v>
      </c>
      <c r="L2651" s="204" t="s">
        <v>2276</v>
      </c>
      <c r="M2651" s="204" t="s">
        <v>2276</v>
      </c>
      <c r="N2651" s="204" t="s">
        <v>2276</v>
      </c>
      <c r="O2651" s="204" t="s">
        <v>2276</v>
      </c>
      <c r="P2651" s="204" t="s">
        <v>2276</v>
      </c>
      <c r="Q2651" s="204" t="s">
        <v>2276</v>
      </c>
      <c r="R2651" s="204" t="s">
        <v>2276</v>
      </c>
      <c r="S2651" s="204" t="s">
        <v>2276</v>
      </c>
      <c r="T2651" s="204" t="s">
        <v>2276</v>
      </c>
      <c r="U2651" s="204" t="s">
        <v>2276</v>
      </c>
      <c r="V2651" s="204" t="s">
        <v>2276</v>
      </c>
      <c r="W2651" s="204" t="s">
        <v>2276</v>
      </c>
      <c r="X2651" s="204" t="s">
        <v>68</v>
      </c>
      <c r="Y2651" s="204" t="s">
        <v>86</v>
      </c>
      <c r="Z2651" s="204" t="s">
        <v>76</v>
      </c>
      <c r="AA2651" s="204"/>
      <c r="AB2651" s="204"/>
    </row>
    <row r="2652" spans="1:28" ht="34.5" customHeight="1">
      <c r="A2652" s="156" t="str">
        <f>'Reported burning'!A2652</f>
        <v>305ab</v>
      </c>
      <c r="B2652" s="156" t="str">
        <f>'Reported burning'!B2652</f>
        <v>305ab.1</v>
      </c>
      <c r="C2652" s="156" t="str">
        <f>'Reported burning'!C2652</f>
        <v>Human, deliberate</v>
      </c>
      <c r="D2652" s="156" t="str">
        <f>'Reported burning'!D2652</f>
        <v>Pyrome management</v>
      </c>
      <c r="E2652" s="156" t="str">
        <f>'Reported burning'!E2652</f>
        <v>Fire suppression agent</v>
      </c>
      <c r="F2652" s="156" t="str">
        <f>'Reported burning'!F2652</f>
        <v>ND</v>
      </c>
      <c r="G2652" s="156" t="str">
        <f>'Reported burning'!G2652</f>
        <v>ND</v>
      </c>
      <c r="H2652" s="156" t="str">
        <f>'Reported burning'!H2652</f>
        <v>Presence</v>
      </c>
      <c r="I2652" s="5"/>
      <c r="J2652" s="204" t="s">
        <v>2276</v>
      </c>
      <c r="K2652" s="204" t="s">
        <v>2276</v>
      </c>
      <c r="L2652" s="204" t="s">
        <v>2276</v>
      </c>
      <c r="M2652" s="204" t="s">
        <v>2276</v>
      </c>
      <c r="N2652" s="204" t="s">
        <v>2276</v>
      </c>
      <c r="O2652" s="204" t="s">
        <v>2276</v>
      </c>
      <c r="P2652" s="204" t="s">
        <v>2276</v>
      </c>
      <c r="Q2652" s="204" t="s">
        <v>2276</v>
      </c>
      <c r="R2652" s="204" t="s">
        <v>2276</v>
      </c>
      <c r="S2652" s="204" t="s">
        <v>2276</v>
      </c>
      <c r="T2652" s="204" t="s">
        <v>2276</v>
      </c>
      <c r="U2652" s="204" t="s">
        <v>2276</v>
      </c>
      <c r="V2652" s="204" t="s">
        <v>2276</v>
      </c>
      <c r="W2652" s="204" t="s">
        <v>2276</v>
      </c>
      <c r="X2652" s="204" t="s">
        <v>68</v>
      </c>
      <c r="Y2652" s="204" t="s">
        <v>86</v>
      </c>
      <c r="Z2652" s="204" t="s">
        <v>76</v>
      </c>
      <c r="AA2652" s="204"/>
      <c r="AB2652" s="204"/>
    </row>
    <row r="2653" spans="1:28" ht="34.5" customHeight="1">
      <c r="A2653" s="156" t="str">
        <f>'Reported burning'!A2653</f>
        <v>305ac</v>
      </c>
      <c r="B2653" s="156" t="str">
        <f>'Reported burning'!B2653</f>
        <v>305ac.1</v>
      </c>
      <c r="C2653" s="156" t="str">
        <f>'Reported burning'!C2653</f>
        <v>Human, deliberate</v>
      </c>
      <c r="D2653" s="156" t="str">
        <f>'Reported burning'!D2653</f>
        <v>Pyrome management</v>
      </c>
      <c r="E2653" s="156" t="str">
        <f>'Reported burning'!E2653</f>
        <v>Fire suppression agent</v>
      </c>
      <c r="F2653" s="156" t="str">
        <f>'Reported burning'!F2653</f>
        <v>ND</v>
      </c>
      <c r="G2653" s="156" t="str">
        <f>'Reported burning'!G2653</f>
        <v>ND</v>
      </c>
      <c r="H2653" s="156" t="str">
        <f>'Reported burning'!H2653</f>
        <v>Presence</v>
      </c>
      <c r="I2653" s="5"/>
      <c r="J2653" s="204" t="s">
        <v>2276</v>
      </c>
      <c r="K2653" s="204" t="s">
        <v>2276</v>
      </c>
      <c r="L2653" s="204" t="s">
        <v>2276</v>
      </c>
      <c r="M2653" s="204" t="s">
        <v>2276</v>
      </c>
      <c r="N2653" s="204" t="s">
        <v>2276</v>
      </c>
      <c r="O2653" s="204" t="s">
        <v>2276</v>
      </c>
      <c r="P2653" s="204" t="s">
        <v>2276</v>
      </c>
      <c r="Q2653" s="204" t="s">
        <v>2276</v>
      </c>
      <c r="R2653" s="204" t="s">
        <v>2276</v>
      </c>
      <c r="S2653" s="204" t="s">
        <v>2276</v>
      </c>
      <c r="T2653" s="204" t="s">
        <v>2276</v>
      </c>
      <c r="U2653" s="204" t="s">
        <v>2276</v>
      </c>
      <c r="V2653" s="204" t="s">
        <v>2276</v>
      </c>
      <c r="W2653" s="204" t="s">
        <v>2276</v>
      </c>
      <c r="X2653" s="204" t="s">
        <v>68</v>
      </c>
      <c r="Y2653" s="204" t="s">
        <v>86</v>
      </c>
      <c r="Z2653" s="204" t="s">
        <v>76</v>
      </c>
      <c r="AA2653" s="204"/>
      <c r="AB2653" s="204"/>
    </row>
    <row r="2654" spans="1:28" ht="34.5" customHeight="1">
      <c r="A2654" s="156" t="str">
        <f>'Reported burning'!A2654</f>
        <v>305ad</v>
      </c>
      <c r="B2654" s="156" t="str">
        <f>'Reported burning'!B2654</f>
        <v>305ad.1</v>
      </c>
      <c r="C2654" s="156" t="str">
        <f>'Reported burning'!C2654</f>
        <v>Human, deliberate</v>
      </c>
      <c r="D2654" s="156" t="str">
        <f>'Reported burning'!D2654</f>
        <v>Pyrome management</v>
      </c>
      <c r="E2654" s="156" t="str">
        <f>'Reported burning'!E2654</f>
        <v>Fire suppression agent</v>
      </c>
      <c r="F2654" s="156" t="str">
        <f>'Reported burning'!F2654</f>
        <v>ND</v>
      </c>
      <c r="G2654" s="156" t="str">
        <f>'Reported burning'!G2654</f>
        <v>ND</v>
      </c>
      <c r="H2654" s="156" t="str">
        <f>'Reported burning'!H2654</f>
        <v>Presence</v>
      </c>
      <c r="I2654" s="5"/>
      <c r="J2654" s="204" t="s">
        <v>2276</v>
      </c>
      <c r="K2654" s="204" t="s">
        <v>2276</v>
      </c>
      <c r="L2654" s="204" t="s">
        <v>2276</v>
      </c>
      <c r="M2654" s="204" t="s">
        <v>2276</v>
      </c>
      <c r="N2654" s="204" t="s">
        <v>2276</v>
      </c>
      <c r="O2654" s="204" t="s">
        <v>2276</v>
      </c>
      <c r="P2654" s="204" t="s">
        <v>2276</v>
      </c>
      <c r="Q2654" s="204" t="s">
        <v>2276</v>
      </c>
      <c r="R2654" s="204" t="s">
        <v>2276</v>
      </c>
      <c r="S2654" s="204" t="s">
        <v>2276</v>
      </c>
      <c r="T2654" s="204" t="s">
        <v>2276</v>
      </c>
      <c r="U2654" s="204" t="s">
        <v>2276</v>
      </c>
      <c r="V2654" s="204" t="s">
        <v>2276</v>
      </c>
      <c r="W2654" s="204" t="s">
        <v>2276</v>
      </c>
      <c r="X2654" s="204" t="s">
        <v>68</v>
      </c>
      <c r="Y2654" s="204" t="s">
        <v>86</v>
      </c>
      <c r="Z2654" s="204" t="s">
        <v>76</v>
      </c>
      <c r="AA2654" s="204"/>
      <c r="AB2654" s="204"/>
    </row>
    <row r="2655" spans="1:28" ht="34.5" customHeight="1">
      <c r="A2655" s="156" t="str">
        <f>'Reported burning'!A2655</f>
        <v>305ae</v>
      </c>
      <c r="B2655" s="156" t="str">
        <f>'Reported burning'!B2655</f>
        <v>305ae.1</v>
      </c>
      <c r="C2655" s="156" t="str">
        <f>'Reported burning'!C2655</f>
        <v>Human, deliberate</v>
      </c>
      <c r="D2655" s="156" t="str">
        <f>'Reported burning'!D2655</f>
        <v>Pyrome management</v>
      </c>
      <c r="E2655" s="156" t="str">
        <f>'Reported burning'!E2655</f>
        <v>Fire suppression agent</v>
      </c>
      <c r="F2655" s="156" t="str">
        <f>'Reported burning'!F2655</f>
        <v>ND</v>
      </c>
      <c r="G2655" s="156" t="str">
        <f>'Reported burning'!G2655</f>
        <v>ND</v>
      </c>
      <c r="H2655" s="156" t="str">
        <f>'Reported burning'!H2655</f>
        <v>Presence</v>
      </c>
      <c r="I2655" s="5"/>
      <c r="J2655" s="204" t="s">
        <v>2276</v>
      </c>
      <c r="K2655" s="204" t="s">
        <v>2276</v>
      </c>
      <c r="L2655" s="204" t="s">
        <v>2276</v>
      </c>
      <c r="M2655" s="204" t="s">
        <v>2276</v>
      </c>
      <c r="N2655" s="204" t="s">
        <v>2276</v>
      </c>
      <c r="O2655" s="204" t="s">
        <v>2276</v>
      </c>
      <c r="P2655" s="204" t="s">
        <v>2276</v>
      </c>
      <c r="Q2655" s="204" t="s">
        <v>2276</v>
      </c>
      <c r="R2655" s="204" t="s">
        <v>2276</v>
      </c>
      <c r="S2655" s="204" t="s">
        <v>2276</v>
      </c>
      <c r="T2655" s="204" t="s">
        <v>2276</v>
      </c>
      <c r="U2655" s="204" t="s">
        <v>2276</v>
      </c>
      <c r="V2655" s="204" t="s">
        <v>2276</v>
      </c>
      <c r="W2655" s="204" t="s">
        <v>2276</v>
      </c>
      <c r="X2655" s="204" t="s">
        <v>68</v>
      </c>
      <c r="Y2655" s="204" t="s">
        <v>86</v>
      </c>
      <c r="Z2655" s="204" t="s">
        <v>76</v>
      </c>
      <c r="AA2655" s="204"/>
      <c r="AB2655" s="204"/>
    </row>
    <row r="2656" spans="1:28" ht="34.5" customHeight="1">
      <c r="A2656" s="156" t="str">
        <f>'Reported burning'!A2656</f>
        <v>305n</v>
      </c>
      <c r="B2656" s="156" t="str">
        <f>'Reported burning'!B2656</f>
        <v>305n.2</v>
      </c>
      <c r="C2656" s="156" t="str">
        <f>'Reported burning'!C2656</f>
        <v>Human, deliberate</v>
      </c>
      <c r="D2656" s="156" t="str">
        <f>'Reported burning'!D2656</f>
        <v>Pyrome management</v>
      </c>
      <c r="E2656" s="156" t="str">
        <f>'Reported burning'!E2656</f>
        <v>Fire suppression agent</v>
      </c>
      <c r="F2656" s="156" t="str">
        <f>'Reported burning'!F2656</f>
        <v>ND</v>
      </c>
      <c r="G2656" s="156" t="str">
        <f>'Reported burning'!G2656</f>
        <v>ND</v>
      </c>
      <c r="H2656" s="156" t="str">
        <f>'Reported burning'!H2656</f>
        <v>Presence</v>
      </c>
      <c r="I2656" s="5"/>
      <c r="J2656" s="204" t="s">
        <v>2276</v>
      </c>
      <c r="K2656" s="204" t="s">
        <v>2276</v>
      </c>
      <c r="L2656" s="204" t="s">
        <v>2276</v>
      </c>
      <c r="M2656" s="204" t="s">
        <v>2276</v>
      </c>
      <c r="N2656" s="204" t="s">
        <v>2276</v>
      </c>
      <c r="O2656" s="204" t="s">
        <v>2276</v>
      </c>
      <c r="P2656" s="204" t="s">
        <v>2276</v>
      </c>
      <c r="Q2656" s="204" t="s">
        <v>2276</v>
      </c>
      <c r="R2656" s="204" t="s">
        <v>2276</v>
      </c>
      <c r="S2656" s="204" t="s">
        <v>2276</v>
      </c>
      <c r="T2656" s="204" t="s">
        <v>2276</v>
      </c>
      <c r="U2656" s="204" t="s">
        <v>2276</v>
      </c>
      <c r="V2656" s="204" t="s">
        <v>2276</v>
      </c>
      <c r="W2656" s="204" t="s">
        <v>2276</v>
      </c>
      <c r="X2656" s="204" t="s">
        <v>68</v>
      </c>
      <c r="Y2656" s="204" t="s">
        <v>86</v>
      </c>
      <c r="Z2656" s="204" t="s">
        <v>76</v>
      </c>
      <c r="AA2656" s="204"/>
      <c r="AB2656" s="204"/>
    </row>
    <row r="2657" spans="1:28" ht="34.5" customHeight="1">
      <c r="A2657" s="156" t="str">
        <f>'Reported burning'!A2657</f>
        <v>305o</v>
      </c>
      <c r="B2657" s="156" t="str">
        <f>'Reported burning'!B2657</f>
        <v>305o.2</v>
      </c>
      <c r="C2657" s="156" t="str">
        <f>'Reported burning'!C2657</f>
        <v>Human, deliberate</v>
      </c>
      <c r="D2657" s="156" t="str">
        <f>'Reported burning'!D2657</f>
        <v>Pyrome management</v>
      </c>
      <c r="E2657" s="156" t="str">
        <f>'Reported burning'!E2657</f>
        <v>Fire suppression agent</v>
      </c>
      <c r="F2657" s="156" t="str">
        <f>'Reported burning'!F2657</f>
        <v>ND</v>
      </c>
      <c r="G2657" s="156" t="str">
        <f>'Reported burning'!G2657</f>
        <v>ND</v>
      </c>
      <c r="H2657" s="156" t="str">
        <f>'Reported burning'!H2657</f>
        <v>Presence</v>
      </c>
      <c r="I2657" s="5"/>
      <c r="J2657" s="204" t="s">
        <v>2276</v>
      </c>
      <c r="K2657" s="204" t="s">
        <v>2276</v>
      </c>
      <c r="L2657" s="204" t="s">
        <v>2276</v>
      </c>
      <c r="M2657" s="204" t="s">
        <v>2276</v>
      </c>
      <c r="N2657" s="204" t="s">
        <v>2276</v>
      </c>
      <c r="O2657" s="204" t="s">
        <v>2276</v>
      </c>
      <c r="P2657" s="204" t="s">
        <v>2276</v>
      </c>
      <c r="Q2657" s="204" t="s">
        <v>2276</v>
      </c>
      <c r="R2657" s="204" t="s">
        <v>2276</v>
      </c>
      <c r="S2657" s="204" t="s">
        <v>2276</v>
      </c>
      <c r="T2657" s="204" t="s">
        <v>2276</v>
      </c>
      <c r="U2657" s="204" t="s">
        <v>2276</v>
      </c>
      <c r="V2657" s="204" t="s">
        <v>2276</v>
      </c>
      <c r="W2657" s="204" t="s">
        <v>2276</v>
      </c>
      <c r="X2657" s="204" t="s">
        <v>68</v>
      </c>
      <c r="Y2657" s="204" t="s">
        <v>86</v>
      </c>
      <c r="Z2657" s="204" t="s">
        <v>76</v>
      </c>
      <c r="AA2657" s="204"/>
      <c r="AB2657" s="204"/>
    </row>
    <row r="2658" spans="1:28" ht="34.5" customHeight="1">
      <c r="A2658" s="156" t="str">
        <f>'Reported burning'!A2658</f>
        <v>305p</v>
      </c>
      <c r="B2658" s="156" t="str">
        <f>'Reported burning'!B2658</f>
        <v>305p.2</v>
      </c>
      <c r="C2658" s="156" t="str">
        <f>'Reported burning'!C2658</f>
        <v>Human, deliberate</v>
      </c>
      <c r="D2658" s="156" t="str">
        <f>'Reported burning'!D2658</f>
        <v>Pyrome management</v>
      </c>
      <c r="E2658" s="156" t="str">
        <f>'Reported burning'!E2658</f>
        <v>Fire suppression agent</v>
      </c>
      <c r="F2658" s="156" t="str">
        <f>'Reported burning'!F2658</f>
        <v>ND</v>
      </c>
      <c r="G2658" s="156" t="str">
        <f>'Reported burning'!G2658</f>
        <v>ND</v>
      </c>
      <c r="H2658" s="156" t="str">
        <f>'Reported burning'!H2658</f>
        <v>Presence</v>
      </c>
      <c r="I2658" s="5"/>
      <c r="J2658" s="204" t="s">
        <v>2276</v>
      </c>
      <c r="K2658" s="204" t="s">
        <v>2276</v>
      </c>
      <c r="L2658" s="204" t="s">
        <v>2276</v>
      </c>
      <c r="M2658" s="204" t="s">
        <v>2276</v>
      </c>
      <c r="N2658" s="204" t="s">
        <v>2276</v>
      </c>
      <c r="O2658" s="204" t="s">
        <v>2276</v>
      </c>
      <c r="P2658" s="204" t="s">
        <v>2276</v>
      </c>
      <c r="Q2658" s="204" t="s">
        <v>2276</v>
      </c>
      <c r="R2658" s="204" t="s">
        <v>2276</v>
      </c>
      <c r="S2658" s="204" t="s">
        <v>2276</v>
      </c>
      <c r="T2658" s="204" t="s">
        <v>2276</v>
      </c>
      <c r="U2658" s="204" t="s">
        <v>2276</v>
      </c>
      <c r="V2658" s="204" t="s">
        <v>2276</v>
      </c>
      <c r="W2658" s="204" t="s">
        <v>2276</v>
      </c>
      <c r="X2658" s="204" t="s">
        <v>68</v>
      </c>
      <c r="Y2658" s="204" t="s">
        <v>86</v>
      </c>
      <c r="Z2658" s="204" t="s">
        <v>76</v>
      </c>
      <c r="AA2658" s="204"/>
      <c r="AB2658" s="204"/>
    </row>
    <row r="2659" spans="1:28" ht="34.5" customHeight="1">
      <c r="A2659" s="156" t="str">
        <f>'Reported burning'!A2659</f>
        <v>305q</v>
      </c>
      <c r="B2659" s="156" t="str">
        <f>'Reported burning'!B2659</f>
        <v>305q.2</v>
      </c>
      <c r="C2659" s="156" t="str">
        <f>'Reported burning'!C2659</f>
        <v>Human, deliberate</v>
      </c>
      <c r="D2659" s="156" t="str">
        <f>'Reported burning'!D2659</f>
        <v>Pyrome management</v>
      </c>
      <c r="E2659" s="156" t="str">
        <f>'Reported burning'!E2659</f>
        <v>Fire suppression agent</v>
      </c>
      <c r="F2659" s="156" t="str">
        <f>'Reported burning'!F2659</f>
        <v>ND</v>
      </c>
      <c r="G2659" s="156" t="str">
        <f>'Reported burning'!G2659</f>
        <v>ND</v>
      </c>
      <c r="H2659" s="156" t="str">
        <f>'Reported burning'!H2659</f>
        <v>Presence</v>
      </c>
      <c r="I2659" s="5"/>
      <c r="J2659" s="204" t="s">
        <v>2276</v>
      </c>
      <c r="K2659" s="204" t="s">
        <v>2276</v>
      </c>
      <c r="L2659" s="204" t="s">
        <v>2276</v>
      </c>
      <c r="M2659" s="204" t="s">
        <v>2276</v>
      </c>
      <c r="N2659" s="204" t="s">
        <v>2276</v>
      </c>
      <c r="O2659" s="204" t="s">
        <v>2276</v>
      </c>
      <c r="P2659" s="204" t="s">
        <v>2276</v>
      </c>
      <c r="Q2659" s="204" t="s">
        <v>2276</v>
      </c>
      <c r="R2659" s="204" t="s">
        <v>2276</v>
      </c>
      <c r="S2659" s="204" t="s">
        <v>2276</v>
      </c>
      <c r="T2659" s="204" t="s">
        <v>2276</v>
      </c>
      <c r="U2659" s="204" t="s">
        <v>2276</v>
      </c>
      <c r="V2659" s="204" t="s">
        <v>2276</v>
      </c>
      <c r="W2659" s="204" t="s">
        <v>2276</v>
      </c>
      <c r="X2659" s="204" t="s">
        <v>68</v>
      </c>
      <c r="Y2659" s="204" t="s">
        <v>86</v>
      </c>
      <c r="Z2659" s="204" t="s">
        <v>76</v>
      </c>
      <c r="AA2659" s="204"/>
      <c r="AB2659" s="204"/>
    </row>
    <row r="2660" spans="1:28" ht="34.5" customHeight="1">
      <c r="A2660" s="156" t="str">
        <f>'Reported burning'!A2660</f>
        <v>305r</v>
      </c>
      <c r="B2660" s="156" t="str">
        <f>'Reported burning'!B2660</f>
        <v>305r.2</v>
      </c>
      <c r="C2660" s="156" t="str">
        <f>'Reported burning'!C2660</f>
        <v>Human, deliberate</v>
      </c>
      <c r="D2660" s="156" t="str">
        <f>'Reported burning'!D2660</f>
        <v>Pyrome management</v>
      </c>
      <c r="E2660" s="156" t="str">
        <f>'Reported burning'!E2660</f>
        <v>Fire suppression agent</v>
      </c>
      <c r="F2660" s="156" t="str">
        <f>'Reported burning'!F2660</f>
        <v>ND</v>
      </c>
      <c r="G2660" s="156" t="str">
        <f>'Reported burning'!G2660</f>
        <v>ND</v>
      </c>
      <c r="H2660" s="156" t="str">
        <f>'Reported burning'!H2660</f>
        <v>Absence</v>
      </c>
      <c r="I2660" s="5"/>
      <c r="J2660" s="14" t="s">
        <v>2364</v>
      </c>
      <c r="K2660" s="14" t="s">
        <v>2364</v>
      </c>
      <c r="L2660" s="14" t="s">
        <v>2364</v>
      </c>
      <c r="M2660" s="14" t="s">
        <v>2364</v>
      </c>
      <c r="N2660" s="14" t="s">
        <v>2364</v>
      </c>
      <c r="O2660" s="14" t="s">
        <v>2364</v>
      </c>
      <c r="P2660" s="14" t="s">
        <v>2364</v>
      </c>
      <c r="Q2660" s="14" t="s">
        <v>2364</v>
      </c>
      <c r="R2660" s="14" t="s">
        <v>2364</v>
      </c>
      <c r="S2660" s="14" t="s">
        <v>2364</v>
      </c>
      <c r="T2660" s="14" t="s">
        <v>2364</v>
      </c>
      <c r="U2660" s="14" t="s">
        <v>2364</v>
      </c>
      <c r="V2660" s="14" t="s">
        <v>2364</v>
      </c>
      <c r="W2660" s="204" t="s">
        <v>2276</v>
      </c>
      <c r="X2660" s="204" t="s">
        <v>68</v>
      </c>
      <c r="Y2660" s="204" t="s">
        <v>86</v>
      </c>
      <c r="Z2660" s="204" t="s">
        <v>76</v>
      </c>
      <c r="AA2660" s="204"/>
      <c r="AB2660" s="204"/>
    </row>
    <row r="2661" spans="1:28" ht="34.5" customHeight="1">
      <c r="A2661" s="156" t="str">
        <f>'Reported burning'!A2661</f>
        <v>305s</v>
      </c>
      <c r="B2661" s="156" t="str">
        <f>'Reported burning'!B2661</f>
        <v>305s.2</v>
      </c>
      <c r="C2661" s="156" t="str">
        <f>'Reported burning'!C2661</f>
        <v>Human, deliberate</v>
      </c>
      <c r="D2661" s="156" t="str">
        <f>'Reported burning'!D2661</f>
        <v>Pyrome management</v>
      </c>
      <c r="E2661" s="156" t="str">
        <f>'Reported burning'!E2661</f>
        <v>Fire suppression agent</v>
      </c>
      <c r="F2661" s="156" t="str">
        <f>'Reported burning'!F2661</f>
        <v>ND</v>
      </c>
      <c r="G2661" s="156" t="str">
        <f>'Reported burning'!G2661</f>
        <v>ND</v>
      </c>
      <c r="H2661" s="156" t="str">
        <f>'Reported burning'!H2661</f>
        <v>Absence</v>
      </c>
      <c r="I2661" s="5"/>
      <c r="J2661" s="14" t="s">
        <v>2364</v>
      </c>
      <c r="K2661" s="14" t="s">
        <v>2364</v>
      </c>
      <c r="L2661" s="14" t="s">
        <v>2364</v>
      </c>
      <c r="M2661" s="14" t="s">
        <v>2364</v>
      </c>
      <c r="N2661" s="14" t="s">
        <v>2364</v>
      </c>
      <c r="O2661" s="14" t="s">
        <v>2364</v>
      </c>
      <c r="P2661" s="14" t="s">
        <v>2364</v>
      </c>
      <c r="Q2661" s="14" t="s">
        <v>2364</v>
      </c>
      <c r="R2661" s="14" t="s">
        <v>2364</v>
      </c>
      <c r="S2661" s="14" t="s">
        <v>2364</v>
      </c>
      <c r="T2661" s="14" t="s">
        <v>2364</v>
      </c>
      <c r="U2661" s="14" t="s">
        <v>2364</v>
      </c>
      <c r="V2661" s="14" t="s">
        <v>2364</v>
      </c>
      <c r="W2661" s="204" t="s">
        <v>2276</v>
      </c>
      <c r="X2661" s="204" t="s">
        <v>68</v>
      </c>
      <c r="Y2661" s="204" t="s">
        <v>86</v>
      </c>
      <c r="Z2661" s="204" t="s">
        <v>76</v>
      </c>
      <c r="AA2661" s="204"/>
      <c r="AB2661" s="204"/>
    </row>
    <row r="2662" spans="1:28" ht="34.5" customHeight="1">
      <c r="A2662" s="156" t="str">
        <f>'Reported burning'!A2662</f>
        <v>305t</v>
      </c>
      <c r="B2662" s="156" t="str">
        <f>'Reported burning'!B2662</f>
        <v>305t.2</v>
      </c>
      <c r="C2662" s="156" t="str">
        <f>'Reported burning'!C2662</f>
        <v>Human, deliberate</v>
      </c>
      <c r="D2662" s="156" t="str">
        <f>'Reported burning'!D2662</f>
        <v>Pyrome management</v>
      </c>
      <c r="E2662" s="156" t="str">
        <f>'Reported burning'!E2662</f>
        <v>Fire suppression agent</v>
      </c>
      <c r="F2662" s="156" t="str">
        <f>'Reported burning'!F2662</f>
        <v>ND</v>
      </c>
      <c r="G2662" s="156" t="str">
        <f>'Reported burning'!G2662</f>
        <v>ND</v>
      </c>
      <c r="H2662" s="156" t="str">
        <f>'Reported burning'!H2662</f>
        <v>Absence</v>
      </c>
      <c r="I2662" s="5"/>
      <c r="J2662" s="14" t="s">
        <v>2364</v>
      </c>
      <c r="K2662" s="14" t="s">
        <v>2364</v>
      </c>
      <c r="L2662" s="14" t="s">
        <v>2364</v>
      </c>
      <c r="M2662" s="14" t="s">
        <v>2364</v>
      </c>
      <c r="N2662" s="14" t="s">
        <v>2364</v>
      </c>
      <c r="O2662" s="14" t="s">
        <v>2364</v>
      </c>
      <c r="P2662" s="14" t="s">
        <v>2364</v>
      </c>
      <c r="Q2662" s="14" t="s">
        <v>2364</v>
      </c>
      <c r="R2662" s="14" t="s">
        <v>2364</v>
      </c>
      <c r="S2662" s="14" t="s">
        <v>2364</v>
      </c>
      <c r="T2662" s="14" t="s">
        <v>2364</v>
      </c>
      <c r="U2662" s="14" t="s">
        <v>2364</v>
      </c>
      <c r="V2662" s="14" t="s">
        <v>2364</v>
      </c>
      <c r="W2662" s="204" t="s">
        <v>2276</v>
      </c>
      <c r="X2662" s="204" t="s">
        <v>68</v>
      </c>
      <c r="Y2662" s="204" t="s">
        <v>86</v>
      </c>
      <c r="Z2662" s="204" t="s">
        <v>76</v>
      </c>
      <c r="AA2662" s="204"/>
      <c r="AB2662" s="204"/>
    </row>
    <row r="2663" spans="1:28" ht="34.5" customHeight="1">
      <c r="A2663" s="156" t="str">
        <f>'Reported burning'!A2663</f>
        <v>305u</v>
      </c>
      <c r="B2663" s="156" t="str">
        <f>'Reported burning'!B2663</f>
        <v>305u.2</v>
      </c>
      <c r="C2663" s="156" t="str">
        <f>'Reported burning'!C2663</f>
        <v>Human, deliberate</v>
      </c>
      <c r="D2663" s="156" t="str">
        <f>'Reported burning'!D2663</f>
        <v>Pyrome management</v>
      </c>
      <c r="E2663" s="156" t="str">
        <f>'Reported burning'!E2663</f>
        <v>Fire suppression agent</v>
      </c>
      <c r="F2663" s="156" t="str">
        <f>'Reported burning'!F2663</f>
        <v>ND</v>
      </c>
      <c r="G2663" s="156" t="str">
        <f>'Reported burning'!G2663</f>
        <v>ND</v>
      </c>
      <c r="H2663" s="156" t="str">
        <f>'Reported burning'!H2663</f>
        <v>Presence</v>
      </c>
      <c r="I2663" s="5"/>
      <c r="J2663" s="204" t="s">
        <v>2276</v>
      </c>
      <c r="K2663" s="204" t="s">
        <v>2276</v>
      </c>
      <c r="L2663" s="204" t="s">
        <v>2276</v>
      </c>
      <c r="M2663" s="204" t="s">
        <v>2276</v>
      </c>
      <c r="N2663" s="204" t="s">
        <v>2276</v>
      </c>
      <c r="O2663" s="204" t="s">
        <v>2276</v>
      </c>
      <c r="P2663" s="204" t="s">
        <v>2276</v>
      </c>
      <c r="Q2663" s="204" t="s">
        <v>2276</v>
      </c>
      <c r="R2663" s="204" t="s">
        <v>2276</v>
      </c>
      <c r="S2663" s="204" t="s">
        <v>2276</v>
      </c>
      <c r="T2663" s="204" t="s">
        <v>2276</v>
      </c>
      <c r="U2663" s="204" t="s">
        <v>2276</v>
      </c>
      <c r="V2663" s="204" t="s">
        <v>2276</v>
      </c>
      <c r="W2663" s="204" t="s">
        <v>2276</v>
      </c>
      <c r="X2663" s="204" t="s">
        <v>68</v>
      </c>
      <c r="Y2663" s="204" t="s">
        <v>86</v>
      </c>
      <c r="Z2663" s="204" t="s">
        <v>76</v>
      </c>
      <c r="AA2663" s="204"/>
      <c r="AB2663" s="204"/>
    </row>
    <row r="2664" spans="1:28" ht="34.5" customHeight="1">
      <c r="A2664" s="156" t="str">
        <f>'Reported burning'!A2664</f>
        <v>305v</v>
      </c>
      <c r="B2664" s="156" t="str">
        <f>'Reported burning'!B2664</f>
        <v>305v.2</v>
      </c>
      <c r="C2664" s="156" t="str">
        <f>'Reported burning'!C2664</f>
        <v>Human, deliberate</v>
      </c>
      <c r="D2664" s="156" t="str">
        <f>'Reported burning'!D2664</f>
        <v>Pyrome management</v>
      </c>
      <c r="E2664" s="156" t="str">
        <f>'Reported burning'!E2664</f>
        <v>Fire suppression agent</v>
      </c>
      <c r="F2664" s="156" t="str">
        <f>'Reported burning'!F2664</f>
        <v>ND</v>
      </c>
      <c r="G2664" s="156" t="str">
        <f>'Reported burning'!G2664</f>
        <v>ND</v>
      </c>
      <c r="H2664" s="156" t="str">
        <f>'Reported burning'!H2664</f>
        <v>Presence</v>
      </c>
      <c r="I2664" s="5"/>
      <c r="J2664" s="204" t="s">
        <v>2276</v>
      </c>
      <c r="K2664" s="204" t="s">
        <v>2276</v>
      </c>
      <c r="L2664" s="204" t="s">
        <v>2276</v>
      </c>
      <c r="M2664" s="204" t="s">
        <v>2276</v>
      </c>
      <c r="N2664" s="204" t="s">
        <v>2276</v>
      </c>
      <c r="O2664" s="204" t="s">
        <v>2276</v>
      </c>
      <c r="P2664" s="204" t="s">
        <v>2276</v>
      </c>
      <c r="Q2664" s="204" t="s">
        <v>2276</v>
      </c>
      <c r="R2664" s="204" t="s">
        <v>2276</v>
      </c>
      <c r="S2664" s="204" t="s">
        <v>2276</v>
      </c>
      <c r="T2664" s="204" t="s">
        <v>2276</v>
      </c>
      <c r="U2664" s="204" t="s">
        <v>2276</v>
      </c>
      <c r="V2664" s="204" t="s">
        <v>2276</v>
      </c>
      <c r="W2664" s="204" t="s">
        <v>2276</v>
      </c>
      <c r="X2664" s="204" t="s">
        <v>68</v>
      </c>
      <c r="Y2664" s="204" t="s">
        <v>86</v>
      </c>
      <c r="Z2664" s="204" t="s">
        <v>76</v>
      </c>
      <c r="AA2664" s="204"/>
      <c r="AB2664" s="204"/>
    </row>
    <row r="2665" spans="1:28" ht="34.5" customHeight="1">
      <c r="A2665" s="156" t="str">
        <f>'Reported burning'!A2665</f>
        <v>305w</v>
      </c>
      <c r="B2665" s="156" t="str">
        <f>'Reported burning'!B2665</f>
        <v>305w.2</v>
      </c>
      <c r="C2665" s="156" t="str">
        <f>'Reported burning'!C2665</f>
        <v>Human, deliberate</v>
      </c>
      <c r="D2665" s="156" t="str">
        <f>'Reported burning'!D2665</f>
        <v>Pyrome management</v>
      </c>
      <c r="E2665" s="156" t="str">
        <f>'Reported burning'!E2665</f>
        <v>Fire suppression agent</v>
      </c>
      <c r="F2665" s="156" t="str">
        <f>'Reported burning'!F2665</f>
        <v>ND</v>
      </c>
      <c r="G2665" s="156" t="str">
        <f>'Reported burning'!G2665</f>
        <v>ND</v>
      </c>
      <c r="H2665" s="156" t="str">
        <f>'Reported burning'!H2665</f>
        <v>Presence</v>
      </c>
      <c r="I2665" s="5"/>
      <c r="J2665" s="204" t="s">
        <v>2276</v>
      </c>
      <c r="K2665" s="204" t="s">
        <v>2276</v>
      </c>
      <c r="L2665" s="204" t="s">
        <v>2276</v>
      </c>
      <c r="M2665" s="204" t="s">
        <v>2276</v>
      </c>
      <c r="N2665" s="204" t="s">
        <v>2276</v>
      </c>
      <c r="O2665" s="204" t="s">
        <v>2276</v>
      </c>
      <c r="P2665" s="204" t="s">
        <v>2276</v>
      </c>
      <c r="Q2665" s="204" t="s">
        <v>2276</v>
      </c>
      <c r="R2665" s="204" t="s">
        <v>2276</v>
      </c>
      <c r="S2665" s="204" t="s">
        <v>2276</v>
      </c>
      <c r="T2665" s="204" t="s">
        <v>2276</v>
      </c>
      <c r="U2665" s="204" t="s">
        <v>2276</v>
      </c>
      <c r="V2665" s="204" t="s">
        <v>2276</v>
      </c>
      <c r="W2665" s="204" t="s">
        <v>2276</v>
      </c>
      <c r="X2665" s="204" t="s">
        <v>68</v>
      </c>
      <c r="Y2665" s="204" t="s">
        <v>86</v>
      </c>
      <c r="Z2665" s="204" t="s">
        <v>76</v>
      </c>
      <c r="AA2665" s="204"/>
      <c r="AB2665" s="204"/>
    </row>
    <row r="2666" spans="1:28" ht="34.5" customHeight="1">
      <c r="A2666" s="156" t="str">
        <f>'Reported burning'!A2666</f>
        <v>305x</v>
      </c>
      <c r="B2666" s="156" t="str">
        <f>'Reported burning'!B2666</f>
        <v>305x.2</v>
      </c>
      <c r="C2666" s="156" t="str">
        <f>'Reported burning'!C2666</f>
        <v>Human, deliberate</v>
      </c>
      <c r="D2666" s="156" t="str">
        <f>'Reported burning'!D2666</f>
        <v>Pyrome management</v>
      </c>
      <c r="E2666" s="156" t="str">
        <f>'Reported burning'!E2666</f>
        <v>Fire suppression agent</v>
      </c>
      <c r="F2666" s="156" t="str">
        <f>'Reported burning'!F2666</f>
        <v>ND</v>
      </c>
      <c r="G2666" s="156" t="str">
        <f>'Reported burning'!G2666</f>
        <v>ND</v>
      </c>
      <c r="H2666" s="156" t="str">
        <f>'Reported burning'!H2666</f>
        <v>Presence</v>
      </c>
      <c r="I2666" s="5"/>
      <c r="J2666" s="204" t="s">
        <v>2276</v>
      </c>
      <c r="K2666" s="204" t="s">
        <v>2276</v>
      </c>
      <c r="L2666" s="204" t="s">
        <v>2276</v>
      </c>
      <c r="M2666" s="204" t="s">
        <v>2276</v>
      </c>
      <c r="N2666" s="204" t="s">
        <v>2276</v>
      </c>
      <c r="O2666" s="204" t="s">
        <v>2276</v>
      </c>
      <c r="P2666" s="204" t="s">
        <v>2276</v>
      </c>
      <c r="Q2666" s="204" t="s">
        <v>2276</v>
      </c>
      <c r="R2666" s="204" t="s">
        <v>2276</v>
      </c>
      <c r="S2666" s="204" t="s">
        <v>2276</v>
      </c>
      <c r="T2666" s="204" t="s">
        <v>2276</v>
      </c>
      <c r="U2666" s="204" t="s">
        <v>2276</v>
      </c>
      <c r="V2666" s="204" t="s">
        <v>2276</v>
      </c>
      <c r="W2666" s="204" t="s">
        <v>2276</v>
      </c>
      <c r="X2666" s="204" t="s">
        <v>68</v>
      </c>
      <c r="Y2666" s="204" t="s">
        <v>86</v>
      </c>
      <c r="Z2666" s="204" t="s">
        <v>76</v>
      </c>
      <c r="AA2666" s="204"/>
      <c r="AB2666" s="204"/>
    </row>
    <row r="2667" spans="1:28" ht="34.5" customHeight="1">
      <c r="A2667" s="156" t="str">
        <f>'Reported burning'!A2667</f>
        <v>305y</v>
      </c>
      <c r="B2667" s="156" t="str">
        <f>'Reported burning'!B2667</f>
        <v>305y.2</v>
      </c>
      <c r="C2667" s="156" t="str">
        <f>'Reported burning'!C2667</f>
        <v>Human, deliberate</v>
      </c>
      <c r="D2667" s="156" t="str">
        <f>'Reported burning'!D2667</f>
        <v>Pyrome management</v>
      </c>
      <c r="E2667" s="156" t="str">
        <f>'Reported burning'!E2667</f>
        <v>Fire suppression agent</v>
      </c>
      <c r="F2667" s="156" t="str">
        <f>'Reported burning'!F2667</f>
        <v>ND</v>
      </c>
      <c r="G2667" s="156" t="str">
        <f>'Reported burning'!G2667</f>
        <v>ND</v>
      </c>
      <c r="H2667" s="156" t="str">
        <f>'Reported burning'!H2667</f>
        <v>Presence</v>
      </c>
      <c r="I2667" s="5"/>
      <c r="J2667" s="204" t="s">
        <v>2276</v>
      </c>
      <c r="K2667" s="204" t="s">
        <v>2276</v>
      </c>
      <c r="L2667" s="204" t="s">
        <v>2276</v>
      </c>
      <c r="M2667" s="204" t="s">
        <v>2276</v>
      </c>
      <c r="N2667" s="204" t="s">
        <v>2276</v>
      </c>
      <c r="O2667" s="204" t="s">
        <v>2276</v>
      </c>
      <c r="P2667" s="204" t="s">
        <v>2276</v>
      </c>
      <c r="Q2667" s="204" t="s">
        <v>2276</v>
      </c>
      <c r="R2667" s="204" t="s">
        <v>2276</v>
      </c>
      <c r="S2667" s="204" t="s">
        <v>2276</v>
      </c>
      <c r="T2667" s="204" t="s">
        <v>2276</v>
      </c>
      <c r="U2667" s="204" t="s">
        <v>2276</v>
      </c>
      <c r="V2667" s="204" t="s">
        <v>2276</v>
      </c>
      <c r="W2667" s="204" t="s">
        <v>2276</v>
      </c>
      <c r="X2667" s="204" t="s">
        <v>68</v>
      </c>
      <c r="Y2667" s="204" t="s">
        <v>86</v>
      </c>
      <c r="Z2667" s="204" t="s">
        <v>76</v>
      </c>
      <c r="AA2667" s="204"/>
      <c r="AB2667" s="204"/>
    </row>
    <row r="2668" spans="1:28" ht="34.5" customHeight="1">
      <c r="A2668" s="156" t="str">
        <f>'Reported burning'!A2668</f>
        <v>305z</v>
      </c>
      <c r="B2668" s="156" t="str">
        <f>'Reported burning'!B2668</f>
        <v>305z.2</v>
      </c>
      <c r="C2668" s="156" t="str">
        <f>'Reported burning'!C2668</f>
        <v>Human, deliberate</v>
      </c>
      <c r="D2668" s="156" t="str">
        <f>'Reported burning'!D2668</f>
        <v>Pyrome management</v>
      </c>
      <c r="E2668" s="156" t="str">
        <f>'Reported burning'!E2668</f>
        <v>Fire suppression agent</v>
      </c>
      <c r="F2668" s="156" t="str">
        <f>'Reported burning'!F2668</f>
        <v>ND</v>
      </c>
      <c r="G2668" s="156" t="str">
        <f>'Reported burning'!G2668</f>
        <v>ND</v>
      </c>
      <c r="H2668" s="156" t="str">
        <f>'Reported burning'!H2668</f>
        <v>Presence</v>
      </c>
      <c r="I2668" s="5"/>
      <c r="J2668" s="204" t="s">
        <v>2276</v>
      </c>
      <c r="K2668" s="204" t="s">
        <v>2276</v>
      </c>
      <c r="L2668" s="204" t="s">
        <v>2276</v>
      </c>
      <c r="M2668" s="204" t="s">
        <v>2276</v>
      </c>
      <c r="N2668" s="204" t="s">
        <v>2276</v>
      </c>
      <c r="O2668" s="204" t="s">
        <v>2276</v>
      </c>
      <c r="P2668" s="204" t="s">
        <v>2276</v>
      </c>
      <c r="Q2668" s="204" t="s">
        <v>2276</v>
      </c>
      <c r="R2668" s="204" t="s">
        <v>2276</v>
      </c>
      <c r="S2668" s="204" t="s">
        <v>2276</v>
      </c>
      <c r="T2668" s="204" t="s">
        <v>2276</v>
      </c>
      <c r="U2668" s="204" t="s">
        <v>2276</v>
      </c>
      <c r="V2668" s="204" t="s">
        <v>2276</v>
      </c>
      <c r="W2668" s="204" t="s">
        <v>2276</v>
      </c>
      <c r="X2668" s="204" t="s">
        <v>68</v>
      </c>
      <c r="Y2668" s="204" t="s">
        <v>86</v>
      </c>
      <c r="Z2668" s="204" t="s">
        <v>76</v>
      </c>
      <c r="AA2668" s="204"/>
      <c r="AB2668" s="204"/>
    </row>
    <row r="2669" spans="1:28" ht="34.5" customHeight="1">
      <c r="A2669" s="156" t="str">
        <f>'Reported burning'!A2669</f>
        <v>305aa</v>
      </c>
      <c r="B2669" s="156" t="str">
        <f>'Reported burning'!B2669</f>
        <v>305aa.2</v>
      </c>
      <c r="C2669" s="156" t="str">
        <f>'Reported burning'!C2669</f>
        <v>Human, deliberate</v>
      </c>
      <c r="D2669" s="156" t="str">
        <f>'Reported burning'!D2669</f>
        <v>Pyrome management</v>
      </c>
      <c r="E2669" s="156" t="str">
        <f>'Reported burning'!E2669</f>
        <v>Fire suppression agent</v>
      </c>
      <c r="F2669" s="156" t="str">
        <f>'Reported burning'!F2669</f>
        <v>ND</v>
      </c>
      <c r="G2669" s="156" t="str">
        <f>'Reported burning'!G2669</f>
        <v>ND</v>
      </c>
      <c r="H2669" s="156" t="str">
        <f>'Reported burning'!H2669</f>
        <v>Presence</v>
      </c>
      <c r="I2669" s="5"/>
      <c r="J2669" s="204" t="s">
        <v>2276</v>
      </c>
      <c r="K2669" s="204" t="s">
        <v>2276</v>
      </c>
      <c r="L2669" s="204" t="s">
        <v>2276</v>
      </c>
      <c r="M2669" s="204" t="s">
        <v>2276</v>
      </c>
      <c r="N2669" s="204" t="s">
        <v>2276</v>
      </c>
      <c r="O2669" s="204" t="s">
        <v>2276</v>
      </c>
      <c r="P2669" s="204" t="s">
        <v>2276</v>
      </c>
      <c r="Q2669" s="204" t="s">
        <v>2276</v>
      </c>
      <c r="R2669" s="204" t="s">
        <v>2276</v>
      </c>
      <c r="S2669" s="204" t="s">
        <v>2276</v>
      </c>
      <c r="T2669" s="204" t="s">
        <v>2276</v>
      </c>
      <c r="U2669" s="204" t="s">
        <v>2276</v>
      </c>
      <c r="V2669" s="204" t="s">
        <v>2276</v>
      </c>
      <c r="W2669" s="204" t="s">
        <v>2276</v>
      </c>
      <c r="X2669" s="204" t="s">
        <v>68</v>
      </c>
      <c r="Y2669" s="204" t="s">
        <v>86</v>
      </c>
      <c r="Z2669" s="204" t="s">
        <v>76</v>
      </c>
      <c r="AA2669" s="204"/>
      <c r="AB2669" s="204"/>
    </row>
    <row r="2670" spans="1:28" ht="34.5" customHeight="1">
      <c r="A2670" s="156" t="str">
        <f>'Reported burning'!A2670</f>
        <v>305ab</v>
      </c>
      <c r="B2670" s="156" t="str">
        <f>'Reported burning'!B2670</f>
        <v>305ab.2</v>
      </c>
      <c r="C2670" s="156" t="str">
        <f>'Reported burning'!C2670</f>
        <v>Human, deliberate</v>
      </c>
      <c r="D2670" s="156" t="str">
        <f>'Reported burning'!D2670</f>
        <v>Pyrome management</v>
      </c>
      <c r="E2670" s="156" t="str">
        <f>'Reported burning'!E2670</f>
        <v>Fire suppression agent</v>
      </c>
      <c r="F2670" s="156" t="str">
        <f>'Reported burning'!F2670</f>
        <v>ND</v>
      </c>
      <c r="G2670" s="156" t="str">
        <f>'Reported burning'!G2670</f>
        <v>ND</v>
      </c>
      <c r="H2670" s="156" t="str">
        <f>'Reported burning'!H2670</f>
        <v>Presence</v>
      </c>
      <c r="I2670" s="5"/>
      <c r="J2670" s="204" t="s">
        <v>2276</v>
      </c>
      <c r="K2670" s="204" t="s">
        <v>2276</v>
      </c>
      <c r="L2670" s="204" t="s">
        <v>2276</v>
      </c>
      <c r="M2670" s="204" t="s">
        <v>2276</v>
      </c>
      <c r="N2670" s="204" t="s">
        <v>2276</v>
      </c>
      <c r="O2670" s="204" t="s">
        <v>2276</v>
      </c>
      <c r="P2670" s="204" t="s">
        <v>2276</v>
      </c>
      <c r="Q2670" s="204" t="s">
        <v>2276</v>
      </c>
      <c r="R2670" s="204" t="s">
        <v>2276</v>
      </c>
      <c r="S2670" s="204" t="s">
        <v>2276</v>
      </c>
      <c r="T2670" s="204" t="s">
        <v>2276</v>
      </c>
      <c r="U2670" s="204" t="s">
        <v>2276</v>
      </c>
      <c r="V2670" s="204" t="s">
        <v>2276</v>
      </c>
      <c r="W2670" s="204" t="s">
        <v>2276</v>
      </c>
      <c r="X2670" s="204" t="s">
        <v>68</v>
      </c>
      <c r="Y2670" s="204" t="s">
        <v>86</v>
      </c>
      <c r="Z2670" s="204" t="s">
        <v>76</v>
      </c>
      <c r="AA2670" s="204"/>
      <c r="AB2670" s="204"/>
    </row>
    <row r="2671" spans="1:28" ht="34.5" customHeight="1">
      <c r="A2671" s="156" t="str">
        <f>'Reported burning'!A2671</f>
        <v>305ac</v>
      </c>
      <c r="B2671" s="156" t="str">
        <f>'Reported burning'!B2671</f>
        <v>305ac.2</v>
      </c>
      <c r="C2671" s="156" t="str">
        <f>'Reported burning'!C2671</f>
        <v>Human, deliberate</v>
      </c>
      <c r="D2671" s="156" t="str">
        <f>'Reported burning'!D2671</f>
        <v>Pyrome management</v>
      </c>
      <c r="E2671" s="156" t="str">
        <f>'Reported burning'!E2671</f>
        <v>Fire suppression agent</v>
      </c>
      <c r="F2671" s="156" t="str">
        <f>'Reported burning'!F2671</f>
        <v>ND</v>
      </c>
      <c r="G2671" s="156" t="str">
        <f>'Reported burning'!G2671</f>
        <v>ND</v>
      </c>
      <c r="H2671" s="156" t="str">
        <f>'Reported burning'!H2671</f>
        <v>Presence</v>
      </c>
      <c r="I2671" s="5"/>
      <c r="J2671" s="204" t="s">
        <v>2276</v>
      </c>
      <c r="K2671" s="204" t="s">
        <v>2276</v>
      </c>
      <c r="L2671" s="204" t="s">
        <v>2276</v>
      </c>
      <c r="M2671" s="204" t="s">
        <v>2276</v>
      </c>
      <c r="N2671" s="204" t="s">
        <v>2276</v>
      </c>
      <c r="O2671" s="204" t="s">
        <v>2276</v>
      </c>
      <c r="P2671" s="204" t="s">
        <v>2276</v>
      </c>
      <c r="Q2671" s="204" t="s">
        <v>2276</v>
      </c>
      <c r="R2671" s="204" t="s">
        <v>2276</v>
      </c>
      <c r="S2671" s="204" t="s">
        <v>2276</v>
      </c>
      <c r="T2671" s="204" t="s">
        <v>2276</v>
      </c>
      <c r="U2671" s="204" t="s">
        <v>2276</v>
      </c>
      <c r="V2671" s="204" t="s">
        <v>2276</v>
      </c>
      <c r="W2671" s="204" t="s">
        <v>2276</v>
      </c>
      <c r="X2671" s="204" t="s">
        <v>68</v>
      </c>
      <c r="Y2671" s="204" t="s">
        <v>86</v>
      </c>
      <c r="Z2671" s="204" t="s">
        <v>76</v>
      </c>
      <c r="AA2671" s="204"/>
      <c r="AB2671" s="204"/>
    </row>
    <row r="2672" spans="1:28" ht="34.5" customHeight="1">
      <c r="A2672" s="156" t="str">
        <f>'Reported burning'!A2672</f>
        <v>305ad</v>
      </c>
      <c r="B2672" s="156" t="str">
        <f>'Reported burning'!B2672</f>
        <v>305ad.2</v>
      </c>
      <c r="C2672" s="156" t="str">
        <f>'Reported burning'!C2672</f>
        <v>Human, deliberate</v>
      </c>
      <c r="D2672" s="156" t="str">
        <f>'Reported burning'!D2672</f>
        <v>Pyrome management</v>
      </c>
      <c r="E2672" s="156" t="str">
        <f>'Reported burning'!E2672</f>
        <v>Fire suppression agent</v>
      </c>
      <c r="F2672" s="156" t="str">
        <f>'Reported burning'!F2672</f>
        <v>ND</v>
      </c>
      <c r="G2672" s="156" t="str">
        <f>'Reported burning'!G2672</f>
        <v>ND</v>
      </c>
      <c r="H2672" s="156" t="str">
        <f>'Reported burning'!H2672</f>
        <v>Presence</v>
      </c>
      <c r="I2672" s="5"/>
      <c r="J2672" s="204" t="s">
        <v>2276</v>
      </c>
      <c r="K2672" s="204" t="s">
        <v>2276</v>
      </c>
      <c r="L2672" s="204" t="s">
        <v>2276</v>
      </c>
      <c r="M2672" s="204" t="s">
        <v>2276</v>
      </c>
      <c r="N2672" s="204" t="s">
        <v>2276</v>
      </c>
      <c r="O2672" s="204" t="s">
        <v>2276</v>
      </c>
      <c r="P2672" s="204" t="s">
        <v>2276</v>
      </c>
      <c r="Q2672" s="204" t="s">
        <v>2276</v>
      </c>
      <c r="R2672" s="204" t="s">
        <v>2276</v>
      </c>
      <c r="S2672" s="204" t="s">
        <v>2276</v>
      </c>
      <c r="T2672" s="204" t="s">
        <v>2276</v>
      </c>
      <c r="U2672" s="204" t="s">
        <v>2276</v>
      </c>
      <c r="V2672" s="204" t="s">
        <v>2276</v>
      </c>
      <c r="W2672" s="204" t="s">
        <v>2276</v>
      </c>
      <c r="X2672" s="204" t="s">
        <v>68</v>
      </c>
      <c r="Y2672" s="204" t="s">
        <v>86</v>
      </c>
      <c r="Z2672" s="204" t="s">
        <v>76</v>
      </c>
      <c r="AA2672" s="204"/>
      <c r="AB2672" s="204"/>
    </row>
    <row r="2673" spans="1:28" ht="34.5" customHeight="1">
      <c r="A2673" s="156" t="str">
        <f>'Reported burning'!A2673</f>
        <v>305ae</v>
      </c>
      <c r="B2673" s="156" t="str">
        <f>'Reported burning'!B2673</f>
        <v>305ae.2</v>
      </c>
      <c r="C2673" s="156" t="str">
        <f>'Reported burning'!C2673</f>
        <v>Human, deliberate</v>
      </c>
      <c r="D2673" s="156" t="str">
        <f>'Reported burning'!D2673</f>
        <v>Pyrome management</v>
      </c>
      <c r="E2673" s="156" t="str">
        <f>'Reported burning'!E2673</f>
        <v>Fire suppression agent</v>
      </c>
      <c r="F2673" s="156" t="str">
        <f>'Reported burning'!F2673</f>
        <v>ND</v>
      </c>
      <c r="G2673" s="156" t="str">
        <f>'Reported burning'!G2673</f>
        <v>ND</v>
      </c>
      <c r="H2673" s="156" t="str">
        <f>'Reported burning'!H2673</f>
        <v>Presence</v>
      </c>
      <c r="I2673" s="5"/>
      <c r="J2673" s="204" t="s">
        <v>2276</v>
      </c>
      <c r="K2673" s="204" t="s">
        <v>2276</v>
      </c>
      <c r="L2673" s="204" t="s">
        <v>2276</v>
      </c>
      <c r="M2673" s="204" t="s">
        <v>2276</v>
      </c>
      <c r="N2673" s="204" t="s">
        <v>2276</v>
      </c>
      <c r="O2673" s="204" t="s">
        <v>2276</v>
      </c>
      <c r="P2673" s="204" t="s">
        <v>2276</v>
      </c>
      <c r="Q2673" s="204" t="s">
        <v>2276</v>
      </c>
      <c r="R2673" s="204" t="s">
        <v>2276</v>
      </c>
      <c r="S2673" s="204" t="s">
        <v>2276</v>
      </c>
      <c r="T2673" s="204" t="s">
        <v>2276</v>
      </c>
      <c r="U2673" s="204" t="s">
        <v>2276</v>
      </c>
      <c r="V2673" s="204" t="s">
        <v>2276</v>
      </c>
      <c r="W2673" s="204" t="s">
        <v>2276</v>
      </c>
      <c r="X2673" s="204" t="s">
        <v>68</v>
      </c>
      <c r="Y2673" s="204" t="s">
        <v>86</v>
      </c>
      <c r="Z2673" s="204" t="s">
        <v>76</v>
      </c>
      <c r="AA2673" s="204"/>
      <c r="AB2673" s="204"/>
    </row>
    <row r="2674" spans="1:28" ht="34.5" customHeight="1">
      <c r="A2674" s="156" t="str">
        <f>'Reported burning'!A2674</f>
        <v>305n</v>
      </c>
      <c r="B2674" s="156" t="str">
        <f>'Reported burning'!B2674</f>
        <v>305n.3</v>
      </c>
      <c r="C2674" s="156" t="str">
        <f>'Reported burning'!C2674</f>
        <v>Human, deliberate</v>
      </c>
      <c r="D2674" s="156" t="str">
        <f>'Reported burning'!D2674</f>
        <v>Pyrome management</v>
      </c>
      <c r="E2674" s="156" t="str">
        <f>'Reported burning'!E2674</f>
        <v>Fire suppression agent</v>
      </c>
      <c r="F2674" s="156" t="str">
        <f>'Reported burning'!F2674</f>
        <v>ND</v>
      </c>
      <c r="G2674" s="156" t="str">
        <f>'Reported burning'!G2674</f>
        <v>ND</v>
      </c>
      <c r="H2674" s="156" t="str">
        <f>'Reported burning'!H2674</f>
        <v>Presence</v>
      </c>
      <c r="I2674" s="5"/>
      <c r="J2674" s="204" t="s">
        <v>2276</v>
      </c>
      <c r="K2674" s="204" t="s">
        <v>2276</v>
      </c>
      <c r="L2674" s="204" t="s">
        <v>2276</v>
      </c>
      <c r="M2674" s="204" t="s">
        <v>2276</v>
      </c>
      <c r="N2674" s="204" t="s">
        <v>2276</v>
      </c>
      <c r="O2674" s="204" t="s">
        <v>2276</v>
      </c>
      <c r="P2674" s="204" t="s">
        <v>2276</v>
      </c>
      <c r="Q2674" s="204" t="s">
        <v>2276</v>
      </c>
      <c r="R2674" s="204" t="s">
        <v>2276</v>
      </c>
      <c r="S2674" s="204" t="s">
        <v>2276</v>
      </c>
      <c r="T2674" s="204" t="s">
        <v>2276</v>
      </c>
      <c r="U2674" s="204" t="s">
        <v>2276</v>
      </c>
      <c r="V2674" s="204" t="s">
        <v>2276</v>
      </c>
      <c r="W2674" s="204" t="s">
        <v>2276</v>
      </c>
      <c r="X2674" s="204" t="s">
        <v>68</v>
      </c>
      <c r="Y2674" s="204" t="s">
        <v>86</v>
      </c>
      <c r="Z2674" s="204" t="s">
        <v>76</v>
      </c>
      <c r="AA2674" s="204"/>
      <c r="AB2674" s="204"/>
    </row>
    <row r="2675" spans="1:28" ht="34.5" customHeight="1">
      <c r="A2675" s="156" t="str">
        <f>'Reported burning'!A2675</f>
        <v>305o</v>
      </c>
      <c r="B2675" s="156" t="str">
        <f>'Reported burning'!B2675</f>
        <v>305o.3</v>
      </c>
      <c r="C2675" s="156" t="str">
        <f>'Reported burning'!C2675</f>
        <v>Human, deliberate</v>
      </c>
      <c r="D2675" s="156" t="str">
        <f>'Reported burning'!D2675</f>
        <v>Pyrome management</v>
      </c>
      <c r="E2675" s="156" t="str">
        <f>'Reported burning'!E2675</f>
        <v>Fire suppression agent</v>
      </c>
      <c r="F2675" s="156" t="str">
        <f>'Reported burning'!F2675</f>
        <v>ND</v>
      </c>
      <c r="G2675" s="156" t="str">
        <f>'Reported burning'!G2675</f>
        <v>ND</v>
      </c>
      <c r="H2675" s="156" t="str">
        <f>'Reported burning'!H2675</f>
        <v>Presence</v>
      </c>
      <c r="I2675" s="5"/>
      <c r="J2675" s="204" t="s">
        <v>2276</v>
      </c>
      <c r="K2675" s="204" t="s">
        <v>2276</v>
      </c>
      <c r="L2675" s="204" t="s">
        <v>2276</v>
      </c>
      <c r="M2675" s="204" t="s">
        <v>2276</v>
      </c>
      <c r="N2675" s="204" t="s">
        <v>2276</v>
      </c>
      <c r="O2675" s="204" t="s">
        <v>2276</v>
      </c>
      <c r="P2675" s="204" t="s">
        <v>2276</v>
      </c>
      <c r="Q2675" s="204" t="s">
        <v>2276</v>
      </c>
      <c r="R2675" s="204" t="s">
        <v>2276</v>
      </c>
      <c r="S2675" s="204" t="s">
        <v>2276</v>
      </c>
      <c r="T2675" s="204" t="s">
        <v>2276</v>
      </c>
      <c r="U2675" s="204" t="s">
        <v>2276</v>
      </c>
      <c r="V2675" s="204" t="s">
        <v>2276</v>
      </c>
      <c r="W2675" s="204" t="s">
        <v>2276</v>
      </c>
      <c r="X2675" s="204" t="s">
        <v>68</v>
      </c>
      <c r="Y2675" s="204" t="s">
        <v>86</v>
      </c>
      <c r="Z2675" s="204" t="s">
        <v>76</v>
      </c>
      <c r="AA2675" s="204"/>
      <c r="AB2675" s="204"/>
    </row>
    <row r="2676" spans="1:28" ht="34.5" customHeight="1">
      <c r="A2676" s="156" t="str">
        <f>'Reported burning'!A2676</f>
        <v>305p</v>
      </c>
      <c r="B2676" s="156" t="str">
        <f>'Reported burning'!B2676</f>
        <v>305p.3</v>
      </c>
      <c r="C2676" s="156" t="str">
        <f>'Reported burning'!C2676</f>
        <v>Human, deliberate</v>
      </c>
      <c r="D2676" s="156" t="str">
        <f>'Reported burning'!D2676</f>
        <v>Pyrome management</v>
      </c>
      <c r="E2676" s="156" t="str">
        <f>'Reported burning'!E2676</f>
        <v>Fire suppression agent</v>
      </c>
      <c r="F2676" s="156" t="str">
        <f>'Reported burning'!F2676</f>
        <v>ND</v>
      </c>
      <c r="G2676" s="156" t="str">
        <f>'Reported burning'!G2676</f>
        <v>ND</v>
      </c>
      <c r="H2676" s="156" t="str">
        <f>'Reported burning'!H2676</f>
        <v>Presence</v>
      </c>
      <c r="I2676" s="5"/>
      <c r="J2676" s="204" t="s">
        <v>2276</v>
      </c>
      <c r="K2676" s="204" t="s">
        <v>2276</v>
      </c>
      <c r="L2676" s="204" t="s">
        <v>2276</v>
      </c>
      <c r="M2676" s="204" t="s">
        <v>2276</v>
      </c>
      <c r="N2676" s="204" t="s">
        <v>2276</v>
      </c>
      <c r="O2676" s="204" t="s">
        <v>2276</v>
      </c>
      <c r="P2676" s="204" t="s">
        <v>2276</v>
      </c>
      <c r="Q2676" s="204" t="s">
        <v>2276</v>
      </c>
      <c r="R2676" s="204" t="s">
        <v>2276</v>
      </c>
      <c r="S2676" s="204" t="s">
        <v>2276</v>
      </c>
      <c r="T2676" s="204" t="s">
        <v>2276</v>
      </c>
      <c r="U2676" s="204" t="s">
        <v>2276</v>
      </c>
      <c r="V2676" s="204" t="s">
        <v>2276</v>
      </c>
      <c r="W2676" s="204" t="s">
        <v>2276</v>
      </c>
      <c r="X2676" s="204" t="s">
        <v>68</v>
      </c>
      <c r="Y2676" s="204" t="s">
        <v>86</v>
      </c>
      <c r="Z2676" s="204" t="s">
        <v>76</v>
      </c>
      <c r="AA2676" s="204"/>
      <c r="AB2676" s="204"/>
    </row>
    <row r="2677" spans="1:28" ht="34.5" customHeight="1">
      <c r="A2677" s="156" t="str">
        <f>'Reported burning'!A2677</f>
        <v>305q</v>
      </c>
      <c r="B2677" s="156" t="str">
        <f>'Reported burning'!B2677</f>
        <v>305q.3</v>
      </c>
      <c r="C2677" s="156" t="str">
        <f>'Reported burning'!C2677</f>
        <v>Human, deliberate</v>
      </c>
      <c r="D2677" s="156" t="str">
        <f>'Reported burning'!D2677</f>
        <v>Pyrome management</v>
      </c>
      <c r="E2677" s="156" t="str">
        <f>'Reported burning'!E2677</f>
        <v>Fire suppression agent</v>
      </c>
      <c r="F2677" s="156" t="str">
        <f>'Reported burning'!F2677</f>
        <v>ND</v>
      </c>
      <c r="G2677" s="156" t="str">
        <f>'Reported burning'!G2677</f>
        <v>ND</v>
      </c>
      <c r="H2677" s="156" t="str">
        <f>'Reported burning'!H2677</f>
        <v>Presence</v>
      </c>
      <c r="I2677" s="5"/>
      <c r="J2677" s="204" t="s">
        <v>2276</v>
      </c>
      <c r="K2677" s="204" t="s">
        <v>2276</v>
      </c>
      <c r="L2677" s="204" t="s">
        <v>2276</v>
      </c>
      <c r="M2677" s="204" t="s">
        <v>2276</v>
      </c>
      <c r="N2677" s="204" t="s">
        <v>2276</v>
      </c>
      <c r="O2677" s="204" t="s">
        <v>2276</v>
      </c>
      <c r="P2677" s="204" t="s">
        <v>2276</v>
      </c>
      <c r="Q2677" s="204" t="s">
        <v>2276</v>
      </c>
      <c r="R2677" s="204" t="s">
        <v>2276</v>
      </c>
      <c r="S2677" s="204" t="s">
        <v>2276</v>
      </c>
      <c r="T2677" s="204" t="s">
        <v>2276</v>
      </c>
      <c r="U2677" s="204" t="s">
        <v>2276</v>
      </c>
      <c r="V2677" s="204" t="s">
        <v>2276</v>
      </c>
      <c r="W2677" s="204" t="s">
        <v>2276</v>
      </c>
      <c r="X2677" s="204" t="s">
        <v>68</v>
      </c>
      <c r="Y2677" s="204" t="s">
        <v>86</v>
      </c>
      <c r="Z2677" s="204" t="s">
        <v>76</v>
      </c>
      <c r="AA2677" s="204"/>
      <c r="AB2677" s="204"/>
    </row>
    <row r="2678" spans="1:28" ht="34.5" customHeight="1">
      <c r="A2678" s="156" t="str">
        <f>'Reported burning'!A2678</f>
        <v>305r</v>
      </c>
      <c r="B2678" s="156" t="str">
        <f>'Reported burning'!B2678</f>
        <v>305r.3</v>
      </c>
      <c r="C2678" s="156" t="str">
        <f>'Reported burning'!C2678</f>
        <v>Human, deliberate</v>
      </c>
      <c r="D2678" s="156" t="str">
        <f>'Reported burning'!D2678</f>
        <v>Pyrome management</v>
      </c>
      <c r="E2678" s="156" t="str">
        <f>'Reported burning'!E2678</f>
        <v>Fire suppression agent</v>
      </c>
      <c r="F2678" s="156" t="str">
        <f>'Reported burning'!F2678</f>
        <v>ND</v>
      </c>
      <c r="G2678" s="156" t="str">
        <f>'Reported burning'!G2678</f>
        <v>ND</v>
      </c>
      <c r="H2678" s="156" t="str">
        <f>'Reported burning'!H2678</f>
        <v>Absence</v>
      </c>
      <c r="I2678" s="5"/>
      <c r="J2678" s="14" t="s">
        <v>2364</v>
      </c>
      <c r="K2678" s="14" t="s">
        <v>2364</v>
      </c>
      <c r="L2678" s="14" t="s">
        <v>2364</v>
      </c>
      <c r="M2678" s="14" t="s">
        <v>2364</v>
      </c>
      <c r="N2678" s="14" t="s">
        <v>2364</v>
      </c>
      <c r="O2678" s="14" t="s">
        <v>2364</v>
      </c>
      <c r="P2678" s="14" t="s">
        <v>2364</v>
      </c>
      <c r="Q2678" s="14" t="s">
        <v>2364</v>
      </c>
      <c r="R2678" s="14" t="s">
        <v>2364</v>
      </c>
      <c r="S2678" s="14" t="s">
        <v>2364</v>
      </c>
      <c r="T2678" s="14" t="s">
        <v>2364</v>
      </c>
      <c r="U2678" s="14" t="s">
        <v>2364</v>
      </c>
      <c r="V2678" s="14" t="s">
        <v>2364</v>
      </c>
      <c r="W2678" s="204" t="s">
        <v>2276</v>
      </c>
      <c r="X2678" s="204" t="s">
        <v>68</v>
      </c>
      <c r="Y2678" s="204" t="s">
        <v>86</v>
      </c>
      <c r="Z2678" s="204" t="s">
        <v>76</v>
      </c>
      <c r="AA2678" s="204"/>
      <c r="AB2678" s="204"/>
    </row>
    <row r="2679" spans="1:28" ht="34.5" customHeight="1">
      <c r="A2679" s="156" t="str">
        <f>'Reported burning'!A2679</f>
        <v>305s</v>
      </c>
      <c r="B2679" s="156" t="str">
        <f>'Reported burning'!B2679</f>
        <v>305s.3</v>
      </c>
      <c r="C2679" s="156" t="str">
        <f>'Reported burning'!C2679</f>
        <v>Human, deliberate</v>
      </c>
      <c r="D2679" s="156" t="str">
        <f>'Reported burning'!D2679</f>
        <v>Pyrome management</v>
      </c>
      <c r="E2679" s="156" t="str">
        <f>'Reported burning'!E2679</f>
        <v>Fire suppression agent</v>
      </c>
      <c r="F2679" s="156" t="str">
        <f>'Reported burning'!F2679</f>
        <v>ND</v>
      </c>
      <c r="G2679" s="156" t="str">
        <f>'Reported burning'!G2679</f>
        <v>ND</v>
      </c>
      <c r="H2679" s="156" t="str">
        <f>'Reported burning'!H2679</f>
        <v>Absence</v>
      </c>
      <c r="I2679" s="5"/>
      <c r="J2679" s="14" t="s">
        <v>2364</v>
      </c>
      <c r="K2679" s="14" t="s">
        <v>2364</v>
      </c>
      <c r="L2679" s="14" t="s">
        <v>2364</v>
      </c>
      <c r="M2679" s="14" t="s">
        <v>2364</v>
      </c>
      <c r="N2679" s="14" t="s">
        <v>2364</v>
      </c>
      <c r="O2679" s="14" t="s">
        <v>2364</v>
      </c>
      <c r="P2679" s="14" t="s">
        <v>2364</v>
      </c>
      <c r="Q2679" s="14" t="s">
        <v>2364</v>
      </c>
      <c r="R2679" s="14" t="s">
        <v>2364</v>
      </c>
      <c r="S2679" s="14" t="s">
        <v>2364</v>
      </c>
      <c r="T2679" s="14" t="s">
        <v>2364</v>
      </c>
      <c r="U2679" s="14" t="s">
        <v>2364</v>
      </c>
      <c r="V2679" s="14" t="s">
        <v>2364</v>
      </c>
      <c r="W2679" s="204" t="s">
        <v>2276</v>
      </c>
      <c r="X2679" s="204" t="s">
        <v>68</v>
      </c>
      <c r="Y2679" s="204" t="s">
        <v>86</v>
      </c>
      <c r="Z2679" s="204" t="s">
        <v>76</v>
      </c>
      <c r="AA2679" s="204"/>
      <c r="AB2679" s="204"/>
    </row>
    <row r="2680" spans="1:28" ht="34.5" customHeight="1">
      <c r="A2680" s="156" t="str">
        <f>'Reported burning'!A2680</f>
        <v>305t</v>
      </c>
      <c r="B2680" s="156" t="str">
        <f>'Reported burning'!B2680</f>
        <v>305t.3</v>
      </c>
      <c r="C2680" s="156" t="str">
        <f>'Reported burning'!C2680</f>
        <v>Human, deliberate</v>
      </c>
      <c r="D2680" s="156" t="str">
        <f>'Reported burning'!D2680</f>
        <v>Pyrome management</v>
      </c>
      <c r="E2680" s="156" t="str">
        <f>'Reported burning'!E2680</f>
        <v>Fire suppression agent</v>
      </c>
      <c r="F2680" s="156" t="str">
        <f>'Reported burning'!F2680</f>
        <v>ND</v>
      </c>
      <c r="G2680" s="156" t="str">
        <f>'Reported burning'!G2680</f>
        <v>ND</v>
      </c>
      <c r="H2680" s="156" t="str">
        <f>'Reported burning'!H2680</f>
        <v>Absence</v>
      </c>
      <c r="I2680" s="5"/>
      <c r="J2680" s="14" t="s">
        <v>2364</v>
      </c>
      <c r="K2680" s="14" t="s">
        <v>2364</v>
      </c>
      <c r="L2680" s="14" t="s">
        <v>2364</v>
      </c>
      <c r="M2680" s="14" t="s">
        <v>2364</v>
      </c>
      <c r="N2680" s="14" t="s">
        <v>2364</v>
      </c>
      <c r="O2680" s="14" t="s">
        <v>2364</v>
      </c>
      <c r="P2680" s="14" t="s">
        <v>2364</v>
      </c>
      <c r="Q2680" s="14" t="s">
        <v>2364</v>
      </c>
      <c r="R2680" s="14" t="s">
        <v>2364</v>
      </c>
      <c r="S2680" s="14" t="s">
        <v>2364</v>
      </c>
      <c r="T2680" s="14" t="s">
        <v>2364</v>
      </c>
      <c r="U2680" s="14" t="s">
        <v>2364</v>
      </c>
      <c r="V2680" s="14" t="s">
        <v>2364</v>
      </c>
      <c r="W2680" s="204" t="s">
        <v>2276</v>
      </c>
      <c r="X2680" s="204" t="s">
        <v>68</v>
      </c>
      <c r="Y2680" s="204" t="s">
        <v>86</v>
      </c>
      <c r="Z2680" s="204" t="s">
        <v>76</v>
      </c>
      <c r="AA2680" s="204"/>
      <c r="AB2680" s="204"/>
    </row>
    <row r="2681" spans="1:28" ht="34.5" customHeight="1">
      <c r="A2681" s="156" t="str">
        <f>'Reported burning'!A2681</f>
        <v>305u</v>
      </c>
      <c r="B2681" s="156" t="str">
        <f>'Reported burning'!B2681</f>
        <v>305u.3</v>
      </c>
      <c r="C2681" s="156" t="str">
        <f>'Reported burning'!C2681</f>
        <v>Human, deliberate</v>
      </c>
      <c r="D2681" s="156" t="str">
        <f>'Reported burning'!D2681</f>
        <v>Pyrome management</v>
      </c>
      <c r="E2681" s="156" t="str">
        <f>'Reported burning'!E2681</f>
        <v>Fire suppression agent</v>
      </c>
      <c r="F2681" s="156" t="str">
        <f>'Reported burning'!F2681</f>
        <v>ND</v>
      </c>
      <c r="G2681" s="156" t="str">
        <f>'Reported burning'!G2681</f>
        <v>ND</v>
      </c>
      <c r="H2681" s="156" t="str">
        <f>'Reported burning'!H2681</f>
        <v>Presence</v>
      </c>
      <c r="I2681" s="5"/>
      <c r="J2681" s="204" t="s">
        <v>2276</v>
      </c>
      <c r="K2681" s="204" t="s">
        <v>2276</v>
      </c>
      <c r="L2681" s="204" t="s">
        <v>2276</v>
      </c>
      <c r="M2681" s="204" t="s">
        <v>2276</v>
      </c>
      <c r="N2681" s="204" t="s">
        <v>2276</v>
      </c>
      <c r="O2681" s="204" t="s">
        <v>2276</v>
      </c>
      <c r="P2681" s="204" t="s">
        <v>2276</v>
      </c>
      <c r="Q2681" s="204" t="s">
        <v>2276</v>
      </c>
      <c r="R2681" s="204" t="s">
        <v>2276</v>
      </c>
      <c r="S2681" s="204" t="s">
        <v>2276</v>
      </c>
      <c r="T2681" s="204" t="s">
        <v>2276</v>
      </c>
      <c r="U2681" s="204" t="s">
        <v>2276</v>
      </c>
      <c r="V2681" s="204" t="s">
        <v>2276</v>
      </c>
      <c r="W2681" s="204" t="s">
        <v>2276</v>
      </c>
      <c r="X2681" s="204" t="s">
        <v>68</v>
      </c>
      <c r="Y2681" s="204" t="s">
        <v>86</v>
      </c>
      <c r="Z2681" s="204" t="s">
        <v>76</v>
      </c>
      <c r="AA2681" s="204"/>
      <c r="AB2681" s="204"/>
    </row>
    <row r="2682" spans="1:28" ht="34.5" customHeight="1">
      <c r="A2682" s="156" t="str">
        <f>'Reported burning'!A2682</f>
        <v>305v</v>
      </c>
      <c r="B2682" s="156" t="str">
        <f>'Reported burning'!B2682</f>
        <v>305v.3</v>
      </c>
      <c r="C2682" s="156" t="str">
        <f>'Reported burning'!C2682</f>
        <v>Human, deliberate</v>
      </c>
      <c r="D2682" s="156" t="str">
        <f>'Reported burning'!D2682</f>
        <v>Pyrome management</v>
      </c>
      <c r="E2682" s="156" t="str">
        <f>'Reported burning'!E2682</f>
        <v>Fire suppression agent</v>
      </c>
      <c r="F2682" s="156" t="str">
        <f>'Reported burning'!F2682</f>
        <v>ND</v>
      </c>
      <c r="G2682" s="156" t="str">
        <f>'Reported burning'!G2682</f>
        <v>ND</v>
      </c>
      <c r="H2682" s="156" t="str">
        <f>'Reported burning'!H2682</f>
        <v>Presence</v>
      </c>
      <c r="I2682" s="5"/>
      <c r="J2682" s="204" t="s">
        <v>2276</v>
      </c>
      <c r="K2682" s="204" t="s">
        <v>2276</v>
      </c>
      <c r="L2682" s="204" t="s">
        <v>2276</v>
      </c>
      <c r="M2682" s="204" t="s">
        <v>2276</v>
      </c>
      <c r="N2682" s="204" t="s">
        <v>2276</v>
      </c>
      <c r="O2682" s="204" t="s">
        <v>2276</v>
      </c>
      <c r="P2682" s="204" t="s">
        <v>2276</v>
      </c>
      <c r="Q2682" s="204" t="s">
        <v>2276</v>
      </c>
      <c r="R2682" s="204" t="s">
        <v>2276</v>
      </c>
      <c r="S2682" s="204" t="s">
        <v>2276</v>
      </c>
      <c r="T2682" s="204" t="s">
        <v>2276</v>
      </c>
      <c r="U2682" s="204" t="s">
        <v>2276</v>
      </c>
      <c r="V2682" s="204" t="s">
        <v>2276</v>
      </c>
      <c r="W2682" s="204" t="s">
        <v>2276</v>
      </c>
      <c r="X2682" s="204" t="s">
        <v>68</v>
      </c>
      <c r="Y2682" s="204" t="s">
        <v>86</v>
      </c>
      <c r="Z2682" s="204" t="s">
        <v>76</v>
      </c>
      <c r="AA2682" s="204"/>
      <c r="AB2682" s="204"/>
    </row>
    <row r="2683" spans="1:28" ht="34.5" customHeight="1">
      <c r="A2683" s="156" t="str">
        <f>'Reported burning'!A2683</f>
        <v>305w</v>
      </c>
      <c r="B2683" s="156" t="str">
        <f>'Reported burning'!B2683</f>
        <v>305w.3</v>
      </c>
      <c r="C2683" s="156" t="str">
        <f>'Reported burning'!C2683</f>
        <v>Human, deliberate</v>
      </c>
      <c r="D2683" s="156" t="str">
        <f>'Reported burning'!D2683</f>
        <v>Pyrome management</v>
      </c>
      <c r="E2683" s="156" t="str">
        <f>'Reported burning'!E2683</f>
        <v>Fire suppression agent</v>
      </c>
      <c r="F2683" s="156" t="str">
        <f>'Reported burning'!F2683</f>
        <v>ND</v>
      </c>
      <c r="G2683" s="156" t="str">
        <f>'Reported burning'!G2683</f>
        <v>ND</v>
      </c>
      <c r="H2683" s="156" t="str">
        <f>'Reported burning'!H2683</f>
        <v>Presence</v>
      </c>
      <c r="I2683" s="5"/>
      <c r="J2683" s="204" t="s">
        <v>2276</v>
      </c>
      <c r="K2683" s="204" t="s">
        <v>2276</v>
      </c>
      <c r="L2683" s="204" t="s">
        <v>2276</v>
      </c>
      <c r="M2683" s="204" t="s">
        <v>2276</v>
      </c>
      <c r="N2683" s="204" t="s">
        <v>2276</v>
      </c>
      <c r="O2683" s="204" t="s">
        <v>2276</v>
      </c>
      <c r="P2683" s="204" t="s">
        <v>2276</v>
      </c>
      <c r="Q2683" s="204" t="s">
        <v>2276</v>
      </c>
      <c r="R2683" s="204" t="s">
        <v>2276</v>
      </c>
      <c r="S2683" s="204" t="s">
        <v>2276</v>
      </c>
      <c r="T2683" s="204" t="s">
        <v>2276</v>
      </c>
      <c r="U2683" s="204" t="s">
        <v>2276</v>
      </c>
      <c r="V2683" s="204" t="s">
        <v>2276</v>
      </c>
      <c r="W2683" s="204" t="s">
        <v>2276</v>
      </c>
      <c r="X2683" s="204" t="s">
        <v>68</v>
      </c>
      <c r="Y2683" s="204" t="s">
        <v>86</v>
      </c>
      <c r="Z2683" s="204" t="s">
        <v>76</v>
      </c>
      <c r="AA2683" s="204"/>
      <c r="AB2683" s="204"/>
    </row>
    <row r="2684" spans="1:28" ht="34.5" customHeight="1">
      <c r="A2684" s="156" t="str">
        <f>'Reported burning'!A2684</f>
        <v>305x</v>
      </c>
      <c r="B2684" s="156" t="str">
        <f>'Reported burning'!B2684</f>
        <v>305x.3</v>
      </c>
      <c r="C2684" s="156" t="str">
        <f>'Reported burning'!C2684</f>
        <v>Human, deliberate</v>
      </c>
      <c r="D2684" s="156" t="str">
        <f>'Reported burning'!D2684</f>
        <v>Pyrome management</v>
      </c>
      <c r="E2684" s="156" t="str">
        <f>'Reported burning'!E2684</f>
        <v>Fire suppression agent</v>
      </c>
      <c r="F2684" s="156" t="str">
        <f>'Reported burning'!F2684</f>
        <v>ND</v>
      </c>
      <c r="G2684" s="156" t="str">
        <f>'Reported burning'!G2684</f>
        <v>ND</v>
      </c>
      <c r="H2684" s="156" t="str">
        <f>'Reported burning'!H2684</f>
        <v>Presence</v>
      </c>
      <c r="I2684" s="5"/>
      <c r="J2684" s="204" t="s">
        <v>2276</v>
      </c>
      <c r="K2684" s="204" t="s">
        <v>2276</v>
      </c>
      <c r="L2684" s="204" t="s">
        <v>2276</v>
      </c>
      <c r="M2684" s="204" t="s">
        <v>2276</v>
      </c>
      <c r="N2684" s="204" t="s">
        <v>2276</v>
      </c>
      <c r="O2684" s="204" t="s">
        <v>2276</v>
      </c>
      <c r="P2684" s="204" t="s">
        <v>2276</v>
      </c>
      <c r="Q2684" s="204" t="s">
        <v>2276</v>
      </c>
      <c r="R2684" s="204" t="s">
        <v>2276</v>
      </c>
      <c r="S2684" s="204" t="s">
        <v>2276</v>
      </c>
      <c r="T2684" s="204" t="s">
        <v>2276</v>
      </c>
      <c r="U2684" s="204" t="s">
        <v>2276</v>
      </c>
      <c r="V2684" s="204" t="s">
        <v>2276</v>
      </c>
      <c r="W2684" s="204" t="s">
        <v>2276</v>
      </c>
      <c r="X2684" s="204" t="s">
        <v>68</v>
      </c>
      <c r="Y2684" s="204" t="s">
        <v>86</v>
      </c>
      <c r="Z2684" s="204" t="s">
        <v>76</v>
      </c>
      <c r="AA2684" s="204"/>
      <c r="AB2684" s="204"/>
    </row>
    <row r="2685" spans="1:28" ht="34.5" customHeight="1">
      <c r="A2685" s="156" t="str">
        <f>'Reported burning'!A2685</f>
        <v>305y</v>
      </c>
      <c r="B2685" s="156" t="str">
        <f>'Reported burning'!B2685</f>
        <v>305y.3</v>
      </c>
      <c r="C2685" s="156" t="str">
        <f>'Reported burning'!C2685</f>
        <v>Human, deliberate</v>
      </c>
      <c r="D2685" s="156" t="str">
        <f>'Reported burning'!D2685</f>
        <v>Pyrome management</v>
      </c>
      <c r="E2685" s="156" t="str">
        <f>'Reported burning'!E2685</f>
        <v>Fire suppression agent</v>
      </c>
      <c r="F2685" s="156" t="str">
        <f>'Reported burning'!F2685</f>
        <v>ND</v>
      </c>
      <c r="G2685" s="156" t="str">
        <f>'Reported burning'!G2685</f>
        <v>ND</v>
      </c>
      <c r="H2685" s="156" t="str">
        <f>'Reported burning'!H2685</f>
        <v>Presence</v>
      </c>
      <c r="I2685" s="5"/>
      <c r="J2685" s="204" t="s">
        <v>2276</v>
      </c>
      <c r="K2685" s="204" t="s">
        <v>2276</v>
      </c>
      <c r="L2685" s="204" t="s">
        <v>2276</v>
      </c>
      <c r="M2685" s="204" t="s">
        <v>2276</v>
      </c>
      <c r="N2685" s="204" t="s">
        <v>2276</v>
      </c>
      <c r="O2685" s="204" t="s">
        <v>2276</v>
      </c>
      <c r="P2685" s="204" t="s">
        <v>2276</v>
      </c>
      <c r="Q2685" s="204" t="s">
        <v>2276</v>
      </c>
      <c r="R2685" s="204" t="s">
        <v>2276</v>
      </c>
      <c r="S2685" s="204" t="s">
        <v>2276</v>
      </c>
      <c r="T2685" s="204" t="s">
        <v>2276</v>
      </c>
      <c r="U2685" s="204" t="s">
        <v>2276</v>
      </c>
      <c r="V2685" s="204" t="s">
        <v>2276</v>
      </c>
      <c r="W2685" s="204" t="s">
        <v>2276</v>
      </c>
      <c r="X2685" s="204" t="s">
        <v>68</v>
      </c>
      <c r="Y2685" s="204" t="s">
        <v>86</v>
      </c>
      <c r="Z2685" s="204" t="s">
        <v>76</v>
      </c>
      <c r="AA2685" s="204"/>
      <c r="AB2685" s="204"/>
    </row>
    <row r="2686" spans="1:28" ht="34.5" customHeight="1">
      <c r="A2686" s="156" t="str">
        <f>'Reported burning'!A2686</f>
        <v>305z</v>
      </c>
      <c r="B2686" s="156" t="str">
        <f>'Reported burning'!B2686</f>
        <v>305z.3</v>
      </c>
      <c r="C2686" s="156" t="str">
        <f>'Reported burning'!C2686</f>
        <v>Human, deliberate</v>
      </c>
      <c r="D2686" s="156" t="str">
        <f>'Reported burning'!D2686</f>
        <v>Pyrome management</v>
      </c>
      <c r="E2686" s="156" t="str">
        <f>'Reported burning'!E2686</f>
        <v>Fire suppression agent</v>
      </c>
      <c r="F2686" s="156" t="str">
        <f>'Reported burning'!F2686</f>
        <v>ND</v>
      </c>
      <c r="G2686" s="156" t="str">
        <f>'Reported burning'!G2686</f>
        <v>ND</v>
      </c>
      <c r="H2686" s="156" t="str">
        <f>'Reported burning'!H2686</f>
        <v>Presence</v>
      </c>
      <c r="I2686" s="5"/>
      <c r="J2686" s="204" t="s">
        <v>2276</v>
      </c>
      <c r="K2686" s="204" t="s">
        <v>2276</v>
      </c>
      <c r="L2686" s="204" t="s">
        <v>2276</v>
      </c>
      <c r="M2686" s="204" t="s">
        <v>2276</v>
      </c>
      <c r="N2686" s="204" t="s">
        <v>2276</v>
      </c>
      <c r="O2686" s="204" t="s">
        <v>2276</v>
      </c>
      <c r="P2686" s="204" t="s">
        <v>2276</v>
      </c>
      <c r="Q2686" s="204" t="s">
        <v>2276</v>
      </c>
      <c r="R2686" s="204" t="s">
        <v>2276</v>
      </c>
      <c r="S2686" s="204" t="s">
        <v>2276</v>
      </c>
      <c r="T2686" s="204" t="s">
        <v>2276</v>
      </c>
      <c r="U2686" s="204" t="s">
        <v>2276</v>
      </c>
      <c r="V2686" s="204" t="s">
        <v>2276</v>
      </c>
      <c r="W2686" s="204" t="s">
        <v>2276</v>
      </c>
      <c r="X2686" s="204" t="s">
        <v>68</v>
      </c>
      <c r="Y2686" s="204" t="s">
        <v>86</v>
      </c>
      <c r="Z2686" s="204" t="s">
        <v>76</v>
      </c>
      <c r="AA2686" s="204"/>
      <c r="AB2686" s="204"/>
    </row>
    <row r="2687" spans="1:28" ht="34.5" customHeight="1">
      <c r="A2687" s="156" t="str">
        <f>'Reported burning'!A2687</f>
        <v>305aa</v>
      </c>
      <c r="B2687" s="156" t="str">
        <f>'Reported burning'!B2687</f>
        <v>305aa.3</v>
      </c>
      <c r="C2687" s="156" t="str">
        <f>'Reported burning'!C2687</f>
        <v>Human, deliberate</v>
      </c>
      <c r="D2687" s="156" t="str">
        <f>'Reported burning'!D2687</f>
        <v>Pyrome management</v>
      </c>
      <c r="E2687" s="156" t="str">
        <f>'Reported burning'!E2687</f>
        <v>Fire suppression agent</v>
      </c>
      <c r="F2687" s="156" t="str">
        <f>'Reported burning'!F2687</f>
        <v>ND</v>
      </c>
      <c r="G2687" s="156" t="str">
        <f>'Reported burning'!G2687</f>
        <v>ND</v>
      </c>
      <c r="H2687" s="156" t="str">
        <f>'Reported burning'!H2687</f>
        <v>Presence</v>
      </c>
      <c r="I2687" s="5"/>
      <c r="J2687" s="204" t="s">
        <v>2276</v>
      </c>
      <c r="K2687" s="204" t="s">
        <v>2276</v>
      </c>
      <c r="L2687" s="204" t="s">
        <v>2276</v>
      </c>
      <c r="M2687" s="204" t="s">
        <v>2276</v>
      </c>
      <c r="N2687" s="204" t="s">
        <v>2276</v>
      </c>
      <c r="O2687" s="204" t="s">
        <v>2276</v>
      </c>
      <c r="P2687" s="204" t="s">
        <v>2276</v>
      </c>
      <c r="Q2687" s="204" t="s">
        <v>2276</v>
      </c>
      <c r="R2687" s="204" t="s">
        <v>2276</v>
      </c>
      <c r="S2687" s="204" t="s">
        <v>2276</v>
      </c>
      <c r="T2687" s="204" t="s">
        <v>2276</v>
      </c>
      <c r="U2687" s="204" t="s">
        <v>2276</v>
      </c>
      <c r="V2687" s="204" t="s">
        <v>2276</v>
      </c>
      <c r="W2687" s="204" t="s">
        <v>2276</v>
      </c>
      <c r="X2687" s="204" t="s">
        <v>68</v>
      </c>
      <c r="Y2687" s="204" t="s">
        <v>86</v>
      </c>
      <c r="Z2687" s="204" t="s">
        <v>76</v>
      </c>
      <c r="AA2687" s="204"/>
      <c r="AB2687" s="204"/>
    </row>
    <row r="2688" spans="1:28" ht="34.5" customHeight="1">
      <c r="A2688" s="156" t="str">
        <f>'Reported burning'!A2688</f>
        <v>305ab</v>
      </c>
      <c r="B2688" s="156" t="str">
        <f>'Reported burning'!B2688</f>
        <v>305ab.3</v>
      </c>
      <c r="C2688" s="156" t="str">
        <f>'Reported burning'!C2688</f>
        <v>Human, deliberate</v>
      </c>
      <c r="D2688" s="156" t="str">
        <f>'Reported burning'!D2688</f>
        <v>Pyrome management</v>
      </c>
      <c r="E2688" s="156" t="str">
        <f>'Reported burning'!E2688</f>
        <v>Fire suppression agent</v>
      </c>
      <c r="F2688" s="156" t="str">
        <f>'Reported burning'!F2688</f>
        <v>ND</v>
      </c>
      <c r="G2688" s="156" t="str">
        <f>'Reported burning'!G2688</f>
        <v>ND</v>
      </c>
      <c r="H2688" s="156" t="str">
        <f>'Reported burning'!H2688</f>
        <v>Presence</v>
      </c>
      <c r="I2688" s="5"/>
      <c r="J2688" s="204" t="s">
        <v>2276</v>
      </c>
      <c r="K2688" s="204" t="s">
        <v>2276</v>
      </c>
      <c r="L2688" s="204" t="s">
        <v>2276</v>
      </c>
      <c r="M2688" s="204" t="s">
        <v>2276</v>
      </c>
      <c r="N2688" s="204" t="s">
        <v>2276</v>
      </c>
      <c r="O2688" s="204" t="s">
        <v>2276</v>
      </c>
      <c r="P2688" s="204" t="s">
        <v>2276</v>
      </c>
      <c r="Q2688" s="204" t="s">
        <v>2276</v>
      </c>
      <c r="R2688" s="204" t="s">
        <v>2276</v>
      </c>
      <c r="S2688" s="204" t="s">
        <v>2276</v>
      </c>
      <c r="T2688" s="204" t="s">
        <v>2276</v>
      </c>
      <c r="U2688" s="204" t="s">
        <v>2276</v>
      </c>
      <c r="V2688" s="204" t="s">
        <v>2276</v>
      </c>
      <c r="W2688" s="204" t="s">
        <v>2276</v>
      </c>
      <c r="X2688" s="204" t="s">
        <v>68</v>
      </c>
      <c r="Y2688" s="204" t="s">
        <v>86</v>
      </c>
      <c r="Z2688" s="204" t="s">
        <v>76</v>
      </c>
      <c r="AA2688" s="204"/>
      <c r="AB2688" s="204"/>
    </row>
    <row r="2689" spans="1:28" ht="34.5" customHeight="1">
      <c r="A2689" s="156" t="str">
        <f>'Reported burning'!A2689</f>
        <v>305ac</v>
      </c>
      <c r="B2689" s="156" t="str">
        <f>'Reported burning'!B2689</f>
        <v>305ac.3</v>
      </c>
      <c r="C2689" s="156" t="str">
        <f>'Reported burning'!C2689</f>
        <v>Human, deliberate</v>
      </c>
      <c r="D2689" s="156" t="str">
        <f>'Reported burning'!D2689</f>
        <v>Pyrome management</v>
      </c>
      <c r="E2689" s="156" t="str">
        <f>'Reported burning'!E2689</f>
        <v>Fire suppression agent</v>
      </c>
      <c r="F2689" s="156" t="str">
        <f>'Reported burning'!F2689</f>
        <v>ND</v>
      </c>
      <c r="G2689" s="156" t="str">
        <f>'Reported burning'!G2689</f>
        <v>ND</v>
      </c>
      <c r="H2689" s="156" t="str">
        <f>'Reported burning'!H2689</f>
        <v>Presence</v>
      </c>
      <c r="I2689" s="5"/>
      <c r="J2689" s="204" t="s">
        <v>2276</v>
      </c>
      <c r="K2689" s="204" t="s">
        <v>2276</v>
      </c>
      <c r="L2689" s="204" t="s">
        <v>2276</v>
      </c>
      <c r="M2689" s="204" t="s">
        <v>2276</v>
      </c>
      <c r="N2689" s="204" t="s">
        <v>2276</v>
      </c>
      <c r="O2689" s="204" t="s">
        <v>2276</v>
      </c>
      <c r="P2689" s="204" t="s">
        <v>2276</v>
      </c>
      <c r="Q2689" s="204" t="s">
        <v>2276</v>
      </c>
      <c r="R2689" s="204" t="s">
        <v>2276</v>
      </c>
      <c r="S2689" s="204" t="s">
        <v>2276</v>
      </c>
      <c r="T2689" s="204" t="s">
        <v>2276</v>
      </c>
      <c r="U2689" s="204" t="s">
        <v>2276</v>
      </c>
      <c r="V2689" s="204" t="s">
        <v>2276</v>
      </c>
      <c r="W2689" s="204" t="s">
        <v>2276</v>
      </c>
      <c r="X2689" s="204" t="s">
        <v>68</v>
      </c>
      <c r="Y2689" s="204" t="s">
        <v>86</v>
      </c>
      <c r="Z2689" s="204" t="s">
        <v>76</v>
      </c>
      <c r="AA2689" s="204"/>
      <c r="AB2689" s="204"/>
    </row>
    <row r="2690" spans="1:28" ht="34.5" customHeight="1">
      <c r="A2690" s="156" t="str">
        <f>'Reported burning'!A2690</f>
        <v>305ad</v>
      </c>
      <c r="B2690" s="156" t="str">
        <f>'Reported burning'!B2690</f>
        <v>305ad.3</v>
      </c>
      <c r="C2690" s="156" t="str">
        <f>'Reported burning'!C2690</f>
        <v>Human, deliberate</v>
      </c>
      <c r="D2690" s="156" t="str">
        <f>'Reported burning'!D2690</f>
        <v>Pyrome management</v>
      </c>
      <c r="E2690" s="156" t="str">
        <f>'Reported burning'!E2690</f>
        <v>Fire suppression agent</v>
      </c>
      <c r="F2690" s="156" t="str">
        <f>'Reported burning'!F2690</f>
        <v>ND</v>
      </c>
      <c r="G2690" s="156" t="str">
        <f>'Reported burning'!G2690</f>
        <v>ND</v>
      </c>
      <c r="H2690" s="156" t="str">
        <f>'Reported burning'!H2690</f>
        <v>Presence</v>
      </c>
      <c r="I2690" s="5"/>
      <c r="J2690" s="204" t="s">
        <v>2276</v>
      </c>
      <c r="K2690" s="204" t="s">
        <v>2276</v>
      </c>
      <c r="L2690" s="204" t="s">
        <v>2276</v>
      </c>
      <c r="M2690" s="204" t="s">
        <v>2276</v>
      </c>
      <c r="N2690" s="204" t="s">
        <v>2276</v>
      </c>
      <c r="O2690" s="204" t="s">
        <v>2276</v>
      </c>
      <c r="P2690" s="204" t="s">
        <v>2276</v>
      </c>
      <c r="Q2690" s="204" t="s">
        <v>2276</v>
      </c>
      <c r="R2690" s="204" t="s">
        <v>2276</v>
      </c>
      <c r="S2690" s="204" t="s">
        <v>2276</v>
      </c>
      <c r="T2690" s="204" t="s">
        <v>2276</v>
      </c>
      <c r="U2690" s="204" t="s">
        <v>2276</v>
      </c>
      <c r="V2690" s="204" t="s">
        <v>2276</v>
      </c>
      <c r="W2690" s="204" t="s">
        <v>2276</v>
      </c>
      <c r="X2690" s="204" t="s">
        <v>68</v>
      </c>
      <c r="Y2690" s="204" t="s">
        <v>86</v>
      </c>
      <c r="Z2690" s="204" t="s">
        <v>76</v>
      </c>
      <c r="AA2690" s="204"/>
      <c r="AB2690" s="204"/>
    </row>
    <row r="2691" spans="1:28" ht="34.5" customHeight="1">
      <c r="A2691" s="156" t="str">
        <f>'Reported burning'!A2691</f>
        <v>305ae</v>
      </c>
      <c r="B2691" s="156" t="str">
        <f>'Reported burning'!B2691</f>
        <v>305ae.3</v>
      </c>
      <c r="C2691" s="156" t="str">
        <f>'Reported burning'!C2691</f>
        <v>Human, deliberate</v>
      </c>
      <c r="D2691" s="156" t="str">
        <f>'Reported burning'!D2691</f>
        <v>Pyrome management</v>
      </c>
      <c r="E2691" s="156" t="str">
        <f>'Reported burning'!E2691</f>
        <v>Fire suppression agent</v>
      </c>
      <c r="F2691" s="156" t="str">
        <f>'Reported burning'!F2691</f>
        <v>ND</v>
      </c>
      <c r="G2691" s="156" t="str">
        <f>'Reported burning'!G2691</f>
        <v>ND</v>
      </c>
      <c r="H2691" s="156" t="str">
        <f>'Reported burning'!H2691</f>
        <v>Presence</v>
      </c>
      <c r="I2691" s="5"/>
      <c r="J2691" s="204" t="s">
        <v>2276</v>
      </c>
      <c r="K2691" s="204" t="s">
        <v>2276</v>
      </c>
      <c r="L2691" s="204" t="s">
        <v>2276</v>
      </c>
      <c r="M2691" s="204" t="s">
        <v>2276</v>
      </c>
      <c r="N2691" s="204" t="s">
        <v>2276</v>
      </c>
      <c r="O2691" s="204" t="s">
        <v>2276</v>
      </c>
      <c r="P2691" s="204" t="s">
        <v>2276</v>
      </c>
      <c r="Q2691" s="204" t="s">
        <v>2276</v>
      </c>
      <c r="R2691" s="204" t="s">
        <v>2276</v>
      </c>
      <c r="S2691" s="204" t="s">
        <v>2276</v>
      </c>
      <c r="T2691" s="204" t="s">
        <v>2276</v>
      </c>
      <c r="U2691" s="204" t="s">
        <v>2276</v>
      </c>
      <c r="V2691" s="204" t="s">
        <v>2276</v>
      </c>
      <c r="W2691" s="204" t="s">
        <v>2276</v>
      </c>
      <c r="X2691" s="204" t="s">
        <v>68</v>
      </c>
      <c r="Y2691" s="204" t="s">
        <v>86</v>
      </c>
      <c r="Z2691" s="204" t="s">
        <v>76</v>
      </c>
      <c r="AA2691" s="204"/>
      <c r="AB2691" s="204"/>
    </row>
    <row r="2692" spans="1:28" ht="34.5" customHeight="1">
      <c r="A2692" s="156" t="str">
        <f>'Reported burning'!A2692</f>
        <v>305n</v>
      </c>
      <c r="B2692" s="156" t="str">
        <f>'Reported burning'!B2692</f>
        <v>305n.4</v>
      </c>
      <c r="C2692" s="156" t="str">
        <f>'Reported burning'!C2692</f>
        <v>Human, deliberate</v>
      </c>
      <c r="D2692" s="156" t="str">
        <f>'Reported burning'!D2692</f>
        <v>Pyrome management</v>
      </c>
      <c r="E2692" s="156" t="str">
        <f>'Reported burning'!E2692</f>
        <v>Fire suppression agent</v>
      </c>
      <c r="F2692" s="156" t="str">
        <f>'Reported burning'!F2692</f>
        <v>ND</v>
      </c>
      <c r="G2692" s="156" t="str">
        <f>'Reported burning'!G2692</f>
        <v>ND</v>
      </c>
      <c r="H2692" s="156" t="str">
        <f>'Reported burning'!H2692</f>
        <v>Presence</v>
      </c>
      <c r="I2692" s="5"/>
      <c r="J2692" s="204" t="s">
        <v>2276</v>
      </c>
      <c r="K2692" s="204" t="s">
        <v>2276</v>
      </c>
      <c r="L2692" s="204" t="s">
        <v>2276</v>
      </c>
      <c r="M2692" s="204" t="s">
        <v>2276</v>
      </c>
      <c r="N2692" s="204" t="s">
        <v>2276</v>
      </c>
      <c r="O2692" s="204" t="s">
        <v>2276</v>
      </c>
      <c r="P2692" s="204" t="s">
        <v>2276</v>
      </c>
      <c r="Q2692" s="204" t="s">
        <v>2276</v>
      </c>
      <c r="R2692" s="204" t="s">
        <v>2276</v>
      </c>
      <c r="S2692" s="204" t="s">
        <v>2276</v>
      </c>
      <c r="T2692" s="204" t="s">
        <v>2276</v>
      </c>
      <c r="U2692" s="204" t="s">
        <v>2276</v>
      </c>
      <c r="V2692" s="204" t="s">
        <v>2276</v>
      </c>
      <c r="W2692" s="204" t="s">
        <v>2276</v>
      </c>
      <c r="X2692" s="204" t="s">
        <v>68</v>
      </c>
      <c r="Y2692" s="204" t="s">
        <v>86</v>
      </c>
      <c r="Z2692" s="204" t="s">
        <v>76</v>
      </c>
      <c r="AA2692" s="204"/>
      <c r="AB2692" s="204"/>
    </row>
    <row r="2693" spans="1:28" ht="34.5" customHeight="1">
      <c r="A2693" s="156" t="str">
        <f>'Reported burning'!A2693</f>
        <v>305o</v>
      </c>
      <c r="B2693" s="156" t="str">
        <f>'Reported burning'!B2693</f>
        <v>305o.4</v>
      </c>
      <c r="C2693" s="156" t="str">
        <f>'Reported burning'!C2693</f>
        <v>Human, deliberate</v>
      </c>
      <c r="D2693" s="156" t="str">
        <f>'Reported burning'!D2693</f>
        <v>Pyrome management</v>
      </c>
      <c r="E2693" s="156" t="str">
        <f>'Reported burning'!E2693</f>
        <v>Fire suppression agent</v>
      </c>
      <c r="F2693" s="156" t="str">
        <f>'Reported burning'!F2693</f>
        <v>ND</v>
      </c>
      <c r="G2693" s="156" t="str">
        <f>'Reported burning'!G2693</f>
        <v>ND</v>
      </c>
      <c r="H2693" s="156" t="str">
        <f>'Reported burning'!H2693</f>
        <v>Presence</v>
      </c>
      <c r="I2693" s="5"/>
      <c r="J2693" s="204" t="s">
        <v>2276</v>
      </c>
      <c r="K2693" s="204" t="s">
        <v>2276</v>
      </c>
      <c r="L2693" s="204" t="s">
        <v>2276</v>
      </c>
      <c r="M2693" s="204" t="s">
        <v>2276</v>
      </c>
      <c r="N2693" s="204" t="s">
        <v>2276</v>
      </c>
      <c r="O2693" s="204" t="s">
        <v>2276</v>
      </c>
      <c r="P2693" s="204" t="s">
        <v>2276</v>
      </c>
      <c r="Q2693" s="204" t="s">
        <v>2276</v>
      </c>
      <c r="R2693" s="204" t="s">
        <v>2276</v>
      </c>
      <c r="S2693" s="204" t="s">
        <v>2276</v>
      </c>
      <c r="T2693" s="204" t="s">
        <v>2276</v>
      </c>
      <c r="U2693" s="204" t="s">
        <v>2276</v>
      </c>
      <c r="V2693" s="204" t="s">
        <v>2276</v>
      </c>
      <c r="W2693" s="204" t="s">
        <v>2276</v>
      </c>
      <c r="X2693" s="204" t="s">
        <v>68</v>
      </c>
      <c r="Y2693" s="204" t="s">
        <v>86</v>
      </c>
      <c r="Z2693" s="204" t="s">
        <v>76</v>
      </c>
      <c r="AA2693" s="204"/>
      <c r="AB2693" s="204"/>
    </row>
    <row r="2694" spans="1:28" ht="34.5" customHeight="1">
      <c r="A2694" s="156" t="str">
        <f>'Reported burning'!A2694</f>
        <v>305p</v>
      </c>
      <c r="B2694" s="156" t="str">
        <f>'Reported burning'!B2694</f>
        <v>305p.4</v>
      </c>
      <c r="C2694" s="156" t="str">
        <f>'Reported burning'!C2694</f>
        <v>Human, deliberate</v>
      </c>
      <c r="D2694" s="156" t="str">
        <f>'Reported burning'!D2694</f>
        <v>Pyrome management</v>
      </c>
      <c r="E2694" s="156" t="str">
        <f>'Reported burning'!E2694</f>
        <v>Fire suppression agent</v>
      </c>
      <c r="F2694" s="156" t="str">
        <f>'Reported burning'!F2694</f>
        <v>ND</v>
      </c>
      <c r="G2694" s="156" t="str">
        <f>'Reported burning'!G2694</f>
        <v>ND</v>
      </c>
      <c r="H2694" s="156" t="str">
        <f>'Reported burning'!H2694</f>
        <v>Presence</v>
      </c>
      <c r="I2694" s="5"/>
      <c r="J2694" s="204" t="s">
        <v>2276</v>
      </c>
      <c r="K2694" s="204" t="s">
        <v>2276</v>
      </c>
      <c r="L2694" s="204" t="s">
        <v>2276</v>
      </c>
      <c r="M2694" s="204" t="s">
        <v>2276</v>
      </c>
      <c r="N2694" s="204" t="s">
        <v>2276</v>
      </c>
      <c r="O2694" s="204" t="s">
        <v>2276</v>
      </c>
      <c r="P2694" s="204" t="s">
        <v>2276</v>
      </c>
      <c r="Q2694" s="204" t="s">
        <v>2276</v>
      </c>
      <c r="R2694" s="204" t="s">
        <v>2276</v>
      </c>
      <c r="S2694" s="204" t="s">
        <v>2276</v>
      </c>
      <c r="T2694" s="204" t="s">
        <v>2276</v>
      </c>
      <c r="U2694" s="204" t="s">
        <v>2276</v>
      </c>
      <c r="V2694" s="204" t="s">
        <v>2276</v>
      </c>
      <c r="W2694" s="204" t="s">
        <v>2276</v>
      </c>
      <c r="X2694" s="204" t="s">
        <v>68</v>
      </c>
      <c r="Y2694" s="204" t="s">
        <v>86</v>
      </c>
      <c r="Z2694" s="204" t="s">
        <v>76</v>
      </c>
      <c r="AA2694" s="204"/>
      <c r="AB2694" s="204"/>
    </row>
    <row r="2695" spans="1:28" ht="34.5" customHeight="1">
      <c r="A2695" s="156" t="str">
        <f>'Reported burning'!A2695</f>
        <v>305q</v>
      </c>
      <c r="B2695" s="156" t="str">
        <f>'Reported burning'!B2695</f>
        <v>305q.4</v>
      </c>
      <c r="C2695" s="156" t="str">
        <f>'Reported burning'!C2695</f>
        <v>Human, deliberate</v>
      </c>
      <c r="D2695" s="156" t="str">
        <f>'Reported burning'!D2695</f>
        <v>Pyrome management</v>
      </c>
      <c r="E2695" s="156" t="str">
        <f>'Reported burning'!E2695</f>
        <v>Fire suppression agent</v>
      </c>
      <c r="F2695" s="156" t="str">
        <f>'Reported burning'!F2695</f>
        <v>ND</v>
      </c>
      <c r="G2695" s="156" t="str">
        <f>'Reported burning'!G2695</f>
        <v>ND</v>
      </c>
      <c r="H2695" s="156" t="str">
        <f>'Reported burning'!H2695</f>
        <v>Presence</v>
      </c>
      <c r="I2695" s="5"/>
      <c r="J2695" s="204" t="s">
        <v>2276</v>
      </c>
      <c r="K2695" s="204" t="s">
        <v>2276</v>
      </c>
      <c r="L2695" s="204" t="s">
        <v>2276</v>
      </c>
      <c r="M2695" s="204" t="s">
        <v>2276</v>
      </c>
      <c r="N2695" s="204" t="s">
        <v>2276</v>
      </c>
      <c r="O2695" s="204" t="s">
        <v>2276</v>
      </c>
      <c r="P2695" s="204" t="s">
        <v>2276</v>
      </c>
      <c r="Q2695" s="204" t="s">
        <v>2276</v>
      </c>
      <c r="R2695" s="204" t="s">
        <v>2276</v>
      </c>
      <c r="S2695" s="204" t="s">
        <v>2276</v>
      </c>
      <c r="T2695" s="204" t="s">
        <v>2276</v>
      </c>
      <c r="U2695" s="204" t="s">
        <v>2276</v>
      </c>
      <c r="V2695" s="204" t="s">
        <v>2276</v>
      </c>
      <c r="W2695" s="204" t="s">
        <v>2276</v>
      </c>
      <c r="X2695" s="204" t="s">
        <v>68</v>
      </c>
      <c r="Y2695" s="204" t="s">
        <v>86</v>
      </c>
      <c r="Z2695" s="204" t="s">
        <v>76</v>
      </c>
      <c r="AA2695" s="204"/>
      <c r="AB2695" s="204"/>
    </row>
    <row r="2696" spans="1:28" ht="34.5" customHeight="1">
      <c r="A2696" s="156" t="str">
        <f>'Reported burning'!A2696</f>
        <v>305r</v>
      </c>
      <c r="B2696" s="156" t="str">
        <f>'Reported burning'!B2696</f>
        <v>305r.4</v>
      </c>
      <c r="C2696" s="156" t="str">
        <f>'Reported burning'!C2696</f>
        <v>Human, deliberate</v>
      </c>
      <c r="D2696" s="156" t="str">
        <f>'Reported burning'!D2696</f>
        <v>Pyrome management</v>
      </c>
      <c r="E2696" s="156" t="str">
        <f>'Reported burning'!E2696</f>
        <v>Fire suppression agent</v>
      </c>
      <c r="F2696" s="156" t="str">
        <f>'Reported burning'!F2696</f>
        <v>ND</v>
      </c>
      <c r="G2696" s="156" t="str">
        <f>'Reported burning'!G2696</f>
        <v>ND</v>
      </c>
      <c r="H2696" s="156" t="str">
        <f>'Reported burning'!H2696</f>
        <v>Absence</v>
      </c>
      <c r="I2696" s="5"/>
      <c r="J2696" s="14" t="s">
        <v>2364</v>
      </c>
      <c r="K2696" s="14" t="s">
        <v>2364</v>
      </c>
      <c r="L2696" s="14" t="s">
        <v>2364</v>
      </c>
      <c r="M2696" s="14" t="s">
        <v>2364</v>
      </c>
      <c r="N2696" s="14" t="s">
        <v>2364</v>
      </c>
      <c r="O2696" s="14" t="s">
        <v>2364</v>
      </c>
      <c r="P2696" s="14" t="s">
        <v>2364</v>
      </c>
      <c r="Q2696" s="14" t="s">
        <v>2364</v>
      </c>
      <c r="R2696" s="14" t="s">
        <v>2364</v>
      </c>
      <c r="S2696" s="14" t="s">
        <v>2364</v>
      </c>
      <c r="T2696" s="14" t="s">
        <v>2364</v>
      </c>
      <c r="U2696" s="14" t="s">
        <v>2364</v>
      </c>
      <c r="V2696" s="14" t="s">
        <v>2364</v>
      </c>
      <c r="W2696" s="204" t="s">
        <v>2276</v>
      </c>
      <c r="X2696" s="204" t="s">
        <v>68</v>
      </c>
      <c r="Y2696" s="204" t="s">
        <v>86</v>
      </c>
      <c r="Z2696" s="204" t="s">
        <v>76</v>
      </c>
      <c r="AA2696" s="204"/>
      <c r="AB2696" s="204"/>
    </row>
    <row r="2697" spans="1:28" ht="34.5" customHeight="1">
      <c r="A2697" s="156" t="str">
        <f>'Reported burning'!A2697</f>
        <v>305s</v>
      </c>
      <c r="B2697" s="156" t="str">
        <f>'Reported burning'!B2697</f>
        <v>305s.4</v>
      </c>
      <c r="C2697" s="156" t="str">
        <f>'Reported burning'!C2697</f>
        <v>Human, deliberate</v>
      </c>
      <c r="D2697" s="156" t="str">
        <f>'Reported burning'!D2697</f>
        <v>Pyrome management</v>
      </c>
      <c r="E2697" s="156" t="str">
        <f>'Reported burning'!E2697</f>
        <v>Fire suppression agent</v>
      </c>
      <c r="F2697" s="156" t="str">
        <f>'Reported burning'!F2697</f>
        <v>ND</v>
      </c>
      <c r="G2697" s="156" t="str">
        <f>'Reported burning'!G2697</f>
        <v>ND</v>
      </c>
      <c r="H2697" s="156" t="str">
        <f>'Reported burning'!H2697</f>
        <v>Absence</v>
      </c>
      <c r="I2697" s="5"/>
      <c r="J2697" s="14" t="s">
        <v>2364</v>
      </c>
      <c r="K2697" s="14" t="s">
        <v>2364</v>
      </c>
      <c r="L2697" s="14" t="s">
        <v>2364</v>
      </c>
      <c r="M2697" s="14" t="s">
        <v>2364</v>
      </c>
      <c r="N2697" s="14" t="s">
        <v>2364</v>
      </c>
      <c r="O2697" s="14" t="s">
        <v>2364</v>
      </c>
      <c r="P2697" s="14" t="s">
        <v>2364</v>
      </c>
      <c r="Q2697" s="14" t="s">
        <v>2364</v>
      </c>
      <c r="R2697" s="14" t="s">
        <v>2364</v>
      </c>
      <c r="S2697" s="14" t="s">
        <v>2364</v>
      </c>
      <c r="T2697" s="14" t="s">
        <v>2364</v>
      </c>
      <c r="U2697" s="14" t="s">
        <v>2364</v>
      </c>
      <c r="V2697" s="14" t="s">
        <v>2364</v>
      </c>
      <c r="W2697" s="204" t="s">
        <v>2276</v>
      </c>
      <c r="X2697" s="204" t="s">
        <v>68</v>
      </c>
      <c r="Y2697" s="204" t="s">
        <v>86</v>
      </c>
      <c r="Z2697" s="204" t="s">
        <v>76</v>
      </c>
      <c r="AA2697" s="204"/>
      <c r="AB2697" s="204"/>
    </row>
    <row r="2698" spans="1:28" ht="34.5" customHeight="1">
      <c r="A2698" s="156" t="str">
        <f>'Reported burning'!A2698</f>
        <v>305t</v>
      </c>
      <c r="B2698" s="156" t="str">
        <f>'Reported burning'!B2698</f>
        <v>305t.4</v>
      </c>
      <c r="C2698" s="156" t="str">
        <f>'Reported burning'!C2698</f>
        <v>Human, deliberate</v>
      </c>
      <c r="D2698" s="156" t="str">
        <f>'Reported burning'!D2698</f>
        <v>Pyrome management</v>
      </c>
      <c r="E2698" s="156" t="str">
        <f>'Reported burning'!E2698</f>
        <v>Fire suppression agent</v>
      </c>
      <c r="F2698" s="156" t="str">
        <f>'Reported burning'!F2698</f>
        <v>ND</v>
      </c>
      <c r="G2698" s="156" t="str">
        <f>'Reported burning'!G2698</f>
        <v>ND</v>
      </c>
      <c r="H2698" s="156" t="str">
        <f>'Reported burning'!H2698</f>
        <v>Absence</v>
      </c>
      <c r="I2698" s="5"/>
      <c r="J2698" s="14" t="s">
        <v>2364</v>
      </c>
      <c r="K2698" s="14" t="s">
        <v>2364</v>
      </c>
      <c r="L2698" s="14" t="s">
        <v>2364</v>
      </c>
      <c r="M2698" s="14" t="s">
        <v>2364</v>
      </c>
      <c r="N2698" s="14" t="s">
        <v>2364</v>
      </c>
      <c r="O2698" s="14" t="s">
        <v>2364</v>
      </c>
      <c r="P2698" s="14" t="s">
        <v>2364</v>
      </c>
      <c r="Q2698" s="14" t="s">
        <v>2364</v>
      </c>
      <c r="R2698" s="14" t="s">
        <v>2364</v>
      </c>
      <c r="S2698" s="14" t="s">
        <v>2364</v>
      </c>
      <c r="T2698" s="14" t="s">
        <v>2364</v>
      </c>
      <c r="U2698" s="14" t="s">
        <v>2364</v>
      </c>
      <c r="V2698" s="14" t="s">
        <v>2364</v>
      </c>
      <c r="W2698" s="204" t="s">
        <v>2276</v>
      </c>
      <c r="X2698" s="204" t="s">
        <v>68</v>
      </c>
      <c r="Y2698" s="204" t="s">
        <v>86</v>
      </c>
      <c r="Z2698" s="204" t="s">
        <v>76</v>
      </c>
      <c r="AA2698" s="204"/>
      <c r="AB2698" s="204"/>
    </row>
    <row r="2699" spans="1:28" ht="34.5" customHeight="1">
      <c r="A2699" s="156" t="str">
        <f>'Reported burning'!A2699</f>
        <v>305u</v>
      </c>
      <c r="B2699" s="156" t="str">
        <f>'Reported burning'!B2699</f>
        <v>305u.4</v>
      </c>
      <c r="C2699" s="156" t="str">
        <f>'Reported burning'!C2699</f>
        <v>Human, deliberate</v>
      </c>
      <c r="D2699" s="156" t="str">
        <f>'Reported burning'!D2699</f>
        <v>Pyrome management</v>
      </c>
      <c r="E2699" s="156" t="str">
        <f>'Reported burning'!E2699</f>
        <v>Fire suppression agent</v>
      </c>
      <c r="F2699" s="156" t="str">
        <f>'Reported burning'!F2699</f>
        <v>ND</v>
      </c>
      <c r="G2699" s="156" t="str">
        <f>'Reported burning'!G2699</f>
        <v>ND</v>
      </c>
      <c r="H2699" s="156" t="str">
        <f>'Reported burning'!H2699</f>
        <v>Presence</v>
      </c>
      <c r="I2699" s="5"/>
      <c r="J2699" s="204" t="s">
        <v>2276</v>
      </c>
      <c r="K2699" s="204" t="s">
        <v>2276</v>
      </c>
      <c r="L2699" s="204" t="s">
        <v>2276</v>
      </c>
      <c r="M2699" s="204" t="s">
        <v>2276</v>
      </c>
      <c r="N2699" s="204" t="s">
        <v>2276</v>
      </c>
      <c r="O2699" s="204" t="s">
        <v>2276</v>
      </c>
      <c r="P2699" s="204" t="s">
        <v>2276</v>
      </c>
      <c r="Q2699" s="204" t="s">
        <v>2276</v>
      </c>
      <c r="R2699" s="204" t="s">
        <v>2276</v>
      </c>
      <c r="S2699" s="204" t="s">
        <v>2276</v>
      </c>
      <c r="T2699" s="204" t="s">
        <v>2276</v>
      </c>
      <c r="U2699" s="204" t="s">
        <v>2276</v>
      </c>
      <c r="V2699" s="204" t="s">
        <v>2276</v>
      </c>
      <c r="W2699" s="204" t="s">
        <v>2276</v>
      </c>
      <c r="X2699" s="204" t="s">
        <v>68</v>
      </c>
      <c r="Y2699" s="204" t="s">
        <v>86</v>
      </c>
      <c r="Z2699" s="204" t="s">
        <v>76</v>
      </c>
      <c r="AA2699" s="204"/>
      <c r="AB2699" s="204"/>
    </row>
    <row r="2700" spans="1:28" ht="34.5" customHeight="1">
      <c r="A2700" s="156" t="str">
        <f>'Reported burning'!A2700</f>
        <v>305v</v>
      </c>
      <c r="B2700" s="156" t="str">
        <f>'Reported burning'!B2700</f>
        <v>305v.4</v>
      </c>
      <c r="C2700" s="156" t="str">
        <f>'Reported burning'!C2700</f>
        <v>Human, deliberate</v>
      </c>
      <c r="D2700" s="156" t="str">
        <f>'Reported burning'!D2700</f>
        <v>Pyrome management</v>
      </c>
      <c r="E2700" s="156" t="str">
        <f>'Reported burning'!E2700</f>
        <v>Fire suppression agent</v>
      </c>
      <c r="F2700" s="156" t="str">
        <f>'Reported burning'!F2700</f>
        <v>ND</v>
      </c>
      <c r="G2700" s="156" t="str">
        <f>'Reported burning'!G2700</f>
        <v>ND</v>
      </c>
      <c r="H2700" s="156" t="str">
        <f>'Reported burning'!H2700</f>
        <v>Presence</v>
      </c>
      <c r="I2700" s="5"/>
      <c r="J2700" s="204" t="s">
        <v>2276</v>
      </c>
      <c r="K2700" s="204" t="s">
        <v>2276</v>
      </c>
      <c r="L2700" s="204" t="s">
        <v>2276</v>
      </c>
      <c r="M2700" s="204" t="s">
        <v>2276</v>
      </c>
      <c r="N2700" s="204" t="s">
        <v>2276</v>
      </c>
      <c r="O2700" s="204" t="s">
        <v>2276</v>
      </c>
      <c r="P2700" s="204" t="s">
        <v>2276</v>
      </c>
      <c r="Q2700" s="204" t="s">
        <v>2276</v>
      </c>
      <c r="R2700" s="204" t="s">
        <v>2276</v>
      </c>
      <c r="S2700" s="204" t="s">
        <v>2276</v>
      </c>
      <c r="T2700" s="204" t="s">
        <v>2276</v>
      </c>
      <c r="U2700" s="204" t="s">
        <v>2276</v>
      </c>
      <c r="V2700" s="204" t="s">
        <v>2276</v>
      </c>
      <c r="W2700" s="204" t="s">
        <v>2276</v>
      </c>
      <c r="X2700" s="204" t="s">
        <v>68</v>
      </c>
      <c r="Y2700" s="204" t="s">
        <v>86</v>
      </c>
      <c r="Z2700" s="204" t="s">
        <v>76</v>
      </c>
      <c r="AA2700" s="204"/>
      <c r="AB2700" s="204"/>
    </row>
    <row r="2701" spans="1:28" ht="34.5" customHeight="1">
      <c r="A2701" s="156" t="str">
        <f>'Reported burning'!A2701</f>
        <v>305w</v>
      </c>
      <c r="B2701" s="156" t="str">
        <f>'Reported burning'!B2701</f>
        <v>305w.4</v>
      </c>
      <c r="C2701" s="156" t="str">
        <f>'Reported burning'!C2701</f>
        <v>Human, deliberate</v>
      </c>
      <c r="D2701" s="156" t="str">
        <f>'Reported burning'!D2701</f>
        <v>Pyrome management</v>
      </c>
      <c r="E2701" s="156" t="str">
        <f>'Reported burning'!E2701</f>
        <v>Fire suppression agent</v>
      </c>
      <c r="F2701" s="156" t="str">
        <f>'Reported burning'!F2701</f>
        <v>ND</v>
      </c>
      <c r="G2701" s="156" t="str">
        <f>'Reported burning'!G2701</f>
        <v>ND</v>
      </c>
      <c r="H2701" s="156" t="str">
        <f>'Reported burning'!H2701</f>
        <v>Presence</v>
      </c>
      <c r="I2701" s="5"/>
      <c r="J2701" s="204" t="s">
        <v>2276</v>
      </c>
      <c r="K2701" s="204" t="s">
        <v>2276</v>
      </c>
      <c r="L2701" s="204" t="s">
        <v>2276</v>
      </c>
      <c r="M2701" s="204" t="s">
        <v>2276</v>
      </c>
      <c r="N2701" s="204" t="s">
        <v>2276</v>
      </c>
      <c r="O2701" s="204" t="s">
        <v>2276</v>
      </c>
      <c r="P2701" s="204" t="s">
        <v>2276</v>
      </c>
      <c r="Q2701" s="204" t="s">
        <v>2276</v>
      </c>
      <c r="R2701" s="204" t="s">
        <v>2276</v>
      </c>
      <c r="S2701" s="204" t="s">
        <v>2276</v>
      </c>
      <c r="T2701" s="204" t="s">
        <v>2276</v>
      </c>
      <c r="U2701" s="204" t="s">
        <v>2276</v>
      </c>
      <c r="V2701" s="204" t="s">
        <v>2276</v>
      </c>
      <c r="W2701" s="204" t="s">
        <v>2276</v>
      </c>
      <c r="X2701" s="204" t="s">
        <v>68</v>
      </c>
      <c r="Y2701" s="204" t="s">
        <v>86</v>
      </c>
      <c r="Z2701" s="204" t="s">
        <v>76</v>
      </c>
      <c r="AA2701" s="204"/>
      <c r="AB2701" s="204"/>
    </row>
    <row r="2702" spans="1:28" ht="34.5" customHeight="1">
      <c r="A2702" s="156" t="str">
        <f>'Reported burning'!A2702</f>
        <v>305x</v>
      </c>
      <c r="B2702" s="156" t="str">
        <f>'Reported burning'!B2702</f>
        <v>305x.4</v>
      </c>
      <c r="C2702" s="156" t="str">
        <f>'Reported burning'!C2702</f>
        <v>Human, deliberate</v>
      </c>
      <c r="D2702" s="156" t="str">
        <f>'Reported burning'!D2702</f>
        <v>Pyrome management</v>
      </c>
      <c r="E2702" s="156" t="str">
        <f>'Reported burning'!E2702</f>
        <v>Fire suppression agent</v>
      </c>
      <c r="F2702" s="156" t="str">
        <f>'Reported burning'!F2702</f>
        <v>ND</v>
      </c>
      <c r="G2702" s="156" t="str">
        <f>'Reported burning'!G2702</f>
        <v>ND</v>
      </c>
      <c r="H2702" s="156" t="str">
        <f>'Reported burning'!H2702</f>
        <v>Presence</v>
      </c>
      <c r="I2702" s="5"/>
      <c r="J2702" s="204" t="s">
        <v>2276</v>
      </c>
      <c r="K2702" s="204" t="s">
        <v>2276</v>
      </c>
      <c r="L2702" s="204" t="s">
        <v>2276</v>
      </c>
      <c r="M2702" s="204" t="s">
        <v>2276</v>
      </c>
      <c r="N2702" s="204" t="s">
        <v>2276</v>
      </c>
      <c r="O2702" s="204" t="s">
        <v>2276</v>
      </c>
      <c r="P2702" s="204" t="s">
        <v>2276</v>
      </c>
      <c r="Q2702" s="204" t="s">
        <v>2276</v>
      </c>
      <c r="R2702" s="204" t="s">
        <v>2276</v>
      </c>
      <c r="S2702" s="204" t="s">
        <v>2276</v>
      </c>
      <c r="T2702" s="204" t="s">
        <v>2276</v>
      </c>
      <c r="U2702" s="204" t="s">
        <v>2276</v>
      </c>
      <c r="V2702" s="204" t="s">
        <v>2276</v>
      </c>
      <c r="W2702" s="204" t="s">
        <v>2276</v>
      </c>
      <c r="X2702" s="204" t="s">
        <v>68</v>
      </c>
      <c r="Y2702" s="204" t="s">
        <v>86</v>
      </c>
      <c r="Z2702" s="204" t="s">
        <v>76</v>
      </c>
      <c r="AA2702" s="204"/>
      <c r="AB2702" s="204"/>
    </row>
    <row r="2703" spans="1:28" ht="34.5" customHeight="1">
      <c r="A2703" s="156" t="str">
        <f>'Reported burning'!A2703</f>
        <v>305y</v>
      </c>
      <c r="B2703" s="156" t="str">
        <f>'Reported burning'!B2703</f>
        <v>305y.4</v>
      </c>
      <c r="C2703" s="156" t="str">
        <f>'Reported burning'!C2703</f>
        <v>Human, deliberate</v>
      </c>
      <c r="D2703" s="156" t="str">
        <f>'Reported burning'!D2703</f>
        <v>Pyrome management</v>
      </c>
      <c r="E2703" s="156" t="str">
        <f>'Reported burning'!E2703</f>
        <v>Fire suppression agent</v>
      </c>
      <c r="F2703" s="156" t="str">
        <f>'Reported burning'!F2703</f>
        <v>ND</v>
      </c>
      <c r="G2703" s="156" t="str">
        <f>'Reported burning'!G2703</f>
        <v>ND</v>
      </c>
      <c r="H2703" s="156" t="str">
        <f>'Reported burning'!H2703</f>
        <v>Presence</v>
      </c>
      <c r="I2703" s="5"/>
      <c r="J2703" s="204" t="s">
        <v>2276</v>
      </c>
      <c r="K2703" s="204" t="s">
        <v>2276</v>
      </c>
      <c r="L2703" s="204" t="s">
        <v>2276</v>
      </c>
      <c r="M2703" s="204" t="s">
        <v>2276</v>
      </c>
      <c r="N2703" s="204" t="s">
        <v>2276</v>
      </c>
      <c r="O2703" s="204" t="s">
        <v>2276</v>
      </c>
      <c r="P2703" s="204" t="s">
        <v>2276</v>
      </c>
      <c r="Q2703" s="204" t="s">
        <v>2276</v>
      </c>
      <c r="R2703" s="204" t="s">
        <v>2276</v>
      </c>
      <c r="S2703" s="204" t="s">
        <v>2276</v>
      </c>
      <c r="T2703" s="204" t="s">
        <v>2276</v>
      </c>
      <c r="U2703" s="204" t="s">
        <v>2276</v>
      </c>
      <c r="V2703" s="204" t="s">
        <v>2276</v>
      </c>
      <c r="W2703" s="204" t="s">
        <v>2276</v>
      </c>
      <c r="X2703" s="204" t="s">
        <v>68</v>
      </c>
      <c r="Y2703" s="204" t="s">
        <v>86</v>
      </c>
      <c r="Z2703" s="204" t="s">
        <v>76</v>
      </c>
      <c r="AA2703" s="204"/>
      <c r="AB2703" s="204"/>
    </row>
    <row r="2704" spans="1:28" ht="34.5" customHeight="1">
      <c r="A2704" s="156" t="str">
        <f>'Reported burning'!A2704</f>
        <v>305z</v>
      </c>
      <c r="B2704" s="156" t="str">
        <f>'Reported burning'!B2704</f>
        <v>305z.4</v>
      </c>
      <c r="C2704" s="156" t="str">
        <f>'Reported burning'!C2704</f>
        <v>Human, deliberate</v>
      </c>
      <c r="D2704" s="156" t="str">
        <f>'Reported burning'!D2704</f>
        <v>Pyrome management</v>
      </c>
      <c r="E2704" s="156" t="str">
        <f>'Reported burning'!E2704</f>
        <v>Fire suppression agent</v>
      </c>
      <c r="F2704" s="156" t="str">
        <f>'Reported burning'!F2704</f>
        <v>ND</v>
      </c>
      <c r="G2704" s="156" t="str">
        <f>'Reported burning'!G2704</f>
        <v>ND</v>
      </c>
      <c r="H2704" s="156" t="str">
        <f>'Reported burning'!H2704</f>
        <v>Presence</v>
      </c>
      <c r="I2704" s="5"/>
      <c r="J2704" s="204" t="s">
        <v>2276</v>
      </c>
      <c r="K2704" s="204" t="s">
        <v>2276</v>
      </c>
      <c r="L2704" s="204" t="s">
        <v>2276</v>
      </c>
      <c r="M2704" s="204" t="s">
        <v>2276</v>
      </c>
      <c r="N2704" s="204" t="s">
        <v>2276</v>
      </c>
      <c r="O2704" s="204" t="s">
        <v>2276</v>
      </c>
      <c r="P2704" s="204" t="s">
        <v>2276</v>
      </c>
      <c r="Q2704" s="204" t="s">
        <v>2276</v>
      </c>
      <c r="R2704" s="204" t="s">
        <v>2276</v>
      </c>
      <c r="S2704" s="204" t="s">
        <v>2276</v>
      </c>
      <c r="T2704" s="204" t="s">
        <v>2276</v>
      </c>
      <c r="U2704" s="204" t="s">
        <v>2276</v>
      </c>
      <c r="V2704" s="204" t="s">
        <v>2276</v>
      </c>
      <c r="W2704" s="204" t="s">
        <v>2276</v>
      </c>
      <c r="X2704" s="204" t="s">
        <v>68</v>
      </c>
      <c r="Y2704" s="204" t="s">
        <v>86</v>
      </c>
      <c r="Z2704" s="204" t="s">
        <v>76</v>
      </c>
      <c r="AA2704" s="204"/>
      <c r="AB2704" s="204"/>
    </row>
    <row r="2705" spans="1:28" ht="34.5" customHeight="1">
      <c r="A2705" s="156" t="str">
        <f>'Reported burning'!A2705</f>
        <v>305aa</v>
      </c>
      <c r="B2705" s="156" t="str">
        <f>'Reported burning'!B2705</f>
        <v>305aa.4</v>
      </c>
      <c r="C2705" s="156" t="str">
        <f>'Reported burning'!C2705</f>
        <v>Human, deliberate</v>
      </c>
      <c r="D2705" s="156" t="str">
        <f>'Reported burning'!D2705</f>
        <v>Pyrome management</v>
      </c>
      <c r="E2705" s="156" t="str">
        <f>'Reported burning'!E2705</f>
        <v>Fire suppression agent</v>
      </c>
      <c r="F2705" s="156" t="str">
        <f>'Reported burning'!F2705</f>
        <v>ND</v>
      </c>
      <c r="G2705" s="156" t="str">
        <f>'Reported burning'!G2705</f>
        <v>ND</v>
      </c>
      <c r="H2705" s="156" t="str">
        <f>'Reported burning'!H2705</f>
        <v>Presence</v>
      </c>
      <c r="I2705" s="5"/>
      <c r="J2705" s="204" t="s">
        <v>2276</v>
      </c>
      <c r="K2705" s="204" t="s">
        <v>2276</v>
      </c>
      <c r="L2705" s="204" t="s">
        <v>2276</v>
      </c>
      <c r="M2705" s="204" t="s">
        <v>2276</v>
      </c>
      <c r="N2705" s="204" t="s">
        <v>2276</v>
      </c>
      <c r="O2705" s="204" t="s">
        <v>2276</v>
      </c>
      <c r="P2705" s="204" t="s">
        <v>2276</v>
      </c>
      <c r="Q2705" s="204" t="s">
        <v>2276</v>
      </c>
      <c r="R2705" s="204" t="s">
        <v>2276</v>
      </c>
      <c r="S2705" s="204" t="s">
        <v>2276</v>
      </c>
      <c r="T2705" s="204" t="s">
        <v>2276</v>
      </c>
      <c r="U2705" s="204" t="s">
        <v>2276</v>
      </c>
      <c r="V2705" s="204" t="s">
        <v>2276</v>
      </c>
      <c r="W2705" s="204" t="s">
        <v>2276</v>
      </c>
      <c r="X2705" s="204" t="s">
        <v>68</v>
      </c>
      <c r="Y2705" s="204" t="s">
        <v>86</v>
      </c>
      <c r="Z2705" s="204" t="s">
        <v>76</v>
      </c>
      <c r="AA2705" s="204"/>
      <c r="AB2705" s="204"/>
    </row>
    <row r="2706" spans="1:28" ht="34.5" customHeight="1">
      <c r="A2706" s="156" t="str">
        <f>'Reported burning'!A2706</f>
        <v>305ab</v>
      </c>
      <c r="B2706" s="156" t="str">
        <f>'Reported burning'!B2706</f>
        <v>305ab.4</v>
      </c>
      <c r="C2706" s="156" t="str">
        <f>'Reported burning'!C2706</f>
        <v>Human, deliberate</v>
      </c>
      <c r="D2706" s="156" t="str">
        <f>'Reported burning'!D2706</f>
        <v>Pyrome management</v>
      </c>
      <c r="E2706" s="156" t="str">
        <f>'Reported burning'!E2706</f>
        <v>Fire suppression agent</v>
      </c>
      <c r="F2706" s="156" t="str">
        <f>'Reported burning'!F2706</f>
        <v>ND</v>
      </c>
      <c r="G2706" s="156" t="str">
        <f>'Reported burning'!G2706</f>
        <v>ND</v>
      </c>
      <c r="H2706" s="156" t="str">
        <f>'Reported burning'!H2706</f>
        <v>Presence</v>
      </c>
      <c r="I2706" s="5"/>
      <c r="J2706" s="204" t="s">
        <v>2276</v>
      </c>
      <c r="K2706" s="204" t="s">
        <v>2276</v>
      </c>
      <c r="L2706" s="204" t="s">
        <v>2276</v>
      </c>
      <c r="M2706" s="204" t="s">
        <v>2276</v>
      </c>
      <c r="N2706" s="204" t="s">
        <v>2276</v>
      </c>
      <c r="O2706" s="204" t="s">
        <v>2276</v>
      </c>
      <c r="P2706" s="204" t="s">
        <v>2276</v>
      </c>
      <c r="Q2706" s="204" t="s">
        <v>2276</v>
      </c>
      <c r="R2706" s="204" t="s">
        <v>2276</v>
      </c>
      <c r="S2706" s="204" t="s">
        <v>2276</v>
      </c>
      <c r="T2706" s="204" t="s">
        <v>2276</v>
      </c>
      <c r="U2706" s="204" t="s">
        <v>2276</v>
      </c>
      <c r="V2706" s="204" t="s">
        <v>2276</v>
      </c>
      <c r="W2706" s="204" t="s">
        <v>2276</v>
      </c>
      <c r="X2706" s="204" t="s">
        <v>68</v>
      </c>
      <c r="Y2706" s="204" t="s">
        <v>86</v>
      </c>
      <c r="Z2706" s="204" t="s">
        <v>76</v>
      </c>
      <c r="AA2706" s="204"/>
      <c r="AB2706" s="204"/>
    </row>
    <row r="2707" spans="1:28" ht="34.5" customHeight="1">
      <c r="A2707" s="156" t="str">
        <f>'Reported burning'!A2707</f>
        <v>305ac</v>
      </c>
      <c r="B2707" s="156" t="str">
        <f>'Reported burning'!B2707</f>
        <v>305ac.4</v>
      </c>
      <c r="C2707" s="156" t="str">
        <f>'Reported burning'!C2707</f>
        <v>Human, deliberate</v>
      </c>
      <c r="D2707" s="156" t="str">
        <f>'Reported burning'!D2707</f>
        <v>Pyrome management</v>
      </c>
      <c r="E2707" s="156" t="str">
        <f>'Reported burning'!E2707</f>
        <v>Fire suppression agent</v>
      </c>
      <c r="F2707" s="156" t="str">
        <f>'Reported burning'!F2707</f>
        <v>ND</v>
      </c>
      <c r="G2707" s="156" t="str">
        <f>'Reported burning'!G2707</f>
        <v>ND</v>
      </c>
      <c r="H2707" s="156" t="str">
        <f>'Reported burning'!H2707</f>
        <v>Presence</v>
      </c>
      <c r="I2707" s="5"/>
      <c r="J2707" s="204" t="s">
        <v>2276</v>
      </c>
      <c r="K2707" s="204" t="s">
        <v>2276</v>
      </c>
      <c r="L2707" s="204" t="s">
        <v>2276</v>
      </c>
      <c r="M2707" s="204" t="s">
        <v>2276</v>
      </c>
      <c r="N2707" s="204" t="s">
        <v>2276</v>
      </c>
      <c r="O2707" s="204" t="s">
        <v>2276</v>
      </c>
      <c r="P2707" s="204" t="s">
        <v>2276</v>
      </c>
      <c r="Q2707" s="204" t="s">
        <v>2276</v>
      </c>
      <c r="R2707" s="204" t="s">
        <v>2276</v>
      </c>
      <c r="S2707" s="204" t="s">
        <v>2276</v>
      </c>
      <c r="T2707" s="204" t="s">
        <v>2276</v>
      </c>
      <c r="U2707" s="204" t="s">
        <v>2276</v>
      </c>
      <c r="V2707" s="204" t="s">
        <v>2276</v>
      </c>
      <c r="W2707" s="204" t="s">
        <v>2276</v>
      </c>
      <c r="X2707" s="204" t="s">
        <v>68</v>
      </c>
      <c r="Y2707" s="204" t="s">
        <v>86</v>
      </c>
      <c r="Z2707" s="204" t="s">
        <v>76</v>
      </c>
      <c r="AA2707" s="204"/>
      <c r="AB2707" s="204"/>
    </row>
    <row r="2708" spans="1:28" ht="34.5" customHeight="1">
      <c r="A2708" s="156" t="str">
        <f>'Reported burning'!A2708</f>
        <v>305ad</v>
      </c>
      <c r="B2708" s="156" t="str">
        <f>'Reported burning'!B2708</f>
        <v>305ad.4</v>
      </c>
      <c r="C2708" s="156" t="str">
        <f>'Reported burning'!C2708</f>
        <v>Human, deliberate</v>
      </c>
      <c r="D2708" s="156" t="str">
        <f>'Reported burning'!D2708</f>
        <v>Pyrome management</v>
      </c>
      <c r="E2708" s="156" t="str">
        <f>'Reported burning'!E2708</f>
        <v>Fire suppression agent</v>
      </c>
      <c r="F2708" s="156" t="str">
        <f>'Reported burning'!F2708</f>
        <v>ND</v>
      </c>
      <c r="G2708" s="156" t="str">
        <f>'Reported burning'!G2708</f>
        <v>ND</v>
      </c>
      <c r="H2708" s="156" t="str">
        <f>'Reported burning'!H2708</f>
        <v>Presence</v>
      </c>
      <c r="I2708" s="5"/>
      <c r="J2708" s="204" t="s">
        <v>2276</v>
      </c>
      <c r="K2708" s="204" t="s">
        <v>2276</v>
      </c>
      <c r="L2708" s="204" t="s">
        <v>2276</v>
      </c>
      <c r="M2708" s="204" t="s">
        <v>2276</v>
      </c>
      <c r="N2708" s="204" t="s">
        <v>2276</v>
      </c>
      <c r="O2708" s="204" t="s">
        <v>2276</v>
      </c>
      <c r="P2708" s="204" t="s">
        <v>2276</v>
      </c>
      <c r="Q2708" s="204" t="s">
        <v>2276</v>
      </c>
      <c r="R2708" s="204" t="s">
        <v>2276</v>
      </c>
      <c r="S2708" s="204" t="s">
        <v>2276</v>
      </c>
      <c r="T2708" s="204" t="s">
        <v>2276</v>
      </c>
      <c r="U2708" s="204" t="s">
        <v>2276</v>
      </c>
      <c r="V2708" s="204" t="s">
        <v>2276</v>
      </c>
      <c r="W2708" s="204" t="s">
        <v>2276</v>
      </c>
      <c r="X2708" s="204" t="s">
        <v>68</v>
      </c>
      <c r="Y2708" s="204" t="s">
        <v>86</v>
      </c>
      <c r="Z2708" s="204" t="s">
        <v>76</v>
      </c>
      <c r="AA2708" s="204"/>
      <c r="AB2708" s="204"/>
    </row>
    <row r="2709" spans="1:28" ht="34.5" customHeight="1">
      <c r="A2709" s="156" t="str">
        <f>'Reported burning'!A2709</f>
        <v>305ae</v>
      </c>
      <c r="B2709" s="156" t="str">
        <f>'Reported burning'!B2709</f>
        <v>305ae.4</v>
      </c>
      <c r="C2709" s="156" t="str">
        <f>'Reported burning'!C2709</f>
        <v>Human, deliberate</v>
      </c>
      <c r="D2709" s="156" t="str">
        <f>'Reported burning'!D2709</f>
        <v>Pyrome management</v>
      </c>
      <c r="E2709" s="156" t="str">
        <f>'Reported burning'!E2709</f>
        <v>Fire suppression agent</v>
      </c>
      <c r="F2709" s="156" t="str">
        <f>'Reported burning'!F2709</f>
        <v>ND</v>
      </c>
      <c r="G2709" s="156" t="str">
        <f>'Reported burning'!G2709</f>
        <v>ND</v>
      </c>
      <c r="H2709" s="156" t="str">
        <f>'Reported burning'!H2709</f>
        <v>Presence</v>
      </c>
      <c r="I2709" s="5"/>
      <c r="J2709" s="204" t="s">
        <v>2276</v>
      </c>
      <c r="K2709" s="204" t="s">
        <v>2276</v>
      </c>
      <c r="L2709" s="204" t="s">
        <v>2276</v>
      </c>
      <c r="M2709" s="204" t="s">
        <v>2276</v>
      </c>
      <c r="N2709" s="204" t="s">
        <v>2276</v>
      </c>
      <c r="O2709" s="204" t="s">
        <v>2276</v>
      </c>
      <c r="P2709" s="204" t="s">
        <v>2276</v>
      </c>
      <c r="Q2709" s="204" t="s">
        <v>2276</v>
      </c>
      <c r="R2709" s="204" t="s">
        <v>2276</v>
      </c>
      <c r="S2709" s="204" t="s">
        <v>2276</v>
      </c>
      <c r="T2709" s="204" t="s">
        <v>2276</v>
      </c>
      <c r="U2709" s="204" t="s">
        <v>2276</v>
      </c>
      <c r="V2709" s="204" t="s">
        <v>2276</v>
      </c>
      <c r="W2709" s="204" t="s">
        <v>2276</v>
      </c>
      <c r="X2709" s="204" t="s">
        <v>68</v>
      </c>
      <c r="Y2709" s="204" t="s">
        <v>86</v>
      </c>
      <c r="Z2709" s="204" t="s">
        <v>76</v>
      </c>
      <c r="AA2709" s="204"/>
      <c r="AB2709" s="204"/>
    </row>
    <row r="2710" spans="1:28" ht="34.5" customHeight="1">
      <c r="A2710" s="156" t="str">
        <f>'Reported burning'!A2710</f>
        <v>305n</v>
      </c>
      <c r="B2710" s="156" t="str">
        <f>'Reported burning'!B2710</f>
        <v>305n.5</v>
      </c>
      <c r="C2710" s="156" t="str">
        <f>'Reported burning'!C2710</f>
        <v>Human, deliberate</v>
      </c>
      <c r="D2710" s="156" t="str">
        <f>'Reported burning'!D2710</f>
        <v>Pyrome management</v>
      </c>
      <c r="E2710" s="156" t="str">
        <f>'Reported burning'!E2710</f>
        <v>Fire suppression agent</v>
      </c>
      <c r="F2710" s="156" t="str">
        <f>'Reported burning'!F2710</f>
        <v>ND</v>
      </c>
      <c r="G2710" s="156" t="str">
        <f>'Reported burning'!G2710</f>
        <v>ND</v>
      </c>
      <c r="H2710" s="156" t="str">
        <f>'Reported burning'!H2710</f>
        <v>Presence</v>
      </c>
      <c r="I2710" s="5"/>
      <c r="J2710" s="204" t="s">
        <v>2276</v>
      </c>
      <c r="K2710" s="204" t="s">
        <v>2276</v>
      </c>
      <c r="L2710" s="204" t="s">
        <v>2276</v>
      </c>
      <c r="M2710" s="204" t="s">
        <v>2276</v>
      </c>
      <c r="N2710" s="204" t="s">
        <v>2276</v>
      </c>
      <c r="O2710" s="204" t="s">
        <v>2276</v>
      </c>
      <c r="P2710" s="204" t="s">
        <v>2276</v>
      </c>
      <c r="Q2710" s="204" t="s">
        <v>2276</v>
      </c>
      <c r="R2710" s="204" t="s">
        <v>2276</v>
      </c>
      <c r="S2710" s="204" t="s">
        <v>2276</v>
      </c>
      <c r="T2710" s="204" t="s">
        <v>2276</v>
      </c>
      <c r="U2710" s="204" t="s">
        <v>2276</v>
      </c>
      <c r="V2710" s="204" t="s">
        <v>2276</v>
      </c>
      <c r="W2710" s="204" t="s">
        <v>2276</v>
      </c>
      <c r="X2710" s="204" t="s">
        <v>68</v>
      </c>
      <c r="Y2710" s="204" t="s">
        <v>86</v>
      </c>
      <c r="Z2710" s="204" t="s">
        <v>76</v>
      </c>
      <c r="AA2710" s="204"/>
      <c r="AB2710" s="204"/>
    </row>
    <row r="2711" spans="1:28" ht="34.5" customHeight="1">
      <c r="A2711" s="156" t="str">
        <f>'Reported burning'!A2711</f>
        <v>305o</v>
      </c>
      <c r="B2711" s="156" t="str">
        <f>'Reported burning'!B2711</f>
        <v>305o.5</v>
      </c>
      <c r="C2711" s="156" t="str">
        <f>'Reported burning'!C2711</f>
        <v>Human, deliberate</v>
      </c>
      <c r="D2711" s="156" t="str">
        <f>'Reported burning'!D2711</f>
        <v>Pyrome management</v>
      </c>
      <c r="E2711" s="156" t="str">
        <f>'Reported burning'!E2711</f>
        <v>Fire suppression agent</v>
      </c>
      <c r="F2711" s="156" t="str">
        <f>'Reported burning'!F2711</f>
        <v>ND</v>
      </c>
      <c r="G2711" s="156" t="str">
        <f>'Reported burning'!G2711</f>
        <v>ND</v>
      </c>
      <c r="H2711" s="156" t="str">
        <f>'Reported burning'!H2711</f>
        <v>Presence</v>
      </c>
      <c r="I2711" s="5"/>
      <c r="J2711" s="204" t="s">
        <v>2276</v>
      </c>
      <c r="K2711" s="204" t="s">
        <v>2276</v>
      </c>
      <c r="L2711" s="204" t="s">
        <v>2276</v>
      </c>
      <c r="M2711" s="204" t="s">
        <v>2276</v>
      </c>
      <c r="N2711" s="204" t="s">
        <v>2276</v>
      </c>
      <c r="O2711" s="204" t="s">
        <v>2276</v>
      </c>
      <c r="P2711" s="204" t="s">
        <v>2276</v>
      </c>
      <c r="Q2711" s="204" t="s">
        <v>2276</v>
      </c>
      <c r="R2711" s="204" t="s">
        <v>2276</v>
      </c>
      <c r="S2711" s="204" t="s">
        <v>2276</v>
      </c>
      <c r="T2711" s="204" t="s">
        <v>2276</v>
      </c>
      <c r="U2711" s="204" t="s">
        <v>2276</v>
      </c>
      <c r="V2711" s="204" t="s">
        <v>2276</v>
      </c>
      <c r="W2711" s="204" t="s">
        <v>2276</v>
      </c>
      <c r="X2711" s="204" t="s">
        <v>68</v>
      </c>
      <c r="Y2711" s="204" t="s">
        <v>86</v>
      </c>
      <c r="Z2711" s="204" t="s">
        <v>76</v>
      </c>
      <c r="AA2711" s="204"/>
      <c r="AB2711" s="204"/>
    </row>
    <row r="2712" spans="1:28" ht="34.5" customHeight="1">
      <c r="A2712" s="156" t="str">
        <f>'Reported burning'!A2712</f>
        <v>305p</v>
      </c>
      <c r="B2712" s="156" t="str">
        <f>'Reported burning'!B2712</f>
        <v>305p.5</v>
      </c>
      <c r="C2712" s="156" t="str">
        <f>'Reported burning'!C2712</f>
        <v>Human, deliberate</v>
      </c>
      <c r="D2712" s="156" t="str">
        <f>'Reported burning'!D2712</f>
        <v>Pyrome management</v>
      </c>
      <c r="E2712" s="156" t="str">
        <f>'Reported burning'!E2712</f>
        <v>Fire suppression agent</v>
      </c>
      <c r="F2712" s="156" t="str">
        <f>'Reported burning'!F2712</f>
        <v>ND</v>
      </c>
      <c r="G2712" s="156" t="str">
        <f>'Reported burning'!G2712</f>
        <v>ND</v>
      </c>
      <c r="H2712" s="156" t="str">
        <f>'Reported burning'!H2712</f>
        <v>Presence</v>
      </c>
      <c r="I2712" s="5"/>
      <c r="J2712" s="204" t="s">
        <v>2276</v>
      </c>
      <c r="K2712" s="204" t="s">
        <v>2276</v>
      </c>
      <c r="L2712" s="204" t="s">
        <v>2276</v>
      </c>
      <c r="M2712" s="204" t="s">
        <v>2276</v>
      </c>
      <c r="N2712" s="204" t="s">
        <v>2276</v>
      </c>
      <c r="O2712" s="204" t="s">
        <v>2276</v>
      </c>
      <c r="P2712" s="204" t="s">
        <v>2276</v>
      </c>
      <c r="Q2712" s="204" t="s">
        <v>2276</v>
      </c>
      <c r="R2712" s="204" t="s">
        <v>2276</v>
      </c>
      <c r="S2712" s="204" t="s">
        <v>2276</v>
      </c>
      <c r="T2712" s="204" t="s">
        <v>2276</v>
      </c>
      <c r="U2712" s="204" t="s">
        <v>2276</v>
      </c>
      <c r="V2712" s="204" t="s">
        <v>2276</v>
      </c>
      <c r="W2712" s="204" t="s">
        <v>2276</v>
      </c>
      <c r="X2712" s="204" t="s">
        <v>68</v>
      </c>
      <c r="Y2712" s="204" t="s">
        <v>86</v>
      </c>
      <c r="Z2712" s="204" t="s">
        <v>76</v>
      </c>
      <c r="AA2712" s="204"/>
      <c r="AB2712" s="204"/>
    </row>
    <row r="2713" spans="1:28" ht="34.5" customHeight="1">
      <c r="A2713" s="156" t="str">
        <f>'Reported burning'!A2713</f>
        <v>305q</v>
      </c>
      <c r="B2713" s="156" t="str">
        <f>'Reported burning'!B2713</f>
        <v>305q.5</v>
      </c>
      <c r="C2713" s="156" t="str">
        <f>'Reported burning'!C2713</f>
        <v>Human, deliberate</v>
      </c>
      <c r="D2713" s="156" t="str">
        <f>'Reported burning'!D2713</f>
        <v>Pyrome management</v>
      </c>
      <c r="E2713" s="156" t="str">
        <f>'Reported burning'!E2713</f>
        <v>Fire suppression agent</v>
      </c>
      <c r="F2713" s="156" t="str">
        <f>'Reported burning'!F2713</f>
        <v>ND</v>
      </c>
      <c r="G2713" s="156" t="str">
        <f>'Reported burning'!G2713</f>
        <v>ND</v>
      </c>
      <c r="H2713" s="156" t="str">
        <f>'Reported burning'!H2713</f>
        <v>Presence</v>
      </c>
      <c r="I2713" s="5"/>
      <c r="J2713" s="204" t="s">
        <v>2276</v>
      </c>
      <c r="K2713" s="204" t="s">
        <v>2276</v>
      </c>
      <c r="L2713" s="204" t="s">
        <v>2276</v>
      </c>
      <c r="M2713" s="204" t="s">
        <v>2276</v>
      </c>
      <c r="N2713" s="204" t="s">
        <v>2276</v>
      </c>
      <c r="O2713" s="204" t="s">
        <v>2276</v>
      </c>
      <c r="P2713" s="204" t="s">
        <v>2276</v>
      </c>
      <c r="Q2713" s="204" t="s">
        <v>2276</v>
      </c>
      <c r="R2713" s="204" t="s">
        <v>2276</v>
      </c>
      <c r="S2713" s="204" t="s">
        <v>2276</v>
      </c>
      <c r="T2713" s="204" t="s">
        <v>2276</v>
      </c>
      <c r="U2713" s="204" t="s">
        <v>2276</v>
      </c>
      <c r="V2713" s="204" t="s">
        <v>2276</v>
      </c>
      <c r="W2713" s="204" t="s">
        <v>2276</v>
      </c>
      <c r="X2713" s="204" t="s">
        <v>68</v>
      </c>
      <c r="Y2713" s="204" t="s">
        <v>86</v>
      </c>
      <c r="Z2713" s="204" t="s">
        <v>76</v>
      </c>
      <c r="AA2713" s="204"/>
      <c r="AB2713" s="204"/>
    </row>
    <row r="2714" spans="1:28" ht="34.5" customHeight="1">
      <c r="A2714" s="156" t="str">
        <f>'Reported burning'!A2714</f>
        <v>305r</v>
      </c>
      <c r="B2714" s="156" t="str">
        <f>'Reported burning'!B2714</f>
        <v>305r.5</v>
      </c>
      <c r="C2714" s="156" t="str">
        <f>'Reported burning'!C2714</f>
        <v>Human, deliberate</v>
      </c>
      <c r="D2714" s="156" t="str">
        <f>'Reported burning'!D2714</f>
        <v>Pyrome management</v>
      </c>
      <c r="E2714" s="156" t="str">
        <f>'Reported burning'!E2714</f>
        <v>Fire suppression agent</v>
      </c>
      <c r="F2714" s="156" t="str">
        <f>'Reported burning'!F2714</f>
        <v>ND</v>
      </c>
      <c r="G2714" s="156" t="str">
        <f>'Reported burning'!G2714</f>
        <v>ND</v>
      </c>
      <c r="H2714" s="156" t="str">
        <f>'Reported burning'!H2714</f>
        <v>Absence</v>
      </c>
      <c r="I2714" s="5"/>
      <c r="J2714" s="14" t="s">
        <v>2364</v>
      </c>
      <c r="K2714" s="14" t="s">
        <v>2364</v>
      </c>
      <c r="L2714" s="14" t="s">
        <v>2364</v>
      </c>
      <c r="M2714" s="14" t="s">
        <v>2364</v>
      </c>
      <c r="N2714" s="14" t="s">
        <v>2364</v>
      </c>
      <c r="O2714" s="14" t="s">
        <v>2364</v>
      </c>
      <c r="P2714" s="14" t="s">
        <v>2364</v>
      </c>
      <c r="Q2714" s="14" t="s">
        <v>2364</v>
      </c>
      <c r="R2714" s="14" t="s">
        <v>2364</v>
      </c>
      <c r="S2714" s="14" t="s">
        <v>2364</v>
      </c>
      <c r="T2714" s="14" t="s">
        <v>2364</v>
      </c>
      <c r="U2714" s="14" t="s">
        <v>2364</v>
      </c>
      <c r="V2714" s="14" t="s">
        <v>2364</v>
      </c>
      <c r="W2714" s="204" t="s">
        <v>2276</v>
      </c>
      <c r="X2714" s="204" t="s">
        <v>68</v>
      </c>
      <c r="Y2714" s="204" t="s">
        <v>86</v>
      </c>
      <c r="Z2714" s="204" t="s">
        <v>76</v>
      </c>
      <c r="AA2714" s="204"/>
      <c r="AB2714" s="204"/>
    </row>
    <row r="2715" spans="1:28" ht="34.5" customHeight="1">
      <c r="A2715" s="156" t="str">
        <f>'Reported burning'!A2715</f>
        <v>305s</v>
      </c>
      <c r="B2715" s="156" t="str">
        <f>'Reported burning'!B2715</f>
        <v>305s.5</v>
      </c>
      <c r="C2715" s="156" t="str">
        <f>'Reported burning'!C2715</f>
        <v>Human, deliberate</v>
      </c>
      <c r="D2715" s="156" t="str">
        <f>'Reported burning'!D2715</f>
        <v>Pyrome management</v>
      </c>
      <c r="E2715" s="156" t="str">
        <f>'Reported burning'!E2715</f>
        <v>Fire suppression agent</v>
      </c>
      <c r="F2715" s="156" t="str">
        <f>'Reported burning'!F2715</f>
        <v>ND</v>
      </c>
      <c r="G2715" s="156" t="str">
        <f>'Reported burning'!G2715</f>
        <v>ND</v>
      </c>
      <c r="H2715" s="156" t="str">
        <f>'Reported burning'!H2715</f>
        <v>Absence</v>
      </c>
      <c r="I2715" s="5"/>
      <c r="J2715" s="14" t="s">
        <v>2364</v>
      </c>
      <c r="K2715" s="14" t="s">
        <v>2364</v>
      </c>
      <c r="L2715" s="14" t="s">
        <v>2364</v>
      </c>
      <c r="M2715" s="14" t="s">
        <v>2364</v>
      </c>
      <c r="N2715" s="14" t="s">
        <v>2364</v>
      </c>
      <c r="O2715" s="14" t="s">
        <v>2364</v>
      </c>
      <c r="P2715" s="14" t="s">
        <v>2364</v>
      </c>
      <c r="Q2715" s="14" t="s">
        <v>2364</v>
      </c>
      <c r="R2715" s="14" t="s">
        <v>2364</v>
      </c>
      <c r="S2715" s="14" t="s">
        <v>2364</v>
      </c>
      <c r="T2715" s="14" t="s">
        <v>2364</v>
      </c>
      <c r="U2715" s="14" t="s">
        <v>2364</v>
      </c>
      <c r="V2715" s="14" t="s">
        <v>2364</v>
      </c>
      <c r="W2715" s="204" t="s">
        <v>2276</v>
      </c>
      <c r="X2715" s="204" t="s">
        <v>68</v>
      </c>
      <c r="Y2715" s="204" t="s">
        <v>86</v>
      </c>
      <c r="Z2715" s="204" t="s">
        <v>76</v>
      </c>
      <c r="AA2715" s="204"/>
      <c r="AB2715" s="204"/>
    </row>
    <row r="2716" spans="1:28" ht="34.5" customHeight="1">
      <c r="A2716" s="156" t="str">
        <f>'Reported burning'!A2716</f>
        <v>305t</v>
      </c>
      <c r="B2716" s="156" t="str">
        <f>'Reported burning'!B2716</f>
        <v>305t.5</v>
      </c>
      <c r="C2716" s="156" t="str">
        <f>'Reported burning'!C2716</f>
        <v>Human, deliberate</v>
      </c>
      <c r="D2716" s="156" t="str">
        <f>'Reported burning'!D2716</f>
        <v>Pyrome management</v>
      </c>
      <c r="E2716" s="156" t="str">
        <f>'Reported burning'!E2716</f>
        <v>Fire suppression agent</v>
      </c>
      <c r="F2716" s="156" t="str">
        <f>'Reported burning'!F2716</f>
        <v>ND</v>
      </c>
      <c r="G2716" s="156" t="str">
        <f>'Reported burning'!G2716</f>
        <v>ND</v>
      </c>
      <c r="H2716" s="156" t="str">
        <f>'Reported burning'!H2716</f>
        <v>Absence</v>
      </c>
      <c r="I2716" s="5"/>
      <c r="J2716" s="14" t="s">
        <v>2364</v>
      </c>
      <c r="K2716" s="14" t="s">
        <v>2364</v>
      </c>
      <c r="L2716" s="14" t="s">
        <v>2364</v>
      </c>
      <c r="M2716" s="14" t="s">
        <v>2364</v>
      </c>
      <c r="N2716" s="14" t="s">
        <v>2364</v>
      </c>
      <c r="O2716" s="14" t="s">
        <v>2364</v>
      </c>
      <c r="P2716" s="14" t="s">
        <v>2364</v>
      </c>
      <c r="Q2716" s="14" t="s">
        <v>2364</v>
      </c>
      <c r="R2716" s="14" t="s">
        <v>2364</v>
      </c>
      <c r="S2716" s="14" t="s">
        <v>2364</v>
      </c>
      <c r="T2716" s="14" t="s">
        <v>2364</v>
      </c>
      <c r="U2716" s="14" t="s">
        <v>2364</v>
      </c>
      <c r="V2716" s="14" t="s">
        <v>2364</v>
      </c>
      <c r="W2716" s="204" t="s">
        <v>2276</v>
      </c>
      <c r="X2716" s="204" t="s">
        <v>68</v>
      </c>
      <c r="Y2716" s="204" t="s">
        <v>86</v>
      </c>
      <c r="Z2716" s="204" t="s">
        <v>76</v>
      </c>
      <c r="AA2716" s="204"/>
      <c r="AB2716" s="204"/>
    </row>
    <row r="2717" spans="1:28" ht="34.5" customHeight="1">
      <c r="A2717" s="156" t="str">
        <f>'Reported burning'!A2717</f>
        <v>305u</v>
      </c>
      <c r="B2717" s="156" t="str">
        <f>'Reported burning'!B2717</f>
        <v>305u.5</v>
      </c>
      <c r="C2717" s="156" t="str">
        <f>'Reported burning'!C2717</f>
        <v>Human, deliberate</v>
      </c>
      <c r="D2717" s="156" t="str">
        <f>'Reported burning'!D2717</f>
        <v>Pyrome management</v>
      </c>
      <c r="E2717" s="156" t="str">
        <f>'Reported burning'!E2717</f>
        <v>Fire suppression agent</v>
      </c>
      <c r="F2717" s="156" t="str">
        <f>'Reported burning'!F2717</f>
        <v>ND</v>
      </c>
      <c r="G2717" s="156" t="str">
        <f>'Reported burning'!G2717</f>
        <v>ND</v>
      </c>
      <c r="H2717" s="156" t="str">
        <f>'Reported burning'!H2717</f>
        <v>Presence</v>
      </c>
      <c r="I2717" s="5"/>
      <c r="J2717" s="204" t="s">
        <v>2276</v>
      </c>
      <c r="K2717" s="204" t="s">
        <v>2276</v>
      </c>
      <c r="L2717" s="204" t="s">
        <v>2276</v>
      </c>
      <c r="M2717" s="204" t="s">
        <v>2276</v>
      </c>
      <c r="N2717" s="204" t="s">
        <v>2276</v>
      </c>
      <c r="O2717" s="204" t="s">
        <v>2276</v>
      </c>
      <c r="P2717" s="204" t="s">
        <v>2276</v>
      </c>
      <c r="Q2717" s="204" t="s">
        <v>2276</v>
      </c>
      <c r="R2717" s="204" t="s">
        <v>2276</v>
      </c>
      <c r="S2717" s="204" t="s">
        <v>2276</v>
      </c>
      <c r="T2717" s="204" t="s">
        <v>2276</v>
      </c>
      <c r="U2717" s="204" t="s">
        <v>2276</v>
      </c>
      <c r="V2717" s="204" t="s">
        <v>2276</v>
      </c>
      <c r="W2717" s="204" t="s">
        <v>2276</v>
      </c>
      <c r="X2717" s="204" t="s">
        <v>68</v>
      </c>
      <c r="Y2717" s="204" t="s">
        <v>86</v>
      </c>
      <c r="Z2717" s="204" t="s">
        <v>76</v>
      </c>
      <c r="AA2717" s="204"/>
      <c r="AB2717" s="204"/>
    </row>
    <row r="2718" spans="1:28" ht="34.5" customHeight="1">
      <c r="A2718" s="156" t="str">
        <f>'Reported burning'!A2718</f>
        <v>305v</v>
      </c>
      <c r="B2718" s="156" t="str">
        <f>'Reported burning'!B2718</f>
        <v>305v.5</v>
      </c>
      <c r="C2718" s="156" t="str">
        <f>'Reported burning'!C2718</f>
        <v>Human, deliberate</v>
      </c>
      <c r="D2718" s="156" t="str">
        <f>'Reported burning'!D2718</f>
        <v>Pyrome management</v>
      </c>
      <c r="E2718" s="156" t="str">
        <f>'Reported burning'!E2718</f>
        <v>Fire suppression agent</v>
      </c>
      <c r="F2718" s="156" t="str">
        <f>'Reported burning'!F2718</f>
        <v>ND</v>
      </c>
      <c r="G2718" s="156" t="str">
        <f>'Reported burning'!G2718</f>
        <v>ND</v>
      </c>
      <c r="H2718" s="156" t="str">
        <f>'Reported burning'!H2718</f>
        <v>Presence</v>
      </c>
      <c r="I2718" s="5"/>
      <c r="J2718" s="204" t="s">
        <v>2276</v>
      </c>
      <c r="K2718" s="204" t="s">
        <v>2276</v>
      </c>
      <c r="L2718" s="204" t="s">
        <v>2276</v>
      </c>
      <c r="M2718" s="204" t="s">
        <v>2276</v>
      </c>
      <c r="N2718" s="204" t="s">
        <v>2276</v>
      </c>
      <c r="O2718" s="204" t="s">
        <v>2276</v>
      </c>
      <c r="P2718" s="204" t="s">
        <v>2276</v>
      </c>
      <c r="Q2718" s="204" t="s">
        <v>2276</v>
      </c>
      <c r="R2718" s="204" t="s">
        <v>2276</v>
      </c>
      <c r="S2718" s="204" t="s">
        <v>2276</v>
      </c>
      <c r="T2718" s="204" t="s">
        <v>2276</v>
      </c>
      <c r="U2718" s="204" t="s">
        <v>2276</v>
      </c>
      <c r="V2718" s="204" t="s">
        <v>2276</v>
      </c>
      <c r="W2718" s="204" t="s">
        <v>2276</v>
      </c>
      <c r="X2718" s="204" t="s">
        <v>68</v>
      </c>
      <c r="Y2718" s="204" t="s">
        <v>86</v>
      </c>
      <c r="Z2718" s="204" t="s">
        <v>76</v>
      </c>
      <c r="AA2718" s="204"/>
      <c r="AB2718" s="204"/>
    </row>
    <row r="2719" spans="1:28" ht="34.5" customHeight="1">
      <c r="A2719" s="156" t="str">
        <f>'Reported burning'!A2719</f>
        <v>305w</v>
      </c>
      <c r="B2719" s="156" t="str">
        <f>'Reported burning'!B2719</f>
        <v>305w.5</v>
      </c>
      <c r="C2719" s="156" t="str">
        <f>'Reported burning'!C2719</f>
        <v>Human, deliberate</v>
      </c>
      <c r="D2719" s="156" t="str">
        <f>'Reported burning'!D2719</f>
        <v>Pyrome management</v>
      </c>
      <c r="E2719" s="156" t="str">
        <f>'Reported burning'!E2719</f>
        <v>Fire suppression agent</v>
      </c>
      <c r="F2719" s="156" t="str">
        <f>'Reported burning'!F2719</f>
        <v>ND</v>
      </c>
      <c r="G2719" s="156" t="str">
        <f>'Reported burning'!G2719</f>
        <v>ND</v>
      </c>
      <c r="H2719" s="156" t="str">
        <f>'Reported burning'!H2719</f>
        <v>Presence</v>
      </c>
      <c r="I2719" s="5"/>
      <c r="J2719" s="204" t="s">
        <v>2276</v>
      </c>
      <c r="K2719" s="204" t="s">
        <v>2276</v>
      </c>
      <c r="L2719" s="204" t="s">
        <v>2276</v>
      </c>
      <c r="M2719" s="204" t="s">
        <v>2276</v>
      </c>
      <c r="N2719" s="204" t="s">
        <v>2276</v>
      </c>
      <c r="O2719" s="204" t="s">
        <v>2276</v>
      </c>
      <c r="P2719" s="204" t="s">
        <v>2276</v>
      </c>
      <c r="Q2719" s="204" t="s">
        <v>2276</v>
      </c>
      <c r="R2719" s="204" t="s">
        <v>2276</v>
      </c>
      <c r="S2719" s="204" t="s">
        <v>2276</v>
      </c>
      <c r="T2719" s="204" t="s">
        <v>2276</v>
      </c>
      <c r="U2719" s="204" t="s">
        <v>2276</v>
      </c>
      <c r="V2719" s="204" t="s">
        <v>2276</v>
      </c>
      <c r="W2719" s="204" t="s">
        <v>2276</v>
      </c>
      <c r="X2719" s="204" t="s">
        <v>68</v>
      </c>
      <c r="Y2719" s="204" t="s">
        <v>86</v>
      </c>
      <c r="Z2719" s="204" t="s">
        <v>76</v>
      </c>
      <c r="AA2719" s="204"/>
      <c r="AB2719" s="204"/>
    </row>
    <row r="2720" spans="1:28" ht="34.5" customHeight="1">
      <c r="A2720" s="156" t="str">
        <f>'Reported burning'!A2720</f>
        <v>305x</v>
      </c>
      <c r="B2720" s="156" t="str">
        <f>'Reported burning'!B2720</f>
        <v>305x.5</v>
      </c>
      <c r="C2720" s="156" t="str">
        <f>'Reported burning'!C2720</f>
        <v>Human, deliberate</v>
      </c>
      <c r="D2720" s="156" t="str">
        <f>'Reported burning'!D2720</f>
        <v>Pyrome management</v>
      </c>
      <c r="E2720" s="156" t="str">
        <f>'Reported burning'!E2720</f>
        <v>Fire suppression agent</v>
      </c>
      <c r="F2720" s="156" t="str">
        <f>'Reported burning'!F2720</f>
        <v>ND</v>
      </c>
      <c r="G2720" s="156" t="str">
        <f>'Reported burning'!G2720</f>
        <v>ND</v>
      </c>
      <c r="H2720" s="156" t="str">
        <f>'Reported burning'!H2720</f>
        <v>Presence</v>
      </c>
      <c r="I2720" s="5"/>
      <c r="J2720" s="204" t="s">
        <v>2276</v>
      </c>
      <c r="K2720" s="204" t="s">
        <v>2276</v>
      </c>
      <c r="L2720" s="204" t="s">
        <v>2276</v>
      </c>
      <c r="M2720" s="204" t="s">
        <v>2276</v>
      </c>
      <c r="N2720" s="204" t="s">
        <v>2276</v>
      </c>
      <c r="O2720" s="204" t="s">
        <v>2276</v>
      </c>
      <c r="P2720" s="204" t="s">
        <v>2276</v>
      </c>
      <c r="Q2720" s="204" t="s">
        <v>2276</v>
      </c>
      <c r="R2720" s="204" t="s">
        <v>2276</v>
      </c>
      <c r="S2720" s="204" t="s">
        <v>2276</v>
      </c>
      <c r="T2720" s="204" t="s">
        <v>2276</v>
      </c>
      <c r="U2720" s="204" t="s">
        <v>2276</v>
      </c>
      <c r="V2720" s="204" t="s">
        <v>2276</v>
      </c>
      <c r="W2720" s="204" t="s">
        <v>2276</v>
      </c>
      <c r="X2720" s="204" t="s">
        <v>68</v>
      </c>
      <c r="Y2720" s="204" t="s">
        <v>86</v>
      </c>
      <c r="Z2720" s="204" t="s">
        <v>76</v>
      </c>
      <c r="AA2720" s="204"/>
      <c r="AB2720" s="204"/>
    </row>
    <row r="2721" spans="1:28" ht="34.5" customHeight="1">
      <c r="A2721" s="156" t="str">
        <f>'Reported burning'!A2721</f>
        <v>305y</v>
      </c>
      <c r="B2721" s="156" t="str">
        <f>'Reported burning'!B2721</f>
        <v>305y.5</v>
      </c>
      <c r="C2721" s="156" t="str">
        <f>'Reported burning'!C2721</f>
        <v>Human, deliberate</v>
      </c>
      <c r="D2721" s="156" t="str">
        <f>'Reported burning'!D2721</f>
        <v>Pyrome management</v>
      </c>
      <c r="E2721" s="156" t="str">
        <f>'Reported burning'!E2721</f>
        <v>Fire suppression agent</v>
      </c>
      <c r="F2721" s="156" t="str">
        <f>'Reported burning'!F2721</f>
        <v>ND</v>
      </c>
      <c r="G2721" s="156" t="str">
        <f>'Reported burning'!G2721</f>
        <v>ND</v>
      </c>
      <c r="H2721" s="156" t="str">
        <f>'Reported burning'!H2721</f>
        <v>Presence</v>
      </c>
      <c r="I2721" s="5"/>
      <c r="J2721" s="204" t="s">
        <v>2276</v>
      </c>
      <c r="K2721" s="204" t="s">
        <v>2276</v>
      </c>
      <c r="L2721" s="204" t="s">
        <v>2276</v>
      </c>
      <c r="M2721" s="204" t="s">
        <v>2276</v>
      </c>
      <c r="N2721" s="204" t="s">
        <v>2276</v>
      </c>
      <c r="O2721" s="204" t="s">
        <v>2276</v>
      </c>
      <c r="P2721" s="204" t="s">
        <v>2276</v>
      </c>
      <c r="Q2721" s="204" t="s">
        <v>2276</v>
      </c>
      <c r="R2721" s="204" t="s">
        <v>2276</v>
      </c>
      <c r="S2721" s="204" t="s">
        <v>2276</v>
      </c>
      <c r="T2721" s="204" t="s">
        <v>2276</v>
      </c>
      <c r="U2721" s="204" t="s">
        <v>2276</v>
      </c>
      <c r="V2721" s="204" t="s">
        <v>2276</v>
      </c>
      <c r="W2721" s="204" t="s">
        <v>2276</v>
      </c>
      <c r="X2721" s="204" t="s">
        <v>68</v>
      </c>
      <c r="Y2721" s="204" t="s">
        <v>86</v>
      </c>
      <c r="Z2721" s="204" t="s">
        <v>76</v>
      </c>
      <c r="AA2721" s="204"/>
      <c r="AB2721" s="204"/>
    </row>
    <row r="2722" spans="1:28" ht="34.5" customHeight="1">
      <c r="A2722" s="156" t="str">
        <f>'Reported burning'!A2722</f>
        <v>305z</v>
      </c>
      <c r="B2722" s="156" t="str">
        <f>'Reported burning'!B2722</f>
        <v>305z.5</v>
      </c>
      <c r="C2722" s="156" t="str">
        <f>'Reported burning'!C2722</f>
        <v>Human, deliberate</v>
      </c>
      <c r="D2722" s="156" t="str">
        <f>'Reported burning'!D2722</f>
        <v>Pyrome management</v>
      </c>
      <c r="E2722" s="156" t="str">
        <f>'Reported burning'!E2722</f>
        <v>Fire suppression agent</v>
      </c>
      <c r="F2722" s="156" t="str">
        <f>'Reported burning'!F2722</f>
        <v>ND</v>
      </c>
      <c r="G2722" s="156" t="str">
        <f>'Reported burning'!G2722</f>
        <v>ND</v>
      </c>
      <c r="H2722" s="156" t="str">
        <f>'Reported burning'!H2722</f>
        <v>Presence</v>
      </c>
      <c r="I2722" s="5"/>
      <c r="J2722" s="204" t="s">
        <v>2276</v>
      </c>
      <c r="K2722" s="204" t="s">
        <v>2276</v>
      </c>
      <c r="L2722" s="204" t="s">
        <v>2276</v>
      </c>
      <c r="M2722" s="204" t="s">
        <v>2276</v>
      </c>
      <c r="N2722" s="204" t="s">
        <v>2276</v>
      </c>
      <c r="O2722" s="204" t="s">
        <v>2276</v>
      </c>
      <c r="P2722" s="204" t="s">
        <v>2276</v>
      </c>
      <c r="Q2722" s="204" t="s">
        <v>2276</v>
      </c>
      <c r="R2722" s="204" t="s">
        <v>2276</v>
      </c>
      <c r="S2722" s="204" t="s">
        <v>2276</v>
      </c>
      <c r="T2722" s="204" t="s">
        <v>2276</v>
      </c>
      <c r="U2722" s="204" t="s">
        <v>2276</v>
      </c>
      <c r="V2722" s="204" t="s">
        <v>2276</v>
      </c>
      <c r="W2722" s="204" t="s">
        <v>2276</v>
      </c>
      <c r="X2722" s="204" t="s">
        <v>68</v>
      </c>
      <c r="Y2722" s="204" t="s">
        <v>86</v>
      </c>
      <c r="Z2722" s="204" t="s">
        <v>76</v>
      </c>
      <c r="AA2722" s="204"/>
      <c r="AB2722" s="204"/>
    </row>
    <row r="2723" spans="1:28" ht="34.5" customHeight="1">
      <c r="A2723" s="156" t="str">
        <f>'Reported burning'!A2723</f>
        <v>305aa</v>
      </c>
      <c r="B2723" s="156" t="str">
        <f>'Reported burning'!B2723</f>
        <v>305aa.5</v>
      </c>
      <c r="C2723" s="156" t="str">
        <f>'Reported burning'!C2723</f>
        <v>Human, deliberate</v>
      </c>
      <c r="D2723" s="156" t="str">
        <f>'Reported burning'!D2723</f>
        <v>Pyrome management</v>
      </c>
      <c r="E2723" s="156" t="str">
        <f>'Reported burning'!E2723</f>
        <v>Fire suppression agent</v>
      </c>
      <c r="F2723" s="156" t="str">
        <f>'Reported burning'!F2723</f>
        <v>ND</v>
      </c>
      <c r="G2723" s="156" t="str">
        <f>'Reported burning'!G2723</f>
        <v>ND</v>
      </c>
      <c r="H2723" s="156" t="str">
        <f>'Reported burning'!H2723</f>
        <v>Presence</v>
      </c>
      <c r="I2723" s="5"/>
      <c r="J2723" s="204" t="s">
        <v>2276</v>
      </c>
      <c r="K2723" s="204" t="s">
        <v>2276</v>
      </c>
      <c r="L2723" s="204" t="s">
        <v>2276</v>
      </c>
      <c r="M2723" s="204" t="s">
        <v>2276</v>
      </c>
      <c r="N2723" s="204" t="s">
        <v>2276</v>
      </c>
      <c r="O2723" s="204" t="s">
        <v>2276</v>
      </c>
      <c r="P2723" s="204" t="s">
        <v>2276</v>
      </c>
      <c r="Q2723" s="204" t="s">
        <v>2276</v>
      </c>
      <c r="R2723" s="204" t="s">
        <v>2276</v>
      </c>
      <c r="S2723" s="204" t="s">
        <v>2276</v>
      </c>
      <c r="T2723" s="204" t="s">
        <v>2276</v>
      </c>
      <c r="U2723" s="204" t="s">
        <v>2276</v>
      </c>
      <c r="V2723" s="204" t="s">
        <v>2276</v>
      </c>
      <c r="W2723" s="204" t="s">
        <v>2276</v>
      </c>
      <c r="X2723" s="204" t="s">
        <v>68</v>
      </c>
      <c r="Y2723" s="204" t="s">
        <v>86</v>
      </c>
      <c r="Z2723" s="204" t="s">
        <v>76</v>
      </c>
      <c r="AA2723" s="204"/>
      <c r="AB2723" s="204"/>
    </row>
    <row r="2724" spans="1:28" ht="34.5" customHeight="1">
      <c r="A2724" s="185" t="str">
        <f>'Reported burning'!A2724</f>
        <v>305ab</v>
      </c>
      <c r="B2724" s="185" t="str">
        <f>'Reported burning'!B2724</f>
        <v>305ab.5</v>
      </c>
      <c r="C2724" s="185" t="str">
        <f>'Reported burning'!C2724</f>
        <v>Human, deliberate</v>
      </c>
      <c r="D2724" s="185" t="str">
        <f>'Reported burning'!D2724</f>
        <v>Pyrome management</v>
      </c>
      <c r="E2724" s="185" t="str">
        <f>'Reported burning'!E2724</f>
        <v>Fire suppression agent</v>
      </c>
      <c r="F2724" s="185" t="str">
        <f>'Reported burning'!F2724</f>
        <v>ND</v>
      </c>
      <c r="G2724" s="185" t="str">
        <f>'Reported burning'!G2724</f>
        <v>ND</v>
      </c>
      <c r="H2724" s="185" t="str">
        <f>'Reported burning'!H2724</f>
        <v>Presence</v>
      </c>
      <c r="I2724" s="32"/>
      <c r="J2724" s="38" t="s">
        <v>2276</v>
      </c>
      <c r="K2724" s="38" t="s">
        <v>2276</v>
      </c>
      <c r="L2724" s="38" t="s">
        <v>2276</v>
      </c>
      <c r="M2724" s="38" t="s">
        <v>2276</v>
      </c>
      <c r="N2724" s="38" t="s">
        <v>2276</v>
      </c>
      <c r="O2724" s="38" t="s">
        <v>2276</v>
      </c>
      <c r="P2724" s="38" t="s">
        <v>2276</v>
      </c>
      <c r="Q2724" s="38" t="s">
        <v>2276</v>
      </c>
      <c r="R2724" s="38" t="s">
        <v>2276</v>
      </c>
      <c r="S2724" s="38" t="s">
        <v>2276</v>
      </c>
      <c r="T2724" s="38" t="s">
        <v>2276</v>
      </c>
      <c r="U2724" s="38" t="s">
        <v>2276</v>
      </c>
      <c r="V2724" s="38" t="s">
        <v>2276</v>
      </c>
      <c r="W2724" s="38" t="s">
        <v>2276</v>
      </c>
      <c r="X2724" s="204" t="s">
        <v>68</v>
      </c>
      <c r="Y2724" s="204" t="s">
        <v>86</v>
      </c>
      <c r="Z2724" s="204" t="s">
        <v>76</v>
      </c>
      <c r="AA2724" s="204"/>
      <c r="AB2724" s="204"/>
    </row>
    <row r="2725" spans="1:28" ht="34.5" customHeight="1">
      <c r="A2725" s="152" t="str">
        <f>'Reported burning'!A2725</f>
        <v>305ac</v>
      </c>
      <c r="B2725" s="152" t="str">
        <f>'Reported burning'!B2725</f>
        <v>305ac.5</v>
      </c>
      <c r="C2725" s="152" t="str">
        <f>'Reported burning'!C2725</f>
        <v>Human, deliberate</v>
      </c>
      <c r="D2725" s="152" t="str">
        <f>'Reported burning'!D2725</f>
        <v>Pyrome management</v>
      </c>
      <c r="E2725" s="152" t="str">
        <f>'Reported burning'!E2725</f>
        <v>Fire suppression agent</v>
      </c>
      <c r="F2725" s="152" t="str">
        <f>'Reported burning'!F2725</f>
        <v>ND</v>
      </c>
      <c r="G2725" s="152" t="str">
        <f>'Reported burning'!G2725</f>
        <v>ND</v>
      </c>
      <c r="H2725" s="152" t="str">
        <f>'Reported burning'!H2725</f>
        <v>Presence</v>
      </c>
      <c r="I2725" s="204"/>
      <c r="J2725" s="204" t="s">
        <v>2276</v>
      </c>
      <c r="K2725" s="204" t="s">
        <v>2276</v>
      </c>
      <c r="L2725" s="204" t="s">
        <v>2276</v>
      </c>
      <c r="M2725" s="204" t="s">
        <v>2276</v>
      </c>
      <c r="N2725" s="204" t="s">
        <v>2276</v>
      </c>
      <c r="O2725" s="204" t="s">
        <v>2276</v>
      </c>
      <c r="P2725" s="204" t="s">
        <v>2276</v>
      </c>
      <c r="Q2725" s="204" t="s">
        <v>2276</v>
      </c>
      <c r="R2725" s="204" t="s">
        <v>2276</v>
      </c>
      <c r="S2725" s="204" t="s">
        <v>2276</v>
      </c>
      <c r="T2725" s="204" t="s">
        <v>2276</v>
      </c>
      <c r="U2725" s="204" t="s">
        <v>2276</v>
      </c>
      <c r="V2725" s="204" t="s">
        <v>2276</v>
      </c>
      <c r="W2725" s="204" t="s">
        <v>2276</v>
      </c>
      <c r="X2725" s="204" t="s">
        <v>68</v>
      </c>
      <c r="Y2725" s="204" t="s">
        <v>86</v>
      </c>
      <c r="Z2725" s="204" t="s">
        <v>76</v>
      </c>
      <c r="AA2725" s="204"/>
      <c r="AB2725" s="204"/>
    </row>
    <row r="2726" spans="1:28" ht="34.5" customHeight="1">
      <c r="A2726" s="152" t="str">
        <f>'Reported burning'!A2726</f>
        <v>305ad</v>
      </c>
      <c r="B2726" s="152" t="str">
        <f>'Reported burning'!B2726</f>
        <v>305ad.5</v>
      </c>
      <c r="C2726" s="152" t="str">
        <f>'Reported burning'!C2726</f>
        <v>Human, deliberate</v>
      </c>
      <c r="D2726" s="152" t="str">
        <f>'Reported burning'!D2726</f>
        <v>Pyrome management</v>
      </c>
      <c r="E2726" s="152" t="str">
        <f>'Reported burning'!E2726</f>
        <v>Fire suppression agent</v>
      </c>
      <c r="F2726" s="152" t="str">
        <f>'Reported burning'!F2726</f>
        <v>ND</v>
      </c>
      <c r="G2726" s="152" t="str">
        <f>'Reported burning'!G2726</f>
        <v>ND</v>
      </c>
      <c r="H2726" s="152" t="str">
        <f>'Reported burning'!H2726</f>
        <v>Presence</v>
      </c>
      <c r="I2726" s="204"/>
      <c r="J2726" s="204" t="s">
        <v>2276</v>
      </c>
      <c r="K2726" s="204" t="s">
        <v>2276</v>
      </c>
      <c r="L2726" s="204" t="s">
        <v>2276</v>
      </c>
      <c r="M2726" s="204" t="s">
        <v>2276</v>
      </c>
      <c r="N2726" s="204" t="s">
        <v>2276</v>
      </c>
      <c r="O2726" s="204" t="s">
        <v>2276</v>
      </c>
      <c r="P2726" s="204" t="s">
        <v>2276</v>
      </c>
      <c r="Q2726" s="204" t="s">
        <v>2276</v>
      </c>
      <c r="R2726" s="204" t="s">
        <v>2276</v>
      </c>
      <c r="S2726" s="204" t="s">
        <v>2276</v>
      </c>
      <c r="T2726" s="204" t="s">
        <v>2276</v>
      </c>
      <c r="U2726" s="204" t="s">
        <v>2276</v>
      </c>
      <c r="V2726" s="204" t="s">
        <v>2276</v>
      </c>
      <c r="W2726" s="204" t="s">
        <v>2276</v>
      </c>
      <c r="X2726" s="204" t="s">
        <v>68</v>
      </c>
      <c r="Y2726" s="204" t="s">
        <v>86</v>
      </c>
      <c r="Z2726" s="204" t="s">
        <v>76</v>
      </c>
      <c r="AA2726" s="204"/>
      <c r="AB2726" s="204"/>
    </row>
    <row r="2727" spans="1:28" ht="34.5" customHeight="1">
      <c r="A2727" s="152" t="str">
        <f>'Reported burning'!A2727</f>
        <v>305ae</v>
      </c>
      <c r="B2727" s="152" t="str">
        <f>'Reported burning'!B2727</f>
        <v>305ae.5</v>
      </c>
      <c r="C2727" s="152" t="str">
        <f>'Reported burning'!C2727</f>
        <v>Human, deliberate</v>
      </c>
      <c r="D2727" s="152" t="str">
        <f>'Reported burning'!D2727</f>
        <v>Pyrome management</v>
      </c>
      <c r="E2727" s="152" t="str">
        <f>'Reported burning'!E2727</f>
        <v>Fire suppression agent</v>
      </c>
      <c r="F2727" s="152" t="str">
        <f>'Reported burning'!F2727</f>
        <v>ND</v>
      </c>
      <c r="G2727" s="152" t="str">
        <f>'Reported burning'!G2727</f>
        <v>ND</v>
      </c>
      <c r="H2727" s="152" t="str">
        <f>'Reported burning'!H2727</f>
        <v>Presence</v>
      </c>
      <c r="I2727" s="204"/>
      <c r="J2727" s="204" t="s">
        <v>2276</v>
      </c>
      <c r="K2727" s="204" t="s">
        <v>2276</v>
      </c>
      <c r="L2727" s="204" t="s">
        <v>2276</v>
      </c>
      <c r="M2727" s="204" t="s">
        <v>2276</v>
      </c>
      <c r="N2727" s="204" t="s">
        <v>2276</v>
      </c>
      <c r="O2727" s="204" t="s">
        <v>2276</v>
      </c>
      <c r="P2727" s="204" t="s">
        <v>2276</v>
      </c>
      <c r="Q2727" s="204" t="s">
        <v>2276</v>
      </c>
      <c r="R2727" s="204" t="s">
        <v>2276</v>
      </c>
      <c r="S2727" s="204" t="s">
        <v>2276</v>
      </c>
      <c r="T2727" s="204" t="s">
        <v>2276</v>
      </c>
      <c r="U2727" s="204" t="s">
        <v>2276</v>
      </c>
      <c r="V2727" s="204" t="s">
        <v>2276</v>
      </c>
      <c r="W2727" s="204" t="s">
        <v>2276</v>
      </c>
      <c r="X2727" s="204" t="s">
        <v>68</v>
      </c>
      <c r="Y2727" s="204" t="s">
        <v>86</v>
      </c>
      <c r="Z2727" s="204" t="s">
        <v>76</v>
      </c>
      <c r="AA2727" s="204"/>
      <c r="AB2727" s="204"/>
    </row>
    <row r="2728" spans="1:28" ht="34.5" customHeight="1">
      <c r="A2728" s="152" t="str">
        <f>'Reported burning'!A2728</f>
        <v>305n</v>
      </c>
      <c r="B2728" s="152" t="str">
        <f>'Reported burning'!B2728</f>
        <v>305n.6</v>
      </c>
      <c r="C2728" s="152" t="str">
        <f>'Reported burning'!C2728</f>
        <v>Human, deliberate</v>
      </c>
      <c r="D2728" s="152" t="str">
        <f>'Reported burning'!D2728</f>
        <v>Pyrome management</v>
      </c>
      <c r="E2728" s="152" t="str">
        <f>'Reported burning'!E2728</f>
        <v>Fire suppression agent</v>
      </c>
      <c r="F2728" s="152" t="str">
        <f>'Reported burning'!F2728</f>
        <v>ND</v>
      </c>
      <c r="G2728" s="152" t="str">
        <f>'Reported burning'!G2728</f>
        <v>ND</v>
      </c>
      <c r="H2728" s="152" t="str">
        <f>'Reported burning'!H2728</f>
        <v>Presence</v>
      </c>
      <c r="I2728" s="204"/>
      <c r="J2728" s="204" t="s">
        <v>2276</v>
      </c>
      <c r="K2728" s="204" t="s">
        <v>2276</v>
      </c>
      <c r="L2728" s="204" t="s">
        <v>2276</v>
      </c>
      <c r="M2728" s="204" t="s">
        <v>2276</v>
      </c>
      <c r="N2728" s="204" t="s">
        <v>2276</v>
      </c>
      <c r="O2728" s="204" t="s">
        <v>2276</v>
      </c>
      <c r="P2728" s="204" t="s">
        <v>2276</v>
      </c>
      <c r="Q2728" s="204" t="s">
        <v>2276</v>
      </c>
      <c r="R2728" s="204" t="s">
        <v>2276</v>
      </c>
      <c r="S2728" s="204" t="s">
        <v>2276</v>
      </c>
      <c r="T2728" s="204" t="s">
        <v>2276</v>
      </c>
      <c r="U2728" s="204" t="s">
        <v>2276</v>
      </c>
      <c r="V2728" s="204" t="s">
        <v>2276</v>
      </c>
      <c r="W2728" s="204" t="s">
        <v>2276</v>
      </c>
      <c r="X2728" s="204" t="s">
        <v>68</v>
      </c>
      <c r="Y2728" s="204" t="s">
        <v>86</v>
      </c>
      <c r="Z2728" s="204" t="s">
        <v>76</v>
      </c>
      <c r="AA2728" s="204"/>
      <c r="AB2728" s="204"/>
    </row>
    <row r="2729" spans="1:28" ht="34.5" customHeight="1">
      <c r="A2729" s="152" t="str">
        <f>'Reported burning'!A2729</f>
        <v>305o</v>
      </c>
      <c r="B2729" s="152" t="str">
        <f>'Reported burning'!B2729</f>
        <v>305o.6</v>
      </c>
      <c r="C2729" s="152" t="str">
        <f>'Reported burning'!C2729</f>
        <v>Human, deliberate</v>
      </c>
      <c r="D2729" s="152" t="str">
        <f>'Reported burning'!D2729</f>
        <v>Pyrome management</v>
      </c>
      <c r="E2729" s="152" t="str">
        <f>'Reported burning'!E2729</f>
        <v>Fire suppression agent</v>
      </c>
      <c r="F2729" s="152" t="str">
        <f>'Reported burning'!F2729</f>
        <v>ND</v>
      </c>
      <c r="G2729" s="152" t="str">
        <f>'Reported burning'!G2729</f>
        <v>ND</v>
      </c>
      <c r="H2729" s="152" t="str">
        <f>'Reported burning'!H2729</f>
        <v>Presence</v>
      </c>
      <c r="I2729" s="204"/>
      <c r="J2729" s="204" t="s">
        <v>2276</v>
      </c>
      <c r="K2729" s="204" t="s">
        <v>2276</v>
      </c>
      <c r="L2729" s="204" t="s">
        <v>2276</v>
      </c>
      <c r="M2729" s="204" t="s">
        <v>2276</v>
      </c>
      <c r="N2729" s="204" t="s">
        <v>2276</v>
      </c>
      <c r="O2729" s="204" t="s">
        <v>2276</v>
      </c>
      <c r="P2729" s="204" t="s">
        <v>2276</v>
      </c>
      <c r="Q2729" s="204" t="s">
        <v>2276</v>
      </c>
      <c r="R2729" s="204" t="s">
        <v>2276</v>
      </c>
      <c r="S2729" s="204" t="s">
        <v>2276</v>
      </c>
      <c r="T2729" s="204" t="s">
        <v>2276</v>
      </c>
      <c r="U2729" s="204" t="s">
        <v>2276</v>
      </c>
      <c r="V2729" s="204" t="s">
        <v>2276</v>
      </c>
      <c r="W2729" s="204" t="s">
        <v>2276</v>
      </c>
      <c r="X2729" s="204" t="s">
        <v>68</v>
      </c>
      <c r="Y2729" s="204" t="s">
        <v>86</v>
      </c>
      <c r="Z2729" s="204" t="s">
        <v>76</v>
      </c>
      <c r="AA2729" s="204"/>
      <c r="AB2729" s="204"/>
    </row>
    <row r="2730" spans="1:28" ht="34.5" customHeight="1">
      <c r="A2730" s="152" t="str">
        <f>'Reported burning'!A2730</f>
        <v>305p</v>
      </c>
      <c r="B2730" s="152" t="str">
        <f>'Reported burning'!B2730</f>
        <v>305p.6</v>
      </c>
      <c r="C2730" s="152" t="str">
        <f>'Reported burning'!C2730</f>
        <v>Human, deliberate</v>
      </c>
      <c r="D2730" s="152" t="str">
        <f>'Reported burning'!D2730</f>
        <v>Pyrome management</v>
      </c>
      <c r="E2730" s="152" t="str">
        <f>'Reported burning'!E2730</f>
        <v>Fire suppression agent</v>
      </c>
      <c r="F2730" s="152" t="str">
        <f>'Reported burning'!F2730</f>
        <v>ND</v>
      </c>
      <c r="G2730" s="152" t="str">
        <f>'Reported burning'!G2730</f>
        <v>ND</v>
      </c>
      <c r="H2730" s="152" t="str">
        <f>'Reported burning'!H2730</f>
        <v>Presence</v>
      </c>
      <c r="I2730" s="204"/>
      <c r="J2730" s="204" t="s">
        <v>2276</v>
      </c>
      <c r="K2730" s="204" t="s">
        <v>2276</v>
      </c>
      <c r="L2730" s="204" t="s">
        <v>2276</v>
      </c>
      <c r="M2730" s="204" t="s">
        <v>2276</v>
      </c>
      <c r="N2730" s="204" t="s">
        <v>2276</v>
      </c>
      <c r="O2730" s="204" t="s">
        <v>2276</v>
      </c>
      <c r="P2730" s="204" t="s">
        <v>2276</v>
      </c>
      <c r="Q2730" s="204" t="s">
        <v>2276</v>
      </c>
      <c r="R2730" s="204" t="s">
        <v>2276</v>
      </c>
      <c r="S2730" s="204" t="s">
        <v>2276</v>
      </c>
      <c r="T2730" s="204" t="s">
        <v>2276</v>
      </c>
      <c r="U2730" s="204" t="s">
        <v>2276</v>
      </c>
      <c r="V2730" s="204" t="s">
        <v>2276</v>
      </c>
      <c r="W2730" s="204" t="s">
        <v>2276</v>
      </c>
      <c r="X2730" s="204" t="s">
        <v>68</v>
      </c>
      <c r="Y2730" s="204" t="s">
        <v>86</v>
      </c>
      <c r="Z2730" s="204" t="s">
        <v>76</v>
      </c>
      <c r="AA2730" s="204"/>
      <c r="AB2730" s="204"/>
    </row>
    <row r="2731" spans="1:28" ht="34.5" customHeight="1">
      <c r="A2731" s="152" t="str">
        <f>'Reported burning'!A2731</f>
        <v>305q</v>
      </c>
      <c r="B2731" s="152" t="str">
        <f>'Reported burning'!B2731</f>
        <v>305q.6</v>
      </c>
      <c r="C2731" s="152" t="str">
        <f>'Reported burning'!C2731</f>
        <v>Human, deliberate</v>
      </c>
      <c r="D2731" s="152" t="str">
        <f>'Reported burning'!D2731</f>
        <v>Pyrome management</v>
      </c>
      <c r="E2731" s="152" t="str">
        <f>'Reported burning'!E2731</f>
        <v>Fire suppression agent</v>
      </c>
      <c r="F2731" s="152" t="str">
        <f>'Reported burning'!F2731</f>
        <v>ND</v>
      </c>
      <c r="G2731" s="152" t="str">
        <f>'Reported burning'!G2731</f>
        <v>ND</v>
      </c>
      <c r="H2731" s="152" t="str">
        <f>'Reported burning'!H2731</f>
        <v>Presence</v>
      </c>
      <c r="I2731" s="204"/>
      <c r="J2731" s="204" t="s">
        <v>2276</v>
      </c>
      <c r="K2731" s="204" t="s">
        <v>2276</v>
      </c>
      <c r="L2731" s="204" t="s">
        <v>2276</v>
      </c>
      <c r="M2731" s="204" t="s">
        <v>2276</v>
      </c>
      <c r="N2731" s="204" t="s">
        <v>2276</v>
      </c>
      <c r="O2731" s="204" t="s">
        <v>2276</v>
      </c>
      <c r="P2731" s="204" t="s">
        <v>2276</v>
      </c>
      <c r="Q2731" s="204" t="s">
        <v>2276</v>
      </c>
      <c r="R2731" s="204" t="s">
        <v>2276</v>
      </c>
      <c r="S2731" s="204" t="s">
        <v>2276</v>
      </c>
      <c r="T2731" s="204" t="s">
        <v>2276</v>
      </c>
      <c r="U2731" s="204" t="s">
        <v>2276</v>
      </c>
      <c r="V2731" s="204" t="s">
        <v>2276</v>
      </c>
      <c r="W2731" s="204" t="s">
        <v>2276</v>
      </c>
      <c r="X2731" s="204" t="s">
        <v>68</v>
      </c>
      <c r="Y2731" s="204" t="s">
        <v>86</v>
      </c>
      <c r="Z2731" s="204" t="s">
        <v>76</v>
      </c>
      <c r="AA2731" s="204"/>
      <c r="AB2731" s="204"/>
    </row>
    <row r="2732" spans="1:28" ht="34.5" customHeight="1">
      <c r="A2732" s="152" t="str">
        <f>'Reported burning'!A2732</f>
        <v>305r</v>
      </c>
      <c r="B2732" s="152" t="str">
        <f>'Reported burning'!B2732</f>
        <v>305r.6</v>
      </c>
      <c r="C2732" s="152" t="str">
        <f>'Reported burning'!C2732</f>
        <v>Human, deliberate</v>
      </c>
      <c r="D2732" s="152" t="str">
        <f>'Reported burning'!D2732</f>
        <v>Pyrome management</v>
      </c>
      <c r="E2732" s="152" t="str">
        <f>'Reported burning'!E2732</f>
        <v>Fire suppression agent</v>
      </c>
      <c r="F2732" s="152" t="str">
        <f>'Reported burning'!F2732</f>
        <v>ND</v>
      </c>
      <c r="G2732" s="152" t="str">
        <f>'Reported burning'!G2732</f>
        <v>ND</v>
      </c>
      <c r="H2732" s="152" t="str">
        <f>'Reported burning'!H2732</f>
        <v>Absence</v>
      </c>
      <c r="I2732" s="204"/>
      <c r="J2732" s="21" t="s">
        <v>2364</v>
      </c>
      <c r="K2732" s="21" t="s">
        <v>2364</v>
      </c>
      <c r="L2732" s="21" t="s">
        <v>2364</v>
      </c>
      <c r="M2732" s="21" t="s">
        <v>2364</v>
      </c>
      <c r="N2732" s="21" t="s">
        <v>2364</v>
      </c>
      <c r="O2732" s="21" t="s">
        <v>2364</v>
      </c>
      <c r="P2732" s="21" t="s">
        <v>2364</v>
      </c>
      <c r="Q2732" s="21" t="s">
        <v>2364</v>
      </c>
      <c r="R2732" s="21" t="s">
        <v>2364</v>
      </c>
      <c r="S2732" s="21" t="s">
        <v>2364</v>
      </c>
      <c r="T2732" s="21" t="s">
        <v>2364</v>
      </c>
      <c r="U2732" s="21" t="s">
        <v>2364</v>
      </c>
      <c r="V2732" s="21" t="s">
        <v>2364</v>
      </c>
      <c r="W2732" s="204" t="s">
        <v>2276</v>
      </c>
      <c r="X2732" s="204" t="s">
        <v>68</v>
      </c>
      <c r="Y2732" s="204" t="s">
        <v>86</v>
      </c>
      <c r="Z2732" s="204" t="s">
        <v>76</v>
      </c>
      <c r="AA2732" s="204"/>
      <c r="AB2732" s="204"/>
    </row>
    <row r="2733" spans="1:28" ht="34.5" customHeight="1">
      <c r="A2733" s="152" t="str">
        <f>'Reported burning'!A2733</f>
        <v>305s</v>
      </c>
      <c r="B2733" s="152" t="str">
        <f>'Reported burning'!B2733</f>
        <v>305s.6</v>
      </c>
      <c r="C2733" s="152" t="str">
        <f>'Reported burning'!C2733</f>
        <v>Human, deliberate</v>
      </c>
      <c r="D2733" s="152" t="str">
        <f>'Reported burning'!D2733</f>
        <v>Pyrome management</v>
      </c>
      <c r="E2733" s="152" t="str">
        <f>'Reported burning'!E2733</f>
        <v>Fire suppression agent</v>
      </c>
      <c r="F2733" s="152" t="str">
        <f>'Reported burning'!F2733</f>
        <v>ND</v>
      </c>
      <c r="G2733" s="152" t="str">
        <f>'Reported burning'!G2733</f>
        <v>ND</v>
      </c>
      <c r="H2733" s="152" t="str">
        <f>'Reported burning'!H2733</f>
        <v>Absence</v>
      </c>
      <c r="I2733" s="204"/>
      <c r="J2733" s="21" t="s">
        <v>2364</v>
      </c>
      <c r="K2733" s="21" t="s">
        <v>2364</v>
      </c>
      <c r="L2733" s="21" t="s">
        <v>2364</v>
      </c>
      <c r="M2733" s="21" t="s">
        <v>2364</v>
      </c>
      <c r="N2733" s="21" t="s">
        <v>2364</v>
      </c>
      <c r="O2733" s="21" t="s">
        <v>2364</v>
      </c>
      <c r="P2733" s="21" t="s">
        <v>2364</v>
      </c>
      <c r="Q2733" s="21" t="s">
        <v>2364</v>
      </c>
      <c r="R2733" s="21" t="s">
        <v>2364</v>
      </c>
      <c r="S2733" s="21" t="s">
        <v>2364</v>
      </c>
      <c r="T2733" s="21" t="s">
        <v>2364</v>
      </c>
      <c r="U2733" s="21" t="s">
        <v>2364</v>
      </c>
      <c r="V2733" s="21" t="s">
        <v>2364</v>
      </c>
      <c r="W2733" s="204" t="s">
        <v>2276</v>
      </c>
      <c r="X2733" s="204" t="s">
        <v>68</v>
      </c>
      <c r="Y2733" s="204" t="s">
        <v>86</v>
      </c>
      <c r="Z2733" s="204" t="s">
        <v>76</v>
      </c>
      <c r="AA2733" s="204"/>
      <c r="AB2733" s="204"/>
    </row>
    <row r="2734" spans="1:28" ht="34.5" customHeight="1">
      <c r="A2734" s="152" t="str">
        <f>'Reported burning'!A2734</f>
        <v>305t</v>
      </c>
      <c r="B2734" s="152" t="str">
        <f>'Reported burning'!B2734</f>
        <v>305t.6</v>
      </c>
      <c r="C2734" s="152" t="str">
        <f>'Reported burning'!C2734</f>
        <v>Human, deliberate</v>
      </c>
      <c r="D2734" s="152" t="str">
        <f>'Reported burning'!D2734</f>
        <v>Pyrome management</v>
      </c>
      <c r="E2734" s="152" t="str">
        <f>'Reported burning'!E2734</f>
        <v>Fire suppression agent</v>
      </c>
      <c r="F2734" s="152" t="str">
        <f>'Reported burning'!F2734</f>
        <v>ND</v>
      </c>
      <c r="G2734" s="152" t="str">
        <f>'Reported burning'!G2734</f>
        <v>ND</v>
      </c>
      <c r="H2734" s="152" t="str">
        <f>'Reported burning'!H2734</f>
        <v>Absence</v>
      </c>
      <c r="I2734" s="204"/>
      <c r="J2734" s="21" t="s">
        <v>2364</v>
      </c>
      <c r="K2734" s="21" t="s">
        <v>2364</v>
      </c>
      <c r="L2734" s="21" t="s">
        <v>2364</v>
      </c>
      <c r="M2734" s="21" t="s">
        <v>2364</v>
      </c>
      <c r="N2734" s="21" t="s">
        <v>2364</v>
      </c>
      <c r="O2734" s="21" t="s">
        <v>2364</v>
      </c>
      <c r="P2734" s="21" t="s">
        <v>2364</v>
      </c>
      <c r="Q2734" s="21" t="s">
        <v>2364</v>
      </c>
      <c r="R2734" s="21" t="s">
        <v>2364</v>
      </c>
      <c r="S2734" s="21" t="s">
        <v>2364</v>
      </c>
      <c r="T2734" s="21" t="s">
        <v>2364</v>
      </c>
      <c r="U2734" s="21" t="s">
        <v>2364</v>
      </c>
      <c r="V2734" s="21" t="s">
        <v>2364</v>
      </c>
      <c r="W2734" s="204" t="s">
        <v>2276</v>
      </c>
      <c r="X2734" s="204" t="s">
        <v>68</v>
      </c>
      <c r="Y2734" s="204" t="s">
        <v>86</v>
      </c>
      <c r="Z2734" s="204" t="s">
        <v>76</v>
      </c>
      <c r="AA2734" s="204"/>
      <c r="AB2734" s="204"/>
    </row>
    <row r="2735" spans="1:28" ht="34.5" customHeight="1">
      <c r="A2735" s="152" t="str">
        <f>'Reported burning'!A2735</f>
        <v>305u</v>
      </c>
      <c r="B2735" s="152" t="str">
        <f>'Reported burning'!B2735</f>
        <v>305u.6</v>
      </c>
      <c r="C2735" s="152" t="str">
        <f>'Reported burning'!C2735</f>
        <v>Human, deliberate</v>
      </c>
      <c r="D2735" s="152" t="str">
        <f>'Reported burning'!D2735</f>
        <v>Pyrome management</v>
      </c>
      <c r="E2735" s="152" t="str">
        <f>'Reported burning'!E2735</f>
        <v>Fire suppression agent</v>
      </c>
      <c r="F2735" s="152" t="str">
        <f>'Reported burning'!F2735</f>
        <v>ND</v>
      </c>
      <c r="G2735" s="152" t="str">
        <f>'Reported burning'!G2735</f>
        <v>ND</v>
      </c>
      <c r="H2735" s="152" t="str">
        <f>'Reported burning'!H2735</f>
        <v>Presence</v>
      </c>
      <c r="I2735" s="204"/>
      <c r="J2735" s="204" t="s">
        <v>2276</v>
      </c>
      <c r="K2735" s="204" t="s">
        <v>2276</v>
      </c>
      <c r="L2735" s="204" t="s">
        <v>2276</v>
      </c>
      <c r="M2735" s="204" t="s">
        <v>2276</v>
      </c>
      <c r="N2735" s="204" t="s">
        <v>2276</v>
      </c>
      <c r="O2735" s="204" t="s">
        <v>2276</v>
      </c>
      <c r="P2735" s="204" t="s">
        <v>2276</v>
      </c>
      <c r="Q2735" s="204" t="s">
        <v>2276</v>
      </c>
      <c r="R2735" s="204" t="s">
        <v>2276</v>
      </c>
      <c r="S2735" s="204" t="s">
        <v>2276</v>
      </c>
      <c r="T2735" s="204" t="s">
        <v>2276</v>
      </c>
      <c r="U2735" s="204" t="s">
        <v>2276</v>
      </c>
      <c r="V2735" s="204" t="s">
        <v>2276</v>
      </c>
      <c r="W2735" s="204" t="s">
        <v>2276</v>
      </c>
      <c r="X2735" s="204" t="s">
        <v>68</v>
      </c>
      <c r="Y2735" s="204" t="s">
        <v>86</v>
      </c>
      <c r="Z2735" s="204" t="s">
        <v>76</v>
      </c>
      <c r="AA2735" s="204"/>
      <c r="AB2735" s="204"/>
    </row>
    <row r="2736" spans="1:28" ht="34.5" customHeight="1">
      <c r="A2736" s="152" t="str">
        <f>'Reported burning'!A2736</f>
        <v>305v</v>
      </c>
      <c r="B2736" s="152" t="str">
        <f>'Reported burning'!B2736</f>
        <v>305v.6</v>
      </c>
      <c r="C2736" s="152" t="str">
        <f>'Reported burning'!C2736</f>
        <v>Human, deliberate</v>
      </c>
      <c r="D2736" s="152" t="str">
        <f>'Reported burning'!D2736</f>
        <v>Pyrome management</v>
      </c>
      <c r="E2736" s="152" t="str">
        <f>'Reported burning'!E2736</f>
        <v>Fire suppression agent</v>
      </c>
      <c r="F2736" s="152" t="str">
        <f>'Reported burning'!F2736</f>
        <v>ND</v>
      </c>
      <c r="G2736" s="152" t="str">
        <f>'Reported burning'!G2736</f>
        <v>ND</v>
      </c>
      <c r="H2736" s="152" t="str">
        <f>'Reported burning'!H2736</f>
        <v>Presence</v>
      </c>
      <c r="I2736" s="204"/>
      <c r="J2736" s="204" t="s">
        <v>2276</v>
      </c>
      <c r="K2736" s="204" t="s">
        <v>2276</v>
      </c>
      <c r="L2736" s="204" t="s">
        <v>2276</v>
      </c>
      <c r="M2736" s="204" t="s">
        <v>2276</v>
      </c>
      <c r="N2736" s="204" t="s">
        <v>2276</v>
      </c>
      <c r="O2736" s="204" t="s">
        <v>2276</v>
      </c>
      <c r="P2736" s="204" t="s">
        <v>2276</v>
      </c>
      <c r="Q2736" s="204" t="s">
        <v>2276</v>
      </c>
      <c r="R2736" s="204" t="s">
        <v>2276</v>
      </c>
      <c r="S2736" s="204" t="s">
        <v>2276</v>
      </c>
      <c r="T2736" s="204" t="s">
        <v>2276</v>
      </c>
      <c r="U2736" s="204" t="s">
        <v>2276</v>
      </c>
      <c r="V2736" s="204" t="s">
        <v>2276</v>
      </c>
      <c r="W2736" s="204" t="s">
        <v>2276</v>
      </c>
      <c r="X2736" s="204" t="s">
        <v>68</v>
      </c>
      <c r="Y2736" s="204" t="s">
        <v>86</v>
      </c>
      <c r="Z2736" s="204" t="s">
        <v>76</v>
      </c>
      <c r="AA2736" s="204"/>
      <c r="AB2736" s="204"/>
    </row>
    <row r="2737" spans="1:28" ht="34.5" customHeight="1">
      <c r="A2737" s="152" t="str">
        <f>'Reported burning'!A2737</f>
        <v>305w</v>
      </c>
      <c r="B2737" s="152" t="str">
        <f>'Reported burning'!B2737</f>
        <v>305w.6</v>
      </c>
      <c r="C2737" s="152" t="str">
        <f>'Reported burning'!C2737</f>
        <v>Human, deliberate</v>
      </c>
      <c r="D2737" s="152" t="str">
        <f>'Reported burning'!D2737</f>
        <v>Pyrome management</v>
      </c>
      <c r="E2737" s="152" t="str">
        <f>'Reported burning'!E2737</f>
        <v>Fire suppression agent</v>
      </c>
      <c r="F2737" s="152" t="str">
        <f>'Reported burning'!F2737</f>
        <v>ND</v>
      </c>
      <c r="G2737" s="152" t="str">
        <f>'Reported burning'!G2737</f>
        <v>ND</v>
      </c>
      <c r="H2737" s="152" t="str">
        <f>'Reported burning'!H2737</f>
        <v>Presence</v>
      </c>
      <c r="I2737" s="204"/>
      <c r="J2737" s="204" t="s">
        <v>2276</v>
      </c>
      <c r="K2737" s="204" t="s">
        <v>2276</v>
      </c>
      <c r="L2737" s="204" t="s">
        <v>2276</v>
      </c>
      <c r="M2737" s="204" t="s">
        <v>2276</v>
      </c>
      <c r="N2737" s="204" t="s">
        <v>2276</v>
      </c>
      <c r="O2737" s="204" t="s">
        <v>2276</v>
      </c>
      <c r="P2737" s="204" t="s">
        <v>2276</v>
      </c>
      <c r="Q2737" s="204" t="s">
        <v>2276</v>
      </c>
      <c r="R2737" s="204" t="s">
        <v>2276</v>
      </c>
      <c r="S2737" s="204" t="s">
        <v>2276</v>
      </c>
      <c r="T2737" s="204" t="s">
        <v>2276</v>
      </c>
      <c r="U2737" s="204" t="s">
        <v>2276</v>
      </c>
      <c r="V2737" s="204" t="s">
        <v>2276</v>
      </c>
      <c r="W2737" s="204" t="s">
        <v>2276</v>
      </c>
      <c r="X2737" s="204" t="s">
        <v>68</v>
      </c>
      <c r="Y2737" s="204" t="s">
        <v>86</v>
      </c>
      <c r="Z2737" s="204" t="s">
        <v>76</v>
      </c>
      <c r="AA2737" s="204"/>
      <c r="AB2737" s="204"/>
    </row>
    <row r="2738" spans="1:28" ht="34.5" customHeight="1">
      <c r="A2738" s="152" t="str">
        <f>'Reported burning'!A2738</f>
        <v>305x</v>
      </c>
      <c r="B2738" s="152" t="str">
        <f>'Reported burning'!B2738</f>
        <v>305x.6</v>
      </c>
      <c r="C2738" s="152" t="str">
        <f>'Reported burning'!C2738</f>
        <v>Human, deliberate</v>
      </c>
      <c r="D2738" s="152" t="str">
        <f>'Reported burning'!D2738</f>
        <v>Pyrome management</v>
      </c>
      <c r="E2738" s="152" t="str">
        <f>'Reported burning'!E2738</f>
        <v>Fire suppression agent</v>
      </c>
      <c r="F2738" s="152" t="str">
        <f>'Reported burning'!F2738</f>
        <v>ND</v>
      </c>
      <c r="G2738" s="152" t="str">
        <f>'Reported burning'!G2738</f>
        <v>ND</v>
      </c>
      <c r="H2738" s="152" t="str">
        <f>'Reported burning'!H2738</f>
        <v>Presence</v>
      </c>
      <c r="I2738" s="204"/>
      <c r="J2738" s="204" t="s">
        <v>2276</v>
      </c>
      <c r="K2738" s="204" t="s">
        <v>2276</v>
      </c>
      <c r="L2738" s="204" t="s">
        <v>2276</v>
      </c>
      <c r="M2738" s="204" t="s">
        <v>2276</v>
      </c>
      <c r="N2738" s="204" t="s">
        <v>2276</v>
      </c>
      <c r="O2738" s="204" t="s">
        <v>2276</v>
      </c>
      <c r="P2738" s="204" t="s">
        <v>2276</v>
      </c>
      <c r="Q2738" s="204" t="s">
        <v>2276</v>
      </c>
      <c r="R2738" s="204" t="s">
        <v>2276</v>
      </c>
      <c r="S2738" s="204" t="s">
        <v>2276</v>
      </c>
      <c r="T2738" s="204" t="s">
        <v>2276</v>
      </c>
      <c r="U2738" s="204" t="s">
        <v>2276</v>
      </c>
      <c r="V2738" s="204" t="s">
        <v>2276</v>
      </c>
      <c r="W2738" s="204" t="s">
        <v>2276</v>
      </c>
      <c r="X2738" s="204" t="s">
        <v>68</v>
      </c>
      <c r="Y2738" s="204" t="s">
        <v>86</v>
      </c>
      <c r="Z2738" s="204" t="s">
        <v>76</v>
      </c>
      <c r="AA2738" s="204"/>
      <c r="AB2738" s="204"/>
    </row>
    <row r="2739" spans="1:28" ht="34.5" customHeight="1">
      <c r="A2739" s="152" t="str">
        <f>'Reported burning'!A2739</f>
        <v>305y</v>
      </c>
      <c r="B2739" s="152" t="str">
        <f>'Reported burning'!B2739</f>
        <v>305y.6</v>
      </c>
      <c r="C2739" s="152" t="str">
        <f>'Reported burning'!C2739</f>
        <v>Human, deliberate</v>
      </c>
      <c r="D2739" s="152" t="str">
        <f>'Reported burning'!D2739</f>
        <v>Pyrome management</v>
      </c>
      <c r="E2739" s="152" t="str">
        <f>'Reported burning'!E2739</f>
        <v>Fire suppression agent</v>
      </c>
      <c r="F2739" s="152" t="str">
        <f>'Reported burning'!F2739</f>
        <v>ND</v>
      </c>
      <c r="G2739" s="152" t="str">
        <f>'Reported burning'!G2739</f>
        <v>ND</v>
      </c>
      <c r="H2739" s="152" t="str">
        <f>'Reported burning'!H2739</f>
        <v>Presence</v>
      </c>
      <c r="I2739" s="204"/>
      <c r="J2739" s="204" t="s">
        <v>2276</v>
      </c>
      <c r="K2739" s="204" t="s">
        <v>2276</v>
      </c>
      <c r="L2739" s="204" t="s">
        <v>2276</v>
      </c>
      <c r="M2739" s="204" t="s">
        <v>2276</v>
      </c>
      <c r="N2739" s="204" t="s">
        <v>2276</v>
      </c>
      <c r="O2739" s="204" t="s">
        <v>2276</v>
      </c>
      <c r="P2739" s="204" t="s">
        <v>2276</v>
      </c>
      <c r="Q2739" s="204" t="s">
        <v>2276</v>
      </c>
      <c r="R2739" s="204" t="s">
        <v>2276</v>
      </c>
      <c r="S2739" s="204" t="s">
        <v>2276</v>
      </c>
      <c r="T2739" s="204" t="s">
        <v>2276</v>
      </c>
      <c r="U2739" s="204" t="s">
        <v>2276</v>
      </c>
      <c r="V2739" s="204" t="s">
        <v>2276</v>
      </c>
      <c r="W2739" s="204" t="s">
        <v>2276</v>
      </c>
      <c r="X2739" s="204" t="s">
        <v>68</v>
      </c>
      <c r="Y2739" s="204" t="s">
        <v>86</v>
      </c>
      <c r="Z2739" s="204" t="s">
        <v>76</v>
      </c>
      <c r="AA2739" s="204"/>
      <c r="AB2739" s="204"/>
    </row>
    <row r="2740" spans="1:28" ht="34.5" customHeight="1">
      <c r="A2740" s="152" t="str">
        <f>'Reported burning'!A2740</f>
        <v>305z</v>
      </c>
      <c r="B2740" s="152" t="str">
        <f>'Reported burning'!B2740</f>
        <v>305z.6</v>
      </c>
      <c r="C2740" s="152" t="str">
        <f>'Reported burning'!C2740</f>
        <v>Human, deliberate</v>
      </c>
      <c r="D2740" s="152" t="str">
        <f>'Reported burning'!D2740</f>
        <v>Pyrome management</v>
      </c>
      <c r="E2740" s="152" t="str">
        <f>'Reported burning'!E2740</f>
        <v>Fire suppression agent</v>
      </c>
      <c r="F2740" s="152" t="str">
        <f>'Reported burning'!F2740</f>
        <v>ND</v>
      </c>
      <c r="G2740" s="152" t="str">
        <f>'Reported burning'!G2740</f>
        <v>ND</v>
      </c>
      <c r="H2740" s="152" t="str">
        <f>'Reported burning'!H2740</f>
        <v>Presence</v>
      </c>
      <c r="I2740" s="204"/>
      <c r="J2740" s="204" t="s">
        <v>2276</v>
      </c>
      <c r="K2740" s="204" t="s">
        <v>2276</v>
      </c>
      <c r="L2740" s="204" t="s">
        <v>2276</v>
      </c>
      <c r="M2740" s="204" t="s">
        <v>2276</v>
      </c>
      <c r="N2740" s="204" t="s">
        <v>2276</v>
      </c>
      <c r="O2740" s="204" t="s">
        <v>2276</v>
      </c>
      <c r="P2740" s="204" t="s">
        <v>2276</v>
      </c>
      <c r="Q2740" s="204" t="s">
        <v>2276</v>
      </c>
      <c r="R2740" s="204" t="s">
        <v>2276</v>
      </c>
      <c r="S2740" s="204" t="s">
        <v>2276</v>
      </c>
      <c r="T2740" s="204" t="s">
        <v>2276</v>
      </c>
      <c r="U2740" s="204" t="s">
        <v>2276</v>
      </c>
      <c r="V2740" s="204" t="s">
        <v>2276</v>
      </c>
      <c r="W2740" s="204" t="s">
        <v>2276</v>
      </c>
      <c r="X2740" s="204" t="s">
        <v>68</v>
      </c>
      <c r="Y2740" s="204" t="s">
        <v>86</v>
      </c>
      <c r="Z2740" s="204" t="s">
        <v>76</v>
      </c>
      <c r="AA2740" s="204"/>
      <c r="AB2740" s="204"/>
    </row>
    <row r="2741" spans="1:28" ht="34.5" customHeight="1">
      <c r="A2741" s="152" t="str">
        <f>'Reported burning'!A2741</f>
        <v>305aa</v>
      </c>
      <c r="B2741" s="152" t="str">
        <f>'Reported burning'!B2741</f>
        <v>305aa.6</v>
      </c>
      <c r="C2741" s="152" t="str">
        <f>'Reported burning'!C2741</f>
        <v>Human, deliberate</v>
      </c>
      <c r="D2741" s="152" t="str">
        <f>'Reported burning'!D2741</f>
        <v>Pyrome management</v>
      </c>
      <c r="E2741" s="152" t="str">
        <f>'Reported burning'!E2741</f>
        <v>Fire suppression agent</v>
      </c>
      <c r="F2741" s="152" t="str">
        <f>'Reported burning'!F2741</f>
        <v>ND</v>
      </c>
      <c r="G2741" s="152" t="str">
        <f>'Reported burning'!G2741</f>
        <v>ND</v>
      </c>
      <c r="H2741" s="152" t="str">
        <f>'Reported burning'!H2741</f>
        <v>Presence</v>
      </c>
      <c r="I2741" s="204"/>
      <c r="J2741" s="204" t="s">
        <v>2276</v>
      </c>
      <c r="K2741" s="204" t="s">
        <v>2276</v>
      </c>
      <c r="L2741" s="204" t="s">
        <v>2276</v>
      </c>
      <c r="M2741" s="204" t="s">
        <v>2276</v>
      </c>
      <c r="N2741" s="204" t="s">
        <v>2276</v>
      </c>
      <c r="O2741" s="204" t="s">
        <v>2276</v>
      </c>
      <c r="P2741" s="204" t="s">
        <v>2276</v>
      </c>
      <c r="Q2741" s="204" t="s">
        <v>2276</v>
      </c>
      <c r="R2741" s="204" t="s">
        <v>2276</v>
      </c>
      <c r="S2741" s="204" t="s">
        <v>2276</v>
      </c>
      <c r="T2741" s="204" t="s">
        <v>2276</v>
      </c>
      <c r="U2741" s="204" t="s">
        <v>2276</v>
      </c>
      <c r="V2741" s="204" t="s">
        <v>2276</v>
      </c>
      <c r="W2741" s="204" t="s">
        <v>2276</v>
      </c>
      <c r="X2741" s="204" t="s">
        <v>68</v>
      </c>
      <c r="Y2741" s="204" t="s">
        <v>86</v>
      </c>
      <c r="Z2741" s="204" t="s">
        <v>76</v>
      </c>
      <c r="AA2741" s="204"/>
      <c r="AB2741" s="204"/>
    </row>
    <row r="2742" spans="1:28" ht="34.5" customHeight="1">
      <c r="A2742" s="152" t="str">
        <f>'Reported burning'!A2742</f>
        <v>305ab</v>
      </c>
      <c r="B2742" s="152" t="str">
        <f>'Reported burning'!B2742</f>
        <v>305ab.6</v>
      </c>
      <c r="C2742" s="152" t="str">
        <f>'Reported burning'!C2742</f>
        <v>Human, deliberate</v>
      </c>
      <c r="D2742" s="152" t="str">
        <f>'Reported burning'!D2742</f>
        <v>Pyrome management</v>
      </c>
      <c r="E2742" s="152" t="str">
        <f>'Reported burning'!E2742</f>
        <v>Fire suppression agent</v>
      </c>
      <c r="F2742" s="152" t="str">
        <f>'Reported burning'!F2742</f>
        <v>ND</v>
      </c>
      <c r="G2742" s="152" t="str">
        <f>'Reported burning'!G2742</f>
        <v>ND</v>
      </c>
      <c r="H2742" s="152" t="str">
        <f>'Reported burning'!H2742</f>
        <v>Presence</v>
      </c>
      <c r="I2742" s="204"/>
      <c r="J2742" s="204" t="s">
        <v>2276</v>
      </c>
      <c r="K2742" s="204" t="s">
        <v>2276</v>
      </c>
      <c r="L2742" s="204" t="s">
        <v>2276</v>
      </c>
      <c r="M2742" s="204" t="s">
        <v>2276</v>
      </c>
      <c r="N2742" s="204" t="s">
        <v>2276</v>
      </c>
      <c r="O2742" s="204" t="s">
        <v>2276</v>
      </c>
      <c r="P2742" s="204" t="s">
        <v>2276</v>
      </c>
      <c r="Q2742" s="204" t="s">
        <v>2276</v>
      </c>
      <c r="R2742" s="204" t="s">
        <v>2276</v>
      </c>
      <c r="S2742" s="204" t="s">
        <v>2276</v>
      </c>
      <c r="T2742" s="204" t="s">
        <v>2276</v>
      </c>
      <c r="U2742" s="204" t="s">
        <v>2276</v>
      </c>
      <c r="V2742" s="204" t="s">
        <v>2276</v>
      </c>
      <c r="W2742" s="204" t="s">
        <v>2276</v>
      </c>
      <c r="X2742" s="204" t="s">
        <v>68</v>
      </c>
      <c r="Y2742" s="204" t="s">
        <v>86</v>
      </c>
      <c r="Z2742" s="204" t="s">
        <v>76</v>
      </c>
      <c r="AA2742" s="204"/>
      <c r="AB2742" s="204"/>
    </row>
    <row r="2743" spans="1:28" ht="34.5" customHeight="1">
      <c r="A2743" s="152" t="str">
        <f>'Reported burning'!A2743</f>
        <v>305ac</v>
      </c>
      <c r="B2743" s="152" t="str">
        <f>'Reported burning'!B2743</f>
        <v>305ac.6</v>
      </c>
      <c r="C2743" s="152" t="str">
        <f>'Reported burning'!C2743</f>
        <v>Human, deliberate</v>
      </c>
      <c r="D2743" s="152" t="str">
        <f>'Reported burning'!D2743</f>
        <v>Pyrome management</v>
      </c>
      <c r="E2743" s="152" t="str">
        <f>'Reported burning'!E2743</f>
        <v>Fire suppression agent</v>
      </c>
      <c r="F2743" s="152" t="str">
        <f>'Reported burning'!F2743</f>
        <v>ND</v>
      </c>
      <c r="G2743" s="152" t="str">
        <f>'Reported burning'!G2743</f>
        <v>ND</v>
      </c>
      <c r="H2743" s="152" t="str">
        <f>'Reported burning'!H2743</f>
        <v>Presence</v>
      </c>
      <c r="I2743" s="204"/>
      <c r="J2743" s="204" t="s">
        <v>2276</v>
      </c>
      <c r="K2743" s="204" t="s">
        <v>2276</v>
      </c>
      <c r="L2743" s="204" t="s">
        <v>2276</v>
      </c>
      <c r="M2743" s="204" t="s">
        <v>2276</v>
      </c>
      <c r="N2743" s="204" t="s">
        <v>2276</v>
      </c>
      <c r="O2743" s="204" t="s">
        <v>2276</v>
      </c>
      <c r="P2743" s="204" t="s">
        <v>2276</v>
      </c>
      <c r="Q2743" s="204" t="s">
        <v>2276</v>
      </c>
      <c r="R2743" s="204" t="s">
        <v>2276</v>
      </c>
      <c r="S2743" s="204" t="s">
        <v>2276</v>
      </c>
      <c r="T2743" s="204" t="s">
        <v>2276</v>
      </c>
      <c r="U2743" s="204" t="s">
        <v>2276</v>
      </c>
      <c r="V2743" s="204" t="s">
        <v>2276</v>
      </c>
      <c r="W2743" s="204" t="s">
        <v>2276</v>
      </c>
      <c r="X2743" s="204" t="s">
        <v>68</v>
      </c>
      <c r="Y2743" s="204" t="s">
        <v>86</v>
      </c>
      <c r="Z2743" s="204" t="s">
        <v>76</v>
      </c>
      <c r="AA2743" s="204"/>
      <c r="AB2743" s="204"/>
    </row>
    <row r="2744" spans="1:28" ht="34.5" customHeight="1">
      <c r="A2744" s="152" t="str">
        <f>'Reported burning'!A2744</f>
        <v>305ad</v>
      </c>
      <c r="B2744" s="152" t="str">
        <f>'Reported burning'!B2744</f>
        <v>305ad.6</v>
      </c>
      <c r="C2744" s="152" t="str">
        <f>'Reported burning'!C2744</f>
        <v>Human, deliberate</v>
      </c>
      <c r="D2744" s="152" t="str">
        <f>'Reported burning'!D2744</f>
        <v>Pyrome management</v>
      </c>
      <c r="E2744" s="152" t="str">
        <f>'Reported burning'!E2744</f>
        <v>Fire suppression agent</v>
      </c>
      <c r="F2744" s="152" t="str">
        <f>'Reported burning'!F2744</f>
        <v>ND</v>
      </c>
      <c r="G2744" s="152" t="str">
        <f>'Reported burning'!G2744</f>
        <v>ND</v>
      </c>
      <c r="H2744" s="152" t="str">
        <f>'Reported burning'!H2744</f>
        <v>Presence</v>
      </c>
      <c r="I2744" s="204"/>
      <c r="J2744" s="204" t="s">
        <v>2276</v>
      </c>
      <c r="K2744" s="204" t="s">
        <v>2276</v>
      </c>
      <c r="L2744" s="204" t="s">
        <v>2276</v>
      </c>
      <c r="M2744" s="204" t="s">
        <v>2276</v>
      </c>
      <c r="N2744" s="204" t="s">
        <v>2276</v>
      </c>
      <c r="O2744" s="204" t="s">
        <v>2276</v>
      </c>
      <c r="P2744" s="204" t="s">
        <v>2276</v>
      </c>
      <c r="Q2744" s="204" t="s">
        <v>2276</v>
      </c>
      <c r="R2744" s="204" t="s">
        <v>2276</v>
      </c>
      <c r="S2744" s="204" t="s">
        <v>2276</v>
      </c>
      <c r="T2744" s="204" t="s">
        <v>2276</v>
      </c>
      <c r="U2744" s="204" t="s">
        <v>2276</v>
      </c>
      <c r="V2744" s="204" t="s">
        <v>2276</v>
      </c>
      <c r="W2744" s="204" t="s">
        <v>2276</v>
      </c>
      <c r="X2744" s="204" t="s">
        <v>68</v>
      </c>
      <c r="Y2744" s="204" t="s">
        <v>86</v>
      </c>
      <c r="Z2744" s="204" t="s">
        <v>76</v>
      </c>
      <c r="AA2744" s="204"/>
      <c r="AB2744" s="204"/>
    </row>
    <row r="2745" spans="1:28" ht="34.5" customHeight="1">
      <c r="A2745" s="152" t="str">
        <f>'Reported burning'!A2745</f>
        <v>305ae</v>
      </c>
      <c r="B2745" s="152" t="str">
        <f>'Reported burning'!B2745</f>
        <v>305ae.6</v>
      </c>
      <c r="C2745" s="152" t="str">
        <f>'Reported burning'!C2745</f>
        <v>Human, deliberate</v>
      </c>
      <c r="D2745" s="152" t="str">
        <f>'Reported burning'!D2745</f>
        <v>Pyrome management</v>
      </c>
      <c r="E2745" s="152" t="str">
        <f>'Reported burning'!E2745</f>
        <v>Fire suppression agent</v>
      </c>
      <c r="F2745" s="152" t="str">
        <f>'Reported burning'!F2745</f>
        <v>ND</v>
      </c>
      <c r="G2745" s="152" t="str">
        <f>'Reported burning'!G2745</f>
        <v>ND</v>
      </c>
      <c r="H2745" s="152" t="str">
        <f>'Reported burning'!H2745</f>
        <v>Presence</v>
      </c>
      <c r="I2745" s="204"/>
      <c r="J2745" s="204" t="s">
        <v>2276</v>
      </c>
      <c r="K2745" s="204" t="s">
        <v>2276</v>
      </c>
      <c r="L2745" s="204" t="s">
        <v>2276</v>
      </c>
      <c r="M2745" s="204" t="s">
        <v>2276</v>
      </c>
      <c r="N2745" s="204" t="s">
        <v>2276</v>
      </c>
      <c r="O2745" s="204" t="s">
        <v>2276</v>
      </c>
      <c r="P2745" s="204" t="s">
        <v>2276</v>
      </c>
      <c r="Q2745" s="204" t="s">
        <v>2276</v>
      </c>
      <c r="R2745" s="204" t="s">
        <v>2276</v>
      </c>
      <c r="S2745" s="204" t="s">
        <v>2276</v>
      </c>
      <c r="T2745" s="204" t="s">
        <v>2276</v>
      </c>
      <c r="U2745" s="204" t="s">
        <v>2276</v>
      </c>
      <c r="V2745" s="204" t="s">
        <v>2276</v>
      </c>
      <c r="W2745" s="204" t="s">
        <v>2276</v>
      </c>
      <c r="X2745" s="204" t="s">
        <v>68</v>
      </c>
      <c r="Y2745" s="204" t="s">
        <v>86</v>
      </c>
      <c r="Z2745" s="204" t="s">
        <v>76</v>
      </c>
      <c r="AA2745" s="204"/>
      <c r="AB2745" s="204"/>
    </row>
    <row r="2746" spans="1:28" ht="34.5" customHeight="1">
      <c r="A2746" s="152" t="str">
        <f>'Reported burning'!A2746</f>
        <v>305n</v>
      </c>
      <c r="B2746" s="152" t="str">
        <f>'Reported burning'!B2746</f>
        <v>305n.7</v>
      </c>
      <c r="C2746" s="152" t="str">
        <f>'Reported burning'!C2746</f>
        <v>Human, deliberate</v>
      </c>
      <c r="D2746" s="152" t="str">
        <f>'Reported burning'!D2746</f>
        <v>Pyrome management</v>
      </c>
      <c r="E2746" s="152" t="str">
        <f>'Reported burning'!E2746</f>
        <v>Fire suppression agent</v>
      </c>
      <c r="F2746" s="152" t="str">
        <f>'Reported burning'!F2746</f>
        <v>ND</v>
      </c>
      <c r="G2746" s="152" t="str">
        <f>'Reported burning'!G2746</f>
        <v>ND</v>
      </c>
      <c r="H2746" s="152" t="str">
        <f>'Reported burning'!H2746</f>
        <v>Presence</v>
      </c>
      <c r="I2746" s="204"/>
      <c r="J2746" s="204" t="s">
        <v>2276</v>
      </c>
      <c r="K2746" s="204" t="s">
        <v>2276</v>
      </c>
      <c r="L2746" s="204" t="s">
        <v>2276</v>
      </c>
      <c r="M2746" s="204" t="s">
        <v>2276</v>
      </c>
      <c r="N2746" s="204" t="s">
        <v>2276</v>
      </c>
      <c r="O2746" s="204" t="s">
        <v>2276</v>
      </c>
      <c r="P2746" s="204" t="s">
        <v>2276</v>
      </c>
      <c r="Q2746" s="204" t="s">
        <v>2276</v>
      </c>
      <c r="R2746" s="204" t="s">
        <v>2276</v>
      </c>
      <c r="S2746" s="204" t="s">
        <v>2276</v>
      </c>
      <c r="T2746" s="204" t="s">
        <v>2276</v>
      </c>
      <c r="U2746" s="204" t="s">
        <v>2276</v>
      </c>
      <c r="V2746" s="204" t="s">
        <v>2276</v>
      </c>
      <c r="W2746" s="204" t="s">
        <v>2276</v>
      </c>
      <c r="X2746" s="204" t="s">
        <v>68</v>
      </c>
      <c r="Y2746" s="204" t="s">
        <v>86</v>
      </c>
      <c r="Z2746" s="204" t="s">
        <v>76</v>
      </c>
      <c r="AA2746" s="204"/>
      <c r="AB2746" s="204"/>
    </row>
    <row r="2747" spans="1:28" ht="34.5" customHeight="1">
      <c r="A2747" s="152" t="str">
        <f>'Reported burning'!A2747</f>
        <v>305o</v>
      </c>
      <c r="B2747" s="152" t="str">
        <f>'Reported burning'!B2747</f>
        <v>305o.7</v>
      </c>
      <c r="C2747" s="152" t="str">
        <f>'Reported burning'!C2747</f>
        <v>Human, deliberate</v>
      </c>
      <c r="D2747" s="152" t="str">
        <f>'Reported burning'!D2747</f>
        <v>Pyrome management</v>
      </c>
      <c r="E2747" s="152" t="str">
        <f>'Reported burning'!E2747</f>
        <v>Fire suppression agent</v>
      </c>
      <c r="F2747" s="152" t="str">
        <f>'Reported burning'!F2747</f>
        <v>ND</v>
      </c>
      <c r="G2747" s="152" t="str">
        <f>'Reported burning'!G2747</f>
        <v>ND</v>
      </c>
      <c r="H2747" s="152" t="str">
        <f>'Reported burning'!H2747</f>
        <v>Presence</v>
      </c>
      <c r="I2747" s="204"/>
      <c r="J2747" s="204" t="s">
        <v>2276</v>
      </c>
      <c r="K2747" s="204" t="s">
        <v>2276</v>
      </c>
      <c r="L2747" s="204" t="s">
        <v>2276</v>
      </c>
      <c r="M2747" s="204" t="s">
        <v>2276</v>
      </c>
      <c r="N2747" s="204" t="s">
        <v>2276</v>
      </c>
      <c r="O2747" s="204" t="s">
        <v>2276</v>
      </c>
      <c r="P2747" s="204" t="s">
        <v>2276</v>
      </c>
      <c r="Q2747" s="204" t="s">
        <v>2276</v>
      </c>
      <c r="R2747" s="204" t="s">
        <v>2276</v>
      </c>
      <c r="S2747" s="204" t="s">
        <v>2276</v>
      </c>
      <c r="T2747" s="204" t="s">
        <v>2276</v>
      </c>
      <c r="U2747" s="204" t="s">
        <v>2276</v>
      </c>
      <c r="V2747" s="204" t="s">
        <v>2276</v>
      </c>
      <c r="W2747" s="204" t="s">
        <v>2276</v>
      </c>
      <c r="X2747" s="204" t="s">
        <v>68</v>
      </c>
      <c r="Y2747" s="204" t="s">
        <v>86</v>
      </c>
      <c r="Z2747" s="204" t="s">
        <v>76</v>
      </c>
      <c r="AA2747" s="204"/>
      <c r="AB2747" s="204"/>
    </row>
    <row r="2748" spans="1:28" ht="34.5" customHeight="1">
      <c r="A2748" s="152" t="str">
        <f>'Reported burning'!A2748</f>
        <v>305p</v>
      </c>
      <c r="B2748" s="152" t="str">
        <f>'Reported burning'!B2748</f>
        <v>305p.7</v>
      </c>
      <c r="C2748" s="152" t="str">
        <f>'Reported burning'!C2748</f>
        <v>Human, deliberate</v>
      </c>
      <c r="D2748" s="152" t="str">
        <f>'Reported burning'!D2748</f>
        <v>Pyrome management</v>
      </c>
      <c r="E2748" s="152" t="str">
        <f>'Reported burning'!E2748</f>
        <v>Fire suppression agent</v>
      </c>
      <c r="F2748" s="152" t="str">
        <f>'Reported burning'!F2748</f>
        <v>ND</v>
      </c>
      <c r="G2748" s="152" t="str">
        <f>'Reported burning'!G2748</f>
        <v>ND</v>
      </c>
      <c r="H2748" s="152" t="str">
        <f>'Reported burning'!H2748</f>
        <v>Presence</v>
      </c>
      <c r="I2748" s="204"/>
      <c r="J2748" s="204" t="s">
        <v>2276</v>
      </c>
      <c r="K2748" s="204" t="s">
        <v>2276</v>
      </c>
      <c r="L2748" s="204" t="s">
        <v>2276</v>
      </c>
      <c r="M2748" s="204" t="s">
        <v>2276</v>
      </c>
      <c r="N2748" s="204" t="s">
        <v>2276</v>
      </c>
      <c r="O2748" s="204" t="s">
        <v>2276</v>
      </c>
      <c r="P2748" s="204" t="s">
        <v>2276</v>
      </c>
      <c r="Q2748" s="204" t="s">
        <v>2276</v>
      </c>
      <c r="R2748" s="204" t="s">
        <v>2276</v>
      </c>
      <c r="S2748" s="204" t="s">
        <v>2276</v>
      </c>
      <c r="T2748" s="204" t="s">
        <v>2276</v>
      </c>
      <c r="U2748" s="204" t="s">
        <v>2276</v>
      </c>
      <c r="V2748" s="204" t="s">
        <v>2276</v>
      </c>
      <c r="W2748" s="204" t="s">
        <v>2276</v>
      </c>
      <c r="X2748" s="204" t="s">
        <v>68</v>
      </c>
      <c r="Y2748" s="204" t="s">
        <v>86</v>
      </c>
      <c r="Z2748" s="204" t="s">
        <v>76</v>
      </c>
      <c r="AA2748" s="204"/>
      <c r="AB2748" s="204"/>
    </row>
    <row r="2749" spans="1:28" ht="34.5" customHeight="1">
      <c r="A2749" s="152" t="str">
        <f>'Reported burning'!A2749</f>
        <v>305q</v>
      </c>
      <c r="B2749" s="152" t="str">
        <f>'Reported burning'!B2749</f>
        <v>305q.7</v>
      </c>
      <c r="C2749" s="152" t="str">
        <f>'Reported burning'!C2749</f>
        <v>Human, deliberate</v>
      </c>
      <c r="D2749" s="152" t="str">
        <f>'Reported burning'!D2749</f>
        <v>Pyrome management</v>
      </c>
      <c r="E2749" s="152" t="str">
        <f>'Reported burning'!E2749</f>
        <v>Fire suppression agent</v>
      </c>
      <c r="F2749" s="152" t="str">
        <f>'Reported burning'!F2749</f>
        <v>ND</v>
      </c>
      <c r="G2749" s="152" t="str">
        <f>'Reported burning'!G2749</f>
        <v>ND</v>
      </c>
      <c r="H2749" s="152" t="str">
        <f>'Reported burning'!H2749</f>
        <v>Presence</v>
      </c>
      <c r="I2749" s="204"/>
      <c r="J2749" s="204" t="s">
        <v>2276</v>
      </c>
      <c r="K2749" s="204" t="s">
        <v>2276</v>
      </c>
      <c r="L2749" s="204" t="s">
        <v>2276</v>
      </c>
      <c r="M2749" s="204" t="s">
        <v>2276</v>
      </c>
      <c r="N2749" s="204" t="s">
        <v>2276</v>
      </c>
      <c r="O2749" s="204" t="s">
        <v>2276</v>
      </c>
      <c r="P2749" s="204" t="s">
        <v>2276</v>
      </c>
      <c r="Q2749" s="204" t="s">
        <v>2276</v>
      </c>
      <c r="R2749" s="204" t="s">
        <v>2276</v>
      </c>
      <c r="S2749" s="204" t="s">
        <v>2276</v>
      </c>
      <c r="T2749" s="204" t="s">
        <v>2276</v>
      </c>
      <c r="U2749" s="204" t="s">
        <v>2276</v>
      </c>
      <c r="V2749" s="204" t="s">
        <v>2276</v>
      </c>
      <c r="W2749" s="204" t="s">
        <v>2276</v>
      </c>
      <c r="X2749" s="204" t="s">
        <v>68</v>
      </c>
      <c r="Y2749" s="204" t="s">
        <v>86</v>
      </c>
      <c r="Z2749" s="204" t="s">
        <v>76</v>
      </c>
      <c r="AA2749" s="204"/>
      <c r="AB2749" s="204"/>
    </row>
    <row r="2750" spans="1:28" ht="34.5" customHeight="1">
      <c r="A2750" s="152" t="str">
        <f>'Reported burning'!A2750</f>
        <v>305r</v>
      </c>
      <c r="B2750" s="152" t="str">
        <f>'Reported burning'!B2750</f>
        <v>305r.7</v>
      </c>
      <c r="C2750" s="152" t="str">
        <f>'Reported burning'!C2750</f>
        <v>Human, deliberate</v>
      </c>
      <c r="D2750" s="152" t="str">
        <f>'Reported burning'!D2750</f>
        <v>Pyrome management</v>
      </c>
      <c r="E2750" s="152" t="str">
        <f>'Reported burning'!E2750</f>
        <v>Fire suppression agent</v>
      </c>
      <c r="F2750" s="152" t="str">
        <f>'Reported burning'!F2750</f>
        <v>ND</v>
      </c>
      <c r="G2750" s="152" t="str">
        <f>'Reported burning'!G2750</f>
        <v>ND</v>
      </c>
      <c r="H2750" s="152" t="str">
        <f>'Reported burning'!H2750</f>
        <v>Absence</v>
      </c>
      <c r="I2750" s="204"/>
      <c r="J2750" s="21" t="s">
        <v>2364</v>
      </c>
      <c r="K2750" s="21" t="s">
        <v>2364</v>
      </c>
      <c r="L2750" s="21" t="s">
        <v>2364</v>
      </c>
      <c r="M2750" s="21" t="s">
        <v>2364</v>
      </c>
      <c r="N2750" s="21" t="s">
        <v>2364</v>
      </c>
      <c r="O2750" s="21" t="s">
        <v>2364</v>
      </c>
      <c r="P2750" s="21" t="s">
        <v>2364</v>
      </c>
      <c r="Q2750" s="21" t="s">
        <v>2364</v>
      </c>
      <c r="R2750" s="21" t="s">
        <v>2364</v>
      </c>
      <c r="S2750" s="21" t="s">
        <v>2364</v>
      </c>
      <c r="T2750" s="21" t="s">
        <v>2364</v>
      </c>
      <c r="U2750" s="21" t="s">
        <v>2364</v>
      </c>
      <c r="V2750" s="21" t="s">
        <v>2364</v>
      </c>
      <c r="W2750" s="204" t="s">
        <v>2276</v>
      </c>
      <c r="X2750" s="204" t="s">
        <v>68</v>
      </c>
      <c r="Y2750" s="204" t="s">
        <v>86</v>
      </c>
      <c r="Z2750" s="204" t="s">
        <v>76</v>
      </c>
      <c r="AA2750" s="204"/>
      <c r="AB2750" s="204"/>
    </row>
    <row r="2751" spans="1:28" ht="34.5" customHeight="1">
      <c r="A2751" s="152" t="str">
        <f>'Reported burning'!A2751</f>
        <v>305s</v>
      </c>
      <c r="B2751" s="152" t="str">
        <f>'Reported burning'!B2751</f>
        <v>305s.7</v>
      </c>
      <c r="C2751" s="152" t="str">
        <f>'Reported burning'!C2751</f>
        <v>Human, deliberate</v>
      </c>
      <c r="D2751" s="152" t="str">
        <f>'Reported burning'!D2751</f>
        <v>Pyrome management</v>
      </c>
      <c r="E2751" s="152" t="str">
        <f>'Reported burning'!E2751</f>
        <v>Fire suppression agent</v>
      </c>
      <c r="F2751" s="152" t="str">
        <f>'Reported burning'!F2751</f>
        <v>ND</v>
      </c>
      <c r="G2751" s="152" t="str">
        <f>'Reported burning'!G2751</f>
        <v>ND</v>
      </c>
      <c r="H2751" s="152" t="str">
        <f>'Reported burning'!H2751</f>
        <v>Absence</v>
      </c>
      <c r="I2751" s="204"/>
      <c r="J2751" s="21" t="s">
        <v>2364</v>
      </c>
      <c r="K2751" s="21" t="s">
        <v>2364</v>
      </c>
      <c r="L2751" s="21" t="s">
        <v>2364</v>
      </c>
      <c r="M2751" s="21" t="s">
        <v>2364</v>
      </c>
      <c r="N2751" s="21" t="s">
        <v>2364</v>
      </c>
      <c r="O2751" s="21" t="s">
        <v>2364</v>
      </c>
      <c r="P2751" s="21" t="s">
        <v>2364</v>
      </c>
      <c r="Q2751" s="21" t="s">
        <v>2364</v>
      </c>
      <c r="R2751" s="21" t="s">
        <v>2364</v>
      </c>
      <c r="S2751" s="21" t="s">
        <v>2364</v>
      </c>
      <c r="T2751" s="21" t="s">
        <v>2364</v>
      </c>
      <c r="U2751" s="21" t="s">
        <v>2364</v>
      </c>
      <c r="V2751" s="21" t="s">
        <v>2364</v>
      </c>
      <c r="W2751" s="204" t="s">
        <v>2276</v>
      </c>
      <c r="X2751" s="204" t="s">
        <v>68</v>
      </c>
      <c r="Y2751" s="204" t="s">
        <v>86</v>
      </c>
      <c r="Z2751" s="204" t="s">
        <v>76</v>
      </c>
      <c r="AA2751" s="204"/>
      <c r="AB2751" s="204"/>
    </row>
    <row r="2752" spans="1:28" ht="34.5" customHeight="1">
      <c r="A2752" s="152" t="str">
        <f>'Reported burning'!A2752</f>
        <v>305t</v>
      </c>
      <c r="B2752" s="152" t="str">
        <f>'Reported burning'!B2752</f>
        <v>305t.7</v>
      </c>
      <c r="C2752" s="152" t="str">
        <f>'Reported burning'!C2752</f>
        <v>Human, deliberate</v>
      </c>
      <c r="D2752" s="152" t="str">
        <f>'Reported burning'!D2752</f>
        <v>Pyrome management</v>
      </c>
      <c r="E2752" s="152" t="str">
        <f>'Reported burning'!E2752</f>
        <v>Fire suppression agent</v>
      </c>
      <c r="F2752" s="152" t="str">
        <f>'Reported burning'!F2752</f>
        <v>ND</v>
      </c>
      <c r="G2752" s="152" t="str">
        <f>'Reported burning'!G2752</f>
        <v>ND</v>
      </c>
      <c r="H2752" s="152" t="str">
        <f>'Reported burning'!H2752</f>
        <v>Absence</v>
      </c>
      <c r="I2752" s="204"/>
      <c r="J2752" s="21" t="s">
        <v>2364</v>
      </c>
      <c r="K2752" s="21" t="s">
        <v>2364</v>
      </c>
      <c r="L2752" s="21" t="s">
        <v>2364</v>
      </c>
      <c r="M2752" s="21" t="s">
        <v>2364</v>
      </c>
      <c r="N2752" s="21" t="s">
        <v>2364</v>
      </c>
      <c r="O2752" s="21" t="s">
        <v>2364</v>
      </c>
      <c r="P2752" s="21" t="s">
        <v>2364</v>
      </c>
      <c r="Q2752" s="21" t="s">
        <v>2364</v>
      </c>
      <c r="R2752" s="21" t="s">
        <v>2364</v>
      </c>
      <c r="S2752" s="21" t="s">
        <v>2364</v>
      </c>
      <c r="T2752" s="21" t="s">
        <v>2364</v>
      </c>
      <c r="U2752" s="21" t="s">
        <v>2364</v>
      </c>
      <c r="V2752" s="21" t="s">
        <v>2364</v>
      </c>
      <c r="W2752" s="204" t="s">
        <v>2276</v>
      </c>
      <c r="X2752" s="204" t="s">
        <v>68</v>
      </c>
      <c r="Y2752" s="204" t="s">
        <v>86</v>
      </c>
      <c r="Z2752" s="204" t="s">
        <v>76</v>
      </c>
      <c r="AA2752" s="204"/>
      <c r="AB2752" s="204"/>
    </row>
    <row r="2753" spans="1:28" ht="34.5" customHeight="1">
      <c r="A2753" s="152" t="str">
        <f>'Reported burning'!A2753</f>
        <v>305u</v>
      </c>
      <c r="B2753" s="152" t="str">
        <f>'Reported burning'!B2753</f>
        <v>305u.7</v>
      </c>
      <c r="C2753" s="152" t="str">
        <f>'Reported burning'!C2753</f>
        <v>Human, deliberate</v>
      </c>
      <c r="D2753" s="152" t="str">
        <f>'Reported burning'!D2753</f>
        <v>Pyrome management</v>
      </c>
      <c r="E2753" s="152" t="str">
        <f>'Reported burning'!E2753</f>
        <v>Fire suppression agent</v>
      </c>
      <c r="F2753" s="152" t="str">
        <f>'Reported burning'!F2753</f>
        <v>ND</v>
      </c>
      <c r="G2753" s="152" t="str">
        <f>'Reported burning'!G2753</f>
        <v>ND</v>
      </c>
      <c r="H2753" s="152" t="str">
        <f>'Reported burning'!H2753</f>
        <v>Presence</v>
      </c>
      <c r="I2753" s="204"/>
      <c r="J2753" s="204" t="s">
        <v>2276</v>
      </c>
      <c r="K2753" s="204" t="s">
        <v>2276</v>
      </c>
      <c r="L2753" s="204" t="s">
        <v>2276</v>
      </c>
      <c r="M2753" s="204" t="s">
        <v>2276</v>
      </c>
      <c r="N2753" s="204" t="s">
        <v>2276</v>
      </c>
      <c r="O2753" s="204" t="s">
        <v>2276</v>
      </c>
      <c r="P2753" s="204" t="s">
        <v>2276</v>
      </c>
      <c r="Q2753" s="204" t="s">
        <v>2276</v>
      </c>
      <c r="R2753" s="204" t="s">
        <v>2276</v>
      </c>
      <c r="S2753" s="204" t="s">
        <v>2276</v>
      </c>
      <c r="T2753" s="204" t="s">
        <v>2276</v>
      </c>
      <c r="U2753" s="204" t="s">
        <v>2276</v>
      </c>
      <c r="V2753" s="204" t="s">
        <v>2276</v>
      </c>
      <c r="W2753" s="204" t="s">
        <v>2276</v>
      </c>
      <c r="X2753" s="204" t="s">
        <v>68</v>
      </c>
      <c r="Y2753" s="204" t="s">
        <v>86</v>
      </c>
      <c r="Z2753" s="204" t="s">
        <v>76</v>
      </c>
      <c r="AA2753" s="204"/>
      <c r="AB2753" s="204"/>
    </row>
    <row r="2754" spans="1:28" ht="34.5" customHeight="1">
      <c r="A2754" s="152" t="str">
        <f>'Reported burning'!A2754</f>
        <v>305v</v>
      </c>
      <c r="B2754" s="152" t="str">
        <f>'Reported burning'!B2754</f>
        <v>305v.7</v>
      </c>
      <c r="C2754" s="152" t="str">
        <f>'Reported burning'!C2754</f>
        <v>Human, deliberate</v>
      </c>
      <c r="D2754" s="152" t="str">
        <f>'Reported burning'!D2754</f>
        <v>Pyrome management</v>
      </c>
      <c r="E2754" s="152" t="str">
        <f>'Reported burning'!E2754</f>
        <v>Fire suppression agent</v>
      </c>
      <c r="F2754" s="152" t="str">
        <f>'Reported burning'!F2754</f>
        <v>ND</v>
      </c>
      <c r="G2754" s="152" t="str">
        <f>'Reported burning'!G2754</f>
        <v>ND</v>
      </c>
      <c r="H2754" s="152" t="str">
        <f>'Reported burning'!H2754</f>
        <v>Presence</v>
      </c>
      <c r="I2754" s="204"/>
      <c r="J2754" s="204" t="s">
        <v>2276</v>
      </c>
      <c r="K2754" s="204" t="s">
        <v>2276</v>
      </c>
      <c r="L2754" s="204" t="s">
        <v>2276</v>
      </c>
      <c r="M2754" s="204" t="s">
        <v>2276</v>
      </c>
      <c r="N2754" s="204" t="s">
        <v>2276</v>
      </c>
      <c r="O2754" s="204" t="s">
        <v>2276</v>
      </c>
      <c r="P2754" s="204" t="s">
        <v>2276</v>
      </c>
      <c r="Q2754" s="204" t="s">
        <v>2276</v>
      </c>
      <c r="R2754" s="204" t="s">
        <v>2276</v>
      </c>
      <c r="S2754" s="204" t="s">
        <v>2276</v>
      </c>
      <c r="T2754" s="204" t="s">
        <v>2276</v>
      </c>
      <c r="U2754" s="204" t="s">
        <v>2276</v>
      </c>
      <c r="V2754" s="204" t="s">
        <v>2276</v>
      </c>
      <c r="W2754" s="204" t="s">
        <v>2276</v>
      </c>
      <c r="X2754" s="204" t="s">
        <v>68</v>
      </c>
      <c r="Y2754" s="204" t="s">
        <v>86</v>
      </c>
      <c r="Z2754" s="204" t="s">
        <v>76</v>
      </c>
      <c r="AA2754" s="204"/>
      <c r="AB2754" s="204"/>
    </row>
    <row r="2755" spans="1:28" ht="34.5" customHeight="1">
      <c r="A2755" s="152" t="str">
        <f>'Reported burning'!A2755</f>
        <v>305w</v>
      </c>
      <c r="B2755" s="152" t="str">
        <f>'Reported burning'!B2755</f>
        <v>305w.7</v>
      </c>
      <c r="C2755" s="152" t="str">
        <f>'Reported burning'!C2755</f>
        <v>Human, deliberate</v>
      </c>
      <c r="D2755" s="152" t="str">
        <f>'Reported burning'!D2755</f>
        <v>Pyrome management</v>
      </c>
      <c r="E2755" s="152" t="str">
        <f>'Reported burning'!E2755</f>
        <v>Fire suppression agent</v>
      </c>
      <c r="F2755" s="152" t="str">
        <f>'Reported burning'!F2755</f>
        <v>ND</v>
      </c>
      <c r="G2755" s="152" t="str">
        <f>'Reported burning'!G2755</f>
        <v>ND</v>
      </c>
      <c r="H2755" s="152" t="str">
        <f>'Reported burning'!H2755</f>
        <v>Presence</v>
      </c>
      <c r="I2755" s="204"/>
      <c r="J2755" s="204" t="s">
        <v>2276</v>
      </c>
      <c r="K2755" s="204" t="s">
        <v>2276</v>
      </c>
      <c r="L2755" s="204" t="s">
        <v>2276</v>
      </c>
      <c r="M2755" s="204" t="s">
        <v>2276</v>
      </c>
      <c r="N2755" s="204" t="s">
        <v>2276</v>
      </c>
      <c r="O2755" s="204" t="s">
        <v>2276</v>
      </c>
      <c r="P2755" s="204" t="s">
        <v>2276</v>
      </c>
      <c r="Q2755" s="204" t="s">
        <v>2276</v>
      </c>
      <c r="R2755" s="204" t="s">
        <v>2276</v>
      </c>
      <c r="S2755" s="204" t="s">
        <v>2276</v>
      </c>
      <c r="T2755" s="204" t="s">
        <v>2276</v>
      </c>
      <c r="U2755" s="204" t="s">
        <v>2276</v>
      </c>
      <c r="V2755" s="204" t="s">
        <v>2276</v>
      </c>
      <c r="W2755" s="204" t="s">
        <v>2276</v>
      </c>
      <c r="X2755" s="204" t="s">
        <v>68</v>
      </c>
      <c r="Y2755" s="204" t="s">
        <v>86</v>
      </c>
      <c r="Z2755" s="204" t="s">
        <v>76</v>
      </c>
      <c r="AA2755" s="204"/>
      <c r="AB2755" s="204"/>
    </row>
    <row r="2756" spans="1:28" ht="34.5" customHeight="1">
      <c r="A2756" s="152" t="str">
        <f>'Reported burning'!A2756</f>
        <v>305x</v>
      </c>
      <c r="B2756" s="152" t="str">
        <f>'Reported burning'!B2756</f>
        <v>305x.7</v>
      </c>
      <c r="C2756" s="152" t="str">
        <f>'Reported burning'!C2756</f>
        <v>Human, deliberate</v>
      </c>
      <c r="D2756" s="152" t="str">
        <f>'Reported burning'!D2756</f>
        <v>Pyrome management</v>
      </c>
      <c r="E2756" s="152" t="str">
        <f>'Reported burning'!E2756</f>
        <v>Fire suppression agent</v>
      </c>
      <c r="F2756" s="152" t="str">
        <f>'Reported burning'!F2756</f>
        <v>ND</v>
      </c>
      <c r="G2756" s="152" t="str">
        <f>'Reported burning'!G2756</f>
        <v>ND</v>
      </c>
      <c r="H2756" s="152" t="str">
        <f>'Reported burning'!H2756</f>
        <v>Presence</v>
      </c>
      <c r="I2756" s="204"/>
      <c r="J2756" s="204" t="s">
        <v>2276</v>
      </c>
      <c r="K2756" s="204" t="s">
        <v>2276</v>
      </c>
      <c r="L2756" s="204" t="s">
        <v>2276</v>
      </c>
      <c r="M2756" s="204" t="s">
        <v>2276</v>
      </c>
      <c r="N2756" s="204" t="s">
        <v>2276</v>
      </c>
      <c r="O2756" s="204" t="s">
        <v>2276</v>
      </c>
      <c r="P2756" s="204" t="s">
        <v>2276</v>
      </c>
      <c r="Q2756" s="204" t="s">
        <v>2276</v>
      </c>
      <c r="R2756" s="204" t="s">
        <v>2276</v>
      </c>
      <c r="S2756" s="204" t="s">
        <v>2276</v>
      </c>
      <c r="T2756" s="204" t="s">
        <v>2276</v>
      </c>
      <c r="U2756" s="204" t="s">
        <v>2276</v>
      </c>
      <c r="V2756" s="204" t="s">
        <v>2276</v>
      </c>
      <c r="W2756" s="204" t="s">
        <v>2276</v>
      </c>
      <c r="X2756" s="204" t="s">
        <v>68</v>
      </c>
      <c r="Y2756" s="204" t="s">
        <v>86</v>
      </c>
      <c r="Z2756" s="204" t="s">
        <v>76</v>
      </c>
      <c r="AA2756" s="204"/>
      <c r="AB2756" s="204"/>
    </row>
    <row r="2757" spans="1:28" ht="34.5" customHeight="1">
      <c r="A2757" s="152" t="str">
        <f>'Reported burning'!A2757</f>
        <v>305y</v>
      </c>
      <c r="B2757" s="152" t="str">
        <f>'Reported burning'!B2757</f>
        <v>305y.7</v>
      </c>
      <c r="C2757" s="152" t="str">
        <f>'Reported burning'!C2757</f>
        <v>Human, deliberate</v>
      </c>
      <c r="D2757" s="152" t="str">
        <f>'Reported burning'!D2757</f>
        <v>Pyrome management</v>
      </c>
      <c r="E2757" s="152" t="str">
        <f>'Reported burning'!E2757</f>
        <v>Fire suppression agent</v>
      </c>
      <c r="F2757" s="152" t="str">
        <f>'Reported burning'!F2757</f>
        <v>ND</v>
      </c>
      <c r="G2757" s="152" t="str">
        <f>'Reported burning'!G2757</f>
        <v>ND</v>
      </c>
      <c r="H2757" s="152" t="str">
        <f>'Reported burning'!H2757</f>
        <v>Presence</v>
      </c>
      <c r="I2757" s="204"/>
      <c r="J2757" s="204" t="s">
        <v>2276</v>
      </c>
      <c r="K2757" s="204" t="s">
        <v>2276</v>
      </c>
      <c r="L2757" s="204" t="s">
        <v>2276</v>
      </c>
      <c r="M2757" s="204" t="s">
        <v>2276</v>
      </c>
      <c r="N2757" s="204" t="s">
        <v>2276</v>
      </c>
      <c r="O2757" s="204" t="s">
        <v>2276</v>
      </c>
      <c r="P2757" s="204" t="s">
        <v>2276</v>
      </c>
      <c r="Q2757" s="204" t="s">
        <v>2276</v>
      </c>
      <c r="R2757" s="204" t="s">
        <v>2276</v>
      </c>
      <c r="S2757" s="204" t="s">
        <v>2276</v>
      </c>
      <c r="T2757" s="204" t="s">
        <v>2276</v>
      </c>
      <c r="U2757" s="204" t="s">
        <v>2276</v>
      </c>
      <c r="V2757" s="204" t="s">
        <v>2276</v>
      </c>
      <c r="W2757" s="204" t="s">
        <v>2276</v>
      </c>
      <c r="X2757" s="204" t="s">
        <v>68</v>
      </c>
      <c r="Y2757" s="204" t="s">
        <v>86</v>
      </c>
      <c r="Z2757" s="204" t="s">
        <v>76</v>
      </c>
      <c r="AA2757" s="204"/>
      <c r="AB2757" s="204"/>
    </row>
    <row r="2758" spans="1:28" ht="34.5" customHeight="1">
      <c r="A2758" s="152" t="str">
        <f>'Reported burning'!A2758</f>
        <v>305z</v>
      </c>
      <c r="B2758" s="152" t="str">
        <f>'Reported burning'!B2758</f>
        <v>305z.7</v>
      </c>
      <c r="C2758" s="152" t="str">
        <f>'Reported burning'!C2758</f>
        <v>Human, deliberate</v>
      </c>
      <c r="D2758" s="152" t="str">
        <f>'Reported burning'!D2758</f>
        <v>Pyrome management</v>
      </c>
      <c r="E2758" s="152" t="str">
        <f>'Reported burning'!E2758</f>
        <v>Fire suppression agent</v>
      </c>
      <c r="F2758" s="152" t="str">
        <f>'Reported burning'!F2758</f>
        <v>ND</v>
      </c>
      <c r="G2758" s="152" t="str">
        <f>'Reported burning'!G2758</f>
        <v>ND</v>
      </c>
      <c r="H2758" s="152" t="str">
        <f>'Reported burning'!H2758</f>
        <v>Presence</v>
      </c>
      <c r="I2758" s="204"/>
      <c r="J2758" s="204" t="s">
        <v>2276</v>
      </c>
      <c r="K2758" s="204" t="s">
        <v>2276</v>
      </c>
      <c r="L2758" s="204" t="s">
        <v>2276</v>
      </c>
      <c r="M2758" s="204" t="s">
        <v>2276</v>
      </c>
      <c r="N2758" s="204" t="s">
        <v>2276</v>
      </c>
      <c r="O2758" s="204" t="s">
        <v>2276</v>
      </c>
      <c r="P2758" s="204" t="s">
        <v>2276</v>
      </c>
      <c r="Q2758" s="204" t="s">
        <v>2276</v>
      </c>
      <c r="R2758" s="204" t="s">
        <v>2276</v>
      </c>
      <c r="S2758" s="204" t="s">
        <v>2276</v>
      </c>
      <c r="T2758" s="204" t="s">
        <v>2276</v>
      </c>
      <c r="U2758" s="204" t="s">
        <v>2276</v>
      </c>
      <c r="V2758" s="204" t="s">
        <v>2276</v>
      </c>
      <c r="W2758" s="204" t="s">
        <v>2276</v>
      </c>
      <c r="X2758" s="204" t="s">
        <v>68</v>
      </c>
      <c r="Y2758" s="204" t="s">
        <v>86</v>
      </c>
      <c r="Z2758" s="204" t="s">
        <v>76</v>
      </c>
      <c r="AA2758" s="204"/>
      <c r="AB2758" s="204"/>
    </row>
    <row r="2759" spans="1:28" ht="34.5" customHeight="1">
      <c r="A2759" s="152" t="str">
        <f>'Reported burning'!A2759</f>
        <v>305aa</v>
      </c>
      <c r="B2759" s="152" t="str">
        <f>'Reported burning'!B2759</f>
        <v>305aa.7</v>
      </c>
      <c r="C2759" s="152" t="str">
        <f>'Reported burning'!C2759</f>
        <v>Human, deliberate</v>
      </c>
      <c r="D2759" s="152" t="str">
        <f>'Reported burning'!D2759</f>
        <v>Pyrome management</v>
      </c>
      <c r="E2759" s="152" t="str">
        <f>'Reported burning'!E2759</f>
        <v>Fire suppression agent</v>
      </c>
      <c r="F2759" s="152" t="str">
        <f>'Reported burning'!F2759</f>
        <v>ND</v>
      </c>
      <c r="G2759" s="152" t="str">
        <f>'Reported burning'!G2759</f>
        <v>ND</v>
      </c>
      <c r="H2759" s="152" t="str">
        <f>'Reported burning'!H2759</f>
        <v>Presence</v>
      </c>
      <c r="I2759" s="204"/>
      <c r="J2759" s="204" t="s">
        <v>2276</v>
      </c>
      <c r="K2759" s="204" t="s">
        <v>2276</v>
      </c>
      <c r="L2759" s="204" t="s">
        <v>2276</v>
      </c>
      <c r="M2759" s="204" t="s">
        <v>2276</v>
      </c>
      <c r="N2759" s="204" t="s">
        <v>2276</v>
      </c>
      <c r="O2759" s="204" t="s">
        <v>2276</v>
      </c>
      <c r="P2759" s="204" t="s">
        <v>2276</v>
      </c>
      <c r="Q2759" s="204" t="s">
        <v>2276</v>
      </c>
      <c r="R2759" s="204" t="s">
        <v>2276</v>
      </c>
      <c r="S2759" s="204" t="s">
        <v>2276</v>
      </c>
      <c r="T2759" s="204" t="s">
        <v>2276</v>
      </c>
      <c r="U2759" s="204" t="s">
        <v>2276</v>
      </c>
      <c r="V2759" s="204" t="s">
        <v>2276</v>
      </c>
      <c r="W2759" s="204" t="s">
        <v>2276</v>
      </c>
      <c r="X2759" s="204" t="s">
        <v>68</v>
      </c>
      <c r="Y2759" s="204" t="s">
        <v>86</v>
      </c>
      <c r="Z2759" s="204" t="s">
        <v>76</v>
      </c>
      <c r="AA2759" s="204"/>
      <c r="AB2759" s="204"/>
    </row>
    <row r="2760" spans="1:28" ht="34.5" customHeight="1">
      <c r="A2760" s="152" t="str">
        <f>'Reported burning'!A2760</f>
        <v>305ab</v>
      </c>
      <c r="B2760" s="152" t="str">
        <f>'Reported burning'!B2760</f>
        <v>305ab.7</v>
      </c>
      <c r="C2760" s="152" t="str">
        <f>'Reported burning'!C2760</f>
        <v>Human, deliberate</v>
      </c>
      <c r="D2760" s="152" t="str">
        <f>'Reported burning'!D2760</f>
        <v>Pyrome management</v>
      </c>
      <c r="E2760" s="152" t="str">
        <f>'Reported burning'!E2760</f>
        <v>Fire suppression agent</v>
      </c>
      <c r="F2760" s="152" t="str">
        <f>'Reported burning'!F2760</f>
        <v>ND</v>
      </c>
      <c r="G2760" s="152" t="str">
        <f>'Reported burning'!G2760</f>
        <v>ND</v>
      </c>
      <c r="H2760" s="152" t="str">
        <f>'Reported burning'!H2760</f>
        <v>Presence</v>
      </c>
      <c r="I2760" s="204"/>
      <c r="J2760" s="204" t="s">
        <v>2276</v>
      </c>
      <c r="K2760" s="204" t="s">
        <v>2276</v>
      </c>
      <c r="L2760" s="204" t="s">
        <v>2276</v>
      </c>
      <c r="M2760" s="204" t="s">
        <v>2276</v>
      </c>
      <c r="N2760" s="204" t="s">
        <v>2276</v>
      </c>
      <c r="O2760" s="204" t="s">
        <v>2276</v>
      </c>
      <c r="P2760" s="204" t="s">
        <v>2276</v>
      </c>
      <c r="Q2760" s="204" t="s">
        <v>2276</v>
      </c>
      <c r="R2760" s="204" t="s">
        <v>2276</v>
      </c>
      <c r="S2760" s="204" t="s">
        <v>2276</v>
      </c>
      <c r="T2760" s="204" t="s">
        <v>2276</v>
      </c>
      <c r="U2760" s="204" t="s">
        <v>2276</v>
      </c>
      <c r="V2760" s="204" t="s">
        <v>2276</v>
      </c>
      <c r="W2760" s="204" t="s">
        <v>2276</v>
      </c>
      <c r="X2760" s="204" t="s">
        <v>68</v>
      </c>
      <c r="Y2760" s="204" t="s">
        <v>86</v>
      </c>
      <c r="Z2760" s="204" t="s">
        <v>76</v>
      </c>
      <c r="AA2760" s="204"/>
      <c r="AB2760" s="204"/>
    </row>
    <row r="2761" spans="1:28" ht="34.5" customHeight="1">
      <c r="A2761" s="152" t="str">
        <f>'Reported burning'!A2761</f>
        <v>305ac</v>
      </c>
      <c r="B2761" s="152" t="str">
        <f>'Reported burning'!B2761</f>
        <v>305ac.7</v>
      </c>
      <c r="C2761" s="152" t="str">
        <f>'Reported burning'!C2761</f>
        <v>Human, deliberate</v>
      </c>
      <c r="D2761" s="152" t="str">
        <f>'Reported burning'!D2761</f>
        <v>Pyrome management</v>
      </c>
      <c r="E2761" s="152" t="str">
        <f>'Reported burning'!E2761</f>
        <v>Fire suppression agent</v>
      </c>
      <c r="F2761" s="152" t="str">
        <f>'Reported burning'!F2761</f>
        <v>ND</v>
      </c>
      <c r="G2761" s="152" t="str">
        <f>'Reported burning'!G2761</f>
        <v>ND</v>
      </c>
      <c r="H2761" s="152" t="str">
        <f>'Reported burning'!H2761</f>
        <v>Presence</v>
      </c>
      <c r="I2761" s="204"/>
      <c r="J2761" s="204" t="s">
        <v>2276</v>
      </c>
      <c r="K2761" s="204" t="s">
        <v>2276</v>
      </c>
      <c r="L2761" s="204" t="s">
        <v>2276</v>
      </c>
      <c r="M2761" s="204" t="s">
        <v>2276</v>
      </c>
      <c r="N2761" s="204" t="s">
        <v>2276</v>
      </c>
      <c r="O2761" s="204" t="s">
        <v>2276</v>
      </c>
      <c r="P2761" s="204" t="s">
        <v>2276</v>
      </c>
      <c r="Q2761" s="204" t="s">
        <v>2276</v>
      </c>
      <c r="R2761" s="204" t="s">
        <v>2276</v>
      </c>
      <c r="S2761" s="204" t="s">
        <v>2276</v>
      </c>
      <c r="T2761" s="204" t="s">
        <v>2276</v>
      </c>
      <c r="U2761" s="204" t="s">
        <v>2276</v>
      </c>
      <c r="V2761" s="204" t="s">
        <v>2276</v>
      </c>
      <c r="W2761" s="204" t="s">
        <v>2276</v>
      </c>
      <c r="X2761" s="204" t="s">
        <v>68</v>
      </c>
      <c r="Y2761" s="204" t="s">
        <v>86</v>
      </c>
      <c r="Z2761" s="204" t="s">
        <v>76</v>
      </c>
      <c r="AA2761" s="204"/>
      <c r="AB2761" s="204"/>
    </row>
    <row r="2762" spans="1:28" ht="34.5" customHeight="1">
      <c r="A2762" s="152" t="str">
        <f>'Reported burning'!A2762</f>
        <v>305ad</v>
      </c>
      <c r="B2762" s="152" t="str">
        <f>'Reported burning'!B2762</f>
        <v>305ad.7</v>
      </c>
      <c r="C2762" s="152" t="str">
        <f>'Reported burning'!C2762</f>
        <v>Human, deliberate</v>
      </c>
      <c r="D2762" s="152" t="str">
        <f>'Reported burning'!D2762</f>
        <v>Pyrome management</v>
      </c>
      <c r="E2762" s="152" t="str">
        <f>'Reported burning'!E2762</f>
        <v>Fire suppression agent</v>
      </c>
      <c r="F2762" s="152" t="str">
        <f>'Reported burning'!F2762</f>
        <v>ND</v>
      </c>
      <c r="G2762" s="152" t="str">
        <f>'Reported burning'!G2762</f>
        <v>ND</v>
      </c>
      <c r="H2762" s="152" t="str">
        <f>'Reported burning'!H2762</f>
        <v>Presence</v>
      </c>
      <c r="I2762" s="204"/>
      <c r="J2762" s="204" t="s">
        <v>2276</v>
      </c>
      <c r="K2762" s="204" t="s">
        <v>2276</v>
      </c>
      <c r="L2762" s="204" t="s">
        <v>2276</v>
      </c>
      <c r="M2762" s="204" t="s">
        <v>2276</v>
      </c>
      <c r="N2762" s="204" t="s">
        <v>2276</v>
      </c>
      <c r="O2762" s="204" t="s">
        <v>2276</v>
      </c>
      <c r="P2762" s="204" t="s">
        <v>2276</v>
      </c>
      <c r="Q2762" s="204" t="s">
        <v>2276</v>
      </c>
      <c r="R2762" s="204" t="s">
        <v>2276</v>
      </c>
      <c r="S2762" s="204" t="s">
        <v>2276</v>
      </c>
      <c r="T2762" s="204" t="s">
        <v>2276</v>
      </c>
      <c r="U2762" s="204" t="s">
        <v>2276</v>
      </c>
      <c r="V2762" s="204" t="s">
        <v>2276</v>
      </c>
      <c r="W2762" s="204" t="s">
        <v>2276</v>
      </c>
      <c r="X2762" s="204" t="s">
        <v>68</v>
      </c>
      <c r="Y2762" s="204" t="s">
        <v>86</v>
      </c>
      <c r="Z2762" s="204" t="s">
        <v>76</v>
      </c>
      <c r="AA2762" s="204"/>
      <c r="AB2762" s="204"/>
    </row>
    <row r="2763" spans="1:28" ht="34.5" customHeight="1">
      <c r="A2763" s="152" t="str">
        <f>'Reported burning'!A2763</f>
        <v>305ae</v>
      </c>
      <c r="B2763" s="152" t="str">
        <f>'Reported burning'!B2763</f>
        <v>305ae.7</v>
      </c>
      <c r="C2763" s="152" t="str">
        <f>'Reported burning'!C2763</f>
        <v>Human, deliberate</v>
      </c>
      <c r="D2763" s="152" t="str">
        <f>'Reported burning'!D2763</f>
        <v>Pyrome management</v>
      </c>
      <c r="E2763" s="152" t="str">
        <f>'Reported burning'!E2763</f>
        <v>Fire suppression agent</v>
      </c>
      <c r="F2763" s="152" t="str">
        <f>'Reported burning'!F2763</f>
        <v>ND</v>
      </c>
      <c r="G2763" s="152" t="str">
        <f>'Reported burning'!G2763</f>
        <v>ND</v>
      </c>
      <c r="H2763" s="152" t="str">
        <f>'Reported burning'!H2763</f>
        <v>Presence</v>
      </c>
      <c r="I2763" s="204"/>
      <c r="J2763" s="204" t="s">
        <v>2276</v>
      </c>
      <c r="K2763" s="204" t="s">
        <v>2276</v>
      </c>
      <c r="L2763" s="204" t="s">
        <v>2276</v>
      </c>
      <c r="M2763" s="204" t="s">
        <v>2276</v>
      </c>
      <c r="N2763" s="204" t="s">
        <v>2276</v>
      </c>
      <c r="O2763" s="204" t="s">
        <v>2276</v>
      </c>
      <c r="P2763" s="204" t="s">
        <v>2276</v>
      </c>
      <c r="Q2763" s="204" t="s">
        <v>2276</v>
      </c>
      <c r="R2763" s="204" t="s">
        <v>2276</v>
      </c>
      <c r="S2763" s="204" t="s">
        <v>2276</v>
      </c>
      <c r="T2763" s="204" t="s">
        <v>2276</v>
      </c>
      <c r="U2763" s="204" t="s">
        <v>2276</v>
      </c>
      <c r="V2763" s="204" t="s">
        <v>2276</v>
      </c>
      <c r="W2763" s="204" t="s">
        <v>2276</v>
      </c>
      <c r="X2763" s="204" t="s">
        <v>68</v>
      </c>
      <c r="Y2763" s="204" t="s">
        <v>86</v>
      </c>
      <c r="Z2763" s="204" t="s">
        <v>76</v>
      </c>
      <c r="AA2763" s="204"/>
      <c r="AB2763" s="204"/>
    </row>
    <row r="2764" spans="1:28" ht="34.5" customHeight="1">
      <c r="A2764" s="152" t="str">
        <f>'Reported burning'!A2764</f>
        <v>305n</v>
      </c>
      <c r="B2764" s="152" t="str">
        <f>'Reported burning'!B2764</f>
        <v>305n.8</v>
      </c>
      <c r="C2764" s="152" t="str">
        <f>'Reported burning'!C2764</f>
        <v>Human, deliberate</v>
      </c>
      <c r="D2764" s="152" t="str">
        <f>'Reported burning'!D2764</f>
        <v>Pyrome management</v>
      </c>
      <c r="E2764" s="152" t="str">
        <f>'Reported burning'!E2764</f>
        <v>Fire suppression agent</v>
      </c>
      <c r="F2764" s="152" t="str">
        <f>'Reported burning'!F2764</f>
        <v>ND</v>
      </c>
      <c r="G2764" s="152" t="str">
        <f>'Reported burning'!G2764</f>
        <v>ND</v>
      </c>
      <c r="H2764" s="152" t="str">
        <f>'Reported burning'!H2764</f>
        <v>Presence</v>
      </c>
      <c r="I2764" s="204"/>
      <c r="J2764" s="204" t="s">
        <v>2276</v>
      </c>
      <c r="K2764" s="204" t="s">
        <v>2276</v>
      </c>
      <c r="L2764" s="204" t="s">
        <v>2276</v>
      </c>
      <c r="M2764" s="204" t="s">
        <v>2276</v>
      </c>
      <c r="N2764" s="204" t="s">
        <v>2276</v>
      </c>
      <c r="O2764" s="204" t="s">
        <v>2276</v>
      </c>
      <c r="P2764" s="204" t="s">
        <v>2276</v>
      </c>
      <c r="Q2764" s="204" t="s">
        <v>2276</v>
      </c>
      <c r="R2764" s="204" t="s">
        <v>2276</v>
      </c>
      <c r="S2764" s="204" t="s">
        <v>2276</v>
      </c>
      <c r="T2764" s="204" t="s">
        <v>2276</v>
      </c>
      <c r="U2764" s="204" t="s">
        <v>2276</v>
      </c>
      <c r="V2764" s="204" t="s">
        <v>2276</v>
      </c>
      <c r="W2764" s="204" t="s">
        <v>2276</v>
      </c>
      <c r="X2764" s="204" t="s">
        <v>68</v>
      </c>
      <c r="Y2764" s="204" t="s">
        <v>86</v>
      </c>
      <c r="Z2764" s="204" t="s">
        <v>76</v>
      </c>
      <c r="AA2764" s="204"/>
      <c r="AB2764" s="204"/>
    </row>
    <row r="2765" spans="1:28" ht="34.5" customHeight="1">
      <c r="A2765" s="152" t="str">
        <f>'Reported burning'!A2765</f>
        <v>305o</v>
      </c>
      <c r="B2765" s="152" t="str">
        <f>'Reported burning'!B2765</f>
        <v>305o.8</v>
      </c>
      <c r="C2765" s="152" t="str">
        <f>'Reported burning'!C2765</f>
        <v>Human, deliberate</v>
      </c>
      <c r="D2765" s="152" t="str">
        <f>'Reported burning'!D2765</f>
        <v>Pyrome management</v>
      </c>
      <c r="E2765" s="152" t="str">
        <f>'Reported burning'!E2765</f>
        <v>Fire suppression agent</v>
      </c>
      <c r="F2765" s="152" t="str">
        <f>'Reported burning'!F2765</f>
        <v>ND</v>
      </c>
      <c r="G2765" s="152" t="str">
        <f>'Reported burning'!G2765</f>
        <v>ND</v>
      </c>
      <c r="H2765" s="152" t="str">
        <f>'Reported burning'!H2765</f>
        <v>Presence</v>
      </c>
      <c r="I2765" s="204"/>
      <c r="J2765" s="204" t="s">
        <v>2276</v>
      </c>
      <c r="K2765" s="204" t="s">
        <v>2276</v>
      </c>
      <c r="L2765" s="204" t="s">
        <v>2276</v>
      </c>
      <c r="M2765" s="204" t="s">
        <v>2276</v>
      </c>
      <c r="N2765" s="204" t="s">
        <v>2276</v>
      </c>
      <c r="O2765" s="204" t="s">
        <v>2276</v>
      </c>
      <c r="P2765" s="204" t="s">
        <v>2276</v>
      </c>
      <c r="Q2765" s="204" t="s">
        <v>2276</v>
      </c>
      <c r="R2765" s="204" t="s">
        <v>2276</v>
      </c>
      <c r="S2765" s="204" t="s">
        <v>2276</v>
      </c>
      <c r="T2765" s="204" t="s">
        <v>2276</v>
      </c>
      <c r="U2765" s="204" t="s">
        <v>2276</v>
      </c>
      <c r="V2765" s="204" t="s">
        <v>2276</v>
      </c>
      <c r="W2765" s="204" t="s">
        <v>2276</v>
      </c>
      <c r="X2765" s="204" t="s">
        <v>68</v>
      </c>
      <c r="Y2765" s="204" t="s">
        <v>86</v>
      </c>
      <c r="Z2765" s="204" t="s">
        <v>76</v>
      </c>
      <c r="AA2765" s="204"/>
      <c r="AB2765" s="204"/>
    </row>
    <row r="2766" spans="1:28" ht="34.5" customHeight="1">
      <c r="A2766" s="152" t="str">
        <f>'Reported burning'!A2766</f>
        <v>305p</v>
      </c>
      <c r="B2766" s="152" t="str">
        <f>'Reported burning'!B2766</f>
        <v>305p.8</v>
      </c>
      <c r="C2766" s="152" t="str">
        <f>'Reported burning'!C2766</f>
        <v>Human, deliberate</v>
      </c>
      <c r="D2766" s="152" t="str">
        <f>'Reported burning'!D2766</f>
        <v>Pyrome management</v>
      </c>
      <c r="E2766" s="152" t="str">
        <f>'Reported burning'!E2766</f>
        <v>Fire suppression agent</v>
      </c>
      <c r="F2766" s="152" t="str">
        <f>'Reported burning'!F2766</f>
        <v>ND</v>
      </c>
      <c r="G2766" s="152" t="str">
        <f>'Reported burning'!G2766</f>
        <v>ND</v>
      </c>
      <c r="H2766" s="152" t="str">
        <f>'Reported burning'!H2766</f>
        <v>Presence</v>
      </c>
      <c r="I2766" s="204"/>
      <c r="J2766" s="204" t="s">
        <v>2276</v>
      </c>
      <c r="K2766" s="204" t="s">
        <v>2276</v>
      </c>
      <c r="L2766" s="204" t="s">
        <v>2276</v>
      </c>
      <c r="M2766" s="204" t="s">
        <v>2276</v>
      </c>
      <c r="N2766" s="204" t="s">
        <v>2276</v>
      </c>
      <c r="O2766" s="204" t="s">
        <v>2276</v>
      </c>
      <c r="P2766" s="204" t="s">
        <v>2276</v>
      </c>
      <c r="Q2766" s="204" t="s">
        <v>2276</v>
      </c>
      <c r="R2766" s="204" t="s">
        <v>2276</v>
      </c>
      <c r="S2766" s="204" t="s">
        <v>2276</v>
      </c>
      <c r="T2766" s="204" t="s">
        <v>2276</v>
      </c>
      <c r="U2766" s="204" t="s">
        <v>2276</v>
      </c>
      <c r="V2766" s="204" t="s">
        <v>2276</v>
      </c>
      <c r="W2766" s="204" t="s">
        <v>2276</v>
      </c>
      <c r="X2766" s="204" t="s">
        <v>68</v>
      </c>
      <c r="Y2766" s="204" t="s">
        <v>86</v>
      </c>
      <c r="Z2766" s="204" t="s">
        <v>76</v>
      </c>
      <c r="AA2766" s="204"/>
      <c r="AB2766" s="204"/>
    </row>
    <row r="2767" spans="1:28" ht="34.5" customHeight="1">
      <c r="A2767" s="152" t="str">
        <f>'Reported burning'!A2767</f>
        <v>305q</v>
      </c>
      <c r="B2767" s="152" t="str">
        <f>'Reported burning'!B2767</f>
        <v>305q.8</v>
      </c>
      <c r="C2767" s="152" t="str">
        <f>'Reported burning'!C2767</f>
        <v>Human, deliberate</v>
      </c>
      <c r="D2767" s="152" t="str">
        <f>'Reported burning'!D2767</f>
        <v>Pyrome management</v>
      </c>
      <c r="E2767" s="152" t="str">
        <f>'Reported burning'!E2767</f>
        <v>Fire suppression agent</v>
      </c>
      <c r="F2767" s="152" t="str">
        <f>'Reported burning'!F2767</f>
        <v>ND</v>
      </c>
      <c r="G2767" s="152" t="str">
        <f>'Reported burning'!G2767</f>
        <v>ND</v>
      </c>
      <c r="H2767" s="152" t="str">
        <f>'Reported burning'!H2767</f>
        <v>Presence</v>
      </c>
      <c r="I2767" s="204"/>
      <c r="J2767" s="204" t="s">
        <v>2276</v>
      </c>
      <c r="K2767" s="204" t="s">
        <v>2276</v>
      </c>
      <c r="L2767" s="204" t="s">
        <v>2276</v>
      </c>
      <c r="M2767" s="204" t="s">
        <v>2276</v>
      </c>
      <c r="N2767" s="204" t="s">
        <v>2276</v>
      </c>
      <c r="O2767" s="204" t="s">
        <v>2276</v>
      </c>
      <c r="P2767" s="204" t="s">
        <v>2276</v>
      </c>
      <c r="Q2767" s="204" t="s">
        <v>2276</v>
      </c>
      <c r="R2767" s="204" t="s">
        <v>2276</v>
      </c>
      <c r="S2767" s="204" t="s">
        <v>2276</v>
      </c>
      <c r="T2767" s="204" t="s">
        <v>2276</v>
      </c>
      <c r="U2767" s="204" t="s">
        <v>2276</v>
      </c>
      <c r="V2767" s="204" t="s">
        <v>2276</v>
      </c>
      <c r="W2767" s="204" t="s">
        <v>2276</v>
      </c>
      <c r="X2767" s="204" t="s">
        <v>68</v>
      </c>
      <c r="Y2767" s="204" t="s">
        <v>86</v>
      </c>
      <c r="Z2767" s="204" t="s">
        <v>76</v>
      </c>
      <c r="AA2767" s="204"/>
      <c r="AB2767" s="204"/>
    </row>
    <row r="2768" spans="1:28" ht="34.5" customHeight="1">
      <c r="A2768" s="152" t="str">
        <f>'Reported burning'!A2768</f>
        <v>305r</v>
      </c>
      <c r="B2768" s="152" t="str">
        <f>'Reported burning'!B2768</f>
        <v>305r.8</v>
      </c>
      <c r="C2768" s="152" t="str">
        <f>'Reported burning'!C2768</f>
        <v>Human, deliberate</v>
      </c>
      <c r="D2768" s="152" t="str">
        <f>'Reported burning'!D2768</f>
        <v>Pyrome management</v>
      </c>
      <c r="E2768" s="152" t="str">
        <f>'Reported burning'!E2768</f>
        <v>Fire suppression agent</v>
      </c>
      <c r="F2768" s="152" t="str">
        <f>'Reported burning'!F2768</f>
        <v>ND</v>
      </c>
      <c r="G2768" s="152" t="str">
        <f>'Reported burning'!G2768</f>
        <v>ND</v>
      </c>
      <c r="H2768" s="152" t="str">
        <f>'Reported burning'!H2768</f>
        <v>Absence</v>
      </c>
      <c r="I2768" s="204"/>
      <c r="J2768" s="21" t="s">
        <v>2364</v>
      </c>
      <c r="K2768" s="21" t="s">
        <v>2364</v>
      </c>
      <c r="L2768" s="21" t="s">
        <v>2364</v>
      </c>
      <c r="M2768" s="21" t="s">
        <v>2364</v>
      </c>
      <c r="N2768" s="21" t="s">
        <v>2364</v>
      </c>
      <c r="O2768" s="21" t="s">
        <v>2364</v>
      </c>
      <c r="P2768" s="21" t="s">
        <v>2364</v>
      </c>
      <c r="Q2768" s="21" t="s">
        <v>2364</v>
      </c>
      <c r="R2768" s="21" t="s">
        <v>2364</v>
      </c>
      <c r="S2768" s="21" t="s">
        <v>2364</v>
      </c>
      <c r="T2768" s="21" t="s">
        <v>2364</v>
      </c>
      <c r="U2768" s="21" t="s">
        <v>2364</v>
      </c>
      <c r="V2768" s="21" t="s">
        <v>2364</v>
      </c>
      <c r="W2768" s="204" t="s">
        <v>2276</v>
      </c>
      <c r="X2768" s="204" t="s">
        <v>68</v>
      </c>
      <c r="Y2768" s="204" t="s">
        <v>86</v>
      </c>
      <c r="Z2768" s="204" t="s">
        <v>76</v>
      </c>
      <c r="AA2768" s="204"/>
      <c r="AB2768" s="204"/>
    </row>
    <row r="2769" spans="1:28" ht="34.5" customHeight="1">
      <c r="A2769" s="152" t="str">
        <f>'Reported burning'!A2769</f>
        <v>305s</v>
      </c>
      <c r="B2769" s="152" t="str">
        <f>'Reported burning'!B2769</f>
        <v>305s.8</v>
      </c>
      <c r="C2769" s="152" t="str">
        <f>'Reported burning'!C2769</f>
        <v>Human, deliberate</v>
      </c>
      <c r="D2769" s="152" t="str">
        <f>'Reported burning'!D2769</f>
        <v>Pyrome management</v>
      </c>
      <c r="E2769" s="152" t="str">
        <f>'Reported burning'!E2769</f>
        <v>Fire suppression agent</v>
      </c>
      <c r="F2769" s="152" t="str">
        <f>'Reported burning'!F2769</f>
        <v>ND</v>
      </c>
      <c r="G2769" s="152" t="str">
        <f>'Reported burning'!G2769</f>
        <v>ND</v>
      </c>
      <c r="H2769" s="152" t="str">
        <f>'Reported burning'!H2769</f>
        <v>Absence</v>
      </c>
      <c r="I2769" s="204"/>
      <c r="J2769" s="21" t="s">
        <v>2364</v>
      </c>
      <c r="K2769" s="21" t="s">
        <v>2364</v>
      </c>
      <c r="L2769" s="21" t="s">
        <v>2364</v>
      </c>
      <c r="M2769" s="21" t="s">
        <v>2364</v>
      </c>
      <c r="N2769" s="21" t="s">
        <v>2364</v>
      </c>
      <c r="O2769" s="21" t="s">
        <v>2364</v>
      </c>
      <c r="P2769" s="21" t="s">
        <v>2364</v>
      </c>
      <c r="Q2769" s="21" t="s">
        <v>2364</v>
      </c>
      <c r="R2769" s="21" t="s">
        <v>2364</v>
      </c>
      <c r="S2769" s="21" t="s">
        <v>2364</v>
      </c>
      <c r="T2769" s="21" t="s">
        <v>2364</v>
      </c>
      <c r="U2769" s="21" t="s">
        <v>2364</v>
      </c>
      <c r="V2769" s="21" t="s">
        <v>2364</v>
      </c>
      <c r="W2769" s="204" t="s">
        <v>2276</v>
      </c>
      <c r="X2769" s="204" t="s">
        <v>68</v>
      </c>
      <c r="Y2769" s="204" t="s">
        <v>86</v>
      </c>
      <c r="Z2769" s="204" t="s">
        <v>76</v>
      </c>
      <c r="AA2769" s="204"/>
      <c r="AB2769" s="204"/>
    </row>
    <row r="2770" spans="1:28" ht="34.5" customHeight="1">
      <c r="A2770" s="152" t="str">
        <f>'Reported burning'!A2770</f>
        <v>305t</v>
      </c>
      <c r="B2770" s="152" t="str">
        <f>'Reported burning'!B2770</f>
        <v>305t.8</v>
      </c>
      <c r="C2770" s="152" t="str">
        <f>'Reported burning'!C2770</f>
        <v>Human, deliberate</v>
      </c>
      <c r="D2770" s="152" t="str">
        <f>'Reported burning'!D2770</f>
        <v>Pyrome management</v>
      </c>
      <c r="E2770" s="152" t="str">
        <f>'Reported burning'!E2770</f>
        <v>Fire suppression agent</v>
      </c>
      <c r="F2770" s="152" t="str">
        <f>'Reported burning'!F2770</f>
        <v>ND</v>
      </c>
      <c r="G2770" s="152" t="str">
        <f>'Reported burning'!G2770</f>
        <v>ND</v>
      </c>
      <c r="H2770" s="152" t="str">
        <f>'Reported burning'!H2770</f>
        <v>Absence</v>
      </c>
      <c r="I2770" s="204"/>
      <c r="J2770" s="21" t="s">
        <v>2364</v>
      </c>
      <c r="K2770" s="21" t="s">
        <v>2364</v>
      </c>
      <c r="L2770" s="21" t="s">
        <v>2364</v>
      </c>
      <c r="M2770" s="21" t="s">
        <v>2364</v>
      </c>
      <c r="N2770" s="21" t="s">
        <v>2364</v>
      </c>
      <c r="O2770" s="21" t="s">
        <v>2364</v>
      </c>
      <c r="P2770" s="21" t="s">
        <v>2364</v>
      </c>
      <c r="Q2770" s="21" t="s">
        <v>2364</v>
      </c>
      <c r="R2770" s="21" t="s">
        <v>2364</v>
      </c>
      <c r="S2770" s="21" t="s">
        <v>2364</v>
      </c>
      <c r="T2770" s="21" t="s">
        <v>2364</v>
      </c>
      <c r="U2770" s="21" t="s">
        <v>2364</v>
      </c>
      <c r="V2770" s="21" t="s">
        <v>2364</v>
      </c>
      <c r="W2770" s="204" t="s">
        <v>2276</v>
      </c>
      <c r="X2770" s="204" t="s">
        <v>68</v>
      </c>
      <c r="Y2770" s="204" t="s">
        <v>86</v>
      </c>
      <c r="Z2770" s="204" t="s">
        <v>76</v>
      </c>
      <c r="AA2770" s="204"/>
      <c r="AB2770" s="204"/>
    </row>
    <row r="2771" spans="1:28" ht="34.5" customHeight="1">
      <c r="A2771" s="152" t="str">
        <f>'Reported burning'!A2771</f>
        <v>305u</v>
      </c>
      <c r="B2771" s="152" t="str">
        <f>'Reported burning'!B2771</f>
        <v>305u.8</v>
      </c>
      <c r="C2771" s="152" t="str">
        <f>'Reported burning'!C2771</f>
        <v>Human, deliberate</v>
      </c>
      <c r="D2771" s="152" t="str">
        <f>'Reported burning'!D2771</f>
        <v>Pyrome management</v>
      </c>
      <c r="E2771" s="152" t="str">
        <f>'Reported burning'!E2771</f>
        <v>Fire suppression agent</v>
      </c>
      <c r="F2771" s="152" t="str">
        <f>'Reported burning'!F2771</f>
        <v>ND</v>
      </c>
      <c r="G2771" s="152" t="str">
        <f>'Reported burning'!G2771</f>
        <v>ND</v>
      </c>
      <c r="H2771" s="152" t="str">
        <f>'Reported burning'!H2771</f>
        <v>Presence</v>
      </c>
      <c r="I2771" s="204"/>
      <c r="J2771" s="204" t="s">
        <v>2276</v>
      </c>
      <c r="K2771" s="204" t="s">
        <v>2276</v>
      </c>
      <c r="L2771" s="204" t="s">
        <v>2276</v>
      </c>
      <c r="M2771" s="204" t="s">
        <v>2276</v>
      </c>
      <c r="N2771" s="204" t="s">
        <v>2276</v>
      </c>
      <c r="O2771" s="204" t="s">
        <v>2276</v>
      </c>
      <c r="P2771" s="204" t="s">
        <v>2276</v>
      </c>
      <c r="Q2771" s="204" t="s">
        <v>2276</v>
      </c>
      <c r="R2771" s="204" t="s">
        <v>2276</v>
      </c>
      <c r="S2771" s="204" t="s">
        <v>2276</v>
      </c>
      <c r="T2771" s="204" t="s">
        <v>2276</v>
      </c>
      <c r="U2771" s="204" t="s">
        <v>2276</v>
      </c>
      <c r="V2771" s="204" t="s">
        <v>2276</v>
      </c>
      <c r="W2771" s="204" t="s">
        <v>2276</v>
      </c>
      <c r="X2771" s="204" t="s">
        <v>68</v>
      </c>
      <c r="Y2771" s="204" t="s">
        <v>86</v>
      </c>
      <c r="Z2771" s="204" t="s">
        <v>76</v>
      </c>
      <c r="AA2771" s="204"/>
      <c r="AB2771" s="204"/>
    </row>
    <row r="2772" spans="1:28" ht="34.5" customHeight="1">
      <c r="A2772" s="152" t="str">
        <f>'Reported burning'!A2772</f>
        <v>305v</v>
      </c>
      <c r="B2772" s="152" t="str">
        <f>'Reported burning'!B2772</f>
        <v>305v.8</v>
      </c>
      <c r="C2772" s="152" t="str">
        <f>'Reported burning'!C2772</f>
        <v>Human, deliberate</v>
      </c>
      <c r="D2772" s="152" t="str">
        <f>'Reported burning'!D2772</f>
        <v>Pyrome management</v>
      </c>
      <c r="E2772" s="152" t="str">
        <f>'Reported burning'!E2772</f>
        <v>Fire suppression agent</v>
      </c>
      <c r="F2772" s="152" t="str">
        <f>'Reported burning'!F2772</f>
        <v>ND</v>
      </c>
      <c r="G2772" s="152" t="str">
        <f>'Reported burning'!G2772</f>
        <v>ND</v>
      </c>
      <c r="H2772" s="152" t="str">
        <f>'Reported burning'!H2772</f>
        <v>Presence</v>
      </c>
      <c r="I2772" s="204"/>
      <c r="J2772" s="204" t="s">
        <v>2276</v>
      </c>
      <c r="K2772" s="204" t="s">
        <v>2276</v>
      </c>
      <c r="L2772" s="204" t="s">
        <v>2276</v>
      </c>
      <c r="M2772" s="204" t="s">
        <v>2276</v>
      </c>
      <c r="N2772" s="204" t="s">
        <v>2276</v>
      </c>
      <c r="O2772" s="204" t="s">
        <v>2276</v>
      </c>
      <c r="P2772" s="204" t="s">
        <v>2276</v>
      </c>
      <c r="Q2772" s="204" t="s">
        <v>2276</v>
      </c>
      <c r="R2772" s="204" t="s">
        <v>2276</v>
      </c>
      <c r="S2772" s="204" t="s">
        <v>2276</v>
      </c>
      <c r="T2772" s="204" t="s">
        <v>2276</v>
      </c>
      <c r="U2772" s="204" t="s">
        <v>2276</v>
      </c>
      <c r="V2772" s="204" t="s">
        <v>2276</v>
      </c>
      <c r="W2772" s="204" t="s">
        <v>2276</v>
      </c>
      <c r="X2772" s="204" t="s">
        <v>68</v>
      </c>
      <c r="Y2772" s="204" t="s">
        <v>86</v>
      </c>
      <c r="Z2772" s="204" t="s">
        <v>76</v>
      </c>
      <c r="AA2772" s="204"/>
      <c r="AB2772" s="204"/>
    </row>
    <row r="2773" spans="1:28" ht="34.5" customHeight="1">
      <c r="A2773" s="152" t="str">
        <f>'Reported burning'!A2773</f>
        <v>305w</v>
      </c>
      <c r="B2773" s="152" t="str">
        <f>'Reported burning'!B2773</f>
        <v>305w.8</v>
      </c>
      <c r="C2773" s="152" t="str">
        <f>'Reported burning'!C2773</f>
        <v>Human, deliberate</v>
      </c>
      <c r="D2773" s="152" t="str">
        <f>'Reported burning'!D2773</f>
        <v>Pyrome management</v>
      </c>
      <c r="E2773" s="152" t="str">
        <f>'Reported burning'!E2773</f>
        <v>Fire suppression agent</v>
      </c>
      <c r="F2773" s="152" t="str">
        <f>'Reported burning'!F2773</f>
        <v>ND</v>
      </c>
      <c r="G2773" s="152" t="str">
        <f>'Reported burning'!G2773</f>
        <v>ND</v>
      </c>
      <c r="H2773" s="152" t="str">
        <f>'Reported burning'!H2773</f>
        <v>Presence</v>
      </c>
      <c r="I2773" s="204"/>
      <c r="J2773" s="204" t="s">
        <v>2276</v>
      </c>
      <c r="K2773" s="204" t="s">
        <v>2276</v>
      </c>
      <c r="L2773" s="204" t="s">
        <v>2276</v>
      </c>
      <c r="M2773" s="204" t="s">
        <v>2276</v>
      </c>
      <c r="N2773" s="204" t="s">
        <v>2276</v>
      </c>
      <c r="O2773" s="204" t="s">
        <v>2276</v>
      </c>
      <c r="P2773" s="204" t="s">
        <v>2276</v>
      </c>
      <c r="Q2773" s="204" t="s">
        <v>2276</v>
      </c>
      <c r="R2773" s="204" t="s">
        <v>2276</v>
      </c>
      <c r="S2773" s="204" t="s">
        <v>2276</v>
      </c>
      <c r="T2773" s="204" t="s">
        <v>2276</v>
      </c>
      <c r="U2773" s="204" t="s">
        <v>2276</v>
      </c>
      <c r="V2773" s="204" t="s">
        <v>2276</v>
      </c>
      <c r="W2773" s="204" t="s">
        <v>2276</v>
      </c>
      <c r="X2773" s="204" t="s">
        <v>68</v>
      </c>
      <c r="Y2773" s="204" t="s">
        <v>86</v>
      </c>
      <c r="Z2773" s="204" t="s">
        <v>76</v>
      </c>
      <c r="AA2773" s="204"/>
      <c r="AB2773" s="204"/>
    </row>
    <row r="2774" spans="1:28" ht="34.5" customHeight="1">
      <c r="A2774" s="152" t="str">
        <f>'Reported burning'!A2774</f>
        <v>305x</v>
      </c>
      <c r="B2774" s="152" t="str">
        <f>'Reported burning'!B2774</f>
        <v>305x.8</v>
      </c>
      <c r="C2774" s="152" t="str">
        <f>'Reported burning'!C2774</f>
        <v>Human, deliberate</v>
      </c>
      <c r="D2774" s="152" t="str">
        <f>'Reported burning'!D2774</f>
        <v>Pyrome management</v>
      </c>
      <c r="E2774" s="152" t="str">
        <f>'Reported burning'!E2774</f>
        <v>Fire suppression agent</v>
      </c>
      <c r="F2774" s="152" t="str">
        <f>'Reported burning'!F2774</f>
        <v>ND</v>
      </c>
      <c r="G2774" s="152" t="str">
        <f>'Reported burning'!G2774</f>
        <v>ND</v>
      </c>
      <c r="H2774" s="152" t="str">
        <f>'Reported burning'!H2774</f>
        <v>Presence</v>
      </c>
      <c r="I2774" s="204"/>
      <c r="J2774" s="204" t="s">
        <v>2276</v>
      </c>
      <c r="K2774" s="204" t="s">
        <v>2276</v>
      </c>
      <c r="L2774" s="204" t="s">
        <v>2276</v>
      </c>
      <c r="M2774" s="204" t="s">
        <v>2276</v>
      </c>
      <c r="N2774" s="204" t="s">
        <v>2276</v>
      </c>
      <c r="O2774" s="204" t="s">
        <v>2276</v>
      </c>
      <c r="P2774" s="204" t="s">
        <v>2276</v>
      </c>
      <c r="Q2774" s="204" t="s">
        <v>2276</v>
      </c>
      <c r="R2774" s="204" t="s">
        <v>2276</v>
      </c>
      <c r="S2774" s="204" t="s">
        <v>2276</v>
      </c>
      <c r="T2774" s="204" t="s">
        <v>2276</v>
      </c>
      <c r="U2774" s="204" t="s">
        <v>2276</v>
      </c>
      <c r="V2774" s="204" t="s">
        <v>2276</v>
      </c>
      <c r="W2774" s="204" t="s">
        <v>2276</v>
      </c>
      <c r="X2774" s="204" t="s">
        <v>68</v>
      </c>
      <c r="Y2774" s="204" t="s">
        <v>86</v>
      </c>
      <c r="Z2774" s="204" t="s">
        <v>76</v>
      </c>
      <c r="AA2774" s="204"/>
      <c r="AB2774" s="204"/>
    </row>
    <row r="2775" spans="1:28" ht="34.5" customHeight="1">
      <c r="A2775" s="152" t="str">
        <f>'Reported burning'!A2775</f>
        <v>305y</v>
      </c>
      <c r="B2775" s="152" t="str">
        <f>'Reported burning'!B2775</f>
        <v>305y.8</v>
      </c>
      <c r="C2775" s="152" t="str">
        <f>'Reported burning'!C2775</f>
        <v>Human, deliberate</v>
      </c>
      <c r="D2775" s="152" t="str">
        <f>'Reported burning'!D2775</f>
        <v>Pyrome management</v>
      </c>
      <c r="E2775" s="152" t="str">
        <f>'Reported burning'!E2775</f>
        <v>Fire suppression agent</v>
      </c>
      <c r="F2775" s="152" t="str">
        <f>'Reported burning'!F2775</f>
        <v>ND</v>
      </c>
      <c r="G2775" s="152" t="str">
        <f>'Reported burning'!G2775</f>
        <v>ND</v>
      </c>
      <c r="H2775" s="152" t="str">
        <f>'Reported burning'!H2775</f>
        <v>Presence</v>
      </c>
      <c r="I2775" s="204"/>
      <c r="J2775" s="204" t="s">
        <v>2276</v>
      </c>
      <c r="K2775" s="204" t="s">
        <v>2276</v>
      </c>
      <c r="L2775" s="204" t="s">
        <v>2276</v>
      </c>
      <c r="M2775" s="204" t="s">
        <v>2276</v>
      </c>
      <c r="N2775" s="204" t="s">
        <v>2276</v>
      </c>
      <c r="O2775" s="204" t="s">
        <v>2276</v>
      </c>
      <c r="P2775" s="204" t="s">
        <v>2276</v>
      </c>
      <c r="Q2775" s="204" t="s">
        <v>2276</v>
      </c>
      <c r="R2775" s="204" t="s">
        <v>2276</v>
      </c>
      <c r="S2775" s="204" t="s">
        <v>2276</v>
      </c>
      <c r="T2775" s="204" t="s">
        <v>2276</v>
      </c>
      <c r="U2775" s="204" t="s">
        <v>2276</v>
      </c>
      <c r="V2775" s="204" t="s">
        <v>2276</v>
      </c>
      <c r="W2775" s="204" t="s">
        <v>2276</v>
      </c>
      <c r="X2775" s="204" t="s">
        <v>68</v>
      </c>
      <c r="Y2775" s="204" t="s">
        <v>86</v>
      </c>
      <c r="Z2775" s="204" t="s">
        <v>76</v>
      </c>
      <c r="AA2775" s="204"/>
      <c r="AB2775" s="204"/>
    </row>
    <row r="2776" spans="1:28" ht="34.5" customHeight="1">
      <c r="A2776" s="152" t="str">
        <f>'Reported burning'!A2776</f>
        <v>305z</v>
      </c>
      <c r="B2776" s="152" t="str">
        <f>'Reported burning'!B2776</f>
        <v>305z.8</v>
      </c>
      <c r="C2776" s="152" t="str">
        <f>'Reported burning'!C2776</f>
        <v>Human, deliberate</v>
      </c>
      <c r="D2776" s="152" t="str">
        <f>'Reported burning'!D2776</f>
        <v>Pyrome management</v>
      </c>
      <c r="E2776" s="152" t="str">
        <f>'Reported burning'!E2776</f>
        <v>Fire suppression agent</v>
      </c>
      <c r="F2776" s="152" t="str">
        <f>'Reported burning'!F2776</f>
        <v>ND</v>
      </c>
      <c r="G2776" s="152" t="str">
        <f>'Reported burning'!G2776</f>
        <v>ND</v>
      </c>
      <c r="H2776" s="152" t="str">
        <f>'Reported burning'!H2776</f>
        <v>Presence</v>
      </c>
      <c r="I2776" s="204"/>
      <c r="J2776" s="204" t="s">
        <v>2276</v>
      </c>
      <c r="K2776" s="204" t="s">
        <v>2276</v>
      </c>
      <c r="L2776" s="204" t="s">
        <v>2276</v>
      </c>
      <c r="M2776" s="204" t="s">
        <v>2276</v>
      </c>
      <c r="N2776" s="204" t="s">
        <v>2276</v>
      </c>
      <c r="O2776" s="204" t="s">
        <v>2276</v>
      </c>
      <c r="P2776" s="204" t="s">
        <v>2276</v>
      </c>
      <c r="Q2776" s="204" t="s">
        <v>2276</v>
      </c>
      <c r="R2776" s="204" t="s">
        <v>2276</v>
      </c>
      <c r="S2776" s="204" t="s">
        <v>2276</v>
      </c>
      <c r="T2776" s="204" t="s">
        <v>2276</v>
      </c>
      <c r="U2776" s="204" t="s">
        <v>2276</v>
      </c>
      <c r="V2776" s="204" t="s">
        <v>2276</v>
      </c>
      <c r="W2776" s="204" t="s">
        <v>2276</v>
      </c>
      <c r="X2776" s="204" t="s">
        <v>68</v>
      </c>
      <c r="Y2776" s="204" t="s">
        <v>86</v>
      </c>
      <c r="Z2776" s="204" t="s">
        <v>76</v>
      </c>
      <c r="AA2776" s="204"/>
      <c r="AB2776" s="204"/>
    </row>
    <row r="2777" spans="1:28" ht="34.5" customHeight="1">
      <c r="A2777" s="152" t="str">
        <f>'Reported burning'!A2777</f>
        <v>305aa</v>
      </c>
      <c r="B2777" s="152" t="str">
        <f>'Reported burning'!B2777</f>
        <v>305aa.8</v>
      </c>
      <c r="C2777" s="152" t="str">
        <f>'Reported burning'!C2777</f>
        <v>Human, deliberate</v>
      </c>
      <c r="D2777" s="152" t="str">
        <f>'Reported burning'!D2777</f>
        <v>Pyrome management</v>
      </c>
      <c r="E2777" s="152" t="str">
        <f>'Reported burning'!E2777</f>
        <v>Fire suppression agent</v>
      </c>
      <c r="F2777" s="152" t="str">
        <f>'Reported burning'!F2777</f>
        <v>ND</v>
      </c>
      <c r="G2777" s="152" t="str">
        <f>'Reported burning'!G2777</f>
        <v>ND</v>
      </c>
      <c r="H2777" s="152" t="str">
        <f>'Reported burning'!H2777</f>
        <v>Presence</v>
      </c>
      <c r="I2777" s="204"/>
      <c r="J2777" s="204" t="s">
        <v>2276</v>
      </c>
      <c r="K2777" s="204" t="s">
        <v>2276</v>
      </c>
      <c r="L2777" s="204" t="s">
        <v>2276</v>
      </c>
      <c r="M2777" s="204" t="s">
        <v>2276</v>
      </c>
      <c r="N2777" s="204" t="s">
        <v>2276</v>
      </c>
      <c r="O2777" s="204" t="s">
        <v>2276</v>
      </c>
      <c r="P2777" s="204" t="s">
        <v>2276</v>
      </c>
      <c r="Q2777" s="204" t="s">
        <v>2276</v>
      </c>
      <c r="R2777" s="204" t="s">
        <v>2276</v>
      </c>
      <c r="S2777" s="204" t="s">
        <v>2276</v>
      </c>
      <c r="T2777" s="204" t="s">
        <v>2276</v>
      </c>
      <c r="U2777" s="204" t="s">
        <v>2276</v>
      </c>
      <c r="V2777" s="204" t="s">
        <v>2276</v>
      </c>
      <c r="W2777" s="204" t="s">
        <v>2276</v>
      </c>
      <c r="X2777" s="204" t="s">
        <v>68</v>
      </c>
      <c r="Y2777" s="204" t="s">
        <v>86</v>
      </c>
      <c r="Z2777" s="204" t="s">
        <v>76</v>
      </c>
      <c r="AA2777" s="204"/>
      <c r="AB2777" s="204"/>
    </row>
    <row r="2778" spans="1:28" ht="34.5" customHeight="1">
      <c r="A2778" s="152" t="str">
        <f>'Reported burning'!A2778</f>
        <v>305ab</v>
      </c>
      <c r="B2778" s="152" t="str">
        <f>'Reported burning'!B2778</f>
        <v>305ab.8</v>
      </c>
      <c r="C2778" s="152" t="str">
        <f>'Reported burning'!C2778</f>
        <v>Human, deliberate</v>
      </c>
      <c r="D2778" s="152" t="str">
        <f>'Reported burning'!D2778</f>
        <v>Pyrome management</v>
      </c>
      <c r="E2778" s="152" t="str">
        <f>'Reported burning'!E2778</f>
        <v>Fire suppression agent</v>
      </c>
      <c r="F2778" s="152" t="str">
        <f>'Reported burning'!F2778</f>
        <v>ND</v>
      </c>
      <c r="G2778" s="152" t="str">
        <f>'Reported burning'!G2778</f>
        <v>ND</v>
      </c>
      <c r="H2778" s="152" t="str">
        <f>'Reported burning'!H2778</f>
        <v>Presence</v>
      </c>
      <c r="I2778" s="204"/>
      <c r="J2778" s="204" t="s">
        <v>2276</v>
      </c>
      <c r="K2778" s="204" t="s">
        <v>2276</v>
      </c>
      <c r="L2778" s="204" t="s">
        <v>2276</v>
      </c>
      <c r="M2778" s="204" t="s">
        <v>2276</v>
      </c>
      <c r="N2778" s="204" t="s">
        <v>2276</v>
      </c>
      <c r="O2778" s="204" t="s">
        <v>2276</v>
      </c>
      <c r="P2778" s="204" t="s">
        <v>2276</v>
      </c>
      <c r="Q2778" s="204" t="s">
        <v>2276</v>
      </c>
      <c r="R2778" s="204" t="s">
        <v>2276</v>
      </c>
      <c r="S2778" s="204" t="s">
        <v>2276</v>
      </c>
      <c r="T2778" s="204" t="s">
        <v>2276</v>
      </c>
      <c r="U2778" s="204" t="s">
        <v>2276</v>
      </c>
      <c r="V2778" s="204" t="s">
        <v>2276</v>
      </c>
      <c r="W2778" s="204" t="s">
        <v>2276</v>
      </c>
      <c r="X2778" s="204" t="s">
        <v>68</v>
      </c>
      <c r="Y2778" s="204" t="s">
        <v>86</v>
      </c>
      <c r="Z2778" s="204" t="s">
        <v>76</v>
      </c>
      <c r="AA2778" s="204"/>
      <c r="AB2778" s="204"/>
    </row>
    <row r="2779" spans="1:28" ht="34.5" customHeight="1">
      <c r="A2779" s="152" t="str">
        <f>'Reported burning'!A2779</f>
        <v>305ac</v>
      </c>
      <c r="B2779" s="152" t="str">
        <f>'Reported burning'!B2779</f>
        <v>305ac.8</v>
      </c>
      <c r="C2779" s="152" t="str">
        <f>'Reported burning'!C2779</f>
        <v>Human, deliberate</v>
      </c>
      <c r="D2779" s="152" t="str">
        <f>'Reported burning'!D2779</f>
        <v>Pyrome management</v>
      </c>
      <c r="E2779" s="152" t="str">
        <f>'Reported burning'!E2779</f>
        <v>Fire suppression agent</v>
      </c>
      <c r="F2779" s="152" t="str">
        <f>'Reported burning'!F2779</f>
        <v>ND</v>
      </c>
      <c r="G2779" s="152" t="str">
        <f>'Reported burning'!G2779</f>
        <v>ND</v>
      </c>
      <c r="H2779" s="152" t="str">
        <f>'Reported burning'!H2779</f>
        <v>Presence</v>
      </c>
      <c r="I2779" s="204"/>
      <c r="J2779" s="204" t="s">
        <v>2276</v>
      </c>
      <c r="K2779" s="204" t="s">
        <v>2276</v>
      </c>
      <c r="L2779" s="204" t="s">
        <v>2276</v>
      </c>
      <c r="M2779" s="204" t="s">
        <v>2276</v>
      </c>
      <c r="N2779" s="204" t="s">
        <v>2276</v>
      </c>
      <c r="O2779" s="204" t="s">
        <v>2276</v>
      </c>
      <c r="P2779" s="204" t="s">
        <v>2276</v>
      </c>
      <c r="Q2779" s="204" t="s">
        <v>2276</v>
      </c>
      <c r="R2779" s="204" t="s">
        <v>2276</v>
      </c>
      <c r="S2779" s="204" t="s">
        <v>2276</v>
      </c>
      <c r="T2779" s="204" t="s">
        <v>2276</v>
      </c>
      <c r="U2779" s="204" t="s">
        <v>2276</v>
      </c>
      <c r="V2779" s="204" t="s">
        <v>2276</v>
      </c>
      <c r="W2779" s="204" t="s">
        <v>2276</v>
      </c>
      <c r="X2779" s="204" t="s">
        <v>68</v>
      </c>
      <c r="Y2779" s="204" t="s">
        <v>86</v>
      </c>
      <c r="Z2779" s="204" t="s">
        <v>76</v>
      </c>
      <c r="AA2779" s="204"/>
      <c r="AB2779" s="204"/>
    </row>
    <row r="2780" spans="1:28" ht="34.5" customHeight="1">
      <c r="A2780" s="152" t="str">
        <f>'Reported burning'!A2780</f>
        <v>305ad</v>
      </c>
      <c r="B2780" s="152" t="str">
        <f>'Reported burning'!B2780</f>
        <v>305ad.8</v>
      </c>
      <c r="C2780" s="152" t="str">
        <f>'Reported burning'!C2780</f>
        <v>Human, deliberate</v>
      </c>
      <c r="D2780" s="152" t="str">
        <f>'Reported burning'!D2780</f>
        <v>Pyrome management</v>
      </c>
      <c r="E2780" s="152" t="str">
        <f>'Reported burning'!E2780</f>
        <v>Fire suppression agent</v>
      </c>
      <c r="F2780" s="152" t="str">
        <f>'Reported burning'!F2780</f>
        <v>ND</v>
      </c>
      <c r="G2780" s="152" t="str">
        <f>'Reported burning'!G2780</f>
        <v>ND</v>
      </c>
      <c r="H2780" s="152" t="str">
        <f>'Reported burning'!H2780</f>
        <v>Presence</v>
      </c>
      <c r="I2780" s="204"/>
      <c r="J2780" s="204" t="s">
        <v>2276</v>
      </c>
      <c r="K2780" s="204" t="s">
        <v>2276</v>
      </c>
      <c r="L2780" s="204" t="s">
        <v>2276</v>
      </c>
      <c r="M2780" s="204" t="s">
        <v>2276</v>
      </c>
      <c r="N2780" s="204" t="s">
        <v>2276</v>
      </c>
      <c r="O2780" s="204" t="s">
        <v>2276</v>
      </c>
      <c r="P2780" s="204" t="s">
        <v>2276</v>
      </c>
      <c r="Q2780" s="204" t="s">
        <v>2276</v>
      </c>
      <c r="R2780" s="204" t="s">
        <v>2276</v>
      </c>
      <c r="S2780" s="204" t="s">
        <v>2276</v>
      </c>
      <c r="T2780" s="204" t="s">
        <v>2276</v>
      </c>
      <c r="U2780" s="204" t="s">
        <v>2276</v>
      </c>
      <c r="V2780" s="204" t="s">
        <v>2276</v>
      </c>
      <c r="W2780" s="204" t="s">
        <v>2276</v>
      </c>
      <c r="X2780" s="204" t="s">
        <v>68</v>
      </c>
      <c r="Y2780" s="204" t="s">
        <v>86</v>
      </c>
      <c r="Z2780" s="204" t="s">
        <v>76</v>
      </c>
      <c r="AA2780" s="204"/>
      <c r="AB2780" s="204"/>
    </row>
    <row r="2781" spans="1:28" ht="34.5" customHeight="1">
      <c r="A2781" s="152" t="str">
        <f>'Reported burning'!A2781</f>
        <v>305ae</v>
      </c>
      <c r="B2781" s="152" t="str">
        <f>'Reported burning'!B2781</f>
        <v>305ae.8</v>
      </c>
      <c r="C2781" s="152" t="str">
        <f>'Reported burning'!C2781</f>
        <v>Human, deliberate</v>
      </c>
      <c r="D2781" s="152" t="str">
        <f>'Reported burning'!D2781</f>
        <v>Pyrome management</v>
      </c>
      <c r="E2781" s="152" t="str">
        <f>'Reported burning'!E2781</f>
        <v>Fire suppression agent</v>
      </c>
      <c r="F2781" s="152" t="str">
        <f>'Reported burning'!F2781</f>
        <v>ND</v>
      </c>
      <c r="G2781" s="152" t="str">
        <f>'Reported burning'!G2781</f>
        <v>ND</v>
      </c>
      <c r="H2781" s="152" t="str">
        <f>'Reported burning'!H2781</f>
        <v>Presence</v>
      </c>
      <c r="I2781" s="204"/>
      <c r="J2781" s="204" t="s">
        <v>2276</v>
      </c>
      <c r="K2781" s="204" t="s">
        <v>2276</v>
      </c>
      <c r="L2781" s="204" t="s">
        <v>2276</v>
      </c>
      <c r="M2781" s="204" t="s">
        <v>2276</v>
      </c>
      <c r="N2781" s="204" t="s">
        <v>2276</v>
      </c>
      <c r="O2781" s="204" t="s">
        <v>2276</v>
      </c>
      <c r="P2781" s="204" t="s">
        <v>2276</v>
      </c>
      <c r="Q2781" s="204" t="s">
        <v>2276</v>
      </c>
      <c r="R2781" s="204" t="s">
        <v>2276</v>
      </c>
      <c r="S2781" s="204" t="s">
        <v>2276</v>
      </c>
      <c r="T2781" s="204" t="s">
        <v>2276</v>
      </c>
      <c r="U2781" s="204" t="s">
        <v>2276</v>
      </c>
      <c r="V2781" s="204" t="s">
        <v>2276</v>
      </c>
      <c r="W2781" s="204" t="s">
        <v>2276</v>
      </c>
      <c r="X2781" s="204" t="s">
        <v>68</v>
      </c>
      <c r="Y2781" s="204" t="s">
        <v>86</v>
      </c>
      <c r="Z2781" s="204" t="s">
        <v>76</v>
      </c>
      <c r="AA2781" s="204"/>
      <c r="AB2781" s="204"/>
    </row>
    <row r="2782" spans="1:28" ht="34.5" customHeight="1">
      <c r="A2782" s="152" t="str">
        <f>'Reported burning'!A2782</f>
        <v>305n</v>
      </c>
      <c r="B2782" s="152" t="str">
        <f>'Reported burning'!B2782</f>
        <v>305n.9</v>
      </c>
      <c r="C2782" s="152" t="str">
        <f>'Reported burning'!C2782</f>
        <v>Human, deliberate</v>
      </c>
      <c r="D2782" s="152" t="str">
        <f>'Reported burning'!D2782</f>
        <v>Pyrome management</v>
      </c>
      <c r="E2782" s="152" t="str">
        <f>'Reported burning'!E2782</f>
        <v>Fire suppression agent</v>
      </c>
      <c r="F2782" s="152" t="str">
        <f>'Reported burning'!F2782</f>
        <v>ND</v>
      </c>
      <c r="G2782" s="152" t="str">
        <f>'Reported burning'!G2782</f>
        <v>ND</v>
      </c>
      <c r="H2782" s="152" t="str">
        <f>'Reported burning'!H2782</f>
        <v>Presence</v>
      </c>
      <c r="I2782" s="204"/>
      <c r="J2782" s="204" t="s">
        <v>2276</v>
      </c>
      <c r="K2782" s="204" t="s">
        <v>2276</v>
      </c>
      <c r="L2782" s="204" t="s">
        <v>2276</v>
      </c>
      <c r="M2782" s="204" t="s">
        <v>2276</v>
      </c>
      <c r="N2782" s="204" t="s">
        <v>2276</v>
      </c>
      <c r="O2782" s="204" t="s">
        <v>2276</v>
      </c>
      <c r="P2782" s="204" t="s">
        <v>2276</v>
      </c>
      <c r="Q2782" s="204" t="s">
        <v>2276</v>
      </c>
      <c r="R2782" s="204" t="s">
        <v>2276</v>
      </c>
      <c r="S2782" s="204" t="s">
        <v>2276</v>
      </c>
      <c r="T2782" s="204" t="s">
        <v>2276</v>
      </c>
      <c r="U2782" s="204" t="s">
        <v>2276</v>
      </c>
      <c r="V2782" s="204" t="s">
        <v>2276</v>
      </c>
      <c r="W2782" s="204" t="s">
        <v>2276</v>
      </c>
      <c r="X2782" s="204" t="s">
        <v>68</v>
      </c>
      <c r="Y2782" s="204" t="s">
        <v>86</v>
      </c>
      <c r="Z2782" s="204" t="s">
        <v>76</v>
      </c>
      <c r="AA2782" s="204"/>
      <c r="AB2782" s="204"/>
    </row>
    <row r="2783" spans="1:28" ht="34.5" customHeight="1">
      <c r="A2783" s="152" t="str">
        <f>'Reported burning'!A2783</f>
        <v>305o</v>
      </c>
      <c r="B2783" s="152" t="str">
        <f>'Reported burning'!B2783</f>
        <v>305o.9</v>
      </c>
      <c r="C2783" s="152" t="str">
        <f>'Reported burning'!C2783</f>
        <v>Human, deliberate</v>
      </c>
      <c r="D2783" s="152" t="str">
        <f>'Reported burning'!D2783</f>
        <v>Pyrome management</v>
      </c>
      <c r="E2783" s="152" t="str">
        <f>'Reported burning'!E2783</f>
        <v>Fire suppression agent</v>
      </c>
      <c r="F2783" s="152" t="str">
        <f>'Reported burning'!F2783</f>
        <v>ND</v>
      </c>
      <c r="G2783" s="152" t="str">
        <f>'Reported burning'!G2783</f>
        <v>ND</v>
      </c>
      <c r="H2783" s="152" t="str">
        <f>'Reported burning'!H2783</f>
        <v>Presence</v>
      </c>
      <c r="I2783" s="204"/>
      <c r="J2783" s="204" t="s">
        <v>2276</v>
      </c>
      <c r="K2783" s="204" t="s">
        <v>2276</v>
      </c>
      <c r="L2783" s="204" t="s">
        <v>2276</v>
      </c>
      <c r="M2783" s="204" t="s">
        <v>2276</v>
      </c>
      <c r="N2783" s="204" t="s">
        <v>2276</v>
      </c>
      <c r="O2783" s="204" t="s">
        <v>2276</v>
      </c>
      <c r="P2783" s="204" t="s">
        <v>2276</v>
      </c>
      <c r="Q2783" s="204" t="s">
        <v>2276</v>
      </c>
      <c r="R2783" s="204" t="s">
        <v>2276</v>
      </c>
      <c r="S2783" s="204" t="s">
        <v>2276</v>
      </c>
      <c r="T2783" s="204" t="s">
        <v>2276</v>
      </c>
      <c r="U2783" s="204" t="s">
        <v>2276</v>
      </c>
      <c r="V2783" s="204" t="s">
        <v>2276</v>
      </c>
      <c r="W2783" s="204" t="s">
        <v>2276</v>
      </c>
      <c r="X2783" s="204" t="s">
        <v>68</v>
      </c>
      <c r="Y2783" s="204" t="s">
        <v>86</v>
      </c>
      <c r="Z2783" s="204" t="s">
        <v>76</v>
      </c>
      <c r="AA2783" s="204"/>
      <c r="AB2783" s="204"/>
    </row>
    <row r="2784" spans="1:28" ht="34.5" customHeight="1">
      <c r="A2784" s="152" t="str">
        <f>'Reported burning'!A2784</f>
        <v>305p</v>
      </c>
      <c r="B2784" s="152" t="str">
        <f>'Reported burning'!B2784</f>
        <v>305p.9</v>
      </c>
      <c r="C2784" s="152" t="str">
        <f>'Reported burning'!C2784</f>
        <v>Human, deliberate</v>
      </c>
      <c r="D2784" s="152" t="str">
        <f>'Reported burning'!D2784</f>
        <v>Pyrome management</v>
      </c>
      <c r="E2784" s="152" t="str">
        <f>'Reported burning'!E2784</f>
        <v>Fire suppression agent</v>
      </c>
      <c r="F2784" s="152" t="str">
        <f>'Reported burning'!F2784</f>
        <v>ND</v>
      </c>
      <c r="G2784" s="152" t="str">
        <f>'Reported burning'!G2784</f>
        <v>ND</v>
      </c>
      <c r="H2784" s="152" t="str">
        <f>'Reported burning'!H2784</f>
        <v>Presence</v>
      </c>
      <c r="I2784" s="204"/>
      <c r="J2784" s="204" t="s">
        <v>2276</v>
      </c>
      <c r="K2784" s="204" t="s">
        <v>2276</v>
      </c>
      <c r="L2784" s="204" t="s">
        <v>2276</v>
      </c>
      <c r="M2784" s="204" t="s">
        <v>2276</v>
      </c>
      <c r="N2784" s="204" t="s">
        <v>2276</v>
      </c>
      <c r="O2784" s="204" t="s">
        <v>2276</v>
      </c>
      <c r="P2784" s="204" t="s">
        <v>2276</v>
      </c>
      <c r="Q2784" s="204" t="s">
        <v>2276</v>
      </c>
      <c r="R2784" s="204" t="s">
        <v>2276</v>
      </c>
      <c r="S2784" s="204" t="s">
        <v>2276</v>
      </c>
      <c r="T2784" s="204" t="s">
        <v>2276</v>
      </c>
      <c r="U2784" s="204" t="s">
        <v>2276</v>
      </c>
      <c r="V2784" s="204" t="s">
        <v>2276</v>
      </c>
      <c r="W2784" s="204" t="s">
        <v>2276</v>
      </c>
      <c r="X2784" s="204" t="s">
        <v>68</v>
      </c>
      <c r="Y2784" s="204" t="s">
        <v>86</v>
      </c>
      <c r="Z2784" s="204" t="s">
        <v>76</v>
      </c>
      <c r="AA2784" s="204"/>
      <c r="AB2784" s="204"/>
    </row>
    <row r="2785" spans="1:28" ht="34.5" customHeight="1">
      <c r="A2785" s="152" t="str">
        <f>'Reported burning'!A2785</f>
        <v>305q</v>
      </c>
      <c r="B2785" s="152" t="str">
        <f>'Reported burning'!B2785</f>
        <v>305q.9</v>
      </c>
      <c r="C2785" s="152" t="str">
        <f>'Reported burning'!C2785</f>
        <v>Human, deliberate</v>
      </c>
      <c r="D2785" s="152" t="str">
        <f>'Reported burning'!D2785</f>
        <v>Pyrome management</v>
      </c>
      <c r="E2785" s="152" t="str">
        <f>'Reported burning'!E2785</f>
        <v>Fire suppression agent</v>
      </c>
      <c r="F2785" s="152" t="str">
        <f>'Reported burning'!F2785</f>
        <v>ND</v>
      </c>
      <c r="G2785" s="152" t="str">
        <f>'Reported burning'!G2785</f>
        <v>ND</v>
      </c>
      <c r="H2785" s="152" t="str">
        <f>'Reported burning'!H2785</f>
        <v>Presence</v>
      </c>
      <c r="I2785" s="204"/>
      <c r="J2785" s="204" t="s">
        <v>2276</v>
      </c>
      <c r="K2785" s="204" t="s">
        <v>2276</v>
      </c>
      <c r="L2785" s="204" t="s">
        <v>2276</v>
      </c>
      <c r="M2785" s="204" t="s">
        <v>2276</v>
      </c>
      <c r="N2785" s="204" t="s">
        <v>2276</v>
      </c>
      <c r="O2785" s="204" t="s">
        <v>2276</v>
      </c>
      <c r="P2785" s="204" t="s">
        <v>2276</v>
      </c>
      <c r="Q2785" s="204" t="s">
        <v>2276</v>
      </c>
      <c r="R2785" s="204" t="s">
        <v>2276</v>
      </c>
      <c r="S2785" s="204" t="s">
        <v>2276</v>
      </c>
      <c r="T2785" s="204" t="s">
        <v>2276</v>
      </c>
      <c r="U2785" s="204" t="s">
        <v>2276</v>
      </c>
      <c r="V2785" s="204" t="s">
        <v>2276</v>
      </c>
      <c r="W2785" s="204" t="s">
        <v>2276</v>
      </c>
      <c r="X2785" s="204" t="s">
        <v>68</v>
      </c>
      <c r="Y2785" s="204" t="s">
        <v>86</v>
      </c>
      <c r="Z2785" s="204" t="s">
        <v>76</v>
      </c>
      <c r="AA2785" s="204"/>
      <c r="AB2785" s="204"/>
    </row>
    <row r="2786" spans="1:28" ht="34.5" customHeight="1">
      <c r="A2786" s="152" t="str">
        <f>'Reported burning'!A2786</f>
        <v>305r</v>
      </c>
      <c r="B2786" s="152" t="str">
        <f>'Reported burning'!B2786</f>
        <v>305r.9</v>
      </c>
      <c r="C2786" s="152" t="str">
        <f>'Reported burning'!C2786</f>
        <v>Human, deliberate</v>
      </c>
      <c r="D2786" s="152" t="str">
        <f>'Reported burning'!D2786</f>
        <v>Pyrome management</v>
      </c>
      <c r="E2786" s="152" t="str">
        <f>'Reported burning'!E2786</f>
        <v>Fire suppression agent</v>
      </c>
      <c r="F2786" s="152" t="str">
        <f>'Reported burning'!F2786</f>
        <v>ND</v>
      </c>
      <c r="G2786" s="152" t="str">
        <f>'Reported burning'!G2786</f>
        <v>ND</v>
      </c>
      <c r="H2786" s="152" t="str">
        <f>'Reported burning'!H2786</f>
        <v>Absence</v>
      </c>
      <c r="I2786" s="204"/>
      <c r="J2786" s="21" t="s">
        <v>2364</v>
      </c>
      <c r="K2786" s="21" t="s">
        <v>2364</v>
      </c>
      <c r="L2786" s="21" t="s">
        <v>2364</v>
      </c>
      <c r="M2786" s="21" t="s">
        <v>2364</v>
      </c>
      <c r="N2786" s="21" t="s">
        <v>2364</v>
      </c>
      <c r="O2786" s="21" t="s">
        <v>2364</v>
      </c>
      <c r="P2786" s="21" t="s">
        <v>2364</v>
      </c>
      <c r="Q2786" s="21" t="s">
        <v>2364</v>
      </c>
      <c r="R2786" s="21" t="s">
        <v>2364</v>
      </c>
      <c r="S2786" s="21" t="s">
        <v>2364</v>
      </c>
      <c r="T2786" s="21" t="s">
        <v>2364</v>
      </c>
      <c r="U2786" s="21" t="s">
        <v>2364</v>
      </c>
      <c r="V2786" s="21" t="s">
        <v>2364</v>
      </c>
      <c r="W2786" s="204" t="s">
        <v>2276</v>
      </c>
      <c r="X2786" s="204" t="s">
        <v>68</v>
      </c>
      <c r="Y2786" s="204" t="s">
        <v>86</v>
      </c>
      <c r="Z2786" s="204" t="s">
        <v>76</v>
      </c>
      <c r="AA2786" s="204"/>
      <c r="AB2786" s="204"/>
    </row>
    <row r="2787" spans="1:28" ht="34.5" customHeight="1">
      <c r="A2787" s="152" t="str">
        <f>'Reported burning'!A2787</f>
        <v>305s</v>
      </c>
      <c r="B2787" s="152" t="str">
        <f>'Reported burning'!B2787</f>
        <v>305s.9</v>
      </c>
      <c r="C2787" s="152" t="str">
        <f>'Reported burning'!C2787</f>
        <v>Human, deliberate</v>
      </c>
      <c r="D2787" s="152" t="str">
        <f>'Reported burning'!D2787</f>
        <v>Pyrome management</v>
      </c>
      <c r="E2787" s="152" t="str">
        <f>'Reported burning'!E2787</f>
        <v>Fire suppression agent</v>
      </c>
      <c r="F2787" s="152" t="str">
        <f>'Reported burning'!F2787</f>
        <v>ND</v>
      </c>
      <c r="G2787" s="152" t="str">
        <f>'Reported burning'!G2787</f>
        <v>ND</v>
      </c>
      <c r="H2787" s="152" t="str">
        <f>'Reported burning'!H2787</f>
        <v>Absence</v>
      </c>
      <c r="I2787" s="204"/>
      <c r="J2787" s="21" t="s">
        <v>2364</v>
      </c>
      <c r="K2787" s="21" t="s">
        <v>2364</v>
      </c>
      <c r="L2787" s="21" t="s">
        <v>2364</v>
      </c>
      <c r="M2787" s="21" t="s">
        <v>2364</v>
      </c>
      <c r="N2787" s="21" t="s">
        <v>2364</v>
      </c>
      <c r="O2787" s="21" t="s">
        <v>2364</v>
      </c>
      <c r="P2787" s="21" t="s">
        <v>2364</v>
      </c>
      <c r="Q2787" s="21" t="s">
        <v>2364</v>
      </c>
      <c r="R2787" s="21" t="s">
        <v>2364</v>
      </c>
      <c r="S2787" s="21" t="s">
        <v>2364</v>
      </c>
      <c r="T2787" s="21" t="s">
        <v>2364</v>
      </c>
      <c r="U2787" s="21" t="s">
        <v>2364</v>
      </c>
      <c r="V2787" s="21" t="s">
        <v>2364</v>
      </c>
      <c r="W2787" s="204" t="s">
        <v>2276</v>
      </c>
      <c r="X2787" s="204" t="s">
        <v>68</v>
      </c>
      <c r="Y2787" s="204" t="s">
        <v>86</v>
      </c>
      <c r="Z2787" s="204" t="s">
        <v>76</v>
      </c>
      <c r="AA2787" s="204"/>
      <c r="AB2787" s="204"/>
    </row>
    <row r="2788" spans="1:28" ht="34.5" customHeight="1">
      <c r="A2788" s="152" t="str">
        <f>'Reported burning'!A2788</f>
        <v>305t</v>
      </c>
      <c r="B2788" s="152" t="str">
        <f>'Reported burning'!B2788</f>
        <v>305t.9</v>
      </c>
      <c r="C2788" s="152" t="str">
        <f>'Reported burning'!C2788</f>
        <v>Human, deliberate</v>
      </c>
      <c r="D2788" s="152" t="str">
        <f>'Reported burning'!D2788</f>
        <v>Pyrome management</v>
      </c>
      <c r="E2788" s="152" t="str">
        <f>'Reported burning'!E2788</f>
        <v>Fire suppression agent</v>
      </c>
      <c r="F2788" s="152" t="str">
        <f>'Reported burning'!F2788</f>
        <v>ND</v>
      </c>
      <c r="G2788" s="152" t="str">
        <f>'Reported burning'!G2788</f>
        <v>ND</v>
      </c>
      <c r="H2788" s="152" t="str">
        <f>'Reported burning'!H2788</f>
        <v>Absence</v>
      </c>
      <c r="I2788" s="204"/>
      <c r="J2788" s="21" t="s">
        <v>2364</v>
      </c>
      <c r="K2788" s="21" t="s">
        <v>2364</v>
      </c>
      <c r="L2788" s="21" t="s">
        <v>2364</v>
      </c>
      <c r="M2788" s="21" t="s">
        <v>2364</v>
      </c>
      <c r="N2788" s="21" t="s">
        <v>2364</v>
      </c>
      <c r="O2788" s="21" t="s">
        <v>2364</v>
      </c>
      <c r="P2788" s="21" t="s">
        <v>2364</v>
      </c>
      <c r="Q2788" s="21" t="s">
        <v>2364</v>
      </c>
      <c r="R2788" s="21" t="s">
        <v>2364</v>
      </c>
      <c r="S2788" s="21" t="s">
        <v>2364</v>
      </c>
      <c r="T2788" s="21" t="s">
        <v>2364</v>
      </c>
      <c r="U2788" s="21" t="s">
        <v>2364</v>
      </c>
      <c r="V2788" s="21" t="s">
        <v>2364</v>
      </c>
      <c r="W2788" s="204" t="s">
        <v>2276</v>
      </c>
      <c r="X2788" s="204" t="s">
        <v>68</v>
      </c>
      <c r="Y2788" s="204" t="s">
        <v>86</v>
      </c>
      <c r="Z2788" s="204" t="s">
        <v>76</v>
      </c>
      <c r="AA2788" s="204"/>
      <c r="AB2788" s="204"/>
    </row>
    <row r="2789" spans="1:28" ht="34.5" customHeight="1">
      <c r="A2789" s="152" t="str">
        <f>'Reported burning'!A2789</f>
        <v>305u</v>
      </c>
      <c r="B2789" s="152" t="str">
        <f>'Reported burning'!B2789</f>
        <v>305u.9</v>
      </c>
      <c r="C2789" s="152" t="str">
        <f>'Reported burning'!C2789</f>
        <v>Human, deliberate</v>
      </c>
      <c r="D2789" s="152" t="str">
        <f>'Reported burning'!D2789</f>
        <v>Pyrome management</v>
      </c>
      <c r="E2789" s="152" t="str">
        <f>'Reported burning'!E2789</f>
        <v>Fire suppression agent</v>
      </c>
      <c r="F2789" s="152" t="str">
        <f>'Reported burning'!F2789</f>
        <v>ND</v>
      </c>
      <c r="G2789" s="152" t="str">
        <f>'Reported burning'!G2789</f>
        <v>ND</v>
      </c>
      <c r="H2789" s="152" t="str">
        <f>'Reported burning'!H2789</f>
        <v>Presence</v>
      </c>
      <c r="I2789" s="204"/>
      <c r="J2789" s="204" t="s">
        <v>2276</v>
      </c>
      <c r="K2789" s="204" t="s">
        <v>2276</v>
      </c>
      <c r="L2789" s="204" t="s">
        <v>2276</v>
      </c>
      <c r="M2789" s="204" t="s">
        <v>2276</v>
      </c>
      <c r="N2789" s="204" t="s">
        <v>2276</v>
      </c>
      <c r="O2789" s="204" t="s">
        <v>2276</v>
      </c>
      <c r="P2789" s="204" t="s">
        <v>2276</v>
      </c>
      <c r="Q2789" s="204" t="s">
        <v>2276</v>
      </c>
      <c r="R2789" s="204" t="s">
        <v>2276</v>
      </c>
      <c r="S2789" s="204" t="s">
        <v>2276</v>
      </c>
      <c r="T2789" s="204" t="s">
        <v>2276</v>
      </c>
      <c r="U2789" s="204" t="s">
        <v>2276</v>
      </c>
      <c r="V2789" s="204" t="s">
        <v>2276</v>
      </c>
      <c r="W2789" s="204" t="s">
        <v>2276</v>
      </c>
      <c r="X2789" s="204" t="s">
        <v>68</v>
      </c>
      <c r="Y2789" s="204" t="s">
        <v>86</v>
      </c>
      <c r="Z2789" s="204" t="s">
        <v>76</v>
      </c>
      <c r="AA2789" s="204"/>
      <c r="AB2789" s="204"/>
    </row>
    <row r="2790" spans="1:28" ht="34.5" customHeight="1">
      <c r="A2790" s="152" t="str">
        <f>'Reported burning'!A2790</f>
        <v>305v</v>
      </c>
      <c r="B2790" s="152" t="str">
        <f>'Reported burning'!B2790</f>
        <v>305v.9</v>
      </c>
      <c r="C2790" s="152" t="str">
        <f>'Reported burning'!C2790</f>
        <v>Human, deliberate</v>
      </c>
      <c r="D2790" s="152" t="str">
        <f>'Reported burning'!D2790</f>
        <v>Pyrome management</v>
      </c>
      <c r="E2790" s="152" t="str">
        <f>'Reported burning'!E2790</f>
        <v>Fire suppression agent</v>
      </c>
      <c r="F2790" s="152" t="str">
        <f>'Reported burning'!F2790</f>
        <v>ND</v>
      </c>
      <c r="G2790" s="152" t="str">
        <f>'Reported burning'!G2790</f>
        <v>ND</v>
      </c>
      <c r="H2790" s="152" t="str">
        <f>'Reported burning'!H2790</f>
        <v>Presence</v>
      </c>
      <c r="I2790" s="204"/>
      <c r="J2790" s="204" t="s">
        <v>2276</v>
      </c>
      <c r="K2790" s="204" t="s">
        <v>2276</v>
      </c>
      <c r="L2790" s="204" t="s">
        <v>2276</v>
      </c>
      <c r="M2790" s="204" t="s">
        <v>2276</v>
      </c>
      <c r="N2790" s="204" t="s">
        <v>2276</v>
      </c>
      <c r="O2790" s="204" t="s">
        <v>2276</v>
      </c>
      <c r="P2790" s="204" t="s">
        <v>2276</v>
      </c>
      <c r="Q2790" s="204" t="s">
        <v>2276</v>
      </c>
      <c r="R2790" s="204" t="s">
        <v>2276</v>
      </c>
      <c r="S2790" s="204" t="s">
        <v>2276</v>
      </c>
      <c r="T2790" s="204" t="s">
        <v>2276</v>
      </c>
      <c r="U2790" s="204" t="s">
        <v>2276</v>
      </c>
      <c r="V2790" s="204" t="s">
        <v>2276</v>
      </c>
      <c r="W2790" s="204" t="s">
        <v>2276</v>
      </c>
      <c r="X2790" s="204" t="s">
        <v>68</v>
      </c>
      <c r="Y2790" s="204" t="s">
        <v>86</v>
      </c>
      <c r="Z2790" s="204" t="s">
        <v>76</v>
      </c>
      <c r="AA2790" s="204"/>
      <c r="AB2790" s="204"/>
    </row>
    <row r="2791" spans="1:28" ht="34.5" customHeight="1">
      <c r="A2791" s="152" t="str">
        <f>'Reported burning'!A2791</f>
        <v>305w</v>
      </c>
      <c r="B2791" s="152" t="str">
        <f>'Reported burning'!B2791</f>
        <v>305w.9</v>
      </c>
      <c r="C2791" s="152" t="str">
        <f>'Reported burning'!C2791</f>
        <v>Human, deliberate</v>
      </c>
      <c r="D2791" s="152" t="str">
        <f>'Reported burning'!D2791</f>
        <v>Pyrome management</v>
      </c>
      <c r="E2791" s="152" t="str">
        <f>'Reported burning'!E2791</f>
        <v>Fire suppression agent</v>
      </c>
      <c r="F2791" s="152" t="str">
        <f>'Reported burning'!F2791</f>
        <v>ND</v>
      </c>
      <c r="G2791" s="152" t="str">
        <f>'Reported burning'!G2791</f>
        <v>ND</v>
      </c>
      <c r="H2791" s="152" t="str">
        <f>'Reported burning'!H2791</f>
        <v>Presence</v>
      </c>
      <c r="I2791" s="204"/>
      <c r="J2791" s="204" t="s">
        <v>2276</v>
      </c>
      <c r="K2791" s="204" t="s">
        <v>2276</v>
      </c>
      <c r="L2791" s="204" t="s">
        <v>2276</v>
      </c>
      <c r="M2791" s="204" t="s">
        <v>2276</v>
      </c>
      <c r="N2791" s="204" t="s">
        <v>2276</v>
      </c>
      <c r="O2791" s="204" t="s">
        <v>2276</v>
      </c>
      <c r="P2791" s="204" t="s">
        <v>2276</v>
      </c>
      <c r="Q2791" s="204" t="s">
        <v>2276</v>
      </c>
      <c r="R2791" s="204" t="s">
        <v>2276</v>
      </c>
      <c r="S2791" s="204" t="s">
        <v>2276</v>
      </c>
      <c r="T2791" s="204" t="s">
        <v>2276</v>
      </c>
      <c r="U2791" s="204" t="s">
        <v>2276</v>
      </c>
      <c r="V2791" s="204" t="s">
        <v>2276</v>
      </c>
      <c r="W2791" s="204" t="s">
        <v>2276</v>
      </c>
      <c r="X2791" s="204" t="s">
        <v>68</v>
      </c>
      <c r="Y2791" s="204" t="s">
        <v>86</v>
      </c>
      <c r="Z2791" s="204" t="s">
        <v>76</v>
      </c>
      <c r="AA2791" s="204"/>
      <c r="AB2791" s="204"/>
    </row>
    <row r="2792" spans="1:28" ht="34.5" customHeight="1">
      <c r="A2792" s="152" t="str">
        <f>'Reported burning'!A2792</f>
        <v>305x</v>
      </c>
      <c r="B2792" s="152" t="str">
        <f>'Reported burning'!B2792</f>
        <v>305x.9</v>
      </c>
      <c r="C2792" s="152" t="str">
        <f>'Reported burning'!C2792</f>
        <v>Human, deliberate</v>
      </c>
      <c r="D2792" s="152" t="str">
        <f>'Reported burning'!D2792</f>
        <v>Pyrome management</v>
      </c>
      <c r="E2792" s="152" t="str">
        <f>'Reported burning'!E2792</f>
        <v>Fire suppression agent</v>
      </c>
      <c r="F2792" s="152" t="str">
        <f>'Reported burning'!F2792</f>
        <v>ND</v>
      </c>
      <c r="G2792" s="152" t="str">
        <f>'Reported burning'!G2792</f>
        <v>ND</v>
      </c>
      <c r="H2792" s="152" t="str">
        <f>'Reported burning'!H2792</f>
        <v>Presence</v>
      </c>
      <c r="I2792" s="204"/>
      <c r="J2792" s="204" t="s">
        <v>2276</v>
      </c>
      <c r="K2792" s="204" t="s">
        <v>2276</v>
      </c>
      <c r="L2792" s="204" t="s">
        <v>2276</v>
      </c>
      <c r="M2792" s="204" t="s">
        <v>2276</v>
      </c>
      <c r="N2792" s="204" t="s">
        <v>2276</v>
      </c>
      <c r="O2792" s="204" t="s">
        <v>2276</v>
      </c>
      <c r="P2792" s="204" t="s">
        <v>2276</v>
      </c>
      <c r="Q2792" s="204" t="s">
        <v>2276</v>
      </c>
      <c r="R2792" s="204" t="s">
        <v>2276</v>
      </c>
      <c r="S2792" s="204" t="s">
        <v>2276</v>
      </c>
      <c r="T2792" s="204" t="s">
        <v>2276</v>
      </c>
      <c r="U2792" s="204" t="s">
        <v>2276</v>
      </c>
      <c r="V2792" s="204" t="s">
        <v>2276</v>
      </c>
      <c r="W2792" s="204" t="s">
        <v>2276</v>
      </c>
      <c r="X2792" s="204" t="s">
        <v>68</v>
      </c>
      <c r="Y2792" s="204" t="s">
        <v>86</v>
      </c>
      <c r="Z2792" s="204" t="s">
        <v>76</v>
      </c>
      <c r="AA2792" s="204"/>
      <c r="AB2792" s="204"/>
    </row>
    <row r="2793" spans="1:28" ht="34.5" customHeight="1">
      <c r="A2793" s="152" t="str">
        <f>'Reported burning'!A2793</f>
        <v>305y</v>
      </c>
      <c r="B2793" s="152" t="str">
        <f>'Reported burning'!B2793</f>
        <v>305y.9</v>
      </c>
      <c r="C2793" s="152" t="str">
        <f>'Reported burning'!C2793</f>
        <v>Human, deliberate</v>
      </c>
      <c r="D2793" s="152" t="str">
        <f>'Reported burning'!D2793</f>
        <v>Pyrome management</v>
      </c>
      <c r="E2793" s="152" t="str">
        <f>'Reported burning'!E2793</f>
        <v>Fire suppression agent</v>
      </c>
      <c r="F2793" s="152" t="str">
        <f>'Reported burning'!F2793</f>
        <v>ND</v>
      </c>
      <c r="G2793" s="152" t="str">
        <f>'Reported burning'!G2793</f>
        <v>ND</v>
      </c>
      <c r="H2793" s="152" t="str">
        <f>'Reported burning'!H2793</f>
        <v>Presence</v>
      </c>
      <c r="I2793" s="204"/>
      <c r="J2793" s="204" t="s">
        <v>2276</v>
      </c>
      <c r="K2793" s="204" t="s">
        <v>2276</v>
      </c>
      <c r="L2793" s="204" t="s">
        <v>2276</v>
      </c>
      <c r="M2793" s="204" t="s">
        <v>2276</v>
      </c>
      <c r="N2793" s="204" t="s">
        <v>2276</v>
      </c>
      <c r="O2793" s="204" t="s">
        <v>2276</v>
      </c>
      <c r="P2793" s="204" t="s">
        <v>2276</v>
      </c>
      <c r="Q2793" s="204" t="s">
        <v>2276</v>
      </c>
      <c r="R2793" s="204" t="s">
        <v>2276</v>
      </c>
      <c r="S2793" s="204" t="s">
        <v>2276</v>
      </c>
      <c r="T2793" s="204" t="s">
        <v>2276</v>
      </c>
      <c r="U2793" s="204" t="s">
        <v>2276</v>
      </c>
      <c r="V2793" s="204" t="s">
        <v>2276</v>
      </c>
      <c r="W2793" s="204" t="s">
        <v>2276</v>
      </c>
      <c r="X2793" s="204" t="s">
        <v>68</v>
      </c>
      <c r="Y2793" s="204" t="s">
        <v>86</v>
      </c>
      <c r="Z2793" s="204" t="s">
        <v>76</v>
      </c>
      <c r="AA2793" s="204"/>
      <c r="AB2793" s="204"/>
    </row>
    <row r="2794" spans="1:28" ht="34.5" customHeight="1">
      <c r="A2794" s="152" t="str">
        <f>'Reported burning'!A2794</f>
        <v>305z</v>
      </c>
      <c r="B2794" s="152" t="str">
        <f>'Reported burning'!B2794</f>
        <v>305z.9</v>
      </c>
      <c r="C2794" s="152" t="str">
        <f>'Reported burning'!C2794</f>
        <v>Human, deliberate</v>
      </c>
      <c r="D2794" s="152" t="str">
        <f>'Reported burning'!D2794</f>
        <v>Pyrome management</v>
      </c>
      <c r="E2794" s="152" t="str">
        <f>'Reported burning'!E2794</f>
        <v>Fire suppression agent</v>
      </c>
      <c r="F2794" s="152" t="str">
        <f>'Reported burning'!F2794</f>
        <v>ND</v>
      </c>
      <c r="G2794" s="152" t="str">
        <f>'Reported burning'!G2794</f>
        <v>ND</v>
      </c>
      <c r="H2794" s="152" t="str">
        <f>'Reported burning'!H2794</f>
        <v>Presence</v>
      </c>
      <c r="I2794" s="204"/>
      <c r="J2794" s="204" t="s">
        <v>2276</v>
      </c>
      <c r="K2794" s="204" t="s">
        <v>2276</v>
      </c>
      <c r="L2794" s="204" t="s">
        <v>2276</v>
      </c>
      <c r="M2794" s="204" t="s">
        <v>2276</v>
      </c>
      <c r="N2794" s="204" t="s">
        <v>2276</v>
      </c>
      <c r="O2794" s="204" t="s">
        <v>2276</v>
      </c>
      <c r="P2794" s="204" t="s">
        <v>2276</v>
      </c>
      <c r="Q2794" s="204" t="s">
        <v>2276</v>
      </c>
      <c r="R2794" s="204" t="s">
        <v>2276</v>
      </c>
      <c r="S2794" s="204" t="s">
        <v>2276</v>
      </c>
      <c r="T2794" s="204" t="s">
        <v>2276</v>
      </c>
      <c r="U2794" s="204" t="s">
        <v>2276</v>
      </c>
      <c r="V2794" s="204" t="s">
        <v>2276</v>
      </c>
      <c r="W2794" s="204" t="s">
        <v>2276</v>
      </c>
      <c r="X2794" s="204" t="s">
        <v>68</v>
      </c>
      <c r="Y2794" s="204" t="s">
        <v>86</v>
      </c>
      <c r="Z2794" s="204" t="s">
        <v>76</v>
      </c>
      <c r="AA2794" s="204"/>
      <c r="AB2794" s="204"/>
    </row>
    <row r="2795" spans="1:28" ht="34.5" customHeight="1">
      <c r="A2795" s="152" t="str">
        <f>'Reported burning'!A2795</f>
        <v>305aa</v>
      </c>
      <c r="B2795" s="152" t="str">
        <f>'Reported burning'!B2795</f>
        <v>305aa.9</v>
      </c>
      <c r="C2795" s="152" t="str">
        <f>'Reported burning'!C2795</f>
        <v>Human, deliberate</v>
      </c>
      <c r="D2795" s="152" t="str">
        <f>'Reported burning'!D2795</f>
        <v>Pyrome management</v>
      </c>
      <c r="E2795" s="152" t="str">
        <f>'Reported burning'!E2795</f>
        <v>Fire suppression agent</v>
      </c>
      <c r="F2795" s="152" t="str">
        <f>'Reported burning'!F2795</f>
        <v>ND</v>
      </c>
      <c r="G2795" s="152" t="str">
        <f>'Reported burning'!G2795</f>
        <v>ND</v>
      </c>
      <c r="H2795" s="152" t="str">
        <f>'Reported burning'!H2795</f>
        <v>Presence</v>
      </c>
      <c r="I2795" s="204"/>
      <c r="J2795" s="204" t="s">
        <v>2276</v>
      </c>
      <c r="K2795" s="204" t="s">
        <v>2276</v>
      </c>
      <c r="L2795" s="204" t="s">
        <v>2276</v>
      </c>
      <c r="M2795" s="204" t="s">
        <v>2276</v>
      </c>
      <c r="N2795" s="204" t="s">
        <v>2276</v>
      </c>
      <c r="O2795" s="204" t="s">
        <v>2276</v>
      </c>
      <c r="P2795" s="204" t="s">
        <v>2276</v>
      </c>
      <c r="Q2795" s="204" t="s">
        <v>2276</v>
      </c>
      <c r="R2795" s="204" t="s">
        <v>2276</v>
      </c>
      <c r="S2795" s="204" t="s">
        <v>2276</v>
      </c>
      <c r="T2795" s="204" t="s">
        <v>2276</v>
      </c>
      <c r="U2795" s="204" t="s">
        <v>2276</v>
      </c>
      <c r="V2795" s="204" t="s">
        <v>2276</v>
      </c>
      <c r="W2795" s="204" t="s">
        <v>2276</v>
      </c>
      <c r="X2795" s="204" t="s">
        <v>68</v>
      </c>
      <c r="Y2795" s="204" t="s">
        <v>86</v>
      </c>
      <c r="Z2795" s="204" t="s">
        <v>76</v>
      </c>
      <c r="AA2795" s="204"/>
      <c r="AB2795" s="204"/>
    </row>
    <row r="2796" spans="1:28" ht="34.5" customHeight="1">
      <c r="A2796" s="152" t="str">
        <f>'Reported burning'!A2796</f>
        <v>305ab</v>
      </c>
      <c r="B2796" s="152" t="str">
        <f>'Reported burning'!B2796</f>
        <v>305ab.9</v>
      </c>
      <c r="C2796" s="152" t="str">
        <f>'Reported burning'!C2796</f>
        <v>Human, deliberate</v>
      </c>
      <c r="D2796" s="152" t="str">
        <f>'Reported burning'!D2796</f>
        <v>Pyrome management</v>
      </c>
      <c r="E2796" s="152" t="str">
        <f>'Reported burning'!E2796</f>
        <v>Fire suppression agent</v>
      </c>
      <c r="F2796" s="152" t="str">
        <f>'Reported burning'!F2796</f>
        <v>ND</v>
      </c>
      <c r="G2796" s="152" t="str">
        <f>'Reported burning'!G2796</f>
        <v>ND</v>
      </c>
      <c r="H2796" s="152" t="str">
        <f>'Reported burning'!H2796</f>
        <v>Presence</v>
      </c>
      <c r="I2796" s="204"/>
      <c r="J2796" s="204" t="s">
        <v>2276</v>
      </c>
      <c r="K2796" s="204" t="s">
        <v>2276</v>
      </c>
      <c r="L2796" s="204" t="s">
        <v>2276</v>
      </c>
      <c r="M2796" s="204" t="s">
        <v>2276</v>
      </c>
      <c r="N2796" s="204" t="s">
        <v>2276</v>
      </c>
      <c r="O2796" s="204" t="s">
        <v>2276</v>
      </c>
      <c r="P2796" s="204" t="s">
        <v>2276</v>
      </c>
      <c r="Q2796" s="204" t="s">
        <v>2276</v>
      </c>
      <c r="R2796" s="204" t="s">
        <v>2276</v>
      </c>
      <c r="S2796" s="204" t="s">
        <v>2276</v>
      </c>
      <c r="T2796" s="204" t="s">
        <v>2276</v>
      </c>
      <c r="U2796" s="204" t="s">
        <v>2276</v>
      </c>
      <c r="V2796" s="204" t="s">
        <v>2276</v>
      </c>
      <c r="W2796" s="204" t="s">
        <v>2276</v>
      </c>
      <c r="X2796" s="204" t="s">
        <v>68</v>
      </c>
      <c r="Y2796" s="204" t="s">
        <v>86</v>
      </c>
      <c r="Z2796" s="204" t="s">
        <v>76</v>
      </c>
      <c r="AA2796" s="204"/>
      <c r="AB2796" s="204"/>
    </row>
    <row r="2797" spans="1:28" ht="34.5" customHeight="1">
      <c r="A2797" s="152" t="str">
        <f>'Reported burning'!A2797</f>
        <v>305ac</v>
      </c>
      <c r="B2797" s="152" t="str">
        <f>'Reported burning'!B2797</f>
        <v>305ac.9</v>
      </c>
      <c r="C2797" s="152" t="str">
        <f>'Reported burning'!C2797</f>
        <v>Human, deliberate</v>
      </c>
      <c r="D2797" s="152" t="str">
        <f>'Reported burning'!D2797</f>
        <v>Pyrome management</v>
      </c>
      <c r="E2797" s="152" t="str">
        <f>'Reported burning'!E2797</f>
        <v>Fire suppression agent</v>
      </c>
      <c r="F2797" s="152" t="str">
        <f>'Reported burning'!F2797</f>
        <v>ND</v>
      </c>
      <c r="G2797" s="152" t="str">
        <f>'Reported burning'!G2797</f>
        <v>ND</v>
      </c>
      <c r="H2797" s="152" t="str">
        <f>'Reported burning'!H2797</f>
        <v>Presence</v>
      </c>
      <c r="I2797" s="204"/>
      <c r="J2797" s="204" t="s">
        <v>2276</v>
      </c>
      <c r="K2797" s="204" t="s">
        <v>2276</v>
      </c>
      <c r="L2797" s="204" t="s">
        <v>2276</v>
      </c>
      <c r="M2797" s="204" t="s">
        <v>2276</v>
      </c>
      <c r="N2797" s="204" t="s">
        <v>2276</v>
      </c>
      <c r="O2797" s="204" t="s">
        <v>2276</v>
      </c>
      <c r="P2797" s="204" t="s">
        <v>2276</v>
      </c>
      <c r="Q2797" s="204" t="s">
        <v>2276</v>
      </c>
      <c r="R2797" s="204" t="s">
        <v>2276</v>
      </c>
      <c r="S2797" s="204" t="s">
        <v>2276</v>
      </c>
      <c r="T2797" s="204" t="s">
        <v>2276</v>
      </c>
      <c r="U2797" s="204" t="s">
        <v>2276</v>
      </c>
      <c r="V2797" s="204" t="s">
        <v>2276</v>
      </c>
      <c r="W2797" s="204" t="s">
        <v>2276</v>
      </c>
      <c r="X2797" s="204" t="s">
        <v>68</v>
      </c>
      <c r="Y2797" s="204" t="s">
        <v>86</v>
      </c>
      <c r="Z2797" s="204" t="s">
        <v>76</v>
      </c>
      <c r="AA2797" s="204"/>
      <c r="AB2797" s="204"/>
    </row>
    <row r="2798" spans="1:28" ht="34.5" customHeight="1">
      <c r="A2798" s="152" t="str">
        <f>'Reported burning'!A2798</f>
        <v>305ad</v>
      </c>
      <c r="B2798" s="152" t="str">
        <f>'Reported burning'!B2798</f>
        <v>305ad.9</v>
      </c>
      <c r="C2798" s="152" t="str">
        <f>'Reported burning'!C2798</f>
        <v>Human, deliberate</v>
      </c>
      <c r="D2798" s="152" t="str">
        <f>'Reported burning'!D2798</f>
        <v>Pyrome management</v>
      </c>
      <c r="E2798" s="152" t="str">
        <f>'Reported burning'!E2798</f>
        <v>Fire suppression agent</v>
      </c>
      <c r="F2798" s="152" t="str">
        <f>'Reported burning'!F2798</f>
        <v>ND</v>
      </c>
      <c r="G2798" s="152" t="str">
        <f>'Reported burning'!G2798</f>
        <v>ND</v>
      </c>
      <c r="H2798" s="152" t="str">
        <f>'Reported burning'!H2798</f>
        <v>Presence</v>
      </c>
      <c r="I2798" s="204"/>
      <c r="J2798" s="204" t="s">
        <v>2276</v>
      </c>
      <c r="K2798" s="204" t="s">
        <v>2276</v>
      </c>
      <c r="L2798" s="204" t="s">
        <v>2276</v>
      </c>
      <c r="M2798" s="204" t="s">
        <v>2276</v>
      </c>
      <c r="N2798" s="204" t="s">
        <v>2276</v>
      </c>
      <c r="O2798" s="204" t="s">
        <v>2276</v>
      </c>
      <c r="P2798" s="204" t="s">
        <v>2276</v>
      </c>
      <c r="Q2798" s="204" t="s">
        <v>2276</v>
      </c>
      <c r="R2798" s="204" t="s">
        <v>2276</v>
      </c>
      <c r="S2798" s="204" t="s">
        <v>2276</v>
      </c>
      <c r="T2798" s="204" t="s">
        <v>2276</v>
      </c>
      <c r="U2798" s="204" t="s">
        <v>2276</v>
      </c>
      <c r="V2798" s="204" t="s">
        <v>2276</v>
      </c>
      <c r="W2798" s="204" t="s">
        <v>2276</v>
      </c>
      <c r="X2798" s="204" t="s">
        <v>68</v>
      </c>
      <c r="Y2798" s="204" t="s">
        <v>86</v>
      </c>
      <c r="Z2798" s="204" t="s">
        <v>76</v>
      </c>
      <c r="AA2798" s="204"/>
      <c r="AB2798" s="204"/>
    </row>
    <row r="2799" spans="1:28" ht="34.5" customHeight="1">
      <c r="A2799" s="152" t="str">
        <f>'Reported burning'!A2799</f>
        <v>305ae</v>
      </c>
      <c r="B2799" s="152" t="str">
        <f>'Reported burning'!B2799</f>
        <v>305ae.9</v>
      </c>
      <c r="C2799" s="152" t="str">
        <f>'Reported burning'!C2799</f>
        <v>Human, deliberate</v>
      </c>
      <c r="D2799" s="152" t="str">
        <f>'Reported burning'!D2799</f>
        <v>Pyrome management</v>
      </c>
      <c r="E2799" s="152" t="str">
        <f>'Reported burning'!E2799</f>
        <v>Fire suppression agent</v>
      </c>
      <c r="F2799" s="152" t="str">
        <f>'Reported burning'!F2799</f>
        <v>ND</v>
      </c>
      <c r="G2799" s="152" t="str">
        <f>'Reported burning'!G2799</f>
        <v>ND</v>
      </c>
      <c r="H2799" s="152" t="str">
        <f>'Reported burning'!H2799</f>
        <v>Presence</v>
      </c>
      <c r="I2799" s="204"/>
      <c r="J2799" s="204" t="s">
        <v>2276</v>
      </c>
      <c r="K2799" s="204" t="s">
        <v>2276</v>
      </c>
      <c r="L2799" s="204" t="s">
        <v>2276</v>
      </c>
      <c r="M2799" s="204" t="s">
        <v>2276</v>
      </c>
      <c r="N2799" s="204" t="s">
        <v>2276</v>
      </c>
      <c r="O2799" s="204" t="s">
        <v>2276</v>
      </c>
      <c r="P2799" s="204" t="s">
        <v>2276</v>
      </c>
      <c r="Q2799" s="204" t="s">
        <v>2276</v>
      </c>
      <c r="R2799" s="204" t="s">
        <v>2276</v>
      </c>
      <c r="S2799" s="204" t="s">
        <v>2276</v>
      </c>
      <c r="T2799" s="204" t="s">
        <v>2276</v>
      </c>
      <c r="U2799" s="204" t="s">
        <v>2276</v>
      </c>
      <c r="V2799" s="204" t="s">
        <v>2276</v>
      </c>
      <c r="W2799" s="204" t="s">
        <v>2276</v>
      </c>
      <c r="X2799" s="204" t="s">
        <v>68</v>
      </c>
      <c r="Y2799" s="204" t="s">
        <v>86</v>
      </c>
      <c r="Z2799" s="204" t="s">
        <v>76</v>
      </c>
      <c r="AA2799" s="204"/>
      <c r="AB2799" s="204"/>
    </row>
    <row r="2800" spans="1:28" ht="34.5" customHeight="1">
      <c r="A2800" s="152" t="str">
        <f>'Reported burning'!A2800</f>
        <v>305n</v>
      </c>
      <c r="B2800" s="152" t="str">
        <f>'Reported burning'!B2800</f>
        <v>305n.10</v>
      </c>
      <c r="C2800" s="152" t="str">
        <f>'Reported burning'!C2800</f>
        <v>Human, deliberate</v>
      </c>
      <c r="D2800" s="152" t="str">
        <f>'Reported burning'!D2800</f>
        <v>Pyrome management</v>
      </c>
      <c r="E2800" s="152" t="str">
        <f>'Reported burning'!E2800</f>
        <v>Fire suppression agent</v>
      </c>
      <c r="F2800" s="152" t="str">
        <f>'Reported burning'!F2800</f>
        <v>ND</v>
      </c>
      <c r="G2800" s="152" t="str">
        <f>'Reported burning'!G2800</f>
        <v>ND</v>
      </c>
      <c r="H2800" s="152" t="str">
        <f>'Reported burning'!H2800</f>
        <v>Presence</v>
      </c>
      <c r="I2800" s="204"/>
      <c r="J2800" s="204" t="s">
        <v>2276</v>
      </c>
      <c r="K2800" s="204" t="s">
        <v>2276</v>
      </c>
      <c r="L2800" s="204" t="s">
        <v>2276</v>
      </c>
      <c r="M2800" s="204" t="s">
        <v>2276</v>
      </c>
      <c r="N2800" s="204" t="s">
        <v>2276</v>
      </c>
      <c r="O2800" s="204" t="s">
        <v>2276</v>
      </c>
      <c r="P2800" s="204" t="s">
        <v>2276</v>
      </c>
      <c r="Q2800" s="204" t="s">
        <v>2276</v>
      </c>
      <c r="R2800" s="204" t="s">
        <v>2276</v>
      </c>
      <c r="S2800" s="204" t="s">
        <v>2276</v>
      </c>
      <c r="T2800" s="204" t="s">
        <v>2276</v>
      </c>
      <c r="U2800" s="204" t="s">
        <v>2276</v>
      </c>
      <c r="V2800" s="204" t="s">
        <v>2276</v>
      </c>
      <c r="W2800" s="204" t="s">
        <v>2276</v>
      </c>
      <c r="X2800" s="204" t="s">
        <v>68</v>
      </c>
      <c r="Y2800" s="204" t="s">
        <v>86</v>
      </c>
      <c r="Z2800" s="204" t="s">
        <v>76</v>
      </c>
      <c r="AA2800" s="204"/>
      <c r="AB2800" s="204"/>
    </row>
    <row r="2801" spans="1:28" ht="34.5" customHeight="1">
      <c r="A2801" s="152" t="str">
        <f>'Reported burning'!A2801</f>
        <v>305o</v>
      </c>
      <c r="B2801" s="152" t="str">
        <f>'Reported burning'!B2801</f>
        <v>305o.10</v>
      </c>
      <c r="C2801" s="152" t="str">
        <f>'Reported burning'!C2801</f>
        <v>Human, deliberate</v>
      </c>
      <c r="D2801" s="152" t="str">
        <f>'Reported burning'!D2801</f>
        <v>Pyrome management</v>
      </c>
      <c r="E2801" s="152" t="str">
        <f>'Reported burning'!E2801</f>
        <v>Fire suppression agent</v>
      </c>
      <c r="F2801" s="152" t="str">
        <f>'Reported burning'!F2801</f>
        <v>ND</v>
      </c>
      <c r="G2801" s="152" t="str">
        <f>'Reported burning'!G2801</f>
        <v>ND</v>
      </c>
      <c r="H2801" s="152" t="str">
        <f>'Reported burning'!H2801</f>
        <v>Presence</v>
      </c>
      <c r="I2801" s="204"/>
      <c r="J2801" s="204" t="s">
        <v>2276</v>
      </c>
      <c r="K2801" s="204" t="s">
        <v>2276</v>
      </c>
      <c r="L2801" s="204" t="s">
        <v>2276</v>
      </c>
      <c r="M2801" s="204" t="s">
        <v>2276</v>
      </c>
      <c r="N2801" s="204" t="s">
        <v>2276</v>
      </c>
      <c r="O2801" s="204" t="s">
        <v>2276</v>
      </c>
      <c r="P2801" s="204" t="s">
        <v>2276</v>
      </c>
      <c r="Q2801" s="204" t="s">
        <v>2276</v>
      </c>
      <c r="R2801" s="204" t="s">
        <v>2276</v>
      </c>
      <c r="S2801" s="204" t="s">
        <v>2276</v>
      </c>
      <c r="T2801" s="204" t="s">
        <v>2276</v>
      </c>
      <c r="U2801" s="204" t="s">
        <v>2276</v>
      </c>
      <c r="V2801" s="204" t="s">
        <v>2276</v>
      </c>
      <c r="W2801" s="204" t="s">
        <v>2276</v>
      </c>
      <c r="X2801" s="204" t="s">
        <v>68</v>
      </c>
      <c r="Y2801" s="204" t="s">
        <v>86</v>
      </c>
      <c r="Z2801" s="204" t="s">
        <v>76</v>
      </c>
      <c r="AA2801" s="204"/>
      <c r="AB2801" s="204"/>
    </row>
    <row r="2802" spans="1:28" ht="34.5" customHeight="1">
      <c r="A2802" s="152" t="str">
        <f>'Reported burning'!A2802</f>
        <v>305p</v>
      </c>
      <c r="B2802" s="152" t="str">
        <f>'Reported burning'!B2802</f>
        <v>305p.10</v>
      </c>
      <c r="C2802" s="152" t="str">
        <f>'Reported burning'!C2802</f>
        <v>Human, deliberate</v>
      </c>
      <c r="D2802" s="152" t="str">
        <f>'Reported burning'!D2802</f>
        <v>Pyrome management</v>
      </c>
      <c r="E2802" s="152" t="str">
        <f>'Reported burning'!E2802</f>
        <v>Fire suppression agent</v>
      </c>
      <c r="F2802" s="152" t="str">
        <f>'Reported burning'!F2802</f>
        <v>ND</v>
      </c>
      <c r="G2802" s="152" t="str">
        <f>'Reported burning'!G2802</f>
        <v>ND</v>
      </c>
      <c r="H2802" s="152" t="str">
        <f>'Reported burning'!H2802</f>
        <v>Presence</v>
      </c>
      <c r="I2802" s="204"/>
      <c r="J2802" s="204" t="s">
        <v>2276</v>
      </c>
      <c r="K2802" s="204" t="s">
        <v>2276</v>
      </c>
      <c r="L2802" s="204" t="s">
        <v>2276</v>
      </c>
      <c r="M2802" s="204" t="s">
        <v>2276</v>
      </c>
      <c r="N2802" s="204" t="s">
        <v>2276</v>
      </c>
      <c r="O2802" s="204" t="s">
        <v>2276</v>
      </c>
      <c r="P2802" s="204" t="s">
        <v>2276</v>
      </c>
      <c r="Q2802" s="204" t="s">
        <v>2276</v>
      </c>
      <c r="R2802" s="204" t="s">
        <v>2276</v>
      </c>
      <c r="S2802" s="204" t="s">
        <v>2276</v>
      </c>
      <c r="T2802" s="204" t="s">
        <v>2276</v>
      </c>
      <c r="U2802" s="204" t="s">
        <v>2276</v>
      </c>
      <c r="V2802" s="204" t="s">
        <v>2276</v>
      </c>
      <c r="W2802" s="204" t="s">
        <v>2276</v>
      </c>
      <c r="X2802" s="204" t="s">
        <v>68</v>
      </c>
      <c r="Y2802" s="204" t="s">
        <v>86</v>
      </c>
      <c r="Z2802" s="204" t="s">
        <v>76</v>
      </c>
      <c r="AA2802" s="204"/>
      <c r="AB2802" s="204"/>
    </row>
    <row r="2803" spans="1:28" ht="34.5" customHeight="1">
      <c r="A2803" s="152" t="str">
        <f>'Reported burning'!A2803</f>
        <v>305q</v>
      </c>
      <c r="B2803" s="152" t="str">
        <f>'Reported burning'!B2803</f>
        <v>305q.10</v>
      </c>
      <c r="C2803" s="152" t="str">
        <f>'Reported burning'!C2803</f>
        <v>Human, deliberate</v>
      </c>
      <c r="D2803" s="152" t="str">
        <f>'Reported burning'!D2803</f>
        <v>Pyrome management</v>
      </c>
      <c r="E2803" s="152" t="str">
        <f>'Reported burning'!E2803</f>
        <v>Fire suppression agent</v>
      </c>
      <c r="F2803" s="152" t="str">
        <f>'Reported burning'!F2803</f>
        <v>ND</v>
      </c>
      <c r="G2803" s="152" t="str">
        <f>'Reported burning'!G2803</f>
        <v>ND</v>
      </c>
      <c r="H2803" s="152" t="str">
        <f>'Reported burning'!H2803</f>
        <v>Presence</v>
      </c>
      <c r="I2803" s="204"/>
      <c r="J2803" s="204" t="s">
        <v>2276</v>
      </c>
      <c r="K2803" s="204" t="s">
        <v>2276</v>
      </c>
      <c r="L2803" s="204" t="s">
        <v>2276</v>
      </c>
      <c r="M2803" s="204" t="s">
        <v>2276</v>
      </c>
      <c r="N2803" s="204" t="s">
        <v>2276</v>
      </c>
      <c r="O2803" s="204" t="s">
        <v>2276</v>
      </c>
      <c r="P2803" s="204" t="s">
        <v>2276</v>
      </c>
      <c r="Q2803" s="204" t="s">
        <v>2276</v>
      </c>
      <c r="R2803" s="204" t="s">
        <v>2276</v>
      </c>
      <c r="S2803" s="204" t="s">
        <v>2276</v>
      </c>
      <c r="T2803" s="204" t="s">
        <v>2276</v>
      </c>
      <c r="U2803" s="204" t="s">
        <v>2276</v>
      </c>
      <c r="V2803" s="204" t="s">
        <v>2276</v>
      </c>
      <c r="W2803" s="204" t="s">
        <v>2276</v>
      </c>
      <c r="X2803" s="204" t="s">
        <v>68</v>
      </c>
      <c r="Y2803" s="204" t="s">
        <v>86</v>
      </c>
      <c r="Z2803" s="204" t="s">
        <v>76</v>
      </c>
      <c r="AA2803" s="204"/>
      <c r="AB2803" s="204"/>
    </row>
    <row r="2804" spans="1:28" ht="34.5" customHeight="1">
      <c r="A2804" s="152" t="str">
        <f>'Reported burning'!A2804</f>
        <v>305r</v>
      </c>
      <c r="B2804" s="152" t="str">
        <f>'Reported burning'!B2804</f>
        <v>305r.10</v>
      </c>
      <c r="C2804" s="152" t="str">
        <f>'Reported burning'!C2804</f>
        <v>Human, deliberate</v>
      </c>
      <c r="D2804" s="152" t="str">
        <f>'Reported burning'!D2804</f>
        <v>Pyrome management</v>
      </c>
      <c r="E2804" s="152" t="str">
        <f>'Reported burning'!E2804</f>
        <v>Fire suppression agent</v>
      </c>
      <c r="F2804" s="152" t="str">
        <f>'Reported burning'!F2804</f>
        <v>ND</v>
      </c>
      <c r="G2804" s="152" t="str">
        <f>'Reported burning'!G2804</f>
        <v>ND</v>
      </c>
      <c r="H2804" s="152" t="str">
        <f>'Reported burning'!H2804</f>
        <v>Absence</v>
      </c>
      <c r="I2804" s="204"/>
      <c r="J2804" s="21" t="s">
        <v>2364</v>
      </c>
      <c r="K2804" s="21" t="s">
        <v>2364</v>
      </c>
      <c r="L2804" s="21" t="s">
        <v>2364</v>
      </c>
      <c r="M2804" s="21" t="s">
        <v>2364</v>
      </c>
      <c r="N2804" s="21" t="s">
        <v>2364</v>
      </c>
      <c r="O2804" s="21" t="s">
        <v>2364</v>
      </c>
      <c r="P2804" s="21" t="s">
        <v>2364</v>
      </c>
      <c r="Q2804" s="21" t="s">
        <v>2364</v>
      </c>
      <c r="R2804" s="21" t="s">
        <v>2364</v>
      </c>
      <c r="S2804" s="21" t="s">
        <v>2364</v>
      </c>
      <c r="T2804" s="21" t="s">
        <v>2364</v>
      </c>
      <c r="U2804" s="21" t="s">
        <v>2364</v>
      </c>
      <c r="V2804" s="21" t="s">
        <v>2364</v>
      </c>
      <c r="W2804" s="204" t="s">
        <v>2276</v>
      </c>
      <c r="X2804" s="204" t="s">
        <v>68</v>
      </c>
      <c r="Y2804" s="204" t="s">
        <v>86</v>
      </c>
      <c r="Z2804" s="204" t="s">
        <v>76</v>
      </c>
      <c r="AA2804" s="204"/>
      <c r="AB2804" s="204"/>
    </row>
    <row r="2805" spans="1:28" ht="34.5" customHeight="1">
      <c r="A2805" s="152" t="str">
        <f>'Reported burning'!A2805</f>
        <v>305s</v>
      </c>
      <c r="B2805" s="152" t="str">
        <f>'Reported burning'!B2805</f>
        <v>305s.10</v>
      </c>
      <c r="C2805" s="152" t="str">
        <f>'Reported burning'!C2805</f>
        <v>Human, deliberate</v>
      </c>
      <c r="D2805" s="152" t="str">
        <f>'Reported burning'!D2805</f>
        <v>Pyrome management</v>
      </c>
      <c r="E2805" s="152" t="str">
        <f>'Reported burning'!E2805</f>
        <v>Fire suppression agent</v>
      </c>
      <c r="F2805" s="152" t="str">
        <f>'Reported burning'!F2805</f>
        <v>ND</v>
      </c>
      <c r="G2805" s="152" t="str">
        <f>'Reported burning'!G2805</f>
        <v>ND</v>
      </c>
      <c r="H2805" s="152" t="str">
        <f>'Reported burning'!H2805</f>
        <v>Absence</v>
      </c>
      <c r="I2805" s="204"/>
      <c r="J2805" s="21" t="s">
        <v>2364</v>
      </c>
      <c r="K2805" s="21" t="s">
        <v>2364</v>
      </c>
      <c r="L2805" s="21" t="s">
        <v>2364</v>
      </c>
      <c r="M2805" s="21" t="s">
        <v>2364</v>
      </c>
      <c r="N2805" s="21" t="s">
        <v>2364</v>
      </c>
      <c r="O2805" s="21" t="s">
        <v>2364</v>
      </c>
      <c r="P2805" s="21" t="s">
        <v>2364</v>
      </c>
      <c r="Q2805" s="21" t="s">
        <v>2364</v>
      </c>
      <c r="R2805" s="21" t="s">
        <v>2364</v>
      </c>
      <c r="S2805" s="21" t="s">
        <v>2364</v>
      </c>
      <c r="T2805" s="21" t="s">
        <v>2364</v>
      </c>
      <c r="U2805" s="21" t="s">
        <v>2364</v>
      </c>
      <c r="V2805" s="21" t="s">
        <v>2364</v>
      </c>
      <c r="W2805" s="204" t="s">
        <v>2276</v>
      </c>
      <c r="X2805" s="204" t="s">
        <v>68</v>
      </c>
      <c r="Y2805" s="204" t="s">
        <v>86</v>
      </c>
      <c r="Z2805" s="204" t="s">
        <v>76</v>
      </c>
      <c r="AA2805" s="204"/>
      <c r="AB2805" s="204"/>
    </row>
    <row r="2806" spans="1:28" ht="34.5" customHeight="1">
      <c r="A2806" s="152" t="str">
        <f>'Reported burning'!A2806</f>
        <v>305t</v>
      </c>
      <c r="B2806" s="152" t="str">
        <f>'Reported burning'!B2806</f>
        <v>305t.10</v>
      </c>
      <c r="C2806" s="152" t="str">
        <f>'Reported burning'!C2806</f>
        <v>Human, deliberate</v>
      </c>
      <c r="D2806" s="152" t="str">
        <f>'Reported burning'!D2806</f>
        <v>Pyrome management</v>
      </c>
      <c r="E2806" s="152" t="str">
        <f>'Reported burning'!E2806</f>
        <v>Fire suppression agent</v>
      </c>
      <c r="F2806" s="152" t="str">
        <f>'Reported burning'!F2806</f>
        <v>ND</v>
      </c>
      <c r="G2806" s="152" t="str">
        <f>'Reported burning'!G2806</f>
        <v>ND</v>
      </c>
      <c r="H2806" s="152" t="str">
        <f>'Reported burning'!H2806</f>
        <v>Absence</v>
      </c>
      <c r="I2806" s="204"/>
      <c r="J2806" s="21" t="s">
        <v>2364</v>
      </c>
      <c r="K2806" s="21" t="s">
        <v>2364</v>
      </c>
      <c r="L2806" s="21" t="s">
        <v>2364</v>
      </c>
      <c r="M2806" s="21" t="s">
        <v>2364</v>
      </c>
      <c r="N2806" s="21" t="s">
        <v>2364</v>
      </c>
      <c r="O2806" s="21" t="s">
        <v>2364</v>
      </c>
      <c r="P2806" s="21" t="s">
        <v>2364</v>
      </c>
      <c r="Q2806" s="21" t="s">
        <v>2364</v>
      </c>
      <c r="R2806" s="21" t="s">
        <v>2364</v>
      </c>
      <c r="S2806" s="21" t="s">
        <v>2364</v>
      </c>
      <c r="T2806" s="21" t="s">
        <v>2364</v>
      </c>
      <c r="U2806" s="21" t="s">
        <v>2364</v>
      </c>
      <c r="V2806" s="21" t="s">
        <v>2364</v>
      </c>
      <c r="W2806" s="204" t="s">
        <v>2276</v>
      </c>
      <c r="X2806" s="204" t="s">
        <v>68</v>
      </c>
      <c r="Y2806" s="204" t="s">
        <v>86</v>
      </c>
      <c r="Z2806" s="204" t="s">
        <v>76</v>
      </c>
      <c r="AA2806" s="204"/>
      <c r="AB2806" s="204"/>
    </row>
    <row r="2807" spans="1:28" ht="34.5" customHeight="1">
      <c r="A2807" s="152" t="str">
        <f>'Reported burning'!A2807</f>
        <v>305u</v>
      </c>
      <c r="B2807" s="152" t="str">
        <f>'Reported burning'!B2807</f>
        <v>305u.10</v>
      </c>
      <c r="C2807" s="152" t="str">
        <f>'Reported burning'!C2807</f>
        <v>Human, deliberate</v>
      </c>
      <c r="D2807" s="152" t="str">
        <f>'Reported burning'!D2807</f>
        <v>Pyrome management</v>
      </c>
      <c r="E2807" s="152" t="str">
        <f>'Reported burning'!E2807</f>
        <v>Fire suppression agent</v>
      </c>
      <c r="F2807" s="152" t="str">
        <f>'Reported burning'!F2807</f>
        <v>ND</v>
      </c>
      <c r="G2807" s="152" t="str">
        <f>'Reported burning'!G2807</f>
        <v>ND</v>
      </c>
      <c r="H2807" s="152" t="str">
        <f>'Reported burning'!H2807</f>
        <v>Presence</v>
      </c>
      <c r="I2807" s="204"/>
      <c r="J2807" s="204" t="s">
        <v>2276</v>
      </c>
      <c r="K2807" s="204" t="s">
        <v>2276</v>
      </c>
      <c r="L2807" s="204" t="s">
        <v>2276</v>
      </c>
      <c r="M2807" s="204" t="s">
        <v>2276</v>
      </c>
      <c r="N2807" s="204" t="s">
        <v>2276</v>
      </c>
      <c r="O2807" s="204" t="s">
        <v>2276</v>
      </c>
      <c r="P2807" s="204" t="s">
        <v>2276</v>
      </c>
      <c r="Q2807" s="204" t="s">
        <v>2276</v>
      </c>
      <c r="R2807" s="204" t="s">
        <v>2276</v>
      </c>
      <c r="S2807" s="204" t="s">
        <v>2276</v>
      </c>
      <c r="T2807" s="204" t="s">
        <v>2276</v>
      </c>
      <c r="U2807" s="204" t="s">
        <v>2276</v>
      </c>
      <c r="V2807" s="204" t="s">
        <v>2276</v>
      </c>
      <c r="W2807" s="204" t="s">
        <v>2276</v>
      </c>
      <c r="X2807" s="204" t="s">
        <v>68</v>
      </c>
      <c r="Y2807" s="204" t="s">
        <v>86</v>
      </c>
      <c r="Z2807" s="204" t="s">
        <v>76</v>
      </c>
      <c r="AA2807" s="204"/>
      <c r="AB2807" s="204"/>
    </row>
    <row r="2808" spans="1:28" ht="34.5" customHeight="1">
      <c r="A2808" s="152" t="str">
        <f>'Reported burning'!A2808</f>
        <v>305v</v>
      </c>
      <c r="B2808" s="152" t="str">
        <f>'Reported burning'!B2808</f>
        <v>305v.10</v>
      </c>
      <c r="C2808" s="152" t="str">
        <f>'Reported burning'!C2808</f>
        <v>Human, deliberate</v>
      </c>
      <c r="D2808" s="152" t="str">
        <f>'Reported burning'!D2808</f>
        <v>Pyrome management</v>
      </c>
      <c r="E2808" s="152" t="str">
        <f>'Reported burning'!E2808</f>
        <v>Fire suppression agent</v>
      </c>
      <c r="F2808" s="152" t="str">
        <f>'Reported burning'!F2808</f>
        <v>ND</v>
      </c>
      <c r="G2808" s="152" t="str">
        <f>'Reported burning'!G2808</f>
        <v>ND</v>
      </c>
      <c r="H2808" s="152" t="str">
        <f>'Reported burning'!H2808</f>
        <v>Presence</v>
      </c>
      <c r="I2808" s="204"/>
      <c r="J2808" s="204" t="s">
        <v>2276</v>
      </c>
      <c r="K2808" s="204" t="s">
        <v>2276</v>
      </c>
      <c r="L2808" s="204" t="s">
        <v>2276</v>
      </c>
      <c r="M2808" s="204" t="s">
        <v>2276</v>
      </c>
      <c r="N2808" s="204" t="s">
        <v>2276</v>
      </c>
      <c r="O2808" s="204" t="s">
        <v>2276</v>
      </c>
      <c r="P2808" s="204" t="s">
        <v>2276</v>
      </c>
      <c r="Q2808" s="204" t="s">
        <v>2276</v>
      </c>
      <c r="R2808" s="204" t="s">
        <v>2276</v>
      </c>
      <c r="S2808" s="204" t="s">
        <v>2276</v>
      </c>
      <c r="T2808" s="204" t="s">
        <v>2276</v>
      </c>
      <c r="U2808" s="204" t="s">
        <v>2276</v>
      </c>
      <c r="V2808" s="204" t="s">
        <v>2276</v>
      </c>
      <c r="W2808" s="204" t="s">
        <v>2276</v>
      </c>
      <c r="X2808" s="204" t="s">
        <v>68</v>
      </c>
      <c r="Y2808" s="204" t="s">
        <v>86</v>
      </c>
      <c r="Z2808" s="204" t="s">
        <v>76</v>
      </c>
      <c r="AA2808" s="204"/>
      <c r="AB2808" s="204"/>
    </row>
    <row r="2809" spans="1:28" ht="34.5" customHeight="1">
      <c r="A2809" s="152" t="str">
        <f>'Reported burning'!A2809</f>
        <v>305w</v>
      </c>
      <c r="B2809" s="152" t="str">
        <f>'Reported burning'!B2809</f>
        <v>305w.10</v>
      </c>
      <c r="C2809" s="152" t="str">
        <f>'Reported burning'!C2809</f>
        <v>Human, deliberate</v>
      </c>
      <c r="D2809" s="152" t="str">
        <f>'Reported burning'!D2809</f>
        <v>Pyrome management</v>
      </c>
      <c r="E2809" s="152" t="str">
        <f>'Reported burning'!E2809</f>
        <v>Fire suppression agent</v>
      </c>
      <c r="F2809" s="152" t="str">
        <f>'Reported burning'!F2809</f>
        <v>ND</v>
      </c>
      <c r="G2809" s="152" t="str">
        <f>'Reported burning'!G2809</f>
        <v>ND</v>
      </c>
      <c r="H2809" s="152" t="str">
        <f>'Reported burning'!H2809</f>
        <v>Presence</v>
      </c>
      <c r="I2809" s="204"/>
      <c r="J2809" s="204" t="s">
        <v>2276</v>
      </c>
      <c r="K2809" s="204" t="s">
        <v>2276</v>
      </c>
      <c r="L2809" s="204" t="s">
        <v>2276</v>
      </c>
      <c r="M2809" s="204" t="s">
        <v>2276</v>
      </c>
      <c r="N2809" s="204" t="s">
        <v>2276</v>
      </c>
      <c r="O2809" s="204" t="s">
        <v>2276</v>
      </c>
      <c r="P2809" s="204" t="s">
        <v>2276</v>
      </c>
      <c r="Q2809" s="204" t="s">
        <v>2276</v>
      </c>
      <c r="R2809" s="204" t="s">
        <v>2276</v>
      </c>
      <c r="S2809" s="204" t="s">
        <v>2276</v>
      </c>
      <c r="T2809" s="204" t="s">
        <v>2276</v>
      </c>
      <c r="U2809" s="204" t="s">
        <v>2276</v>
      </c>
      <c r="V2809" s="204" t="s">
        <v>2276</v>
      </c>
      <c r="W2809" s="204" t="s">
        <v>2276</v>
      </c>
      <c r="X2809" s="204" t="s">
        <v>68</v>
      </c>
      <c r="Y2809" s="204" t="s">
        <v>86</v>
      </c>
      <c r="Z2809" s="204" t="s">
        <v>76</v>
      </c>
      <c r="AA2809" s="204"/>
      <c r="AB2809" s="204"/>
    </row>
    <row r="2810" spans="1:28" ht="34.5" customHeight="1">
      <c r="A2810" s="152" t="str">
        <f>'Reported burning'!A2810</f>
        <v>305x</v>
      </c>
      <c r="B2810" s="152" t="str">
        <f>'Reported burning'!B2810</f>
        <v>305x.10</v>
      </c>
      <c r="C2810" s="152" t="str">
        <f>'Reported burning'!C2810</f>
        <v>Human, deliberate</v>
      </c>
      <c r="D2810" s="152" t="str">
        <f>'Reported burning'!D2810</f>
        <v>Pyrome management</v>
      </c>
      <c r="E2810" s="152" t="str">
        <f>'Reported burning'!E2810</f>
        <v>Fire suppression agent</v>
      </c>
      <c r="F2810" s="152" t="str">
        <f>'Reported burning'!F2810</f>
        <v>ND</v>
      </c>
      <c r="G2810" s="152" t="str">
        <f>'Reported burning'!G2810</f>
        <v>ND</v>
      </c>
      <c r="H2810" s="152" t="str">
        <f>'Reported burning'!H2810</f>
        <v>Presence</v>
      </c>
      <c r="I2810" s="204"/>
      <c r="J2810" s="204" t="s">
        <v>2276</v>
      </c>
      <c r="K2810" s="204" t="s">
        <v>2276</v>
      </c>
      <c r="L2810" s="204" t="s">
        <v>2276</v>
      </c>
      <c r="M2810" s="204" t="s">
        <v>2276</v>
      </c>
      <c r="N2810" s="204" t="s">
        <v>2276</v>
      </c>
      <c r="O2810" s="204" t="s">
        <v>2276</v>
      </c>
      <c r="P2810" s="204" t="s">
        <v>2276</v>
      </c>
      <c r="Q2810" s="204" t="s">
        <v>2276</v>
      </c>
      <c r="R2810" s="204" t="s">
        <v>2276</v>
      </c>
      <c r="S2810" s="204" t="s">
        <v>2276</v>
      </c>
      <c r="T2810" s="204" t="s">
        <v>2276</v>
      </c>
      <c r="U2810" s="204" t="s">
        <v>2276</v>
      </c>
      <c r="V2810" s="204" t="s">
        <v>2276</v>
      </c>
      <c r="W2810" s="204" t="s">
        <v>2276</v>
      </c>
      <c r="X2810" s="204" t="s">
        <v>68</v>
      </c>
      <c r="Y2810" s="204" t="s">
        <v>86</v>
      </c>
      <c r="Z2810" s="204" t="s">
        <v>76</v>
      </c>
      <c r="AA2810" s="204"/>
      <c r="AB2810" s="204"/>
    </row>
    <row r="2811" spans="1:28" ht="34.5" customHeight="1">
      <c r="A2811" s="152" t="str">
        <f>'Reported burning'!A2811</f>
        <v>305y</v>
      </c>
      <c r="B2811" s="152" t="str">
        <f>'Reported burning'!B2811</f>
        <v>305y.10</v>
      </c>
      <c r="C2811" s="152" t="str">
        <f>'Reported burning'!C2811</f>
        <v>Human, deliberate</v>
      </c>
      <c r="D2811" s="152" t="str">
        <f>'Reported burning'!D2811</f>
        <v>Pyrome management</v>
      </c>
      <c r="E2811" s="152" t="str">
        <f>'Reported burning'!E2811</f>
        <v>Fire suppression agent</v>
      </c>
      <c r="F2811" s="152" t="str">
        <f>'Reported burning'!F2811</f>
        <v>ND</v>
      </c>
      <c r="G2811" s="152" t="str">
        <f>'Reported burning'!G2811</f>
        <v>ND</v>
      </c>
      <c r="H2811" s="152" t="str">
        <f>'Reported burning'!H2811</f>
        <v>Presence</v>
      </c>
      <c r="I2811" s="204"/>
      <c r="J2811" s="204" t="s">
        <v>2276</v>
      </c>
      <c r="K2811" s="204" t="s">
        <v>2276</v>
      </c>
      <c r="L2811" s="204" t="s">
        <v>2276</v>
      </c>
      <c r="M2811" s="204" t="s">
        <v>2276</v>
      </c>
      <c r="N2811" s="204" t="s">
        <v>2276</v>
      </c>
      <c r="O2811" s="204" t="s">
        <v>2276</v>
      </c>
      <c r="P2811" s="204" t="s">
        <v>2276</v>
      </c>
      <c r="Q2811" s="204" t="s">
        <v>2276</v>
      </c>
      <c r="R2811" s="204" t="s">
        <v>2276</v>
      </c>
      <c r="S2811" s="204" t="s">
        <v>2276</v>
      </c>
      <c r="T2811" s="204" t="s">
        <v>2276</v>
      </c>
      <c r="U2811" s="204" t="s">
        <v>2276</v>
      </c>
      <c r="V2811" s="204" t="s">
        <v>2276</v>
      </c>
      <c r="W2811" s="204" t="s">
        <v>2276</v>
      </c>
      <c r="X2811" s="204" t="s">
        <v>68</v>
      </c>
      <c r="Y2811" s="204" t="s">
        <v>86</v>
      </c>
      <c r="Z2811" s="204" t="s">
        <v>76</v>
      </c>
      <c r="AA2811" s="204"/>
      <c r="AB2811" s="204"/>
    </row>
    <row r="2812" spans="1:28" ht="34.5" customHeight="1">
      <c r="A2812" s="152" t="str">
        <f>'Reported burning'!A2812</f>
        <v>305z</v>
      </c>
      <c r="B2812" s="152" t="str">
        <f>'Reported burning'!B2812</f>
        <v>305z.10</v>
      </c>
      <c r="C2812" s="152" t="str">
        <f>'Reported burning'!C2812</f>
        <v>Human, deliberate</v>
      </c>
      <c r="D2812" s="152" t="str">
        <f>'Reported burning'!D2812</f>
        <v>Pyrome management</v>
      </c>
      <c r="E2812" s="152" t="str">
        <f>'Reported burning'!E2812</f>
        <v>Fire suppression agent</v>
      </c>
      <c r="F2812" s="152" t="str">
        <f>'Reported burning'!F2812</f>
        <v>ND</v>
      </c>
      <c r="G2812" s="152" t="str">
        <f>'Reported burning'!G2812</f>
        <v>ND</v>
      </c>
      <c r="H2812" s="152" t="str">
        <f>'Reported burning'!H2812</f>
        <v>Presence</v>
      </c>
      <c r="I2812" s="204"/>
      <c r="J2812" s="204" t="s">
        <v>2276</v>
      </c>
      <c r="K2812" s="204" t="s">
        <v>2276</v>
      </c>
      <c r="L2812" s="204" t="s">
        <v>2276</v>
      </c>
      <c r="M2812" s="204" t="s">
        <v>2276</v>
      </c>
      <c r="N2812" s="204" t="s">
        <v>2276</v>
      </c>
      <c r="O2812" s="204" t="s">
        <v>2276</v>
      </c>
      <c r="P2812" s="204" t="s">
        <v>2276</v>
      </c>
      <c r="Q2812" s="204" t="s">
        <v>2276</v>
      </c>
      <c r="R2812" s="204" t="s">
        <v>2276</v>
      </c>
      <c r="S2812" s="204" t="s">
        <v>2276</v>
      </c>
      <c r="T2812" s="204" t="s">
        <v>2276</v>
      </c>
      <c r="U2812" s="204" t="s">
        <v>2276</v>
      </c>
      <c r="V2812" s="204" t="s">
        <v>2276</v>
      </c>
      <c r="W2812" s="204" t="s">
        <v>2276</v>
      </c>
      <c r="X2812" s="204" t="s">
        <v>68</v>
      </c>
      <c r="Y2812" s="204" t="s">
        <v>86</v>
      </c>
      <c r="Z2812" s="204" t="s">
        <v>76</v>
      </c>
      <c r="AA2812" s="204"/>
      <c r="AB2812" s="204"/>
    </row>
    <row r="2813" spans="1:28" ht="34.5" customHeight="1">
      <c r="A2813" s="152" t="str">
        <f>'Reported burning'!A2813</f>
        <v>305aa</v>
      </c>
      <c r="B2813" s="152" t="str">
        <f>'Reported burning'!B2813</f>
        <v>305aa.10</v>
      </c>
      <c r="C2813" s="152" t="str">
        <f>'Reported burning'!C2813</f>
        <v>Human, deliberate</v>
      </c>
      <c r="D2813" s="152" t="str">
        <f>'Reported burning'!D2813</f>
        <v>Pyrome management</v>
      </c>
      <c r="E2813" s="152" t="str">
        <f>'Reported burning'!E2813</f>
        <v>Fire suppression agent</v>
      </c>
      <c r="F2813" s="152" t="str">
        <f>'Reported burning'!F2813</f>
        <v>ND</v>
      </c>
      <c r="G2813" s="152" t="str">
        <f>'Reported burning'!G2813</f>
        <v>ND</v>
      </c>
      <c r="H2813" s="152" t="str">
        <f>'Reported burning'!H2813</f>
        <v>Presence</v>
      </c>
      <c r="I2813" s="204"/>
      <c r="J2813" s="204" t="s">
        <v>2276</v>
      </c>
      <c r="K2813" s="204" t="s">
        <v>2276</v>
      </c>
      <c r="L2813" s="204" t="s">
        <v>2276</v>
      </c>
      <c r="M2813" s="204" t="s">
        <v>2276</v>
      </c>
      <c r="N2813" s="204" t="s">
        <v>2276</v>
      </c>
      <c r="O2813" s="204" t="s">
        <v>2276</v>
      </c>
      <c r="P2813" s="204" t="s">
        <v>2276</v>
      </c>
      <c r="Q2813" s="204" t="s">
        <v>2276</v>
      </c>
      <c r="R2813" s="204" t="s">
        <v>2276</v>
      </c>
      <c r="S2813" s="204" t="s">
        <v>2276</v>
      </c>
      <c r="T2813" s="204" t="s">
        <v>2276</v>
      </c>
      <c r="U2813" s="204" t="s">
        <v>2276</v>
      </c>
      <c r="V2813" s="204" t="s">
        <v>2276</v>
      </c>
      <c r="W2813" s="204" t="s">
        <v>2276</v>
      </c>
      <c r="X2813" s="204" t="s">
        <v>68</v>
      </c>
      <c r="Y2813" s="204" t="s">
        <v>86</v>
      </c>
      <c r="Z2813" s="204" t="s">
        <v>76</v>
      </c>
      <c r="AA2813" s="204"/>
      <c r="AB2813" s="204"/>
    </row>
    <row r="2814" spans="1:28" ht="34.5" customHeight="1">
      <c r="A2814" s="152" t="str">
        <f>'Reported burning'!A2814</f>
        <v>305ab</v>
      </c>
      <c r="B2814" s="152" t="str">
        <f>'Reported burning'!B2814</f>
        <v>305ab.10</v>
      </c>
      <c r="C2814" s="152" t="str">
        <f>'Reported burning'!C2814</f>
        <v>Human, deliberate</v>
      </c>
      <c r="D2814" s="152" t="str">
        <f>'Reported burning'!D2814</f>
        <v>Pyrome management</v>
      </c>
      <c r="E2814" s="152" t="str">
        <f>'Reported burning'!E2814</f>
        <v>Fire suppression agent</v>
      </c>
      <c r="F2814" s="152" t="str">
        <f>'Reported burning'!F2814</f>
        <v>ND</v>
      </c>
      <c r="G2814" s="152" t="str">
        <f>'Reported burning'!G2814</f>
        <v>ND</v>
      </c>
      <c r="H2814" s="152" t="str">
        <f>'Reported burning'!H2814</f>
        <v>Presence</v>
      </c>
      <c r="I2814" s="204"/>
      <c r="J2814" s="204" t="s">
        <v>2276</v>
      </c>
      <c r="K2814" s="204" t="s">
        <v>2276</v>
      </c>
      <c r="L2814" s="204" t="s">
        <v>2276</v>
      </c>
      <c r="M2814" s="204" t="s">
        <v>2276</v>
      </c>
      <c r="N2814" s="204" t="s">
        <v>2276</v>
      </c>
      <c r="O2814" s="204" t="s">
        <v>2276</v>
      </c>
      <c r="P2814" s="204" t="s">
        <v>2276</v>
      </c>
      <c r="Q2814" s="204" t="s">
        <v>2276</v>
      </c>
      <c r="R2814" s="204" t="s">
        <v>2276</v>
      </c>
      <c r="S2814" s="204" t="s">
        <v>2276</v>
      </c>
      <c r="T2814" s="204" t="s">
        <v>2276</v>
      </c>
      <c r="U2814" s="204" t="s">
        <v>2276</v>
      </c>
      <c r="V2814" s="204" t="s">
        <v>2276</v>
      </c>
      <c r="W2814" s="204" t="s">
        <v>2276</v>
      </c>
      <c r="X2814" s="204" t="s">
        <v>68</v>
      </c>
      <c r="Y2814" s="204" t="s">
        <v>86</v>
      </c>
      <c r="Z2814" s="204" t="s">
        <v>76</v>
      </c>
      <c r="AA2814" s="204"/>
      <c r="AB2814" s="204"/>
    </row>
    <row r="2815" spans="1:28" ht="34.5" customHeight="1">
      <c r="A2815" s="152" t="str">
        <f>'Reported burning'!A2815</f>
        <v>305ac</v>
      </c>
      <c r="B2815" s="152" t="str">
        <f>'Reported burning'!B2815</f>
        <v>305ac.10</v>
      </c>
      <c r="C2815" s="152" t="str">
        <f>'Reported burning'!C2815</f>
        <v>Human, deliberate</v>
      </c>
      <c r="D2815" s="152" t="str">
        <f>'Reported burning'!D2815</f>
        <v>Pyrome management</v>
      </c>
      <c r="E2815" s="152" t="str">
        <f>'Reported burning'!E2815</f>
        <v>Fire suppression agent</v>
      </c>
      <c r="F2815" s="152" t="str">
        <f>'Reported burning'!F2815</f>
        <v>ND</v>
      </c>
      <c r="G2815" s="152" t="str">
        <f>'Reported burning'!G2815</f>
        <v>ND</v>
      </c>
      <c r="H2815" s="152" t="str">
        <f>'Reported burning'!H2815</f>
        <v>Presence</v>
      </c>
      <c r="I2815" s="204"/>
      <c r="J2815" s="204" t="s">
        <v>2276</v>
      </c>
      <c r="K2815" s="204" t="s">
        <v>2276</v>
      </c>
      <c r="L2815" s="204" t="s">
        <v>2276</v>
      </c>
      <c r="M2815" s="204" t="s">
        <v>2276</v>
      </c>
      <c r="N2815" s="204" t="s">
        <v>2276</v>
      </c>
      <c r="O2815" s="204" t="s">
        <v>2276</v>
      </c>
      <c r="P2815" s="204" t="s">
        <v>2276</v>
      </c>
      <c r="Q2815" s="204" t="s">
        <v>2276</v>
      </c>
      <c r="R2815" s="204" t="s">
        <v>2276</v>
      </c>
      <c r="S2815" s="204" t="s">
        <v>2276</v>
      </c>
      <c r="T2815" s="204" t="s">
        <v>2276</v>
      </c>
      <c r="U2815" s="204" t="s">
        <v>2276</v>
      </c>
      <c r="V2815" s="204" t="s">
        <v>2276</v>
      </c>
      <c r="W2815" s="204" t="s">
        <v>2276</v>
      </c>
      <c r="X2815" s="204" t="s">
        <v>68</v>
      </c>
      <c r="Y2815" s="204" t="s">
        <v>86</v>
      </c>
      <c r="Z2815" s="204" t="s">
        <v>76</v>
      </c>
      <c r="AA2815" s="204"/>
      <c r="AB2815" s="204"/>
    </row>
    <row r="2816" spans="1:28" ht="34.5" customHeight="1">
      <c r="A2816" s="152" t="str">
        <f>'Reported burning'!A2816</f>
        <v>305ad</v>
      </c>
      <c r="B2816" s="152" t="str">
        <f>'Reported burning'!B2816</f>
        <v>305ad.10</v>
      </c>
      <c r="C2816" s="152" t="str">
        <f>'Reported burning'!C2816</f>
        <v>Human, deliberate</v>
      </c>
      <c r="D2816" s="152" t="str">
        <f>'Reported burning'!D2816</f>
        <v>Pyrome management</v>
      </c>
      <c r="E2816" s="152" t="str">
        <f>'Reported burning'!E2816</f>
        <v>Fire suppression agent</v>
      </c>
      <c r="F2816" s="152" t="str">
        <f>'Reported burning'!F2816</f>
        <v>ND</v>
      </c>
      <c r="G2816" s="152" t="str">
        <f>'Reported burning'!G2816</f>
        <v>ND</v>
      </c>
      <c r="H2816" s="152" t="str">
        <f>'Reported burning'!H2816</f>
        <v>Presence</v>
      </c>
      <c r="I2816" s="204"/>
      <c r="J2816" s="204" t="s">
        <v>2276</v>
      </c>
      <c r="K2816" s="204" t="s">
        <v>2276</v>
      </c>
      <c r="L2816" s="204" t="s">
        <v>2276</v>
      </c>
      <c r="M2816" s="204" t="s">
        <v>2276</v>
      </c>
      <c r="N2816" s="204" t="s">
        <v>2276</v>
      </c>
      <c r="O2816" s="204" t="s">
        <v>2276</v>
      </c>
      <c r="P2816" s="204" t="s">
        <v>2276</v>
      </c>
      <c r="Q2816" s="204" t="s">
        <v>2276</v>
      </c>
      <c r="R2816" s="204" t="s">
        <v>2276</v>
      </c>
      <c r="S2816" s="204" t="s">
        <v>2276</v>
      </c>
      <c r="T2816" s="204" t="s">
        <v>2276</v>
      </c>
      <c r="U2816" s="204" t="s">
        <v>2276</v>
      </c>
      <c r="V2816" s="204" t="s">
        <v>2276</v>
      </c>
      <c r="W2816" s="204" t="s">
        <v>2276</v>
      </c>
      <c r="X2816" s="204" t="s">
        <v>68</v>
      </c>
      <c r="Y2816" s="204" t="s">
        <v>86</v>
      </c>
      <c r="Z2816" s="204" t="s">
        <v>76</v>
      </c>
      <c r="AA2816" s="204"/>
      <c r="AB2816" s="204"/>
    </row>
    <row r="2817" spans="1:28" ht="34.5" customHeight="1">
      <c r="A2817" s="152" t="str">
        <f>'Reported burning'!A2817</f>
        <v>305ae</v>
      </c>
      <c r="B2817" s="152" t="str">
        <f>'Reported burning'!B2817</f>
        <v>305ae.10</v>
      </c>
      <c r="C2817" s="152" t="str">
        <f>'Reported burning'!C2817</f>
        <v>Human, deliberate</v>
      </c>
      <c r="D2817" s="152" t="str">
        <f>'Reported burning'!D2817</f>
        <v>Pyrome management</v>
      </c>
      <c r="E2817" s="152" t="str">
        <f>'Reported burning'!E2817</f>
        <v>Fire suppression agent</v>
      </c>
      <c r="F2817" s="152" t="str">
        <f>'Reported burning'!F2817</f>
        <v>ND</v>
      </c>
      <c r="G2817" s="152" t="str">
        <f>'Reported burning'!G2817</f>
        <v>ND</v>
      </c>
      <c r="H2817" s="152" t="str">
        <f>'Reported burning'!H2817</f>
        <v>Presence</v>
      </c>
      <c r="I2817" s="204"/>
      <c r="J2817" s="204" t="s">
        <v>2276</v>
      </c>
      <c r="K2817" s="204" t="s">
        <v>2276</v>
      </c>
      <c r="L2817" s="204" t="s">
        <v>2276</v>
      </c>
      <c r="M2817" s="204" t="s">
        <v>2276</v>
      </c>
      <c r="N2817" s="204" t="s">
        <v>2276</v>
      </c>
      <c r="O2817" s="204" t="s">
        <v>2276</v>
      </c>
      <c r="P2817" s="204" t="s">
        <v>2276</v>
      </c>
      <c r="Q2817" s="204" t="s">
        <v>2276</v>
      </c>
      <c r="R2817" s="204" t="s">
        <v>2276</v>
      </c>
      <c r="S2817" s="204" t="s">
        <v>2276</v>
      </c>
      <c r="T2817" s="204" t="s">
        <v>2276</v>
      </c>
      <c r="U2817" s="204" t="s">
        <v>2276</v>
      </c>
      <c r="V2817" s="204" t="s">
        <v>2276</v>
      </c>
      <c r="W2817" s="204" t="s">
        <v>2276</v>
      </c>
      <c r="X2817" s="204" t="s">
        <v>68</v>
      </c>
      <c r="Y2817" s="204" t="s">
        <v>86</v>
      </c>
      <c r="Z2817" s="204" t="s">
        <v>76</v>
      </c>
      <c r="AA2817" s="204"/>
      <c r="AB2817" s="204"/>
    </row>
    <row r="2818" spans="1:28" ht="34.5" customHeight="1">
      <c r="A2818" s="156" t="str">
        <f>'Reported burning'!A2818</f>
        <v>305af</v>
      </c>
      <c r="B2818" s="156" t="str">
        <f>'Reported burning'!B2818</f>
        <v>305af.1</v>
      </c>
      <c r="C2818" s="156" t="str">
        <f>'Reported burning'!C2818</f>
        <v>Human, deliberate</v>
      </c>
      <c r="D2818" s="156" t="str">
        <f>'Reported burning'!D2818</f>
        <v>Pyrome management</v>
      </c>
      <c r="E2818" s="156" t="str">
        <f>'Reported burning'!E2818</f>
        <v>Fire suppression agent</v>
      </c>
      <c r="F2818" s="156" t="str">
        <f>'Reported burning'!F2818</f>
        <v>ND</v>
      </c>
      <c r="G2818" s="156" t="str">
        <f>'Reported burning'!G2818</f>
        <v>ND</v>
      </c>
      <c r="H2818" s="156" t="str">
        <f>'Reported burning'!H2818</f>
        <v>Presence</v>
      </c>
      <c r="I2818" s="5"/>
      <c r="J2818" s="204" t="s">
        <v>2276</v>
      </c>
      <c r="K2818" s="204" t="s">
        <v>2276</v>
      </c>
      <c r="L2818" s="204" t="s">
        <v>2276</v>
      </c>
      <c r="M2818" s="204" t="s">
        <v>2276</v>
      </c>
      <c r="N2818" s="204" t="s">
        <v>2276</v>
      </c>
      <c r="O2818" s="204" t="s">
        <v>2276</v>
      </c>
      <c r="P2818" s="204" t="s">
        <v>2276</v>
      </c>
      <c r="Q2818" s="204" t="s">
        <v>2276</v>
      </c>
      <c r="R2818" s="204" t="s">
        <v>2276</v>
      </c>
      <c r="S2818" s="204" t="s">
        <v>2276</v>
      </c>
      <c r="T2818" s="204" t="s">
        <v>2276</v>
      </c>
      <c r="U2818" s="204" t="s">
        <v>2276</v>
      </c>
      <c r="V2818" s="204" t="s">
        <v>2276</v>
      </c>
      <c r="W2818" s="204" t="s">
        <v>2276</v>
      </c>
      <c r="X2818" s="204" t="s">
        <v>188</v>
      </c>
      <c r="Y2818" s="204" t="s">
        <v>189</v>
      </c>
      <c r="Z2818" s="204" t="s">
        <v>64</v>
      </c>
      <c r="AA2818" s="204"/>
      <c r="AB2818" s="204"/>
    </row>
    <row r="2819" spans="1:28" ht="34.5" customHeight="1">
      <c r="A2819" s="156" t="str">
        <f>'Reported burning'!A2819</f>
        <v>305af</v>
      </c>
      <c r="B2819" s="156" t="str">
        <f>'Reported burning'!B2819</f>
        <v>305af.2</v>
      </c>
      <c r="C2819" s="156" t="str">
        <f>'Reported burning'!C2819</f>
        <v>Human, deliberate</v>
      </c>
      <c r="D2819" s="156" t="str">
        <f>'Reported burning'!D2819</f>
        <v>Pyrome management</v>
      </c>
      <c r="E2819" s="156" t="str">
        <f>'Reported burning'!E2819</f>
        <v>Fire suppression agent</v>
      </c>
      <c r="F2819" s="156" t="str">
        <f>'Reported burning'!F2819</f>
        <v>ND</v>
      </c>
      <c r="G2819" s="156" t="str">
        <f>'Reported burning'!G2819</f>
        <v>ND</v>
      </c>
      <c r="H2819" s="156" t="str">
        <f>'Reported burning'!H2819</f>
        <v>Presence</v>
      </c>
      <c r="I2819" s="5"/>
      <c r="J2819" s="204" t="s">
        <v>2276</v>
      </c>
      <c r="K2819" s="204" t="s">
        <v>2276</v>
      </c>
      <c r="L2819" s="204" t="s">
        <v>2276</v>
      </c>
      <c r="M2819" s="204" t="s">
        <v>2276</v>
      </c>
      <c r="N2819" s="204" t="s">
        <v>2276</v>
      </c>
      <c r="O2819" s="204" t="s">
        <v>2276</v>
      </c>
      <c r="P2819" s="204" t="s">
        <v>2276</v>
      </c>
      <c r="Q2819" s="204" t="s">
        <v>2276</v>
      </c>
      <c r="R2819" s="204" t="s">
        <v>2276</v>
      </c>
      <c r="S2819" s="204" t="s">
        <v>2276</v>
      </c>
      <c r="T2819" s="204" t="s">
        <v>2276</v>
      </c>
      <c r="U2819" s="204" t="s">
        <v>2276</v>
      </c>
      <c r="V2819" s="204" t="s">
        <v>2276</v>
      </c>
      <c r="W2819" s="204" t="s">
        <v>2276</v>
      </c>
      <c r="X2819" s="204" t="s">
        <v>188</v>
      </c>
      <c r="Y2819" s="204" t="s">
        <v>189</v>
      </c>
      <c r="Z2819" s="204" t="s">
        <v>64</v>
      </c>
      <c r="AA2819" s="204"/>
      <c r="AB2819" s="204"/>
    </row>
    <row r="2820" spans="1:28" ht="29" customHeight="1">
      <c r="A2820" s="156" t="str">
        <f>'Reported burning'!A2820</f>
        <v>305af</v>
      </c>
      <c r="B2820" s="156" t="str">
        <f>'Reported burning'!B2820</f>
        <v>305af.3</v>
      </c>
      <c r="C2820" s="156" t="str">
        <f>'Reported burning'!C2820</f>
        <v>Human, deliberate</v>
      </c>
      <c r="D2820" s="156" t="str">
        <f>'Reported burning'!D2820</f>
        <v>Pyrome management</v>
      </c>
      <c r="E2820" s="156" t="str">
        <f>'Reported burning'!E2820</f>
        <v>Fire suppression agent</v>
      </c>
      <c r="F2820" s="156" t="str">
        <f>'Reported burning'!F2820</f>
        <v>ND</v>
      </c>
      <c r="G2820" s="156" t="str">
        <f>'Reported burning'!G2820</f>
        <v>ND</v>
      </c>
      <c r="H2820" s="156" t="str">
        <f>'Reported burning'!H2820</f>
        <v>Presence</v>
      </c>
      <c r="I2820" s="5"/>
      <c r="J2820" s="204" t="s">
        <v>2276</v>
      </c>
      <c r="K2820" s="204" t="s">
        <v>2276</v>
      </c>
      <c r="L2820" s="204" t="s">
        <v>2276</v>
      </c>
      <c r="M2820" s="204" t="s">
        <v>2276</v>
      </c>
      <c r="N2820" s="204" t="s">
        <v>2276</v>
      </c>
      <c r="O2820" s="204" t="s">
        <v>2276</v>
      </c>
      <c r="P2820" s="204" t="s">
        <v>2276</v>
      </c>
      <c r="Q2820" s="204" t="s">
        <v>2276</v>
      </c>
      <c r="R2820" s="204" t="s">
        <v>2276</v>
      </c>
      <c r="S2820" s="204" t="s">
        <v>2276</v>
      </c>
      <c r="T2820" s="204" t="s">
        <v>2276</v>
      </c>
      <c r="U2820" s="204" t="s">
        <v>2276</v>
      </c>
      <c r="V2820" s="204" t="s">
        <v>2276</v>
      </c>
      <c r="W2820" s="204" t="s">
        <v>2276</v>
      </c>
      <c r="X2820" s="204" t="s">
        <v>188</v>
      </c>
      <c r="Y2820" s="204" t="s">
        <v>189</v>
      </c>
      <c r="Z2820" s="204" t="s">
        <v>64</v>
      </c>
      <c r="AA2820" s="204"/>
      <c r="AB2820" s="204"/>
    </row>
    <row r="2821" spans="1:28" ht="29" customHeight="1">
      <c r="A2821" s="156" t="str">
        <f>'Reported burning'!A2821</f>
        <v>305af</v>
      </c>
      <c r="B2821" s="156" t="str">
        <f>'Reported burning'!B2821</f>
        <v>305af.4</v>
      </c>
      <c r="C2821" s="156" t="str">
        <f>'Reported burning'!C2821</f>
        <v>Human, deliberate</v>
      </c>
      <c r="D2821" s="156" t="str">
        <f>'Reported burning'!D2821</f>
        <v>Pyrome management</v>
      </c>
      <c r="E2821" s="156" t="str">
        <f>'Reported burning'!E2821</f>
        <v>Fire suppression agent</v>
      </c>
      <c r="F2821" s="156" t="str">
        <f>'Reported burning'!F2821</f>
        <v>ND</v>
      </c>
      <c r="G2821" s="156" t="str">
        <f>'Reported burning'!G2821</f>
        <v>ND</v>
      </c>
      <c r="H2821" s="156" t="str">
        <f>'Reported burning'!H2821</f>
        <v>Presence</v>
      </c>
      <c r="I2821" s="5"/>
      <c r="J2821" s="204" t="s">
        <v>2276</v>
      </c>
      <c r="K2821" s="204" t="s">
        <v>2276</v>
      </c>
      <c r="L2821" s="204" t="s">
        <v>2276</v>
      </c>
      <c r="M2821" s="204" t="s">
        <v>2276</v>
      </c>
      <c r="N2821" s="204" t="s">
        <v>2276</v>
      </c>
      <c r="O2821" s="204" t="s">
        <v>2276</v>
      </c>
      <c r="P2821" s="204" t="s">
        <v>2276</v>
      </c>
      <c r="Q2821" s="204" t="s">
        <v>2276</v>
      </c>
      <c r="R2821" s="204" t="s">
        <v>2276</v>
      </c>
      <c r="S2821" s="204" t="s">
        <v>2276</v>
      </c>
      <c r="T2821" s="204" t="s">
        <v>2276</v>
      </c>
      <c r="U2821" s="204" t="s">
        <v>2276</v>
      </c>
      <c r="V2821" s="204" t="s">
        <v>2276</v>
      </c>
      <c r="W2821" s="204" t="s">
        <v>2276</v>
      </c>
      <c r="X2821" s="204" t="s">
        <v>188</v>
      </c>
      <c r="Y2821" s="204" t="s">
        <v>189</v>
      </c>
      <c r="Z2821" s="204" t="s">
        <v>64</v>
      </c>
      <c r="AA2821" s="204"/>
      <c r="AB2821" s="204"/>
    </row>
    <row r="2822" spans="1:28" ht="29" customHeight="1">
      <c r="A2822" s="156" t="str">
        <f>'Reported burning'!A2822</f>
        <v>305af</v>
      </c>
      <c r="B2822" s="156" t="str">
        <f>'Reported burning'!B2822</f>
        <v>305af.5</v>
      </c>
      <c r="C2822" s="156" t="str">
        <f>'Reported burning'!C2822</f>
        <v>Human, deliberate</v>
      </c>
      <c r="D2822" s="156" t="str">
        <f>'Reported burning'!D2822</f>
        <v>Pyrome management</v>
      </c>
      <c r="E2822" s="156" t="str">
        <f>'Reported burning'!E2822</f>
        <v>Fire suppression agent</v>
      </c>
      <c r="F2822" s="156" t="str">
        <f>'Reported burning'!F2822</f>
        <v>ND</v>
      </c>
      <c r="G2822" s="156" t="str">
        <f>'Reported burning'!G2822</f>
        <v>ND</v>
      </c>
      <c r="H2822" s="156" t="str">
        <f>'Reported burning'!H2822</f>
        <v>Presence</v>
      </c>
      <c r="I2822" s="5"/>
      <c r="J2822" s="204" t="s">
        <v>2276</v>
      </c>
      <c r="K2822" s="204" t="s">
        <v>2276</v>
      </c>
      <c r="L2822" s="204" t="s">
        <v>2276</v>
      </c>
      <c r="M2822" s="204" t="s">
        <v>2276</v>
      </c>
      <c r="N2822" s="204" t="s">
        <v>2276</v>
      </c>
      <c r="O2822" s="204" t="s">
        <v>2276</v>
      </c>
      <c r="P2822" s="204" t="s">
        <v>2276</v>
      </c>
      <c r="Q2822" s="204" t="s">
        <v>2276</v>
      </c>
      <c r="R2822" s="204" t="s">
        <v>2276</v>
      </c>
      <c r="S2822" s="204" t="s">
        <v>2276</v>
      </c>
      <c r="T2822" s="204" t="s">
        <v>2276</v>
      </c>
      <c r="U2822" s="204" t="s">
        <v>2276</v>
      </c>
      <c r="V2822" s="204" t="s">
        <v>2276</v>
      </c>
      <c r="W2822" s="204" t="s">
        <v>2276</v>
      </c>
      <c r="X2822" s="204" t="s">
        <v>188</v>
      </c>
      <c r="Y2822" s="204" t="s">
        <v>189</v>
      </c>
      <c r="Z2822" s="204" t="s">
        <v>64</v>
      </c>
      <c r="AA2822" s="204"/>
      <c r="AB2822" s="204"/>
    </row>
    <row r="2823" spans="1:28" ht="29" customHeight="1">
      <c r="A2823" s="156" t="str">
        <f>'Reported burning'!A2823</f>
        <v>305af</v>
      </c>
      <c r="B2823" s="156" t="str">
        <f>'Reported burning'!B2823</f>
        <v>305af.6</v>
      </c>
      <c r="C2823" s="156" t="str">
        <f>'Reported burning'!C2823</f>
        <v>Human, deliberate</v>
      </c>
      <c r="D2823" s="156" t="str">
        <f>'Reported burning'!D2823</f>
        <v>Pyrome management</v>
      </c>
      <c r="E2823" s="156" t="str">
        <f>'Reported burning'!E2823</f>
        <v>Fire suppression agent</v>
      </c>
      <c r="F2823" s="156" t="str">
        <f>'Reported burning'!F2823</f>
        <v>ND</v>
      </c>
      <c r="G2823" s="156" t="str">
        <f>'Reported burning'!G2823</f>
        <v>ND</v>
      </c>
      <c r="H2823" s="156" t="str">
        <f>'Reported burning'!H2823</f>
        <v>Presence</v>
      </c>
      <c r="I2823" s="5"/>
      <c r="J2823" s="204" t="s">
        <v>2276</v>
      </c>
      <c r="K2823" s="204" t="s">
        <v>2276</v>
      </c>
      <c r="L2823" s="204" t="s">
        <v>2276</v>
      </c>
      <c r="M2823" s="204" t="s">
        <v>2276</v>
      </c>
      <c r="N2823" s="204" t="s">
        <v>2276</v>
      </c>
      <c r="O2823" s="204" t="s">
        <v>2276</v>
      </c>
      <c r="P2823" s="204" t="s">
        <v>2276</v>
      </c>
      <c r="Q2823" s="204" t="s">
        <v>2276</v>
      </c>
      <c r="R2823" s="204" t="s">
        <v>2276</v>
      </c>
      <c r="S2823" s="204" t="s">
        <v>2276</v>
      </c>
      <c r="T2823" s="204" t="s">
        <v>2276</v>
      </c>
      <c r="U2823" s="204" t="s">
        <v>2276</v>
      </c>
      <c r="V2823" s="204" t="s">
        <v>2276</v>
      </c>
      <c r="W2823" s="204" t="s">
        <v>2276</v>
      </c>
      <c r="X2823" s="204" t="s">
        <v>188</v>
      </c>
      <c r="Y2823" s="204" t="s">
        <v>189</v>
      </c>
      <c r="Z2823" s="204" t="s">
        <v>64</v>
      </c>
      <c r="AA2823" s="204"/>
      <c r="AB2823" s="204"/>
    </row>
    <row r="2824" spans="1:28" ht="29" customHeight="1">
      <c r="A2824" s="156" t="str">
        <f>'Reported burning'!A2824</f>
        <v>305af</v>
      </c>
      <c r="B2824" s="156" t="str">
        <f>'Reported burning'!B2824</f>
        <v>305af.7</v>
      </c>
      <c r="C2824" s="156" t="str">
        <f>'Reported burning'!C2824</f>
        <v>Human, deliberate</v>
      </c>
      <c r="D2824" s="156" t="str">
        <f>'Reported burning'!D2824</f>
        <v>Pyrome management</v>
      </c>
      <c r="E2824" s="156" t="str">
        <f>'Reported burning'!E2824</f>
        <v>Fire suppression agent</v>
      </c>
      <c r="F2824" s="156" t="str">
        <f>'Reported burning'!F2824</f>
        <v>ND</v>
      </c>
      <c r="G2824" s="156" t="str">
        <f>'Reported burning'!G2824</f>
        <v>ND</v>
      </c>
      <c r="H2824" s="156" t="str">
        <f>'Reported burning'!H2824</f>
        <v>Presence</v>
      </c>
      <c r="I2824" s="5"/>
      <c r="J2824" s="204" t="s">
        <v>2276</v>
      </c>
      <c r="K2824" s="204" t="s">
        <v>2276</v>
      </c>
      <c r="L2824" s="204" t="s">
        <v>2276</v>
      </c>
      <c r="M2824" s="204" t="s">
        <v>2276</v>
      </c>
      <c r="N2824" s="204" t="s">
        <v>2276</v>
      </c>
      <c r="O2824" s="204" t="s">
        <v>2276</v>
      </c>
      <c r="P2824" s="204" t="s">
        <v>2276</v>
      </c>
      <c r="Q2824" s="204" t="s">
        <v>2276</v>
      </c>
      <c r="R2824" s="204" t="s">
        <v>2276</v>
      </c>
      <c r="S2824" s="204" t="s">
        <v>2276</v>
      </c>
      <c r="T2824" s="204" t="s">
        <v>2276</v>
      </c>
      <c r="U2824" s="204" t="s">
        <v>2276</v>
      </c>
      <c r="V2824" s="204" t="s">
        <v>2276</v>
      </c>
      <c r="W2824" s="204" t="s">
        <v>2276</v>
      </c>
      <c r="X2824" s="204" t="s">
        <v>188</v>
      </c>
      <c r="Y2824" s="204" t="s">
        <v>189</v>
      </c>
      <c r="Z2824" s="204" t="s">
        <v>64</v>
      </c>
      <c r="AA2824" s="204"/>
      <c r="AB2824" s="204"/>
    </row>
    <row r="2825" spans="1:28" ht="29" customHeight="1">
      <c r="A2825" s="156" t="str">
        <f>'Reported burning'!A2825</f>
        <v>305af</v>
      </c>
      <c r="B2825" s="156" t="str">
        <f>'Reported burning'!B2825</f>
        <v>305af.8</v>
      </c>
      <c r="C2825" s="156" t="str">
        <f>'Reported burning'!C2825</f>
        <v>Human, deliberate</v>
      </c>
      <c r="D2825" s="156" t="str">
        <f>'Reported burning'!D2825</f>
        <v>Pyrome management</v>
      </c>
      <c r="E2825" s="156" t="str">
        <f>'Reported burning'!E2825</f>
        <v>Fire suppression agent</v>
      </c>
      <c r="F2825" s="156" t="str">
        <f>'Reported burning'!F2825</f>
        <v>ND</v>
      </c>
      <c r="G2825" s="156" t="str">
        <f>'Reported burning'!G2825</f>
        <v>ND</v>
      </c>
      <c r="H2825" s="156" t="str">
        <f>'Reported burning'!H2825</f>
        <v>Presence</v>
      </c>
      <c r="I2825" s="5"/>
      <c r="J2825" s="204" t="s">
        <v>2276</v>
      </c>
      <c r="K2825" s="204" t="s">
        <v>2276</v>
      </c>
      <c r="L2825" s="204" t="s">
        <v>2276</v>
      </c>
      <c r="M2825" s="204" t="s">
        <v>2276</v>
      </c>
      <c r="N2825" s="204" t="s">
        <v>2276</v>
      </c>
      <c r="O2825" s="204" t="s">
        <v>2276</v>
      </c>
      <c r="P2825" s="204" t="s">
        <v>2276</v>
      </c>
      <c r="Q2825" s="204" t="s">
        <v>2276</v>
      </c>
      <c r="R2825" s="204" t="s">
        <v>2276</v>
      </c>
      <c r="S2825" s="204" t="s">
        <v>2276</v>
      </c>
      <c r="T2825" s="204" t="s">
        <v>2276</v>
      </c>
      <c r="U2825" s="204" t="s">
        <v>2276</v>
      </c>
      <c r="V2825" s="204" t="s">
        <v>2276</v>
      </c>
      <c r="W2825" s="204" t="s">
        <v>2276</v>
      </c>
      <c r="X2825" s="204" t="s">
        <v>188</v>
      </c>
      <c r="Y2825" s="204" t="s">
        <v>189</v>
      </c>
      <c r="Z2825" s="204" t="s">
        <v>64</v>
      </c>
      <c r="AA2825" s="204"/>
      <c r="AB2825" s="204"/>
    </row>
    <row r="2826" spans="1:28" ht="29" customHeight="1">
      <c r="A2826" s="156" t="str">
        <f>'Reported burning'!A2826</f>
        <v>305af</v>
      </c>
      <c r="B2826" s="156" t="str">
        <f>'Reported burning'!B2826</f>
        <v>305af.9</v>
      </c>
      <c r="C2826" s="156" t="str">
        <f>'Reported burning'!C2826</f>
        <v>Human, deliberate</v>
      </c>
      <c r="D2826" s="156" t="str">
        <f>'Reported burning'!D2826</f>
        <v>Pyrome management</v>
      </c>
      <c r="E2826" s="156" t="str">
        <f>'Reported burning'!E2826</f>
        <v>Fire suppression agent</v>
      </c>
      <c r="F2826" s="156" t="str">
        <f>'Reported burning'!F2826</f>
        <v>ND</v>
      </c>
      <c r="G2826" s="156" t="str">
        <f>'Reported burning'!G2826</f>
        <v>ND</v>
      </c>
      <c r="H2826" s="156" t="str">
        <f>'Reported burning'!H2826</f>
        <v>Presence</v>
      </c>
      <c r="I2826" s="5"/>
      <c r="J2826" s="204" t="s">
        <v>2276</v>
      </c>
      <c r="K2826" s="204" t="s">
        <v>2276</v>
      </c>
      <c r="L2826" s="204" t="s">
        <v>2276</v>
      </c>
      <c r="M2826" s="204" t="s">
        <v>2276</v>
      </c>
      <c r="N2826" s="204" t="s">
        <v>2276</v>
      </c>
      <c r="O2826" s="204" t="s">
        <v>2276</v>
      </c>
      <c r="P2826" s="204" t="s">
        <v>2276</v>
      </c>
      <c r="Q2826" s="204" t="s">
        <v>2276</v>
      </c>
      <c r="R2826" s="204" t="s">
        <v>2276</v>
      </c>
      <c r="S2826" s="204" t="s">
        <v>2276</v>
      </c>
      <c r="T2826" s="204" t="s">
        <v>2276</v>
      </c>
      <c r="U2826" s="204" t="s">
        <v>2276</v>
      </c>
      <c r="V2826" s="204" t="s">
        <v>2276</v>
      </c>
      <c r="W2826" s="204" t="s">
        <v>2276</v>
      </c>
      <c r="X2826" s="204" t="s">
        <v>188</v>
      </c>
      <c r="Y2826" s="204" t="s">
        <v>189</v>
      </c>
      <c r="Z2826" s="204" t="s">
        <v>64</v>
      </c>
      <c r="AA2826" s="204"/>
      <c r="AB2826" s="204"/>
    </row>
    <row r="2827" spans="1:28" ht="29" customHeight="1">
      <c r="A2827" s="156" t="str">
        <f>'Reported burning'!A2827</f>
        <v>305af</v>
      </c>
      <c r="B2827" s="156" t="str">
        <f>'Reported burning'!B2827</f>
        <v>305af.10</v>
      </c>
      <c r="C2827" s="156" t="str">
        <f>'Reported burning'!C2827</f>
        <v>Human, deliberate</v>
      </c>
      <c r="D2827" s="156" t="str">
        <f>'Reported burning'!D2827</f>
        <v>Pyrome management</v>
      </c>
      <c r="E2827" s="156" t="str">
        <f>'Reported burning'!E2827</f>
        <v>Fire suppression agent</v>
      </c>
      <c r="F2827" s="156" t="str">
        <f>'Reported burning'!F2827</f>
        <v>ND</v>
      </c>
      <c r="G2827" s="156" t="str">
        <f>'Reported burning'!G2827</f>
        <v>ND</v>
      </c>
      <c r="H2827" s="156" t="str">
        <f>'Reported burning'!H2827</f>
        <v>Presence</v>
      </c>
      <c r="I2827" s="5"/>
      <c r="J2827" s="204" t="s">
        <v>2276</v>
      </c>
      <c r="K2827" s="204" t="s">
        <v>2276</v>
      </c>
      <c r="L2827" s="204" t="s">
        <v>2276</v>
      </c>
      <c r="M2827" s="204" t="s">
        <v>2276</v>
      </c>
      <c r="N2827" s="204" t="s">
        <v>2276</v>
      </c>
      <c r="O2827" s="204" t="s">
        <v>2276</v>
      </c>
      <c r="P2827" s="204" t="s">
        <v>2276</v>
      </c>
      <c r="Q2827" s="204" t="s">
        <v>2276</v>
      </c>
      <c r="R2827" s="204" t="s">
        <v>2276</v>
      </c>
      <c r="S2827" s="204" t="s">
        <v>2276</v>
      </c>
      <c r="T2827" s="204" t="s">
        <v>2276</v>
      </c>
      <c r="U2827" s="204" t="s">
        <v>2276</v>
      </c>
      <c r="V2827" s="204" t="s">
        <v>2276</v>
      </c>
      <c r="W2827" s="204" t="s">
        <v>2276</v>
      </c>
      <c r="X2827" s="204" t="s">
        <v>188</v>
      </c>
      <c r="Y2827" s="204" t="s">
        <v>189</v>
      </c>
      <c r="Z2827" s="204" t="s">
        <v>64</v>
      </c>
      <c r="AA2827" s="204"/>
      <c r="AB2827" s="204"/>
    </row>
    <row r="2828" spans="1:28" ht="29" customHeight="1">
      <c r="A2828" s="156" t="str">
        <f>'Reported burning'!A2828</f>
        <v>305af</v>
      </c>
      <c r="B2828" s="156" t="str">
        <f>'Reported burning'!B2828</f>
        <v>305af.11</v>
      </c>
      <c r="C2828" s="156" t="str">
        <f>'Reported burning'!C2828</f>
        <v>Human, deliberate</v>
      </c>
      <c r="D2828" s="156" t="str">
        <f>'Reported burning'!D2828</f>
        <v>Pyrome management</v>
      </c>
      <c r="E2828" s="156" t="str">
        <f>'Reported burning'!E2828</f>
        <v>Fire suppression agent</v>
      </c>
      <c r="F2828" s="156" t="str">
        <f>'Reported burning'!F2828</f>
        <v>ND</v>
      </c>
      <c r="G2828" s="156" t="str">
        <f>'Reported burning'!G2828</f>
        <v>ND</v>
      </c>
      <c r="H2828" s="156" t="str">
        <f>'Reported burning'!H2828</f>
        <v>Presence</v>
      </c>
      <c r="I2828" s="5"/>
      <c r="J2828" s="204" t="s">
        <v>2276</v>
      </c>
      <c r="K2828" s="204" t="s">
        <v>2276</v>
      </c>
      <c r="L2828" s="204" t="s">
        <v>2276</v>
      </c>
      <c r="M2828" s="204" t="s">
        <v>2276</v>
      </c>
      <c r="N2828" s="204" t="s">
        <v>2276</v>
      </c>
      <c r="O2828" s="204" t="s">
        <v>2276</v>
      </c>
      <c r="P2828" s="204" t="s">
        <v>2276</v>
      </c>
      <c r="Q2828" s="204" t="s">
        <v>2276</v>
      </c>
      <c r="R2828" s="204" t="s">
        <v>2276</v>
      </c>
      <c r="S2828" s="204" t="s">
        <v>2276</v>
      </c>
      <c r="T2828" s="204" t="s">
        <v>2276</v>
      </c>
      <c r="U2828" s="204" t="s">
        <v>2276</v>
      </c>
      <c r="V2828" s="204" t="s">
        <v>2276</v>
      </c>
      <c r="W2828" s="204" t="s">
        <v>2276</v>
      </c>
      <c r="X2828" s="204" t="s">
        <v>188</v>
      </c>
      <c r="Y2828" s="204" t="s">
        <v>189</v>
      </c>
      <c r="Z2828" s="204" t="s">
        <v>64</v>
      </c>
      <c r="AA2828" s="204"/>
      <c r="AB2828" s="204"/>
    </row>
    <row r="2829" spans="1:28" ht="29" customHeight="1">
      <c r="A2829" s="156" t="str">
        <f>'Reported burning'!A2829</f>
        <v>305af</v>
      </c>
      <c r="B2829" s="156" t="str">
        <f>'Reported burning'!B2829</f>
        <v>305af.12</v>
      </c>
      <c r="C2829" s="156" t="str">
        <f>'Reported burning'!C2829</f>
        <v>Human, deliberate</v>
      </c>
      <c r="D2829" s="156" t="str">
        <f>'Reported burning'!D2829</f>
        <v>Pyrome management</v>
      </c>
      <c r="E2829" s="156" t="str">
        <f>'Reported burning'!E2829</f>
        <v>Fire suppression agent</v>
      </c>
      <c r="F2829" s="156" t="str">
        <f>'Reported burning'!F2829</f>
        <v>ND</v>
      </c>
      <c r="G2829" s="156" t="str">
        <f>'Reported burning'!G2829</f>
        <v>ND</v>
      </c>
      <c r="H2829" s="156" t="str">
        <f>'Reported burning'!H2829</f>
        <v>Presence</v>
      </c>
      <c r="I2829" s="5"/>
      <c r="J2829" s="204" t="s">
        <v>2276</v>
      </c>
      <c r="K2829" s="204" t="s">
        <v>2276</v>
      </c>
      <c r="L2829" s="204" t="s">
        <v>2276</v>
      </c>
      <c r="M2829" s="204" t="s">
        <v>2276</v>
      </c>
      <c r="N2829" s="204" t="s">
        <v>2276</v>
      </c>
      <c r="O2829" s="204" t="s">
        <v>2276</v>
      </c>
      <c r="P2829" s="204" t="s">
        <v>2276</v>
      </c>
      <c r="Q2829" s="204" t="s">
        <v>2276</v>
      </c>
      <c r="R2829" s="204" t="s">
        <v>2276</v>
      </c>
      <c r="S2829" s="204" t="s">
        <v>2276</v>
      </c>
      <c r="T2829" s="204" t="s">
        <v>2276</v>
      </c>
      <c r="U2829" s="204" t="s">
        <v>2276</v>
      </c>
      <c r="V2829" s="204" t="s">
        <v>2276</v>
      </c>
      <c r="W2829" s="204" t="s">
        <v>2276</v>
      </c>
      <c r="X2829" s="204" t="s">
        <v>188</v>
      </c>
      <c r="Y2829" s="204" t="s">
        <v>189</v>
      </c>
      <c r="Z2829" s="204" t="s">
        <v>64</v>
      </c>
      <c r="AA2829" s="204"/>
      <c r="AB2829" s="204"/>
    </row>
    <row r="2830" spans="1:28" ht="29" customHeight="1">
      <c r="A2830" s="156" t="str">
        <f>'Reported burning'!A2830</f>
        <v>305af</v>
      </c>
      <c r="B2830" s="156" t="str">
        <f>'Reported burning'!B2830</f>
        <v>305af.13</v>
      </c>
      <c r="C2830" s="156" t="str">
        <f>'Reported burning'!C2830</f>
        <v>Human, deliberate</v>
      </c>
      <c r="D2830" s="156" t="str">
        <f>'Reported burning'!D2830</f>
        <v>Pyrome management</v>
      </c>
      <c r="E2830" s="156" t="str">
        <f>'Reported burning'!E2830</f>
        <v>Fire suppression agent</v>
      </c>
      <c r="F2830" s="156" t="str">
        <f>'Reported burning'!F2830</f>
        <v>ND</v>
      </c>
      <c r="G2830" s="156" t="str">
        <f>'Reported burning'!G2830</f>
        <v>ND</v>
      </c>
      <c r="H2830" s="156" t="str">
        <f>'Reported burning'!H2830</f>
        <v>Presence</v>
      </c>
      <c r="I2830" s="5"/>
      <c r="J2830" s="204" t="s">
        <v>2276</v>
      </c>
      <c r="K2830" s="204" t="s">
        <v>2276</v>
      </c>
      <c r="L2830" s="204" t="s">
        <v>2276</v>
      </c>
      <c r="M2830" s="204" t="s">
        <v>2276</v>
      </c>
      <c r="N2830" s="204" t="s">
        <v>2276</v>
      </c>
      <c r="O2830" s="204" t="s">
        <v>2276</v>
      </c>
      <c r="P2830" s="204" t="s">
        <v>2276</v>
      </c>
      <c r="Q2830" s="204" t="s">
        <v>2276</v>
      </c>
      <c r="R2830" s="204" t="s">
        <v>2276</v>
      </c>
      <c r="S2830" s="204" t="s">
        <v>2276</v>
      </c>
      <c r="T2830" s="204" t="s">
        <v>2276</v>
      </c>
      <c r="U2830" s="204" t="s">
        <v>2276</v>
      </c>
      <c r="V2830" s="204" t="s">
        <v>2276</v>
      </c>
      <c r="W2830" s="204" t="s">
        <v>2276</v>
      </c>
      <c r="X2830" s="204" t="s">
        <v>188</v>
      </c>
      <c r="Y2830" s="204" t="s">
        <v>189</v>
      </c>
      <c r="Z2830" s="204" t="s">
        <v>64</v>
      </c>
      <c r="AA2830" s="204"/>
      <c r="AB2830" s="204"/>
    </row>
    <row r="2831" spans="1:28" ht="29" customHeight="1">
      <c r="A2831" s="156" t="str">
        <f>'Reported burning'!A2831</f>
        <v>305af</v>
      </c>
      <c r="B2831" s="156" t="str">
        <f>'Reported burning'!B2831</f>
        <v>305af.14</v>
      </c>
      <c r="C2831" s="156" t="str">
        <f>'Reported burning'!C2831</f>
        <v>Human, deliberate</v>
      </c>
      <c r="D2831" s="156" t="str">
        <f>'Reported burning'!D2831</f>
        <v>Pyrome management</v>
      </c>
      <c r="E2831" s="156" t="str">
        <f>'Reported burning'!E2831</f>
        <v>Fire suppression agent</v>
      </c>
      <c r="F2831" s="156" t="str">
        <f>'Reported burning'!F2831</f>
        <v>ND</v>
      </c>
      <c r="G2831" s="156" t="str">
        <f>'Reported burning'!G2831</f>
        <v>ND</v>
      </c>
      <c r="H2831" s="156" t="str">
        <f>'Reported burning'!H2831</f>
        <v>Presence</v>
      </c>
      <c r="I2831" s="5"/>
      <c r="J2831" s="204" t="s">
        <v>2276</v>
      </c>
      <c r="K2831" s="204" t="s">
        <v>2276</v>
      </c>
      <c r="L2831" s="204" t="s">
        <v>2276</v>
      </c>
      <c r="M2831" s="204" t="s">
        <v>2276</v>
      </c>
      <c r="N2831" s="204" t="s">
        <v>2276</v>
      </c>
      <c r="O2831" s="204" t="s">
        <v>2276</v>
      </c>
      <c r="P2831" s="204" t="s">
        <v>2276</v>
      </c>
      <c r="Q2831" s="204" t="s">
        <v>2276</v>
      </c>
      <c r="R2831" s="204" t="s">
        <v>2276</v>
      </c>
      <c r="S2831" s="204" t="s">
        <v>2276</v>
      </c>
      <c r="T2831" s="204" t="s">
        <v>2276</v>
      </c>
      <c r="U2831" s="204" t="s">
        <v>2276</v>
      </c>
      <c r="V2831" s="204" t="s">
        <v>2276</v>
      </c>
      <c r="W2831" s="204" t="s">
        <v>2276</v>
      </c>
      <c r="X2831" s="204" t="s">
        <v>188</v>
      </c>
      <c r="Y2831" s="204" t="s">
        <v>189</v>
      </c>
      <c r="Z2831" s="204" t="s">
        <v>64</v>
      </c>
      <c r="AA2831" s="204"/>
      <c r="AB2831" s="204"/>
    </row>
    <row r="2832" spans="1:28" ht="29" customHeight="1">
      <c r="A2832" s="156" t="str">
        <f>'Reported burning'!A2832</f>
        <v>305af</v>
      </c>
      <c r="B2832" s="156" t="str">
        <f>'Reported burning'!B2832</f>
        <v>305af.15</v>
      </c>
      <c r="C2832" s="156" t="str">
        <f>'Reported burning'!C2832</f>
        <v>Human, deliberate</v>
      </c>
      <c r="D2832" s="156" t="str">
        <f>'Reported burning'!D2832</f>
        <v>Pyrome management</v>
      </c>
      <c r="E2832" s="156" t="str">
        <f>'Reported burning'!E2832</f>
        <v>Fire suppression agent</v>
      </c>
      <c r="F2832" s="156" t="str">
        <f>'Reported burning'!F2832</f>
        <v>ND</v>
      </c>
      <c r="G2832" s="156" t="str">
        <f>'Reported burning'!G2832</f>
        <v>ND</v>
      </c>
      <c r="H2832" s="156" t="str">
        <f>'Reported burning'!H2832</f>
        <v>Presence</v>
      </c>
      <c r="I2832" s="5"/>
      <c r="J2832" s="204" t="s">
        <v>2276</v>
      </c>
      <c r="K2832" s="204" t="s">
        <v>2276</v>
      </c>
      <c r="L2832" s="204" t="s">
        <v>2276</v>
      </c>
      <c r="M2832" s="204" t="s">
        <v>2276</v>
      </c>
      <c r="N2832" s="204" t="s">
        <v>2276</v>
      </c>
      <c r="O2832" s="204" t="s">
        <v>2276</v>
      </c>
      <c r="P2832" s="204" t="s">
        <v>2276</v>
      </c>
      <c r="Q2832" s="204" t="s">
        <v>2276</v>
      </c>
      <c r="R2832" s="204" t="s">
        <v>2276</v>
      </c>
      <c r="S2832" s="204" t="s">
        <v>2276</v>
      </c>
      <c r="T2832" s="204" t="s">
        <v>2276</v>
      </c>
      <c r="U2832" s="204" t="s">
        <v>2276</v>
      </c>
      <c r="V2832" s="204" t="s">
        <v>2276</v>
      </c>
      <c r="W2832" s="204" t="s">
        <v>2276</v>
      </c>
      <c r="X2832" s="204" t="s">
        <v>188</v>
      </c>
      <c r="Y2832" s="204" t="s">
        <v>189</v>
      </c>
      <c r="Z2832" s="204" t="s">
        <v>64</v>
      </c>
      <c r="AA2832" s="204"/>
      <c r="AB2832" s="204"/>
    </row>
    <row r="2833" spans="1:28" ht="29" customHeight="1">
      <c r="A2833" s="156" t="str">
        <f>'Reported burning'!A2833</f>
        <v>305af</v>
      </c>
      <c r="B2833" s="156" t="str">
        <f>'Reported burning'!B2833</f>
        <v>305af.16</v>
      </c>
      <c r="C2833" s="156" t="str">
        <f>'Reported burning'!C2833</f>
        <v>Human, deliberate</v>
      </c>
      <c r="D2833" s="156" t="str">
        <f>'Reported burning'!D2833</f>
        <v>Pyrome management</v>
      </c>
      <c r="E2833" s="156" t="str">
        <f>'Reported burning'!E2833</f>
        <v>Fire suppression agent</v>
      </c>
      <c r="F2833" s="156" t="str">
        <f>'Reported burning'!F2833</f>
        <v>ND</v>
      </c>
      <c r="G2833" s="156" t="str">
        <f>'Reported burning'!G2833</f>
        <v>ND</v>
      </c>
      <c r="H2833" s="156" t="str">
        <f>'Reported burning'!H2833</f>
        <v>Presence</v>
      </c>
      <c r="I2833" s="5"/>
      <c r="J2833" s="204" t="s">
        <v>2276</v>
      </c>
      <c r="K2833" s="204" t="s">
        <v>2276</v>
      </c>
      <c r="L2833" s="204" t="s">
        <v>2276</v>
      </c>
      <c r="M2833" s="204" t="s">
        <v>2276</v>
      </c>
      <c r="N2833" s="204" t="s">
        <v>2276</v>
      </c>
      <c r="O2833" s="204" t="s">
        <v>2276</v>
      </c>
      <c r="P2833" s="204" t="s">
        <v>2276</v>
      </c>
      <c r="Q2833" s="204" t="s">
        <v>2276</v>
      </c>
      <c r="R2833" s="204" t="s">
        <v>2276</v>
      </c>
      <c r="S2833" s="204" t="s">
        <v>2276</v>
      </c>
      <c r="T2833" s="204" t="s">
        <v>2276</v>
      </c>
      <c r="U2833" s="204" t="s">
        <v>2276</v>
      </c>
      <c r="V2833" s="204" t="s">
        <v>2276</v>
      </c>
      <c r="W2833" s="204" t="s">
        <v>2276</v>
      </c>
      <c r="X2833" s="204" t="s">
        <v>188</v>
      </c>
      <c r="Y2833" s="204" t="s">
        <v>189</v>
      </c>
      <c r="Z2833" s="204" t="s">
        <v>64</v>
      </c>
      <c r="AA2833" s="204"/>
      <c r="AB2833" s="204"/>
    </row>
    <row r="2834" spans="1:28" ht="29" customHeight="1">
      <c r="A2834" s="156" t="str">
        <f>'Reported burning'!A2834</f>
        <v>305af</v>
      </c>
      <c r="B2834" s="156" t="str">
        <f>'Reported burning'!B2834</f>
        <v>305af.17</v>
      </c>
      <c r="C2834" s="156" t="str">
        <f>'Reported burning'!C2834</f>
        <v>Human, deliberate</v>
      </c>
      <c r="D2834" s="156" t="str">
        <f>'Reported burning'!D2834</f>
        <v>Pyrome management</v>
      </c>
      <c r="E2834" s="156" t="str">
        <f>'Reported burning'!E2834</f>
        <v>Fire suppression agent</v>
      </c>
      <c r="F2834" s="156" t="str">
        <f>'Reported burning'!F2834</f>
        <v>ND</v>
      </c>
      <c r="G2834" s="156" t="str">
        <f>'Reported burning'!G2834</f>
        <v>ND</v>
      </c>
      <c r="H2834" s="156" t="str">
        <f>'Reported burning'!H2834</f>
        <v>Presence</v>
      </c>
      <c r="I2834" s="5"/>
      <c r="J2834" s="204" t="s">
        <v>2276</v>
      </c>
      <c r="K2834" s="204" t="s">
        <v>2276</v>
      </c>
      <c r="L2834" s="204" t="s">
        <v>2276</v>
      </c>
      <c r="M2834" s="204" t="s">
        <v>2276</v>
      </c>
      <c r="N2834" s="204" t="s">
        <v>2276</v>
      </c>
      <c r="O2834" s="204" t="s">
        <v>2276</v>
      </c>
      <c r="P2834" s="204" t="s">
        <v>2276</v>
      </c>
      <c r="Q2834" s="204" t="s">
        <v>2276</v>
      </c>
      <c r="R2834" s="204" t="s">
        <v>2276</v>
      </c>
      <c r="S2834" s="204" t="s">
        <v>2276</v>
      </c>
      <c r="T2834" s="204" t="s">
        <v>2276</v>
      </c>
      <c r="U2834" s="204" t="s">
        <v>2276</v>
      </c>
      <c r="V2834" s="204" t="s">
        <v>2276</v>
      </c>
      <c r="W2834" s="204" t="s">
        <v>2276</v>
      </c>
      <c r="X2834" s="204" t="s">
        <v>188</v>
      </c>
      <c r="Y2834" s="204" t="s">
        <v>189</v>
      </c>
      <c r="Z2834" s="204" t="s">
        <v>64</v>
      </c>
      <c r="AA2834" s="204"/>
      <c r="AB2834" s="204"/>
    </row>
    <row r="2835" spans="1:28" ht="29" customHeight="1">
      <c r="A2835" s="156" t="str">
        <f>'Reported burning'!A2835</f>
        <v>305af</v>
      </c>
      <c r="B2835" s="156" t="str">
        <f>'Reported burning'!B2835</f>
        <v>305af.18</v>
      </c>
      <c r="C2835" s="156" t="str">
        <f>'Reported burning'!C2835</f>
        <v>Human, deliberate</v>
      </c>
      <c r="D2835" s="156" t="str">
        <f>'Reported burning'!D2835</f>
        <v>Pyrome management</v>
      </c>
      <c r="E2835" s="156" t="str">
        <f>'Reported burning'!E2835</f>
        <v>Fire suppression agent</v>
      </c>
      <c r="F2835" s="156" t="str">
        <f>'Reported burning'!F2835</f>
        <v>ND</v>
      </c>
      <c r="G2835" s="156" t="str">
        <f>'Reported burning'!G2835</f>
        <v>ND</v>
      </c>
      <c r="H2835" s="156" t="str">
        <f>'Reported burning'!H2835</f>
        <v>Presence</v>
      </c>
      <c r="I2835" s="5"/>
      <c r="J2835" s="204" t="s">
        <v>2276</v>
      </c>
      <c r="K2835" s="204" t="s">
        <v>2276</v>
      </c>
      <c r="L2835" s="204" t="s">
        <v>2276</v>
      </c>
      <c r="M2835" s="204" t="s">
        <v>2276</v>
      </c>
      <c r="N2835" s="204" t="s">
        <v>2276</v>
      </c>
      <c r="O2835" s="204" t="s">
        <v>2276</v>
      </c>
      <c r="P2835" s="204" t="s">
        <v>2276</v>
      </c>
      <c r="Q2835" s="204" t="s">
        <v>2276</v>
      </c>
      <c r="R2835" s="204" t="s">
        <v>2276</v>
      </c>
      <c r="S2835" s="204" t="s">
        <v>2276</v>
      </c>
      <c r="T2835" s="204" t="s">
        <v>2276</v>
      </c>
      <c r="U2835" s="204" t="s">
        <v>2276</v>
      </c>
      <c r="V2835" s="204" t="s">
        <v>2276</v>
      </c>
      <c r="W2835" s="204" t="s">
        <v>2276</v>
      </c>
      <c r="X2835" s="204" t="s">
        <v>188</v>
      </c>
      <c r="Y2835" s="204" t="s">
        <v>189</v>
      </c>
      <c r="Z2835" s="204" t="s">
        <v>64</v>
      </c>
      <c r="AA2835" s="204"/>
      <c r="AB2835" s="204"/>
    </row>
    <row r="2836" spans="1:28" ht="29" customHeight="1">
      <c r="A2836" s="152" t="str">
        <f>'Reported burning'!A2836</f>
        <v>305ag</v>
      </c>
      <c r="B2836" s="152" t="str">
        <f>'Reported burning'!B2836</f>
        <v>305ag.1</v>
      </c>
      <c r="C2836" s="152" t="str">
        <f>'Reported burning'!C2836</f>
        <v>Human, deliberate</v>
      </c>
      <c r="D2836" s="152" t="str">
        <f>'Reported burning'!D2836</f>
        <v>Pyrome management</v>
      </c>
      <c r="E2836" s="152" t="str">
        <f>'Reported burning'!E2836</f>
        <v>Fire suppression agent</v>
      </c>
      <c r="F2836" s="152" t="str">
        <f>'Reported burning'!F2836</f>
        <v>ND</v>
      </c>
      <c r="G2836" s="152" t="str">
        <f>'Reported burning'!G2836</f>
        <v>ND</v>
      </c>
      <c r="H2836" s="152" t="str">
        <f>'Reported burning'!H2836</f>
        <v>Presence</v>
      </c>
      <c r="I2836" s="204"/>
      <c r="J2836" s="204" t="s">
        <v>2276</v>
      </c>
      <c r="K2836" s="204" t="s">
        <v>2276</v>
      </c>
      <c r="L2836" s="21" t="s">
        <v>2362</v>
      </c>
      <c r="M2836" s="204" t="s">
        <v>2276</v>
      </c>
      <c r="N2836" s="21" t="s">
        <v>2374</v>
      </c>
      <c r="O2836" s="204" t="s">
        <v>2276</v>
      </c>
      <c r="P2836" s="204" t="s">
        <v>2276</v>
      </c>
      <c r="Q2836" s="204" t="s">
        <v>2276</v>
      </c>
      <c r="R2836" s="204" t="s">
        <v>2276</v>
      </c>
      <c r="S2836" s="204" t="s">
        <v>2276</v>
      </c>
      <c r="T2836" s="204" t="s">
        <v>2276</v>
      </c>
      <c r="U2836" s="204" t="s">
        <v>2276</v>
      </c>
      <c r="V2836" s="204" t="s">
        <v>2276</v>
      </c>
      <c r="W2836" s="204" t="s">
        <v>2276</v>
      </c>
      <c r="X2836" s="204" t="s">
        <v>68</v>
      </c>
      <c r="Y2836" s="204" t="s">
        <v>189</v>
      </c>
      <c r="Z2836" s="204" t="s">
        <v>64</v>
      </c>
      <c r="AA2836" s="204"/>
      <c r="AB2836" s="204"/>
    </row>
    <row r="2837" spans="1:28" ht="29" customHeight="1">
      <c r="A2837" s="152" t="str">
        <f>'Reported burning'!A2837</f>
        <v>305af</v>
      </c>
      <c r="B2837" s="152" t="str">
        <f>'Reported burning'!B2837</f>
        <v>305af.19</v>
      </c>
      <c r="C2837" s="152" t="str">
        <f>'Reported burning'!C2837</f>
        <v>Human, deliberate</v>
      </c>
      <c r="D2837" s="152" t="str">
        <f>'Reported burning'!D2837</f>
        <v>Pyrome management</v>
      </c>
      <c r="E2837" s="152" t="str">
        <f>'Reported burning'!E2837</f>
        <v>Fire suppression agent</v>
      </c>
      <c r="F2837" s="152" t="str">
        <f>'Reported burning'!F2837</f>
        <v>Shrubland (Mixed forest &amp; grassland)</v>
      </c>
      <c r="G2837" s="152" t="str">
        <f>'Reported burning'!G2837</f>
        <v>Shrubland (Mixed forest &amp; grassland)</v>
      </c>
      <c r="H2837" s="152" t="str">
        <f>'Reported burning'!H2837</f>
        <v>Presence</v>
      </c>
      <c r="I2837" s="204"/>
      <c r="J2837" s="204" t="s">
        <v>2276</v>
      </c>
      <c r="K2837" s="204" t="s">
        <v>2276</v>
      </c>
      <c r="L2837" s="21" t="s">
        <v>2362</v>
      </c>
      <c r="M2837" s="204" t="s">
        <v>2276</v>
      </c>
      <c r="N2837" s="204" t="s">
        <v>2276</v>
      </c>
      <c r="O2837" s="204" t="s">
        <v>2276</v>
      </c>
      <c r="P2837" s="204" t="s">
        <v>2276</v>
      </c>
      <c r="Q2837" s="204" t="s">
        <v>2276</v>
      </c>
      <c r="R2837" s="21" t="s">
        <v>2375</v>
      </c>
      <c r="S2837" s="204" t="s">
        <v>2276</v>
      </c>
      <c r="T2837" s="204" t="s">
        <v>2276</v>
      </c>
      <c r="U2837" s="204" t="s">
        <v>2276</v>
      </c>
      <c r="V2837" s="204" t="s">
        <v>2276</v>
      </c>
      <c r="W2837" s="204" t="s">
        <v>2276</v>
      </c>
      <c r="X2837" s="204" t="s">
        <v>188</v>
      </c>
      <c r="Y2837" s="204" t="s">
        <v>189</v>
      </c>
      <c r="Z2837" s="204" t="s">
        <v>64</v>
      </c>
      <c r="AA2837" s="19" t="s">
        <v>7629</v>
      </c>
      <c r="AB2837" s="204"/>
    </row>
    <row r="2838" spans="1:28" ht="29" customHeight="1">
      <c r="A2838" s="152" t="str">
        <f>'Reported burning'!A2838</f>
        <v>305af</v>
      </c>
      <c r="B2838" s="152" t="str">
        <f>'Reported burning'!B2838</f>
        <v>305af.20</v>
      </c>
      <c r="C2838" s="152" t="str">
        <f>'Reported burning'!C2838</f>
        <v>Human, deliberate</v>
      </c>
      <c r="D2838" s="152" t="str">
        <f>'Reported burning'!D2838</f>
        <v>Pyrome management</v>
      </c>
      <c r="E2838" s="152" t="str">
        <f>'Reported burning'!E2838</f>
        <v>Fire suppression agent</v>
      </c>
      <c r="F2838" s="152" t="str">
        <f>'Reported burning'!F2838</f>
        <v>Forest</v>
      </c>
      <c r="G2838" s="152" t="str">
        <f>'Reported burning'!G2838</f>
        <v>Forest</v>
      </c>
      <c r="H2838" s="152" t="str">
        <f>'Reported burning'!H2838</f>
        <v>Presence</v>
      </c>
      <c r="I2838" s="204"/>
      <c r="J2838" s="204"/>
      <c r="K2838" s="204"/>
      <c r="L2838" s="21" t="s">
        <v>2362</v>
      </c>
      <c r="M2838" s="204" t="s">
        <v>2276</v>
      </c>
      <c r="N2838" s="204" t="s">
        <v>2276</v>
      </c>
      <c r="O2838" s="204" t="s">
        <v>2276</v>
      </c>
      <c r="P2838" s="204" t="s">
        <v>2276</v>
      </c>
      <c r="Q2838" s="204" t="s">
        <v>2276</v>
      </c>
      <c r="R2838" s="21" t="s">
        <v>2375</v>
      </c>
      <c r="S2838" s="204" t="s">
        <v>2276</v>
      </c>
      <c r="T2838" s="204" t="s">
        <v>2276</v>
      </c>
      <c r="U2838" s="204" t="s">
        <v>2276</v>
      </c>
      <c r="V2838" s="204" t="s">
        <v>2276</v>
      </c>
      <c r="W2838" s="204" t="s">
        <v>2276</v>
      </c>
      <c r="X2838" s="204" t="s">
        <v>188</v>
      </c>
      <c r="Y2838" s="204" t="s">
        <v>189</v>
      </c>
      <c r="Z2838" s="204" t="s">
        <v>64</v>
      </c>
      <c r="AA2838" s="19" t="s">
        <v>7629</v>
      </c>
      <c r="AB2838" s="204"/>
    </row>
    <row r="2839" spans="1:28" ht="29" customHeight="1">
      <c r="A2839" s="152" t="str">
        <f>'Reported burning'!A2839</f>
        <v>305ah</v>
      </c>
      <c r="B2839" s="152" t="str">
        <f>'Reported burning'!B2839</f>
        <v>305ah.1</v>
      </c>
      <c r="C2839" s="152" t="str">
        <f>'Reported burning'!C2839</f>
        <v>Human, deliberate</v>
      </c>
      <c r="D2839" s="152" t="str">
        <f>'Reported burning'!D2839</f>
        <v>Pyrome management</v>
      </c>
      <c r="E2839" s="152" t="str">
        <f>'Reported burning'!E2839</f>
        <v>Fire suppression agent</v>
      </c>
      <c r="F2839" s="152" t="str">
        <f>'Reported burning'!F2839</f>
        <v>Forest</v>
      </c>
      <c r="G2839" s="152" t="str">
        <f>'Reported burning'!G2839</f>
        <v>Forest</v>
      </c>
      <c r="H2839" s="152" t="str">
        <f>'Reported burning'!H2839</f>
        <v>Presence</v>
      </c>
      <c r="I2839" s="204"/>
      <c r="J2839" s="204" t="s">
        <v>2276</v>
      </c>
      <c r="K2839" s="204" t="s">
        <v>2276</v>
      </c>
      <c r="L2839" s="21" t="s">
        <v>2362</v>
      </c>
      <c r="M2839" s="204" t="s">
        <v>2276</v>
      </c>
      <c r="N2839" s="204" t="s">
        <v>2276</v>
      </c>
      <c r="O2839" s="204" t="s">
        <v>2276</v>
      </c>
      <c r="P2839" s="204" t="s">
        <v>2276</v>
      </c>
      <c r="Q2839" s="204" t="s">
        <v>2276</v>
      </c>
      <c r="R2839" s="21" t="s">
        <v>2373</v>
      </c>
      <c r="S2839" s="204" t="s">
        <v>2276</v>
      </c>
      <c r="T2839" s="204" t="s">
        <v>2276</v>
      </c>
      <c r="U2839" s="204" t="s">
        <v>2276</v>
      </c>
      <c r="V2839" s="204" t="s">
        <v>2276</v>
      </c>
      <c r="W2839" s="204" t="s">
        <v>2276</v>
      </c>
      <c r="X2839" s="204" t="s">
        <v>68</v>
      </c>
      <c r="Y2839" s="204" t="s">
        <v>86</v>
      </c>
      <c r="Z2839" s="204" t="s">
        <v>76</v>
      </c>
      <c r="AA2839" s="4" t="s">
        <v>7628</v>
      </c>
      <c r="AB2839" s="204"/>
    </row>
    <row r="2840" spans="1:28" s="203" customFormat="1" ht="29" customHeight="1">
      <c r="A2840" s="152" t="str">
        <f>'Reported burning'!A2840</f>
        <v>305ai</v>
      </c>
      <c r="B2840" s="152" t="str">
        <f>'Reported burning'!B2840</f>
        <v>305ai.1</v>
      </c>
      <c r="C2840" s="152" t="str">
        <f>'Reported burning'!C2840</f>
        <v>Human, deliberate</v>
      </c>
      <c r="D2840" s="152" t="str">
        <f>'Reported burning'!D2840</f>
        <v>Pyrome management</v>
      </c>
      <c r="E2840" s="152" t="str">
        <f>'Reported burning'!E2840</f>
        <v>Fire suppression agent</v>
      </c>
      <c r="F2840" s="152" t="str">
        <f>'Reported burning'!F2840</f>
        <v>Forest</v>
      </c>
      <c r="G2840" s="152" t="str">
        <f>'Reported burning'!G2840</f>
        <v>Forest</v>
      </c>
      <c r="H2840" s="152" t="str">
        <f>'Reported burning'!H2840</f>
        <v>Presence</v>
      </c>
      <c r="I2840" s="204"/>
      <c r="J2840" s="204" t="s">
        <v>2276</v>
      </c>
      <c r="K2840" s="204" t="s">
        <v>2276</v>
      </c>
      <c r="L2840" s="21" t="s">
        <v>2362</v>
      </c>
      <c r="M2840" s="204" t="s">
        <v>2276</v>
      </c>
      <c r="N2840" s="204" t="s">
        <v>2276</v>
      </c>
      <c r="O2840" s="204" t="s">
        <v>2276</v>
      </c>
      <c r="P2840" s="204" t="s">
        <v>2276</v>
      </c>
      <c r="Q2840" s="204" t="s">
        <v>2276</v>
      </c>
      <c r="R2840" s="21" t="s">
        <v>2373</v>
      </c>
      <c r="S2840" s="204" t="s">
        <v>2276</v>
      </c>
      <c r="T2840" s="204" t="s">
        <v>2276</v>
      </c>
      <c r="U2840" s="204" t="s">
        <v>2276</v>
      </c>
      <c r="V2840" s="204" t="s">
        <v>2276</v>
      </c>
      <c r="W2840" s="204" t="s">
        <v>2276</v>
      </c>
      <c r="X2840" s="204" t="s">
        <v>35</v>
      </c>
      <c r="Y2840" s="204" t="s">
        <v>38</v>
      </c>
      <c r="Z2840" s="204" t="s">
        <v>64</v>
      </c>
      <c r="AA2840" s="204" t="s">
        <v>7627</v>
      </c>
      <c r="AB2840" s="204"/>
    </row>
    <row r="2841" spans="1:28" ht="24.5" customHeight="1">
      <c r="A2841" s="152" t="str">
        <f>'Reported burning'!A2841</f>
        <v>305ai</v>
      </c>
      <c r="B2841" s="152" t="str">
        <f>'Reported burning'!B2842</f>
        <v>305ai.2</v>
      </c>
      <c r="C2841" s="152" t="str">
        <f>'Reported burning'!C2841</f>
        <v>Human, deliberate</v>
      </c>
      <c r="D2841" s="152" t="str">
        <f>'Reported burning'!D2841</f>
        <v>Pyrome management</v>
      </c>
      <c r="E2841" s="152" t="str">
        <f>'Reported burning'!E2841</f>
        <v>Fire suppression agent</v>
      </c>
      <c r="F2841" s="152" t="str">
        <f>'Reported burning'!F2841</f>
        <v>Shrubland (Mixed forest &amp; grassland)</v>
      </c>
      <c r="G2841" s="152" t="str">
        <f>'Reported burning'!G2841</f>
        <v>Shrubland (Mixed forest &amp; grassland)</v>
      </c>
      <c r="H2841" s="152" t="str">
        <f>'Reported burning'!H2841</f>
        <v>Presence</v>
      </c>
      <c r="I2841" s="204"/>
      <c r="J2841" s="204" t="s">
        <v>2276</v>
      </c>
      <c r="K2841" s="204" t="s">
        <v>2276</v>
      </c>
      <c r="L2841" s="21" t="s">
        <v>2362</v>
      </c>
      <c r="M2841" s="204" t="s">
        <v>2276</v>
      </c>
      <c r="N2841" s="21" t="s">
        <v>2377</v>
      </c>
      <c r="O2841" s="204" t="s">
        <v>2276</v>
      </c>
      <c r="P2841" s="204" t="s">
        <v>2276</v>
      </c>
      <c r="Q2841" s="204" t="s">
        <v>2276</v>
      </c>
      <c r="R2841" s="21" t="s">
        <v>2375</v>
      </c>
      <c r="S2841" s="204" t="s">
        <v>2276</v>
      </c>
      <c r="T2841" s="204" t="s">
        <v>2276</v>
      </c>
      <c r="U2841" s="204" t="s">
        <v>2276</v>
      </c>
      <c r="V2841" s="204" t="s">
        <v>2276</v>
      </c>
      <c r="W2841" s="204" t="s">
        <v>2276</v>
      </c>
      <c r="X2841" s="204" t="s">
        <v>68</v>
      </c>
      <c r="Y2841" s="204" t="s">
        <v>86</v>
      </c>
      <c r="Z2841" s="204" t="s">
        <v>76</v>
      </c>
      <c r="AA2841" s="4" t="s">
        <v>7628</v>
      </c>
      <c r="AB2841" s="204"/>
    </row>
    <row r="2842" spans="1:28" ht="29" customHeight="1">
      <c r="A2842" s="152" t="str">
        <f>'Reported burning'!A2842</f>
        <v>305ah</v>
      </c>
      <c r="B2842" s="152" t="str">
        <f>'Reported burning'!B2841</f>
        <v>305ah.2</v>
      </c>
      <c r="C2842" s="152" t="str">
        <f>'Reported burning'!C2842</f>
        <v>Human, deliberate</v>
      </c>
      <c r="D2842" s="152" t="str">
        <f>'Reported burning'!D2842</f>
        <v>Pyrome management</v>
      </c>
      <c r="E2842" s="152" t="str">
        <f>'Reported burning'!E2842</f>
        <v>Fire suppression agent</v>
      </c>
      <c r="F2842" s="152" t="str">
        <f>'Reported burning'!F2842</f>
        <v>Shrubland (Mixed forest &amp; grassland)</v>
      </c>
      <c r="G2842" s="152" t="str">
        <f>'Reported burning'!G2842</f>
        <v>Shrubland (Mixed forest &amp; grassland)</v>
      </c>
      <c r="H2842" s="152" t="str">
        <f>'Reported burning'!H2842</f>
        <v>Presence</v>
      </c>
      <c r="I2842" s="204"/>
      <c r="J2842" s="204" t="s">
        <v>2276</v>
      </c>
      <c r="K2842" s="204" t="s">
        <v>2276</v>
      </c>
      <c r="L2842" s="21" t="s">
        <v>2362</v>
      </c>
      <c r="M2842" s="204" t="s">
        <v>2276</v>
      </c>
      <c r="N2842" s="21" t="s">
        <v>2377</v>
      </c>
      <c r="O2842" s="204" t="s">
        <v>2276</v>
      </c>
      <c r="P2842" s="204" t="s">
        <v>2276</v>
      </c>
      <c r="Q2842" s="204" t="s">
        <v>2276</v>
      </c>
      <c r="R2842" s="21" t="s">
        <v>2375</v>
      </c>
      <c r="S2842" s="204" t="s">
        <v>2276</v>
      </c>
      <c r="T2842" s="204" t="s">
        <v>2276</v>
      </c>
      <c r="U2842" s="204" t="s">
        <v>2276</v>
      </c>
      <c r="V2842" s="204" t="s">
        <v>2276</v>
      </c>
      <c r="W2842" s="204" t="s">
        <v>2276</v>
      </c>
      <c r="X2842" s="204" t="s">
        <v>35</v>
      </c>
      <c r="Y2842" s="204" t="s">
        <v>38</v>
      </c>
      <c r="Z2842" s="204" t="s">
        <v>64</v>
      </c>
      <c r="AA2842" s="204" t="s">
        <v>7627</v>
      </c>
      <c r="AB2842" s="204"/>
    </row>
    <row r="2843" spans="1:28" ht="32" customHeight="1">
      <c r="A2843" s="156" t="str">
        <f>'Reported burning'!A2843</f>
        <v>306a</v>
      </c>
      <c r="B2843" s="156" t="str">
        <f>'Reported burning'!B2843</f>
        <v>306a.1</v>
      </c>
      <c r="C2843" s="156" t="str">
        <f>'Reported burning'!C2843</f>
        <v>Human, deliberate</v>
      </c>
      <c r="D2843" s="156" t="str">
        <f>'Reported burning'!D2843</f>
        <v>Pyrome management</v>
      </c>
      <c r="E2843" s="156" t="str">
        <f>'Reported burning'!E2843</f>
        <v>Fire suppression agent</v>
      </c>
      <c r="F2843" s="156" t="str">
        <f>'Reported burning'!F2843</f>
        <v>Shrubland (Mixed forest &amp; grassland)</v>
      </c>
      <c r="G2843" s="156" t="str">
        <f>'Reported burning'!G2843</f>
        <v>Shrubland (Mixed forest &amp; grassland)</v>
      </c>
      <c r="H2843" s="156" t="str">
        <f>'Reported burning'!H2843</f>
        <v>Presence</v>
      </c>
      <c r="I2843" s="5"/>
      <c r="J2843" s="5" t="s">
        <v>2276</v>
      </c>
      <c r="K2843" s="21" t="s">
        <v>2362</v>
      </c>
      <c r="L2843" s="21" t="s">
        <v>2362</v>
      </c>
      <c r="M2843" s="21" t="s">
        <v>2385</v>
      </c>
      <c r="N2843" s="21" t="s">
        <v>2385</v>
      </c>
      <c r="O2843" s="204" t="s">
        <v>2276</v>
      </c>
      <c r="P2843" s="204" t="s">
        <v>2276</v>
      </c>
      <c r="Q2843" s="21" t="s">
        <v>2373</v>
      </c>
      <c r="R2843" s="21" t="s">
        <v>2373</v>
      </c>
      <c r="S2843" s="204" t="s">
        <v>2276</v>
      </c>
      <c r="T2843" s="204" t="s">
        <v>2276</v>
      </c>
      <c r="U2843" s="204" t="s">
        <v>2276</v>
      </c>
      <c r="V2843" s="204" t="s">
        <v>2276</v>
      </c>
      <c r="W2843" s="21" t="s">
        <v>2403</v>
      </c>
      <c r="X2843" s="204" t="s">
        <v>2276</v>
      </c>
      <c r="Y2843" s="204" t="s">
        <v>2276</v>
      </c>
      <c r="Z2843" s="204" t="s">
        <v>2276</v>
      </c>
      <c r="AA2843" s="19" t="s">
        <v>7784</v>
      </c>
      <c r="AB2843" s="4" t="s">
        <v>7783</v>
      </c>
    </row>
    <row r="2844" spans="1:28" ht="32" customHeight="1">
      <c r="A2844" s="156" t="str">
        <f>'Reported burning'!A2844</f>
        <v>306a</v>
      </c>
      <c r="B2844" s="156" t="str">
        <f>'Reported burning'!B2844</f>
        <v>306a.2</v>
      </c>
      <c r="C2844" s="156" t="str">
        <f>'Reported burning'!C2844</f>
        <v>Human, deliberate</v>
      </c>
      <c r="D2844" s="156" t="str">
        <f>'Reported burning'!D2844</f>
        <v>Pyrome management</v>
      </c>
      <c r="E2844" s="156" t="str">
        <f>'Reported burning'!E2844</f>
        <v>Fire suppression agent</v>
      </c>
      <c r="F2844" s="156" t="str">
        <f>'Reported burning'!F2844</f>
        <v>Forest</v>
      </c>
      <c r="G2844" s="156" t="str">
        <f>'Reported burning'!G2844</f>
        <v>Forest</v>
      </c>
      <c r="H2844" s="156" t="str">
        <f>'Reported burning'!H2844</f>
        <v>Presence</v>
      </c>
      <c r="I2844" s="5"/>
      <c r="J2844" s="204" t="s">
        <v>2276</v>
      </c>
      <c r="K2844" s="21" t="s">
        <v>2362</v>
      </c>
      <c r="L2844" s="21" t="s">
        <v>2362</v>
      </c>
      <c r="M2844" s="21" t="s">
        <v>2382</v>
      </c>
      <c r="N2844" s="21" t="s">
        <v>2382</v>
      </c>
      <c r="O2844" s="204" t="s">
        <v>2276</v>
      </c>
      <c r="P2844" s="204" t="s">
        <v>2276</v>
      </c>
      <c r="Q2844" s="21" t="s">
        <v>2373</v>
      </c>
      <c r="R2844" s="21" t="s">
        <v>2373</v>
      </c>
      <c r="S2844" s="204" t="s">
        <v>2276</v>
      </c>
      <c r="T2844" s="204" t="s">
        <v>2276</v>
      </c>
      <c r="U2844" s="204" t="s">
        <v>2276</v>
      </c>
      <c r="V2844" s="204" t="s">
        <v>2276</v>
      </c>
      <c r="W2844" s="21" t="s">
        <v>2403</v>
      </c>
      <c r="X2844" s="204" t="s">
        <v>2276</v>
      </c>
      <c r="Y2844" s="204" t="s">
        <v>2276</v>
      </c>
      <c r="Z2844" s="204" t="s">
        <v>2276</v>
      </c>
      <c r="AA2844" s="19" t="s">
        <v>7784</v>
      </c>
      <c r="AB2844" s="4" t="s">
        <v>7783</v>
      </c>
    </row>
    <row r="2845" spans="1:28" ht="38" customHeight="1">
      <c r="A2845" s="156" t="str">
        <f>'Reported burning'!A2845</f>
        <v>306b</v>
      </c>
      <c r="B2845" s="156" t="str">
        <f>'Reported burning'!B2845</f>
        <v>306b.1</v>
      </c>
      <c r="C2845" s="156" t="str">
        <f>'Reported burning'!C2845</f>
        <v>Human, deliberate</v>
      </c>
      <c r="D2845" s="156" t="str">
        <f>'Reported burning'!D2845</f>
        <v>Pyrome management</v>
      </c>
      <c r="E2845" s="156" t="str">
        <f>'Reported burning'!E2845</f>
        <v>Fire suppression agent</v>
      </c>
      <c r="F2845" s="156" t="str">
        <f>'Reported burning'!F2845</f>
        <v>ND</v>
      </c>
      <c r="G2845" s="156" t="str">
        <f>'Reported burning'!G2845</f>
        <v>ND</v>
      </c>
      <c r="H2845" s="156" t="str">
        <f>'Reported burning'!H2845</f>
        <v>Presence</v>
      </c>
      <c r="I2845" s="5"/>
      <c r="J2845" s="204" t="s">
        <v>2276</v>
      </c>
      <c r="K2845" s="38" t="s">
        <v>2276</v>
      </c>
      <c r="L2845" s="38" t="s">
        <v>2276</v>
      </c>
      <c r="M2845" s="38" t="s">
        <v>2276</v>
      </c>
      <c r="N2845" s="38" t="s">
        <v>2276</v>
      </c>
      <c r="O2845" s="38" t="s">
        <v>2276</v>
      </c>
      <c r="P2845" s="103" t="s">
        <v>2376</v>
      </c>
      <c r="Q2845" s="38" t="s">
        <v>2276</v>
      </c>
      <c r="R2845" s="38" t="s">
        <v>2276</v>
      </c>
      <c r="S2845" s="38" t="s">
        <v>2276</v>
      </c>
      <c r="T2845" s="38" t="s">
        <v>2276</v>
      </c>
      <c r="U2845" s="38" t="s">
        <v>2276</v>
      </c>
      <c r="V2845" s="38" t="s">
        <v>2276</v>
      </c>
      <c r="W2845" s="38" t="s">
        <v>2276</v>
      </c>
      <c r="X2845" s="38" t="s">
        <v>2276</v>
      </c>
      <c r="Y2845" s="38" t="s">
        <v>2276</v>
      </c>
      <c r="Z2845" s="38" t="s">
        <v>2276</v>
      </c>
      <c r="AA2845" s="204"/>
      <c r="AB2845" s="204"/>
    </row>
    <row r="2846" spans="1:28" ht="38" customHeight="1">
      <c r="A2846" s="156" t="str">
        <f>'Reported burning'!A2846</f>
        <v>306c</v>
      </c>
      <c r="B2846" s="156" t="str">
        <f>'Reported burning'!B2846</f>
        <v>306c.1</v>
      </c>
      <c r="C2846" s="156" t="str">
        <f>'Reported burning'!C2846</f>
        <v>Human, deliberate</v>
      </c>
      <c r="D2846" s="156" t="str">
        <f>'Reported burning'!D2846</f>
        <v>Pyrome management</v>
      </c>
      <c r="E2846" s="156" t="str">
        <f>'Reported burning'!E2846</f>
        <v>Fire suppression agent</v>
      </c>
      <c r="F2846" s="156" t="str">
        <f>'Reported burning'!F2846</f>
        <v>ND</v>
      </c>
      <c r="G2846" s="156" t="str">
        <f>'Reported burning'!G2846</f>
        <v>ND</v>
      </c>
      <c r="H2846" s="156" t="str">
        <f>'Reported burning'!H2846</f>
        <v>Presence</v>
      </c>
      <c r="I2846" s="5"/>
      <c r="J2846" s="204" t="s">
        <v>2276</v>
      </c>
      <c r="K2846" s="38" t="s">
        <v>2276</v>
      </c>
      <c r="L2846" s="38" t="s">
        <v>2276</v>
      </c>
      <c r="M2846" s="38" t="s">
        <v>2276</v>
      </c>
      <c r="N2846" s="38" t="s">
        <v>2276</v>
      </c>
      <c r="O2846" s="38" t="s">
        <v>2276</v>
      </c>
      <c r="P2846" s="103" t="s">
        <v>2376</v>
      </c>
      <c r="Q2846" s="38" t="s">
        <v>2276</v>
      </c>
      <c r="R2846" s="38" t="s">
        <v>2276</v>
      </c>
      <c r="S2846" s="38" t="s">
        <v>2276</v>
      </c>
      <c r="T2846" s="38" t="s">
        <v>2276</v>
      </c>
      <c r="U2846" s="38" t="s">
        <v>2276</v>
      </c>
      <c r="V2846" s="38" t="s">
        <v>2276</v>
      </c>
      <c r="W2846" s="38" t="s">
        <v>2276</v>
      </c>
      <c r="X2846" s="38" t="s">
        <v>2276</v>
      </c>
      <c r="Y2846" s="38" t="s">
        <v>2276</v>
      </c>
      <c r="Z2846" s="38" t="s">
        <v>2276</v>
      </c>
      <c r="AA2846" s="204"/>
      <c r="AB2846" s="204"/>
    </row>
    <row r="2847" spans="1:28" ht="31" customHeight="1">
      <c r="A2847" s="156" t="str">
        <f>'Reported burning'!A2847</f>
        <v>306d</v>
      </c>
      <c r="B2847" s="156" t="str">
        <f>'Reported burning'!B2847</f>
        <v>306d.1</v>
      </c>
      <c r="C2847" s="156" t="str">
        <f>'Reported burning'!C2847</f>
        <v>Human, deliberate</v>
      </c>
      <c r="D2847" s="156" t="str">
        <f>'Reported burning'!D2847</f>
        <v>Pyrome management</v>
      </c>
      <c r="E2847" s="156" t="str">
        <f>'Reported burning'!E2847</f>
        <v>Fire suppression agent</v>
      </c>
      <c r="F2847" s="156" t="str">
        <f>'Reported burning'!F2847</f>
        <v>ND</v>
      </c>
      <c r="G2847" s="156" t="str">
        <f>'Reported burning'!G2847</f>
        <v>ND</v>
      </c>
      <c r="H2847" s="156" t="str">
        <f>'Reported burning'!H2847</f>
        <v>Presence</v>
      </c>
      <c r="I2847" s="5"/>
      <c r="J2847" s="204" t="s">
        <v>2276</v>
      </c>
      <c r="K2847" s="38" t="s">
        <v>2276</v>
      </c>
      <c r="L2847" s="38" t="s">
        <v>2276</v>
      </c>
      <c r="M2847" s="38" t="s">
        <v>2276</v>
      </c>
      <c r="N2847" s="38" t="s">
        <v>2276</v>
      </c>
      <c r="O2847" s="38" t="s">
        <v>2276</v>
      </c>
      <c r="P2847" s="103" t="s">
        <v>2376</v>
      </c>
      <c r="Q2847" s="38" t="s">
        <v>2276</v>
      </c>
      <c r="R2847" s="38" t="s">
        <v>2276</v>
      </c>
      <c r="S2847" s="38" t="s">
        <v>2276</v>
      </c>
      <c r="T2847" s="38" t="s">
        <v>2276</v>
      </c>
      <c r="U2847" s="38" t="s">
        <v>2276</v>
      </c>
      <c r="V2847" s="38" t="s">
        <v>2276</v>
      </c>
      <c r="W2847" s="38" t="s">
        <v>2276</v>
      </c>
      <c r="X2847" s="38" t="s">
        <v>2276</v>
      </c>
      <c r="Y2847" s="38" t="s">
        <v>2276</v>
      </c>
      <c r="Z2847" s="38" t="s">
        <v>2276</v>
      </c>
      <c r="AA2847" s="204"/>
      <c r="AB2847" s="204"/>
    </row>
    <row r="2848" spans="1:28" ht="31" customHeight="1">
      <c r="A2848" s="156" t="str">
        <f>'Reported burning'!A2848</f>
        <v>306e</v>
      </c>
      <c r="B2848" s="156" t="str">
        <f>'Reported burning'!B2848</f>
        <v>306e.1</v>
      </c>
      <c r="C2848" s="156" t="str">
        <f>'Reported burning'!C2848</f>
        <v>Human, deliberate</v>
      </c>
      <c r="D2848" s="156" t="str">
        <f>'Reported burning'!D2848</f>
        <v>Pyrome management</v>
      </c>
      <c r="E2848" s="156" t="str">
        <f>'Reported burning'!E2848</f>
        <v>Fire suppression agent</v>
      </c>
      <c r="F2848" s="156" t="str">
        <f>'Reported burning'!F2848</f>
        <v>ND</v>
      </c>
      <c r="G2848" s="156" t="str">
        <f>'Reported burning'!G2848</f>
        <v>ND</v>
      </c>
      <c r="H2848" s="156" t="str">
        <f>'Reported burning'!H2848</f>
        <v>Presence</v>
      </c>
      <c r="I2848" s="5"/>
      <c r="J2848" s="204" t="s">
        <v>2276</v>
      </c>
      <c r="K2848" s="38" t="s">
        <v>2276</v>
      </c>
      <c r="L2848" s="38" t="s">
        <v>2276</v>
      </c>
      <c r="M2848" s="38" t="s">
        <v>2276</v>
      </c>
      <c r="N2848" s="38" t="s">
        <v>2276</v>
      </c>
      <c r="O2848" s="38" t="s">
        <v>2276</v>
      </c>
      <c r="P2848" s="103" t="s">
        <v>2377</v>
      </c>
      <c r="Q2848" s="38" t="s">
        <v>2276</v>
      </c>
      <c r="R2848" s="38" t="s">
        <v>2276</v>
      </c>
      <c r="S2848" s="38" t="s">
        <v>2276</v>
      </c>
      <c r="T2848" s="38" t="s">
        <v>2276</v>
      </c>
      <c r="U2848" s="38" t="s">
        <v>2276</v>
      </c>
      <c r="V2848" s="38" t="s">
        <v>2276</v>
      </c>
      <c r="W2848" s="38" t="s">
        <v>2276</v>
      </c>
      <c r="X2848" s="38" t="s">
        <v>2276</v>
      </c>
      <c r="Y2848" s="38" t="s">
        <v>2276</v>
      </c>
      <c r="Z2848" s="38" t="s">
        <v>2276</v>
      </c>
      <c r="AA2848" s="204"/>
      <c r="AB2848" s="204"/>
    </row>
    <row r="2849" spans="1:28" ht="31" customHeight="1">
      <c r="A2849" s="156" t="str">
        <f>'Reported burning'!A2849</f>
        <v>306f</v>
      </c>
      <c r="B2849" s="156" t="str">
        <f>'Reported burning'!B2849</f>
        <v>306f.1</v>
      </c>
      <c r="C2849" s="156" t="str">
        <f>'Reported burning'!C2849</f>
        <v>Human, deliberate</v>
      </c>
      <c r="D2849" s="156" t="str">
        <f>'Reported burning'!D2849</f>
        <v>Pyrome management</v>
      </c>
      <c r="E2849" s="156" t="str">
        <f>'Reported burning'!E2849</f>
        <v>Fire suppression agent</v>
      </c>
      <c r="F2849" s="156" t="str">
        <f>'Reported burning'!F2849</f>
        <v>ND</v>
      </c>
      <c r="G2849" s="156" t="str">
        <f>'Reported burning'!G2849</f>
        <v>ND</v>
      </c>
      <c r="H2849" s="156" t="str">
        <f>'Reported burning'!H2849</f>
        <v>Presence</v>
      </c>
      <c r="I2849" s="5"/>
      <c r="J2849" s="204" t="s">
        <v>2276</v>
      </c>
      <c r="K2849" s="38" t="s">
        <v>2276</v>
      </c>
      <c r="L2849" s="38" t="s">
        <v>2276</v>
      </c>
      <c r="M2849" s="38" t="s">
        <v>2276</v>
      </c>
      <c r="N2849" s="38" t="s">
        <v>2276</v>
      </c>
      <c r="O2849" s="38" t="s">
        <v>2276</v>
      </c>
      <c r="P2849" s="103" t="s">
        <v>2376</v>
      </c>
      <c r="Q2849" s="38" t="s">
        <v>2276</v>
      </c>
      <c r="R2849" s="38" t="s">
        <v>2276</v>
      </c>
      <c r="S2849" s="38" t="s">
        <v>2276</v>
      </c>
      <c r="T2849" s="38" t="s">
        <v>2276</v>
      </c>
      <c r="U2849" s="38" t="s">
        <v>2276</v>
      </c>
      <c r="V2849" s="38" t="s">
        <v>2276</v>
      </c>
      <c r="W2849" s="38" t="s">
        <v>2276</v>
      </c>
      <c r="X2849" s="38" t="s">
        <v>2276</v>
      </c>
      <c r="Y2849" s="38" t="s">
        <v>2276</v>
      </c>
      <c r="Z2849" s="38" t="s">
        <v>2276</v>
      </c>
      <c r="AA2849" s="204"/>
      <c r="AB2849" s="204"/>
    </row>
    <row r="2850" spans="1:28" ht="31" customHeight="1">
      <c r="A2850" s="156" t="str">
        <f>'Reported burning'!A2850</f>
        <v>306g</v>
      </c>
      <c r="B2850" s="156" t="str">
        <f>'Reported burning'!B2850</f>
        <v>306g.1</v>
      </c>
      <c r="C2850" s="156" t="str">
        <f>'Reported burning'!C2850</f>
        <v>Human, deliberate</v>
      </c>
      <c r="D2850" s="156" t="str">
        <f>'Reported burning'!D2850</f>
        <v>Pyrome management</v>
      </c>
      <c r="E2850" s="156" t="str">
        <f>'Reported burning'!E2850</f>
        <v>Fire suppression agent</v>
      </c>
      <c r="F2850" s="156" t="str">
        <f>'Reported burning'!F2850</f>
        <v>ND</v>
      </c>
      <c r="G2850" s="156" t="str">
        <f>'Reported burning'!G2850</f>
        <v>ND</v>
      </c>
      <c r="H2850" s="156" t="str">
        <f>'Reported burning'!H2850</f>
        <v>Presence</v>
      </c>
      <c r="I2850" s="5"/>
      <c r="J2850" s="204" t="s">
        <v>2276</v>
      </c>
      <c r="K2850" s="38" t="s">
        <v>2276</v>
      </c>
      <c r="L2850" s="38" t="s">
        <v>2276</v>
      </c>
      <c r="M2850" s="38" t="s">
        <v>2276</v>
      </c>
      <c r="N2850" s="38" t="s">
        <v>2276</v>
      </c>
      <c r="O2850" s="38" t="s">
        <v>2276</v>
      </c>
      <c r="P2850" s="103" t="s">
        <v>2376</v>
      </c>
      <c r="Q2850" s="38" t="s">
        <v>2276</v>
      </c>
      <c r="R2850" s="38" t="s">
        <v>2276</v>
      </c>
      <c r="S2850" s="38" t="s">
        <v>2276</v>
      </c>
      <c r="T2850" s="38" t="s">
        <v>2276</v>
      </c>
      <c r="U2850" s="38" t="s">
        <v>2276</v>
      </c>
      <c r="V2850" s="38" t="s">
        <v>2276</v>
      </c>
      <c r="W2850" s="38" t="s">
        <v>2276</v>
      </c>
      <c r="X2850" s="38" t="s">
        <v>2276</v>
      </c>
      <c r="Y2850" s="38" t="s">
        <v>2276</v>
      </c>
      <c r="Z2850" s="38" t="s">
        <v>2276</v>
      </c>
      <c r="AA2850" s="204"/>
      <c r="AB2850" s="204"/>
    </row>
    <row r="2851" spans="1:28" ht="31" customHeight="1">
      <c r="A2851" s="156" t="str">
        <f>'Reported burning'!A2851</f>
        <v>306h</v>
      </c>
      <c r="B2851" s="156" t="str">
        <f>'Reported burning'!B2851</f>
        <v>306h.1</v>
      </c>
      <c r="C2851" s="156" t="str">
        <f>'Reported burning'!C2851</f>
        <v>Human, deliberate</v>
      </c>
      <c r="D2851" s="156" t="str">
        <f>'Reported burning'!D2851</f>
        <v>Pyrome management</v>
      </c>
      <c r="E2851" s="156" t="str">
        <f>'Reported burning'!E2851</f>
        <v>Fire suppression agent</v>
      </c>
      <c r="F2851" s="156" t="str">
        <f>'Reported burning'!F2851</f>
        <v>ND</v>
      </c>
      <c r="G2851" s="156" t="str">
        <f>'Reported burning'!G2851</f>
        <v>ND</v>
      </c>
      <c r="H2851" s="156" t="str">
        <f>'Reported burning'!H2851</f>
        <v>Presence</v>
      </c>
      <c r="I2851" s="5"/>
      <c r="J2851" s="204" t="s">
        <v>2276</v>
      </c>
      <c r="K2851" s="38" t="s">
        <v>2276</v>
      </c>
      <c r="L2851" s="38" t="s">
        <v>2276</v>
      </c>
      <c r="M2851" s="38" t="s">
        <v>2276</v>
      </c>
      <c r="N2851" s="38" t="s">
        <v>2276</v>
      </c>
      <c r="O2851" s="38" t="s">
        <v>2276</v>
      </c>
      <c r="P2851" s="103" t="s">
        <v>2377</v>
      </c>
      <c r="Q2851" s="38" t="s">
        <v>2276</v>
      </c>
      <c r="R2851" s="38" t="s">
        <v>2276</v>
      </c>
      <c r="S2851" s="38" t="s">
        <v>2276</v>
      </c>
      <c r="T2851" s="38" t="s">
        <v>2276</v>
      </c>
      <c r="U2851" s="38" t="s">
        <v>2276</v>
      </c>
      <c r="V2851" s="38" t="s">
        <v>2276</v>
      </c>
      <c r="W2851" s="38" t="s">
        <v>2276</v>
      </c>
      <c r="X2851" s="38" t="s">
        <v>2276</v>
      </c>
      <c r="Y2851" s="38" t="s">
        <v>2276</v>
      </c>
      <c r="Z2851" s="38" t="s">
        <v>2276</v>
      </c>
      <c r="AA2851" s="204"/>
      <c r="AB2851" s="204"/>
    </row>
    <row r="2852" spans="1:28" ht="31" customHeight="1">
      <c r="A2852" s="156" t="str">
        <f>'Reported burning'!A2852</f>
        <v>306i</v>
      </c>
      <c r="B2852" s="156" t="str">
        <f>'Reported burning'!B2852</f>
        <v>306i.1</v>
      </c>
      <c r="C2852" s="156" t="str">
        <f>'Reported burning'!C2852</f>
        <v>Human, deliberate</v>
      </c>
      <c r="D2852" s="156" t="str">
        <f>'Reported burning'!D2852</f>
        <v>Pyrome management</v>
      </c>
      <c r="E2852" s="156" t="str">
        <f>'Reported burning'!E2852</f>
        <v>Fire suppression agent</v>
      </c>
      <c r="F2852" s="156" t="str">
        <f>'Reported burning'!F2852</f>
        <v>ND</v>
      </c>
      <c r="G2852" s="156" t="str">
        <f>'Reported burning'!G2852</f>
        <v>ND</v>
      </c>
      <c r="H2852" s="156" t="str">
        <f>'Reported burning'!H2852</f>
        <v>Presence</v>
      </c>
      <c r="I2852" s="5"/>
      <c r="J2852" s="204" t="s">
        <v>2276</v>
      </c>
      <c r="K2852" s="38" t="s">
        <v>2276</v>
      </c>
      <c r="L2852" s="38" t="s">
        <v>2276</v>
      </c>
      <c r="M2852" s="38" t="s">
        <v>2276</v>
      </c>
      <c r="N2852" s="38" t="s">
        <v>2276</v>
      </c>
      <c r="O2852" s="38" t="s">
        <v>2276</v>
      </c>
      <c r="P2852" s="103" t="s">
        <v>2376</v>
      </c>
      <c r="Q2852" s="38" t="s">
        <v>2276</v>
      </c>
      <c r="R2852" s="38" t="s">
        <v>2276</v>
      </c>
      <c r="S2852" s="38" t="s">
        <v>2276</v>
      </c>
      <c r="T2852" s="38" t="s">
        <v>2276</v>
      </c>
      <c r="U2852" s="38" t="s">
        <v>2276</v>
      </c>
      <c r="V2852" s="38" t="s">
        <v>2276</v>
      </c>
      <c r="W2852" s="38" t="s">
        <v>2276</v>
      </c>
      <c r="X2852" s="38" t="s">
        <v>2276</v>
      </c>
      <c r="Y2852" s="38" t="s">
        <v>2276</v>
      </c>
      <c r="Z2852" s="38" t="s">
        <v>2276</v>
      </c>
      <c r="AA2852" s="204"/>
      <c r="AB2852" s="204"/>
    </row>
    <row r="2853" spans="1:28" ht="31" customHeight="1">
      <c r="A2853" s="156" t="str">
        <f>'Reported burning'!A2853</f>
        <v>306j</v>
      </c>
      <c r="B2853" s="156" t="str">
        <f>'Reported burning'!B2853</f>
        <v>306j.1</v>
      </c>
      <c r="C2853" s="156" t="str">
        <f>'Reported burning'!C2853</f>
        <v>Human, deliberate</v>
      </c>
      <c r="D2853" s="156" t="str">
        <f>'Reported burning'!D2853</f>
        <v>Pyrome management</v>
      </c>
      <c r="E2853" s="156" t="str">
        <f>'Reported burning'!E2853</f>
        <v>Fire suppression agent</v>
      </c>
      <c r="F2853" s="156" t="str">
        <f>'Reported burning'!F2853</f>
        <v>ND</v>
      </c>
      <c r="G2853" s="156" t="str">
        <f>'Reported burning'!G2853</f>
        <v>ND</v>
      </c>
      <c r="H2853" s="156" t="str">
        <f>'Reported burning'!H2853</f>
        <v>Presence</v>
      </c>
      <c r="I2853" s="5"/>
      <c r="J2853" s="204" t="s">
        <v>2276</v>
      </c>
      <c r="K2853" s="38" t="s">
        <v>2276</v>
      </c>
      <c r="L2853" s="38" t="s">
        <v>2276</v>
      </c>
      <c r="M2853" s="38" t="s">
        <v>2276</v>
      </c>
      <c r="N2853" s="38" t="s">
        <v>2276</v>
      </c>
      <c r="O2853" s="38" t="s">
        <v>2276</v>
      </c>
      <c r="P2853" s="103" t="s">
        <v>2377</v>
      </c>
      <c r="Q2853" s="38" t="s">
        <v>2276</v>
      </c>
      <c r="R2853" s="38" t="s">
        <v>2276</v>
      </c>
      <c r="S2853" s="38" t="s">
        <v>2276</v>
      </c>
      <c r="T2853" s="38" t="s">
        <v>2276</v>
      </c>
      <c r="U2853" s="38" t="s">
        <v>2276</v>
      </c>
      <c r="V2853" s="38" t="s">
        <v>2276</v>
      </c>
      <c r="W2853" s="38" t="s">
        <v>2276</v>
      </c>
      <c r="X2853" s="38" t="s">
        <v>2276</v>
      </c>
      <c r="Y2853" s="38" t="s">
        <v>2276</v>
      </c>
      <c r="Z2853" s="38" t="s">
        <v>2276</v>
      </c>
      <c r="AA2853" s="204"/>
      <c r="AB2853" s="204"/>
    </row>
    <row r="2854" spans="1:28" ht="31" customHeight="1">
      <c r="A2854" s="156" t="str">
        <f>'Reported burning'!A2854</f>
        <v>306k</v>
      </c>
      <c r="B2854" s="156" t="str">
        <f>'Reported burning'!B2854</f>
        <v>306k.1</v>
      </c>
      <c r="C2854" s="156" t="str">
        <f>'Reported burning'!C2854</f>
        <v>Human, deliberate</v>
      </c>
      <c r="D2854" s="156" t="str">
        <f>'Reported burning'!D2854</f>
        <v>Pyrome management</v>
      </c>
      <c r="E2854" s="156" t="str">
        <f>'Reported burning'!E2854</f>
        <v>Fire suppression agent</v>
      </c>
      <c r="F2854" s="156" t="str">
        <f>'Reported burning'!F2854</f>
        <v>ND</v>
      </c>
      <c r="G2854" s="156" t="str">
        <f>'Reported burning'!G2854</f>
        <v>ND</v>
      </c>
      <c r="H2854" s="156" t="str">
        <f>'Reported burning'!H2854</f>
        <v>Presence</v>
      </c>
      <c r="I2854" s="5"/>
      <c r="J2854" s="204" t="s">
        <v>2276</v>
      </c>
      <c r="K2854" s="38" t="s">
        <v>2276</v>
      </c>
      <c r="L2854" s="38" t="s">
        <v>2276</v>
      </c>
      <c r="M2854" s="38" t="s">
        <v>2276</v>
      </c>
      <c r="N2854" s="38" t="s">
        <v>2276</v>
      </c>
      <c r="O2854" s="38" t="s">
        <v>2276</v>
      </c>
      <c r="P2854" s="103" t="s">
        <v>2377</v>
      </c>
      <c r="Q2854" s="38" t="s">
        <v>2276</v>
      </c>
      <c r="R2854" s="38" t="s">
        <v>2276</v>
      </c>
      <c r="S2854" s="38" t="s">
        <v>2276</v>
      </c>
      <c r="T2854" s="38" t="s">
        <v>2276</v>
      </c>
      <c r="U2854" s="38" t="s">
        <v>2276</v>
      </c>
      <c r="V2854" s="38" t="s">
        <v>2276</v>
      </c>
      <c r="W2854" s="38" t="s">
        <v>2276</v>
      </c>
      <c r="X2854" s="38" t="s">
        <v>2276</v>
      </c>
      <c r="Y2854" s="38" t="s">
        <v>2276</v>
      </c>
      <c r="Z2854" s="38" t="s">
        <v>2276</v>
      </c>
      <c r="AA2854" s="204"/>
      <c r="AB2854" s="204"/>
    </row>
    <row r="2855" spans="1:28" ht="31" customHeight="1">
      <c r="A2855" s="156" t="str">
        <f>'Reported burning'!A2855</f>
        <v>306l</v>
      </c>
      <c r="B2855" s="156" t="str">
        <f>'Reported burning'!B2855</f>
        <v>306l.1</v>
      </c>
      <c r="C2855" s="156" t="str">
        <f>'Reported burning'!C2855</f>
        <v>Human, deliberate</v>
      </c>
      <c r="D2855" s="156" t="str">
        <f>'Reported burning'!D2855</f>
        <v>Pyrome management</v>
      </c>
      <c r="E2855" s="156" t="str">
        <f>'Reported burning'!E2855</f>
        <v>Fire suppression agent</v>
      </c>
      <c r="F2855" s="156" t="str">
        <f>'Reported burning'!F2855</f>
        <v>ND</v>
      </c>
      <c r="G2855" s="156" t="str">
        <f>'Reported burning'!G2855</f>
        <v>ND</v>
      </c>
      <c r="H2855" s="156" t="str">
        <f>'Reported burning'!H2855</f>
        <v>Presence</v>
      </c>
      <c r="I2855" s="5"/>
      <c r="J2855" s="204" t="s">
        <v>2276</v>
      </c>
      <c r="K2855" s="38" t="s">
        <v>2276</v>
      </c>
      <c r="L2855" s="38" t="s">
        <v>2276</v>
      </c>
      <c r="M2855" s="38" t="s">
        <v>2276</v>
      </c>
      <c r="N2855" s="38" t="s">
        <v>2276</v>
      </c>
      <c r="O2855" s="38" t="s">
        <v>2276</v>
      </c>
      <c r="P2855" s="103" t="s">
        <v>2380</v>
      </c>
      <c r="Q2855" s="38" t="s">
        <v>2276</v>
      </c>
      <c r="R2855" s="38" t="s">
        <v>2276</v>
      </c>
      <c r="S2855" s="38" t="s">
        <v>2276</v>
      </c>
      <c r="T2855" s="38" t="s">
        <v>2276</v>
      </c>
      <c r="U2855" s="38" t="s">
        <v>2276</v>
      </c>
      <c r="V2855" s="38" t="s">
        <v>2276</v>
      </c>
      <c r="W2855" s="38" t="s">
        <v>2276</v>
      </c>
      <c r="X2855" s="38" t="s">
        <v>2276</v>
      </c>
      <c r="Y2855" s="38" t="s">
        <v>2276</v>
      </c>
      <c r="Z2855" s="38" t="s">
        <v>2276</v>
      </c>
      <c r="AA2855" s="204"/>
      <c r="AB2855" s="204"/>
    </row>
    <row r="2856" spans="1:28" ht="31" customHeight="1">
      <c r="A2856" s="185" t="str">
        <f>'Reported burning'!A2856</f>
        <v>306m</v>
      </c>
      <c r="B2856" s="185" t="str">
        <f>'Reported burning'!B2856</f>
        <v>306m.1</v>
      </c>
      <c r="C2856" s="185" t="str">
        <f>'Reported burning'!C2856</f>
        <v>Human, deliberate</v>
      </c>
      <c r="D2856" s="185" t="str">
        <f>'Reported burning'!D2856</f>
        <v>Pyrome management</v>
      </c>
      <c r="E2856" s="185" t="str">
        <f>'Reported burning'!E2856</f>
        <v>Fire suppression agent</v>
      </c>
      <c r="F2856" s="185" t="str">
        <f>'Reported burning'!F2856</f>
        <v>ND</v>
      </c>
      <c r="G2856" s="185" t="str">
        <f>'Reported burning'!G2856</f>
        <v>ND</v>
      </c>
      <c r="H2856" s="185" t="str">
        <f>'Reported burning'!H2856</f>
        <v>Presence</v>
      </c>
      <c r="I2856" s="32"/>
      <c r="J2856" s="38" t="s">
        <v>2276</v>
      </c>
      <c r="K2856" s="38" t="s">
        <v>2276</v>
      </c>
      <c r="L2856" s="38" t="s">
        <v>2276</v>
      </c>
      <c r="M2856" s="38" t="s">
        <v>2276</v>
      </c>
      <c r="N2856" s="38" t="s">
        <v>2276</v>
      </c>
      <c r="O2856" s="38" t="s">
        <v>2276</v>
      </c>
      <c r="P2856" s="103" t="s">
        <v>2376</v>
      </c>
      <c r="Q2856" s="38" t="s">
        <v>2276</v>
      </c>
      <c r="R2856" s="38" t="s">
        <v>2276</v>
      </c>
      <c r="S2856" s="38" t="s">
        <v>2276</v>
      </c>
      <c r="T2856" s="38" t="s">
        <v>2276</v>
      </c>
      <c r="U2856" s="38" t="s">
        <v>2276</v>
      </c>
      <c r="V2856" s="38" t="s">
        <v>2276</v>
      </c>
      <c r="W2856" s="38" t="s">
        <v>2276</v>
      </c>
      <c r="X2856" s="38" t="s">
        <v>2276</v>
      </c>
      <c r="Y2856" s="38" t="s">
        <v>2276</v>
      </c>
      <c r="Z2856" s="38" t="s">
        <v>2276</v>
      </c>
      <c r="AA2856" s="38"/>
      <c r="AB2856" s="38"/>
    </row>
    <row r="2857" spans="1:28" ht="31" customHeight="1">
      <c r="A2857" s="152" t="str">
        <f>'Reported burning'!A2857</f>
        <v>306n</v>
      </c>
      <c r="B2857" s="152" t="str">
        <f>'Reported burning'!B2857</f>
        <v>306n.1</v>
      </c>
      <c r="C2857" s="152" t="str">
        <f>'Reported burning'!C2857</f>
        <v>Human, deliberate</v>
      </c>
      <c r="D2857" s="152" t="str">
        <f>'Reported burning'!D2857</f>
        <v>Pyrome management</v>
      </c>
      <c r="E2857" s="152" t="str">
        <f>'Reported burning'!E2857</f>
        <v>Fire suppression agent</v>
      </c>
      <c r="F2857" s="152" t="str">
        <f>'Reported burning'!F2857</f>
        <v>ND</v>
      </c>
      <c r="G2857" s="152" t="str">
        <f>'Reported burning'!G2857</f>
        <v>ND</v>
      </c>
      <c r="H2857" s="152" t="str">
        <f>'Reported burning'!H2857</f>
        <v>Presence</v>
      </c>
      <c r="I2857" s="204"/>
      <c r="J2857" s="38" t="s">
        <v>2276</v>
      </c>
      <c r="K2857" s="38" t="s">
        <v>2276</v>
      </c>
      <c r="L2857" s="38" t="s">
        <v>2276</v>
      </c>
      <c r="M2857" s="38" t="s">
        <v>2276</v>
      </c>
      <c r="N2857" s="38" t="s">
        <v>2276</v>
      </c>
      <c r="O2857" s="38" t="s">
        <v>2276</v>
      </c>
      <c r="P2857" s="103" t="s">
        <v>2381</v>
      </c>
      <c r="Q2857" s="38" t="s">
        <v>2276</v>
      </c>
      <c r="R2857" s="38" t="s">
        <v>2276</v>
      </c>
      <c r="S2857" s="38" t="s">
        <v>2276</v>
      </c>
      <c r="T2857" s="38" t="s">
        <v>2276</v>
      </c>
      <c r="U2857" s="38" t="s">
        <v>2276</v>
      </c>
      <c r="V2857" s="38" t="s">
        <v>2276</v>
      </c>
      <c r="W2857" s="38" t="s">
        <v>2276</v>
      </c>
      <c r="X2857" s="38" t="s">
        <v>2276</v>
      </c>
      <c r="Y2857" s="38" t="s">
        <v>2276</v>
      </c>
      <c r="Z2857" s="38" t="s">
        <v>2276</v>
      </c>
      <c r="AA2857" s="204"/>
      <c r="AB2857" s="204"/>
    </row>
    <row r="2858" spans="1:28" ht="31" customHeight="1">
      <c r="A2858" s="152" t="str">
        <f>'Reported burning'!A2858</f>
        <v>306o</v>
      </c>
      <c r="B2858" s="152" t="str">
        <f>'Reported burning'!B2858</f>
        <v>306o.1</v>
      </c>
      <c r="C2858" s="152" t="str">
        <f>'Reported burning'!C2858</f>
        <v>Human, deliberate</v>
      </c>
      <c r="D2858" s="152" t="str">
        <f>'Reported burning'!D2858</f>
        <v>Pyrome management</v>
      </c>
      <c r="E2858" s="152" t="str">
        <f>'Reported burning'!E2858</f>
        <v>Fire suppression agent</v>
      </c>
      <c r="F2858" s="152" t="str">
        <f>'Reported burning'!F2858</f>
        <v>ND</v>
      </c>
      <c r="G2858" s="152" t="str">
        <f>'Reported burning'!G2858</f>
        <v>ND</v>
      </c>
      <c r="H2858" s="152" t="str">
        <f>'Reported burning'!H2858</f>
        <v>Presence</v>
      </c>
      <c r="I2858" s="204"/>
      <c r="J2858" s="38" t="s">
        <v>2276</v>
      </c>
      <c r="K2858" s="38" t="s">
        <v>2276</v>
      </c>
      <c r="L2858" s="38" t="s">
        <v>2276</v>
      </c>
      <c r="M2858" s="38" t="s">
        <v>2276</v>
      </c>
      <c r="N2858" s="38" t="s">
        <v>2276</v>
      </c>
      <c r="O2858" s="38" t="s">
        <v>2276</v>
      </c>
      <c r="P2858" s="103" t="s">
        <v>2378</v>
      </c>
      <c r="Q2858" s="38" t="s">
        <v>2276</v>
      </c>
      <c r="R2858" s="38" t="s">
        <v>2276</v>
      </c>
      <c r="S2858" s="38" t="s">
        <v>2276</v>
      </c>
      <c r="T2858" s="38" t="s">
        <v>2276</v>
      </c>
      <c r="U2858" s="38" t="s">
        <v>2276</v>
      </c>
      <c r="V2858" s="38" t="s">
        <v>2276</v>
      </c>
      <c r="W2858" s="38" t="s">
        <v>2276</v>
      </c>
      <c r="X2858" s="38" t="s">
        <v>2276</v>
      </c>
      <c r="Y2858" s="38" t="s">
        <v>2276</v>
      </c>
      <c r="Z2858" s="38" t="s">
        <v>2276</v>
      </c>
      <c r="AA2858" s="204"/>
      <c r="AB2858" s="204"/>
    </row>
    <row r="2859" spans="1:28" ht="31" customHeight="1">
      <c r="A2859" s="152" t="str">
        <f>'Reported burning'!A2859</f>
        <v>306p</v>
      </c>
      <c r="B2859" s="152" t="str">
        <f>'Reported burning'!B2859</f>
        <v>306p.1</v>
      </c>
      <c r="C2859" s="152" t="str">
        <f>'Reported burning'!C2859</f>
        <v>Human, deliberate</v>
      </c>
      <c r="D2859" s="152" t="str">
        <f>'Reported burning'!D2859</f>
        <v>Pyrome management</v>
      </c>
      <c r="E2859" s="152" t="str">
        <f>'Reported burning'!E2859</f>
        <v>Fire suppression agent</v>
      </c>
      <c r="F2859" s="152" t="str">
        <f>'Reported burning'!F2859</f>
        <v>ND</v>
      </c>
      <c r="G2859" s="152" t="str">
        <f>'Reported burning'!G2859</f>
        <v>ND</v>
      </c>
      <c r="H2859" s="152" t="str">
        <f>'Reported burning'!H2859</f>
        <v>Presence</v>
      </c>
      <c r="I2859" s="204"/>
      <c r="J2859" s="38" t="s">
        <v>2276</v>
      </c>
      <c r="K2859" s="38" t="s">
        <v>2276</v>
      </c>
      <c r="L2859" s="38" t="s">
        <v>2276</v>
      </c>
      <c r="M2859" s="38" t="s">
        <v>2276</v>
      </c>
      <c r="N2859" s="38" t="s">
        <v>2276</v>
      </c>
      <c r="O2859" s="38" t="s">
        <v>2276</v>
      </c>
      <c r="P2859" s="103" t="s">
        <v>2378</v>
      </c>
      <c r="Q2859" s="38" t="s">
        <v>2276</v>
      </c>
      <c r="R2859" s="38" t="s">
        <v>2276</v>
      </c>
      <c r="S2859" s="38" t="s">
        <v>2276</v>
      </c>
      <c r="T2859" s="38" t="s">
        <v>2276</v>
      </c>
      <c r="U2859" s="38" t="s">
        <v>2276</v>
      </c>
      <c r="V2859" s="38" t="s">
        <v>2276</v>
      </c>
      <c r="W2859" s="38" t="s">
        <v>2276</v>
      </c>
      <c r="X2859" s="38" t="s">
        <v>2276</v>
      </c>
      <c r="Y2859" s="38" t="s">
        <v>2276</v>
      </c>
      <c r="Z2859" s="38" t="s">
        <v>2276</v>
      </c>
      <c r="AA2859" s="204"/>
      <c r="AB2859" s="204"/>
    </row>
    <row r="2860" spans="1:28" ht="31" customHeight="1">
      <c r="A2860" s="152" t="str">
        <f>'Reported burning'!A2860</f>
        <v>306q</v>
      </c>
      <c r="B2860" s="152" t="str">
        <f>'Reported burning'!B2860</f>
        <v>306q.1</v>
      </c>
      <c r="C2860" s="152" t="str">
        <f>'Reported burning'!C2860</f>
        <v>Human, deliberate</v>
      </c>
      <c r="D2860" s="152" t="str">
        <f>'Reported burning'!D2860</f>
        <v>Pyrome management</v>
      </c>
      <c r="E2860" s="152" t="str">
        <f>'Reported burning'!E2860</f>
        <v>Fire suppression agent</v>
      </c>
      <c r="F2860" s="152" t="str">
        <f>'Reported burning'!F2860</f>
        <v>ND</v>
      </c>
      <c r="G2860" s="152" t="str">
        <f>'Reported burning'!G2860</f>
        <v>ND</v>
      </c>
      <c r="H2860" s="152" t="str">
        <f>'Reported burning'!H2860</f>
        <v>Presence</v>
      </c>
      <c r="I2860" s="204"/>
      <c r="J2860" s="38" t="s">
        <v>2276</v>
      </c>
      <c r="K2860" s="38" t="s">
        <v>2276</v>
      </c>
      <c r="L2860" s="38" t="s">
        <v>2276</v>
      </c>
      <c r="M2860" s="38" t="s">
        <v>2276</v>
      </c>
      <c r="N2860" s="38" t="s">
        <v>2276</v>
      </c>
      <c r="O2860" s="38" t="s">
        <v>2276</v>
      </c>
      <c r="P2860" s="103" t="s">
        <v>2379</v>
      </c>
      <c r="Q2860" s="38" t="s">
        <v>2276</v>
      </c>
      <c r="R2860" s="38" t="s">
        <v>2276</v>
      </c>
      <c r="S2860" s="38" t="s">
        <v>2276</v>
      </c>
      <c r="T2860" s="38" t="s">
        <v>2276</v>
      </c>
      <c r="U2860" s="38" t="s">
        <v>2276</v>
      </c>
      <c r="V2860" s="38" t="s">
        <v>2276</v>
      </c>
      <c r="W2860" s="38" t="s">
        <v>2276</v>
      </c>
      <c r="X2860" s="38" t="s">
        <v>2276</v>
      </c>
      <c r="Y2860" s="38" t="s">
        <v>2276</v>
      </c>
      <c r="Z2860" s="38" t="s">
        <v>2276</v>
      </c>
      <c r="AA2860" s="204"/>
      <c r="AB2860" s="204"/>
    </row>
    <row r="2861" spans="1:28" ht="31" customHeight="1">
      <c r="A2861" s="152" t="str">
        <f>'Reported burning'!A2861</f>
        <v>306r</v>
      </c>
      <c r="B2861" s="152" t="str">
        <f>'Reported burning'!B2861</f>
        <v>306r.1</v>
      </c>
      <c r="C2861" s="152" t="str">
        <f>'Reported burning'!C2861</f>
        <v>Human, deliberate</v>
      </c>
      <c r="D2861" s="152" t="str">
        <f>'Reported burning'!D2861</f>
        <v>Pyrome management</v>
      </c>
      <c r="E2861" s="152" t="str">
        <f>'Reported burning'!E2861</f>
        <v>Fire suppression agent</v>
      </c>
      <c r="F2861" s="152" t="str">
        <f>'Reported burning'!F2861</f>
        <v>ND</v>
      </c>
      <c r="G2861" s="152" t="str">
        <f>'Reported burning'!G2861</f>
        <v>ND</v>
      </c>
      <c r="H2861" s="152" t="str">
        <f>'Reported burning'!H2861</f>
        <v>Presence</v>
      </c>
      <c r="I2861" s="204"/>
      <c r="J2861" s="38" t="s">
        <v>2276</v>
      </c>
      <c r="K2861" s="38" t="s">
        <v>2276</v>
      </c>
      <c r="L2861" s="38" t="s">
        <v>2276</v>
      </c>
      <c r="M2861" s="38" t="s">
        <v>2276</v>
      </c>
      <c r="N2861" s="38" t="s">
        <v>2276</v>
      </c>
      <c r="O2861" s="38" t="s">
        <v>2276</v>
      </c>
      <c r="P2861" s="103" t="s">
        <v>2380</v>
      </c>
      <c r="Q2861" s="38" t="s">
        <v>2276</v>
      </c>
      <c r="R2861" s="38" t="s">
        <v>2276</v>
      </c>
      <c r="S2861" s="38" t="s">
        <v>2276</v>
      </c>
      <c r="T2861" s="38" t="s">
        <v>2276</v>
      </c>
      <c r="U2861" s="38" t="s">
        <v>2276</v>
      </c>
      <c r="V2861" s="38" t="s">
        <v>2276</v>
      </c>
      <c r="W2861" s="38" t="s">
        <v>2276</v>
      </c>
      <c r="X2861" s="38" t="s">
        <v>2276</v>
      </c>
      <c r="Y2861" s="38" t="s">
        <v>2276</v>
      </c>
      <c r="Z2861" s="38" t="s">
        <v>2276</v>
      </c>
      <c r="AA2861" s="204"/>
      <c r="AB2861" s="204"/>
    </row>
    <row r="2862" spans="1:28" ht="31" customHeight="1">
      <c r="A2862" s="152" t="str">
        <f>'Reported burning'!A2862</f>
        <v>306s</v>
      </c>
      <c r="B2862" s="152" t="str">
        <f>'Reported burning'!B2862</f>
        <v>306s.1</v>
      </c>
      <c r="C2862" s="152" t="str">
        <f>'Reported burning'!C2862</f>
        <v>Human, deliberate</v>
      </c>
      <c r="D2862" s="152" t="str">
        <f>'Reported burning'!D2862</f>
        <v>Pyrome management</v>
      </c>
      <c r="E2862" s="152" t="str">
        <f>'Reported burning'!E2862</f>
        <v>Fire suppression agent</v>
      </c>
      <c r="F2862" s="152" t="str">
        <f>'Reported burning'!F2862</f>
        <v>ND</v>
      </c>
      <c r="G2862" s="152" t="str">
        <f>'Reported burning'!G2862</f>
        <v>ND</v>
      </c>
      <c r="H2862" s="152" t="str">
        <f>'Reported burning'!H2862</f>
        <v>Presence</v>
      </c>
      <c r="I2862" s="204"/>
      <c r="J2862" s="38" t="s">
        <v>2276</v>
      </c>
      <c r="K2862" s="38" t="s">
        <v>2276</v>
      </c>
      <c r="L2862" s="38" t="s">
        <v>2276</v>
      </c>
      <c r="M2862" s="38" t="s">
        <v>2276</v>
      </c>
      <c r="N2862" s="38" t="s">
        <v>2276</v>
      </c>
      <c r="O2862" s="38" t="s">
        <v>2276</v>
      </c>
      <c r="P2862" s="103" t="s">
        <v>2377</v>
      </c>
      <c r="Q2862" s="38" t="s">
        <v>2276</v>
      </c>
      <c r="R2862" s="38" t="s">
        <v>2276</v>
      </c>
      <c r="S2862" s="38" t="s">
        <v>2276</v>
      </c>
      <c r="T2862" s="38" t="s">
        <v>2276</v>
      </c>
      <c r="U2862" s="38" t="s">
        <v>2276</v>
      </c>
      <c r="V2862" s="38" t="s">
        <v>2276</v>
      </c>
      <c r="W2862" s="38" t="s">
        <v>2276</v>
      </c>
      <c r="X2862" s="38" t="s">
        <v>2276</v>
      </c>
      <c r="Y2862" s="38" t="s">
        <v>2276</v>
      </c>
      <c r="Z2862" s="38" t="s">
        <v>2276</v>
      </c>
      <c r="AA2862" s="204"/>
      <c r="AB2862" s="204"/>
    </row>
    <row r="2863" spans="1:28" ht="31" customHeight="1">
      <c r="A2863" s="152" t="str">
        <f>'Reported burning'!A2863</f>
        <v>306t</v>
      </c>
      <c r="B2863" s="152" t="str">
        <f>'Reported burning'!B2863</f>
        <v>306t.1</v>
      </c>
      <c r="C2863" s="152" t="str">
        <f>'Reported burning'!C2863</f>
        <v>Human, deliberate</v>
      </c>
      <c r="D2863" s="152" t="str">
        <f>'Reported burning'!D2863</f>
        <v>Pyrome management</v>
      </c>
      <c r="E2863" s="152" t="str">
        <f>'Reported burning'!E2863</f>
        <v>Fire suppression agent</v>
      </c>
      <c r="F2863" s="152" t="str">
        <f>'Reported burning'!F2863</f>
        <v>ND</v>
      </c>
      <c r="G2863" s="152" t="str">
        <f>'Reported burning'!G2863</f>
        <v>ND</v>
      </c>
      <c r="H2863" s="152" t="str">
        <f>'Reported burning'!H2863</f>
        <v>Presence</v>
      </c>
      <c r="I2863" s="204"/>
      <c r="J2863" s="38" t="s">
        <v>2276</v>
      </c>
      <c r="K2863" s="38" t="s">
        <v>2276</v>
      </c>
      <c r="L2863" s="38" t="s">
        <v>2276</v>
      </c>
      <c r="M2863" s="38" t="s">
        <v>2276</v>
      </c>
      <c r="N2863" s="38" t="s">
        <v>2276</v>
      </c>
      <c r="O2863" s="38" t="s">
        <v>2276</v>
      </c>
      <c r="P2863" s="103" t="s">
        <v>2378</v>
      </c>
      <c r="Q2863" s="38" t="s">
        <v>2276</v>
      </c>
      <c r="R2863" s="38" t="s">
        <v>2276</v>
      </c>
      <c r="S2863" s="38" t="s">
        <v>2276</v>
      </c>
      <c r="T2863" s="38" t="s">
        <v>2276</v>
      </c>
      <c r="U2863" s="38" t="s">
        <v>2276</v>
      </c>
      <c r="V2863" s="38" t="s">
        <v>2276</v>
      </c>
      <c r="W2863" s="38" t="s">
        <v>2276</v>
      </c>
      <c r="X2863" s="38" t="s">
        <v>2276</v>
      </c>
      <c r="Y2863" s="38" t="s">
        <v>2276</v>
      </c>
      <c r="Z2863" s="38" t="s">
        <v>2276</v>
      </c>
      <c r="AA2863" s="204"/>
      <c r="AB2863" s="204"/>
    </row>
    <row r="2864" spans="1:28" ht="31" customHeight="1">
      <c r="A2864" s="152" t="str">
        <f>'Reported burning'!A2864</f>
        <v>306u</v>
      </c>
      <c r="B2864" s="152" t="str">
        <f>'Reported burning'!B2864</f>
        <v>306u.1</v>
      </c>
      <c r="C2864" s="152" t="str">
        <f>'Reported burning'!C2864</f>
        <v>Human, deliberate</v>
      </c>
      <c r="D2864" s="152" t="str">
        <f>'Reported burning'!D2864</f>
        <v>Pyrome management</v>
      </c>
      <c r="E2864" s="152" t="str">
        <f>'Reported burning'!E2864</f>
        <v>Fire suppression agent</v>
      </c>
      <c r="F2864" s="152" t="str">
        <f>'Reported burning'!F2864</f>
        <v>ND</v>
      </c>
      <c r="G2864" s="152" t="str">
        <f>'Reported burning'!G2864</f>
        <v>ND</v>
      </c>
      <c r="H2864" s="152" t="str">
        <f>'Reported burning'!H2864</f>
        <v>Presence</v>
      </c>
      <c r="I2864" s="204"/>
      <c r="J2864" s="38" t="s">
        <v>2276</v>
      </c>
      <c r="K2864" s="38" t="s">
        <v>2276</v>
      </c>
      <c r="L2864" s="38" t="s">
        <v>2276</v>
      </c>
      <c r="M2864" s="38" t="s">
        <v>2276</v>
      </c>
      <c r="N2864" s="38" t="s">
        <v>2276</v>
      </c>
      <c r="O2864" s="38" t="s">
        <v>2276</v>
      </c>
      <c r="P2864" s="103" t="s">
        <v>2377</v>
      </c>
      <c r="Q2864" s="38" t="s">
        <v>2276</v>
      </c>
      <c r="R2864" s="38" t="s">
        <v>2276</v>
      </c>
      <c r="S2864" s="38" t="s">
        <v>2276</v>
      </c>
      <c r="T2864" s="38" t="s">
        <v>2276</v>
      </c>
      <c r="U2864" s="38" t="s">
        <v>2276</v>
      </c>
      <c r="V2864" s="38" t="s">
        <v>2276</v>
      </c>
      <c r="W2864" s="38" t="s">
        <v>2276</v>
      </c>
      <c r="X2864" s="38" t="s">
        <v>2276</v>
      </c>
      <c r="Y2864" s="38" t="s">
        <v>2276</v>
      </c>
      <c r="Z2864" s="38" t="s">
        <v>2276</v>
      </c>
      <c r="AA2864" s="204"/>
      <c r="AB2864" s="204"/>
    </row>
    <row r="2865" spans="1:28" ht="31" customHeight="1">
      <c r="A2865" s="152" t="str">
        <f>'Reported burning'!A2865</f>
        <v>306v</v>
      </c>
      <c r="B2865" s="152" t="str">
        <f>'Reported burning'!B2865</f>
        <v>306v.1</v>
      </c>
      <c r="C2865" s="152" t="str">
        <f>'Reported burning'!C2865</f>
        <v>Human, deliberate</v>
      </c>
      <c r="D2865" s="152" t="str">
        <f>'Reported burning'!D2865</f>
        <v>Pyrome management</v>
      </c>
      <c r="E2865" s="152" t="str">
        <f>'Reported burning'!E2865</f>
        <v>Fire suppression agent</v>
      </c>
      <c r="F2865" s="152" t="str">
        <f>'Reported burning'!F2865</f>
        <v>ND</v>
      </c>
      <c r="G2865" s="152" t="str">
        <f>'Reported burning'!G2865</f>
        <v>ND</v>
      </c>
      <c r="H2865" s="152" t="str">
        <f>'Reported burning'!H2865</f>
        <v>Presence</v>
      </c>
      <c r="I2865" s="204"/>
      <c r="J2865" s="38" t="s">
        <v>2276</v>
      </c>
      <c r="K2865" s="38" t="s">
        <v>2276</v>
      </c>
      <c r="L2865" s="38" t="s">
        <v>2276</v>
      </c>
      <c r="M2865" s="38" t="s">
        <v>2276</v>
      </c>
      <c r="N2865" s="38" t="s">
        <v>2276</v>
      </c>
      <c r="O2865" s="38" t="s">
        <v>2276</v>
      </c>
      <c r="P2865" s="103" t="s">
        <v>2378</v>
      </c>
      <c r="Q2865" s="38" t="s">
        <v>2276</v>
      </c>
      <c r="R2865" s="38" t="s">
        <v>2276</v>
      </c>
      <c r="S2865" s="38" t="s">
        <v>2276</v>
      </c>
      <c r="T2865" s="38" t="s">
        <v>2276</v>
      </c>
      <c r="U2865" s="38" t="s">
        <v>2276</v>
      </c>
      <c r="V2865" s="38" t="s">
        <v>2276</v>
      </c>
      <c r="W2865" s="38" t="s">
        <v>2276</v>
      </c>
      <c r="X2865" s="38" t="s">
        <v>2276</v>
      </c>
      <c r="Y2865" s="38" t="s">
        <v>2276</v>
      </c>
      <c r="Z2865" s="38" t="s">
        <v>2276</v>
      </c>
      <c r="AA2865" s="204"/>
      <c r="AB2865" s="204"/>
    </row>
    <row r="2866" spans="1:28" ht="31" customHeight="1">
      <c r="A2866" s="152" t="str">
        <f>'Reported burning'!A2866</f>
        <v>306w</v>
      </c>
      <c r="B2866" s="152" t="str">
        <f>'Reported burning'!B2866</f>
        <v>306w.1</v>
      </c>
      <c r="C2866" s="152" t="str">
        <f>'Reported burning'!C2866</f>
        <v>Human, deliberate</v>
      </c>
      <c r="D2866" s="152" t="str">
        <f>'Reported burning'!D2866</f>
        <v>Pyrome management</v>
      </c>
      <c r="E2866" s="152" t="str">
        <f>'Reported burning'!E2866</f>
        <v>Fire suppression agent</v>
      </c>
      <c r="F2866" s="152" t="str">
        <f>'Reported burning'!F2866</f>
        <v>ND</v>
      </c>
      <c r="G2866" s="152" t="str">
        <f>'Reported burning'!G2866</f>
        <v>ND</v>
      </c>
      <c r="H2866" s="152" t="str">
        <f>'Reported burning'!H2866</f>
        <v>Presence</v>
      </c>
      <c r="I2866" s="204"/>
      <c r="J2866" s="38" t="s">
        <v>2276</v>
      </c>
      <c r="K2866" s="38" t="s">
        <v>2276</v>
      </c>
      <c r="L2866" s="38" t="s">
        <v>2276</v>
      </c>
      <c r="M2866" s="38" t="s">
        <v>2276</v>
      </c>
      <c r="N2866" s="38" t="s">
        <v>2276</v>
      </c>
      <c r="O2866" s="38" t="s">
        <v>2276</v>
      </c>
      <c r="P2866" s="103" t="s">
        <v>2377</v>
      </c>
      <c r="Q2866" s="38" t="s">
        <v>2276</v>
      </c>
      <c r="R2866" s="38" t="s">
        <v>2276</v>
      </c>
      <c r="S2866" s="38" t="s">
        <v>2276</v>
      </c>
      <c r="T2866" s="38" t="s">
        <v>2276</v>
      </c>
      <c r="U2866" s="38" t="s">
        <v>2276</v>
      </c>
      <c r="V2866" s="38" t="s">
        <v>2276</v>
      </c>
      <c r="W2866" s="38" t="s">
        <v>2276</v>
      </c>
      <c r="X2866" s="38" t="s">
        <v>2276</v>
      </c>
      <c r="Y2866" s="38" t="s">
        <v>2276</v>
      </c>
      <c r="Z2866" s="38" t="s">
        <v>2276</v>
      </c>
      <c r="AA2866" s="204"/>
      <c r="AB2866" s="204"/>
    </row>
    <row r="2867" spans="1:28" ht="31" customHeight="1">
      <c r="A2867" s="152" t="str">
        <f>'Reported burning'!A2867</f>
        <v>306x</v>
      </c>
      <c r="B2867" s="152" t="str">
        <f>'Reported burning'!B2867</f>
        <v>306x.1</v>
      </c>
      <c r="C2867" s="152" t="str">
        <f>'Reported burning'!C2867</f>
        <v>Human, deliberate</v>
      </c>
      <c r="D2867" s="152" t="str">
        <f>'Reported burning'!D2867</f>
        <v>Pyrome management</v>
      </c>
      <c r="E2867" s="152" t="str">
        <f>'Reported burning'!E2867</f>
        <v>Fire suppression agent</v>
      </c>
      <c r="F2867" s="152" t="str">
        <f>'Reported burning'!F2867</f>
        <v>ND</v>
      </c>
      <c r="G2867" s="152" t="str">
        <f>'Reported burning'!G2867</f>
        <v>ND</v>
      </c>
      <c r="H2867" s="152" t="str">
        <f>'Reported burning'!H2867</f>
        <v>Presence</v>
      </c>
      <c r="I2867" s="204"/>
      <c r="J2867" s="38" t="s">
        <v>2276</v>
      </c>
      <c r="K2867" s="38" t="s">
        <v>2276</v>
      </c>
      <c r="L2867" s="38" t="s">
        <v>2276</v>
      </c>
      <c r="M2867" s="38" t="s">
        <v>2276</v>
      </c>
      <c r="N2867" s="38" t="s">
        <v>2276</v>
      </c>
      <c r="O2867" s="38" t="s">
        <v>2276</v>
      </c>
      <c r="P2867" s="103" t="s">
        <v>2378</v>
      </c>
      <c r="Q2867" s="38" t="s">
        <v>2276</v>
      </c>
      <c r="R2867" s="38" t="s">
        <v>2276</v>
      </c>
      <c r="S2867" s="38" t="s">
        <v>2276</v>
      </c>
      <c r="T2867" s="38" t="s">
        <v>2276</v>
      </c>
      <c r="U2867" s="38" t="s">
        <v>2276</v>
      </c>
      <c r="V2867" s="38" t="s">
        <v>2276</v>
      </c>
      <c r="W2867" s="38" t="s">
        <v>2276</v>
      </c>
      <c r="X2867" s="38" t="s">
        <v>2276</v>
      </c>
      <c r="Y2867" s="38" t="s">
        <v>2276</v>
      </c>
      <c r="Z2867" s="38" t="s">
        <v>2276</v>
      </c>
      <c r="AA2867" s="204"/>
      <c r="AB2867" s="204"/>
    </row>
    <row r="2868" spans="1:28" ht="31" customHeight="1">
      <c r="A2868" s="152" t="str">
        <f>'Reported burning'!A2868</f>
        <v>306y</v>
      </c>
      <c r="B2868" s="152" t="str">
        <f>'Reported burning'!B2868</f>
        <v>306y.1</v>
      </c>
      <c r="C2868" s="152" t="str">
        <f>'Reported burning'!C2868</f>
        <v>Human, deliberate</v>
      </c>
      <c r="D2868" s="152" t="str">
        <f>'Reported burning'!D2868</f>
        <v>Pyrome management</v>
      </c>
      <c r="E2868" s="152" t="str">
        <f>'Reported burning'!E2868</f>
        <v>Fire suppression agent</v>
      </c>
      <c r="F2868" s="152" t="str">
        <f>'Reported burning'!F2868</f>
        <v>ND</v>
      </c>
      <c r="G2868" s="152" t="str">
        <f>'Reported burning'!G2868</f>
        <v>ND</v>
      </c>
      <c r="H2868" s="152" t="str">
        <f>'Reported burning'!H2868</f>
        <v>Presence</v>
      </c>
      <c r="I2868" s="204"/>
      <c r="J2868" s="38" t="s">
        <v>2276</v>
      </c>
      <c r="K2868" s="38" t="s">
        <v>2276</v>
      </c>
      <c r="L2868" s="38" t="s">
        <v>2276</v>
      </c>
      <c r="M2868" s="38" t="s">
        <v>2276</v>
      </c>
      <c r="N2868" s="38" t="s">
        <v>2276</v>
      </c>
      <c r="O2868" s="38" t="s">
        <v>2276</v>
      </c>
      <c r="P2868" s="103" t="s">
        <v>2379</v>
      </c>
      <c r="Q2868" s="38" t="s">
        <v>2276</v>
      </c>
      <c r="R2868" s="38" t="s">
        <v>2276</v>
      </c>
      <c r="S2868" s="38" t="s">
        <v>2276</v>
      </c>
      <c r="T2868" s="38" t="s">
        <v>2276</v>
      </c>
      <c r="U2868" s="38" t="s">
        <v>2276</v>
      </c>
      <c r="V2868" s="38" t="s">
        <v>2276</v>
      </c>
      <c r="W2868" s="38" t="s">
        <v>2276</v>
      </c>
      <c r="X2868" s="38" t="s">
        <v>2276</v>
      </c>
      <c r="Y2868" s="38" t="s">
        <v>2276</v>
      </c>
      <c r="Z2868" s="38" t="s">
        <v>2276</v>
      </c>
      <c r="AA2868" s="204"/>
      <c r="AB2868" s="204"/>
    </row>
    <row r="2869" spans="1:28" ht="31" customHeight="1">
      <c r="A2869" s="152" t="str">
        <f>'Reported burning'!A2869</f>
        <v>306z</v>
      </c>
      <c r="B2869" s="152" t="str">
        <f>'Reported burning'!B2869</f>
        <v>306z.1</v>
      </c>
      <c r="C2869" s="152" t="str">
        <f>'Reported burning'!C2869</f>
        <v>Human, deliberate</v>
      </c>
      <c r="D2869" s="152" t="str">
        <f>'Reported burning'!D2869</f>
        <v>Pyrome management</v>
      </c>
      <c r="E2869" s="152" t="str">
        <f>'Reported burning'!E2869</f>
        <v>Fire suppression agent</v>
      </c>
      <c r="F2869" s="152" t="str">
        <f>'Reported burning'!F2869</f>
        <v>ND</v>
      </c>
      <c r="G2869" s="152" t="str">
        <f>'Reported burning'!G2869</f>
        <v>ND</v>
      </c>
      <c r="H2869" s="152" t="str">
        <f>'Reported burning'!H2869</f>
        <v>Presence</v>
      </c>
      <c r="I2869" s="204"/>
      <c r="J2869" s="38" t="s">
        <v>2276</v>
      </c>
      <c r="K2869" s="38" t="s">
        <v>2276</v>
      </c>
      <c r="L2869" s="38" t="s">
        <v>2276</v>
      </c>
      <c r="M2869" s="38" t="s">
        <v>2276</v>
      </c>
      <c r="N2869" s="38" t="s">
        <v>2276</v>
      </c>
      <c r="O2869" s="38" t="s">
        <v>2276</v>
      </c>
      <c r="P2869" s="103" t="s">
        <v>2380</v>
      </c>
      <c r="Q2869" s="38" t="s">
        <v>2276</v>
      </c>
      <c r="R2869" s="38" t="s">
        <v>2276</v>
      </c>
      <c r="S2869" s="38" t="s">
        <v>2276</v>
      </c>
      <c r="T2869" s="38" t="s">
        <v>2276</v>
      </c>
      <c r="U2869" s="38" t="s">
        <v>2276</v>
      </c>
      <c r="V2869" s="38" t="s">
        <v>2276</v>
      </c>
      <c r="W2869" s="38" t="s">
        <v>2276</v>
      </c>
      <c r="X2869" s="38" t="s">
        <v>2276</v>
      </c>
      <c r="Y2869" s="38" t="s">
        <v>2276</v>
      </c>
      <c r="Z2869" s="38" t="s">
        <v>2276</v>
      </c>
      <c r="AA2869" s="204"/>
      <c r="AB2869" s="204"/>
    </row>
    <row r="2870" spans="1:28" ht="31" customHeight="1">
      <c r="A2870" s="152" t="str">
        <f>'Reported burning'!A2870</f>
        <v>306aa</v>
      </c>
      <c r="B2870" s="152" t="str">
        <f>'Reported burning'!B2870</f>
        <v>306aa.1</v>
      </c>
      <c r="C2870" s="152" t="str">
        <f>'Reported burning'!C2870</f>
        <v>Human, deliberate</v>
      </c>
      <c r="D2870" s="152" t="str">
        <f>'Reported burning'!D2870</f>
        <v>Pyrome management</v>
      </c>
      <c r="E2870" s="152" t="str">
        <f>'Reported burning'!E2870</f>
        <v>Fire suppression agent</v>
      </c>
      <c r="F2870" s="152" t="str">
        <f>'Reported burning'!F2870</f>
        <v>ND</v>
      </c>
      <c r="G2870" s="152" t="str">
        <f>'Reported burning'!G2870</f>
        <v>ND</v>
      </c>
      <c r="H2870" s="152" t="str">
        <f>'Reported burning'!H2870</f>
        <v>Presence</v>
      </c>
      <c r="I2870" s="204"/>
      <c r="J2870" s="38" t="s">
        <v>2276</v>
      </c>
      <c r="K2870" s="38" t="s">
        <v>2276</v>
      </c>
      <c r="L2870" s="38" t="s">
        <v>2276</v>
      </c>
      <c r="M2870" s="38" t="s">
        <v>2276</v>
      </c>
      <c r="N2870" s="38" t="s">
        <v>2276</v>
      </c>
      <c r="O2870" s="38" t="s">
        <v>2276</v>
      </c>
      <c r="P2870" s="103" t="s">
        <v>2378</v>
      </c>
      <c r="Q2870" s="38" t="s">
        <v>2276</v>
      </c>
      <c r="R2870" s="38" t="s">
        <v>2276</v>
      </c>
      <c r="S2870" s="38" t="s">
        <v>2276</v>
      </c>
      <c r="T2870" s="38" t="s">
        <v>2276</v>
      </c>
      <c r="U2870" s="38" t="s">
        <v>2276</v>
      </c>
      <c r="V2870" s="38" t="s">
        <v>2276</v>
      </c>
      <c r="W2870" s="38" t="s">
        <v>2276</v>
      </c>
      <c r="X2870" s="38" t="s">
        <v>2276</v>
      </c>
      <c r="Y2870" s="38" t="s">
        <v>2276</v>
      </c>
      <c r="Z2870" s="38" t="s">
        <v>2276</v>
      </c>
      <c r="AA2870" s="204"/>
      <c r="AB2870" s="204"/>
    </row>
    <row r="2871" spans="1:28" ht="31" customHeight="1">
      <c r="A2871" s="152" t="str">
        <f>'Reported burning'!A2871</f>
        <v>306ab</v>
      </c>
      <c r="B2871" s="152" t="str">
        <f>'Reported burning'!B2871</f>
        <v>306ab.1</v>
      </c>
      <c r="C2871" s="152" t="str">
        <f>'Reported burning'!C2871</f>
        <v>Human, deliberate</v>
      </c>
      <c r="D2871" s="152" t="str">
        <f>'Reported burning'!D2871</f>
        <v>Pyrome management</v>
      </c>
      <c r="E2871" s="152" t="str">
        <f>'Reported burning'!E2871</f>
        <v>Fire suppression agent</v>
      </c>
      <c r="F2871" s="152" t="str">
        <f>'Reported burning'!F2871</f>
        <v>ND</v>
      </c>
      <c r="G2871" s="152" t="str">
        <f>'Reported burning'!G2871</f>
        <v>ND</v>
      </c>
      <c r="H2871" s="152" t="str">
        <f>'Reported burning'!H2871</f>
        <v>Presence</v>
      </c>
      <c r="I2871" s="204"/>
      <c r="J2871" s="38" t="s">
        <v>2276</v>
      </c>
      <c r="K2871" s="38" t="s">
        <v>2276</v>
      </c>
      <c r="L2871" s="38" t="s">
        <v>2276</v>
      </c>
      <c r="M2871" s="38" t="s">
        <v>2276</v>
      </c>
      <c r="N2871" s="38" t="s">
        <v>2276</v>
      </c>
      <c r="O2871" s="38" t="s">
        <v>2276</v>
      </c>
      <c r="P2871" s="103" t="s">
        <v>2377</v>
      </c>
      <c r="Q2871" s="38" t="s">
        <v>2276</v>
      </c>
      <c r="R2871" s="38" t="s">
        <v>2276</v>
      </c>
      <c r="S2871" s="38" t="s">
        <v>2276</v>
      </c>
      <c r="T2871" s="38" t="s">
        <v>2276</v>
      </c>
      <c r="U2871" s="38" t="s">
        <v>2276</v>
      </c>
      <c r="V2871" s="38" t="s">
        <v>2276</v>
      </c>
      <c r="W2871" s="38" t="s">
        <v>2276</v>
      </c>
      <c r="X2871" s="38" t="s">
        <v>2276</v>
      </c>
      <c r="Y2871" s="38" t="s">
        <v>2276</v>
      </c>
      <c r="Z2871" s="38" t="s">
        <v>2276</v>
      </c>
      <c r="AA2871" s="204"/>
      <c r="AB2871" s="204"/>
    </row>
    <row r="2872" spans="1:28" ht="31" customHeight="1">
      <c r="A2872" s="152" t="str">
        <f>'Reported burning'!A2872</f>
        <v>306ac</v>
      </c>
      <c r="B2872" s="152" t="str">
        <f>'Reported burning'!B2872</f>
        <v>306ac.1</v>
      </c>
      <c r="C2872" s="152" t="str">
        <f>'Reported burning'!C2872</f>
        <v>Human, deliberate</v>
      </c>
      <c r="D2872" s="152" t="str">
        <f>'Reported burning'!D2872</f>
        <v>Pyrome management</v>
      </c>
      <c r="E2872" s="152" t="str">
        <f>'Reported burning'!E2872</f>
        <v>Fire suppression agent</v>
      </c>
      <c r="F2872" s="152" t="str">
        <f>'Reported burning'!F2872</f>
        <v>ND</v>
      </c>
      <c r="G2872" s="152" t="str">
        <f>'Reported burning'!G2872</f>
        <v>ND</v>
      </c>
      <c r="H2872" s="152" t="str">
        <f>'Reported burning'!H2872</f>
        <v>Presence</v>
      </c>
      <c r="I2872" s="204"/>
      <c r="J2872" s="38" t="s">
        <v>2276</v>
      </c>
      <c r="K2872" s="38" t="s">
        <v>2276</v>
      </c>
      <c r="L2872" s="38" t="s">
        <v>2276</v>
      </c>
      <c r="M2872" s="38" t="s">
        <v>2276</v>
      </c>
      <c r="N2872" s="38" t="s">
        <v>2276</v>
      </c>
      <c r="O2872" s="38" t="s">
        <v>2276</v>
      </c>
      <c r="P2872" s="103" t="s">
        <v>2377</v>
      </c>
      <c r="Q2872" s="38" t="s">
        <v>2276</v>
      </c>
      <c r="R2872" s="38" t="s">
        <v>2276</v>
      </c>
      <c r="S2872" s="38" t="s">
        <v>2276</v>
      </c>
      <c r="T2872" s="38" t="s">
        <v>2276</v>
      </c>
      <c r="U2872" s="38" t="s">
        <v>2276</v>
      </c>
      <c r="V2872" s="38" t="s">
        <v>2276</v>
      </c>
      <c r="W2872" s="38" t="s">
        <v>2276</v>
      </c>
      <c r="X2872" s="38" t="s">
        <v>2276</v>
      </c>
      <c r="Y2872" s="38" t="s">
        <v>2276</v>
      </c>
      <c r="Z2872" s="38" t="s">
        <v>2276</v>
      </c>
      <c r="AA2872" s="204"/>
      <c r="AB2872" s="204"/>
    </row>
    <row r="2873" spans="1:28" ht="31" customHeight="1">
      <c r="A2873" s="152" t="str">
        <f>'Reported burning'!A2873</f>
        <v>306ad</v>
      </c>
      <c r="B2873" s="152" t="str">
        <f>'Reported burning'!B2873</f>
        <v>306ad.1</v>
      </c>
      <c r="C2873" s="152" t="str">
        <f>'Reported burning'!C2873</f>
        <v>Human, deliberate</v>
      </c>
      <c r="D2873" s="152" t="str">
        <f>'Reported burning'!D2873</f>
        <v>Pyrome management</v>
      </c>
      <c r="E2873" s="152" t="str">
        <f>'Reported burning'!E2873</f>
        <v>Fire suppression agent</v>
      </c>
      <c r="F2873" s="152" t="str">
        <f>'Reported burning'!F2873</f>
        <v>ND</v>
      </c>
      <c r="G2873" s="152" t="str">
        <f>'Reported burning'!G2873</f>
        <v>ND</v>
      </c>
      <c r="H2873" s="152" t="str">
        <f>'Reported burning'!H2873</f>
        <v>Presence</v>
      </c>
      <c r="I2873" s="204"/>
      <c r="J2873" s="38" t="s">
        <v>2276</v>
      </c>
      <c r="K2873" s="38" t="s">
        <v>2276</v>
      </c>
      <c r="L2873" s="38" t="s">
        <v>2276</v>
      </c>
      <c r="M2873" s="38" t="s">
        <v>2276</v>
      </c>
      <c r="N2873" s="38" t="s">
        <v>2276</v>
      </c>
      <c r="O2873" s="38" t="s">
        <v>2276</v>
      </c>
      <c r="P2873" s="103" t="s">
        <v>2378</v>
      </c>
      <c r="Q2873" s="38" t="s">
        <v>2276</v>
      </c>
      <c r="R2873" s="38" t="s">
        <v>2276</v>
      </c>
      <c r="S2873" s="38" t="s">
        <v>2276</v>
      </c>
      <c r="T2873" s="38" t="s">
        <v>2276</v>
      </c>
      <c r="U2873" s="38" t="s">
        <v>2276</v>
      </c>
      <c r="V2873" s="38" t="s">
        <v>2276</v>
      </c>
      <c r="W2873" s="38" t="s">
        <v>2276</v>
      </c>
      <c r="X2873" s="38" t="s">
        <v>2276</v>
      </c>
      <c r="Y2873" s="38" t="s">
        <v>2276</v>
      </c>
      <c r="Z2873" s="38" t="s">
        <v>2276</v>
      </c>
      <c r="AA2873" s="204"/>
      <c r="AB2873" s="204"/>
    </row>
    <row r="2874" spans="1:28" ht="31" customHeight="1">
      <c r="A2874" s="152" t="str">
        <f>'Reported burning'!A2874</f>
        <v>306ae</v>
      </c>
      <c r="B2874" s="152" t="str">
        <f>'Reported burning'!B2874</f>
        <v>306ae.1</v>
      </c>
      <c r="C2874" s="152" t="str">
        <f>'Reported burning'!C2874</f>
        <v>Human, deliberate</v>
      </c>
      <c r="D2874" s="152" t="str">
        <f>'Reported burning'!D2874</f>
        <v>Pyrome management</v>
      </c>
      <c r="E2874" s="152" t="str">
        <f>'Reported burning'!E2874</f>
        <v>Fire suppression agent</v>
      </c>
      <c r="F2874" s="152" t="str">
        <f>'Reported burning'!F2874</f>
        <v>ND</v>
      </c>
      <c r="G2874" s="152" t="str">
        <f>'Reported burning'!G2874</f>
        <v>ND</v>
      </c>
      <c r="H2874" s="152" t="str">
        <f>'Reported burning'!H2874</f>
        <v>Presence</v>
      </c>
      <c r="I2874" s="204"/>
      <c r="J2874" s="38" t="s">
        <v>2276</v>
      </c>
      <c r="K2874" s="38" t="s">
        <v>2276</v>
      </c>
      <c r="L2874" s="38" t="s">
        <v>2276</v>
      </c>
      <c r="M2874" s="38" t="s">
        <v>2276</v>
      </c>
      <c r="N2874" s="38" t="s">
        <v>2276</v>
      </c>
      <c r="O2874" s="38" t="s">
        <v>2276</v>
      </c>
      <c r="P2874" s="103" t="s">
        <v>2378</v>
      </c>
      <c r="Q2874" s="38" t="s">
        <v>2276</v>
      </c>
      <c r="R2874" s="38" t="s">
        <v>2276</v>
      </c>
      <c r="S2874" s="38" t="s">
        <v>2276</v>
      </c>
      <c r="T2874" s="38" t="s">
        <v>2276</v>
      </c>
      <c r="U2874" s="38" t="s">
        <v>2276</v>
      </c>
      <c r="V2874" s="38" t="s">
        <v>2276</v>
      </c>
      <c r="W2874" s="38" t="s">
        <v>2276</v>
      </c>
      <c r="X2874" s="38" t="s">
        <v>2276</v>
      </c>
      <c r="Y2874" s="38" t="s">
        <v>2276</v>
      </c>
      <c r="Z2874" s="38" t="s">
        <v>2276</v>
      </c>
      <c r="AA2874" s="204"/>
      <c r="AB2874" s="204"/>
    </row>
    <row r="2875" spans="1:28" ht="31" customHeight="1">
      <c r="A2875" s="152" t="str">
        <f>'Reported burning'!A2875</f>
        <v>306af</v>
      </c>
      <c r="B2875" s="152" t="str">
        <f>'Reported burning'!B2875</f>
        <v>306af.1</v>
      </c>
      <c r="C2875" s="152" t="str">
        <f>'Reported burning'!C2875</f>
        <v>Human, deliberate</v>
      </c>
      <c r="D2875" s="152" t="str">
        <f>'Reported burning'!D2875</f>
        <v>Pyrome management</v>
      </c>
      <c r="E2875" s="152" t="str">
        <f>'Reported burning'!E2875</f>
        <v>Fire suppression agent</v>
      </c>
      <c r="F2875" s="152" t="str">
        <f>'Reported burning'!F2875</f>
        <v>ND</v>
      </c>
      <c r="G2875" s="152" t="str">
        <f>'Reported burning'!G2875</f>
        <v>ND</v>
      </c>
      <c r="H2875" s="152" t="str">
        <f>'Reported burning'!H2875</f>
        <v>Presence</v>
      </c>
      <c r="I2875" s="204"/>
      <c r="J2875" s="38" t="s">
        <v>2276</v>
      </c>
      <c r="K2875" s="38" t="s">
        <v>2276</v>
      </c>
      <c r="L2875" s="38" t="s">
        <v>2276</v>
      </c>
      <c r="M2875" s="38" t="s">
        <v>2276</v>
      </c>
      <c r="N2875" s="38" t="s">
        <v>2276</v>
      </c>
      <c r="O2875" s="38" t="s">
        <v>2276</v>
      </c>
      <c r="P2875" s="103" t="s">
        <v>2380</v>
      </c>
      <c r="Q2875" s="38" t="s">
        <v>2276</v>
      </c>
      <c r="R2875" s="38" t="s">
        <v>2276</v>
      </c>
      <c r="S2875" s="38" t="s">
        <v>2276</v>
      </c>
      <c r="T2875" s="38" t="s">
        <v>2276</v>
      </c>
      <c r="U2875" s="38" t="s">
        <v>2276</v>
      </c>
      <c r="V2875" s="38" t="s">
        <v>2276</v>
      </c>
      <c r="W2875" s="38" t="s">
        <v>2276</v>
      </c>
      <c r="X2875" s="38" t="s">
        <v>2276</v>
      </c>
      <c r="Y2875" s="38" t="s">
        <v>2276</v>
      </c>
      <c r="Z2875" s="38" t="s">
        <v>2276</v>
      </c>
      <c r="AA2875" s="204"/>
      <c r="AB2875" s="204"/>
    </row>
    <row r="2876" spans="1:28" ht="31" customHeight="1">
      <c r="A2876" s="152" t="str">
        <f>'Reported burning'!A2876</f>
        <v>306ag</v>
      </c>
      <c r="B2876" s="152" t="str">
        <f>'Reported burning'!B2876</f>
        <v>306ag.1</v>
      </c>
      <c r="C2876" s="152" t="str">
        <f>'Reported burning'!C2876</f>
        <v>Human, deliberate</v>
      </c>
      <c r="D2876" s="152" t="str">
        <f>'Reported burning'!D2876</f>
        <v>Pyrome management</v>
      </c>
      <c r="E2876" s="152" t="str">
        <f>'Reported burning'!E2876</f>
        <v>Fire suppression agent</v>
      </c>
      <c r="F2876" s="152" t="str">
        <f>'Reported burning'!F2876</f>
        <v>ND</v>
      </c>
      <c r="G2876" s="152" t="str">
        <f>'Reported burning'!G2876</f>
        <v>ND</v>
      </c>
      <c r="H2876" s="152" t="str">
        <f>'Reported burning'!H2876</f>
        <v>Presence</v>
      </c>
      <c r="I2876" s="204"/>
      <c r="J2876" s="38" t="s">
        <v>2276</v>
      </c>
      <c r="K2876" s="38" t="s">
        <v>2276</v>
      </c>
      <c r="L2876" s="38" t="s">
        <v>2276</v>
      </c>
      <c r="M2876" s="38" t="s">
        <v>2276</v>
      </c>
      <c r="N2876" s="38" t="s">
        <v>2276</v>
      </c>
      <c r="O2876" s="38" t="s">
        <v>2276</v>
      </c>
      <c r="P2876" s="103" t="s">
        <v>2362</v>
      </c>
      <c r="Q2876" s="38" t="s">
        <v>2276</v>
      </c>
      <c r="R2876" s="38" t="s">
        <v>2276</v>
      </c>
      <c r="S2876" s="38" t="s">
        <v>2276</v>
      </c>
      <c r="T2876" s="38" t="s">
        <v>2276</v>
      </c>
      <c r="U2876" s="38" t="s">
        <v>2276</v>
      </c>
      <c r="V2876" s="38" t="s">
        <v>2276</v>
      </c>
      <c r="W2876" s="38" t="s">
        <v>2276</v>
      </c>
      <c r="X2876" s="38" t="s">
        <v>2276</v>
      </c>
      <c r="Y2876" s="38" t="s">
        <v>2276</v>
      </c>
      <c r="Z2876" s="38" t="s">
        <v>2276</v>
      </c>
      <c r="AA2876" s="204"/>
      <c r="AB2876" s="204"/>
    </row>
    <row r="2877" spans="1:28" ht="31" customHeight="1">
      <c r="A2877" s="152" t="str">
        <f>'Reported burning'!A2877</f>
        <v>306ah</v>
      </c>
      <c r="B2877" s="152" t="str">
        <f>'Reported burning'!B2877</f>
        <v>306ah.1</v>
      </c>
      <c r="C2877" s="152" t="str">
        <f>'Reported burning'!C2877</f>
        <v>Human, deliberate</v>
      </c>
      <c r="D2877" s="152" t="str">
        <f>'Reported burning'!D2877</f>
        <v>Pyrome management</v>
      </c>
      <c r="E2877" s="152" t="str">
        <f>'Reported burning'!E2877</f>
        <v>Fire suppression agent</v>
      </c>
      <c r="F2877" s="152" t="str">
        <f>'Reported burning'!F2877</f>
        <v>ND</v>
      </c>
      <c r="G2877" s="152" t="str">
        <f>'Reported burning'!G2877</f>
        <v>ND</v>
      </c>
      <c r="H2877" s="152" t="str">
        <f>'Reported burning'!H2877</f>
        <v>Presence</v>
      </c>
      <c r="I2877" s="204"/>
      <c r="J2877" s="38" t="s">
        <v>2276</v>
      </c>
      <c r="K2877" s="38" t="s">
        <v>2276</v>
      </c>
      <c r="L2877" s="38" t="s">
        <v>2276</v>
      </c>
      <c r="M2877" s="38" t="s">
        <v>2276</v>
      </c>
      <c r="N2877" s="38" t="s">
        <v>2276</v>
      </c>
      <c r="O2877" s="38" t="s">
        <v>2276</v>
      </c>
      <c r="P2877" s="103" t="s">
        <v>2380</v>
      </c>
      <c r="Q2877" s="38" t="s">
        <v>2276</v>
      </c>
      <c r="R2877" s="38" t="s">
        <v>2276</v>
      </c>
      <c r="S2877" s="38" t="s">
        <v>2276</v>
      </c>
      <c r="T2877" s="38" t="s">
        <v>2276</v>
      </c>
      <c r="U2877" s="38" t="s">
        <v>2276</v>
      </c>
      <c r="V2877" s="38" t="s">
        <v>2276</v>
      </c>
      <c r="W2877" s="38" t="s">
        <v>2276</v>
      </c>
      <c r="X2877" s="38" t="s">
        <v>2276</v>
      </c>
      <c r="Y2877" s="38" t="s">
        <v>2276</v>
      </c>
      <c r="Z2877" s="38" t="s">
        <v>2276</v>
      </c>
      <c r="AA2877" s="204"/>
      <c r="AB2877" s="204"/>
    </row>
    <row r="2878" spans="1:28" ht="31" customHeight="1">
      <c r="A2878" s="152" t="str">
        <f>'Reported burning'!A2878</f>
        <v>306ai</v>
      </c>
      <c r="B2878" s="152" t="str">
        <f>'Reported burning'!B2878</f>
        <v>306ai.1</v>
      </c>
      <c r="C2878" s="152" t="str">
        <f>'Reported burning'!C2878</f>
        <v>Human, deliberate</v>
      </c>
      <c r="D2878" s="152" t="str">
        <f>'Reported burning'!D2878</f>
        <v>Pyrome management</v>
      </c>
      <c r="E2878" s="152" t="str">
        <f>'Reported burning'!E2878</f>
        <v>Fire suppression agent</v>
      </c>
      <c r="F2878" s="152" t="str">
        <f>'Reported burning'!F2878</f>
        <v>ND</v>
      </c>
      <c r="G2878" s="152" t="str">
        <f>'Reported burning'!G2878</f>
        <v>ND</v>
      </c>
      <c r="H2878" s="152" t="str">
        <f>'Reported burning'!H2878</f>
        <v>Absence</v>
      </c>
      <c r="I2878" s="204"/>
      <c r="J2878" s="38" t="s">
        <v>2276</v>
      </c>
      <c r="K2878" s="38" t="s">
        <v>2276</v>
      </c>
      <c r="L2878" s="38" t="s">
        <v>2276</v>
      </c>
      <c r="M2878" s="38" t="s">
        <v>2276</v>
      </c>
      <c r="N2878" s="38" t="s">
        <v>2276</v>
      </c>
      <c r="O2878" s="38" t="s">
        <v>2276</v>
      </c>
      <c r="P2878" s="103">
        <v>0</v>
      </c>
      <c r="Q2878" s="38" t="s">
        <v>2276</v>
      </c>
      <c r="R2878" s="38" t="s">
        <v>2276</v>
      </c>
      <c r="S2878" s="38" t="s">
        <v>2276</v>
      </c>
      <c r="T2878" s="38" t="s">
        <v>2276</v>
      </c>
      <c r="U2878" s="38" t="s">
        <v>2276</v>
      </c>
      <c r="V2878" s="38" t="s">
        <v>2276</v>
      </c>
      <c r="W2878" s="38" t="s">
        <v>2276</v>
      </c>
      <c r="X2878" s="38" t="s">
        <v>2276</v>
      </c>
      <c r="Y2878" s="38" t="s">
        <v>2276</v>
      </c>
      <c r="Z2878" s="38" t="s">
        <v>2276</v>
      </c>
      <c r="AA2878" s="204"/>
      <c r="AB2878" s="204"/>
    </row>
    <row r="2879" spans="1:28" ht="31" customHeight="1">
      <c r="A2879" s="152" t="str">
        <f>'Reported burning'!A2879</f>
        <v>306aj</v>
      </c>
      <c r="B2879" s="152" t="str">
        <f>'Reported burning'!B2879</f>
        <v>306aj.1</v>
      </c>
      <c r="C2879" s="152" t="str">
        <f>'Reported burning'!C2879</f>
        <v>Human, deliberate</v>
      </c>
      <c r="D2879" s="152" t="str">
        <f>'Reported burning'!D2879</f>
        <v>Pyrome management</v>
      </c>
      <c r="E2879" s="152" t="str">
        <f>'Reported burning'!E2879</f>
        <v>Fire suppression agent</v>
      </c>
      <c r="F2879" s="152" t="str">
        <f>'Reported burning'!F2879</f>
        <v>ND</v>
      </c>
      <c r="G2879" s="152" t="str">
        <f>'Reported burning'!G2879</f>
        <v>ND</v>
      </c>
      <c r="H2879" s="152" t="str">
        <f>'Reported burning'!H2879</f>
        <v>Presence</v>
      </c>
      <c r="I2879" s="204"/>
      <c r="J2879" s="38" t="s">
        <v>2276</v>
      </c>
      <c r="K2879" s="38" t="s">
        <v>2276</v>
      </c>
      <c r="L2879" s="38" t="s">
        <v>2276</v>
      </c>
      <c r="M2879" s="38" t="s">
        <v>2276</v>
      </c>
      <c r="N2879" s="38" t="s">
        <v>2276</v>
      </c>
      <c r="O2879" s="38" t="s">
        <v>2276</v>
      </c>
      <c r="P2879" s="103" t="s">
        <v>2380</v>
      </c>
      <c r="Q2879" s="38" t="s">
        <v>2276</v>
      </c>
      <c r="R2879" s="38" t="s">
        <v>2276</v>
      </c>
      <c r="S2879" s="38" t="s">
        <v>2276</v>
      </c>
      <c r="T2879" s="38" t="s">
        <v>2276</v>
      </c>
      <c r="U2879" s="38" t="s">
        <v>2276</v>
      </c>
      <c r="V2879" s="38" t="s">
        <v>2276</v>
      </c>
      <c r="W2879" s="38" t="s">
        <v>2276</v>
      </c>
      <c r="X2879" s="38" t="s">
        <v>2276</v>
      </c>
      <c r="Y2879" s="38" t="s">
        <v>2276</v>
      </c>
      <c r="Z2879" s="38" t="s">
        <v>2276</v>
      </c>
      <c r="AA2879" s="204"/>
      <c r="AB2879" s="204"/>
    </row>
    <row r="2880" spans="1:28" ht="31" customHeight="1">
      <c r="A2880" s="152" t="str">
        <f>'Reported burning'!A2880</f>
        <v>306ak</v>
      </c>
      <c r="B2880" s="152" t="str">
        <f>'Reported burning'!B2880</f>
        <v>306ak.1</v>
      </c>
      <c r="C2880" s="152" t="str">
        <f>'Reported burning'!C2880</f>
        <v>Human, deliberate</v>
      </c>
      <c r="D2880" s="152" t="str">
        <f>'Reported burning'!D2880</f>
        <v>Pyrome management</v>
      </c>
      <c r="E2880" s="152" t="str">
        <f>'Reported burning'!E2880</f>
        <v>Fire suppression agent</v>
      </c>
      <c r="F2880" s="152" t="str">
        <f>'Reported burning'!F2880</f>
        <v>ND</v>
      </c>
      <c r="G2880" s="152" t="str">
        <f>'Reported burning'!G2880</f>
        <v>ND</v>
      </c>
      <c r="H2880" s="152" t="str">
        <f>'Reported burning'!H2880</f>
        <v>Presence</v>
      </c>
      <c r="I2880" s="204"/>
      <c r="J2880" s="38" t="s">
        <v>2276</v>
      </c>
      <c r="K2880" s="38" t="s">
        <v>2276</v>
      </c>
      <c r="L2880" s="38" t="s">
        <v>2276</v>
      </c>
      <c r="M2880" s="38" t="s">
        <v>2276</v>
      </c>
      <c r="N2880" s="38" t="s">
        <v>2276</v>
      </c>
      <c r="O2880" s="38" t="s">
        <v>2276</v>
      </c>
      <c r="P2880" s="103" t="s">
        <v>2378</v>
      </c>
      <c r="Q2880" s="38" t="s">
        <v>2276</v>
      </c>
      <c r="R2880" s="38" t="s">
        <v>2276</v>
      </c>
      <c r="S2880" s="38" t="s">
        <v>2276</v>
      </c>
      <c r="T2880" s="38" t="s">
        <v>2276</v>
      </c>
      <c r="U2880" s="38" t="s">
        <v>2276</v>
      </c>
      <c r="V2880" s="38" t="s">
        <v>2276</v>
      </c>
      <c r="W2880" s="38" t="s">
        <v>2276</v>
      </c>
      <c r="X2880" s="38" t="s">
        <v>2276</v>
      </c>
      <c r="Y2880" s="38" t="s">
        <v>2276</v>
      </c>
      <c r="Z2880" s="38" t="s">
        <v>2276</v>
      </c>
      <c r="AA2880" s="204"/>
      <c r="AB2880" s="204"/>
    </row>
    <row r="2881" spans="1:28" ht="31" customHeight="1">
      <c r="A2881" s="152" t="str">
        <f>'Reported burning'!A2881</f>
        <v>306al</v>
      </c>
      <c r="B2881" s="152" t="str">
        <f>'Reported burning'!B2881</f>
        <v>306al.1</v>
      </c>
      <c r="C2881" s="152" t="str">
        <f>'Reported burning'!C2881</f>
        <v>Human, deliberate</v>
      </c>
      <c r="D2881" s="152" t="str">
        <f>'Reported burning'!D2881</f>
        <v>Pyrome management</v>
      </c>
      <c r="E2881" s="152" t="str">
        <f>'Reported burning'!E2881</f>
        <v>Fire suppression agent</v>
      </c>
      <c r="F2881" s="152" t="str">
        <f>'Reported burning'!F2881</f>
        <v>ND</v>
      </c>
      <c r="G2881" s="152" t="str">
        <f>'Reported burning'!G2881</f>
        <v>ND</v>
      </c>
      <c r="H2881" s="152" t="str">
        <f>'Reported burning'!H2881</f>
        <v>Presence</v>
      </c>
      <c r="I2881" s="204"/>
      <c r="J2881" s="38" t="s">
        <v>2276</v>
      </c>
      <c r="K2881" s="38" t="s">
        <v>2276</v>
      </c>
      <c r="L2881" s="38" t="s">
        <v>2276</v>
      </c>
      <c r="M2881" s="38" t="s">
        <v>2276</v>
      </c>
      <c r="N2881" s="38" t="s">
        <v>2276</v>
      </c>
      <c r="O2881" s="38" t="s">
        <v>2276</v>
      </c>
      <c r="P2881" s="103" t="s">
        <v>2380</v>
      </c>
      <c r="Q2881" s="38" t="s">
        <v>2276</v>
      </c>
      <c r="R2881" s="38" t="s">
        <v>2276</v>
      </c>
      <c r="S2881" s="38" t="s">
        <v>2276</v>
      </c>
      <c r="T2881" s="38" t="s">
        <v>2276</v>
      </c>
      <c r="U2881" s="38" t="s">
        <v>2276</v>
      </c>
      <c r="V2881" s="38" t="s">
        <v>2276</v>
      </c>
      <c r="W2881" s="38" t="s">
        <v>2276</v>
      </c>
      <c r="X2881" s="38" t="s">
        <v>2276</v>
      </c>
      <c r="Y2881" s="38" t="s">
        <v>2276</v>
      </c>
      <c r="Z2881" s="38" t="s">
        <v>2276</v>
      </c>
      <c r="AA2881" s="204"/>
      <c r="AB2881" s="204"/>
    </row>
    <row r="2882" spans="1:28" ht="31" customHeight="1">
      <c r="A2882" s="152" t="str">
        <f>'Reported burning'!A2882</f>
        <v>306am</v>
      </c>
      <c r="B2882" s="152" t="str">
        <f>'Reported burning'!B2882</f>
        <v>306am.1</v>
      </c>
      <c r="C2882" s="152" t="str">
        <f>'Reported burning'!C2882</f>
        <v>Human, deliberate</v>
      </c>
      <c r="D2882" s="152" t="str">
        <f>'Reported burning'!D2882</f>
        <v>Pyrome management</v>
      </c>
      <c r="E2882" s="152" t="str">
        <f>'Reported burning'!E2882</f>
        <v>Fire suppression agent</v>
      </c>
      <c r="F2882" s="152" t="str">
        <f>'Reported burning'!F2882</f>
        <v>ND</v>
      </c>
      <c r="G2882" s="152" t="str">
        <f>'Reported burning'!G2882</f>
        <v>ND</v>
      </c>
      <c r="H2882" s="152" t="str">
        <f>'Reported burning'!H2882</f>
        <v>Presence</v>
      </c>
      <c r="I2882" s="204"/>
      <c r="J2882" s="38" t="s">
        <v>2276</v>
      </c>
      <c r="K2882" s="38" t="s">
        <v>2276</v>
      </c>
      <c r="L2882" s="38" t="s">
        <v>2276</v>
      </c>
      <c r="M2882" s="38" t="s">
        <v>2276</v>
      </c>
      <c r="N2882" s="38" t="s">
        <v>2276</v>
      </c>
      <c r="O2882" s="38" t="s">
        <v>2276</v>
      </c>
      <c r="P2882" s="103" t="s">
        <v>2377</v>
      </c>
      <c r="Q2882" s="38" t="s">
        <v>2276</v>
      </c>
      <c r="R2882" s="38" t="s">
        <v>2276</v>
      </c>
      <c r="S2882" s="38" t="s">
        <v>2276</v>
      </c>
      <c r="T2882" s="38" t="s">
        <v>2276</v>
      </c>
      <c r="U2882" s="38" t="s">
        <v>2276</v>
      </c>
      <c r="V2882" s="38" t="s">
        <v>2276</v>
      </c>
      <c r="W2882" s="38" t="s">
        <v>2276</v>
      </c>
      <c r="X2882" s="38" t="s">
        <v>2276</v>
      </c>
      <c r="Y2882" s="38" t="s">
        <v>2276</v>
      </c>
      <c r="Z2882" s="38" t="s">
        <v>2276</v>
      </c>
      <c r="AA2882" s="204"/>
      <c r="AB2882" s="204"/>
    </row>
    <row r="2883" spans="1:28" ht="31" customHeight="1">
      <c r="A2883" s="152" t="str">
        <f>'Reported burning'!A2883</f>
        <v>306an</v>
      </c>
      <c r="B2883" s="152" t="str">
        <f>'Reported burning'!B2883</f>
        <v>306an.1</v>
      </c>
      <c r="C2883" s="152" t="str">
        <f>'Reported burning'!C2883</f>
        <v>Human, deliberate</v>
      </c>
      <c r="D2883" s="152" t="str">
        <f>'Reported burning'!D2883</f>
        <v>Pyrome management</v>
      </c>
      <c r="E2883" s="152" t="str">
        <f>'Reported burning'!E2883</f>
        <v>Fire suppression agent</v>
      </c>
      <c r="F2883" s="152" t="str">
        <f>'Reported burning'!F2883</f>
        <v>ND</v>
      </c>
      <c r="G2883" s="152" t="str">
        <f>'Reported burning'!G2883</f>
        <v>ND</v>
      </c>
      <c r="H2883" s="152" t="str">
        <f>'Reported burning'!H2883</f>
        <v>Presence</v>
      </c>
      <c r="I2883" s="204"/>
      <c r="J2883" s="38" t="s">
        <v>2276</v>
      </c>
      <c r="K2883" s="38" t="s">
        <v>2276</v>
      </c>
      <c r="L2883" s="38" t="s">
        <v>2276</v>
      </c>
      <c r="M2883" s="38" t="s">
        <v>2276</v>
      </c>
      <c r="N2883" s="38" t="s">
        <v>2276</v>
      </c>
      <c r="O2883" s="38" t="s">
        <v>2276</v>
      </c>
      <c r="P2883" s="103" t="s">
        <v>2377</v>
      </c>
      <c r="Q2883" s="38" t="s">
        <v>2276</v>
      </c>
      <c r="R2883" s="38" t="s">
        <v>2276</v>
      </c>
      <c r="S2883" s="38" t="s">
        <v>2276</v>
      </c>
      <c r="T2883" s="38" t="s">
        <v>2276</v>
      </c>
      <c r="U2883" s="38" t="s">
        <v>2276</v>
      </c>
      <c r="V2883" s="38" t="s">
        <v>2276</v>
      </c>
      <c r="W2883" s="38" t="s">
        <v>2276</v>
      </c>
      <c r="X2883" s="38" t="s">
        <v>2276</v>
      </c>
      <c r="Y2883" s="38" t="s">
        <v>2276</v>
      </c>
      <c r="Z2883" s="38" t="s">
        <v>2276</v>
      </c>
      <c r="AA2883" s="204"/>
      <c r="AB2883" s="204"/>
    </row>
    <row r="2884" spans="1:28" ht="31" customHeight="1">
      <c r="A2884" s="152" t="str">
        <f>'Reported burning'!A2884</f>
        <v>306ao</v>
      </c>
      <c r="B2884" s="152" t="str">
        <f>'Reported burning'!B2884</f>
        <v>306ao.1</v>
      </c>
      <c r="C2884" s="152" t="str">
        <f>'Reported burning'!C2884</f>
        <v>Human, deliberate</v>
      </c>
      <c r="D2884" s="152" t="str">
        <f>'Reported burning'!D2884</f>
        <v>Pyrome management</v>
      </c>
      <c r="E2884" s="152" t="str">
        <f>'Reported burning'!E2884</f>
        <v>Fire suppression agent</v>
      </c>
      <c r="F2884" s="152" t="str">
        <f>'Reported burning'!F2884</f>
        <v>ND</v>
      </c>
      <c r="G2884" s="152" t="str">
        <f>'Reported burning'!G2884</f>
        <v>ND</v>
      </c>
      <c r="H2884" s="152" t="str">
        <f>'Reported burning'!H2884</f>
        <v>Presence</v>
      </c>
      <c r="I2884" s="204"/>
      <c r="J2884" s="38" t="s">
        <v>2276</v>
      </c>
      <c r="K2884" s="38" t="s">
        <v>2276</v>
      </c>
      <c r="L2884" s="38" t="s">
        <v>2276</v>
      </c>
      <c r="M2884" s="38" t="s">
        <v>2276</v>
      </c>
      <c r="N2884" s="38" t="s">
        <v>2276</v>
      </c>
      <c r="O2884" s="38" t="s">
        <v>2276</v>
      </c>
      <c r="P2884" s="103" t="s">
        <v>2377</v>
      </c>
      <c r="Q2884" s="38" t="s">
        <v>2276</v>
      </c>
      <c r="R2884" s="38" t="s">
        <v>2276</v>
      </c>
      <c r="S2884" s="38" t="s">
        <v>2276</v>
      </c>
      <c r="T2884" s="38" t="s">
        <v>2276</v>
      </c>
      <c r="U2884" s="38" t="s">
        <v>2276</v>
      </c>
      <c r="V2884" s="38" t="s">
        <v>2276</v>
      </c>
      <c r="W2884" s="38" t="s">
        <v>2276</v>
      </c>
      <c r="X2884" s="38" t="s">
        <v>2276</v>
      </c>
      <c r="Y2884" s="38" t="s">
        <v>2276</v>
      </c>
      <c r="Z2884" s="38" t="s">
        <v>2276</v>
      </c>
      <c r="AA2884" s="204"/>
      <c r="AB2884" s="204"/>
    </row>
    <row r="2885" spans="1:28" ht="31" customHeight="1">
      <c r="A2885" s="152" t="str">
        <f>'Reported burning'!A2885</f>
        <v>306ap</v>
      </c>
      <c r="B2885" s="152" t="str">
        <f>'Reported burning'!B2885</f>
        <v>306ap.1</v>
      </c>
      <c r="C2885" s="152" t="str">
        <f>'Reported burning'!C2885</f>
        <v>Human, deliberate</v>
      </c>
      <c r="D2885" s="152" t="str">
        <f>'Reported burning'!D2885</f>
        <v>Pyrome management</v>
      </c>
      <c r="E2885" s="152" t="str">
        <f>'Reported burning'!E2885</f>
        <v>Fire suppression agent</v>
      </c>
      <c r="F2885" s="152" t="str">
        <f>'Reported burning'!F2885</f>
        <v>ND</v>
      </c>
      <c r="G2885" s="152" t="str">
        <f>'Reported burning'!G2885</f>
        <v>ND</v>
      </c>
      <c r="H2885" s="152" t="str">
        <f>'Reported burning'!H2885</f>
        <v>Presence</v>
      </c>
      <c r="I2885" s="204"/>
      <c r="J2885" s="38" t="s">
        <v>2276</v>
      </c>
      <c r="K2885" s="38" t="s">
        <v>2276</v>
      </c>
      <c r="L2885" s="38" t="s">
        <v>2276</v>
      </c>
      <c r="M2885" s="38" t="s">
        <v>2276</v>
      </c>
      <c r="N2885" s="38" t="s">
        <v>2276</v>
      </c>
      <c r="O2885" s="38" t="s">
        <v>2276</v>
      </c>
      <c r="P2885" s="103" t="s">
        <v>2377</v>
      </c>
      <c r="Q2885" s="38" t="s">
        <v>2276</v>
      </c>
      <c r="R2885" s="38" t="s">
        <v>2276</v>
      </c>
      <c r="S2885" s="38" t="s">
        <v>2276</v>
      </c>
      <c r="T2885" s="38" t="s">
        <v>2276</v>
      </c>
      <c r="U2885" s="38" t="s">
        <v>2276</v>
      </c>
      <c r="V2885" s="38" t="s">
        <v>2276</v>
      </c>
      <c r="W2885" s="38" t="s">
        <v>2276</v>
      </c>
      <c r="X2885" s="38" t="s">
        <v>2276</v>
      </c>
      <c r="Y2885" s="38" t="s">
        <v>2276</v>
      </c>
      <c r="Z2885" s="38" t="s">
        <v>2276</v>
      </c>
      <c r="AA2885" s="204"/>
      <c r="AB2885" s="204"/>
    </row>
    <row r="2886" spans="1:28" ht="31" customHeight="1">
      <c r="A2886" s="152" t="str">
        <f>'Reported burning'!A2886</f>
        <v>306aq</v>
      </c>
      <c r="B2886" s="152" t="str">
        <f>'Reported burning'!B2886</f>
        <v>306aq.1</v>
      </c>
      <c r="C2886" s="152" t="str">
        <f>'Reported burning'!C2886</f>
        <v>Human, deliberate</v>
      </c>
      <c r="D2886" s="152" t="str">
        <f>'Reported burning'!D2886</f>
        <v>Pyrome management</v>
      </c>
      <c r="E2886" s="152" t="str">
        <f>'Reported burning'!E2886</f>
        <v>Fire suppression agent</v>
      </c>
      <c r="F2886" s="152" t="str">
        <f>'Reported burning'!F2886</f>
        <v>ND</v>
      </c>
      <c r="G2886" s="152" t="str">
        <f>'Reported burning'!G2886</f>
        <v>ND</v>
      </c>
      <c r="H2886" s="152" t="str">
        <f>'Reported burning'!H2886</f>
        <v>Presence</v>
      </c>
      <c r="I2886" s="204"/>
      <c r="J2886" s="38" t="s">
        <v>2276</v>
      </c>
      <c r="K2886" s="38" t="s">
        <v>2276</v>
      </c>
      <c r="L2886" s="38" t="s">
        <v>2276</v>
      </c>
      <c r="M2886" s="38" t="s">
        <v>2276</v>
      </c>
      <c r="N2886" s="38" t="s">
        <v>2276</v>
      </c>
      <c r="O2886" s="38" t="s">
        <v>2276</v>
      </c>
      <c r="P2886" s="103" t="s">
        <v>2377</v>
      </c>
      <c r="Q2886" s="38" t="s">
        <v>2276</v>
      </c>
      <c r="R2886" s="38" t="s">
        <v>2276</v>
      </c>
      <c r="S2886" s="38" t="s">
        <v>2276</v>
      </c>
      <c r="T2886" s="38" t="s">
        <v>2276</v>
      </c>
      <c r="U2886" s="38" t="s">
        <v>2276</v>
      </c>
      <c r="V2886" s="38" t="s">
        <v>2276</v>
      </c>
      <c r="W2886" s="38" t="s">
        <v>2276</v>
      </c>
      <c r="X2886" s="38" t="s">
        <v>2276</v>
      </c>
      <c r="Y2886" s="38" t="s">
        <v>2276</v>
      </c>
      <c r="Z2886" s="38" t="s">
        <v>2276</v>
      </c>
      <c r="AA2886" s="204"/>
      <c r="AB2886" s="204"/>
    </row>
    <row r="2887" spans="1:28" ht="31" customHeight="1">
      <c r="A2887" s="152" t="str">
        <f>'Reported burning'!A2887</f>
        <v>306ar</v>
      </c>
      <c r="B2887" s="152" t="str">
        <f>'Reported burning'!B2887</f>
        <v>306ar.1</v>
      </c>
      <c r="C2887" s="152" t="str">
        <f>'Reported burning'!C2887</f>
        <v>Human, deliberate</v>
      </c>
      <c r="D2887" s="152" t="str">
        <f>'Reported burning'!D2887</f>
        <v>Pyrome management</v>
      </c>
      <c r="E2887" s="152" t="str">
        <f>'Reported burning'!E2887</f>
        <v>Fire suppression agent</v>
      </c>
      <c r="F2887" s="152" t="str">
        <f>'Reported burning'!F2887</f>
        <v>ND</v>
      </c>
      <c r="G2887" s="152" t="str">
        <f>'Reported burning'!G2887</f>
        <v>ND</v>
      </c>
      <c r="H2887" s="152" t="str">
        <f>'Reported burning'!H2887</f>
        <v>Presence</v>
      </c>
      <c r="I2887" s="204"/>
      <c r="J2887" s="38" t="s">
        <v>2276</v>
      </c>
      <c r="K2887" s="38" t="s">
        <v>2276</v>
      </c>
      <c r="L2887" s="38" t="s">
        <v>2276</v>
      </c>
      <c r="M2887" s="38" t="s">
        <v>2276</v>
      </c>
      <c r="N2887" s="38" t="s">
        <v>2276</v>
      </c>
      <c r="O2887" s="38" t="s">
        <v>2276</v>
      </c>
      <c r="P2887" s="103" t="s">
        <v>2377</v>
      </c>
      <c r="Q2887" s="38" t="s">
        <v>2276</v>
      </c>
      <c r="R2887" s="38" t="s">
        <v>2276</v>
      </c>
      <c r="S2887" s="38" t="s">
        <v>2276</v>
      </c>
      <c r="T2887" s="38" t="s">
        <v>2276</v>
      </c>
      <c r="U2887" s="38" t="s">
        <v>2276</v>
      </c>
      <c r="V2887" s="38" t="s">
        <v>2276</v>
      </c>
      <c r="W2887" s="38" t="s">
        <v>2276</v>
      </c>
      <c r="X2887" s="38" t="s">
        <v>2276</v>
      </c>
      <c r="Y2887" s="38" t="s">
        <v>2276</v>
      </c>
      <c r="Z2887" s="38" t="s">
        <v>2276</v>
      </c>
      <c r="AA2887" s="204"/>
      <c r="AB2887" s="204"/>
    </row>
    <row r="2888" spans="1:28" ht="31" customHeight="1">
      <c r="A2888" s="152" t="str">
        <f>'Reported burning'!A2888</f>
        <v>306as</v>
      </c>
      <c r="B2888" s="152" t="str">
        <f>'Reported burning'!B2888</f>
        <v>306as.1</v>
      </c>
      <c r="C2888" s="152" t="str">
        <f>'Reported burning'!C2888</f>
        <v>Human, deliberate</v>
      </c>
      <c r="D2888" s="152" t="str">
        <f>'Reported burning'!D2888</f>
        <v>Pyrome management</v>
      </c>
      <c r="E2888" s="152" t="str">
        <f>'Reported burning'!E2888</f>
        <v>Fire suppression agent</v>
      </c>
      <c r="F2888" s="152" t="str">
        <f>'Reported burning'!F2888</f>
        <v>ND</v>
      </c>
      <c r="G2888" s="152" t="str">
        <f>'Reported burning'!G2888</f>
        <v>ND</v>
      </c>
      <c r="H2888" s="152" t="str">
        <f>'Reported burning'!H2888</f>
        <v>Presence</v>
      </c>
      <c r="I2888" s="204"/>
      <c r="J2888" s="38" t="s">
        <v>2276</v>
      </c>
      <c r="K2888" s="38" t="s">
        <v>2276</v>
      </c>
      <c r="L2888" s="38" t="s">
        <v>2276</v>
      </c>
      <c r="M2888" s="38" t="s">
        <v>2276</v>
      </c>
      <c r="N2888" s="38" t="s">
        <v>2276</v>
      </c>
      <c r="O2888" s="38" t="s">
        <v>2276</v>
      </c>
      <c r="P2888" s="103" t="s">
        <v>2376</v>
      </c>
      <c r="Q2888" s="38" t="s">
        <v>2276</v>
      </c>
      <c r="R2888" s="38" t="s">
        <v>2276</v>
      </c>
      <c r="S2888" s="38" t="s">
        <v>2276</v>
      </c>
      <c r="T2888" s="38" t="s">
        <v>2276</v>
      </c>
      <c r="U2888" s="38" t="s">
        <v>2276</v>
      </c>
      <c r="V2888" s="38" t="s">
        <v>2276</v>
      </c>
      <c r="W2888" s="38" t="s">
        <v>2276</v>
      </c>
      <c r="X2888" s="38" t="s">
        <v>2276</v>
      </c>
      <c r="Y2888" s="38" t="s">
        <v>2276</v>
      </c>
      <c r="Z2888" s="38" t="s">
        <v>2276</v>
      </c>
      <c r="AA2888" s="204"/>
      <c r="AB2888" s="204"/>
    </row>
    <row r="2889" spans="1:28" ht="31" customHeight="1">
      <c r="A2889" s="152" t="str">
        <f>'Reported burning'!A2889</f>
        <v>306at</v>
      </c>
      <c r="B2889" s="152" t="str">
        <f>'Reported burning'!B2889</f>
        <v>306at.1</v>
      </c>
      <c r="C2889" s="152" t="str">
        <f>'Reported burning'!C2889</f>
        <v>Human, deliberate</v>
      </c>
      <c r="D2889" s="152" t="str">
        <f>'Reported burning'!D2889</f>
        <v>Pyrome management</v>
      </c>
      <c r="E2889" s="152" t="str">
        <f>'Reported burning'!E2889</f>
        <v>Fire suppression agent</v>
      </c>
      <c r="F2889" s="152" t="str">
        <f>'Reported burning'!F2889</f>
        <v>ND</v>
      </c>
      <c r="G2889" s="152" t="str">
        <f>'Reported burning'!G2889</f>
        <v>ND</v>
      </c>
      <c r="H2889" s="152" t="str">
        <f>'Reported burning'!H2889</f>
        <v>Presence</v>
      </c>
      <c r="I2889" s="204"/>
      <c r="J2889" s="38" t="s">
        <v>2276</v>
      </c>
      <c r="K2889" s="38" t="s">
        <v>2276</v>
      </c>
      <c r="L2889" s="38" t="s">
        <v>2276</v>
      </c>
      <c r="M2889" s="38" t="s">
        <v>2276</v>
      </c>
      <c r="N2889" s="38" t="s">
        <v>2276</v>
      </c>
      <c r="O2889" s="38" t="s">
        <v>2276</v>
      </c>
      <c r="P2889" s="103" t="s">
        <v>2380</v>
      </c>
      <c r="Q2889" s="38" t="s">
        <v>2276</v>
      </c>
      <c r="R2889" s="38" t="s">
        <v>2276</v>
      </c>
      <c r="S2889" s="38" t="s">
        <v>2276</v>
      </c>
      <c r="T2889" s="38" t="s">
        <v>2276</v>
      </c>
      <c r="U2889" s="38" t="s">
        <v>2276</v>
      </c>
      <c r="V2889" s="38" t="s">
        <v>2276</v>
      </c>
      <c r="W2889" s="38" t="s">
        <v>2276</v>
      </c>
      <c r="X2889" s="38" t="s">
        <v>2276</v>
      </c>
      <c r="Y2889" s="38" t="s">
        <v>2276</v>
      </c>
      <c r="Z2889" s="38" t="s">
        <v>2276</v>
      </c>
      <c r="AA2889" s="204"/>
      <c r="AB2889" s="204"/>
    </row>
    <row r="2890" spans="1:28" ht="31" customHeight="1">
      <c r="A2890" s="152" t="str">
        <f>'Reported burning'!A2890</f>
        <v>306au</v>
      </c>
      <c r="B2890" s="152" t="str">
        <f>'Reported burning'!B2890</f>
        <v>306au.1</v>
      </c>
      <c r="C2890" s="152" t="str">
        <f>'Reported burning'!C2890</f>
        <v>Human, deliberate</v>
      </c>
      <c r="D2890" s="152" t="str">
        <f>'Reported burning'!D2890</f>
        <v>Pyrome management</v>
      </c>
      <c r="E2890" s="152" t="str">
        <f>'Reported burning'!E2890</f>
        <v>Fire suppression agent</v>
      </c>
      <c r="F2890" s="152" t="str">
        <f>'Reported burning'!F2890</f>
        <v>ND</v>
      </c>
      <c r="G2890" s="152" t="str">
        <f>'Reported burning'!G2890</f>
        <v>ND</v>
      </c>
      <c r="H2890" s="152" t="str">
        <f>'Reported burning'!H2890</f>
        <v>Presence</v>
      </c>
      <c r="I2890" s="204"/>
      <c r="J2890" s="38" t="s">
        <v>2276</v>
      </c>
      <c r="K2890" s="38" t="s">
        <v>2276</v>
      </c>
      <c r="L2890" s="38" t="s">
        <v>2276</v>
      </c>
      <c r="M2890" s="38" t="s">
        <v>2276</v>
      </c>
      <c r="N2890" s="38" t="s">
        <v>2276</v>
      </c>
      <c r="O2890" s="38" t="s">
        <v>2276</v>
      </c>
      <c r="P2890" s="103" t="s">
        <v>2380</v>
      </c>
      <c r="Q2890" s="38" t="s">
        <v>2276</v>
      </c>
      <c r="R2890" s="38" t="s">
        <v>2276</v>
      </c>
      <c r="S2890" s="38" t="s">
        <v>2276</v>
      </c>
      <c r="T2890" s="38" t="s">
        <v>2276</v>
      </c>
      <c r="U2890" s="38" t="s">
        <v>2276</v>
      </c>
      <c r="V2890" s="38" t="s">
        <v>2276</v>
      </c>
      <c r="W2890" s="38" t="s">
        <v>2276</v>
      </c>
      <c r="X2890" s="38" t="s">
        <v>2276</v>
      </c>
      <c r="Y2890" s="38" t="s">
        <v>2276</v>
      </c>
      <c r="Z2890" s="38" t="s">
        <v>2276</v>
      </c>
      <c r="AA2890" s="204"/>
      <c r="AB2890" s="204"/>
    </row>
    <row r="2891" spans="1:28" ht="31" customHeight="1">
      <c r="A2891" s="152" t="str">
        <f>'Reported burning'!A2891</f>
        <v>306av</v>
      </c>
      <c r="B2891" s="152" t="str">
        <f>'Reported burning'!B2891</f>
        <v>306av.1</v>
      </c>
      <c r="C2891" s="152" t="str">
        <f>'Reported burning'!C2891</f>
        <v>Human, deliberate</v>
      </c>
      <c r="D2891" s="152" t="str">
        <f>'Reported burning'!D2891</f>
        <v>Pyrome management</v>
      </c>
      <c r="E2891" s="152" t="str">
        <f>'Reported burning'!E2891</f>
        <v>Fire suppression agent</v>
      </c>
      <c r="F2891" s="152" t="str">
        <f>'Reported burning'!F2891</f>
        <v>ND</v>
      </c>
      <c r="G2891" s="152" t="str">
        <f>'Reported burning'!G2891</f>
        <v>ND</v>
      </c>
      <c r="H2891" s="152" t="str">
        <f>'Reported burning'!H2891</f>
        <v>Presence</v>
      </c>
      <c r="I2891" s="204"/>
      <c r="J2891" s="38" t="s">
        <v>2276</v>
      </c>
      <c r="K2891" s="38" t="s">
        <v>2276</v>
      </c>
      <c r="L2891" s="38" t="s">
        <v>2276</v>
      </c>
      <c r="M2891" s="38" t="s">
        <v>2276</v>
      </c>
      <c r="N2891" s="38" t="s">
        <v>2276</v>
      </c>
      <c r="O2891" s="38" t="s">
        <v>2276</v>
      </c>
      <c r="P2891" s="103" t="s">
        <v>2380</v>
      </c>
      <c r="Q2891" s="38" t="s">
        <v>2276</v>
      </c>
      <c r="R2891" s="38" t="s">
        <v>2276</v>
      </c>
      <c r="S2891" s="38" t="s">
        <v>2276</v>
      </c>
      <c r="T2891" s="38" t="s">
        <v>2276</v>
      </c>
      <c r="U2891" s="38" t="s">
        <v>2276</v>
      </c>
      <c r="V2891" s="38" t="s">
        <v>2276</v>
      </c>
      <c r="W2891" s="38" t="s">
        <v>2276</v>
      </c>
      <c r="X2891" s="38" t="s">
        <v>2276</v>
      </c>
      <c r="Y2891" s="38" t="s">
        <v>2276</v>
      </c>
      <c r="Z2891" s="38" t="s">
        <v>2276</v>
      </c>
      <c r="AA2891" s="204"/>
      <c r="AB2891" s="204"/>
    </row>
    <row r="2892" spans="1:28" ht="31" customHeight="1">
      <c r="A2892" s="152" t="str">
        <f>'Reported burning'!A2892</f>
        <v>306aw</v>
      </c>
      <c r="B2892" s="152" t="str">
        <f>'Reported burning'!B2892</f>
        <v>306aw.1</v>
      </c>
      <c r="C2892" s="152" t="str">
        <f>'Reported burning'!C2892</f>
        <v>Human, deliberate</v>
      </c>
      <c r="D2892" s="152" t="str">
        <f>'Reported burning'!D2892</f>
        <v>Pyrome management</v>
      </c>
      <c r="E2892" s="152" t="str">
        <f>'Reported burning'!E2892</f>
        <v>Fire suppression agent</v>
      </c>
      <c r="F2892" s="152" t="str">
        <f>'Reported burning'!F2892</f>
        <v>ND</v>
      </c>
      <c r="G2892" s="152" t="str">
        <f>'Reported burning'!G2892</f>
        <v>ND</v>
      </c>
      <c r="H2892" s="152" t="str">
        <f>'Reported burning'!H2892</f>
        <v>Presence</v>
      </c>
      <c r="I2892" s="204"/>
      <c r="J2892" s="38" t="s">
        <v>2276</v>
      </c>
      <c r="K2892" s="38" t="s">
        <v>2276</v>
      </c>
      <c r="L2892" s="38" t="s">
        <v>2276</v>
      </c>
      <c r="M2892" s="38" t="s">
        <v>2276</v>
      </c>
      <c r="N2892" s="38" t="s">
        <v>2276</v>
      </c>
      <c r="O2892" s="38" t="s">
        <v>2276</v>
      </c>
      <c r="P2892" s="103" t="s">
        <v>2377</v>
      </c>
      <c r="Q2892" s="38" t="s">
        <v>2276</v>
      </c>
      <c r="R2892" s="38" t="s">
        <v>2276</v>
      </c>
      <c r="S2892" s="38" t="s">
        <v>2276</v>
      </c>
      <c r="T2892" s="38" t="s">
        <v>2276</v>
      </c>
      <c r="U2892" s="38" t="s">
        <v>2276</v>
      </c>
      <c r="V2892" s="38" t="s">
        <v>2276</v>
      </c>
      <c r="W2892" s="38" t="s">
        <v>2276</v>
      </c>
      <c r="X2892" s="38" t="s">
        <v>2276</v>
      </c>
      <c r="Y2892" s="38" t="s">
        <v>2276</v>
      </c>
      <c r="Z2892" s="38" t="s">
        <v>2276</v>
      </c>
      <c r="AA2892" s="204"/>
      <c r="AB2892" s="204"/>
    </row>
    <row r="2893" spans="1:28" ht="31" customHeight="1">
      <c r="A2893" s="152" t="str">
        <f>'Reported burning'!A2893</f>
        <v>306ax</v>
      </c>
      <c r="B2893" s="152" t="str">
        <f>'Reported burning'!B2893</f>
        <v>306ax.1</v>
      </c>
      <c r="C2893" s="152" t="str">
        <f>'Reported burning'!C2893</f>
        <v>Human, deliberate</v>
      </c>
      <c r="D2893" s="152" t="str">
        <f>'Reported burning'!D2893</f>
        <v>Pyrome management</v>
      </c>
      <c r="E2893" s="152" t="str">
        <f>'Reported burning'!E2893</f>
        <v>Fire suppression agent</v>
      </c>
      <c r="F2893" s="152" t="str">
        <f>'Reported burning'!F2893</f>
        <v>ND</v>
      </c>
      <c r="G2893" s="152" t="str">
        <f>'Reported burning'!G2893</f>
        <v>ND</v>
      </c>
      <c r="H2893" s="152" t="str">
        <f>'Reported burning'!H2893</f>
        <v>Presence</v>
      </c>
      <c r="I2893" s="204"/>
      <c r="J2893" s="38" t="s">
        <v>2276</v>
      </c>
      <c r="K2893" s="38" t="s">
        <v>2276</v>
      </c>
      <c r="L2893" s="38" t="s">
        <v>2276</v>
      </c>
      <c r="M2893" s="38" t="s">
        <v>2276</v>
      </c>
      <c r="N2893" s="38" t="s">
        <v>2276</v>
      </c>
      <c r="O2893" s="38" t="s">
        <v>2276</v>
      </c>
      <c r="P2893" s="103" t="s">
        <v>2376</v>
      </c>
      <c r="Q2893" s="38" t="s">
        <v>2276</v>
      </c>
      <c r="R2893" s="38" t="s">
        <v>2276</v>
      </c>
      <c r="S2893" s="38" t="s">
        <v>2276</v>
      </c>
      <c r="T2893" s="38" t="s">
        <v>2276</v>
      </c>
      <c r="U2893" s="38" t="s">
        <v>2276</v>
      </c>
      <c r="V2893" s="38" t="s">
        <v>2276</v>
      </c>
      <c r="W2893" s="38" t="s">
        <v>2276</v>
      </c>
      <c r="X2893" s="38" t="s">
        <v>2276</v>
      </c>
      <c r="Y2893" s="38" t="s">
        <v>2276</v>
      </c>
      <c r="Z2893" s="38" t="s">
        <v>2276</v>
      </c>
      <c r="AA2893" s="204"/>
      <c r="AB2893" s="204"/>
    </row>
    <row r="2894" spans="1:28" ht="31" customHeight="1">
      <c r="A2894" s="152" t="str">
        <f>'Reported burning'!A2894</f>
        <v>306ay</v>
      </c>
      <c r="B2894" s="152" t="str">
        <f>'Reported burning'!B2894</f>
        <v>306ay.1</v>
      </c>
      <c r="C2894" s="152" t="str">
        <f>'Reported burning'!C2894</f>
        <v>Human, deliberate</v>
      </c>
      <c r="D2894" s="152" t="str">
        <f>'Reported burning'!D2894</f>
        <v>Pyrome management</v>
      </c>
      <c r="E2894" s="152" t="str">
        <f>'Reported burning'!E2894</f>
        <v>Fire suppression agent</v>
      </c>
      <c r="F2894" s="152" t="str">
        <f>'Reported burning'!F2894</f>
        <v>ND</v>
      </c>
      <c r="G2894" s="152" t="str">
        <f>'Reported burning'!G2894</f>
        <v>ND</v>
      </c>
      <c r="H2894" s="152" t="str">
        <f>'Reported burning'!H2894</f>
        <v>Presence</v>
      </c>
      <c r="I2894" s="204"/>
      <c r="J2894" s="38" t="s">
        <v>2276</v>
      </c>
      <c r="K2894" s="38" t="s">
        <v>2276</v>
      </c>
      <c r="L2894" s="38" t="s">
        <v>2276</v>
      </c>
      <c r="M2894" s="38" t="s">
        <v>2276</v>
      </c>
      <c r="N2894" s="38" t="s">
        <v>2276</v>
      </c>
      <c r="O2894" s="38" t="s">
        <v>2276</v>
      </c>
      <c r="P2894" s="103" t="s">
        <v>2376</v>
      </c>
      <c r="Q2894" s="38" t="s">
        <v>2276</v>
      </c>
      <c r="R2894" s="38" t="s">
        <v>2276</v>
      </c>
      <c r="S2894" s="38" t="s">
        <v>2276</v>
      </c>
      <c r="T2894" s="38" t="s">
        <v>2276</v>
      </c>
      <c r="U2894" s="38" t="s">
        <v>2276</v>
      </c>
      <c r="V2894" s="38" t="s">
        <v>2276</v>
      </c>
      <c r="W2894" s="38" t="s">
        <v>2276</v>
      </c>
      <c r="X2894" s="38" t="s">
        <v>2276</v>
      </c>
      <c r="Y2894" s="38" t="s">
        <v>2276</v>
      </c>
      <c r="Z2894" s="38" t="s">
        <v>2276</v>
      </c>
      <c r="AA2894" s="204"/>
      <c r="AB2894" s="204"/>
    </row>
    <row r="2895" spans="1:28" ht="31" customHeight="1">
      <c r="A2895" s="152" t="str">
        <f>'Reported burning'!A2895</f>
        <v>306az</v>
      </c>
      <c r="B2895" s="152" t="str">
        <f>'Reported burning'!B2895</f>
        <v>306az.1</v>
      </c>
      <c r="C2895" s="152" t="str">
        <f>'Reported burning'!C2895</f>
        <v>Human, deliberate</v>
      </c>
      <c r="D2895" s="152" t="str">
        <f>'Reported burning'!D2895</f>
        <v>Pyrome management</v>
      </c>
      <c r="E2895" s="152" t="str">
        <f>'Reported burning'!E2895</f>
        <v>Fire suppression agent</v>
      </c>
      <c r="F2895" s="152" t="str">
        <f>'Reported burning'!F2895</f>
        <v>ND</v>
      </c>
      <c r="G2895" s="152" t="str">
        <f>'Reported burning'!G2895</f>
        <v>ND</v>
      </c>
      <c r="H2895" s="152" t="str">
        <f>'Reported burning'!H2895</f>
        <v>Absence</v>
      </c>
      <c r="I2895" s="204"/>
      <c r="J2895" s="38" t="s">
        <v>2276</v>
      </c>
      <c r="K2895" s="38" t="s">
        <v>2276</v>
      </c>
      <c r="L2895" s="38" t="s">
        <v>2276</v>
      </c>
      <c r="M2895" s="38" t="s">
        <v>2276</v>
      </c>
      <c r="N2895" s="38" t="s">
        <v>2276</v>
      </c>
      <c r="O2895" s="38" t="s">
        <v>2276</v>
      </c>
      <c r="P2895" s="103">
        <v>0</v>
      </c>
      <c r="Q2895" s="38" t="s">
        <v>2276</v>
      </c>
      <c r="R2895" s="38" t="s">
        <v>2276</v>
      </c>
      <c r="S2895" s="38" t="s">
        <v>2276</v>
      </c>
      <c r="T2895" s="38" t="s">
        <v>2276</v>
      </c>
      <c r="U2895" s="38" t="s">
        <v>2276</v>
      </c>
      <c r="V2895" s="38" t="s">
        <v>2276</v>
      </c>
      <c r="W2895" s="38" t="s">
        <v>2276</v>
      </c>
      <c r="X2895" s="38" t="s">
        <v>2276</v>
      </c>
      <c r="Y2895" s="38" t="s">
        <v>2276</v>
      </c>
      <c r="Z2895" s="38" t="s">
        <v>2276</v>
      </c>
      <c r="AA2895" s="204"/>
      <c r="AB2895" s="204"/>
    </row>
    <row r="2896" spans="1:28" ht="31" customHeight="1">
      <c r="A2896" s="152" t="str">
        <f>'Reported burning'!A2896</f>
        <v>306ba</v>
      </c>
      <c r="B2896" s="152" t="str">
        <f>'Reported burning'!B2896</f>
        <v>306ba.1</v>
      </c>
      <c r="C2896" s="152" t="str">
        <f>'Reported burning'!C2896</f>
        <v>Human, deliberate</v>
      </c>
      <c r="D2896" s="152" t="str">
        <f>'Reported burning'!D2896</f>
        <v>Pyrome management</v>
      </c>
      <c r="E2896" s="152" t="str">
        <f>'Reported burning'!E2896</f>
        <v>Fire suppression agent</v>
      </c>
      <c r="F2896" s="152" t="str">
        <f>'Reported burning'!F2896</f>
        <v>ND</v>
      </c>
      <c r="G2896" s="152" t="str">
        <f>'Reported burning'!G2896</f>
        <v>ND</v>
      </c>
      <c r="H2896" s="152" t="str">
        <f>'Reported burning'!H2896</f>
        <v>Presence</v>
      </c>
      <c r="I2896" s="204"/>
      <c r="J2896" s="38" t="s">
        <v>2276</v>
      </c>
      <c r="K2896" s="38" t="s">
        <v>2276</v>
      </c>
      <c r="L2896" s="38" t="s">
        <v>2276</v>
      </c>
      <c r="M2896" s="38" t="s">
        <v>2276</v>
      </c>
      <c r="N2896" s="38" t="s">
        <v>2276</v>
      </c>
      <c r="O2896" s="38" t="s">
        <v>2276</v>
      </c>
      <c r="P2896" s="103" t="s">
        <v>2379</v>
      </c>
      <c r="Q2896" s="38" t="s">
        <v>2276</v>
      </c>
      <c r="R2896" s="38" t="s">
        <v>2276</v>
      </c>
      <c r="S2896" s="38" t="s">
        <v>2276</v>
      </c>
      <c r="T2896" s="38" t="s">
        <v>2276</v>
      </c>
      <c r="U2896" s="38" t="s">
        <v>2276</v>
      </c>
      <c r="V2896" s="38" t="s">
        <v>2276</v>
      </c>
      <c r="W2896" s="38" t="s">
        <v>2276</v>
      </c>
      <c r="X2896" s="38" t="s">
        <v>2276</v>
      </c>
      <c r="Y2896" s="38" t="s">
        <v>2276</v>
      </c>
      <c r="Z2896" s="38" t="s">
        <v>2276</v>
      </c>
      <c r="AA2896" s="204"/>
      <c r="AB2896" s="204"/>
    </row>
    <row r="2897" spans="1:28" ht="31" customHeight="1">
      <c r="A2897" s="152" t="str">
        <f>'Reported burning'!A2897</f>
        <v>306bb</v>
      </c>
      <c r="B2897" s="152" t="str">
        <f>'Reported burning'!B2897</f>
        <v>306bb.1</v>
      </c>
      <c r="C2897" s="152" t="str">
        <f>'Reported burning'!C2897</f>
        <v>Human, deliberate</v>
      </c>
      <c r="D2897" s="152" t="str">
        <f>'Reported burning'!D2897</f>
        <v>Pyrome management</v>
      </c>
      <c r="E2897" s="152" t="str">
        <f>'Reported burning'!E2897</f>
        <v>Fire suppression agent</v>
      </c>
      <c r="F2897" s="152" t="str">
        <f>'Reported burning'!F2897</f>
        <v>ND</v>
      </c>
      <c r="G2897" s="152" t="str">
        <f>'Reported burning'!G2897</f>
        <v>ND</v>
      </c>
      <c r="H2897" s="152" t="str">
        <f>'Reported burning'!H2897</f>
        <v>Presence</v>
      </c>
      <c r="I2897" s="204"/>
      <c r="J2897" s="38" t="s">
        <v>2276</v>
      </c>
      <c r="K2897" s="38" t="s">
        <v>2276</v>
      </c>
      <c r="L2897" s="38" t="s">
        <v>2276</v>
      </c>
      <c r="M2897" s="38" t="s">
        <v>2276</v>
      </c>
      <c r="N2897" s="38" t="s">
        <v>2276</v>
      </c>
      <c r="O2897" s="38" t="s">
        <v>2276</v>
      </c>
      <c r="P2897" s="103" t="s">
        <v>2377</v>
      </c>
      <c r="Q2897" s="38" t="s">
        <v>2276</v>
      </c>
      <c r="R2897" s="38" t="s">
        <v>2276</v>
      </c>
      <c r="S2897" s="38" t="s">
        <v>2276</v>
      </c>
      <c r="T2897" s="38" t="s">
        <v>2276</v>
      </c>
      <c r="U2897" s="38" t="s">
        <v>2276</v>
      </c>
      <c r="V2897" s="38" t="s">
        <v>2276</v>
      </c>
      <c r="W2897" s="38" t="s">
        <v>2276</v>
      </c>
      <c r="X2897" s="38" t="s">
        <v>2276</v>
      </c>
      <c r="Y2897" s="38" t="s">
        <v>2276</v>
      </c>
      <c r="Z2897" s="38" t="s">
        <v>2276</v>
      </c>
      <c r="AA2897" s="204"/>
      <c r="AB2897" s="204"/>
    </row>
    <row r="2898" spans="1:28" ht="31" customHeight="1">
      <c r="A2898" s="152" t="str">
        <f>'Reported burning'!A2898</f>
        <v>306bc</v>
      </c>
      <c r="B2898" s="152" t="str">
        <f>'Reported burning'!B2898</f>
        <v>306bc.1</v>
      </c>
      <c r="C2898" s="152" t="str">
        <f>'Reported burning'!C2898</f>
        <v>Human, deliberate</v>
      </c>
      <c r="D2898" s="152" t="str">
        <f>'Reported burning'!D2898</f>
        <v>Pyrome management</v>
      </c>
      <c r="E2898" s="152" t="str">
        <f>'Reported burning'!E2898</f>
        <v>Fire suppression agent</v>
      </c>
      <c r="F2898" s="152" t="str">
        <f>'Reported burning'!F2898</f>
        <v>ND</v>
      </c>
      <c r="G2898" s="152" t="str">
        <f>'Reported burning'!G2898</f>
        <v>ND</v>
      </c>
      <c r="H2898" s="152" t="str">
        <f>'Reported burning'!H2898</f>
        <v>Presence</v>
      </c>
      <c r="I2898" s="204"/>
      <c r="J2898" s="38" t="s">
        <v>2276</v>
      </c>
      <c r="K2898" s="38" t="s">
        <v>2276</v>
      </c>
      <c r="L2898" s="38" t="s">
        <v>2276</v>
      </c>
      <c r="M2898" s="38" t="s">
        <v>2276</v>
      </c>
      <c r="N2898" s="38" t="s">
        <v>2276</v>
      </c>
      <c r="O2898" s="38" t="s">
        <v>2276</v>
      </c>
      <c r="P2898" s="103" t="s">
        <v>2377</v>
      </c>
      <c r="Q2898" s="38" t="s">
        <v>2276</v>
      </c>
      <c r="R2898" s="38" t="s">
        <v>2276</v>
      </c>
      <c r="S2898" s="38" t="s">
        <v>2276</v>
      </c>
      <c r="T2898" s="38" t="s">
        <v>2276</v>
      </c>
      <c r="U2898" s="38" t="s">
        <v>2276</v>
      </c>
      <c r="V2898" s="38" t="s">
        <v>2276</v>
      </c>
      <c r="W2898" s="38" t="s">
        <v>2276</v>
      </c>
      <c r="X2898" s="38" t="s">
        <v>2276</v>
      </c>
      <c r="Y2898" s="38" t="s">
        <v>2276</v>
      </c>
      <c r="Z2898" s="38" t="s">
        <v>2276</v>
      </c>
      <c r="AA2898" s="204"/>
      <c r="AB2898" s="204"/>
    </row>
    <row r="2899" spans="1:28" ht="31" customHeight="1">
      <c r="A2899" s="152" t="str">
        <f>'Reported burning'!A2899</f>
        <v>306bd</v>
      </c>
      <c r="B2899" s="152" t="str">
        <f>'Reported burning'!B2899</f>
        <v>306bd.1</v>
      </c>
      <c r="C2899" s="152" t="str">
        <f>'Reported burning'!C2899</f>
        <v>Human, deliberate</v>
      </c>
      <c r="D2899" s="152" t="str">
        <f>'Reported burning'!D2899</f>
        <v>Pyrome management</v>
      </c>
      <c r="E2899" s="152" t="str">
        <f>'Reported burning'!E2899</f>
        <v>Fire suppression agent</v>
      </c>
      <c r="F2899" s="152" t="str">
        <f>'Reported burning'!F2899</f>
        <v>ND</v>
      </c>
      <c r="G2899" s="152" t="str">
        <f>'Reported burning'!G2899</f>
        <v>ND</v>
      </c>
      <c r="H2899" s="152" t="str">
        <f>'Reported burning'!H2899</f>
        <v>Presence</v>
      </c>
      <c r="I2899" s="204"/>
      <c r="J2899" s="38" t="s">
        <v>2276</v>
      </c>
      <c r="K2899" s="38" t="s">
        <v>2276</v>
      </c>
      <c r="L2899" s="38" t="s">
        <v>2276</v>
      </c>
      <c r="M2899" s="38" t="s">
        <v>2276</v>
      </c>
      <c r="N2899" s="38" t="s">
        <v>2276</v>
      </c>
      <c r="O2899" s="38" t="s">
        <v>2276</v>
      </c>
      <c r="P2899" s="103" t="s">
        <v>2377</v>
      </c>
      <c r="Q2899" s="38" t="s">
        <v>2276</v>
      </c>
      <c r="R2899" s="38" t="s">
        <v>2276</v>
      </c>
      <c r="S2899" s="38" t="s">
        <v>2276</v>
      </c>
      <c r="T2899" s="38" t="s">
        <v>2276</v>
      </c>
      <c r="U2899" s="38" t="s">
        <v>2276</v>
      </c>
      <c r="V2899" s="38" t="s">
        <v>2276</v>
      </c>
      <c r="W2899" s="38" t="s">
        <v>2276</v>
      </c>
      <c r="X2899" s="38" t="s">
        <v>2276</v>
      </c>
      <c r="Y2899" s="38" t="s">
        <v>2276</v>
      </c>
      <c r="Z2899" s="38" t="s">
        <v>2276</v>
      </c>
      <c r="AA2899" s="204"/>
      <c r="AB2899" s="204"/>
    </row>
    <row r="2900" spans="1:28" ht="31" customHeight="1">
      <c r="A2900" s="152" t="str">
        <f>'Reported burning'!A2900</f>
        <v>306be</v>
      </c>
      <c r="B2900" s="152" t="str">
        <f>'Reported burning'!B2900</f>
        <v>306be.1</v>
      </c>
      <c r="C2900" s="152" t="str">
        <f>'Reported burning'!C2900</f>
        <v>Human, deliberate</v>
      </c>
      <c r="D2900" s="152" t="str">
        <f>'Reported burning'!D2900</f>
        <v>Pyrome management</v>
      </c>
      <c r="E2900" s="152" t="str">
        <f>'Reported burning'!E2900</f>
        <v>Fire suppression agent</v>
      </c>
      <c r="F2900" s="152" t="str">
        <f>'Reported burning'!F2900</f>
        <v>ND</v>
      </c>
      <c r="G2900" s="152" t="str">
        <f>'Reported burning'!G2900</f>
        <v>ND</v>
      </c>
      <c r="H2900" s="152" t="str">
        <f>'Reported burning'!H2900</f>
        <v>Presence</v>
      </c>
      <c r="I2900" s="204"/>
      <c r="J2900" s="38" t="s">
        <v>2276</v>
      </c>
      <c r="K2900" s="38" t="s">
        <v>2276</v>
      </c>
      <c r="L2900" s="38" t="s">
        <v>2276</v>
      </c>
      <c r="M2900" s="38" t="s">
        <v>2276</v>
      </c>
      <c r="N2900" s="38" t="s">
        <v>2276</v>
      </c>
      <c r="O2900" s="38" t="s">
        <v>2276</v>
      </c>
      <c r="P2900" s="103" t="s">
        <v>2376</v>
      </c>
      <c r="Q2900" s="38" t="s">
        <v>2276</v>
      </c>
      <c r="R2900" s="38" t="s">
        <v>2276</v>
      </c>
      <c r="S2900" s="38" t="s">
        <v>2276</v>
      </c>
      <c r="T2900" s="38" t="s">
        <v>2276</v>
      </c>
      <c r="U2900" s="38" t="s">
        <v>2276</v>
      </c>
      <c r="V2900" s="38" t="s">
        <v>2276</v>
      </c>
      <c r="W2900" s="38" t="s">
        <v>2276</v>
      </c>
      <c r="X2900" s="38" t="s">
        <v>2276</v>
      </c>
      <c r="Y2900" s="38" t="s">
        <v>2276</v>
      </c>
      <c r="Z2900" s="38" t="s">
        <v>2276</v>
      </c>
      <c r="AA2900" s="204"/>
      <c r="AB2900" s="204"/>
    </row>
    <row r="2901" spans="1:28" ht="31" customHeight="1">
      <c r="A2901" s="152" t="str">
        <f>'Reported burning'!A2901</f>
        <v>306bf</v>
      </c>
      <c r="B2901" s="152" t="str">
        <f>'Reported burning'!B2901</f>
        <v>306bf.1</v>
      </c>
      <c r="C2901" s="152" t="str">
        <f>'Reported burning'!C2901</f>
        <v>Human, deliberate</v>
      </c>
      <c r="D2901" s="152" t="str">
        <f>'Reported burning'!D2901</f>
        <v>Pyrome management</v>
      </c>
      <c r="E2901" s="152" t="str">
        <f>'Reported burning'!E2901</f>
        <v>Fire suppression agent</v>
      </c>
      <c r="F2901" s="152" t="str">
        <f>'Reported burning'!F2901</f>
        <v>ND</v>
      </c>
      <c r="G2901" s="152" t="str">
        <f>'Reported burning'!G2901</f>
        <v>ND</v>
      </c>
      <c r="H2901" s="152" t="str">
        <f>'Reported burning'!H2901</f>
        <v>Presence</v>
      </c>
      <c r="I2901" s="204"/>
      <c r="J2901" s="38" t="s">
        <v>2276</v>
      </c>
      <c r="K2901" s="38" t="s">
        <v>2276</v>
      </c>
      <c r="L2901" s="38" t="s">
        <v>2276</v>
      </c>
      <c r="M2901" s="38" t="s">
        <v>2276</v>
      </c>
      <c r="N2901" s="38" t="s">
        <v>2276</v>
      </c>
      <c r="O2901" s="38" t="s">
        <v>2276</v>
      </c>
      <c r="P2901" s="103" t="s">
        <v>2378</v>
      </c>
      <c r="Q2901" s="38" t="s">
        <v>2276</v>
      </c>
      <c r="R2901" s="38" t="s">
        <v>2276</v>
      </c>
      <c r="S2901" s="38" t="s">
        <v>2276</v>
      </c>
      <c r="T2901" s="38" t="s">
        <v>2276</v>
      </c>
      <c r="U2901" s="38" t="s">
        <v>2276</v>
      </c>
      <c r="V2901" s="38" t="s">
        <v>2276</v>
      </c>
      <c r="W2901" s="38" t="s">
        <v>2276</v>
      </c>
      <c r="X2901" s="38" t="s">
        <v>2276</v>
      </c>
      <c r="Y2901" s="38" t="s">
        <v>2276</v>
      </c>
      <c r="Z2901" s="38" t="s">
        <v>2276</v>
      </c>
      <c r="AA2901" s="204"/>
      <c r="AB2901" s="204"/>
    </row>
    <row r="2902" spans="1:28" ht="31" customHeight="1">
      <c r="A2902" s="152" t="str">
        <f>'Reported burning'!A2902</f>
        <v>306bg</v>
      </c>
      <c r="B2902" s="152" t="str">
        <f>'Reported burning'!B2902</f>
        <v>306bg.1</v>
      </c>
      <c r="C2902" s="152" t="str">
        <f>'Reported burning'!C2902</f>
        <v>Human, deliberate</v>
      </c>
      <c r="D2902" s="152" t="str">
        <f>'Reported burning'!D2902</f>
        <v>Pyrome management</v>
      </c>
      <c r="E2902" s="152" t="str">
        <f>'Reported burning'!E2902</f>
        <v>Fire suppression agent</v>
      </c>
      <c r="F2902" s="152" t="str">
        <f>'Reported burning'!F2902</f>
        <v>ND</v>
      </c>
      <c r="G2902" s="152" t="str">
        <f>'Reported burning'!G2902</f>
        <v>ND</v>
      </c>
      <c r="H2902" s="152" t="str">
        <f>'Reported burning'!H2902</f>
        <v>Presence</v>
      </c>
      <c r="I2902" s="204"/>
      <c r="J2902" s="38" t="s">
        <v>2276</v>
      </c>
      <c r="K2902" s="38" t="s">
        <v>2276</v>
      </c>
      <c r="L2902" s="38" t="s">
        <v>2276</v>
      </c>
      <c r="M2902" s="38" t="s">
        <v>2276</v>
      </c>
      <c r="N2902" s="38" t="s">
        <v>2276</v>
      </c>
      <c r="O2902" s="38" t="s">
        <v>2276</v>
      </c>
      <c r="P2902" s="103" t="s">
        <v>2376</v>
      </c>
      <c r="Q2902" s="38" t="s">
        <v>2276</v>
      </c>
      <c r="R2902" s="38" t="s">
        <v>2276</v>
      </c>
      <c r="S2902" s="38" t="s">
        <v>2276</v>
      </c>
      <c r="T2902" s="38" t="s">
        <v>2276</v>
      </c>
      <c r="U2902" s="38" t="s">
        <v>2276</v>
      </c>
      <c r="V2902" s="38" t="s">
        <v>2276</v>
      </c>
      <c r="W2902" s="38" t="s">
        <v>2276</v>
      </c>
      <c r="X2902" s="38" t="s">
        <v>2276</v>
      </c>
      <c r="Y2902" s="38" t="s">
        <v>2276</v>
      </c>
      <c r="Z2902" s="38" t="s">
        <v>2276</v>
      </c>
      <c r="AA2902" s="204"/>
      <c r="AB2902" s="204"/>
    </row>
    <row r="2903" spans="1:28" ht="31" customHeight="1">
      <c r="A2903" s="152" t="str">
        <f>'Reported burning'!A2903</f>
        <v>306ab</v>
      </c>
      <c r="B2903" s="152" t="str">
        <f>'Reported burning'!B2903</f>
        <v>306ab.1</v>
      </c>
      <c r="C2903" s="152" t="str">
        <f>'Reported burning'!C2903</f>
        <v>Human, deliberate</v>
      </c>
      <c r="D2903" s="152" t="str">
        <f>'Reported burning'!D2903</f>
        <v>Pyrome management</v>
      </c>
      <c r="E2903" s="152" t="str">
        <f>'Reported burning'!E2903</f>
        <v>Fire suppression agent</v>
      </c>
      <c r="F2903" s="152" t="str">
        <f>'Reported burning'!F2903</f>
        <v>ND</v>
      </c>
      <c r="G2903" s="152" t="str">
        <f>'Reported burning'!G2903</f>
        <v>ND</v>
      </c>
      <c r="H2903" s="152" t="str">
        <f>'Reported burning'!H2903</f>
        <v>Presence</v>
      </c>
      <c r="I2903" s="204"/>
      <c r="J2903" s="38" t="s">
        <v>2276</v>
      </c>
      <c r="K2903" s="38" t="s">
        <v>2276</v>
      </c>
      <c r="L2903" s="38" t="s">
        <v>2276</v>
      </c>
      <c r="M2903" s="38" t="s">
        <v>2276</v>
      </c>
      <c r="N2903" s="38" t="s">
        <v>2276</v>
      </c>
      <c r="O2903" s="38" t="s">
        <v>2276</v>
      </c>
      <c r="P2903" s="103" t="s">
        <v>2378</v>
      </c>
      <c r="Q2903" s="38" t="s">
        <v>2276</v>
      </c>
      <c r="R2903" s="38" t="s">
        <v>2276</v>
      </c>
      <c r="S2903" s="38" t="s">
        <v>2276</v>
      </c>
      <c r="T2903" s="38" t="s">
        <v>2276</v>
      </c>
      <c r="U2903" s="38" t="s">
        <v>2276</v>
      </c>
      <c r="V2903" s="38" t="s">
        <v>2276</v>
      </c>
      <c r="W2903" s="38" t="s">
        <v>2276</v>
      </c>
      <c r="X2903" s="38" t="s">
        <v>2276</v>
      </c>
      <c r="Y2903" s="38" t="s">
        <v>2276</v>
      </c>
      <c r="Z2903" s="38" t="s">
        <v>2276</v>
      </c>
      <c r="AA2903" s="204"/>
      <c r="AB2903" s="204"/>
    </row>
    <row r="2904" spans="1:28" ht="31" customHeight="1">
      <c r="A2904" s="152" t="str">
        <f>'Reported burning'!A2904</f>
        <v>306bi</v>
      </c>
      <c r="B2904" s="152" t="str">
        <f>'Reported burning'!B2904</f>
        <v>306bi.1</v>
      </c>
      <c r="C2904" s="152" t="str">
        <f>'Reported burning'!C2904</f>
        <v>Human, deliberate</v>
      </c>
      <c r="D2904" s="152" t="str">
        <f>'Reported burning'!D2904</f>
        <v>Pyrome management</v>
      </c>
      <c r="E2904" s="152" t="str">
        <f>'Reported burning'!E2904</f>
        <v>Fire suppression agent</v>
      </c>
      <c r="F2904" s="152" t="str">
        <f>'Reported burning'!F2904</f>
        <v>ND</v>
      </c>
      <c r="G2904" s="152" t="str">
        <f>'Reported burning'!G2904</f>
        <v>ND</v>
      </c>
      <c r="H2904" s="152" t="str">
        <f>'Reported burning'!H2904</f>
        <v>Presence</v>
      </c>
      <c r="I2904" s="204"/>
      <c r="J2904" s="38" t="s">
        <v>2276</v>
      </c>
      <c r="K2904" s="38" t="s">
        <v>2276</v>
      </c>
      <c r="L2904" s="38" t="s">
        <v>2276</v>
      </c>
      <c r="M2904" s="38" t="s">
        <v>2276</v>
      </c>
      <c r="N2904" s="38" t="s">
        <v>2276</v>
      </c>
      <c r="O2904" s="38" t="s">
        <v>2276</v>
      </c>
      <c r="P2904" s="103" t="s">
        <v>2379</v>
      </c>
      <c r="Q2904" s="38" t="s">
        <v>2276</v>
      </c>
      <c r="R2904" s="38" t="s">
        <v>2276</v>
      </c>
      <c r="S2904" s="38" t="s">
        <v>2276</v>
      </c>
      <c r="T2904" s="38" t="s">
        <v>2276</v>
      </c>
      <c r="U2904" s="38" t="s">
        <v>2276</v>
      </c>
      <c r="V2904" s="38" t="s">
        <v>2276</v>
      </c>
      <c r="W2904" s="38" t="s">
        <v>2276</v>
      </c>
      <c r="X2904" s="38" t="s">
        <v>2276</v>
      </c>
      <c r="Y2904" s="38" t="s">
        <v>2276</v>
      </c>
      <c r="Z2904" s="38" t="s">
        <v>2276</v>
      </c>
      <c r="AA2904" s="204"/>
      <c r="AB2904" s="204"/>
    </row>
    <row r="2905" spans="1:28" ht="31" customHeight="1">
      <c r="A2905" s="152" t="str">
        <f>'Reported burning'!A2905</f>
        <v>306bj</v>
      </c>
      <c r="B2905" s="152" t="str">
        <f>'Reported burning'!B2905</f>
        <v>306bj.1</v>
      </c>
      <c r="C2905" s="152" t="str">
        <f>'Reported burning'!C2905</f>
        <v>Human, deliberate</v>
      </c>
      <c r="D2905" s="152" t="str">
        <f>'Reported burning'!D2905</f>
        <v>Pyrome management</v>
      </c>
      <c r="E2905" s="152" t="str">
        <f>'Reported burning'!E2905</f>
        <v>Fire suppression agent</v>
      </c>
      <c r="F2905" s="152" t="str">
        <f>'Reported burning'!F2905</f>
        <v>ND</v>
      </c>
      <c r="G2905" s="152" t="str">
        <f>'Reported burning'!G2905</f>
        <v>ND</v>
      </c>
      <c r="H2905" s="152" t="str">
        <f>'Reported burning'!H2905</f>
        <v>Absence</v>
      </c>
      <c r="I2905" s="204"/>
      <c r="J2905" s="38" t="s">
        <v>2276</v>
      </c>
      <c r="K2905" s="38" t="s">
        <v>2276</v>
      </c>
      <c r="L2905" s="38" t="s">
        <v>2276</v>
      </c>
      <c r="M2905" s="38" t="s">
        <v>2276</v>
      </c>
      <c r="N2905" s="38" t="s">
        <v>2276</v>
      </c>
      <c r="O2905" s="38" t="s">
        <v>2276</v>
      </c>
      <c r="P2905" s="103">
        <v>0</v>
      </c>
      <c r="Q2905" s="38" t="s">
        <v>2276</v>
      </c>
      <c r="R2905" s="38" t="s">
        <v>2276</v>
      </c>
      <c r="S2905" s="38" t="s">
        <v>2276</v>
      </c>
      <c r="T2905" s="38" t="s">
        <v>2276</v>
      </c>
      <c r="U2905" s="38" t="s">
        <v>2276</v>
      </c>
      <c r="V2905" s="38" t="s">
        <v>2276</v>
      </c>
      <c r="W2905" s="38" t="s">
        <v>2276</v>
      </c>
      <c r="X2905" s="38" t="s">
        <v>2276</v>
      </c>
      <c r="Y2905" s="38" t="s">
        <v>2276</v>
      </c>
      <c r="Z2905" s="38" t="s">
        <v>2276</v>
      </c>
      <c r="AA2905" s="204"/>
      <c r="AB2905" s="204"/>
    </row>
    <row r="2906" spans="1:28" ht="31" customHeight="1">
      <c r="A2906" s="152" t="str">
        <f>'Reported burning'!A2906</f>
        <v>306bk</v>
      </c>
      <c r="B2906" s="152" t="str">
        <f>'Reported burning'!B2906</f>
        <v>306bk.1</v>
      </c>
      <c r="C2906" s="152" t="str">
        <f>'Reported burning'!C2906</f>
        <v>Human, deliberate</v>
      </c>
      <c r="D2906" s="152" t="str">
        <f>'Reported burning'!D2906</f>
        <v>Pyrome management</v>
      </c>
      <c r="E2906" s="152" t="str">
        <f>'Reported burning'!E2906</f>
        <v>Fire suppression agent</v>
      </c>
      <c r="F2906" s="152" t="str">
        <f>'Reported burning'!F2906</f>
        <v>ND</v>
      </c>
      <c r="G2906" s="152" t="str">
        <f>'Reported burning'!G2906</f>
        <v>ND</v>
      </c>
      <c r="H2906" s="152" t="str">
        <f>'Reported burning'!H2906</f>
        <v>Presence</v>
      </c>
      <c r="I2906" s="204"/>
      <c r="J2906" s="38" t="s">
        <v>2276</v>
      </c>
      <c r="K2906" s="38" t="s">
        <v>2276</v>
      </c>
      <c r="L2906" s="38" t="s">
        <v>2276</v>
      </c>
      <c r="M2906" s="38" t="s">
        <v>2276</v>
      </c>
      <c r="N2906" s="38" t="s">
        <v>2276</v>
      </c>
      <c r="O2906" s="38" t="s">
        <v>2276</v>
      </c>
      <c r="P2906" s="103" t="s">
        <v>2376</v>
      </c>
      <c r="Q2906" s="38" t="s">
        <v>2276</v>
      </c>
      <c r="R2906" s="38" t="s">
        <v>2276</v>
      </c>
      <c r="S2906" s="38" t="s">
        <v>2276</v>
      </c>
      <c r="T2906" s="38" t="s">
        <v>2276</v>
      </c>
      <c r="U2906" s="38" t="s">
        <v>2276</v>
      </c>
      <c r="V2906" s="38" t="s">
        <v>2276</v>
      </c>
      <c r="W2906" s="38" t="s">
        <v>2276</v>
      </c>
      <c r="X2906" s="38" t="s">
        <v>2276</v>
      </c>
      <c r="Y2906" s="38" t="s">
        <v>2276</v>
      </c>
      <c r="Z2906" s="38" t="s">
        <v>2276</v>
      </c>
      <c r="AA2906" s="204"/>
      <c r="AB2906" s="204"/>
    </row>
    <row r="2907" spans="1:28" ht="31" customHeight="1">
      <c r="A2907" s="152" t="str">
        <f>'Reported burning'!A2907</f>
        <v>306bl</v>
      </c>
      <c r="B2907" s="152" t="str">
        <f>'Reported burning'!B2907</f>
        <v>306bl.1</v>
      </c>
      <c r="C2907" s="152" t="str">
        <f>'Reported burning'!C2907</f>
        <v>Human, deliberate</v>
      </c>
      <c r="D2907" s="152" t="str">
        <f>'Reported burning'!D2907</f>
        <v>Pyrome management</v>
      </c>
      <c r="E2907" s="152" t="str">
        <f>'Reported burning'!E2907</f>
        <v>Fire suppression agent</v>
      </c>
      <c r="F2907" s="152" t="str">
        <f>'Reported burning'!F2907</f>
        <v>ND</v>
      </c>
      <c r="G2907" s="152" t="str">
        <f>'Reported burning'!G2907</f>
        <v>ND</v>
      </c>
      <c r="H2907" s="152" t="str">
        <f>'Reported burning'!H2907</f>
        <v>Presence</v>
      </c>
      <c r="I2907" s="204"/>
      <c r="J2907" s="38" t="s">
        <v>2276</v>
      </c>
      <c r="K2907" s="38" t="s">
        <v>2276</v>
      </c>
      <c r="L2907" s="38" t="s">
        <v>2276</v>
      </c>
      <c r="M2907" s="38" t="s">
        <v>2276</v>
      </c>
      <c r="N2907" s="38" t="s">
        <v>2276</v>
      </c>
      <c r="O2907" s="38" t="s">
        <v>2276</v>
      </c>
      <c r="P2907" s="103" t="s">
        <v>2376</v>
      </c>
      <c r="Q2907" s="38" t="s">
        <v>2276</v>
      </c>
      <c r="R2907" s="38" t="s">
        <v>2276</v>
      </c>
      <c r="S2907" s="38" t="s">
        <v>2276</v>
      </c>
      <c r="T2907" s="38" t="s">
        <v>2276</v>
      </c>
      <c r="U2907" s="38" t="s">
        <v>2276</v>
      </c>
      <c r="V2907" s="38" t="s">
        <v>2276</v>
      </c>
      <c r="W2907" s="38" t="s">
        <v>2276</v>
      </c>
      <c r="X2907" s="38" t="s">
        <v>2276</v>
      </c>
      <c r="Y2907" s="38" t="s">
        <v>2276</v>
      </c>
      <c r="Z2907" s="38" t="s">
        <v>2276</v>
      </c>
      <c r="AA2907" s="204"/>
      <c r="AB2907" s="204"/>
    </row>
    <row r="2908" spans="1:28" ht="31" customHeight="1">
      <c r="A2908" s="152" t="str">
        <f>'Reported burning'!A2908</f>
        <v>306bm</v>
      </c>
      <c r="B2908" s="152" t="str">
        <f>'Reported burning'!B2908</f>
        <v>306bm.1</v>
      </c>
      <c r="C2908" s="152" t="str">
        <f>'Reported burning'!C2908</f>
        <v>Human, deliberate</v>
      </c>
      <c r="D2908" s="152" t="str">
        <f>'Reported burning'!D2908</f>
        <v>Pyrome management</v>
      </c>
      <c r="E2908" s="152" t="str">
        <f>'Reported burning'!E2908</f>
        <v>Fire suppression agent</v>
      </c>
      <c r="F2908" s="152" t="str">
        <f>'Reported burning'!F2908</f>
        <v>ND</v>
      </c>
      <c r="G2908" s="152" t="str">
        <f>'Reported burning'!G2908</f>
        <v>ND</v>
      </c>
      <c r="H2908" s="152" t="str">
        <f>'Reported burning'!H2908</f>
        <v>Presence</v>
      </c>
      <c r="I2908" s="204"/>
      <c r="J2908" s="38" t="s">
        <v>2276</v>
      </c>
      <c r="K2908" s="38" t="s">
        <v>2276</v>
      </c>
      <c r="L2908" s="38" t="s">
        <v>2276</v>
      </c>
      <c r="M2908" s="38" t="s">
        <v>2276</v>
      </c>
      <c r="N2908" s="38" t="s">
        <v>2276</v>
      </c>
      <c r="O2908" s="38" t="s">
        <v>2276</v>
      </c>
      <c r="P2908" s="103" t="s">
        <v>2376</v>
      </c>
      <c r="Q2908" s="38" t="s">
        <v>2276</v>
      </c>
      <c r="R2908" s="38" t="s">
        <v>2276</v>
      </c>
      <c r="S2908" s="38" t="s">
        <v>2276</v>
      </c>
      <c r="T2908" s="38" t="s">
        <v>2276</v>
      </c>
      <c r="U2908" s="38" t="s">
        <v>2276</v>
      </c>
      <c r="V2908" s="38" t="s">
        <v>2276</v>
      </c>
      <c r="W2908" s="38" t="s">
        <v>2276</v>
      </c>
      <c r="X2908" s="38" t="s">
        <v>2276</v>
      </c>
      <c r="Y2908" s="38" t="s">
        <v>2276</v>
      </c>
      <c r="Z2908" s="38" t="s">
        <v>2276</v>
      </c>
      <c r="AA2908" s="204"/>
      <c r="AB2908" s="204"/>
    </row>
    <row r="2909" spans="1:28" ht="31" customHeight="1">
      <c r="A2909" s="152" t="str">
        <f>'Reported burning'!A2909</f>
        <v>306bn</v>
      </c>
      <c r="B2909" s="152" t="str">
        <f>'Reported burning'!B2909</f>
        <v>306bn.1</v>
      </c>
      <c r="C2909" s="152" t="str">
        <f>'Reported burning'!C2909</f>
        <v>Human, deliberate</v>
      </c>
      <c r="D2909" s="152" t="str">
        <f>'Reported burning'!D2909</f>
        <v>Pyrome management</v>
      </c>
      <c r="E2909" s="152" t="str">
        <f>'Reported burning'!E2909</f>
        <v>Fire suppression agent</v>
      </c>
      <c r="F2909" s="152" t="str">
        <f>'Reported burning'!F2909</f>
        <v>ND</v>
      </c>
      <c r="G2909" s="152" t="str">
        <f>'Reported burning'!G2909</f>
        <v>ND</v>
      </c>
      <c r="H2909" s="152" t="str">
        <f>'Reported burning'!H2909</f>
        <v>Presence</v>
      </c>
      <c r="I2909" s="204"/>
      <c r="J2909" s="38" t="s">
        <v>2276</v>
      </c>
      <c r="K2909" s="38" t="s">
        <v>2276</v>
      </c>
      <c r="L2909" s="38" t="s">
        <v>2276</v>
      </c>
      <c r="M2909" s="38" t="s">
        <v>2276</v>
      </c>
      <c r="N2909" s="38" t="s">
        <v>2276</v>
      </c>
      <c r="O2909" s="38" t="s">
        <v>2276</v>
      </c>
      <c r="P2909" s="103" t="s">
        <v>2376</v>
      </c>
      <c r="Q2909" s="38" t="s">
        <v>2276</v>
      </c>
      <c r="R2909" s="38" t="s">
        <v>2276</v>
      </c>
      <c r="S2909" s="38" t="s">
        <v>2276</v>
      </c>
      <c r="T2909" s="38" t="s">
        <v>2276</v>
      </c>
      <c r="U2909" s="38" t="s">
        <v>2276</v>
      </c>
      <c r="V2909" s="38" t="s">
        <v>2276</v>
      </c>
      <c r="W2909" s="38" t="s">
        <v>2276</v>
      </c>
      <c r="X2909" s="38" t="s">
        <v>2276</v>
      </c>
      <c r="Y2909" s="38" t="s">
        <v>2276</v>
      </c>
      <c r="Z2909" s="38" t="s">
        <v>2276</v>
      </c>
      <c r="AA2909" s="204"/>
      <c r="AB2909" s="204"/>
    </row>
    <row r="2910" spans="1:28" ht="31" customHeight="1">
      <c r="A2910" s="152" t="str">
        <f>'Reported burning'!A2910</f>
        <v>306bo</v>
      </c>
      <c r="B2910" s="152" t="str">
        <f>'Reported burning'!B2910</f>
        <v>306bo.1</v>
      </c>
      <c r="C2910" s="152" t="str">
        <f>'Reported burning'!C2910</f>
        <v>Human, deliberate</v>
      </c>
      <c r="D2910" s="152" t="str">
        <f>'Reported burning'!D2910</f>
        <v>Pyrome management</v>
      </c>
      <c r="E2910" s="152" t="str">
        <f>'Reported burning'!E2910</f>
        <v>Fire suppression agent</v>
      </c>
      <c r="F2910" s="152" t="str">
        <f>'Reported burning'!F2910</f>
        <v>ND</v>
      </c>
      <c r="G2910" s="152" t="str">
        <f>'Reported burning'!G2910</f>
        <v>ND</v>
      </c>
      <c r="H2910" s="152" t="str">
        <f>'Reported burning'!H2910</f>
        <v>Absence</v>
      </c>
      <c r="I2910" s="204"/>
      <c r="J2910" s="38" t="s">
        <v>2276</v>
      </c>
      <c r="K2910" s="38" t="s">
        <v>2276</v>
      </c>
      <c r="L2910" s="38" t="s">
        <v>2276</v>
      </c>
      <c r="M2910" s="38" t="s">
        <v>2276</v>
      </c>
      <c r="N2910" s="38" t="s">
        <v>2276</v>
      </c>
      <c r="O2910" s="38" t="s">
        <v>2276</v>
      </c>
      <c r="P2910" s="103">
        <v>0</v>
      </c>
      <c r="Q2910" s="38" t="s">
        <v>2276</v>
      </c>
      <c r="R2910" s="38" t="s">
        <v>2276</v>
      </c>
      <c r="S2910" s="38" t="s">
        <v>2276</v>
      </c>
      <c r="T2910" s="38" t="s">
        <v>2276</v>
      </c>
      <c r="U2910" s="38" t="s">
        <v>2276</v>
      </c>
      <c r="V2910" s="38" t="s">
        <v>2276</v>
      </c>
      <c r="W2910" s="38" t="s">
        <v>2276</v>
      </c>
      <c r="X2910" s="38" t="s">
        <v>2276</v>
      </c>
      <c r="Y2910" s="38" t="s">
        <v>2276</v>
      </c>
      <c r="Z2910" s="38" t="s">
        <v>2276</v>
      </c>
      <c r="AA2910" s="204"/>
      <c r="AB2910" s="204"/>
    </row>
    <row r="2911" spans="1:28" ht="31" customHeight="1">
      <c r="A2911" s="223" t="str">
        <f>'Reported burning'!A2911</f>
        <v>306bp</v>
      </c>
      <c r="B2911" s="223" t="str">
        <f>'Reported burning'!B2911</f>
        <v>306bp.1</v>
      </c>
      <c r="C2911" s="223" t="str">
        <f>'Reported burning'!C2911</f>
        <v>Human, deliberate</v>
      </c>
      <c r="D2911" s="223" t="str">
        <f>'Reported burning'!D2911</f>
        <v>Pyrome management</v>
      </c>
      <c r="E2911" s="223" t="str">
        <f>'Reported burning'!E2911</f>
        <v>Fire suppression agent</v>
      </c>
      <c r="F2911" s="223" t="str">
        <f>'Reported burning'!F2911</f>
        <v>ND</v>
      </c>
      <c r="G2911" s="223" t="str">
        <f>'Reported burning'!G2911</f>
        <v>ND</v>
      </c>
      <c r="H2911" s="223" t="str">
        <f>'Reported burning'!H2911</f>
        <v>Presence</v>
      </c>
      <c r="I2911" s="38"/>
      <c r="J2911" s="38" t="s">
        <v>2276</v>
      </c>
      <c r="K2911" s="38" t="s">
        <v>2276</v>
      </c>
      <c r="L2911" s="38" t="s">
        <v>2276</v>
      </c>
      <c r="M2911" s="38" t="s">
        <v>2276</v>
      </c>
      <c r="N2911" s="38" t="s">
        <v>2276</v>
      </c>
      <c r="O2911" s="38" t="s">
        <v>2276</v>
      </c>
      <c r="P2911" s="111" t="s">
        <v>2379</v>
      </c>
      <c r="Q2911" s="38" t="s">
        <v>2276</v>
      </c>
      <c r="R2911" s="38" t="s">
        <v>2276</v>
      </c>
      <c r="S2911" s="38" t="s">
        <v>2276</v>
      </c>
      <c r="T2911" s="38" t="s">
        <v>2276</v>
      </c>
      <c r="U2911" s="38" t="s">
        <v>2276</v>
      </c>
      <c r="V2911" s="38" t="s">
        <v>2276</v>
      </c>
      <c r="W2911" s="38" t="s">
        <v>2276</v>
      </c>
      <c r="X2911" s="38" t="s">
        <v>2276</v>
      </c>
      <c r="Y2911" s="38" t="s">
        <v>2276</v>
      </c>
      <c r="Z2911" s="38" t="s">
        <v>2276</v>
      </c>
      <c r="AA2911" s="38"/>
      <c r="AB2911" s="38"/>
    </row>
    <row r="2912" spans="1:28" ht="31" customHeight="1">
      <c r="A2912" s="152" t="str">
        <f>'Reported burning'!A2912</f>
        <v>308a</v>
      </c>
      <c r="B2912" s="152" t="str">
        <f>'Reported burning'!B2912</f>
        <v>308a.1</v>
      </c>
      <c r="C2912" s="152" t="str">
        <f>'Reported burning'!C2912</f>
        <v>Human, deliberate</v>
      </c>
      <c r="D2912" s="152" t="str">
        <f>'Reported burning'!D2912</f>
        <v>Forest clearance</v>
      </c>
      <c r="E2912" s="152" t="str">
        <f>'Reported burning'!E2912</f>
        <v>Cropping, Swidden</v>
      </c>
      <c r="F2912" s="152" t="str">
        <f>'Reported burning'!F2912</f>
        <v>Forest</v>
      </c>
      <c r="G2912" s="152" t="str">
        <f>'Reported burning'!G2912</f>
        <v>Forest</v>
      </c>
      <c r="H2912" s="152" t="str">
        <f>'Reported burning'!H2912</f>
        <v>Presence</v>
      </c>
      <c r="I2912" s="204"/>
      <c r="J2912" s="204" t="s">
        <v>2276</v>
      </c>
      <c r="K2912" s="204" t="s">
        <v>2276</v>
      </c>
      <c r="L2912" s="204" t="s">
        <v>2276</v>
      </c>
      <c r="M2912" s="204" t="s">
        <v>2276</v>
      </c>
      <c r="N2912" s="204" t="s">
        <v>2276</v>
      </c>
      <c r="O2912" s="204" t="s">
        <v>2276</v>
      </c>
      <c r="P2912" s="204" t="s">
        <v>2276</v>
      </c>
      <c r="Q2912" s="21" t="s">
        <v>2375</v>
      </c>
      <c r="R2912" s="204" t="s">
        <v>2276</v>
      </c>
      <c r="S2912" s="204" t="s">
        <v>2276</v>
      </c>
      <c r="T2912" s="204" t="s">
        <v>2276</v>
      </c>
      <c r="U2912" s="204" t="s">
        <v>2276</v>
      </c>
      <c r="V2912" s="204" t="s">
        <v>2276</v>
      </c>
      <c r="W2912" s="204" t="s">
        <v>2276</v>
      </c>
      <c r="X2912" s="204" t="s">
        <v>68</v>
      </c>
      <c r="Y2912" s="204" t="s">
        <v>35</v>
      </c>
      <c r="Z2912" s="204" t="s">
        <v>2276</v>
      </c>
      <c r="AA2912" s="204"/>
      <c r="AB2912" s="204"/>
    </row>
    <row r="2913" spans="1:28" ht="31" customHeight="1">
      <c r="A2913" s="152" t="str">
        <f>'Reported burning'!A2913</f>
        <v>308a</v>
      </c>
      <c r="B2913" s="152" t="str">
        <f>'Reported burning'!B2913</f>
        <v>308a.2</v>
      </c>
      <c r="C2913" s="152" t="str">
        <f>'Reported burning'!C2913</f>
        <v>Human, deliberate</v>
      </c>
      <c r="D2913" s="152" t="str">
        <f>'Reported burning'!D2913</f>
        <v>Crop field preparation</v>
      </c>
      <c r="E2913" s="152" t="str">
        <f>'Reported burning'!E2913</f>
        <v>Cropping, Swidden</v>
      </c>
      <c r="F2913" s="152" t="str">
        <f>'Reported burning'!F2913</f>
        <v>Secondary vegetation</v>
      </c>
      <c r="G2913" s="152" t="str">
        <f>'Reported burning'!G2913</f>
        <v>Secondary vegetation</v>
      </c>
      <c r="H2913" s="152" t="str">
        <f>'Reported burning'!H2913</f>
        <v>Presence</v>
      </c>
      <c r="I2913" s="204"/>
      <c r="J2913" s="204" t="s">
        <v>2276</v>
      </c>
      <c r="K2913" s="204" t="s">
        <v>2276</v>
      </c>
      <c r="L2913" s="204" t="s">
        <v>2276</v>
      </c>
      <c r="M2913" s="204" t="s">
        <v>2276</v>
      </c>
      <c r="N2913" s="204" t="s">
        <v>2276</v>
      </c>
      <c r="O2913" s="204" t="s">
        <v>2276</v>
      </c>
      <c r="P2913" s="204" t="s">
        <v>2276</v>
      </c>
      <c r="Q2913" s="21" t="s">
        <v>2375</v>
      </c>
      <c r="R2913" s="204" t="s">
        <v>2276</v>
      </c>
      <c r="S2913" s="204" t="s">
        <v>2276</v>
      </c>
      <c r="T2913" s="204" t="s">
        <v>2276</v>
      </c>
      <c r="U2913" s="204" t="s">
        <v>2276</v>
      </c>
      <c r="V2913" s="204" t="s">
        <v>2276</v>
      </c>
      <c r="W2913" s="21" t="s">
        <v>2403</v>
      </c>
      <c r="X2913" s="204" t="s">
        <v>425</v>
      </c>
      <c r="Y2913" s="204" t="s">
        <v>399</v>
      </c>
      <c r="Z2913" s="204" t="s">
        <v>2276</v>
      </c>
      <c r="AA2913" s="204"/>
      <c r="AB2913" s="204"/>
    </row>
    <row r="2914" spans="1:28" ht="49" customHeight="1">
      <c r="A2914" s="152" t="str">
        <f>'Reported burning'!A2914</f>
        <v>308a</v>
      </c>
      <c r="B2914" s="152" t="str">
        <f>'Reported burning'!B2914</f>
        <v>308a.3</v>
      </c>
      <c r="C2914" s="152" t="str">
        <f>'Reported burning'!C2914</f>
        <v>Human, deliberate</v>
      </c>
      <c r="D2914" s="152" t="str">
        <f>'Reported burning'!D2914</f>
        <v>Forest clearance</v>
      </c>
      <c r="E2914" s="152" t="str">
        <f>'Reported burning'!E2914</f>
        <v>Mixed cropping-livestock small holder, Subsistence-oriented</v>
      </c>
      <c r="F2914" s="152" t="str">
        <f>'Reported burning'!F2914</f>
        <v>Forest</v>
      </c>
      <c r="G2914" s="152" t="str">
        <f>'Reported burning'!G2914</f>
        <v>Forest</v>
      </c>
      <c r="H2914" s="152" t="str">
        <f>'Reported burning'!H2914</f>
        <v>Presence</v>
      </c>
      <c r="I2914" s="204"/>
      <c r="J2914" s="204" t="s">
        <v>2276</v>
      </c>
      <c r="K2914" s="204" t="s">
        <v>2276</v>
      </c>
      <c r="L2914" s="204" t="s">
        <v>2276</v>
      </c>
      <c r="M2914" s="204" t="s">
        <v>2276</v>
      </c>
      <c r="N2914" s="204" t="s">
        <v>2276</v>
      </c>
      <c r="O2914" s="204" t="s">
        <v>2276</v>
      </c>
      <c r="P2914" s="204" t="s">
        <v>2276</v>
      </c>
      <c r="Q2914" s="21" t="s">
        <v>2373</v>
      </c>
      <c r="R2914" s="204" t="s">
        <v>2276</v>
      </c>
      <c r="S2914" s="204" t="s">
        <v>2276</v>
      </c>
      <c r="T2914" s="204" t="s">
        <v>2276</v>
      </c>
      <c r="U2914" s="204" t="s">
        <v>2276</v>
      </c>
      <c r="V2914" s="204" t="s">
        <v>2276</v>
      </c>
      <c r="W2914" s="204" t="s">
        <v>2276</v>
      </c>
      <c r="X2914" s="204" t="s">
        <v>68</v>
      </c>
      <c r="Y2914" s="204" t="s">
        <v>35</v>
      </c>
      <c r="Z2914" s="204" t="s">
        <v>2276</v>
      </c>
      <c r="AA2914" s="204"/>
      <c r="AB2914" s="204"/>
    </row>
    <row r="2915" spans="1:28" s="203" customFormat="1" ht="49" customHeight="1">
      <c r="A2915" s="152" t="str">
        <f>'Reported burning'!A2915</f>
        <v>308a</v>
      </c>
      <c r="B2915" s="152" t="str">
        <f>'Reported burning'!B2915</f>
        <v>308a.4</v>
      </c>
      <c r="C2915" s="152" t="str">
        <f>'Reported burning'!C2915</f>
        <v>Human, deliberate</v>
      </c>
      <c r="D2915" s="152" t="str">
        <f>'Reported burning'!D2915</f>
        <v>Pasture renewal</v>
      </c>
      <c r="E2915" s="152" t="str">
        <f>'Reported burning'!E2915</f>
        <v>Mixed cropping-livestock small holder, Subsistence-oriented</v>
      </c>
      <c r="F2915" s="152" t="str">
        <f>'Reported burning'!F2915</f>
        <v>Pasture</v>
      </c>
      <c r="G2915" s="152" t="str">
        <f>'Reported burning'!G2915</f>
        <v>Pasture</v>
      </c>
      <c r="H2915" s="152" t="str">
        <f>'Reported burning'!H2915</f>
        <v>Presence</v>
      </c>
      <c r="I2915" s="204"/>
      <c r="J2915" s="204" t="s">
        <v>2276</v>
      </c>
      <c r="K2915" s="204" t="s">
        <v>2276</v>
      </c>
      <c r="L2915" s="204" t="s">
        <v>2276</v>
      </c>
      <c r="M2915" s="204" t="s">
        <v>2276</v>
      </c>
      <c r="N2915" s="204" t="s">
        <v>2276</v>
      </c>
      <c r="O2915" s="204" t="s">
        <v>2276</v>
      </c>
      <c r="P2915" s="204" t="s">
        <v>2276</v>
      </c>
      <c r="Q2915" s="204" t="s">
        <v>2276</v>
      </c>
      <c r="R2915" s="204" t="s">
        <v>2276</v>
      </c>
      <c r="S2915" s="204" t="s">
        <v>2276</v>
      </c>
      <c r="T2915" s="204" t="s">
        <v>2276</v>
      </c>
      <c r="U2915" s="204" t="s">
        <v>2276</v>
      </c>
      <c r="V2915" s="204" t="s">
        <v>2276</v>
      </c>
      <c r="W2915" s="21" t="s">
        <v>2375</v>
      </c>
      <c r="X2915" s="204" t="s">
        <v>2276</v>
      </c>
      <c r="Y2915" s="204" t="s">
        <v>2276</v>
      </c>
      <c r="Z2915" s="204" t="s">
        <v>2276</v>
      </c>
      <c r="AA2915" s="204"/>
      <c r="AB2915" s="204"/>
    </row>
    <row r="2916" spans="1:28" ht="49" customHeight="1">
      <c r="A2916" s="152" t="str">
        <f>'Reported burning'!A2916</f>
        <v>308a</v>
      </c>
      <c r="B2916" s="152" t="str">
        <f>'Reported burning'!B2916</f>
        <v>308a.5</v>
      </c>
      <c r="C2916" s="152" t="str">
        <f>'Reported burning'!C2916</f>
        <v>Human, escaped</v>
      </c>
      <c r="D2916" s="152" t="str">
        <f>'Reported burning'!D2916</f>
        <v>Pasture renewal</v>
      </c>
      <c r="E2916" s="152" t="str">
        <f>'Reported burning'!E2916</f>
        <v>Mixed cropping-livestock small holder, Subsistence-oriented</v>
      </c>
      <c r="F2916" s="152" t="str">
        <f>'Reported burning'!F2916</f>
        <v>Pasture</v>
      </c>
      <c r="G2916" s="152" t="str">
        <f>'Reported burning'!G2916</f>
        <v>Forest</v>
      </c>
      <c r="H2916" s="152" t="str">
        <f>'Reported burning'!H2916</f>
        <v>Presence</v>
      </c>
      <c r="I2916" s="204"/>
      <c r="J2916" s="204" t="s">
        <v>2276</v>
      </c>
      <c r="K2916" s="204" t="s">
        <v>2276</v>
      </c>
      <c r="L2916" s="204" t="s">
        <v>2276</v>
      </c>
      <c r="M2916" s="204" t="s">
        <v>2276</v>
      </c>
      <c r="N2916" s="204" t="s">
        <v>2276</v>
      </c>
      <c r="O2916" s="204" t="s">
        <v>2276</v>
      </c>
      <c r="P2916" s="204" t="s">
        <v>2276</v>
      </c>
      <c r="Q2916" s="204" t="s">
        <v>2276</v>
      </c>
      <c r="R2916" s="204" t="s">
        <v>2276</v>
      </c>
      <c r="S2916" s="204" t="s">
        <v>2276</v>
      </c>
      <c r="T2916" s="204" t="s">
        <v>2276</v>
      </c>
      <c r="U2916" s="204" t="s">
        <v>2276</v>
      </c>
      <c r="V2916" s="204" t="s">
        <v>2276</v>
      </c>
      <c r="W2916" s="204" t="s">
        <v>2276</v>
      </c>
      <c r="X2916" s="204" t="s">
        <v>2276</v>
      </c>
      <c r="Y2916" s="204" t="s">
        <v>2276</v>
      </c>
      <c r="Z2916" s="204" t="s">
        <v>2276</v>
      </c>
      <c r="AA2916" s="204"/>
      <c r="AB2916" s="204"/>
    </row>
    <row r="2917" spans="1:28" ht="49" customHeight="1">
      <c r="A2917" s="152" t="str">
        <f>'Reported burning'!A2917</f>
        <v>308a</v>
      </c>
      <c r="B2917" s="152" t="str">
        <f>'Reported burning'!B2917</f>
        <v>308a.6</v>
      </c>
      <c r="C2917" s="152" t="str">
        <f>'Reported burning'!C2917</f>
        <v>Human, deliberate</v>
      </c>
      <c r="D2917" s="152" t="str">
        <f>'Reported burning'!D2917</f>
        <v>Forest clearance</v>
      </c>
      <c r="E2917" s="152" t="str">
        <f>'Reported burning'!E2917</f>
        <v>Cattle, Extensive</v>
      </c>
      <c r="F2917" s="152" t="str">
        <f>'Reported burning'!F2917</f>
        <v>Forest</v>
      </c>
      <c r="G2917" s="152" t="str">
        <f>'Reported burning'!G2917</f>
        <v>Forest</v>
      </c>
      <c r="H2917" s="152" t="str">
        <f>'Reported burning'!H2917</f>
        <v>Presence</v>
      </c>
      <c r="I2917" s="204"/>
      <c r="J2917" s="204" t="s">
        <v>2276</v>
      </c>
      <c r="K2917" s="204" t="s">
        <v>2276</v>
      </c>
      <c r="L2917" s="204" t="s">
        <v>2276</v>
      </c>
      <c r="M2917" s="204" t="s">
        <v>2276</v>
      </c>
      <c r="N2917" s="21" t="s">
        <v>2385</v>
      </c>
      <c r="O2917" s="204" t="s">
        <v>2276</v>
      </c>
      <c r="P2917" s="204" t="s">
        <v>2276</v>
      </c>
      <c r="Q2917" s="204" t="s">
        <v>2276</v>
      </c>
      <c r="R2917" s="204" t="s">
        <v>2276</v>
      </c>
      <c r="S2917" s="204" t="s">
        <v>2276</v>
      </c>
      <c r="T2917" s="204" t="s">
        <v>2276</v>
      </c>
      <c r="U2917" s="204" t="s">
        <v>2276</v>
      </c>
      <c r="V2917" s="204" t="s">
        <v>2276</v>
      </c>
      <c r="W2917" s="204" t="s">
        <v>2276</v>
      </c>
      <c r="X2917" s="204" t="s">
        <v>68</v>
      </c>
      <c r="Y2917" s="204" t="s">
        <v>35</v>
      </c>
      <c r="Z2917" s="204" t="s">
        <v>2276</v>
      </c>
      <c r="AA2917" s="204"/>
      <c r="AB2917" s="204"/>
    </row>
    <row r="2918" spans="1:28" ht="49" customHeight="1">
      <c r="A2918" s="152" t="str">
        <f>'Reported burning'!A2918</f>
        <v>308a</v>
      </c>
      <c r="B2918" s="152" t="str">
        <f>'Reported burning'!B2918</f>
        <v>308a.7</v>
      </c>
      <c r="C2918" s="152" t="str">
        <f>'Reported burning'!C2918</f>
        <v>Human, deliberate</v>
      </c>
      <c r="D2918" s="152" t="str">
        <f>'Reported burning'!D2918</f>
        <v>Pasture renewal</v>
      </c>
      <c r="E2918" s="152" t="str">
        <f>'Reported burning'!E2918</f>
        <v>Cattle, Extensive</v>
      </c>
      <c r="F2918" s="152" t="str">
        <f>'Reported burning'!F2918</f>
        <v>Pasture</v>
      </c>
      <c r="G2918" s="152" t="str">
        <f>'Reported burning'!G2918</f>
        <v>Pasture</v>
      </c>
      <c r="H2918" s="152" t="str">
        <f>'Reported burning'!H2918</f>
        <v>Presence</v>
      </c>
      <c r="I2918" s="204"/>
      <c r="J2918" s="204" t="s">
        <v>2276</v>
      </c>
      <c r="K2918" s="204" t="s">
        <v>2276</v>
      </c>
      <c r="L2918" s="204" t="s">
        <v>2276</v>
      </c>
      <c r="M2918" s="204" t="s">
        <v>2276</v>
      </c>
      <c r="N2918" s="204" t="s">
        <v>2276</v>
      </c>
      <c r="O2918" s="204" t="s">
        <v>2276</v>
      </c>
      <c r="P2918" s="204" t="s">
        <v>2276</v>
      </c>
      <c r="Q2918" s="204" t="s">
        <v>2276</v>
      </c>
      <c r="R2918" s="204" t="s">
        <v>2276</v>
      </c>
      <c r="S2918" s="204" t="s">
        <v>2276</v>
      </c>
      <c r="T2918" s="204" t="s">
        <v>2276</v>
      </c>
      <c r="U2918" s="204" t="s">
        <v>2276</v>
      </c>
      <c r="V2918" s="204" t="s">
        <v>2276</v>
      </c>
      <c r="W2918" s="21" t="s">
        <v>2375</v>
      </c>
      <c r="X2918" s="204" t="s">
        <v>2276</v>
      </c>
      <c r="Y2918" s="204" t="s">
        <v>2276</v>
      </c>
      <c r="Z2918" s="204" t="s">
        <v>2276</v>
      </c>
      <c r="AA2918" s="204"/>
      <c r="AB2918" s="204"/>
    </row>
    <row r="2919" spans="1:28" ht="49" customHeight="1">
      <c r="A2919" s="152" t="str">
        <f>'Reported burning'!A2919</f>
        <v>308a</v>
      </c>
      <c r="B2919" s="152" t="str">
        <f>'Reported burning'!B2919</f>
        <v>308a.8</v>
      </c>
      <c r="C2919" s="152" t="str">
        <f>'Reported burning'!C2919</f>
        <v>Human, escaped</v>
      </c>
      <c r="D2919" s="152" t="str">
        <f>'Reported burning'!D2919</f>
        <v>Pasture renewal</v>
      </c>
      <c r="E2919" s="152" t="str">
        <f>'Reported burning'!E2919</f>
        <v>Cattle, Extensive</v>
      </c>
      <c r="F2919" s="152" t="str">
        <f>'Reported burning'!F2919</f>
        <v>Pasture</v>
      </c>
      <c r="G2919" s="152" t="str">
        <f>'Reported burning'!G2919</f>
        <v>Forest</v>
      </c>
      <c r="H2919" s="152" t="str">
        <f>'Reported burning'!H2919</f>
        <v>Presence</v>
      </c>
      <c r="I2919" s="204"/>
      <c r="J2919" s="204" t="s">
        <v>2276</v>
      </c>
      <c r="K2919" s="204" t="s">
        <v>2276</v>
      </c>
      <c r="L2919" s="204" t="s">
        <v>2276</v>
      </c>
      <c r="M2919" s="204" t="s">
        <v>2276</v>
      </c>
      <c r="N2919" s="204" t="s">
        <v>2276</v>
      </c>
      <c r="O2919" s="204" t="s">
        <v>2276</v>
      </c>
      <c r="P2919" s="204" t="s">
        <v>2276</v>
      </c>
      <c r="Q2919" s="204" t="s">
        <v>2276</v>
      </c>
      <c r="R2919" s="204" t="s">
        <v>2276</v>
      </c>
      <c r="S2919" s="204" t="s">
        <v>2276</v>
      </c>
      <c r="T2919" s="204" t="s">
        <v>2276</v>
      </c>
      <c r="U2919" s="204" t="s">
        <v>2276</v>
      </c>
      <c r="V2919" s="204" t="s">
        <v>2276</v>
      </c>
      <c r="W2919" s="204" t="s">
        <v>2276</v>
      </c>
      <c r="X2919" s="204" t="s">
        <v>2276</v>
      </c>
      <c r="Y2919" s="204" t="s">
        <v>2276</v>
      </c>
      <c r="Z2919" s="204" t="s">
        <v>2276</v>
      </c>
      <c r="AA2919" s="204"/>
      <c r="AB2919" s="204"/>
    </row>
    <row r="2920" spans="1:28" ht="49" customHeight="1">
      <c r="A2920" s="156" t="str">
        <f>'Reported burning'!A2920</f>
        <v>309a</v>
      </c>
      <c r="B2920" s="156" t="str">
        <f>'Reported burning'!B2920</f>
        <v>309a.1</v>
      </c>
      <c r="C2920" s="156" t="str">
        <f>'Reported burning'!C2920</f>
        <v>Human, deliberate</v>
      </c>
      <c r="D2920" s="156" t="str">
        <f>'Reported burning'!D2920</f>
        <v>Pasture renewal</v>
      </c>
      <c r="E2920" s="156" t="str">
        <f>'Reported burning'!E2920</f>
        <v>Cattle, Extensive</v>
      </c>
      <c r="F2920" s="156" t="str">
        <f>'Reported burning'!F2920</f>
        <v>Grassland</v>
      </c>
      <c r="G2920" s="156" t="str">
        <f>'Reported burning'!G2920</f>
        <v>Grassland</v>
      </c>
      <c r="H2920" s="156" t="str">
        <f>'Reported burning'!H2920</f>
        <v>Presence</v>
      </c>
      <c r="I2920" s="5"/>
      <c r="J2920" s="21"/>
      <c r="K2920" s="103"/>
      <c r="L2920" s="21"/>
      <c r="M2920" s="21"/>
      <c r="N2920" s="21"/>
      <c r="O2920" s="21"/>
      <c r="P2920" s="21" t="s">
        <v>2376</v>
      </c>
      <c r="Q2920" s="21"/>
      <c r="R2920" s="21" t="s">
        <v>2376</v>
      </c>
      <c r="S2920" s="21"/>
      <c r="T2920" s="21"/>
      <c r="U2920" s="21"/>
      <c r="V2920" s="21"/>
      <c r="W2920" s="21" t="s">
        <v>2401</v>
      </c>
      <c r="X2920" s="204" t="s">
        <v>2276</v>
      </c>
      <c r="Y2920" s="204" t="s">
        <v>2276</v>
      </c>
      <c r="Z2920" s="204" t="s">
        <v>2276</v>
      </c>
      <c r="AA2920" s="4" t="s">
        <v>7892</v>
      </c>
      <c r="AB2920" s="204" t="s">
        <v>7894</v>
      </c>
    </row>
    <row r="2921" spans="1:28" ht="49" customHeight="1">
      <c r="A2921" s="156" t="str">
        <f>'Reported burning'!A2921</f>
        <v>309a</v>
      </c>
      <c r="B2921" s="156" t="str">
        <f>'Reported burning'!B2921</f>
        <v>309a.2</v>
      </c>
      <c r="C2921" s="156" t="str">
        <f>'Reported burning'!C2921</f>
        <v>Human, deliberate</v>
      </c>
      <c r="D2921" s="156" t="str">
        <f>'Reported burning'!D2921</f>
        <v>Pasture renewal</v>
      </c>
      <c r="E2921" s="156" t="str">
        <f>'Reported burning'!E2921</f>
        <v>Pastoralism, Migratory</v>
      </c>
      <c r="F2921" s="156" t="str">
        <f>'Reported burning'!F2921</f>
        <v>Grassland</v>
      </c>
      <c r="G2921" s="156" t="str">
        <f>'Reported burning'!G2921</f>
        <v>Grassland</v>
      </c>
      <c r="H2921" s="156" t="str">
        <f>'Reported burning'!H2921</f>
        <v>Presence</v>
      </c>
      <c r="I2921" s="5"/>
      <c r="J2921" s="21"/>
      <c r="K2921" s="103"/>
      <c r="L2921" s="21"/>
      <c r="M2921" s="21"/>
      <c r="N2921" s="21"/>
      <c r="O2921" s="21"/>
      <c r="P2921" s="21" t="s">
        <v>2376</v>
      </c>
      <c r="Q2921" s="21"/>
      <c r="R2921" s="21" t="s">
        <v>2374</v>
      </c>
      <c r="S2921" s="21"/>
      <c r="T2921" s="21"/>
      <c r="U2921" s="21"/>
      <c r="V2921" s="21"/>
      <c r="W2921" s="21" t="s">
        <v>2402</v>
      </c>
      <c r="X2921" s="204" t="s">
        <v>2276</v>
      </c>
      <c r="Y2921" s="204" t="s">
        <v>2276</v>
      </c>
      <c r="Z2921" s="204" t="s">
        <v>2276</v>
      </c>
      <c r="AA2921" s="4" t="s">
        <v>7893</v>
      </c>
      <c r="AB2921" s="204" t="s">
        <v>7894</v>
      </c>
    </row>
    <row r="2922" spans="1:28" ht="63.5" customHeight="1">
      <c r="A2922" s="156" t="str">
        <f>'Reported burning'!A2922</f>
        <v>310a</v>
      </c>
      <c r="B2922" s="156" t="str">
        <f>'Reported burning'!B2922</f>
        <v>310a.1</v>
      </c>
      <c r="C2922" s="156" t="str">
        <f>'Reported burning'!C2922</f>
        <v>Human, deliberate</v>
      </c>
      <c r="D2922" s="156" t="str">
        <f>'Reported burning'!D2922</f>
        <v>Conservation</v>
      </c>
      <c r="E2922" s="156" t="str">
        <f>'Reported burning'!E2922</f>
        <v>Biodiversity conservation</v>
      </c>
      <c r="F2922" s="156" t="str">
        <f>'Reported burning'!F2922</f>
        <v>ND</v>
      </c>
      <c r="G2922" s="156" t="str">
        <f>'Reported burning'!G2922</f>
        <v>ND</v>
      </c>
      <c r="H2922" s="156" t="str">
        <f>'Reported burning'!H2922</f>
        <v>Absence</v>
      </c>
      <c r="I2922" s="5"/>
      <c r="J2922" s="21" t="s">
        <v>2364</v>
      </c>
      <c r="K2922" s="21" t="s">
        <v>2364</v>
      </c>
      <c r="L2922" s="21" t="s">
        <v>2364</v>
      </c>
      <c r="M2922" s="21" t="s">
        <v>2364</v>
      </c>
      <c r="N2922" s="21" t="s">
        <v>2364</v>
      </c>
      <c r="O2922" s="21" t="s">
        <v>2364</v>
      </c>
      <c r="P2922" s="21" t="s">
        <v>2364</v>
      </c>
      <c r="Q2922" s="21" t="s">
        <v>2364</v>
      </c>
      <c r="R2922" s="21" t="s">
        <v>2364</v>
      </c>
      <c r="S2922" s="21" t="s">
        <v>2364</v>
      </c>
      <c r="T2922" s="21" t="s">
        <v>2364</v>
      </c>
      <c r="U2922" s="21" t="s">
        <v>2364</v>
      </c>
      <c r="V2922" s="21" t="s">
        <v>2364</v>
      </c>
      <c r="W2922" s="204" t="s">
        <v>2276</v>
      </c>
      <c r="X2922" s="204" t="s">
        <v>2276</v>
      </c>
      <c r="Y2922" s="204" t="s">
        <v>2276</v>
      </c>
      <c r="Z2922" s="204" t="s">
        <v>2276</v>
      </c>
      <c r="AA2922" s="204"/>
      <c r="AB2922" s="204"/>
    </row>
    <row r="2923" spans="1:28" ht="63.5" customHeight="1">
      <c r="A2923" s="156" t="str">
        <f>'Reported burning'!A2923</f>
        <v>310a</v>
      </c>
      <c r="B2923" s="156" t="str">
        <f>'Reported burning'!B2923</f>
        <v>310a.2</v>
      </c>
      <c r="C2923" s="156" t="str">
        <f>'Reported burning'!C2923</f>
        <v>Human, deliberate</v>
      </c>
      <c r="D2923" s="156" t="str">
        <f>'Reported burning'!D2923</f>
        <v>Pasture renewal</v>
      </c>
      <c r="E2923" s="156" t="str">
        <f>'Reported burning'!E2923</f>
        <v>Cattle, Extensive</v>
      </c>
      <c r="F2923" s="156" t="str">
        <f>'Reported burning'!F2923</f>
        <v>ND</v>
      </c>
      <c r="G2923" s="156" t="str">
        <f>'Reported burning'!G2923</f>
        <v>ND</v>
      </c>
      <c r="H2923" s="156" t="str">
        <f>'Reported burning'!H2923</f>
        <v>Absence</v>
      </c>
      <c r="I2923" s="5"/>
      <c r="J2923" s="21" t="s">
        <v>2364</v>
      </c>
      <c r="K2923" s="21" t="s">
        <v>2364</v>
      </c>
      <c r="L2923" s="21" t="s">
        <v>2364</v>
      </c>
      <c r="M2923" s="21" t="s">
        <v>2364</v>
      </c>
      <c r="N2923" s="21" t="s">
        <v>2364</v>
      </c>
      <c r="O2923" s="21" t="s">
        <v>2364</v>
      </c>
      <c r="P2923" s="21" t="s">
        <v>2364</v>
      </c>
      <c r="Q2923" s="21" t="s">
        <v>2364</v>
      </c>
      <c r="R2923" s="21" t="s">
        <v>2364</v>
      </c>
      <c r="S2923" s="21" t="s">
        <v>2364</v>
      </c>
      <c r="T2923" s="21" t="s">
        <v>2364</v>
      </c>
      <c r="U2923" s="21" t="s">
        <v>2364</v>
      </c>
      <c r="V2923" s="21" t="s">
        <v>2364</v>
      </c>
      <c r="W2923" s="204" t="s">
        <v>2276</v>
      </c>
      <c r="X2923" s="204" t="s">
        <v>2276</v>
      </c>
      <c r="Y2923" s="204" t="s">
        <v>2276</v>
      </c>
      <c r="Z2923" s="204" t="s">
        <v>2276</v>
      </c>
      <c r="AA2923" s="204"/>
      <c r="AB2923" s="204"/>
    </row>
    <row r="2924" spans="1:28" ht="28" customHeight="1">
      <c r="A2924" s="156" t="str">
        <f>'Reported burning'!A2924</f>
        <v>310b</v>
      </c>
      <c r="B2924" s="156" t="str">
        <f>'Reported burning'!B2924</f>
        <v>310b.1</v>
      </c>
      <c r="C2924" s="156" t="str">
        <f>'Reported burning'!C2924</f>
        <v>Unknown</v>
      </c>
      <c r="D2924" s="156" t="str">
        <f>'Reported burning'!D2924</f>
        <v>ND</v>
      </c>
      <c r="E2924" s="156" t="str">
        <f>'Reported burning'!E2924</f>
        <v>ND</v>
      </c>
      <c r="F2924" s="156" t="str">
        <f>'Reported burning'!F2924</f>
        <v>ND</v>
      </c>
      <c r="G2924" s="156" t="str">
        <f>'Reported burning'!G2924</f>
        <v>Shrubland (Mixed forest &amp; grassland)</v>
      </c>
      <c r="H2924" s="156" t="str">
        <f>'Reported burning'!H2924</f>
        <v>Presence</v>
      </c>
      <c r="I2924" s="5"/>
      <c r="J2924" s="204" t="s">
        <v>2276</v>
      </c>
      <c r="K2924" s="204" t="s">
        <v>2276</v>
      </c>
      <c r="L2924" s="204" t="s">
        <v>2276</v>
      </c>
      <c r="M2924" s="204" t="s">
        <v>2276</v>
      </c>
      <c r="N2924" s="21" t="s">
        <v>2382</v>
      </c>
      <c r="O2924" s="204" t="s">
        <v>2276</v>
      </c>
      <c r="P2924" s="204" t="s">
        <v>2276</v>
      </c>
      <c r="Q2924" s="204" t="s">
        <v>2276</v>
      </c>
      <c r="R2924" s="204" t="s">
        <v>2276</v>
      </c>
      <c r="S2924" s="204" t="s">
        <v>2276</v>
      </c>
      <c r="T2924" s="204" t="s">
        <v>2276</v>
      </c>
      <c r="U2924" s="204" t="s">
        <v>2276</v>
      </c>
      <c r="V2924" s="204" t="s">
        <v>2276</v>
      </c>
      <c r="W2924" s="204" t="s">
        <v>2276</v>
      </c>
      <c r="X2924" s="204" t="s">
        <v>2276</v>
      </c>
      <c r="Y2924" s="204" t="s">
        <v>2276</v>
      </c>
      <c r="Z2924" s="204" t="s">
        <v>2276</v>
      </c>
      <c r="AA2924" s="204"/>
      <c r="AB2924" s="204"/>
    </row>
    <row r="2925" spans="1:28" ht="28" customHeight="1">
      <c r="A2925" s="156" t="str">
        <f>'Reported burning'!A2925</f>
        <v>311a</v>
      </c>
      <c r="B2925" s="156" t="str">
        <f>'Reported burning'!B2925</f>
        <v>311a.1</v>
      </c>
      <c r="C2925" s="156" t="str">
        <f>'Reported burning'!C2925</f>
        <v>Human, deliberate</v>
      </c>
      <c r="D2925" s="156" t="str">
        <f>'Reported burning'!D2925</f>
        <v>Conservation</v>
      </c>
      <c r="E2925" s="156" t="str">
        <f>'Reported burning'!E2925</f>
        <v>Biodiversity conservation</v>
      </c>
      <c r="F2925" s="156" t="str">
        <f>'Reported burning'!F2925</f>
        <v>Shrubland (Mixed forest &amp; grassland)</v>
      </c>
      <c r="G2925" s="156" t="str">
        <f>'Reported burning'!G2925</f>
        <v>Shrubland (Mixed forest &amp; grassland)</v>
      </c>
      <c r="H2925" s="156" t="str">
        <f>'Reported burning'!H2925</f>
        <v>Presence</v>
      </c>
      <c r="I2925" s="5"/>
      <c r="J2925" s="204" t="s">
        <v>2276</v>
      </c>
      <c r="K2925" s="204" t="s">
        <v>2276</v>
      </c>
      <c r="L2925" s="204" t="s">
        <v>2276</v>
      </c>
      <c r="M2925" s="204" t="s">
        <v>2276</v>
      </c>
      <c r="N2925" s="204" t="s">
        <v>2276</v>
      </c>
      <c r="O2925" s="204" t="s">
        <v>2276</v>
      </c>
      <c r="P2925" s="204" t="s">
        <v>2276</v>
      </c>
      <c r="Q2925" s="204" t="s">
        <v>2276</v>
      </c>
      <c r="R2925" s="204" t="s">
        <v>2276</v>
      </c>
      <c r="S2925" s="204" t="s">
        <v>2276</v>
      </c>
      <c r="T2925" s="204" t="s">
        <v>2276</v>
      </c>
      <c r="U2925" s="204" t="s">
        <v>2276</v>
      </c>
      <c r="V2925" s="204" t="s">
        <v>2276</v>
      </c>
      <c r="W2925" s="204" t="s">
        <v>2276</v>
      </c>
      <c r="X2925" s="204" t="s">
        <v>425</v>
      </c>
      <c r="Y2925" s="204" t="s">
        <v>68</v>
      </c>
      <c r="Z2925" s="204" t="s">
        <v>2655</v>
      </c>
      <c r="AA2925" s="204" t="s">
        <v>7926</v>
      </c>
      <c r="AB2925" s="204"/>
    </row>
    <row r="2926" spans="1:28" ht="28" customHeight="1">
      <c r="A2926" s="156" t="str">
        <f>'Reported burning'!A2926</f>
        <v>311b</v>
      </c>
      <c r="B2926" s="156" t="str">
        <f>'Reported burning'!B2926</f>
        <v>311b.1</v>
      </c>
      <c r="C2926" s="156" t="str">
        <f>'Reported burning'!C2926</f>
        <v>Human, deliberate</v>
      </c>
      <c r="D2926" s="156" t="str">
        <f>'Reported burning'!D2926</f>
        <v>Conservation</v>
      </c>
      <c r="E2926" s="156" t="str">
        <f>'Reported burning'!E2926</f>
        <v>Biodiversity conservation</v>
      </c>
      <c r="F2926" s="156" t="str">
        <f>'Reported burning'!F2926</f>
        <v>Shrubland (Mixed forest &amp; grassland)</v>
      </c>
      <c r="G2926" s="156" t="str">
        <f>'Reported burning'!G2926</f>
        <v>Shrubland (Mixed forest &amp; grassland)</v>
      </c>
      <c r="H2926" s="156" t="str">
        <f>'Reported burning'!H2926</f>
        <v>Presence</v>
      </c>
      <c r="I2926" s="5"/>
      <c r="J2926" s="204" t="s">
        <v>2276</v>
      </c>
      <c r="K2926" s="204" t="s">
        <v>2276</v>
      </c>
      <c r="L2926" s="204" t="s">
        <v>2276</v>
      </c>
      <c r="M2926" s="204" t="s">
        <v>2276</v>
      </c>
      <c r="N2926" s="204" t="s">
        <v>2276</v>
      </c>
      <c r="O2926" s="204" t="s">
        <v>2276</v>
      </c>
      <c r="P2926" s="204" t="s">
        <v>2276</v>
      </c>
      <c r="Q2926" s="204" t="s">
        <v>2276</v>
      </c>
      <c r="R2926" s="204" t="s">
        <v>2276</v>
      </c>
      <c r="S2926" s="204" t="s">
        <v>2276</v>
      </c>
      <c r="T2926" s="204" t="s">
        <v>2276</v>
      </c>
      <c r="U2926" s="204" t="s">
        <v>2276</v>
      </c>
      <c r="V2926" s="204" t="s">
        <v>2276</v>
      </c>
      <c r="W2926" s="204" t="s">
        <v>2276</v>
      </c>
      <c r="X2926" s="204" t="s">
        <v>425</v>
      </c>
      <c r="Y2926" s="204" t="s">
        <v>68</v>
      </c>
      <c r="Z2926" s="204" t="s">
        <v>2655</v>
      </c>
      <c r="AA2926" s="204" t="s">
        <v>7926</v>
      </c>
      <c r="AB2926" s="204"/>
    </row>
    <row r="2927" spans="1:28" ht="33.5" customHeight="1">
      <c r="A2927" s="156" t="str">
        <f>'Reported burning'!A2927</f>
        <v>311c</v>
      </c>
      <c r="B2927" s="156" t="str">
        <f>'Reported burning'!B2927</f>
        <v>311c.1</v>
      </c>
      <c r="C2927" s="156" t="str">
        <f>'Reported burning'!C2927</f>
        <v>Human, deliberate</v>
      </c>
      <c r="D2927" s="156" t="str">
        <f>'Reported burning'!D2927</f>
        <v>Conservation</v>
      </c>
      <c r="E2927" s="156" t="str">
        <f>'Reported burning'!E2927</f>
        <v>Biodiversity conservation</v>
      </c>
      <c r="F2927" s="156" t="str">
        <f>'Reported burning'!F2927</f>
        <v>Shrubland (Mixed forest &amp; grassland)</v>
      </c>
      <c r="G2927" s="156" t="str">
        <f>'Reported burning'!G2927</f>
        <v>Shrubland (Mixed forest &amp; grassland)</v>
      </c>
      <c r="H2927" s="156" t="str">
        <f>'Reported burning'!H2927</f>
        <v>Presence</v>
      </c>
      <c r="I2927" s="5"/>
      <c r="J2927" s="204" t="s">
        <v>2276</v>
      </c>
      <c r="K2927" s="204" t="s">
        <v>2276</v>
      </c>
      <c r="L2927" s="204" t="s">
        <v>2276</v>
      </c>
      <c r="M2927" s="204" t="s">
        <v>2276</v>
      </c>
      <c r="N2927" s="204" t="s">
        <v>2276</v>
      </c>
      <c r="O2927" s="204" t="s">
        <v>2276</v>
      </c>
      <c r="P2927" s="204" t="s">
        <v>2276</v>
      </c>
      <c r="Q2927" s="204" t="s">
        <v>2276</v>
      </c>
      <c r="R2927" s="204" t="s">
        <v>2276</v>
      </c>
      <c r="S2927" s="204" t="s">
        <v>2276</v>
      </c>
      <c r="T2927" s="204" t="s">
        <v>2276</v>
      </c>
      <c r="U2927" s="204" t="s">
        <v>2276</v>
      </c>
      <c r="V2927" s="204" t="s">
        <v>2276</v>
      </c>
      <c r="W2927" s="204" t="s">
        <v>2276</v>
      </c>
      <c r="X2927" s="204" t="s">
        <v>425</v>
      </c>
      <c r="Y2927" s="204" t="s">
        <v>68</v>
      </c>
      <c r="Z2927" s="204" t="s">
        <v>2655</v>
      </c>
      <c r="AA2927" s="204" t="s">
        <v>7926</v>
      </c>
      <c r="AB2927" s="204"/>
    </row>
    <row r="2928" spans="1:28" ht="33.5" customHeight="1">
      <c r="A2928" s="156" t="str">
        <f>'Reported burning'!A2928</f>
        <v>311d</v>
      </c>
      <c r="B2928" s="156" t="str">
        <f>'Reported burning'!B2928</f>
        <v>311d.1</v>
      </c>
      <c r="C2928" s="156" t="str">
        <f>'Reported burning'!C2928</f>
        <v>Human, deliberate</v>
      </c>
      <c r="D2928" s="156" t="str">
        <f>'Reported burning'!D2928</f>
        <v>Conservation</v>
      </c>
      <c r="E2928" s="156" t="str">
        <f>'Reported burning'!E2928</f>
        <v>Biodiversity conservation</v>
      </c>
      <c r="F2928" s="156" t="str">
        <f>'Reported burning'!F2928</f>
        <v>Shrubland (Mixed forest &amp; grassland)</v>
      </c>
      <c r="G2928" s="156" t="str">
        <f>'Reported burning'!G2928</f>
        <v>Shrubland (Mixed forest &amp; grassland)</v>
      </c>
      <c r="H2928" s="156" t="str">
        <f>'Reported burning'!H2928</f>
        <v>Presence</v>
      </c>
      <c r="I2928" s="5"/>
      <c r="J2928" s="204" t="s">
        <v>2276</v>
      </c>
      <c r="K2928" s="204" t="s">
        <v>2276</v>
      </c>
      <c r="L2928" s="204" t="s">
        <v>2276</v>
      </c>
      <c r="M2928" s="204" t="s">
        <v>2276</v>
      </c>
      <c r="N2928" s="204" t="s">
        <v>2276</v>
      </c>
      <c r="O2928" s="204" t="s">
        <v>2276</v>
      </c>
      <c r="P2928" s="204" t="s">
        <v>2276</v>
      </c>
      <c r="Q2928" s="204" t="s">
        <v>2276</v>
      </c>
      <c r="R2928" s="204" t="s">
        <v>2276</v>
      </c>
      <c r="S2928" s="204" t="s">
        <v>2276</v>
      </c>
      <c r="T2928" s="204" t="s">
        <v>2276</v>
      </c>
      <c r="U2928" s="204" t="s">
        <v>2276</v>
      </c>
      <c r="V2928" s="204" t="s">
        <v>2276</v>
      </c>
      <c r="W2928" s="204" t="s">
        <v>2276</v>
      </c>
      <c r="X2928" s="204" t="s">
        <v>425</v>
      </c>
      <c r="Y2928" s="204" t="s">
        <v>68</v>
      </c>
      <c r="Z2928" s="204" t="s">
        <v>2655</v>
      </c>
      <c r="AA2928" s="204" t="s">
        <v>7926</v>
      </c>
      <c r="AB2928" s="204"/>
    </row>
    <row r="2929" spans="1:28" ht="33.5" customHeight="1">
      <c r="A2929" s="156" t="str">
        <f>'Reported burning'!A2929</f>
        <v>311e</v>
      </c>
      <c r="B2929" s="156" t="str">
        <f>'Reported burning'!B2929</f>
        <v>311e.1</v>
      </c>
      <c r="C2929" s="156" t="str">
        <f>'Reported burning'!C2929</f>
        <v>Human, deliberate</v>
      </c>
      <c r="D2929" s="156" t="str">
        <f>'Reported burning'!D2929</f>
        <v>Pasture renewal</v>
      </c>
      <c r="E2929" s="156" t="str">
        <f>'Reported burning'!E2929</f>
        <v>Cattle, Intensive</v>
      </c>
      <c r="F2929" s="156" t="str">
        <f>'Reported burning'!F2929</f>
        <v>Pasture</v>
      </c>
      <c r="G2929" s="156" t="str">
        <f>'Reported burning'!G2929</f>
        <v>Pasture</v>
      </c>
      <c r="H2929" s="156" t="str">
        <f>'Reported burning'!H2929</f>
        <v>Presence</v>
      </c>
      <c r="I2929" s="5"/>
      <c r="J2929" s="204" t="s">
        <v>2276</v>
      </c>
      <c r="K2929" s="204" t="s">
        <v>2276</v>
      </c>
      <c r="L2929" s="204" t="s">
        <v>2276</v>
      </c>
      <c r="M2929" s="204" t="s">
        <v>2276</v>
      </c>
      <c r="N2929" s="204" t="s">
        <v>2276</v>
      </c>
      <c r="O2929" s="204" t="s">
        <v>2276</v>
      </c>
      <c r="P2929" s="204" t="s">
        <v>2276</v>
      </c>
      <c r="Q2929" s="204" t="s">
        <v>2276</v>
      </c>
      <c r="R2929" s="204" t="s">
        <v>2276</v>
      </c>
      <c r="S2929" s="204" t="s">
        <v>2276</v>
      </c>
      <c r="T2929" s="204" t="s">
        <v>2276</v>
      </c>
      <c r="U2929" s="204" t="s">
        <v>2276</v>
      </c>
      <c r="V2929" s="204" t="s">
        <v>2276</v>
      </c>
      <c r="W2929" s="204" t="s">
        <v>2276</v>
      </c>
      <c r="X2929" s="204" t="s">
        <v>425</v>
      </c>
      <c r="Y2929" s="204" t="s">
        <v>68</v>
      </c>
      <c r="Z2929" s="204" t="s">
        <v>2655</v>
      </c>
      <c r="AA2929" s="204" t="s">
        <v>7926</v>
      </c>
      <c r="AB2929" s="204"/>
    </row>
    <row r="2930" spans="1:28" ht="33.5" customHeight="1">
      <c r="A2930" s="156" t="str">
        <f>'Reported burning'!A2930</f>
        <v>311f</v>
      </c>
      <c r="B2930" s="156" t="str">
        <f>'Reported burning'!B2930</f>
        <v>311f.1</v>
      </c>
      <c r="C2930" s="156" t="str">
        <f>'Reported burning'!C2930</f>
        <v>Human, deliberate</v>
      </c>
      <c r="D2930" s="156" t="str">
        <f>'Reported burning'!D2930</f>
        <v>Pasture renewal</v>
      </c>
      <c r="E2930" s="156" t="str">
        <f>'Reported burning'!E2930</f>
        <v>Cattle, Intensive</v>
      </c>
      <c r="F2930" s="156" t="str">
        <f>'Reported burning'!F2930</f>
        <v>Pasture</v>
      </c>
      <c r="G2930" s="156" t="str">
        <f>'Reported burning'!G2930</f>
        <v>Pasture</v>
      </c>
      <c r="H2930" s="156" t="str">
        <f>'Reported burning'!H2930</f>
        <v>Presence</v>
      </c>
      <c r="I2930" s="5"/>
      <c r="J2930" s="204" t="s">
        <v>2276</v>
      </c>
      <c r="K2930" s="204" t="s">
        <v>2276</v>
      </c>
      <c r="L2930" s="204" t="s">
        <v>2276</v>
      </c>
      <c r="M2930" s="204" t="s">
        <v>2276</v>
      </c>
      <c r="N2930" s="204" t="s">
        <v>2276</v>
      </c>
      <c r="O2930" s="204" t="s">
        <v>2276</v>
      </c>
      <c r="P2930" s="204" t="s">
        <v>2276</v>
      </c>
      <c r="Q2930" s="204" t="s">
        <v>2276</v>
      </c>
      <c r="R2930" s="204" t="s">
        <v>2276</v>
      </c>
      <c r="S2930" s="204" t="s">
        <v>2276</v>
      </c>
      <c r="T2930" s="204" t="s">
        <v>2276</v>
      </c>
      <c r="U2930" s="204" t="s">
        <v>2276</v>
      </c>
      <c r="V2930" s="204" t="s">
        <v>2276</v>
      </c>
      <c r="W2930" s="204" t="s">
        <v>2276</v>
      </c>
      <c r="X2930" s="204" t="s">
        <v>425</v>
      </c>
      <c r="Y2930" s="204" t="s">
        <v>68</v>
      </c>
      <c r="Z2930" s="204" t="s">
        <v>2655</v>
      </c>
      <c r="AA2930" s="204" t="s">
        <v>7926</v>
      </c>
      <c r="AB2930" s="204"/>
    </row>
    <row r="2931" spans="1:28" ht="33.5" customHeight="1">
      <c r="A2931" s="156" t="str">
        <f>'Reported burning'!A2931</f>
        <v>311g</v>
      </c>
      <c r="B2931" s="156" t="str">
        <f>'Reported burning'!B2931</f>
        <v>311g.1</v>
      </c>
      <c r="C2931" s="156" t="str">
        <f>'Reported burning'!C2931</f>
        <v>Human, deliberate</v>
      </c>
      <c r="D2931" s="156" t="str">
        <f>'Reported burning'!D2931</f>
        <v>Pasture renewal</v>
      </c>
      <c r="E2931" s="156" t="str">
        <f>'Reported burning'!E2931</f>
        <v>Cattle, Intensive</v>
      </c>
      <c r="F2931" s="156" t="str">
        <f>'Reported burning'!F2931</f>
        <v>Pasture</v>
      </c>
      <c r="G2931" s="156" t="str">
        <f>'Reported burning'!G2931</f>
        <v>Pasture</v>
      </c>
      <c r="H2931" s="156" t="str">
        <f>'Reported burning'!H2931</f>
        <v>Presence</v>
      </c>
      <c r="I2931" s="5"/>
      <c r="J2931" s="204" t="s">
        <v>2276</v>
      </c>
      <c r="K2931" s="204" t="s">
        <v>2276</v>
      </c>
      <c r="L2931" s="204" t="s">
        <v>2276</v>
      </c>
      <c r="M2931" s="204" t="s">
        <v>2276</v>
      </c>
      <c r="N2931" s="204" t="s">
        <v>2276</v>
      </c>
      <c r="O2931" s="204" t="s">
        <v>2276</v>
      </c>
      <c r="P2931" s="204" t="s">
        <v>2276</v>
      </c>
      <c r="Q2931" s="204" t="s">
        <v>2276</v>
      </c>
      <c r="R2931" s="204" t="s">
        <v>2276</v>
      </c>
      <c r="S2931" s="204" t="s">
        <v>2276</v>
      </c>
      <c r="T2931" s="204" t="s">
        <v>2276</v>
      </c>
      <c r="U2931" s="204" t="s">
        <v>2276</v>
      </c>
      <c r="V2931" s="204" t="s">
        <v>2276</v>
      </c>
      <c r="W2931" s="204" t="s">
        <v>2276</v>
      </c>
      <c r="X2931" s="204" t="s">
        <v>425</v>
      </c>
      <c r="Y2931" s="204" t="s">
        <v>68</v>
      </c>
      <c r="Z2931" s="204" t="s">
        <v>2655</v>
      </c>
      <c r="AA2931" s="204" t="s">
        <v>7926</v>
      </c>
      <c r="AB2931" s="204"/>
    </row>
    <row r="2932" spans="1:28" ht="33.5" customHeight="1">
      <c r="A2932" s="156" t="str">
        <f>'Reported burning'!A2932</f>
        <v>311h</v>
      </c>
      <c r="B2932" s="156" t="str">
        <f>'Reported burning'!B2932</f>
        <v>311h.1</v>
      </c>
      <c r="C2932" s="156" t="str">
        <f>'Reported burning'!C2932</f>
        <v>Human, deliberate</v>
      </c>
      <c r="D2932" s="156" t="str">
        <f>'Reported burning'!D2932</f>
        <v>Pasture renewal</v>
      </c>
      <c r="E2932" s="156" t="str">
        <f>'Reported burning'!E2932</f>
        <v>Pastoralism, Migratory</v>
      </c>
      <c r="F2932" s="156" t="str">
        <f>'Reported burning'!F2932</f>
        <v>Shrubland (Mixed forest &amp; grassland)</v>
      </c>
      <c r="G2932" s="156" t="str">
        <f>'Reported burning'!G2932</f>
        <v>Shrubland (Mixed forest &amp; grassland)</v>
      </c>
      <c r="H2932" s="156" t="str">
        <f>'Reported burning'!H2932</f>
        <v>Absence</v>
      </c>
      <c r="I2932" s="5"/>
      <c r="J2932" s="21" t="s">
        <v>2364</v>
      </c>
      <c r="K2932" s="21" t="s">
        <v>2364</v>
      </c>
      <c r="L2932" s="21" t="s">
        <v>2364</v>
      </c>
      <c r="M2932" s="21" t="s">
        <v>2364</v>
      </c>
      <c r="N2932" s="21" t="s">
        <v>2364</v>
      </c>
      <c r="O2932" s="21" t="s">
        <v>2364</v>
      </c>
      <c r="P2932" s="21" t="s">
        <v>2364</v>
      </c>
      <c r="Q2932" s="21" t="s">
        <v>2364</v>
      </c>
      <c r="R2932" s="21" t="s">
        <v>2364</v>
      </c>
      <c r="S2932" s="21" t="s">
        <v>2364</v>
      </c>
      <c r="T2932" s="21" t="s">
        <v>2364</v>
      </c>
      <c r="U2932" s="21" t="s">
        <v>2364</v>
      </c>
      <c r="V2932" s="21" t="s">
        <v>2364</v>
      </c>
      <c r="W2932" s="204" t="s">
        <v>2276</v>
      </c>
      <c r="X2932" s="204" t="s">
        <v>2276</v>
      </c>
      <c r="Y2932" s="204" t="s">
        <v>2276</v>
      </c>
      <c r="Z2932" s="204" t="s">
        <v>2276</v>
      </c>
      <c r="AA2932" s="204"/>
      <c r="AB2932" s="204"/>
    </row>
    <row r="2933" spans="1:28" ht="33.5" customHeight="1">
      <c r="A2933" s="156" t="str">
        <f>'Reported burning'!A2933</f>
        <v>312a</v>
      </c>
      <c r="B2933" s="156" t="str">
        <f>'Reported burning'!B2933</f>
        <v>312a.1</v>
      </c>
      <c r="C2933" s="156" t="str">
        <f>'Reported burning'!C2933</f>
        <v>Human, deliberate</v>
      </c>
      <c r="D2933" s="156" t="str">
        <f>'Reported burning'!D2933</f>
        <v>Conservation</v>
      </c>
      <c r="E2933" s="156" t="str">
        <f>'Reported burning'!E2933</f>
        <v>Biodiversity conservation</v>
      </c>
      <c r="F2933" s="156" t="str">
        <f>'Reported burning'!F2933</f>
        <v>Shrubland (Mixed forest &amp; grassland)</v>
      </c>
      <c r="G2933" s="156" t="str">
        <f>'Reported burning'!G2933</f>
        <v>Shrubland (Mixed forest &amp; grassland)</v>
      </c>
      <c r="H2933" s="156" t="str">
        <f>'Reported burning'!H2933</f>
        <v>Absence</v>
      </c>
      <c r="I2933" s="5"/>
      <c r="J2933" s="21">
        <v>0</v>
      </c>
      <c r="K2933" s="21">
        <v>0</v>
      </c>
      <c r="L2933" s="21">
        <v>0</v>
      </c>
      <c r="M2933" s="21">
        <v>0</v>
      </c>
      <c r="N2933" s="21">
        <v>0</v>
      </c>
      <c r="O2933" s="21">
        <v>0</v>
      </c>
      <c r="P2933" s="21">
        <v>0</v>
      </c>
      <c r="Q2933" s="21">
        <v>0</v>
      </c>
      <c r="R2933" s="21">
        <v>0</v>
      </c>
      <c r="S2933" s="21">
        <v>0</v>
      </c>
      <c r="T2933" s="21">
        <v>0</v>
      </c>
      <c r="U2933" s="21">
        <v>0</v>
      </c>
      <c r="V2933" s="204" t="s">
        <v>2276</v>
      </c>
      <c r="W2933" s="204" t="s">
        <v>2276</v>
      </c>
      <c r="X2933" s="204" t="s">
        <v>2276</v>
      </c>
      <c r="Y2933" s="204" t="s">
        <v>2276</v>
      </c>
      <c r="Z2933" s="204" t="s">
        <v>2276</v>
      </c>
      <c r="AA2933" s="204"/>
      <c r="AB2933" s="204"/>
    </row>
    <row r="2934" spans="1:28" ht="37" customHeight="1">
      <c r="A2934" s="156" t="str">
        <f>'Reported burning'!A2934</f>
        <v>312a</v>
      </c>
      <c r="B2934" s="156" t="str">
        <f>'Reported burning'!B2934</f>
        <v>312a.2</v>
      </c>
      <c r="C2934" s="156" t="str">
        <f>'Reported burning'!C2934</f>
        <v>Human, deliberate</v>
      </c>
      <c r="D2934" s="156" t="str">
        <f>'Reported burning'!D2934</f>
        <v>Pasture renewal</v>
      </c>
      <c r="E2934" s="156" t="str">
        <f>'Reported burning'!E2934</f>
        <v>Cattle, Extensive</v>
      </c>
      <c r="F2934" s="156" t="str">
        <f>'Reported burning'!F2934</f>
        <v>Shrubland (Mixed forest &amp; grassland)</v>
      </c>
      <c r="G2934" s="156" t="str">
        <f>'Reported burning'!G2934</f>
        <v>Shrubland (Mixed forest &amp; grassland)</v>
      </c>
      <c r="H2934" s="156" t="str">
        <f>'Reported burning'!H2934</f>
        <v>Presence</v>
      </c>
      <c r="I2934" s="5"/>
      <c r="J2934" s="204" t="s">
        <v>2276</v>
      </c>
      <c r="K2934" s="204" t="s">
        <v>2276</v>
      </c>
      <c r="L2934" s="204" t="s">
        <v>2276</v>
      </c>
      <c r="M2934" s="204" t="s">
        <v>2276</v>
      </c>
      <c r="N2934" s="204" t="s">
        <v>2276</v>
      </c>
      <c r="O2934" s="204" t="s">
        <v>2276</v>
      </c>
      <c r="P2934" s="204" t="s">
        <v>2276</v>
      </c>
      <c r="Q2934" s="204" t="s">
        <v>2276</v>
      </c>
      <c r="R2934" s="204" t="s">
        <v>2276</v>
      </c>
      <c r="S2934" s="204" t="s">
        <v>2276</v>
      </c>
      <c r="T2934" s="204" t="s">
        <v>2276</v>
      </c>
      <c r="U2934" s="204" t="s">
        <v>2276</v>
      </c>
      <c r="V2934" s="204" t="s">
        <v>2276</v>
      </c>
      <c r="W2934" s="21" t="s">
        <v>2375</v>
      </c>
      <c r="X2934" s="204" t="s">
        <v>2276</v>
      </c>
      <c r="Y2934" s="204" t="s">
        <v>2276</v>
      </c>
      <c r="Z2934" s="204" t="s">
        <v>2276</v>
      </c>
      <c r="AA2934" s="204"/>
      <c r="AB2934" s="204"/>
    </row>
    <row r="2935" spans="1:28" ht="35" customHeight="1">
      <c r="A2935" s="156" t="str">
        <f>'Reported burning'!A2935</f>
        <v>312a</v>
      </c>
      <c r="B2935" s="156" t="str">
        <f>'Reported burning'!B2935</f>
        <v>312a.3</v>
      </c>
      <c r="C2935" s="156" t="str">
        <f>'Reported burning'!C2935</f>
        <v>All</v>
      </c>
      <c r="D2935" s="156" t="str">
        <f>'Reported burning'!D2935</f>
        <v>All</v>
      </c>
      <c r="E2935" s="156" t="str">
        <f>'Reported burning'!E2935</f>
        <v>All</v>
      </c>
      <c r="F2935" s="156" t="str">
        <f>'Reported burning'!F2935</f>
        <v>ND</v>
      </c>
      <c r="G2935" s="156" t="str">
        <f>'Reported burning'!G2935</f>
        <v>Shrubland (Mixed forest &amp; grassland)</v>
      </c>
      <c r="H2935" s="156" t="str">
        <f>'Reported burning'!H2935</f>
        <v>Presence</v>
      </c>
      <c r="I2935" s="5"/>
      <c r="J2935" s="204" t="s">
        <v>2276</v>
      </c>
      <c r="K2935" s="204" t="s">
        <v>2276</v>
      </c>
      <c r="L2935" s="204" t="s">
        <v>2276</v>
      </c>
      <c r="M2935" s="204" t="s">
        <v>2276</v>
      </c>
      <c r="N2935" s="204" t="s">
        <v>2276</v>
      </c>
      <c r="O2935" s="204" t="s">
        <v>2276</v>
      </c>
      <c r="P2935" s="204" t="s">
        <v>2276</v>
      </c>
      <c r="Q2935" s="204" t="s">
        <v>2276</v>
      </c>
      <c r="R2935" s="204" t="s">
        <v>2276</v>
      </c>
      <c r="S2935" s="204" t="s">
        <v>2276</v>
      </c>
      <c r="T2935" s="204" t="s">
        <v>2276</v>
      </c>
      <c r="U2935" s="204" t="s">
        <v>2276</v>
      </c>
      <c r="V2935" s="204" t="s">
        <v>2276</v>
      </c>
      <c r="W2935" s="204" t="s">
        <v>2276</v>
      </c>
      <c r="X2935" s="204" t="s">
        <v>2276</v>
      </c>
      <c r="Y2935" s="204" t="s">
        <v>2276</v>
      </c>
      <c r="Z2935" s="204" t="s">
        <v>2276</v>
      </c>
      <c r="AA2935" s="204"/>
      <c r="AB2935" s="204"/>
    </row>
    <row r="2936" spans="1:28" ht="41" customHeight="1">
      <c r="A2936" s="156" t="str">
        <f>'Reported burning'!A2936</f>
        <v>312a</v>
      </c>
      <c r="B2936" s="156" t="str">
        <f>'Reported burning'!B2936</f>
        <v>312a.4</v>
      </c>
      <c r="C2936" s="156" t="str">
        <f>'Reported burning'!C2936</f>
        <v>Human, accidental</v>
      </c>
      <c r="D2936" s="156" t="str">
        <f>'Reported burning'!D2936</f>
        <v>ND</v>
      </c>
      <c r="E2936" s="156" t="str">
        <f>'Reported burning'!E2936</f>
        <v>ND</v>
      </c>
      <c r="F2936" s="156" t="str">
        <f>'Reported burning'!F2936</f>
        <v>ND</v>
      </c>
      <c r="G2936" s="156" t="str">
        <f>'Reported burning'!G2936</f>
        <v>Shrubland (Mixed forest &amp; grassland)</v>
      </c>
      <c r="H2936" s="156" t="str">
        <f>'Reported burning'!H2936</f>
        <v>Presence</v>
      </c>
      <c r="I2936" s="5"/>
      <c r="J2936" s="204" t="s">
        <v>2276</v>
      </c>
      <c r="K2936" s="204" t="s">
        <v>2276</v>
      </c>
      <c r="L2936" s="204" t="s">
        <v>2276</v>
      </c>
      <c r="M2936" s="204" t="s">
        <v>2276</v>
      </c>
      <c r="N2936" s="204" t="s">
        <v>2276</v>
      </c>
      <c r="O2936" s="204" t="s">
        <v>2276</v>
      </c>
      <c r="P2936" s="204" t="s">
        <v>2276</v>
      </c>
      <c r="Q2936" s="204" t="s">
        <v>2276</v>
      </c>
      <c r="R2936" s="204" t="s">
        <v>2276</v>
      </c>
      <c r="S2936" s="204" t="s">
        <v>2276</v>
      </c>
      <c r="T2936" s="204" t="s">
        <v>2276</v>
      </c>
      <c r="U2936" s="204" t="s">
        <v>2276</v>
      </c>
      <c r="V2936" s="204" t="s">
        <v>2276</v>
      </c>
      <c r="W2936" s="204" t="s">
        <v>2276</v>
      </c>
      <c r="X2936" s="204" t="s">
        <v>2276</v>
      </c>
      <c r="Y2936" s="204" t="s">
        <v>2276</v>
      </c>
      <c r="Z2936" s="204" t="s">
        <v>2276</v>
      </c>
      <c r="AA2936" s="204"/>
      <c r="AB2936" s="204"/>
    </row>
    <row r="2937" spans="1:28" ht="41" customHeight="1">
      <c r="A2937" s="156" t="str">
        <f>'Reported burning'!A2937</f>
        <v>313a</v>
      </c>
      <c r="B2937" s="156" t="str">
        <f>'Reported burning'!B2937</f>
        <v>313a.1</v>
      </c>
      <c r="C2937" s="156" t="str">
        <f>'Reported burning'!C2937</f>
        <v>All</v>
      </c>
      <c r="D2937" s="156" t="str">
        <f>'Reported burning'!D2937</f>
        <v>ND</v>
      </c>
      <c r="E2937" s="156" t="str">
        <f>'Reported burning'!E2937</f>
        <v>ND</v>
      </c>
      <c r="F2937" s="156" t="str">
        <f>'Reported burning'!F2937</f>
        <v>ND</v>
      </c>
      <c r="G2937" s="156" t="str">
        <f>'Reported burning'!G2937</f>
        <v>ND</v>
      </c>
      <c r="H2937" s="156" t="str">
        <f>'Reported burning'!H2937</f>
        <v>Presence</v>
      </c>
      <c r="I2937" s="5"/>
      <c r="J2937" s="204" t="s">
        <v>2276</v>
      </c>
      <c r="K2937" s="204" t="s">
        <v>2276</v>
      </c>
      <c r="L2937" s="204" t="s">
        <v>2276</v>
      </c>
      <c r="M2937" s="204" t="s">
        <v>2276</v>
      </c>
      <c r="N2937" s="204" t="s">
        <v>2276</v>
      </c>
      <c r="O2937" s="204" t="s">
        <v>2276</v>
      </c>
      <c r="P2937" s="204" t="s">
        <v>2276</v>
      </c>
      <c r="Q2937" s="204" t="s">
        <v>2276</v>
      </c>
      <c r="R2937" s="204" t="s">
        <v>2276</v>
      </c>
      <c r="S2937" s="204" t="s">
        <v>2276</v>
      </c>
      <c r="T2937" s="204" t="s">
        <v>2276</v>
      </c>
      <c r="U2937" s="204" t="s">
        <v>2276</v>
      </c>
      <c r="V2937" s="21" t="s">
        <v>2527</v>
      </c>
      <c r="W2937" s="21" t="s">
        <v>2846</v>
      </c>
      <c r="X2937" s="204" t="s">
        <v>38</v>
      </c>
      <c r="Y2937" s="204" t="s">
        <v>425</v>
      </c>
      <c r="Z2937" s="204" t="s">
        <v>64</v>
      </c>
      <c r="AA2937" s="204"/>
      <c r="AB2937" s="204"/>
    </row>
    <row r="2938" spans="1:28" ht="41" customHeight="1">
      <c r="A2938" s="156" t="str">
        <f>'Reported burning'!A2938</f>
        <v>313a</v>
      </c>
      <c r="B2938" s="156" t="str">
        <f>'Reported burning'!B2938</f>
        <v>313a.2</v>
      </c>
      <c r="C2938" s="156" t="str">
        <f>'Reported burning'!C2938</f>
        <v>All</v>
      </c>
      <c r="D2938" s="156" t="str">
        <f>'Reported burning'!D2938</f>
        <v>ND</v>
      </c>
      <c r="E2938" s="156" t="str">
        <f>'Reported burning'!E2938</f>
        <v>ND</v>
      </c>
      <c r="F2938" s="156" t="str">
        <f>'Reported burning'!F2938</f>
        <v>ND</v>
      </c>
      <c r="G2938" s="156" t="str">
        <f>'Reported burning'!G2938</f>
        <v>ND</v>
      </c>
      <c r="H2938" s="156" t="str">
        <f>'Reported burning'!H2938</f>
        <v>Presence</v>
      </c>
      <c r="I2938" s="5"/>
      <c r="J2938" s="204" t="s">
        <v>2276</v>
      </c>
      <c r="K2938" s="204" t="s">
        <v>2276</v>
      </c>
      <c r="L2938" s="204" t="s">
        <v>2276</v>
      </c>
      <c r="M2938" s="204" t="s">
        <v>2276</v>
      </c>
      <c r="N2938" s="204" t="s">
        <v>2276</v>
      </c>
      <c r="O2938" s="204" t="s">
        <v>2276</v>
      </c>
      <c r="P2938" s="204" t="s">
        <v>2276</v>
      </c>
      <c r="Q2938" s="204" t="s">
        <v>2276</v>
      </c>
      <c r="R2938" s="204" t="s">
        <v>2276</v>
      </c>
      <c r="S2938" s="204" t="s">
        <v>2276</v>
      </c>
      <c r="T2938" s="204" t="s">
        <v>2276</v>
      </c>
      <c r="U2938" s="204" t="s">
        <v>2276</v>
      </c>
      <c r="V2938" s="21" t="s">
        <v>2527</v>
      </c>
      <c r="W2938" s="21" t="s">
        <v>2846</v>
      </c>
      <c r="X2938" s="204" t="s">
        <v>38</v>
      </c>
      <c r="Y2938" s="204" t="s">
        <v>425</v>
      </c>
      <c r="Z2938" s="204" t="s">
        <v>64</v>
      </c>
      <c r="AA2938" s="204"/>
      <c r="AB2938" s="204"/>
    </row>
    <row r="2939" spans="1:28" ht="39" customHeight="1">
      <c r="A2939" s="156" t="str">
        <f>'Reported burning'!A2939</f>
        <v>313a</v>
      </c>
      <c r="B2939" s="156" t="str">
        <f>'Reported burning'!B2939</f>
        <v>313a.3</v>
      </c>
      <c r="C2939" s="156" t="str">
        <f>'Reported burning'!C2939</f>
        <v>All</v>
      </c>
      <c r="D2939" s="156" t="str">
        <f>'Reported burning'!D2939</f>
        <v>ND</v>
      </c>
      <c r="E2939" s="156" t="str">
        <f>'Reported burning'!E2939</f>
        <v>ND</v>
      </c>
      <c r="F2939" s="156" t="str">
        <f>'Reported burning'!F2939</f>
        <v>ND</v>
      </c>
      <c r="G2939" s="156" t="str">
        <f>'Reported burning'!G2939</f>
        <v>ND</v>
      </c>
      <c r="H2939" s="156" t="str">
        <f>'Reported burning'!H2939</f>
        <v>Presence</v>
      </c>
      <c r="I2939" s="5"/>
      <c r="J2939" s="204" t="s">
        <v>2276</v>
      </c>
      <c r="K2939" s="204" t="s">
        <v>2276</v>
      </c>
      <c r="L2939" s="204" t="s">
        <v>2276</v>
      </c>
      <c r="M2939" s="204" t="s">
        <v>2276</v>
      </c>
      <c r="N2939" s="204" t="s">
        <v>2276</v>
      </c>
      <c r="O2939" s="204" t="s">
        <v>2276</v>
      </c>
      <c r="P2939" s="204" t="s">
        <v>2276</v>
      </c>
      <c r="Q2939" s="204" t="s">
        <v>2276</v>
      </c>
      <c r="R2939" s="204" t="s">
        <v>2276</v>
      </c>
      <c r="S2939" s="204" t="s">
        <v>2276</v>
      </c>
      <c r="T2939" s="204" t="s">
        <v>2276</v>
      </c>
      <c r="U2939" s="204" t="s">
        <v>2276</v>
      </c>
      <c r="V2939" s="21" t="s">
        <v>2527</v>
      </c>
      <c r="W2939" s="21" t="s">
        <v>2404</v>
      </c>
      <c r="X2939" s="204" t="s">
        <v>38</v>
      </c>
      <c r="Y2939" s="204" t="s">
        <v>425</v>
      </c>
      <c r="Z2939" s="204" t="s">
        <v>64</v>
      </c>
      <c r="AA2939" s="204"/>
      <c r="AB2939" s="204"/>
    </row>
    <row r="2940" spans="1:28" ht="39" customHeight="1">
      <c r="A2940" s="156" t="str">
        <f>'Reported burning'!A2940</f>
        <v>313a</v>
      </c>
      <c r="B2940" s="156" t="str">
        <f>'Reported burning'!B2940</f>
        <v>313a.4</v>
      </c>
      <c r="C2940" s="156" t="str">
        <f>'Reported burning'!C2940</f>
        <v>All</v>
      </c>
      <c r="D2940" s="156" t="str">
        <f>'Reported burning'!D2940</f>
        <v>ND</v>
      </c>
      <c r="E2940" s="156" t="str">
        <f>'Reported burning'!E2940</f>
        <v>ND</v>
      </c>
      <c r="F2940" s="156" t="str">
        <f>'Reported burning'!F2940</f>
        <v>ND</v>
      </c>
      <c r="G2940" s="156" t="str">
        <f>'Reported burning'!G2940</f>
        <v>ND</v>
      </c>
      <c r="H2940" s="156" t="str">
        <f>'Reported burning'!H2940</f>
        <v>Presence</v>
      </c>
      <c r="I2940" s="5"/>
      <c r="J2940" s="204" t="s">
        <v>2276</v>
      </c>
      <c r="K2940" s="204" t="s">
        <v>2276</v>
      </c>
      <c r="L2940" s="204" t="s">
        <v>2276</v>
      </c>
      <c r="M2940" s="204" t="s">
        <v>2276</v>
      </c>
      <c r="N2940" s="204" t="s">
        <v>2276</v>
      </c>
      <c r="O2940" s="204" t="s">
        <v>2276</v>
      </c>
      <c r="P2940" s="204" t="s">
        <v>2276</v>
      </c>
      <c r="Q2940" s="204" t="s">
        <v>2276</v>
      </c>
      <c r="R2940" s="204" t="s">
        <v>2276</v>
      </c>
      <c r="S2940" s="204" t="s">
        <v>2276</v>
      </c>
      <c r="T2940" s="204" t="s">
        <v>2276</v>
      </c>
      <c r="U2940" s="204" t="s">
        <v>2276</v>
      </c>
      <c r="V2940" s="21" t="s">
        <v>2527</v>
      </c>
      <c r="W2940" s="21" t="s">
        <v>2846</v>
      </c>
      <c r="X2940" s="204" t="s">
        <v>38</v>
      </c>
      <c r="Y2940" s="204" t="s">
        <v>425</v>
      </c>
      <c r="Z2940" s="204" t="s">
        <v>64</v>
      </c>
      <c r="AA2940" s="204"/>
      <c r="AB2940" s="204"/>
    </row>
    <row r="2941" spans="1:28" ht="39" customHeight="1">
      <c r="A2941" s="156" t="str">
        <f>'Reported burning'!A2941</f>
        <v>313a</v>
      </c>
      <c r="B2941" s="156" t="str">
        <f>'Reported burning'!B2941</f>
        <v>313a.5</v>
      </c>
      <c r="C2941" s="156" t="str">
        <f>'Reported burning'!C2941</f>
        <v>All</v>
      </c>
      <c r="D2941" s="156" t="str">
        <f>'Reported burning'!D2941</f>
        <v>ND</v>
      </c>
      <c r="E2941" s="156" t="str">
        <f>'Reported burning'!E2941</f>
        <v>ND</v>
      </c>
      <c r="F2941" s="156" t="str">
        <f>'Reported burning'!F2941</f>
        <v>ND</v>
      </c>
      <c r="G2941" s="156" t="str">
        <f>'Reported burning'!G2941</f>
        <v>ND</v>
      </c>
      <c r="H2941" s="156" t="str">
        <f>'Reported burning'!H2941</f>
        <v>Presence</v>
      </c>
      <c r="I2941" s="5"/>
      <c r="J2941" s="204" t="s">
        <v>2276</v>
      </c>
      <c r="K2941" s="204" t="s">
        <v>2276</v>
      </c>
      <c r="L2941" s="204" t="s">
        <v>2276</v>
      </c>
      <c r="M2941" s="204" t="s">
        <v>2276</v>
      </c>
      <c r="N2941" s="204" t="s">
        <v>2276</v>
      </c>
      <c r="O2941" s="204" t="s">
        <v>2276</v>
      </c>
      <c r="P2941" s="204" t="s">
        <v>2276</v>
      </c>
      <c r="Q2941" s="204" t="s">
        <v>2276</v>
      </c>
      <c r="R2941" s="204" t="s">
        <v>2276</v>
      </c>
      <c r="S2941" s="204" t="s">
        <v>2276</v>
      </c>
      <c r="T2941" s="204" t="s">
        <v>2276</v>
      </c>
      <c r="U2941" s="204" t="s">
        <v>2276</v>
      </c>
      <c r="V2941" s="21" t="s">
        <v>2527</v>
      </c>
      <c r="W2941" s="21" t="s">
        <v>2404</v>
      </c>
      <c r="X2941" s="204" t="s">
        <v>38</v>
      </c>
      <c r="Y2941" s="204" t="s">
        <v>425</v>
      </c>
      <c r="Z2941" s="204" t="s">
        <v>64</v>
      </c>
      <c r="AA2941" s="204"/>
      <c r="AB2941" s="204"/>
    </row>
    <row r="2942" spans="1:28" ht="39" customHeight="1">
      <c r="A2942" s="156" t="str">
        <f>'Reported burning'!A2942</f>
        <v>313b</v>
      </c>
      <c r="B2942" s="156" t="str">
        <f>'Reported burning'!B2942</f>
        <v>313b.1</v>
      </c>
      <c r="C2942" s="156" t="str">
        <f>'Reported burning'!C2942</f>
        <v>All</v>
      </c>
      <c r="D2942" s="156" t="str">
        <f>'Reported burning'!D2942</f>
        <v>ND</v>
      </c>
      <c r="E2942" s="156" t="str">
        <f>'Reported burning'!E2942</f>
        <v>ND</v>
      </c>
      <c r="F2942" s="156" t="str">
        <f>'Reported burning'!F2942</f>
        <v>ND</v>
      </c>
      <c r="G2942" s="156" t="str">
        <f>'Reported burning'!G2942</f>
        <v>ND</v>
      </c>
      <c r="H2942" s="156" t="str">
        <f>'Reported burning'!H2942</f>
        <v>Presence</v>
      </c>
      <c r="I2942" s="5"/>
      <c r="J2942" s="204" t="s">
        <v>2276</v>
      </c>
      <c r="K2942" s="204" t="s">
        <v>2276</v>
      </c>
      <c r="L2942" s="204" t="s">
        <v>2276</v>
      </c>
      <c r="M2942" s="204" t="s">
        <v>2276</v>
      </c>
      <c r="N2942" s="204" t="s">
        <v>2276</v>
      </c>
      <c r="O2942" s="204" t="s">
        <v>2276</v>
      </c>
      <c r="P2942" s="204" t="s">
        <v>2276</v>
      </c>
      <c r="Q2942" s="204" t="s">
        <v>2276</v>
      </c>
      <c r="R2942" s="204" t="s">
        <v>2276</v>
      </c>
      <c r="S2942" s="204" t="s">
        <v>2276</v>
      </c>
      <c r="T2942" s="204" t="s">
        <v>2276</v>
      </c>
      <c r="U2942" s="204" t="s">
        <v>2276</v>
      </c>
      <c r="V2942" s="21" t="s">
        <v>2374</v>
      </c>
      <c r="W2942" s="21" t="s">
        <v>2404</v>
      </c>
      <c r="X2942" s="204" t="s">
        <v>38</v>
      </c>
      <c r="Y2942" s="204" t="s">
        <v>425</v>
      </c>
      <c r="Z2942" s="204" t="s">
        <v>64</v>
      </c>
      <c r="AA2942" s="204"/>
      <c r="AB2942" s="204"/>
    </row>
    <row r="2943" spans="1:28" ht="39" customHeight="1">
      <c r="A2943" s="156" t="str">
        <f>'Reported burning'!A2943</f>
        <v>313b</v>
      </c>
      <c r="B2943" s="156" t="str">
        <f>'Reported burning'!B2943</f>
        <v>313b.2</v>
      </c>
      <c r="C2943" s="156" t="str">
        <f>'Reported burning'!C2943</f>
        <v>All</v>
      </c>
      <c r="D2943" s="156" t="str">
        <f>'Reported burning'!D2943</f>
        <v>ND</v>
      </c>
      <c r="E2943" s="156" t="str">
        <f>'Reported burning'!E2943</f>
        <v>ND</v>
      </c>
      <c r="F2943" s="156" t="str">
        <f>'Reported burning'!F2943</f>
        <v>ND</v>
      </c>
      <c r="G2943" s="156" t="str">
        <f>'Reported burning'!G2943</f>
        <v>ND</v>
      </c>
      <c r="H2943" s="156" t="str">
        <f>'Reported burning'!H2943</f>
        <v>Presence</v>
      </c>
      <c r="I2943" s="5"/>
      <c r="J2943" s="204" t="s">
        <v>2276</v>
      </c>
      <c r="K2943" s="204" t="s">
        <v>2276</v>
      </c>
      <c r="L2943" s="204" t="s">
        <v>2276</v>
      </c>
      <c r="M2943" s="204" t="s">
        <v>2276</v>
      </c>
      <c r="N2943" s="204" t="s">
        <v>2276</v>
      </c>
      <c r="O2943" s="204" t="s">
        <v>2276</v>
      </c>
      <c r="P2943" s="204" t="s">
        <v>2276</v>
      </c>
      <c r="Q2943" s="204" t="s">
        <v>2276</v>
      </c>
      <c r="R2943" s="204" t="s">
        <v>2276</v>
      </c>
      <c r="S2943" s="204" t="s">
        <v>2276</v>
      </c>
      <c r="T2943" s="204" t="s">
        <v>2276</v>
      </c>
      <c r="U2943" s="204" t="s">
        <v>2276</v>
      </c>
      <c r="V2943" s="21" t="s">
        <v>2376</v>
      </c>
      <c r="W2943" s="21" t="s">
        <v>2402</v>
      </c>
      <c r="X2943" s="204" t="s">
        <v>38</v>
      </c>
      <c r="Y2943" s="204" t="s">
        <v>425</v>
      </c>
      <c r="Z2943" s="204" t="s">
        <v>64</v>
      </c>
      <c r="AA2943" s="204"/>
      <c r="AB2943" s="204"/>
    </row>
    <row r="2944" spans="1:28" ht="39" customHeight="1">
      <c r="A2944" s="156" t="str">
        <f>'Reported burning'!A2944</f>
        <v>313b</v>
      </c>
      <c r="B2944" s="156" t="str">
        <f>'Reported burning'!B2944</f>
        <v>313b.3</v>
      </c>
      <c r="C2944" s="156" t="str">
        <f>'Reported burning'!C2944</f>
        <v>All</v>
      </c>
      <c r="D2944" s="156" t="str">
        <f>'Reported burning'!D2944</f>
        <v>ND</v>
      </c>
      <c r="E2944" s="156" t="str">
        <f>'Reported burning'!E2944</f>
        <v>ND</v>
      </c>
      <c r="F2944" s="156" t="str">
        <f>'Reported burning'!F2944</f>
        <v>ND</v>
      </c>
      <c r="G2944" s="156" t="str">
        <f>'Reported burning'!G2944</f>
        <v>ND</v>
      </c>
      <c r="H2944" s="156" t="str">
        <f>'Reported burning'!H2944</f>
        <v>Presence</v>
      </c>
      <c r="I2944" s="5"/>
      <c r="J2944" s="204" t="s">
        <v>2276</v>
      </c>
      <c r="K2944" s="204" t="s">
        <v>2276</v>
      </c>
      <c r="L2944" s="204" t="s">
        <v>2276</v>
      </c>
      <c r="M2944" s="204" t="s">
        <v>2276</v>
      </c>
      <c r="N2944" s="204" t="s">
        <v>2276</v>
      </c>
      <c r="O2944" s="204" t="s">
        <v>2276</v>
      </c>
      <c r="P2944" s="204" t="s">
        <v>2276</v>
      </c>
      <c r="Q2944" s="204" t="s">
        <v>2276</v>
      </c>
      <c r="R2944" s="204" t="s">
        <v>2276</v>
      </c>
      <c r="S2944" s="204" t="s">
        <v>2276</v>
      </c>
      <c r="T2944" s="204" t="s">
        <v>2276</v>
      </c>
      <c r="U2944" s="204" t="s">
        <v>2276</v>
      </c>
      <c r="V2944" s="21" t="s">
        <v>2389</v>
      </c>
      <c r="W2944" s="21" t="s">
        <v>2402</v>
      </c>
      <c r="X2944" s="204" t="s">
        <v>38</v>
      </c>
      <c r="Y2944" s="204" t="s">
        <v>425</v>
      </c>
      <c r="Z2944" s="204" t="s">
        <v>64</v>
      </c>
      <c r="AA2944" s="204"/>
      <c r="AB2944" s="204"/>
    </row>
    <row r="2945" spans="1:28" ht="39" customHeight="1">
      <c r="A2945" s="156" t="str">
        <f>'Reported burning'!A2945</f>
        <v>313b</v>
      </c>
      <c r="B2945" s="156" t="str">
        <f>'Reported burning'!B2945</f>
        <v>313b.4</v>
      </c>
      <c r="C2945" s="156" t="str">
        <f>'Reported burning'!C2945</f>
        <v>All</v>
      </c>
      <c r="D2945" s="156" t="str">
        <f>'Reported burning'!D2945</f>
        <v>ND</v>
      </c>
      <c r="E2945" s="156" t="str">
        <f>'Reported burning'!E2945</f>
        <v>ND</v>
      </c>
      <c r="F2945" s="156" t="str">
        <f>'Reported burning'!F2945</f>
        <v>ND</v>
      </c>
      <c r="G2945" s="156" t="str">
        <f>'Reported burning'!G2945</f>
        <v>ND</v>
      </c>
      <c r="H2945" s="156" t="str">
        <f>'Reported burning'!H2945</f>
        <v>Presence</v>
      </c>
      <c r="I2945" s="5"/>
      <c r="J2945" s="204" t="s">
        <v>2276</v>
      </c>
      <c r="K2945" s="204" t="s">
        <v>2276</v>
      </c>
      <c r="L2945" s="204" t="s">
        <v>2276</v>
      </c>
      <c r="M2945" s="204" t="s">
        <v>2276</v>
      </c>
      <c r="N2945" s="204" t="s">
        <v>2276</v>
      </c>
      <c r="O2945" s="204" t="s">
        <v>2276</v>
      </c>
      <c r="P2945" s="204" t="s">
        <v>2276</v>
      </c>
      <c r="Q2945" s="204" t="s">
        <v>2276</v>
      </c>
      <c r="R2945" s="204" t="s">
        <v>2276</v>
      </c>
      <c r="S2945" s="204" t="s">
        <v>2276</v>
      </c>
      <c r="T2945" s="204" t="s">
        <v>2276</v>
      </c>
      <c r="U2945" s="204" t="s">
        <v>2276</v>
      </c>
      <c r="V2945" s="21" t="s">
        <v>2376</v>
      </c>
      <c r="W2945" s="21" t="s">
        <v>2403</v>
      </c>
      <c r="X2945" s="204" t="s">
        <v>38</v>
      </c>
      <c r="Y2945" s="204" t="s">
        <v>425</v>
      </c>
      <c r="Z2945" s="204" t="s">
        <v>64</v>
      </c>
      <c r="AA2945" s="204"/>
      <c r="AB2945" s="204"/>
    </row>
    <row r="2946" spans="1:28" ht="39" customHeight="1">
      <c r="A2946" s="156" t="str">
        <f>'Reported burning'!A2946</f>
        <v>313b</v>
      </c>
      <c r="B2946" s="156" t="str">
        <f>'Reported burning'!B2946</f>
        <v>313b.5</v>
      </c>
      <c r="C2946" s="156" t="str">
        <f>'Reported burning'!C2946</f>
        <v>All</v>
      </c>
      <c r="D2946" s="156" t="str">
        <f>'Reported burning'!D2946</f>
        <v>ND</v>
      </c>
      <c r="E2946" s="156" t="str">
        <f>'Reported burning'!E2946</f>
        <v>ND</v>
      </c>
      <c r="F2946" s="156" t="str">
        <f>'Reported burning'!F2946</f>
        <v>ND</v>
      </c>
      <c r="G2946" s="156" t="str">
        <f>'Reported burning'!G2946</f>
        <v>ND</v>
      </c>
      <c r="H2946" s="156" t="str">
        <f>'Reported burning'!H2946</f>
        <v>Presence</v>
      </c>
      <c r="I2946" s="5"/>
      <c r="J2946" s="204" t="s">
        <v>2276</v>
      </c>
      <c r="K2946" s="204" t="s">
        <v>2276</v>
      </c>
      <c r="L2946" s="204" t="s">
        <v>2276</v>
      </c>
      <c r="M2946" s="204" t="s">
        <v>2276</v>
      </c>
      <c r="N2946" s="204" t="s">
        <v>2276</v>
      </c>
      <c r="O2946" s="204" t="s">
        <v>2276</v>
      </c>
      <c r="P2946" s="204" t="s">
        <v>2276</v>
      </c>
      <c r="Q2946" s="204" t="s">
        <v>2276</v>
      </c>
      <c r="R2946" s="204" t="s">
        <v>2276</v>
      </c>
      <c r="S2946" s="204" t="s">
        <v>2276</v>
      </c>
      <c r="T2946" s="204" t="s">
        <v>2276</v>
      </c>
      <c r="U2946" s="204" t="s">
        <v>2276</v>
      </c>
      <c r="V2946" s="21" t="s">
        <v>2389</v>
      </c>
      <c r="W2946" s="21" t="s">
        <v>2402</v>
      </c>
      <c r="X2946" s="204" t="s">
        <v>38</v>
      </c>
      <c r="Y2946" s="204" t="s">
        <v>425</v>
      </c>
      <c r="Z2946" s="204" t="s">
        <v>64</v>
      </c>
      <c r="AA2946" s="204"/>
      <c r="AB2946" s="204"/>
    </row>
    <row r="2947" spans="1:28" ht="39" customHeight="1">
      <c r="A2947" s="152" t="str">
        <f>'Reported burning'!A2947</f>
        <v>313b</v>
      </c>
      <c r="B2947" s="152" t="str">
        <f>'Reported burning'!B2947</f>
        <v>313b.6</v>
      </c>
      <c r="C2947" s="152" t="str">
        <f>'Reported burning'!C2947</f>
        <v>Human, deliberate</v>
      </c>
      <c r="D2947" s="152" t="str">
        <f>'Reported burning'!D2947</f>
        <v>Pasture renewal</v>
      </c>
      <c r="E2947" s="152" t="str">
        <f>'Reported burning'!E2947</f>
        <v>Cattle, Extensive</v>
      </c>
      <c r="F2947" s="152" t="str">
        <f>'Reported burning'!F2947</f>
        <v>Shrubland (Mixed forest &amp; grassland)</v>
      </c>
      <c r="G2947" s="152" t="str">
        <f>'Reported burning'!G2947</f>
        <v>Shrubland (Mixed forest &amp; grassland)</v>
      </c>
      <c r="H2947" s="152" t="str">
        <f>'Reported burning'!H2947</f>
        <v>Presence</v>
      </c>
      <c r="I2947" s="204"/>
      <c r="J2947" s="204" t="s">
        <v>2276</v>
      </c>
      <c r="K2947" s="204" t="s">
        <v>2276</v>
      </c>
      <c r="L2947" s="204" t="s">
        <v>2276</v>
      </c>
      <c r="M2947" s="204" t="s">
        <v>2276</v>
      </c>
      <c r="N2947" s="204" t="s">
        <v>2276</v>
      </c>
      <c r="O2947" s="204" t="s">
        <v>2276</v>
      </c>
      <c r="P2947" s="204" t="s">
        <v>2276</v>
      </c>
      <c r="Q2947" s="204" t="s">
        <v>2276</v>
      </c>
      <c r="R2947" s="204" t="s">
        <v>2276</v>
      </c>
      <c r="S2947" s="204" t="s">
        <v>2276</v>
      </c>
      <c r="T2947" s="204" t="s">
        <v>2276</v>
      </c>
      <c r="U2947" s="204" t="s">
        <v>2276</v>
      </c>
      <c r="V2947" s="204" t="s">
        <v>2276</v>
      </c>
      <c r="W2947" s="21" t="s">
        <v>2402</v>
      </c>
      <c r="X2947" s="204" t="s">
        <v>38</v>
      </c>
      <c r="Y2947" s="204" t="s">
        <v>425</v>
      </c>
      <c r="Z2947" s="204" t="s">
        <v>64</v>
      </c>
      <c r="AA2947" s="204"/>
      <c r="AB2947" s="204"/>
    </row>
    <row r="2948" spans="1:28" ht="39" customHeight="1">
      <c r="A2948" s="152" t="str">
        <f>'Reported burning'!A2948</f>
        <v>313b</v>
      </c>
      <c r="B2948" s="152" t="str">
        <f>'Reported burning'!B2948</f>
        <v>313b.7</v>
      </c>
      <c r="C2948" s="152" t="str">
        <f>'Reported burning'!C2948</f>
        <v>Human, deliberate</v>
      </c>
      <c r="D2948" s="152" t="str">
        <f>'Reported burning'!D2948</f>
        <v>Pasture renewal</v>
      </c>
      <c r="E2948" s="152" t="str">
        <f>'Reported burning'!E2948</f>
        <v>Cattle, Extensive</v>
      </c>
      <c r="F2948" s="152" t="str">
        <f>'Reported burning'!F2948</f>
        <v>Shrubland (Mixed forest &amp; grassland)</v>
      </c>
      <c r="G2948" s="152" t="str">
        <f>'Reported burning'!G2948</f>
        <v>Shrubland (Mixed forest &amp; grassland)</v>
      </c>
      <c r="H2948" s="152" t="str">
        <f>'Reported burning'!H2948</f>
        <v>Presence</v>
      </c>
      <c r="I2948" s="204"/>
      <c r="J2948" s="204" t="s">
        <v>2276</v>
      </c>
      <c r="K2948" s="204" t="s">
        <v>2276</v>
      </c>
      <c r="L2948" s="204" t="s">
        <v>2276</v>
      </c>
      <c r="M2948" s="204" t="s">
        <v>2276</v>
      </c>
      <c r="N2948" s="204" t="s">
        <v>2276</v>
      </c>
      <c r="O2948" s="204" t="s">
        <v>2276</v>
      </c>
      <c r="P2948" s="204" t="s">
        <v>2276</v>
      </c>
      <c r="Q2948" s="204" t="s">
        <v>2276</v>
      </c>
      <c r="R2948" s="204" t="s">
        <v>2276</v>
      </c>
      <c r="S2948" s="204" t="s">
        <v>2276</v>
      </c>
      <c r="T2948" s="204" t="s">
        <v>2276</v>
      </c>
      <c r="U2948" s="204" t="s">
        <v>2276</v>
      </c>
      <c r="V2948" s="204" t="s">
        <v>2276</v>
      </c>
      <c r="W2948" s="21" t="s">
        <v>2402</v>
      </c>
      <c r="X2948" s="204" t="s">
        <v>38</v>
      </c>
      <c r="Y2948" s="204" t="s">
        <v>425</v>
      </c>
      <c r="Z2948" s="204" t="s">
        <v>64</v>
      </c>
      <c r="AA2948" s="204"/>
      <c r="AB2948" s="204"/>
    </row>
    <row r="2949" spans="1:28" ht="38" customHeight="1">
      <c r="A2949" s="152" t="str">
        <f>'Reported burning'!A2949</f>
        <v>313b</v>
      </c>
      <c r="B2949" s="152" t="str">
        <f>'Reported burning'!B2949</f>
        <v>313b.8</v>
      </c>
      <c r="C2949" s="152" t="str">
        <f>'Reported burning'!C2949</f>
        <v>Human, deliberate</v>
      </c>
      <c r="D2949" s="152" t="str">
        <f>'Reported burning'!D2949</f>
        <v>Pasture renewal</v>
      </c>
      <c r="E2949" s="152" t="str">
        <f>'Reported burning'!E2949</f>
        <v>Cattle, Extensive</v>
      </c>
      <c r="F2949" s="152" t="str">
        <f>'Reported burning'!F2949</f>
        <v>Shrubland (Mixed forest &amp; grassland)</v>
      </c>
      <c r="G2949" s="152" t="str">
        <f>'Reported burning'!G2949</f>
        <v>Shrubland (Mixed forest &amp; grassland)</v>
      </c>
      <c r="H2949" s="152" t="str">
        <f>'Reported burning'!H2949</f>
        <v>Presence</v>
      </c>
      <c r="I2949" s="204"/>
      <c r="J2949" s="204" t="s">
        <v>2276</v>
      </c>
      <c r="K2949" s="204" t="s">
        <v>2276</v>
      </c>
      <c r="L2949" s="204" t="s">
        <v>2276</v>
      </c>
      <c r="M2949" s="204" t="s">
        <v>2276</v>
      </c>
      <c r="N2949" s="204" t="s">
        <v>2276</v>
      </c>
      <c r="O2949" s="204" t="s">
        <v>2276</v>
      </c>
      <c r="P2949" s="204" t="s">
        <v>2276</v>
      </c>
      <c r="Q2949" s="204" t="s">
        <v>2276</v>
      </c>
      <c r="R2949" s="204" t="s">
        <v>2276</v>
      </c>
      <c r="S2949" s="204" t="s">
        <v>2276</v>
      </c>
      <c r="T2949" s="204" t="s">
        <v>2276</v>
      </c>
      <c r="U2949" s="204" t="s">
        <v>2276</v>
      </c>
      <c r="V2949" s="204" t="s">
        <v>2276</v>
      </c>
      <c r="W2949" s="21" t="s">
        <v>2402</v>
      </c>
      <c r="X2949" s="204" t="s">
        <v>38</v>
      </c>
      <c r="Y2949" s="204" t="s">
        <v>425</v>
      </c>
      <c r="Z2949" s="204" t="s">
        <v>64</v>
      </c>
      <c r="AA2949" s="204"/>
      <c r="AB2949" s="204"/>
    </row>
    <row r="2950" spans="1:28" ht="38" customHeight="1">
      <c r="A2950" s="152" t="str">
        <f>'Reported burning'!A2950</f>
        <v>313b</v>
      </c>
      <c r="B2950" s="152" t="str">
        <f>'Reported burning'!B2950</f>
        <v>313b.9</v>
      </c>
      <c r="C2950" s="152" t="str">
        <f>'Reported burning'!C2950</f>
        <v>Human, deliberate</v>
      </c>
      <c r="D2950" s="152" t="str">
        <f>'Reported burning'!D2950</f>
        <v>Pasture renewal</v>
      </c>
      <c r="E2950" s="152" t="str">
        <f>'Reported burning'!E2950</f>
        <v>Cattle, Extensive</v>
      </c>
      <c r="F2950" s="152" t="str">
        <f>'Reported burning'!F2950</f>
        <v>Shrubland (Mixed forest &amp; grassland)</v>
      </c>
      <c r="G2950" s="152" t="str">
        <f>'Reported burning'!G2950</f>
        <v>Shrubland (Mixed forest &amp; grassland)</v>
      </c>
      <c r="H2950" s="152" t="str">
        <f>'Reported burning'!H2950</f>
        <v>Presence</v>
      </c>
      <c r="I2950" s="204"/>
      <c r="J2950" s="204" t="s">
        <v>2276</v>
      </c>
      <c r="K2950" s="204" t="s">
        <v>2276</v>
      </c>
      <c r="L2950" s="204" t="s">
        <v>2276</v>
      </c>
      <c r="M2950" s="204" t="s">
        <v>2276</v>
      </c>
      <c r="N2950" s="204" t="s">
        <v>2276</v>
      </c>
      <c r="O2950" s="204" t="s">
        <v>2276</v>
      </c>
      <c r="P2950" s="204" t="s">
        <v>2276</v>
      </c>
      <c r="Q2950" s="204" t="s">
        <v>2276</v>
      </c>
      <c r="R2950" s="204" t="s">
        <v>2276</v>
      </c>
      <c r="S2950" s="204" t="s">
        <v>2276</v>
      </c>
      <c r="T2950" s="204" t="s">
        <v>2276</v>
      </c>
      <c r="U2950" s="204" t="s">
        <v>2276</v>
      </c>
      <c r="V2950" s="204" t="s">
        <v>2276</v>
      </c>
      <c r="W2950" s="21" t="s">
        <v>2402</v>
      </c>
      <c r="X2950" s="204" t="s">
        <v>38</v>
      </c>
      <c r="Y2950" s="204" t="s">
        <v>425</v>
      </c>
      <c r="Z2950" s="204" t="s">
        <v>64</v>
      </c>
      <c r="AA2950" s="204"/>
      <c r="AB2950" s="204"/>
    </row>
    <row r="2951" spans="1:28" ht="38" customHeight="1">
      <c r="A2951" s="152" t="str">
        <f>'Reported burning'!A2951</f>
        <v>313b</v>
      </c>
      <c r="B2951" s="152" t="str">
        <f>'Reported burning'!B2951</f>
        <v>313b.10</v>
      </c>
      <c r="C2951" s="152" t="str">
        <f>'Reported burning'!C2951</f>
        <v>Human, deliberate</v>
      </c>
      <c r="D2951" s="152" t="str">
        <f>'Reported burning'!D2951</f>
        <v>Pasture renewal</v>
      </c>
      <c r="E2951" s="152" t="str">
        <f>'Reported burning'!E2951</f>
        <v>Cattle, Extensive</v>
      </c>
      <c r="F2951" s="152" t="str">
        <f>'Reported burning'!F2951</f>
        <v>Shrubland (Mixed forest &amp; grassland)</v>
      </c>
      <c r="G2951" s="152" t="str">
        <f>'Reported burning'!G2951</f>
        <v>Shrubland (Mixed forest &amp; grassland)</v>
      </c>
      <c r="H2951" s="152" t="str">
        <f>'Reported burning'!H2951</f>
        <v>Presence</v>
      </c>
      <c r="I2951" s="204"/>
      <c r="J2951" s="204" t="s">
        <v>2276</v>
      </c>
      <c r="K2951" s="204" t="s">
        <v>2276</v>
      </c>
      <c r="L2951" s="204" t="s">
        <v>2276</v>
      </c>
      <c r="M2951" s="204" t="s">
        <v>2276</v>
      </c>
      <c r="N2951" s="204" t="s">
        <v>2276</v>
      </c>
      <c r="O2951" s="204" t="s">
        <v>2276</v>
      </c>
      <c r="P2951" s="204" t="s">
        <v>2276</v>
      </c>
      <c r="Q2951" s="204" t="s">
        <v>2276</v>
      </c>
      <c r="R2951" s="204" t="s">
        <v>2276</v>
      </c>
      <c r="S2951" s="204" t="s">
        <v>2276</v>
      </c>
      <c r="T2951" s="204" t="s">
        <v>2276</v>
      </c>
      <c r="U2951" s="204" t="s">
        <v>2276</v>
      </c>
      <c r="V2951" s="204" t="s">
        <v>2276</v>
      </c>
      <c r="W2951" s="21" t="s">
        <v>2402</v>
      </c>
      <c r="X2951" s="204" t="s">
        <v>38</v>
      </c>
      <c r="Y2951" s="204" t="s">
        <v>425</v>
      </c>
      <c r="Z2951" s="204" t="s">
        <v>64</v>
      </c>
      <c r="AA2951" s="204"/>
      <c r="AB2951" s="204"/>
    </row>
    <row r="2952" spans="1:28" ht="38" customHeight="1">
      <c r="A2952" s="156" t="str">
        <f>'Reported burning'!A2952</f>
        <v>314a</v>
      </c>
      <c r="B2952" s="156" t="str">
        <f>'Reported burning'!B2952</f>
        <v>314a.1</v>
      </c>
      <c r="C2952" s="156" t="str">
        <f>'Reported burning'!C2952</f>
        <v>All</v>
      </c>
      <c r="D2952" s="156" t="str">
        <f>'Reported burning'!D2952</f>
        <v>All</v>
      </c>
      <c r="E2952" s="156" t="str">
        <f>'Reported burning'!E2952</f>
        <v>ND</v>
      </c>
      <c r="F2952" s="156" t="str">
        <f>'Reported burning'!F2952</f>
        <v>ND</v>
      </c>
      <c r="G2952" s="156" t="str">
        <f>'Reported burning'!G2952</f>
        <v>Cropland</v>
      </c>
      <c r="H2952" s="156" t="str">
        <f>'Reported burning'!H2952</f>
        <v>Presence</v>
      </c>
      <c r="I2952" s="5"/>
      <c r="J2952" s="21" t="s">
        <v>2365</v>
      </c>
      <c r="K2952" s="204" t="s">
        <v>2276</v>
      </c>
      <c r="L2952" s="204" t="s">
        <v>2276</v>
      </c>
      <c r="M2952" s="204" t="s">
        <v>2276</v>
      </c>
      <c r="N2952" s="204" t="s">
        <v>2276</v>
      </c>
      <c r="O2952" s="204" t="s">
        <v>2276</v>
      </c>
      <c r="P2952" s="204" t="s">
        <v>2276</v>
      </c>
      <c r="Q2952" s="204" t="s">
        <v>2276</v>
      </c>
      <c r="R2952" s="204" t="s">
        <v>2276</v>
      </c>
      <c r="S2952" s="204" t="s">
        <v>2276</v>
      </c>
      <c r="T2952" s="204" t="s">
        <v>2276</v>
      </c>
      <c r="U2952" s="204" t="s">
        <v>2276</v>
      </c>
      <c r="V2952" s="204" t="s">
        <v>2276</v>
      </c>
      <c r="W2952" s="204" t="s">
        <v>2276</v>
      </c>
      <c r="X2952" s="204" t="s">
        <v>2276</v>
      </c>
      <c r="Y2952" s="204" t="s">
        <v>2276</v>
      </c>
      <c r="Z2952" s="204" t="s">
        <v>2276</v>
      </c>
      <c r="AA2952" s="204"/>
      <c r="AB2952" s="204"/>
    </row>
    <row r="2953" spans="1:28" ht="38" customHeight="1">
      <c r="A2953" s="156" t="str">
        <f>'Reported burning'!A2953</f>
        <v>314b</v>
      </c>
      <c r="B2953" s="156" t="str">
        <f>'Reported burning'!B2953</f>
        <v>314b.1</v>
      </c>
      <c r="C2953" s="156" t="str">
        <f>'Reported burning'!C2953</f>
        <v>All</v>
      </c>
      <c r="D2953" s="156" t="str">
        <f>'Reported burning'!D2953</f>
        <v>All</v>
      </c>
      <c r="E2953" s="156" t="str">
        <f>'Reported burning'!E2953</f>
        <v>ND</v>
      </c>
      <c r="F2953" s="156" t="str">
        <f>'Reported burning'!F2953</f>
        <v>ND</v>
      </c>
      <c r="G2953" s="156" t="str">
        <f>'Reported burning'!G2953</f>
        <v>Cropland</v>
      </c>
      <c r="H2953" s="156" t="str">
        <f>'Reported burning'!H2953</f>
        <v>Presence</v>
      </c>
      <c r="I2953" s="5"/>
      <c r="J2953" s="21" t="s">
        <v>2366</v>
      </c>
      <c r="K2953" s="204" t="s">
        <v>2276</v>
      </c>
      <c r="L2953" s="204" t="s">
        <v>2276</v>
      </c>
      <c r="M2953" s="204" t="s">
        <v>2276</v>
      </c>
      <c r="N2953" s="204" t="s">
        <v>2276</v>
      </c>
      <c r="O2953" s="204" t="s">
        <v>2276</v>
      </c>
      <c r="P2953" s="204" t="s">
        <v>2276</v>
      </c>
      <c r="Q2953" s="204" t="s">
        <v>2276</v>
      </c>
      <c r="R2953" s="204" t="s">
        <v>2276</v>
      </c>
      <c r="S2953" s="204" t="s">
        <v>2276</v>
      </c>
      <c r="T2953" s="204" t="s">
        <v>2276</v>
      </c>
      <c r="U2953" s="204" t="s">
        <v>2276</v>
      </c>
      <c r="V2953" s="204" t="s">
        <v>2276</v>
      </c>
      <c r="W2953" s="204" t="s">
        <v>2276</v>
      </c>
      <c r="X2953" s="204" t="s">
        <v>2276</v>
      </c>
      <c r="Y2953" s="204" t="s">
        <v>2276</v>
      </c>
      <c r="Z2953" s="204" t="s">
        <v>2276</v>
      </c>
      <c r="AA2953" s="204"/>
      <c r="AB2953" s="204"/>
    </row>
    <row r="2954" spans="1:28" ht="39" customHeight="1">
      <c r="A2954" s="156" t="str">
        <f>'Reported burning'!A2954</f>
        <v>314a</v>
      </c>
      <c r="B2954" s="156" t="str">
        <f>'Reported burning'!B2954</f>
        <v>314a.2</v>
      </c>
      <c r="C2954" s="156" t="str">
        <f>'Reported burning'!C2954</f>
        <v>All</v>
      </c>
      <c r="D2954" s="156" t="str">
        <f>'Reported burning'!D2954</f>
        <v>All</v>
      </c>
      <c r="E2954" s="156" t="str">
        <f>'Reported burning'!E2954</f>
        <v>ND</v>
      </c>
      <c r="F2954" s="156" t="str">
        <f>'Reported burning'!F2954</f>
        <v>ND</v>
      </c>
      <c r="G2954" s="156" t="str">
        <f>'Reported burning'!G2954</f>
        <v>Grassland</v>
      </c>
      <c r="H2954" s="156" t="str">
        <f>'Reported burning'!H2954</f>
        <v>Presence</v>
      </c>
      <c r="I2954" s="5"/>
      <c r="J2954" s="21" t="s">
        <v>2366</v>
      </c>
      <c r="K2954" s="204" t="s">
        <v>2276</v>
      </c>
      <c r="L2954" s="204" t="s">
        <v>2276</v>
      </c>
      <c r="M2954" s="204" t="s">
        <v>2276</v>
      </c>
      <c r="N2954" s="204" t="s">
        <v>2276</v>
      </c>
      <c r="O2954" s="204" t="s">
        <v>2276</v>
      </c>
      <c r="P2954" s="204" t="s">
        <v>2276</v>
      </c>
      <c r="Q2954" s="204" t="s">
        <v>2276</v>
      </c>
      <c r="R2954" s="204" t="s">
        <v>2276</v>
      </c>
      <c r="S2954" s="204" t="s">
        <v>2276</v>
      </c>
      <c r="T2954" s="204" t="s">
        <v>2276</v>
      </c>
      <c r="U2954" s="204" t="s">
        <v>2276</v>
      </c>
      <c r="V2954" s="204" t="s">
        <v>2276</v>
      </c>
      <c r="W2954" s="204" t="s">
        <v>2276</v>
      </c>
      <c r="X2954" s="204" t="s">
        <v>2276</v>
      </c>
      <c r="Y2954" s="204" t="s">
        <v>2276</v>
      </c>
      <c r="Z2954" s="204" t="s">
        <v>2276</v>
      </c>
      <c r="AA2954" s="204"/>
      <c r="AB2954" s="204"/>
    </row>
    <row r="2955" spans="1:28" ht="39" customHeight="1">
      <c r="A2955" s="156" t="str">
        <f>'Reported burning'!A2955</f>
        <v>314b</v>
      </c>
      <c r="B2955" s="156" t="str">
        <f>'Reported burning'!B2955</f>
        <v>314b.2</v>
      </c>
      <c r="C2955" s="156" t="str">
        <f>'Reported burning'!C2955</f>
        <v>All</v>
      </c>
      <c r="D2955" s="156" t="str">
        <f>'Reported burning'!D2955</f>
        <v>All</v>
      </c>
      <c r="E2955" s="156" t="str">
        <f>'Reported burning'!E2955</f>
        <v>ND</v>
      </c>
      <c r="F2955" s="156" t="str">
        <f>'Reported burning'!F2955</f>
        <v>ND</v>
      </c>
      <c r="G2955" s="156" t="str">
        <f>'Reported burning'!G2955</f>
        <v>Grassland</v>
      </c>
      <c r="H2955" s="156" t="str">
        <f>'Reported burning'!H2955</f>
        <v>Presence</v>
      </c>
      <c r="I2955" s="5"/>
      <c r="J2955" s="21" t="s">
        <v>2367</v>
      </c>
      <c r="K2955" s="204" t="s">
        <v>2276</v>
      </c>
      <c r="L2955" s="204" t="s">
        <v>2276</v>
      </c>
      <c r="M2955" s="204" t="s">
        <v>2276</v>
      </c>
      <c r="N2955" s="204" t="s">
        <v>2276</v>
      </c>
      <c r="O2955" s="204" t="s">
        <v>2276</v>
      </c>
      <c r="P2955" s="204" t="s">
        <v>2276</v>
      </c>
      <c r="Q2955" s="204" t="s">
        <v>2276</v>
      </c>
      <c r="R2955" s="204" t="s">
        <v>2276</v>
      </c>
      <c r="S2955" s="204" t="s">
        <v>2276</v>
      </c>
      <c r="T2955" s="204" t="s">
        <v>2276</v>
      </c>
      <c r="U2955" s="204" t="s">
        <v>2276</v>
      </c>
      <c r="V2955" s="204" t="s">
        <v>2276</v>
      </c>
      <c r="W2955" s="204" t="s">
        <v>2276</v>
      </c>
      <c r="X2955" s="204" t="s">
        <v>2276</v>
      </c>
      <c r="Y2955" s="204" t="s">
        <v>2276</v>
      </c>
      <c r="Z2955" s="204" t="s">
        <v>2276</v>
      </c>
      <c r="AA2955" s="204"/>
      <c r="AB2955" s="204"/>
    </row>
    <row r="2956" spans="1:28" ht="39" customHeight="1">
      <c r="A2956" s="156" t="str">
        <f>'Reported burning'!A2956</f>
        <v>314b</v>
      </c>
      <c r="B2956" s="156" t="str">
        <f>'Reported burning'!B2956</f>
        <v>314b.3</v>
      </c>
      <c r="C2956" s="156" t="str">
        <f>'Reported burning'!C2956</f>
        <v>Human, deliberate</v>
      </c>
      <c r="D2956" s="156" t="str">
        <f>'Reported burning'!D2956</f>
        <v>Pasture renewal</v>
      </c>
      <c r="E2956" s="156" t="str">
        <f>'Reported burning'!E2956</f>
        <v>Cattle, Intensive</v>
      </c>
      <c r="F2956" s="156" t="str">
        <f>'Reported burning'!F2956</f>
        <v>Grassland</v>
      </c>
      <c r="G2956" s="156" t="str">
        <f>'Reported burning'!G2956</f>
        <v>Grassland</v>
      </c>
      <c r="H2956" s="156" t="str">
        <f>'Reported burning'!H2956</f>
        <v>Presence</v>
      </c>
      <c r="I2956" s="5"/>
      <c r="J2956" s="204" t="s">
        <v>2276</v>
      </c>
      <c r="K2956" s="204" t="s">
        <v>2276</v>
      </c>
      <c r="L2956" s="204" t="s">
        <v>2276</v>
      </c>
      <c r="M2956" s="204" t="s">
        <v>2276</v>
      </c>
      <c r="N2956" s="204" t="s">
        <v>2276</v>
      </c>
      <c r="O2956" s="204" t="s">
        <v>2276</v>
      </c>
      <c r="P2956" s="204" t="s">
        <v>2276</v>
      </c>
      <c r="Q2956" s="204" t="s">
        <v>2276</v>
      </c>
      <c r="R2956" s="204" t="s">
        <v>2276</v>
      </c>
      <c r="S2956" s="204" t="s">
        <v>2276</v>
      </c>
      <c r="T2956" s="204" t="s">
        <v>2276</v>
      </c>
      <c r="U2956" s="204" t="s">
        <v>2276</v>
      </c>
      <c r="V2956" s="204" t="s">
        <v>2276</v>
      </c>
      <c r="W2956" s="204" t="s">
        <v>2276</v>
      </c>
      <c r="X2956" s="204" t="s">
        <v>2276</v>
      </c>
      <c r="Y2956" s="204" t="s">
        <v>2276</v>
      </c>
      <c r="Z2956" s="204" t="s">
        <v>2276</v>
      </c>
      <c r="AA2956" s="204"/>
      <c r="AB2956" s="204"/>
    </row>
    <row r="2957" spans="1:28" ht="39" customHeight="1">
      <c r="A2957" s="156" t="str">
        <f>'Reported burning'!A2957</f>
        <v>314b</v>
      </c>
      <c r="B2957" s="156" t="str">
        <f>'Reported burning'!B2957</f>
        <v>314b.4</v>
      </c>
      <c r="C2957" s="156" t="str">
        <f>'Reported burning'!C2957</f>
        <v>Human, deliberate</v>
      </c>
      <c r="D2957" s="156" t="str">
        <f>'Reported burning'!D2957</f>
        <v>Crop residue burning</v>
      </c>
      <c r="E2957" s="156" t="str">
        <f>'Reported burning'!E2957</f>
        <v>Cropping, Intensive</v>
      </c>
      <c r="F2957" s="156" t="str">
        <f>'Reported burning'!F2957</f>
        <v>Cropland</v>
      </c>
      <c r="G2957" s="156" t="str">
        <f>'Reported burning'!G2957</f>
        <v>Cropland</v>
      </c>
      <c r="H2957" s="156" t="str">
        <f>'Reported burning'!H2957</f>
        <v>Presence</v>
      </c>
      <c r="I2957" s="5"/>
      <c r="J2957" s="204" t="s">
        <v>2276</v>
      </c>
      <c r="K2957" s="204" t="s">
        <v>2276</v>
      </c>
      <c r="L2957" s="204" t="s">
        <v>2276</v>
      </c>
      <c r="M2957" s="204" t="s">
        <v>2276</v>
      </c>
      <c r="N2957" s="204" t="s">
        <v>2276</v>
      </c>
      <c r="O2957" s="204" t="s">
        <v>2276</v>
      </c>
      <c r="P2957" s="204" t="s">
        <v>2276</v>
      </c>
      <c r="Q2957" s="204" t="s">
        <v>2276</v>
      </c>
      <c r="R2957" s="204" t="s">
        <v>2276</v>
      </c>
      <c r="S2957" s="204" t="s">
        <v>2276</v>
      </c>
      <c r="T2957" s="204" t="s">
        <v>2276</v>
      </c>
      <c r="U2957" s="204" t="s">
        <v>2276</v>
      </c>
      <c r="V2957" s="204" t="s">
        <v>2276</v>
      </c>
      <c r="W2957" s="204" t="s">
        <v>2276</v>
      </c>
      <c r="X2957" s="204" t="s">
        <v>2276</v>
      </c>
      <c r="Y2957" s="204" t="s">
        <v>2276</v>
      </c>
      <c r="Z2957" s="204" t="s">
        <v>2276</v>
      </c>
      <c r="AA2957" s="204"/>
      <c r="AB2957" s="204"/>
    </row>
    <row r="2958" spans="1:28" ht="39" customHeight="1">
      <c r="A2958" s="156" t="str">
        <f>'Reported burning'!A2958</f>
        <v>314b</v>
      </c>
      <c r="B2958" s="156" t="str">
        <f>'Reported burning'!B2958</f>
        <v>314b.5</v>
      </c>
      <c r="C2958" s="156" t="str">
        <f>'Reported burning'!C2958</f>
        <v>All</v>
      </c>
      <c r="D2958" s="156" t="str">
        <f>'Reported burning'!D2958</f>
        <v>All</v>
      </c>
      <c r="E2958" s="156" t="str">
        <f>'Reported burning'!E2958</f>
        <v>Abandoned agricultural land</v>
      </c>
      <c r="F2958" s="156" t="str">
        <f>'Reported burning'!F2958</f>
        <v>Grassland</v>
      </c>
      <c r="G2958" s="156" t="str">
        <f>'Reported burning'!G2958</f>
        <v>Grassland</v>
      </c>
      <c r="H2958" s="156" t="str">
        <f>'Reported burning'!H2958</f>
        <v>Presence</v>
      </c>
      <c r="I2958" s="5"/>
      <c r="J2958" s="204" t="s">
        <v>2276</v>
      </c>
      <c r="K2958" s="204" t="s">
        <v>2276</v>
      </c>
      <c r="L2958" s="204" t="s">
        <v>2276</v>
      </c>
      <c r="M2958" s="204" t="s">
        <v>2276</v>
      </c>
      <c r="N2958" s="204" t="s">
        <v>2276</v>
      </c>
      <c r="O2958" s="204" t="s">
        <v>2276</v>
      </c>
      <c r="P2958" s="204" t="s">
        <v>2276</v>
      </c>
      <c r="Q2958" s="204" t="s">
        <v>2276</v>
      </c>
      <c r="R2958" s="204" t="s">
        <v>2276</v>
      </c>
      <c r="S2958" s="204" t="s">
        <v>2276</v>
      </c>
      <c r="T2958" s="204" t="s">
        <v>2276</v>
      </c>
      <c r="U2958" s="204" t="s">
        <v>2276</v>
      </c>
      <c r="V2958" s="204" t="s">
        <v>2276</v>
      </c>
      <c r="W2958" s="204" t="s">
        <v>2276</v>
      </c>
      <c r="X2958" s="204" t="s">
        <v>2276</v>
      </c>
      <c r="Y2958" s="204" t="s">
        <v>2276</v>
      </c>
      <c r="Z2958" s="204" t="s">
        <v>2276</v>
      </c>
      <c r="AA2958" s="204"/>
      <c r="AB2958" s="204"/>
    </row>
    <row r="2959" spans="1:28" ht="39" customHeight="1">
      <c r="A2959" s="156" t="str">
        <f>'Reported burning'!A2959</f>
        <v>315a</v>
      </c>
      <c r="B2959" s="156" t="str">
        <f>'Reported burning'!B2959</f>
        <v>315a.1</v>
      </c>
      <c r="C2959" s="156" t="str">
        <f>'Reported burning'!C2959</f>
        <v>Human, deliberate</v>
      </c>
      <c r="D2959" s="156" t="str">
        <f>'Reported burning'!D2959</f>
        <v>Pasture renewal</v>
      </c>
      <c r="E2959" s="156" t="str">
        <f>'Reported burning'!E2959</f>
        <v>Cattle, Intensive</v>
      </c>
      <c r="F2959" s="156" t="str">
        <f>'Reported burning'!F2959</f>
        <v>Pasture</v>
      </c>
      <c r="G2959" s="156" t="str">
        <f>'Reported burning'!G2959</f>
        <v>Pasture</v>
      </c>
      <c r="H2959" s="156" t="str">
        <f>'Reported burning'!H2959</f>
        <v>Presence</v>
      </c>
      <c r="I2959" s="5"/>
      <c r="J2959" s="204" t="s">
        <v>2276</v>
      </c>
      <c r="K2959" s="204" t="s">
        <v>2276</v>
      </c>
      <c r="L2959" s="204" t="s">
        <v>2276</v>
      </c>
      <c r="M2959" s="204" t="s">
        <v>2276</v>
      </c>
      <c r="N2959" s="204" t="s">
        <v>2276</v>
      </c>
      <c r="O2959" s="204" t="s">
        <v>2276</v>
      </c>
      <c r="P2959" s="204" t="s">
        <v>2276</v>
      </c>
      <c r="Q2959" s="204" t="s">
        <v>2276</v>
      </c>
      <c r="R2959" s="204" t="s">
        <v>2276</v>
      </c>
      <c r="S2959" s="204" t="s">
        <v>2276</v>
      </c>
      <c r="T2959" s="204" t="s">
        <v>2276</v>
      </c>
      <c r="U2959" s="204" t="s">
        <v>2276</v>
      </c>
      <c r="V2959" s="204" t="s">
        <v>2276</v>
      </c>
      <c r="W2959" s="204" t="s">
        <v>2276</v>
      </c>
      <c r="X2959" s="204" t="s">
        <v>2276</v>
      </c>
      <c r="Y2959" s="204" t="s">
        <v>2276</v>
      </c>
      <c r="Z2959" s="204" t="s">
        <v>2276</v>
      </c>
      <c r="AA2959" s="204"/>
      <c r="AB2959" s="204"/>
    </row>
    <row r="2960" spans="1:28" ht="40.5" customHeight="1">
      <c r="A2960" s="156" t="str">
        <f>'Reported burning'!A2960</f>
        <v>315a</v>
      </c>
      <c r="B2960" s="156" t="str">
        <f>'Reported burning'!B2960</f>
        <v>315a.2</v>
      </c>
      <c r="C2960" s="156" t="str">
        <f>'Reported burning'!C2960</f>
        <v>Human, deliberate</v>
      </c>
      <c r="D2960" s="156" t="str">
        <f>'Reported burning'!D2960</f>
        <v>Rangeland management</v>
      </c>
      <c r="E2960" s="156" t="str">
        <f>'Reported burning'!E2960</f>
        <v>Cattle, Intensive</v>
      </c>
      <c r="F2960" s="156" t="str">
        <f>'Reported burning'!F2960</f>
        <v>Shrubland (Mixed forest &amp; grassland)</v>
      </c>
      <c r="G2960" s="156" t="str">
        <f>'Reported burning'!G2960</f>
        <v>Shrubland (Mixed forest &amp; grassland)</v>
      </c>
      <c r="H2960" s="156" t="str">
        <f>'Reported burning'!H2960</f>
        <v>Presence</v>
      </c>
      <c r="I2960" s="5"/>
      <c r="J2960" s="204" t="s">
        <v>2276</v>
      </c>
      <c r="K2960" s="204" t="s">
        <v>2276</v>
      </c>
      <c r="L2960" s="204" t="s">
        <v>2276</v>
      </c>
      <c r="M2960" s="204" t="s">
        <v>2276</v>
      </c>
      <c r="N2960" s="204" t="s">
        <v>2276</v>
      </c>
      <c r="O2960" s="204" t="s">
        <v>2276</v>
      </c>
      <c r="P2960" s="204" t="s">
        <v>2276</v>
      </c>
      <c r="Q2960" s="204" t="s">
        <v>2276</v>
      </c>
      <c r="R2960" s="204" t="s">
        <v>2276</v>
      </c>
      <c r="S2960" s="204" t="s">
        <v>2276</v>
      </c>
      <c r="T2960" s="204" t="s">
        <v>2276</v>
      </c>
      <c r="U2960" s="204" t="s">
        <v>2276</v>
      </c>
      <c r="V2960" s="204" t="s">
        <v>2276</v>
      </c>
      <c r="W2960" s="204" t="s">
        <v>2276</v>
      </c>
      <c r="X2960" s="204" t="s">
        <v>2276</v>
      </c>
      <c r="Y2960" s="204" t="s">
        <v>2276</v>
      </c>
      <c r="Z2960" s="204" t="s">
        <v>2276</v>
      </c>
      <c r="AA2960" s="204"/>
      <c r="AB2960" s="204"/>
    </row>
    <row r="2961" spans="1:28" ht="36.5" customHeight="1">
      <c r="A2961" s="156" t="str">
        <f>'Reported burning'!A2961</f>
        <v>315a</v>
      </c>
      <c r="B2961" s="156" t="str">
        <f>'Reported burning'!B2961</f>
        <v>315a.3</v>
      </c>
      <c r="C2961" s="156" t="str">
        <f>'Reported burning'!C2961</f>
        <v>Human, deliberate</v>
      </c>
      <c r="D2961" s="156" t="str">
        <f>'Reported burning'!D2961</f>
        <v>Pasture renewal</v>
      </c>
      <c r="E2961" s="156" t="str">
        <f>'Reported burning'!E2961</f>
        <v>Cattle, Extensive</v>
      </c>
      <c r="F2961" s="156" t="str">
        <f>'Reported burning'!F2961</f>
        <v>Pasture</v>
      </c>
      <c r="G2961" s="156" t="str">
        <f>'Reported burning'!G2961</f>
        <v>Pasture</v>
      </c>
      <c r="H2961" s="156" t="str">
        <f>'Reported burning'!H2961</f>
        <v>Presence</v>
      </c>
      <c r="I2961" s="5"/>
      <c r="J2961" s="204" t="s">
        <v>2276</v>
      </c>
      <c r="K2961" s="204" t="s">
        <v>2276</v>
      </c>
      <c r="L2961" s="204" t="s">
        <v>2276</v>
      </c>
      <c r="M2961" s="204" t="s">
        <v>2276</v>
      </c>
      <c r="N2961" s="204" t="s">
        <v>2276</v>
      </c>
      <c r="O2961" s="204" t="s">
        <v>2276</v>
      </c>
      <c r="P2961" s="204" t="s">
        <v>2276</v>
      </c>
      <c r="Q2961" s="204" t="s">
        <v>2276</v>
      </c>
      <c r="R2961" s="204" t="s">
        <v>2276</v>
      </c>
      <c r="S2961" s="204" t="s">
        <v>2276</v>
      </c>
      <c r="T2961" s="204" t="s">
        <v>2276</v>
      </c>
      <c r="U2961" s="204" t="s">
        <v>2276</v>
      </c>
      <c r="V2961" s="204" t="s">
        <v>2276</v>
      </c>
      <c r="W2961" s="204" t="s">
        <v>2276</v>
      </c>
      <c r="X2961" s="204" t="s">
        <v>2276</v>
      </c>
      <c r="Y2961" s="204" t="s">
        <v>2276</v>
      </c>
      <c r="Z2961" s="204" t="s">
        <v>2276</v>
      </c>
      <c r="AA2961" s="204"/>
      <c r="AB2961" s="204"/>
    </row>
    <row r="2962" spans="1:28" ht="36.5" customHeight="1">
      <c r="A2962" s="156" t="str">
        <f>'Reported burning'!A2962</f>
        <v>315a</v>
      </c>
      <c r="B2962" s="156" t="str">
        <f>'Reported burning'!B2962</f>
        <v>315a.4</v>
      </c>
      <c r="C2962" s="156" t="str">
        <f>'Reported burning'!C2962</f>
        <v>Human, deliberate</v>
      </c>
      <c r="D2962" s="156" t="str">
        <f>'Reported burning'!D2962</f>
        <v>Rangeland management</v>
      </c>
      <c r="E2962" s="156" t="str">
        <f>'Reported burning'!E2962</f>
        <v>Cattle, Extensive</v>
      </c>
      <c r="F2962" s="156" t="str">
        <f>'Reported burning'!F2962</f>
        <v>Shrubland (Mixed forest &amp; grassland)</v>
      </c>
      <c r="G2962" s="156" t="str">
        <f>'Reported burning'!G2962</f>
        <v>Shrubland (Mixed forest &amp; grassland)</v>
      </c>
      <c r="H2962" s="156" t="str">
        <f>'Reported burning'!H2962</f>
        <v>Presence</v>
      </c>
      <c r="I2962" s="5"/>
      <c r="J2962" s="204" t="s">
        <v>2276</v>
      </c>
      <c r="K2962" s="204" t="s">
        <v>2276</v>
      </c>
      <c r="L2962" s="204" t="s">
        <v>2276</v>
      </c>
      <c r="M2962" s="204" t="s">
        <v>2276</v>
      </c>
      <c r="N2962" s="204" t="s">
        <v>2276</v>
      </c>
      <c r="O2962" s="204" t="s">
        <v>2276</v>
      </c>
      <c r="P2962" s="204" t="s">
        <v>2276</v>
      </c>
      <c r="Q2962" s="204" t="s">
        <v>2276</v>
      </c>
      <c r="R2962" s="204" t="s">
        <v>2276</v>
      </c>
      <c r="S2962" s="204" t="s">
        <v>2276</v>
      </c>
      <c r="T2962" s="204" t="s">
        <v>2276</v>
      </c>
      <c r="U2962" s="204" t="s">
        <v>2276</v>
      </c>
      <c r="V2962" s="204" t="s">
        <v>2276</v>
      </c>
      <c r="W2962" s="204" t="s">
        <v>2276</v>
      </c>
      <c r="X2962" s="204" t="s">
        <v>2276</v>
      </c>
      <c r="Y2962" s="204" t="s">
        <v>2276</v>
      </c>
      <c r="Z2962" s="204" t="s">
        <v>2276</v>
      </c>
      <c r="AA2962" s="204"/>
      <c r="AB2962" s="204"/>
    </row>
    <row r="2963" spans="1:28" ht="36.5" customHeight="1">
      <c r="A2963" s="156" t="str">
        <f>'Reported burning'!A2963</f>
        <v>316a</v>
      </c>
      <c r="B2963" s="156" t="str">
        <f>'Reported burning'!B2963</f>
        <v>316a.1</v>
      </c>
      <c r="C2963" s="156" t="str">
        <f>'Reported burning'!C2963</f>
        <v>Human, deliberate</v>
      </c>
      <c r="D2963" s="156" t="str">
        <f>'Reported burning'!D2963</f>
        <v>Conservation</v>
      </c>
      <c r="E2963" s="156" t="str">
        <f>'Reported burning'!E2963</f>
        <v>Biodiversity conservation</v>
      </c>
      <c r="F2963" s="156" t="str">
        <f>'Reported burning'!F2963</f>
        <v>Shrubland (Mixed forest &amp; grassland)</v>
      </c>
      <c r="G2963" s="156" t="str">
        <f>'Reported burning'!G2963</f>
        <v>Shrubland (Mixed forest &amp; grassland)</v>
      </c>
      <c r="H2963" s="156" t="str">
        <f>'Reported burning'!H2963</f>
        <v>Presence</v>
      </c>
      <c r="I2963" s="5"/>
      <c r="J2963" s="204" t="s">
        <v>2276</v>
      </c>
      <c r="K2963" s="204" t="s">
        <v>2276</v>
      </c>
      <c r="L2963" s="204" t="s">
        <v>2276</v>
      </c>
      <c r="M2963" s="204" t="s">
        <v>2276</v>
      </c>
      <c r="N2963" s="204" t="s">
        <v>2276</v>
      </c>
      <c r="O2963" s="204" t="s">
        <v>2276</v>
      </c>
      <c r="P2963" s="204" t="s">
        <v>2276</v>
      </c>
      <c r="Q2963" s="204" t="s">
        <v>2276</v>
      </c>
      <c r="R2963" s="204" t="s">
        <v>2276</v>
      </c>
      <c r="S2963" s="204" t="s">
        <v>2276</v>
      </c>
      <c r="T2963" s="204" t="s">
        <v>2276</v>
      </c>
      <c r="U2963" s="204" t="s">
        <v>2276</v>
      </c>
      <c r="V2963" s="204" t="s">
        <v>2276</v>
      </c>
      <c r="W2963" s="204" t="s">
        <v>2276</v>
      </c>
      <c r="X2963" s="204" t="s">
        <v>2276</v>
      </c>
      <c r="Y2963" s="204" t="s">
        <v>2276</v>
      </c>
      <c r="Z2963" s="204" t="s">
        <v>2276</v>
      </c>
      <c r="AA2963" s="204"/>
      <c r="AB2963" s="204"/>
    </row>
    <row r="2964" spans="1:28" ht="36.5" customHeight="1">
      <c r="A2964" s="156" t="str">
        <f>'Reported burning'!A2964</f>
        <v>316b</v>
      </c>
      <c r="B2964" s="156" t="str">
        <f>'Reported burning'!B2964</f>
        <v>316b.1</v>
      </c>
      <c r="C2964" s="156" t="str">
        <f>'Reported burning'!C2964</f>
        <v>Human, deliberate</v>
      </c>
      <c r="D2964" s="156" t="str">
        <f>'Reported burning'!D2964</f>
        <v>Conservation</v>
      </c>
      <c r="E2964" s="156" t="str">
        <f>'Reported burning'!E2964</f>
        <v>Biodiversity conservation</v>
      </c>
      <c r="F2964" s="156" t="str">
        <f>'Reported burning'!F2964</f>
        <v>Shrubland (Mixed forest &amp; grassland)</v>
      </c>
      <c r="G2964" s="156" t="str">
        <f>'Reported burning'!G2964</f>
        <v>Shrubland (Mixed forest &amp; grassland)</v>
      </c>
      <c r="H2964" s="156" t="str">
        <f>'Reported burning'!H2964</f>
        <v>Presence</v>
      </c>
      <c r="I2964" s="5"/>
      <c r="J2964" s="204" t="s">
        <v>2276</v>
      </c>
      <c r="K2964" s="204" t="s">
        <v>2276</v>
      </c>
      <c r="L2964" s="204" t="s">
        <v>2276</v>
      </c>
      <c r="M2964" s="204" t="s">
        <v>2276</v>
      </c>
      <c r="N2964" s="204" t="s">
        <v>2276</v>
      </c>
      <c r="O2964" s="204" t="s">
        <v>2276</v>
      </c>
      <c r="P2964" s="204" t="s">
        <v>2276</v>
      </c>
      <c r="Q2964" s="204" t="s">
        <v>2276</v>
      </c>
      <c r="R2964" s="204" t="s">
        <v>2276</v>
      </c>
      <c r="S2964" s="204" t="s">
        <v>2276</v>
      </c>
      <c r="T2964" s="204" t="s">
        <v>2276</v>
      </c>
      <c r="U2964" s="204" t="s">
        <v>2276</v>
      </c>
      <c r="V2964" s="204" t="s">
        <v>2276</v>
      </c>
      <c r="W2964" s="204" t="s">
        <v>2276</v>
      </c>
      <c r="X2964" s="204" t="s">
        <v>2276</v>
      </c>
      <c r="Y2964" s="204" t="s">
        <v>2276</v>
      </c>
      <c r="Z2964" s="204" t="s">
        <v>2276</v>
      </c>
      <c r="AA2964" s="204"/>
      <c r="AB2964" s="204"/>
    </row>
    <row r="2965" spans="1:28" ht="30" customHeight="1">
      <c r="A2965" s="156" t="str">
        <f>'Reported burning'!A2965</f>
        <v>316c</v>
      </c>
      <c r="B2965" s="156" t="str">
        <f>'Reported burning'!B2965</f>
        <v>316c.1</v>
      </c>
      <c r="C2965" s="156" t="str">
        <f>'Reported burning'!C2965</f>
        <v>Human, deliberate</v>
      </c>
      <c r="D2965" s="156" t="str">
        <f>'Reported burning'!D2965</f>
        <v>Conservation</v>
      </c>
      <c r="E2965" s="156" t="str">
        <f>'Reported burning'!E2965</f>
        <v>Biodiversity conservation</v>
      </c>
      <c r="F2965" s="156" t="str">
        <f>'Reported burning'!F2965</f>
        <v>Shrubland (Mixed forest &amp; grassland)</v>
      </c>
      <c r="G2965" s="156" t="str">
        <f>'Reported burning'!G2965</f>
        <v>Shrubland (Mixed forest &amp; grassland)</v>
      </c>
      <c r="H2965" s="156" t="str">
        <f>'Reported burning'!H2965</f>
        <v>Presence</v>
      </c>
      <c r="I2965" s="5"/>
      <c r="J2965" s="204" t="s">
        <v>2276</v>
      </c>
      <c r="K2965" s="204" t="s">
        <v>2276</v>
      </c>
      <c r="L2965" s="204" t="s">
        <v>2276</v>
      </c>
      <c r="M2965" s="204" t="s">
        <v>2276</v>
      </c>
      <c r="N2965" s="204" t="s">
        <v>2276</v>
      </c>
      <c r="O2965" s="204" t="s">
        <v>2276</v>
      </c>
      <c r="P2965" s="204" t="s">
        <v>2276</v>
      </c>
      <c r="Q2965" s="204" t="s">
        <v>2276</v>
      </c>
      <c r="R2965" s="204" t="s">
        <v>2276</v>
      </c>
      <c r="S2965" s="204" t="s">
        <v>2276</v>
      </c>
      <c r="T2965" s="204" t="s">
        <v>2276</v>
      </c>
      <c r="U2965" s="204" t="s">
        <v>2276</v>
      </c>
      <c r="V2965" s="204" t="s">
        <v>2276</v>
      </c>
      <c r="W2965" s="204" t="s">
        <v>2276</v>
      </c>
      <c r="X2965" s="204" t="s">
        <v>2276</v>
      </c>
      <c r="Y2965" s="204" t="s">
        <v>2276</v>
      </c>
      <c r="Z2965" s="204" t="s">
        <v>2276</v>
      </c>
      <c r="AA2965" s="204"/>
      <c r="AB2965" s="204"/>
    </row>
    <row r="2966" spans="1:28" ht="30" customHeight="1">
      <c r="A2966" s="156" t="str">
        <f>'Reported burning'!A2966</f>
        <v>317a</v>
      </c>
      <c r="B2966" s="156" t="str">
        <f>'Reported burning'!B2966</f>
        <v>317a.1</v>
      </c>
      <c r="C2966" s="156" t="str">
        <f>'Reported burning'!C2966</f>
        <v>Human, deliberate</v>
      </c>
      <c r="D2966" s="156" t="str">
        <f>'Reported burning'!D2966</f>
        <v>Rangeland management</v>
      </c>
      <c r="E2966" s="156" t="str">
        <f>'Reported burning'!E2966</f>
        <v>Cattle, Extensive</v>
      </c>
      <c r="F2966" s="156" t="str">
        <f>'Reported burning'!F2966</f>
        <v>Shrubland (Mixed forest &amp; grassland)</v>
      </c>
      <c r="G2966" s="156" t="str">
        <f>'Reported burning'!G2966</f>
        <v>Shrubland (Mixed forest &amp; grassland)</v>
      </c>
      <c r="H2966" s="156" t="str">
        <f>'Reported burning'!H2966</f>
        <v>Presence</v>
      </c>
      <c r="I2966" s="5"/>
      <c r="J2966" s="204" t="s">
        <v>2276</v>
      </c>
      <c r="K2966" s="204" t="s">
        <v>2276</v>
      </c>
      <c r="L2966" s="204" t="s">
        <v>2276</v>
      </c>
      <c r="M2966" s="204" t="s">
        <v>2276</v>
      </c>
      <c r="N2966" s="204" t="s">
        <v>2276</v>
      </c>
      <c r="O2966" s="204" t="s">
        <v>2276</v>
      </c>
      <c r="P2966" s="204" t="s">
        <v>2276</v>
      </c>
      <c r="Q2966" s="204" t="s">
        <v>2276</v>
      </c>
      <c r="R2966" s="204" t="s">
        <v>2276</v>
      </c>
      <c r="S2966" s="204" t="s">
        <v>2276</v>
      </c>
      <c r="T2966" s="204" t="s">
        <v>2276</v>
      </c>
      <c r="U2966" s="204" t="s">
        <v>2276</v>
      </c>
      <c r="V2966" s="204" t="s">
        <v>2276</v>
      </c>
      <c r="W2966" s="204" t="s">
        <v>2276</v>
      </c>
      <c r="X2966" s="204" t="s">
        <v>2276</v>
      </c>
      <c r="Y2966" s="204" t="s">
        <v>2276</v>
      </c>
      <c r="Z2966" s="204" t="s">
        <v>2276</v>
      </c>
      <c r="AA2966" s="204"/>
      <c r="AB2966" s="204"/>
    </row>
    <row r="2967" spans="1:28" ht="30" customHeight="1">
      <c r="A2967" s="156" t="str">
        <f>'Reported burning'!A2967</f>
        <v>317a</v>
      </c>
      <c r="B2967" s="156" t="str">
        <f>'Reported burning'!B2967</f>
        <v>317a.2</v>
      </c>
      <c r="C2967" s="156" t="str">
        <f>'Reported burning'!C2967</f>
        <v>Human, escaped</v>
      </c>
      <c r="D2967" s="156" t="str">
        <f>'Reported burning'!D2967</f>
        <v>Rangeland management</v>
      </c>
      <c r="E2967" s="156" t="str">
        <f>'Reported burning'!E2967</f>
        <v>Cattle, Extensive</v>
      </c>
      <c r="F2967" s="156" t="str">
        <f>'Reported burning'!F2967</f>
        <v>Shrubland (Mixed forest &amp; grassland)</v>
      </c>
      <c r="G2967" s="156" t="str">
        <f>'Reported burning'!G2967</f>
        <v>Shrubland (Mixed forest &amp; grassland)</v>
      </c>
      <c r="H2967" s="156" t="str">
        <f>'Reported burning'!H2967</f>
        <v>Presence</v>
      </c>
      <c r="I2967" s="5"/>
      <c r="J2967" s="204" t="s">
        <v>2276</v>
      </c>
      <c r="K2967" s="204" t="s">
        <v>2276</v>
      </c>
      <c r="L2967" s="204" t="s">
        <v>2276</v>
      </c>
      <c r="M2967" s="204" t="s">
        <v>2276</v>
      </c>
      <c r="N2967" s="204" t="s">
        <v>2276</v>
      </c>
      <c r="O2967" s="204" t="s">
        <v>2276</v>
      </c>
      <c r="P2967" s="204" t="s">
        <v>2276</v>
      </c>
      <c r="Q2967" s="204" t="s">
        <v>2276</v>
      </c>
      <c r="R2967" s="204" t="s">
        <v>2276</v>
      </c>
      <c r="S2967" s="204" t="s">
        <v>2276</v>
      </c>
      <c r="T2967" s="204" t="s">
        <v>2276</v>
      </c>
      <c r="U2967" s="204" t="s">
        <v>2276</v>
      </c>
      <c r="V2967" s="204" t="s">
        <v>2276</v>
      </c>
      <c r="W2967" s="204" t="s">
        <v>2276</v>
      </c>
      <c r="X2967" s="204" t="s">
        <v>2276</v>
      </c>
      <c r="Y2967" s="204" t="s">
        <v>2276</v>
      </c>
      <c r="Z2967" s="204" t="s">
        <v>2276</v>
      </c>
      <c r="AA2967" s="204"/>
      <c r="AB2967" s="204"/>
    </row>
    <row r="2968" spans="1:28" ht="31" customHeight="1">
      <c r="A2968" s="156" t="str">
        <f>'Reported burning'!A2968</f>
        <v>318a</v>
      </c>
      <c r="B2968" s="156" t="str">
        <f>'Reported burning'!B2968</f>
        <v>318a.1</v>
      </c>
      <c r="C2968" s="156" t="str">
        <f>'Reported burning'!C2968</f>
        <v>Human, deliberate</v>
      </c>
      <c r="D2968" s="156" t="str">
        <f>'Reported burning'!D2968</f>
        <v>Conservation</v>
      </c>
      <c r="E2968" s="156" t="str">
        <f>'Reported burning'!E2968</f>
        <v>Biodiversity conservation</v>
      </c>
      <c r="F2968" s="156" t="str">
        <f>'Reported burning'!F2968</f>
        <v>Shrubland (Mixed forest &amp; grassland)</v>
      </c>
      <c r="G2968" s="156" t="str">
        <f>'Reported burning'!G2968</f>
        <v>Shrubland (Mixed forest &amp; grassland)</v>
      </c>
      <c r="H2968" s="156" t="str">
        <f>'Reported burning'!H2968</f>
        <v>Absence</v>
      </c>
      <c r="I2968" s="5"/>
      <c r="J2968" s="21" t="s">
        <v>2364</v>
      </c>
      <c r="K2968" s="21" t="s">
        <v>2364</v>
      </c>
      <c r="L2968" s="21" t="s">
        <v>2364</v>
      </c>
      <c r="M2968" s="21" t="s">
        <v>2364</v>
      </c>
      <c r="N2968" s="21" t="s">
        <v>2364</v>
      </c>
      <c r="O2968" s="21" t="s">
        <v>2364</v>
      </c>
      <c r="P2968" s="21" t="s">
        <v>2364</v>
      </c>
      <c r="Q2968" s="21" t="s">
        <v>2364</v>
      </c>
      <c r="R2968" s="21" t="s">
        <v>2364</v>
      </c>
      <c r="S2968" s="21" t="s">
        <v>2364</v>
      </c>
      <c r="T2968" s="21" t="s">
        <v>2364</v>
      </c>
      <c r="U2968" s="21" t="s">
        <v>2364</v>
      </c>
      <c r="V2968" s="21" t="s">
        <v>2364</v>
      </c>
      <c r="W2968" s="204" t="s">
        <v>2276</v>
      </c>
      <c r="X2968" s="204" t="s">
        <v>2276</v>
      </c>
      <c r="Y2968" s="204" t="s">
        <v>2276</v>
      </c>
      <c r="Z2968" s="204" t="s">
        <v>2276</v>
      </c>
      <c r="AA2968" s="204"/>
      <c r="AB2968" s="204"/>
    </row>
    <row r="2969" spans="1:28" ht="31" customHeight="1">
      <c r="A2969" s="156" t="str">
        <f>'Reported burning'!A2969</f>
        <v>318b</v>
      </c>
      <c r="B2969" s="156" t="str">
        <f>'Reported burning'!B2969</f>
        <v>318b.1</v>
      </c>
      <c r="C2969" s="156" t="str">
        <f>'Reported burning'!C2969</f>
        <v>Human, deliberate</v>
      </c>
      <c r="D2969" s="156" t="str">
        <f>'Reported burning'!D2969</f>
        <v>Rangeland management</v>
      </c>
      <c r="E2969" s="156" t="str">
        <f>'Reported burning'!E2969</f>
        <v>Cattle, Extensive</v>
      </c>
      <c r="F2969" s="156" t="str">
        <f>'Reported burning'!F2969</f>
        <v>Shrubland (Mixed forest &amp; grassland)</v>
      </c>
      <c r="G2969" s="156" t="str">
        <f>'Reported burning'!G2969</f>
        <v>Shrubland (Mixed forest &amp; grassland)</v>
      </c>
      <c r="H2969" s="156" t="str">
        <f>'Reported burning'!H2969</f>
        <v>Presence</v>
      </c>
      <c r="I2969" s="5"/>
      <c r="J2969" s="204" t="s">
        <v>2276</v>
      </c>
      <c r="K2969" s="204" t="s">
        <v>2276</v>
      </c>
      <c r="L2969" s="204" t="s">
        <v>2276</v>
      </c>
      <c r="M2969" s="204" t="s">
        <v>2276</v>
      </c>
      <c r="N2969" s="204" t="s">
        <v>2276</v>
      </c>
      <c r="O2969" s="204" t="s">
        <v>2276</v>
      </c>
      <c r="P2969" s="204" t="s">
        <v>2276</v>
      </c>
      <c r="Q2969" s="204" t="s">
        <v>2276</v>
      </c>
      <c r="R2969" s="204" t="s">
        <v>2276</v>
      </c>
      <c r="S2969" s="204" t="s">
        <v>2276</v>
      </c>
      <c r="T2969" s="21" t="s">
        <v>2391</v>
      </c>
      <c r="U2969" s="204" t="s">
        <v>2276</v>
      </c>
      <c r="V2969" s="204" t="s">
        <v>2276</v>
      </c>
      <c r="W2969" s="204" t="s">
        <v>2276</v>
      </c>
      <c r="X2969" s="204" t="s">
        <v>405</v>
      </c>
      <c r="Y2969" s="204" t="s">
        <v>425</v>
      </c>
      <c r="Z2969" s="204" t="s">
        <v>2276</v>
      </c>
      <c r="AA2969" s="204"/>
      <c r="AB2969" s="204"/>
    </row>
    <row r="2970" spans="1:28" ht="42" customHeight="1">
      <c r="A2970" s="156" t="str">
        <f>'Reported burning'!A2970</f>
        <v>318a</v>
      </c>
      <c r="B2970" s="156" t="str">
        <f>'Reported burning'!B2970</f>
        <v>318a.2</v>
      </c>
      <c r="C2970" s="156" t="str">
        <f>'Reported burning'!C2970</f>
        <v>Human, deliberate</v>
      </c>
      <c r="D2970" s="156" t="str">
        <f>'Reported burning'!D2970</f>
        <v>Rangeland management</v>
      </c>
      <c r="E2970" s="156" t="str">
        <f>'Reported burning'!E2970</f>
        <v>Cattle, Extensive</v>
      </c>
      <c r="F2970" s="156" t="str">
        <f>'Reported burning'!F2970</f>
        <v>Shrubland (Mixed forest &amp; grassland)</v>
      </c>
      <c r="G2970" s="156" t="str">
        <f>'Reported burning'!G2970</f>
        <v>Shrubland (Mixed forest &amp; grassland)</v>
      </c>
      <c r="H2970" s="156" t="str">
        <f>'Reported burning'!H2970</f>
        <v>Absence</v>
      </c>
      <c r="I2970" s="5"/>
      <c r="J2970" s="21">
        <v>0</v>
      </c>
      <c r="K2970" s="21">
        <v>0</v>
      </c>
      <c r="L2970" s="21">
        <v>0</v>
      </c>
      <c r="M2970" s="21">
        <v>0</v>
      </c>
      <c r="N2970" s="21">
        <v>0</v>
      </c>
      <c r="O2970" s="21">
        <v>0</v>
      </c>
      <c r="P2970" s="21">
        <v>0</v>
      </c>
      <c r="Q2970" s="21">
        <v>0</v>
      </c>
      <c r="R2970" s="21">
        <v>0</v>
      </c>
      <c r="S2970" s="21">
        <v>0</v>
      </c>
      <c r="T2970" s="21">
        <v>0</v>
      </c>
      <c r="U2970" s="21">
        <v>0</v>
      </c>
      <c r="V2970" s="204" t="s">
        <v>2276</v>
      </c>
      <c r="W2970" s="204" t="s">
        <v>2276</v>
      </c>
      <c r="X2970" s="204" t="s">
        <v>2276</v>
      </c>
      <c r="Y2970" s="204" t="s">
        <v>2276</v>
      </c>
      <c r="Z2970" s="204" t="s">
        <v>2276</v>
      </c>
      <c r="AA2970" s="204"/>
      <c r="AB2970" s="204"/>
    </row>
    <row r="2971" spans="1:28" ht="42" customHeight="1">
      <c r="A2971" s="156" t="str">
        <f>'Reported burning'!A2971</f>
        <v>319a</v>
      </c>
      <c r="B2971" s="156" t="str">
        <f>'Reported burning'!B2971</f>
        <v>319a.1</v>
      </c>
      <c r="C2971" s="156" t="str">
        <f>'Reported burning'!C2971</f>
        <v>Human, deliberate</v>
      </c>
      <c r="D2971" s="156" t="str">
        <f>'Reported burning'!D2971</f>
        <v>Hunting</v>
      </c>
      <c r="E2971" s="156" t="str">
        <f>'Reported burning'!E2971</f>
        <v>Forestry, Traditional</v>
      </c>
      <c r="F2971" s="156" t="str">
        <f>'Reported burning'!F2971</f>
        <v>Shrubland (Mixed forest &amp; grassland)</v>
      </c>
      <c r="G2971" s="156" t="str">
        <f>'Reported burning'!G2971</f>
        <v>Shrubland (Mixed forest &amp; grassland)</v>
      </c>
      <c r="H2971" s="156" t="str">
        <f>'Reported burning'!H2971</f>
        <v>Presence</v>
      </c>
      <c r="I2971" s="5"/>
      <c r="J2971" s="204" t="s">
        <v>2276</v>
      </c>
      <c r="K2971" s="204" t="s">
        <v>2276</v>
      </c>
      <c r="L2971" s="204" t="s">
        <v>2276</v>
      </c>
      <c r="M2971" s="204" t="s">
        <v>2276</v>
      </c>
      <c r="N2971" s="21" t="s">
        <v>2384</v>
      </c>
      <c r="O2971" s="204" t="s">
        <v>2276</v>
      </c>
      <c r="P2971" s="204" t="s">
        <v>2276</v>
      </c>
      <c r="Q2971" s="204" t="s">
        <v>2276</v>
      </c>
      <c r="R2971" s="204" t="s">
        <v>2276</v>
      </c>
      <c r="S2971" s="204" t="s">
        <v>2276</v>
      </c>
      <c r="T2971" s="204" t="s">
        <v>2276</v>
      </c>
      <c r="U2971" s="204" t="s">
        <v>2276</v>
      </c>
      <c r="V2971" s="204" t="s">
        <v>2276</v>
      </c>
      <c r="W2971" s="204" t="s">
        <v>2276</v>
      </c>
      <c r="X2971" s="204" t="s">
        <v>404</v>
      </c>
      <c r="Y2971" s="204" t="s">
        <v>425</v>
      </c>
      <c r="Z2971" s="204" t="s">
        <v>2276</v>
      </c>
      <c r="AA2971" s="204"/>
      <c r="AB2971" s="4" t="s">
        <v>8034</v>
      </c>
    </row>
    <row r="2972" spans="1:28" ht="28" customHeight="1">
      <c r="A2972" s="156" t="str">
        <f>'Reported burning'!A2972</f>
        <v>319a</v>
      </c>
      <c r="B2972" s="156" t="str">
        <f>'Reported burning'!B2972</f>
        <v>319a.2</v>
      </c>
      <c r="C2972" s="156" t="str">
        <f>'Reported burning'!C2972</f>
        <v>Human, deliberate</v>
      </c>
      <c r="D2972" s="156" t="str">
        <f>'Reported burning'!D2972</f>
        <v>Cultural &amp; Spiritual</v>
      </c>
      <c r="E2972" s="156" t="str">
        <f>'Reported burning'!E2972</f>
        <v>Forestry, Traditional</v>
      </c>
      <c r="F2972" s="156" t="str">
        <f>'Reported burning'!F2972</f>
        <v>Shrubland (Mixed forest &amp; grassland)</v>
      </c>
      <c r="G2972" s="156" t="str">
        <f>'Reported burning'!G2972</f>
        <v>Shrubland (Mixed forest &amp; grassland)</v>
      </c>
      <c r="H2972" s="156" t="str">
        <f>'Reported burning'!H2972</f>
        <v>Presence</v>
      </c>
      <c r="I2972" s="5"/>
      <c r="J2972" s="204" t="s">
        <v>2276</v>
      </c>
      <c r="K2972" s="204" t="s">
        <v>2276</v>
      </c>
      <c r="L2972" s="204" t="s">
        <v>2276</v>
      </c>
      <c r="M2972" s="204" t="s">
        <v>2276</v>
      </c>
      <c r="N2972" s="204" t="s">
        <v>2276</v>
      </c>
      <c r="O2972" s="204" t="s">
        <v>2276</v>
      </c>
      <c r="P2972" s="204" t="s">
        <v>2276</v>
      </c>
      <c r="Q2972" s="204" t="s">
        <v>2276</v>
      </c>
      <c r="R2972" s="204" t="s">
        <v>2276</v>
      </c>
      <c r="S2972" s="204" t="s">
        <v>2276</v>
      </c>
      <c r="T2972" s="204" t="s">
        <v>2276</v>
      </c>
      <c r="U2972" s="204" t="s">
        <v>2276</v>
      </c>
      <c r="V2972" s="204" t="s">
        <v>2276</v>
      </c>
      <c r="W2972" s="204" t="s">
        <v>2276</v>
      </c>
      <c r="X2972" s="204" t="s">
        <v>404</v>
      </c>
      <c r="Y2972" s="204" t="s">
        <v>425</v>
      </c>
      <c r="Z2972" s="204" t="s">
        <v>2276</v>
      </c>
      <c r="AA2972" s="204"/>
      <c r="AB2972" s="204"/>
    </row>
    <row r="2973" spans="1:28" ht="52" customHeight="1">
      <c r="A2973" s="156" t="str">
        <f>'Reported burning'!A2973</f>
        <v>320a</v>
      </c>
      <c r="B2973" s="156" t="str">
        <f>'Reported burning'!B2973</f>
        <v>320a.1</v>
      </c>
      <c r="C2973" s="156" t="str">
        <f>'Reported burning'!C2973</f>
        <v>Human, deliberate</v>
      </c>
      <c r="D2973" s="156" t="str">
        <f>'Reported burning'!D2973</f>
        <v>Rangeland management</v>
      </c>
      <c r="E2973" s="156" t="str">
        <f>'Reported burning'!E2973</f>
        <v>Cattle, Intensive</v>
      </c>
      <c r="F2973" s="156" t="str">
        <f>'Reported burning'!F2973</f>
        <v>Shrubland (Mixed forest &amp; grassland)</v>
      </c>
      <c r="G2973" s="156" t="str">
        <f>'Reported burning'!G2973</f>
        <v>Shrubland (Mixed forest &amp; grassland)</v>
      </c>
      <c r="H2973" s="156" t="str">
        <f>'Reported burning'!H2973</f>
        <v>Presence</v>
      </c>
      <c r="I2973" s="5"/>
      <c r="J2973" s="204" t="s">
        <v>2276</v>
      </c>
      <c r="K2973" s="204" t="s">
        <v>2276</v>
      </c>
      <c r="L2973" s="204" t="s">
        <v>2276</v>
      </c>
      <c r="M2973" s="204" t="s">
        <v>2276</v>
      </c>
      <c r="N2973" s="204" t="s">
        <v>2276</v>
      </c>
      <c r="O2973" s="204" t="s">
        <v>2276</v>
      </c>
      <c r="P2973" s="204" t="s">
        <v>2276</v>
      </c>
      <c r="Q2973" s="204" t="s">
        <v>2276</v>
      </c>
      <c r="R2973" s="204" t="s">
        <v>2276</v>
      </c>
      <c r="S2973" s="204" t="s">
        <v>2276</v>
      </c>
      <c r="T2973" s="204" t="s">
        <v>2276</v>
      </c>
      <c r="U2973" s="204" t="s">
        <v>2276</v>
      </c>
      <c r="V2973" s="204" t="s">
        <v>2276</v>
      </c>
      <c r="W2973" s="204" t="s">
        <v>2276</v>
      </c>
      <c r="X2973" s="204" t="s">
        <v>2276</v>
      </c>
      <c r="Y2973" s="204" t="s">
        <v>2276</v>
      </c>
      <c r="Z2973" s="204" t="s">
        <v>2276</v>
      </c>
      <c r="AA2973" s="4" t="s">
        <v>8043</v>
      </c>
      <c r="AB2973" s="204"/>
    </row>
    <row r="2974" spans="1:28" ht="28.5" customHeight="1">
      <c r="A2974" s="156" t="str">
        <f>'Reported burning'!A2974</f>
        <v>320b</v>
      </c>
      <c r="B2974" s="156" t="str">
        <f>'Reported burning'!B2974</f>
        <v>320b.1</v>
      </c>
      <c r="C2974" s="156" t="str">
        <f>'Reported burning'!C2974</f>
        <v>Human, deliberate</v>
      </c>
      <c r="D2974" s="156" t="str">
        <f>'Reported burning'!D2974</f>
        <v>Rangeland management</v>
      </c>
      <c r="E2974" s="156" t="str">
        <f>'Reported burning'!E2974</f>
        <v>Cattle, Extensive</v>
      </c>
      <c r="F2974" s="156" t="str">
        <f>'Reported burning'!F2974</f>
        <v>Shrubland (Mixed forest &amp; grassland)</v>
      </c>
      <c r="G2974" s="156" t="str">
        <f>'Reported burning'!G2974</f>
        <v>Shrubland (Mixed forest &amp; grassland)</v>
      </c>
      <c r="H2974" s="156" t="str">
        <f>'Reported burning'!H2974</f>
        <v>Presence</v>
      </c>
      <c r="I2974" s="5"/>
      <c r="J2974" s="204" t="s">
        <v>2276</v>
      </c>
      <c r="K2974" s="204" t="s">
        <v>2276</v>
      </c>
      <c r="L2974" s="204" t="s">
        <v>2276</v>
      </c>
      <c r="M2974" s="204" t="s">
        <v>2276</v>
      </c>
      <c r="N2974" s="204" t="s">
        <v>2276</v>
      </c>
      <c r="O2974" s="204" t="s">
        <v>2276</v>
      </c>
      <c r="P2974" s="204" t="s">
        <v>2276</v>
      </c>
      <c r="Q2974" s="204" t="s">
        <v>2276</v>
      </c>
      <c r="R2974" s="204" t="s">
        <v>2276</v>
      </c>
      <c r="S2974" s="204" t="s">
        <v>2276</v>
      </c>
      <c r="T2974" s="204" t="s">
        <v>2276</v>
      </c>
      <c r="U2974" s="204" t="s">
        <v>2276</v>
      </c>
      <c r="V2974" s="204" t="s">
        <v>2276</v>
      </c>
      <c r="W2974" s="204" t="s">
        <v>2276</v>
      </c>
      <c r="X2974" s="204" t="s">
        <v>2276</v>
      </c>
      <c r="Y2974" s="204" t="s">
        <v>2276</v>
      </c>
      <c r="Z2974" s="204" t="s">
        <v>2276</v>
      </c>
      <c r="AA2974" s="4" t="s">
        <v>8043</v>
      </c>
      <c r="AB2974" s="204"/>
    </row>
    <row r="2975" spans="1:28" ht="52.5" customHeight="1">
      <c r="A2975" s="156" t="str">
        <f>'Reported burning'!A2975</f>
        <v>321a</v>
      </c>
      <c r="B2975" s="156" t="str">
        <f>'Reported burning'!B2975</f>
        <v>321a.1</v>
      </c>
      <c r="C2975" s="156" t="str">
        <f>'Reported burning'!C2975</f>
        <v>Human, deliberate</v>
      </c>
      <c r="D2975" s="156" t="str">
        <f>'Reported burning'!D2975</f>
        <v>Pasture renewal</v>
      </c>
      <c r="E2975" s="156" t="str">
        <f>'Reported burning'!E2975</f>
        <v>Cattle, Extensive</v>
      </c>
      <c r="F2975" s="156" t="str">
        <f>'Reported burning'!F2975</f>
        <v>Pasture</v>
      </c>
      <c r="G2975" s="156" t="str">
        <f>'Reported burning'!G2975</f>
        <v>Pasture</v>
      </c>
      <c r="H2975" s="156" t="str">
        <f>'Reported burning'!H2975</f>
        <v>Presence</v>
      </c>
      <c r="I2975" s="5"/>
      <c r="J2975" s="204" t="s">
        <v>2276</v>
      </c>
      <c r="K2975" s="204" t="s">
        <v>2276</v>
      </c>
      <c r="L2975" s="204" t="s">
        <v>2276</v>
      </c>
      <c r="M2975" s="204" t="s">
        <v>2276</v>
      </c>
      <c r="N2975" s="204" t="s">
        <v>2276</v>
      </c>
      <c r="O2975" s="204" t="s">
        <v>2276</v>
      </c>
      <c r="P2975" s="204" t="s">
        <v>2276</v>
      </c>
      <c r="Q2975" s="204" t="s">
        <v>2276</v>
      </c>
      <c r="R2975" s="204" t="s">
        <v>2276</v>
      </c>
      <c r="S2975" s="204" t="s">
        <v>2276</v>
      </c>
      <c r="T2975" s="204" t="s">
        <v>2276</v>
      </c>
      <c r="U2975" s="204" t="s">
        <v>2276</v>
      </c>
      <c r="V2975" s="204" t="s">
        <v>2276</v>
      </c>
      <c r="W2975" s="204" t="s">
        <v>2276</v>
      </c>
      <c r="X2975" s="204" t="s">
        <v>2276</v>
      </c>
      <c r="Y2975" s="204" t="s">
        <v>2276</v>
      </c>
      <c r="Z2975" s="204" t="s">
        <v>2276</v>
      </c>
      <c r="AA2975" s="204"/>
      <c r="AB2975" s="204"/>
    </row>
    <row r="2976" spans="1:28" ht="52.5" customHeight="1">
      <c r="A2976" s="156" t="str">
        <f>'Reported burning'!A2976</f>
        <v>321a</v>
      </c>
      <c r="B2976" s="156" t="str">
        <f>'Reported burning'!B2976</f>
        <v>321a.2</v>
      </c>
      <c r="C2976" s="156" t="str">
        <f>'Reported burning'!C2976</f>
        <v>Human, deliberate</v>
      </c>
      <c r="D2976" s="156" t="str">
        <f>'Reported burning'!D2976</f>
        <v>Forest clearance</v>
      </c>
      <c r="E2976" s="156" t="str">
        <f>'Reported burning'!E2976</f>
        <v>Cattle, Extensive</v>
      </c>
      <c r="F2976" s="156" t="str">
        <f>'Reported burning'!F2976</f>
        <v>Forest</v>
      </c>
      <c r="G2976" s="156" t="str">
        <f>'Reported burning'!G2976</f>
        <v>Forest</v>
      </c>
      <c r="H2976" s="156" t="str">
        <f>'Reported burning'!H2976</f>
        <v>Presence</v>
      </c>
      <c r="I2976" s="5"/>
      <c r="J2976" s="204" t="s">
        <v>2276</v>
      </c>
      <c r="K2976" s="204" t="s">
        <v>2276</v>
      </c>
      <c r="L2976" s="204" t="s">
        <v>2276</v>
      </c>
      <c r="M2976" s="204" t="s">
        <v>2276</v>
      </c>
      <c r="N2976" s="204" t="s">
        <v>2276</v>
      </c>
      <c r="O2976" s="204" t="s">
        <v>2276</v>
      </c>
      <c r="P2976" s="204" t="s">
        <v>2276</v>
      </c>
      <c r="Q2976" s="204" t="s">
        <v>2276</v>
      </c>
      <c r="R2976" s="204" t="s">
        <v>2276</v>
      </c>
      <c r="S2976" s="204" t="s">
        <v>2276</v>
      </c>
      <c r="T2976" s="204" t="s">
        <v>2276</v>
      </c>
      <c r="U2976" s="204" t="s">
        <v>2276</v>
      </c>
      <c r="V2976" s="204" t="s">
        <v>2276</v>
      </c>
      <c r="W2976" s="204" t="s">
        <v>2276</v>
      </c>
      <c r="X2976" s="204" t="s">
        <v>2276</v>
      </c>
      <c r="Y2976" s="204" t="s">
        <v>2276</v>
      </c>
      <c r="Z2976" s="204" t="s">
        <v>2276</v>
      </c>
      <c r="AA2976" s="204"/>
      <c r="AB2976" s="204"/>
    </row>
    <row r="2977" spans="1:28" ht="24.5" customHeight="1">
      <c r="A2977" s="156" t="str">
        <f>'Reported burning'!A2977</f>
        <v>321a</v>
      </c>
      <c r="B2977" s="156" t="str">
        <f>'Reported burning'!B2977</f>
        <v>321a.3</v>
      </c>
      <c r="C2977" s="156" t="str">
        <f>'Reported burning'!C2977</f>
        <v>Human, escaped</v>
      </c>
      <c r="D2977" s="156" t="str">
        <f>'Reported burning'!D2977</f>
        <v>Pasture renewal</v>
      </c>
      <c r="E2977" s="156" t="str">
        <f>'Reported burning'!E2977</f>
        <v>Cattle, Extensive</v>
      </c>
      <c r="F2977" s="156" t="str">
        <f>'Reported burning'!F2977</f>
        <v>Pasture</v>
      </c>
      <c r="G2977" s="156" t="str">
        <f>'Reported burning'!G2977</f>
        <v>Forest</v>
      </c>
      <c r="H2977" s="156" t="str">
        <f>'Reported burning'!H2977</f>
        <v>Presence</v>
      </c>
      <c r="I2977" s="5"/>
      <c r="J2977" s="204" t="s">
        <v>2276</v>
      </c>
      <c r="K2977" s="204" t="s">
        <v>2276</v>
      </c>
      <c r="L2977" s="204" t="s">
        <v>2276</v>
      </c>
      <c r="M2977" s="204" t="s">
        <v>2276</v>
      </c>
      <c r="N2977" s="204" t="s">
        <v>2276</v>
      </c>
      <c r="O2977" s="204" t="s">
        <v>2276</v>
      </c>
      <c r="P2977" s="204" t="s">
        <v>2276</v>
      </c>
      <c r="Q2977" s="204" t="s">
        <v>2276</v>
      </c>
      <c r="R2977" s="204" t="s">
        <v>2276</v>
      </c>
      <c r="S2977" s="204" t="s">
        <v>2276</v>
      </c>
      <c r="T2977" s="204" t="s">
        <v>2276</v>
      </c>
      <c r="U2977" s="204" t="s">
        <v>2276</v>
      </c>
      <c r="V2977" s="204" t="s">
        <v>2276</v>
      </c>
      <c r="W2977" s="204" t="s">
        <v>2276</v>
      </c>
      <c r="X2977" s="204" t="s">
        <v>2276</v>
      </c>
      <c r="Y2977" s="204" t="s">
        <v>2276</v>
      </c>
      <c r="Z2977" s="204" t="s">
        <v>2276</v>
      </c>
      <c r="AA2977" s="4" t="s">
        <v>8060</v>
      </c>
      <c r="AB2977" s="204"/>
    </row>
    <row r="2978" spans="1:28" ht="24.5" customHeight="1">
      <c r="A2978" s="152" t="str">
        <f>'Reported burning'!A2978</f>
        <v>322a</v>
      </c>
      <c r="B2978" s="152" t="str">
        <f>'Reported burning'!B2978</f>
        <v>322a.1</v>
      </c>
      <c r="C2978" s="152" t="str">
        <f>'Reported burning'!C2978</f>
        <v>Human, deliberate</v>
      </c>
      <c r="D2978" s="152" t="str">
        <f>'Reported burning'!D2978</f>
        <v>Conservation</v>
      </c>
      <c r="E2978" s="152" t="str">
        <f>'Reported burning'!E2978</f>
        <v>Biodiversity conservation</v>
      </c>
      <c r="F2978" s="152" t="str">
        <f>'Reported burning'!F2978</f>
        <v>Shrubland (Mixed forest &amp; grassland)</v>
      </c>
      <c r="G2978" s="152" t="str">
        <f>'Reported burning'!G2978</f>
        <v>Shrubland (Mixed forest &amp; grassland)</v>
      </c>
      <c r="H2978" s="152" t="str">
        <f>'Reported burning'!H2978</f>
        <v>Presence</v>
      </c>
      <c r="I2978" s="204"/>
      <c r="J2978" s="204" t="s">
        <v>2276</v>
      </c>
      <c r="K2978" s="204" t="s">
        <v>2276</v>
      </c>
      <c r="L2978" s="204" t="s">
        <v>2276</v>
      </c>
      <c r="M2978" s="204" t="s">
        <v>2276</v>
      </c>
      <c r="N2978" s="204" t="s">
        <v>2276</v>
      </c>
      <c r="O2978" s="204" t="s">
        <v>2276</v>
      </c>
      <c r="P2978" s="204" t="s">
        <v>2276</v>
      </c>
      <c r="Q2978" s="204" t="s">
        <v>2276</v>
      </c>
      <c r="R2978" s="204" t="s">
        <v>2276</v>
      </c>
      <c r="S2978" s="204" t="s">
        <v>2276</v>
      </c>
      <c r="T2978" s="204" t="s">
        <v>2276</v>
      </c>
      <c r="U2978" s="204" t="s">
        <v>2276</v>
      </c>
      <c r="V2978" s="204" t="s">
        <v>2276</v>
      </c>
      <c r="W2978" s="204" t="s">
        <v>2276</v>
      </c>
      <c r="X2978" s="204" t="s">
        <v>2276</v>
      </c>
      <c r="Y2978" s="204" t="s">
        <v>2276</v>
      </c>
      <c r="Z2978" s="204" t="s">
        <v>2276</v>
      </c>
      <c r="AA2978" s="4"/>
      <c r="AB2978" s="204"/>
    </row>
    <row r="2979" spans="1:28" ht="38" customHeight="1">
      <c r="A2979" s="152" t="str">
        <f>'Reported burning'!A2979</f>
        <v>323a</v>
      </c>
      <c r="B2979" s="152" t="str">
        <f>'Reported burning'!B2979</f>
        <v>323a.1</v>
      </c>
      <c r="C2979" s="152" t="str">
        <f>'Reported burning'!C2979</f>
        <v>Human, deliberate</v>
      </c>
      <c r="D2979" s="152" t="str">
        <f>'Reported burning'!D2979</f>
        <v>Pasture renewal</v>
      </c>
      <c r="E2979" s="152" t="str">
        <f>'Reported burning'!E2979</f>
        <v>Cattle, Extensive</v>
      </c>
      <c r="F2979" s="152" t="str">
        <f>'Reported burning'!F2979</f>
        <v>Shrubland (Mixed forest &amp; grassland)</v>
      </c>
      <c r="G2979" s="152" t="str">
        <f>'Reported burning'!G2979</f>
        <v>ND</v>
      </c>
      <c r="H2979" s="152" t="str">
        <f>'Reported burning'!H2979</f>
        <v>Presence</v>
      </c>
      <c r="I2979" s="204"/>
      <c r="J2979" s="204" t="s">
        <v>2276</v>
      </c>
      <c r="K2979" s="204" t="s">
        <v>2276</v>
      </c>
      <c r="L2979" s="204" t="s">
        <v>2276</v>
      </c>
      <c r="M2979" s="204" t="s">
        <v>2276</v>
      </c>
      <c r="N2979" s="204" t="s">
        <v>2276</v>
      </c>
      <c r="O2979" s="204" t="s">
        <v>2276</v>
      </c>
      <c r="P2979" s="204" t="s">
        <v>2276</v>
      </c>
      <c r="Q2979" s="204" t="s">
        <v>2276</v>
      </c>
      <c r="R2979" s="204" t="s">
        <v>2276</v>
      </c>
      <c r="S2979" s="204" t="s">
        <v>2276</v>
      </c>
      <c r="T2979" s="204" t="s">
        <v>2276</v>
      </c>
      <c r="U2979" s="204" t="s">
        <v>2276</v>
      </c>
      <c r="V2979" s="204" t="s">
        <v>2276</v>
      </c>
      <c r="W2979" s="21" t="s">
        <v>2401</v>
      </c>
      <c r="X2979" s="204" t="s">
        <v>2276</v>
      </c>
      <c r="Y2979" s="204" t="s">
        <v>2276</v>
      </c>
      <c r="Z2979" s="204" t="s">
        <v>2276</v>
      </c>
      <c r="AA2979" s="204"/>
      <c r="AB2979" s="204"/>
    </row>
    <row r="2980" spans="1:28" ht="30.5" customHeight="1">
      <c r="A2980" s="152" t="str">
        <f>'Reported burning'!A2980</f>
        <v>324a</v>
      </c>
      <c r="B2980" s="152" t="str">
        <f>'Reported burning'!B2980</f>
        <v>324a.1</v>
      </c>
      <c r="C2980" s="152" t="str">
        <f>'Reported burning'!C2980</f>
        <v>Human, deliberate</v>
      </c>
      <c r="D2980" s="152" t="str">
        <f>'Reported burning'!D2980</f>
        <v>Pasture renewal</v>
      </c>
      <c r="E2980" s="152" t="str">
        <f>'Reported burning'!E2980</f>
        <v>Cattle, Extensive</v>
      </c>
      <c r="F2980" s="152" t="str">
        <f>'Reported burning'!F2980</f>
        <v>Shrubland (Mixed forest &amp; grassland)</v>
      </c>
      <c r="G2980" s="152" t="str">
        <f>'Reported burning'!G2980</f>
        <v>ND</v>
      </c>
      <c r="H2980" s="152" t="str">
        <f>'Reported burning'!H2980</f>
        <v>Presence</v>
      </c>
      <c r="I2980" s="204"/>
      <c r="J2980" s="21" t="s">
        <v>2370</v>
      </c>
      <c r="K2980" s="204" t="s">
        <v>2276</v>
      </c>
      <c r="L2980" s="204" t="s">
        <v>2276</v>
      </c>
      <c r="M2980" s="204" t="s">
        <v>2276</v>
      </c>
      <c r="N2980" s="204" t="s">
        <v>2276</v>
      </c>
      <c r="O2980" s="204" t="s">
        <v>2276</v>
      </c>
      <c r="P2980" s="204" t="s">
        <v>2276</v>
      </c>
      <c r="Q2980" s="204" t="s">
        <v>2276</v>
      </c>
      <c r="R2980" s="204" t="s">
        <v>2276</v>
      </c>
      <c r="S2980" s="204" t="s">
        <v>2276</v>
      </c>
      <c r="T2980" s="204" t="s">
        <v>2276</v>
      </c>
      <c r="U2980" s="204" t="s">
        <v>2276</v>
      </c>
      <c r="V2980" s="204" t="s">
        <v>2276</v>
      </c>
      <c r="W2980" s="204" t="s">
        <v>2276</v>
      </c>
      <c r="X2980" s="204" t="s">
        <v>2276</v>
      </c>
      <c r="Y2980" s="204" t="s">
        <v>2276</v>
      </c>
      <c r="Z2980" s="204" t="s">
        <v>2276</v>
      </c>
      <c r="AA2980" s="204"/>
      <c r="AB2980" s="4" t="s">
        <v>8080</v>
      </c>
    </row>
    <row r="2981" spans="1:28" ht="39.5" customHeight="1">
      <c r="A2981" s="152" t="str">
        <f>'Reported burning'!A2981</f>
        <v>324a</v>
      </c>
      <c r="B2981" s="152" t="str">
        <f>'Reported burning'!B2981</f>
        <v>324a.2</v>
      </c>
      <c r="C2981" s="152" t="str">
        <f>'Reported burning'!C2981</f>
        <v>Human, deliberate</v>
      </c>
      <c r="D2981" s="152" t="str">
        <f>'Reported burning'!D2981</f>
        <v>Pasture renewal</v>
      </c>
      <c r="E2981" s="152" t="str">
        <f>'Reported burning'!E2981</f>
        <v>Mixed cropping-livestock small holder, Market-oriented</v>
      </c>
      <c r="F2981" s="152" t="str">
        <f>'Reported burning'!F2981</f>
        <v>Shrubland (Mixed forest &amp; grassland)</v>
      </c>
      <c r="G2981" s="152" t="str">
        <f>'Reported burning'!G2981</f>
        <v>ND</v>
      </c>
      <c r="H2981" s="152" t="str">
        <f>'Reported burning'!H2981</f>
        <v>Presence</v>
      </c>
      <c r="I2981" s="204"/>
      <c r="J2981" s="21" t="s">
        <v>2370</v>
      </c>
      <c r="K2981" s="204" t="s">
        <v>2276</v>
      </c>
      <c r="L2981" s="204" t="s">
        <v>2276</v>
      </c>
      <c r="M2981" s="204" t="s">
        <v>2276</v>
      </c>
      <c r="N2981" s="204" t="s">
        <v>2276</v>
      </c>
      <c r="O2981" s="204" t="s">
        <v>2276</v>
      </c>
      <c r="P2981" s="204" t="s">
        <v>2276</v>
      </c>
      <c r="Q2981" s="204" t="s">
        <v>2276</v>
      </c>
      <c r="R2981" s="204" t="s">
        <v>2276</v>
      </c>
      <c r="S2981" s="204" t="s">
        <v>2276</v>
      </c>
      <c r="T2981" s="204" t="s">
        <v>2276</v>
      </c>
      <c r="U2981" s="204" t="s">
        <v>2276</v>
      </c>
      <c r="V2981" s="204" t="s">
        <v>2276</v>
      </c>
      <c r="W2981" s="204" t="s">
        <v>2276</v>
      </c>
      <c r="X2981" s="204" t="s">
        <v>2276</v>
      </c>
      <c r="Y2981" s="204" t="s">
        <v>2276</v>
      </c>
      <c r="Z2981" s="204" t="s">
        <v>2276</v>
      </c>
      <c r="AA2981" s="204"/>
      <c r="AB2981" s="4" t="s">
        <v>8080</v>
      </c>
    </row>
    <row r="2982" spans="1:28" ht="36.5" customHeight="1">
      <c r="A2982" s="156" t="str">
        <f>'Reported burning'!A2982</f>
        <v>325a</v>
      </c>
      <c r="B2982" s="156" t="str">
        <f>'Reported burning'!B2982</f>
        <v>325a.1</v>
      </c>
      <c r="C2982" s="156" t="str">
        <f>'Reported burning'!C2982</f>
        <v>Human, deliberate</v>
      </c>
      <c r="D2982" s="156" t="str">
        <f>'Reported burning'!D2982</f>
        <v>Rangeland management</v>
      </c>
      <c r="E2982" s="156" t="str">
        <f>'Reported burning'!E2982</f>
        <v>Pastoralism, Migratory</v>
      </c>
      <c r="F2982" s="156" t="str">
        <f>'Reported burning'!F2982</f>
        <v>Shrubland (Mixed forest &amp; grassland)</v>
      </c>
      <c r="G2982" s="156" t="str">
        <f>'Reported burning'!G2982</f>
        <v>ND</v>
      </c>
      <c r="H2982" s="156" t="str">
        <f>'Reported burning'!H2982</f>
        <v>Presence</v>
      </c>
      <c r="I2982" s="5"/>
      <c r="J2982" s="204" t="s">
        <v>2276</v>
      </c>
      <c r="K2982" s="204" t="s">
        <v>2276</v>
      </c>
      <c r="L2982" s="204" t="s">
        <v>2276</v>
      </c>
      <c r="M2982" s="204" t="s">
        <v>2276</v>
      </c>
      <c r="N2982" s="204" t="s">
        <v>2276</v>
      </c>
      <c r="O2982" s="204" t="s">
        <v>2276</v>
      </c>
      <c r="P2982" s="204" t="s">
        <v>2276</v>
      </c>
      <c r="Q2982" s="204" t="s">
        <v>2276</v>
      </c>
      <c r="R2982" s="204" t="s">
        <v>2276</v>
      </c>
      <c r="S2982" s="204" t="s">
        <v>2276</v>
      </c>
      <c r="T2982" s="204" t="s">
        <v>2276</v>
      </c>
      <c r="U2982" s="204" t="s">
        <v>2276</v>
      </c>
      <c r="V2982" s="204" t="s">
        <v>2276</v>
      </c>
      <c r="W2982" s="204" t="s">
        <v>2276</v>
      </c>
      <c r="X2982" s="204" t="s">
        <v>425</v>
      </c>
      <c r="Y2982" s="204" t="s">
        <v>68</v>
      </c>
      <c r="Z2982" s="204" t="s">
        <v>2276</v>
      </c>
      <c r="AA2982" s="204"/>
      <c r="AB2982" s="204"/>
    </row>
    <row r="2983" spans="1:28" ht="36.5" customHeight="1">
      <c r="A2983" s="156" t="str">
        <f>'Reported burning'!A2983</f>
        <v>325a</v>
      </c>
      <c r="B2983" s="156" t="str">
        <f>'Reported burning'!B2983</f>
        <v>325a.2</v>
      </c>
      <c r="C2983" s="156" t="str">
        <f>'Reported burning'!C2983</f>
        <v>Human, deliberate</v>
      </c>
      <c r="D2983" s="156" t="str">
        <f>'Reported burning'!D2983</f>
        <v>Rangeland management</v>
      </c>
      <c r="E2983" s="156" t="str">
        <f>'Reported burning'!E2983</f>
        <v>Mixed cropping-livestock small holder, Subsistence-oriented</v>
      </c>
      <c r="F2983" s="156" t="str">
        <f>'Reported burning'!F2983</f>
        <v>Grassland</v>
      </c>
      <c r="G2983" s="156" t="str">
        <f>'Reported burning'!G2983</f>
        <v>ND</v>
      </c>
      <c r="H2983" s="156" t="str">
        <f>'Reported burning'!H2983</f>
        <v>Absence</v>
      </c>
      <c r="I2983" s="5"/>
      <c r="J2983" s="21">
        <v>0</v>
      </c>
      <c r="K2983" s="21">
        <v>0</v>
      </c>
      <c r="L2983" s="21">
        <v>0</v>
      </c>
      <c r="M2983" s="21">
        <v>0</v>
      </c>
      <c r="N2983" s="21">
        <v>0</v>
      </c>
      <c r="O2983" s="21">
        <v>0</v>
      </c>
      <c r="P2983" s="21">
        <v>0</v>
      </c>
      <c r="Q2983" s="21">
        <v>0</v>
      </c>
      <c r="R2983" s="21">
        <v>0</v>
      </c>
      <c r="S2983" s="21">
        <v>0</v>
      </c>
      <c r="T2983" s="21">
        <v>0</v>
      </c>
      <c r="U2983" s="21">
        <v>0</v>
      </c>
      <c r="V2983" s="21">
        <v>0</v>
      </c>
      <c r="W2983" s="204" t="s">
        <v>2276</v>
      </c>
      <c r="X2983" s="204" t="s">
        <v>425</v>
      </c>
      <c r="Y2983" s="204" t="s">
        <v>68</v>
      </c>
      <c r="Z2983" s="204" t="s">
        <v>2276</v>
      </c>
      <c r="AA2983" s="204"/>
      <c r="AB2983" s="204"/>
    </row>
    <row r="2984" spans="1:28" ht="31" customHeight="1">
      <c r="A2984" s="156" t="str">
        <f>'Reported burning'!A2984</f>
        <v>325b</v>
      </c>
      <c r="B2984" s="156" t="str">
        <f>'Reported burning'!B2984</f>
        <v>325b.1</v>
      </c>
      <c r="C2984" s="156" t="str">
        <f>'Reported burning'!C2984</f>
        <v>Human, deliberate</v>
      </c>
      <c r="D2984" s="156" t="str">
        <f>'Reported burning'!D2984</f>
        <v>Rangeland management</v>
      </c>
      <c r="E2984" s="156" t="str">
        <f>'Reported burning'!E2984</f>
        <v>Pastoralism, Migratory</v>
      </c>
      <c r="F2984" s="156" t="str">
        <f>'Reported burning'!F2984</f>
        <v>Shrubland (Mixed forest &amp; grassland)</v>
      </c>
      <c r="G2984" s="156" t="str">
        <f>'Reported burning'!G2984</f>
        <v>ND</v>
      </c>
      <c r="H2984" s="156" t="str">
        <f>'Reported burning'!H2984</f>
        <v>Presence</v>
      </c>
      <c r="I2984" s="5"/>
      <c r="J2984" s="204" t="s">
        <v>2276</v>
      </c>
      <c r="K2984" s="204" t="s">
        <v>2276</v>
      </c>
      <c r="L2984" s="204" t="s">
        <v>2276</v>
      </c>
      <c r="M2984" s="204" t="s">
        <v>2276</v>
      </c>
      <c r="N2984" s="204" t="s">
        <v>2276</v>
      </c>
      <c r="O2984" s="204" t="s">
        <v>2276</v>
      </c>
      <c r="P2984" s="204" t="s">
        <v>2276</v>
      </c>
      <c r="Q2984" s="204" t="s">
        <v>2276</v>
      </c>
      <c r="R2984" s="204" t="s">
        <v>2276</v>
      </c>
      <c r="S2984" s="204" t="s">
        <v>2276</v>
      </c>
      <c r="T2984" s="204" t="s">
        <v>2276</v>
      </c>
      <c r="U2984" s="204" t="s">
        <v>2276</v>
      </c>
      <c r="V2984" s="204" t="s">
        <v>2276</v>
      </c>
      <c r="W2984" s="204" t="s">
        <v>2276</v>
      </c>
      <c r="X2984" s="204" t="s">
        <v>425</v>
      </c>
      <c r="Y2984" s="204" t="s">
        <v>68</v>
      </c>
      <c r="Z2984" s="204" t="s">
        <v>2276</v>
      </c>
      <c r="AA2984" s="204"/>
      <c r="AB2984" s="204"/>
    </row>
    <row r="2985" spans="1:28" ht="31" customHeight="1">
      <c r="A2985" s="156" t="str">
        <f>'Reported burning'!A2985</f>
        <v>325b</v>
      </c>
      <c r="B2985" s="156" t="str">
        <f>'Reported burning'!B2985</f>
        <v>325b.2</v>
      </c>
      <c r="C2985" s="156" t="str">
        <f>'Reported burning'!C2985</f>
        <v>Human, deliberate</v>
      </c>
      <c r="D2985" s="156" t="str">
        <f>'Reported burning'!D2985</f>
        <v>Rangeland management</v>
      </c>
      <c r="E2985" s="156" t="str">
        <f>'Reported burning'!E2985</f>
        <v>Mixed cropping-livestock small holder, Subsistence-oriented</v>
      </c>
      <c r="F2985" s="156" t="str">
        <f>'Reported burning'!F2985</f>
        <v>Shrubland (Mixed forest &amp; grassland)</v>
      </c>
      <c r="G2985" s="156" t="str">
        <f>'Reported burning'!G2985</f>
        <v>ND</v>
      </c>
      <c r="H2985" s="156" t="str">
        <f>'Reported burning'!H2985</f>
        <v>Presence</v>
      </c>
      <c r="I2985" s="5"/>
      <c r="J2985" s="204" t="s">
        <v>2276</v>
      </c>
      <c r="K2985" s="204" t="s">
        <v>2276</v>
      </c>
      <c r="L2985" s="204" t="s">
        <v>2276</v>
      </c>
      <c r="M2985" s="204" t="s">
        <v>2276</v>
      </c>
      <c r="N2985" s="204" t="s">
        <v>2276</v>
      </c>
      <c r="O2985" s="204" t="s">
        <v>2276</v>
      </c>
      <c r="P2985" s="204" t="s">
        <v>2276</v>
      </c>
      <c r="Q2985" s="204" t="s">
        <v>2276</v>
      </c>
      <c r="R2985" s="204" t="s">
        <v>2276</v>
      </c>
      <c r="S2985" s="204" t="s">
        <v>2276</v>
      </c>
      <c r="T2985" s="204" t="s">
        <v>2276</v>
      </c>
      <c r="U2985" s="204" t="s">
        <v>2276</v>
      </c>
      <c r="V2985" s="204" t="s">
        <v>2276</v>
      </c>
      <c r="W2985" s="204" t="s">
        <v>2276</v>
      </c>
      <c r="X2985" s="204" t="s">
        <v>425</v>
      </c>
      <c r="Y2985" s="204" t="s">
        <v>68</v>
      </c>
      <c r="Z2985" s="204" t="s">
        <v>2276</v>
      </c>
      <c r="AA2985" s="204"/>
      <c r="AB2985" s="204"/>
    </row>
    <row r="2986" spans="1:28" ht="31" customHeight="1">
      <c r="A2986" s="156" t="str">
        <f>'Reported burning'!A2986</f>
        <v>326a</v>
      </c>
      <c r="B2986" s="156" t="str">
        <f>'Reported burning'!B2986</f>
        <v>326a.1</v>
      </c>
      <c r="C2986" s="156" t="str">
        <f>'Reported burning'!C2986</f>
        <v>Human, deliberate</v>
      </c>
      <c r="D2986" s="156" t="str">
        <f>'Reported burning'!D2986</f>
        <v>Crop field preparation</v>
      </c>
      <c r="E2986" s="156" t="str">
        <f>'Reported burning'!E2986</f>
        <v>Cropping, Monoculture, Subsistence-oriented</v>
      </c>
      <c r="F2986" s="156" t="str">
        <f>'Reported burning'!F2986</f>
        <v>Grassland</v>
      </c>
      <c r="G2986" s="156" t="str">
        <f>'Reported burning'!G2986</f>
        <v>ND</v>
      </c>
      <c r="H2986" s="156" t="str">
        <f>'Reported burning'!H2986</f>
        <v>Presence</v>
      </c>
      <c r="I2986" s="5"/>
      <c r="J2986" s="204" t="s">
        <v>2276</v>
      </c>
      <c r="K2986" s="204" t="s">
        <v>2276</v>
      </c>
      <c r="L2986" s="204" t="s">
        <v>2276</v>
      </c>
      <c r="M2986" s="204" t="s">
        <v>2276</v>
      </c>
      <c r="N2986" s="204" t="s">
        <v>2276</v>
      </c>
      <c r="O2986" s="204" t="s">
        <v>2276</v>
      </c>
      <c r="P2986" s="204" t="s">
        <v>2276</v>
      </c>
      <c r="Q2986" s="204" t="s">
        <v>2276</v>
      </c>
      <c r="R2986" s="204" t="s">
        <v>2276</v>
      </c>
      <c r="S2986" s="204" t="s">
        <v>2276</v>
      </c>
      <c r="T2986" s="204" t="s">
        <v>2276</v>
      </c>
      <c r="U2986" s="204" t="s">
        <v>2276</v>
      </c>
      <c r="V2986" s="204" t="s">
        <v>2276</v>
      </c>
      <c r="W2986" s="204" t="s">
        <v>2276</v>
      </c>
      <c r="X2986" s="204" t="s">
        <v>38</v>
      </c>
      <c r="Y2986" s="204" t="s">
        <v>86</v>
      </c>
      <c r="Z2986" s="5" t="s">
        <v>64</v>
      </c>
      <c r="AA2986" s="5" t="s">
        <v>8101</v>
      </c>
      <c r="AB2986" s="204"/>
    </row>
    <row r="2987" spans="1:28" ht="31" customHeight="1">
      <c r="A2987" s="156" t="str">
        <f>'Reported burning'!A2987</f>
        <v>326a</v>
      </c>
      <c r="B2987" s="156" t="str">
        <f>'Reported burning'!B2987</f>
        <v>326a.2</v>
      </c>
      <c r="C2987" s="156" t="str">
        <f>'Reported burning'!C2987</f>
        <v>Human, deliberate</v>
      </c>
      <c r="D2987" s="156" t="str">
        <f>'Reported burning'!D2987</f>
        <v>Rangeland management</v>
      </c>
      <c r="E2987" s="156" t="str">
        <f>'Reported burning'!E2987</f>
        <v>Cropping, Monoculture, Subsistence-oriented</v>
      </c>
      <c r="F2987" s="156" t="str">
        <f>'Reported burning'!F2987</f>
        <v>Shrubland (Mixed forest &amp; grassland)</v>
      </c>
      <c r="G2987" s="156" t="str">
        <f>'Reported burning'!G2987</f>
        <v>ND</v>
      </c>
      <c r="H2987" s="156" t="str">
        <f>'Reported burning'!H2987</f>
        <v>Presence</v>
      </c>
      <c r="I2987" s="5"/>
      <c r="J2987" s="204" t="s">
        <v>2276</v>
      </c>
      <c r="K2987" s="204" t="s">
        <v>2276</v>
      </c>
      <c r="L2987" s="204" t="s">
        <v>2276</v>
      </c>
      <c r="M2987" s="204" t="s">
        <v>2276</v>
      </c>
      <c r="N2987" s="204" t="s">
        <v>2276</v>
      </c>
      <c r="O2987" s="204" t="s">
        <v>2276</v>
      </c>
      <c r="P2987" s="204" t="s">
        <v>2276</v>
      </c>
      <c r="Q2987" s="204" t="s">
        <v>2276</v>
      </c>
      <c r="R2987" s="204" t="s">
        <v>2276</v>
      </c>
      <c r="S2987" s="21" t="s">
        <v>2374</v>
      </c>
      <c r="T2987" s="204" t="s">
        <v>2276</v>
      </c>
      <c r="U2987" s="204" t="s">
        <v>2276</v>
      </c>
      <c r="V2987" s="204" t="s">
        <v>2276</v>
      </c>
      <c r="W2987" s="204" t="s">
        <v>2276</v>
      </c>
      <c r="X2987" s="204" t="s">
        <v>86</v>
      </c>
      <c r="Y2987" s="204" t="s">
        <v>68</v>
      </c>
      <c r="Z2987" s="204" t="s">
        <v>2276</v>
      </c>
      <c r="AA2987" s="19" t="s">
        <v>8103</v>
      </c>
      <c r="AB2987" s="204"/>
    </row>
    <row r="2988" spans="1:28" ht="33" customHeight="1">
      <c r="A2988" s="152" t="str">
        <f>'Reported burning'!A2988</f>
        <v>327a</v>
      </c>
      <c r="B2988" s="152" t="str">
        <f>'Reported burning'!B2988</f>
        <v>327a.1</v>
      </c>
      <c r="C2988" s="152" t="str">
        <f>'Reported burning'!C2988</f>
        <v>Human, deliberate</v>
      </c>
      <c r="D2988" s="152" t="str">
        <f>'Reported burning'!D2988</f>
        <v>Rangeland management</v>
      </c>
      <c r="E2988" s="152" t="str">
        <f>'Reported burning'!E2988</f>
        <v>Cattle, Extensive</v>
      </c>
      <c r="F2988" s="152" t="str">
        <f>'Reported burning'!F2988</f>
        <v>Shrubland (Mixed forest &amp; grassland)</v>
      </c>
      <c r="G2988" s="152" t="str">
        <f>'Reported burning'!G2988</f>
        <v>ND</v>
      </c>
      <c r="H2988" s="152" t="str">
        <f>'Reported burning'!H2988</f>
        <v>Presence</v>
      </c>
      <c r="I2988" s="204"/>
      <c r="J2988" s="21" t="s">
        <v>2369</v>
      </c>
      <c r="K2988" s="204" t="s">
        <v>2276</v>
      </c>
      <c r="L2988" s="204" t="s">
        <v>2276</v>
      </c>
      <c r="M2988" s="204" t="s">
        <v>2276</v>
      </c>
      <c r="N2988" s="204" t="s">
        <v>2276</v>
      </c>
      <c r="O2988" s="21" t="s">
        <v>2377</v>
      </c>
      <c r="P2988" s="204" t="s">
        <v>2276</v>
      </c>
      <c r="Q2988" s="21" t="s">
        <v>2376</v>
      </c>
      <c r="R2988" s="204" t="s">
        <v>2276</v>
      </c>
      <c r="S2988" s="204" t="s">
        <v>2276</v>
      </c>
      <c r="T2988" s="204" t="s">
        <v>2276</v>
      </c>
      <c r="U2988" s="204" t="s">
        <v>2276</v>
      </c>
      <c r="V2988" s="21" t="s">
        <v>2374</v>
      </c>
      <c r="W2988" s="21" t="s">
        <v>2375</v>
      </c>
      <c r="X2988" s="204" t="s">
        <v>127</v>
      </c>
      <c r="Y2988" s="204" t="s">
        <v>38</v>
      </c>
      <c r="Z2988" s="204" t="s">
        <v>2276</v>
      </c>
      <c r="AA2988" s="204"/>
      <c r="AB2988" s="4" t="s">
        <v>8110</v>
      </c>
    </row>
    <row r="2989" spans="1:28" ht="38.5" customHeight="1">
      <c r="A2989" s="152" t="str">
        <f>'Reported burning'!A2989</f>
        <v>327a</v>
      </c>
      <c r="B2989" s="152" t="str">
        <f>'Reported burning'!B2989</f>
        <v>327a.2</v>
      </c>
      <c r="C2989" s="152" t="str">
        <f>'Reported burning'!C2989</f>
        <v>Human, escaped</v>
      </c>
      <c r="D2989" s="152" t="str">
        <f>'Reported burning'!D2989</f>
        <v>Rangeland management</v>
      </c>
      <c r="E2989" s="152" t="str">
        <f>'Reported burning'!E2989</f>
        <v>Cattle, Extensive</v>
      </c>
      <c r="F2989" s="152" t="str">
        <f>'Reported burning'!F2989</f>
        <v>Shrubland (Mixed forest &amp; grassland)</v>
      </c>
      <c r="G2989" s="152" t="str">
        <f>'Reported burning'!G2989</f>
        <v>ND</v>
      </c>
      <c r="H2989" s="152" t="str">
        <f>'Reported burning'!H2989</f>
        <v>Presence</v>
      </c>
      <c r="I2989" s="204"/>
      <c r="J2989" s="21" t="s">
        <v>2367</v>
      </c>
      <c r="K2989" s="204" t="s">
        <v>2276</v>
      </c>
      <c r="L2989" s="204" t="s">
        <v>2276</v>
      </c>
      <c r="M2989" s="204" t="s">
        <v>2276</v>
      </c>
      <c r="N2989" s="21" t="s">
        <v>2380</v>
      </c>
      <c r="O2989" s="204" t="s">
        <v>2276</v>
      </c>
      <c r="P2989" s="21" t="s">
        <v>2379</v>
      </c>
      <c r="Q2989" s="204" t="s">
        <v>2276</v>
      </c>
      <c r="R2989" s="204" t="s">
        <v>2276</v>
      </c>
      <c r="S2989" s="204" t="s">
        <v>2276</v>
      </c>
      <c r="T2989" s="204" t="s">
        <v>2276</v>
      </c>
      <c r="U2989" s="204" t="s">
        <v>2276</v>
      </c>
      <c r="V2989" s="21" t="s">
        <v>2374</v>
      </c>
      <c r="W2989" s="204" t="s">
        <v>2276</v>
      </c>
      <c r="X2989" s="204" t="s">
        <v>127</v>
      </c>
      <c r="Y2989" s="204" t="s">
        <v>38</v>
      </c>
      <c r="Z2989" s="204" t="s">
        <v>2276</v>
      </c>
      <c r="AA2989" s="204"/>
      <c r="AB2989" s="4" t="s">
        <v>8110</v>
      </c>
    </row>
    <row r="2990" spans="1:28" ht="45" customHeight="1">
      <c r="A2990" s="156" t="str">
        <f>'Reported burning'!A2990</f>
        <v>327a</v>
      </c>
      <c r="B2990" s="156" t="str">
        <f>'Reported burning'!B2990</f>
        <v>327a.3</v>
      </c>
      <c r="C2990" s="156" t="str">
        <f>'Reported burning'!C2990</f>
        <v>Human, deliberate</v>
      </c>
      <c r="D2990" s="156" t="str">
        <f>'Reported burning'!D2990</f>
        <v>Conservation</v>
      </c>
      <c r="E2990" s="156" t="str">
        <f>'Reported burning'!E2990</f>
        <v>Biodiversity conservation</v>
      </c>
      <c r="F2990" s="156" t="str">
        <f>'Reported burning'!F2990</f>
        <v>Shrubland (Mixed forest &amp; grassland)</v>
      </c>
      <c r="G2990" s="156" t="str">
        <f>'Reported burning'!G2990</f>
        <v>ND</v>
      </c>
      <c r="H2990" s="156" t="str">
        <f>'Reported burning'!H2990</f>
        <v>Absence</v>
      </c>
      <c r="I2990" s="5"/>
      <c r="J2990" s="21">
        <v>0</v>
      </c>
      <c r="K2990" s="21">
        <v>0</v>
      </c>
      <c r="L2990" s="21">
        <v>0</v>
      </c>
      <c r="M2990" s="21">
        <v>0</v>
      </c>
      <c r="N2990" s="21">
        <v>0</v>
      </c>
      <c r="O2990" s="21">
        <v>0</v>
      </c>
      <c r="P2990" s="21">
        <v>0</v>
      </c>
      <c r="Q2990" s="21">
        <v>0</v>
      </c>
      <c r="R2990" s="21">
        <v>0</v>
      </c>
      <c r="S2990" s="21">
        <v>0</v>
      </c>
      <c r="T2990" s="21">
        <v>0</v>
      </c>
      <c r="U2990" s="21">
        <v>0</v>
      </c>
      <c r="V2990" s="21">
        <v>0</v>
      </c>
      <c r="W2990" s="204" t="s">
        <v>2276</v>
      </c>
      <c r="X2990" s="204" t="s">
        <v>2276</v>
      </c>
      <c r="Y2990" s="204" t="s">
        <v>2276</v>
      </c>
      <c r="Z2990" s="204" t="s">
        <v>2276</v>
      </c>
      <c r="AA2990" s="204"/>
      <c r="AB2990" s="204"/>
    </row>
    <row r="2991" spans="1:28" ht="51" customHeight="1">
      <c r="A2991" s="156" t="str">
        <f>'Reported burning'!A2991</f>
        <v>328a</v>
      </c>
      <c r="B2991" s="156" t="str">
        <f>'Reported burning'!B2991</f>
        <v>328a.1</v>
      </c>
      <c r="C2991" s="156" t="str">
        <f>'Reported burning'!C2991</f>
        <v>All</v>
      </c>
      <c r="D2991" s="156" t="str">
        <f>'Reported burning'!D2991</f>
        <v>All</v>
      </c>
      <c r="E2991" s="156" t="str">
        <f>'Reported burning'!E2991</f>
        <v>All</v>
      </c>
      <c r="F2991" s="156" t="str">
        <f>'Reported burning'!F2991</f>
        <v>All</v>
      </c>
      <c r="G2991" s="156" t="str">
        <f>'Reported burning'!G2991</f>
        <v>Forest</v>
      </c>
      <c r="H2991" s="156" t="str">
        <f>'Reported burning'!H2991</f>
        <v>Presence</v>
      </c>
      <c r="I2991" s="5"/>
      <c r="J2991" s="204" t="s">
        <v>2276</v>
      </c>
      <c r="K2991" s="204" t="s">
        <v>2276</v>
      </c>
      <c r="L2991" s="204" t="s">
        <v>2276</v>
      </c>
      <c r="M2991" s="204" t="s">
        <v>2276</v>
      </c>
      <c r="N2991" s="204" t="s">
        <v>2276</v>
      </c>
      <c r="O2991" s="204" t="s">
        <v>2276</v>
      </c>
      <c r="P2991" s="204" t="s">
        <v>2276</v>
      </c>
      <c r="Q2991" s="204" t="s">
        <v>2276</v>
      </c>
      <c r="R2991" s="204" t="s">
        <v>2276</v>
      </c>
      <c r="S2991" s="204" t="s">
        <v>2276</v>
      </c>
      <c r="T2991" s="204" t="s">
        <v>2276</v>
      </c>
      <c r="U2991" s="204" t="s">
        <v>2276</v>
      </c>
      <c r="V2991" s="204" t="s">
        <v>2276</v>
      </c>
      <c r="W2991" s="204" t="s">
        <v>2276</v>
      </c>
      <c r="X2991" s="204" t="s">
        <v>2276</v>
      </c>
      <c r="Y2991" s="204" t="s">
        <v>2276</v>
      </c>
      <c r="Z2991" s="204" t="s">
        <v>2276</v>
      </c>
      <c r="AA2991" s="204"/>
      <c r="AB2991" s="204"/>
    </row>
    <row r="2992" spans="1:28" ht="47.5" customHeight="1">
      <c r="A2992" s="156" t="str">
        <f>'Reported burning'!A2992</f>
        <v>328b</v>
      </c>
      <c r="B2992" s="156" t="str">
        <f>'Reported burning'!B2992</f>
        <v>328b.1</v>
      </c>
      <c r="C2992" s="156" t="str">
        <f>'Reported burning'!C2992</f>
        <v>All</v>
      </c>
      <c r="D2992" s="156" t="str">
        <f>'Reported burning'!D2992</f>
        <v>All</v>
      </c>
      <c r="E2992" s="156" t="str">
        <f>'Reported burning'!E2992</f>
        <v>All</v>
      </c>
      <c r="F2992" s="156" t="str">
        <f>'Reported burning'!F2992</f>
        <v>All</v>
      </c>
      <c r="G2992" s="156" t="str">
        <f>'Reported burning'!G2992</f>
        <v>Forest</v>
      </c>
      <c r="H2992" s="156" t="str">
        <f>'Reported burning'!H2992</f>
        <v>Presence</v>
      </c>
      <c r="I2992" s="5"/>
      <c r="J2992" s="204" t="s">
        <v>2276</v>
      </c>
      <c r="K2992" s="204" t="s">
        <v>2276</v>
      </c>
      <c r="L2992" s="204" t="s">
        <v>2276</v>
      </c>
      <c r="M2992" s="204" t="s">
        <v>2276</v>
      </c>
      <c r="N2992" s="204" t="s">
        <v>2276</v>
      </c>
      <c r="O2992" s="204" t="s">
        <v>2276</v>
      </c>
      <c r="P2992" s="204" t="s">
        <v>2276</v>
      </c>
      <c r="Q2992" s="204" t="s">
        <v>2276</v>
      </c>
      <c r="R2992" s="204" t="s">
        <v>2276</v>
      </c>
      <c r="S2992" s="204" t="s">
        <v>2276</v>
      </c>
      <c r="T2992" s="204" t="s">
        <v>2276</v>
      </c>
      <c r="U2992" s="204" t="s">
        <v>2276</v>
      </c>
      <c r="V2992" s="204" t="s">
        <v>2276</v>
      </c>
      <c r="W2992" s="204" t="s">
        <v>2276</v>
      </c>
      <c r="X2992" s="204" t="s">
        <v>2276</v>
      </c>
      <c r="Y2992" s="204" t="s">
        <v>2276</v>
      </c>
      <c r="Z2992" s="204" t="s">
        <v>2276</v>
      </c>
      <c r="AA2992" s="204"/>
      <c r="AB2992" s="204"/>
    </row>
    <row r="2993" spans="1:28" ht="32.5" customHeight="1">
      <c r="A2993" s="156" t="str">
        <f>'Reported burning'!A2993</f>
        <v>328c</v>
      </c>
      <c r="B2993" s="156" t="str">
        <f>'Reported burning'!B2993</f>
        <v>328c.1</v>
      </c>
      <c r="C2993" s="156" t="str">
        <f>'Reported burning'!C2993</f>
        <v>All</v>
      </c>
      <c r="D2993" s="156" t="str">
        <f>'Reported burning'!D2993</f>
        <v>All</v>
      </c>
      <c r="E2993" s="156" t="str">
        <f>'Reported burning'!E2993</f>
        <v>All</v>
      </c>
      <c r="F2993" s="156" t="str">
        <f>'Reported burning'!F2993</f>
        <v>All</v>
      </c>
      <c r="G2993" s="156" t="str">
        <f>'Reported burning'!G2993</f>
        <v>Forest</v>
      </c>
      <c r="H2993" s="156" t="str">
        <f>'Reported burning'!H2993</f>
        <v>Presence</v>
      </c>
      <c r="I2993" s="5"/>
      <c r="J2993" s="204" t="s">
        <v>2276</v>
      </c>
      <c r="K2993" s="204" t="s">
        <v>2276</v>
      </c>
      <c r="L2993" s="204" t="s">
        <v>2276</v>
      </c>
      <c r="M2993" s="204" t="s">
        <v>2276</v>
      </c>
      <c r="N2993" s="204" t="s">
        <v>2276</v>
      </c>
      <c r="O2993" s="204" t="s">
        <v>2276</v>
      </c>
      <c r="P2993" s="204" t="s">
        <v>2276</v>
      </c>
      <c r="Q2993" s="204" t="s">
        <v>2276</v>
      </c>
      <c r="R2993" s="204" t="s">
        <v>2276</v>
      </c>
      <c r="S2993" s="204" t="s">
        <v>2276</v>
      </c>
      <c r="T2993" s="204" t="s">
        <v>2276</v>
      </c>
      <c r="U2993" s="204" t="s">
        <v>2276</v>
      </c>
      <c r="V2993" s="204" t="s">
        <v>2276</v>
      </c>
      <c r="W2993" s="204" t="s">
        <v>2276</v>
      </c>
      <c r="X2993" s="204" t="s">
        <v>2276</v>
      </c>
      <c r="Y2993" s="204" t="s">
        <v>2276</v>
      </c>
      <c r="Z2993" s="204" t="s">
        <v>2276</v>
      </c>
      <c r="AA2993" s="204"/>
      <c r="AB2993" s="204"/>
    </row>
    <row r="2994" spans="1:28" ht="32.5" customHeight="1">
      <c r="A2994" s="156" t="str">
        <f>'Reported burning'!A2994</f>
        <v>328d</v>
      </c>
      <c r="B2994" s="156" t="str">
        <f>'Reported burning'!B2994</f>
        <v>328d.1</v>
      </c>
      <c r="C2994" s="156" t="str">
        <f>'Reported burning'!C2994</f>
        <v>All</v>
      </c>
      <c r="D2994" s="156" t="str">
        <f>'Reported burning'!D2994</f>
        <v>All</v>
      </c>
      <c r="E2994" s="156" t="str">
        <f>'Reported burning'!E2994</f>
        <v>All</v>
      </c>
      <c r="F2994" s="156" t="str">
        <f>'Reported burning'!F2994</f>
        <v>All</v>
      </c>
      <c r="G2994" s="156" t="str">
        <f>'Reported burning'!G2994</f>
        <v>Forest</v>
      </c>
      <c r="H2994" s="156" t="str">
        <f>'Reported burning'!H2994</f>
        <v>Presence</v>
      </c>
      <c r="I2994" s="5"/>
      <c r="J2994" s="204" t="s">
        <v>2276</v>
      </c>
      <c r="K2994" s="204" t="s">
        <v>2276</v>
      </c>
      <c r="L2994" s="204" t="s">
        <v>2276</v>
      </c>
      <c r="M2994" s="204" t="s">
        <v>2276</v>
      </c>
      <c r="N2994" s="204" t="s">
        <v>2276</v>
      </c>
      <c r="O2994" s="204" t="s">
        <v>2276</v>
      </c>
      <c r="P2994" s="204" t="s">
        <v>2276</v>
      </c>
      <c r="Q2994" s="204" t="s">
        <v>2276</v>
      </c>
      <c r="R2994" s="204" t="s">
        <v>2276</v>
      </c>
      <c r="S2994" s="204" t="s">
        <v>2276</v>
      </c>
      <c r="T2994" s="204" t="s">
        <v>2276</v>
      </c>
      <c r="U2994" s="204" t="s">
        <v>2276</v>
      </c>
      <c r="V2994" s="204" t="s">
        <v>2276</v>
      </c>
      <c r="W2994" s="204" t="s">
        <v>2276</v>
      </c>
      <c r="X2994" s="204" t="s">
        <v>2276</v>
      </c>
      <c r="Y2994" s="204" t="s">
        <v>2276</v>
      </c>
      <c r="Z2994" s="204" t="s">
        <v>2276</v>
      </c>
      <c r="AA2994" s="204"/>
      <c r="AB2994" s="204"/>
    </row>
    <row r="2995" spans="1:28" ht="32.5" customHeight="1">
      <c r="A2995" s="156" t="str">
        <f>'Reported burning'!A2995</f>
        <v>328a</v>
      </c>
      <c r="B2995" s="156" t="str">
        <f>'Reported burning'!B2995</f>
        <v>328a.2</v>
      </c>
      <c r="C2995" s="156" t="str">
        <f>'Reported burning'!C2995</f>
        <v>Human, escaped</v>
      </c>
      <c r="D2995" s="156" t="str">
        <f>'Reported burning'!D2995</f>
        <v>Land clearance</v>
      </c>
      <c r="E2995" s="156" t="str">
        <f>'Reported burning'!E2995</f>
        <v>Cropping, Monoculture, Market-oriented</v>
      </c>
      <c r="F2995" s="156" t="str">
        <f>'Reported burning'!F2995</f>
        <v>Secondary vegetation</v>
      </c>
      <c r="G2995" s="156" t="str">
        <f>'Reported burning'!G2995</f>
        <v>Forest</v>
      </c>
      <c r="H2995" s="156" t="str">
        <f>'Reported burning'!H2995</f>
        <v>Presence</v>
      </c>
      <c r="I2995" s="5"/>
      <c r="J2995" s="204" t="s">
        <v>2276</v>
      </c>
      <c r="K2995" s="204" t="s">
        <v>2276</v>
      </c>
      <c r="L2995" s="204" t="s">
        <v>2276</v>
      </c>
      <c r="M2995" s="204" t="s">
        <v>2276</v>
      </c>
      <c r="N2995" s="204" t="s">
        <v>2276</v>
      </c>
      <c r="O2995" s="204" t="s">
        <v>2276</v>
      </c>
      <c r="P2995" s="204" t="s">
        <v>2276</v>
      </c>
      <c r="Q2995" s="204" t="s">
        <v>2276</v>
      </c>
      <c r="R2995" s="204" t="s">
        <v>2276</v>
      </c>
      <c r="S2995" s="204" t="s">
        <v>2276</v>
      </c>
      <c r="T2995" s="204" t="s">
        <v>2276</v>
      </c>
      <c r="U2995" s="204" t="s">
        <v>2276</v>
      </c>
      <c r="V2995" s="204" t="s">
        <v>2276</v>
      </c>
      <c r="W2995" s="204" t="s">
        <v>2276</v>
      </c>
      <c r="X2995" s="204" t="s">
        <v>2276</v>
      </c>
      <c r="Y2995" s="204" t="s">
        <v>2276</v>
      </c>
      <c r="Z2995" s="204" t="s">
        <v>2276</v>
      </c>
      <c r="AA2995" s="204"/>
      <c r="AB2995" s="204"/>
    </row>
    <row r="2996" spans="1:28" ht="32.5" customHeight="1">
      <c r="A2996" s="156" t="str">
        <f>'Reported burning'!A2996</f>
        <v>328a</v>
      </c>
      <c r="B2996" s="156" t="str">
        <f>'Reported burning'!B2996</f>
        <v>328a.3</v>
      </c>
      <c r="C2996" s="156" t="str">
        <f>'Reported burning'!C2996</f>
        <v>Human, escaped</v>
      </c>
      <c r="D2996" s="156" t="str">
        <f>'Reported burning'!D2996</f>
        <v>Crop residue burning</v>
      </c>
      <c r="E2996" s="156" t="str">
        <f>'Reported burning'!E2996</f>
        <v>Cropping, Monoculture, Market-oriented</v>
      </c>
      <c r="F2996" s="156" t="str">
        <f>'Reported burning'!F2996</f>
        <v>Cropland</v>
      </c>
      <c r="G2996" s="156" t="str">
        <f>'Reported burning'!G2996</f>
        <v>Forest</v>
      </c>
      <c r="H2996" s="156" t="str">
        <f>'Reported burning'!H2996</f>
        <v>Presence</v>
      </c>
      <c r="I2996" s="5"/>
      <c r="J2996" s="204" t="s">
        <v>2276</v>
      </c>
      <c r="K2996" s="204" t="s">
        <v>2276</v>
      </c>
      <c r="L2996" s="204" t="s">
        <v>2276</v>
      </c>
      <c r="M2996" s="204" t="s">
        <v>2276</v>
      </c>
      <c r="N2996" s="204" t="s">
        <v>2276</v>
      </c>
      <c r="O2996" s="204" t="s">
        <v>2276</v>
      </c>
      <c r="P2996" s="204" t="s">
        <v>2276</v>
      </c>
      <c r="Q2996" s="204" t="s">
        <v>2276</v>
      </c>
      <c r="R2996" s="204" t="s">
        <v>2276</v>
      </c>
      <c r="S2996" s="204" t="s">
        <v>2276</v>
      </c>
      <c r="T2996" s="204" t="s">
        <v>2276</v>
      </c>
      <c r="U2996" s="204" t="s">
        <v>2276</v>
      </c>
      <c r="V2996" s="204" t="s">
        <v>2276</v>
      </c>
      <c r="W2996" s="204" t="s">
        <v>2276</v>
      </c>
      <c r="X2996" s="204" t="s">
        <v>2276</v>
      </c>
      <c r="Y2996" s="204" t="s">
        <v>2276</v>
      </c>
      <c r="Z2996" s="204" t="s">
        <v>2276</v>
      </c>
      <c r="AA2996" s="4" t="s">
        <v>8136</v>
      </c>
      <c r="AB2996" s="204"/>
    </row>
    <row r="2997" spans="1:28" ht="32.5" customHeight="1">
      <c r="A2997" s="156" t="str">
        <f>'Reported burning'!A2997</f>
        <v>328a</v>
      </c>
      <c r="B2997" s="156" t="str">
        <f>'Reported burning'!B2997</f>
        <v>328a.4</v>
      </c>
      <c r="C2997" s="156" t="str">
        <f>'Reported burning'!C2997</f>
        <v>Human, accidental</v>
      </c>
      <c r="D2997" s="156" t="str">
        <f>'Reported burning'!D2997</f>
        <v>Accidental</v>
      </c>
      <c r="E2997" s="156" t="str">
        <f>'Reported burning'!E2997</f>
        <v>All</v>
      </c>
      <c r="F2997" s="156" t="str">
        <f>'Reported burning'!F2997</f>
        <v>ND</v>
      </c>
      <c r="G2997" s="156" t="str">
        <f>'Reported burning'!G2997</f>
        <v>Forest</v>
      </c>
      <c r="H2997" s="156" t="str">
        <f>'Reported burning'!H2997</f>
        <v>Presence</v>
      </c>
      <c r="I2997" s="5"/>
      <c r="J2997" s="204" t="s">
        <v>2276</v>
      </c>
      <c r="K2997" s="204" t="s">
        <v>2276</v>
      </c>
      <c r="L2997" s="204" t="s">
        <v>2276</v>
      </c>
      <c r="M2997" s="204" t="s">
        <v>2276</v>
      </c>
      <c r="N2997" s="204" t="s">
        <v>2276</v>
      </c>
      <c r="O2997" s="204" t="s">
        <v>2276</v>
      </c>
      <c r="P2997" s="204" t="s">
        <v>2276</v>
      </c>
      <c r="Q2997" s="204" t="s">
        <v>2276</v>
      </c>
      <c r="R2997" s="204" t="s">
        <v>2276</v>
      </c>
      <c r="S2997" s="204" t="s">
        <v>2276</v>
      </c>
      <c r="T2997" s="204" t="s">
        <v>2276</v>
      </c>
      <c r="U2997" s="204" t="s">
        <v>2276</v>
      </c>
      <c r="V2997" s="204" t="s">
        <v>2276</v>
      </c>
      <c r="W2997" s="204" t="s">
        <v>2276</v>
      </c>
      <c r="X2997" s="204" t="s">
        <v>2276</v>
      </c>
      <c r="Y2997" s="204" t="s">
        <v>2276</v>
      </c>
      <c r="Z2997" s="204" t="s">
        <v>2276</v>
      </c>
      <c r="AA2997" s="204"/>
      <c r="AB2997" s="204"/>
    </row>
    <row r="2998" spans="1:28" ht="32.5" customHeight="1">
      <c r="A2998" s="156" t="str">
        <f>'Reported burning'!A2998</f>
        <v>328a</v>
      </c>
      <c r="B2998" s="156" t="str">
        <f>'Reported burning'!B2998</f>
        <v>328a.5</v>
      </c>
      <c r="C2998" s="156" t="str">
        <f>'Reported burning'!C2998</f>
        <v>Human, accidental</v>
      </c>
      <c r="D2998" s="156" t="str">
        <f>'Reported burning'!D2998</f>
        <v>Accidental</v>
      </c>
      <c r="E2998" s="156" t="str">
        <f>'Reported burning'!E2998</f>
        <v>Urban planner</v>
      </c>
      <c r="F2998" s="156" t="str">
        <f>'Reported burning'!F2998</f>
        <v>ND</v>
      </c>
      <c r="G2998" s="156" t="str">
        <f>'Reported burning'!G2998</f>
        <v>Forest</v>
      </c>
      <c r="H2998" s="156" t="str">
        <f>'Reported burning'!H2998</f>
        <v>Presence</v>
      </c>
      <c r="I2998" s="5"/>
      <c r="J2998" s="204" t="s">
        <v>2276</v>
      </c>
      <c r="K2998" s="204" t="s">
        <v>2276</v>
      </c>
      <c r="L2998" s="204" t="s">
        <v>2276</v>
      </c>
      <c r="M2998" s="204" t="s">
        <v>2276</v>
      </c>
      <c r="N2998" s="204" t="s">
        <v>2276</v>
      </c>
      <c r="O2998" s="204" t="s">
        <v>2276</v>
      </c>
      <c r="P2998" s="204" t="s">
        <v>2276</v>
      </c>
      <c r="Q2998" s="204" t="s">
        <v>2276</v>
      </c>
      <c r="R2998" s="204" t="s">
        <v>2276</v>
      </c>
      <c r="S2998" s="204" t="s">
        <v>2276</v>
      </c>
      <c r="T2998" s="204" t="s">
        <v>2276</v>
      </c>
      <c r="U2998" s="204" t="s">
        <v>2276</v>
      </c>
      <c r="V2998" s="204" t="s">
        <v>2276</v>
      </c>
      <c r="W2998" s="204" t="s">
        <v>2276</v>
      </c>
      <c r="X2998" s="204" t="s">
        <v>2276</v>
      </c>
      <c r="Y2998" s="204" t="s">
        <v>2276</v>
      </c>
      <c r="Z2998" s="204" t="s">
        <v>2276</v>
      </c>
      <c r="AA2998" s="204"/>
      <c r="AB2998" s="204"/>
    </row>
    <row r="2999" spans="1:28" ht="32.5" customHeight="1">
      <c r="A2999" s="156" t="str">
        <f>'Reported burning'!A2999</f>
        <v>328a</v>
      </c>
      <c r="B2999" s="156" t="str">
        <f>'Reported burning'!B2999</f>
        <v>328a.6</v>
      </c>
      <c r="C2999" s="156" t="str">
        <f>'Reported burning'!C2999</f>
        <v>Human, deliberate</v>
      </c>
      <c r="D2999" s="156" t="str">
        <f>'Reported burning'!D2999</f>
        <v>Forest clearance</v>
      </c>
      <c r="E2999" s="156" t="str">
        <f>'Reported burning'!E2999</f>
        <v>Cattle, Extensive</v>
      </c>
      <c r="F2999" s="156" t="str">
        <f>'Reported burning'!F2999</f>
        <v>Forest</v>
      </c>
      <c r="G2999" s="156" t="str">
        <f>'Reported burning'!G2999</f>
        <v>Forest</v>
      </c>
      <c r="H2999" s="156" t="str">
        <f>'Reported burning'!H2999</f>
        <v>Presence</v>
      </c>
      <c r="I2999" s="5"/>
      <c r="J2999" s="204" t="s">
        <v>2276</v>
      </c>
      <c r="K2999" s="204" t="s">
        <v>2276</v>
      </c>
      <c r="L2999" s="204" t="s">
        <v>2276</v>
      </c>
      <c r="M2999" s="204" t="s">
        <v>2276</v>
      </c>
      <c r="N2999" s="204" t="s">
        <v>2276</v>
      </c>
      <c r="O2999" s="204" t="s">
        <v>2276</v>
      </c>
      <c r="P2999" s="204" t="s">
        <v>2276</v>
      </c>
      <c r="Q2999" s="204" t="s">
        <v>2276</v>
      </c>
      <c r="R2999" s="204" t="s">
        <v>2276</v>
      </c>
      <c r="S2999" s="204" t="s">
        <v>2276</v>
      </c>
      <c r="T2999" s="204" t="s">
        <v>2276</v>
      </c>
      <c r="U2999" s="204" t="s">
        <v>2276</v>
      </c>
      <c r="V2999" s="204" t="s">
        <v>2276</v>
      </c>
      <c r="W2999" s="204" t="s">
        <v>2276</v>
      </c>
      <c r="X2999" s="204" t="s">
        <v>2276</v>
      </c>
      <c r="Y2999" s="204" t="s">
        <v>2276</v>
      </c>
      <c r="Z2999" s="204" t="s">
        <v>2276</v>
      </c>
      <c r="AA2999" s="204"/>
      <c r="AB2999" s="204"/>
    </row>
    <row r="3000" spans="1:28" ht="32.5" customHeight="1">
      <c r="A3000" s="156" t="str">
        <f>'Reported burning'!A3000</f>
        <v>328a</v>
      </c>
      <c r="B3000" s="156" t="str">
        <f>'Reported burning'!B3000</f>
        <v>328a.7</v>
      </c>
      <c r="C3000" s="156" t="str">
        <f>'Reported burning'!C3000</f>
        <v>Human, escaped</v>
      </c>
      <c r="D3000" s="156" t="str">
        <f>'Reported burning'!D3000</f>
        <v>Pasture renewal</v>
      </c>
      <c r="E3000" s="156" t="str">
        <f>'Reported burning'!E3000</f>
        <v>Cattle, Extensive</v>
      </c>
      <c r="F3000" s="156" t="str">
        <f>'Reported burning'!F3000</f>
        <v>Pasture</v>
      </c>
      <c r="G3000" s="156" t="str">
        <f>'Reported burning'!G3000</f>
        <v>Forest</v>
      </c>
      <c r="H3000" s="156" t="str">
        <f>'Reported burning'!H3000</f>
        <v>Presence</v>
      </c>
      <c r="I3000" s="5"/>
      <c r="J3000" s="204" t="s">
        <v>2276</v>
      </c>
      <c r="K3000" s="204" t="s">
        <v>2276</v>
      </c>
      <c r="L3000" s="204" t="s">
        <v>2276</v>
      </c>
      <c r="M3000" s="204" t="s">
        <v>2276</v>
      </c>
      <c r="N3000" s="204" t="s">
        <v>2276</v>
      </c>
      <c r="O3000" s="204" t="s">
        <v>2276</v>
      </c>
      <c r="P3000" s="204" t="s">
        <v>2276</v>
      </c>
      <c r="Q3000" s="204" t="s">
        <v>2276</v>
      </c>
      <c r="R3000" s="204" t="s">
        <v>2276</v>
      </c>
      <c r="S3000" s="204" t="s">
        <v>2276</v>
      </c>
      <c r="T3000" s="204" t="s">
        <v>2276</v>
      </c>
      <c r="U3000" s="204" t="s">
        <v>2276</v>
      </c>
      <c r="V3000" s="204" t="s">
        <v>2276</v>
      </c>
      <c r="W3000" s="204" t="s">
        <v>2276</v>
      </c>
      <c r="X3000" s="204" t="s">
        <v>2276</v>
      </c>
      <c r="Y3000" s="204" t="s">
        <v>2276</v>
      </c>
      <c r="Z3000" s="204" t="s">
        <v>2276</v>
      </c>
      <c r="AA3000" s="204"/>
      <c r="AB3000" s="204"/>
    </row>
    <row r="3001" spans="1:28" ht="32.5" customHeight="1">
      <c r="A3001" s="156" t="str">
        <f>'Reported burning'!A3001</f>
        <v>328a</v>
      </c>
      <c r="B3001" s="156" t="str">
        <f>'Reported burning'!B3001</f>
        <v>328a.8</v>
      </c>
      <c r="C3001" s="156" t="str">
        <f>'Reported burning'!C3001</f>
        <v>Human, deliberate</v>
      </c>
      <c r="D3001" s="156" t="str">
        <f>'Reported burning'!D3001</f>
        <v>Arson</v>
      </c>
      <c r="E3001" s="156" t="str">
        <f>'Reported burning'!E3001</f>
        <v>All</v>
      </c>
      <c r="F3001" s="156" t="str">
        <f>'Reported burning'!F3001</f>
        <v>Cropland</v>
      </c>
      <c r="G3001" s="156" t="str">
        <f>'Reported burning'!G3001</f>
        <v>Forest</v>
      </c>
      <c r="H3001" s="156" t="str">
        <f>'Reported burning'!H3001</f>
        <v>Presence</v>
      </c>
      <c r="I3001" s="5"/>
      <c r="J3001" s="204" t="s">
        <v>2276</v>
      </c>
      <c r="K3001" s="204" t="s">
        <v>2276</v>
      </c>
      <c r="L3001" s="204" t="s">
        <v>2276</v>
      </c>
      <c r="M3001" s="204" t="s">
        <v>2276</v>
      </c>
      <c r="N3001" s="204" t="s">
        <v>2276</v>
      </c>
      <c r="O3001" s="204" t="s">
        <v>2276</v>
      </c>
      <c r="P3001" s="204" t="s">
        <v>2276</v>
      </c>
      <c r="Q3001" s="204" t="s">
        <v>2276</v>
      </c>
      <c r="R3001" s="204" t="s">
        <v>2276</v>
      </c>
      <c r="S3001" s="204" t="s">
        <v>2276</v>
      </c>
      <c r="T3001" s="204" t="s">
        <v>2276</v>
      </c>
      <c r="U3001" s="204" t="s">
        <v>2276</v>
      </c>
      <c r="V3001" s="204" t="s">
        <v>2276</v>
      </c>
      <c r="W3001" s="204" t="s">
        <v>2276</v>
      </c>
      <c r="X3001" s="204" t="s">
        <v>2276</v>
      </c>
      <c r="Y3001" s="204" t="s">
        <v>2276</v>
      </c>
      <c r="Z3001" s="204" t="s">
        <v>2276</v>
      </c>
      <c r="AA3001" s="204"/>
      <c r="AB3001" s="204"/>
    </row>
    <row r="3002" spans="1:28" ht="32.5" customHeight="1">
      <c r="A3002" s="156" t="str">
        <f>'Reported burning'!A3002</f>
        <v>328b</v>
      </c>
      <c r="B3002" s="156" t="str">
        <f>'Reported burning'!B3002</f>
        <v>328b.2</v>
      </c>
      <c r="C3002" s="156" t="str">
        <f>'Reported burning'!C3002</f>
        <v>Human, deliberate</v>
      </c>
      <c r="D3002" s="156" t="str">
        <f>'Reported burning'!D3002</f>
        <v>Arson</v>
      </c>
      <c r="E3002" s="156" t="str">
        <f>'Reported burning'!E3002</f>
        <v>Fire suppression agent</v>
      </c>
      <c r="F3002" s="156" t="str">
        <f>'Reported burning'!F3002</f>
        <v>Forest</v>
      </c>
      <c r="G3002" s="156" t="str">
        <f>'Reported burning'!G3002</f>
        <v>Forest</v>
      </c>
      <c r="H3002" s="156" t="str">
        <f>'Reported burning'!H3002</f>
        <v>Presence</v>
      </c>
      <c r="I3002" s="5"/>
      <c r="J3002" s="204" t="s">
        <v>2276</v>
      </c>
      <c r="K3002" s="204" t="s">
        <v>2276</v>
      </c>
      <c r="L3002" s="204" t="s">
        <v>2276</v>
      </c>
      <c r="M3002" s="204" t="s">
        <v>2276</v>
      </c>
      <c r="N3002" s="204" t="s">
        <v>2276</v>
      </c>
      <c r="O3002" s="204" t="s">
        <v>2276</v>
      </c>
      <c r="P3002" s="204" t="s">
        <v>2276</v>
      </c>
      <c r="Q3002" s="204" t="s">
        <v>2276</v>
      </c>
      <c r="R3002" s="204" t="s">
        <v>2276</v>
      </c>
      <c r="S3002" s="204" t="s">
        <v>2276</v>
      </c>
      <c r="T3002" s="204" t="s">
        <v>2276</v>
      </c>
      <c r="U3002" s="204" t="s">
        <v>2276</v>
      </c>
      <c r="V3002" s="204" t="s">
        <v>2276</v>
      </c>
      <c r="W3002" s="204" t="s">
        <v>2276</v>
      </c>
      <c r="X3002" s="204" t="s">
        <v>2276</v>
      </c>
      <c r="Y3002" s="204" t="s">
        <v>2276</v>
      </c>
      <c r="Z3002" s="204" t="s">
        <v>2276</v>
      </c>
      <c r="AA3002" s="204"/>
      <c r="AB3002" s="204"/>
    </row>
    <row r="3003" spans="1:28" ht="32.5" customHeight="1">
      <c r="A3003" s="156" t="str">
        <f>'Reported burning'!A3003</f>
        <v>328b</v>
      </c>
      <c r="B3003" s="156" t="str">
        <f>'Reported burning'!B3003</f>
        <v>328b.3</v>
      </c>
      <c r="C3003" s="156" t="str">
        <f>'Reported burning'!C3003</f>
        <v>Human, escaped</v>
      </c>
      <c r="D3003" s="156" t="str">
        <f>'Reported burning'!D3003</f>
        <v>Crop residue burning</v>
      </c>
      <c r="E3003" s="156" t="str">
        <f>'Reported burning'!E3003</f>
        <v>Cropping, Monoculture, Market-oriented</v>
      </c>
      <c r="F3003" s="156" t="str">
        <f>'Reported burning'!F3003</f>
        <v>Cropland</v>
      </c>
      <c r="G3003" s="156" t="str">
        <f>'Reported burning'!G3003</f>
        <v>Forest</v>
      </c>
      <c r="H3003" s="156" t="str">
        <f>'Reported burning'!H3003</f>
        <v>Presence</v>
      </c>
      <c r="I3003" s="5"/>
      <c r="J3003" s="204" t="s">
        <v>2276</v>
      </c>
      <c r="K3003" s="204" t="s">
        <v>2276</v>
      </c>
      <c r="L3003" s="204" t="s">
        <v>2276</v>
      </c>
      <c r="M3003" s="204" t="s">
        <v>2276</v>
      </c>
      <c r="N3003" s="204" t="s">
        <v>2276</v>
      </c>
      <c r="O3003" s="204" t="s">
        <v>2276</v>
      </c>
      <c r="P3003" s="204" t="s">
        <v>2276</v>
      </c>
      <c r="Q3003" s="204" t="s">
        <v>2276</v>
      </c>
      <c r="R3003" s="204" t="s">
        <v>2276</v>
      </c>
      <c r="S3003" s="204" t="s">
        <v>2276</v>
      </c>
      <c r="T3003" s="204" t="s">
        <v>2276</v>
      </c>
      <c r="U3003" s="204" t="s">
        <v>2276</v>
      </c>
      <c r="V3003" s="204" t="s">
        <v>2276</v>
      </c>
      <c r="W3003" s="204" t="s">
        <v>2276</v>
      </c>
      <c r="X3003" s="204" t="s">
        <v>2276</v>
      </c>
      <c r="Y3003" s="204" t="s">
        <v>2276</v>
      </c>
      <c r="Z3003" s="204" t="s">
        <v>2276</v>
      </c>
      <c r="AA3003" s="204"/>
      <c r="AB3003" s="204"/>
    </row>
    <row r="3004" spans="1:28" ht="32.5" customHeight="1">
      <c r="A3004" s="156" t="str">
        <f>'Reported burning'!A3004</f>
        <v>328b</v>
      </c>
      <c r="B3004" s="156" t="str">
        <f>'Reported burning'!B3004</f>
        <v>328b.4</v>
      </c>
      <c r="C3004" s="156" t="str">
        <f>'Reported burning'!C3004</f>
        <v>Human, deliberate</v>
      </c>
      <c r="D3004" s="156" t="str">
        <f>'Reported burning'!D3004</f>
        <v>Arson</v>
      </c>
      <c r="E3004" s="156" t="str">
        <f>'Reported burning'!E3004</f>
        <v>Cropping, Monoculture, Market-oriented</v>
      </c>
      <c r="F3004" s="156" t="str">
        <f>'Reported burning'!F3004</f>
        <v>Forest</v>
      </c>
      <c r="G3004" s="156" t="str">
        <f>'Reported burning'!G3004</f>
        <v>Forest</v>
      </c>
      <c r="H3004" s="156" t="str">
        <f>'Reported burning'!H3004</f>
        <v>Presence</v>
      </c>
      <c r="I3004" s="5"/>
      <c r="J3004" s="204" t="s">
        <v>2276</v>
      </c>
      <c r="K3004" s="204" t="s">
        <v>2276</v>
      </c>
      <c r="L3004" s="204" t="s">
        <v>2276</v>
      </c>
      <c r="M3004" s="204" t="s">
        <v>2276</v>
      </c>
      <c r="N3004" s="204" t="s">
        <v>2276</v>
      </c>
      <c r="O3004" s="204" t="s">
        <v>2276</v>
      </c>
      <c r="P3004" s="204" t="s">
        <v>2276</v>
      </c>
      <c r="Q3004" s="204" t="s">
        <v>2276</v>
      </c>
      <c r="R3004" s="204" t="s">
        <v>2276</v>
      </c>
      <c r="S3004" s="204" t="s">
        <v>2276</v>
      </c>
      <c r="T3004" s="204" t="s">
        <v>2276</v>
      </c>
      <c r="U3004" s="204" t="s">
        <v>2276</v>
      </c>
      <c r="V3004" s="204" t="s">
        <v>2276</v>
      </c>
      <c r="W3004" s="204" t="s">
        <v>2276</v>
      </c>
      <c r="X3004" s="204" t="s">
        <v>2276</v>
      </c>
      <c r="Y3004" s="204" t="s">
        <v>2276</v>
      </c>
      <c r="Z3004" s="204" t="s">
        <v>2276</v>
      </c>
      <c r="AA3004" s="204"/>
      <c r="AB3004" s="204"/>
    </row>
    <row r="3005" spans="1:28" ht="32.5" customHeight="1">
      <c r="A3005" s="156" t="str">
        <f>'Reported burning'!A3005</f>
        <v>328b</v>
      </c>
      <c r="B3005" s="156" t="str">
        <f>'Reported burning'!B3005</f>
        <v>328b.5</v>
      </c>
      <c r="C3005" s="156" t="str">
        <f>'Reported burning'!C3005</f>
        <v>Human, deliberate</v>
      </c>
      <c r="D3005" s="156" t="str">
        <f>'Reported burning'!D3005</f>
        <v>Arson</v>
      </c>
      <c r="E3005" s="156" t="str">
        <f>'Reported burning'!E3005</f>
        <v>Cropping, Monoculture, Market-oriented</v>
      </c>
      <c r="F3005" s="156" t="str">
        <f>'Reported burning'!F3005</f>
        <v>Cropland</v>
      </c>
      <c r="G3005" s="156" t="str">
        <f>'Reported burning'!G3005</f>
        <v>Forest</v>
      </c>
      <c r="H3005" s="156" t="str">
        <f>'Reported burning'!H3005</f>
        <v>Presence</v>
      </c>
      <c r="I3005" s="5"/>
      <c r="J3005" s="204" t="s">
        <v>2276</v>
      </c>
      <c r="K3005" s="204" t="s">
        <v>2276</v>
      </c>
      <c r="L3005" s="204" t="s">
        <v>2276</v>
      </c>
      <c r="M3005" s="204" t="s">
        <v>2276</v>
      </c>
      <c r="N3005" s="204" t="s">
        <v>2276</v>
      </c>
      <c r="O3005" s="204" t="s">
        <v>2276</v>
      </c>
      <c r="P3005" s="204" t="s">
        <v>2276</v>
      </c>
      <c r="Q3005" s="204" t="s">
        <v>2276</v>
      </c>
      <c r="R3005" s="204" t="s">
        <v>2276</v>
      </c>
      <c r="S3005" s="204" t="s">
        <v>2276</v>
      </c>
      <c r="T3005" s="204" t="s">
        <v>2276</v>
      </c>
      <c r="U3005" s="204" t="s">
        <v>2276</v>
      </c>
      <c r="V3005" s="204" t="s">
        <v>2276</v>
      </c>
      <c r="W3005" s="204" t="s">
        <v>2276</v>
      </c>
      <c r="X3005" s="204" t="s">
        <v>2276</v>
      </c>
      <c r="Y3005" s="204" t="s">
        <v>2276</v>
      </c>
      <c r="Z3005" s="204" t="s">
        <v>2276</v>
      </c>
      <c r="AA3005" s="204"/>
      <c r="AB3005" s="204"/>
    </row>
    <row r="3006" spans="1:28" ht="32.5" customHeight="1">
      <c r="A3006" s="156" t="str">
        <f>'Reported burning'!A3006</f>
        <v>328b</v>
      </c>
      <c r="B3006" s="156" t="str">
        <f>'Reported burning'!B3006</f>
        <v>328b.6</v>
      </c>
      <c r="C3006" s="156" t="str">
        <f>'Reported burning'!C3006</f>
        <v>Human, escaped</v>
      </c>
      <c r="D3006" s="156" t="str">
        <f>'Reported burning'!D3006</f>
        <v>Land clearance</v>
      </c>
      <c r="E3006" s="156" t="str">
        <f>'Reported burning'!E3006</f>
        <v>Cropping, Monoculture, Market-oriented</v>
      </c>
      <c r="F3006" s="156" t="str">
        <f>'Reported burning'!F3006</f>
        <v>Secondary vegetation</v>
      </c>
      <c r="G3006" s="156" t="str">
        <f>'Reported burning'!G3006</f>
        <v>Forest</v>
      </c>
      <c r="H3006" s="156" t="str">
        <f>'Reported burning'!H3006</f>
        <v>Presence</v>
      </c>
      <c r="I3006" s="5"/>
      <c r="J3006" s="204" t="s">
        <v>2276</v>
      </c>
      <c r="K3006" s="204" t="s">
        <v>2276</v>
      </c>
      <c r="L3006" s="204" t="s">
        <v>2276</v>
      </c>
      <c r="M3006" s="204" t="s">
        <v>2276</v>
      </c>
      <c r="N3006" s="204" t="s">
        <v>2276</v>
      </c>
      <c r="O3006" s="204" t="s">
        <v>2276</v>
      </c>
      <c r="P3006" s="204" t="s">
        <v>2276</v>
      </c>
      <c r="Q3006" s="204" t="s">
        <v>2276</v>
      </c>
      <c r="R3006" s="204" t="s">
        <v>2276</v>
      </c>
      <c r="S3006" s="204" t="s">
        <v>2276</v>
      </c>
      <c r="T3006" s="204" t="s">
        <v>2276</v>
      </c>
      <c r="U3006" s="204" t="s">
        <v>2276</v>
      </c>
      <c r="V3006" s="204" t="s">
        <v>2276</v>
      </c>
      <c r="W3006" s="204" t="s">
        <v>2276</v>
      </c>
      <c r="X3006" s="204" t="s">
        <v>2276</v>
      </c>
      <c r="Y3006" s="204" t="s">
        <v>2276</v>
      </c>
      <c r="Z3006" s="204" t="s">
        <v>2276</v>
      </c>
      <c r="AA3006" s="204"/>
      <c r="AB3006" s="204"/>
    </row>
    <row r="3007" spans="1:28" ht="32.5" customHeight="1">
      <c r="A3007" s="156" t="str">
        <f>'Reported burning'!A3007</f>
        <v>328c</v>
      </c>
      <c r="B3007" s="156" t="str">
        <f>'Reported burning'!B3007</f>
        <v>328c.2</v>
      </c>
      <c r="C3007" s="156" t="str">
        <f>'Reported burning'!C3007</f>
        <v>Human, escaped</v>
      </c>
      <c r="D3007" s="156" t="str">
        <f>'Reported burning'!D3007</f>
        <v>Crop residue burning</v>
      </c>
      <c r="E3007" s="156" t="str">
        <f>'Reported burning'!E3007</f>
        <v>Cropping, Monoculture, Market-oriented</v>
      </c>
      <c r="F3007" s="156" t="str">
        <f>'Reported burning'!F3007</f>
        <v>Cropland</v>
      </c>
      <c r="G3007" s="156" t="str">
        <f>'Reported burning'!G3007</f>
        <v>Forest</v>
      </c>
      <c r="H3007" s="156" t="str">
        <f>'Reported burning'!H3007</f>
        <v>Presence</v>
      </c>
      <c r="I3007" s="5"/>
      <c r="J3007" s="204" t="s">
        <v>2276</v>
      </c>
      <c r="K3007" s="204" t="s">
        <v>2276</v>
      </c>
      <c r="L3007" s="204" t="s">
        <v>2276</v>
      </c>
      <c r="M3007" s="204" t="s">
        <v>2276</v>
      </c>
      <c r="N3007" s="204" t="s">
        <v>2276</v>
      </c>
      <c r="O3007" s="204" t="s">
        <v>2276</v>
      </c>
      <c r="P3007" s="204" t="s">
        <v>2276</v>
      </c>
      <c r="Q3007" s="204" t="s">
        <v>2276</v>
      </c>
      <c r="R3007" s="204" t="s">
        <v>2276</v>
      </c>
      <c r="S3007" s="204" t="s">
        <v>2276</v>
      </c>
      <c r="T3007" s="204" t="s">
        <v>2276</v>
      </c>
      <c r="U3007" s="204" t="s">
        <v>2276</v>
      </c>
      <c r="V3007" s="204" t="s">
        <v>2276</v>
      </c>
      <c r="W3007" s="204" t="s">
        <v>2276</v>
      </c>
      <c r="X3007" s="204" t="s">
        <v>2276</v>
      </c>
      <c r="Y3007" s="204" t="s">
        <v>2276</v>
      </c>
      <c r="Z3007" s="204" t="s">
        <v>2276</v>
      </c>
      <c r="AA3007" s="204"/>
      <c r="AB3007" s="204"/>
    </row>
    <row r="3008" spans="1:28" ht="32.5" customHeight="1">
      <c r="A3008" s="156" t="str">
        <f>'Reported burning'!A3008</f>
        <v>328c</v>
      </c>
      <c r="B3008" s="156" t="str">
        <f>'Reported burning'!B3008</f>
        <v>328c.3</v>
      </c>
      <c r="C3008" s="156" t="str">
        <f>'Reported burning'!C3008</f>
        <v>Human, deliberate</v>
      </c>
      <c r="D3008" s="156" t="str">
        <f>'Reported burning'!D3008</f>
        <v>Arson</v>
      </c>
      <c r="E3008" s="156" t="str">
        <f>'Reported burning'!E3008</f>
        <v>Fire suppression agent</v>
      </c>
      <c r="F3008" s="156" t="str">
        <f>'Reported burning'!F3008</f>
        <v>Forest</v>
      </c>
      <c r="G3008" s="156" t="str">
        <f>'Reported burning'!G3008</f>
        <v>Forest</v>
      </c>
      <c r="H3008" s="156" t="str">
        <f>'Reported burning'!H3008</f>
        <v>Presence</v>
      </c>
      <c r="I3008" s="5"/>
      <c r="J3008" s="204" t="s">
        <v>2276</v>
      </c>
      <c r="K3008" s="204" t="s">
        <v>2276</v>
      </c>
      <c r="L3008" s="204" t="s">
        <v>2276</v>
      </c>
      <c r="M3008" s="204" t="s">
        <v>2276</v>
      </c>
      <c r="N3008" s="204" t="s">
        <v>2276</v>
      </c>
      <c r="O3008" s="204" t="s">
        <v>2276</v>
      </c>
      <c r="P3008" s="204" t="s">
        <v>2276</v>
      </c>
      <c r="Q3008" s="204" t="s">
        <v>2276</v>
      </c>
      <c r="R3008" s="204" t="s">
        <v>2276</v>
      </c>
      <c r="S3008" s="204" t="s">
        <v>2276</v>
      </c>
      <c r="T3008" s="204" t="s">
        <v>2276</v>
      </c>
      <c r="U3008" s="204" t="s">
        <v>2276</v>
      </c>
      <c r="V3008" s="204" t="s">
        <v>2276</v>
      </c>
      <c r="W3008" s="204" t="s">
        <v>2276</v>
      </c>
      <c r="X3008" s="204" t="s">
        <v>2276</v>
      </c>
      <c r="Y3008" s="204" t="s">
        <v>2276</v>
      </c>
      <c r="Z3008" s="204" t="s">
        <v>2276</v>
      </c>
      <c r="AA3008" s="204"/>
      <c r="AB3008" s="204"/>
    </row>
    <row r="3009" spans="1:28" ht="32.5" customHeight="1">
      <c r="A3009" s="156" t="str">
        <f>'Reported burning'!A3009</f>
        <v>328c</v>
      </c>
      <c r="B3009" s="156" t="str">
        <f>'Reported burning'!B3009</f>
        <v>328c.4</v>
      </c>
      <c r="C3009" s="156" t="str">
        <f>'Reported burning'!C3009</f>
        <v>Lightning</v>
      </c>
      <c r="D3009" s="156" t="str">
        <f>'Reported burning'!D3009</f>
        <v>ND</v>
      </c>
      <c r="E3009" s="156" t="str">
        <f>'Reported burning'!E3009</f>
        <v>ND</v>
      </c>
      <c r="F3009" s="156" t="str">
        <f>'Reported burning'!F3009</f>
        <v>ND</v>
      </c>
      <c r="G3009" s="156" t="str">
        <f>'Reported burning'!G3009</f>
        <v>Forest</v>
      </c>
      <c r="H3009" s="156" t="str">
        <f>'Reported burning'!H3009</f>
        <v>Presence</v>
      </c>
      <c r="I3009" s="5"/>
      <c r="J3009" s="204" t="s">
        <v>2276</v>
      </c>
      <c r="K3009" s="204" t="s">
        <v>2276</v>
      </c>
      <c r="L3009" s="204" t="s">
        <v>2276</v>
      </c>
      <c r="M3009" s="204" t="s">
        <v>2276</v>
      </c>
      <c r="N3009" s="204" t="s">
        <v>2276</v>
      </c>
      <c r="O3009" s="204" t="s">
        <v>2276</v>
      </c>
      <c r="P3009" s="204" t="s">
        <v>2276</v>
      </c>
      <c r="Q3009" s="204" t="s">
        <v>2276</v>
      </c>
      <c r="R3009" s="204" t="s">
        <v>2276</v>
      </c>
      <c r="S3009" s="204" t="s">
        <v>2276</v>
      </c>
      <c r="T3009" s="204" t="s">
        <v>2276</v>
      </c>
      <c r="U3009" s="204" t="s">
        <v>2276</v>
      </c>
      <c r="V3009" s="204" t="s">
        <v>2276</v>
      </c>
      <c r="W3009" s="204" t="s">
        <v>2276</v>
      </c>
      <c r="X3009" s="204" t="s">
        <v>2276</v>
      </c>
      <c r="Y3009" s="204" t="s">
        <v>2276</v>
      </c>
      <c r="Z3009" s="204" t="s">
        <v>2276</v>
      </c>
      <c r="AA3009" s="204"/>
      <c r="AB3009" s="204"/>
    </row>
    <row r="3010" spans="1:28" ht="32.5" customHeight="1">
      <c r="A3010" s="156" t="str">
        <f>'Reported burning'!A3010</f>
        <v>328c</v>
      </c>
      <c r="B3010" s="156" t="str">
        <f>'Reported burning'!B3010</f>
        <v>328c.5</v>
      </c>
      <c r="C3010" s="156" t="str">
        <f>'Reported burning'!C3010</f>
        <v>Human, escaped</v>
      </c>
      <c r="D3010" s="156" t="str">
        <f>'Reported burning'!D3010</f>
        <v>Pasture renewal</v>
      </c>
      <c r="E3010" s="156" t="str">
        <f>'Reported burning'!E3010</f>
        <v>Cattle, Extensive</v>
      </c>
      <c r="F3010" s="156" t="str">
        <f>'Reported burning'!F3010</f>
        <v>Pasture</v>
      </c>
      <c r="G3010" s="156" t="str">
        <f>'Reported burning'!G3010</f>
        <v>Forest</v>
      </c>
      <c r="H3010" s="156" t="str">
        <f>'Reported burning'!H3010</f>
        <v>Presence</v>
      </c>
      <c r="I3010" s="5"/>
      <c r="J3010" s="204" t="s">
        <v>2276</v>
      </c>
      <c r="K3010" s="204" t="s">
        <v>2276</v>
      </c>
      <c r="L3010" s="204" t="s">
        <v>2276</v>
      </c>
      <c r="M3010" s="204" t="s">
        <v>2276</v>
      </c>
      <c r="N3010" s="204" t="s">
        <v>2276</v>
      </c>
      <c r="O3010" s="204" t="s">
        <v>2276</v>
      </c>
      <c r="P3010" s="204" t="s">
        <v>2276</v>
      </c>
      <c r="Q3010" s="204" t="s">
        <v>2276</v>
      </c>
      <c r="R3010" s="204" t="s">
        <v>2276</v>
      </c>
      <c r="S3010" s="204" t="s">
        <v>2276</v>
      </c>
      <c r="T3010" s="204" t="s">
        <v>2276</v>
      </c>
      <c r="U3010" s="204" t="s">
        <v>2276</v>
      </c>
      <c r="V3010" s="204" t="s">
        <v>2276</v>
      </c>
      <c r="W3010" s="204" t="s">
        <v>2276</v>
      </c>
      <c r="X3010" s="204" t="s">
        <v>2276</v>
      </c>
      <c r="Y3010" s="204" t="s">
        <v>2276</v>
      </c>
      <c r="Z3010" s="204" t="s">
        <v>2276</v>
      </c>
      <c r="AA3010" s="204"/>
      <c r="AB3010" s="204"/>
    </row>
    <row r="3011" spans="1:28" ht="32.5" customHeight="1">
      <c r="A3011" s="156" t="str">
        <f>'Reported burning'!A3011</f>
        <v>328c</v>
      </c>
      <c r="B3011" s="156" t="str">
        <f>'Reported burning'!B3011</f>
        <v>328c.6</v>
      </c>
      <c r="C3011" s="156" t="str">
        <f>'Reported burning'!C3011</f>
        <v>Human, deliberate</v>
      </c>
      <c r="D3011" s="156" t="str">
        <f>'Reported burning'!D3011</f>
        <v>Arson</v>
      </c>
      <c r="E3011" s="156" t="str">
        <f>'Reported burning'!E3011</f>
        <v>Cropping, Monoculture, Market-oriented</v>
      </c>
      <c r="F3011" s="156" t="str">
        <f>'Reported burning'!F3011</f>
        <v>Cropland</v>
      </c>
      <c r="G3011" s="156" t="str">
        <f>'Reported burning'!G3011</f>
        <v>Forest</v>
      </c>
      <c r="H3011" s="156" t="str">
        <f>'Reported burning'!H3011</f>
        <v>Presence</v>
      </c>
      <c r="I3011" s="5"/>
      <c r="J3011" s="204" t="s">
        <v>2276</v>
      </c>
      <c r="K3011" s="204" t="s">
        <v>2276</v>
      </c>
      <c r="L3011" s="204" t="s">
        <v>2276</v>
      </c>
      <c r="M3011" s="204" t="s">
        <v>2276</v>
      </c>
      <c r="N3011" s="204" t="s">
        <v>2276</v>
      </c>
      <c r="O3011" s="204" t="s">
        <v>2276</v>
      </c>
      <c r="P3011" s="204" t="s">
        <v>2276</v>
      </c>
      <c r="Q3011" s="204" t="s">
        <v>2276</v>
      </c>
      <c r="R3011" s="204" t="s">
        <v>2276</v>
      </c>
      <c r="S3011" s="204" t="s">
        <v>2276</v>
      </c>
      <c r="T3011" s="204" t="s">
        <v>2276</v>
      </c>
      <c r="U3011" s="204" t="s">
        <v>2276</v>
      </c>
      <c r="V3011" s="204" t="s">
        <v>2276</v>
      </c>
      <c r="W3011" s="204" t="s">
        <v>2276</v>
      </c>
      <c r="X3011" s="204" t="s">
        <v>2276</v>
      </c>
      <c r="Y3011" s="204" t="s">
        <v>2276</v>
      </c>
      <c r="Z3011" s="204" t="s">
        <v>2276</v>
      </c>
      <c r="AA3011" s="204"/>
      <c r="AB3011" s="204"/>
    </row>
    <row r="3012" spans="1:28" ht="32.5" customHeight="1">
      <c r="A3012" s="156" t="str">
        <f>'Reported burning'!A3012</f>
        <v>328c</v>
      </c>
      <c r="B3012" s="156" t="str">
        <f>'Reported burning'!B3012</f>
        <v>328c.7</v>
      </c>
      <c r="C3012" s="156" t="str">
        <f>'Reported burning'!C3012</f>
        <v>Human, deliberate</v>
      </c>
      <c r="D3012" s="156" t="str">
        <f>'Reported burning'!D3012</f>
        <v>Arson</v>
      </c>
      <c r="E3012" s="156" t="str">
        <f>'Reported burning'!E3012</f>
        <v>Cattle, Extensive</v>
      </c>
      <c r="F3012" s="156" t="str">
        <f>'Reported burning'!F3012</f>
        <v>Cropland</v>
      </c>
      <c r="G3012" s="156" t="str">
        <f>'Reported burning'!G3012</f>
        <v>Forest</v>
      </c>
      <c r="H3012" s="156" t="str">
        <f>'Reported burning'!H3012</f>
        <v>Presence</v>
      </c>
      <c r="I3012" s="5"/>
      <c r="J3012" s="204" t="s">
        <v>2276</v>
      </c>
      <c r="K3012" s="204" t="s">
        <v>2276</v>
      </c>
      <c r="L3012" s="204" t="s">
        <v>2276</v>
      </c>
      <c r="M3012" s="204" t="s">
        <v>2276</v>
      </c>
      <c r="N3012" s="204" t="s">
        <v>2276</v>
      </c>
      <c r="O3012" s="204" t="s">
        <v>2276</v>
      </c>
      <c r="P3012" s="204" t="s">
        <v>2276</v>
      </c>
      <c r="Q3012" s="204" t="s">
        <v>2276</v>
      </c>
      <c r="R3012" s="204" t="s">
        <v>2276</v>
      </c>
      <c r="S3012" s="204" t="s">
        <v>2276</v>
      </c>
      <c r="T3012" s="204" t="s">
        <v>2276</v>
      </c>
      <c r="U3012" s="204" t="s">
        <v>2276</v>
      </c>
      <c r="V3012" s="204" t="s">
        <v>2276</v>
      </c>
      <c r="W3012" s="204" t="s">
        <v>2276</v>
      </c>
      <c r="X3012" s="204" t="s">
        <v>2276</v>
      </c>
      <c r="Y3012" s="204" t="s">
        <v>2276</v>
      </c>
      <c r="Z3012" s="204" t="s">
        <v>2276</v>
      </c>
      <c r="AA3012" s="204"/>
      <c r="AB3012" s="204"/>
    </row>
    <row r="3013" spans="1:28" ht="32.5" customHeight="1">
      <c r="A3013" s="156" t="str">
        <f>'Reported burning'!A3013</f>
        <v>328d</v>
      </c>
      <c r="B3013" s="156" t="str">
        <f>'Reported burning'!B3013</f>
        <v>328d.2</v>
      </c>
      <c r="C3013" s="156" t="str">
        <f>'Reported burning'!C3013</f>
        <v>Human, escaped</v>
      </c>
      <c r="D3013" s="156" t="str">
        <f>'Reported burning'!D3013</f>
        <v>Crop residue burning</v>
      </c>
      <c r="E3013" s="156" t="str">
        <f>'Reported burning'!E3013</f>
        <v>Cropping, Monoculture, Market-oriented</v>
      </c>
      <c r="F3013" s="156" t="str">
        <f>'Reported burning'!F3013</f>
        <v>Cropland</v>
      </c>
      <c r="G3013" s="156" t="str">
        <f>'Reported burning'!G3013</f>
        <v>Forest</v>
      </c>
      <c r="H3013" s="156" t="str">
        <f>'Reported burning'!H3013</f>
        <v>Presence</v>
      </c>
      <c r="I3013" s="5"/>
      <c r="J3013" s="204" t="s">
        <v>2276</v>
      </c>
      <c r="K3013" s="204" t="s">
        <v>2276</v>
      </c>
      <c r="L3013" s="204" t="s">
        <v>2276</v>
      </c>
      <c r="M3013" s="204" t="s">
        <v>2276</v>
      </c>
      <c r="N3013" s="204" t="s">
        <v>2276</v>
      </c>
      <c r="O3013" s="204" t="s">
        <v>2276</v>
      </c>
      <c r="P3013" s="204" t="s">
        <v>2276</v>
      </c>
      <c r="Q3013" s="204" t="s">
        <v>2276</v>
      </c>
      <c r="R3013" s="204" t="s">
        <v>2276</v>
      </c>
      <c r="S3013" s="204" t="s">
        <v>2276</v>
      </c>
      <c r="T3013" s="204" t="s">
        <v>2276</v>
      </c>
      <c r="U3013" s="204" t="s">
        <v>2276</v>
      </c>
      <c r="V3013" s="204" t="s">
        <v>2276</v>
      </c>
      <c r="W3013" s="204" t="s">
        <v>2276</v>
      </c>
      <c r="X3013" s="204" t="s">
        <v>2276</v>
      </c>
      <c r="Y3013" s="204" t="s">
        <v>2276</v>
      </c>
      <c r="Z3013" s="204" t="s">
        <v>2276</v>
      </c>
      <c r="AA3013" s="204"/>
      <c r="AB3013" s="204"/>
    </row>
    <row r="3014" spans="1:28" ht="32.5" customHeight="1">
      <c r="A3014" s="156" t="str">
        <f>'Reported burning'!A3014</f>
        <v>328d</v>
      </c>
      <c r="B3014" s="156" t="str">
        <f>'Reported burning'!B3014</f>
        <v>328d.3</v>
      </c>
      <c r="C3014" s="156" t="str">
        <f>'Reported burning'!C3014</f>
        <v>Human, escaped</v>
      </c>
      <c r="D3014" s="156" t="str">
        <f>'Reported burning'!D3014</f>
        <v>Land clearance</v>
      </c>
      <c r="E3014" s="156" t="str">
        <f>'Reported burning'!E3014</f>
        <v>Cropping, Monoculture, Market-oriented</v>
      </c>
      <c r="F3014" s="156" t="str">
        <f>'Reported burning'!F3014</f>
        <v>Secondary vegetation</v>
      </c>
      <c r="G3014" s="156" t="str">
        <f>'Reported burning'!G3014</f>
        <v>Forest</v>
      </c>
      <c r="H3014" s="156" t="str">
        <f>'Reported burning'!H3014</f>
        <v>Presence</v>
      </c>
      <c r="I3014" s="5"/>
      <c r="J3014" s="204" t="s">
        <v>2276</v>
      </c>
      <c r="K3014" s="204" t="s">
        <v>2276</v>
      </c>
      <c r="L3014" s="204" t="s">
        <v>2276</v>
      </c>
      <c r="M3014" s="204" t="s">
        <v>2276</v>
      </c>
      <c r="N3014" s="204" t="s">
        <v>2276</v>
      </c>
      <c r="O3014" s="204" t="s">
        <v>2276</v>
      </c>
      <c r="P3014" s="204" t="s">
        <v>2276</v>
      </c>
      <c r="Q3014" s="204" t="s">
        <v>2276</v>
      </c>
      <c r="R3014" s="204" t="s">
        <v>2276</v>
      </c>
      <c r="S3014" s="204" t="s">
        <v>2276</v>
      </c>
      <c r="T3014" s="204" t="s">
        <v>2276</v>
      </c>
      <c r="U3014" s="204" t="s">
        <v>2276</v>
      </c>
      <c r="V3014" s="204" t="s">
        <v>2276</v>
      </c>
      <c r="W3014" s="204" t="s">
        <v>2276</v>
      </c>
      <c r="X3014" s="204" t="s">
        <v>2276</v>
      </c>
      <c r="Y3014" s="204" t="s">
        <v>2276</v>
      </c>
      <c r="Z3014" s="204" t="s">
        <v>2276</v>
      </c>
      <c r="AA3014" s="204"/>
      <c r="AB3014" s="204"/>
    </row>
    <row r="3015" spans="1:28" ht="32.5" customHeight="1">
      <c r="A3015" s="156" t="str">
        <f>'Reported burning'!A3015</f>
        <v>328d</v>
      </c>
      <c r="B3015" s="156" t="str">
        <f>'Reported burning'!B3015</f>
        <v>328d.4</v>
      </c>
      <c r="C3015" s="156" t="str">
        <f>'Reported burning'!C3015</f>
        <v>Human, deliberate</v>
      </c>
      <c r="D3015" s="156" t="str">
        <f>'Reported burning'!D3015</f>
        <v>Arson</v>
      </c>
      <c r="E3015" s="156" t="str">
        <f>'Reported burning'!E3015</f>
        <v>ND</v>
      </c>
      <c r="F3015" s="156" t="str">
        <f>'Reported burning'!F3015</f>
        <v>Forest</v>
      </c>
      <c r="G3015" s="156" t="str">
        <f>'Reported burning'!G3015</f>
        <v>Forest</v>
      </c>
      <c r="H3015" s="156" t="str">
        <f>'Reported burning'!H3015</f>
        <v>Presence</v>
      </c>
      <c r="I3015" s="5"/>
      <c r="J3015" s="204" t="s">
        <v>2276</v>
      </c>
      <c r="K3015" s="204" t="s">
        <v>2276</v>
      </c>
      <c r="L3015" s="204" t="s">
        <v>2276</v>
      </c>
      <c r="M3015" s="204" t="s">
        <v>2276</v>
      </c>
      <c r="N3015" s="204" t="s">
        <v>2276</v>
      </c>
      <c r="O3015" s="204" t="s">
        <v>2276</v>
      </c>
      <c r="P3015" s="204" t="s">
        <v>2276</v>
      </c>
      <c r="Q3015" s="204" t="s">
        <v>2276</v>
      </c>
      <c r="R3015" s="204" t="s">
        <v>2276</v>
      </c>
      <c r="S3015" s="204" t="s">
        <v>2276</v>
      </c>
      <c r="T3015" s="204" t="s">
        <v>2276</v>
      </c>
      <c r="U3015" s="204" t="s">
        <v>2276</v>
      </c>
      <c r="V3015" s="204" t="s">
        <v>2276</v>
      </c>
      <c r="W3015" s="204" t="s">
        <v>2276</v>
      </c>
      <c r="X3015" s="204" t="s">
        <v>2276</v>
      </c>
      <c r="Y3015" s="204" t="s">
        <v>2276</v>
      </c>
      <c r="Z3015" s="204" t="s">
        <v>2276</v>
      </c>
      <c r="AA3015" s="204"/>
      <c r="AB3015" s="204"/>
    </row>
    <row r="3016" spans="1:28" ht="32.5" customHeight="1">
      <c r="A3016" s="156" t="str">
        <f>'Reported burning'!A3016</f>
        <v>328d</v>
      </c>
      <c r="B3016" s="156" t="str">
        <f>'Reported burning'!B3016</f>
        <v>328d.5</v>
      </c>
      <c r="C3016" s="156" t="str">
        <f>'Reported burning'!C3016</f>
        <v>Human, escaped</v>
      </c>
      <c r="D3016" s="156" t="str">
        <f>'Reported burning'!D3016</f>
        <v>Pasture renewal</v>
      </c>
      <c r="E3016" s="156" t="str">
        <f>'Reported burning'!E3016</f>
        <v>Cattle, Extensive</v>
      </c>
      <c r="F3016" s="156" t="str">
        <f>'Reported burning'!F3016</f>
        <v>Pasture</v>
      </c>
      <c r="G3016" s="156" t="str">
        <f>'Reported burning'!G3016</f>
        <v>Forest</v>
      </c>
      <c r="H3016" s="156" t="str">
        <f>'Reported burning'!H3016</f>
        <v>Presence</v>
      </c>
      <c r="I3016" s="5"/>
      <c r="J3016" s="204" t="s">
        <v>2276</v>
      </c>
      <c r="K3016" s="204" t="s">
        <v>2276</v>
      </c>
      <c r="L3016" s="204" t="s">
        <v>2276</v>
      </c>
      <c r="M3016" s="204" t="s">
        <v>2276</v>
      </c>
      <c r="N3016" s="204" t="s">
        <v>2276</v>
      </c>
      <c r="O3016" s="204" t="s">
        <v>2276</v>
      </c>
      <c r="P3016" s="204" t="s">
        <v>2276</v>
      </c>
      <c r="Q3016" s="204" t="s">
        <v>2276</v>
      </c>
      <c r="R3016" s="204" t="s">
        <v>2276</v>
      </c>
      <c r="S3016" s="204" t="s">
        <v>2276</v>
      </c>
      <c r="T3016" s="204" t="s">
        <v>2276</v>
      </c>
      <c r="U3016" s="204" t="s">
        <v>2276</v>
      </c>
      <c r="V3016" s="204" t="s">
        <v>2276</v>
      </c>
      <c r="W3016" s="204" t="s">
        <v>2276</v>
      </c>
      <c r="X3016" s="204" t="s">
        <v>2276</v>
      </c>
      <c r="Y3016" s="204" t="s">
        <v>2276</v>
      </c>
      <c r="Z3016" s="204" t="s">
        <v>2276</v>
      </c>
      <c r="AA3016" s="204"/>
      <c r="AB3016" s="204"/>
    </row>
    <row r="3017" spans="1:28" ht="32.5" customHeight="1">
      <c r="A3017" s="156" t="str">
        <f>'Reported burning'!A3017</f>
        <v>328d</v>
      </c>
      <c r="B3017" s="156" t="str">
        <f>'Reported burning'!B3017</f>
        <v>328d.6</v>
      </c>
      <c r="C3017" s="156" t="str">
        <f>'Reported burning'!C3017</f>
        <v>Human, deliberate</v>
      </c>
      <c r="D3017" s="156" t="str">
        <f>'Reported burning'!D3017</f>
        <v>Arson</v>
      </c>
      <c r="E3017" s="156" t="str">
        <f>'Reported burning'!E3017</f>
        <v>Cropping, Monoculture, Market-oriented</v>
      </c>
      <c r="F3017" s="156" t="str">
        <f>'Reported burning'!F3017</f>
        <v>Cropland</v>
      </c>
      <c r="G3017" s="156" t="str">
        <f>'Reported burning'!G3017</f>
        <v>Forest</v>
      </c>
      <c r="H3017" s="156" t="str">
        <f>'Reported burning'!H3017</f>
        <v>Presence</v>
      </c>
      <c r="I3017" s="5"/>
      <c r="J3017" s="204" t="s">
        <v>2276</v>
      </c>
      <c r="K3017" s="204" t="s">
        <v>2276</v>
      </c>
      <c r="L3017" s="204" t="s">
        <v>2276</v>
      </c>
      <c r="M3017" s="204" t="s">
        <v>2276</v>
      </c>
      <c r="N3017" s="204" t="s">
        <v>2276</v>
      </c>
      <c r="O3017" s="204" t="s">
        <v>2276</v>
      </c>
      <c r="P3017" s="204" t="s">
        <v>2276</v>
      </c>
      <c r="Q3017" s="204" t="s">
        <v>2276</v>
      </c>
      <c r="R3017" s="204" t="s">
        <v>2276</v>
      </c>
      <c r="S3017" s="204" t="s">
        <v>2276</v>
      </c>
      <c r="T3017" s="204" t="s">
        <v>2276</v>
      </c>
      <c r="U3017" s="204" t="s">
        <v>2276</v>
      </c>
      <c r="V3017" s="204" t="s">
        <v>2276</v>
      </c>
      <c r="W3017" s="204" t="s">
        <v>2276</v>
      </c>
      <c r="X3017" s="204" t="s">
        <v>2276</v>
      </c>
      <c r="Y3017" s="204" t="s">
        <v>2276</v>
      </c>
      <c r="Z3017" s="204" t="s">
        <v>2276</v>
      </c>
      <c r="AA3017" s="204"/>
      <c r="AB3017" s="204"/>
    </row>
    <row r="3018" spans="1:28" ht="32.5" customHeight="1">
      <c r="A3018" s="156" t="str">
        <f>'Reported burning'!A3018</f>
        <v>328d</v>
      </c>
      <c r="B3018" s="156" t="str">
        <f>'Reported burning'!B3018</f>
        <v>328d.7</v>
      </c>
      <c r="C3018" s="156" t="str">
        <f>'Reported burning'!C3018</f>
        <v>Human, accidental</v>
      </c>
      <c r="D3018" s="156" t="str">
        <f>'Reported burning'!D3018</f>
        <v>Accidental</v>
      </c>
      <c r="E3018" s="156" t="str">
        <f>'Reported burning'!E3018</f>
        <v>Urban planner</v>
      </c>
      <c r="F3018" s="156" t="str">
        <f>'Reported burning'!F3018</f>
        <v>ND</v>
      </c>
      <c r="G3018" s="156" t="str">
        <f>'Reported burning'!G3018</f>
        <v>Forest</v>
      </c>
      <c r="H3018" s="156" t="str">
        <f>'Reported burning'!H3018</f>
        <v>Presence</v>
      </c>
      <c r="I3018" s="5"/>
      <c r="J3018" s="204" t="s">
        <v>2276</v>
      </c>
      <c r="K3018" s="204" t="s">
        <v>2276</v>
      </c>
      <c r="L3018" s="204" t="s">
        <v>2276</v>
      </c>
      <c r="M3018" s="204" t="s">
        <v>2276</v>
      </c>
      <c r="N3018" s="204" t="s">
        <v>2276</v>
      </c>
      <c r="O3018" s="204" t="s">
        <v>2276</v>
      </c>
      <c r="P3018" s="204" t="s">
        <v>2276</v>
      </c>
      <c r="Q3018" s="204" t="s">
        <v>2276</v>
      </c>
      <c r="R3018" s="204" t="s">
        <v>2276</v>
      </c>
      <c r="S3018" s="204" t="s">
        <v>2276</v>
      </c>
      <c r="T3018" s="204" t="s">
        <v>2276</v>
      </c>
      <c r="U3018" s="204" t="s">
        <v>2276</v>
      </c>
      <c r="V3018" s="204" t="s">
        <v>2276</v>
      </c>
      <c r="W3018" s="204" t="s">
        <v>2276</v>
      </c>
      <c r="X3018" s="204" t="s">
        <v>2276</v>
      </c>
      <c r="Y3018" s="204" t="s">
        <v>2276</v>
      </c>
      <c r="Z3018" s="204" t="s">
        <v>2276</v>
      </c>
      <c r="AA3018" s="204"/>
      <c r="AB3018" s="204"/>
    </row>
    <row r="3019" spans="1:28" ht="32.5" customHeight="1">
      <c r="A3019" s="156" t="str">
        <f>'Reported burning'!A3019</f>
        <v>328d</v>
      </c>
      <c r="B3019" s="156" t="str">
        <f>'Reported burning'!B3019</f>
        <v>328d.8</v>
      </c>
      <c r="C3019" s="156" t="str">
        <f>'Reported burning'!C3019</f>
        <v>Lightning</v>
      </c>
      <c r="D3019" s="156" t="str">
        <f>'Reported burning'!D3019</f>
        <v>ND</v>
      </c>
      <c r="E3019" s="156" t="str">
        <f>'Reported burning'!E3019</f>
        <v>ND</v>
      </c>
      <c r="F3019" s="156" t="str">
        <f>'Reported burning'!F3019</f>
        <v>ND</v>
      </c>
      <c r="G3019" s="156" t="str">
        <f>'Reported burning'!G3019</f>
        <v>Forest</v>
      </c>
      <c r="H3019" s="156" t="str">
        <f>'Reported burning'!H3019</f>
        <v>Presence</v>
      </c>
      <c r="I3019" s="5"/>
      <c r="J3019" s="204" t="s">
        <v>2276</v>
      </c>
      <c r="K3019" s="204" t="s">
        <v>2276</v>
      </c>
      <c r="L3019" s="204" t="s">
        <v>2276</v>
      </c>
      <c r="M3019" s="204" t="s">
        <v>2276</v>
      </c>
      <c r="N3019" s="204" t="s">
        <v>2276</v>
      </c>
      <c r="O3019" s="204" t="s">
        <v>2276</v>
      </c>
      <c r="P3019" s="204" t="s">
        <v>2276</v>
      </c>
      <c r="Q3019" s="204" t="s">
        <v>2276</v>
      </c>
      <c r="R3019" s="204" t="s">
        <v>2276</v>
      </c>
      <c r="S3019" s="204" t="s">
        <v>2276</v>
      </c>
      <c r="T3019" s="204" t="s">
        <v>2276</v>
      </c>
      <c r="U3019" s="204" t="s">
        <v>2276</v>
      </c>
      <c r="V3019" s="204" t="s">
        <v>2276</v>
      </c>
      <c r="W3019" s="204" t="s">
        <v>2276</v>
      </c>
      <c r="X3019" s="204" t="s">
        <v>2276</v>
      </c>
      <c r="Y3019" s="204" t="s">
        <v>2276</v>
      </c>
      <c r="Z3019" s="204" t="s">
        <v>2276</v>
      </c>
      <c r="AA3019" s="204"/>
      <c r="AB3019" s="204"/>
    </row>
    <row r="3020" spans="1:28" ht="32.5" customHeight="1">
      <c r="A3020" s="152" t="str">
        <f>'Reported burning'!A3020</f>
        <v>329a</v>
      </c>
      <c r="B3020" s="152" t="str">
        <f>'Reported burning'!B3020</f>
        <v>329a.1</v>
      </c>
      <c r="C3020" s="152" t="str">
        <f>'Reported burning'!C3020</f>
        <v>Human, deliberate</v>
      </c>
      <c r="D3020" s="152" t="str">
        <f>'Reported burning'!D3020</f>
        <v>Hunting</v>
      </c>
      <c r="E3020" s="152" t="str">
        <f>'Reported burning'!E3020</f>
        <v>Forestry, Traditional</v>
      </c>
      <c r="F3020" s="152" t="str">
        <f>'Reported burning'!F3020</f>
        <v>Shrubland (Mixed forest &amp; grassland)</v>
      </c>
      <c r="G3020" s="152" t="str">
        <f>'Reported burning'!G3020</f>
        <v>Shrubland (Mixed forest &amp; grassland)</v>
      </c>
      <c r="H3020" s="152" t="str">
        <f>'Reported burning'!H3020</f>
        <v>Presence</v>
      </c>
      <c r="I3020" s="204"/>
      <c r="J3020" s="204" t="s">
        <v>2276</v>
      </c>
      <c r="K3020" s="204" t="s">
        <v>2276</v>
      </c>
      <c r="L3020" s="204" t="s">
        <v>2276</v>
      </c>
      <c r="M3020" s="204" t="s">
        <v>2276</v>
      </c>
      <c r="N3020" s="204" t="s">
        <v>2276</v>
      </c>
      <c r="O3020" s="204" t="s">
        <v>2276</v>
      </c>
      <c r="P3020" s="204" t="s">
        <v>2276</v>
      </c>
      <c r="Q3020" s="204" t="s">
        <v>2276</v>
      </c>
      <c r="R3020" s="204" t="s">
        <v>2276</v>
      </c>
      <c r="S3020" s="204" t="s">
        <v>2276</v>
      </c>
      <c r="T3020" s="204" t="s">
        <v>2276</v>
      </c>
      <c r="U3020" s="204" t="s">
        <v>2276</v>
      </c>
      <c r="V3020" s="204" t="s">
        <v>2276</v>
      </c>
      <c r="W3020" s="21" t="s">
        <v>2402</v>
      </c>
      <c r="X3020" s="204" t="s">
        <v>38</v>
      </c>
      <c r="Y3020" s="204" t="s">
        <v>68</v>
      </c>
      <c r="Z3020" s="204" t="s">
        <v>2276</v>
      </c>
      <c r="AA3020" s="204"/>
      <c r="AB3020" s="204" t="s">
        <v>8161</v>
      </c>
    </row>
    <row r="3021" spans="1:28" ht="32.5" customHeight="1">
      <c r="A3021" s="152" t="str">
        <f>'Reported burning'!A3021</f>
        <v>329a</v>
      </c>
      <c r="B3021" s="152" t="str">
        <f>'Reported burning'!B3021</f>
        <v>329a.2</v>
      </c>
      <c r="C3021" s="152" t="str">
        <f>'Reported burning'!C3021</f>
        <v>Lightning</v>
      </c>
      <c r="D3021" s="152" t="str">
        <f>'Reported burning'!D3021</f>
        <v>ND</v>
      </c>
      <c r="E3021" s="152" t="str">
        <f>'Reported burning'!E3021</f>
        <v>ND</v>
      </c>
      <c r="F3021" s="152" t="str">
        <f>'Reported burning'!F3021</f>
        <v>ND</v>
      </c>
      <c r="G3021" s="152" t="str">
        <f>'Reported burning'!G3021</f>
        <v>Shrubland (Mixed forest &amp; grassland)</v>
      </c>
      <c r="H3021" s="152" t="str">
        <f>'Reported burning'!H3021</f>
        <v>Presence</v>
      </c>
      <c r="I3021" s="204"/>
      <c r="J3021" s="204" t="s">
        <v>2276</v>
      </c>
      <c r="K3021" s="204" t="s">
        <v>2276</v>
      </c>
      <c r="L3021" s="204" t="s">
        <v>2276</v>
      </c>
      <c r="M3021" s="204" t="s">
        <v>2276</v>
      </c>
      <c r="N3021" s="204" t="s">
        <v>2276</v>
      </c>
      <c r="O3021" s="204" t="s">
        <v>2276</v>
      </c>
      <c r="P3021" s="204" t="s">
        <v>2276</v>
      </c>
      <c r="Q3021" s="204" t="s">
        <v>2276</v>
      </c>
      <c r="R3021" s="204" t="s">
        <v>2276</v>
      </c>
      <c r="S3021" s="204" t="s">
        <v>2276</v>
      </c>
      <c r="T3021" s="204" t="s">
        <v>2276</v>
      </c>
      <c r="U3021" s="204" t="s">
        <v>2276</v>
      </c>
      <c r="V3021" s="204" t="s">
        <v>2276</v>
      </c>
      <c r="W3021" s="204" t="s">
        <v>2276</v>
      </c>
      <c r="X3021" s="204" t="s">
        <v>2276</v>
      </c>
      <c r="Y3021" s="204" t="s">
        <v>2276</v>
      </c>
      <c r="Z3021" s="204" t="s">
        <v>2276</v>
      </c>
      <c r="AA3021" s="204"/>
      <c r="AB3021" s="204" t="s">
        <v>7894</v>
      </c>
    </row>
    <row r="3022" spans="1:28" ht="36" customHeight="1">
      <c r="A3022" s="152" t="str">
        <f>'Reported burning'!A3022</f>
        <v>330a</v>
      </c>
      <c r="B3022" s="152" t="str">
        <f>'Reported burning'!B3022</f>
        <v>330a.1</v>
      </c>
      <c r="C3022" s="152" t="str">
        <f>'Reported burning'!C3022</f>
        <v>Human, deliberate</v>
      </c>
      <c r="D3022" s="152" t="str">
        <f>'Reported burning'!D3022</f>
        <v>Pyrome management</v>
      </c>
      <c r="E3022" s="152" t="str">
        <f>'Reported burning'!E3022</f>
        <v>Forestry, Traditional</v>
      </c>
      <c r="F3022" s="152" t="str">
        <f>'Reported burning'!F3022</f>
        <v>Shrubland (Mixed forest &amp; grassland)</v>
      </c>
      <c r="G3022" s="152" t="str">
        <f>'Reported burning'!G3022</f>
        <v>Shrubland (Mixed forest &amp; grassland)</v>
      </c>
      <c r="H3022" s="152" t="str">
        <f>'Reported burning'!H3022</f>
        <v>Presence</v>
      </c>
      <c r="I3022" s="204"/>
      <c r="J3022" s="204" t="s">
        <v>2276</v>
      </c>
      <c r="K3022" s="204" t="s">
        <v>2276</v>
      </c>
      <c r="L3022" s="204" t="s">
        <v>2276</v>
      </c>
      <c r="M3022" s="204" t="s">
        <v>2276</v>
      </c>
      <c r="N3022" s="204" t="s">
        <v>2276</v>
      </c>
      <c r="O3022" s="204" t="s">
        <v>2276</v>
      </c>
      <c r="P3022" s="204" t="s">
        <v>2276</v>
      </c>
      <c r="Q3022" s="204" t="s">
        <v>2276</v>
      </c>
      <c r="R3022" s="204" t="s">
        <v>2276</v>
      </c>
      <c r="S3022" s="204" t="s">
        <v>2276</v>
      </c>
      <c r="T3022" s="204" t="s">
        <v>2276</v>
      </c>
      <c r="U3022" s="204" t="s">
        <v>2276</v>
      </c>
      <c r="V3022" s="204" t="s">
        <v>2276</v>
      </c>
      <c r="W3022" s="204" t="s">
        <v>2276</v>
      </c>
      <c r="X3022" s="204" t="s">
        <v>68</v>
      </c>
      <c r="Y3022" s="204" t="s">
        <v>127</v>
      </c>
      <c r="Z3022" s="204" t="s">
        <v>2655</v>
      </c>
      <c r="AA3022" s="204"/>
      <c r="AB3022" s="204"/>
    </row>
    <row r="3023" spans="1:28" ht="34.5" customHeight="1">
      <c r="A3023" s="152" t="str">
        <f>'Reported burning'!A3023</f>
        <v>330a</v>
      </c>
      <c r="B3023" s="152" t="str">
        <f>'Reported burning'!B3023</f>
        <v>330a.2</v>
      </c>
      <c r="C3023" s="152" t="str">
        <f>'Reported burning'!C3023</f>
        <v>Human, deliberate</v>
      </c>
      <c r="D3023" s="152" t="str">
        <f>'Reported burning'!D3023</f>
        <v>Pyrome management</v>
      </c>
      <c r="E3023" s="152" t="str">
        <f>'Reported burning'!E3023</f>
        <v>Cropping, Swidden</v>
      </c>
      <c r="F3023" s="152" t="str">
        <f>'Reported burning'!F3023</f>
        <v>Cropland</v>
      </c>
      <c r="G3023" s="152" t="str">
        <f>'Reported burning'!G3023</f>
        <v>ND</v>
      </c>
      <c r="H3023" s="152" t="str">
        <f>'Reported burning'!H3023</f>
        <v>Presence</v>
      </c>
      <c r="I3023" s="204"/>
      <c r="J3023" s="204" t="s">
        <v>2276</v>
      </c>
      <c r="K3023" s="204" t="s">
        <v>2276</v>
      </c>
      <c r="L3023" s="204" t="s">
        <v>2276</v>
      </c>
      <c r="M3023" s="204" t="s">
        <v>2276</v>
      </c>
      <c r="N3023" s="204" t="s">
        <v>2276</v>
      </c>
      <c r="O3023" s="204" t="s">
        <v>2276</v>
      </c>
      <c r="P3023" s="204" t="s">
        <v>2276</v>
      </c>
      <c r="Q3023" s="204" t="s">
        <v>2276</v>
      </c>
      <c r="R3023" s="204" t="s">
        <v>2276</v>
      </c>
      <c r="S3023" s="204" t="s">
        <v>2276</v>
      </c>
      <c r="T3023" s="204" t="s">
        <v>2276</v>
      </c>
      <c r="U3023" s="204" t="s">
        <v>2276</v>
      </c>
      <c r="V3023" s="204" t="s">
        <v>2276</v>
      </c>
      <c r="W3023" s="204" t="s">
        <v>2276</v>
      </c>
      <c r="X3023" s="204" t="s">
        <v>127</v>
      </c>
      <c r="Y3023" s="204" t="s">
        <v>399</v>
      </c>
      <c r="Z3023" s="204" t="s">
        <v>76</v>
      </c>
      <c r="AA3023" s="204"/>
      <c r="AB3023" s="204"/>
    </row>
    <row r="3024" spans="1:28" ht="44" customHeight="1">
      <c r="A3024" s="152" t="str">
        <f>'Reported burning'!A3024</f>
        <v>330a</v>
      </c>
      <c r="B3024" s="152" t="str">
        <f>'Reported burning'!B3024</f>
        <v>330a.3</v>
      </c>
      <c r="C3024" s="152" t="str">
        <f>'Reported burning'!C3024</f>
        <v>Human, deliberate</v>
      </c>
      <c r="D3024" s="152" t="str">
        <f>'Reported burning'!D3024</f>
        <v>Pasture renewal</v>
      </c>
      <c r="E3024" s="152" t="str">
        <f>'Reported burning'!E3024</f>
        <v>Cattle, Extensive</v>
      </c>
      <c r="F3024" s="152" t="str">
        <f>'Reported burning'!F3024</f>
        <v>ND</v>
      </c>
      <c r="G3024" s="152" t="str">
        <f>'Reported burning'!G3024</f>
        <v>Shrubland (Mixed forest &amp; grassland)</v>
      </c>
      <c r="H3024" s="152" t="str">
        <f>'Reported burning'!H3024</f>
        <v>Presence</v>
      </c>
      <c r="I3024" s="204"/>
      <c r="J3024" s="204" t="s">
        <v>2276</v>
      </c>
      <c r="K3024" s="204" t="s">
        <v>2276</v>
      </c>
      <c r="L3024" s="204" t="s">
        <v>2276</v>
      </c>
      <c r="M3024" s="204" t="s">
        <v>2276</v>
      </c>
      <c r="N3024" s="204" t="s">
        <v>2276</v>
      </c>
      <c r="O3024" s="204" t="s">
        <v>2276</v>
      </c>
      <c r="P3024" s="204" t="s">
        <v>2276</v>
      </c>
      <c r="Q3024" s="204" t="s">
        <v>2276</v>
      </c>
      <c r="R3024" s="204" t="s">
        <v>2276</v>
      </c>
      <c r="S3024" s="204" t="s">
        <v>2276</v>
      </c>
      <c r="T3024" s="204" t="s">
        <v>2276</v>
      </c>
      <c r="U3024" s="204" t="s">
        <v>2276</v>
      </c>
      <c r="V3024" s="204" t="s">
        <v>2276</v>
      </c>
      <c r="W3024" s="204" t="s">
        <v>2276</v>
      </c>
      <c r="X3024" s="204" t="s">
        <v>68</v>
      </c>
      <c r="Y3024" s="204" t="s">
        <v>127</v>
      </c>
      <c r="Z3024" s="204" t="s">
        <v>2276</v>
      </c>
      <c r="AA3024" s="204"/>
      <c r="AB3024" s="204"/>
    </row>
    <row r="3025" spans="1:28" ht="44" customHeight="1">
      <c r="A3025" s="152" t="str">
        <f>'Reported burning'!A3025</f>
        <v>330a</v>
      </c>
      <c r="B3025" s="152" t="str">
        <f>'Reported burning'!B3025</f>
        <v>330a.4</v>
      </c>
      <c r="C3025" s="152" t="str">
        <f>'Reported burning'!C3025</f>
        <v>Human, deliberate</v>
      </c>
      <c r="D3025" s="152" t="str">
        <f>'Reported burning'!D3025</f>
        <v>Hunting</v>
      </c>
      <c r="E3025" s="152" t="str">
        <f>'Reported burning'!E3025</f>
        <v>Forestry, Traditional</v>
      </c>
      <c r="F3025" s="152" t="str">
        <f>'Reported burning'!F3025</f>
        <v>ND</v>
      </c>
      <c r="G3025" s="152" t="str">
        <f>'Reported burning'!G3025</f>
        <v>Shrubland (Mixed forest &amp; grassland)</v>
      </c>
      <c r="H3025" s="152" t="str">
        <f>'Reported burning'!H3025</f>
        <v>Presence</v>
      </c>
      <c r="I3025" s="204"/>
      <c r="J3025" s="204" t="s">
        <v>2276</v>
      </c>
      <c r="K3025" s="204" t="s">
        <v>2276</v>
      </c>
      <c r="L3025" s="204" t="s">
        <v>2276</v>
      </c>
      <c r="M3025" s="204" t="s">
        <v>2276</v>
      </c>
      <c r="N3025" s="204" t="s">
        <v>2276</v>
      </c>
      <c r="O3025" s="204" t="s">
        <v>2276</v>
      </c>
      <c r="P3025" s="204" t="s">
        <v>2276</v>
      </c>
      <c r="Q3025" s="204" t="s">
        <v>2276</v>
      </c>
      <c r="R3025" s="204" t="s">
        <v>2276</v>
      </c>
      <c r="S3025" s="204" t="s">
        <v>2276</v>
      </c>
      <c r="T3025" s="204" t="s">
        <v>2276</v>
      </c>
      <c r="U3025" s="204" t="s">
        <v>2276</v>
      </c>
      <c r="V3025" s="204" t="s">
        <v>2276</v>
      </c>
      <c r="W3025" s="204" t="s">
        <v>2276</v>
      </c>
      <c r="X3025" s="204" t="s">
        <v>127</v>
      </c>
      <c r="Y3025" s="204" t="s">
        <v>127</v>
      </c>
      <c r="Z3025" s="204" t="s">
        <v>2276</v>
      </c>
      <c r="AA3025" s="204"/>
      <c r="AB3025" s="204"/>
    </row>
    <row r="3026" spans="1:28" ht="44" customHeight="1">
      <c r="A3026" s="152" t="str">
        <f>'Reported burning'!A3026</f>
        <v>330a</v>
      </c>
      <c r="B3026" s="152" t="str">
        <f>'Reported burning'!B3026</f>
        <v>330a.5</v>
      </c>
      <c r="C3026" s="152" t="str">
        <f>'Reported burning'!C3026</f>
        <v>All</v>
      </c>
      <c r="D3026" s="152" t="str">
        <f>'Reported burning'!D3026</f>
        <v>All</v>
      </c>
      <c r="E3026" s="152" t="str">
        <f>'Reported burning'!E3026</f>
        <v>All</v>
      </c>
      <c r="F3026" s="152" t="str">
        <f>'Reported burning'!F3026</f>
        <v>ND</v>
      </c>
      <c r="G3026" s="152" t="str">
        <f>'Reported burning'!G3026</f>
        <v>Shrubland (Mixed forest &amp; grassland)</v>
      </c>
      <c r="H3026" s="152" t="str">
        <f>'Reported burning'!H3026</f>
        <v>Presence</v>
      </c>
      <c r="I3026" s="204"/>
      <c r="J3026" s="204" t="s">
        <v>2276</v>
      </c>
      <c r="K3026" s="204" t="s">
        <v>2276</v>
      </c>
      <c r="L3026" s="204" t="s">
        <v>2276</v>
      </c>
      <c r="M3026" s="204" t="s">
        <v>2276</v>
      </c>
      <c r="N3026" s="204" t="s">
        <v>2276</v>
      </c>
      <c r="O3026" s="204" t="s">
        <v>2276</v>
      </c>
      <c r="P3026" s="204" t="s">
        <v>2276</v>
      </c>
      <c r="Q3026" s="204" t="s">
        <v>2276</v>
      </c>
      <c r="R3026" s="204" t="s">
        <v>2276</v>
      </c>
      <c r="S3026" s="204" t="s">
        <v>2276</v>
      </c>
      <c r="T3026" s="204" t="s">
        <v>2276</v>
      </c>
      <c r="U3026" s="204" t="s">
        <v>2276</v>
      </c>
      <c r="V3026" s="21" t="s">
        <v>2376</v>
      </c>
      <c r="W3026" s="204" t="s">
        <v>2276</v>
      </c>
      <c r="X3026" s="204" t="s">
        <v>68</v>
      </c>
      <c r="Y3026" s="204" t="s">
        <v>68</v>
      </c>
      <c r="Z3026" s="204" t="s">
        <v>2276</v>
      </c>
      <c r="AA3026" s="204"/>
      <c r="AB3026" s="204"/>
    </row>
    <row r="3027" spans="1:28" ht="44" customHeight="1">
      <c r="A3027" s="152" t="str">
        <f>'Reported burning'!A3027</f>
        <v>330a</v>
      </c>
      <c r="B3027" s="152" t="str">
        <f>'Reported burning'!B3027</f>
        <v>330a.6</v>
      </c>
      <c r="C3027" s="152" t="str">
        <f>'Reported burning'!C3027</f>
        <v>All</v>
      </c>
      <c r="D3027" s="152" t="str">
        <f>'Reported burning'!D3027</f>
        <v>All</v>
      </c>
      <c r="E3027" s="152" t="str">
        <f>'Reported burning'!E3027</f>
        <v>All</v>
      </c>
      <c r="F3027" s="152" t="str">
        <f>'Reported burning'!F3027</f>
        <v>ND</v>
      </c>
      <c r="G3027" s="152" t="str">
        <f>'Reported burning'!G3027</f>
        <v>Shrubland (Mixed forest &amp; grassland)</v>
      </c>
      <c r="H3027" s="152" t="str">
        <f>'Reported burning'!H3027</f>
        <v>Presence</v>
      </c>
      <c r="I3027" s="204"/>
      <c r="J3027" s="204" t="s">
        <v>2276</v>
      </c>
      <c r="K3027" s="204" t="s">
        <v>2276</v>
      </c>
      <c r="L3027" s="204" t="s">
        <v>2276</v>
      </c>
      <c r="M3027" s="204" t="s">
        <v>2276</v>
      </c>
      <c r="N3027" s="204" t="s">
        <v>2276</v>
      </c>
      <c r="O3027" s="204" t="s">
        <v>2276</v>
      </c>
      <c r="P3027" s="204" t="s">
        <v>2276</v>
      </c>
      <c r="Q3027" s="204" t="s">
        <v>2276</v>
      </c>
      <c r="R3027" s="204" t="s">
        <v>2276</v>
      </c>
      <c r="S3027" s="204" t="s">
        <v>2276</v>
      </c>
      <c r="T3027" s="204" t="s">
        <v>2276</v>
      </c>
      <c r="U3027" s="204" t="s">
        <v>2276</v>
      </c>
      <c r="V3027" s="21" t="s">
        <v>2374</v>
      </c>
      <c r="W3027" s="204" t="s">
        <v>2276</v>
      </c>
      <c r="X3027" s="204" t="s">
        <v>35</v>
      </c>
      <c r="Y3027" s="204" t="s">
        <v>35</v>
      </c>
      <c r="Z3027" s="204" t="s">
        <v>2276</v>
      </c>
      <c r="AA3027" s="204"/>
      <c r="AB3027" s="204"/>
    </row>
    <row r="3028" spans="1:28" ht="44" customHeight="1">
      <c r="A3028" s="152" t="str">
        <f>'Reported burning'!A3028</f>
        <v>330a</v>
      </c>
      <c r="B3028" s="152" t="str">
        <f>'Reported burning'!B3028</f>
        <v>330a.7</v>
      </c>
      <c r="C3028" s="152" t="str">
        <f>'Reported burning'!C3028</f>
        <v>All</v>
      </c>
      <c r="D3028" s="152" t="str">
        <f>'Reported burning'!D3028</f>
        <v>All</v>
      </c>
      <c r="E3028" s="152" t="str">
        <f>'Reported burning'!E3028</f>
        <v>All</v>
      </c>
      <c r="F3028" s="152" t="str">
        <f>'Reported burning'!F3028</f>
        <v>ND</v>
      </c>
      <c r="G3028" s="152" t="str">
        <f>'Reported burning'!G3028</f>
        <v>Shrubland (Mixed forest &amp; grassland)</v>
      </c>
      <c r="H3028" s="152" t="str">
        <f>'Reported burning'!H3028</f>
        <v>Presence</v>
      </c>
      <c r="I3028" s="204"/>
      <c r="J3028" s="204" t="s">
        <v>2276</v>
      </c>
      <c r="K3028" s="204" t="s">
        <v>2276</v>
      </c>
      <c r="L3028" s="204" t="s">
        <v>2276</v>
      </c>
      <c r="M3028" s="204" t="s">
        <v>2276</v>
      </c>
      <c r="N3028" s="204" t="s">
        <v>2276</v>
      </c>
      <c r="O3028" s="204" t="s">
        <v>2276</v>
      </c>
      <c r="P3028" s="204" t="s">
        <v>2276</v>
      </c>
      <c r="Q3028" s="204" t="s">
        <v>2276</v>
      </c>
      <c r="R3028" s="204" t="s">
        <v>2276</v>
      </c>
      <c r="S3028" s="204" t="s">
        <v>2276</v>
      </c>
      <c r="T3028" s="204" t="s">
        <v>2276</v>
      </c>
      <c r="U3028" s="204" t="s">
        <v>2276</v>
      </c>
      <c r="V3028" s="21" t="s">
        <v>2376</v>
      </c>
      <c r="W3028" s="204" t="s">
        <v>2276</v>
      </c>
      <c r="X3028" s="204" t="s">
        <v>127</v>
      </c>
      <c r="Y3028" s="204" t="s">
        <v>127</v>
      </c>
      <c r="Z3028" s="204" t="s">
        <v>2276</v>
      </c>
      <c r="AA3028" s="204"/>
      <c r="AB3028" s="204"/>
    </row>
    <row r="3029" spans="1:28" ht="44" customHeight="1">
      <c r="A3029" s="152" t="str">
        <f>'Reported burning'!A3029</f>
        <v>330a</v>
      </c>
      <c r="B3029" s="152" t="str">
        <f>'Reported burning'!B3029</f>
        <v>330a.8</v>
      </c>
      <c r="C3029" s="152" t="str">
        <f>'Reported burning'!C3029</f>
        <v>All</v>
      </c>
      <c r="D3029" s="152" t="str">
        <f>'Reported burning'!D3029</f>
        <v>All</v>
      </c>
      <c r="E3029" s="152" t="str">
        <f>'Reported burning'!E3029</f>
        <v>All</v>
      </c>
      <c r="F3029" s="152" t="str">
        <f>'Reported burning'!F3029</f>
        <v>ND</v>
      </c>
      <c r="G3029" s="152" t="str">
        <f>'Reported burning'!G3029</f>
        <v>Shrubland (Mixed forest &amp; grassland)</v>
      </c>
      <c r="H3029" s="152" t="str">
        <f>'Reported burning'!H3029</f>
        <v>Presence</v>
      </c>
      <c r="I3029" s="204"/>
      <c r="J3029" s="204" t="s">
        <v>2276</v>
      </c>
      <c r="K3029" s="204" t="s">
        <v>2276</v>
      </c>
      <c r="L3029" s="204" t="s">
        <v>2276</v>
      </c>
      <c r="M3029" s="204" t="s">
        <v>2276</v>
      </c>
      <c r="N3029" s="204" t="s">
        <v>2276</v>
      </c>
      <c r="O3029" s="204" t="s">
        <v>2276</v>
      </c>
      <c r="P3029" s="204" t="s">
        <v>2276</v>
      </c>
      <c r="Q3029" s="204" t="s">
        <v>2276</v>
      </c>
      <c r="R3029" s="204" t="s">
        <v>2276</v>
      </c>
      <c r="S3029" s="204" t="s">
        <v>2276</v>
      </c>
      <c r="T3029" s="204" t="s">
        <v>2276</v>
      </c>
      <c r="U3029" s="204" t="s">
        <v>2276</v>
      </c>
      <c r="V3029" s="21" t="s">
        <v>2374</v>
      </c>
      <c r="W3029" s="204" t="s">
        <v>2276</v>
      </c>
      <c r="X3029" s="204" t="s">
        <v>399</v>
      </c>
      <c r="Y3029" s="204" t="s">
        <v>399</v>
      </c>
      <c r="Z3029" s="204" t="s">
        <v>2276</v>
      </c>
      <c r="AA3029" s="204"/>
      <c r="AB3029" s="204"/>
    </row>
    <row r="3030" spans="1:28" ht="44" customHeight="1">
      <c r="A3030" s="152" t="str">
        <f>'Reported burning'!A3030</f>
        <v>330a</v>
      </c>
      <c r="B3030" s="152" t="str">
        <f>'Reported burning'!B3030</f>
        <v>330a.9</v>
      </c>
      <c r="C3030" s="152" t="str">
        <f>'Reported burning'!C3030</f>
        <v>All</v>
      </c>
      <c r="D3030" s="152" t="str">
        <f>'Reported burning'!D3030</f>
        <v>All</v>
      </c>
      <c r="E3030" s="152" t="str">
        <f>'Reported burning'!E3030</f>
        <v>All</v>
      </c>
      <c r="F3030" s="152" t="str">
        <f>'Reported burning'!F3030</f>
        <v>ND</v>
      </c>
      <c r="G3030" s="152" t="str">
        <f>'Reported burning'!G3030</f>
        <v>Shrubland (Mixed forest &amp; grassland)</v>
      </c>
      <c r="H3030" s="152" t="str">
        <f>'Reported burning'!H3030</f>
        <v>Presence</v>
      </c>
      <c r="I3030" s="204"/>
      <c r="J3030" s="204" t="s">
        <v>2276</v>
      </c>
      <c r="K3030" s="204" t="s">
        <v>2276</v>
      </c>
      <c r="L3030" s="204" t="s">
        <v>2276</v>
      </c>
      <c r="M3030" s="204" t="s">
        <v>2276</v>
      </c>
      <c r="N3030" s="204" t="s">
        <v>2276</v>
      </c>
      <c r="O3030" s="204" t="s">
        <v>2276</v>
      </c>
      <c r="P3030" s="204" t="s">
        <v>2276</v>
      </c>
      <c r="Q3030" s="204" t="s">
        <v>2276</v>
      </c>
      <c r="R3030" s="204" t="s">
        <v>2276</v>
      </c>
      <c r="S3030" s="204" t="s">
        <v>2276</v>
      </c>
      <c r="T3030" s="204" t="s">
        <v>2276</v>
      </c>
      <c r="U3030" s="204" t="s">
        <v>2276</v>
      </c>
      <c r="V3030" s="21" t="s">
        <v>2374</v>
      </c>
      <c r="W3030" s="204" t="s">
        <v>2276</v>
      </c>
      <c r="X3030" s="204" t="s">
        <v>188</v>
      </c>
      <c r="Y3030" s="204" t="s">
        <v>188</v>
      </c>
      <c r="Z3030" s="204" t="s">
        <v>2276</v>
      </c>
      <c r="AA3030" s="204"/>
      <c r="AB3030" s="204"/>
    </row>
    <row r="3031" spans="1:28" ht="44" customHeight="1">
      <c r="A3031" s="152" t="str">
        <f>'Reported burning'!A3031</f>
        <v>330a</v>
      </c>
      <c r="B3031" s="152" t="str">
        <f>'Reported burning'!B3031</f>
        <v>330a.10</v>
      </c>
      <c r="C3031" s="152" t="str">
        <f>'Reported burning'!C3031</f>
        <v>All</v>
      </c>
      <c r="D3031" s="152" t="str">
        <f>'Reported burning'!D3031</f>
        <v>All</v>
      </c>
      <c r="E3031" s="152" t="str">
        <f>'Reported burning'!E3031</f>
        <v>All</v>
      </c>
      <c r="F3031" s="152" t="str">
        <f>'Reported burning'!F3031</f>
        <v>ND</v>
      </c>
      <c r="G3031" s="152" t="str">
        <f>'Reported burning'!G3031</f>
        <v>Shrubland (Mixed forest &amp; grassland)</v>
      </c>
      <c r="H3031" s="152" t="str">
        <f>'Reported burning'!H3031</f>
        <v>Presence</v>
      </c>
      <c r="I3031" s="204"/>
      <c r="J3031" s="204" t="s">
        <v>2276</v>
      </c>
      <c r="K3031" s="204" t="s">
        <v>2276</v>
      </c>
      <c r="L3031" s="204" t="s">
        <v>2276</v>
      </c>
      <c r="M3031" s="204" t="s">
        <v>2276</v>
      </c>
      <c r="N3031" s="204" t="s">
        <v>2276</v>
      </c>
      <c r="O3031" s="204" t="s">
        <v>2276</v>
      </c>
      <c r="P3031" s="204" t="s">
        <v>2276</v>
      </c>
      <c r="Q3031" s="204" t="s">
        <v>2276</v>
      </c>
      <c r="R3031" s="204" t="s">
        <v>2276</v>
      </c>
      <c r="S3031" s="204" t="s">
        <v>2276</v>
      </c>
      <c r="T3031" s="204" t="s">
        <v>2276</v>
      </c>
      <c r="U3031" s="204" t="s">
        <v>2276</v>
      </c>
      <c r="V3031" s="21" t="s">
        <v>2527</v>
      </c>
      <c r="W3031" s="204" t="s">
        <v>2276</v>
      </c>
      <c r="X3031" s="204" t="s">
        <v>189</v>
      </c>
      <c r="Y3031" s="204" t="s">
        <v>189</v>
      </c>
      <c r="Z3031" s="204" t="s">
        <v>2276</v>
      </c>
      <c r="AA3031" s="204"/>
      <c r="AB3031" s="204"/>
    </row>
    <row r="3032" spans="1:28" ht="44" customHeight="1">
      <c r="A3032" s="152" t="str">
        <f>'Reported burning'!A3032</f>
        <v>330b</v>
      </c>
      <c r="B3032" s="152" t="str">
        <f>'Reported burning'!B3032</f>
        <v>330b.1</v>
      </c>
      <c r="C3032" s="152" t="str">
        <f>'Reported burning'!C3032</f>
        <v>All</v>
      </c>
      <c r="D3032" s="152" t="str">
        <f>'Reported burning'!D3032</f>
        <v>All</v>
      </c>
      <c r="E3032" s="152" t="str">
        <f>'Reported burning'!E3032</f>
        <v>All</v>
      </c>
      <c r="F3032" s="152" t="str">
        <f>'Reported burning'!F3032</f>
        <v>ND</v>
      </c>
      <c r="G3032" s="152" t="str">
        <f>'Reported burning'!G3032</f>
        <v>Shrubland (Mixed forest &amp; grassland)</v>
      </c>
      <c r="H3032" s="152" t="str">
        <f>'Reported burning'!H3032</f>
        <v>Presence</v>
      </c>
      <c r="I3032" s="204"/>
      <c r="J3032" s="204" t="s">
        <v>2276</v>
      </c>
      <c r="K3032" s="204" t="s">
        <v>2276</v>
      </c>
      <c r="L3032" s="204" t="s">
        <v>2276</v>
      </c>
      <c r="M3032" s="204" t="s">
        <v>2276</v>
      </c>
      <c r="N3032" s="204" t="s">
        <v>2276</v>
      </c>
      <c r="O3032" s="204" t="s">
        <v>2276</v>
      </c>
      <c r="P3032" s="204" t="s">
        <v>2276</v>
      </c>
      <c r="Q3032" s="204" t="s">
        <v>2276</v>
      </c>
      <c r="R3032" s="204" t="s">
        <v>2276</v>
      </c>
      <c r="S3032" s="204" t="s">
        <v>2276</v>
      </c>
      <c r="T3032" s="204" t="s">
        <v>2276</v>
      </c>
      <c r="U3032" s="204" t="s">
        <v>2276</v>
      </c>
      <c r="V3032" s="21" t="s">
        <v>2527</v>
      </c>
      <c r="W3032" s="204" t="s">
        <v>2276</v>
      </c>
      <c r="X3032" s="204" t="s">
        <v>68</v>
      </c>
      <c r="Y3032" s="204" t="s">
        <v>68</v>
      </c>
      <c r="Z3032" s="204" t="s">
        <v>2276</v>
      </c>
      <c r="AA3032" s="204"/>
      <c r="AB3032" s="204"/>
    </row>
    <row r="3033" spans="1:28" ht="44" customHeight="1">
      <c r="A3033" s="152" t="str">
        <f>'Reported burning'!A3033</f>
        <v>330b</v>
      </c>
      <c r="B3033" s="152" t="str">
        <f>'Reported burning'!B3033</f>
        <v>330b.2</v>
      </c>
      <c r="C3033" s="152" t="str">
        <f>'Reported burning'!C3033</f>
        <v>All</v>
      </c>
      <c r="D3033" s="152" t="str">
        <f>'Reported burning'!D3033</f>
        <v>All</v>
      </c>
      <c r="E3033" s="152" t="str">
        <f>'Reported burning'!E3033</f>
        <v>All</v>
      </c>
      <c r="F3033" s="152" t="str">
        <f>'Reported burning'!F3033</f>
        <v>ND</v>
      </c>
      <c r="G3033" s="152" t="str">
        <f>'Reported burning'!G3033</f>
        <v>Shrubland (Mixed forest &amp; grassland)</v>
      </c>
      <c r="H3033" s="152" t="str">
        <f>'Reported burning'!H3033</f>
        <v>Presence</v>
      </c>
      <c r="I3033" s="204"/>
      <c r="J3033" s="204" t="s">
        <v>2276</v>
      </c>
      <c r="K3033" s="204" t="s">
        <v>2276</v>
      </c>
      <c r="L3033" s="204" t="s">
        <v>2276</v>
      </c>
      <c r="M3033" s="204" t="s">
        <v>2276</v>
      </c>
      <c r="N3033" s="204" t="s">
        <v>2276</v>
      </c>
      <c r="O3033" s="204" t="s">
        <v>2276</v>
      </c>
      <c r="P3033" s="204" t="s">
        <v>2276</v>
      </c>
      <c r="Q3033" s="204" t="s">
        <v>2276</v>
      </c>
      <c r="R3033" s="204" t="s">
        <v>2276</v>
      </c>
      <c r="S3033" s="204" t="s">
        <v>2276</v>
      </c>
      <c r="T3033" s="204" t="s">
        <v>2276</v>
      </c>
      <c r="U3033" s="204" t="s">
        <v>2276</v>
      </c>
      <c r="V3033" s="21" t="s">
        <v>2376</v>
      </c>
      <c r="W3033" s="204" t="s">
        <v>2276</v>
      </c>
      <c r="X3033" s="204" t="s">
        <v>35</v>
      </c>
      <c r="Y3033" s="204" t="s">
        <v>35</v>
      </c>
      <c r="Z3033" s="204" t="s">
        <v>2276</v>
      </c>
      <c r="AA3033" s="204"/>
      <c r="AB3033" s="204"/>
    </row>
    <row r="3034" spans="1:28" ht="43" customHeight="1">
      <c r="A3034" s="152" t="str">
        <f>'Reported burning'!A3034</f>
        <v>330b</v>
      </c>
      <c r="B3034" s="152" t="str">
        <f>'Reported burning'!B3034</f>
        <v>330b.3</v>
      </c>
      <c r="C3034" s="152" t="str">
        <f>'Reported burning'!C3034</f>
        <v>All</v>
      </c>
      <c r="D3034" s="152" t="str">
        <f>'Reported burning'!D3034</f>
        <v>All</v>
      </c>
      <c r="E3034" s="152" t="str">
        <f>'Reported burning'!E3034</f>
        <v>All</v>
      </c>
      <c r="F3034" s="152" t="str">
        <f>'Reported burning'!F3034</f>
        <v>ND</v>
      </c>
      <c r="G3034" s="152" t="str">
        <f>'Reported burning'!G3034</f>
        <v>Shrubland (Mixed forest &amp; grassland)</v>
      </c>
      <c r="H3034" s="152" t="str">
        <f>'Reported burning'!H3034</f>
        <v>Presence</v>
      </c>
      <c r="I3034" s="204"/>
      <c r="J3034" s="204" t="s">
        <v>2276</v>
      </c>
      <c r="K3034" s="204" t="s">
        <v>2276</v>
      </c>
      <c r="L3034" s="204" t="s">
        <v>2276</v>
      </c>
      <c r="M3034" s="204" t="s">
        <v>2276</v>
      </c>
      <c r="N3034" s="204" t="s">
        <v>2276</v>
      </c>
      <c r="O3034" s="204" t="s">
        <v>2276</v>
      </c>
      <c r="P3034" s="204" t="s">
        <v>2276</v>
      </c>
      <c r="Q3034" s="204" t="s">
        <v>2276</v>
      </c>
      <c r="R3034" s="204" t="s">
        <v>2276</v>
      </c>
      <c r="S3034" s="204" t="s">
        <v>2276</v>
      </c>
      <c r="T3034" s="204" t="s">
        <v>2276</v>
      </c>
      <c r="U3034" s="204" t="s">
        <v>2276</v>
      </c>
      <c r="V3034" s="21" t="s">
        <v>2374</v>
      </c>
      <c r="W3034" s="204" t="s">
        <v>2276</v>
      </c>
      <c r="X3034" s="204" t="s">
        <v>127</v>
      </c>
      <c r="Y3034" s="204" t="s">
        <v>127</v>
      </c>
      <c r="Z3034" s="204" t="s">
        <v>2276</v>
      </c>
      <c r="AA3034" s="204"/>
      <c r="AB3034" s="204"/>
    </row>
    <row r="3035" spans="1:28" ht="43" customHeight="1">
      <c r="A3035" s="152" t="str">
        <f>'Reported burning'!A3035</f>
        <v>330b</v>
      </c>
      <c r="B3035" s="152" t="str">
        <f>'Reported burning'!B3035</f>
        <v>330b.4</v>
      </c>
      <c r="C3035" s="152" t="str">
        <f>'Reported burning'!C3035</f>
        <v>All</v>
      </c>
      <c r="D3035" s="152" t="str">
        <f>'Reported burning'!D3035</f>
        <v>All</v>
      </c>
      <c r="E3035" s="152" t="str">
        <f>'Reported burning'!E3035</f>
        <v>All</v>
      </c>
      <c r="F3035" s="152" t="str">
        <f>'Reported burning'!F3035</f>
        <v>ND</v>
      </c>
      <c r="G3035" s="152" t="str">
        <f>'Reported burning'!G3035</f>
        <v>Shrubland (Mixed forest &amp; grassland)</v>
      </c>
      <c r="H3035" s="152" t="str">
        <f>'Reported burning'!H3035</f>
        <v>Presence</v>
      </c>
      <c r="I3035" s="204"/>
      <c r="J3035" s="204" t="s">
        <v>2276</v>
      </c>
      <c r="K3035" s="204" t="s">
        <v>2276</v>
      </c>
      <c r="L3035" s="204" t="s">
        <v>2276</v>
      </c>
      <c r="M3035" s="204" t="s">
        <v>2276</v>
      </c>
      <c r="N3035" s="204" t="s">
        <v>2276</v>
      </c>
      <c r="O3035" s="204" t="s">
        <v>2276</v>
      </c>
      <c r="P3035" s="204" t="s">
        <v>2276</v>
      </c>
      <c r="Q3035" s="204" t="s">
        <v>2276</v>
      </c>
      <c r="R3035" s="204" t="s">
        <v>2276</v>
      </c>
      <c r="S3035" s="204" t="s">
        <v>2276</v>
      </c>
      <c r="T3035" s="204" t="s">
        <v>2276</v>
      </c>
      <c r="U3035" s="204" t="s">
        <v>2276</v>
      </c>
      <c r="V3035" s="21" t="s">
        <v>2389</v>
      </c>
      <c r="W3035" s="204" t="s">
        <v>2276</v>
      </c>
      <c r="X3035" s="204" t="s">
        <v>399</v>
      </c>
      <c r="Y3035" s="204" t="s">
        <v>399</v>
      </c>
      <c r="Z3035" s="204" t="s">
        <v>2276</v>
      </c>
      <c r="AA3035" s="204"/>
      <c r="AB3035" s="204"/>
    </row>
    <row r="3036" spans="1:28" ht="43" customHeight="1">
      <c r="A3036" s="152" t="str">
        <f>'Reported burning'!A3036</f>
        <v>330b</v>
      </c>
      <c r="B3036" s="152" t="str">
        <f>'Reported burning'!B3036</f>
        <v>330b.5</v>
      </c>
      <c r="C3036" s="152" t="str">
        <f>'Reported burning'!C3036</f>
        <v>All</v>
      </c>
      <c r="D3036" s="152" t="str">
        <f>'Reported burning'!D3036</f>
        <v>All</v>
      </c>
      <c r="E3036" s="152" t="str">
        <f>'Reported burning'!E3036</f>
        <v>All</v>
      </c>
      <c r="F3036" s="152" t="str">
        <f>'Reported burning'!F3036</f>
        <v>ND</v>
      </c>
      <c r="G3036" s="152" t="str">
        <f>'Reported burning'!G3036</f>
        <v>Shrubland (Mixed forest &amp; grassland)</v>
      </c>
      <c r="H3036" s="152" t="str">
        <f>'Reported burning'!H3036</f>
        <v>Presence</v>
      </c>
      <c r="I3036" s="204"/>
      <c r="J3036" s="204" t="s">
        <v>2276</v>
      </c>
      <c r="K3036" s="204" t="s">
        <v>2276</v>
      </c>
      <c r="L3036" s="204" t="s">
        <v>2276</v>
      </c>
      <c r="M3036" s="204" t="s">
        <v>2276</v>
      </c>
      <c r="N3036" s="204" t="s">
        <v>2276</v>
      </c>
      <c r="O3036" s="204" t="s">
        <v>2276</v>
      </c>
      <c r="P3036" s="204" t="s">
        <v>2276</v>
      </c>
      <c r="Q3036" s="204" t="s">
        <v>2276</v>
      </c>
      <c r="R3036" s="204" t="s">
        <v>2276</v>
      </c>
      <c r="S3036" s="204" t="s">
        <v>2276</v>
      </c>
      <c r="T3036" s="204" t="s">
        <v>2276</v>
      </c>
      <c r="U3036" s="204" t="s">
        <v>2276</v>
      </c>
      <c r="V3036" s="21" t="s">
        <v>2527</v>
      </c>
      <c r="W3036" s="204" t="s">
        <v>2276</v>
      </c>
      <c r="X3036" s="204" t="s">
        <v>188</v>
      </c>
      <c r="Y3036" s="204" t="s">
        <v>188</v>
      </c>
      <c r="Z3036" s="204" t="s">
        <v>2276</v>
      </c>
      <c r="AA3036" s="204"/>
      <c r="AB3036" s="204"/>
    </row>
    <row r="3037" spans="1:28" ht="43" customHeight="1">
      <c r="A3037" s="152" t="str">
        <f>'Reported burning'!A3037</f>
        <v>330b</v>
      </c>
      <c r="B3037" s="152" t="str">
        <f>'Reported burning'!B3037</f>
        <v>330b.6</v>
      </c>
      <c r="C3037" s="152" t="str">
        <f>'Reported burning'!C3037</f>
        <v>All</v>
      </c>
      <c r="D3037" s="152" t="str">
        <f>'Reported burning'!D3037</f>
        <v>All</v>
      </c>
      <c r="E3037" s="152" t="str">
        <f>'Reported burning'!E3037</f>
        <v>All</v>
      </c>
      <c r="F3037" s="152" t="str">
        <f>'Reported burning'!F3037</f>
        <v>ND</v>
      </c>
      <c r="G3037" s="152" t="str">
        <f>'Reported burning'!G3037</f>
        <v>Shrubland (Mixed forest &amp; grassland)</v>
      </c>
      <c r="H3037" s="152" t="str">
        <f>'Reported burning'!H3037</f>
        <v>Presence</v>
      </c>
      <c r="I3037" s="204"/>
      <c r="J3037" s="204" t="s">
        <v>2276</v>
      </c>
      <c r="K3037" s="204" t="s">
        <v>2276</v>
      </c>
      <c r="L3037" s="204" t="s">
        <v>2276</v>
      </c>
      <c r="M3037" s="204" t="s">
        <v>2276</v>
      </c>
      <c r="N3037" s="204" t="s">
        <v>2276</v>
      </c>
      <c r="O3037" s="204" t="s">
        <v>2276</v>
      </c>
      <c r="P3037" s="204" t="s">
        <v>2276</v>
      </c>
      <c r="Q3037" s="204" t="s">
        <v>2276</v>
      </c>
      <c r="R3037" s="204" t="s">
        <v>2276</v>
      </c>
      <c r="S3037" s="204" t="s">
        <v>2276</v>
      </c>
      <c r="T3037" s="204" t="s">
        <v>2276</v>
      </c>
      <c r="U3037" s="204" t="s">
        <v>2276</v>
      </c>
      <c r="V3037" s="21" t="s">
        <v>2527</v>
      </c>
      <c r="W3037" s="204" t="s">
        <v>2276</v>
      </c>
      <c r="X3037" s="204" t="s">
        <v>189</v>
      </c>
      <c r="Y3037" s="204" t="s">
        <v>189</v>
      </c>
      <c r="Z3037" s="204" t="s">
        <v>2276</v>
      </c>
      <c r="AA3037" s="204"/>
      <c r="AB3037" s="204"/>
    </row>
    <row r="3038" spans="1:28" ht="43" customHeight="1">
      <c r="A3038" s="156" t="str">
        <f>'Reported burning'!A3038</f>
        <v>330b</v>
      </c>
      <c r="B3038" s="156" t="str">
        <f>'Reported burning'!B3038</f>
        <v>330b.7</v>
      </c>
      <c r="C3038" s="156" t="str">
        <f>'Reported burning'!C3038</f>
        <v>Human, deliberate</v>
      </c>
      <c r="D3038" s="156" t="str">
        <f>'Reported burning'!D3038</f>
        <v>Pyrome management</v>
      </c>
      <c r="E3038" s="156" t="str">
        <f>'Reported burning'!E3038</f>
        <v>Forestry, Traditional</v>
      </c>
      <c r="F3038" s="156" t="str">
        <f>'Reported burning'!F3038</f>
        <v>Shrubland (Mixed forest &amp; grassland)</v>
      </c>
      <c r="G3038" s="156" t="str">
        <f>'Reported burning'!G3038</f>
        <v>Shrubland (Mixed forest &amp; grassland)</v>
      </c>
      <c r="H3038" s="156" t="str">
        <f>'Reported burning'!H3038</f>
        <v>Absence</v>
      </c>
      <c r="I3038" s="5"/>
      <c r="J3038" s="21">
        <v>0</v>
      </c>
      <c r="K3038" s="21">
        <v>0</v>
      </c>
      <c r="L3038" s="21">
        <v>0</v>
      </c>
      <c r="M3038" s="21">
        <v>0</v>
      </c>
      <c r="N3038" s="21">
        <v>0</v>
      </c>
      <c r="O3038" s="21">
        <v>0</v>
      </c>
      <c r="P3038" s="21">
        <v>0</v>
      </c>
      <c r="Q3038" s="21">
        <v>0</v>
      </c>
      <c r="R3038" s="21">
        <v>0</v>
      </c>
      <c r="S3038" s="21">
        <v>0</v>
      </c>
      <c r="T3038" s="21">
        <v>0</v>
      </c>
      <c r="U3038" s="21">
        <v>0</v>
      </c>
      <c r="V3038" s="21">
        <v>0</v>
      </c>
      <c r="W3038" s="204" t="s">
        <v>2276</v>
      </c>
      <c r="X3038" s="204" t="s">
        <v>68</v>
      </c>
      <c r="Y3038" s="204" t="s">
        <v>127</v>
      </c>
      <c r="Z3038" s="204" t="s">
        <v>2655</v>
      </c>
      <c r="AA3038" s="204"/>
      <c r="AB3038" s="204"/>
    </row>
    <row r="3039" spans="1:28" ht="43" customHeight="1">
      <c r="A3039" s="156" t="str">
        <f>'Reported burning'!A3039</f>
        <v>331a</v>
      </c>
      <c r="B3039" s="156" t="str">
        <f>'Reported burning'!B3039</f>
        <v>331a.1</v>
      </c>
      <c r="C3039" s="156" t="str">
        <f>'Reported burning'!C3039</f>
        <v>Unknown</v>
      </c>
      <c r="D3039" s="156" t="str">
        <f>'Reported burning'!D3039</f>
        <v>ND</v>
      </c>
      <c r="E3039" s="156" t="str">
        <f>'Reported burning'!E3039</f>
        <v>ND</v>
      </c>
      <c r="F3039" s="156" t="str">
        <f>'Reported burning'!F3039</f>
        <v>ND</v>
      </c>
      <c r="G3039" s="156" t="str">
        <f>'Reported burning'!G3039</f>
        <v>Shrubland (Mixed forest &amp; grassland)</v>
      </c>
      <c r="H3039" s="156" t="str">
        <f>'Reported burning'!H3039</f>
        <v>Presence</v>
      </c>
      <c r="I3039" s="5"/>
      <c r="J3039" s="204" t="s">
        <v>2276</v>
      </c>
      <c r="K3039" s="204" t="s">
        <v>2276</v>
      </c>
      <c r="L3039" s="204" t="s">
        <v>2276</v>
      </c>
      <c r="M3039" s="204" t="s">
        <v>2276</v>
      </c>
      <c r="N3039" s="204" t="s">
        <v>2276</v>
      </c>
      <c r="O3039" s="204" t="s">
        <v>2276</v>
      </c>
      <c r="P3039" s="204" t="s">
        <v>2276</v>
      </c>
      <c r="Q3039" s="204" t="s">
        <v>2276</v>
      </c>
      <c r="R3039" s="204" t="s">
        <v>2276</v>
      </c>
      <c r="S3039" s="204" t="s">
        <v>2276</v>
      </c>
      <c r="T3039" s="204" t="s">
        <v>2276</v>
      </c>
      <c r="U3039" s="204" t="s">
        <v>2276</v>
      </c>
      <c r="V3039" s="204" t="s">
        <v>2276</v>
      </c>
      <c r="W3039" s="204" t="s">
        <v>2276</v>
      </c>
      <c r="X3039" s="204" t="s">
        <v>2276</v>
      </c>
      <c r="Y3039" s="204" t="s">
        <v>2276</v>
      </c>
      <c r="Z3039" s="204" t="s">
        <v>2276</v>
      </c>
      <c r="AA3039" s="4" t="s">
        <v>8196</v>
      </c>
      <c r="AB3039" s="204"/>
    </row>
    <row r="3040" spans="1:28" ht="47" customHeight="1">
      <c r="A3040" s="156" t="str">
        <f>'Reported burning'!A3040</f>
        <v>331a</v>
      </c>
      <c r="B3040" s="156" t="str">
        <f>'Reported burning'!B3040</f>
        <v>331a.2</v>
      </c>
      <c r="C3040" s="156" t="str">
        <f>'Reported burning'!C3040</f>
        <v>Human, deliberate</v>
      </c>
      <c r="D3040" s="156" t="str">
        <f>'Reported burning'!D3040</f>
        <v>Pyrome management</v>
      </c>
      <c r="E3040" s="156" t="str">
        <f>'Reported burning'!E3040</f>
        <v>Biodiversity conservation</v>
      </c>
      <c r="F3040" s="156" t="str">
        <f>'Reported burning'!F3040</f>
        <v>Shrubland (Mixed forest &amp; grassland)</v>
      </c>
      <c r="G3040" s="156" t="str">
        <f>'Reported burning'!G3040</f>
        <v>Shrubland (Mixed forest &amp; grassland)</v>
      </c>
      <c r="H3040" s="156" t="str">
        <f>'Reported burning'!H3040</f>
        <v>Presence</v>
      </c>
      <c r="I3040" s="5"/>
      <c r="J3040" s="204" t="s">
        <v>2276</v>
      </c>
      <c r="K3040" s="204" t="s">
        <v>2276</v>
      </c>
      <c r="L3040" s="204" t="s">
        <v>2276</v>
      </c>
      <c r="M3040" s="204" t="s">
        <v>2276</v>
      </c>
      <c r="N3040" s="204" t="s">
        <v>2276</v>
      </c>
      <c r="O3040" s="204" t="s">
        <v>2276</v>
      </c>
      <c r="P3040" s="204" t="s">
        <v>2276</v>
      </c>
      <c r="Q3040" s="204" t="s">
        <v>2276</v>
      </c>
      <c r="R3040" s="204" t="s">
        <v>2276</v>
      </c>
      <c r="S3040" s="21" t="s">
        <v>2392</v>
      </c>
      <c r="T3040" s="204" t="s">
        <v>2276</v>
      </c>
      <c r="U3040" s="204" t="s">
        <v>2276</v>
      </c>
      <c r="V3040" s="204" t="s">
        <v>2276</v>
      </c>
      <c r="W3040" s="21" t="s">
        <v>2403</v>
      </c>
      <c r="X3040" s="204" t="s">
        <v>38</v>
      </c>
      <c r="Y3040" s="204" t="s">
        <v>86</v>
      </c>
      <c r="Z3040" s="204" t="s">
        <v>64</v>
      </c>
      <c r="AA3040" s="204" t="s">
        <v>8199</v>
      </c>
      <c r="AB3040" s="4" t="s">
        <v>8197</v>
      </c>
    </row>
    <row r="3041" spans="1:28" ht="47" customHeight="1">
      <c r="A3041" s="156" t="str">
        <f>'Reported burning'!A3041</f>
        <v>332a</v>
      </c>
      <c r="B3041" s="156" t="str">
        <f>'Reported burning'!B3041</f>
        <v>332a.1</v>
      </c>
      <c r="C3041" s="156" t="str">
        <f>'Reported burning'!C3041</f>
        <v>Human, deliberate</v>
      </c>
      <c r="D3041" s="156" t="str">
        <f>'Reported burning'!D3041</f>
        <v>Conservation</v>
      </c>
      <c r="E3041" s="156" t="str">
        <f>'Reported burning'!E3041</f>
        <v>Biodiversity conservation</v>
      </c>
      <c r="F3041" s="156" t="str">
        <f>'Reported burning'!F3041</f>
        <v>Forest</v>
      </c>
      <c r="G3041" s="156" t="str">
        <f>'Reported burning'!G3041</f>
        <v>ND</v>
      </c>
      <c r="H3041" s="156" t="str">
        <f>'Reported burning'!H3041</f>
        <v>Absence</v>
      </c>
      <c r="I3041" s="5"/>
      <c r="J3041" s="21">
        <v>0</v>
      </c>
      <c r="K3041" s="21">
        <v>0</v>
      </c>
      <c r="L3041" s="21">
        <v>0</v>
      </c>
      <c r="M3041" s="21">
        <v>0</v>
      </c>
      <c r="N3041" s="21">
        <v>0</v>
      </c>
      <c r="O3041" s="21">
        <v>0</v>
      </c>
      <c r="P3041" s="21">
        <v>0</v>
      </c>
      <c r="Q3041" s="21">
        <v>0</v>
      </c>
      <c r="R3041" s="21">
        <v>0</v>
      </c>
      <c r="S3041" s="21">
        <v>0</v>
      </c>
      <c r="T3041" s="21">
        <v>0</v>
      </c>
      <c r="U3041" s="21">
        <v>0</v>
      </c>
      <c r="V3041" s="21">
        <v>0</v>
      </c>
      <c r="W3041" s="204" t="s">
        <v>2276</v>
      </c>
      <c r="X3041" s="204" t="s">
        <v>2276</v>
      </c>
      <c r="Y3041" s="204" t="s">
        <v>2276</v>
      </c>
      <c r="Z3041" s="204" t="s">
        <v>2276</v>
      </c>
      <c r="AA3041" s="4" t="s">
        <v>8228</v>
      </c>
      <c r="AB3041" s="204"/>
    </row>
    <row r="3042" spans="1:28" ht="47" customHeight="1">
      <c r="A3042" s="156" t="str">
        <f>'Reported burning'!A3042</f>
        <v>332b</v>
      </c>
      <c r="B3042" s="156" t="str">
        <f>'Reported burning'!B3042</f>
        <v>332b.1</v>
      </c>
      <c r="C3042" s="156" t="str">
        <f>'Reported burning'!C3042</f>
        <v>Human, deliberate</v>
      </c>
      <c r="D3042" s="156" t="str">
        <f>'Reported burning'!D3042</f>
        <v>Conservation</v>
      </c>
      <c r="E3042" s="156" t="str">
        <f>'Reported burning'!E3042</f>
        <v>Biodiversity conservation</v>
      </c>
      <c r="F3042" s="156" t="str">
        <f>'Reported burning'!F3042</f>
        <v>Forest</v>
      </c>
      <c r="G3042" s="156" t="str">
        <f>'Reported burning'!G3042</f>
        <v>ND</v>
      </c>
      <c r="H3042" s="156" t="str">
        <f>'Reported burning'!H3042</f>
        <v>Absence</v>
      </c>
      <c r="I3042" s="5"/>
      <c r="J3042" s="21">
        <v>0</v>
      </c>
      <c r="K3042" s="21">
        <v>0</v>
      </c>
      <c r="L3042" s="21">
        <v>0</v>
      </c>
      <c r="M3042" s="21">
        <v>0</v>
      </c>
      <c r="N3042" s="21">
        <v>0</v>
      </c>
      <c r="O3042" s="21">
        <v>0</v>
      </c>
      <c r="P3042" s="21">
        <v>0</v>
      </c>
      <c r="Q3042" s="21">
        <v>0</v>
      </c>
      <c r="R3042" s="21">
        <v>0</v>
      </c>
      <c r="S3042" s="21">
        <v>0</v>
      </c>
      <c r="T3042" s="21">
        <v>0</v>
      </c>
      <c r="U3042" s="21">
        <v>0</v>
      </c>
      <c r="V3042" s="21">
        <v>0</v>
      </c>
      <c r="W3042" s="204" t="s">
        <v>2276</v>
      </c>
      <c r="X3042" s="204" t="s">
        <v>2276</v>
      </c>
      <c r="Y3042" s="204" t="s">
        <v>2276</v>
      </c>
      <c r="Z3042" s="204" t="s">
        <v>2276</v>
      </c>
      <c r="AA3042" s="4" t="s">
        <v>8228</v>
      </c>
      <c r="AB3042" s="204"/>
    </row>
    <row r="3043" spans="1:28" ht="48.5" customHeight="1">
      <c r="A3043" s="156" t="str">
        <f>'Reported burning'!A3043</f>
        <v>332c</v>
      </c>
      <c r="B3043" s="156" t="str">
        <f>'Reported burning'!B3043</f>
        <v>332c.1</v>
      </c>
      <c r="C3043" s="156" t="str">
        <f>'Reported burning'!C3043</f>
        <v>Human, deliberate</v>
      </c>
      <c r="D3043" s="156" t="str">
        <f>'Reported burning'!D3043</f>
        <v>Conservation</v>
      </c>
      <c r="E3043" s="156" t="str">
        <f>'Reported burning'!E3043</f>
        <v>Biodiversity conservation</v>
      </c>
      <c r="F3043" s="156" t="str">
        <f>'Reported burning'!F3043</f>
        <v>Forest</v>
      </c>
      <c r="G3043" s="156" t="str">
        <f>'Reported burning'!G3043</f>
        <v>ND</v>
      </c>
      <c r="H3043" s="156" t="str">
        <f>'Reported burning'!H3043</f>
        <v>Absence</v>
      </c>
      <c r="I3043" s="5"/>
      <c r="J3043" s="21">
        <v>0</v>
      </c>
      <c r="K3043" s="21">
        <v>0</v>
      </c>
      <c r="L3043" s="21">
        <v>0</v>
      </c>
      <c r="M3043" s="21">
        <v>0</v>
      </c>
      <c r="N3043" s="21">
        <v>0</v>
      </c>
      <c r="O3043" s="21">
        <v>0</v>
      </c>
      <c r="P3043" s="21">
        <v>0</v>
      </c>
      <c r="Q3043" s="21">
        <v>0</v>
      </c>
      <c r="R3043" s="21">
        <v>0</v>
      </c>
      <c r="S3043" s="21">
        <v>0</v>
      </c>
      <c r="T3043" s="21">
        <v>0</v>
      </c>
      <c r="U3043" s="21">
        <v>0</v>
      </c>
      <c r="V3043" s="21">
        <v>0</v>
      </c>
      <c r="W3043" s="204" t="s">
        <v>2276</v>
      </c>
      <c r="X3043" s="204" t="s">
        <v>2276</v>
      </c>
      <c r="Y3043" s="204" t="s">
        <v>2276</v>
      </c>
      <c r="Z3043" s="204" t="s">
        <v>2276</v>
      </c>
      <c r="AA3043" s="4" t="s">
        <v>8228</v>
      </c>
      <c r="AB3043" s="204"/>
    </row>
    <row r="3044" spans="1:28" ht="48.5" customHeight="1">
      <c r="A3044" s="156" t="str">
        <f>'Reported burning'!A3044</f>
        <v>332d</v>
      </c>
      <c r="B3044" s="156" t="str">
        <f>'Reported burning'!B3044</f>
        <v>332d.1</v>
      </c>
      <c r="C3044" s="156" t="str">
        <f>'Reported burning'!C3044</f>
        <v>Human, deliberate</v>
      </c>
      <c r="D3044" s="156" t="str">
        <f>'Reported burning'!D3044</f>
        <v>Conservation</v>
      </c>
      <c r="E3044" s="156" t="str">
        <f>'Reported burning'!E3044</f>
        <v>Biodiversity conservation</v>
      </c>
      <c r="F3044" s="156" t="str">
        <f>'Reported burning'!F3044</f>
        <v>Forest</v>
      </c>
      <c r="G3044" s="156" t="str">
        <f>'Reported burning'!G3044</f>
        <v>ND</v>
      </c>
      <c r="H3044" s="156" t="str">
        <f>'Reported burning'!H3044</f>
        <v>Absence</v>
      </c>
      <c r="I3044" s="5"/>
      <c r="J3044" s="21">
        <v>0</v>
      </c>
      <c r="K3044" s="21">
        <v>0</v>
      </c>
      <c r="L3044" s="21">
        <v>0</v>
      </c>
      <c r="M3044" s="21">
        <v>0</v>
      </c>
      <c r="N3044" s="21">
        <v>0</v>
      </c>
      <c r="O3044" s="21">
        <v>0</v>
      </c>
      <c r="P3044" s="21">
        <v>0</v>
      </c>
      <c r="Q3044" s="21">
        <v>0</v>
      </c>
      <c r="R3044" s="21">
        <v>0</v>
      </c>
      <c r="S3044" s="21">
        <v>0</v>
      </c>
      <c r="T3044" s="21">
        <v>0</v>
      </c>
      <c r="U3044" s="21">
        <v>0</v>
      </c>
      <c r="V3044" s="21">
        <v>0</v>
      </c>
      <c r="W3044" s="204" t="s">
        <v>2276</v>
      </c>
      <c r="X3044" s="204" t="s">
        <v>2276</v>
      </c>
      <c r="Y3044" s="204" t="s">
        <v>2276</v>
      </c>
      <c r="Z3044" s="204" t="s">
        <v>2276</v>
      </c>
      <c r="AA3044" s="4" t="s">
        <v>8228</v>
      </c>
      <c r="AB3044" s="204"/>
    </row>
    <row r="3045" spans="1:28" ht="48.5" customHeight="1">
      <c r="A3045" s="156" t="str">
        <f>'Reported burning'!A3045</f>
        <v>332e</v>
      </c>
      <c r="B3045" s="156" t="str">
        <f>'Reported burning'!B3045</f>
        <v>332e.1</v>
      </c>
      <c r="C3045" s="156" t="str">
        <f>'Reported burning'!C3045</f>
        <v>Human, deliberate</v>
      </c>
      <c r="D3045" s="156" t="str">
        <f>'Reported burning'!D3045</f>
        <v>Conservation</v>
      </c>
      <c r="E3045" s="156" t="str">
        <f>'Reported burning'!E3045</f>
        <v>Biodiversity conservation</v>
      </c>
      <c r="F3045" s="156" t="str">
        <f>'Reported burning'!F3045</f>
        <v>Forest</v>
      </c>
      <c r="G3045" s="156" t="str">
        <f>'Reported burning'!G3045</f>
        <v>ND</v>
      </c>
      <c r="H3045" s="156" t="str">
        <f>'Reported burning'!H3045</f>
        <v>Absence</v>
      </c>
      <c r="I3045" s="5"/>
      <c r="J3045" s="21">
        <v>0</v>
      </c>
      <c r="K3045" s="21">
        <v>0</v>
      </c>
      <c r="L3045" s="21">
        <v>0</v>
      </c>
      <c r="M3045" s="21">
        <v>0</v>
      </c>
      <c r="N3045" s="21">
        <v>0</v>
      </c>
      <c r="O3045" s="21">
        <v>0</v>
      </c>
      <c r="P3045" s="21">
        <v>0</v>
      </c>
      <c r="Q3045" s="21">
        <v>0</v>
      </c>
      <c r="R3045" s="21">
        <v>0</v>
      </c>
      <c r="S3045" s="21">
        <v>0</v>
      </c>
      <c r="T3045" s="21">
        <v>0</v>
      </c>
      <c r="U3045" s="21">
        <v>0</v>
      </c>
      <c r="V3045" s="21">
        <v>0</v>
      </c>
      <c r="W3045" s="204" t="s">
        <v>2276</v>
      </c>
      <c r="X3045" s="204" t="s">
        <v>2276</v>
      </c>
      <c r="Y3045" s="204" t="s">
        <v>2276</v>
      </c>
      <c r="Z3045" s="204" t="s">
        <v>2276</v>
      </c>
      <c r="AA3045" s="4" t="s">
        <v>8228</v>
      </c>
      <c r="AB3045" s="204"/>
    </row>
    <row r="3046" spans="1:28" ht="48.5" customHeight="1">
      <c r="A3046" s="156" t="str">
        <f>'Reported burning'!A3046</f>
        <v>332f</v>
      </c>
      <c r="B3046" s="156" t="str">
        <f>'Reported burning'!B3046</f>
        <v>332f.1</v>
      </c>
      <c r="C3046" s="156" t="str">
        <f>'Reported burning'!C3046</f>
        <v>Human, deliberate</v>
      </c>
      <c r="D3046" s="156" t="str">
        <f>'Reported burning'!D3046</f>
        <v>Conservation</v>
      </c>
      <c r="E3046" s="156" t="str">
        <f>'Reported burning'!E3046</f>
        <v>Biodiversity conservation</v>
      </c>
      <c r="F3046" s="156" t="str">
        <f>'Reported burning'!F3046</f>
        <v>Forest</v>
      </c>
      <c r="G3046" s="156" t="str">
        <f>'Reported burning'!G3046</f>
        <v>ND</v>
      </c>
      <c r="H3046" s="156" t="str">
        <f>'Reported burning'!H3046</f>
        <v>Absence</v>
      </c>
      <c r="I3046" s="5"/>
      <c r="J3046" s="21">
        <v>0</v>
      </c>
      <c r="K3046" s="21">
        <v>0</v>
      </c>
      <c r="L3046" s="21">
        <v>0</v>
      </c>
      <c r="M3046" s="21">
        <v>0</v>
      </c>
      <c r="N3046" s="21">
        <v>0</v>
      </c>
      <c r="O3046" s="21">
        <v>0</v>
      </c>
      <c r="P3046" s="21">
        <v>0</v>
      </c>
      <c r="Q3046" s="21">
        <v>0</v>
      </c>
      <c r="R3046" s="21">
        <v>0</v>
      </c>
      <c r="S3046" s="21">
        <v>0</v>
      </c>
      <c r="T3046" s="21">
        <v>0</v>
      </c>
      <c r="U3046" s="21">
        <v>0</v>
      </c>
      <c r="V3046" s="21">
        <v>0</v>
      </c>
      <c r="W3046" s="204" t="s">
        <v>2276</v>
      </c>
      <c r="X3046" s="204" t="s">
        <v>2276</v>
      </c>
      <c r="Y3046" s="204" t="s">
        <v>2276</v>
      </c>
      <c r="Z3046" s="204" t="s">
        <v>2276</v>
      </c>
      <c r="AA3046" s="4" t="s">
        <v>8228</v>
      </c>
      <c r="AB3046" s="204"/>
    </row>
    <row r="3047" spans="1:28" ht="48.5" customHeight="1">
      <c r="A3047" s="156" t="str">
        <f>'Reported burning'!A3047</f>
        <v>332g</v>
      </c>
      <c r="B3047" s="156" t="str">
        <f>'Reported burning'!B3047</f>
        <v>332g.1</v>
      </c>
      <c r="C3047" s="156" t="str">
        <f>'Reported burning'!C3047</f>
        <v>Human, deliberate</v>
      </c>
      <c r="D3047" s="156" t="str">
        <f>'Reported burning'!D3047</f>
        <v>Conservation</v>
      </c>
      <c r="E3047" s="156" t="str">
        <f>'Reported burning'!E3047</f>
        <v>Biodiversity conservation</v>
      </c>
      <c r="F3047" s="156" t="str">
        <f>'Reported burning'!F3047</f>
        <v>Forest</v>
      </c>
      <c r="G3047" s="156" t="str">
        <f>'Reported burning'!G3047</f>
        <v>ND</v>
      </c>
      <c r="H3047" s="156" t="str">
        <f>'Reported burning'!H3047</f>
        <v>Absence</v>
      </c>
      <c r="I3047" s="5"/>
      <c r="J3047" s="21">
        <v>0</v>
      </c>
      <c r="K3047" s="21">
        <v>0</v>
      </c>
      <c r="L3047" s="21">
        <v>0</v>
      </c>
      <c r="M3047" s="21">
        <v>0</v>
      </c>
      <c r="N3047" s="21">
        <v>0</v>
      </c>
      <c r="O3047" s="21">
        <v>0</v>
      </c>
      <c r="P3047" s="21">
        <v>0</v>
      </c>
      <c r="Q3047" s="21">
        <v>0</v>
      </c>
      <c r="R3047" s="21">
        <v>0</v>
      </c>
      <c r="S3047" s="21">
        <v>0</v>
      </c>
      <c r="T3047" s="21">
        <v>0</v>
      </c>
      <c r="U3047" s="21">
        <v>0</v>
      </c>
      <c r="V3047" s="21">
        <v>0</v>
      </c>
      <c r="W3047" s="204" t="s">
        <v>2276</v>
      </c>
      <c r="X3047" s="204" t="s">
        <v>2276</v>
      </c>
      <c r="Y3047" s="204" t="s">
        <v>2276</v>
      </c>
      <c r="Z3047" s="204" t="s">
        <v>2276</v>
      </c>
      <c r="AA3047" s="4" t="s">
        <v>8228</v>
      </c>
      <c r="AB3047" s="204"/>
    </row>
    <row r="3048" spans="1:28" ht="48.5" customHeight="1">
      <c r="A3048" s="156" t="str">
        <f>'Reported burning'!A3048</f>
        <v>332a</v>
      </c>
      <c r="B3048" s="156" t="str">
        <f>'Reported burning'!B3048</f>
        <v>332a.2</v>
      </c>
      <c r="C3048" s="156" t="str">
        <f>'Reported burning'!C3048</f>
        <v>All</v>
      </c>
      <c r="D3048" s="156" t="str">
        <f>'Reported burning'!D3048</f>
        <v>ND</v>
      </c>
      <c r="E3048" s="156" t="str">
        <f>'Reported burning'!E3048</f>
        <v>All</v>
      </c>
      <c r="F3048" s="156" t="str">
        <f>'Reported burning'!F3048</f>
        <v>ND</v>
      </c>
      <c r="G3048" s="156" t="str">
        <f>'Reported burning'!G3048</f>
        <v>ND</v>
      </c>
      <c r="H3048" s="156" t="str">
        <f>'Reported burning'!H3048</f>
        <v>Presence</v>
      </c>
      <c r="I3048" s="5"/>
      <c r="J3048" s="204" t="s">
        <v>2276</v>
      </c>
      <c r="K3048" s="204" t="s">
        <v>2276</v>
      </c>
      <c r="L3048" s="204" t="s">
        <v>2276</v>
      </c>
      <c r="M3048" s="204" t="s">
        <v>2276</v>
      </c>
      <c r="N3048" s="204" t="s">
        <v>2276</v>
      </c>
      <c r="O3048" s="204" t="s">
        <v>2276</v>
      </c>
      <c r="P3048" s="204" t="s">
        <v>2276</v>
      </c>
      <c r="Q3048" s="204" t="s">
        <v>2276</v>
      </c>
      <c r="R3048" s="204" t="s">
        <v>2276</v>
      </c>
      <c r="S3048" s="204" t="s">
        <v>2276</v>
      </c>
      <c r="T3048" s="204" t="s">
        <v>2276</v>
      </c>
      <c r="U3048" s="204" t="s">
        <v>2276</v>
      </c>
      <c r="V3048" s="204" t="s">
        <v>2276</v>
      </c>
      <c r="W3048" s="204" t="s">
        <v>2276</v>
      </c>
      <c r="X3048" s="204" t="s">
        <v>2276</v>
      </c>
      <c r="Y3048" s="204" t="s">
        <v>2276</v>
      </c>
      <c r="Z3048" s="204" t="s">
        <v>2276</v>
      </c>
      <c r="AA3048" s="204"/>
      <c r="AB3048" s="204"/>
    </row>
    <row r="3049" spans="1:28" ht="48.5" customHeight="1">
      <c r="A3049" s="156" t="str">
        <f>'Reported burning'!A3049</f>
        <v>332b</v>
      </c>
      <c r="B3049" s="156" t="str">
        <f>'Reported burning'!B3049</f>
        <v>332b.2</v>
      </c>
      <c r="C3049" s="156" t="str">
        <f>'Reported burning'!C3049</f>
        <v>All</v>
      </c>
      <c r="D3049" s="156" t="str">
        <f>'Reported burning'!D3049</f>
        <v>ND</v>
      </c>
      <c r="E3049" s="156" t="str">
        <f>'Reported burning'!E3049</f>
        <v>All</v>
      </c>
      <c r="F3049" s="156" t="str">
        <f>'Reported burning'!F3049</f>
        <v>ND</v>
      </c>
      <c r="G3049" s="156" t="str">
        <f>'Reported burning'!G3049</f>
        <v>ND</v>
      </c>
      <c r="H3049" s="156" t="str">
        <f>'Reported burning'!H3049</f>
        <v>Presence</v>
      </c>
      <c r="I3049" s="5"/>
      <c r="J3049" s="204" t="s">
        <v>2276</v>
      </c>
      <c r="K3049" s="204" t="s">
        <v>2276</v>
      </c>
      <c r="L3049" s="204" t="s">
        <v>2276</v>
      </c>
      <c r="M3049" s="204" t="s">
        <v>2276</v>
      </c>
      <c r="N3049" s="204" t="s">
        <v>2276</v>
      </c>
      <c r="O3049" s="204" t="s">
        <v>2276</v>
      </c>
      <c r="P3049" s="204" t="s">
        <v>2276</v>
      </c>
      <c r="Q3049" s="204" t="s">
        <v>2276</v>
      </c>
      <c r="R3049" s="204" t="s">
        <v>2276</v>
      </c>
      <c r="S3049" s="204" t="s">
        <v>2276</v>
      </c>
      <c r="T3049" s="204" t="s">
        <v>2276</v>
      </c>
      <c r="U3049" s="204" t="s">
        <v>2276</v>
      </c>
      <c r="V3049" s="204" t="s">
        <v>2276</v>
      </c>
      <c r="W3049" s="204" t="s">
        <v>2276</v>
      </c>
      <c r="X3049" s="204" t="s">
        <v>2276</v>
      </c>
      <c r="Y3049" s="204" t="s">
        <v>2276</v>
      </c>
      <c r="Z3049" s="204" t="s">
        <v>2276</v>
      </c>
      <c r="AA3049" s="204"/>
      <c r="AB3049" s="204"/>
    </row>
    <row r="3050" spans="1:28" ht="34.5" customHeight="1">
      <c r="A3050" s="156" t="str">
        <f>'Reported burning'!A3050</f>
        <v>332c</v>
      </c>
      <c r="B3050" s="156" t="str">
        <f>'Reported burning'!B3050</f>
        <v>332c.2</v>
      </c>
      <c r="C3050" s="156" t="str">
        <f>'Reported burning'!C3050</f>
        <v>All</v>
      </c>
      <c r="D3050" s="156" t="str">
        <f>'Reported burning'!D3050</f>
        <v>ND</v>
      </c>
      <c r="E3050" s="156" t="str">
        <f>'Reported burning'!E3050</f>
        <v>All</v>
      </c>
      <c r="F3050" s="156" t="str">
        <f>'Reported burning'!F3050</f>
        <v>ND</v>
      </c>
      <c r="G3050" s="156" t="str">
        <f>'Reported burning'!G3050</f>
        <v>ND</v>
      </c>
      <c r="H3050" s="156" t="str">
        <f>'Reported burning'!H3050</f>
        <v>Presence</v>
      </c>
      <c r="I3050" s="5"/>
      <c r="J3050" s="204" t="s">
        <v>2276</v>
      </c>
      <c r="K3050" s="204" t="s">
        <v>2276</v>
      </c>
      <c r="L3050" s="204" t="s">
        <v>2276</v>
      </c>
      <c r="M3050" s="204" t="s">
        <v>2276</v>
      </c>
      <c r="N3050" s="204" t="s">
        <v>2276</v>
      </c>
      <c r="O3050" s="204" t="s">
        <v>2276</v>
      </c>
      <c r="P3050" s="204" t="s">
        <v>2276</v>
      </c>
      <c r="Q3050" s="204" t="s">
        <v>2276</v>
      </c>
      <c r="R3050" s="204" t="s">
        <v>2276</v>
      </c>
      <c r="S3050" s="204" t="s">
        <v>2276</v>
      </c>
      <c r="T3050" s="204" t="s">
        <v>2276</v>
      </c>
      <c r="U3050" s="204" t="s">
        <v>2276</v>
      </c>
      <c r="V3050" s="204" t="s">
        <v>2276</v>
      </c>
      <c r="W3050" s="204" t="s">
        <v>2276</v>
      </c>
      <c r="X3050" s="204" t="s">
        <v>2276</v>
      </c>
      <c r="Y3050" s="204" t="s">
        <v>2276</v>
      </c>
      <c r="Z3050" s="204" t="s">
        <v>2276</v>
      </c>
      <c r="AA3050" s="204"/>
      <c r="AB3050" s="204"/>
    </row>
    <row r="3051" spans="1:28" ht="34.5" customHeight="1">
      <c r="A3051" s="156" t="str">
        <f>'Reported burning'!A3051</f>
        <v>332d</v>
      </c>
      <c r="B3051" s="156" t="str">
        <f>'Reported burning'!B3051</f>
        <v>332d.2</v>
      </c>
      <c r="C3051" s="156" t="str">
        <f>'Reported burning'!C3051</f>
        <v>All</v>
      </c>
      <c r="D3051" s="156" t="str">
        <f>'Reported burning'!D3051</f>
        <v>ND</v>
      </c>
      <c r="E3051" s="156" t="str">
        <f>'Reported burning'!E3051</f>
        <v>All</v>
      </c>
      <c r="F3051" s="156" t="str">
        <f>'Reported burning'!F3051</f>
        <v>ND</v>
      </c>
      <c r="G3051" s="156" t="str">
        <f>'Reported burning'!G3051</f>
        <v>ND</v>
      </c>
      <c r="H3051" s="156" t="str">
        <f>'Reported burning'!H3051</f>
        <v>Presence</v>
      </c>
      <c r="I3051" s="5"/>
      <c r="J3051" s="204" t="s">
        <v>2276</v>
      </c>
      <c r="K3051" s="204" t="s">
        <v>2276</v>
      </c>
      <c r="L3051" s="204" t="s">
        <v>2276</v>
      </c>
      <c r="M3051" s="204" t="s">
        <v>2276</v>
      </c>
      <c r="N3051" s="204" t="s">
        <v>2276</v>
      </c>
      <c r="O3051" s="204" t="s">
        <v>2276</v>
      </c>
      <c r="P3051" s="204" t="s">
        <v>2276</v>
      </c>
      <c r="Q3051" s="204" t="s">
        <v>2276</v>
      </c>
      <c r="R3051" s="204" t="s">
        <v>2276</v>
      </c>
      <c r="S3051" s="204" t="s">
        <v>2276</v>
      </c>
      <c r="T3051" s="204" t="s">
        <v>2276</v>
      </c>
      <c r="U3051" s="204" t="s">
        <v>2276</v>
      </c>
      <c r="V3051" s="204" t="s">
        <v>2276</v>
      </c>
      <c r="W3051" s="204" t="s">
        <v>2276</v>
      </c>
      <c r="X3051" s="204" t="s">
        <v>2276</v>
      </c>
      <c r="Y3051" s="204" t="s">
        <v>2276</v>
      </c>
      <c r="Z3051" s="204" t="s">
        <v>2276</v>
      </c>
      <c r="AA3051" s="204"/>
      <c r="AB3051" s="204"/>
    </row>
    <row r="3052" spans="1:28" ht="34.5" customHeight="1">
      <c r="A3052" s="156" t="str">
        <f>'Reported burning'!A3052</f>
        <v>332e</v>
      </c>
      <c r="B3052" s="156" t="str">
        <f>'Reported burning'!B3052</f>
        <v>332e.2</v>
      </c>
      <c r="C3052" s="156" t="str">
        <f>'Reported burning'!C3052</f>
        <v>All</v>
      </c>
      <c r="D3052" s="156" t="str">
        <f>'Reported burning'!D3052</f>
        <v>ND</v>
      </c>
      <c r="E3052" s="156" t="str">
        <f>'Reported burning'!E3052</f>
        <v>All</v>
      </c>
      <c r="F3052" s="156" t="str">
        <f>'Reported burning'!F3052</f>
        <v>ND</v>
      </c>
      <c r="G3052" s="156" t="str">
        <f>'Reported burning'!G3052</f>
        <v>ND</v>
      </c>
      <c r="H3052" s="156" t="str">
        <f>'Reported burning'!H3052</f>
        <v>Presence</v>
      </c>
      <c r="I3052" s="5"/>
      <c r="J3052" s="204" t="s">
        <v>2276</v>
      </c>
      <c r="K3052" s="204" t="s">
        <v>2276</v>
      </c>
      <c r="L3052" s="204" t="s">
        <v>2276</v>
      </c>
      <c r="M3052" s="204" t="s">
        <v>2276</v>
      </c>
      <c r="N3052" s="204" t="s">
        <v>2276</v>
      </c>
      <c r="O3052" s="204" t="s">
        <v>2276</v>
      </c>
      <c r="P3052" s="204" t="s">
        <v>2276</v>
      </c>
      <c r="Q3052" s="204" t="s">
        <v>2276</v>
      </c>
      <c r="R3052" s="204" t="s">
        <v>2276</v>
      </c>
      <c r="S3052" s="204" t="s">
        <v>2276</v>
      </c>
      <c r="T3052" s="204" t="s">
        <v>2276</v>
      </c>
      <c r="U3052" s="204" t="s">
        <v>2276</v>
      </c>
      <c r="V3052" s="204" t="s">
        <v>2276</v>
      </c>
      <c r="W3052" s="204" t="s">
        <v>2276</v>
      </c>
      <c r="X3052" s="204" t="s">
        <v>2276</v>
      </c>
      <c r="Y3052" s="204" t="s">
        <v>2276</v>
      </c>
      <c r="Z3052" s="204" t="s">
        <v>2276</v>
      </c>
      <c r="AA3052" s="204"/>
      <c r="AB3052" s="204"/>
    </row>
    <row r="3053" spans="1:28" ht="34.5" customHeight="1">
      <c r="A3053" s="156" t="str">
        <f>'Reported burning'!A3053</f>
        <v>332f</v>
      </c>
      <c r="B3053" s="156" t="str">
        <f>'Reported burning'!B3053</f>
        <v>332f.2</v>
      </c>
      <c r="C3053" s="156" t="str">
        <f>'Reported burning'!C3053</f>
        <v>All</v>
      </c>
      <c r="D3053" s="156" t="str">
        <f>'Reported burning'!D3053</f>
        <v>ND</v>
      </c>
      <c r="E3053" s="156" t="str">
        <f>'Reported burning'!E3053</f>
        <v>All</v>
      </c>
      <c r="F3053" s="156" t="str">
        <f>'Reported burning'!F3053</f>
        <v>ND</v>
      </c>
      <c r="G3053" s="156" t="str">
        <f>'Reported burning'!G3053</f>
        <v>ND</v>
      </c>
      <c r="H3053" s="156" t="str">
        <f>'Reported burning'!H3053</f>
        <v>Presence</v>
      </c>
      <c r="I3053" s="5"/>
      <c r="J3053" s="204" t="s">
        <v>2276</v>
      </c>
      <c r="K3053" s="204" t="s">
        <v>2276</v>
      </c>
      <c r="L3053" s="204" t="s">
        <v>2276</v>
      </c>
      <c r="M3053" s="204" t="s">
        <v>2276</v>
      </c>
      <c r="N3053" s="204" t="s">
        <v>2276</v>
      </c>
      <c r="O3053" s="204" t="s">
        <v>2276</v>
      </c>
      <c r="P3053" s="204" t="s">
        <v>2276</v>
      </c>
      <c r="Q3053" s="204" t="s">
        <v>2276</v>
      </c>
      <c r="R3053" s="204" t="s">
        <v>2276</v>
      </c>
      <c r="S3053" s="204" t="s">
        <v>2276</v>
      </c>
      <c r="T3053" s="204" t="s">
        <v>2276</v>
      </c>
      <c r="U3053" s="204" t="s">
        <v>2276</v>
      </c>
      <c r="V3053" s="204" t="s">
        <v>2276</v>
      </c>
      <c r="W3053" s="204" t="s">
        <v>2276</v>
      </c>
      <c r="X3053" s="204" t="s">
        <v>2276</v>
      </c>
      <c r="Y3053" s="204" t="s">
        <v>2276</v>
      </c>
      <c r="Z3053" s="204" t="s">
        <v>2276</v>
      </c>
      <c r="AA3053" s="204"/>
      <c r="AB3053" s="204"/>
    </row>
    <row r="3054" spans="1:28" ht="34.5" customHeight="1">
      <c r="A3054" s="156" t="str">
        <f>'Reported burning'!A3054</f>
        <v>332g</v>
      </c>
      <c r="B3054" s="156" t="str">
        <f>'Reported burning'!B3054</f>
        <v>332g.2</v>
      </c>
      <c r="C3054" s="156" t="str">
        <f>'Reported burning'!C3054</f>
        <v>All</v>
      </c>
      <c r="D3054" s="156" t="str">
        <f>'Reported burning'!D3054</f>
        <v>ND</v>
      </c>
      <c r="E3054" s="156" t="str">
        <f>'Reported burning'!E3054</f>
        <v>All</v>
      </c>
      <c r="F3054" s="156" t="str">
        <f>'Reported burning'!F3054</f>
        <v>ND</v>
      </c>
      <c r="G3054" s="156" t="str">
        <f>'Reported burning'!G3054</f>
        <v>ND</v>
      </c>
      <c r="H3054" s="156" t="str">
        <f>'Reported burning'!H3054</f>
        <v>Presence</v>
      </c>
      <c r="I3054" s="5"/>
      <c r="J3054" s="204" t="s">
        <v>2276</v>
      </c>
      <c r="K3054" s="204" t="s">
        <v>2276</v>
      </c>
      <c r="L3054" s="204" t="s">
        <v>2276</v>
      </c>
      <c r="M3054" s="204" t="s">
        <v>2276</v>
      </c>
      <c r="N3054" s="204" t="s">
        <v>2276</v>
      </c>
      <c r="O3054" s="204" t="s">
        <v>2276</v>
      </c>
      <c r="P3054" s="204" t="s">
        <v>2276</v>
      </c>
      <c r="Q3054" s="204" t="s">
        <v>2276</v>
      </c>
      <c r="R3054" s="204" t="s">
        <v>2276</v>
      </c>
      <c r="S3054" s="204" t="s">
        <v>2276</v>
      </c>
      <c r="T3054" s="204" t="s">
        <v>2276</v>
      </c>
      <c r="U3054" s="204" t="s">
        <v>2276</v>
      </c>
      <c r="V3054" s="204" t="s">
        <v>2276</v>
      </c>
      <c r="W3054" s="204" t="s">
        <v>2276</v>
      </c>
      <c r="X3054" s="204" t="s">
        <v>2276</v>
      </c>
      <c r="Y3054" s="204" t="s">
        <v>2276</v>
      </c>
      <c r="Z3054" s="204" t="s">
        <v>2276</v>
      </c>
      <c r="AA3054" s="204"/>
      <c r="AB3054" s="204"/>
    </row>
    <row r="3055" spans="1:28" ht="34.5" customHeight="1">
      <c r="A3055" s="156" t="str">
        <f>'Reported burning'!A3055</f>
        <v>333a</v>
      </c>
      <c r="B3055" s="156" t="str">
        <f>'Reported burning'!B3055</f>
        <v>333a.1</v>
      </c>
      <c r="C3055" s="156" t="str">
        <f>'Reported burning'!C3055</f>
        <v>Human, deliberate</v>
      </c>
      <c r="D3055" s="156" t="str">
        <f>'Reported burning'!D3055</f>
        <v>Pasture renewal</v>
      </c>
      <c r="E3055" s="156" t="str">
        <f>'Reported burning'!E3055</f>
        <v>Forestry, Traditional</v>
      </c>
      <c r="F3055" s="156" t="str">
        <f>'Reported burning'!F3055</f>
        <v>Grassland</v>
      </c>
      <c r="G3055" s="156" t="str">
        <f>'Reported burning'!G3055</f>
        <v>Grassland</v>
      </c>
      <c r="H3055" s="156" t="str">
        <f>'Reported burning'!H3055</f>
        <v>Presence</v>
      </c>
      <c r="I3055" s="5"/>
      <c r="J3055" s="204" t="s">
        <v>2276</v>
      </c>
      <c r="K3055" s="204" t="s">
        <v>2276</v>
      </c>
      <c r="L3055" s="204" t="s">
        <v>2276</v>
      </c>
      <c r="M3055" s="204" t="s">
        <v>2276</v>
      </c>
      <c r="N3055" s="204" t="s">
        <v>2276</v>
      </c>
      <c r="O3055" s="204" t="s">
        <v>2276</v>
      </c>
      <c r="P3055" s="204" t="s">
        <v>2276</v>
      </c>
      <c r="Q3055" s="204" t="s">
        <v>2276</v>
      </c>
      <c r="R3055" s="204" t="s">
        <v>2276</v>
      </c>
      <c r="S3055" s="204" t="s">
        <v>2276</v>
      </c>
      <c r="T3055" s="204" t="s">
        <v>2276</v>
      </c>
      <c r="U3055" s="204" t="s">
        <v>2276</v>
      </c>
      <c r="V3055" s="204" t="s">
        <v>2276</v>
      </c>
      <c r="W3055" s="204" t="s">
        <v>2276</v>
      </c>
      <c r="X3055" s="204" t="s">
        <v>86</v>
      </c>
      <c r="Y3055" s="204" t="s">
        <v>86</v>
      </c>
      <c r="Z3055" s="204" t="s">
        <v>2276</v>
      </c>
      <c r="AA3055" s="204"/>
      <c r="AB3055" s="204"/>
    </row>
    <row r="3056" spans="1:28" ht="34.5" customHeight="1">
      <c r="A3056" s="156" t="str">
        <f>'Reported burning'!A3056</f>
        <v>333b</v>
      </c>
      <c r="B3056" s="156" t="str">
        <f>'Reported burning'!B3056</f>
        <v>333b.1</v>
      </c>
      <c r="C3056" s="156" t="str">
        <f>'Reported burning'!C3056</f>
        <v>Human, deliberate</v>
      </c>
      <c r="D3056" s="156" t="str">
        <f>'Reported burning'!D3056</f>
        <v>Pasture renewal</v>
      </c>
      <c r="E3056" s="156" t="str">
        <f>'Reported burning'!E3056</f>
        <v>Forestry, Traditional</v>
      </c>
      <c r="F3056" s="156" t="str">
        <f>'Reported burning'!F3056</f>
        <v>Grassland</v>
      </c>
      <c r="G3056" s="156" t="str">
        <f>'Reported burning'!G3056</f>
        <v>Grassland</v>
      </c>
      <c r="H3056" s="156" t="str">
        <f>'Reported burning'!H3056</f>
        <v>Presence</v>
      </c>
      <c r="I3056" s="5"/>
      <c r="J3056" s="204" t="s">
        <v>2276</v>
      </c>
      <c r="K3056" s="204" t="s">
        <v>2276</v>
      </c>
      <c r="L3056" s="204" t="s">
        <v>2276</v>
      </c>
      <c r="M3056" s="204" t="s">
        <v>2276</v>
      </c>
      <c r="N3056" s="204" t="s">
        <v>2276</v>
      </c>
      <c r="O3056" s="204" t="s">
        <v>2276</v>
      </c>
      <c r="P3056" s="204" t="s">
        <v>2276</v>
      </c>
      <c r="Q3056" s="204" t="s">
        <v>2276</v>
      </c>
      <c r="R3056" s="204" t="s">
        <v>2276</v>
      </c>
      <c r="S3056" s="204" t="s">
        <v>2276</v>
      </c>
      <c r="T3056" s="204" t="s">
        <v>2276</v>
      </c>
      <c r="U3056" s="204" t="s">
        <v>2276</v>
      </c>
      <c r="V3056" s="204" t="s">
        <v>2276</v>
      </c>
      <c r="W3056" s="204" t="s">
        <v>2276</v>
      </c>
      <c r="X3056" s="204" t="s">
        <v>86</v>
      </c>
      <c r="Y3056" s="204" t="s">
        <v>86</v>
      </c>
      <c r="Z3056" s="204" t="s">
        <v>2276</v>
      </c>
      <c r="AA3056" s="204"/>
      <c r="AB3056" s="204"/>
    </row>
    <row r="3057" spans="1:28" ht="34.5" customHeight="1">
      <c r="A3057" s="156" t="str">
        <f>'Reported burning'!A3057</f>
        <v>333c</v>
      </c>
      <c r="B3057" s="156" t="str">
        <f>'Reported burning'!B3057</f>
        <v>333c.1</v>
      </c>
      <c r="C3057" s="156" t="str">
        <f>'Reported burning'!C3057</f>
        <v>Human, deliberate</v>
      </c>
      <c r="D3057" s="156" t="str">
        <f>'Reported burning'!D3057</f>
        <v>Pasture renewal</v>
      </c>
      <c r="E3057" s="156" t="str">
        <f>'Reported burning'!E3057</f>
        <v>Forestry, Traditional</v>
      </c>
      <c r="F3057" s="156" t="str">
        <f>'Reported burning'!F3057</f>
        <v>Grassland</v>
      </c>
      <c r="G3057" s="156" t="str">
        <f>'Reported burning'!G3057</f>
        <v>Grassland</v>
      </c>
      <c r="H3057" s="156" t="str">
        <f>'Reported burning'!H3057</f>
        <v>Presence</v>
      </c>
      <c r="I3057" s="5"/>
      <c r="J3057" s="204" t="s">
        <v>2276</v>
      </c>
      <c r="K3057" s="204" t="s">
        <v>2276</v>
      </c>
      <c r="L3057" s="204" t="s">
        <v>2276</v>
      </c>
      <c r="M3057" s="204" t="s">
        <v>2276</v>
      </c>
      <c r="N3057" s="204" t="s">
        <v>2276</v>
      </c>
      <c r="O3057" s="204" t="s">
        <v>2276</v>
      </c>
      <c r="P3057" s="204" t="s">
        <v>2276</v>
      </c>
      <c r="Q3057" s="204" t="s">
        <v>2276</v>
      </c>
      <c r="R3057" s="204" t="s">
        <v>2276</v>
      </c>
      <c r="S3057" s="204" t="s">
        <v>2276</v>
      </c>
      <c r="T3057" s="204" t="s">
        <v>2276</v>
      </c>
      <c r="U3057" s="204" t="s">
        <v>2276</v>
      </c>
      <c r="V3057" s="204" t="s">
        <v>2276</v>
      </c>
      <c r="W3057" s="204" t="s">
        <v>2276</v>
      </c>
      <c r="X3057" s="204" t="s">
        <v>86</v>
      </c>
      <c r="Y3057" s="204" t="s">
        <v>86</v>
      </c>
      <c r="Z3057" s="204" t="s">
        <v>2276</v>
      </c>
      <c r="AA3057" s="204"/>
      <c r="AB3057" s="204"/>
    </row>
    <row r="3058" spans="1:28" ht="34.5" customHeight="1">
      <c r="A3058" s="156" t="str">
        <f>'Reported burning'!A3058</f>
        <v>333d</v>
      </c>
      <c r="B3058" s="156" t="str">
        <f>'Reported burning'!B3058</f>
        <v>333d.1</v>
      </c>
      <c r="C3058" s="156" t="str">
        <f>'Reported burning'!C3058</f>
        <v>Human, deliberate</v>
      </c>
      <c r="D3058" s="156" t="str">
        <f>'Reported burning'!D3058</f>
        <v>Pasture renewal</v>
      </c>
      <c r="E3058" s="156" t="str">
        <f>'Reported burning'!E3058</f>
        <v>Forestry, Traditional</v>
      </c>
      <c r="F3058" s="156" t="str">
        <f>'Reported burning'!F3058</f>
        <v>Grassland</v>
      </c>
      <c r="G3058" s="156" t="str">
        <f>'Reported burning'!G3058</f>
        <v>Grassland</v>
      </c>
      <c r="H3058" s="156" t="str">
        <f>'Reported burning'!H3058</f>
        <v>Presence</v>
      </c>
      <c r="I3058" s="5"/>
      <c r="J3058" s="204" t="s">
        <v>2276</v>
      </c>
      <c r="K3058" s="204" t="s">
        <v>2276</v>
      </c>
      <c r="L3058" s="204" t="s">
        <v>2276</v>
      </c>
      <c r="M3058" s="204" t="s">
        <v>2276</v>
      </c>
      <c r="N3058" s="204" t="s">
        <v>2276</v>
      </c>
      <c r="O3058" s="204" t="s">
        <v>2276</v>
      </c>
      <c r="P3058" s="204" t="s">
        <v>2276</v>
      </c>
      <c r="Q3058" s="204" t="s">
        <v>2276</v>
      </c>
      <c r="R3058" s="204" t="s">
        <v>2276</v>
      </c>
      <c r="S3058" s="204" t="s">
        <v>2276</v>
      </c>
      <c r="T3058" s="204" t="s">
        <v>2276</v>
      </c>
      <c r="U3058" s="204" t="s">
        <v>2276</v>
      </c>
      <c r="V3058" s="204" t="s">
        <v>2276</v>
      </c>
      <c r="W3058" s="204" t="s">
        <v>2276</v>
      </c>
      <c r="X3058" s="204" t="s">
        <v>86</v>
      </c>
      <c r="Y3058" s="204" t="s">
        <v>86</v>
      </c>
      <c r="Z3058" s="204" t="s">
        <v>2276</v>
      </c>
      <c r="AA3058" s="204"/>
      <c r="AB3058" s="204"/>
    </row>
    <row r="3059" spans="1:28" ht="34.5" customHeight="1">
      <c r="A3059" s="156" t="str">
        <f>'Reported burning'!A3059</f>
        <v>333a</v>
      </c>
      <c r="B3059" s="156" t="str">
        <f>'Reported burning'!B3059</f>
        <v>333a.2</v>
      </c>
      <c r="C3059" s="156" t="str">
        <f>'Reported burning'!C3059</f>
        <v>All</v>
      </c>
      <c r="D3059" s="156" t="str">
        <f>'Reported burning'!D3059</f>
        <v>ND</v>
      </c>
      <c r="E3059" s="156" t="str">
        <f>'Reported burning'!E3059</f>
        <v>All</v>
      </c>
      <c r="F3059" s="156" t="str">
        <f>'Reported burning'!F3059</f>
        <v>ND</v>
      </c>
      <c r="G3059" s="156" t="str">
        <f>'Reported burning'!G3059</f>
        <v>Shrubland (Mixed forest &amp; grassland)</v>
      </c>
      <c r="H3059" s="156" t="str">
        <f>'Reported burning'!H3059</f>
        <v>Presence</v>
      </c>
      <c r="I3059" s="5"/>
      <c r="J3059" s="204" t="s">
        <v>2276</v>
      </c>
      <c r="K3059" s="204" t="s">
        <v>2276</v>
      </c>
      <c r="L3059" s="204" t="s">
        <v>2276</v>
      </c>
      <c r="M3059" s="204" t="s">
        <v>2276</v>
      </c>
      <c r="N3059" s="204" t="s">
        <v>2276</v>
      </c>
      <c r="O3059" s="204" t="s">
        <v>2276</v>
      </c>
      <c r="P3059" s="204" t="s">
        <v>2276</v>
      </c>
      <c r="Q3059" s="204" t="s">
        <v>2276</v>
      </c>
      <c r="R3059" s="204" t="s">
        <v>2276</v>
      </c>
      <c r="S3059" s="204" t="s">
        <v>2276</v>
      </c>
      <c r="T3059" s="204" t="s">
        <v>2276</v>
      </c>
      <c r="U3059" s="204" t="s">
        <v>2276</v>
      </c>
      <c r="V3059" s="204" t="s">
        <v>2276</v>
      </c>
      <c r="W3059" s="204" t="s">
        <v>2276</v>
      </c>
      <c r="X3059" s="204" t="s">
        <v>86</v>
      </c>
      <c r="Y3059" s="204" t="s">
        <v>404</v>
      </c>
      <c r="Z3059" s="204" t="s">
        <v>2655</v>
      </c>
      <c r="AA3059" s="204"/>
      <c r="AB3059" s="204"/>
    </row>
    <row r="3060" spans="1:28" ht="34.5" customHeight="1">
      <c r="A3060" s="156" t="str">
        <f>'Reported burning'!A3060</f>
        <v>333b</v>
      </c>
      <c r="B3060" s="156" t="str">
        <f>'Reported burning'!B3060</f>
        <v>333b.2</v>
      </c>
      <c r="C3060" s="156" t="str">
        <f>'Reported burning'!C3060</f>
        <v>All</v>
      </c>
      <c r="D3060" s="156" t="str">
        <f>'Reported burning'!D3060</f>
        <v>ND</v>
      </c>
      <c r="E3060" s="156" t="str">
        <f>'Reported burning'!E3060</f>
        <v>All</v>
      </c>
      <c r="F3060" s="156" t="str">
        <f>'Reported burning'!F3060</f>
        <v>ND</v>
      </c>
      <c r="G3060" s="156" t="str">
        <f>'Reported burning'!G3060</f>
        <v>Shrubland (Mixed forest &amp; grassland)</v>
      </c>
      <c r="H3060" s="156" t="str">
        <f>'Reported burning'!H3060</f>
        <v>Presence</v>
      </c>
      <c r="I3060" s="5"/>
      <c r="J3060" s="204" t="s">
        <v>2276</v>
      </c>
      <c r="K3060" s="204" t="s">
        <v>2276</v>
      </c>
      <c r="L3060" s="204" t="s">
        <v>2276</v>
      </c>
      <c r="M3060" s="204" t="s">
        <v>2276</v>
      </c>
      <c r="N3060" s="204" t="s">
        <v>2276</v>
      </c>
      <c r="O3060" s="204" t="s">
        <v>2276</v>
      </c>
      <c r="P3060" s="204" t="s">
        <v>2276</v>
      </c>
      <c r="Q3060" s="204" t="s">
        <v>2276</v>
      </c>
      <c r="R3060" s="204" t="s">
        <v>2276</v>
      </c>
      <c r="S3060" s="204" t="s">
        <v>2276</v>
      </c>
      <c r="T3060" s="204" t="s">
        <v>2276</v>
      </c>
      <c r="U3060" s="204" t="s">
        <v>2276</v>
      </c>
      <c r="V3060" s="204" t="s">
        <v>2276</v>
      </c>
      <c r="W3060" s="204" t="s">
        <v>2276</v>
      </c>
      <c r="X3060" s="204" t="s">
        <v>86</v>
      </c>
      <c r="Y3060" s="204" t="s">
        <v>404</v>
      </c>
      <c r="Z3060" s="204" t="s">
        <v>2655</v>
      </c>
      <c r="AA3060" s="204"/>
      <c r="AB3060" s="204"/>
    </row>
    <row r="3061" spans="1:28" ht="34.5" customHeight="1">
      <c r="A3061" s="156" t="str">
        <f>'Reported burning'!A3061</f>
        <v>333c</v>
      </c>
      <c r="B3061" s="156" t="str">
        <f>'Reported burning'!B3061</f>
        <v>333c.2</v>
      </c>
      <c r="C3061" s="156" t="str">
        <f>'Reported burning'!C3061</f>
        <v>All</v>
      </c>
      <c r="D3061" s="156" t="str">
        <f>'Reported burning'!D3061</f>
        <v>ND</v>
      </c>
      <c r="E3061" s="156" t="str">
        <f>'Reported burning'!E3061</f>
        <v>All</v>
      </c>
      <c r="F3061" s="156" t="str">
        <f>'Reported burning'!F3061</f>
        <v>ND</v>
      </c>
      <c r="G3061" s="156" t="str">
        <f>'Reported burning'!G3061</f>
        <v>Shrubland (Mixed forest &amp; grassland)</v>
      </c>
      <c r="H3061" s="156" t="str">
        <f>'Reported burning'!H3061</f>
        <v>Presence</v>
      </c>
      <c r="I3061" s="5"/>
      <c r="J3061" s="204" t="s">
        <v>2276</v>
      </c>
      <c r="K3061" s="204" t="s">
        <v>2276</v>
      </c>
      <c r="L3061" s="204" t="s">
        <v>2276</v>
      </c>
      <c r="M3061" s="204" t="s">
        <v>2276</v>
      </c>
      <c r="N3061" s="204" t="s">
        <v>2276</v>
      </c>
      <c r="O3061" s="204" t="s">
        <v>2276</v>
      </c>
      <c r="P3061" s="204" t="s">
        <v>2276</v>
      </c>
      <c r="Q3061" s="204" t="s">
        <v>2276</v>
      </c>
      <c r="R3061" s="204" t="s">
        <v>2276</v>
      </c>
      <c r="S3061" s="204" t="s">
        <v>2276</v>
      </c>
      <c r="T3061" s="204" t="s">
        <v>2276</v>
      </c>
      <c r="U3061" s="204" t="s">
        <v>2276</v>
      </c>
      <c r="V3061" s="204" t="s">
        <v>2276</v>
      </c>
      <c r="W3061" s="204" t="s">
        <v>2276</v>
      </c>
      <c r="X3061" s="204" t="s">
        <v>86</v>
      </c>
      <c r="Y3061" s="204" t="s">
        <v>404</v>
      </c>
      <c r="Z3061" s="204" t="s">
        <v>2655</v>
      </c>
      <c r="AA3061" s="204"/>
      <c r="AB3061" s="204"/>
    </row>
    <row r="3062" spans="1:28" ht="34.5" customHeight="1">
      <c r="A3062" s="156" t="str">
        <f>'Reported burning'!A3062</f>
        <v>333d</v>
      </c>
      <c r="B3062" s="156" t="str">
        <f>'Reported burning'!B3062</f>
        <v>333d.2</v>
      </c>
      <c r="C3062" s="156" t="str">
        <f>'Reported burning'!C3062</f>
        <v>All</v>
      </c>
      <c r="D3062" s="156" t="str">
        <f>'Reported burning'!D3062</f>
        <v>ND</v>
      </c>
      <c r="E3062" s="156" t="str">
        <f>'Reported burning'!E3062</f>
        <v>All</v>
      </c>
      <c r="F3062" s="156" t="str">
        <f>'Reported burning'!F3062</f>
        <v>ND</v>
      </c>
      <c r="G3062" s="156" t="str">
        <f>'Reported burning'!G3062</f>
        <v>Shrubland (Mixed forest &amp; grassland)</v>
      </c>
      <c r="H3062" s="156" t="str">
        <f>'Reported burning'!H3062</f>
        <v>Presence</v>
      </c>
      <c r="I3062" s="5"/>
      <c r="J3062" s="204" t="s">
        <v>2276</v>
      </c>
      <c r="K3062" s="204" t="s">
        <v>2276</v>
      </c>
      <c r="L3062" s="204" t="s">
        <v>2276</v>
      </c>
      <c r="M3062" s="204" t="s">
        <v>2276</v>
      </c>
      <c r="N3062" s="204" t="s">
        <v>2276</v>
      </c>
      <c r="O3062" s="204" t="s">
        <v>2276</v>
      </c>
      <c r="P3062" s="204" t="s">
        <v>2276</v>
      </c>
      <c r="Q3062" s="204" t="s">
        <v>2276</v>
      </c>
      <c r="R3062" s="204" t="s">
        <v>2276</v>
      </c>
      <c r="S3062" s="204" t="s">
        <v>2276</v>
      </c>
      <c r="T3062" s="204" t="s">
        <v>2276</v>
      </c>
      <c r="U3062" s="204" t="s">
        <v>2276</v>
      </c>
      <c r="V3062" s="204" t="s">
        <v>2276</v>
      </c>
      <c r="W3062" s="204" t="s">
        <v>2276</v>
      </c>
      <c r="X3062" s="204" t="s">
        <v>86</v>
      </c>
      <c r="Y3062" s="204" t="s">
        <v>404</v>
      </c>
      <c r="Z3062" s="204" t="s">
        <v>2655</v>
      </c>
      <c r="AA3062" s="204"/>
      <c r="AB3062" s="204"/>
    </row>
    <row r="3063" spans="1:28" ht="34.5" customHeight="1">
      <c r="A3063" s="156" t="str">
        <f>'Reported burning'!A3063</f>
        <v>333a</v>
      </c>
      <c r="B3063" s="156" t="str">
        <f>'Reported burning'!B3063</f>
        <v>333a.3</v>
      </c>
      <c r="C3063" s="156" t="str">
        <f>'Reported burning'!C3063</f>
        <v>Lightning</v>
      </c>
      <c r="D3063" s="156" t="str">
        <f>'Reported burning'!D3063</f>
        <v>ND</v>
      </c>
      <c r="E3063" s="156" t="str">
        <f>'Reported burning'!E3063</f>
        <v>All</v>
      </c>
      <c r="F3063" s="156" t="str">
        <f>'Reported burning'!F3063</f>
        <v>ND</v>
      </c>
      <c r="G3063" s="156" t="str">
        <f>'Reported burning'!G3063</f>
        <v>Shrubland (Mixed forest &amp; grassland)</v>
      </c>
      <c r="H3063" s="156" t="str">
        <f>'Reported burning'!H3063</f>
        <v>Presence</v>
      </c>
      <c r="I3063" s="5"/>
      <c r="J3063" s="204" t="s">
        <v>2276</v>
      </c>
      <c r="K3063" s="204" t="s">
        <v>2276</v>
      </c>
      <c r="L3063" s="204" t="s">
        <v>2276</v>
      </c>
      <c r="M3063" s="204" t="s">
        <v>2276</v>
      </c>
      <c r="N3063" s="204" t="s">
        <v>2276</v>
      </c>
      <c r="O3063" s="204" t="s">
        <v>2276</v>
      </c>
      <c r="P3063" s="204" t="s">
        <v>2276</v>
      </c>
      <c r="Q3063" s="204" t="s">
        <v>2276</v>
      </c>
      <c r="R3063" s="204" t="s">
        <v>2276</v>
      </c>
      <c r="S3063" s="204" t="s">
        <v>2276</v>
      </c>
      <c r="T3063" s="204" t="s">
        <v>2276</v>
      </c>
      <c r="U3063" s="204" t="s">
        <v>2276</v>
      </c>
      <c r="V3063" s="204" t="s">
        <v>2276</v>
      </c>
      <c r="W3063" s="204" t="s">
        <v>2276</v>
      </c>
      <c r="X3063" s="204" t="s">
        <v>34</v>
      </c>
      <c r="Y3063" s="204" t="s">
        <v>404</v>
      </c>
      <c r="Z3063" s="204" t="s">
        <v>2655</v>
      </c>
      <c r="AA3063" s="204"/>
      <c r="AB3063" s="204"/>
    </row>
    <row r="3064" spans="1:28" ht="34.5" customHeight="1">
      <c r="A3064" s="156" t="str">
        <f>'Reported burning'!A3064</f>
        <v>333b</v>
      </c>
      <c r="B3064" s="156" t="str">
        <f>'Reported burning'!B3064</f>
        <v>333b.3</v>
      </c>
      <c r="C3064" s="156" t="str">
        <f>'Reported burning'!C3064</f>
        <v>Lightning</v>
      </c>
      <c r="D3064" s="156" t="str">
        <f>'Reported burning'!D3064</f>
        <v>ND</v>
      </c>
      <c r="E3064" s="156" t="str">
        <f>'Reported burning'!E3064</f>
        <v>All</v>
      </c>
      <c r="F3064" s="156" t="str">
        <f>'Reported burning'!F3064</f>
        <v>ND</v>
      </c>
      <c r="G3064" s="156" t="str">
        <f>'Reported burning'!G3064</f>
        <v>Shrubland (Mixed forest &amp; grassland)</v>
      </c>
      <c r="H3064" s="156" t="str">
        <f>'Reported burning'!H3064</f>
        <v>Presence</v>
      </c>
      <c r="I3064" s="5"/>
      <c r="J3064" s="204" t="s">
        <v>2276</v>
      </c>
      <c r="K3064" s="204" t="s">
        <v>2276</v>
      </c>
      <c r="L3064" s="204" t="s">
        <v>2276</v>
      </c>
      <c r="M3064" s="204" t="s">
        <v>2276</v>
      </c>
      <c r="N3064" s="204" t="s">
        <v>2276</v>
      </c>
      <c r="O3064" s="204" t="s">
        <v>2276</v>
      </c>
      <c r="P3064" s="204" t="s">
        <v>2276</v>
      </c>
      <c r="Q3064" s="204" t="s">
        <v>2276</v>
      </c>
      <c r="R3064" s="204" t="s">
        <v>2276</v>
      </c>
      <c r="S3064" s="204" t="s">
        <v>2276</v>
      </c>
      <c r="T3064" s="204" t="s">
        <v>2276</v>
      </c>
      <c r="U3064" s="204" t="s">
        <v>2276</v>
      </c>
      <c r="V3064" s="204" t="s">
        <v>2276</v>
      </c>
      <c r="W3064" s="204" t="s">
        <v>2276</v>
      </c>
      <c r="X3064" s="204" t="s">
        <v>34</v>
      </c>
      <c r="Y3064" s="204" t="s">
        <v>404</v>
      </c>
      <c r="Z3064" s="204" t="s">
        <v>2655</v>
      </c>
      <c r="AA3064" s="204"/>
      <c r="AB3064" s="204"/>
    </row>
    <row r="3065" spans="1:28" ht="34.5" customHeight="1">
      <c r="A3065" s="156" t="str">
        <f>'Reported burning'!A3065</f>
        <v>333c</v>
      </c>
      <c r="B3065" s="156" t="str">
        <f>'Reported burning'!B3065</f>
        <v>333c.3</v>
      </c>
      <c r="C3065" s="156" t="str">
        <f>'Reported burning'!C3065</f>
        <v>Lightning</v>
      </c>
      <c r="D3065" s="156" t="str">
        <f>'Reported burning'!D3065</f>
        <v>ND</v>
      </c>
      <c r="E3065" s="156" t="str">
        <f>'Reported burning'!E3065</f>
        <v>All</v>
      </c>
      <c r="F3065" s="156" t="str">
        <f>'Reported burning'!F3065</f>
        <v>ND</v>
      </c>
      <c r="G3065" s="156" t="str">
        <f>'Reported burning'!G3065</f>
        <v>Shrubland (Mixed forest &amp; grassland)</v>
      </c>
      <c r="H3065" s="156" t="str">
        <f>'Reported burning'!H3065</f>
        <v>Presence</v>
      </c>
      <c r="I3065" s="5"/>
      <c r="J3065" s="204" t="s">
        <v>2276</v>
      </c>
      <c r="K3065" s="204" t="s">
        <v>2276</v>
      </c>
      <c r="L3065" s="204" t="s">
        <v>2276</v>
      </c>
      <c r="M3065" s="204" t="s">
        <v>2276</v>
      </c>
      <c r="N3065" s="204" t="s">
        <v>2276</v>
      </c>
      <c r="O3065" s="204" t="s">
        <v>2276</v>
      </c>
      <c r="P3065" s="204" t="s">
        <v>2276</v>
      </c>
      <c r="Q3065" s="204" t="s">
        <v>2276</v>
      </c>
      <c r="R3065" s="204" t="s">
        <v>2276</v>
      </c>
      <c r="S3065" s="204" t="s">
        <v>2276</v>
      </c>
      <c r="T3065" s="204" t="s">
        <v>2276</v>
      </c>
      <c r="U3065" s="204" t="s">
        <v>2276</v>
      </c>
      <c r="V3065" s="204" t="s">
        <v>2276</v>
      </c>
      <c r="W3065" s="204" t="s">
        <v>2276</v>
      </c>
      <c r="X3065" s="204" t="s">
        <v>34</v>
      </c>
      <c r="Y3065" s="204" t="s">
        <v>404</v>
      </c>
      <c r="Z3065" s="204" t="s">
        <v>2655</v>
      </c>
      <c r="AA3065" s="204"/>
      <c r="AB3065" s="204"/>
    </row>
    <row r="3066" spans="1:28" ht="34.5" customHeight="1">
      <c r="A3066" s="156" t="str">
        <f>'Reported burning'!A3066</f>
        <v>333d</v>
      </c>
      <c r="B3066" s="156" t="str">
        <f>'Reported burning'!B3066</f>
        <v>333d.3</v>
      </c>
      <c r="C3066" s="156" t="str">
        <f>'Reported burning'!C3066</f>
        <v>Lightning</v>
      </c>
      <c r="D3066" s="156" t="str">
        <f>'Reported burning'!D3066</f>
        <v>ND</v>
      </c>
      <c r="E3066" s="156" t="str">
        <f>'Reported burning'!E3066</f>
        <v>All</v>
      </c>
      <c r="F3066" s="156" t="str">
        <f>'Reported burning'!F3066</f>
        <v>ND</v>
      </c>
      <c r="G3066" s="156" t="str">
        <f>'Reported burning'!G3066</f>
        <v>Shrubland (Mixed forest &amp; grassland)</v>
      </c>
      <c r="H3066" s="156" t="str">
        <f>'Reported burning'!H3066</f>
        <v>Presence</v>
      </c>
      <c r="I3066" s="5"/>
      <c r="J3066" s="204" t="s">
        <v>2276</v>
      </c>
      <c r="K3066" s="204" t="s">
        <v>2276</v>
      </c>
      <c r="L3066" s="204" t="s">
        <v>2276</v>
      </c>
      <c r="M3066" s="204" t="s">
        <v>2276</v>
      </c>
      <c r="N3066" s="204" t="s">
        <v>2276</v>
      </c>
      <c r="O3066" s="204" t="s">
        <v>2276</v>
      </c>
      <c r="P3066" s="204" t="s">
        <v>2276</v>
      </c>
      <c r="Q3066" s="204" t="s">
        <v>2276</v>
      </c>
      <c r="R3066" s="204" t="s">
        <v>2276</v>
      </c>
      <c r="S3066" s="204" t="s">
        <v>2276</v>
      </c>
      <c r="T3066" s="204" t="s">
        <v>2276</v>
      </c>
      <c r="U3066" s="204" t="s">
        <v>2276</v>
      </c>
      <c r="V3066" s="204" t="s">
        <v>2276</v>
      </c>
      <c r="W3066" s="204" t="s">
        <v>2276</v>
      </c>
      <c r="X3066" s="204" t="s">
        <v>34</v>
      </c>
      <c r="Y3066" s="204" t="s">
        <v>404</v>
      </c>
      <c r="Z3066" s="204" t="s">
        <v>2655</v>
      </c>
      <c r="AA3066" s="204"/>
      <c r="AB3066" s="204"/>
    </row>
    <row r="3067" spans="1:28" ht="34.5" customHeight="1">
      <c r="A3067" s="156" t="str">
        <f>'Reported burning'!A3067</f>
        <v>334a</v>
      </c>
      <c r="B3067" s="156" t="str">
        <f>'Reported burning'!B3067</f>
        <v>334a.1</v>
      </c>
      <c r="C3067" s="156" t="str">
        <f>'Reported burning'!C3067</f>
        <v>Human, deliberate</v>
      </c>
      <c r="D3067" s="156" t="str">
        <f>'Reported burning'!D3067</f>
        <v>Hunting</v>
      </c>
      <c r="E3067" s="156" t="str">
        <f>'Reported burning'!E3067</f>
        <v>Forestry, Traditional</v>
      </c>
      <c r="F3067" s="156" t="str">
        <f>'Reported burning'!F3067</f>
        <v>Shrubland (Mixed forest &amp; grassland)</v>
      </c>
      <c r="G3067" s="156" t="str">
        <f>'Reported burning'!G3067</f>
        <v>Shrubland (Mixed forest &amp; grassland)</v>
      </c>
      <c r="H3067" s="156" t="str">
        <f>'Reported burning'!H3067</f>
        <v>Presence</v>
      </c>
      <c r="I3067" s="5"/>
      <c r="J3067" s="204" t="s">
        <v>2276</v>
      </c>
      <c r="K3067" s="204" t="s">
        <v>2276</v>
      </c>
      <c r="L3067" s="21" t="s">
        <v>2362</v>
      </c>
      <c r="M3067" s="204" t="s">
        <v>2276</v>
      </c>
      <c r="N3067" s="204" t="s">
        <v>2276</v>
      </c>
      <c r="O3067" s="204" t="s">
        <v>2276</v>
      </c>
      <c r="P3067" s="21" t="s">
        <v>2362</v>
      </c>
      <c r="Q3067" s="204" t="s">
        <v>2276</v>
      </c>
      <c r="R3067" s="21" t="s">
        <v>2362</v>
      </c>
      <c r="S3067" s="204" t="s">
        <v>2276</v>
      </c>
      <c r="T3067" s="204" t="s">
        <v>2276</v>
      </c>
      <c r="U3067" s="204" t="s">
        <v>2276</v>
      </c>
      <c r="V3067" s="14" t="s">
        <v>2393</v>
      </c>
      <c r="W3067" s="204" t="s">
        <v>2276</v>
      </c>
      <c r="X3067" s="204" t="s">
        <v>425</v>
      </c>
      <c r="Y3067" s="204" t="s">
        <v>68</v>
      </c>
      <c r="Z3067" s="204" t="s">
        <v>76</v>
      </c>
      <c r="AA3067" s="4" t="s">
        <v>8267</v>
      </c>
      <c r="AB3067" s="4" t="s">
        <v>8268</v>
      </c>
    </row>
    <row r="3068" spans="1:28" ht="34.5" customHeight="1">
      <c r="A3068" s="156" t="str">
        <f>'Reported burning'!A3068</f>
        <v>334a</v>
      </c>
      <c r="B3068" s="156" t="str">
        <f>'Reported burning'!B3068</f>
        <v>334a.2</v>
      </c>
      <c r="C3068" s="156" t="str">
        <f>'Reported burning'!C3068</f>
        <v>Human, deliberate</v>
      </c>
      <c r="D3068" s="156" t="str">
        <f>'Reported burning'!D3068</f>
        <v>Accessibility</v>
      </c>
      <c r="E3068" s="156" t="str">
        <f>'Reported burning'!E3068</f>
        <v>Forestry, Traditional</v>
      </c>
      <c r="F3068" s="156" t="str">
        <f>'Reported burning'!F3068</f>
        <v>Shrubland (Mixed forest &amp; grassland)</v>
      </c>
      <c r="G3068" s="156" t="str">
        <f>'Reported burning'!G3068</f>
        <v>Shrubland (Mixed forest &amp; grassland)</v>
      </c>
      <c r="H3068" s="156" t="str">
        <f>'Reported burning'!H3068</f>
        <v>Presence</v>
      </c>
      <c r="I3068" s="5"/>
      <c r="J3068" s="204" t="s">
        <v>2276</v>
      </c>
      <c r="K3068" s="204" t="s">
        <v>2276</v>
      </c>
      <c r="L3068" s="21" t="s">
        <v>2362</v>
      </c>
      <c r="M3068" s="204" t="s">
        <v>2276</v>
      </c>
      <c r="N3068" s="204" t="s">
        <v>2276</v>
      </c>
      <c r="O3068" s="204" t="s">
        <v>2276</v>
      </c>
      <c r="P3068" s="21" t="s">
        <v>2362</v>
      </c>
      <c r="Q3068" s="204" t="s">
        <v>2276</v>
      </c>
      <c r="R3068" s="21" t="s">
        <v>2362</v>
      </c>
      <c r="S3068" s="204" t="s">
        <v>2276</v>
      </c>
      <c r="T3068" s="204" t="s">
        <v>2276</v>
      </c>
      <c r="U3068" s="204" t="s">
        <v>2276</v>
      </c>
      <c r="V3068" s="204" t="s">
        <v>2276</v>
      </c>
      <c r="W3068" s="204" t="s">
        <v>2276</v>
      </c>
      <c r="X3068" s="204" t="s">
        <v>425</v>
      </c>
      <c r="Y3068" s="204" t="s">
        <v>68</v>
      </c>
      <c r="Z3068" s="204" t="s">
        <v>76</v>
      </c>
      <c r="AA3068" s="204"/>
      <c r="AB3068" s="4" t="s">
        <v>8268</v>
      </c>
    </row>
    <row r="3069" spans="1:28" ht="50" customHeight="1">
      <c r="A3069" s="156" t="str">
        <f>'Reported burning'!A3069</f>
        <v>334a</v>
      </c>
      <c r="B3069" s="156" t="str">
        <f>'Reported burning'!B3069</f>
        <v>334a.3</v>
      </c>
      <c r="C3069" s="156" t="str">
        <f>'Reported burning'!C3069</f>
        <v>Human, deliberate</v>
      </c>
      <c r="D3069" s="156" t="str">
        <f>'Reported burning'!D3069</f>
        <v>Pyrome management</v>
      </c>
      <c r="E3069" s="156" t="str">
        <f>'Reported burning'!E3069</f>
        <v>Forestry, Traditional</v>
      </c>
      <c r="F3069" s="156" t="str">
        <f>'Reported burning'!F3069</f>
        <v>Shrubland (Mixed forest &amp; grassland)</v>
      </c>
      <c r="G3069" s="156" t="str">
        <f>'Reported burning'!G3069</f>
        <v>Shrubland (Mixed forest &amp; grassland)</v>
      </c>
      <c r="H3069" s="156" t="str">
        <f>'Reported burning'!H3069</f>
        <v>Presence</v>
      </c>
      <c r="I3069" s="5"/>
      <c r="J3069" s="204" t="s">
        <v>2276</v>
      </c>
      <c r="K3069" s="204" t="s">
        <v>2276</v>
      </c>
      <c r="L3069" s="21" t="s">
        <v>2362</v>
      </c>
      <c r="M3069" s="204" t="s">
        <v>2276</v>
      </c>
      <c r="N3069" s="204" t="s">
        <v>2276</v>
      </c>
      <c r="O3069" s="204" t="s">
        <v>2276</v>
      </c>
      <c r="P3069" s="21" t="s">
        <v>2362</v>
      </c>
      <c r="Q3069" s="204" t="s">
        <v>2276</v>
      </c>
      <c r="R3069" s="21" t="s">
        <v>2362</v>
      </c>
      <c r="S3069" s="204" t="s">
        <v>2276</v>
      </c>
      <c r="T3069" s="204" t="s">
        <v>2276</v>
      </c>
      <c r="U3069" s="204" t="s">
        <v>2276</v>
      </c>
      <c r="V3069" s="204" t="s">
        <v>2276</v>
      </c>
      <c r="W3069" s="204" t="s">
        <v>2276</v>
      </c>
      <c r="X3069" s="38" t="s">
        <v>189</v>
      </c>
      <c r="Y3069" s="38" t="s">
        <v>38</v>
      </c>
      <c r="Z3069" s="38" t="s">
        <v>2655</v>
      </c>
      <c r="AA3069" s="168" t="s">
        <v>8266</v>
      </c>
      <c r="AB3069" s="4" t="s">
        <v>8268</v>
      </c>
    </row>
    <row r="3070" spans="1:28" ht="50" customHeight="1">
      <c r="A3070" s="156" t="str">
        <f>'Reported burning'!A3070</f>
        <v>334a</v>
      </c>
      <c r="B3070" s="156" t="str">
        <f>'Reported burning'!B3070</f>
        <v>334a.4</v>
      </c>
      <c r="C3070" s="156" t="str">
        <f>'Reported burning'!C3070</f>
        <v>Human, deliberate</v>
      </c>
      <c r="D3070" s="156" t="str">
        <f>'Reported burning'!D3070</f>
        <v>Fishing</v>
      </c>
      <c r="E3070" s="156" t="str">
        <f>'Reported burning'!E3070</f>
        <v>Forestry, Traditional</v>
      </c>
      <c r="F3070" s="156" t="str">
        <f>'Reported burning'!F3070</f>
        <v>Shrubland (Mixed forest &amp; grassland)</v>
      </c>
      <c r="G3070" s="156" t="str">
        <f>'Reported burning'!G3070</f>
        <v>Shrubland (Mixed forest &amp; grassland)</v>
      </c>
      <c r="H3070" s="156" t="str">
        <f>'Reported burning'!H3070</f>
        <v>Presence</v>
      </c>
      <c r="I3070" s="5"/>
      <c r="J3070" s="204" t="s">
        <v>2276</v>
      </c>
      <c r="K3070" s="204" t="s">
        <v>2276</v>
      </c>
      <c r="L3070" s="21" t="s">
        <v>2362</v>
      </c>
      <c r="M3070" s="204" t="s">
        <v>2276</v>
      </c>
      <c r="N3070" s="204" t="s">
        <v>2276</v>
      </c>
      <c r="O3070" s="204" t="s">
        <v>2276</v>
      </c>
      <c r="P3070" s="21" t="s">
        <v>2362</v>
      </c>
      <c r="Q3070" s="204" t="s">
        <v>2276</v>
      </c>
      <c r="R3070" s="21" t="s">
        <v>2362</v>
      </c>
      <c r="S3070" s="204" t="s">
        <v>2276</v>
      </c>
      <c r="T3070" s="204" t="s">
        <v>2276</v>
      </c>
      <c r="U3070" s="204" t="s">
        <v>2276</v>
      </c>
      <c r="V3070" s="204" t="s">
        <v>2276</v>
      </c>
      <c r="W3070" s="204" t="s">
        <v>2276</v>
      </c>
      <c r="X3070" s="204" t="s">
        <v>38</v>
      </c>
      <c r="Y3070" s="204" t="s">
        <v>34</v>
      </c>
      <c r="Z3070" s="204" t="s">
        <v>2655</v>
      </c>
      <c r="AA3070" s="168" t="s">
        <v>8266</v>
      </c>
      <c r="AB3070" s="4" t="s">
        <v>8268</v>
      </c>
    </row>
    <row r="3071" spans="1:28" ht="50" customHeight="1">
      <c r="A3071" s="156" t="str">
        <f>'Reported burning'!A3071</f>
        <v>334a</v>
      </c>
      <c r="B3071" s="156" t="str">
        <f>'Reported burning'!B3071</f>
        <v>334a.5</v>
      </c>
      <c r="C3071" s="156" t="str">
        <f>'Reported burning'!C3071</f>
        <v>Human, deliberate</v>
      </c>
      <c r="D3071" s="156" t="str">
        <f>'Reported burning'!D3071</f>
        <v>Harvesting of NTFP</v>
      </c>
      <c r="E3071" s="156" t="str">
        <f>'Reported burning'!E3071</f>
        <v>Forestry, Traditional</v>
      </c>
      <c r="F3071" s="156" t="str">
        <f>'Reported burning'!F3071</f>
        <v>Shrubland (Mixed forest &amp; grassland)</v>
      </c>
      <c r="G3071" s="156" t="str">
        <f>'Reported burning'!G3071</f>
        <v>Shrubland (Mixed forest &amp; grassland)</v>
      </c>
      <c r="H3071" s="156" t="str">
        <f>'Reported burning'!H3071</f>
        <v>Presence</v>
      </c>
      <c r="I3071" s="5"/>
      <c r="J3071" s="204" t="s">
        <v>2276</v>
      </c>
      <c r="K3071" s="204" t="s">
        <v>2276</v>
      </c>
      <c r="L3071" s="21" t="s">
        <v>2362</v>
      </c>
      <c r="M3071" s="204" t="s">
        <v>2276</v>
      </c>
      <c r="N3071" s="204" t="s">
        <v>2276</v>
      </c>
      <c r="O3071" s="204" t="s">
        <v>2276</v>
      </c>
      <c r="P3071" s="21" t="s">
        <v>2362</v>
      </c>
      <c r="Q3071" s="204" t="s">
        <v>2276</v>
      </c>
      <c r="R3071" s="21" t="s">
        <v>2362</v>
      </c>
      <c r="S3071" s="204" t="s">
        <v>2276</v>
      </c>
      <c r="T3071" s="204" t="s">
        <v>2276</v>
      </c>
      <c r="U3071" s="204" t="s">
        <v>2276</v>
      </c>
      <c r="V3071" s="204" t="s">
        <v>2276</v>
      </c>
      <c r="W3071" s="204" t="s">
        <v>2276</v>
      </c>
      <c r="X3071" s="204" t="s">
        <v>38</v>
      </c>
      <c r="Y3071" s="204" t="s">
        <v>34</v>
      </c>
      <c r="Z3071" s="204" t="s">
        <v>64</v>
      </c>
      <c r="AA3071" s="4"/>
      <c r="AB3071" s="4" t="s">
        <v>8268</v>
      </c>
    </row>
    <row r="3072" spans="1:28" ht="50" customHeight="1">
      <c r="A3072" s="156" t="str">
        <f>'Reported burning'!A3072</f>
        <v>334a</v>
      </c>
      <c r="B3072" s="156" t="str">
        <f>'Reported burning'!B3072</f>
        <v>334a.6</v>
      </c>
      <c r="C3072" s="156" t="str">
        <f>'Reported burning'!C3072</f>
        <v>Human, deliberate</v>
      </c>
      <c r="D3072" s="156" t="str">
        <f>'Reported burning'!D3072</f>
        <v>Pyrome management</v>
      </c>
      <c r="E3072" s="156" t="str">
        <f>'Reported burning'!E3072</f>
        <v>Forestry, Traditional</v>
      </c>
      <c r="F3072" s="156" t="str">
        <f>'Reported burning'!F3072</f>
        <v>Shrubland (Mixed forest &amp; grassland)</v>
      </c>
      <c r="G3072" s="156" t="str">
        <f>'Reported burning'!G3072</f>
        <v>Shrubland (Mixed forest &amp; grassland)</v>
      </c>
      <c r="H3072" s="156" t="str">
        <f>'Reported burning'!H3072</f>
        <v>Presence</v>
      </c>
      <c r="I3072" s="5"/>
      <c r="J3072" s="204" t="s">
        <v>2276</v>
      </c>
      <c r="K3072" s="204" t="s">
        <v>2276</v>
      </c>
      <c r="L3072" s="21" t="s">
        <v>2362</v>
      </c>
      <c r="M3072" s="204" t="s">
        <v>2276</v>
      </c>
      <c r="N3072" s="204" t="s">
        <v>2276</v>
      </c>
      <c r="O3072" s="204" t="s">
        <v>2276</v>
      </c>
      <c r="P3072" s="21" t="s">
        <v>2362</v>
      </c>
      <c r="Q3072" s="204" t="s">
        <v>2276</v>
      </c>
      <c r="R3072" s="21" t="s">
        <v>2362</v>
      </c>
      <c r="S3072" s="204" t="s">
        <v>2276</v>
      </c>
      <c r="T3072" s="204" t="s">
        <v>2276</v>
      </c>
      <c r="U3072" s="204" t="s">
        <v>2276</v>
      </c>
      <c r="V3072" s="204" t="s">
        <v>2276</v>
      </c>
      <c r="W3072" s="204" t="s">
        <v>2276</v>
      </c>
      <c r="X3072" s="204" t="s">
        <v>34</v>
      </c>
      <c r="Y3072" s="204" t="s">
        <v>405</v>
      </c>
      <c r="Z3072" s="204" t="s">
        <v>64</v>
      </c>
      <c r="AA3072" s="4" t="s">
        <v>8265</v>
      </c>
      <c r="AB3072" s="4" t="s">
        <v>8268</v>
      </c>
    </row>
    <row r="3073" spans="1:28" ht="50" customHeight="1">
      <c r="A3073" s="152" t="str">
        <f>'Reported burning'!A3073</f>
        <v>335a</v>
      </c>
      <c r="B3073" s="152" t="str">
        <f>'Reported burning'!B3073</f>
        <v>335a.1</v>
      </c>
      <c r="C3073" s="152" t="str">
        <f>'Reported burning'!C3073</f>
        <v>Human, deliberate</v>
      </c>
      <c r="D3073" s="152" t="str">
        <f>'Reported burning'!D3073</f>
        <v>Hunting</v>
      </c>
      <c r="E3073" s="152" t="str">
        <f>'Reported burning'!E3073</f>
        <v>Forestry, Traditional</v>
      </c>
      <c r="F3073" s="152" t="str">
        <f>'Reported burning'!F3073</f>
        <v>Forest</v>
      </c>
      <c r="G3073" s="152" t="str">
        <f>'Reported burning'!G3073</f>
        <v>Forest</v>
      </c>
      <c r="H3073" s="152" t="str">
        <f>'Reported burning'!H3073</f>
        <v>Absence</v>
      </c>
      <c r="I3073" s="204"/>
      <c r="J3073" s="21">
        <v>0</v>
      </c>
      <c r="K3073" s="21">
        <v>0</v>
      </c>
      <c r="L3073" s="21">
        <v>0</v>
      </c>
      <c r="M3073" s="21">
        <v>0</v>
      </c>
      <c r="N3073" s="21">
        <v>0</v>
      </c>
      <c r="O3073" s="21">
        <v>0</v>
      </c>
      <c r="P3073" s="21">
        <v>0</v>
      </c>
      <c r="Q3073" s="21">
        <v>0</v>
      </c>
      <c r="R3073" s="21">
        <v>0</v>
      </c>
      <c r="S3073" s="21">
        <v>0</v>
      </c>
      <c r="T3073" s="21">
        <v>0</v>
      </c>
      <c r="U3073" s="21">
        <v>0</v>
      </c>
      <c r="V3073" s="21">
        <v>0</v>
      </c>
      <c r="W3073" s="204" t="s">
        <v>2276</v>
      </c>
      <c r="X3073" s="204" t="s">
        <v>2276</v>
      </c>
      <c r="Y3073" s="204" t="s">
        <v>2276</v>
      </c>
      <c r="Z3073" s="204" t="s">
        <v>2276</v>
      </c>
      <c r="AA3073" s="204"/>
      <c r="AB3073" s="204"/>
    </row>
    <row r="3074" spans="1:28" ht="50" customHeight="1">
      <c r="A3074" s="152" t="str">
        <f>'Reported burning'!A3074</f>
        <v>335a</v>
      </c>
      <c r="B3074" s="152" t="str">
        <f>'Reported burning'!B3074</f>
        <v>335a.2</v>
      </c>
      <c r="C3074" s="152" t="str">
        <f>'Reported burning'!C3074</f>
        <v>Lightning</v>
      </c>
      <c r="D3074" s="152" t="str">
        <f>'Reported burning'!D3074</f>
        <v>ND</v>
      </c>
      <c r="E3074" s="152" t="str">
        <f>'Reported burning'!E3074</f>
        <v>All</v>
      </c>
      <c r="F3074" s="152" t="str">
        <f>'Reported burning'!F3074</f>
        <v>ND</v>
      </c>
      <c r="G3074" s="152" t="str">
        <f>'Reported burning'!G3074</f>
        <v>Forest</v>
      </c>
      <c r="H3074" s="152" t="str">
        <f>'Reported burning'!H3074</f>
        <v>Presence</v>
      </c>
      <c r="I3074" s="204"/>
      <c r="J3074" s="204" t="s">
        <v>2276</v>
      </c>
      <c r="K3074" s="204" t="s">
        <v>2276</v>
      </c>
      <c r="L3074" s="204" t="s">
        <v>2276</v>
      </c>
      <c r="M3074" s="204" t="s">
        <v>2276</v>
      </c>
      <c r="N3074" s="21" t="s">
        <v>2386</v>
      </c>
      <c r="O3074" s="204" t="s">
        <v>2276</v>
      </c>
      <c r="P3074" s="204" t="s">
        <v>2276</v>
      </c>
      <c r="Q3074" s="204" t="s">
        <v>2276</v>
      </c>
      <c r="R3074" s="204" t="s">
        <v>2276</v>
      </c>
      <c r="S3074" s="204" t="s">
        <v>2276</v>
      </c>
      <c r="T3074" s="204" t="s">
        <v>2276</v>
      </c>
      <c r="U3074" s="204" t="s">
        <v>2276</v>
      </c>
      <c r="V3074" s="204" t="s">
        <v>2276</v>
      </c>
      <c r="W3074" s="204" t="s">
        <v>2276</v>
      </c>
      <c r="X3074" s="204" t="s">
        <v>2276</v>
      </c>
      <c r="Y3074" s="204" t="s">
        <v>2276</v>
      </c>
      <c r="Z3074" s="204" t="s">
        <v>2276</v>
      </c>
      <c r="AA3074" s="204"/>
      <c r="AB3074" s="204"/>
    </row>
    <row r="3075" spans="1:28" ht="33.5" customHeight="1">
      <c r="A3075" s="156" t="str">
        <f>'Reported burning'!A3075</f>
        <v>335a</v>
      </c>
      <c r="B3075" s="156" t="str">
        <f>'Reported burning'!B3075</f>
        <v>335a.3</v>
      </c>
      <c r="C3075" s="156" t="str">
        <f>'Reported burning'!C3075</f>
        <v>Human, deliberate</v>
      </c>
      <c r="D3075" s="156" t="str">
        <f>'Reported burning'!D3075</f>
        <v>Hunting</v>
      </c>
      <c r="E3075" s="156" t="str">
        <f>'Reported burning'!E3075</f>
        <v>Forestry, Traditional</v>
      </c>
      <c r="F3075" s="156" t="str">
        <f>'Reported burning'!F3075</f>
        <v>Forest</v>
      </c>
      <c r="G3075" s="156" t="str">
        <f>'Reported burning'!G3075</f>
        <v>Forest</v>
      </c>
      <c r="H3075" s="156" t="str">
        <f>'Reported burning'!H3075</f>
        <v>Presence</v>
      </c>
      <c r="I3075" s="5"/>
      <c r="J3075" s="204" t="s">
        <v>2276</v>
      </c>
      <c r="K3075" s="204" t="s">
        <v>2276</v>
      </c>
      <c r="L3075" s="204" t="s">
        <v>2276</v>
      </c>
      <c r="M3075" s="204" t="s">
        <v>2276</v>
      </c>
      <c r="N3075" s="204" t="s">
        <v>2276</v>
      </c>
      <c r="O3075" s="204" t="s">
        <v>2276</v>
      </c>
      <c r="P3075" s="204" t="s">
        <v>2276</v>
      </c>
      <c r="Q3075" s="204" t="s">
        <v>2276</v>
      </c>
      <c r="R3075" s="204" t="s">
        <v>2276</v>
      </c>
      <c r="S3075" s="204" t="s">
        <v>2276</v>
      </c>
      <c r="T3075" s="204" t="s">
        <v>2276</v>
      </c>
      <c r="U3075" s="204" t="s">
        <v>2276</v>
      </c>
      <c r="V3075" s="204" t="s">
        <v>2276</v>
      </c>
      <c r="W3075" s="21" t="s">
        <v>2402</v>
      </c>
      <c r="X3075" s="204" t="s">
        <v>189</v>
      </c>
      <c r="Y3075" s="204" t="s">
        <v>38</v>
      </c>
      <c r="Z3075" s="204" t="s">
        <v>2276</v>
      </c>
      <c r="AA3075" s="204"/>
      <c r="AB3075" s="204"/>
    </row>
    <row r="3076" spans="1:28" ht="33.5" customHeight="1">
      <c r="A3076" s="156" t="str">
        <f>'Reported burning'!A3076</f>
        <v>335a</v>
      </c>
      <c r="B3076" s="156" t="str">
        <f>'Reported burning'!B3076</f>
        <v>335a.4</v>
      </c>
      <c r="C3076" s="156" t="str">
        <f>'Reported burning'!C3076</f>
        <v>Human, deliberate</v>
      </c>
      <c r="D3076" s="156" t="str">
        <f>'Reported burning'!D3076</f>
        <v>Harvesting of NTFP</v>
      </c>
      <c r="E3076" s="156" t="str">
        <f>'Reported burning'!E3076</f>
        <v>Forestry, Traditional</v>
      </c>
      <c r="F3076" s="156" t="str">
        <f>'Reported burning'!F3076</f>
        <v>Forest</v>
      </c>
      <c r="G3076" s="156" t="str">
        <f>'Reported burning'!G3076</f>
        <v>Forest</v>
      </c>
      <c r="H3076" s="156" t="str">
        <f>'Reported burning'!H3076</f>
        <v>Presence</v>
      </c>
      <c r="I3076" s="5"/>
      <c r="J3076" s="204" t="s">
        <v>2276</v>
      </c>
      <c r="K3076" s="204" t="s">
        <v>2276</v>
      </c>
      <c r="L3076" s="204" t="s">
        <v>2276</v>
      </c>
      <c r="M3076" s="204" t="s">
        <v>2276</v>
      </c>
      <c r="N3076" s="204" t="s">
        <v>2276</v>
      </c>
      <c r="O3076" s="204" t="s">
        <v>2276</v>
      </c>
      <c r="P3076" s="204" t="s">
        <v>2276</v>
      </c>
      <c r="Q3076" s="204" t="s">
        <v>2276</v>
      </c>
      <c r="R3076" s="204" t="s">
        <v>2276</v>
      </c>
      <c r="S3076" s="204" t="s">
        <v>2276</v>
      </c>
      <c r="T3076" s="204" t="s">
        <v>2276</v>
      </c>
      <c r="U3076" s="204" t="s">
        <v>2276</v>
      </c>
      <c r="V3076" s="204" t="s">
        <v>2276</v>
      </c>
      <c r="W3076" s="21" t="s">
        <v>2402</v>
      </c>
      <c r="X3076" s="204" t="s">
        <v>189</v>
      </c>
      <c r="Y3076" s="204" t="s">
        <v>38</v>
      </c>
      <c r="Z3076" s="204" t="s">
        <v>2276</v>
      </c>
      <c r="AA3076" s="204"/>
      <c r="AB3076" s="204"/>
    </row>
    <row r="3077" spans="1:28" ht="40.5" customHeight="1">
      <c r="A3077" s="156" t="str">
        <f>'Reported burning'!A3077</f>
        <v>336a</v>
      </c>
      <c r="B3077" s="156" t="str">
        <f>'Reported burning'!B3077</f>
        <v>336a.1</v>
      </c>
      <c r="C3077" s="156" t="str">
        <f>'Reported burning'!C3077</f>
        <v>Human, deliberate</v>
      </c>
      <c r="D3077" s="156" t="str">
        <f>'Reported burning'!D3077</f>
        <v>Pyrome management</v>
      </c>
      <c r="E3077" s="156" t="str">
        <f>'Reported burning'!E3077</f>
        <v>Forestry, Traditional</v>
      </c>
      <c r="F3077" s="156" t="str">
        <f>'Reported burning'!F3077</f>
        <v>Shrubland (Mixed forest &amp; grassland)</v>
      </c>
      <c r="G3077" s="156" t="str">
        <f>'Reported burning'!G3077</f>
        <v>Shrubland (Mixed forest &amp; grassland)</v>
      </c>
      <c r="H3077" s="156" t="str">
        <f>'Reported burning'!H3077</f>
        <v>Presence</v>
      </c>
      <c r="I3077" s="5"/>
      <c r="J3077" s="204" t="s">
        <v>2276</v>
      </c>
      <c r="K3077" s="204" t="s">
        <v>2276</v>
      </c>
      <c r="L3077" s="204" t="s">
        <v>2276</v>
      </c>
      <c r="M3077" s="204" t="s">
        <v>2276</v>
      </c>
      <c r="N3077" s="204" t="s">
        <v>2276</v>
      </c>
      <c r="O3077" s="204" t="s">
        <v>2276</v>
      </c>
      <c r="P3077" s="204" t="s">
        <v>2276</v>
      </c>
      <c r="Q3077" s="204" t="s">
        <v>2276</v>
      </c>
      <c r="R3077" s="204" t="s">
        <v>2276</v>
      </c>
      <c r="S3077" s="204" t="s">
        <v>2276</v>
      </c>
      <c r="T3077" s="204" t="s">
        <v>2276</v>
      </c>
      <c r="U3077" s="204" t="s">
        <v>2276</v>
      </c>
      <c r="V3077" s="204" t="s">
        <v>2276</v>
      </c>
      <c r="W3077" s="204" t="s">
        <v>2276</v>
      </c>
      <c r="X3077" s="204" t="s">
        <v>2276</v>
      </c>
      <c r="Y3077" s="204" t="s">
        <v>2276</v>
      </c>
      <c r="Z3077" s="204" t="s">
        <v>2276</v>
      </c>
      <c r="AA3077" s="204"/>
      <c r="AB3077" s="204"/>
    </row>
    <row r="3078" spans="1:28" ht="31" customHeight="1">
      <c r="A3078" s="156" t="str">
        <f>'Reported burning'!A3078</f>
        <v>336b</v>
      </c>
      <c r="B3078" s="156" t="str">
        <f>'Reported burning'!B3078</f>
        <v>336b.1</v>
      </c>
      <c r="C3078" s="156" t="str">
        <f>'Reported burning'!C3078</f>
        <v>Human, deliberate</v>
      </c>
      <c r="D3078" s="156" t="str">
        <f>'Reported burning'!D3078</f>
        <v>Pyrome management</v>
      </c>
      <c r="E3078" s="156" t="str">
        <f>'Reported burning'!E3078</f>
        <v>Forestry, Traditional</v>
      </c>
      <c r="F3078" s="156" t="str">
        <f>'Reported burning'!F3078</f>
        <v>Shrubland (Mixed forest &amp; grassland)</v>
      </c>
      <c r="G3078" s="156" t="str">
        <f>'Reported burning'!G3078</f>
        <v>Shrubland (Mixed forest &amp; grassland)</v>
      </c>
      <c r="H3078" s="156" t="str">
        <f>'Reported burning'!H3078</f>
        <v>Presence</v>
      </c>
      <c r="I3078" s="5"/>
      <c r="J3078" s="204" t="s">
        <v>2276</v>
      </c>
      <c r="K3078" s="204" t="s">
        <v>2276</v>
      </c>
      <c r="L3078" s="204" t="s">
        <v>2276</v>
      </c>
      <c r="M3078" s="204" t="s">
        <v>2276</v>
      </c>
      <c r="N3078" s="204" t="s">
        <v>2276</v>
      </c>
      <c r="O3078" s="204" t="s">
        <v>2276</v>
      </c>
      <c r="P3078" s="204" t="s">
        <v>2276</v>
      </c>
      <c r="Q3078" s="204" t="s">
        <v>2276</v>
      </c>
      <c r="R3078" s="204" t="s">
        <v>2276</v>
      </c>
      <c r="S3078" s="204" t="s">
        <v>2276</v>
      </c>
      <c r="T3078" s="204" t="s">
        <v>2276</v>
      </c>
      <c r="U3078" s="204" t="s">
        <v>2276</v>
      </c>
      <c r="V3078" s="204" t="s">
        <v>2276</v>
      </c>
      <c r="W3078" s="204" t="s">
        <v>2276</v>
      </c>
      <c r="X3078" s="204" t="s">
        <v>2276</v>
      </c>
      <c r="Y3078" s="204" t="s">
        <v>2276</v>
      </c>
      <c r="Z3078" s="204" t="s">
        <v>2276</v>
      </c>
      <c r="AA3078" s="204"/>
      <c r="AB3078" s="204"/>
    </row>
    <row r="3079" spans="1:28" ht="39.5" customHeight="1">
      <c r="A3079" s="156" t="str">
        <f>'Reported burning'!A3079</f>
        <v>336c</v>
      </c>
      <c r="B3079" s="156" t="str">
        <f>'Reported burning'!B3079</f>
        <v>336c.1</v>
      </c>
      <c r="C3079" s="156" t="str">
        <f>'Reported burning'!C3079</f>
        <v>Human, deliberate</v>
      </c>
      <c r="D3079" s="156" t="str">
        <f>'Reported burning'!D3079</f>
        <v>Pyrome management</v>
      </c>
      <c r="E3079" s="156" t="str">
        <f>'Reported burning'!E3079</f>
        <v>Forestry, Traditional</v>
      </c>
      <c r="F3079" s="156" t="str">
        <f>'Reported burning'!F3079</f>
        <v>Shrubland (Mixed forest &amp; grassland)</v>
      </c>
      <c r="G3079" s="156" t="str">
        <f>'Reported burning'!G3079</f>
        <v>Shrubland (Mixed forest &amp; grassland)</v>
      </c>
      <c r="H3079" s="156" t="str">
        <f>'Reported burning'!H3079</f>
        <v>Presence</v>
      </c>
      <c r="I3079" s="5"/>
      <c r="J3079" s="204" t="s">
        <v>2276</v>
      </c>
      <c r="K3079" s="204" t="s">
        <v>2276</v>
      </c>
      <c r="L3079" s="204" t="s">
        <v>2276</v>
      </c>
      <c r="M3079" s="204" t="s">
        <v>2276</v>
      </c>
      <c r="N3079" s="204" t="s">
        <v>2276</v>
      </c>
      <c r="O3079" s="204" t="s">
        <v>2276</v>
      </c>
      <c r="P3079" s="204" t="s">
        <v>2276</v>
      </c>
      <c r="Q3079" s="204" t="s">
        <v>2276</v>
      </c>
      <c r="R3079" s="204" t="s">
        <v>2276</v>
      </c>
      <c r="S3079" s="204" t="s">
        <v>2276</v>
      </c>
      <c r="T3079" s="204" t="s">
        <v>2276</v>
      </c>
      <c r="U3079" s="204" t="s">
        <v>2276</v>
      </c>
      <c r="V3079" s="204" t="s">
        <v>2276</v>
      </c>
      <c r="W3079" s="204" t="s">
        <v>2276</v>
      </c>
      <c r="X3079" s="204" t="s">
        <v>2276</v>
      </c>
      <c r="Y3079" s="204" t="s">
        <v>2276</v>
      </c>
      <c r="Z3079" s="204" t="s">
        <v>2276</v>
      </c>
      <c r="AA3079" s="204"/>
      <c r="AB3079" s="204"/>
    </row>
    <row r="3080" spans="1:28" ht="39.5" customHeight="1">
      <c r="A3080" s="156" t="str">
        <f>'Reported burning'!A3080</f>
        <v>336a</v>
      </c>
      <c r="B3080" s="156" t="str">
        <f>'Reported burning'!B3080</f>
        <v>336a.2</v>
      </c>
      <c r="C3080" s="156" t="str">
        <f>'Reported burning'!C3080</f>
        <v>Human, deliberate</v>
      </c>
      <c r="D3080" s="156" t="str">
        <f>'Reported burning'!D3080</f>
        <v>Pyrome management</v>
      </c>
      <c r="E3080" s="156" t="str">
        <f>'Reported burning'!E3080</f>
        <v>Fire suppression agent</v>
      </c>
      <c r="F3080" s="156" t="str">
        <f>'Reported burning'!F3080</f>
        <v>Shrubland (Mixed forest &amp; grassland)</v>
      </c>
      <c r="G3080" s="156" t="str">
        <f>'Reported burning'!G3080</f>
        <v>Shrubland (Mixed forest &amp; grassland)</v>
      </c>
      <c r="H3080" s="156" t="str">
        <f>'Reported burning'!H3080</f>
        <v>Presence</v>
      </c>
      <c r="I3080" s="5"/>
      <c r="J3080" s="204" t="s">
        <v>2276</v>
      </c>
      <c r="K3080" s="204" t="s">
        <v>2276</v>
      </c>
      <c r="L3080" s="204" t="s">
        <v>2276</v>
      </c>
      <c r="M3080" s="204" t="s">
        <v>2276</v>
      </c>
      <c r="N3080" s="204" t="s">
        <v>2276</v>
      </c>
      <c r="O3080" s="204" t="s">
        <v>2276</v>
      </c>
      <c r="P3080" s="204" t="s">
        <v>2276</v>
      </c>
      <c r="Q3080" s="204" t="s">
        <v>2276</v>
      </c>
      <c r="R3080" s="204" t="s">
        <v>2276</v>
      </c>
      <c r="S3080" s="204" t="s">
        <v>2276</v>
      </c>
      <c r="T3080" s="204" t="s">
        <v>2276</v>
      </c>
      <c r="U3080" s="204" t="s">
        <v>2276</v>
      </c>
      <c r="V3080" s="204" t="s">
        <v>2276</v>
      </c>
      <c r="W3080" s="204" t="s">
        <v>2276</v>
      </c>
      <c r="X3080" s="204" t="s">
        <v>2276</v>
      </c>
      <c r="Y3080" s="204" t="s">
        <v>2276</v>
      </c>
      <c r="Z3080" s="204" t="s">
        <v>2276</v>
      </c>
      <c r="AA3080" s="204"/>
      <c r="AB3080" s="204"/>
    </row>
    <row r="3081" spans="1:28" ht="39.5" customHeight="1">
      <c r="A3081" s="156" t="str">
        <f>'Reported burning'!A3081</f>
        <v>336b</v>
      </c>
      <c r="B3081" s="156" t="str">
        <f>'Reported burning'!B3081</f>
        <v>336b.2</v>
      </c>
      <c r="C3081" s="156" t="str">
        <f>'Reported burning'!C3081</f>
        <v>Human, deliberate</v>
      </c>
      <c r="D3081" s="156" t="str">
        <f>'Reported burning'!D3081</f>
        <v>Pyrome management</v>
      </c>
      <c r="E3081" s="156" t="str">
        <f>'Reported burning'!E3081</f>
        <v>Fire suppression agent</v>
      </c>
      <c r="F3081" s="156" t="str">
        <f>'Reported burning'!F3081</f>
        <v>Shrubland (Mixed forest &amp; grassland)</v>
      </c>
      <c r="G3081" s="156" t="str">
        <f>'Reported burning'!G3081</f>
        <v>Shrubland (Mixed forest &amp; grassland)</v>
      </c>
      <c r="H3081" s="156" t="str">
        <f>'Reported burning'!H3081</f>
        <v>Presence</v>
      </c>
      <c r="I3081" s="5"/>
      <c r="J3081" s="204" t="s">
        <v>2276</v>
      </c>
      <c r="K3081" s="204" t="s">
        <v>2276</v>
      </c>
      <c r="L3081" s="204" t="s">
        <v>2276</v>
      </c>
      <c r="M3081" s="204" t="s">
        <v>2276</v>
      </c>
      <c r="N3081" s="204" t="s">
        <v>2276</v>
      </c>
      <c r="O3081" s="204" t="s">
        <v>2276</v>
      </c>
      <c r="P3081" s="204" t="s">
        <v>2276</v>
      </c>
      <c r="Q3081" s="204" t="s">
        <v>2276</v>
      </c>
      <c r="R3081" s="204" t="s">
        <v>2276</v>
      </c>
      <c r="S3081" s="204" t="s">
        <v>2276</v>
      </c>
      <c r="T3081" s="204" t="s">
        <v>2276</v>
      </c>
      <c r="U3081" s="204" t="s">
        <v>2276</v>
      </c>
      <c r="V3081" s="204" t="s">
        <v>2276</v>
      </c>
      <c r="W3081" s="204" t="s">
        <v>2276</v>
      </c>
      <c r="X3081" s="204" t="s">
        <v>2276</v>
      </c>
      <c r="Y3081" s="204" t="s">
        <v>2276</v>
      </c>
      <c r="Z3081" s="204" t="s">
        <v>2276</v>
      </c>
      <c r="AA3081" s="204"/>
      <c r="AB3081" s="204"/>
    </row>
    <row r="3082" spans="1:28" ht="39.5" customHeight="1">
      <c r="A3082" s="156" t="str">
        <f>'Reported burning'!A3082</f>
        <v>336c</v>
      </c>
      <c r="B3082" s="156" t="str">
        <f>'Reported burning'!B3082</f>
        <v>336c.2</v>
      </c>
      <c r="C3082" s="156" t="str">
        <f>'Reported burning'!C3082</f>
        <v>Human, deliberate</v>
      </c>
      <c r="D3082" s="156" t="str">
        <f>'Reported burning'!D3082</f>
        <v>Pyrome management</v>
      </c>
      <c r="E3082" s="156" t="str">
        <f>'Reported burning'!E3082</f>
        <v>Fire suppression agent</v>
      </c>
      <c r="F3082" s="156" t="str">
        <f>'Reported burning'!F3082</f>
        <v>Shrubland (Mixed forest &amp; grassland)</v>
      </c>
      <c r="G3082" s="156" t="str">
        <f>'Reported burning'!G3082</f>
        <v>Shrubland (Mixed forest &amp; grassland)</v>
      </c>
      <c r="H3082" s="156" t="str">
        <f>'Reported burning'!H3082</f>
        <v>Presence</v>
      </c>
      <c r="I3082" s="5"/>
      <c r="J3082" s="204" t="s">
        <v>2276</v>
      </c>
      <c r="K3082" s="204" t="s">
        <v>2276</v>
      </c>
      <c r="L3082" s="204" t="s">
        <v>2276</v>
      </c>
      <c r="M3082" s="204" t="s">
        <v>2276</v>
      </c>
      <c r="N3082" s="204" t="s">
        <v>2276</v>
      </c>
      <c r="O3082" s="204" t="s">
        <v>2276</v>
      </c>
      <c r="P3082" s="204" t="s">
        <v>2276</v>
      </c>
      <c r="Q3082" s="204" t="s">
        <v>2276</v>
      </c>
      <c r="R3082" s="204" t="s">
        <v>2276</v>
      </c>
      <c r="S3082" s="204" t="s">
        <v>2276</v>
      </c>
      <c r="T3082" s="204" t="s">
        <v>2276</v>
      </c>
      <c r="U3082" s="204" t="s">
        <v>2276</v>
      </c>
      <c r="V3082" s="204" t="s">
        <v>2276</v>
      </c>
      <c r="W3082" s="204" t="s">
        <v>2276</v>
      </c>
      <c r="X3082" s="204" t="s">
        <v>2276</v>
      </c>
      <c r="Y3082" s="204" t="s">
        <v>2276</v>
      </c>
      <c r="Z3082" s="204" t="s">
        <v>2276</v>
      </c>
      <c r="AA3082" s="204"/>
      <c r="AB3082" s="204"/>
    </row>
    <row r="3083" spans="1:28" ht="39.5" customHeight="1">
      <c r="A3083" s="156" t="str">
        <f>'Reported burning'!A3083</f>
        <v>336c</v>
      </c>
      <c r="B3083" s="156" t="str">
        <f>'Reported burning'!B3083</f>
        <v>336c.3</v>
      </c>
      <c r="C3083" s="156" t="str">
        <f>'Reported burning'!C3083</f>
        <v>Human, deliberate</v>
      </c>
      <c r="D3083" s="156" t="str">
        <f>'Reported burning'!D3083</f>
        <v>Harvesting of NTFP</v>
      </c>
      <c r="E3083" s="156" t="str">
        <f>'Reported burning'!E3083</f>
        <v>Forestry, Traditional</v>
      </c>
      <c r="F3083" s="156" t="str">
        <f>'Reported burning'!F3083</f>
        <v>Shrubland (Mixed forest &amp; grassland)</v>
      </c>
      <c r="G3083" s="156" t="str">
        <f>'Reported burning'!G3083</f>
        <v>Shrubland (Mixed forest &amp; grassland)</v>
      </c>
      <c r="H3083" s="156" t="str">
        <f>'Reported burning'!H3083</f>
        <v>Presence</v>
      </c>
      <c r="I3083" s="5"/>
      <c r="J3083" s="204" t="s">
        <v>2276</v>
      </c>
      <c r="K3083" s="204" t="s">
        <v>2276</v>
      </c>
      <c r="L3083" s="204" t="s">
        <v>2276</v>
      </c>
      <c r="M3083" s="204" t="s">
        <v>2276</v>
      </c>
      <c r="N3083" s="204" t="s">
        <v>2276</v>
      </c>
      <c r="O3083" s="204" t="s">
        <v>2276</v>
      </c>
      <c r="P3083" s="204" t="s">
        <v>2276</v>
      </c>
      <c r="Q3083" s="204" t="s">
        <v>2276</v>
      </c>
      <c r="R3083" s="204" t="s">
        <v>2276</v>
      </c>
      <c r="S3083" s="204" t="s">
        <v>2276</v>
      </c>
      <c r="T3083" s="204" t="s">
        <v>2276</v>
      </c>
      <c r="U3083" s="204" t="s">
        <v>2276</v>
      </c>
      <c r="V3083" s="204" t="s">
        <v>2276</v>
      </c>
      <c r="W3083" s="204" t="s">
        <v>2276</v>
      </c>
      <c r="X3083" s="204" t="s">
        <v>2276</v>
      </c>
      <c r="Y3083" s="204" t="s">
        <v>2276</v>
      </c>
      <c r="Z3083" s="204" t="s">
        <v>2276</v>
      </c>
      <c r="AA3083" s="204"/>
      <c r="AB3083" s="204"/>
    </row>
    <row r="3084" spans="1:28" ht="39.5" customHeight="1">
      <c r="A3084" s="156" t="str">
        <f>'Reported burning'!A3084</f>
        <v>337a</v>
      </c>
      <c r="B3084" s="156" t="str">
        <f>'Reported burning'!B3084</f>
        <v>337a.1</v>
      </c>
      <c r="C3084" s="156" t="str">
        <f>'Reported burning'!C3084</f>
        <v>Human, deliberate</v>
      </c>
      <c r="D3084" s="156" t="str">
        <f>'Reported burning'!D3084</f>
        <v>Cultural &amp; Spiritual</v>
      </c>
      <c r="E3084" s="156" t="str">
        <f>'Reported burning'!E3084</f>
        <v>Forestry, Traditional</v>
      </c>
      <c r="F3084" s="156" t="str">
        <f>'Reported burning'!F3084</f>
        <v>Shrubland (Mixed forest &amp; grassland)</v>
      </c>
      <c r="G3084" s="156" t="str">
        <f>'Reported burning'!G3084</f>
        <v>Shrubland (Mixed forest &amp; grassland)</v>
      </c>
      <c r="H3084" s="156" t="str">
        <f>'Reported burning'!H3084</f>
        <v>Presence</v>
      </c>
      <c r="I3084" s="5"/>
      <c r="J3084" s="204" t="s">
        <v>2276</v>
      </c>
      <c r="K3084" s="204" t="s">
        <v>2276</v>
      </c>
      <c r="L3084" s="204" t="s">
        <v>2276</v>
      </c>
      <c r="M3084" s="204" t="s">
        <v>2276</v>
      </c>
      <c r="N3084" s="204" t="s">
        <v>2276</v>
      </c>
      <c r="O3084" s="204" t="s">
        <v>2276</v>
      </c>
      <c r="P3084" s="204" t="s">
        <v>2276</v>
      </c>
      <c r="Q3084" s="204" t="s">
        <v>2276</v>
      </c>
      <c r="R3084" s="204" t="s">
        <v>2276</v>
      </c>
      <c r="S3084" s="204" t="s">
        <v>2276</v>
      </c>
      <c r="T3084" s="204" t="s">
        <v>2276</v>
      </c>
      <c r="U3084" s="204" t="s">
        <v>2276</v>
      </c>
      <c r="V3084" s="204" t="s">
        <v>2276</v>
      </c>
      <c r="W3084" s="204" t="s">
        <v>2276</v>
      </c>
      <c r="X3084" s="204" t="s">
        <v>2276</v>
      </c>
      <c r="Y3084" s="204" t="s">
        <v>2276</v>
      </c>
      <c r="Z3084" s="204" t="s">
        <v>2276</v>
      </c>
      <c r="AA3084" s="204"/>
      <c r="AB3084" s="204"/>
    </row>
    <row r="3085" spans="1:28" ht="39.5" customHeight="1">
      <c r="A3085" s="156" t="str">
        <f>'Reported burning'!A3085</f>
        <v>337a</v>
      </c>
      <c r="B3085" s="156" t="str">
        <f>'Reported burning'!B3085</f>
        <v>337a.2</v>
      </c>
      <c r="C3085" s="156" t="str">
        <f>'Reported burning'!C3085</f>
        <v>Human, deliberate</v>
      </c>
      <c r="D3085" s="156" t="str">
        <f>'Reported burning'!D3085</f>
        <v>Harvesting of NTFP</v>
      </c>
      <c r="E3085" s="156" t="str">
        <f>'Reported burning'!E3085</f>
        <v>Forestry, Traditional</v>
      </c>
      <c r="F3085" s="156" t="str">
        <f>'Reported burning'!F3085</f>
        <v>Shrubland (Mixed forest &amp; grassland)</v>
      </c>
      <c r="G3085" s="156" t="str">
        <f>'Reported burning'!G3085</f>
        <v>Shrubland (Mixed forest &amp; grassland)</v>
      </c>
      <c r="H3085" s="156" t="str">
        <f>'Reported burning'!H3085</f>
        <v>Presence</v>
      </c>
      <c r="I3085" s="5"/>
      <c r="J3085" s="204" t="s">
        <v>2276</v>
      </c>
      <c r="K3085" s="204" t="s">
        <v>2276</v>
      </c>
      <c r="L3085" s="204" t="s">
        <v>2276</v>
      </c>
      <c r="M3085" s="204" t="s">
        <v>2276</v>
      </c>
      <c r="N3085" s="204" t="s">
        <v>2276</v>
      </c>
      <c r="O3085" s="204" t="s">
        <v>2276</v>
      </c>
      <c r="P3085" s="204" t="s">
        <v>2276</v>
      </c>
      <c r="Q3085" s="204" t="s">
        <v>2276</v>
      </c>
      <c r="R3085" s="204" t="s">
        <v>2276</v>
      </c>
      <c r="S3085" s="204" t="s">
        <v>2276</v>
      </c>
      <c r="T3085" s="204" t="s">
        <v>2276</v>
      </c>
      <c r="U3085" s="204" t="s">
        <v>2276</v>
      </c>
      <c r="V3085" s="204" t="s">
        <v>2276</v>
      </c>
      <c r="W3085" s="204" t="s">
        <v>2276</v>
      </c>
      <c r="X3085" s="204" t="s">
        <v>2276</v>
      </c>
      <c r="Y3085" s="204" t="s">
        <v>2276</v>
      </c>
      <c r="Z3085" s="204" t="s">
        <v>2276</v>
      </c>
      <c r="AA3085" s="204"/>
      <c r="AB3085" s="204"/>
    </row>
    <row r="3086" spans="1:28" ht="31" customHeight="1">
      <c r="A3086" s="156" t="str">
        <f>'Reported burning'!A3086</f>
        <v>337a</v>
      </c>
      <c r="B3086" s="156" t="str">
        <f>'Reported burning'!B3086</f>
        <v>337a.3</v>
      </c>
      <c r="C3086" s="156" t="str">
        <f>'Reported burning'!C3086</f>
        <v>Human, deliberate</v>
      </c>
      <c r="D3086" s="156" t="str">
        <f>'Reported burning'!D3086</f>
        <v>Hunting</v>
      </c>
      <c r="E3086" s="156" t="str">
        <f>'Reported burning'!E3086</f>
        <v>Forestry, Traditional</v>
      </c>
      <c r="F3086" s="156" t="str">
        <f>'Reported burning'!F3086</f>
        <v>Shrubland (Mixed forest &amp; grassland)</v>
      </c>
      <c r="G3086" s="156" t="str">
        <f>'Reported burning'!G3086</f>
        <v>Shrubland (Mixed forest &amp; grassland)</v>
      </c>
      <c r="H3086" s="156" t="str">
        <f>'Reported burning'!H3086</f>
        <v>Presence</v>
      </c>
      <c r="I3086" s="5"/>
      <c r="J3086" s="204" t="s">
        <v>2276</v>
      </c>
      <c r="K3086" s="204" t="s">
        <v>2276</v>
      </c>
      <c r="L3086" s="204" t="s">
        <v>2276</v>
      </c>
      <c r="M3086" s="204" t="s">
        <v>2276</v>
      </c>
      <c r="N3086" s="204" t="s">
        <v>2276</v>
      </c>
      <c r="O3086" s="204" t="s">
        <v>2276</v>
      </c>
      <c r="P3086" s="204" t="s">
        <v>2276</v>
      </c>
      <c r="Q3086" s="204" t="s">
        <v>2276</v>
      </c>
      <c r="R3086" s="204" t="s">
        <v>2276</v>
      </c>
      <c r="S3086" s="204" t="s">
        <v>2276</v>
      </c>
      <c r="T3086" s="204" t="s">
        <v>2276</v>
      </c>
      <c r="U3086" s="204" t="s">
        <v>2276</v>
      </c>
      <c r="V3086" s="204" t="s">
        <v>2276</v>
      </c>
      <c r="W3086" s="204" t="s">
        <v>2276</v>
      </c>
      <c r="X3086" s="204" t="s">
        <v>2276</v>
      </c>
      <c r="Y3086" s="204" t="s">
        <v>2276</v>
      </c>
      <c r="Z3086" s="204" t="s">
        <v>2276</v>
      </c>
      <c r="AA3086" s="204"/>
      <c r="AB3086" s="204"/>
    </row>
    <row r="3087" spans="1:28" ht="31" customHeight="1">
      <c r="A3087" s="156" t="str">
        <f>'Reported burning'!A3087</f>
        <v>337a</v>
      </c>
      <c r="B3087" s="156" t="str">
        <f>'Reported burning'!B3087</f>
        <v>337a.4</v>
      </c>
      <c r="C3087" s="156" t="str">
        <f>'Reported burning'!C3087</f>
        <v>Human, deliberate</v>
      </c>
      <c r="D3087" s="156" t="str">
        <f>'Reported burning'!D3087</f>
        <v>Crop residue burning</v>
      </c>
      <c r="E3087" s="156" t="str">
        <f>'Reported burning'!E3087</f>
        <v>Forestry, Industrial</v>
      </c>
      <c r="F3087" s="156" t="str">
        <f>'Reported burning'!F3087</f>
        <v>Forest</v>
      </c>
      <c r="G3087" s="156" t="str">
        <f>'Reported burning'!G3087</f>
        <v>ND</v>
      </c>
      <c r="H3087" s="156" t="str">
        <f>'Reported burning'!H3087</f>
        <v>Presence</v>
      </c>
      <c r="I3087" s="5"/>
      <c r="J3087" s="204" t="s">
        <v>2276</v>
      </c>
      <c r="K3087" s="204" t="s">
        <v>2276</v>
      </c>
      <c r="L3087" s="204" t="s">
        <v>2276</v>
      </c>
      <c r="M3087" s="204" t="s">
        <v>2276</v>
      </c>
      <c r="N3087" s="204" t="s">
        <v>2276</v>
      </c>
      <c r="O3087" s="204" t="s">
        <v>2276</v>
      </c>
      <c r="P3087" s="204" t="s">
        <v>2276</v>
      </c>
      <c r="Q3087" s="204" t="s">
        <v>2276</v>
      </c>
      <c r="R3087" s="204" t="s">
        <v>2276</v>
      </c>
      <c r="S3087" s="204" t="s">
        <v>2276</v>
      </c>
      <c r="T3087" s="204" t="s">
        <v>2276</v>
      </c>
      <c r="U3087" s="204" t="s">
        <v>2276</v>
      </c>
      <c r="V3087" s="204" t="s">
        <v>2276</v>
      </c>
      <c r="W3087" s="204" t="s">
        <v>2276</v>
      </c>
      <c r="X3087" s="204" t="s">
        <v>2276</v>
      </c>
      <c r="Y3087" s="204" t="s">
        <v>2276</v>
      </c>
      <c r="Z3087" s="204" t="s">
        <v>2276</v>
      </c>
      <c r="AA3087" s="204" t="s">
        <v>8312</v>
      </c>
      <c r="AB3087" s="204"/>
    </row>
    <row r="3088" spans="1:28" ht="31" customHeight="1">
      <c r="A3088" s="156" t="str">
        <f>'Reported burning'!A3088</f>
        <v>337a</v>
      </c>
      <c r="B3088" s="156" t="str">
        <f>'Reported burning'!B3088</f>
        <v>337a.5</v>
      </c>
      <c r="C3088" s="156" t="str">
        <f>'Reported burning'!C3088</f>
        <v>Human, deliberate</v>
      </c>
      <c r="D3088" s="156" t="str">
        <f>'Reported burning'!D3088</f>
        <v>Forest management</v>
      </c>
      <c r="E3088" s="156" t="str">
        <f>'Reported burning'!E3088</f>
        <v>Forestry, Industrial</v>
      </c>
      <c r="F3088" s="156" t="str">
        <f>'Reported burning'!F3088</f>
        <v>Forest</v>
      </c>
      <c r="G3088" s="156" t="str">
        <f>'Reported burning'!G3088</f>
        <v>ND</v>
      </c>
      <c r="H3088" s="156" t="str">
        <f>'Reported burning'!H3088</f>
        <v>Presence</v>
      </c>
      <c r="I3088" s="5"/>
      <c r="J3088" s="204" t="s">
        <v>2276</v>
      </c>
      <c r="K3088" s="204" t="s">
        <v>2276</v>
      </c>
      <c r="L3088" s="204" t="s">
        <v>2276</v>
      </c>
      <c r="M3088" s="204" t="s">
        <v>2276</v>
      </c>
      <c r="N3088" s="204" t="s">
        <v>2276</v>
      </c>
      <c r="O3088" s="204" t="s">
        <v>2276</v>
      </c>
      <c r="P3088" s="204" t="s">
        <v>2276</v>
      </c>
      <c r="Q3088" s="204" t="s">
        <v>2276</v>
      </c>
      <c r="R3088" s="204" t="s">
        <v>2276</v>
      </c>
      <c r="S3088" s="204" t="s">
        <v>2276</v>
      </c>
      <c r="T3088" s="204" t="s">
        <v>2276</v>
      </c>
      <c r="U3088" s="204" t="s">
        <v>2276</v>
      </c>
      <c r="V3088" s="204" t="s">
        <v>2276</v>
      </c>
      <c r="W3088" s="204" t="s">
        <v>2276</v>
      </c>
      <c r="X3088" s="204" t="s">
        <v>2276</v>
      </c>
      <c r="Y3088" s="204" t="s">
        <v>2276</v>
      </c>
      <c r="Z3088" s="204" t="s">
        <v>2276</v>
      </c>
      <c r="AA3088" s="204"/>
      <c r="AB3088" s="204"/>
    </row>
    <row r="3089" spans="1:28" ht="31" customHeight="1">
      <c r="A3089" s="156" t="str">
        <f>'Reported burning'!A3089</f>
        <v>337a</v>
      </c>
      <c r="B3089" s="156" t="str">
        <f>'Reported burning'!B3089</f>
        <v>337a.6</v>
      </c>
      <c r="C3089" s="156" t="str">
        <f>'Reported burning'!C3089</f>
        <v>Human, deliberate</v>
      </c>
      <c r="D3089" s="156" t="str">
        <f>'Reported burning'!D3089</f>
        <v>Pyrome management</v>
      </c>
      <c r="E3089" s="156" t="str">
        <f>'Reported burning'!E3089</f>
        <v>Forestry, Traditional</v>
      </c>
      <c r="F3089" s="156" t="str">
        <f>'Reported burning'!F3089</f>
        <v>Shrubland (Mixed forest &amp; grassland)</v>
      </c>
      <c r="G3089" s="156" t="str">
        <f>'Reported burning'!G3089</f>
        <v>Shrubland (Mixed forest &amp; grassland)</v>
      </c>
      <c r="H3089" s="156" t="str">
        <f>'Reported burning'!H3089</f>
        <v>Presence</v>
      </c>
      <c r="I3089" s="5"/>
      <c r="J3089" s="204" t="s">
        <v>2276</v>
      </c>
      <c r="K3089" s="204" t="s">
        <v>2276</v>
      </c>
      <c r="L3089" s="204" t="s">
        <v>2276</v>
      </c>
      <c r="M3089" s="204" t="s">
        <v>2276</v>
      </c>
      <c r="N3089" s="204" t="s">
        <v>2276</v>
      </c>
      <c r="O3089" s="204" t="s">
        <v>2276</v>
      </c>
      <c r="P3089" s="204" t="s">
        <v>2276</v>
      </c>
      <c r="Q3089" s="204" t="s">
        <v>2276</v>
      </c>
      <c r="R3089" s="204" t="s">
        <v>2276</v>
      </c>
      <c r="S3089" s="204" t="s">
        <v>2276</v>
      </c>
      <c r="T3089" s="204" t="s">
        <v>2276</v>
      </c>
      <c r="U3089" s="204" t="s">
        <v>2276</v>
      </c>
      <c r="V3089" s="204" t="s">
        <v>2276</v>
      </c>
      <c r="W3089" s="204" t="s">
        <v>2276</v>
      </c>
      <c r="X3089" s="204" t="s">
        <v>2276</v>
      </c>
      <c r="Y3089" s="204" t="s">
        <v>2276</v>
      </c>
      <c r="Z3089" s="204" t="s">
        <v>2276</v>
      </c>
      <c r="AA3089" s="204"/>
      <c r="AB3089" s="204"/>
    </row>
    <row r="3090" spans="1:28" ht="31" customHeight="1">
      <c r="A3090" s="156" t="str">
        <f>'Reported burning'!A3090</f>
        <v>337a</v>
      </c>
      <c r="B3090" s="156" t="str">
        <f>'Reported burning'!B3090</f>
        <v>337a.7</v>
      </c>
      <c r="C3090" s="156" t="str">
        <f>'Reported burning'!C3090</f>
        <v>Human, deliberate</v>
      </c>
      <c r="D3090" s="156" t="str">
        <f>'Reported burning'!D3090</f>
        <v>Pest management</v>
      </c>
      <c r="E3090" s="156" t="str">
        <f>'Reported burning'!E3090</f>
        <v>Forestry, Traditional</v>
      </c>
      <c r="F3090" s="156" t="str">
        <f>'Reported burning'!F3090</f>
        <v>Shrubland (Mixed forest &amp; grassland)</v>
      </c>
      <c r="G3090" s="156" t="str">
        <f>'Reported burning'!G3090</f>
        <v>Shrubland (Mixed forest &amp; grassland)</v>
      </c>
      <c r="H3090" s="156" t="str">
        <f>'Reported burning'!H3090</f>
        <v>Presence</v>
      </c>
      <c r="I3090" s="5"/>
      <c r="J3090" s="204" t="s">
        <v>2276</v>
      </c>
      <c r="K3090" s="204" t="s">
        <v>2276</v>
      </c>
      <c r="L3090" s="204" t="s">
        <v>2276</v>
      </c>
      <c r="M3090" s="204" t="s">
        <v>2276</v>
      </c>
      <c r="N3090" s="204" t="s">
        <v>2276</v>
      </c>
      <c r="O3090" s="204" t="s">
        <v>2276</v>
      </c>
      <c r="P3090" s="204" t="s">
        <v>2276</v>
      </c>
      <c r="Q3090" s="204" t="s">
        <v>2276</v>
      </c>
      <c r="R3090" s="204" t="s">
        <v>2276</v>
      </c>
      <c r="S3090" s="204" t="s">
        <v>2276</v>
      </c>
      <c r="T3090" s="204" t="s">
        <v>2276</v>
      </c>
      <c r="U3090" s="204" t="s">
        <v>2276</v>
      </c>
      <c r="V3090" s="204" t="s">
        <v>2276</v>
      </c>
      <c r="W3090" s="204" t="s">
        <v>2276</v>
      </c>
      <c r="X3090" s="204" t="s">
        <v>2276</v>
      </c>
      <c r="Y3090" s="204" t="s">
        <v>2276</v>
      </c>
      <c r="Z3090" s="204" t="s">
        <v>2276</v>
      </c>
      <c r="AA3090" s="204"/>
      <c r="AB3090" s="204"/>
    </row>
    <row r="3091" spans="1:28" ht="31" customHeight="1">
      <c r="A3091" s="156" t="str">
        <f>'Reported burning'!A3091</f>
        <v>338a</v>
      </c>
      <c r="B3091" s="156" t="str">
        <f>'Reported burning'!B3091</f>
        <v>338a.1</v>
      </c>
      <c r="C3091" s="156" t="str">
        <f>'Reported burning'!C3091</f>
        <v>Human, deliberate</v>
      </c>
      <c r="D3091" s="156" t="str">
        <f>'Reported burning'!D3091</f>
        <v>Crop residue burning</v>
      </c>
      <c r="E3091" s="156" t="str">
        <f>'Reported burning'!E3091</f>
        <v>Mixed cropping-livestock small holder, Subsistence-oriented</v>
      </c>
      <c r="F3091" s="156" t="str">
        <f>'Reported burning'!F3091</f>
        <v>Cropland</v>
      </c>
      <c r="G3091" s="156" t="str">
        <f>'Reported burning'!G3091</f>
        <v>ND</v>
      </c>
      <c r="H3091" s="156" t="str">
        <f>'Reported burning'!H3091</f>
        <v>Presence</v>
      </c>
      <c r="I3091" s="5"/>
      <c r="J3091" s="204" t="s">
        <v>2276</v>
      </c>
      <c r="K3091" s="204" t="s">
        <v>2276</v>
      </c>
      <c r="L3091" s="204" t="s">
        <v>2276</v>
      </c>
      <c r="M3091" s="204" t="s">
        <v>2276</v>
      </c>
      <c r="N3091" s="204" t="s">
        <v>2276</v>
      </c>
      <c r="O3091" s="204" t="s">
        <v>2276</v>
      </c>
      <c r="P3091" s="204" t="s">
        <v>2276</v>
      </c>
      <c r="Q3091" s="204" t="s">
        <v>2276</v>
      </c>
      <c r="R3091" s="204" t="s">
        <v>2276</v>
      </c>
      <c r="S3091" s="204" t="s">
        <v>2276</v>
      </c>
      <c r="T3091" s="204" t="s">
        <v>2276</v>
      </c>
      <c r="U3091" s="204" t="s">
        <v>2276</v>
      </c>
      <c r="V3091" s="204" t="s">
        <v>2276</v>
      </c>
      <c r="W3091" s="204" t="s">
        <v>2276</v>
      </c>
      <c r="X3091" s="204" t="s">
        <v>189</v>
      </c>
      <c r="Y3091" s="204" t="s">
        <v>86</v>
      </c>
      <c r="Z3091" s="204" t="s">
        <v>64</v>
      </c>
      <c r="AA3091" s="204"/>
      <c r="AB3091" s="204"/>
    </row>
    <row r="3092" spans="1:28" ht="31" customHeight="1">
      <c r="A3092" s="156" t="str">
        <f>'Reported burning'!A3092</f>
        <v>338a</v>
      </c>
      <c r="B3092" s="156" t="str">
        <f>'Reported burning'!B3092</f>
        <v>338a.2</v>
      </c>
      <c r="C3092" s="156" t="str">
        <f>'Reported burning'!C3092</f>
        <v>Human, deliberate</v>
      </c>
      <c r="D3092" s="156" t="str">
        <f>'Reported burning'!D3092</f>
        <v>Crop field preparation</v>
      </c>
      <c r="E3092" s="156" t="str">
        <f>'Reported burning'!E3092</f>
        <v>Mixed cropping-livestock small holder, Subsistence-oriented</v>
      </c>
      <c r="F3092" s="156" t="str">
        <f>'Reported burning'!F3092</f>
        <v>Cropland</v>
      </c>
      <c r="G3092" s="156" t="str">
        <f>'Reported burning'!G3092</f>
        <v>ND</v>
      </c>
      <c r="H3092" s="156" t="str">
        <f>'Reported burning'!H3092</f>
        <v>Presence</v>
      </c>
      <c r="I3092" s="5"/>
      <c r="J3092" s="204" t="s">
        <v>2276</v>
      </c>
      <c r="K3092" s="204" t="s">
        <v>2276</v>
      </c>
      <c r="L3092" s="204" t="s">
        <v>2276</v>
      </c>
      <c r="M3092" s="204" t="s">
        <v>2276</v>
      </c>
      <c r="N3092" s="204" t="s">
        <v>2276</v>
      </c>
      <c r="O3092" s="204" t="s">
        <v>2276</v>
      </c>
      <c r="P3092" s="204" t="s">
        <v>2276</v>
      </c>
      <c r="Q3092" s="204" t="s">
        <v>2276</v>
      </c>
      <c r="R3092" s="204" t="s">
        <v>2276</v>
      </c>
      <c r="S3092" s="204" t="s">
        <v>2276</v>
      </c>
      <c r="T3092" s="204" t="s">
        <v>2276</v>
      </c>
      <c r="U3092" s="204" t="s">
        <v>2276</v>
      </c>
      <c r="V3092" s="204" t="s">
        <v>2276</v>
      </c>
      <c r="W3092" s="204" t="s">
        <v>2276</v>
      </c>
      <c r="X3092" s="204" t="s">
        <v>404</v>
      </c>
      <c r="Y3092" s="204" t="s">
        <v>425</v>
      </c>
      <c r="Z3092" s="204" t="s">
        <v>64</v>
      </c>
      <c r="AA3092" s="204"/>
      <c r="AB3092" s="204"/>
    </row>
    <row r="3093" spans="1:28" ht="31" customHeight="1">
      <c r="A3093" s="156" t="str">
        <f>'Reported burning'!A3093</f>
        <v>338a</v>
      </c>
      <c r="B3093" s="156" t="str">
        <f>'Reported burning'!B3093</f>
        <v>338a.3</v>
      </c>
      <c r="C3093" s="156" t="str">
        <f>'Reported burning'!C3093</f>
        <v>Human, deliberate</v>
      </c>
      <c r="D3093" s="156" t="str">
        <f>'Reported burning'!D3093</f>
        <v>Land clearance</v>
      </c>
      <c r="E3093" s="156" t="str">
        <f>'Reported burning'!E3093</f>
        <v>Mixed cropping-livestock small holder, Subsistence-oriented</v>
      </c>
      <c r="F3093" s="156" t="str">
        <f>'Reported burning'!F3093</f>
        <v>Shrubland (Mixed forest &amp; grassland)</v>
      </c>
      <c r="G3093" s="156" t="str">
        <f>'Reported burning'!G3093</f>
        <v>ND</v>
      </c>
      <c r="H3093" s="156" t="str">
        <f>'Reported burning'!H3093</f>
        <v>Presence</v>
      </c>
      <c r="I3093" s="5"/>
      <c r="J3093" s="204" t="s">
        <v>2276</v>
      </c>
      <c r="K3093" s="204" t="s">
        <v>2276</v>
      </c>
      <c r="L3093" s="204" t="s">
        <v>2276</v>
      </c>
      <c r="M3093" s="204" t="s">
        <v>2276</v>
      </c>
      <c r="N3093" s="204" t="s">
        <v>2276</v>
      </c>
      <c r="O3093" s="204" t="s">
        <v>2276</v>
      </c>
      <c r="P3093" s="204" t="s">
        <v>2276</v>
      </c>
      <c r="Q3093" s="204" t="s">
        <v>2276</v>
      </c>
      <c r="R3093" s="204" t="s">
        <v>2276</v>
      </c>
      <c r="S3093" s="204" t="s">
        <v>2276</v>
      </c>
      <c r="T3093" s="204" t="s">
        <v>2276</v>
      </c>
      <c r="U3093" s="204" t="s">
        <v>2276</v>
      </c>
      <c r="V3093" s="204" t="s">
        <v>2276</v>
      </c>
      <c r="W3093" s="204" t="s">
        <v>2276</v>
      </c>
      <c r="X3093" s="204" t="s">
        <v>404</v>
      </c>
      <c r="Y3093" s="204" t="s">
        <v>425</v>
      </c>
      <c r="Z3093" s="204" t="s">
        <v>64</v>
      </c>
      <c r="AA3093" s="204"/>
      <c r="AB3093" s="204"/>
    </row>
    <row r="3094" spans="1:28" ht="31" customHeight="1">
      <c r="A3094" s="156" t="str">
        <f>'Reported burning'!A3094</f>
        <v>338a</v>
      </c>
      <c r="B3094" s="156" t="str">
        <f>'Reported burning'!B3094</f>
        <v>338a.4</v>
      </c>
      <c r="C3094" s="156" t="str">
        <f>'Reported burning'!C3094</f>
        <v>Human, deliberate</v>
      </c>
      <c r="D3094" s="156" t="str">
        <f>'Reported burning'!D3094</f>
        <v>Pasture renewal</v>
      </c>
      <c r="E3094" s="156" t="str">
        <f>'Reported burning'!E3094</f>
        <v>Mixed cropping-livestock small holder, Subsistence-oriented</v>
      </c>
      <c r="F3094" s="156" t="str">
        <f>'Reported burning'!F3094</f>
        <v>Shrubland (Mixed forest &amp; grassland)</v>
      </c>
      <c r="G3094" s="156" t="str">
        <f>'Reported burning'!G3094</f>
        <v>ND</v>
      </c>
      <c r="H3094" s="156" t="str">
        <f>'Reported burning'!H3094</f>
        <v>Presence</v>
      </c>
      <c r="I3094" s="5"/>
      <c r="J3094" s="204" t="s">
        <v>2276</v>
      </c>
      <c r="K3094" s="204" t="s">
        <v>2276</v>
      </c>
      <c r="L3094" s="204" t="s">
        <v>2276</v>
      </c>
      <c r="M3094" s="204" t="s">
        <v>2276</v>
      </c>
      <c r="N3094" s="204" t="s">
        <v>2276</v>
      </c>
      <c r="O3094" s="204" t="s">
        <v>2276</v>
      </c>
      <c r="P3094" s="204" t="s">
        <v>2276</v>
      </c>
      <c r="Q3094" s="204" t="s">
        <v>2276</v>
      </c>
      <c r="R3094" s="204" t="s">
        <v>2276</v>
      </c>
      <c r="S3094" s="204" t="s">
        <v>2276</v>
      </c>
      <c r="T3094" s="204" t="s">
        <v>2276</v>
      </c>
      <c r="U3094" s="204" t="s">
        <v>2276</v>
      </c>
      <c r="V3094" s="204" t="s">
        <v>2276</v>
      </c>
      <c r="W3094" s="204" t="s">
        <v>2276</v>
      </c>
      <c r="X3094" s="204" t="s">
        <v>404</v>
      </c>
      <c r="Y3094" s="204" t="s">
        <v>68</v>
      </c>
      <c r="Z3094" s="204" t="s">
        <v>64</v>
      </c>
      <c r="AA3094" s="204"/>
      <c r="AB3094" s="204"/>
    </row>
    <row r="3095" spans="1:28" ht="31" customHeight="1">
      <c r="A3095" s="156" t="str">
        <f>'Reported burning'!A3095</f>
        <v>338a</v>
      </c>
      <c r="B3095" s="156" t="str">
        <f>'Reported burning'!B3095</f>
        <v>338a.5</v>
      </c>
      <c r="C3095" s="156" t="str">
        <f>'Reported burning'!C3095</f>
        <v>Human, deliberate</v>
      </c>
      <c r="D3095" s="156" t="str">
        <f>'Reported burning'!D3095</f>
        <v>Hunting</v>
      </c>
      <c r="E3095" s="156" t="str">
        <f>'Reported burning'!E3095</f>
        <v>Mixed cropping-livestock small holder, Subsistence-oriented</v>
      </c>
      <c r="F3095" s="156" t="str">
        <f>'Reported burning'!F3095</f>
        <v>Shrubland (Mixed forest &amp; grassland)</v>
      </c>
      <c r="G3095" s="156" t="str">
        <f>'Reported burning'!G3095</f>
        <v>ND</v>
      </c>
      <c r="H3095" s="156" t="str">
        <f>'Reported burning'!H3095</f>
        <v>Presence</v>
      </c>
      <c r="I3095" s="5"/>
      <c r="J3095" s="204" t="s">
        <v>2276</v>
      </c>
      <c r="K3095" s="204" t="s">
        <v>2276</v>
      </c>
      <c r="L3095" s="204" t="s">
        <v>2276</v>
      </c>
      <c r="M3095" s="204" t="s">
        <v>2276</v>
      </c>
      <c r="N3095" s="204" t="s">
        <v>2276</v>
      </c>
      <c r="O3095" s="204" t="s">
        <v>2276</v>
      </c>
      <c r="P3095" s="204" t="s">
        <v>2276</v>
      </c>
      <c r="Q3095" s="204" t="s">
        <v>2276</v>
      </c>
      <c r="R3095" s="204" t="s">
        <v>2276</v>
      </c>
      <c r="S3095" s="204" t="s">
        <v>2276</v>
      </c>
      <c r="T3095" s="204" t="s">
        <v>2276</v>
      </c>
      <c r="U3095" s="204" t="s">
        <v>2276</v>
      </c>
      <c r="V3095" s="204" t="s">
        <v>2276</v>
      </c>
      <c r="W3095" s="204" t="s">
        <v>2276</v>
      </c>
      <c r="X3095" s="204" t="s">
        <v>425</v>
      </c>
      <c r="Y3095" s="204" t="s">
        <v>425</v>
      </c>
      <c r="Z3095" s="204" t="s">
        <v>64</v>
      </c>
      <c r="AA3095" s="204"/>
      <c r="AB3095" s="204"/>
    </row>
    <row r="3096" spans="1:28" ht="31" customHeight="1">
      <c r="A3096" s="156" t="str">
        <f>'Reported burning'!A3096</f>
        <v>338b</v>
      </c>
      <c r="B3096" s="156" t="str">
        <f>'Reported burning'!B3096</f>
        <v>338b.1</v>
      </c>
      <c r="C3096" s="156" t="str">
        <f>'Reported burning'!C3096</f>
        <v>Human, deliberate</v>
      </c>
      <c r="D3096" s="156" t="str">
        <f>'Reported burning'!D3096</f>
        <v>Crop residue burning</v>
      </c>
      <c r="E3096" s="156" t="str">
        <f>'Reported burning'!E3096</f>
        <v>Mixed cropping-livestock small holder, Subsistence-oriented</v>
      </c>
      <c r="F3096" s="156" t="str">
        <f>'Reported burning'!F3096</f>
        <v>Cropland</v>
      </c>
      <c r="G3096" s="156" t="str">
        <f>'Reported burning'!G3096</f>
        <v>ND</v>
      </c>
      <c r="H3096" s="156" t="str">
        <f>'Reported burning'!H3096</f>
        <v>Presence</v>
      </c>
      <c r="I3096" s="5"/>
      <c r="J3096" s="204" t="s">
        <v>2276</v>
      </c>
      <c r="K3096" s="204" t="s">
        <v>2276</v>
      </c>
      <c r="L3096" s="204" t="s">
        <v>2276</v>
      </c>
      <c r="M3096" s="204" t="s">
        <v>2276</v>
      </c>
      <c r="N3096" s="204" t="s">
        <v>2276</v>
      </c>
      <c r="O3096" s="204" t="s">
        <v>2276</v>
      </c>
      <c r="P3096" s="204" t="s">
        <v>2276</v>
      </c>
      <c r="Q3096" s="204" t="s">
        <v>2276</v>
      </c>
      <c r="R3096" s="204" t="s">
        <v>2276</v>
      </c>
      <c r="S3096" s="204" t="s">
        <v>2276</v>
      </c>
      <c r="T3096" s="204" t="s">
        <v>2276</v>
      </c>
      <c r="U3096" s="204" t="s">
        <v>2276</v>
      </c>
      <c r="V3096" s="204" t="s">
        <v>2276</v>
      </c>
      <c r="W3096" s="204" t="s">
        <v>2276</v>
      </c>
      <c r="X3096" s="204" t="s">
        <v>189</v>
      </c>
      <c r="Y3096" s="204" t="s">
        <v>86</v>
      </c>
      <c r="Z3096" s="204" t="s">
        <v>64</v>
      </c>
      <c r="AA3096" s="204"/>
      <c r="AB3096" s="204"/>
    </row>
    <row r="3097" spans="1:28" ht="31" customHeight="1">
      <c r="A3097" s="156" t="str">
        <f>'Reported burning'!A3097</f>
        <v>338b</v>
      </c>
      <c r="B3097" s="156" t="str">
        <f>'Reported burning'!B3097</f>
        <v>338b.2</v>
      </c>
      <c r="C3097" s="156" t="str">
        <f>'Reported burning'!C3097</f>
        <v>Human, deliberate</v>
      </c>
      <c r="D3097" s="156" t="str">
        <f>'Reported burning'!D3097</f>
        <v>Crop field preparation</v>
      </c>
      <c r="E3097" s="156" t="str">
        <f>'Reported burning'!E3097</f>
        <v>Mixed cropping-livestock small holder, Subsistence-oriented</v>
      </c>
      <c r="F3097" s="156" t="str">
        <f>'Reported burning'!F3097</f>
        <v>Cropland</v>
      </c>
      <c r="G3097" s="156" t="str">
        <f>'Reported burning'!G3097</f>
        <v>ND</v>
      </c>
      <c r="H3097" s="156" t="str">
        <f>'Reported burning'!H3097</f>
        <v>Presence</v>
      </c>
      <c r="I3097" s="5"/>
      <c r="J3097" s="204" t="s">
        <v>2276</v>
      </c>
      <c r="K3097" s="204" t="s">
        <v>2276</v>
      </c>
      <c r="L3097" s="204" t="s">
        <v>2276</v>
      </c>
      <c r="M3097" s="204" t="s">
        <v>2276</v>
      </c>
      <c r="N3097" s="204" t="s">
        <v>2276</v>
      </c>
      <c r="O3097" s="204" t="s">
        <v>2276</v>
      </c>
      <c r="P3097" s="204" t="s">
        <v>2276</v>
      </c>
      <c r="Q3097" s="204" t="s">
        <v>2276</v>
      </c>
      <c r="R3097" s="204" t="s">
        <v>2276</v>
      </c>
      <c r="S3097" s="204" t="s">
        <v>2276</v>
      </c>
      <c r="T3097" s="204" t="s">
        <v>2276</v>
      </c>
      <c r="U3097" s="204" t="s">
        <v>2276</v>
      </c>
      <c r="V3097" s="204" t="s">
        <v>2276</v>
      </c>
      <c r="W3097" s="204" t="s">
        <v>2276</v>
      </c>
      <c r="X3097" s="204" t="s">
        <v>34</v>
      </c>
      <c r="Y3097" s="204" t="s">
        <v>404</v>
      </c>
      <c r="Z3097" s="204" t="s">
        <v>64</v>
      </c>
      <c r="AA3097" s="204"/>
      <c r="AB3097" s="204"/>
    </row>
    <row r="3098" spans="1:28" ht="31" customHeight="1">
      <c r="A3098" s="156" t="str">
        <f>'Reported burning'!A3098</f>
        <v>338b</v>
      </c>
      <c r="B3098" s="156" t="str">
        <f>'Reported burning'!B3098</f>
        <v>338b.3</v>
      </c>
      <c r="C3098" s="156" t="str">
        <f>'Reported burning'!C3098</f>
        <v>Human, deliberate</v>
      </c>
      <c r="D3098" s="156" t="str">
        <f>'Reported burning'!D3098</f>
        <v>Land clearance</v>
      </c>
      <c r="E3098" s="156" t="str">
        <f>'Reported burning'!E3098</f>
        <v>Mixed cropping-livestock small holder, Subsistence-oriented</v>
      </c>
      <c r="F3098" s="156" t="str">
        <f>'Reported burning'!F3098</f>
        <v>Shrubland (Mixed forest &amp; grassland)</v>
      </c>
      <c r="G3098" s="156" t="str">
        <f>'Reported burning'!G3098</f>
        <v>ND</v>
      </c>
      <c r="H3098" s="156" t="str">
        <f>'Reported burning'!H3098</f>
        <v>Presence</v>
      </c>
      <c r="I3098" s="5"/>
      <c r="J3098" s="204" t="s">
        <v>2276</v>
      </c>
      <c r="K3098" s="204" t="s">
        <v>2276</v>
      </c>
      <c r="L3098" s="204" t="s">
        <v>2276</v>
      </c>
      <c r="M3098" s="204" t="s">
        <v>2276</v>
      </c>
      <c r="N3098" s="204" t="s">
        <v>2276</v>
      </c>
      <c r="O3098" s="204" t="s">
        <v>2276</v>
      </c>
      <c r="P3098" s="204" t="s">
        <v>2276</v>
      </c>
      <c r="Q3098" s="204" t="s">
        <v>2276</v>
      </c>
      <c r="R3098" s="204" t="s">
        <v>2276</v>
      </c>
      <c r="S3098" s="204" t="s">
        <v>2276</v>
      </c>
      <c r="T3098" s="204" t="s">
        <v>2276</v>
      </c>
      <c r="U3098" s="204" t="s">
        <v>2276</v>
      </c>
      <c r="V3098" s="204" t="s">
        <v>2276</v>
      </c>
      <c r="W3098" s="204" t="s">
        <v>2276</v>
      </c>
      <c r="X3098" s="204" t="s">
        <v>34</v>
      </c>
      <c r="Y3098" s="204" t="s">
        <v>404</v>
      </c>
      <c r="Z3098" s="204" t="s">
        <v>64</v>
      </c>
      <c r="AA3098" s="204"/>
      <c r="AB3098" s="204"/>
    </row>
    <row r="3099" spans="1:28" ht="31" customHeight="1">
      <c r="A3099" s="156" t="str">
        <f>'Reported burning'!A3099</f>
        <v>338b</v>
      </c>
      <c r="B3099" s="156" t="str">
        <f>'Reported burning'!B3099</f>
        <v>338b.4</v>
      </c>
      <c r="C3099" s="156" t="str">
        <f>'Reported burning'!C3099</f>
        <v>Human, deliberate</v>
      </c>
      <c r="D3099" s="156" t="str">
        <f>'Reported burning'!D3099</f>
        <v>Pasture renewal</v>
      </c>
      <c r="E3099" s="156" t="str">
        <f>'Reported burning'!E3099</f>
        <v>Mixed cropping-livestock small holder, Subsistence-oriented</v>
      </c>
      <c r="F3099" s="156" t="str">
        <f>'Reported burning'!F3099</f>
        <v>Shrubland (Mixed forest &amp; grassland)</v>
      </c>
      <c r="G3099" s="156" t="str">
        <f>'Reported burning'!G3099</f>
        <v>ND</v>
      </c>
      <c r="H3099" s="156" t="str">
        <f>'Reported burning'!H3099</f>
        <v>Presence</v>
      </c>
      <c r="I3099" s="5"/>
      <c r="J3099" s="204" t="s">
        <v>2276</v>
      </c>
      <c r="K3099" s="204" t="s">
        <v>2276</v>
      </c>
      <c r="L3099" s="204" t="s">
        <v>2276</v>
      </c>
      <c r="M3099" s="204" t="s">
        <v>2276</v>
      </c>
      <c r="N3099" s="204" t="s">
        <v>2276</v>
      </c>
      <c r="O3099" s="204" t="s">
        <v>2276</v>
      </c>
      <c r="P3099" s="204" t="s">
        <v>2276</v>
      </c>
      <c r="Q3099" s="204" t="s">
        <v>2276</v>
      </c>
      <c r="R3099" s="204" t="s">
        <v>2276</v>
      </c>
      <c r="S3099" s="204" t="s">
        <v>2276</v>
      </c>
      <c r="T3099" s="204" t="s">
        <v>2276</v>
      </c>
      <c r="U3099" s="204" t="s">
        <v>2276</v>
      </c>
      <c r="V3099" s="204" t="s">
        <v>2276</v>
      </c>
      <c r="W3099" s="204" t="s">
        <v>2276</v>
      </c>
      <c r="X3099" s="204" t="s">
        <v>34</v>
      </c>
      <c r="Y3099" s="204" t="s">
        <v>68</v>
      </c>
      <c r="Z3099" s="204" t="s">
        <v>64</v>
      </c>
      <c r="AA3099" s="204"/>
      <c r="AB3099" s="204"/>
    </row>
    <row r="3100" spans="1:28" ht="31" customHeight="1">
      <c r="A3100" s="156" t="str">
        <f>'Reported burning'!A3100</f>
        <v>338b</v>
      </c>
      <c r="B3100" s="156" t="str">
        <f>'Reported burning'!B3100</f>
        <v>338b.5</v>
      </c>
      <c r="C3100" s="156" t="str">
        <f>'Reported burning'!C3100</f>
        <v>Human, deliberate</v>
      </c>
      <c r="D3100" s="156" t="str">
        <f>'Reported burning'!D3100</f>
        <v>Hunting</v>
      </c>
      <c r="E3100" s="156" t="str">
        <f>'Reported burning'!E3100</f>
        <v>Mixed cropping-livestock small holder, Subsistence-oriented</v>
      </c>
      <c r="F3100" s="156" t="str">
        <f>'Reported burning'!F3100</f>
        <v>Shrubland (Mixed forest &amp; grassland)</v>
      </c>
      <c r="G3100" s="156" t="str">
        <f>'Reported burning'!G3100</f>
        <v>ND</v>
      </c>
      <c r="H3100" s="156" t="str">
        <f>'Reported burning'!H3100</f>
        <v>Presence</v>
      </c>
      <c r="I3100" s="5"/>
      <c r="J3100" s="204" t="s">
        <v>2276</v>
      </c>
      <c r="K3100" s="204" t="s">
        <v>2276</v>
      </c>
      <c r="L3100" s="204" t="s">
        <v>2276</v>
      </c>
      <c r="M3100" s="204" t="s">
        <v>2276</v>
      </c>
      <c r="N3100" s="204" t="s">
        <v>2276</v>
      </c>
      <c r="O3100" s="204" t="s">
        <v>2276</v>
      </c>
      <c r="P3100" s="204" t="s">
        <v>2276</v>
      </c>
      <c r="Q3100" s="204" t="s">
        <v>2276</v>
      </c>
      <c r="R3100" s="204" t="s">
        <v>2276</v>
      </c>
      <c r="S3100" s="204" t="s">
        <v>2276</v>
      </c>
      <c r="T3100" s="204" t="s">
        <v>2276</v>
      </c>
      <c r="U3100" s="204" t="s">
        <v>2276</v>
      </c>
      <c r="V3100" s="204" t="s">
        <v>2276</v>
      </c>
      <c r="W3100" s="204" t="s">
        <v>2276</v>
      </c>
      <c r="X3100" s="204" t="s">
        <v>425</v>
      </c>
      <c r="Y3100" s="204" t="s">
        <v>425</v>
      </c>
      <c r="Z3100" s="204" t="s">
        <v>64</v>
      </c>
      <c r="AA3100" s="204"/>
      <c r="AB3100" s="204"/>
    </row>
    <row r="3101" spans="1:28" ht="31" customHeight="1">
      <c r="A3101" s="156" t="str">
        <f>'Reported burning'!A3101</f>
        <v>338b</v>
      </c>
      <c r="B3101" s="156" t="str">
        <f>'Reported burning'!B3101</f>
        <v>338b.6</v>
      </c>
      <c r="C3101" s="156" t="str">
        <f>'Reported burning'!C3101</f>
        <v>Human, deliberate</v>
      </c>
      <c r="D3101" s="156" t="str">
        <f>'Reported burning'!D3101</f>
        <v>Land clearance</v>
      </c>
      <c r="E3101" s="156" t="str">
        <f>'Reported burning'!E3101</f>
        <v>Mixed cropping-livestock small holder, Subsistence-oriented</v>
      </c>
      <c r="F3101" s="156" t="str">
        <f>'Reported burning'!F3101</f>
        <v>Shrubland (Mixed forest &amp; grassland)</v>
      </c>
      <c r="G3101" s="156" t="str">
        <f>'Reported burning'!G3101</f>
        <v>ND</v>
      </c>
      <c r="H3101" s="156" t="str">
        <f>'Reported burning'!H3101</f>
        <v>Presence</v>
      </c>
      <c r="I3101" s="5"/>
      <c r="J3101" s="204" t="s">
        <v>2276</v>
      </c>
      <c r="K3101" s="204" t="s">
        <v>2276</v>
      </c>
      <c r="L3101" s="204" t="s">
        <v>2276</v>
      </c>
      <c r="M3101" s="204" t="s">
        <v>2276</v>
      </c>
      <c r="N3101" s="204" t="s">
        <v>2276</v>
      </c>
      <c r="O3101" s="204" t="s">
        <v>2276</v>
      </c>
      <c r="P3101" s="204" t="s">
        <v>2276</v>
      </c>
      <c r="Q3101" s="204" t="s">
        <v>2276</v>
      </c>
      <c r="R3101" s="204" t="s">
        <v>2276</v>
      </c>
      <c r="S3101" s="204" t="s">
        <v>2276</v>
      </c>
      <c r="T3101" s="204" t="s">
        <v>2276</v>
      </c>
      <c r="U3101" s="204" t="s">
        <v>2276</v>
      </c>
      <c r="V3101" s="204" t="s">
        <v>2276</v>
      </c>
      <c r="W3101" s="204" t="s">
        <v>2276</v>
      </c>
      <c r="X3101" s="204" t="s">
        <v>399</v>
      </c>
      <c r="Y3101" s="204" t="s">
        <v>188</v>
      </c>
      <c r="Z3101" s="204" t="s">
        <v>64</v>
      </c>
      <c r="AA3101" s="204"/>
      <c r="AB3101" s="204"/>
    </row>
    <row r="3102" spans="1:28" ht="31" customHeight="1">
      <c r="A3102" s="156" t="str">
        <f>'Reported burning'!A3102</f>
        <v>338c</v>
      </c>
      <c r="B3102" s="156" t="str">
        <f>'Reported burning'!B3102</f>
        <v>338c.1</v>
      </c>
      <c r="C3102" s="156" t="str">
        <f>'Reported burning'!C3102</f>
        <v>Human, deliberate</v>
      </c>
      <c r="D3102" s="156" t="str">
        <f>'Reported burning'!D3102</f>
        <v>Crop residue burning</v>
      </c>
      <c r="E3102" s="156" t="str">
        <f>'Reported burning'!E3102</f>
        <v>Mixed cropping-livestock small holder, Subsistence-oriented</v>
      </c>
      <c r="F3102" s="156" t="str">
        <f>'Reported burning'!F3102</f>
        <v>Cropland</v>
      </c>
      <c r="G3102" s="156" t="str">
        <f>'Reported burning'!G3102</f>
        <v>ND</v>
      </c>
      <c r="H3102" s="156" t="str">
        <f>'Reported burning'!H3102</f>
        <v>Absence</v>
      </c>
      <c r="I3102" s="5"/>
      <c r="J3102" s="21">
        <v>0</v>
      </c>
      <c r="K3102" s="21">
        <v>0</v>
      </c>
      <c r="L3102" s="21">
        <v>0</v>
      </c>
      <c r="M3102" s="21">
        <v>0</v>
      </c>
      <c r="N3102" s="21">
        <v>0</v>
      </c>
      <c r="O3102" s="21">
        <v>0</v>
      </c>
      <c r="P3102" s="21">
        <v>0</v>
      </c>
      <c r="Q3102" s="21">
        <v>0</v>
      </c>
      <c r="R3102" s="21">
        <v>0</v>
      </c>
      <c r="S3102" s="21">
        <v>0</v>
      </c>
      <c r="T3102" s="21">
        <v>0</v>
      </c>
      <c r="U3102" s="21">
        <v>0</v>
      </c>
      <c r="V3102" s="21">
        <v>0</v>
      </c>
      <c r="W3102" s="204" t="s">
        <v>2276</v>
      </c>
      <c r="X3102" s="204" t="s">
        <v>2276</v>
      </c>
      <c r="Y3102" s="204" t="s">
        <v>2276</v>
      </c>
      <c r="Z3102" s="204" t="s">
        <v>2276</v>
      </c>
      <c r="AA3102" s="204"/>
      <c r="AB3102" s="204"/>
    </row>
    <row r="3103" spans="1:28" ht="31" customHeight="1">
      <c r="A3103" s="156" t="str">
        <f>'Reported burning'!A3103</f>
        <v>338c</v>
      </c>
      <c r="B3103" s="156" t="str">
        <f>'Reported burning'!B3103</f>
        <v>338c.2</v>
      </c>
      <c r="C3103" s="156" t="str">
        <f>'Reported burning'!C3103</f>
        <v>Human, deliberate</v>
      </c>
      <c r="D3103" s="156" t="str">
        <f>'Reported burning'!D3103</f>
        <v>Crop field preparation</v>
      </c>
      <c r="E3103" s="156" t="str">
        <f>'Reported burning'!E3103</f>
        <v>Mixed cropping-livestock small holder, Subsistence-oriented</v>
      </c>
      <c r="F3103" s="156" t="str">
        <f>'Reported burning'!F3103</f>
        <v>Cropland</v>
      </c>
      <c r="G3103" s="156" t="str">
        <f>'Reported burning'!G3103</f>
        <v>ND</v>
      </c>
      <c r="H3103" s="156" t="str">
        <f>'Reported burning'!H3103</f>
        <v>Presence</v>
      </c>
      <c r="I3103" s="5"/>
      <c r="J3103" s="204" t="s">
        <v>2276</v>
      </c>
      <c r="K3103" s="204" t="s">
        <v>2276</v>
      </c>
      <c r="L3103" s="204" t="s">
        <v>2276</v>
      </c>
      <c r="M3103" s="204" t="s">
        <v>2276</v>
      </c>
      <c r="N3103" s="204" t="s">
        <v>2276</v>
      </c>
      <c r="O3103" s="204" t="s">
        <v>2276</v>
      </c>
      <c r="P3103" s="204" t="s">
        <v>2276</v>
      </c>
      <c r="Q3103" s="204" t="s">
        <v>2276</v>
      </c>
      <c r="R3103" s="204" t="s">
        <v>2276</v>
      </c>
      <c r="S3103" s="204" t="s">
        <v>2276</v>
      </c>
      <c r="T3103" s="204" t="s">
        <v>2276</v>
      </c>
      <c r="U3103" s="204" t="s">
        <v>2276</v>
      </c>
      <c r="V3103" s="204" t="s">
        <v>2276</v>
      </c>
      <c r="W3103" s="204" t="s">
        <v>2276</v>
      </c>
      <c r="X3103" s="204" t="s">
        <v>189</v>
      </c>
      <c r="Y3103" s="204" t="s">
        <v>38</v>
      </c>
      <c r="Z3103" s="204" t="s">
        <v>64</v>
      </c>
      <c r="AA3103" s="204"/>
      <c r="AB3103" s="204"/>
    </row>
    <row r="3104" spans="1:28" ht="45.5" customHeight="1">
      <c r="A3104" s="156" t="str">
        <f>'Reported burning'!A3104</f>
        <v>338c</v>
      </c>
      <c r="B3104" s="156" t="str">
        <f>'Reported burning'!B3104</f>
        <v>338c.3</v>
      </c>
      <c r="C3104" s="156" t="str">
        <f>'Reported burning'!C3104</f>
        <v>Human, deliberate</v>
      </c>
      <c r="D3104" s="156" t="str">
        <f>'Reported burning'!D3104</f>
        <v>Crop field preparation</v>
      </c>
      <c r="E3104" s="156" t="str">
        <f>'Reported burning'!E3104</f>
        <v>Mixed cropping-livestock small holder, Subsistence-oriented</v>
      </c>
      <c r="F3104" s="156" t="str">
        <f>'Reported burning'!F3104</f>
        <v>Cropland</v>
      </c>
      <c r="G3104" s="156" t="str">
        <f>'Reported burning'!G3104</f>
        <v>ND</v>
      </c>
      <c r="H3104" s="156" t="str">
        <f>'Reported burning'!H3104</f>
        <v>Presence</v>
      </c>
      <c r="I3104" s="5"/>
      <c r="J3104" s="204" t="s">
        <v>2276</v>
      </c>
      <c r="K3104" s="204" t="s">
        <v>2276</v>
      </c>
      <c r="L3104" s="204" t="s">
        <v>2276</v>
      </c>
      <c r="M3104" s="204" t="s">
        <v>2276</v>
      </c>
      <c r="N3104" s="204" t="s">
        <v>2276</v>
      </c>
      <c r="O3104" s="204" t="s">
        <v>2276</v>
      </c>
      <c r="P3104" s="204" t="s">
        <v>2276</v>
      </c>
      <c r="Q3104" s="204" t="s">
        <v>2276</v>
      </c>
      <c r="R3104" s="204" t="s">
        <v>2276</v>
      </c>
      <c r="S3104" s="204" t="s">
        <v>2276</v>
      </c>
      <c r="T3104" s="204" t="s">
        <v>2276</v>
      </c>
      <c r="U3104" s="204" t="s">
        <v>2276</v>
      </c>
      <c r="V3104" s="204" t="s">
        <v>2276</v>
      </c>
      <c r="W3104" s="204" t="s">
        <v>2276</v>
      </c>
      <c r="X3104" s="204" t="s">
        <v>68</v>
      </c>
      <c r="Y3104" s="204" t="s">
        <v>35</v>
      </c>
      <c r="Z3104" s="204" t="s">
        <v>64</v>
      </c>
      <c r="AA3104" s="204"/>
      <c r="AB3104" s="204"/>
    </row>
    <row r="3105" spans="1:28" ht="45.5" customHeight="1">
      <c r="A3105" s="156" t="str">
        <f>'Reported burning'!A3105</f>
        <v>338c</v>
      </c>
      <c r="B3105" s="156" t="str">
        <f>'Reported burning'!B3105</f>
        <v>338c.4</v>
      </c>
      <c r="C3105" s="156" t="str">
        <f>'Reported burning'!C3105</f>
        <v>Human, deliberate</v>
      </c>
      <c r="D3105" s="156" t="str">
        <f>'Reported burning'!D3105</f>
        <v>Land clearance</v>
      </c>
      <c r="E3105" s="156" t="str">
        <f>'Reported burning'!E3105</f>
        <v>Mixed cropping-livestock small holder, Subsistence-oriented</v>
      </c>
      <c r="F3105" s="156" t="str">
        <f>'Reported burning'!F3105</f>
        <v>Shrubland (Mixed forest &amp; grassland)</v>
      </c>
      <c r="G3105" s="156" t="str">
        <f>'Reported burning'!G3105</f>
        <v>ND</v>
      </c>
      <c r="H3105" s="156" t="str">
        <f>'Reported burning'!H3105</f>
        <v>Presence</v>
      </c>
      <c r="I3105" s="5"/>
      <c r="J3105" s="204" t="s">
        <v>2276</v>
      </c>
      <c r="K3105" s="204" t="s">
        <v>2276</v>
      </c>
      <c r="L3105" s="204" t="s">
        <v>2276</v>
      </c>
      <c r="M3105" s="204" t="s">
        <v>2276</v>
      </c>
      <c r="N3105" s="204" t="s">
        <v>2276</v>
      </c>
      <c r="O3105" s="204" t="s">
        <v>2276</v>
      </c>
      <c r="P3105" s="204" t="s">
        <v>2276</v>
      </c>
      <c r="Q3105" s="204" t="s">
        <v>2276</v>
      </c>
      <c r="R3105" s="204" t="s">
        <v>2276</v>
      </c>
      <c r="S3105" s="204" t="s">
        <v>2276</v>
      </c>
      <c r="T3105" s="204" t="s">
        <v>2276</v>
      </c>
      <c r="U3105" s="204" t="s">
        <v>2276</v>
      </c>
      <c r="V3105" s="204" t="s">
        <v>2276</v>
      </c>
      <c r="W3105" s="204" t="s">
        <v>2276</v>
      </c>
      <c r="X3105" s="204" t="s">
        <v>68</v>
      </c>
      <c r="Y3105" s="204" t="s">
        <v>35</v>
      </c>
      <c r="Z3105" s="204" t="s">
        <v>64</v>
      </c>
      <c r="AA3105" s="204"/>
      <c r="AB3105" s="204"/>
    </row>
    <row r="3106" spans="1:28" ht="45.5" customHeight="1">
      <c r="A3106" s="156" t="str">
        <f>'Reported burning'!A3106</f>
        <v>338c</v>
      </c>
      <c r="B3106" s="156" t="str">
        <f>'Reported burning'!B3106</f>
        <v>338c.5</v>
      </c>
      <c r="C3106" s="156" t="str">
        <f>'Reported burning'!C3106</f>
        <v>Human, deliberate</v>
      </c>
      <c r="D3106" s="156" t="str">
        <f>'Reported burning'!D3106</f>
        <v>Pasture renewal</v>
      </c>
      <c r="E3106" s="156" t="str">
        <f>'Reported burning'!E3106</f>
        <v>Mixed cropping-livestock small holder, Subsistence-oriented</v>
      </c>
      <c r="F3106" s="156" t="str">
        <f>'Reported burning'!F3106</f>
        <v>Shrubland (Mixed forest &amp; grassland)</v>
      </c>
      <c r="G3106" s="156" t="str">
        <f>'Reported burning'!G3106</f>
        <v>ND</v>
      </c>
      <c r="H3106" s="156" t="str">
        <f>'Reported burning'!H3106</f>
        <v>Presence</v>
      </c>
      <c r="I3106" s="5"/>
      <c r="J3106" s="204" t="s">
        <v>2276</v>
      </c>
      <c r="K3106" s="204" t="s">
        <v>2276</v>
      </c>
      <c r="L3106" s="204" t="s">
        <v>2276</v>
      </c>
      <c r="M3106" s="204" t="s">
        <v>2276</v>
      </c>
      <c r="N3106" s="204" t="s">
        <v>2276</v>
      </c>
      <c r="O3106" s="204" t="s">
        <v>2276</v>
      </c>
      <c r="P3106" s="204" t="s">
        <v>2276</v>
      </c>
      <c r="Q3106" s="204" t="s">
        <v>2276</v>
      </c>
      <c r="R3106" s="204" t="s">
        <v>2276</v>
      </c>
      <c r="S3106" s="204" t="s">
        <v>2276</v>
      </c>
      <c r="T3106" s="204" t="s">
        <v>2276</v>
      </c>
      <c r="U3106" s="204" t="s">
        <v>2276</v>
      </c>
      <c r="V3106" s="204" t="s">
        <v>2276</v>
      </c>
      <c r="W3106" s="204" t="s">
        <v>2276</v>
      </c>
      <c r="X3106" s="204" t="s">
        <v>405</v>
      </c>
      <c r="Y3106" s="204" t="s">
        <v>35</v>
      </c>
      <c r="Z3106" s="204" t="s">
        <v>64</v>
      </c>
      <c r="AA3106" s="204"/>
      <c r="AB3106" s="204"/>
    </row>
    <row r="3107" spans="1:28" ht="45.5" customHeight="1">
      <c r="A3107" s="156" t="str">
        <f>'Reported burning'!A3107</f>
        <v>338c</v>
      </c>
      <c r="B3107" s="156" t="str">
        <f>'Reported burning'!B3107</f>
        <v>338c.6</v>
      </c>
      <c r="C3107" s="156" t="str">
        <f>'Reported burning'!C3107</f>
        <v>Human, deliberate</v>
      </c>
      <c r="D3107" s="156" t="str">
        <f>'Reported burning'!D3107</f>
        <v>Hunting</v>
      </c>
      <c r="E3107" s="156" t="str">
        <f>'Reported burning'!E3107</f>
        <v>Mixed cropping-livestock small holder, Subsistence-oriented</v>
      </c>
      <c r="F3107" s="156" t="str">
        <f>'Reported burning'!F3107</f>
        <v>Shrubland (Mixed forest &amp; grassland)</v>
      </c>
      <c r="G3107" s="156" t="str">
        <f>'Reported burning'!G3107</f>
        <v>ND</v>
      </c>
      <c r="H3107" s="156" t="str">
        <f>'Reported burning'!H3107</f>
        <v>Presence</v>
      </c>
      <c r="I3107" s="5"/>
      <c r="J3107" s="204" t="s">
        <v>2276</v>
      </c>
      <c r="K3107" s="204" t="s">
        <v>2276</v>
      </c>
      <c r="L3107" s="204" t="s">
        <v>2276</v>
      </c>
      <c r="M3107" s="204" t="s">
        <v>2276</v>
      </c>
      <c r="N3107" s="204" t="s">
        <v>2276</v>
      </c>
      <c r="O3107" s="204" t="s">
        <v>2276</v>
      </c>
      <c r="P3107" s="204" t="s">
        <v>2276</v>
      </c>
      <c r="Q3107" s="204" t="s">
        <v>2276</v>
      </c>
      <c r="R3107" s="204" t="s">
        <v>2276</v>
      </c>
      <c r="S3107" s="204" t="s">
        <v>2276</v>
      </c>
      <c r="T3107" s="204" t="s">
        <v>2276</v>
      </c>
      <c r="U3107" s="204" t="s">
        <v>2276</v>
      </c>
      <c r="V3107" s="204" t="s">
        <v>2276</v>
      </c>
      <c r="W3107" s="204" t="s">
        <v>2276</v>
      </c>
      <c r="X3107" s="204" t="s">
        <v>86</v>
      </c>
      <c r="Y3107" s="204" t="s">
        <v>35</v>
      </c>
      <c r="Z3107" s="204" t="s">
        <v>64</v>
      </c>
      <c r="AA3107" s="204"/>
      <c r="AB3107" s="204"/>
    </row>
    <row r="3108" spans="1:28" ht="45.5" customHeight="1">
      <c r="A3108" s="156" t="str">
        <f>'Reported burning'!A3108</f>
        <v>338c</v>
      </c>
      <c r="B3108" s="156" t="str">
        <f>'Reported burning'!B3108</f>
        <v>338c.7</v>
      </c>
      <c r="C3108" s="156" t="str">
        <f>'Reported burning'!C3108</f>
        <v>Human, deliberate</v>
      </c>
      <c r="D3108" s="156" t="str">
        <f>'Reported burning'!D3108</f>
        <v>Harvesting of NTFP</v>
      </c>
      <c r="E3108" s="156" t="str">
        <f>'Reported burning'!E3108</f>
        <v>Mixed cropping-livestock small holder, Subsistence-oriented</v>
      </c>
      <c r="F3108" s="156" t="str">
        <f>'Reported burning'!F3108</f>
        <v>Forest</v>
      </c>
      <c r="G3108" s="156" t="str">
        <f>'Reported burning'!G3108</f>
        <v>ND</v>
      </c>
      <c r="H3108" s="156" t="str">
        <f>'Reported burning'!H3108</f>
        <v>Presence</v>
      </c>
      <c r="I3108" s="5"/>
      <c r="J3108" s="204" t="s">
        <v>2276</v>
      </c>
      <c r="K3108" s="204" t="s">
        <v>2276</v>
      </c>
      <c r="L3108" s="204" t="s">
        <v>2276</v>
      </c>
      <c r="M3108" s="204" t="s">
        <v>2276</v>
      </c>
      <c r="N3108" s="204" t="s">
        <v>2276</v>
      </c>
      <c r="O3108" s="204" t="s">
        <v>2276</v>
      </c>
      <c r="P3108" s="204" t="s">
        <v>2276</v>
      </c>
      <c r="Q3108" s="204" t="s">
        <v>2276</v>
      </c>
      <c r="R3108" s="204" t="s">
        <v>2276</v>
      </c>
      <c r="S3108" s="204" t="s">
        <v>2276</v>
      </c>
      <c r="T3108" s="204" t="s">
        <v>2276</v>
      </c>
      <c r="U3108" s="204" t="s">
        <v>2276</v>
      </c>
      <c r="V3108" s="204" t="s">
        <v>2276</v>
      </c>
      <c r="W3108" s="204" t="s">
        <v>2276</v>
      </c>
      <c r="X3108" s="204" t="s">
        <v>68</v>
      </c>
      <c r="Y3108" s="204" t="s">
        <v>127</v>
      </c>
      <c r="Z3108" s="204" t="s">
        <v>64</v>
      </c>
      <c r="AA3108" s="204"/>
      <c r="AB3108" s="204"/>
    </row>
    <row r="3109" spans="1:28" ht="45.5" customHeight="1">
      <c r="A3109" s="156" t="str">
        <f>'Reported burning'!A3109</f>
        <v>338c</v>
      </c>
      <c r="B3109" s="156" t="str">
        <f>'Reported burning'!B3109</f>
        <v>338c.8</v>
      </c>
      <c r="C3109" s="156" t="str">
        <f>'Reported burning'!C3109</f>
        <v>Human, deliberate</v>
      </c>
      <c r="D3109" s="156" t="str">
        <f>'Reported burning'!D3109</f>
        <v>Pest management</v>
      </c>
      <c r="E3109" s="156" t="str">
        <f>'Reported burning'!E3109</f>
        <v>Mixed cropping-livestock small holder, Subsistence-oriented</v>
      </c>
      <c r="F3109" s="156" t="str">
        <f>'Reported burning'!F3109</f>
        <v>Shrubland (Mixed forest &amp; grassland)</v>
      </c>
      <c r="G3109" s="156" t="str">
        <f>'Reported burning'!G3109</f>
        <v>ND</v>
      </c>
      <c r="H3109" s="156" t="str">
        <f>'Reported burning'!H3109</f>
        <v>Presence</v>
      </c>
      <c r="I3109" s="5"/>
      <c r="J3109" s="204" t="s">
        <v>2276</v>
      </c>
      <c r="K3109" s="204" t="s">
        <v>2276</v>
      </c>
      <c r="L3109" s="204" t="s">
        <v>2276</v>
      </c>
      <c r="M3109" s="204" t="s">
        <v>2276</v>
      </c>
      <c r="N3109" s="204" t="s">
        <v>2276</v>
      </c>
      <c r="O3109" s="204" t="s">
        <v>2276</v>
      </c>
      <c r="P3109" s="204" t="s">
        <v>2276</v>
      </c>
      <c r="Q3109" s="204" t="s">
        <v>2276</v>
      </c>
      <c r="R3109" s="204" t="s">
        <v>2276</v>
      </c>
      <c r="S3109" s="204" t="s">
        <v>2276</v>
      </c>
      <c r="T3109" s="204" t="s">
        <v>2276</v>
      </c>
      <c r="U3109" s="204" t="s">
        <v>2276</v>
      </c>
      <c r="V3109" s="204" t="s">
        <v>2276</v>
      </c>
      <c r="W3109" s="204" t="s">
        <v>2276</v>
      </c>
      <c r="X3109" s="204" t="s">
        <v>38</v>
      </c>
      <c r="Y3109" s="204" t="s">
        <v>127</v>
      </c>
      <c r="Z3109" s="204" t="s">
        <v>64</v>
      </c>
      <c r="AA3109" s="204"/>
      <c r="AB3109" s="204"/>
    </row>
    <row r="3110" spans="1:28" ht="45.5" customHeight="1">
      <c r="A3110" s="156" t="str">
        <f>'Reported burning'!A3110</f>
        <v>338d</v>
      </c>
      <c r="B3110" s="156" t="str">
        <f>'Reported burning'!B3110</f>
        <v>338d.1</v>
      </c>
      <c r="C3110" s="156" t="str">
        <f>'Reported burning'!C3110</f>
        <v>Human, deliberate</v>
      </c>
      <c r="D3110" s="156" t="str">
        <f>'Reported burning'!D3110</f>
        <v>Crop residue burning</v>
      </c>
      <c r="E3110" s="156" t="str">
        <f>'Reported burning'!E3110</f>
        <v>Mixed cropping-livestock small holder, Subsistence-oriented</v>
      </c>
      <c r="F3110" s="156" t="str">
        <f>'Reported burning'!F3110</f>
        <v>Cropland</v>
      </c>
      <c r="G3110" s="156" t="str">
        <f>'Reported burning'!G3110</f>
        <v>ND</v>
      </c>
      <c r="H3110" s="156" t="str">
        <f>'Reported burning'!H3110</f>
        <v>Absence</v>
      </c>
      <c r="I3110" s="5"/>
      <c r="J3110" s="21">
        <v>0</v>
      </c>
      <c r="K3110" s="21">
        <v>0</v>
      </c>
      <c r="L3110" s="21">
        <v>0</v>
      </c>
      <c r="M3110" s="21">
        <v>0</v>
      </c>
      <c r="N3110" s="21">
        <v>0</v>
      </c>
      <c r="O3110" s="21">
        <v>0</v>
      </c>
      <c r="P3110" s="21">
        <v>0</v>
      </c>
      <c r="Q3110" s="21">
        <v>0</v>
      </c>
      <c r="R3110" s="21">
        <v>0</v>
      </c>
      <c r="S3110" s="21">
        <v>0</v>
      </c>
      <c r="T3110" s="21">
        <v>0</v>
      </c>
      <c r="U3110" s="21">
        <v>0</v>
      </c>
      <c r="V3110" s="21">
        <v>0</v>
      </c>
      <c r="W3110" s="204" t="s">
        <v>2276</v>
      </c>
      <c r="X3110" s="204" t="s">
        <v>2276</v>
      </c>
      <c r="Y3110" s="204" t="s">
        <v>2276</v>
      </c>
      <c r="Z3110" s="204" t="s">
        <v>2276</v>
      </c>
      <c r="AA3110" s="204"/>
      <c r="AB3110" s="204"/>
    </row>
    <row r="3111" spans="1:28" ht="45.5" customHeight="1">
      <c r="A3111" s="156" t="str">
        <f>'Reported burning'!A3111</f>
        <v>338d</v>
      </c>
      <c r="B3111" s="156" t="str">
        <f>'Reported burning'!B3111</f>
        <v>338d.2</v>
      </c>
      <c r="C3111" s="156" t="str">
        <f>'Reported burning'!C3111</f>
        <v>Human, deliberate</v>
      </c>
      <c r="D3111" s="156" t="str">
        <f>'Reported burning'!D3111</f>
        <v>Crop field preparation</v>
      </c>
      <c r="E3111" s="156" t="str">
        <f>'Reported burning'!E3111</f>
        <v>Mixed cropping-livestock small holder, Subsistence-oriented</v>
      </c>
      <c r="F3111" s="156" t="str">
        <f>'Reported burning'!F3111</f>
        <v>Cropland</v>
      </c>
      <c r="G3111" s="156" t="str">
        <f>'Reported burning'!G3111</f>
        <v>ND</v>
      </c>
      <c r="H3111" s="156" t="str">
        <f>'Reported burning'!H3111</f>
        <v>Presence</v>
      </c>
      <c r="I3111" s="5"/>
      <c r="J3111" s="204" t="s">
        <v>2276</v>
      </c>
      <c r="K3111" s="204" t="s">
        <v>2276</v>
      </c>
      <c r="L3111" s="204" t="s">
        <v>2276</v>
      </c>
      <c r="M3111" s="204" t="s">
        <v>2276</v>
      </c>
      <c r="N3111" s="204" t="s">
        <v>2276</v>
      </c>
      <c r="O3111" s="204" t="s">
        <v>2276</v>
      </c>
      <c r="P3111" s="204" t="s">
        <v>2276</v>
      </c>
      <c r="Q3111" s="204" t="s">
        <v>2276</v>
      </c>
      <c r="R3111" s="204" t="s">
        <v>2276</v>
      </c>
      <c r="S3111" s="204" t="s">
        <v>2276</v>
      </c>
      <c r="T3111" s="204" t="s">
        <v>2276</v>
      </c>
      <c r="U3111" s="204" t="s">
        <v>2276</v>
      </c>
      <c r="V3111" s="204" t="s">
        <v>2276</v>
      </c>
      <c r="W3111" s="204" t="s">
        <v>2276</v>
      </c>
      <c r="X3111" s="204" t="s">
        <v>68</v>
      </c>
      <c r="Y3111" s="204" t="s">
        <v>35</v>
      </c>
      <c r="Z3111" s="204" t="s">
        <v>64</v>
      </c>
      <c r="AA3111" s="204"/>
      <c r="AB3111" s="204"/>
    </row>
    <row r="3112" spans="1:28" ht="45.5" customHeight="1">
      <c r="A3112" s="156" t="str">
        <f>'Reported burning'!A3112</f>
        <v>338d</v>
      </c>
      <c r="B3112" s="156" t="str">
        <f>'Reported burning'!B3112</f>
        <v>338d.3</v>
      </c>
      <c r="C3112" s="156" t="str">
        <f>'Reported burning'!C3112</f>
        <v>Human, deliberate</v>
      </c>
      <c r="D3112" s="156" t="str">
        <f>'Reported burning'!D3112</f>
        <v>Land clearance</v>
      </c>
      <c r="E3112" s="156" t="str">
        <f>'Reported burning'!E3112</f>
        <v>Mixed cropping-livestock small holder, Subsistence-oriented</v>
      </c>
      <c r="F3112" s="156" t="str">
        <f>'Reported burning'!F3112</f>
        <v>Cropland</v>
      </c>
      <c r="G3112" s="156" t="str">
        <f>'Reported burning'!G3112</f>
        <v>ND</v>
      </c>
      <c r="H3112" s="156" t="str">
        <f>'Reported burning'!H3112</f>
        <v>Presence</v>
      </c>
      <c r="I3112" s="5"/>
      <c r="J3112" s="204" t="s">
        <v>2276</v>
      </c>
      <c r="K3112" s="204" t="s">
        <v>2276</v>
      </c>
      <c r="L3112" s="204" t="s">
        <v>2276</v>
      </c>
      <c r="M3112" s="204" t="s">
        <v>2276</v>
      </c>
      <c r="N3112" s="204" t="s">
        <v>2276</v>
      </c>
      <c r="O3112" s="204" t="s">
        <v>2276</v>
      </c>
      <c r="P3112" s="204" t="s">
        <v>2276</v>
      </c>
      <c r="Q3112" s="204" t="s">
        <v>2276</v>
      </c>
      <c r="R3112" s="204" t="s">
        <v>2276</v>
      </c>
      <c r="S3112" s="204" t="s">
        <v>2276</v>
      </c>
      <c r="T3112" s="204" t="s">
        <v>2276</v>
      </c>
      <c r="U3112" s="204" t="s">
        <v>2276</v>
      </c>
      <c r="V3112" s="204" t="s">
        <v>2276</v>
      </c>
      <c r="W3112" s="204" t="s">
        <v>2276</v>
      </c>
      <c r="X3112" s="204" t="s">
        <v>68</v>
      </c>
      <c r="Y3112" s="204" t="s">
        <v>35</v>
      </c>
      <c r="Z3112" s="204" t="s">
        <v>64</v>
      </c>
      <c r="AA3112" s="204"/>
      <c r="AB3112" s="204"/>
    </row>
    <row r="3113" spans="1:28" ht="45.5" customHeight="1">
      <c r="A3113" s="156" t="str">
        <f>'Reported burning'!A3113</f>
        <v>338d</v>
      </c>
      <c r="B3113" s="156" t="str">
        <f>'Reported burning'!B3113</f>
        <v>338d.4</v>
      </c>
      <c r="C3113" s="156" t="str">
        <f>'Reported burning'!C3113</f>
        <v>Human, deliberate</v>
      </c>
      <c r="D3113" s="156" t="str">
        <f>'Reported burning'!D3113</f>
        <v>Pasture renewal</v>
      </c>
      <c r="E3113" s="156" t="str">
        <f>'Reported burning'!E3113</f>
        <v>Mixed cropping-livestock small holder, Subsistence-oriented</v>
      </c>
      <c r="F3113" s="156" t="str">
        <f>'Reported burning'!F3113</f>
        <v>Shrubland (Mixed forest &amp; grassland)</v>
      </c>
      <c r="G3113" s="156" t="str">
        <f>'Reported burning'!G3113</f>
        <v>ND</v>
      </c>
      <c r="H3113" s="156" t="str">
        <f>'Reported burning'!H3113</f>
        <v>Presence</v>
      </c>
      <c r="I3113" s="5"/>
      <c r="J3113" s="204" t="s">
        <v>2276</v>
      </c>
      <c r="K3113" s="204" t="s">
        <v>2276</v>
      </c>
      <c r="L3113" s="204" t="s">
        <v>2276</v>
      </c>
      <c r="M3113" s="204" t="s">
        <v>2276</v>
      </c>
      <c r="N3113" s="204" t="s">
        <v>2276</v>
      </c>
      <c r="O3113" s="204" t="s">
        <v>2276</v>
      </c>
      <c r="P3113" s="204" t="s">
        <v>2276</v>
      </c>
      <c r="Q3113" s="204" t="s">
        <v>2276</v>
      </c>
      <c r="R3113" s="204" t="s">
        <v>2276</v>
      </c>
      <c r="S3113" s="204" t="s">
        <v>2276</v>
      </c>
      <c r="T3113" s="204" t="s">
        <v>2276</v>
      </c>
      <c r="U3113" s="204" t="s">
        <v>2276</v>
      </c>
      <c r="V3113" s="204" t="s">
        <v>2276</v>
      </c>
      <c r="W3113" s="204" t="s">
        <v>2276</v>
      </c>
      <c r="X3113" s="204" t="s">
        <v>405</v>
      </c>
      <c r="Y3113" s="204" t="s">
        <v>35</v>
      </c>
      <c r="Z3113" s="204" t="s">
        <v>64</v>
      </c>
      <c r="AA3113" s="204"/>
      <c r="AB3113" s="204"/>
    </row>
    <row r="3114" spans="1:28" ht="45.5" customHeight="1">
      <c r="A3114" s="156" t="str">
        <f>'Reported burning'!A3114</f>
        <v>338d</v>
      </c>
      <c r="B3114" s="156" t="str">
        <f>'Reported burning'!B3114</f>
        <v>338d.5</v>
      </c>
      <c r="C3114" s="156" t="str">
        <f>'Reported burning'!C3114</f>
        <v>Human, deliberate</v>
      </c>
      <c r="D3114" s="156" t="str">
        <f>'Reported burning'!D3114</f>
        <v>Hunting</v>
      </c>
      <c r="E3114" s="156" t="str">
        <f>'Reported burning'!E3114</f>
        <v>Mixed cropping-livestock small holder, Subsistence-oriented</v>
      </c>
      <c r="F3114" s="156" t="str">
        <f>'Reported burning'!F3114</f>
        <v>Shrubland (Mixed forest &amp; grassland)</v>
      </c>
      <c r="G3114" s="156" t="str">
        <f>'Reported burning'!G3114</f>
        <v>ND</v>
      </c>
      <c r="H3114" s="156" t="str">
        <f>'Reported burning'!H3114</f>
        <v>Presence</v>
      </c>
      <c r="I3114" s="5"/>
      <c r="J3114" s="204" t="s">
        <v>2276</v>
      </c>
      <c r="K3114" s="204" t="s">
        <v>2276</v>
      </c>
      <c r="L3114" s="204" t="s">
        <v>2276</v>
      </c>
      <c r="M3114" s="204" t="s">
        <v>2276</v>
      </c>
      <c r="N3114" s="204" t="s">
        <v>2276</v>
      </c>
      <c r="O3114" s="204" t="s">
        <v>2276</v>
      </c>
      <c r="P3114" s="204" t="s">
        <v>2276</v>
      </c>
      <c r="Q3114" s="204" t="s">
        <v>2276</v>
      </c>
      <c r="R3114" s="204" t="s">
        <v>2276</v>
      </c>
      <c r="S3114" s="204" t="s">
        <v>2276</v>
      </c>
      <c r="T3114" s="204" t="s">
        <v>2276</v>
      </c>
      <c r="U3114" s="204" t="s">
        <v>2276</v>
      </c>
      <c r="V3114" s="204" t="s">
        <v>2276</v>
      </c>
      <c r="W3114" s="204" t="s">
        <v>2276</v>
      </c>
      <c r="X3114" s="204" t="s">
        <v>86</v>
      </c>
      <c r="Y3114" s="204" t="s">
        <v>35</v>
      </c>
      <c r="Z3114" s="204" t="s">
        <v>64</v>
      </c>
      <c r="AA3114" s="204"/>
      <c r="AB3114" s="204"/>
    </row>
    <row r="3115" spans="1:28" ht="45.5" customHeight="1">
      <c r="A3115" s="156" t="str">
        <f>'Reported burning'!A3115</f>
        <v>338d</v>
      </c>
      <c r="B3115" s="156" t="str">
        <f>'Reported burning'!B3115</f>
        <v>338d.6</v>
      </c>
      <c r="C3115" s="156" t="str">
        <f>'Reported burning'!C3115</f>
        <v>Human, deliberate</v>
      </c>
      <c r="D3115" s="156" t="str">
        <f>'Reported burning'!D3115</f>
        <v>Harvesting of NTFP</v>
      </c>
      <c r="E3115" s="156" t="str">
        <f>'Reported burning'!E3115</f>
        <v>Mixed cropping-livestock small holder, Subsistence-oriented</v>
      </c>
      <c r="F3115" s="156" t="str">
        <f>'Reported burning'!F3115</f>
        <v>Shrubland (Mixed forest &amp; grassland)</v>
      </c>
      <c r="G3115" s="156" t="str">
        <f>'Reported burning'!G3115</f>
        <v>ND</v>
      </c>
      <c r="H3115" s="156" t="str">
        <f>'Reported burning'!H3115</f>
        <v>Presence</v>
      </c>
      <c r="I3115" s="5"/>
      <c r="J3115" s="204" t="s">
        <v>2276</v>
      </c>
      <c r="K3115" s="204" t="s">
        <v>2276</v>
      </c>
      <c r="L3115" s="204" t="s">
        <v>2276</v>
      </c>
      <c r="M3115" s="204" t="s">
        <v>2276</v>
      </c>
      <c r="N3115" s="204" t="s">
        <v>2276</v>
      </c>
      <c r="O3115" s="204" t="s">
        <v>2276</v>
      </c>
      <c r="P3115" s="204" t="s">
        <v>2276</v>
      </c>
      <c r="Q3115" s="204" t="s">
        <v>2276</v>
      </c>
      <c r="R3115" s="204" t="s">
        <v>2276</v>
      </c>
      <c r="S3115" s="204" t="s">
        <v>2276</v>
      </c>
      <c r="T3115" s="204" t="s">
        <v>2276</v>
      </c>
      <c r="U3115" s="204" t="s">
        <v>2276</v>
      </c>
      <c r="V3115" s="204" t="s">
        <v>2276</v>
      </c>
      <c r="W3115" s="204" t="s">
        <v>2276</v>
      </c>
      <c r="X3115" s="204" t="s">
        <v>68</v>
      </c>
      <c r="Y3115" s="204" t="s">
        <v>127</v>
      </c>
      <c r="Z3115" s="204" t="s">
        <v>64</v>
      </c>
      <c r="AA3115" s="204"/>
      <c r="AB3115" s="204"/>
    </row>
    <row r="3116" spans="1:28" ht="45.5" customHeight="1">
      <c r="A3116" s="156" t="str">
        <f>'Reported burning'!A3116</f>
        <v>338d</v>
      </c>
      <c r="B3116" s="156" t="str">
        <f>'Reported burning'!B3116</f>
        <v>338d.7</v>
      </c>
      <c r="C3116" s="156" t="str">
        <f>'Reported burning'!C3116</f>
        <v>Human, deliberate</v>
      </c>
      <c r="D3116" s="156" t="str">
        <f>'Reported burning'!D3116</f>
        <v>Pest management</v>
      </c>
      <c r="E3116" s="156" t="str">
        <f>'Reported burning'!E3116</f>
        <v>Mixed cropping-livestock small holder, Subsistence-oriented</v>
      </c>
      <c r="F3116" s="156" t="str">
        <f>'Reported burning'!F3116</f>
        <v>Forest</v>
      </c>
      <c r="G3116" s="156" t="str">
        <f>'Reported burning'!G3116</f>
        <v>ND</v>
      </c>
      <c r="H3116" s="156" t="str">
        <f>'Reported burning'!H3116</f>
        <v>Presence</v>
      </c>
      <c r="I3116" s="5"/>
      <c r="J3116" s="204" t="s">
        <v>2276</v>
      </c>
      <c r="K3116" s="204" t="s">
        <v>2276</v>
      </c>
      <c r="L3116" s="204" t="s">
        <v>2276</v>
      </c>
      <c r="M3116" s="204" t="s">
        <v>2276</v>
      </c>
      <c r="N3116" s="204" t="s">
        <v>2276</v>
      </c>
      <c r="O3116" s="204" t="s">
        <v>2276</v>
      </c>
      <c r="P3116" s="204" t="s">
        <v>2276</v>
      </c>
      <c r="Q3116" s="204" t="s">
        <v>2276</v>
      </c>
      <c r="R3116" s="204" t="s">
        <v>2276</v>
      </c>
      <c r="S3116" s="204" t="s">
        <v>2276</v>
      </c>
      <c r="T3116" s="204" t="s">
        <v>2276</v>
      </c>
      <c r="U3116" s="204" t="s">
        <v>2276</v>
      </c>
      <c r="V3116" s="204" t="s">
        <v>2276</v>
      </c>
      <c r="W3116" s="204" t="s">
        <v>2276</v>
      </c>
      <c r="X3116" s="204" t="s">
        <v>38</v>
      </c>
      <c r="Y3116" s="204" t="s">
        <v>127</v>
      </c>
      <c r="Z3116" s="204" t="s">
        <v>64</v>
      </c>
      <c r="AA3116" s="204"/>
      <c r="AB3116" s="204"/>
    </row>
    <row r="3117" spans="1:28" ht="45.5" customHeight="1">
      <c r="A3117" s="156" t="str">
        <f>'Reported burning'!A3117</f>
        <v>338a</v>
      </c>
      <c r="B3117" s="156" t="str">
        <f>'Reported burning'!B3117</f>
        <v>338a.6</v>
      </c>
      <c r="C3117" s="156" t="str">
        <f>'Reported burning'!C3117</f>
        <v>Human, deliberate</v>
      </c>
      <c r="D3117" s="156" t="str">
        <f>'Reported burning'!D3117</f>
        <v>All</v>
      </c>
      <c r="E3117" s="156" t="str">
        <f>'Reported burning'!E3117</f>
        <v>Mixed cropping-livestock small holder, Subsistence-oriented</v>
      </c>
      <c r="F3117" s="156" t="str">
        <f>'Reported burning'!F3117</f>
        <v>Cropland</v>
      </c>
      <c r="G3117" s="156" t="str">
        <f>'Reported burning'!G3117</f>
        <v>Cropland</v>
      </c>
      <c r="H3117" s="156" t="str">
        <f>'Reported burning'!H3117</f>
        <v>Presence</v>
      </c>
      <c r="I3117" s="5"/>
      <c r="J3117" s="204" t="s">
        <v>2276</v>
      </c>
      <c r="K3117" s="204" t="s">
        <v>2276</v>
      </c>
      <c r="L3117" s="204" t="s">
        <v>2276</v>
      </c>
      <c r="M3117" s="204" t="s">
        <v>2276</v>
      </c>
      <c r="N3117" s="204" t="s">
        <v>2276</v>
      </c>
      <c r="O3117" s="204" t="s">
        <v>2276</v>
      </c>
      <c r="P3117" s="204" t="s">
        <v>2276</v>
      </c>
      <c r="Q3117" s="204" t="s">
        <v>2276</v>
      </c>
      <c r="R3117" s="204" t="s">
        <v>2276</v>
      </c>
      <c r="S3117" s="204" t="s">
        <v>2276</v>
      </c>
      <c r="T3117" s="204" t="s">
        <v>2276</v>
      </c>
      <c r="U3117" s="204" t="s">
        <v>2276</v>
      </c>
      <c r="V3117" s="204" t="s">
        <v>2276</v>
      </c>
      <c r="W3117" s="204" t="s">
        <v>2276</v>
      </c>
      <c r="X3117" s="204" t="s">
        <v>2276</v>
      </c>
      <c r="Y3117" s="204" t="s">
        <v>2276</v>
      </c>
      <c r="Z3117" s="204" t="s">
        <v>2276</v>
      </c>
      <c r="AA3117" s="204"/>
      <c r="AB3117" s="204"/>
    </row>
    <row r="3118" spans="1:28" ht="48" customHeight="1">
      <c r="A3118" s="156" t="str">
        <f>'Reported burning'!A3118</f>
        <v>338b</v>
      </c>
      <c r="B3118" s="156" t="str">
        <f>'Reported burning'!B3118</f>
        <v>338b.7</v>
      </c>
      <c r="C3118" s="156" t="str">
        <f>'Reported burning'!C3118</f>
        <v>Human, deliberate</v>
      </c>
      <c r="D3118" s="156" t="str">
        <f>'Reported burning'!D3118</f>
        <v>All</v>
      </c>
      <c r="E3118" s="156" t="str">
        <f>'Reported burning'!E3118</f>
        <v>Mixed cropping-livestock small holder, Subsistence-oriented</v>
      </c>
      <c r="F3118" s="156" t="str">
        <f>'Reported burning'!F3118</f>
        <v>Cropland</v>
      </c>
      <c r="G3118" s="156" t="str">
        <f>'Reported burning'!G3118</f>
        <v>Cropland</v>
      </c>
      <c r="H3118" s="156" t="str">
        <f>'Reported burning'!H3118</f>
        <v>Presence</v>
      </c>
      <c r="I3118" s="5"/>
      <c r="J3118" s="204" t="s">
        <v>2276</v>
      </c>
      <c r="K3118" s="204" t="s">
        <v>2276</v>
      </c>
      <c r="L3118" s="204" t="s">
        <v>2276</v>
      </c>
      <c r="M3118" s="204" t="s">
        <v>2276</v>
      </c>
      <c r="N3118" s="204" t="s">
        <v>2276</v>
      </c>
      <c r="O3118" s="204" t="s">
        <v>2276</v>
      </c>
      <c r="P3118" s="204" t="s">
        <v>2276</v>
      </c>
      <c r="Q3118" s="204" t="s">
        <v>2276</v>
      </c>
      <c r="R3118" s="204" t="s">
        <v>2276</v>
      </c>
      <c r="S3118" s="204" t="s">
        <v>2276</v>
      </c>
      <c r="T3118" s="204" t="s">
        <v>2276</v>
      </c>
      <c r="U3118" s="204" t="s">
        <v>2276</v>
      </c>
      <c r="V3118" s="204" t="s">
        <v>2276</v>
      </c>
      <c r="W3118" s="204" t="s">
        <v>2276</v>
      </c>
      <c r="X3118" s="204" t="s">
        <v>2276</v>
      </c>
      <c r="Y3118" s="204" t="s">
        <v>2276</v>
      </c>
      <c r="Z3118" s="204" t="s">
        <v>2276</v>
      </c>
      <c r="AA3118" s="204"/>
      <c r="AB3118" s="204"/>
    </row>
    <row r="3119" spans="1:28" ht="48" customHeight="1">
      <c r="A3119" s="156" t="str">
        <f>'Reported burning'!A3119</f>
        <v>338c</v>
      </c>
      <c r="B3119" s="156" t="str">
        <f>'Reported burning'!B3119</f>
        <v>338c.9</v>
      </c>
      <c r="C3119" s="156" t="str">
        <f>'Reported burning'!C3119</f>
        <v>Human, deliberate</v>
      </c>
      <c r="D3119" s="156" t="str">
        <f>'Reported burning'!D3119</f>
        <v>All</v>
      </c>
      <c r="E3119" s="156" t="str">
        <f>'Reported burning'!E3119</f>
        <v>Mixed cropping-livestock small holder, Subsistence-oriented</v>
      </c>
      <c r="F3119" s="156" t="str">
        <f>'Reported burning'!F3119</f>
        <v>Cropland</v>
      </c>
      <c r="G3119" s="156" t="str">
        <f>'Reported burning'!G3119</f>
        <v>Cropland</v>
      </c>
      <c r="H3119" s="156" t="str">
        <f>'Reported burning'!H3119</f>
        <v>Presence</v>
      </c>
      <c r="I3119" s="5"/>
      <c r="J3119" s="204" t="s">
        <v>2276</v>
      </c>
      <c r="K3119" s="103" t="s">
        <v>2362</v>
      </c>
      <c r="L3119" s="204" t="s">
        <v>2276</v>
      </c>
      <c r="M3119" s="204" t="s">
        <v>2276</v>
      </c>
      <c r="N3119" s="204" t="s">
        <v>2276</v>
      </c>
      <c r="O3119" s="21" t="s">
        <v>2373</v>
      </c>
      <c r="P3119" s="204" t="s">
        <v>2276</v>
      </c>
      <c r="Q3119" s="21" t="s">
        <v>2375</v>
      </c>
      <c r="R3119" s="204" t="s">
        <v>2276</v>
      </c>
      <c r="S3119" s="204" t="s">
        <v>2276</v>
      </c>
      <c r="T3119" s="204" t="s">
        <v>2276</v>
      </c>
      <c r="U3119" s="204" t="s">
        <v>2276</v>
      </c>
      <c r="V3119" s="204" t="s">
        <v>2276</v>
      </c>
      <c r="W3119" s="204" t="s">
        <v>2276</v>
      </c>
      <c r="X3119" s="204" t="s">
        <v>2276</v>
      </c>
      <c r="Y3119" s="204" t="s">
        <v>2276</v>
      </c>
      <c r="Z3119" s="204" t="s">
        <v>2276</v>
      </c>
      <c r="AA3119" s="204"/>
      <c r="AB3119" s="4" t="s">
        <v>8374</v>
      </c>
    </row>
    <row r="3120" spans="1:28" ht="48" customHeight="1">
      <c r="A3120" s="156" t="str">
        <f>'Reported burning'!A3120</f>
        <v>338d</v>
      </c>
      <c r="B3120" s="156" t="str">
        <f>'Reported burning'!B3120</f>
        <v>338d.8</v>
      </c>
      <c r="C3120" s="156" t="str">
        <f>'Reported burning'!C3120</f>
        <v>Human, deliberate</v>
      </c>
      <c r="D3120" s="156" t="str">
        <f>'Reported burning'!D3120</f>
        <v>All</v>
      </c>
      <c r="E3120" s="156" t="str">
        <f>'Reported burning'!E3120</f>
        <v>Mixed cropping-livestock small holder, Subsistence-oriented</v>
      </c>
      <c r="F3120" s="156" t="str">
        <f>'Reported burning'!F3120</f>
        <v>Cropland</v>
      </c>
      <c r="G3120" s="156" t="str">
        <f>'Reported burning'!G3120</f>
        <v>Cropland</v>
      </c>
      <c r="H3120" s="156" t="str">
        <f>'Reported burning'!H3120</f>
        <v>Presence</v>
      </c>
      <c r="I3120" s="5"/>
      <c r="J3120" s="204" t="s">
        <v>2276</v>
      </c>
      <c r="K3120" s="103" t="s">
        <v>2362</v>
      </c>
      <c r="L3120" s="204" t="s">
        <v>2276</v>
      </c>
      <c r="M3120" s="204" t="s">
        <v>2276</v>
      </c>
      <c r="N3120" s="204" t="s">
        <v>2276</v>
      </c>
      <c r="O3120" s="21" t="s">
        <v>2373</v>
      </c>
      <c r="P3120" s="204" t="s">
        <v>2276</v>
      </c>
      <c r="Q3120" s="21" t="s">
        <v>2375</v>
      </c>
      <c r="R3120" s="204" t="s">
        <v>2276</v>
      </c>
      <c r="S3120" s="204" t="s">
        <v>2276</v>
      </c>
      <c r="T3120" s="204" t="s">
        <v>2276</v>
      </c>
      <c r="U3120" s="204" t="s">
        <v>2276</v>
      </c>
      <c r="V3120" s="204" t="s">
        <v>2276</v>
      </c>
      <c r="W3120" s="204" t="s">
        <v>2276</v>
      </c>
      <c r="X3120" s="204" t="s">
        <v>2276</v>
      </c>
      <c r="Y3120" s="204" t="s">
        <v>2276</v>
      </c>
      <c r="Z3120" s="204" t="s">
        <v>2276</v>
      </c>
      <c r="AA3120" s="204"/>
      <c r="AB3120" s="4" t="s">
        <v>8374</v>
      </c>
    </row>
    <row r="3121" spans="1:28" ht="48" customHeight="1">
      <c r="A3121" s="156" t="str">
        <f>'Reported burning'!A3121</f>
        <v>338a</v>
      </c>
      <c r="B3121" s="156" t="str">
        <f>'Reported burning'!B3121</f>
        <v>338a.7</v>
      </c>
      <c r="C3121" s="156" t="str">
        <f>'Reported burning'!C3121</f>
        <v>Human, deliberate</v>
      </c>
      <c r="D3121" s="156" t="str">
        <f>'Reported burning'!D3121</f>
        <v>All</v>
      </c>
      <c r="E3121" s="156" t="str">
        <f>'Reported burning'!E3121</f>
        <v>Mixed cropping-livestock small holder, Subsistence-oriented</v>
      </c>
      <c r="F3121" s="156" t="str">
        <f>'Reported burning'!F3121</f>
        <v>Shrubland (Mixed forest &amp; grassland)</v>
      </c>
      <c r="G3121" s="156" t="str">
        <f>'Reported burning'!G3121</f>
        <v>Shrubland (Mixed forest &amp; grassland)</v>
      </c>
      <c r="H3121" s="156" t="str">
        <f>'Reported burning'!H3121</f>
        <v>Presence</v>
      </c>
      <c r="I3121" s="5"/>
      <c r="J3121" s="204" t="s">
        <v>2276</v>
      </c>
      <c r="K3121" s="103" t="s">
        <v>2362</v>
      </c>
      <c r="L3121" s="204" t="s">
        <v>2276</v>
      </c>
      <c r="M3121" s="204" t="s">
        <v>2276</v>
      </c>
      <c r="N3121" s="204" t="s">
        <v>2276</v>
      </c>
      <c r="O3121" s="21" t="s">
        <v>2373</v>
      </c>
      <c r="P3121" s="204" t="s">
        <v>2276</v>
      </c>
      <c r="Q3121" s="21" t="s">
        <v>2375</v>
      </c>
      <c r="R3121" s="204" t="s">
        <v>2276</v>
      </c>
      <c r="S3121" s="204" t="s">
        <v>2276</v>
      </c>
      <c r="T3121" s="204" t="s">
        <v>2276</v>
      </c>
      <c r="U3121" s="204" t="s">
        <v>2276</v>
      </c>
      <c r="V3121" s="204" t="s">
        <v>2276</v>
      </c>
      <c r="W3121" s="204" t="s">
        <v>2276</v>
      </c>
      <c r="X3121" s="204" t="s">
        <v>2276</v>
      </c>
      <c r="Y3121" s="204" t="s">
        <v>2276</v>
      </c>
      <c r="Z3121" s="204" t="s">
        <v>2276</v>
      </c>
      <c r="AA3121" s="204"/>
      <c r="AB3121" s="4" t="s">
        <v>8373</v>
      </c>
    </row>
    <row r="3122" spans="1:28" ht="48" customHeight="1">
      <c r="A3122" s="156" t="str">
        <f>'Reported burning'!A3122</f>
        <v>338b</v>
      </c>
      <c r="B3122" s="156" t="str">
        <f>'Reported burning'!B3122</f>
        <v>338b.8</v>
      </c>
      <c r="C3122" s="156" t="str">
        <f>'Reported burning'!C3122</f>
        <v>Human, deliberate</v>
      </c>
      <c r="D3122" s="156" t="str">
        <f>'Reported burning'!D3122</f>
        <v>All</v>
      </c>
      <c r="E3122" s="156" t="str">
        <f>'Reported burning'!E3122</f>
        <v>Mixed cropping-livestock small holder, Subsistence-oriented</v>
      </c>
      <c r="F3122" s="156" t="str">
        <f>'Reported burning'!F3122</f>
        <v>Shrubland (Mixed forest &amp; grassland)</v>
      </c>
      <c r="G3122" s="156" t="str">
        <f>'Reported burning'!G3122</f>
        <v>Shrubland (Mixed forest &amp; grassland)</v>
      </c>
      <c r="H3122" s="156" t="str">
        <f>'Reported burning'!H3122</f>
        <v>Presence</v>
      </c>
      <c r="I3122" s="5"/>
      <c r="J3122" s="204" t="s">
        <v>2276</v>
      </c>
      <c r="K3122" s="103" t="s">
        <v>2362</v>
      </c>
      <c r="L3122" s="204" t="s">
        <v>2276</v>
      </c>
      <c r="M3122" s="204" t="s">
        <v>2276</v>
      </c>
      <c r="N3122" s="204" t="s">
        <v>2276</v>
      </c>
      <c r="O3122" s="21" t="s">
        <v>2373</v>
      </c>
      <c r="P3122" s="204" t="s">
        <v>2276</v>
      </c>
      <c r="Q3122" s="21" t="s">
        <v>2375</v>
      </c>
      <c r="R3122" s="204" t="s">
        <v>2276</v>
      </c>
      <c r="S3122" s="204" t="s">
        <v>2276</v>
      </c>
      <c r="T3122" s="204" t="s">
        <v>2276</v>
      </c>
      <c r="U3122" s="204" t="s">
        <v>2276</v>
      </c>
      <c r="V3122" s="204" t="s">
        <v>2276</v>
      </c>
      <c r="W3122" s="204" t="s">
        <v>2276</v>
      </c>
      <c r="X3122" s="204" t="s">
        <v>2276</v>
      </c>
      <c r="Y3122" s="204" t="s">
        <v>2276</v>
      </c>
      <c r="Z3122" s="204" t="s">
        <v>2276</v>
      </c>
      <c r="AA3122" s="204"/>
      <c r="AB3122" s="4" t="s">
        <v>8373</v>
      </c>
    </row>
    <row r="3123" spans="1:28" ht="48" customHeight="1">
      <c r="A3123" s="156" t="str">
        <f>'Reported burning'!A3123</f>
        <v>338c</v>
      </c>
      <c r="B3123" s="156" t="str">
        <f>'Reported burning'!B3123</f>
        <v>338c.10</v>
      </c>
      <c r="C3123" s="156" t="str">
        <f>'Reported burning'!C3123</f>
        <v>Human, deliberate</v>
      </c>
      <c r="D3123" s="156" t="str">
        <f>'Reported burning'!D3123</f>
        <v>All</v>
      </c>
      <c r="E3123" s="156" t="str">
        <f>'Reported burning'!E3123</f>
        <v>Mixed cropping-livestock small holder, Subsistence-oriented</v>
      </c>
      <c r="F3123" s="156" t="str">
        <f>'Reported burning'!F3123</f>
        <v>Shrubland (Mixed forest &amp; grassland)</v>
      </c>
      <c r="G3123" s="156" t="str">
        <f>'Reported burning'!G3123</f>
        <v>Shrubland (Mixed forest &amp; grassland)</v>
      </c>
      <c r="H3123" s="156" t="str">
        <f>'Reported burning'!H3123</f>
        <v>Presence</v>
      </c>
      <c r="I3123" s="5"/>
      <c r="J3123" s="204" t="s">
        <v>2276</v>
      </c>
      <c r="K3123" s="103" t="s">
        <v>2362</v>
      </c>
      <c r="L3123" s="204" t="s">
        <v>2276</v>
      </c>
      <c r="M3123" s="204" t="s">
        <v>2276</v>
      </c>
      <c r="N3123" s="204" t="s">
        <v>2276</v>
      </c>
      <c r="O3123" s="21" t="s">
        <v>2373</v>
      </c>
      <c r="P3123" s="204" t="s">
        <v>2276</v>
      </c>
      <c r="Q3123" s="21" t="s">
        <v>2375</v>
      </c>
      <c r="R3123" s="204" t="s">
        <v>2276</v>
      </c>
      <c r="S3123" s="204" t="s">
        <v>2276</v>
      </c>
      <c r="T3123" s="204" t="s">
        <v>2276</v>
      </c>
      <c r="U3123" s="204" t="s">
        <v>2276</v>
      </c>
      <c r="V3123" s="204" t="s">
        <v>2276</v>
      </c>
      <c r="W3123" s="204" t="s">
        <v>2276</v>
      </c>
      <c r="X3123" s="204" t="s">
        <v>2276</v>
      </c>
      <c r="Y3123" s="204" t="s">
        <v>2276</v>
      </c>
      <c r="Z3123" s="204" t="s">
        <v>2276</v>
      </c>
      <c r="AA3123" s="204"/>
      <c r="AB3123" s="4" t="s">
        <v>8373</v>
      </c>
    </row>
    <row r="3124" spans="1:28" ht="48" customHeight="1">
      <c r="A3124" s="156" t="str">
        <f>'Reported burning'!A3124</f>
        <v>338d</v>
      </c>
      <c r="B3124" s="156" t="str">
        <f>'Reported burning'!B3124</f>
        <v>338d.9</v>
      </c>
      <c r="C3124" s="156" t="str">
        <f>'Reported burning'!C3124</f>
        <v>Human, deliberate</v>
      </c>
      <c r="D3124" s="156" t="str">
        <f>'Reported burning'!D3124</f>
        <v>All</v>
      </c>
      <c r="E3124" s="156" t="str">
        <f>'Reported burning'!E3124</f>
        <v>Mixed cropping-livestock small holder, Subsistence-oriented</v>
      </c>
      <c r="F3124" s="156" t="str">
        <f>'Reported burning'!F3124</f>
        <v>Shrubland (Mixed forest &amp; grassland)</v>
      </c>
      <c r="G3124" s="156" t="str">
        <f>'Reported burning'!G3124</f>
        <v>Shrubland (Mixed forest &amp; grassland)</v>
      </c>
      <c r="H3124" s="156" t="str">
        <f>'Reported burning'!H3124</f>
        <v>Presence</v>
      </c>
      <c r="I3124" s="5"/>
      <c r="J3124" s="204" t="s">
        <v>2276</v>
      </c>
      <c r="K3124" s="103" t="s">
        <v>2362</v>
      </c>
      <c r="L3124" s="204" t="s">
        <v>2276</v>
      </c>
      <c r="M3124" s="204" t="s">
        <v>2276</v>
      </c>
      <c r="N3124" s="204" t="s">
        <v>2276</v>
      </c>
      <c r="O3124" s="21" t="s">
        <v>2373</v>
      </c>
      <c r="P3124" s="204" t="s">
        <v>2276</v>
      </c>
      <c r="Q3124" s="21" t="s">
        <v>2375</v>
      </c>
      <c r="R3124" s="204" t="s">
        <v>2276</v>
      </c>
      <c r="S3124" s="204" t="s">
        <v>2276</v>
      </c>
      <c r="T3124" s="204" t="s">
        <v>2276</v>
      </c>
      <c r="U3124" s="204" t="s">
        <v>2276</v>
      </c>
      <c r="V3124" s="204" t="s">
        <v>2276</v>
      </c>
      <c r="W3124" s="204" t="s">
        <v>2276</v>
      </c>
      <c r="X3124" s="204" t="s">
        <v>2276</v>
      </c>
      <c r="Y3124" s="204" t="s">
        <v>2276</v>
      </c>
      <c r="Z3124" s="204" t="s">
        <v>2276</v>
      </c>
      <c r="AA3124" s="204"/>
      <c r="AB3124" s="4" t="s">
        <v>8373</v>
      </c>
    </row>
    <row r="3125" spans="1:28" ht="48" customHeight="1">
      <c r="A3125" s="156" t="str">
        <f>'Reported burning'!A3125</f>
        <v>338a</v>
      </c>
      <c r="B3125" s="156" t="str">
        <f>'Reported burning'!B3125</f>
        <v>338a.8</v>
      </c>
      <c r="C3125" s="156" t="str">
        <f>'Reported burning'!C3125</f>
        <v>Human, deliberate</v>
      </c>
      <c r="D3125" s="156" t="str">
        <f>'Reported burning'!D3125</f>
        <v>All</v>
      </c>
      <c r="E3125" s="156" t="str">
        <f>'Reported burning'!E3125</f>
        <v>Mixed cropping-livestock small holder, Subsistence-oriented</v>
      </c>
      <c r="F3125" s="156" t="str">
        <f>'Reported burning'!F3125</f>
        <v>ND</v>
      </c>
      <c r="G3125" s="156" t="str">
        <f>'Reported burning'!G3125</f>
        <v>ND</v>
      </c>
      <c r="H3125" s="156" t="str">
        <f>'Reported burning'!H3125</f>
        <v>Presence</v>
      </c>
      <c r="I3125" s="5"/>
      <c r="J3125" s="204" t="s">
        <v>2276</v>
      </c>
      <c r="K3125" s="103" t="s">
        <v>2362</v>
      </c>
      <c r="L3125" s="204" t="s">
        <v>2276</v>
      </c>
      <c r="M3125" s="204" t="s">
        <v>2276</v>
      </c>
      <c r="N3125" s="204" t="s">
        <v>2276</v>
      </c>
      <c r="O3125" s="21" t="s">
        <v>2373</v>
      </c>
      <c r="P3125" s="204" t="s">
        <v>2276</v>
      </c>
      <c r="Q3125" s="21" t="s">
        <v>2375</v>
      </c>
      <c r="R3125" s="204" t="s">
        <v>2276</v>
      </c>
      <c r="S3125" s="204" t="s">
        <v>2276</v>
      </c>
      <c r="T3125" s="204" t="s">
        <v>2276</v>
      </c>
      <c r="U3125" s="204" t="s">
        <v>2276</v>
      </c>
      <c r="V3125" s="204" t="s">
        <v>2276</v>
      </c>
      <c r="W3125" s="21" t="s">
        <v>2402</v>
      </c>
      <c r="X3125" s="204" t="s">
        <v>34</v>
      </c>
      <c r="Y3125" s="204" t="s">
        <v>35</v>
      </c>
      <c r="Z3125" s="204" t="s">
        <v>64</v>
      </c>
      <c r="AA3125" s="204"/>
      <c r="AB3125" s="4" t="s">
        <v>8379</v>
      </c>
    </row>
    <row r="3126" spans="1:28" ht="48" customHeight="1">
      <c r="A3126" s="156" t="str">
        <f>'Reported burning'!A3126</f>
        <v>338b</v>
      </c>
      <c r="B3126" s="156" t="str">
        <f>'Reported burning'!B3126</f>
        <v>338b.9</v>
      </c>
      <c r="C3126" s="156" t="str">
        <f>'Reported burning'!C3126</f>
        <v>Human, deliberate</v>
      </c>
      <c r="D3126" s="156" t="str">
        <f>'Reported burning'!D3126</f>
        <v>All</v>
      </c>
      <c r="E3126" s="156" t="str">
        <f>'Reported burning'!E3126</f>
        <v>Mixed cropping-livestock small holder, Subsistence-oriented</v>
      </c>
      <c r="F3126" s="156" t="str">
        <f>'Reported burning'!F3126</f>
        <v>ND</v>
      </c>
      <c r="G3126" s="156" t="str">
        <f>'Reported burning'!G3126</f>
        <v>ND</v>
      </c>
      <c r="H3126" s="156" t="str">
        <f>'Reported burning'!H3126</f>
        <v>Presence</v>
      </c>
      <c r="I3126" s="5"/>
      <c r="J3126" s="204" t="s">
        <v>2276</v>
      </c>
      <c r="K3126" s="103" t="s">
        <v>2362</v>
      </c>
      <c r="L3126" s="204" t="s">
        <v>2276</v>
      </c>
      <c r="M3126" s="204" t="s">
        <v>2276</v>
      </c>
      <c r="N3126" s="204" t="s">
        <v>2276</v>
      </c>
      <c r="O3126" s="21" t="s">
        <v>2373</v>
      </c>
      <c r="P3126" s="204" t="s">
        <v>2276</v>
      </c>
      <c r="Q3126" s="21" t="s">
        <v>2375</v>
      </c>
      <c r="R3126" s="204" t="s">
        <v>2276</v>
      </c>
      <c r="S3126" s="204" t="s">
        <v>2276</v>
      </c>
      <c r="T3126" s="204" t="s">
        <v>2276</v>
      </c>
      <c r="U3126" s="204" t="s">
        <v>2276</v>
      </c>
      <c r="V3126" s="204" t="s">
        <v>2276</v>
      </c>
      <c r="W3126" s="21" t="s">
        <v>2403</v>
      </c>
      <c r="X3126" s="204" t="s">
        <v>34</v>
      </c>
      <c r="Y3126" s="204" t="s">
        <v>35</v>
      </c>
      <c r="Z3126" s="204" t="s">
        <v>64</v>
      </c>
      <c r="AA3126" s="204"/>
      <c r="AB3126" s="4" t="s">
        <v>8379</v>
      </c>
    </row>
    <row r="3127" spans="1:28" ht="48" customHeight="1">
      <c r="A3127" s="156" t="str">
        <f>'Reported burning'!A3127</f>
        <v>338c</v>
      </c>
      <c r="B3127" s="156" t="str">
        <f>'Reported burning'!B3127</f>
        <v>338c.11</v>
      </c>
      <c r="C3127" s="156" t="str">
        <f>'Reported burning'!C3127</f>
        <v>Human, deliberate</v>
      </c>
      <c r="D3127" s="156" t="str">
        <f>'Reported burning'!D3127</f>
        <v>All</v>
      </c>
      <c r="E3127" s="156" t="str">
        <f>'Reported burning'!E3127</f>
        <v>Mixed cropping-livestock small holder, Subsistence-oriented</v>
      </c>
      <c r="F3127" s="156" t="str">
        <f>'Reported burning'!F3127</f>
        <v>ND</v>
      </c>
      <c r="G3127" s="156" t="str">
        <f>'Reported burning'!G3127</f>
        <v>ND</v>
      </c>
      <c r="H3127" s="156" t="str">
        <f>'Reported burning'!H3127</f>
        <v>Presence</v>
      </c>
      <c r="I3127" s="5"/>
      <c r="J3127" s="204" t="s">
        <v>2276</v>
      </c>
      <c r="K3127" s="103" t="s">
        <v>2362</v>
      </c>
      <c r="L3127" s="204" t="s">
        <v>2276</v>
      </c>
      <c r="M3127" s="204" t="s">
        <v>2276</v>
      </c>
      <c r="N3127" s="204" t="s">
        <v>2276</v>
      </c>
      <c r="O3127" s="21" t="s">
        <v>2373</v>
      </c>
      <c r="P3127" s="204" t="s">
        <v>2276</v>
      </c>
      <c r="Q3127" s="21" t="s">
        <v>2375</v>
      </c>
      <c r="R3127" s="204" t="s">
        <v>2276</v>
      </c>
      <c r="S3127" s="204" t="s">
        <v>2276</v>
      </c>
      <c r="T3127" s="204" t="s">
        <v>2276</v>
      </c>
      <c r="U3127" s="204" t="s">
        <v>2276</v>
      </c>
      <c r="V3127" s="204" t="s">
        <v>2276</v>
      </c>
      <c r="W3127" s="21" t="s">
        <v>2404</v>
      </c>
      <c r="X3127" s="204" t="s">
        <v>86</v>
      </c>
      <c r="Y3127" s="204" t="s">
        <v>127</v>
      </c>
      <c r="Z3127" s="204" t="s">
        <v>64</v>
      </c>
      <c r="AA3127" s="204"/>
      <c r="AB3127" s="4" t="s">
        <v>8380</v>
      </c>
    </row>
    <row r="3128" spans="1:28" ht="48" customHeight="1">
      <c r="A3128" s="156" t="str">
        <f>'Reported burning'!A3128</f>
        <v>338d</v>
      </c>
      <c r="B3128" s="156" t="str">
        <f>'Reported burning'!B3128</f>
        <v>338d.10</v>
      </c>
      <c r="C3128" s="156" t="str">
        <f>'Reported burning'!C3128</f>
        <v>Human, deliberate</v>
      </c>
      <c r="D3128" s="156" t="str">
        <f>'Reported burning'!D3128</f>
        <v>All</v>
      </c>
      <c r="E3128" s="156" t="str">
        <f>'Reported burning'!E3128</f>
        <v>Mixed cropping-livestock small holder, Subsistence-oriented</v>
      </c>
      <c r="F3128" s="156" t="str">
        <f>'Reported burning'!F3128</f>
        <v>ND</v>
      </c>
      <c r="G3128" s="156" t="str">
        <f>'Reported burning'!G3128</f>
        <v>ND</v>
      </c>
      <c r="H3128" s="156" t="str">
        <f>'Reported burning'!H3128</f>
        <v>Presence</v>
      </c>
      <c r="I3128" s="5"/>
      <c r="J3128" s="204" t="s">
        <v>2276</v>
      </c>
      <c r="K3128" s="103" t="s">
        <v>2362</v>
      </c>
      <c r="L3128" s="204" t="s">
        <v>2276</v>
      </c>
      <c r="M3128" s="204" t="s">
        <v>2276</v>
      </c>
      <c r="N3128" s="204" t="s">
        <v>2276</v>
      </c>
      <c r="O3128" s="21" t="s">
        <v>2373</v>
      </c>
      <c r="P3128" s="204" t="s">
        <v>2276</v>
      </c>
      <c r="Q3128" s="21" t="s">
        <v>2375</v>
      </c>
      <c r="R3128" s="204" t="s">
        <v>2276</v>
      </c>
      <c r="S3128" s="204" t="s">
        <v>2276</v>
      </c>
      <c r="T3128" s="204" t="s">
        <v>2276</v>
      </c>
      <c r="U3128" s="204" t="s">
        <v>2276</v>
      </c>
      <c r="V3128" s="204" t="s">
        <v>2276</v>
      </c>
      <c r="W3128" s="21" t="s">
        <v>2402</v>
      </c>
      <c r="X3128" s="204" t="s">
        <v>86</v>
      </c>
      <c r="Y3128" s="204" t="s">
        <v>127</v>
      </c>
      <c r="Z3128" s="204" t="s">
        <v>64</v>
      </c>
      <c r="AA3128" s="204"/>
      <c r="AB3128" s="4" t="s">
        <v>8380</v>
      </c>
    </row>
    <row r="3129" spans="1:28" ht="56.5" customHeight="1">
      <c r="A3129" s="156" t="str">
        <f>'Reported burning'!A3129</f>
        <v>338a</v>
      </c>
      <c r="B3129" s="156" t="str">
        <f>'Reported burning'!B3129</f>
        <v>338a.9</v>
      </c>
      <c r="C3129" s="156" t="str">
        <f>'Reported burning'!C3129</f>
        <v>Human, escaped</v>
      </c>
      <c r="D3129" s="156" t="str">
        <f>'Reported burning'!D3129</f>
        <v>All</v>
      </c>
      <c r="E3129" s="156" t="str">
        <f>'Reported burning'!E3129</f>
        <v>Mixed cropping-livestock small holder, Subsistence-oriented</v>
      </c>
      <c r="F3129" s="156" t="str">
        <f>'Reported burning'!F3129</f>
        <v>Shrubland (Mixed forest &amp; grassland)</v>
      </c>
      <c r="G3129" s="156" t="str">
        <f>'Reported burning'!G3129</f>
        <v>Forest</v>
      </c>
      <c r="H3129" s="156" t="str">
        <f>'Reported burning'!H3129</f>
        <v>Presence</v>
      </c>
      <c r="I3129" s="5"/>
      <c r="J3129" s="204" t="s">
        <v>2276</v>
      </c>
      <c r="K3129" s="204" t="s">
        <v>2276</v>
      </c>
      <c r="L3129" s="204" t="s">
        <v>2276</v>
      </c>
      <c r="M3129" s="204" t="s">
        <v>2276</v>
      </c>
      <c r="N3129" s="204" t="s">
        <v>2276</v>
      </c>
      <c r="O3129" s="204" t="s">
        <v>2276</v>
      </c>
      <c r="P3129" s="204" t="s">
        <v>2276</v>
      </c>
      <c r="Q3129" s="204" t="s">
        <v>2276</v>
      </c>
      <c r="R3129" s="204" t="s">
        <v>2276</v>
      </c>
      <c r="S3129" s="204" t="s">
        <v>2276</v>
      </c>
      <c r="T3129" s="204" t="s">
        <v>2276</v>
      </c>
      <c r="U3129" s="204" t="s">
        <v>2276</v>
      </c>
      <c r="V3129" s="204" t="s">
        <v>2276</v>
      </c>
      <c r="W3129" s="204" t="s">
        <v>2276</v>
      </c>
      <c r="X3129" s="204" t="s">
        <v>2276</v>
      </c>
      <c r="Y3129" s="204" t="s">
        <v>2276</v>
      </c>
      <c r="Z3129" s="204" t="s">
        <v>2276</v>
      </c>
      <c r="AA3129" s="204"/>
      <c r="AB3129" s="204"/>
    </row>
    <row r="3130" spans="1:28" ht="56.5" customHeight="1">
      <c r="A3130" s="156" t="str">
        <f>'Reported burning'!A3130</f>
        <v>338b</v>
      </c>
      <c r="B3130" s="156" t="str">
        <f>'Reported burning'!B3130</f>
        <v>338b.10</v>
      </c>
      <c r="C3130" s="156" t="str">
        <f>'Reported burning'!C3130</f>
        <v>Human, escaped</v>
      </c>
      <c r="D3130" s="156" t="str">
        <f>'Reported burning'!D3130</f>
        <v>All</v>
      </c>
      <c r="E3130" s="156" t="str">
        <f>'Reported burning'!E3130</f>
        <v>Mixed cropping-livestock small holder, Subsistence-oriented</v>
      </c>
      <c r="F3130" s="156" t="str">
        <f>'Reported burning'!F3130</f>
        <v>Shrubland (Mixed forest &amp; grassland)</v>
      </c>
      <c r="G3130" s="156" t="str">
        <f>'Reported burning'!G3130</f>
        <v>Forest</v>
      </c>
      <c r="H3130" s="156" t="str">
        <f>'Reported burning'!H3130</f>
        <v>Presence</v>
      </c>
      <c r="I3130" s="5"/>
      <c r="J3130" s="204" t="s">
        <v>2276</v>
      </c>
      <c r="K3130" s="204" t="s">
        <v>2276</v>
      </c>
      <c r="L3130" s="204" t="s">
        <v>2276</v>
      </c>
      <c r="M3130" s="204" t="s">
        <v>2276</v>
      </c>
      <c r="N3130" s="204" t="s">
        <v>2276</v>
      </c>
      <c r="O3130" s="204" t="s">
        <v>2276</v>
      </c>
      <c r="P3130" s="204" t="s">
        <v>2276</v>
      </c>
      <c r="Q3130" s="204" t="s">
        <v>2276</v>
      </c>
      <c r="R3130" s="204" t="s">
        <v>2276</v>
      </c>
      <c r="S3130" s="204" t="s">
        <v>2276</v>
      </c>
      <c r="T3130" s="204" t="s">
        <v>2276</v>
      </c>
      <c r="U3130" s="204" t="s">
        <v>2276</v>
      </c>
      <c r="V3130" s="204" t="s">
        <v>2276</v>
      </c>
      <c r="W3130" s="204" t="s">
        <v>2276</v>
      </c>
      <c r="X3130" s="204" t="s">
        <v>2276</v>
      </c>
      <c r="Y3130" s="204" t="s">
        <v>2276</v>
      </c>
      <c r="Z3130" s="204" t="s">
        <v>2276</v>
      </c>
      <c r="AA3130" s="204"/>
      <c r="AB3130" s="204"/>
    </row>
    <row r="3131" spans="1:28" ht="56.5" customHeight="1">
      <c r="A3131" s="156" t="str">
        <f>'Reported burning'!A3131</f>
        <v>338c</v>
      </c>
      <c r="B3131" s="156" t="str">
        <f>'Reported burning'!B3131</f>
        <v>338c.12</v>
      </c>
      <c r="C3131" s="156" t="str">
        <f>'Reported burning'!C3131</f>
        <v>Human, escaped</v>
      </c>
      <c r="D3131" s="156" t="str">
        <f>'Reported burning'!D3131</f>
        <v>All</v>
      </c>
      <c r="E3131" s="156" t="str">
        <f>'Reported burning'!E3131</f>
        <v>Mixed cropping-livestock small holder, Subsistence-oriented</v>
      </c>
      <c r="F3131" s="156" t="str">
        <f>'Reported burning'!F3131</f>
        <v>Shrubland (Mixed forest &amp; grassland)</v>
      </c>
      <c r="G3131" s="156" t="str">
        <f>'Reported burning'!G3131</f>
        <v>Forest</v>
      </c>
      <c r="H3131" s="156" t="str">
        <f>'Reported burning'!H3131</f>
        <v>Presence</v>
      </c>
      <c r="I3131" s="5"/>
      <c r="J3131" s="204" t="s">
        <v>2276</v>
      </c>
      <c r="K3131" s="204" t="s">
        <v>2276</v>
      </c>
      <c r="L3131" s="204" t="s">
        <v>2276</v>
      </c>
      <c r="M3131" s="204" t="s">
        <v>2276</v>
      </c>
      <c r="N3131" s="204" t="s">
        <v>2276</v>
      </c>
      <c r="O3131" s="204" t="s">
        <v>2276</v>
      </c>
      <c r="P3131" s="204" t="s">
        <v>2276</v>
      </c>
      <c r="Q3131" s="204" t="s">
        <v>2276</v>
      </c>
      <c r="R3131" s="204" t="s">
        <v>2276</v>
      </c>
      <c r="S3131" s="204" t="s">
        <v>2276</v>
      </c>
      <c r="T3131" s="204" t="s">
        <v>2276</v>
      </c>
      <c r="U3131" s="204" t="s">
        <v>2276</v>
      </c>
      <c r="V3131" s="204" t="s">
        <v>2276</v>
      </c>
      <c r="W3131" s="204" t="s">
        <v>2276</v>
      </c>
      <c r="X3131" s="204" t="s">
        <v>2276</v>
      </c>
      <c r="Y3131" s="204" t="s">
        <v>2276</v>
      </c>
      <c r="Z3131" s="204" t="s">
        <v>2276</v>
      </c>
      <c r="AA3131" s="204"/>
      <c r="AB3131" s="204"/>
    </row>
    <row r="3132" spans="1:28" ht="56.5" customHeight="1">
      <c r="A3132" s="156" t="str">
        <f>'Reported burning'!A3132</f>
        <v>338d</v>
      </c>
      <c r="B3132" s="156" t="str">
        <f>'Reported burning'!B3132</f>
        <v>338d.11</v>
      </c>
      <c r="C3132" s="156" t="str">
        <f>'Reported burning'!C3132</f>
        <v>Human, escaped</v>
      </c>
      <c r="D3132" s="156" t="str">
        <f>'Reported burning'!D3132</f>
        <v>All</v>
      </c>
      <c r="E3132" s="156" t="str">
        <f>'Reported burning'!E3132</f>
        <v>Mixed cropping-livestock small holder, Subsistence-oriented</v>
      </c>
      <c r="F3132" s="156" t="str">
        <f>'Reported burning'!F3132</f>
        <v>Shrubland (Mixed forest &amp; grassland)</v>
      </c>
      <c r="G3132" s="156" t="str">
        <f>'Reported burning'!G3132</f>
        <v>Forest</v>
      </c>
      <c r="H3132" s="156" t="str">
        <f>'Reported burning'!H3132</f>
        <v>Presence</v>
      </c>
      <c r="I3132" s="5"/>
      <c r="J3132" s="204" t="s">
        <v>2276</v>
      </c>
      <c r="K3132" s="204" t="s">
        <v>2276</v>
      </c>
      <c r="L3132" s="204" t="s">
        <v>2276</v>
      </c>
      <c r="M3132" s="204" t="s">
        <v>2276</v>
      </c>
      <c r="N3132" s="204" t="s">
        <v>2276</v>
      </c>
      <c r="O3132" s="204" t="s">
        <v>2276</v>
      </c>
      <c r="P3132" s="204" t="s">
        <v>2276</v>
      </c>
      <c r="Q3132" s="204" t="s">
        <v>2276</v>
      </c>
      <c r="R3132" s="204" t="s">
        <v>2276</v>
      </c>
      <c r="S3132" s="204" t="s">
        <v>2276</v>
      </c>
      <c r="T3132" s="204" t="s">
        <v>2276</v>
      </c>
      <c r="U3132" s="204" t="s">
        <v>2276</v>
      </c>
      <c r="V3132" s="204" t="s">
        <v>2276</v>
      </c>
      <c r="W3132" s="204" t="s">
        <v>2276</v>
      </c>
      <c r="X3132" s="204" t="s">
        <v>2276</v>
      </c>
      <c r="Y3132" s="204" t="s">
        <v>2276</v>
      </c>
      <c r="Z3132" s="204" t="s">
        <v>2276</v>
      </c>
      <c r="AA3132" s="204"/>
      <c r="AB3132" s="204"/>
    </row>
    <row r="3133" spans="1:28" ht="56.5" customHeight="1">
      <c r="A3133" s="156" t="str">
        <f>'Reported burning'!A3133</f>
        <v>339a</v>
      </c>
      <c r="B3133" s="156" t="str">
        <f>'Reported burning'!B3133</f>
        <v>339a.1</v>
      </c>
      <c r="C3133" s="156" t="str">
        <f>'Reported burning'!C3133</f>
        <v>Human, deliberate</v>
      </c>
      <c r="D3133" s="156" t="str">
        <f>'Reported burning'!D3133</f>
        <v>Crop residue burning</v>
      </c>
      <c r="E3133" s="156" t="str">
        <f>'Reported burning'!E3133</f>
        <v>Cropping, Monoculture, Market-oriented</v>
      </c>
      <c r="F3133" s="156" t="str">
        <f>'Reported burning'!F3133</f>
        <v>Cropland</v>
      </c>
      <c r="G3133" s="156" t="str">
        <f>'Reported burning'!G3133</f>
        <v>ND</v>
      </c>
      <c r="H3133" s="156" t="str">
        <f>'Reported burning'!H3133</f>
        <v>Presence</v>
      </c>
      <c r="I3133" s="5"/>
      <c r="J3133" s="204" t="s">
        <v>2276</v>
      </c>
      <c r="K3133" s="204" t="s">
        <v>2276</v>
      </c>
      <c r="L3133" s="204" t="s">
        <v>2276</v>
      </c>
      <c r="M3133" s="204" t="s">
        <v>2276</v>
      </c>
      <c r="N3133" s="204" t="s">
        <v>2276</v>
      </c>
      <c r="O3133" s="204" t="s">
        <v>2276</v>
      </c>
      <c r="P3133" s="204" t="s">
        <v>2276</v>
      </c>
      <c r="Q3133" s="204" t="s">
        <v>2276</v>
      </c>
      <c r="R3133" s="204" t="s">
        <v>2276</v>
      </c>
      <c r="S3133" s="21" t="s">
        <v>2392</v>
      </c>
      <c r="T3133" s="204" t="s">
        <v>2276</v>
      </c>
      <c r="U3133" s="204" t="s">
        <v>2276</v>
      </c>
      <c r="V3133" s="204" t="s">
        <v>2276</v>
      </c>
      <c r="W3133" s="204" t="s">
        <v>2276</v>
      </c>
      <c r="X3133" s="204" t="s">
        <v>2276</v>
      </c>
      <c r="Y3133" s="204" t="s">
        <v>2276</v>
      </c>
      <c r="Z3133" s="204" t="s">
        <v>2276</v>
      </c>
      <c r="AA3133" s="204"/>
      <c r="AB3133" s="204"/>
    </row>
    <row r="3134" spans="1:28" ht="38.5" customHeight="1">
      <c r="A3134" s="156" t="str">
        <f>'Reported burning'!A3134</f>
        <v>339a</v>
      </c>
      <c r="B3134" s="156" t="str">
        <f>'Reported burning'!B3134</f>
        <v>339a.2</v>
      </c>
      <c r="C3134" s="156" t="str">
        <f>'Reported burning'!C3134</f>
        <v>Human, deliberate</v>
      </c>
      <c r="D3134" s="156" t="str">
        <f>'Reported burning'!D3134</f>
        <v>Crop residue burning</v>
      </c>
      <c r="E3134" s="156" t="str">
        <f>'Reported burning'!E3134</f>
        <v>Cropping, Monoculture, Market-oriented</v>
      </c>
      <c r="F3134" s="156" t="str">
        <f>'Reported burning'!F3134</f>
        <v>Cropland</v>
      </c>
      <c r="G3134" s="156" t="str">
        <f>'Reported burning'!G3134</f>
        <v>ND</v>
      </c>
      <c r="H3134" s="156" t="str">
        <f>'Reported burning'!H3134</f>
        <v>Presence</v>
      </c>
      <c r="I3134" s="5"/>
      <c r="J3134" s="204" t="s">
        <v>2276</v>
      </c>
      <c r="K3134" s="204" t="s">
        <v>2276</v>
      </c>
      <c r="L3134" s="204" t="s">
        <v>2276</v>
      </c>
      <c r="M3134" s="204" t="s">
        <v>2276</v>
      </c>
      <c r="N3134" s="204" t="s">
        <v>2276</v>
      </c>
      <c r="O3134" s="204" t="s">
        <v>2276</v>
      </c>
      <c r="P3134" s="204" t="s">
        <v>2276</v>
      </c>
      <c r="Q3134" s="204" t="s">
        <v>2276</v>
      </c>
      <c r="R3134" s="204" t="s">
        <v>2276</v>
      </c>
      <c r="S3134" s="21" t="s">
        <v>2376</v>
      </c>
      <c r="T3134" s="204" t="s">
        <v>2276</v>
      </c>
      <c r="U3134" s="204" t="s">
        <v>2276</v>
      </c>
      <c r="V3134" s="204" t="s">
        <v>2276</v>
      </c>
      <c r="W3134" s="204" t="s">
        <v>2276</v>
      </c>
      <c r="X3134" s="204" t="s">
        <v>2276</v>
      </c>
      <c r="Y3134" s="204" t="s">
        <v>2276</v>
      </c>
      <c r="Z3134" s="204" t="s">
        <v>2276</v>
      </c>
      <c r="AA3134" s="204"/>
      <c r="AB3134" s="204"/>
    </row>
    <row r="3135" spans="1:28" ht="38.5" customHeight="1">
      <c r="A3135" s="156" t="str">
        <f>'Reported burning'!A3135</f>
        <v>339b</v>
      </c>
      <c r="B3135" s="156" t="str">
        <f>'Reported burning'!B3135</f>
        <v>339b.1</v>
      </c>
      <c r="C3135" s="156" t="str">
        <f>'Reported burning'!C3135</f>
        <v>Human, deliberate</v>
      </c>
      <c r="D3135" s="156" t="str">
        <f>'Reported burning'!D3135</f>
        <v>Crop residue burning</v>
      </c>
      <c r="E3135" s="156" t="str">
        <f>'Reported burning'!E3135</f>
        <v>Cropping, Monoculture, Market-oriented</v>
      </c>
      <c r="F3135" s="156" t="str">
        <f>'Reported burning'!F3135</f>
        <v>Cropland</v>
      </c>
      <c r="G3135" s="156" t="str">
        <f>'Reported burning'!G3135</f>
        <v>ND</v>
      </c>
      <c r="H3135" s="156" t="str">
        <f>'Reported burning'!H3135</f>
        <v>Presence</v>
      </c>
      <c r="I3135" s="5"/>
      <c r="J3135" s="204" t="s">
        <v>2276</v>
      </c>
      <c r="K3135" s="204" t="s">
        <v>2276</v>
      </c>
      <c r="L3135" s="204" t="s">
        <v>2276</v>
      </c>
      <c r="M3135" s="204" t="s">
        <v>2276</v>
      </c>
      <c r="N3135" s="204" t="s">
        <v>2276</v>
      </c>
      <c r="O3135" s="204" t="s">
        <v>2276</v>
      </c>
      <c r="P3135" s="204" t="s">
        <v>2276</v>
      </c>
      <c r="Q3135" s="204" t="s">
        <v>2276</v>
      </c>
      <c r="R3135" s="204" t="s">
        <v>2276</v>
      </c>
      <c r="S3135" s="21" t="s">
        <v>2390</v>
      </c>
      <c r="T3135" s="204" t="s">
        <v>2276</v>
      </c>
      <c r="U3135" s="204" t="s">
        <v>2276</v>
      </c>
      <c r="V3135" s="204" t="s">
        <v>2276</v>
      </c>
      <c r="W3135" s="204" t="s">
        <v>2276</v>
      </c>
      <c r="X3135" s="204" t="s">
        <v>2276</v>
      </c>
      <c r="Y3135" s="204" t="s">
        <v>2276</v>
      </c>
      <c r="Z3135" s="204" t="s">
        <v>2276</v>
      </c>
      <c r="AA3135" s="204"/>
      <c r="AB3135" s="204"/>
    </row>
    <row r="3136" spans="1:28" ht="38.5" customHeight="1">
      <c r="A3136" s="156" t="str">
        <f>'Reported burning'!A3136</f>
        <v>339b</v>
      </c>
      <c r="B3136" s="156" t="str">
        <f>'Reported burning'!B3136</f>
        <v>339b.2</v>
      </c>
      <c r="C3136" s="156" t="str">
        <f>'Reported burning'!C3136</f>
        <v>Human, deliberate</v>
      </c>
      <c r="D3136" s="156" t="str">
        <f>'Reported burning'!D3136</f>
        <v>Crop residue burning</v>
      </c>
      <c r="E3136" s="156" t="str">
        <f>'Reported burning'!E3136</f>
        <v>Cropping, Monoculture, Market-oriented</v>
      </c>
      <c r="F3136" s="156" t="str">
        <f>'Reported burning'!F3136</f>
        <v>Cropland</v>
      </c>
      <c r="G3136" s="156" t="str">
        <f>'Reported burning'!G3136</f>
        <v>ND</v>
      </c>
      <c r="H3136" s="156" t="str">
        <f>'Reported burning'!H3136</f>
        <v>Presence</v>
      </c>
      <c r="I3136" s="5"/>
      <c r="J3136" s="204" t="s">
        <v>2276</v>
      </c>
      <c r="K3136" s="204" t="s">
        <v>2276</v>
      </c>
      <c r="L3136" s="204" t="s">
        <v>2276</v>
      </c>
      <c r="M3136" s="204" t="s">
        <v>2276</v>
      </c>
      <c r="N3136" s="204" t="s">
        <v>2276</v>
      </c>
      <c r="O3136" s="204" t="s">
        <v>2276</v>
      </c>
      <c r="P3136" s="204" t="s">
        <v>2276</v>
      </c>
      <c r="Q3136" s="204" t="s">
        <v>2276</v>
      </c>
      <c r="R3136" s="204" t="s">
        <v>2276</v>
      </c>
      <c r="S3136" s="21" t="s">
        <v>2376</v>
      </c>
      <c r="T3136" s="204" t="s">
        <v>2276</v>
      </c>
      <c r="U3136" s="204" t="s">
        <v>2276</v>
      </c>
      <c r="V3136" s="204" t="s">
        <v>2276</v>
      </c>
      <c r="W3136" s="204" t="s">
        <v>2276</v>
      </c>
      <c r="X3136" s="204" t="s">
        <v>2276</v>
      </c>
      <c r="Y3136" s="204" t="s">
        <v>2276</v>
      </c>
      <c r="Z3136" s="204" t="s">
        <v>2276</v>
      </c>
      <c r="AA3136" s="204"/>
      <c r="AB3136" s="204"/>
    </row>
    <row r="3137" spans="1:28" ht="36" customHeight="1">
      <c r="A3137" s="156" t="str">
        <f>'Reported burning'!A3137</f>
        <v>339c</v>
      </c>
      <c r="B3137" s="156" t="str">
        <f>'Reported burning'!B3137</f>
        <v>339c.1</v>
      </c>
      <c r="C3137" s="156" t="str">
        <f>'Reported burning'!C3137</f>
        <v>Human, deliberate</v>
      </c>
      <c r="D3137" s="156" t="str">
        <f>'Reported burning'!D3137</f>
        <v>Crop residue burning</v>
      </c>
      <c r="E3137" s="156" t="str">
        <f>'Reported burning'!E3137</f>
        <v>Cropping, Monoculture, Market-oriented</v>
      </c>
      <c r="F3137" s="156" t="str">
        <f>'Reported burning'!F3137</f>
        <v>Cropland</v>
      </c>
      <c r="G3137" s="156" t="str">
        <f>'Reported burning'!G3137</f>
        <v>ND</v>
      </c>
      <c r="H3137" s="156" t="str">
        <f>'Reported burning'!H3137</f>
        <v>Presence</v>
      </c>
      <c r="I3137" s="5"/>
      <c r="J3137" s="204" t="s">
        <v>2276</v>
      </c>
      <c r="K3137" s="204" t="s">
        <v>2276</v>
      </c>
      <c r="L3137" s="204" t="s">
        <v>2276</v>
      </c>
      <c r="M3137" s="204" t="s">
        <v>2276</v>
      </c>
      <c r="N3137" s="204" t="s">
        <v>2276</v>
      </c>
      <c r="O3137" s="204" t="s">
        <v>2276</v>
      </c>
      <c r="P3137" s="204" t="s">
        <v>2276</v>
      </c>
      <c r="Q3137" s="204" t="s">
        <v>2276</v>
      </c>
      <c r="R3137" s="204" t="s">
        <v>2276</v>
      </c>
      <c r="S3137" s="14" t="s">
        <v>2376</v>
      </c>
      <c r="T3137" s="204" t="s">
        <v>2276</v>
      </c>
      <c r="U3137" s="204" t="s">
        <v>2276</v>
      </c>
      <c r="V3137" s="204" t="s">
        <v>2276</v>
      </c>
      <c r="W3137" s="204" t="s">
        <v>2276</v>
      </c>
      <c r="X3137" s="204" t="s">
        <v>2276</v>
      </c>
      <c r="Y3137" s="204" t="s">
        <v>2276</v>
      </c>
      <c r="Z3137" s="204" t="s">
        <v>2276</v>
      </c>
      <c r="AA3137" s="204"/>
      <c r="AB3137" s="204"/>
    </row>
    <row r="3138" spans="1:28" ht="46.5" customHeight="1">
      <c r="A3138" s="156" t="str">
        <f>'Reported burning'!A3138</f>
        <v>339c</v>
      </c>
      <c r="B3138" s="156" t="str">
        <f>'Reported burning'!B3138</f>
        <v>339c.2</v>
      </c>
      <c r="C3138" s="156" t="str">
        <f>'Reported burning'!C3138</f>
        <v>Human, deliberate</v>
      </c>
      <c r="D3138" s="156" t="str">
        <f>'Reported burning'!D3138</f>
        <v>Crop residue burning</v>
      </c>
      <c r="E3138" s="156" t="str">
        <f>'Reported burning'!E3138</f>
        <v>Cropping, Monoculture, Market-oriented</v>
      </c>
      <c r="F3138" s="156" t="str">
        <f>'Reported burning'!F3138</f>
        <v>Cropland</v>
      </c>
      <c r="G3138" s="156" t="str">
        <f>'Reported burning'!G3138</f>
        <v>ND</v>
      </c>
      <c r="H3138" s="156" t="str">
        <f>'Reported burning'!H3138</f>
        <v>Presence</v>
      </c>
      <c r="I3138" s="5"/>
      <c r="J3138" s="204" t="s">
        <v>2276</v>
      </c>
      <c r="K3138" s="204" t="s">
        <v>2276</v>
      </c>
      <c r="L3138" s="204" t="s">
        <v>2276</v>
      </c>
      <c r="M3138" s="204" t="s">
        <v>2276</v>
      </c>
      <c r="N3138" s="204" t="s">
        <v>2276</v>
      </c>
      <c r="O3138" s="204" t="s">
        <v>2276</v>
      </c>
      <c r="P3138" s="204" t="s">
        <v>2276</v>
      </c>
      <c r="Q3138" s="204" t="s">
        <v>2276</v>
      </c>
      <c r="R3138" s="204" t="s">
        <v>2276</v>
      </c>
      <c r="S3138" s="14" t="s">
        <v>2374</v>
      </c>
      <c r="T3138" s="204" t="s">
        <v>2276</v>
      </c>
      <c r="U3138" s="204" t="s">
        <v>2276</v>
      </c>
      <c r="V3138" s="204" t="s">
        <v>2276</v>
      </c>
      <c r="W3138" s="204" t="s">
        <v>2276</v>
      </c>
      <c r="X3138" s="204" t="s">
        <v>2276</v>
      </c>
      <c r="Y3138" s="204" t="s">
        <v>2276</v>
      </c>
      <c r="Z3138" s="204" t="s">
        <v>2276</v>
      </c>
      <c r="AA3138" s="204"/>
      <c r="AB3138" s="204"/>
    </row>
    <row r="3139" spans="1:28" ht="44" customHeight="1">
      <c r="A3139" s="156" t="str">
        <f>'Reported burning'!A3139</f>
        <v>339c</v>
      </c>
      <c r="B3139" s="156" t="str">
        <f>'Reported burning'!B3139</f>
        <v>339c.3</v>
      </c>
      <c r="C3139" s="156" t="str">
        <f>'Reported burning'!C3139</f>
        <v>Human, deliberate</v>
      </c>
      <c r="D3139" s="156" t="str">
        <f>'Reported burning'!D3139</f>
        <v>Crop residue burning</v>
      </c>
      <c r="E3139" s="156" t="str">
        <f>'Reported burning'!E3139</f>
        <v>Cropping, Monoculture, Subsistence-oriented</v>
      </c>
      <c r="F3139" s="156" t="str">
        <f>'Reported burning'!F3139</f>
        <v>Cropland</v>
      </c>
      <c r="G3139" s="156" t="str">
        <f>'Reported burning'!G3139</f>
        <v>ND</v>
      </c>
      <c r="H3139" s="156" t="str">
        <f>'Reported burning'!H3139</f>
        <v>Presence</v>
      </c>
      <c r="I3139" s="5"/>
      <c r="J3139" s="204" t="s">
        <v>2276</v>
      </c>
      <c r="K3139" s="204" t="s">
        <v>2276</v>
      </c>
      <c r="L3139" s="204" t="s">
        <v>2276</v>
      </c>
      <c r="M3139" s="204" t="s">
        <v>2276</v>
      </c>
      <c r="N3139" s="204" t="s">
        <v>2276</v>
      </c>
      <c r="O3139" s="204" t="s">
        <v>2276</v>
      </c>
      <c r="P3139" s="204" t="s">
        <v>2276</v>
      </c>
      <c r="Q3139" s="204" t="s">
        <v>2276</v>
      </c>
      <c r="R3139" s="204" t="s">
        <v>2276</v>
      </c>
      <c r="S3139" s="14" t="s">
        <v>2527</v>
      </c>
      <c r="T3139" s="204" t="s">
        <v>2276</v>
      </c>
      <c r="U3139" s="204" t="s">
        <v>2276</v>
      </c>
      <c r="V3139" s="204" t="s">
        <v>2276</v>
      </c>
      <c r="W3139" s="204" t="s">
        <v>2276</v>
      </c>
      <c r="X3139" s="204" t="s">
        <v>2276</v>
      </c>
      <c r="Y3139" s="204" t="s">
        <v>2276</v>
      </c>
      <c r="Z3139" s="204" t="s">
        <v>2276</v>
      </c>
      <c r="AA3139" s="204"/>
      <c r="AB3139" s="204"/>
    </row>
    <row r="3140" spans="1:28" ht="44" customHeight="1">
      <c r="A3140" s="156" t="str">
        <f>'Reported burning'!A3140</f>
        <v>339c</v>
      </c>
      <c r="B3140" s="156" t="str">
        <f>'Reported burning'!B3140</f>
        <v>339c.4</v>
      </c>
      <c r="C3140" s="156" t="str">
        <f>'Reported burning'!C3140</f>
        <v>Human, deliberate</v>
      </c>
      <c r="D3140" s="156" t="str">
        <f>'Reported burning'!D3140</f>
        <v>Crop residue burning</v>
      </c>
      <c r="E3140" s="156" t="str">
        <f>'Reported burning'!E3140</f>
        <v>Cropping, Monoculture, Subsistence-oriented</v>
      </c>
      <c r="F3140" s="156" t="str">
        <f>'Reported burning'!F3140</f>
        <v>Cropland</v>
      </c>
      <c r="G3140" s="156" t="str">
        <f>'Reported burning'!G3140</f>
        <v>ND</v>
      </c>
      <c r="H3140" s="156" t="str">
        <f>'Reported burning'!H3140</f>
        <v>Absence</v>
      </c>
      <c r="I3140" s="5"/>
      <c r="J3140" s="21">
        <v>0</v>
      </c>
      <c r="K3140" s="21">
        <v>0</v>
      </c>
      <c r="L3140" s="21">
        <v>0</v>
      </c>
      <c r="M3140" s="21">
        <v>0</v>
      </c>
      <c r="N3140" s="21">
        <v>0</v>
      </c>
      <c r="O3140" s="21">
        <v>0</v>
      </c>
      <c r="P3140" s="21">
        <v>0</v>
      </c>
      <c r="Q3140" s="21">
        <v>0</v>
      </c>
      <c r="R3140" s="21">
        <v>0</v>
      </c>
      <c r="S3140" s="21">
        <v>0</v>
      </c>
      <c r="T3140" s="21">
        <v>0</v>
      </c>
      <c r="U3140" s="21">
        <v>0</v>
      </c>
      <c r="V3140" s="21">
        <v>0</v>
      </c>
      <c r="W3140" s="204" t="s">
        <v>2276</v>
      </c>
      <c r="X3140" s="204" t="s">
        <v>2276</v>
      </c>
      <c r="Y3140" s="204" t="s">
        <v>2276</v>
      </c>
      <c r="Z3140" s="204" t="s">
        <v>2276</v>
      </c>
      <c r="AA3140" s="204"/>
      <c r="AB3140" s="204"/>
    </row>
    <row r="3141" spans="1:28" ht="30.5" customHeight="1">
      <c r="A3141" s="156" t="str">
        <f>'Reported burning'!A3141</f>
        <v>340a</v>
      </c>
      <c r="B3141" s="156" t="str">
        <f>'Reported burning'!B3141</f>
        <v>340a.1</v>
      </c>
      <c r="C3141" s="156" t="str">
        <f>'Reported burning'!C3141</f>
        <v>Human, deliberate</v>
      </c>
      <c r="D3141" s="156" t="str">
        <f>'Reported burning'!D3141</f>
        <v>Crop residue burning</v>
      </c>
      <c r="E3141" s="156" t="str">
        <f>'Reported burning'!E3141</f>
        <v>Cropping, Intensive</v>
      </c>
      <c r="F3141" s="156" t="str">
        <f>'Reported burning'!F3141</f>
        <v>Cropland</v>
      </c>
      <c r="G3141" s="156" t="str">
        <f>'Reported burning'!G3141</f>
        <v>ND</v>
      </c>
      <c r="H3141" s="156" t="str">
        <f>'Reported burning'!H3141</f>
        <v>Presence</v>
      </c>
      <c r="I3141" s="5"/>
      <c r="J3141" s="204" t="s">
        <v>2276</v>
      </c>
      <c r="K3141" s="204" t="s">
        <v>2276</v>
      </c>
      <c r="L3141" s="204" t="s">
        <v>2276</v>
      </c>
      <c r="M3141" s="204" t="s">
        <v>2276</v>
      </c>
      <c r="N3141" s="204" t="s">
        <v>2276</v>
      </c>
      <c r="O3141" s="204" t="s">
        <v>2276</v>
      </c>
      <c r="P3141" s="204" t="s">
        <v>2276</v>
      </c>
      <c r="Q3141" s="204" t="s">
        <v>2276</v>
      </c>
      <c r="R3141" s="204" t="s">
        <v>2276</v>
      </c>
      <c r="S3141" s="204" t="s">
        <v>2276</v>
      </c>
      <c r="T3141" s="204" t="s">
        <v>2276</v>
      </c>
      <c r="U3141" s="204" t="s">
        <v>2276</v>
      </c>
      <c r="V3141" s="204" t="s">
        <v>2276</v>
      </c>
      <c r="W3141" s="204" t="s">
        <v>2276</v>
      </c>
      <c r="X3141" s="204" t="s">
        <v>2276</v>
      </c>
      <c r="Y3141" s="204" t="s">
        <v>2276</v>
      </c>
      <c r="Z3141" s="204" t="s">
        <v>2276</v>
      </c>
      <c r="AA3141" s="204"/>
      <c r="AB3141" s="204"/>
    </row>
    <row r="3142" spans="1:28" ht="30.5" customHeight="1">
      <c r="A3142" s="156" t="str">
        <f>'Reported burning'!A3142</f>
        <v>340a</v>
      </c>
      <c r="B3142" s="156" t="str">
        <f>'Reported burning'!B3142</f>
        <v>340a.2</v>
      </c>
      <c r="C3142" s="156" t="str">
        <f>'Reported burning'!C3142</f>
        <v>Human, deliberate</v>
      </c>
      <c r="D3142" s="156" t="str">
        <f>'Reported burning'!D3142</f>
        <v>Crop residue burning</v>
      </c>
      <c r="E3142" s="156" t="str">
        <f>'Reported burning'!E3142</f>
        <v>Cropping, Intensive</v>
      </c>
      <c r="F3142" s="156" t="str">
        <f>'Reported burning'!F3142</f>
        <v>Cropland</v>
      </c>
      <c r="G3142" s="156" t="str">
        <f>'Reported burning'!G3142</f>
        <v>ND</v>
      </c>
      <c r="H3142" s="156" t="str">
        <f>'Reported burning'!H3142</f>
        <v>Absence</v>
      </c>
      <c r="I3142" s="5"/>
      <c r="J3142" s="21">
        <v>0</v>
      </c>
      <c r="K3142" s="21">
        <v>0</v>
      </c>
      <c r="L3142" s="21">
        <v>0</v>
      </c>
      <c r="M3142" s="21">
        <v>0</v>
      </c>
      <c r="N3142" s="21">
        <v>0</v>
      </c>
      <c r="O3142" s="21">
        <v>0</v>
      </c>
      <c r="P3142" s="21">
        <v>0</v>
      </c>
      <c r="Q3142" s="21">
        <v>0</v>
      </c>
      <c r="R3142" s="21">
        <v>0</v>
      </c>
      <c r="S3142" s="21">
        <v>0</v>
      </c>
      <c r="T3142" s="21">
        <v>0</v>
      </c>
      <c r="U3142" s="21">
        <v>0</v>
      </c>
      <c r="V3142" s="21">
        <v>0</v>
      </c>
      <c r="W3142" s="204" t="s">
        <v>2276</v>
      </c>
      <c r="X3142" s="204" t="s">
        <v>2276</v>
      </c>
      <c r="Y3142" s="204" t="s">
        <v>2276</v>
      </c>
      <c r="Z3142" s="204" t="s">
        <v>2276</v>
      </c>
      <c r="AA3142" s="204"/>
      <c r="AB3142" s="204"/>
    </row>
    <row r="3143" spans="1:28" ht="29" customHeight="1">
      <c r="A3143" s="152" t="str">
        <f>'Reported burning'!A3143</f>
        <v>340c</v>
      </c>
      <c r="B3143" s="152" t="str">
        <f>'Reported burning'!B3143</f>
        <v>340c.1</v>
      </c>
      <c r="C3143" s="152" t="str">
        <f>'Reported burning'!C3143</f>
        <v>Human, deliberate</v>
      </c>
      <c r="D3143" s="152" t="str">
        <f>'Reported burning'!D3143</f>
        <v>Crop residue burning</v>
      </c>
      <c r="E3143" s="152" t="str">
        <f>'Reported burning'!E3143</f>
        <v>Cropping, Intensive</v>
      </c>
      <c r="F3143" s="152" t="str">
        <f>'Reported burning'!F3143</f>
        <v>Cropland</v>
      </c>
      <c r="G3143" s="152" t="str">
        <f>'Reported burning'!G3143</f>
        <v>ND</v>
      </c>
      <c r="H3143" s="152" t="str">
        <f>'Reported burning'!H3143</f>
        <v>Presence</v>
      </c>
      <c r="I3143" s="204">
        <v>1992</v>
      </c>
      <c r="J3143" s="204" t="s">
        <v>2276</v>
      </c>
      <c r="K3143" s="204" t="s">
        <v>2276</v>
      </c>
      <c r="L3143" s="204" t="s">
        <v>2276</v>
      </c>
      <c r="M3143" s="204" t="s">
        <v>2276</v>
      </c>
      <c r="N3143" s="204" t="s">
        <v>2276</v>
      </c>
      <c r="O3143" s="204" t="s">
        <v>2276</v>
      </c>
      <c r="P3143" s="204" t="s">
        <v>2276</v>
      </c>
      <c r="Q3143" s="204" t="s">
        <v>2276</v>
      </c>
      <c r="R3143" s="204" t="s">
        <v>2276</v>
      </c>
      <c r="S3143" s="204" t="s">
        <v>2276</v>
      </c>
      <c r="T3143" s="204" t="s">
        <v>2276</v>
      </c>
      <c r="U3143" s="204" t="s">
        <v>2276</v>
      </c>
      <c r="V3143" s="204" t="s">
        <v>2276</v>
      </c>
      <c r="W3143" s="21" t="s">
        <v>2375</v>
      </c>
      <c r="X3143" s="204" t="s">
        <v>38</v>
      </c>
      <c r="Y3143" s="204" t="s">
        <v>35</v>
      </c>
      <c r="Z3143" s="204" t="s">
        <v>76</v>
      </c>
      <c r="AA3143" s="204"/>
      <c r="AB3143" s="204"/>
    </row>
    <row r="3144" spans="1:28" ht="29" customHeight="1">
      <c r="A3144" s="152" t="str">
        <f>'Reported burning'!A3144</f>
        <v>340c</v>
      </c>
      <c r="B3144" s="152" t="str">
        <f>'Reported burning'!B3144</f>
        <v>340c.2</v>
      </c>
      <c r="C3144" s="152" t="str">
        <f>'Reported burning'!C3144</f>
        <v>Human, deliberate</v>
      </c>
      <c r="D3144" s="152" t="str">
        <f>'Reported burning'!D3144</f>
        <v>Crop residue burning</v>
      </c>
      <c r="E3144" s="152" t="str">
        <f>'Reported burning'!E3144</f>
        <v>Cropping, Intensive</v>
      </c>
      <c r="F3144" s="152" t="str">
        <f>'Reported burning'!F3144</f>
        <v>Cropland</v>
      </c>
      <c r="G3144" s="152" t="str">
        <f>'Reported burning'!G3144</f>
        <v>ND</v>
      </c>
      <c r="H3144" s="152" t="str">
        <f>'Reported burning'!H3144</f>
        <v>Presence</v>
      </c>
      <c r="I3144" s="204">
        <v>1993</v>
      </c>
      <c r="J3144" s="204" t="s">
        <v>2276</v>
      </c>
      <c r="K3144" s="204" t="s">
        <v>2276</v>
      </c>
      <c r="L3144" s="204" t="s">
        <v>2276</v>
      </c>
      <c r="M3144" s="204" t="s">
        <v>2276</v>
      </c>
      <c r="N3144" s="204" t="s">
        <v>2276</v>
      </c>
      <c r="O3144" s="204" t="s">
        <v>2276</v>
      </c>
      <c r="P3144" s="204" t="s">
        <v>2276</v>
      </c>
      <c r="Q3144" s="204" t="s">
        <v>2276</v>
      </c>
      <c r="R3144" s="204" t="s">
        <v>2276</v>
      </c>
      <c r="S3144" s="204" t="s">
        <v>2276</v>
      </c>
      <c r="T3144" s="204" t="s">
        <v>2276</v>
      </c>
      <c r="U3144" s="204" t="s">
        <v>2276</v>
      </c>
      <c r="V3144" s="204" t="s">
        <v>2276</v>
      </c>
      <c r="W3144" s="21" t="s">
        <v>2375</v>
      </c>
      <c r="X3144" s="204" t="s">
        <v>38</v>
      </c>
      <c r="Y3144" s="204" t="s">
        <v>35</v>
      </c>
      <c r="Z3144" s="204" t="s">
        <v>76</v>
      </c>
      <c r="AA3144" s="204"/>
      <c r="AB3144" s="204"/>
    </row>
    <row r="3145" spans="1:28" ht="29" customHeight="1">
      <c r="A3145" s="152" t="str">
        <f>'Reported burning'!A3145</f>
        <v>340c</v>
      </c>
      <c r="B3145" s="152" t="str">
        <f>'Reported burning'!B3145</f>
        <v>340c.3</v>
      </c>
      <c r="C3145" s="152" t="str">
        <f>'Reported burning'!C3145</f>
        <v>Human, deliberate</v>
      </c>
      <c r="D3145" s="152" t="str">
        <f>'Reported burning'!D3145</f>
        <v>Crop residue burning</v>
      </c>
      <c r="E3145" s="152" t="str">
        <f>'Reported burning'!E3145</f>
        <v>Cropping, Intensive</v>
      </c>
      <c r="F3145" s="152" t="str">
        <f>'Reported burning'!F3145</f>
        <v>Cropland</v>
      </c>
      <c r="G3145" s="152" t="str">
        <f>'Reported burning'!G3145</f>
        <v>ND</v>
      </c>
      <c r="H3145" s="152" t="str">
        <f>'Reported burning'!H3145</f>
        <v>Presence</v>
      </c>
      <c r="I3145" s="204">
        <v>1994</v>
      </c>
      <c r="J3145" s="204" t="s">
        <v>2276</v>
      </c>
      <c r="K3145" s="204" t="s">
        <v>2276</v>
      </c>
      <c r="L3145" s="204" t="s">
        <v>2276</v>
      </c>
      <c r="M3145" s="204" t="s">
        <v>2276</v>
      </c>
      <c r="N3145" s="204" t="s">
        <v>2276</v>
      </c>
      <c r="O3145" s="204" t="s">
        <v>2276</v>
      </c>
      <c r="P3145" s="204" t="s">
        <v>2276</v>
      </c>
      <c r="Q3145" s="204" t="s">
        <v>2276</v>
      </c>
      <c r="R3145" s="204" t="s">
        <v>2276</v>
      </c>
      <c r="S3145" s="204" t="s">
        <v>2276</v>
      </c>
      <c r="T3145" s="204" t="s">
        <v>2276</v>
      </c>
      <c r="U3145" s="204" t="s">
        <v>2276</v>
      </c>
      <c r="V3145" s="204" t="s">
        <v>2276</v>
      </c>
      <c r="W3145" s="21" t="s">
        <v>2375</v>
      </c>
      <c r="X3145" s="204" t="s">
        <v>38</v>
      </c>
      <c r="Y3145" s="204" t="s">
        <v>35</v>
      </c>
      <c r="Z3145" s="204" t="s">
        <v>76</v>
      </c>
      <c r="AA3145" s="204"/>
      <c r="AB3145" s="204"/>
    </row>
    <row r="3146" spans="1:28" ht="29" customHeight="1">
      <c r="A3146" s="152" t="str">
        <f>'Reported burning'!A3146</f>
        <v>340c</v>
      </c>
      <c r="B3146" s="152" t="str">
        <f>'Reported burning'!B3146</f>
        <v>340c.4</v>
      </c>
      <c r="C3146" s="152" t="str">
        <f>'Reported burning'!C3146</f>
        <v>Human, deliberate</v>
      </c>
      <c r="D3146" s="152" t="str">
        <f>'Reported burning'!D3146</f>
        <v>Crop residue burning</v>
      </c>
      <c r="E3146" s="152" t="str">
        <f>'Reported burning'!E3146</f>
        <v>Cropping, Intensive</v>
      </c>
      <c r="F3146" s="152" t="str">
        <f>'Reported burning'!F3146</f>
        <v>Cropland</v>
      </c>
      <c r="G3146" s="152" t="str">
        <f>'Reported burning'!G3146</f>
        <v>ND</v>
      </c>
      <c r="H3146" s="152" t="str">
        <f>'Reported burning'!H3146</f>
        <v>Presence</v>
      </c>
      <c r="I3146" s="204">
        <v>1995</v>
      </c>
      <c r="J3146" s="204" t="s">
        <v>2276</v>
      </c>
      <c r="K3146" s="204" t="s">
        <v>2276</v>
      </c>
      <c r="L3146" s="204" t="s">
        <v>2276</v>
      </c>
      <c r="M3146" s="204" t="s">
        <v>2276</v>
      </c>
      <c r="N3146" s="204" t="s">
        <v>2276</v>
      </c>
      <c r="O3146" s="204" t="s">
        <v>2276</v>
      </c>
      <c r="P3146" s="204" t="s">
        <v>2276</v>
      </c>
      <c r="Q3146" s="204" t="s">
        <v>2276</v>
      </c>
      <c r="R3146" s="204" t="s">
        <v>2276</v>
      </c>
      <c r="S3146" s="204" t="s">
        <v>2276</v>
      </c>
      <c r="T3146" s="204" t="s">
        <v>2276</v>
      </c>
      <c r="U3146" s="204" t="s">
        <v>2276</v>
      </c>
      <c r="V3146" s="204" t="s">
        <v>2276</v>
      </c>
      <c r="W3146" s="21" t="s">
        <v>2375</v>
      </c>
      <c r="X3146" s="204" t="s">
        <v>38</v>
      </c>
      <c r="Y3146" s="204" t="s">
        <v>35</v>
      </c>
      <c r="Z3146" s="204" t="s">
        <v>76</v>
      </c>
      <c r="AA3146" s="204"/>
      <c r="AB3146" s="204"/>
    </row>
    <row r="3147" spans="1:28" ht="29" customHeight="1">
      <c r="A3147" s="152" t="str">
        <f>'Reported burning'!A3147</f>
        <v>340c</v>
      </c>
      <c r="B3147" s="152" t="str">
        <f>'Reported burning'!B3147</f>
        <v>340c.5</v>
      </c>
      <c r="C3147" s="152" t="str">
        <f>'Reported burning'!C3147</f>
        <v>Human, deliberate</v>
      </c>
      <c r="D3147" s="152" t="str">
        <f>'Reported burning'!D3147</f>
        <v>Crop residue burning</v>
      </c>
      <c r="E3147" s="152" t="str">
        <f>'Reported burning'!E3147</f>
        <v>Cropping, Intensive</v>
      </c>
      <c r="F3147" s="152" t="str">
        <f>'Reported burning'!F3147</f>
        <v>Cropland</v>
      </c>
      <c r="G3147" s="152" t="str">
        <f>'Reported burning'!G3147</f>
        <v>ND</v>
      </c>
      <c r="H3147" s="152" t="str">
        <f>'Reported burning'!H3147</f>
        <v>Presence</v>
      </c>
      <c r="I3147" s="204">
        <v>1996</v>
      </c>
      <c r="J3147" s="204" t="s">
        <v>2276</v>
      </c>
      <c r="K3147" s="204" t="s">
        <v>2276</v>
      </c>
      <c r="L3147" s="204" t="s">
        <v>2276</v>
      </c>
      <c r="M3147" s="204" t="s">
        <v>2276</v>
      </c>
      <c r="N3147" s="204" t="s">
        <v>2276</v>
      </c>
      <c r="O3147" s="204" t="s">
        <v>2276</v>
      </c>
      <c r="P3147" s="204" t="s">
        <v>2276</v>
      </c>
      <c r="Q3147" s="204" t="s">
        <v>2276</v>
      </c>
      <c r="R3147" s="204" t="s">
        <v>2276</v>
      </c>
      <c r="S3147" s="204" t="s">
        <v>2276</v>
      </c>
      <c r="T3147" s="204" t="s">
        <v>2276</v>
      </c>
      <c r="U3147" s="204" t="s">
        <v>2276</v>
      </c>
      <c r="V3147" s="204" t="s">
        <v>2276</v>
      </c>
      <c r="W3147" s="21" t="s">
        <v>2375</v>
      </c>
      <c r="X3147" s="204" t="s">
        <v>38</v>
      </c>
      <c r="Y3147" s="204" t="s">
        <v>35</v>
      </c>
      <c r="Z3147" s="204" t="s">
        <v>76</v>
      </c>
      <c r="AA3147" s="204"/>
      <c r="AB3147" s="204"/>
    </row>
    <row r="3148" spans="1:28" ht="29" customHeight="1">
      <c r="A3148" s="156" t="str">
        <f>'Reported burning'!A3148</f>
        <v>340c</v>
      </c>
      <c r="B3148" s="156" t="str">
        <f>'Reported burning'!B3148</f>
        <v>340c.6</v>
      </c>
      <c r="C3148" s="156" t="str">
        <f>'Reported burning'!C3148</f>
        <v>Human, deliberate</v>
      </c>
      <c r="D3148" s="156" t="str">
        <f>'Reported burning'!D3148</f>
        <v>Crop residue burning</v>
      </c>
      <c r="E3148" s="156" t="str">
        <f>'Reported burning'!E3148</f>
        <v>Cropping, Intensive</v>
      </c>
      <c r="F3148" s="156" t="str">
        <f>'Reported burning'!F3148</f>
        <v>Cropland</v>
      </c>
      <c r="G3148" s="156" t="str">
        <f>'Reported burning'!G3148</f>
        <v>ND</v>
      </c>
      <c r="H3148" s="156" t="str">
        <f>'Reported burning'!H3148</f>
        <v>Presence</v>
      </c>
      <c r="I3148" s="5"/>
      <c r="J3148" s="204" t="s">
        <v>2276</v>
      </c>
      <c r="K3148" s="204" t="s">
        <v>2276</v>
      </c>
      <c r="L3148" s="204" t="s">
        <v>2276</v>
      </c>
      <c r="M3148" s="204" t="s">
        <v>2276</v>
      </c>
      <c r="N3148" s="204" t="s">
        <v>2276</v>
      </c>
      <c r="O3148" s="204" t="s">
        <v>2276</v>
      </c>
      <c r="P3148" s="204" t="s">
        <v>2276</v>
      </c>
      <c r="Q3148" s="204" t="s">
        <v>2276</v>
      </c>
      <c r="R3148" s="204" t="s">
        <v>2276</v>
      </c>
      <c r="S3148" s="204" t="s">
        <v>2276</v>
      </c>
      <c r="T3148" s="204" t="s">
        <v>2276</v>
      </c>
      <c r="U3148" s="204" t="s">
        <v>2276</v>
      </c>
      <c r="V3148" s="204" t="s">
        <v>2276</v>
      </c>
      <c r="W3148" s="204" t="s">
        <v>2276</v>
      </c>
      <c r="X3148" s="204" t="s">
        <v>2276</v>
      </c>
      <c r="Y3148" s="204" t="s">
        <v>2276</v>
      </c>
      <c r="Z3148" s="204" t="s">
        <v>2276</v>
      </c>
      <c r="AA3148" s="204"/>
      <c r="AB3148" s="204"/>
    </row>
    <row r="3149" spans="1:28" ht="29" customHeight="1">
      <c r="A3149" s="156" t="str">
        <f>'Reported burning'!A3149</f>
        <v>340b</v>
      </c>
      <c r="B3149" s="156" t="str">
        <f>'Reported burning'!B3149</f>
        <v>340b.1</v>
      </c>
      <c r="C3149" s="156" t="str">
        <f>'Reported burning'!C3149</f>
        <v>Human, deliberate</v>
      </c>
      <c r="D3149" s="156" t="str">
        <f>'Reported burning'!D3149</f>
        <v>Crop residue burning</v>
      </c>
      <c r="E3149" s="156" t="str">
        <f>'Reported burning'!E3149</f>
        <v>Cropping, Intensive</v>
      </c>
      <c r="F3149" s="156" t="str">
        <f>'Reported burning'!F3149</f>
        <v>Cropland</v>
      </c>
      <c r="G3149" s="156" t="str">
        <f>'Reported burning'!G3149</f>
        <v>ND</v>
      </c>
      <c r="H3149" s="156" t="str">
        <f>'Reported burning'!H3149</f>
        <v>Presence</v>
      </c>
      <c r="I3149" s="5"/>
      <c r="J3149" s="204" t="s">
        <v>2276</v>
      </c>
      <c r="K3149" s="204" t="s">
        <v>2276</v>
      </c>
      <c r="L3149" s="204" t="s">
        <v>2276</v>
      </c>
      <c r="M3149" s="204" t="s">
        <v>2276</v>
      </c>
      <c r="N3149" s="204" t="s">
        <v>2276</v>
      </c>
      <c r="O3149" s="204" t="s">
        <v>2276</v>
      </c>
      <c r="P3149" s="204" t="s">
        <v>2276</v>
      </c>
      <c r="Q3149" s="204" t="s">
        <v>2276</v>
      </c>
      <c r="R3149" s="204" t="s">
        <v>2276</v>
      </c>
      <c r="S3149" s="204" t="s">
        <v>2276</v>
      </c>
      <c r="T3149" s="204" t="s">
        <v>2276</v>
      </c>
      <c r="U3149" s="204" t="s">
        <v>2276</v>
      </c>
      <c r="V3149" s="204" t="s">
        <v>2276</v>
      </c>
      <c r="W3149" s="204" t="s">
        <v>2276</v>
      </c>
      <c r="X3149" s="204" t="s">
        <v>2276</v>
      </c>
      <c r="Y3149" s="204" t="s">
        <v>2276</v>
      </c>
      <c r="Z3149" s="204" t="s">
        <v>2276</v>
      </c>
      <c r="AA3149" s="204"/>
      <c r="AB3149" s="204"/>
    </row>
    <row r="3150" spans="1:28" ht="29" customHeight="1">
      <c r="A3150" s="156" t="str">
        <f>'Reported burning'!A3150</f>
        <v>340d</v>
      </c>
      <c r="B3150" s="156" t="str">
        <f>'Reported burning'!B3150</f>
        <v>340d.1</v>
      </c>
      <c r="C3150" s="156" t="str">
        <f>'Reported burning'!C3150</f>
        <v>Human, deliberate</v>
      </c>
      <c r="D3150" s="156" t="str">
        <f>'Reported burning'!D3150</f>
        <v>Crop residue burning</v>
      </c>
      <c r="E3150" s="156" t="str">
        <f>'Reported burning'!E3150</f>
        <v>Cropping, Intensive</v>
      </c>
      <c r="F3150" s="156" t="str">
        <f>'Reported burning'!F3150</f>
        <v>Cropland</v>
      </c>
      <c r="G3150" s="156" t="str">
        <f>'Reported burning'!G3150</f>
        <v>ND</v>
      </c>
      <c r="H3150" s="156" t="str">
        <f>'Reported burning'!H3150</f>
        <v>Presence</v>
      </c>
      <c r="I3150" s="5"/>
      <c r="J3150" s="204" t="s">
        <v>2276</v>
      </c>
      <c r="K3150" s="204" t="s">
        <v>2276</v>
      </c>
      <c r="L3150" s="204" t="s">
        <v>2276</v>
      </c>
      <c r="M3150" s="204" t="s">
        <v>2276</v>
      </c>
      <c r="N3150" s="204" t="s">
        <v>2276</v>
      </c>
      <c r="O3150" s="204" t="s">
        <v>2276</v>
      </c>
      <c r="P3150" s="204" t="s">
        <v>2276</v>
      </c>
      <c r="Q3150" s="204" t="s">
        <v>2276</v>
      </c>
      <c r="R3150" s="204" t="s">
        <v>2276</v>
      </c>
      <c r="S3150" s="204" t="s">
        <v>2276</v>
      </c>
      <c r="T3150" s="204" t="s">
        <v>2276</v>
      </c>
      <c r="U3150" s="204" t="s">
        <v>2276</v>
      </c>
      <c r="V3150" s="204" t="s">
        <v>2276</v>
      </c>
      <c r="W3150" s="204" t="s">
        <v>2276</v>
      </c>
      <c r="X3150" s="204" t="s">
        <v>2276</v>
      </c>
      <c r="Y3150" s="204" t="s">
        <v>2276</v>
      </c>
      <c r="Z3150" s="204" t="s">
        <v>2276</v>
      </c>
      <c r="AA3150" s="204"/>
      <c r="AB3150" s="204"/>
    </row>
    <row r="3151" spans="1:28" ht="33" customHeight="1">
      <c r="A3151" s="156" t="str">
        <f>'Reported burning'!A3151</f>
        <v>341a</v>
      </c>
      <c r="B3151" s="156" t="str">
        <f>'Reported burning'!B3151</f>
        <v>341a.1</v>
      </c>
      <c r="C3151" s="156" t="str">
        <f>'Reported burning'!C3151</f>
        <v>Human, deliberate</v>
      </c>
      <c r="D3151" s="156" t="str">
        <f>'Reported burning'!D3151</f>
        <v>Crop residue burning</v>
      </c>
      <c r="E3151" s="156" t="str">
        <f>'Reported burning'!E3151</f>
        <v>Cropping, Monoculture, Subsistence-oriented</v>
      </c>
      <c r="F3151" s="156" t="str">
        <f>'Reported burning'!F3151</f>
        <v>Cropland</v>
      </c>
      <c r="G3151" s="156" t="str">
        <f>'Reported burning'!G3151</f>
        <v>ND</v>
      </c>
      <c r="H3151" s="156" t="str">
        <f>'Reported burning'!H3151</f>
        <v>Presence</v>
      </c>
      <c r="I3151" s="5"/>
      <c r="J3151" s="204" t="s">
        <v>2276</v>
      </c>
      <c r="K3151" s="204" t="s">
        <v>2276</v>
      </c>
      <c r="L3151" s="204" t="s">
        <v>2276</v>
      </c>
      <c r="M3151" s="204" t="s">
        <v>2276</v>
      </c>
      <c r="N3151" s="204" t="s">
        <v>2276</v>
      </c>
      <c r="O3151" s="204" t="s">
        <v>2276</v>
      </c>
      <c r="P3151" s="204" t="s">
        <v>2276</v>
      </c>
      <c r="Q3151" s="204" t="s">
        <v>2276</v>
      </c>
      <c r="R3151" s="204" t="s">
        <v>2276</v>
      </c>
      <c r="S3151" s="204" t="s">
        <v>2276</v>
      </c>
      <c r="T3151" s="204" t="s">
        <v>2276</v>
      </c>
      <c r="U3151" s="204" t="s">
        <v>2276</v>
      </c>
      <c r="V3151" s="204" t="s">
        <v>2276</v>
      </c>
      <c r="W3151" s="21" t="s">
        <v>2375</v>
      </c>
      <c r="X3151" s="204" t="s">
        <v>399</v>
      </c>
      <c r="Y3151" s="204" t="s">
        <v>189</v>
      </c>
      <c r="Z3151" s="204" t="s">
        <v>2276</v>
      </c>
      <c r="AA3151" s="204"/>
      <c r="AB3151" s="204"/>
    </row>
    <row r="3152" spans="1:28" ht="33" customHeight="1">
      <c r="A3152" s="156" t="str">
        <f>'Reported burning'!A3152</f>
        <v>341a</v>
      </c>
      <c r="B3152" s="156" t="str">
        <f>'Reported burning'!B3152</f>
        <v>341a.2</v>
      </c>
      <c r="C3152" s="156" t="str">
        <f>'Reported burning'!C3152</f>
        <v>Human, deliberate</v>
      </c>
      <c r="D3152" s="156" t="str">
        <f>'Reported burning'!D3152</f>
        <v>Crop residue burning</v>
      </c>
      <c r="E3152" s="156" t="str">
        <f>'Reported burning'!E3152</f>
        <v>Cropping, Monoculture, Subsistence-oriented</v>
      </c>
      <c r="F3152" s="156" t="str">
        <f>'Reported burning'!F3152</f>
        <v>Cropland</v>
      </c>
      <c r="G3152" s="156" t="str">
        <f>'Reported burning'!G3152</f>
        <v>ND</v>
      </c>
      <c r="H3152" s="156" t="str">
        <f>'Reported burning'!H3152</f>
        <v>Presence</v>
      </c>
      <c r="I3152" s="5"/>
      <c r="J3152" s="204" t="s">
        <v>2276</v>
      </c>
      <c r="K3152" s="204" t="s">
        <v>2276</v>
      </c>
      <c r="L3152" s="204" t="s">
        <v>2276</v>
      </c>
      <c r="M3152" s="204" t="s">
        <v>2276</v>
      </c>
      <c r="N3152" s="204" t="s">
        <v>2276</v>
      </c>
      <c r="O3152" s="204" t="s">
        <v>2276</v>
      </c>
      <c r="P3152" s="204" t="s">
        <v>2276</v>
      </c>
      <c r="Q3152" s="204" t="s">
        <v>2276</v>
      </c>
      <c r="R3152" s="204" t="s">
        <v>2276</v>
      </c>
      <c r="S3152" s="204" t="s">
        <v>2276</v>
      </c>
      <c r="T3152" s="204" t="s">
        <v>2276</v>
      </c>
      <c r="U3152" s="204" t="s">
        <v>2276</v>
      </c>
      <c r="V3152" s="204" t="s">
        <v>2276</v>
      </c>
      <c r="W3152" s="21" t="s">
        <v>2375</v>
      </c>
      <c r="X3152" s="204" t="s">
        <v>38</v>
      </c>
      <c r="Y3152" s="204" t="s">
        <v>86</v>
      </c>
      <c r="Z3152" s="204" t="s">
        <v>2276</v>
      </c>
      <c r="AA3152" s="204"/>
      <c r="AB3152" s="204"/>
    </row>
    <row r="3153" spans="1:28" ht="33" customHeight="1">
      <c r="A3153" s="156" t="str">
        <f>'Reported burning'!A3153</f>
        <v>341a</v>
      </c>
      <c r="B3153" s="156" t="str">
        <f>'Reported burning'!B3153</f>
        <v>341a.3</v>
      </c>
      <c r="C3153" s="156" t="str">
        <f>'Reported burning'!C3153</f>
        <v>Human, deliberate</v>
      </c>
      <c r="D3153" s="156" t="str">
        <f>'Reported burning'!D3153</f>
        <v>Vegetation management</v>
      </c>
      <c r="E3153" s="156" t="str">
        <f>'Reported burning'!E3153</f>
        <v>Cropping, Monoculture, Market-oriented</v>
      </c>
      <c r="F3153" s="156" t="str">
        <f>'Reported burning'!F3153</f>
        <v>Cropland</v>
      </c>
      <c r="G3153" s="156" t="str">
        <f>'Reported burning'!G3153</f>
        <v>ND</v>
      </c>
      <c r="H3153" s="156" t="str">
        <f>'Reported burning'!H3153</f>
        <v>Presence</v>
      </c>
      <c r="I3153" s="5"/>
      <c r="J3153" s="204" t="s">
        <v>2276</v>
      </c>
      <c r="K3153" s="204" t="s">
        <v>2276</v>
      </c>
      <c r="L3153" s="204" t="s">
        <v>2276</v>
      </c>
      <c r="M3153" s="204" t="s">
        <v>2276</v>
      </c>
      <c r="N3153" s="204" t="s">
        <v>2276</v>
      </c>
      <c r="O3153" s="204" t="s">
        <v>2276</v>
      </c>
      <c r="P3153" s="204" t="s">
        <v>2276</v>
      </c>
      <c r="Q3153" s="204" t="s">
        <v>2276</v>
      </c>
      <c r="R3153" s="204" t="s">
        <v>2276</v>
      </c>
      <c r="S3153" s="204" t="s">
        <v>2276</v>
      </c>
      <c r="T3153" s="204" t="s">
        <v>2276</v>
      </c>
      <c r="U3153" s="204" t="s">
        <v>2276</v>
      </c>
      <c r="V3153" s="204" t="s">
        <v>2276</v>
      </c>
      <c r="W3153" s="21" t="s">
        <v>2375</v>
      </c>
      <c r="X3153" s="204" t="s">
        <v>68</v>
      </c>
      <c r="Y3153" s="204" t="s">
        <v>127</v>
      </c>
      <c r="Z3153" s="204" t="s">
        <v>2276</v>
      </c>
      <c r="AA3153" s="204"/>
      <c r="AB3153" s="204"/>
    </row>
    <row r="3154" spans="1:28" ht="33" customHeight="1">
      <c r="A3154" s="156" t="str">
        <f>'Reported burning'!A3154</f>
        <v>341a</v>
      </c>
      <c r="B3154" s="156" t="str">
        <f>'Reported burning'!B3154</f>
        <v>341a.4</v>
      </c>
      <c r="C3154" s="156" t="str">
        <f>'Reported burning'!C3154</f>
        <v>Human, deliberate</v>
      </c>
      <c r="D3154" s="156" t="str">
        <f>'Reported burning'!D3154</f>
        <v>Vegetation management</v>
      </c>
      <c r="E3154" s="156" t="str">
        <f>'Reported burning'!E3154</f>
        <v>Cropping, Monoculture, Market-oriented</v>
      </c>
      <c r="F3154" s="156" t="str">
        <f>'Reported burning'!F3154</f>
        <v>Cropland</v>
      </c>
      <c r="G3154" s="156" t="str">
        <f>'Reported burning'!G3154</f>
        <v>ND</v>
      </c>
      <c r="H3154" s="156" t="str">
        <f>'Reported burning'!H3154</f>
        <v>Presence</v>
      </c>
      <c r="I3154" s="5"/>
      <c r="J3154" s="204" t="s">
        <v>2276</v>
      </c>
      <c r="K3154" s="204" t="s">
        <v>2276</v>
      </c>
      <c r="L3154" s="204" t="s">
        <v>2276</v>
      </c>
      <c r="M3154" s="204" t="s">
        <v>2276</v>
      </c>
      <c r="N3154" s="204" t="s">
        <v>2276</v>
      </c>
      <c r="O3154" s="204" t="s">
        <v>2276</v>
      </c>
      <c r="P3154" s="204" t="s">
        <v>2276</v>
      </c>
      <c r="Q3154" s="204" t="s">
        <v>2276</v>
      </c>
      <c r="R3154" s="204" t="s">
        <v>2276</v>
      </c>
      <c r="S3154" s="204" t="s">
        <v>2276</v>
      </c>
      <c r="T3154" s="204" t="s">
        <v>2276</v>
      </c>
      <c r="U3154" s="204" t="s">
        <v>2276</v>
      </c>
      <c r="V3154" s="204" t="s">
        <v>2276</v>
      </c>
      <c r="W3154" s="21" t="s">
        <v>2375</v>
      </c>
      <c r="X3154" s="204" t="s">
        <v>399</v>
      </c>
      <c r="Y3154" s="204" t="s">
        <v>189</v>
      </c>
      <c r="Z3154" s="204" t="s">
        <v>2276</v>
      </c>
      <c r="AA3154" s="204"/>
      <c r="AB3154" s="204"/>
    </row>
    <row r="3155" spans="1:28" ht="33" customHeight="1">
      <c r="A3155" s="156" t="str">
        <f>'Reported burning'!A3155</f>
        <v>341a</v>
      </c>
      <c r="B3155" s="156" t="str">
        <f>'Reported burning'!B3155</f>
        <v>341a.5</v>
      </c>
      <c r="C3155" s="156" t="str">
        <f>'Reported burning'!C3155</f>
        <v>Human, deliberate</v>
      </c>
      <c r="D3155" s="156" t="str">
        <f>'Reported burning'!D3155</f>
        <v>Vegetation management</v>
      </c>
      <c r="E3155" s="156" t="str">
        <f>'Reported burning'!E3155</f>
        <v>Cropping, Monoculture, Market-oriented</v>
      </c>
      <c r="F3155" s="156" t="str">
        <f>'Reported burning'!F3155</f>
        <v>Cropland</v>
      </c>
      <c r="G3155" s="156" t="str">
        <f>'Reported burning'!G3155</f>
        <v>ND</v>
      </c>
      <c r="H3155" s="156" t="str">
        <f>'Reported burning'!H3155</f>
        <v>Presence</v>
      </c>
      <c r="I3155" s="5"/>
      <c r="J3155" s="204" t="s">
        <v>2276</v>
      </c>
      <c r="K3155" s="204" t="s">
        <v>2276</v>
      </c>
      <c r="L3155" s="204" t="s">
        <v>2276</v>
      </c>
      <c r="M3155" s="204" t="s">
        <v>2276</v>
      </c>
      <c r="N3155" s="204" t="s">
        <v>2276</v>
      </c>
      <c r="O3155" s="204" t="s">
        <v>2276</v>
      </c>
      <c r="P3155" s="204" t="s">
        <v>2276</v>
      </c>
      <c r="Q3155" s="204" t="s">
        <v>2276</v>
      </c>
      <c r="R3155" s="204" t="s">
        <v>2276</v>
      </c>
      <c r="S3155" s="204" t="s">
        <v>2276</v>
      </c>
      <c r="T3155" s="204" t="s">
        <v>2276</v>
      </c>
      <c r="U3155" s="204" t="s">
        <v>2276</v>
      </c>
      <c r="V3155" s="204" t="s">
        <v>2276</v>
      </c>
      <c r="W3155" s="21" t="s">
        <v>2375</v>
      </c>
      <c r="X3155" s="204" t="s">
        <v>38</v>
      </c>
      <c r="Y3155" s="204" t="s">
        <v>86</v>
      </c>
      <c r="Z3155" s="204" t="s">
        <v>2276</v>
      </c>
      <c r="AA3155" s="204"/>
      <c r="AB3155" s="204"/>
    </row>
    <row r="3156" spans="1:28" ht="33" customHeight="1">
      <c r="A3156" s="156" t="str">
        <f>'Reported burning'!A3156</f>
        <v>341a</v>
      </c>
      <c r="B3156" s="156" t="str">
        <f>'Reported burning'!B3156</f>
        <v>341a.6</v>
      </c>
      <c r="C3156" s="156" t="str">
        <f>'Reported burning'!C3156</f>
        <v>Human, deliberate</v>
      </c>
      <c r="D3156" s="156" t="str">
        <f>'Reported burning'!D3156</f>
        <v>Crop residue burning</v>
      </c>
      <c r="E3156" s="156" t="str">
        <f>'Reported burning'!E3156</f>
        <v>Cropping, Monoculture, Market-oriented</v>
      </c>
      <c r="F3156" s="156" t="str">
        <f>'Reported burning'!F3156</f>
        <v>Cropland</v>
      </c>
      <c r="G3156" s="156" t="str">
        <f>'Reported burning'!G3156</f>
        <v>ND</v>
      </c>
      <c r="H3156" s="156" t="str">
        <f>'Reported burning'!H3156</f>
        <v>Presence</v>
      </c>
      <c r="I3156" s="5"/>
      <c r="J3156" s="204" t="s">
        <v>2276</v>
      </c>
      <c r="K3156" s="204" t="s">
        <v>2276</v>
      </c>
      <c r="L3156" s="204" t="s">
        <v>2276</v>
      </c>
      <c r="M3156" s="204" t="s">
        <v>2276</v>
      </c>
      <c r="N3156" s="204" t="s">
        <v>2276</v>
      </c>
      <c r="O3156" s="204" t="s">
        <v>2276</v>
      </c>
      <c r="P3156" s="204" t="s">
        <v>2276</v>
      </c>
      <c r="Q3156" s="204" t="s">
        <v>2276</v>
      </c>
      <c r="R3156" s="204" t="s">
        <v>2276</v>
      </c>
      <c r="S3156" s="204" t="s">
        <v>2276</v>
      </c>
      <c r="T3156" s="204" t="s">
        <v>2276</v>
      </c>
      <c r="U3156" s="204" t="s">
        <v>2276</v>
      </c>
      <c r="V3156" s="204" t="s">
        <v>2276</v>
      </c>
      <c r="W3156" s="21" t="s">
        <v>2375</v>
      </c>
      <c r="X3156" s="204" t="s">
        <v>68</v>
      </c>
      <c r="Y3156" s="204" t="s">
        <v>127</v>
      </c>
      <c r="Z3156" s="204" t="s">
        <v>2276</v>
      </c>
      <c r="AA3156" s="204"/>
      <c r="AB3156" s="204"/>
    </row>
    <row r="3157" spans="1:28" ht="33" customHeight="1">
      <c r="A3157" s="156" t="str">
        <f>'Reported burning'!A3157</f>
        <v>341a</v>
      </c>
      <c r="B3157" s="156" t="str">
        <f>'Reported burning'!B3157</f>
        <v>341a.7</v>
      </c>
      <c r="C3157" s="156" t="str">
        <f>'Reported burning'!C3157</f>
        <v>Human, deliberate</v>
      </c>
      <c r="D3157" s="156" t="str">
        <f>'Reported burning'!D3157</f>
        <v>Crop residue burning</v>
      </c>
      <c r="E3157" s="156" t="str">
        <f>'Reported burning'!E3157</f>
        <v>Cropping, Monoculture, Market-oriented</v>
      </c>
      <c r="F3157" s="156" t="str">
        <f>'Reported burning'!F3157</f>
        <v>Cropland</v>
      </c>
      <c r="G3157" s="156" t="str">
        <f>'Reported burning'!G3157</f>
        <v>ND</v>
      </c>
      <c r="H3157" s="156" t="str">
        <f>'Reported burning'!H3157</f>
        <v>Presence</v>
      </c>
      <c r="I3157" s="5"/>
      <c r="J3157" s="204" t="s">
        <v>2276</v>
      </c>
      <c r="K3157" s="204" t="s">
        <v>2276</v>
      </c>
      <c r="L3157" s="204" t="s">
        <v>2276</v>
      </c>
      <c r="M3157" s="204" t="s">
        <v>2276</v>
      </c>
      <c r="N3157" s="204" t="s">
        <v>2276</v>
      </c>
      <c r="O3157" s="204" t="s">
        <v>2276</v>
      </c>
      <c r="P3157" s="204" t="s">
        <v>2276</v>
      </c>
      <c r="Q3157" s="204" t="s">
        <v>2276</v>
      </c>
      <c r="R3157" s="204" t="s">
        <v>2276</v>
      </c>
      <c r="S3157" s="204" t="s">
        <v>2276</v>
      </c>
      <c r="T3157" s="204" t="s">
        <v>2276</v>
      </c>
      <c r="U3157" s="204" t="s">
        <v>2276</v>
      </c>
      <c r="V3157" s="204" t="s">
        <v>2276</v>
      </c>
      <c r="W3157" s="21" t="s">
        <v>2375</v>
      </c>
      <c r="X3157" s="204" t="s">
        <v>399</v>
      </c>
      <c r="Y3157" s="204" t="s">
        <v>189</v>
      </c>
      <c r="Z3157" s="204" t="s">
        <v>2276</v>
      </c>
      <c r="AA3157" s="204"/>
      <c r="AB3157" s="204"/>
    </row>
    <row r="3158" spans="1:28" ht="33" customHeight="1">
      <c r="A3158" s="156" t="str">
        <f>'Reported burning'!A3158</f>
        <v>341a</v>
      </c>
      <c r="B3158" s="156" t="str">
        <f>'Reported burning'!B3158</f>
        <v>341a.8</v>
      </c>
      <c r="C3158" s="156" t="str">
        <f>'Reported burning'!C3158</f>
        <v>Human, deliberate</v>
      </c>
      <c r="D3158" s="156" t="str">
        <f>'Reported burning'!D3158</f>
        <v>Crop residue burning</v>
      </c>
      <c r="E3158" s="156" t="str">
        <f>'Reported burning'!E3158</f>
        <v>Cropping, Monoculture, Market-oriented</v>
      </c>
      <c r="F3158" s="156" t="str">
        <f>'Reported burning'!F3158</f>
        <v>Cropland</v>
      </c>
      <c r="G3158" s="156" t="str">
        <f>'Reported burning'!G3158</f>
        <v>ND</v>
      </c>
      <c r="H3158" s="156" t="str">
        <f>'Reported burning'!H3158</f>
        <v>Presence</v>
      </c>
      <c r="I3158" s="5"/>
      <c r="J3158" s="204" t="s">
        <v>2276</v>
      </c>
      <c r="K3158" s="204" t="s">
        <v>2276</v>
      </c>
      <c r="L3158" s="204" t="s">
        <v>2276</v>
      </c>
      <c r="M3158" s="204" t="s">
        <v>2276</v>
      </c>
      <c r="N3158" s="204" t="s">
        <v>2276</v>
      </c>
      <c r="O3158" s="204" t="s">
        <v>2276</v>
      </c>
      <c r="P3158" s="204" t="s">
        <v>2276</v>
      </c>
      <c r="Q3158" s="204" t="s">
        <v>2276</v>
      </c>
      <c r="R3158" s="204" t="s">
        <v>2276</v>
      </c>
      <c r="S3158" s="204" t="s">
        <v>2276</v>
      </c>
      <c r="T3158" s="204" t="s">
        <v>2276</v>
      </c>
      <c r="U3158" s="204" t="s">
        <v>2276</v>
      </c>
      <c r="V3158" s="204" t="s">
        <v>2276</v>
      </c>
      <c r="W3158" s="21" t="s">
        <v>2375</v>
      </c>
      <c r="X3158" s="204" t="s">
        <v>38</v>
      </c>
      <c r="Y3158" s="204" t="s">
        <v>86</v>
      </c>
      <c r="Z3158" s="204" t="s">
        <v>2276</v>
      </c>
      <c r="AA3158" s="204"/>
      <c r="AB3158" s="204"/>
    </row>
    <row r="3159" spans="1:28" ht="33" customHeight="1">
      <c r="A3159" s="156" t="str">
        <f>'Reported burning'!A3159</f>
        <v>341b</v>
      </c>
      <c r="B3159" s="156" t="str">
        <f>'Reported burning'!B3159</f>
        <v>341b.1</v>
      </c>
      <c r="C3159" s="156" t="str">
        <f>'Reported burning'!C3159</f>
        <v>Human, deliberate</v>
      </c>
      <c r="D3159" s="156" t="str">
        <f>'Reported burning'!D3159</f>
        <v>Vegetation management</v>
      </c>
      <c r="E3159" s="156" t="str">
        <f>'Reported burning'!E3159</f>
        <v>Cropping, Monoculture, Subsistence-oriented</v>
      </c>
      <c r="F3159" s="156" t="str">
        <f>'Reported burning'!F3159</f>
        <v>Cropland</v>
      </c>
      <c r="G3159" s="156" t="str">
        <f>'Reported burning'!G3159</f>
        <v>ND</v>
      </c>
      <c r="H3159" s="156" t="str">
        <f>'Reported burning'!H3159</f>
        <v>Absence</v>
      </c>
      <c r="I3159" s="5"/>
      <c r="J3159" s="21">
        <v>0</v>
      </c>
      <c r="K3159" s="21">
        <v>0</v>
      </c>
      <c r="L3159" s="21">
        <v>0</v>
      </c>
      <c r="M3159" s="21">
        <v>0</v>
      </c>
      <c r="N3159" s="21">
        <v>0</v>
      </c>
      <c r="O3159" s="21">
        <v>0</v>
      </c>
      <c r="P3159" s="21">
        <v>0</v>
      </c>
      <c r="Q3159" s="21">
        <v>0</v>
      </c>
      <c r="R3159" s="21">
        <v>0</v>
      </c>
      <c r="S3159" s="21">
        <v>0</v>
      </c>
      <c r="T3159" s="21">
        <v>0</v>
      </c>
      <c r="U3159" s="21">
        <v>0</v>
      </c>
      <c r="V3159" s="21">
        <v>0</v>
      </c>
      <c r="W3159" s="204" t="s">
        <v>2276</v>
      </c>
      <c r="X3159" s="204" t="s">
        <v>2276</v>
      </c>
      <c r="Y3159" s="204" t="s">
        <v>2276</v>
      </c>
      <c r="Z3159" s="204" t="s">
        <v>2276</v>
      </c>
      <c r="AA3159" s="204"/>
      <c r="AB3159" s="204"/>
    </row>
    <row r="3160" spans="1:28" ht="34.5" customHeight="1">
      <c r="A3160" s="156" t="str">
        <f>'Reported burning'!A3160</f>
        <v>342a</v>
      </c>
      <c r="B3160" s="156" t="str">
        <f>'Reported burning'!B3160</f>
        <v>342a.1</v>
      </c>
      <c r="C3160" s="156" t="str">
        <f>'Reported burning'!C3160</f>
        <v>Human, deliberate</v>
      </c>
      <c r="D3160" s="156" t="str">
        <f>'Reported burning'!D3160</f>
        <v>Crop residue burning</v>
      </c>
      <c r="E3160" s="156" t="str">
        <f>'Reported burning'!E3160</f>
        <v>Cropping, Monoculture, Market-oriented</v>
      </c>
      <c r="F3160" s="156" t="str">
        <f>'Reported burning'!F3160</f>
        <v>Cropland</v>
      </c>
      <c r="G3160" s="156" t="str">
        <f>'Reported burning'!G3160</f>
        <v>ND</v>
      </c>
      <c r="H3160" s="156" t="str">
        <f>'Reported burning'!H3160</f>
        <v>Presence</v>
      </c>
      <c r="I3160" s="5"/>
      <c r="J3160" s="204" t="s">
        <v>2276</v>
      </c>
      <c r="K3160" s="204" t="s">
        <v>2276</v>
      </c>
      <c r="L3160" s="204" t="s">
        <v>2276</v>
      </c>
      <c r="M3160" s="204" t="s">
        <v>2276</v>
      </c>
      <c r="N3160" s="204" t="s">
        <v>2276</v>
      </c>
      <c r="O3160" s="204" t="s">
        <v>2276</v>
      </c>
      <c r="P3160" s="204" t="s">
        <v>2276</v>
      </c>
      <c r="Q3160" s="204" t="s">
        <v>2276</v>
      </c>
      <c r="R3160" s="204" t="s">
        <v>2276</v>
      </c>
      <c r="S3160" s="204" t="s">
        <v>2276</v>
      </c>
      <c r="T3160" s="204" t="s">
        <v>2276</v>
      </c>
      <c r="U3160" s="204" t="s">
        <v>2276</v>
      </c>
      <c r="V3160" s="204" t="s">
        <v>2276</v>
      </c>
      <c r="W3160" s="204" t="s">
        <v>2276</v>
      </c>
      <c r="X3160" s="204" t="s">
        <v>188</v>
      </c>
      <c r="Y3160" s="204" t="s">
        <v>86</v>
      </c>
      <c r="Z3160" s="204" t="s">
        <v>2276</v>
      </c>
      <c r="AA3160" s="204"/>
      <c r="AB3160" s="204"/>
    </row>
    <row r="3161" spans="1:28" ht="32.5" customHeight="1">
      <c r="A3161" s="156" t="str">
        <f>'Reported burning'!A3161</f>
        <v>343a</v>
      </c>
      <c r="B3161" s="156" t="str">
        <f>'Reported burning'!B3161</f>
        <v>343a.1</v>
      </c>
      <c r="C3161" s="156" t="str">
        <f>'Reported burning'!C3161</f>
        <v>Human, deliberate</v>
      </c>
      <c r="D3161" s="156" t="str">
        <f>'Reported burning'!D3161</f>
        <v>Vegetation management</v>
      </c>
      <c r="E3161" s="156" t="str">
        <f>'Reported burning'!E3161</f>
        <v>Cropping, Monoculture, Market-oriented</v>
      </c>
      <c r="F3161" s="156" t="str">
        <f>'Reported burning'!F3161</f>
        <v>Cropland</v>
      </c>
      <c r="G3161" s="156" t="str">
        <f>'Reported burning'!G3161</f>
        <v>ND</v>
      </c>
      <c r="H3161" s="156" t="str">
        <f>'Reported burning'!H3161</f>
        <v>Presence</v>
      </c>
      <c r="I3161" s="5"/>
      <c r="J3161" s="204" t="s">
        <v>2276</v>
      </c>
      <c r="K3161" s="204" t="s">
        <v>2276</v>
      </c>
      <c r="L3161" s="204" t="s">
        <v>2276</v>
      </c>
      <c r="M3161" s="204" t="s">
        <v>2276</v>
      </c>
      <c r="N3161" s="204" t="s">
        <v>2276</v>
      </c>
      <c r="O3161" s="204" t="s">
        <v>2276</v>
      </c>
      <c r="P3161" s="204" t="s">
        <v>2276</v>
      </c>
      <c r="Q3161" s="204" t="s">
        <v>2276</v>
      </c>
      <c r="R3161" s="204" t="s">
        <v>2276</v>
      </c>
      <c r="S3161" s="204" t="s">
        <v>2276</v>
      </c>
      <c r="T3161" s="204" t="s">
        <v>2276</v>
      </c>
      <c r="U3161" s="204" t="s">
        <v>2276</v>
      </c>
      <c r="V3161" s="204" t="s">
        <v>2276</v>
      </c>
      <c r="W3161" s="204" t="s">
        <v>2276</v>
      </c>
      <c r="X3161" s="204" t="s">
        <v>2276</v>
      </c>
      <c r="Y3161" s="204" t="s">
        <v>2276</v>
      </c>
      <c r="Z3161" s="204" t="s">
        <v>2276</v>
      </c>
      <c r="AA3161" s="204"/>
      <c r="AB3161" s="204"/>
    </row>
    <row r="3162" spans="1:28" ht="32.5" customHeight="1">
      <c r="A3162" s="156" t="str">
        <f>'Reported burning'!A3162</f>
        <v>344a</v>
      </c>
      <c r="B3162" s="156" t="str">
        <f>'Reported burning'!B3162</f>
        <v>344a.1</v>
      </c>
      <c r="C3162" s="156" t="str">
        <f>'Reported burning'!C3162</f>
        <v>Human, deliberate</v>
      </c>
      <c r="D3162" s="156" t="str">
        <f>'Reported burning'!D3162</f>
        <v>Vegetation management</v>
      </c>
      <c r="E3162" s="156" t="str">
        <f>'Reported burning'!E3162</f>
        <v>Cropping, Monoculture, Market-oriented</v>
      </c>
      <c r="F3162" s="156" t="str">
        <f>'Reported burning'!F3162</f>
        <v>Cropland</v>
      </c>
      <c r="G3162" s="156" t="str">
        <f>'Reported burning'!G3162</f>
        <v>ND</v>
      </c>
      <c r="H3162" s="156" t="str">
        <f>'Reported burning'!H3162</f>
        <v>Presence</v>
      </c>
      <c r="I3162" s="5"/>
      <c r="J3162" s="204" t="s">
        <v>2276</v>
      </c>
      <c r="K3162" s="204" t="s">
        <v>2276</v>
      </c>
      <c r="L3162" s="204" t="s">
        <v>2276</v>
      </c>
      <c r="M3162" s="204" t="s">
        <v>2276</v>
      </c>
      <c r="N3162" s="204" t="s">
        <v>2276</v>
      </c>
      <c r="O3162" s="204" t="s">
        <v>2276</v>
      </c>
      <c r="P3162" s="204" t="s">
        <v>2276</v>
      </c>
      <c r="Q3162" s="204" t="s">
        <v>2276</v>
      </c>
      <c r="R3162" s="204" t="s">
        <v>2276</v>
      </c>
      <c r="S3162" s="204" t="s">
        <v>2276</v>
      </c>
      <c r="T3162" s="204" t="s">
        <v>2276</v>
      </c>
      <c r="U3162" s="204" t="s">
        <v>2276</v>
      </c>
      <c r="V3162" s="204" t="s">
        <v>2276</v>
      </c>
      <c r="W3162" s="204" t="s">
        <v>2276</v>
      </c>
      <c r="X3162" s="204" t="s">
        <v>2276</v>
      </c>
      <c r="Y3162" s="204" t="s">
        <v>2276</v>
      </c>
      <c r="Z3162" s="204" t="s">
        <v>2276</v>
      </c>
      <c r="AA3162" s="204"/>
      <c r="AB3162" s="204"/>
    </row>
    <row r="3163" spans="1:28" ht="32.5" customHeight="1">
      <c r="A3163" s="156" t="str">
        <f>'Reported burning'!A3163</f>
        <v>344c</v>
      </c>
      <c r="B3163" s="156" t="str">
        <f>'Reported burning'!B3163</f>
        <v>344c.1</v>
      </c>
      <c r="C3163" s="156" t="str">
        <f>'Reported burning'!C3163</f>
        <v>Human, deliberate</v>
      </c>
      <c r="D3163" s="156" t="str">
        <f>'Reported burning'!D3163</f>
        <v>Vegetation management</v>
      </c>
      <c r="E3163" s="156" t="str">
        <f>'Reported burning'!E3163</f>
        <v>Cropping, Monoculture, Market-oriented</v>
      </c>
      <c r="F3163" s="156" t="str">
        <f>'Reported burning'!F3163</f>
        <v>Cropland</v>
      </c>
      <c r="G3163" s="156" t="str">
        <f>'Reported burning'!G3163</f>
        <v>ND</v>
      </c>
      <c r="H3163" s="156" t="str">
        <f>'Reported burning'!H3163</f>
        <v>Presence</v>
      </c>
      <c r="I3163" s="5"/>
      <c r="J3163" s="204" t="s">
        <v>2276</v>
      </c>
      <c r="K3163" s="204" t="s">
        <v>2276</v>
      </c>
      <c r="L3163" s="204" t="s">
        <v>2276</v>
      </c>
      <c r="M3163" s="204" t="s">
        <v>2276</v>
      </c>
      <c r="N3163" s="204" t="s">
        <v>2276</v>
      </c>
      <c r="O3163" s="204" t="s">
        <v>2276</v>
      </c>
      <c r="P3163" s="204" t="s">
        <v>2276</v>
      </c>
      <c r="Q3163" s="204" t="s">
        <v>2276</v>
      </c>
      <c r="R3163" s="204" t="s">
        <v>2276</v>
      </c>
      <c r="S3163" s="204" t="s">
        <v>2276</v>
      </c>
      <c r="T3163" s="204" t="s">
        <v>2276</v>
      </c>
      <c r="U3163" s="204" t="s">
        <v>2276</v>
      </c>
      <c r="V3163" s="204" t="s">
        <v>2276</v>
      </c>
      <c r="W3163" s="204" t="s">
        <v>2276</v>
      </c>
      <c r="X3163" s="204" t="s">
        <v>2276</v>
      </c>
      <c r="Y3163" s="204" t="s">
        <v>2276</v>
      </c>
      <c r="Z3163" s="204" t="s">
        <v>2276</v>
      </c>
      <c r="AA3163" s="204"/>
      <c r="AB3163" s="204"/>
    </row>
    <row r="3164" spans="1:28" ht="32.5" customHeight="1">
      <c r="A3164" s="156" t="str">
        <f>'Reported burning'!A3164</f>
        <v>344d</v>
      </c>
      <c r="B3164" s="156" t="str">
        <f>'Reported burning'!B3164</f>
        <v>344d.1</v>
      </c>
      <c r="C3164" s="156" t="str">
        <f>'Reported burning'!C3164</f>
        <v>Human, deliberate</v>
      </c>
      <c r="D3164" s="156" t="str">
        <f>'Reported burning'!D3164</f>
        <v>Vegetation management</v>
      </c>
      <c r="E3164" s="156" t="str">
        <f>'Reported burning'!E3164</f>
        <v>Cropping, Monoculture, Market-oriented</v>
      </c>
      <c r="F3164" s="156" t="str">
        <f>'Reported burning'!F3164</f>
        <v>Cropland</v>
      </c>
      <c r="G3164" s="156" t="str">
        <f>'Reported burning'!G3164</f>
        <v>ND</v>
      </c>
      <c r="H3164" s="156" t="str">
        <f>'Reported burning'!H3164</f>
        <v>Presence</v>
      </c>
      <c r="I3164" s="5"/>
      <c r="J3164" s="204" t="s">
        <v>2276</v>
      </c>
      <c r="K3164" s="204" t="s">
        <v>2276</v>
      </c>
      <c r="L3164" s="204" t="s">
        <v>2276</v>
      </c>
      <c r="M3164" s="204" t="s">
        <v>2276</v>
      </c>
      <c r="N3164" s="204" t="s">
        <v>2276</v>
      </c>
      <c r="O3164" s="204" t="s">
        <v>2276</v>
      </c>
      <c r="P3164" s="204" t="s">
        <v>2276</v>
      </c>
      <c r="Q3164" s="204" t="s">
        <v>2276</v>
      </c>
      <c r="R3164" s="204" t="s">
        <v>2276</v>
      </c>
      <c r="S3164" s="204" t="s">
        <v>2276</v>
      </c>
      <c r="T3164" s="204" t="s">
        <v>2276</v>
      </c>
      <c r="U3164" s="204" t="s">
        <v>2276</v>
      </c>
      <c r="V3164" s="204" t="s">
        <v>2276</v>
      </c>
      <c r="W3164" s="204" t="s">
        <v>2276</v>
      </c>
      <c r="X3164" s="204" t="s">
        <v>2276</v>
      </c>
      <c r="Y3164" s="204" t="s">
        <v>2276</v>
      </c>
      <c r="Z3164" s="204" t="s">
        <v>2276</v>
      </c>
      <c r="AA3164" s="204"/>
      <c r="AB3164" s="204"/>
    </row>
    <row r="3165" spans="1:28" ht="32.5" customHeight="1">
      <c r="A3165" s="156" t="str">
        <f>'Reported burning'!A3165</f>
        <v>344e</v>
      </c>
      <c r="B3165" s="156" t="str">
        <f>'Reported burning'!B3165</f>
        <v>344e.1</v>
      </c>
      <c r="C3165" s="156" t="str">
        <f>'Reported burning'!C3165</f>
        <v>Human, deliberate</v>
      </c>
      <c r="D3165" s="156" t="str">
        <f>'Reported burning'!D3165</f>
        <v>Vegetation management</v>
      </c>
      <c r="E3165" s="156" t="str">
        <f>'Reported burning'!E3165</f>
        <v>Cropping, Monoculture, Market-oriented</v>
      </c>
      <c r="F3165" s="156" t="str">
        <f>'Reported burning'!F3165</f>
        <v>Cropland</v>
      </c>
      <c r="G3165" s="156" t="str">
        <f>'Reported burning'!G3165</f>
        <v>ND</v>
      </c>
      <c r="H3165" s="156" t="str">
        <f>'Reported burning'!H3165</f>
        <v>Presence</v>
      </c>
      <c r="I3165" s="5"/>
      <c r="J3165" s="204" t="s">
        <v>2276</v>
      </c>
      <c r="K3165" s="204" t="s">
        <v>2276</v>
      </c>
      <c r="L3165" s="204" t="s">
        <v>2276</v>
      </c>
      <c r="M3165" s="204" t="s">
        <v>2276</v>
      </c>
      <c r="N3165" s="204" t="s">
        <v>2276</v>
      </c>
      <c r="O3165" s="204" t="s">
        <v>2276</v>
      </c>
      <c r="P3165" s="204" t="s">
        <v>2276</v>
      </c>
      <c r="Q3165" s="204" t="s">
        <v>2276</v>
      </c>
      <c r="R3165" s="204" t="s">
        <v>2276</v>
      </c>
      <c r="S3165" s="204" t="s">
        <v>2276</v>
      </c>
      <c r="T3165" s="204" t="s">
        <v>2276</v>
      </c>
      <c r="U3165" s="204" t="s">
        <v>2276</v>
      </c>
      <c r="V3165" s="204" t="s">
        <v>2276</v>
      </c>
      <c r="W3165" s="204" t="s">
        <v>2276</v>
      </c>
      <c r="X3165" s="204" t="s">
        <v>2276</v>
      </c>
      <c r="Y3165" s="204" t="s">
        <v>2276</v>
      </c>
      <c r="Z3165" s="204" t="s">
        <v>2276</v>
      </c>
      <c r="AA3165" s="204"/>
      <c r="AB3165" s="204"/>
    </row>
    <row r="3166" spans="1:28" ht="32.5" customHeight="1">
      <c r="A3166" s="156" t="str">
        <f>'Reported burning'!A3166</f>
        <v>344f</v>
      </c>
      <c r="B3166" s="156" t="str">
        <f>'Reported burning'!B3166</f>
        <v>344f.1</v>
      </c>
      <c r="C3166" s="156" t="str">
        <f>'Reported burning'!C3166</f>
        <v>Human, deliberate</v>
      </c>
      <c r="D3166" s="156" t="str">
        <f>'Reported burning'!D3166</f>
        <v>Vegetation management</v>
      </c>
      <c r="E3166" s="156" t="str">
        <f>'Reported burning'!E3166</f>
        <v>Cropping, Monoculture, Market-oriented</v>
      </c>
      <c r="F3166" s="156" t="str">
        <f>'Reported burning'!F3166</f>
        <v>Cropland</v>
      </c>
      <c r="G3166" s="156" t="str">
        <f>'Reported burning'!G3166</f>
        <v>ND</v>
      </c>
      <c r="H3166" s="156" t="str">
        <f>'Reported burning'!H3166</f>
        <v>Presence</v>
      </c>
      <c r="I3166" s="5"/>
      <c r="J3166" s="204" t="s">
        <v>2276</v>
      </c>
      <c r="K3166" s="204" t="s">
        <v>2276</v>
      </c>
      <c r="L3166" s="204" t="s">
        <v>2276</v>
      </c>
      <c r="M3166" s="204" t="s">
        <v>2276</v>
      </c>
      <c r="N3166" s="204" t="s">
        <v>2276</v>
      </c>
      <c r="O3166" s="204" t="s">
        <v>2276</v>
      </c>
      <c r="P3166" s="204" t="s">
        <v>2276</v>
      </c>
      <c r="Q3166" s="204" t="s">
        <v>2276</v>
      </c>
      <c r="R3166" s="204" t="s">
        <v>2276</v>
      </c>
      <c r="S3166" s="204" t="s">
        <v>2276</v>
      </c>
      <c r="T3166" s="204" t="s">
        <v>2276</v>
      </c>
      <c r="U3166" s="204" t="s">
        <v>2276</v>
      </c>
      <c r="V3166" s="204" t="s">
        <v>2276</v>
      </c>
      <c r="W3166" s="204" t="s">
        <v>2276</v>
      </c>
      <c r="X3166" s="204" t="s">
        <v>2276</v>
      </c>
      <c r="Y3166" s="204" t="s">
        <v>2276</v>
      </c>
      <c r="Z3166" s="204" t="s">
        <v>2276</v>
      </c>
      <c r="AA3166" s="204"/>
      <c r="AB3166" s="204"/>
    </row>
    <row r="3167" spans="1:28" ht="32.5" customHeight="1">
      <c r="A3167" s="156" t="str">
        <f>'Reported burning'!A3167</f>
        <v>344g</v>
      </c>
      <c r="B3167" s="156" t="str">
        <f>'Reported burning'!B3167</f>
        <v>344g.1</v>
      </c>
      <c r="C3167" s="156" t="str">
        <f>'Reported burning'!C3167</f>
        <v>Human, deliberate</v>
      </c>
      <c r="D3167" s="156" t="str">
        <f>'Reported burning'!D3167</f>
        <v>Vegetation management</v>
      </c>
      <c r="E3167" s="156" t="str">
        <f>'Reported burning'!E3167</f>
        <v>Cropping, Monoculture, Market-oriented</v>
      </c>
      <c r="F3167" s="156" t="str">
        <f>'Reported burning'!F3167</f>
        <v>Cropland</v>
      </c>
      <c r="G3167" s="156" t="str">
        <f>'Reported burning'!G3167</f>
        <v>ND</v>
      </c>
      <c r="H3167" s="156" t="str">
        <f>'Reported burning'!H3167</f>
        <v>Presence</v>
      </c>
      <c r="I3167" s="5"/>
      <c r="J3167" s="204" t="s">
        <v>2276</v>
      </c>
      <c r="K3167" s="204" t="s">
        <v>2276</v>
      </c>
      <c r="L3167" s="204" t="s">
        <v>2276</v>
      </c>
      <c r="M3167" s="204" t="s">
        <v>2276</v>
      </c>
      <c r="N3167" s="204" t="s">
        <v>2276</v>
      </c>
      <c r="O3167" s="204" t="s">
        <v>2276</v>
      </c>
      <c r="P3167" s="204" t="s">
        <v>2276</v>
      </c>
      <c r="Q3167" s="204" t="s">
        <v>2276</v>
      </c>
      <c r="R3167" s="204" t="s">
        <v>2276</v>
      </c>
      <c r="S3167" s="204" t="s">
        <v>2276</v>
      </c>
      <c r="T3167" s="204" t="s">
        <v>2276</v>
      </c>
      <c r="U3167" s="204" t="s">
        <v>2276</v>
      </c>
      <c r="V3167" s="204" t="s">
        <v>2276</v>
      </c>
      <c r="W3167" s="204" t="s">
        <v>2276</v>
      </c>
      <c r="X3167" s="204" t="s">
        <v>2276</v>
      </c>
      <c r="Y3167" s="204" t="s">
        <v>2276</v>
      </c>
      <c r="Z3167" s="204" t="s">
        <v>2276</v>
      </c>
      <c r="AA3167" s="204"/>
      <c r="AB3167" s="204"/>
    </row>
    <row r="3168" spans="1:28" ht="32.5" customHeight="1">
      <c r="A3168" s="156" t="str">
        <f>'Reported burning'!A3168</f>
        <v>344h</v>
      </c>
      <c r="B3168" s="156" t="str">
        <f>'Reported burning'!B3168</f>
        <v>344h.1</v>
      </c>
      <c r="C3168" s="156" t="str">
        <f>'Reported burning'!C3168</f>
        <v>Human, deliberate</v>
      </c>
      <c r="D3168" s="156" t="str">
        <f>'Reported burning'!D3168</f>
        <v>Vegetation management</v>
      </c>
      <c r="E3168" s="156" t="str">
        <f>'Reported burning'!E3168</f>
        <v>Cropping, Monoculture, Market-oriented</v>
      </c>
      <c r="F3168" s="156" t="str">
        <f>'Reported burning'!F3168</f>
        <v>Cropland</v>
      </c>
      <c r="G3168" s="156" t="str">
        <f>'Reported burning'!G3168</f>
        <v>ND</v>
      </c>
      <c r="H3168" s="156" t="str">
        <f>'Reported burning'!H3168</f>
        <v>Presence</v>
      </c>
      <c r="I3168" s="5"/>
      <c r="J3168" s="204" t="s">
        <v>2276</v>
      </c>
      <c r="K3168" s="204" t="s">
        <v>2276</v>
      </c>
      <c r="L3168" s="204" t="s">
        <v>2276</v>
      </c>
      <c r="M3168" s="204" t="s">
        <v>2276</v>
      </c>
      <c r="N3168" s="204" t="s">
        <v>2276</v>
      </c>
      <c r="O3168" s="204" t="s">
        <v>2276</v>
      </c>
      <c r="P3168" s="204" t="s">
        <v>2276</v>
      </c>
      <c r="Q3168" s="204" t="s">
        <v>2276</v>
      </c>
      <c r="R3168" s="204" t="s">
        <v>2276</v>
      </c>
      <c r="S3168" s="204" t="s">
        <v>2276</v>
      </c>
      <c r="T3168" s="204" t="s">
        <v>2276</v>
      </c>
      <c r="U3168" s="204" t="s">
        <v>2276</v>
      </c>
      <c r="V3168" s="204" t="s">
        <v>2276</v>
      </c>
      <c r="W3168" s="204" t="s">
        <v>2276</v>
      </c>
      <c r="X3168" s="204" t="s">
        <v>2276</v>
      </c>
      <c r="Y3168" s="204" t="s">
        <v>2276</v>
      </c>
      <c r="Z3168" s="204" t="s">
        <v>2276</v>
      </c>
      <c r="AA3168" s="204"/>
      <c r="AB3168" s="204"/>
    </row>
    <row r="3169" spans="1:28" ht="32.5" customHeight="1">
      <c r="A3169" s="156" t="str">
        <f>'Reported burning'!A3169</f>
        <v>344i</v>
      </c>
      <c r="B3169" s="156" t="str">
        <f>'Reported burning'!B3169</f>
        <v>344i.1</v>
      </c>
      <c r="C3169" s="156" t="str">
        <f>'Reported burning'!C3169</f>
        <v>Human, deliberate</v>
      </c>
      <c r="D3169" s="156" t="str">
        <f>'Reported burning'!D3169</f>
        <v>Vegetation management</v>
      </c>
      <c r="E3169" s="156" t="str">
        <f>'Reported burning'!E3169</f>
        <v>Cropping, Monoculture, Market-oriented</v>
      </c>
      <c r="F3169" s="156" t="str">
        <f>'Reported burning'!F3169</f>
        <v>Cropland</v>
      </c>
      <c r="G3169" s="156" t="str">
        <f>'Reported burning'!G3169</f>
        <v>ND</v>
      </c>
      <c r="H3169" s="156" t="str">
        <f>'Reported burning'!H3169</f>
        <v>Presence</v>
      </c>
      <c r="I3169" s="5"/>
      <c r="J3169" s="204" t="s">
        <v>2276</v>
      </c>
      <c r="K3169" s="204" t="s">
        <v>2276</v>
      </c>
      <c r="L3169" s="204" t="s">
        <v>2276</v>
      </c>
      <c r="M3169" s="204" t="s">
        <v>2276</v>
      </c>
      <c r="N3169" s="204" t="s">
        <v>2276</v>
      </c>
      <c r="O3169" s="204" t="s">
        <v>2276</v>
      </c>
      <c r="P3169" s="204" t="s">
        <v>2276</v>
      </c>
      <c r="Q3169" s="204" t="s">
        <v>2276</v>
      </c>
      <c r="R3169" s="204" t="s">
        <v>2276</v>
      </c>
      <c r="S3169" s="204" t="s">
        <v>2276</v>
      </c>
      <c r="T3169" s="204" t="s">
        <v>2276</v>
      </c>
      <c r="U3169" s="204" t="s">
        <v>2276</v>
      </c>
      <c r="V3169" s="204" t="s">
        <v>2276</v>
      </c>
      <c r="W3169" s="204" t="s">
        <v>2276</v>
      </c>
      <c r="X3169" s="204" t="s">
        <v>2276</v>
      </c>
      <c r="Y3169" s="204" t="s">
        <v>2276</v>
      </c>
      <c r="Z3169" s="204" t="s">
        <v>2276</v>
      </c>
      <c r="AA3169" s="204"/>
      <c r="AB3169" s="204"/>
    </row>
    <row r="3170" spans="1:28" ht="32.5" customHeight="1">
      <c r="A3170" s="156" t="str">
        <f>'Reported burning'!A3170</f>
        <v>344k</v>
      </c>
      <c r="B3170" s="156" t="str">
        <f>'Reported burning'!B3170</f>
        <v>344k.1</v>
      </c>
      <c r="C3170" s="156" t="str">
        <f>'Reported burning'!C3170</f>
        <v>Human, deliberate</v>
      </c>
      <c r="D3170" s="156" t="str">
        <f>'Reported burning'!D3170</f>
        <v>Vegetation management</v>
      </c>
      <c r="E3170" s="156" t="str">
        <f>'Reported burning'!E3170</f>
        <v>Cropping, Monoculture, Market-oriented</v>
      </c>
      <c r="F3170" s="156" t="str">
        <f>'Reported burning'!F3170</f>
        <v>Cropland</v>
      </c>
      <c r="G3170" s="156" t="str">
        <f>'Reported burning'!G3170</f>
        <v>ND</v>
      </c>
      <c r="H3170" s="156" t="str">
        <f>'Reported burning'!H3170</f>
        <v>Presence</v>
      </c>
      <c r="I3170" s="5"/>
      <c r="J3170" s="204" t="s">
        <v>2276</v>
      </c>
      <c r="K3170" s="204" t="s">
        <v>2276</v>
      </c>
      <c r="L3170" s="204" t="s">
        <v>2276</v>
      </c>
      <c r="M3170" s="204" t="s">
        <v>2276</v>
      </c>
      <c r="N3170" s="204" t="s">
        <v>2276</v>
      </c>
      <c r="O3170" s="204" t="s">
        <v>2276</v>
      </c>
      <c r="P3170" s="204" t="s">
        <v>2276</v>
      </c>
      <c r="Q3170" s="204" t="s">
        <v>2276</v>
      </c>
      <c r="R3170" s="204" t="s">
        <v>2276</v>
      </c>
      <c r="S3170" s="204" t="s">
        <v>2276</v>
      </c>
      <c r="T3170" s="204" t="s">
        <v>2276</v>
      </c>
      <c r="U3170" s="204" t="s">
        <v>2276</v>
      </c>
      <c r="V3170" s="204" t="s">
        <v>2276</v>
      </c>
      <c r="W3170" s="204" t="s">
        <v>2276</v>
      </c>
      <c r="X3170" s="204" t="s">
        <v>2276</v>
      </c>
      <c r="Y3170" s="204" t="s">
        <v>2276</v>
      </c>
      <c r="Z3170" s="204" t="s">
        <v>2276</v>
      </c>
      <c r="AA3170" s="204"/>
      <c r="AB3170" s="204"/>
    </row>
    <row r="3171" spans="1:28" ht="32.5" customHeight="1">
      <c r="A3171" s="156" t="str">
        <f>'Reported burning'!A3171</f>
        <v>344l</v>
      </c>
      <c r="B3171" s="156" t="str">
        <f>'Reported burning'!B3171</f>
        <v>344l.1</v>
      </c>
      <c r="C3171" s="156" t="str">
        <f>'Reported burning'!C3171</f>
        <v>Human, deliberate</v>
      </c>
      <c r="D3171" s="156" t="str">
        <f>'Reported burning'!D3171</f>
        <v>Vegetation management</v>
      </c>
      <c r="E3171" s="156" t="str">
        <f>'Reported burning'!E3171</f>
        <v>Cropping, Monoculture, Market-oriented</v>
      </c>
      <c r="F3171" s="156" t="str">
        <f>'Reported burning'!F3171</f>
        <v>Cropland</v>
      </c>
      <c r="G3171" s="156" t="str">
        <f>'Reported burning'!G3171</f>
        <v>ND</v>
      </c>
      <c r="H3171" s="156" t="str">
        <f>'Reported burning'!H3171</f>
        <v>Presence</v>
      </c>
      <c r="I3171" s="5"/>
      <c r="J3171" s="204" t="s">
        <v>2276</v>
      </c>
      <c r="K3171" s="204" t="s">
        <v>2276</v>
      </c>
      <c r="L3171" s="204" t="s">
        <v>2276</v>
      </c>
      <c r="M3171" s="204" t="s">
        <v>2276</v>
      </c>
      <c r="N3171" s="204" t="s">
        <v>2276</v>
      </c>
      <c r="O3171" s="204" t="s">
        <v>2276</v>
      </c>
      <c r="P3171" s="204" t="s">
        <v>2276</v>
      </c>
      <c r="Q3171" s="204" t="s">
        <v>2276</v>
      </c>
      <c r="R3171" s="204" t="s">
        <v>2276</v>
      </c>
      <c r="S3171" s="204" t="s">
        <v>2276</v>
      </c>
      <c r="T3171" s="204" t="s">
        <v>2276</v>
      </c>
      <c r="U3171" s="204" t="s">
        <v>2276</v>
      </c>
      <c r="V3171" s="204" t="s">
        <v>2276</v>
      </c>
      <c r="W3171" s="204" t="s">
        <v>2276</v>
      </c>
      <c r="X3171" s="204" t="s">
        <v>2276</v>
      </c>
      <c r="Y3171" s="204" t="s">
        <v>2276</v>
      </c>
      <c r="Z3171" s="204" t="s">
        <v>2276</v>
      </c>
      <c r="AA3171" s="204"/>
      <c r="AB3171" s="204"/>
    </row>
    <row r="3172" spans="1:28" ht="32.5" customHeight="1">
      <c r="A3172" s="156" t="str">
        <f>'Reported burning'!A3172</f>
        <v>344o</v>
      </c>
      <c r="B3172" s="156" t="str">
        <f>'Reported burning'!B3172</f>
        <v>344o.1</v>
      </c>
      <c r="C3172" s="156" t="str">
        <f>'Reported burning'!C3172</f>
        <v>Human, deliberate</v>
      </c>
      <c r="D3172" s="156" t="str">
        <f>'Reported burning'!D3172</f>
        <v>Vegetation management</v>
      </c>
      <c r="E3172" s="156" t="str">
        <f>'Reported burning'!E3172</f>
        <v>Cropping, Monoculture, Market-oriented</v>
      </c>
      <c r="F3172" s="156" t="str">
        <f>'Reported burning'!F3172</f>
        <v>Cropland</v>
      </c>
      <c r="G3172" s="156" t="str">
        <f>'Reported burning'!G3172</f>
        <v>ND</v>
      </c>
      <c r="H3172" s="156" t="str">
        <f>'Reported burning'!H3172</f>
        <v>Presence</v>
      </c>
      <c r="I3172" s="5"/>
      <c r="J3172" s="204" t="s">
        <v>2276</v>
      </c>
      <c r="K3172" s="204" t="s">
        <v>2276</v>
      </c>
      <c r="L3172" s="204" t="s">
        <v>2276</v>
      </c>
      <c r="M3172" s="204" t="s">
        <v>2276</v>
      </c>
      <c r="N3172" s="204" t="s">
        <v>2276</v>
      </c>
      <c r="O3172" s="204" t="s">
        <v>2276</v>
      </c>
      <c r="P3172" s="204" t="s">
        <v>2276</v>
      </c>
      <c r="Q3172" s="204" t="s">
        <v>2276</v>
      </c>
      <c r="R3172" s="204" t="s">
        <v>2276</v>
      </c>
      <c r="S3172" s="204" t="s">
        <v>2276</v>
      </c>
      <c r="T3172" s="204" t="s">
        <v>2276</v>
      </c>
      <c r="U3172" s="204" t="s">
        <v>2276</v>
      </c>
      <c r="V3172" s="204" t="s">
        <v>2276</v>
      </c>
      <c r="W3172" s="204" t="s">
        <v>2276</v>
      </c>
      <c r="X3172" s="204" t="s">
        <v>2276</v>
      </c>
      <c r="Y3172" s="204" t="s">
        <v>2276</v>
      </c>
      <c r="Z3172" s="204" t="s">
        <v>2276</v>
      </c>
      <c r="AA3172" s="204"/>
      <c r="AB3172" s="204"/>
    </row>
    <row r="3173" spans="1:28" ht="32.5" customHeight="1">
      <c r="A3173" s="156" t="str">
        <f>'Reported burning'!A3173</f>
        <v>344a</v>
      </c>
      <c r="B3173" s="156" t="str">
        <f>'Reported burning'!B3173</f>
        <v>344a.2</v>
      </c>
      <c r="C3173" s="156" t="str">
        <f>'Reported burning'!C3173</f>
        <v>Human, deliberate</v>
      </c>
      <c r="D3173" s="156" t="str">
        <f>'Reported burning'!D3173</f>
        <v>Vegetation management</v>
      </c>
      <c r="E3173" s="156" t="str">
        <f>'Reported burning'!E3173</f>
        <v>Cropping, Intensive</v>
      </c>
      <c r="F3173" s="156" t="str">
        <f>'Reported burning'!F3173</f>
        <v>Cropland</v>
      </c>
      <c r="G3173" s="156" t="str">
        <f>'Reported burning'!G3173</f>
        <v>ND</v>
      </c>
      <c r="H3173" s="156" t="str">
        <f>'Reported burning'!H3173</f>
        <v>Absence</v>
      </c>
      <c r="I3173" s="5"/>
      <c r="J3173" s="21">
        <v>0</v>
      </c>
      <c r="K3173" s="21">
        <v>0</v>
      </c>
      <c r="L3173" s="21">
        <v>0</v>
      </c>
      <c r="M3173" s="21">
        <v>0</v>
      </c>
      <c r="N3173" s="21">
        <v>0</v>
      </c>
      <c r="O3173" s="21">
        <v>0</v>
      </c>
      <c r="P3173" s="21">
        <v>0</v>
      </c>
      <c r="Q3173" s="21">
        <v>0</v>
      </c>
      <c r="R3173" s="21">
        <v>0</v>
      </c>
      <c r="S3173" s="21">
        <v>0</v>
      </c>
      <c r="T3173" s="21">
        <v>0</v>
      </c>
      <c r="U3173" s="21">
        <v>0</v>
      </c>
      <c r="V3173" s="21">
        <v>0</v>
      </c>
      <c r="W3173" s="204" t="s">
        <v>2276</v>
      </c>
      <c r="X3173" s="204" t="s">
        <v>2276</v>
      </c>
      <c r="Y3173" s="204" t="s">
        <v>2276</v>
      </c>
      <c r="Z3173" s="204" t="s">
        <v>2276</v>
      </c>
      <c r="AA3173" s="204"/>
      <c r="AB3173" s="204"/>
    </row>
    <row r="3174" spans="1:28" ht="32.5" customHeight="1">
      <c r="A3174" s="156" t="str">
        <f>'Reported burning'!A3174</f>
        <v>344c</v>
      </c>
      <c r="B3174" s="156" t="str">
        <f>'Reported burning'!B3174</f>
        <v>344c.2</v>
      </c>
      <c r="C3174" s="156" t="str">
        <f>'Reported burning'!C3174</f>
        <v>Human, deliberate</v>
      </c>
      <c r="D3174" s="156" t="str">
        <f>'Reported burning'!D3174</f>
        <v>Vegetation management</v>
      </c>
      <c r="E3174" s="156" t="str">
        <f>'Reported burning'!E3174</f>
        <v>Cropping, Intensive</v>
      </c>
      <c r="F3174" s="156" t="str">
        <f>'Reported burning'!F3174</f>
        <v>Cropland</v>
      </c>
      <c r="G3174" s="156" t="str">
        <f>'Reported burning'!G3174</f>
        <v>ND</v>
      </c>
      <c r="H3174" s="156" t="str">
        <f>'Reported burning'!H3174</f>
        <v>Absence</v>
      </c>
      <c r="I3174" s="5"/>
      <c r="J3174" s="21">
        <v>0</v>
      </c>
      <c r="K3174" s="21">
        <v>0</v>
      </c>
      <c r="L3174" s="21">
        <v>0</v>
      </c>
      <c r="M3174" s="21">
        <v>0</v>
      </c>
      <c r="N3174" s="21">
        <v>0</v>
      </c>
      <c r="O3174" s="21">
        <v>0</v>
      </c>
      <c r="P3174" s="21">
        <v>0</v>
      </c>
      <c r="Q3174" s="21">
        <v>0</v>
      </c>
      <c r="R3174" s="21">
        <v>0</v>
      </c>
      <c r="S3174" s="21">
        <v>0</v>
      </c>
      <c r="T3174" s="21">
        <v>0</v>
      </c>
      <c r="U3174" s="21">
        <v>0</v>
      </c>
      <c r="V3174" s="21">
        <v>0</v>
      </c>
      <c r="W3174" s="204" t="s">
        <v>2276</v>
      </c>
      <c r="X3174" s="204" t="s">
        <v>2276</v>
      </c>
      <c r="Y3174" s="204" t="s">
        <v>2276</v>
      </c>
      <c r="Z3174" s="204" t="s">
        <v>2276</v>
      </c>
      <c r="AA3174" s="204"/>
      <c r="AB3174" s="204"/>
    </row>
    <row r="3175" spans="1:28" ht="32.5" customHeight="1">
      <c r="A3175" s="156" t="str">
        <f>'Reported burning'!A3175</f>
        <v>344d</v>
      </c>
      <c r="B3175" s="156" t="str">
        <f>'Reported burning'!B3175</f>
        <v>344d.2</v>
      </c>
      <c r="C3175" s="156" t="str">
        <f>'Reported burning'!C3175</f>
        <v>Human, deliberate</v>
      </c>
      <c r="D3175" s="156" t="str">
        <f>'Reported burning'!D3175</f>
        <v>Vegetation management</v>
      </c>
      <c r="E3175" s="156" t="str">
        <f>'Reported burning'!E3175</f>
        <v>Cropping, Intensive</v>
      </c>
      <c r="F3175" s="156" t="str">
        <f>'Reported burning'!F3175</f>
        <v>Cropland</v>
      </c>
      <c r="G3175" s="156" t="str">
        <f>'Reported burning'!G3175</f>
        <v>ND</v>
      </c>
      <c r="H3175" s="156" t="str">
        <f>'Reported burning'!H3175</f>
        <v>Absence</v>
      </c>
      <c r="I3175" s="5"/>
      <c r="J3175" s="21">
        <v>0</v>
      </c>
      <c r="K3175" s="21">
        <v>0</v>
      </c>
      <c r="L3175" s="21">
        <v>0</v>
      </c>
      <c r="M3175" s="21">
        <v>0</v>
      </c>
      <c r="N3175" s="21">
        <v>0</v>
      </c>
      <c r="O3175" s="21">
        <v>0</v>
      </c>
      <c r="P3175" s="21">
        <v>0</v>
      </c>
      <c r="Q3175" s="21">
        <v>0</v>
      </c>
      <c r="R3175" s="21">
        <v>0</v>
      </c>
      <c r="S3175" s="21">
        <v>0</v>
      </c>
      <c r="T3175" s="21">
        <v>0</v>
      </c>
      <c r="U3175" s="21">
        <v>0</v>
      </c>
      <c r="V3175" s="21">
        <v>0</v>
      </c>
      <c r="W3175" s="204" t="s">
        <v>2276</v>
      </c>
      <c r="X3175" s="204" t="s">
        <v>2276</v>
      </c>
      <c r="Y3175" s="204" t="s">
        <v>2276</v>
      </c>
      <c r="Z3175" s="204" t="s">
        <v>2276</v>
      </c>
      <c r="AA3175" s="204"/>
      <c r="AB3175" s="204"/>
    </row>
    <row r="3176" spans="1:28" ht="32.5" customHeight="1">
      <c r="A3176" s="156" t="str">
        <f>'Reported burning'!A3176</f>
        <v>344e</v>
      </c>
      <c r="B3176" s="156" t="str">
        <f>'Reported burning'!B3176</f>
        <v>344e.2</v>
      </c>
      <c r="C3176" s="156" t="str">
        <f>'Reported burning'!C3176</f>
        <v>Human, deliberate</v>
      </c>
      <c r="D3176" s="156" t="str">
        <f>'Reported burning'!D3176</f>
        <v>Vegetation management</v>
      </c>
      <c r="E3176" s="156" t="str">
        <f>'Reported burning'!E3176</f>
        <v>Cropping, Intensive</v>
      </c>
      <c r="F3176" s="156" t="str">
        <f>'Reported burning'!F3176</f>
        <v>Cropland</v>
      </c>
      <c r="G3176" s="156" t="str">
        <f>'Reported burning'!G3176</f>
        <v>ND</v>
      </c>
      <c r="H3176" s="156" t="str">
        <f>'Reported burning'!H3176</f>
        <v>Absence</v>
      </c>
      <c r="I3176" s="5"/>
      <c r="J3176" s="21">
        <v>0</v>
      </c>
      <c r="K3176" s="21">
        <v>0</v>
      </c>
      <c r="L3176" s="21">
        <v>0</v>
      </c>
      <c r="M3176" s="21">
        <v>0</v>
      </c>
      <c r="N3176" s="21">
        <v>0</v>
      </c>
      <c r="O3176" s="21">
        <v>0</v>
      </c>
      <c r="P3176" s="21">
        <v>0</v>
      </c>
      <c r="Q3176" s="21">
        <v>0</v>
      </c>
      <c r="R3176" s="21">
        <v>0</v>
      </c>
      <c r="S3176" s="21">
        <v>0</v>
      </c>
      <c r="T3176" s="21">
        <v>0</v>
      </c>
      <c r="U3176" s="21">
        <v>0</v>
      </c>
      <c r="V3176" s="21">
        <v>0</v>
      </c>
      <c r="W3176" s="204" t="s">
        <v>2276</v>
      </c>
      <c r="X3176" s="204" t="s">
        <v>2276</v>
      </c>
      <c r="Y3176" s="204" t="s">
        <v>2276</v>
      </c>
      <c r="Z3176" s="204" t="s">
        <v>2276</v>
      </c>
      <c r="AA3176" s="204"/>
      <c r="AB3176" s="204"/>
    </row>
    <row r="3177" spans="1:28" ht="32.5" customHeight="1">
      <c r="A3177" s="156" t="str">
        <f>'Reported burning'!A3177</f>
        <v>344f</v>
      </c>
      <c r="B3177" s="156" t="str">
        <f>'Reported burning'!B3177</f>
        <v>344f.2</v>
      </c>
      <c r="C3177" s="156" t="str">
        <f>'Reported burning'!C3177</f>
        <v>Human, deliberate</v>
      </c>
      <c r="D3177" s="156" t="str">
        <f>'Reported burning'!D3177</f>
        <v>Vegetation management</v>
      </c>
      <c r="E3177" s="156" t="str">
        <f>'Reported burning'!E3177</f>
        <v>Cropping, Intensive</v>
      </c>
      <c r="F3177" s="156" t="str">
        <f>'Reported burning'!F3177</f>
        <v>Cropland</v>
      </c>
      <c r="G3177" s="156" t="str">
        <f>'Reported burning'!G3177</f>
        <v>ND</v>
      </c>
      <c r="H3177" s="156" t="str">
        <f>'Reported burning'!H3177</f>
        <v>Absence</v>
      </c>
      <c r="I3177" s="5"/>
      <c r="J3177" s="21">
        <v>0</v>
      </c>
      <c r="K3177" s="21">
        <v>0</v>
      </c>
      <c r="L3177" s="21">
        <v>0</v>
      </c>
      <c r="M3177" s="21">
        <v>0</v>
      </c>
      <c r="N3177" s="21">
        <v>0</v>
      </c>
      <c r="O3177" s="21">
        <v>0</v>
      </c>
      <c r="P3177" s="21">
        <v>0</v>
      </c>
      <c r="Q3177" s="21">
        <v>0</v>
      </c>
      <c r="R3177" s="21">
        <v>0</v>
      </c>
      <c r="S3177" s="21">
        <v>0</v>
      </c>
      <c r="T3177" s="21">
        <v>0</v>
      </c>
      <c r="U3177" s="21">
        <v>0</v>
      </c>
      <c r="V3177" s="21">
        <v>0</v>
      </c>
      <c r="W3177" s="204" t="s">
        <v>2276</v>
      </c>
      <c r="X3177" s="204" t="s">
        <v>2276</v>
      </c>
      <c r="Y3177" s="204" t="s">
        <v>2276</v>
      </c>
      <c r="Z3177" s="204" t="s">
        <v>2276</v>
      </c>
      <c r="AA3177" s="204"/>
      <c r="AB3177" s="204"/>
    </row>
    <row r="3178" spans="1:28" ht="32.5" customHeight="1">
      <c r="A3178" s="156" t="str">
        <f>'Reported burning'!A3178</f>
        <v>344g</v>
      </c>
      <c r="B3178" s="156" t="str">
        <f>'Reported burning'!B3178</f>
        <v>344g.2</v>
      </c>
      <c r="C3178" s="156" t="str">
        <f>'Reported burning'!C3178</f>
        <v>Human, deliberate</v>
      </c>
      <c r="D3178" s="156" t="str">
        <f>'Reported burning'!D3178</f>
        <v>Vegetation management</v>
      </c>
      <c r="E3178" s="156" t="str">
        <f>'Reported burning'!E3178</f>
        <v>Cropping, Intensive</v>
      </c>
      <c r="F3178" s="156" t="str">
        <f>'Reported burning'!F3178</f>
        <v>Cropland</v>
      </c>
      <c r="G3178" s="156" t="str">
        <f>'Reported burning'!G3178</f>
        <v>ND</v>
      </c>
      <c r="H3178" s="156" t="str">
        <f>'Reported burning'!H3178</f>
        <v>Absence</v>
      </c>
      <c r="I3178" s="5"/>
      <c r="J3178" s="21">
        <v>0</v>
      </c>
      <c r="K3178" s="21">
        <v>0</v>
      </c>
      <c r="L3178" s="21">
        <v>0</v>
      </c>
      <c r="M3178" s="21">
        <v>0</v>
      </c>
      <c r="N3178" s="21">
        <v>0</v>
      </c>
      <c r="O3178" s="21">
        <v>0</v>
      </c>
      <c r="P3178" s="21">
        <v>0</v>
      </c>
      <c r="Q3178" s="21">
        <v>0</v>
      </c>
      <c r="R3178" s="21">
        <v>0</v>
      </c>
      <c r="S3178" s="21">
        <v>0</v>
      </c>
      <c r="T3178" s="21">
        <v>0</v>
      </c>
      <c r="U3178" s="21">
        <v>0</v>
      </c>
      <c r="V3178" s="21">
        <v>0</v>
      </c>
      <c r="W3178" s="204" t="s">
        <v>2276</v>
      </c>
      <c r="X3178" s="204" t="s">
        <v>2276</v>
      </c>
      <c r="Y3178" s="204" t="s">
        <v>2276</v>
      </c>
      <c r="Z3178" s="204" t="s">
        <v>2276</v>
      </c>
      <c r="AA3178" s="204"/>
      <c r="AB3178" s="204"/>
    </row>
    <row r="3179" spans="1:28" ht="32.5" customHeight="1">
      <c r="A3179" s="156" t="str">
        <f>'Reported burning'!A3179</f>
        <v>344h</v>
      </c>
      <c r="B3179" s="156" t="str">
        <f>'Reported burning'!B3179</f>
        <v>344h.2</v>
      </c>
      <c r="C3179" s="156" t="str">
        <f>'Reported burning'!C3179</f>
        <v>Human, deliberate</v>
      </c>
      <c r="D3179" s="156" t="str">
        <f>'Reported burning'!D3179</f>
        <v>Vegetation management</v>
      </c>
      <c r="E3179" s="156" t="str">
        <f>'Reported burning'!E3179</f>
        <v>Cropping, Intensive</v>
      </c>
      <c r="F3179" s="156" t="str">
        <f>'Reported burning'!F3179</f>
        <v>Cropland</v>
      </c>
      <c r="G3179" s="156" t="str">
        <f>'Reported burning'!G3179</f>
        <v>ND</v>
      </c>
      <c r="H3179" s="156" t="str">
        <f>'Reported burning'!H3179</f>
        <v>Absence</v>
      </c>
      <c r="I3179" s="5"/>
      <c r="J3179" s="21">
        <v>0</v>
      </c>
      <c r="K3179" s="21">
        <v>0</v>
      </c>
      <c r="L3179" s="21">
        <v>0</v>
      </c>
      <c r="M3179" s="21">
        <v>0</v>
      </c>
      <c r="N3179" s="21">
        <v>0</v>
      </c>
      <c r="O3179" s="21">
        <v>0</v>
      </c>
      <c r="P3179" s="21">
        <v>0</v>
      </c>
      <c r="Q3179" s="21">
        <v>0</v>
      </c>
      <c r="R3179" s="21">
        <v>0</v>
      </c>
      <c r="S3179" s="21">
        <v>0</v>
      </c>
      <c r="T3179" s="21">
        <v>0</v>
      </c>
      <c r="U3179" s="21">
        <v>0</v>
      </c>
      <c r="V3179" s="21">
        <v>0</v>
      </c>
      <c r="W3179" s="204" t="s">
        <v>2276</v>
      </c>
      <c r="X3179" s="204" t="s">
        <v>2276</v>
      </c>
      <c r="Y3179" s="204" t="s">
        <v>2276</v>
      </c>
      <c r="Z3179" s="204" t="s">
        <v>2276</v>
      </c>
      <c r="AA3179" s="204"/>
      <c r="AB3179" s="204"/>
    </row>
    <row r="3180" spans="1:28" ht="32.5" customHeight="1">
      <c r="A3180" s="156" t="str">
        <f>'Reported burning'!A3180</f>
        <v>344i</v>
      </c>
      <c r="B3180" s="156" t="str">
        <f>'Reported burning'!B3180</f>
        <v>344i.2</v>
      </c>
      <c r="C3180" s="156" t="str">
        <f>'Reported burning'!C3180</f>
        <v>Human, deliberate</v>
      </c>
      <c r="D3180" s="156" t="str">
        <f>'Reported burning'!D3180</f>
        <v>Vegetation management</v>
      </c>
      <c r="E3180" s="156" t="str">
        <f>'Reported burning'!E3180</f>
        <v>Cropping, Intensive</v>
      </c>
      <c r="F3180" s="156" t="str">
        <f>'Reported burning'!F3180</f>
        <v>Cropland</v>
      </c>
      <c r="G3180" s="156" t="str">
        <f>'Reported burning'!G3180</f>
        <v>ND</v>
      </c>
      <c r="H3180" s="156" t="str">
        <f>'Reported burning'!H3180</f>
        <v>Absence</v>
      </c>
      <c r="I3180" s="5"/>
      <c r="J3180" s="21">
        <v>0</v>
      </c>
      <c r="K3180" s="21">
        <v>0</v>
      </c>
      <c r="L3180" s="21">
        <v>0</v>
      </c>
      <c r="M3180" s="21">
        <v>0</v>
      </c>
      <c r="N3180" s="21">
        <v>0</v>
      </c>
      <c r="O3180" s="21">
        <v>0</v>
      </c>
      <c r="P3180" s="21">
        <v>0</v>
      </c>
      <c r="Q3180" s="21">
        <v>0</v>
      </c>
      <c r="R3180" s="21">
        <v>0</v>
      </c>
      <c r="S3180" s="21">
        <v>0</v>
      </c>
      <c r="T3180" s="21">
        <v>0</v>
      </c>
      <c r="U3180" s="21">
        <v>0</v>
      </c>
      <c r="V3180" s="21">
        <v>0</v>
      </c>
      <c r="W3180" s="204" t="s">
        <v>2276</v>
      </c>
      <c r="X3180" s="204" t="s">
        <v>2276</v>
      </c>
      <c r="Y3180" s="204" t="s">
        <v>2276</v>
      </c>
      <c r="Z3180" s="204" t="s">
        <v>2276</v>
      </c>
      <c r="AA3180" s="204"/>
      <c r="AB3180" s="204"/>
    </row>
    <row r="3181" spans="1:28" ht="32.5" customHeight="1">
      <c r="A3181" s="156" t="str">
        <f>'Reported burning'!A3181</f>
        <v>344k</v>
      </c>
      <c r="B3181" s="156" t="str">
        <f>'Reported burning'!B3181</f>
        <v>344k.2</v>
      </c>
      <c r="C3181" s="156" t="str">
        <f>'Reported burning'!C3181</f>
        <v>Human, deliberate</v>
      </c>
      <c r="D3181" s="156" t="str">
        <f>'Reported burning'!D3181</f>
        <v>Vegetation management</v>
      </c>
      <c r="E3181" s="156" t="str">
        <f>'Reported burning'!E3181</f>
        <v>Cropping, Intensive</v>
      </c>
      <c r="F3181" s="156" t="str">
        <f>'Reported burning'!F3181</f>
        <v>Cropland</v>
      </c>
      <c r="G3181" s="156" t="str">
        <f>'Reported burning'!G3181</f>
        <v>ND</v>
      </c>
      <c r="H3181" s="156" t="str">
        <f>'Reported burning'!H3181</f>
        <v>Absence</v>
      </c>
      <c r="I3181" s="5"/>
      <c r="J3181" s="21">
        <v>0</v>
      </c>
      <c r="K3181" s="21">
        <v>0</v>
      </c>
      <c r="L3181" s="21">
        <v>0</v>
      </c>
      <c r="M3181" s="21">
        <v>0</v>
      </c>
      <c r="N3181" s="21">
        <v>0</v>
      </c>
      <c r="O3181" s="21">
        <v>0</v>
      </c>
      <c r="P3181" s="21">
        <v>0</v>
      </c>
      <c r="Q3181" s="21">
        <v>0</v>
      </c>
      <c r="R3181" s="21">
        <v>0</v>
      </c>
      <c r="S3181" s="21">
        <v>0</v>
      </c>
      <c r="T3181" s="21">
        <v>0</v>
      </c>
      <c r="U3181" s="21">
        <v>0</v>
      </c>
      <c r="V3181" s="21">
        <v>0</v>
      </c>
      <c r="W3181" s="204" t="s">
        <v>2276</v>
      </c>
      <c r="X3181" s="204" t="s">
        <v>2276</v>
      </c>
      <c r="Y3181" s="204" t="s">
        <v>2276</v>
      </c>
      <c r="Z3181" s="204" t="s">
        <v>2276</v>
      </c>
      <c r="AA3181" s="204"/>
      <c r="AB3181" s="204"/>
    </row>
    <row r="3182" spans="1:28" ht="32.5" customHeight="1">
      <c r="A3182" s="156" t="str">
        <f>'Reported burning'!A3182</f>
        <v>344l</v>
      </c>
      <c r="B3182" s="156" t="str">
        <f>'Reported burning'!B3182</f>
        <v>344l.2</v>
      </c>
      <c r="C3182" s="156" t="str">
        <f>'Reported burning'!C3182</f>
        <v>Human, deliberate</v>
      </c>
      <c r="D3182" s="156" t="str">
        <f>'Reported burning'!D3182</f>
        <v>Vegetation management</v>
      </c>
      <c r="E3182" s="156" t="str">
        <f>'Reported burning'!E3182</f>
        <v>Cropping, Intensive</v>
      </c>
      <c r="F3182" s="156" t="str">
        <f>'Reported burning'!F3182</f>
        <v>Cropland</v>
      </c>
      <c r="G3182" s="156" t="str">
        <f>'Reported burning'!G3182</f>
        <v>ND</v>
      </c>
      <c r="H3182" s="156" t="str">
        <f>'Reported burning'!H3182</f>
        <v>Absence</v>
      </c>
      <c r="I3182" s="5"/>
      <c r="J3182" s="21">
        <v>0</v>
      </c>
      <c r="K3182" s="21">
        <v>0</v>
      </c>
      <c r="L3182" s="21">
        <v>0</v>
      </c>
      <c r="M3182" s="21">
        <v>0</v>
      </c>
      <c r="N3182" s="21">
        <v>0</v>
      </c>
      <c r="O3182" s="21">
        <v>0</v>
      </c>
      <c r="P3182" s="21">
        <v>0</v>
      </c>
      <c r="Q3182" s="21">
        <v>0</v>
      </c>
      <c r="R3182" s="21">
        <v>0</v>
      </c>
      <c r="S3182" s="21">
        <v>0</v>
      </c>
      <c r="T3182" s="21">
        <v>0</v>
      </c>
      <c r="U3182" s="21">
        <v>0</v>
      </c>
      <c r="V3182" s="21">
        <v>0</v>
      </c>
      <c r="W3182" s="204" t="s">
        <v>2276</v>
      </c>
      <c r="X3182" s="204" t="s">
        <v>2276</v>
      </c>
      <c r="Y3182" s="204" t="s">
        <v>2276</v>
      </c>
      <c r="Z3182" s="204" t="s">
        <v>2276</v>
      </c>
      <c r="AA3182" s="204"/>
      <c r="AB3182" s="204"/>
    </row>
    <row r="3183" spans="1:28" ht="32.5" customHeight="1">
      <c r="A3183" s="156" t="str">
        <f>'Reported burning'!A3183</f>
        <v>344o</v>
      </c>
      <c r="B3183" s="156" t="str">
        <f>'Reported burning'!B3183</f>
        <v>344o.2</v>
      </c>
      <c r="C3183" s="156" t="str">
        <f>'Reported burning'!C3183</f>
        <v>Human, deliberate</v>
      </c>
      <c r="D3183" s="156" t="str">
        <f>'Reported burning'!D3183</f>
        <v>Vegetation management</v>
      </c>
      <c r="E3183" s="156" t="str">
        <f>'Reported burning'!E3183</f>
        <v>Cropping, Intensive</v>
      </c>
      <c r="F3183" s="156" t="str">
        <f>'Reported burning'!F3183</f>
        <v>Cropland</v>
      </c>
      <c r="G3183" s="156" t="str">
        <f>'Reported burning'!G3183</f>
        <v>ND</v>
      </c>
      <c r="H3183" s="156" t="str">
        <f>'Reported burning'!H3183</f>
        <v>Absence</v>
      </c>
      <c r="I3183" s="5"/>
      <c r="J3183" s="21">
        <v>0</v>
      </c>
      <c r="K3183" s="21">
        <v>0</v>
      </c>
      <c r="L3183" s="21">
        <v>0</v>
      </c>
      <c r="M3183" s="21">
        <v>0</v>
      </c>
      <c r="N3183" s="21">
        <v>0</v>
      </c>
      <c r="O3183" s="21">
        <v>0</v>
      </c>
      <c r="P3183" s="21">
        <v>0</v>
      </c>
      <c r="Q3183" s="21">
        <v>0</v>
      </c>
      <c r="R3183" s="21">
        <v>0</v>
      </c>
      <c r="S3183" s="21">
        <v>0</v>
      </c>
      <c r="T3183" s="21">
        <v>0</v>
      </c>
      <c r="U3183" s="21">
        <v>0</v>
      </c>
      <c r="V3183" s="21">
        <v>0</v>
      </c>
      <c r="W3183" s="204" t="s">
        <v>2276</v>
      </c>
      <c r="X3183" s="204" t="s">
        <v>2276</v>
      </c>
      <c r="Y3183" s="204" t="s">
        <v>2276</v>
      </c>
      <c r="Z3183" s="204" t="s">
        <v>2276</v>
      </c>
      <c r="AA3183" s="204"/>
      <c r="AB3183" s="204"/>
    </row>
    <row r="3184" spans="1:28" ht="32.5" customHeight="1">
      <c r="A3184" s="156" t="str">
        <f>'Reported burning'!A3184</f>
        <v>344o</v>
      </c>
      <c r="B3184" s="156" t="str">
        <f>'Reported burning'!B3184</f>
        <v>344o.1</v>
      </c>
      <c r="C3184" s="156" t="str">
        <f>'Reported burning'!C3184</f>
        <v>Human, deliberate</v>
      </c>
      <c r="D3184" s="156" t="str">
        <f>'Reported burning'!D3184</f>
        <v>Vegetation management</v>
      </c>
      <c r="E3184" s="156" t="str">
        <f>'Reported burning'!E3184</f>
        <v>Cropping, Monoculture, Market-oriented</v>
      </c>
      <c r="F3184" s="156" t="str">
        <f>'Reported burning'!F3184</f>
        <v>Cropland</v>
      </c>
      <c r="G3184" s="156" t="str">
        <f>'Reported burning'!G3184</f>
        <v>ND</v>
      </c>
      <c r="H3184" s="156" t="str">
        <f>'Reported burning'!H3184</f>
        <v>Presence</v>
      </c>
      <c r="I3184" s="5"/>
      <c r="J3184" s="204" t="s">
        <v>2276</v>
      </c>
      <c r="K3184" s="204" t="s">
        <v>2276</v>
      </c>
      <c r="L3184" s="204" t="s">
        <v>2276</v>
      </c>
      <c r="M3184" s="204" t="s">
        <v>2276</v>
      </c>
      <c r="N3184" s="204" t="s">
        <v>2276</v>
      </c>
      <c r="O3184" s="204" t="s">
        <v>2276</v>
      </c>
      <c r="P3184" s="204" t="s">
        <v>2276</v>
      </c>
      <c r="Q3184" s="204" t="s">
        <v>2276</v>
      </c>
      <c r="R3184" s="204" t="s">
        <v>2276</v>
      </c>
      <c r="S3184" s="204" t="s">
        <v>2276</v>
      </c>
      <c r="T3184" s="204" t="s">
        <v>2276</v>
      </c>
      <c r="U3184" s="204" t="s">
        <v>2276</v>
      </c>
      <c r="V3184" s="204" t="s">
        <v>2276</v>
      </c>
      <c r="W3184" s="204" t="s">
        <v>2276</v>
      </c>
      <c r="X3184" s="204" t="s">
        <v>2276</v>
      </c>
      <c r="Y3184" s="204" t="s">
        <v>2276</v>
      </c>
      <c r="Z3184" s="204" t="s">
        <v>2276</v>
      </c>
      <c r="AA3184" s="204"/>
      <c r="AB3184" s="204"/>
    </row>
    <row r="3185" spans="1:28" ht="32.5" customHeight="1">
      <c r="A3185" s="156" t="str">
        <f>'Reported burning'!A3185</f>
        <v>344o</v>
      </c>
      <c r="B3185" s="156" t="str">
        <f>'Reported burning'!B3185</f>
        <v>344o.2</v>
      </c>
      <c r="C3185" s="156" t="str">
        <f>'Reported burning'!C3185</f>
        <v>Human, deliberate</v>
      </c>
      <c r="D3185" s="156" t="str">
        <f>'Reported burning'!D3185</f>
        <v>Vegetation management</v>
      </c>
      <c r="E3185" s="156" t="str">
        <f>'Reported burning'!E3185</f>
        <v>Cropping, Intensive</v>
      </c>
      <c r="F3185" s="156" t="str">
        <f>'Reported burning'!F3185</f>
        <v>Cropland</v>
      </c>
      <c r="G3185" s="156" t="str">
        <f>'Reported burning'!G3185</f>
        <v>ND</v>
      </c>
      <c r="H3185" s="156" t="str">
        <f>'Reported burning'!H3185</f>
        <v>Absence</v>
      </c>
      <c r="I3185" s="5"/>
      <c r="J3185" s="21">
        <v>0</v>
      </c>
      <c r="K3185" s="21">
        <v>0</v>
      </c>
      <c r="L3185" s="21">
        <v>0</v>
      </c>
      <c r="M3185" s="21">
        <v>0</v>
      </c>
      <c r="N3185" s="21">
        <v>0</v>
      </c>
      <c r="O3185" s="21">
        <v>0</v>
      </c>
      <c r="P3185" s="21">
        <v>0</v>
      </c>
      <c r="Q3185" s="21">
        <v>0</v>
      </c>
      <c r="R3185" s="21">
        <v>0</v>
      </c>
      <c r="S3185" s="21">
        <v>0</v>
      </c>
      <c r="T3185" s="21">
        <v>0</v>
      </c>
      <c r="U3185" s="21">
        <v>0</v>
      </c>
      <c r="V3185" s="21">
        <v>0</v>
      </c>
      <c r="W3185" s="204" t="s">
        <v>2276</v>
      </c>
      <c r="X3185" s="204" t="s">
        <v>2276</v>
      </c>
      <c r="Y3185" s="204" t="s">
        <v>2276</v>
      </c>
      <c r="Z3185" s="204" t="s">
        <v>2276</v>
      </c>
      <c r="AA3185" s="204"/>
      <c r="AB3185" s="204"/>
    </row>
    <row r="3186" spans="1:28" ht="32.5" customHeight="1">
      <c r="A3186" s="156" t="str">
        <f>'Reported burning'!A3186</f>
        <v>345a</v>
      </c>
      <c r="B3186" s="156" t="str">
        <f>'Reported burning'!B3186</f>
        <v>345a.1</v>
      </c>
      <c r="C3186" s="156" t="str">
        <f>'Reported burning'!C3186</f>
        <v>Human, deliberate</v>
      </c>
      <c r="D3186" s="156" t="str">
        <f>'Reported burning'!D3186</f>
        <v>Crop residue burning</v>
      </c>
      <c r="E3186" s="156" t="str">
        <f>'Reported burning'!E3186</f>
        <v>Cropping, Monoculture, Subsistence-oriented</v>
      </c>
      <c r="F3186" s="156" t="str">
        <f>'Reported burning'!F3186</f>
        <v>Cropland</v>
      </c>
      <c r="G3186" s="156" t="str">
        <f>'Reported burning'!G3186</f>
        <v>ND</v>
      </c>
      <c r="H3186" s="156" t="str">
        <f>'Reported burning'!H3186</f>
        <v>Presence</v>
      </c>
      <c r="I3186" s="5"/>
      <c r="J3186" s="204" t="s">
        <v>2276</v>
      </c>
      <c r="K3186" s="204" t="s">
        <v>2276</v>
      </c>
      <c r="L3186" s="204" t="s">
        <v>2276</v>
      </c>
      <c r="M3186" s="204" t="s">
        <v>2276</v>
      </c>
      <c r="N3186" s="204" t="s">
        <v>2276</v>
      </c>
      <c r="O3186" s="204" t="s">
        <v>2276</v>
      </c>
      <c r="P3186" s="204" t="s">
        <v>2276</v>
      </c>
      <c r="Q3186" s="204" t="s">
        <v>2276</v>
      </c>
      <c r="R3186" s="204" t="s">
        <v>2276</v>
      </c>
      <c r="S3186" s="204" t="s">
        <v>2276</v>
      </c>
      <c r="T3186" s="204" t="s">
        <v>2276</v>
      </c>
      <c r="U3186" s="204" t="s">
        <v>2276</v>
      </c>
      <c r="V3186" s="204" t="s">
        <v>2276</v>
      </c>
      <c r="W3186" s="204" t="s">
        <v>2276</v>
      </c>
      <c r="X3186" s="204" t="s">
        <v>2276</v>
      </c>
      <c r="Y3186" s="204" t="s">
        <v>2276</v>
      </c>
      <c r="Z3186" s="204" t="s">
        <v>2276</v>
      </c>
      <c r="AA3186" s="204"/>
      <c r="AB3186" s="204"/>
    </row>
    <row r="3187" spans="1:28" ht="32.5" customHeight="1">
      <c r="A3187" s="156" t="str">
        <f>'Reported burning'!A3187</f>
        <v>345a</v>
      </c>
      <c r="B3187" s="156" t="str">
        <f>'Reported burning'!B3187</f>
        <v>345a.2</v>
      </c>
      <c r="C3187" s="156" t="str">
        <f>'Reported burning'!C3187</f>
        <v>Human, deliberate</v>
      </c>
      <c r="D3187" s="156" t="str">
        <f>'Reported burning'!D3187</f>
        <v>Crop residue burning</v>
      </c>
      <c r="E3187" s="156" t="str">
        <f>'Reported burning'!E3187</f>
        <v>Cropping, Monoculture, Market-oriented</v>
      </c>
      <c r="F3187" s="156" t="str">
        <f>'Reported burning'!F3187</f>
        <v>Cropland</v>
      </c>
      <c r="G3187" s="156" t="str">
        <f>'Reported burning'!G3187</f>
        <v>ND</v>
      </c>
      <c r="H3187" s="156" t="str">
        <f>'Reported burning'!H3187</f>
        <v>Presence</v>
      </c>
      <c r="I3187" s="5"/>
      <c r="J3187" s="204" t="s">
        <v>2276</v>
      </c>
      <c r="K3187" s="204" t="s">
        <v>2276</v>
      </c>
      <c r="L3187" s="204" t="s">
        <v>2276</v>
      </c>
      <c r="M3187" s="204" t="s">
        <v>2276</v>
      </c>
      <c r="N3187" s="204" t="s">
        <v>2276</v>
      </c>
      <c r="O3187" s="204" t="s">
        <v>2276</v>
      </c>
      <c r="P3187" s="204" t="s">
        <v>2276</v>
      </c>
      <c r="Q3187" s="204" t="s">
        <v>2276</v>
      </c>
      <c r="R3187" s="204" t="s">
        <v>2276</v>
      </c>
      <c r="S3187" s="204" t="s">
        <v>2276</v>
      </c>
      <c r="T3187" s="204" t="s">
        <v>2276</v>
      </c>
      <c r="U3187" s="204" t="s">
        <v>2276</v>
      </c>
      <c r="V3187" s="204" t="s">
        <v>2276</v>
      </c>
      <c r="W3187" s="204" t="s">
        <v>2276</v>
      </c>
      <c r="X3187" s="204" t="s">
        <v>2276</v>
      </c>
      <c r="Y3187" s="204" t="s">
        <v>2276</v>
      </c>
      <c r="Z3187" s="204" t="s">
        <v>2276</v>
      </c>
      <c r="AA3187" s="204"/>
      <c r="AB3187" s="204"/>
    </row>
    <row r="3188" spans="1:28" ht="39" customHeight="1">
      <c r="A3188" s="156" t="str">
        <f>'Reported burning'!A3188</f>
        <v>345b</v>
      </c>
      <c r="B3188" s="156" t="str">
        <f>'Reported burning'!B3188</f>
        <v>345b.1</v>
      </c>
      <c r="C3188" s="156" t="str">
        <f>'Reported burning'!C3188</f>
        <v>Human, deliberate</v>
      </c>
      <c r="D3188" s="156" t="str">
        <f>'Reported burning'!D3188</f>
        <v>Crop residue burning</v>
      </c>
      <c r="E3188" s="156" t="str">
        <f>'Reported burning'!E3188</f>
        <v>Cropping, Monoculture, Market-oriented</v>
      </c>
      <c r="F3188" s="156" t="str">
        <f>'Reported burning'!F3188</f>
        <v>Cropland</v>
      </c>
      <c r="G3188" s="156" t="str">
        <f>'Reported burning'!G3188</f>
        <v>ND</v>
      </c>
      <c r="H3188" s="156" t="str">
        <f>'Reported burning'!H3188</f>
        <v>Absence</v>
      </c>
      <c r="I3188" s="5"/>
      <c r="J3188" s="21">
        <v>0</v>
      </c>
      <c r="K3188" s="21">
        <v>0</v>
      </c>
      <c r="L3188" s="21">
        <v>0</v>
      </c>
      <c r="M3188" s="21">
        <v>0</v>
      </c>
      <c r="N3188" s="21">
        <v>0</v>
      </c>
      <c r="O3188" s="21">
        <v>0</v>
      </c>
      <c r="P3188" s="21">
        <v>0</v>
      </c>
      <c r="Q3188" s="21">
        <v>0</v>
      </c>
      <c r="R3188" s="21">
        <v>0</v>
      </c>
      <c r="S3188" s="21">
        <v>0</v>
      </c>
      <c r="T3188" s="21">
        <v>0</v>
      </c>
      <c r="U3188" s="21">
        <v>0</v>
      </c>
      <c r="V3188" s="21">
        <v>0</v>
      </c>
      <c r="W3188" s="204" t="s">
        <v>2276</v>
      </c>
      <c r="X3188" s="204" t="s">
        <v>2276</v>
      </c>
      <c r="Y3188" s="204" t="s">
        <v>2276</v>
      </c>
      <c r="Z3188" s="204" t="s">
        <v>2276</v>
      </c>
      <c r="AA3188" s="204"/>
      <c r="AB3188" s="204"/>
    </row>
    <row r="3189" spans="1:28" ht="39" customHeight="1">
      <c r="A3189" s="156" t="str">
        <f>'Reported burning'!A3189</f>
        <v>345b</v>
      </c>
      <c r="B3189" s="156" t="str">
        <f>'Reported burning'!B3189</f>
        <v>345b.2</v>
      </c>
      <c r="C3189" s="156" t="str">
        <f>'Reported burning'!C3189</f>
        <v>Human, deliberate</v>
      </c>
      <c r="D3189" s="156" t="str">
        <f>'Reported burning'!D3189</f>
        <v>Crop residue burning</v>
      </c>
      <c r="E3189" s="156" t="str">
        <f>'Reported burning'!E3189</f>
        <v>Cropping, Intensive</v>
      </c>
      <c r="F3189" s="156" t="str">
        <f>'Reported burning'!F3189</f>
        <v>Cropland</v>
      </c>
      <c r="G3189" s="156" t="str">
        <f>'Reported burning'!G3189</f>
        <v>ND</v>
      </c>
      <c r="H3189" s="156" t="str">
        <f>'Reported burning'!H3189</f>
        <v>Absence</v>
      </c>
      <c r="I3189" s="5"/>
      <c r="J3189" s="21">
        <v>0</v>
      </c>
      <c r="K3189" s="21">
        <v>0</v>
      </c>
      <c r="L3189" s="21">
        <v>0</v>
      </c>
      <c r="M3189" s="21">
        <v>0</v>
      </c>
      <c r="N3189" s="21">
        <v>0</v>
      </c>
      <c r="O3189" s="21">
        <v>0</v>
      </c>
      <c r="P3189" s="21">
        <v>0</v>
      </c>
      <c r="Q3189" s="21">
        <v>0</v>
      </c>
      <c r="R3189" s="21">
        <v>0</v>
      </c>
      <c r="S3189" s="21">
        <v>0</v>
      </c>
      <c r="T3189" s="21">
        <v>0</v>
      </c>
      <c r="U3189" s="21">
        <v>0</v>
      </c>
      <c r="V3189" s="21">
        <v>0</v>
      </c>
      <c r="W3189" s="204" t="s">
        <v>2276</v>
      </c>
      <c r="X3189" s="204" t="s">
        <v>2276</v>
      </c>
      <c r="Y3189" s="204" t="s">
        <v>2276</v>
      </c>
      <c r="Z3189" s="204" t="s">
        <v>2276</v>
      </c>
      <c r="AA3189" s="204"/>
      <c r="AB3189" s="204"/>
    </row>
    <row r="3190" spans="1:28" ht="29.5" customHeight="1">
      <c r="A3190" s="156" t="str">
        <f>'Reported burning'!A3190</f>
        <v>345d</v>
      </c>
      <c r="B3190" s="156" t="str">
        <f>'Reported burning'!B3190</f>
        <v>345d.1</v>
      </c>
      <c r="C3190" s="156" t="str">
        <f>'Reported burning'!C3190</f>
        <v>Human, deliberate</v>
      </c>
      <c r="D3190" s="156" t="str">
        <f>'Reported burning'!D3190</f>
        <v>Crop residue burning</v>
      </c>
      <c r="E3190" s="156" t="str">
        <f>'Reported burning'!E3190</f>
        <v>Cropping, Intensive</v>
      </c>
      <c r="F3190" s="156" t="str">
        <f>'Reported burning'!F3190</f>
        <v>Cropland</v>
      </c>
      <c r="G3190" s="156" t="str">
        <f>'Reported burning'!G3190</f>
        <v>ND</v>
      </c>
      <c r="H3190" s="156" t="str">
        <f>'Reported burning'!H3190</f>
        <v>Absence</v>
      </c>
      <c r="I3190" s="5"/>
      <c r="J3190" s="21">
        <v>0</v>
      </c>
      <c r="K3190" s="21">
        <v>0</v>
      </c>
      <c r="L3190" s="21">
        <v>0</v>
      </c>
      <c r="M3190" s="21">
        <v>0</v>
      </c>
      <c r="N3190" s="21">
        <v>0</v>
      </c>
      <c r="O3190" s="21">
        <v>0</v>
      </c>
      <c r="P3190" s="21">
        <v>0</v>
      </c>
      <c r="Q3190" s="21">
        <v>0</v>
      </c>
      <c r="R3190" s="21">
        <v>0</v>
      </c>
      <c r="S3190" s="21">
        <v>0</v>
      </c>
      <c r="T3190" s="21">
        <v>0</v>
      </c>
      <c r="U3190" s="21">
        <v>0</v>
      </c>
      <c r="V3190" s="21">
        <v>0</v>
      </c>
      <c r="W3190" s="204" t="s">
        <v>2276</v>
      </c>
      <c r="X3190" s="204" t="s">
        <v>2276</v>
      </c>
      <c r="Y3190" s="204" t="s">
        <v>2276</v>
      </c>
      <c r="Z3190" s="204" t="s">
        <v>2276</v>
      </c>
      <c r="AA3190" s="204"/>
      <c r="AB3190" s="204"/>
    </row>
    <row r="3191" spans="1:28" ht="29.5" customHeight="1">
      <c r="A3191" s="156" t="str">
        <f>'Reported burning'!A3191</f>
        <v>345d</v>
      </c>
      <c r="B3191" s="156" t="str">
        <f>'Reported burning'!B3191</f>
        <v>345d.2</v>
      </c>
      <c r="C3191" s="156" t="str">
        <f>'Reported burning'!C3191</f>
        <v>Human, accidental</v>
      </c>
      <c r="D3191" s="156" t="str">
        <f>'Reported burning'!D3191</f>
        <v>Crop residue burning</v>
      </c>
      <c r="E3191" s="156" t="str">
        <f>'Reported burning'!E3191</f>
        <v>Cropping, Intensive</v>
      </c>
      <c r="F3191" s="156" t="str">
        <f>'Reported burning'!F3191</f>
        <v>Cropland</v>
      </c>
      <c r="G3191" s="156" t="str">
        <f>'Reported burning'!G3191</f>
        <v>ND</v>
      </c>
      <c r="H3191" s="156" t="str">
        <f>'Reported burning'!H3191</f>
        <v>Presence</v>
      </c>
      <c r="I3191" s="5"/>
      <c r="J3191" s="204" t="s">
        <v>2276</v>
      </c>
      <c r="K3191" s="204" t="s">
        <v>2276</v>
      </c>
      <c r="L3191" s="204" t="s">
        <v>2276</v>
      </c>
      <c r="M3191" s="204" t="s">
        <v>2276</v>
      </c>
      <c r="N3191" s="204" t="s">
        <v>2276</v>
      </c>
      <c r="O3191" s="204" t="s">
        <v>2276</v>
      </c>
      <c r="P3191" s="204" t="s">
        <v>2276</v>
      </c>
      <c r="Q3191" s="204" t="s">
        <v>2276</v>
      </c>
      <c r="R3191" s="204" t="s">
        <v>2276</v>
      </c>
      <c r="S3191" s="204" t="s">
        <v>2276</v>
      </c>
      <c r="T3191" s="14" t="s">
        <v>2374</v>
      </c>
      <c r="U3191" s="204" t="s">
        <v>2276</v>
      </c>
      <c r="V3191" s="204" t="s">
        <v>2276</v>
      </c>
      <c r="W3191" s="204" t="s">
        <v>2276</v>
      </c>
      <c r="X3191" s="204" t="s">
        <v>2276</v>
      </c>
      <c r="Y3191" s="204" t="s">
        <v>2276</v>
      </c>
      <c r="Z3191" s="204" t="s">
        <v>2276</v>
      </c>
      <c r="AA3191" s="204"/>
      <c r="AB3191" s="204"/>
    </row>
    <row r="3192" spans="1:28" ht="35.5" customHeight="1">
      <c r="A3192" s="156" t="str">
        <f>'Reported burning'!A3192</f>
        <v>346a</v>
      </c>
      <c r="B3192" s="156" t="str">
        <f>'Reported burning'!B3192</f>
        <v>346a.1</v>
      </c>
      <c r="C3192" s="156" t="str">
        <f>'Reported burning'!C3192</f>
        <v>Human, deliberate</v>
      </c>
      <c r="D3192" s="156" t="str">
        <f>'Reported burning'!D3192</f>
        <v>Crop residue burning</v>
      </c>
      <c r="E3192" s="156" t="str">
        <f>'Reported burning'!E3192</f>
        <v>Cropping, Monoculture, Market-oriented</v>
      </c>
      <c r="F3192" s="156" t="str">
        <f>'Reported burning'!F3192</f>
        <v>Cropland</v>
      </c>
      <c r="G3192" s="156" t="str">
        <f>'Reported burning'!G3192</f>
        <v>ND</v>
      </c>
      <c r="H3192" s="156" t="str">
        <f>'Reported burning'!H3192</f>
        <v>Presence</v>
      </c>
      <c r="I3192" s="5"/>
      <c r="J3192" s="204" t="s">
        <v>2276</v>
      </c>
      <c r="K3192" s="204" t="s">
        <v>2276</v>
      </c>
      <c r="L3192" s="204" t="s">
        <v>2276</v>
      </c>
      <c r="M3192" s="204" t="s">
        <v>2276</v>
      </c>
      <c r="N3192" s="204" t="s">
        <v>2276</v>
      </c>
      <c r="O3192" s="204" t="s">
        <v>2276</v>
      </c>
      <c r="P3192" s="204" t="s">
        <v>2276</v>
      </c>
      <c r="Q3192" s="204" t="s">
        <v>2276</v>
      </c>
      <c r="R3192" s="204" t="s">
        <v>2276</v>
      </c>
      <c r="S3192" s="204" t="s">
        <v>2276</v>
      </c>
      <c r="T3192" s="204" t="s">
        <v>2276</v>
      </c>
      <c r="U3192" s="204" t="s">
        <v>2276</v>
      </c>
      <c r="V3192" s="204" t="s">
        <v>2276</v>
      </c>
      <c r="W3192" s="204" t="s">
        <v>2276</v>
      </c>
      <c r="X3192" s="204" t="s">
        <v>2276</v>
      </c>
      <c r="Y3192" s="204" t="s">
        <v>2276</v>
      </c>
      <c r="Z3192" s="204" t="s">
        <v>2276</v>
      </c>
      <c r="AA3192" s="204"/>
      <c r="AB3192" s="204"/>
    </row>
    <row r="3193" spans="1:28" ht="29">
      <c r="A3193" s="156" t="str">
        <f>'Reported burning'!A3193</f>
        <v>347b</v>
      </c>
      <c r="B3193" s="156" t="str">
        <f>'Reported burning'!B3193</f>
        <v>347b.1</v>
      </c>
      <c r="C3193" s="156" t="str">
        <f>'Reported burning'!C3193</f>
        <v>Human, deliberate</v>
      </c>
      <c r="D3193" s="156" t="str">
        <f>'Reported burning'!D3193</f>
        <v>Vegetation management</v>
      </c>
      <c r="E3193" s="156" t="str">
        <f>'Reported burning'!E3193</f>
        <v>Cropping, Monoculture, Market-oriented</v>
      </c>
      <c r="F3193" s="156" t="str">
        <f>'Reported burning'!F3193</f>
        <v>Cropland</v>
      </c>
      <c r="G3193" s="156" t="str">
        <f>'Reported burning'!G3193</f>
        <v>ND</v>
      </c>
      <c r="H3193" s="156" t="str">
        <f>'Reported burning'!H3193</f>
        <v>Presence</v>
      </c>
      <c r="I3193" s="5"/>
      <c r="J3193" s="204" t="s">
        <v>2276</v>
      </c>
      <c r="K3193" s="204" t="s">
        <v>2276</v>
      </c>
      <c r="L3193" s="204" t="s">
        <v>2276</v>
      </c>
      <c r="M3193" s="204" t="s">
        <v>2276</v>
      </c>
      <c r="N3193" s="204" t="s">
        <v>2276</v>
      </c>
      <c r="O3193" s="204" t="s">
        <v>2276</v>
      </c>
      <c r="P3193" s="204" t="s">
        <v>2276</v>
      </c>
      <c r="Q3193" s="204" t="s">
        <v>2276</v>
      </c>
      <c r="R3193" s="204" t="s">
        <v>2276</v>
      </c>
      <c r="S3193" s="204" t="s">
        <v>2276</v>
      </c>
      <c r="T3193" s="204" t="s">
        <v>2276</v>
      </c>
      <c r="U3193" s="204" t="s">
        <v>2276</v>
      </c>
      <c r="V3193" s="204" t="s">
        <v>2276</v>
      </c>
      <c r="W3193" s="204" t="s">
        <v>2276</v>
      </c>
      <c r="X3193" s="204" t="s">
        <v>2276</v>
      </c>
      <c r="Y3193" s="204" t="s">
        <v>2276</v>
      </c>
      <c r="Z3193" s="204" t="s">
        <v>2276</v>
      </c>
      <c r="AA3193" s="204" t="s">
        <v>8567</v>
      </c>
      <c r="AB3193" s="204"/>
    </row>
    <row r="3194" spans="1:28" ht="29">
      <c r="A3194" s="156" t="str">
        <f>'Reported burning'!A3194</f>
        <v>347c</v>
      </c>
      <c r="B3194" s="156" t="str">
        <f>'Reported burning'!B3194</f>
        <v>347c.1</v>
      </c>
      <c r="C3194" s="156" t="str">
        <f>'Reported burning'!C3194</f>
        <v>Human, deliberate</v>
      </c>
      <c r="D3194" s="156" t="str">
        <f>'Reported burning'!D3194</f>
        <v>Vegetation management</v>
      </c>
      <c r="E3194" s="156" t="str">
        <f>'Reported burning'!E3194</f>
        <v>Cropping, Monoculture, Market-oriented</v>
      </c>
      <c r="F3194" s="156" t="str">
        <f>'Reported burning'!F3194</f>
        <v>Cropland</v>
      </c>
      <c r="G3194" s="156" t="str">
        <f>'Reported burning'!G3194</f>
        <v>ND</v>
      </c>
      <c r="H3194" s="156" t="str">
        <f>'Reported burning'!H3194</f>
        <v>Presence</v>
      </c>
      <c r="I3194" s="5"/>
      <c r="J3194" s="204" t="s">
        <v>2276</v>
      </c>
      <c r="K3194" s="204" t="s">
        <v>2276</v>
      </c>
      <c r="L3194" s="204" t="s">
        <v>2276</v>
      </c>
      <c r="M3194" s="204" t="s">
        <v>2276</v>
      </c>
      <c r="N3194" s="204" t="s">
        <v>2276</v>
      </c>
      <c r="O3194" s="204" t="s">
        <v>2276</v>
      </c>
      <c r="P3194" s="204" t="s">
        <v>2276</v>
      </c>
      <c r="Q3194" s="204" t="s">
        <v>2276</v>
      </c>
      <c r="R3194" s="204" t="s">
        <v>2276</v>
      </c>
      <c r="S3194" s="204" t="s">
        <v>2276</v>
      </c>
      <c r="T3194" s="204" t="s">
        <v>2276</v>
      </c>
      <c r="U3194" s="204" t="s">
        <v>2276</v>
      </c>
      <c r="V3194" s="204" t="s">
        <v>2276</v>
      </c>
      <c r="W3194" s="204" t="s">
        <v>2276</v>
      </c>
      <c r="X3194" s="204" t="s">
        <v>2276</v>
      </c>
      <c r="Y3194" s="204" t="s">
        <v>2276</v>
      </c>
      <c r="Z3194" s="204" t="s">
        <v>2276</v>
      </c>
      <c r="AA3194" s="204" t="s">
        <v>8567</v>
      </c>
      <c r="AB3194" s="204"/>
    </row>
    <row r="3195" spans="1:28" ht="44.5" customHeight="1">
      <c r="A3195" s="156" t="str">
        <f>'Reported burning'!A3195</f>
        <v>348a</v>
      </c>
      <c r="B3195" s="156" t="str">
        <f>'Reported burning'!B3195</f>
        <v>348a.1</v>
      </c>
      <c r="C3195" s="156" t="str">
        <f>'Reported burning'!C3195</f>
        <v>Human, deliberate</v>
      </c>
      <c r="D3195" s="156" t="str">
        <f>'Reported burning'!D3195</f>
        <v>Crop residue burning</v>
      </c>
      <c r="E3195" s="156" t="str">
        <f>'Reported burning'!E3195</f>
        <v>Cropping, Monoculture, Market-oriented</v>
      </c>
      <c r="F3195" s="156" t="str">
        <f>'Reported burning'!F3195</f>
        <v>Cropland</v>
      </c>
      <c r="G3195" s="156" t="str">
        <f>'Reported burning'!G3195</f>
        <v>ND</v>
      </c>
      <c r="H3195" s="156" t="str">
        <f>'Reported burning'!H3195</f>
        <v>Presence</v>
      </c>
      <c r="I3195" s="5"/>
      <c r="J3195" s="204" t="s">
        <v>2276</v>
      </c>
      <c r="K3195" s="204" t="s">
        <v>2276</v>
      </c>
      <c r="L3195" s="204" t="s">
        <v>2276</v>
      </c>
      <c r="M3195" s="204" t="s">
        <v>2276</v>
      </c>
      <c r="N3195" s="204" t="s">
        <v>2276</v>
      </c>
      <c r="O3195" s="204" t="s">
        <v>2276</v>
      </c>
      <c r="P3195" s="204" t="s">
        <v>2276</v>
      </c>
      <c r="Q3195" s="204" t="s">
        <v>2276</v>
      </c>
      <c r="R3195" s="204" t="s">
        <v>2276</v>
      </c>
      <c r="S3195" s="21" t="s">
        <v>2390</v>
      </c>
      <c r="T3195" s="204" t="s">
        <v>2276</v>
      </c>
      <c r="U3195" s="204" t="s">
        <v>2276</v>
      </c>
      <c r="V3195" s="204" t="s">
        <v>2276</v>
      </c>
      <c r="W3195" s="204" t="s">
        <v>2276</v>
      </c>
      <c r="X3195" s="204" t="s">
        <v>2276</v>
      </c>
      <c r="Y3195" s="204" t="s">
        <v>2276</v>
      </c>
      <c r="Z3195" s="204" t="s">
        <v>2276</v>
      </c>
      <c r="AA3195" s="4" t="s">
        <v>8575</v>
      </c>
      <c r="AB3195" s="204"/>
    </row>
    <row r="3196" spans="1:28" ht="44.5" customHeight="1">
      <c r="A3196" s="156" t="str">
        <f>'Reported burning'!A3196</f>
        <v>348b</v>
      </c>
      <c r="B3196" s="156" t="str">
        <f>'Reported burning'!B3196</f>
        <v>348b.1</v>
      </c>
      <c r="C3196" s="156" t="str">
        <f>'Reported burning'!C3196</f>
        <v>Human, deliberate</v>
      </c>
      <c r="D3196" s="156" t="str">
        <f>'Reported burning'!D3196</f>
        <v>Crop residue burning</v>
      </c>
      <c r="E3196" s="156" t="str">
        <f>'Reported burning'!E3196</f>
        <v>Cropping, Monoculture, Market-oriented</v>
      </c>
      <c r="F3196" s="156" t="str">
        <f>'Reported burning'!F3196</f>
        <v>Cropland</v>
      </c>
      <c r="G3196" s="156" t="str">
        <f>'Reported burning'!G3196</f>
        <v>ND</v>
      </c>
      <c r="H3196" s="156" t="str">
        <f>'Reported burning'!H3196</f>
        <v>Presence</v>
      </c>
      <c r="I3196" s="5"/>
      <c r="J3196" s="204" t="s">
        <v>2276</v>
      </c>
      <c r="K3196" s="204" t="s">
        <v>2276</v>
      </c>
      <c r="L3196" s="204" t="s">
        <v>2276</v>
      </c>
      <c r="M3196" s="204" t="s">
        <v>2276</v>
      </c>
      <c r="N3196" s="204" t="s">
        <v>2276</v>
      </c>
      <c r="O3196" s="204" t="s">
        <v>2276</v>
      </c>
      <c r="P3196" s="204" t="s">
        <v>2276</v>
      </c>
      <c r="Q3196" s="204" t="s">
        <v>2276</v>
      </c>
      <c r="R3196" s="204" t="s">
        <v>2276</v>
      </c>
      <c r="S3196" s="21" t="s">
        <v>2390</v>
      </c>
      <c r="T3196" s="204" t="s">
        <v>2276</v>
      </c>
      <c r="U3196" s="204" t="s">
        <v>2276</v>
      </c>
      <c r="V3196" s="204" t="s">
        <v>2276</v>
      </c>
      <c r="W3196" s="204" t="s">
        <v>2276</v>
      </c>
      <c r="X3196" s="204" t="s">
        <v>2276</v>
      </c>
      <c r="Y3196" s="204" t="s">
        <v>2276</v>
      </c>
      <c r="Z3196" s="204" t="s">
        <v>2276</v>
      </c>
      <c r="AA3196" s="4" t="s">
        <v>8575</v>
      </c>
      <c r="AB3196" s="204"/>
    </row>
    <row r="3197" spans="1:28" ht="41.5" customHeight="1">
      <c r="A3197" s="152" t="str">
        <f>'Reported burning'!A3197</f>
        <v>349a</v>
      </c>
      <c r="B3197" s="152" t="str">
        <f>'Reported burning'!B3197</f>
        <v>349a.1</v>
      </c>
      <c r="C3197" s="152" t="str">
        <f>'Reported burning'!C3197</f>
        <v>Unknown</v>
      </c>
      <c r="D3197" s="152" t="str">
        <f>'Reported burning'!D3197</f>
        <v>ND</v>
      </c>
      <c r="E3197" s="152" t="str">
        <f>'Reported burning'!E3197</f>
        <v>Cattle, Extensive</v>
      </c>
      <c r="F3197" s="152" t="str">
        <f>'Reported burning'!F3197</f>
        <v>Shrubland (Mixed forest &amp; grassland)</v>
      </c>
      <c r="G3197" s="152" t="str">
        <f>'Reported burning'!G3197</f>
        <v>ND</v>
      </c>
      <c r="H3197" s="152" t="str">
        <f>'Reported burning'!H3197</f>
        <v>Presence</v>
      </c>
      <c r="I3197" s="204"/>
      <c r="J3197" s="204" t="s">
        <v>2276</v>
      </c>
      <c r="K3197" s="204" t="s">
        <v>2276</v>
      </c>
      <c r="L3197" s="204" t="s">
        <v>2276</v>
      </c>
      <c r="M3197" s="204" t="s">
        <v>2276</v>
      </c>
      <c r="N3197" s="204" t="s">
        <v>2276</v>
      </c>
      <c r="O3197" s="204" t="s">
        <v>2276</v>
      </c>
      <c r="P3197" s="204" t="s">
        <v>2276</v>
      </c>
      <c r="Q3197" s="204" t="s">
        <v>2276</v>
      </c>
      <c r="R3197" s="204" t="s">
        <v>2276</v>
      </c>
      <c r="S3197" s="204" t="s">
        <v>2276</v>
      </c>
      <c r="T3197" s="204" t="s">
        <v>2276</v>
      </c>
      <c r="U3197" s="204" t="s">
        <v>2276</v>
      </c>
      <c r="V3197" s="204" t="s">
        <v>2276</v>
      </c>
      <c r="W3197" s="204" t="s">
        <v>2276</v>
      </c>
      <c r="X3197" s="204" t="s">
        <v>405</v>
      </c>
      <c r="Y3197" s="204" t="s">
        <v>35</v>
      </c>
      <c r="Z3197" s="204" t="s">
        <v>2276</v>
      </c>
      <c r="AA3197" s="204"/>
      <c r="AB3197" s="204"/>
    </row>
    <row r="3198" spans="1:28" ht="41.5" customHeight="1">
      <c r="A3198" s="152" t="str">
        <f>'Reported burning'!A3198</f>
        <v>349b</v>
      </c>
      <c r="B3198" s="152" t="str">
        <f>'Reported burning'!B3198</f>
        <v>349b.1</v>
      </c>
      <c r="C3198" s="152" t="str">
        <f>'Reported burning'!C3198</f>
        <v>Unknown</v>
      </c>
      <c r="D3198" s="152" t="str">
        <f>'Reported burning'!D3198</f>
        <v>ND</v>
      </c>
      <c r="E3198" s="152" t="str">
        <f>'Reported burning'!E3198</f>
        <v>Cattle, Extensive</v>
      </c>
      <c r="F3198" s="152" t="str">
        <f>'Reported burning'!F3198</f>
        <v>Shrubland (Mixed forest &amp; grassland)</v>
      </c>
      <c r="G3198" s="152" t="str">
        <f>'Reported burning'!G3198</f>
        <v>ND</v>
      </c>
      <c r="H3198" s="152" t="str">
        <f>'Reported burning'!H3198</f>
        <v>Presence</v>
      </c>
      <c r="I3198" s="204"/>
      <c r="J3198" s="204" t="s">
        <v>2276</v>
      </c>
      <c r="K3198" s="204" t="s">
        <v>2276</v>
      </c>
      <c r="L3198" s="204" t="s">
        <v>2276</v>
      </c>
      <c r="M3198" s="204" t="s">
        <v>2276</v>
      </c>
      <c r="N3198" s="204" t="s">
        <v>2276</v>
      </c>
      <c r="O3198" s="204" t="s">
        <v>2276</v>
      </c>
      <c r="P3198" s="204" t="s">
        <v>2276</v>
      </c>
      <c r="Q3198" s="204" t="s">
        <v>2276</v>
      </c>
      <c r="R3198" s="204" t="s">
        <v>2276</v>
      </c>
      <c r="S3198" s="204" t="s">
        <v>2276</v>
      </c>
      <c r="T3198" s="204" t="s">
        <v>2276</v>
      </c>
      <c r="U3198" s="204" t="s">
        <v>2276</v>
      </c>
      <c r="V3198" s="204" t="s">
        <v>2276</v>
      </c>
      <c r="W3198" s="204" t="s">
        <v>2276</v>
      </c>
      <c r="X3198" s="204" t="s">
        <v>405</v>
      </c>
      <c r="Y3198" s="204" t="s">
        <v>35</v>
      </c>
      <c r="Z3198" s="204" t="s">
        <v>2276</v>
      </c>
      <c r="AA3198" s="204"/>
      <c r="AB3198" s="204"/>
    </row>
    <row r="3199" spans="1:28" ht="41.5" customHeight="1">
      <c r="A3199" s="152" t="str">
        <f>'Reported burning'!A3199</f>
        <v>349c</v>
      </c>
      <c r="B3199" s="152" t="str">
        <f>'Reported burning'!B3199</f>
        <v>349c.1</v>
      </c>
      <c r="C3199" s="152" t="str">
        <f>'Reported burning'!C3199</f>
        <v>Unknown</v>
      </c>
      <c r="D3199" s="152" t="str">
        <f>'Reported burning'!D3199</f>
        <v>ND</v>
      </c>
      <c r="E3199" s="152" t="str">
        <f>'Reported burning'!E3199</f>
        <v>Cattle, Extensive</v>
      </c>
      <c r="F3199" s="152" t="str">
        <f>'Reported burning'!F3199</f>
        <v>Shrubland (Mixed forest &amp; grassland)</v>
      </c>
      <c r="G3199" s="152" t="str">
        <f>'Reported burning'!G3199</f>
        <v>ND</v>
      </c>
      <c r="H3199" s="152" t="str">
        <f>'Reported burning'!H3199</f>
        <v>Presence</v>
      </c>
      <c r="I3199" s="204"/>
      <c r="J3199" s="204" t="s">
        <v>2276</v>
      </c>
      <c r="K3199" s="204" t="s">
        <v>2276</v>
      </c>
      <c r="L3199" s="204" t="s">
        <v>2276</v>
      </c>
      <c r="M3199" s="204" t="s">
        <v>2276</v>
      </c>
      <c r="N3199" s="204" t="s">
        <v>2276</v>
      </c>
      <c r="O3199" s="204" t="s">
        <v>2276</v>
      </c>
      <c r="P3199" s="204" t="s">
        <v>2276</v>
      </c>
      <c r="Q3199" s="204" t="s">
        <v>2276</v>
      </c>
      <c r="R3199" s="204" t="s">
        <v>2276</v>
      </c>
      <c r="S3199" s="204" t="s">
        <v>2276</v>
      </c>
      <c r="T3199" s="204" t="s">
        <v>2276</v>
      </c>
      <c r="U3199" s="204" t="s">
        <v>2276</v>
      </c>
      <c r="V3199" s="204" t="s">
        <v>2276</v>
      </c>
      <c r="W3199" s="204" t="s">
        <v>2276</v>
      </c>
      <c r="X3199" s="204" t="s">
        <v>405</v>
      </c>
      <c r="Y3199" s="204" t="s">
        <v>35</v>
      </c>
      <c r="Z3199" s="204" t="s">
        <v>2276</v>
      </c>
      <c r="AA3199" s="204"/>
      <c r="AB3199" s="204"/>
    </row>
    <row r="3200" spans="1:28" ht="40" customHeight="1">
      <c r="A3200" s="152" t="str">
        <f>'Reported burning'!A3200</f>
        <v>349d</v>
      </c>
      <c r="B3200" s="152" t="str">
        <f>'Reported burning'!B3200</f>
        <v>349d.1</v>
      </c>
      <c r="C3200" s="152" t="str">
        <f>'Reported burning'!C3200</f>
        <v>Unknown</v>
      </c>
      <c r="D3200" s="152" t="str">
        <f>'Reported burning'!D3200</f>
        <v>ND</v>
      </c>
      <c r="E3200" s="152" t="str">
        <f>'Reported burning'!E3200</f>
        <v>Cattle, Extensive</v>
      </c>
      <c r="F3200" s="152" t="str">
        <f>'Reported burning'!F3200</f>
        <v>Shrubland (Mixed forest &amp; grassland)</v>
      </c>
      <c r="G3200" s="152" t="str">
        <f>'Reported burning'!G3200</f>
        <v>ND</v>
      </c>
      <c r="H3200" s="152" t="str">
        <f>'Reported burning'!H3200</f>
        <v>Presence</v>
      </c>
      <c r="I3200" s="204"/>
      <c r="J3200" s="204" t="s">
        <v>2276</v>
      </c>
      <c r="K3200" s="204" t="s">
        <v>2276</v>
      </c>
      <c r="L3200" s="204" t="s">
        <v>2276</v>
      </c>
      <c r="M3200" s="204" t="s">
        <v>2276</v>
      </c>
      <c r="N3200" s="204" t="s">
        <v>2276</v>
      </c>
      <c r="O3200" s="204" t="s">
        <v>2276</v>
      </c>
      <c r="P3200" s="204" t="s">
        <v>2276</v>
      </c>
      <c r="Q3200" s="204" t="s">
        <v>2276</v>
      </c>
      <c r="R3200" s="204" t="s">
        <v>2276</v>
      </c>
      <c r="S3200" s="204" t="s">
        <v>2276</v>
      </c>
      <c r="T3200" s="204" t="s">
        <v>2276</v>
      </c>
      <c r="U3200" s="204" t="s">
        <v>2276</v>
      </c>
      <c r="V3200" s="204" t="s">
        <v>2276</v>
      </c>
      <c r="W3200" s="204" t="s">
        <v>2276</v>
      </c>
      <c r="X3200" s="204" t="s">
        <v>405</v>
      </c>
      <c r="Y3200" s="204" t="s">
        <v>35</v>
      </c>
      <c r="Z3200" s="204" t="s">
        <v>2276</v>
      </c>
      <c r="AA3200" s="204"/>
      <c r="AB3200" s="204"/>
    </row>
    <row r="3201" spans="1:28" ht="45.5" customHeight="1">
      <c r="A3201" s="156" t="str">
        <f>'Reported burning'!A3201</f>
        <v>350a</v>
      </c>
      <c r="B3201" s="156" t="str">
        <f>'Reported burning'!B3201</f>
        <v>350a.1</v>
      </c>
      <c r="C3201" s="156" t="str">
        <f>'Reported burning'!C3201</f>
        <v>Human, deliberate</v>
      </c>
      <c r="D3201" s="156" t="str">
        <f>'Reported burning'!D3201</f>
        <v>Crop residue burning</v>
      </c>
      <c r="E3201" s="156" t="str">
        <f>'Reported burning'!E3201</f>
        <v>Cropping, Intensive</v>
      </c>
      <c r="F3201" s="156" t="str">
        <f>'Reported burning'!F3201</f>
        <v>Cropland</v>
      </c>
      <c r="G3201" s="156" t="str">
        <f>'Reported burning'!G3201</f>
        <v>Cropland</v>
      </c>
      <c r="H3201" s="156" t="str">
        <f>'Reported burning'!H3201</f>
        <v>Presence</v>
      </c>
      <c r="I3201" s="5"/>
      <c r="J3201" s="204" t="s">
        <v>2276</v>
      </c>
      <c r="K3201" s="21" t="s">
        <v>2362</v>
      </c>
      <c r="L3201" s="21" t="s">
        <v>2362</v>
      </c>
      <c r="M3201" s="21" t="s">
        <v>2374</v>
      </c>
      <c r="N3201" s="21" t="s">
        <v>2374</v>
      </c>
      <c r="O3201" s="204" t="s">
        <v>2276</v>
      </c>
      <c r="P3201" s="204" t="s">
        <v>2276</v>
      </c>
      <c r="Q3201" s="204" t="s">
        <v>2276</v>
      </c>
      <c r="R3201" s="204" t="s">
        <v>2276</v>
      </c>
      <c r="S3201" s="204" t="s">
        <v>2276</v>
      </c>
      <c r="T3201" s="204" t="s">
        <v>2276</v>
      </c>
      <c r="U3201" s="204" t="s">
        <v>2276</v>
      </c>
      <c r="V3201" s="204" t="s">
        <v>2276</v>
      </c>
      <c r="W3201" s="204" t="s">
        <v>2276</v>
      </c>
      <c r="X3201" s="204" t="s">
        <v>35</v>
      </c>
      <c r="Y3201" s="204" t="s">
        <v>127</v>
      </c>
      <c r="Z3201" s="204" t="s">
        <v>64</v>
      </c>
      <c r="AA3201" s="204"/>
      <c r="AB3201" s="4" t="s">
        <v>8605</v>
      </c>
    </row>
    <row r="3202" spans="1:28" ht="48.5" customHeight="1">
      <c r="A3202" s="156" t="str">
        <f>'Reported burning'!A3202</f>
        <v>350a</v>
      </c>
      <c r="B3202" s="156" t="str">
        <f>'Reported burning'!B3202</f>
        <v>350a.2</v>
      </c>
      <c r="C3202" s="156" t="str">
        <f>'Reported burning'!C3202</f>
        <v>Human, deliberate</v>
      </c>
      <c r="D3202" s="156" t="str">
        <f>'Reported burning'!D3202</f>
        <v>Crop residue burning</v>
      </c>
      <c r="E3202" s="156" t="str">
        <f>'Reported burning'!E3202</f>
        <v>Cropping, Intensive</v>
      </c>
      <c r="F3202" s="156" t="str">
        <f>'Reported burning'!F3202</f>
        <v>Cropland</v>
      </c>
      <c r="G3202" s="156" t="str">
        <f>'Reported burning'!G3202</f>
        <v>Cropland</v>
      </c>
      <c r="H3202" s="156" t="str">
        <f>'Reported burning'!H3202</f>
        <v>Presence</v>
      </c>
      <c r="I3202" s="5"/>
      <c r="J3202" s="204" t="s">
        <v>2276</v>
      </c>
      <c r="K3202" s="21" t="s">
        <v>2362</v>
      </c>
      <c r="L3202" s="21" t="s">
        <v>2362</v>
      </c>
      <c r="M3202" s="21" t="s">
        <v>2374</v>
      </c>
      <c r="N3202" s="21" t="s">
        <v>2374</v>
      </c>
      <c r="O3202" s="204" t="s">
        <v>2276</v>
      </c>
      <c r="P3202" s="204" t="s">
        <v>2276</v>
      </c>
      <c r="Q3202" s="204" t="s">
        <v>2276</v>
      </c>
      <c r="R3202" s="204" t="s">
        <v>2276</v>
      </c>
      <c r="S3202" s="204" t="s">
        <v>2276</v>
      </c>
      <c r="T3202" s="204" t="s">
        <v>2276</v>
      </c>
      <c r="U3202" s="204" t="s">
        <v>2276</v>
      </c>
      <c r="V3202" s="204" t="s">
        <v>2276</v>
      </c>
      <c r="W3202" s="204" t="s">
        <v>2276</v>
      </c>
      <c r="X3202" s="204" t="s">
        <v>34</v>
      </c>
      <c r="Y3202" s="204" t="s">
        <v>404</v>
      </c>
      <c r="Z3202" s="204" t="s">
        <v>64</v>
      </c>
      <c r="AA3202" s="204"/>
      <c r="AB3202" s="4" t="s">
        <v>8605</v>
      </c>
    </row>
    <row r="3203" spans="1:28" ht="44" customHeight="1">
      <c r="A3203" s="156" t="str">
        <f>'Reported burning'!A3203</f>
        <v>351a</v>
      </c>
      <c r="B3203" s="156" t="str">
        <f>'Reported burning'!B3203</f>
        <v>351a.1</v>
      </c>
      <c r="C3203" s="156" t="str">
        <f>'Reported burning'!C3203</f>
        <v>Human, deliberate</v>
      </c>
      <c r="D3203" s="156" t="str">
        <f>'Reported burning'!D3203</f>
        <v>Crop residue burning</v>
      </c>
      <c r="E3203" s="156" t="str">
        <f>'Reported burning'!E3203</f>
        <v>ND</v>
      </c>
      <c r="F3203" s="156" t="str">
        <f>'Reported burning'!F3203</f>
        <v>Cropland</v>
      </c>
      <c r="G3203" s="156" t="str">
        <f>'Reported burning'!G3203</f>
        <v>ND</v>
      </c>
      <c r="H3203" s="156" t="str">
        <f>'Reported burning'!H3203</f>
        <v>Presence</v>
      </c>
      <c r="I3203" s="5"/>
      <c r="J3203" s="204" t="s">
        <v>2276</v>
      </c>
      <c r="K3203" s="204" t="s">
        <v>2276</v>
      </c>
      <c r="L3203" s="204" t="s">
        <v>2276</v>
      </c>
      <c r="M3203" s="204" t="s">
        <v>2276</v>
      </c>
      <c r="N3203" s="204" t="s">
        <v>2276</v>
      </c>
      <c r="O3203" s="204" t="s">
        <v>2276</v>
      </c>
      <c r="P3203" s="204" t="s">
        <v>2276</v>
      </c>
      <c r="Q3203" s="204" t="s">
        <v>2276</v>
      </c>
      <c r="R3203" s="204" t="s">
        <v>2276</v>
      </c>
      <c r="S3203" s="204" t="s">
        <v>2276</v>
      </c>
      <c r="T3203" s="204" t="s">
        <v>2276</v>
      </c>
      <c r="U3203" s="204" t="s">
        <v>2276</v>
      </c>
      <c r="V3203" s="204" t="s">
        <v>2276</v>
      </c>
      <c r="W3203" s="204" t="s">
        <v>2276</v>
      </c>
      <c r="X3203" s="204" t="s">
        <v>86</v>
      </c>
      <c r="Y3203" s="204" t="s">
        <v>35</v>
      </c>
      <c r="Z3203" s="204" t="s">
        <v>2276</v>
      </c>
      <c r="AA3203" s="204"/>
      <c r="AB3203" s="204"/>
    </row>
    <row r="3204" spans="1:28" ht="39" customHeight="1">
      <c r="A3204" s="156" t="str">
        <f>'Reported burning'!A3204</f>
        <v>351b</v>
      </c>
      <c r="B3204" s="156" t="str">
        <f>'Reported burning'!B3204</f>
        <v>351b.1</v>
      </c>
      <c r="C3204" s="156" t="str">
        <f>'Reported burning'!C3204</f>
        <v>Human, deliberate</v>
      </c>
      <c r="D3204" s="156" t="str">
        <f>'Reported burning'!D3204</f>
        <v>Crop residue burning</v>
      </c>
      <c r="E3204" s="156" t="str">
        <f>'Reported burning'!E3204</f>
        <v>ND</v>
      </c>
      <c r="F3204" s="156" t="str">
        <f>'Reported burning'!F3204</f>
        <v>Cropland</v>
      </c>
      <c r="G3204" s="156" t="str">
        <f>'Reported burning'!G3204</f>
        <v>ND</v>
      </c>
      <c r="H3204" s="156" t="str">
        <f>'Reported burning'!H3204</f>
        <v>Presence</v>
      </c>
      <c r="I3204" s="5"/>
      <c r="J3204" s="204" t="s">
        <v>2276</v>
      </c>
      <c r="K3204" s="204" t="s">
        <v>2276</v>
      </c>
      <c r="L3204" s="204" t="s">
        <v>2276</v>
      </c>
      <c r="M3204" s="204" t="s">
        <v>2276</v>
      </c>
      <c r="N3204" s="204" t="s">
        <v>2276</v>
      </c>
      <c r="O3204" s="204" t="s">
        <v>2276</v>
      </c>
      <c r="P3204" s="204" t="s">
        <v>2276</v>
      </c>
      <c r="Q3204" s="204" t="s">
        <v>2276</v>
      </c>
      <c r="R3204" s="204" t="s">
        <v>2276</v>
      </c>
      <c r="S3204" s="204" t="s">
        <v>2276</v>
      </c>
      <c r="T3204" s="204" t="s">
        <v>2276</v>
      </c>
      <c r="U3204" s="204" t="s">
        <v>2276</v>
      </c>
      <c r="V3204" s="204" t="s">
        <v>2276</v>
      </c>
      <c r="W3204" s="204" t="s">
        <v>2276</v>
      </c>
      <c r="X3204" s="204" t="s">
        <v>86</v>
      </c>
      <c r="Y3204" s="204" t="s">
        <v>68</v>
      </c>
      <c r="Z3204" s="204" t="s">
        <v>2276</v>
      </c>
      <c r="AA3204" s="204"/>
      <c r="AB3204" s="204"/>
    </row>
    <row r="3205" spans="1:28" ht="39" customHeight="1">
      <c r="A3205" s="156" t="str">
        <f>'Reported burning'!A3205</f>
        <v>351c</v>
      </c>
      <c r="B3205" s="156" t="str">
        <f>'Reported burning'!B3205</f>
        <v>351c.1</v>
      </c>
      <c r="C3205" s="156" t="str">
        <f>'Reported burning'!C3205</f>
        <v>Human, deliberate</v>
      </c>
      <c r="D3205" s="156" t="str">
        <f>'Reported burning'!D3205</f>
        <v>Crop residue burning</v>
      </c>
      <c r="E3205" s="156" t="str">
        <f>'Reported burning'!E3205</f>
        <v>ND</v>
      </c>
      <c r="F3205" s="156" t="str">
        <f>'Reported burning'!F3205</f>
        <v>Cropland</v>
      </c>
      <c r="G3205" s="156" t="str">
        <f>'Reported burning'!G3205</f>
        <v>ND</v>
      </c>
      <c r="H3205" s="156" t="str">
        <f>'Reported burning'!H3205</f>
        <v>Presence</v>
      </c>
      <c r="I3205" s="5"/>
      <c r="J3205" s="204" t="s">
        <v>2276</v>
      </c>
      <c r="K3205" s="204" t="s">
        <v>2276</v>
      </c>
      <c r="L3205" s="204" t="s">
        <v>2276</v>
      </c>
      <c r="M3205" s="204" t="s">
        <v>2276</v>
      </c>
      <c r="N3205" s="204" t="s">
        <v>2276</v>
      </c>
      <c r="O3205" s="204" t="s">
        <v>2276</v>
      </c>
      <c r="P3205" s="204" t="s">
        <v>2276</v>
      </c>
      <c r="Q3205" s="204" t="s">
        <v>2276</v>
      </c>
      <c r="R3205" s="204" t="s">
        <v>2276</v>
      </c>
      <c r="S3205" s="204" t="s">
        <v>2276</v>
      </c>
      <c r="T3205" s="204" t="s">
        <v>2276</v>
      </c>
      <c r="U3205" s="204" t="s">
        <v>2276</v>
      </c>
      <c r="V3205" s="204" t="s">
        <v>2276</v>
      </c>
      <c r="W3205" s="204" t="s">
        <v>2276</v>
      </c>
      <c r="X3205" s="204" t="s">
        <v>86</v>
      </c>
      <c r="Y3205" s="204" t="s">
        <v>68</v>
      </c>
      <c r="Z3205" s="204" t="s">
        <v>2276</v>
      </c>
      <c r="AA3205" s="204"/>
      <c r="AB3205" s="204"/>
    </row>
    <row r="3206" spans="1:28" ht="39" customHeight="1">
      <c r="A3206" s="156" t="str">
        <f>'Reported burning'!A3206</f>
        <v>351d</v>
      </c>
      <c r="B3206" s="156" t="str">
        <f>'Reported burning'!B3206</f>
        <v>351d.1</v>
      </c>
      <c r="C3206" s="156" t="str">
        <f>'Reported burning'!C3206</f>
        <v>Human, deliberate</v>
      </c>
      <c r="D3206" s="156" t="str">
        <f>'Reported burning'!D3206</f>
        <v>Crop residue burning</v>
      </c>
      <c r="E3206" s="156" t="str">
        <f>'Reported burning'!E3206</f>
        <v>ND</v>
      </c>
      <c r="F3206" s="156" t="str">
        <f>'Reported burning'!F3206</f>
        <v>Cropland</v>
      </c>
      <c r="G3206" s="156" t="str">
        <f>'Reported burning'!G3206</f>
        <v>ND</v>
      </c>
      <c r="H3206" s="156" t="str">
        <f>'Reported burning'!H3206</f>
        <v>Presence</v>
      </c>
      <c r="I3206" s="5"/>
      <c r="J3206" s="204" t="s">
        <v>2276</v>
      </c>
      <c r="K3206" s="204" t="s">
        <v>2276</v>
      </c>
      <c r="L3206" s="204" t="s">
        <v>2276</v>
      </c>
      <c r="M3206" s="204" t="s">
        <v>2276</v>
      </c>
      <c r="N3206" s="204" t="s">
        <v>2276</v>
      </c>
      <c r="O3206" s="204" t="s">
        <v>2276</v>
      </c>
      <c r="P3206" s="204" t="s">
        <v>2276</v>
      </c>
      <c r="Q3206" s="204" t="s">
        <v>2276</v>
      </c>
      <c r="R3206" s="204" t="s">
        <v>2276</v>
      </c>
      <c r="S3206" s="204" t="s">
        <v>2276</v>
      </c>
      <c r="T3206" s="204" t="s">
        <v>2276</v>
      </c>
      <c r="U3206" s="204" t="s">
        <v>2276</v>
      </c>
      <c r="V3206" s="204" t="s">
        <v>2276</v>
      </c>
      <c r="W3206" s="204" t="s">
        <v>2276</v>
      </c>
      <c r="X3206" s="204" t="s">
        <v>86</v>
      </c>
      <c r="Y3206" s="204" t="s">
        <v>68</v>
      </c>
      <c r="Z3206" s="204" t="s">
        <v>2276</v>
      </c>
      <c r="AA3206" s="204"/>
      <c r="AB3206" s="204"/>
    </row>
    <row r="3207" spans="1:28" ht="39" customHeight="1">
      <c r="A3207" s="156" t="str">
        <f>'Reported burning'!A3207</f>
        <v>351e</v>
      </c>
      <c r="B3207" s="156" t="str">
        <f>'Reported burning'!B3207</f>
        <v>351e.1</v>
      </c>
      <c r="C3207" s="156" t="str">
        <f>'Reported burning'!C3207</f>
        <v>Human, deliberate</v>
      </c>
      <c r="D3207" s="156" t="str">
        <f>'Reported burning'!D3207</f>
        <v>Crop residue burning</v>
      </c>
      <c r="E3207" s="156" t="str">
        <f>'Reported burning'!E3207</f>
        <v>ND</v>
      </c>
      <c r="F3207" s="156" t="str">
        <f>'Reported burning'!F3207</f>
        <v>Cropland</v>
      </c>
      <c r="G3207" s="156" t="str">
        <f>'Reported burning'!G3207</f>
        <v>ND</v>
      </c>
      <c r="H3207" s="156" t="str">
        <f>'Reported burning'!H3207</f>
        <v>Presence</v>
      </c>
      <c r="I3207" s="5"/>
      <c r="J3207" s="204" t="s">
        <v>2276</v>
      </c>
      <c r="K3207" s="204" t="s">
        <v>2276</v>
      </c>
      <c r="L3207" s="204" t="s">
        <v>2276</v>
      </c>
      <c r="M3207" s="204" t="s">
        <v>2276</v>
      </c>
      <c r="N3207" s="204" t="s">
        <v>2276</v>
      </c>
      <c r="O3207" s="204" t="s">
        <v>2276</v>
      </c>
      <c r="P3207" s="204" t="s">
        <v>2276</v>
      </c>
      <c r="Q3207" s="204" t="s">
        <v>2276</v>
      </c>
      <c r="R3207" s="204" t="s">
        <v>2276</v>
      </c>
      <c r="S3207" s="204" t="s">
        <v>2276</v>
      </c>
      <c r="T3207" s="204" t="s">
        <v>2276</v>
      </c>
      <c r="U3207" s="204" t="s">
        <v>2276</v>
      </c>
      <c r="V3207" s="204" t="s">
        <v>2276</v>
      </c>
      <c r="W3207" s="204" t="s">
        <v>2276</v>
      </c>
      <c r="X3207" s="204" t="s">
        <v>86</v>
      </c>
      <c r="Y3207" s="204" t="s">
        <v>68</v>
      </c>
      <c r="Z3207" s="204" t="s">
        <v>2276</v>
      </c>
      <c r="AA3207" s="204"/>
      <c r="AB3207" s="204"/>
    </row>
    <row r="3208" spans="1:28" ht="39" customHeight="1">
      <c r="A3208" s="156" t="str">
        <f>'Reported burning'!A3208</f>
        <v>351f</v>
      </c>
      <c r="B3208" s="156" t="str">
        <f>'Reported burning'!B3208</f>
        <v>351f.1</v>
      </c>
      <c r="C3208" s="156" t="str">
        <f>'Reported burning'!C3208</f>
        <v>Human, deliberate</v>
      </c>
      <c r="D3208" s="156" t="str">
        <f>'Reported burning'!D3208</f>
        <v>Crop residue burning</v>
      </c>
      <c r="E3208" s="156" t="str">
        <f>'Reported burning'!E3208</f>
        <v>ND</v>
      </c>
      <c r="F3208" s="156" t="str">
        <f>'Reported burning'!F3208</f>
        <v>Cropland</v>
      </c>
      <c r="G3208" s="156" t="str">
        <f>'Reported burning'!G3208</f>
        <v>ND</v>
      </c>
      <c r="H3208" s="156" t="str">
        <f>'Reported burning'!H3208</f>
        <v>Presence</v>
      </c>
      <c r="I3208" s="5"/>
      <c r="J3208" s="204" t="s">
        <v>2276</v>
      </c>
      <c r="K3208" s="204" t="s">
        <v>2276</v>
      </c>
      <c r="L3208" s="204" t="s">
        <v>2276</v>
      </c>
      <c r="M3208" s="204" t="s">
        <v>2276</v>
      </c>
      <c r="N3208" s="204" t="s">
        <v>2276</v>
      </c>
      <c r="O3208" s="204" t="s">
        <v>2276</v>
      </c>
      <c r="P3208" s="204" t="s">
        <v>2276</v>
      </c>
      <c r="Q3208" s="204" t="s">
        <v>2276</v>
      </c>
      <c r="R3208" s="204" t="s">
        <v>2276</v>
      </c>
      <c r="S3208" s="204" t="s">
        <v>2276</v>
      </c>
      <c r="T3208" s="204" t="s">
        <v>2276</v>
      </c>
      <c r="U3208" s="204" t="s">
        <v>2276</v>
      </c>
      <c r="V3208" s="204" t="s">
        <v>2276</v>
      </c>
      <c r="W3208" s="204" t="s">
        <v>2276</v>
      </c>
      <c r="X3208" s="204" t="s">
        <v>34</v>
      </c>
      <c r="Y3208" s="204" t="s">
        <v>34</v>
      </c>
      <c r="Z3208" s="204" t="s">
        <v>2276</v>
      </c>
      <c r="AA3208" s="204"/>
      <c r="AB3208" s="204"/>
    </row>
    <row r="3209" spans="1:28" ht="39" customHeight="1">
      <c r="A3209" s="156" t="str">
        <f>'Reported burning'!A3209</f>
        <v>351g</v>
      </c>
      <c r="B3209" s="156" t="str">
        <f>'Reported burning'!B3209</f>
        <v>351g.1</v>
      </c>
      <c r="C3209" s="156" t="str">
        <f>'Reported burning'!C3209</f>
        <v>Human, deliberate</v>
      </c>
      <c r="D3209" s="156" t="str">
        <f>'Reported burning'!D3209</f>
        <v>Crop residue burning</v>
      </c>
      <c r="E3209" s="156" t="str">
        <f>'Reported burning'!E3209</f>
        <v>ND</v>
      </c>
      <c r="F3209" s="156" t="str">
        <f>'Reported burning'!F3209</f>
        <v>Cropland</v>
      </c>
      <c r="G3209" s="156" t="str">
        <f>'Reported burning'!G3209</f>
        <v>ND</v>
      </c>
      <c r="H3209" s="156" t="str">
        <f>'Reported burning'!H3209</f>
        <v>Presence</v>
      </c>
      <c r="I3209" s="5"/>
      <c r="J3209" s="204" t="s">
        <v>2276</v>
      </c>
      <c r="K3209" s="204" t="s">
        <v>2276</v>
      </c>
      <c r="L3209" s="204" t="s">
        <v>2276</v>
      </c>
      <c r="M3209" s="204" t="s">
        <v>2276</v>
      </c>
      <c r="N3209" s="204" t="s">
        <v>2276</v>
      </c>
      <c r="O3209" s="204" t="s">
        <v>2276</v>
      </c>
      <c r="P3209" s="204" t="s">
        <v>2276</v>
      </c>
      <c r="Q3209" s="204" t="s">
        <v>2276</v>
      </c>
      <c r="R3209" s="204" t="s">
        <v>2276</v>
      </c>
      <c r="S3209" s="204" t="s">
        <v>2276</v>
      </c>
      <c r="T3209" s="204" t="s">
        <v>2276</v>
      </c>
      <c r="U3209" s="204" t="s">
        <v>2276</v>
      </c>
      <c r="V3209" s="204" t="s">
        <v>2276</v>
      </c>
      <c r="W3209" s="204" t="s">
        <v>2276</v>
      </c>
      <c r="X3209" s="204" t="s">
        <v>34</v>
      </c>
      <c r="Y3209" s="204" t="s">
        <v>34</v>
      </c>
      <c r="Z3209" s="204" t="s">
        <v>2276</v>
      </c>
      <c r="AA3209" s="204"/>
      <c r="AB3209" s="204"/>
    </row>
    <row r="3210" spans="1:28" ht="39" customHeight="1">
      <c r="A3210" s="156" t="str">
        <f>'Reported burning'!A3210</f>
        <v>351f</v>
      </c>
      <c r="B3210" s="156" t="str">
        <f>'Reported burning'!B3210</f>
        <v>351f.2</v>
      </c>
      <c r="C3210" s="156" t="str">
        <f>'Reported burning'!C3210</f>
        <v>Human, deliberate</v>
      </c>
      <c r="D3210" s="156" t="str">
        <f>'Reported burning'!D3210</f>
        <v>Crop residue burning</v>
      </c>
      <c r="E3210" s="156" t="str">
        <f>'Reported burning'!E3210</f>
        <v>ND</v>
      </c>
      <c r="F3210" s="156" t="str">
        <f>'Reported burning'!F3210</f>
        <v>Cropland</v>
      </c>
      <c r="G3210" s="156" t="str">
        <f>'Reported burning'!G3210</f>
        <v>ND</v>
      </c>
      <c r="H3210" s="156" t="str">
        <f>'Reported burning'!H3210</f>
        <v>Presence</v>
      </c>
      <c r="I3210" s="5"/>
      <c r="J3210" s="204" t="s">
        <v>2276</v>
      </c>
      <c r="K3210" s="204" t="s">
        <v>2276</v>
      </c>
      <c r="L3210" s="204" t="s">
        <v>2276</v>
      </c>
      <c r="M3210" s="204" t="s">
        <v>2276</v>
      </c>
      <c r="N3210" s="204" t="s">
        <v>2276</v>
      </c>
      <c r="O3210" s="204" t="s">
        <v>2276</v>
      </c>
      <c r="P3210" s="204" t="s">
        <v>2276</v>
      </c>
      <c r="Q3210" s="204" t="s">
        <v>2276</v>
      </c>
      <c r="R3210" s="204" t="s">
        <v>2276</v>
      </c>
      <c r="S3210" s="204" t="s">
        <v>2276</v>
      </c>
      <c r="T3210" s="204" t="s">
        <v>2276</v>
      </c>
      <c r="U3210" s="204" t="s">
        <v>2276</v>
      </c>
      <c r="V3210" s="204" t="s">
        <v>2276</v>
      </c>
      <c r="W3210" s="204" t="s">
        <v>2276</v>
      </c>
      <c r="X3210" s="204" t="s">
        <v>68</v>
      </c>
      <c r="Y3210" s="204" t="s">
        <v>35</v>
      </c>
      <c r="Z3210" s="204" t="s">
        <v>2276</v>
      </c>
      <c r="AA3210" s="204"/>
      <c r="AB3210" s="204"/>
    </row>
    <row r="3211" spans="1:28" ht="41" customHeight="1">
      <c r="A3211" s="156" t="str">
        <f>'Reported burning'!A3211</f>
        <v>351g</v>
      </c>
      <c r="B3211" s="156" t="str">
        <f>'Reported burning'!B3211</f>
        <v>351g.2</v>
      </c>
      <c r="C3211" s="156" t="str">
        <f>'Reported burning'!C3211</f>
        <v>Human, deliberate</v>
      </c>
      <c r="D3211" s="156" t="str">
        <f>'Reported burning'!D3211</f>
        <v>Crop residue burning</v>
      </c>
      <c r="E3211" s="156" t="str">
        <f>'Reported burning'!E3211</f>
        <v>ND</v>
      </c>
      <c r="F3211" s="156" t="str">
        <f>'Reported burning'!F3211</f>
        <v>Cropland</v>
      </c>
      <c r="G3211" s="156" t="str">
        <f>'Reported burning'!G3211</f>
        <v>ND</v>
      </c>
      <c r="H3211" s="156" t="str">
        <f>'Reported burning'!H3211</f>
        <v>Presence</v>
      </c>
      <c r="I3211" s="5"/>
      <c r="J3211" s="204" t="s">
        <v>2276</v>
      </c>
      <c r="K3211" s="204" t="s">
        <v>2276</v>
      </c>
      <c r="L3211" s="204" t="s">
        <v>2276</v>
      </c>
      <c r="M3211" s="204" t="s">
        <v>2276</v>
      </c>
      <c r="N3211" s="204" t="s">
        <v>2276</v>
      </c>
      <c r="O3211" s="204" t="s">
        <v>2276</v>
      </c>
      <c r="P3211" s="204" t="s">
        <v>2276</v>
      </c>
      <c r="Q3211" s="204" t="s">
        <v>2276</v>
      </c>
      <c r="R3211" s="204" t="s">
        <v>2276</v>
      </c>
      <c r="S3211" s="204" t="s">
        <v>2276</v>
      </c>
      <c r="T3211" s="204" t="s">
        <v>2276</v>
      </c>
      <c r="U3211" s="204" t="s">
        <v>2276</v>
      </c>
      <c r="V3211" s="204" t="s">
        <v>2276</v>
      </c>
      <c r="W3211" s="204" t="s">
        <v>2276</v>
      </c>
      <c r="X3211" s="204" t="s">
        <v>68</v>
      </c>
      <c r="Y3211" s="204" t="s">
        <v>35</v>
      </c>
      <c r="Z3211" s="204" t="s">
        <v>2276</v>
      </c>
      <c r="AA3211" s="204"/>
      <c r="AB3211" s="204"/>
    </row>
    <row r="3212" spans="1:28" ht="41" customHeight="1">
      <c r="A3212" s="156" t="str">
        <f>'Reported burning'!A3212</f>
        <v>352a</v>
      </c>
      <c r="B3212" s="156" t="str">
        <f>'Reported burning'!B3212</f>
        <v>352a.1</v>
      </c>
      <c r="C3212" s="156" t="str">
        <f>'Reported burning'!C3212</f>
        <v>Human, deliberate</v>
      </c>
      <c r="D3212" s="156" t="str">
        <f>'Reported burning'!D3212</f>
        <v>Crop residue burning</v>
      </c>
      <c r="E3212" s="156" t="str">
        <f>'Reported burning'!E3212</f>
        <v>ND</v>
      </c>
      <c r="F3212" s="156" t="str">
        <f>'Reported burning'!F3212</f>
        <v>Cropland</v>
      </c>
      <c r="G3212" s="156" t="str">
        <f>'Reported burning'!G3212</f>
        <v>ND</v>
      </c>
      <c r="H3212" s="156" t="str">
        <f>'Reported burning'!H3212</f>
        <v>Presence</v>
      </c>
      <c r="I3212" s="5"/>
      <c r="J3212" s="204" t="s">
        <v>2276</v>
      </c>
      <c r="K3212" s="204" t="s">
        <v>2276</v>
      </c>
      <c r="L3212" s="204" t="s">
        <v>2276</v>
      </c>
      <c r="M3212" s="204" t="s">
        <v>2276</v>
      </c>
      <c r="N3212" s="204" t="s">
        <v>2276</v>
      </c>
      <c r="O3212" s="204" t="s">
        <v>2276</v>
      </c>
      <c r="P3212" s="204" t="s">
        <v>2276</v>
      </c>
      <c r="Q3212" s="204" t="s">
        <v>2276</v>
      </c>
      <c r="R3212" s="204" t="s">
        <v>2276</v>
      </c>
      <c r="S3212" s="204" t="s">
        <v>2276</v>
      </c>
      <c r="T3212" s="204" t="s">
        <v>2276</v>
      </c>
      <c r="U3212" s="204" t="s">
        <v>2276</v>
      </c>
      <c r="V3212" s="204" t="s">
        <v>2276</v>
      </c>
      <c r="W3212" s="204" t="s">
        <v>2276</v>
      </c>
      <c r="X3212" s="204" t="s">
        <v>2276</v>
      </c>
      <c r="Y3212" s="204" t="s">
        <v>2276</v>
      </c>
      <c r="Z3212" s="204" t="s">
        <v>2276</v>
      </c>
      <c r="AA3212" s="204"/>
      <c r="AB3212" s="204"/>
    </row>
    <row r="3213" spans="1:28" ht="41" customHeight="1">
      <c r="A3213" s="156" t="str">
        <f>'Reported burning'!A3213</f>
        <v>352b</v>
      </c>
      <c r="B3213" s="156" t="str">
        <f>'Reported burning'!B3213</f>
        <v>352b.1</v>
      </c>
      <c r="C3213" s="156" t="str">
        <f>'Reported burning'!C3213</f>
        <v>Human, deliberate</v>
      </c>
      <c r="D3213" s="156" t="str">
        <f>'Reported burning'!D3213</f>
        <v>Crop residue burning</v>
      </c>
      <c r="E3213" s="156" t="str">
        <f>'Reported burning'!E3213</f>
        <v>Cropping, Intensive</v>
      </c>
      <c r="F3213" s="156" t="str">
        <f>'Reported burning'!F3213</f>
        <v>Cropland</v>
      </c>
      <c r="G3213" s="156" t="str">
        <f>'Reported burning'!G3213</f>
        <v>ND</v>
      </c>
      <c r="H3213" s="156" t="str">
        <f>'Reported burning'!H3213</f>
        <v>Presence</v>
      </c>
      <c r="I3213" s="5"/>
      <c r="J3213" s="204" t="s">
        <v>2276</v>
      </c>
      <c r="K3213" s="204" t="s">
        <v>2276</v>
      </c>
      <c r="L3213" s="204" t="s">
        <v>2276</v>
      </c>
      <c r="M3213" s="204" t="s">
        <v>2276</v>
      </c>
      <c r="N3213" s="204" t="s">
        <v>2276</v>
      </c>
      <c r="O3213" s="204" t="s">
        <v>2276</v>
      </c>
      <c r="P3213" s="204" t="s">
        <v>2276</v>
      </c>
      <c r="Q3213" s="204" t="s">
        <v>2276</v>
      </c>
      <c r="R3213" s="204" t="s">
        <v>2276</v>
      </c>
      <c r="S3213" s="204" t="s">
        <v>2276</v>
      </c>
      <c r="T3213" s="204" t="s">
        <v>2276</v>
      </c>
      <c r="U3213" s="204" t="s">
        <v>2276</v>
      </c>
      <c r="V3213" s="204" t="s">
        <v>2276</v>
      </c>
      <c r="W3213" s="204" t="s">
        <v>2276</v>
      </c>
      <c r="X3213" s="204" t="s">
        <v>2276</v>
      </c>
      <c r="Y3213" s="204" t="s">
        <v>2276</v>
      </c>
      <c r="Z3213" s="204" t="s">
        <v>2276</v>
      </c>
      <c r="AA3213" s="204"/>
      <c r="AB3213" s="204"/>
    </row>
    <row r="3214" spans="1:28" ht="41" customHeight="1">
      <c r="A3214" s="156" t="str">
        <f>'Reported burning'!A3214</f>
        <v>352c</v>
      </c>
      <c r="B3214" s="156" t="str">
        <f>'Reported burning'!B3214</f>
        <v>352c.1</v>
      </c>
      <c r="C3214" s="156" t="str">
        <f>'Reported burning'!C3214</f>
        <v>Human, deliberate</v>
      </c>
      <c r="D3214" s="156" t="str">
        <f>'Reported burning'!D3214</f>
        <v>Crop residue burning</v>
      </c>
      <c r="E3214" s="156" t="str">
        <f>'Reported burning'!E3214</f>
        <v>Cropping, Intensive</v>
      </c>
      <c r="F3214" s="156" t="str">
        <f>'Reported burning'!F3214</f>
        <v>Cropland</v>
      </c>
      <c r="G3214" s="156" t="str">
        <f>'Reported burning'!G3214</f>
        <v>ND</v>
      </c>
      <c r="H3214" s="156" t="str">
        <f>'Reported burning'!H3214</f>
        <v>Presence</v>
      </c>
      <c r="I3214" s="5"/>
      <c r="J3214" s="204" t="s">
        <v>2276</v>
      </c>
      <c r="K3214" s="204" t="s">
        <v>2276</v>
      </c>
      <c r="L3214" s="204" t="s">
        <v>2276</v>
      </c>
      <c r="M3214" s="204" t="s">
        <v>2276</v>
      </c>
      <c r="N3214" s="204" t="s">
        <v>2276</v>
      </c>
      <c r="O3214" s="204" t="s">
        <v>2276</v>
      </c>
      <c r="P3214" s="204" t="s">
        <v>2276</v>
      </c>
      <c r="Q3214" s="204" t="s">
        <v>2276</v>
      </c>
      <c r="R3214" s="204" t="s">
        <v>2276</v>
      </c>
      <c r="S3214" s="204" t="s">
        <v>2276</v>
      </c>
      <c r="T3214" s="204" t="s">
        <v>2276</v>
      </c>
      <c r="U3214" s="204" t="s">
        <v>2276</v>
      </c>
      <c r="V3214" s="204" t="s">
        <v>2276</v>
      </c>
      <c r="W3214" s="204" t="s">
        <v>2276</v>
      </c>
      <c r="X3214" s="204" t="s">
        <v>2276</v>
      </c>
      <c r="Y3214" s="204" t="s">
        <v>2276</v>
      </c>
      <c r="Z3214" s="204" t="s">
        <v>2276</v>
      </c>
      <c r="AA3214" s="204"/>
      <c r="AB3214" s="204"/>
    </row>
    <row r="3215" spans="1:28" ht="46.5" customHeight="1">
      <c r="A3215" s="156" t="str">
        <f>'Reported burning'!A3215</f>
        <v>353a</v>
      </c>
      <c r="B3215" s="156" t="str">
        <f>'Reported burning'!B3215</f>
        <v>353a.1</v>
      </c>
      <c r="C3215" s="156" t="str">
        <f>'Reported burning'!C3215</f>
        <v>Human, deliberate</v>
      </c>
      <c r="D3215" s="156" t="str">
        <f>'Reported burning'!D3215</f>
        <v>Crop residue burning</v>
      </c>
      <c r="E3215" s="156" t="str">
        <f>'Reported burning'!E3215</f>
        <v>ND</v>
      </c>
      <c r="F3215" s="156" t="str">
        <f>'Reported burning'!F3215</f>
        <v>Cropland</v>
      </c>
      <c r="G3215" s="156" t="str">
        <f>'Reported burning'!G3215</f>
        <v>ND</v>
      </c>
      <c r="H3215" s="156" t="str">
        <f>'Reported burning'!H3215</f>
        <v>Presence</v>
      </c>
      <c r="I3215" s="5"/>
      <c r="J3215" s="204" t="s">
        <v>2276</v>
      </c>
      <c r="K3215" s="204" t="s">
        <v>2276</v>
      </c>
      <c r="L3215" s="204" t="s">
        <v>2276</v>
      </c>
      <c r="M3215" s="204" t="s">
        <v>2276</v>
      </c>
      <c r="N3215" s="204" t="s">
        <v>2276</v>
      </c>
      <c r="O3215" s="204" t="s">
        <v>2276</v>
      </c>
      <c r="P3215" s="204" t="s">
        <v>2276</v>
      </c>
      <c r="Q3215" s="204" t="s">
        <v>2276</v>
      </c>
      <c r="R3215" s="204" t="s">
        <v>2276</v>
      </c>
      <c r="S3215" s="204" t="s">
        <v>2276</v>
      </c>
      <c r="T3215" s="204" t="s">
        <v>2276</v>
      </c>
      <c r="U3215" s="204" t="s">
        <v>2276</v>
      </c>
      <c r="V3215" s="204" t="s">
        <v>2276</v>
      </c>
      <c r="W3215" s="204" t="s">
        <v>2276</v>
      </c>
      <c r="X3215" s="204" t="s">
        <v>2276</v>
      </c>
      <c r="Y3215" s="204" t="s">
        <v>2276</v>
      </c>
      <c r="Z3215" s="204" t="s">
        <v>2276</v>
      </c>
      <c r="AA3215" s="204"/>
      <c r="AB3215" s="204"/>
    </row>
    <row r="3216" spans="1:28" ht="53.5" customHeight="1">
      <c r="A3216" s="156" t="str">
        <f>'Reported burning'!A3216</f>
        <v>354a</v>
      </c>
      <c r="B3216" s="156" t="str">
        <f>'Reported burning'!B3216</f>
        <v>354a.1</v>
      </c>
      <c r="C3216" s="156" t="str">
        <f>'Reported burning'!C3216</f>
        <v>Human, deliberate</v>
      </c>
      <c r="D3216" s="156" t="str">
        <f>'Reported burning'!D3216</f>
        <v>Crop residue burning</v>
      </c>
      <c r="E3216" s="156" t="str">
        <f>'Reported burning'!E3216</f>
        <v>Mixed cropping-livestock small holder, Subsistence-oriented</v>
      </c>
      <c r="F3216" s="156" t="str">
        <f>'Reported burning'!F3216</f>
        <v>Cropland</v>
      </c>
      <c r="G3216" s="156" t="str">
        <f>'Reported burning'!G3216</f>
        <v>ND</v>
      </c>
      <c r="H3216" s="156" t="str">
        <f>'Reported burning'!H3216</f>
        <v>Absence</v>
      </c>
      <c r="I3216" s="5"/>
      <c r="J3216" s="21">
        <v>0</v>
      </c>
      <c r="K3216" s="21">
        <v>0</v>
      </c>
      <c r="L3216" s="21">
        <v>0</v>
      </c>
      <c r="M3216" s="21">
        <v>0</v>
      </c>
      <c r="N3216" s="21">
        <v>0</v>
      </c>
      <c r="O3216" s="21">
        <v>0</v>
      </c>
      <c r="P3216" s="21">
        <v>0</v>
      </c>
      <c r="Q3216" s="21">
        <v>0</v>
      </c>
      <c r="R3216" s="21">
        <v>0</v>
      </c>
      <c r="S3216" s="21">
        <v>0</v>
      </c>
      <c r="T3216" s="21">
        <v>0</v>
      </c>
      <c r="U3216" s="21">
        <v>0</v>
      </c>
      <c r="V3216" s="204" t="s">
        <v>2276</v>
      </c>
      <c r="W3216" s="204" t="s">
        <v>2276</v>
      </c>
      <c r="X3216" s="204" t="s">
        <v>2276</v>
      </c>
      <c r="Y3216" s="204" t="s">
        <v>2276</v>
      </c>
      <c r="Z3216" s="204" t="s">
        <v>2276</v>
      </c>
      <c r="AA3216" s="4" t="s">
        <v>8652</v>
      </c>
      <c r="AB3216" s="204"/>
    </row>
    <row r="3217" spans="1:28" ht="53.5" customHeight="1">
      <c r="A3217" s="156" t="str">
        <f>'Reported burning'!A3217</f>
        <v>354a</v>
      </c>
      <c r="B3217" s="156" t="str">
        <f>'Reported burning'!B3217</f>
        <v>354a.2</v>
      </c>
      <c r="C3217" s="156" t="str">
        <f>'Reported burning'!C3217</f>
        <v>Human, deliberate</v>
      </c>
      <c r="D3217" s="156" t="str">
        <f>'Reported burning'!D3217</f>
        <v>Crop residue burning</v>
      </c>
      <c r="E3217" s="156" t="str">
        <f>'Reported burning'!E3217</f>
        <v>Mixed cropping-livestock small holder, Subsistence-oriented</v>
      </c>
      <c r="F3217" s="156" t="str">
        <f>'Reported burning'!F3217</f>
        <v>Cropland</v>
      </c>
      <c r="G3217" s="156" t="str">
        <f>'Reported burning'!G3217</f>
        <v>ND</v>
      </c>
      <c r="H3217" s="156" t="str">
        <f>'Reported burning'!H3217</f>
        <v>Absence</v>
      </c>
      <c r="I3217" s="5"/>
      <c r="J3217" s="21">
        <v>0</v>
      </c>
      <c r="K3217" s="21">
        <v>0</v>
      </c>
      <c r="L3217" s="21">
        <v>0</v>
      </c>
      <c r="M3217" s="21">
        <v>0</v>
      </c>
      <c r="N3217" s="21">
        <v>0</v>
      </c>
      <c r="O3217" s="21">
        <v>0</v>
      </c>
      <c r="P3217" s="21">
        <v>0</v>
      </c>
      <c r="Q3217" s="21">
        <v>0</v>
      </c>
      <c r="R3217" s="21">
        <v>0</v>
      </c>
      <c r="S3217" s="21">
        <v>0</v>
      </c>
      <c r="T3217" s="21">
        <v>0</v>
      </c>
      <c r="U3217" s="21">
        <v>0</v>
      </c>
      <c r="V3217" s="204" t="s">
        <v>2276</v>
      </c>
      <c r="W3217" s="204" t="s">
        <v>2276</v>
      </c>
      <c r="X3217" s="204" t="s">
        <v>2276</v>
      </c>
      <c r="Y3217" s="204" t="s">
        <v>2276</v>
      </c>
      <c r="Z3217" s="204" t="s">
        <v>2276</v>
      </c>
      <c r="AA3217" s="4" t="s">
        <v>8652</v>
      </c>
      <c r="AB3217" s="204"/>
    </row>
    <row r="3218" spans="1:28" ht="35.5" customHeight="1">
      <c r="A3218" s="156" t="str">
        <f>'Reported burning'!A3218</f>
        <v>355a</v>
      </c>
      <c r="B3218" s="156" t="str">
        <f>'Reported burning'!B3218</f>
        <v>355a.1</v>
      </c>
      <c r="C3218" s="156" t="str">
        <f>'Reported burning'!C3218</f>
        <v>Human, deliberate</v>
      </c>
      <c r="D3218" s="156" t="str">
        <f>'Reported burning'!D3218</f>
        <v>Crop residue burning</v>
      </c>
      <c r="E3218" s="156" t="str">
        <f>'Reported burning'!E3218</f>
        <v>Cropping, Monoculture, Market-oriented</v>
      </c>
      <c r="F3218" s="156" t="str">
        <f>'Reported burning'!F3218</f>
        <v>Cropland</v>
      </c>
      <c r="G3218" s="156" t="str">
        <f>'Reported burning'!G3218</f>
        <v>ND</v>
      </c>
      <c r="H3218" s="156" t="str">
        <f>'Reported burning'!H3218</f>
        <v>Presence</v>
      </c>
      <c r="I3218" s="5"/>
      <c r="J3218" s="204" t="s">
        <v>2276</v>
      </c>
      <c r="K3218" s="204" t="s">
        <v>2276</v>
      </c>
      <c r="L3218" s="204" t="s">
        <v>2276</v>
      </c>
      <c r="M3218" s="204" t="s">
        <v>2276</v>
      </c>
      <c r="N3218" s="204" t="s">
        <v>2276</v>
      </c>
      <c r="O3218" s="204" t="s">
        <v>2276</v>
      </c>
      <c r="P3218" s="204" t="s">
        <v>2276</v>
      </c>
      <c r="Q3218" s="204" t="s">
        <v>2276</v>
      </c>
      <c r="R3218" s="204" t="s">
        <v>2276</v>
      </c>
      <c r="S3218" s="204" t="s">
        <v>2276</v>
      </c>
      <c r="T3218" s="204" t="s">
        <v>2276</v>
      </c>
      <c r="U3218" s="204" t="s">
        <v>2276</v>
      </c>
      <c r="V3218" s="204" t="s">
        <v>2276</v>
      </c>
      <c r="W3218" s="204" t="s">
        <v>2276</v>
      </c>
      <c r="X3218" s="204" t="s">
        <v>34</v>
      </c>
      <c r="Y3218" s="204" t="s">
        <v>34</v>
      </c>
      <c r="Z3218" s="204" t="s">
        <v>2276</v>
      </c>
      <c r="AA3218" s="204"/>
      <c r="AB3218" s="204"/>
    </row>
    <row r="3219" spans="1:28" ht="35.5" customHeight="1">
      <c r="A3219" s="156" t="str">
        <f>'Reported burning'!A3219</f>
        <v>355b</v>
      </c>
      <c r="B3219" s="156" t="str">
        <f>'Reported burning'!B3219</f>
        <v>355b.1</v>
      </c>
      <c r="C3219" s="156" t="str">
        <f>'Reported burning'!C3219</f>
        <v>Human, deliberate</v>
      </c>
      <c r="D3219" s="156" t="str">
        <f>'Reported burning'!D3219</f>
        <v>Crop residue burning</v>
      </c>
      <c r="E3219" s="156" t="str">
        <f>'Reported burning'!E3219</f>
        <v>Cropping, Monoculture, Market-oriented</v>
      </c>
      <c r="F3219" s="156" t="str">
        <f>'Reported burning'!F3219</f>
        <v>Cropland</v>
      </c>
      <c r="G3219" s="156" t="str">
        <f>'Reported burning'!G3219</f>
        <v>ND</v>
      </c>
      <c r="H3219" s="156" t="str">
        <f>'Reported burning'!H3219</f>
        <v>Presence</v>
      </c>
      <c r="I3219" s="5"/>
      <c r="J3219" s="204" t="s">
        <v>2276</v>
      </c>
      <c r="K3219" s="204" t="s">
        <v>2276</v>
      </c>
      <c r="L3219" s="204" t="s">
        <v>2276</v>
      </c>
      <c r="M3219" s="204" t="s">
        <v>2276</v>
      </c>
      <c r="N3219" s="204" t="s">
        <v>2276</v>
      </c>
      <c r="O3219" s="204" t="s">
        <v>2276</v>
      </c>
      <c r="P3219" s="204" t="s">
        <v>2276</v>
      </c>
      <c r="Q3219" s="204" t="s">
        <v>2276</v>
      </c>
      <c r="R3219" s="204" t="s">
        <v>2276</v>
      </c>
      <c r="S3219" s="204" t="s">
        <v>2276</v>
      </c>
      <c r="T3219" s="204" t="s">
        <v>2276</v>
      </c>
      <c r="U3219" s="204" t="s">
        <v>2276</v>
      </c>
      <c r="V3219" s="204" t="s">
        <v>2276</v>
      </c>
      <c r="W3219" s="204" t="s">
        <v>2276</v>
      </c>
      <c r="X3219" s="204" t="s">
        <v>34</v>
      </c>
      <c r="Y3219" s="204" t="s">
        <v>34</v>
      </c>
      <c r="Z3219" s="204" t="s">
        <v>2276</v>
      </c>
      <c r="AA3219" s="204"/>
      <c r="AB3219" s="204"/>
    </row>
    <row r="3220" spans="1:28" ht="35.5" customHeight="1">
      <c r="A3220" s="156" t="str">
        <f>'Reported burning'!A3220</f>
        <v>355a</v>
      </c>
      <c r="B3220" s="156" t="str">
        <f>'Reported burning'!B3220</f>
        <v>355a.2</v>
      </c>
      <c r="C3220" s="156" t="str">
        <f>'Reported burning'!C3220</f>
        <v>Human, deliberate</v>
      </c>
      <c r="D3220" s="156" t="str">
        <f>'Reported burning'!D3220</f>
        <v>Crop residue burning</v>
      </c>
      <c r="E3220" s="156" t="str">
        <f>'Reported burning'!E3220</f>
        <v>Cropping, Monoculture, Market-oriented</v>
      </c>
      <c r="F3220" s="156" t="str">
        <f>'Reported burning'!F3220</f>
        <v>Cropland</v>
      </c>
      <c r="G3220" s="156" t="str">
        <f>'Reported burning'!G3220</f>
        <v>ND</v>
      </c>
      <c r="H3220" s="156" t="str">
        <f>'Reported burning'!H3220</f>
        <v>Presence</v>
      </c>
      <c r="I3220" s="5"/>
      <c r="J3220" s="204" t="s">
        <v>2276</v>
      </c>
      <c r="K3220" s="204" t="s">
        <v>2276</v>
      </c>
      <c r="L3220" s="204" t="s">
        <v>2276</v>
      </c>
      <c r="M3220" s="204" t="s">
        <v>2276</v>
      </c>
      <c r="N3220" s="204" t="s">
        <v>2276</v>
      </c>
      <c r="O3220" s="204" t="s">
        <v>2276</v>
      </c>
      <c r="P3220" s="204" t="s">
        <v>2276</v>
      </c>
      <c r="Q3220" s="204" t="s">
        <v>2276</v>
      </c>
      <c r="R3220" s="204" t="s">
        <v>2276</v>
      </c>
      <c r="S3220" s="204" t="s">
        <v>2276</v>
      </c>
      <c r="T3220" s="204" t="s">
        <v>2276</v>
      </c>
      <c r="U3220" s="204" t="s">
        <v>2276</v>
      </c>
      <c r="V3220" s="204" t="s">
        <v>2276</v>
      </c>
      <c r="W3220" s="204" t="s">
        <v>2276</v>
      </c>
      <c r="X3220" s="204" t="s">
        <v>68</v>
      </c>
      <c r="Y3220" s="204" t="s">
        <v>68</v>
      </c>
      <c r="Z3220" s="204" t="s">
        <v>2276</v>
      </c>
      <c r="AA3220" s="204"/>
      <c r="AB3220" s="204"/>
    </row>
    <row r="3221" spans="1:28" ht="35.5" customHeight="1">
      <c r="A3221" s="156" t="str">
        <f>'Reported burning'!A3221</f>
        <v>355b</v>
      </c>
      <c r="B3221" s="156" t="str">
        <f>'Reported burning'!B3221</f>
        <v>355b.2</v>
      </c>
      <c r="C3221" s="156" t="str">
        <f>'Reported burning'!C3221</f>
        <v>Human, deliberate</v>
      </c>
      <c r="D3221" s="156" t="str">
        <f>'Reported burning'!D3221</f>
        <v>Crop residue burning</v>
      </c>
      <c r="E3221" s="156" t="str">
        <f>'Reported burning'!E3221</f>
        <v>Cropping, Monoculture, Market-oriented</v>
      </c>
      <c r="F3221" s="156" t="str">
        <f>'Reported burning'!F3221</f>
        <v>Cropland</v>
      </c>
      <c r="G3221" s="156" t="str">
        <f>'Reported burning'!G3221</f>
        <v>ND</v>
      </c>
      <c r="H3221" s="156" t="str">
        <f>'Reported burning'!H3221</f>
        <v>Presence</v>
      </c>
      <c r="I3221" s="5"/>
      <c r="J3221" s="204" t="s">
        <v>2276</v>
      </c>
      <c r="K3221" s="204" t="s">
        <v>2276</v>
      </c>
      <c r="L3221" s="204" t="s">
        <v>2276</v>
      </c>
      <c r="M3221" s="204" t="s">
        <v>2276</v>
      </c>
      <c r="N3221" s="204" t="s">
        <v>2276</v>
      </c>
      <c r="O3221" s="204" t="s">
        <v>2276</v>
      </c>
      <c r="P3221" s="204" t="s">
        <v>2276</v>
      </c>
      <c r="Q3221" s="204" t="s">
        <v>2276</v>
      </c>
      <c r="R3221" s="204" t="s">
        <v>2276</v>
      </c>
      <c r="S3221" s="204" t="s">
        <v>2276</v>
      </c>
      <c r="T3221" s="204" t="s">
        <v>2276</v>
      </c>
      <c r="U3221" s="204" t="s">
        <v>2276</v>
      </c>
      <c r="V3221" s="204" t="s">
        <v>2276</v>
      </c>
      <c r="W3221" s="204" t="s">
        <v>2276</v>
      </c>
      <c r="X3221" s="204" t="s">
        <v>68</v>
      </c>
      <c r="Y3221" s="204" t="s">
        <v>68</v>
      </c>
      <c r="Z3221" s="204" t="s">
        <v>2276</v>
      </c>
      <c r="AA3221" s="204"/>
      <c r="AB3221" s="204"/>
    </row>
    <row r="3222" spans="1:28" ht="47" customHeight="1">
      <c r="A3222" s="156" t="str">
        <f>'Reported burning'!A3222</f>
        <v>356a</v>
      </c>
      <c r="B3222" s="156" t="str">
        <f>'Reported burning'!B3222</f>
        <v>356a.1</v>
      </c>
      <c r="C3222" s="156" t="str">
        <f>'Reported burning'!C3222</f>
        <v>Human, deliberate</v>
      </c>
      <c r="D3222" s="156" t="str">
        <f>'Reported burning'!D3222</f>
        <v>Crop residue burning</v>
      </c>
      <c r="E3222" s="156" t="str">
        <f>'Reported burning'!E3222</f>
        <v>Cropping, Intensive</v>
      </c>
      <c r="F3222" s="156" t="str">
        <f>'Reported burning'!F3222</f>
        <v>Cropland</v>
      </c>
      <c r="G3222" s="156" t="str">
        <f>'Reported burning'!G3222</f>
        <v>ND</v>
      </c>
      <c r="H3222" s="156" t="str">
        <f>'Reported burning'!H3222</f>
        <v>Presence</v>
      </c>
      <c r="I3222" s="5"/>
      <c r="J3222" s="204" t="s">
        <v>2276</v>
      </c>
      <c r="K3222" s="204" t="s">
        <v>2276</v>
      </c>
      <c r="L3222" s="204" t="s">
        <v>2276</v>
      </c>
      <c r="M3222" s="204" t="s">
        <v>2276</v>
      </c>
      <c r="N3222" s="204" t="s">
        <v>2276</v>
      </c>
      <c r="O3222" s="204" t="s">
        <v>2276</v>
      </c>
      <c r="P3222" s="204" t="s">
        <v>2276</v>
      </c>
      <c r="Q3222" s="204" t="s">
        <v>2276</v>
      </c>
      <c r="R3222" s="204" t="s">
        <v>2276</v>
      </c>
      <c r="S3222" s="204" t="s">
        <v>2276</v>
      </c>
      <c r="T3222" s="204" t="s">
        <v>2276</v>
      </c>
      <c r="U3222" s="204" t="s">
        <v>2276</v>
      </c>
      <c r="V3222" s="204" t="s">
        <v>2276</v>
      </c>
      <c r="W3222" s="204" t="s">
        <v>2276</v>
      </c>
      <c r="X3222" s="204" t="s">
        <v>425</v>
      </c>
      <c r="Y3222" s="204" t="s">
        <v>35</v>
      </c>
      <c r="Z3222" s="204" t="s">
        <v>2276</v>
      </c>
      <c r="AA3222" s="204"/>
      <c r="AB3222" s="204"/>
    </row>
    <row r="3223" spans="1:28" ht="47" customHeight="1">
      <c r="A3223" s="156" t="str">
        <f>'Reported burning'!A3223</f>
        <v>357a</v>
      </c>
      <c r="B3223" s="156" t="str">
        <f>'Reported burning'!B3223</f>
        <v>357a.1</v>
      </c>
      <c r="C3223" s="156" t="str">
        <f>'Reported burning'!C3223</f>
        <v>Human, deliberate</v>
      </c>
      <c r="D3223" s="156" t="str">
        <f>'Reported burning'!D3223</f>
        <v>Crop residue burning</v>
      </c>
      <c r="E3223" s="156" t="str">
        <f>'Reported burning'!E3223</f>
        <v>ND</v>
      </c>
      <c r="F3223" s="156" t="str">
        <f>'Reported burning'!F3223</f>
        <v>Cropland</v>
      </c>
      <c r="G3223" s="156" t="str">
        <f>'Reported burning'!G3223</f>
        <v>ND</v>
      </c>
      <c r="H3223" s="156" t="str">
        <f>'Reported burning'!H3223</f>
        <v>Presence</v>
      </c>
      <c r="I3223" s="5"/>
      <c r="J3223" s="204" t="s">
        <v>2276</v>
      </c>
      <c r="K3223" s="204" t="s">
        <v>2276</v>
      </c>
      <c r="L3223" s="204" t="s">
        <v>2276</v>
      </c>
      <c r="M3223" s="204" t="s">
        <v>2276</v>
      </c>
      <c r="N3223" s="204" t="s">
        <v>2276</v>
      </c>
      <c r="O3223" s="204" t="s">
        <v>2276</v>
      </c>
      <c r="P3223" s="204" t="s">
        <v>2276</v>
      </c>
      <c r="Q3223" s="204" t="s">
        <v>2276</v>
      </c>
      <c r="R3223" s="204" t="s">
        <v>2276</v>
      </c>
      <c r="S3223" s="204" t="s">
        <v>2276</v>
      </c>
      <c r="T3223" s="204" t="s">
        <v>2276</v>
      </c>
      <c r="U3223" s="204" t="s">
        <v>2276</v>
      </c>
      <c r="V3223" s="204" t="s">
        <v>2276</v>
      </c>
      <c r="W3223" s="204" t="s">
        <v>2276</v>
      </c>
      <c r="X3223" s="204" t="s">
        <v>2276</v>
      </c>
      <c r="Y3223" s="204" t="s">
        <v>2276</v>
      </c>
      <c r="Z3223" s="204" t="s">
        <v>2276</v>
      </c>
      <c r="AA3223" s="204"/>
      <c r="AB3223" s="204"/>
    </row>
    <row r="3224" spans="1:28" ht="47" customHeight="1">
      <c r="A3224" s="156" t="str">
        <f>'Reported burning'!A3224</f>
        <v>357b</v>
      </c>
      <c r="B3224" s="156" t="str">
        <f>'Reported burning'!B3224</f>
        <v>357b.1</v>
      </c>
      <c r="C3224" s="156" t="str">
        <f>'Reported burning'!C3224</f>
        <v>Human, deliberate</v>
      </c>
      <c r="D3224" s="156" t="str">
        <f>'Reported burning'!D3224</f>
        <v>Crop residue burning</v>
      </c>
      <c r="E3224" s="156" t="str">
        <f>'Reported burning'!E3224</f>
        <v>ND</v>
      </c>
      <c r="F3224" s="156" t="str">
        <f>'Reported burning'!F3224</f>
        <v>Cropland</v>
      </c>
      <c r="G3224" s="156" t="str">
        <f>'Reported burning'!G3224</f>
        <v>ND</v>
      </c>
      <c r="H3224" s="156" t="str">
        <f>'Reported burning'!H3224</f>
        <v>Presence</v>
      </c>
      <c r="I3224" s="5"/>
      <c r="J3224" s="204" t="s">
        <v>2276</v>
      </c>
      <c r="K3224" s="204" t="s">
        <v>2276</v>
      </c>
      <c r="L3224" s="204" t="s">
        <v>2276</v>
      </c>
      <c r="M3224" s="204" t="s">
        <v>2276</v>
      </c>
      <c r="N3224" s="204" t="s">
        <v>2276</v>
      </c>
      <c r="O3224" s="204" t="s">
        <v>2276</v>
      </c>
      <c r="P3224" s="204" t="s">
        <v>2276</v>
      </c>
      <c r="Q3224" s="204" t="s">
        <v>2276</v>
      </c>
      <c r="R3224" s="204" t="s">
        <v>2276</v>
      </c>
      <c r="S3224" s="204" t="s">
        <v>2276</v>
      </c>
      <c r="T3224" s="204" t="s">
        <v>2276</v>
      </c>
      <c r="U3224" s="204" t="s">
        <v>2276</v>
      </c>
      <c r="V3224" s="204" t="s">
        <v>2276</v>
      </c>
      <c r="W3224" s="204" t="s">
        <v>2276</v>
      </c>
      <c r="X3224" s="204" t="s">
        <v>2276</v>
      </c>
      <c r="Y3224" s="204" t="s">
        <v>2276</v>
      </c>
      <c r="Z3224" s="204" t="s">
        <v>2276</v>
      </c>
      <c r="AA3224" s="204"/>
      <c r="AB3224" s="204"/>
    </row>
    <row r="3225" spans="1:28" ht="47" customHeight="1">
      <c r="A3225" s="156" t="str">
        <f>'Reported burning'!A3225</f>
        <v>357c</v>
      </c>
      <c r="B3225" s="156" t="str">
        <f>'Reported burning'!B3225</f>
        <v>357c.1</v>
      </c>
      <c r="C3225" s="156" t="str">
        <f>'Reported burning'!C3225</f>
        <v>Human, deliberate</v>
      </c>
      <c r="D3225" s="156" t="str">
        <f>'Reported burning'!D3225</f>
        <v>Crop residue burning</v>
      </c>
      <c r="E3225" s="156" t="str">
        <f>'Reported burning'!E3225</f>
        <v>ND</v>
      </c>
      <c r="F3225" s="156" t="str">
        <f>'Reported burning'!F3225</f>
        <v>Cropland</v>
      </c>
      <c r="G3225" s="156" t="str">
        <f>'Reported burning'!G3225</f>
        <v>ND</v>
      </c>
      <c r="H3225" s="156" t="str">
        <f>'Reported burning'!H3225</f>
        <v>Presence</v>
      </c>
      <c r="I3225" s="5"/>
      <c r="J3225" s="204" t="s">
        <v>2276</v>
      </c>
      <c r="K3225" s="204" t="s">
        <v>2276</v>
      </c>
      <c r="L3225" s="204" t="s">
        <v>2276</v>
      </c>
      <c r="M3225" s="204" t="s">
        <v>2276</v>
      </c>
      <c r="N3225" s="204" t="s">
        <v>2276</v>
      </c>
      <c r="O3225" s="204" t="s">
        <v>2276</v>
      </c>
      <c r="P3225" s="204" t="s">
        <v>2276</v>
      </c>
      <c r="Q3225" s="204" t="s">
        <v>2276</v>
      </c>
      <c r="R3225" s="204" t="s">
        <v>2276</v>
      </c>
      <c r="S3225" s="204" t="s">
        <v>2276</v>
      </c>
      <c r="T3225" s="204" t="s">
        <v>2276</v>
      </c>
      <c r="U3225" s="204" t="s">
        <v>2276</v>
      </c>
      <c r="V3225" s="204" t="s">
        <v>2276</v>
      </c>
      <c r="W3225" s="204" t="s">
        <v>2276</v>
      </c>
      <c r="X3225" s="204" t="s">
        <v>2276</v>
      </c>
      <c r="Y3225" s="204" t="s">
        <v>2276</v>
      </c>
      <c r="Z3225" s="204" t="s">
        <v>2276</v>
      </c>
      <c r="AA3225" s="204"/>
      <c r="AB3225" s="204"/>
    </row>
    <row r="3226" spans="1:28" ht="47" customHeight="1">
      <c r="A3226" s="156" t="str">
        <f>'Reported burning'!A3226</f>
        <v>357d</v>
      </c>
      <c r="B3226" s="156" t="str">
        <f>'Reported burning'!B3226</f>
        <v>357d.1</v>
      </c>
      <c r="C3226" s="156" t="str">
        <f>'Reported burning'!C3226</f>
        <v>Human, deliberate</v>
      </c>
      <c r="D3226" s="156" t="str">
        <f>'Reported burning'!D3226</f>
        <v>Crop residue burning</v>
      </c>
      <c r="E3226" s="156" t="str">
        <f>'Reported burning'!E3226</f>
        <v>ND</v>
      </c>
      <c r="F3226" s="156" t="str">
        <f>'Reported burning'!F3226</f>
        <v>Cropland</v>
      </c>
      <c r="G3226" s="156" t="str">
        <f>'Reported burning'!G3226</f>
        <v>ND</v>
      </c>
      <c r="H3226" s="156" t="str">
        <f>'Reported burning'!H3226</f>
        <v>Presence</v>
      </c>
      <c r="I3226" s="5"/>
      <c r="J3226" s="204" t="s">
        <v>2276</v>
      </c>
      <c r="K3226" s="204" t="s">
        <v>2276</v>
      </c>
      <c r="L3226" s="204" t="s">
        <v>2276</v>
      </c>
      <c r="M3226" s="204" t="s">
        <v>2276</v>
      </c>
      <c r="N3226" s="204" t="s">
        <v>2276</v>
      </c>
      <c r="O3226" s="204" t="s">
        <v>2276</v>
      </c>
      <c r="P3226" s="204" t="s">
        <v>2276</v>
      </c>
      <c r="Q3226" s="204" t="s">
        <v>2276</v>
      </c>
      <c r="R3226" s="204" t="s">
        <v>2276</v>
      </c>
      <c r="S3226" s="204" t="s">
        <v>2276</v>
      </c>
      <c r="T3226" s="204" t="s">
        <v>2276</v>
      </c>
      <c r="U3226" s="204" t="s">
        <v>2276</v>
      </c>
      <c r="V3226" s="204" t="s">
        <v>2276</v>
      </c>
      <c r="W3226" s="204" t="s">
        <v>2276</v>
      </c>
      <c r="X3226" s="204" t="s">
        <v>2276</v>
      </c>
      <c r="Y3226" s="204" t="s">
        <v>2276</v>
      </c>
      <c r="Z3226" s="204" t="s">
        <v>2276</v>
      </c>
      <c r="AA3226" s="204"/>
      <c r="AB3226" s="204"/>
    </row>
    <row r="3227" spans="1:28" ht="47" customHeight="1">
      <c r="A3227" s="156" t="str">
        <f>'Reported burning'!A3227</f>
        <v>357e</v>
      </c>
      <c r="B3227" s="156" t="str">
        <f>'Reported burning'!B3227</f>
        <v>357e.1</v>
      </c>
      <c r="C3227" s="156" t="str">
        <f>'Reported burning'!C3227</f>
        <v>Human, deliberate</v>
      </c>
      <c r="D3227" s="156" t="str">
        <f>'Reported burning'!D3227</f>
        <v>Crop residue burning</v>
      </c>
      <c r="E3227" s="156" t="str">
        <f>'Reported burning'!E3227</f>
        <v>ND</v>
      </c>
      <c r="F3227" s="156" t="str">
        <f>'Reported burning'!F3227</f>
        <v>Cropland</v>
      </c>
      <c r="G3227" s="156" t="str">
        <f>'Reported burning'!G3227</f>
        <v>ND</v>
      </c>
      <c r="H3227" s="156" t="str">
        <f>'Reported burning'!H3227</f>
        <v>Presence</v>
      </c>
      <c r="I3227" s="5"/>
      <c r="J3227" s="204" t="s">
        <v>2276</v>
      </c>
      <c r="K3227" s="204" t="s">
        <v>2276</v>
      </c>
      <c r="L3227" s="204" t="s">
        <v>2276</v>
      </c>
      <c r="M3227" s="204" t="s">
        <v>2276</v>
      </c>
      <c r="N3227" s="204" t="s">
        <v>2276</v>
      </c>
      <c r="O3227" s="204" t="s">
        <v>2276</v>
      </c>
      <c r="P3227" s="204" t="s">
        <v>2276</v>
      </c>
      <c r="Q3227" s="204" t="s">
        <v>2276</v>
      </c>
      <c r="R3227" s="204" t="s">
        <v>2276</v>
      </c>
      <c r="S3227" s="204" t="s">
        <v>2276</v>
      </c>
      <c r="T3227" s="204" t="s">
        <v>2276</v>
      </c>
      <c r="U3227" s="204" t="s">
        <v>2276</v>
      </c>
      <c r="V3227" s="204" t="s">
        <v>2276</v>
      </c>
      <c r="W3227" s="204" t="s">
        <v>2276</v>
      </c>
      <c r="X3227" s="204" t="s">
        <v>2276</v>
      </c>
      <c r="Y3227" s="204" t="s">
        <v>2276</v>
      </c>
      <c r="Z3227" s="204" t="s">
        <v>2276</v>
      </c>
      <c r="AA3227" s="204"/>
      <c r="AB3227" s="204"/>
    </row>
    <row r="3228" spans="1:28" ht="47" customHeight="1">
      <c r="A3228" s="156" t="str">
        <f>'Reported burning'!A3228</f>
        <v>358a</v>
      </c>
      <c r="B3228" s="156" t="str">
        <f>'Reported burning'!B3228</f>
        <v>358a.1</v>
      </c>
      <c r="C3228" s="156" t="str">
        <f>'Reported burning'!C3228</f>
        <v>Human, escaped</v>
      </c>
      <c r="D3228" s="156" t="str">
        <f>'Reported burning'!D3228</f>
        <v>All</v>
      </c>
      <c r="E3228" s="156" t="str">
        <f>'Reported burning'!E3228</f>
        <v>All</v>
      </c>
      <c r="F3228" s="156" t="str">
        <f>'Reported burning'!F3228</f>
        <v>All</v>
      </c>
      <c r="G3228" s="156" t="str">
        <f>'Reported burning'!G3228</f>
        <v>Grassland</v>
      </c>
      <c r="H3228" s="156" t="str">
        <f>'Reported burning'!H3228</f>
        <v>Presence</v>
      </c>
      <c r="I3228" s="5"/>
      <c r="J3228" s="21" t="s">
        <v>2366</v>
      </c>
      <c r="K3228" s="204" t="s">
        <v>2276</v>
      </c>
      <c r="L3228" s="204" t="s">
        <v>2276</v>
      </c>
      <c r="M3228" s="204" t="s">
        <v>2276</v>
      </c>
      <c r="N3228" s="204" t="s">
        <v>2276</v>
      </c>
      <c r="O3228" s="204" t="s">
        <v>2276</v>
      </c>
      <c r="P3228" s="21" t="s">
        <v>2382</v>
      </c>
      <c r="Q3228" s="204" t="s">
        <v>2276</v>
      </c>
      <c r="R3228" s="204" t="s">
        <v>2276</v>
      </c>
      <c r="S3228" s="204" t="s">
        <v>2276</v>
      </c>
      <c r="T3228" s="204" t="s">
        <v>2276</v>
      </c>
      <c r="U3228" s="204" t="s">
        <v>2276</v>
      </c>
      <c r="V3228" s="204" t="s">
        <v>2276</v>
      </c>
      <c r="W3228" s="204" t="s">
        <v>2276</v>
      </c>
      <c r="X3228" s="204" t="s">
        <v>189</v>
      </c>
      <c r="Y3228" s="204" t="s">
        <v>86</v>
      </c>
      <c r="Z3228" s="204" t="s">
        <v>2276</v>
      </c>
      <c r="AA3228" s="4" t="s">
        <v>8693</v>
      </c>
      <c r="AB3228" s="204"/>
    </row>
    <row r="3229" spans="1:28" ht="47" customHeight="1">
      <c r="A3229" s="156" t="str">
        <f>'Reported burning'!A3229</f>
        <v>358a</v>
      </c>
      <c r="B3229" s="156" t="str">
        <f>'Reported burning'!B3229</f>
        <v>358a.2</v>
      </c>
      <c r="C3229" s="156" t="str">
        <f>'Reported burning'!C3229</f>
        <v>Human, escaped</v>
      </c>
      <c r="D3229" s="156" t="str">
        <f>'Reported burning'!D3229</f>
        <v>All</v>
      </c>
      <c r="E3229" s="156" t="str">
        <f>'Reported burning'!E3229</f>
        <v>All</v>
      </c>
      <c r="F3229" s="156" t="str">
        <f>'Reported burning'!F3229</f>
        <v>All</v>
      </c>
      <c r="G3229" s="156" t="str">
        <f>'Reported burning'!G3229</f>
        <v>Grassland</v>
      </c>
      <c r="H3229" s="156" t="str">
        <f>'Reported burning'!H3229</f>
        <v>Presence</v>
      </c>
      <c r="I3229" s="5"/>
      <c r="J3229" s="21" t="s">
        <v>2366</v>
      </c>
      <c r="K3229" s="204" t="s">
        <v>2276</v>
      </c>
      <c r="L3229" s="204" t="s">
        <v>2276</v>
      </c>
      <c r="M3229" s="204" t="s">
        <v>2276</v>
      </c>
      <c r="N3229" s="204" t="s">
        <v>2276</v>
      </c>
      <c r="O3229" s="204" t="s">
        <v>2276</v>
      </c>
      <c r="P3229" s="21" t="s">
        <v>2382</v>
      </c>
      <c r="Q3229" s="204" t="s">
        <v>2276</v>
      </c>
      <c r="R3229" s="204" t="s">
        <v>2276</v>
      </c>
      <c r="S3229" s="204" t="s">
        <v>2276</v>
      </c>
      <c r="T3229" s="204" t="s">
        <v>2276</v>
      </c>
      <c r="U3229" s="204" t="s">
        <v>2276</v>
      </c>
      <c r="V3229" s="204" t="s">
        <v>2276</v>
      </c>
      <c r="W3229" s="204" t="s">
        <v>2276</v>
      </c>
      <c r="X3229" s="204" t="s">
        <v>405</v>
      </c>
      <c r="Y3229" s="204" t="s">
        <v>68</v>
      </c>
      <c r="Z3229" s="204" t="s">
        <v>2276</v>
      </c>
      <c r="AA3229" s="4" t="s">
        <v>8693</v>
      </c>
      <c r="AB3229" s="204"/>
    </row>
    <row r="3230" spans="1:28" ht="33.5" customHeight="1">
      <c r="A3230" s="156" t="str">
        <f>'Reported burning'!A3230</f>
        <v>358a</v>
      </c>
      <c r="B3230" s="156" t="str">
        <f>'Reported burning'!B3230</f>
        <v>358a.3</v>
      </c>
      <c r="C3230" s="156" t="str">
        <f>'Reported burning'!C3230</f>
        <v>Human, escaped</v>
      </c>
      <c r="D3230" s="156" t="str">
        <f>'Reported burning'!D3230</f>
        <v>Crop residue burning</v>
      </c>
      <c r="E3230" s="156" t="str">
        <f>'Reported burning'!E3230</f>
        <v>ND</v>
      </c>
      <c r="F3230" s="156" t="str">
        <f>'Reported burning'!F3230</f>
        <v>Cropland</v>
      </c>
      <c r="G3230" s="156" t="str">
        <f>'Reported burning'!G3230</f>
        <v>Grassland</v>
      </c>
      <c r="H3230" s="156" t="str">
        <f>'Reported burning'!H3230</f>
        <v>Presence</v>
      </c>
      <c r="I3230" s="5"/>
      <c r="J3230" s="204" t="s">
        <v>2276</v>
      </c>
      <c r="K3230" s="204" t="s">
        <v>2276</v>
      </c>
      <c r="L3230" s="204" t="s">
        <v>2276</v>
      </c>
      <c r="M3230" s="204" t="s">
        <v>2276</v>
      </c>
      <c r="N3230" s="204" t="s">
        <v>2276</v>
      </c>
      <c r="O3230" s="204" t="s">
        <v>2276</v>
      </c>
      <c r="P3230" s="204" t="s">
        <v>2276</v>
      </c>
      <c r="Q3230" s="204" t="s">
        <v>2276</v>
      </c>
      <c r="R3230" s="204" t="s">
        <v>2276</v>
      </c>
      <c r="S3230" s="204" t="s">
        <v>2276</v>
      </c>
      <c r="T3230" s="204" t="s">
        <v>2276</v>
      </c>
      <c r="U3230" s="204" t="s">
        <v>2276</v>
      </c>
      <c r="V3230" s="204" t="s">
        <v>2276</v>
      </c>
      <c r="W3230" s="204" t="s">
        <v>2276</v>
      </c>
      <c r="X3230" s="204" t="s">
        <v>189</v>
      </c>
      <c r="Y3230" s="204" t="s">
        <v>86</v>
      </c>
      <c r="Z3230" s="204" t="s">
        <v>2276</v>
      </c>
      <c r="AA3230" s="4" t="s">
        <v>8693</v>
      </c>
      <c r="AB3230" s="204"/>
    </row>
    <row r="3231" spans="1:28" ht="33.5" customHeight="1">
      <c r="A3231" s="156" t="str">
        <f>'Reported burning'!A3231</f>
        <v>358a</v>
      </c>
      <c r="B3231" s="156" t="str">
        <f>'Reported burning'!B3231</f>
        <v>358a.4</v>
      </c>
      <c r="C3231" s="156" t="str">
        <f>'Reported burning'!C3231</f>
        <v>Human, escaped</v>
      </c>
      <c r="D3231" s="156" t="str">
        <f>'Reported burning'!D3231</f>
        <v>Crop residue burning</v>
      </c>
      <c r="E3231" s="156" t="str">
        <f>'Reported burning'!E3231</f>
        <v>ND</v>
      </c>
      <c r="F3231" s="156" t="str">
        <f>'Reported burning'!F3231</f>
        <v>Cropland</v>
      </c>
      <c r="G3231" s="156" t="str">
        <f>'Reported burning'!G3231</f>
        <v>Grassland</v>
      </c>
      <c r="H3231" s="156" t="str">
        <f>'Reported burning'!H3231</f>
        <v>Presence</v>
      </c>
      <c r="I3231" s="5"/>
      <c r="J3231" s="204" t="s">
        <v>2276</v>
      </c>
      <c r="K3231" s="204" t="s">
        <v>2276</v>
      </c>
      <c r="L3231" s="204" t="s">
        <v>2276</v>
      </c>
      <c r="M3231" s="204" t="s">
        <v>2276</v>
      </c>
      <c r="N3231" s="204" t="s">
        <v>2276</v>
      </c>
      <c r="O3231" s="204" t="s">
        <v>2276</v>
      </c>
      <c r="P3231" s="204" t="s">
        <v>2276</v>
      </c>
      <c r="Q3231" s="204" t="s">
        <v>2276</v>
      </c>
      <c r="R3231" s="204" t="s">
        <v>2276</v>
      </c>
      <c r="S3231" s="204" t="s">
        <v>2276</v>
      </c>
      <c r="T3231" s="204" t="s">
        <v>2276</v>
      </c>
      <c r="U3231" s="204" t="s">
        <v>2276</v>
      </c>
      <c r="V3231" s="204" t="s">
        <v>2276</v>
      </c>
      <c r="W3231" s="204" t="s">
        <v>2276</v>
      </c>
      <c r="X3231" s="204" t="s">
        <v>405</v>
      </c>
      <c r="Y3231" s="204" t="s">
        <v>68</v>
      </c>
      <c r="Z3231" s="204" t="s">
        <v>2276</v>
      </c>
      <c r="AA3231" s="4" t="s">
        <v>8693</v>
      </c>
      <c r="AB3231" s="204"/>
    </row>
    <row r="3232" spans="1:28" ht="33.5" customHeight="1">
      <c r="A3232" s="156" t="str">
        <f>'Reported burning'!A3232</f>
        <v>358a</v>
      </c>
      <c r="B3232" s="156" t="str">
        <f>'Reported burning'!B3232</f>
        <v>358a.5</v>
      </c>
      <c r="C3232" s="156" t="str">
        <f>'Reported burning'!C3232</f>
        <v>Human, escaped</v>
      </c>
      <c r="D3232" s="156" t="str">
        <f>'Reported burning'!D3232</f>
        <v>Pasture renewal</v>
      </c>
      <c r="E3232" s="156" t="str">
        <f>'Reported burning'!E3232</f>
        <v>Cattle, Extensive</v>
      </c>
      <c r="F3232" s="156" t="str">
        <f>'Reported burning'!F3232</f>
        <v>Grassland</v>
      </c>
      <c r="G3232" s="156" t="str">
        <f>'Reported burning'!G3232</f>
        <v>Grassland</v>
      </c>
      <c r="H3232" s="156" t="str">
        <f>'Reported burning'!H3232</f>
        <v>Presence</v>
      </c>
      <c r="I3232" s="5"/>
      <c r="J3232" s="204" t="s">
        <v>2276</v>
      </c>
      <c r="K3232" s="204" t="s">
        <v>2276</v>
      </c>
      <c r="L3232" s="204" t="s">
        <v>2276</v>
      </c>
      <c r="M3232" s="204" t="s">
        <v>2276</v>
      </c>
      <c r="N3232" s="204" t="s">
        <v>2276</v>
      </c>
      <c r="O3232" s="204" t="s">
        <v>2276</v>
      </c>
      <c r="P3232" s="204" t="s">
        <v>2276</v>
      </c>
      <c r="Q3232" s="204" t="s">
        <v>2276</v>
      </c>
      <c r="R3232" s="204" t="s">
        <v>2276</v>
      </c>
      <c r="S3232" s="204" t="s">
        <v>2276</v>
      </c>
      <c r="T3232" s="204" t="s">
        <v>2276</v>
      </c>
      <c r="U3232" s="204" t="s">
        <v>2276</v>
      </c>
      <c r="V3232" s="204" t="s">
        <v>2276</v>
      </c>
      <c r="W3232" s="204" t="s">
        <v>2276</v>
      </c>
      <c r="X3232" s="204" t="s">
        <v>189</v>
      </c>
      <c r="Y3232" s="204" t="s">
        <v>86</v>
      </c>
      <c r="Z3232" s="204" t="s">
        <v>2276</v>
      </c>
      <c r="AA3232" s="4" t="s">
        <v>8693</v>
      </c>
      <c r="AB3232" s="204"/>
    </row>
    <row r="3233" spans="1:28" ht="33.5" customHeight="1">
      <c r="A3233" s="156" t="str">
        <f>'Reported burning'!A3233</f>
        <v>358a</v>
      </c>
      <c r="B3233" s="156" t="str">
        <f>'Reported burning'!B3233</f>
        <v>358a.6</v>
      </c>
      <c r="C3233" s="156" t="str">
        <f>'Reported burning'!C3233</f>
        <v>Human, escaped</v>
      </c>
      <c r="D3233" s="156" t="str">
        <f>'Reported burning'!D3233</f>
        <v>Pasture renewal</v>
      </c>
      <c r="E3233" s="156" t="str">
        <f>'Reported burning'!E3233</f>
        <v>Cattle, Extensive</v>
      </c>
      <c r="F3233" s="156" t="str">
        <f>'Reported burning'!F3233</f>
        <v>Grassland</v>
      </c>
      <c r="G3233" s="156" t="str">
        <f>'Reported burning'!G3233</f>
        <v>Grassland</v>
      </c>
      <c r="H3233" s="156" t="str">
        <f>'Reported burning'!H3233</f>
        <v>Presence</v>
      </c>
      <c r="I3233" s="5"/>
      <c r="J3233" s="204" t="s">
        <v>2276</v>
      </c>
      <c r="K3233" s="204" t="s">
        <v>2276</v>
      </c>
      <c r="L3233" s="204" t="s">
        <v>2276</v>
      </c>
      <c r="M3233" s="204" t="s">
        <v>2276</v>
      </c>
      <c r="N3233" s="204" t="s">
        <v>2276</v>
      </c>
      <c r="O3233" s="204" t="s">
        <v>2276</v>
      </c>
      <c r="P3233" s="204" t="s">
        <v>2276</v>
      </c>
      <c r="Q3233" s="204" t="s">
        <v>2276</v>
      </c>
      <c r="R3233" s="204" t="s">
        <v>2276</v>
      </c>
      <c r="S3233" s="204" t="s">
        <v>2276</v>
      </c>
      <c r="T3233" s="204" t="s">
        <v>2276</v>
      </c>
      <c r="U3233" s="204" t="s">
        <v>2276</v>
      </c>
      <c r="V3233" s="204" t="s">
        <v>2276</v>
      </c>
      <c r="W3233" s="204" t="s">
        <v>2276</v>
      </c>
      <c r="X3233" s="204" t="s">
        <v>405</v>
      </c>
      <c r="Y3233" s="204" t="s">
        <v>68</v>
      </c>
      <c r="Z3233" s="204" t="s">
        <v>2276</v>
      </c>
      <c r="AA3233" s="4" t="s">
        <v>8693</v>
      </c>
      <c r="AB3233" s="204"/>
    </row>
    <row r="3234" spans="1:28" ht="37.5" customHeight="1">
      <c r="A3234" s="156" t="str">
        <f>'Reported burning'!A3234</f>
        <v>358a</v>
      </c>
      <c r="B3234" s="156" t="str">
        <f>'Reported burning'!B3234</f>
        <v>358a.7</v>
      </c>
      <c r="C3234" s="156" t="str">
        <f>'Reported burning'!C3234</f>
        <v>Human, accidental</v>
      </c>
      <c r="D3234" s="156" t="str">
        <f>'Reported burning'!D3234</f>
        <v>Accidental</v>
      </c>
      <c r="E3234" s="156" t="str">
        <f>'Reported burning'!E3234</f>
        <v>Urban planner</v>
      </c>
      <c r="F3234" s="156" t="str">
        <f>'Reported burning'!F3234</f>
        <v>ND</v>
      </c>
      <c r="G3234" s="156" t="str">
        <f>'Reported burning'!G3234</f>
        <v>Grassland</v>
      </c>
      <c r="H3234" s="156" t="str">
        <f>'Reported burning'!H3234</f>
        <v>Presence</v>
      </c>
      <c r="I3234" s="5"/>
      <c r="J3234" s="204" t="s">
        <v>2276</v>
      </c>
      <c r="K3234" s="204" t="s">
        <v>2276</v>
      </c>
      <c r="L3234" s="204" t="s">
        <v>2276</v>
      </c>
      <c r="M3234" s="204" t="s">
        <v>2276</v>
      </c>
      <c r="N3234" s="204" t="s">
        <v>2276</v>
      </c>
      <c r="O3234" s="204" t="s">
        <v>2276</v>
      </c>
      <c r="P3234" s="204" t="s">
        <v>2276</v>
      </c>
      <c r="Q3234" s="204" t="s">
        <v>2276</v>
      </c>
      <c r="R3234" s="204" t="s">
        <v>2276</v>
      </c>
      <c r="S3234" s="204" t="s">
        <v>2276</v>
      </c>
      <c r="T3234" s="204" t="s">
        <v>2276</v>
      </c>
      <c r="U3234" s="204" t="s">
        <v>2276</v>
      </c>
      <c r="V3234" s="204" t="s">
        <v>2276</v>
      </c>
      <c r="W3234" s="204" t="s">
        <v>2276</v>
      </c>
      <c r="X3234" s="204" t="s">
        <v>2276</v>
      </c>
      <c r="Y3234" s="204" t="s">
        <v>2276</v>
      </c>
      <c r="Z3234" s="204" t="s">
        <v>2276</v>
      </c>
      <c r="AA3234" s="204"/>
      <c r="AB3234" s="204"/>
    </row>
    <row r="3235" spans="1:28" ht="60" customHeight="1">
      <c r="A3235" s="156" t="str">
        <f>'Reported burning'!A3235</f>
        <v>359a</v>
      </c>
      <c r="B3235" s="156" t="str">
        <f>'Reported burning'!B3235</f>
        <v>359a.1</v>
      </c>
      <c r="C3235" s="156" t="str">
        <f>'Reported burning'!C3235</f>
        <v>Human, escaped</v>
      </c>
      <c r="D3235" s="156" t="str">
        <f>'Reported burning'!D3235</f>
        <v>ND</v>
      </c>
      <c r="E3235" s="156" t="str">
        <f>'Reported burning'!E3235</f>
        <v>ND</v>
      </c>
      <c r="F3235" s="156" t="str">
        <f>'Reported burning'!F3235</f>
        <v>ND</v>
      </c>
      <c r="G3235" s="156" t="str">
        <f>'Reported burning'!G3235</f>
        <v>Grassland</v>
      </c>
      <c r="H3235" s="156" t="str">
        <f>'Reported burning'!H3235</f>
        <v>Presence</v>
      </c>
      <c r="I3235" s="5"/>
      <c r="J3235" s="204" t="s">
        <v>2276</v>
      </c>
      <c r="K3235" s="204" t="s">
        <v>2276</v>
      </c>
      <c r="L3235" s="204" t="s">
        <v>2276</v>
      </c>
      <c r="M3235" s="204" t="s">
        <v>2276</v>
      </c>
      <c r="N3235" s="204" t="s">
        <v>2276</v>
      </c>
      <c r="O3235" s="204" t="s">
        <v>2276</v>
      </c>
      <c r="P3235" s="204" t="s">
        <v>2276</v>
      </c>
      <c r="Q3235" s="204" t="s">
        <v>2276</v>
      </c>
      <c r="R3235" s="204" t="s">
        <v>2276</v>
      </c>
      <c r="S3235" s="204" t="s">
        <v>2276</v>
      </c>
      <c r="T3235" s="204" t="s">
        <v>2276</v>
      </c>
      <c r="U3235" s="204" t="s">
        <v>2276</v>
      </c>
      <c r="V3235" s="204" t="s">
        <v>2276</v>
      </c>
      <c r="W3235" s="204" t="s">
        <v>2276</v>
      </c>
      <c r="X3235" s="204" t="s">
        <v>2276</v>
      </c>
      <c r="Y3235" s="204" t="s">
        <v>2276</v>
      </c>
      <c r="Z3235" s="204" t="s">
        <v>2276</v>
      </c>
      <c r="AA3235" s="4" t="s">
        <v>8704</v>
      </c>
      <c r="AB3235" s="204"/>
    </row>
    <row r="3236" spans="1:28" ht="60" customHeight="1">
      <c r="A3236" s="156" t="str">
        <f>'Reported burning'!A3236</f>
        <v>359a</v>
      </c>
      <c r="B3236" s="156" t="str">
        <f>'Reported burning'!B3236</f>
        <v>359a.2</v>
      </c>
      <c r="C3236" s="156" t="str">
        <f>'Reported burning'!C3236</f>
        <v>Lightning</v>
      </c>
      <c r="D3236" s="156" t="str">
        <f>'Reported burning'!D3236</f>
        <v>ND</v>
      </c>
      <c r="E3236" s="156" t="str">
        <f>'Reported burning'!E3236</f>
        <v>ND</v>
      </c>
      <c r="F3236" s="156" t="str">
        <f>'Reported burning'!F3236</f>
        <v>ND</v>
      </c>
      <c r="G3236" s="156" t="str">
        <f>'Reported burning'!G3236</f>
        <v>Grassland</v>
      </c>
      <c r="H3236" s="156" t="str">
        <f>'Reported burning'!H3236</f>
        <v>Presence</v>
      </c>
      <c r="I3236" s="5"/>
      <c r="J3236" s="204" t="s">
        <v>2276</v>
      </c>
      <c r="K3236" s="204" t="s">
        <v>2276</v>
      </c>
      <c r="L3236" s="204" t="s">
        <v>2276</v>
      </c>
      <c r="M3236" s="204" t="s">
        <v>2276</v>
      </c>
      <c r="N3236" s="204" t="s">
        <v>2276</v>
      </c>
      <c r="O3236" s="204" t="s">
        <v>2276</v>
      </c>
      <c r="P3236" s="204" t="s">
        <v>2276</v>
      </c>
      <c r="Q3236" s="204" t="s">
        <v>2276</v>
      </c>
      <c r="R3236" s="204" t="s">
        <v>2276</v>
      </c>
      <c r="S3236" s="204" t="s">
        <v>2276</v>
      </c>
      <c r="T3236" s="204" t="s">
        <v>2276</v>
      </c>
      <c r="U3236" s="204" t="s">
        <v>2276</v>
      </c>
      <c r="V3236" s="204" t="s">
        <v>2276</v>
      </c>
      <c r="W3236" s="204" t="s">
        <v>2276</v>
      </c>
      <c r="X3236" s="204" t="s">
        <v>2276</v>
      </c>
      <c r="Y3236" s="204" t="s">
        <v>2276</v>
      </c>
      <c r="Z3236" s="204" t="s">
        <v>2276</v>
      </c>
      <c r="AA3236" s="4" t="s">
        <v>8704</v>
      </c>
      <c r="AB3236" s="204"/>
    </row>
    <row r="3237" spans="1:28" ht="60" customHeight="1">
      <c r="A3237" s="156" t="str">
        <f>'Reported burning'!A3237</f>
        <v>359a</v>
      </c>
      <c r="B3237" s="156" t="str">
        <f>'Reported burning'!B3237</f>
        <v>359a.3</v>
      </c>
      <c r="C3237" s="156" t="str">
        <f>'Reported burning'!C3237</f>
        <v>Human, accidental</v>
      </c>
      <c r="D3237" s="156" t="str">
        <f>'Reported burning'!D3237</f>
        <v>ND</v>
      </c>
      <c r="E3237" s="156" t="str">
        <f>'Reported burning'!E3237</f>
        <v>Urban planner</v>
      </c>
      <c r="F3237" s="156" t="str">
        <f>'Reported burning'!F3237</f>
        <v>ND</v>
      </c>
      <c r="G3237" s="156" t="str">
        <f>'Reported burning'!G3237</f>
        <v>Grassland</v>
      </c>
      <c r="H3237" s="156" t="str">
        <f>'Reported burning'!H3237</f>
        <v>Presence</v>
      </c>
      <c r="I3237" s="5"/>
      <c r="J3237" s="204" t="s">
        <v>2276</v>
      </c>
      <c r="K3237" s="204" t="s">
        <v>2276</v>
      </c>
      <c r="L3237" s="204" t="s">
        <v>2276</v>
      </c>
      <c r="M3237" s="204" t="s">
        <v>2276</v>
      </c>
      <c r="N3237" s="204" t="s">
        <v>2276</v>
      </c>
      <c r="O3237" s="204" t="s">
        <v>2276</v>
      </c>
      <c r="P3237" s="204" t="s">
        <v>2276</v>
      </c>
      <c r="Q3237" s="204" t="s">
        <v>2276</v>
      </c>
      <c r="R3237" s="204" t="s">
        <v>2276</v>
      </c>
      <c r="S3237" s="204" t="s">
        <v>2276</v>
      </c>
      <c r="T3237" s="204" t="s">
        <v>2276</v>
      </c>
      <c r="U3237" s="204" t="s">
        <v>2276</v>
      </c>
      <c r="V3237" s="204" t="s">
        <v>2276</v>
      </c>
      <c r="W3237" s="204" t="s">
        <v>2276</v>
      </c>
      <c r="X3237" s="204" t="s">
        <v>2276</v>
      </c>
      <c r="Y3237" s="204" t="s">
        <v>2276</v>
      </c>
      <c r="Z3237" s="204" t="s">
        <v>2276</v>
      </c>
      <c r="AA3237" s="4" t="s">
        <v>8704</v>
      </c>
      <c r="AB3237" s="204"/>
    </row>
    <row r="3238" spans="1:28" ht="60" customHeight="1">
      <c r="A3238" s="156" t="str">
        <f>'Reported burning'!A3238</f>
        <v>359a</v>
      </c>
      <c r="B3238" s="156" t="str">
        <f>'Reported burning'!B3238</f>
        <v>359a.4</v>
      </c>
      <c r="C3238" s="156" t="str">
        <f>'Reported burning'!C3238</f>
        <v>Human, escaped</v>
      </c>
      <c r="D3238" s="156" t="str">
        <f>'Reported burning'!D3238</f>
        <v>Crop residue burning</v>
      </c>
      <c r="E3238" s="156" t="str">
        <f>'Reported burning'!E3238</f>
        <v>ND</v>
      </c>
      <c r="F3238" s="156" t="str">
        <f>'Reported burning'!F3238</f>
        <v>Cropland</v>
      </c>
      <c r="G3238" s="156" t="str">
        <f>'Reported burning'!G3238</f>
        <v>Grassland</v>
      </c>
      <c r="H3238" s="156" t="str">
        <f>'Reported burning'!H3238</f>
        <v>Presence</v>
      </c>
      <c r="I3238" s="5"/>
      <c r="J3238" s="204" t="s">
        <v>2276</v>
      </c>
      <c r="K3238" s="204" t="s">
        <v>2276</v>
      </c>
      <c r="L3238" s="204" t="s">
        <v>2276</v>
      </c>
      <c r="M3238" s="204" t="s">
        <v>2276</v>
      </c>
      <c r="N3238" s="204" t="s">
        <v>2276</v>
      </c>
      <c r="O3238" s="204" t="s">
        <v>2276</v>
      </c>
      <c r="P3238" s="204" t="s">
        <v>2276</v>
      </c>
      <c r="Q3238" s="204" t="s">
        <v>2276</v>
      </c>
      <c r="R3238" s="204" t="s">
        <v>2276</v>
      </c>
      <c r="S3238" s="204" t="s">
        <v>2276</v>
      </c>
      <c r="T3238" s="204" t="s">
        <v>2276</v>
      </c>
      <c r="U3238" s="204" t="s">
        <v>2276</v>
      </c>
      <c r="V3238" s="204" t="s">
        <v>2276</v>
      </c>
      <c r="W3238" s="204" t="s">
        <v>2276</v>
      </c>
      <c r="X3238" s="204" t="s">
        <v>38</v>
      </c>
      <c r="Y3238" s="204" t="s">
        <v>86</v>
      </c>
      <c r="Z3238" s="204" t="s">
        <v>64</v>
      </c>
      <c r="AA3238" s="4" t="s">
        <v>8704</v>
      </c>
      <c r="AB3238" s="204"/>
    </row>
    <row r="3239" spans="1:28" ht="60" customHeight="1">
      <c r="A3239" s="156" t="str">
        <f>'Reported burning'!A3239</f>
        <v>359a</v>
      </c>
      <c r="B3239" s="156" t="str">
        <f>'Reported burning'!B3239</f>
        <v>359a.5</v>
      </c>
      <c r="C3239" s="156" t="str">
        <f>'Reported burning'!C3239</f>
        <v>Human, escaped</v>
      </c>
      <c r="D3239" s="156" t="str">
        <f>'Reported burning'!D3239</f>
        <v>Pasture renewal</v>
      </c>
      <c r="E3239" s="156" t="str">
        <f>'Reported burning'!E3239</f>
        <v>Cattle, Extensive</v>
      </c>
      <c r="F3239" s="156" t="str">
        <f>'Reported burning'!F3239</f>
        <v>Pasture</v>
      </c>
      <c r="G3239" s="156" t="str">
        <f>'Reported burning'!G3239</f>
        <v>Grassland</v>
      </c>
      <c r="H3239" s="156" t="str">
        <f>'Reported burning'!H3239</f>
        <v>Presence</v>
      </c>
      <c r="I3239" s="5"/>
      <c r="J3239" s="204" t="s">
        <v>2276</v>
      </c>
      <c r="K3239" s="204" t="s">
        <v>2276</v>
      </c>
      <c r="L3239" s="204" t="s">
        <v>2276</v>
      </c>
      <c r="M3239" s="204" t="s">
        <v>2276</v>
      </c>
      <c r="N3239" s="204" t="s">
        <v>2276</v>
      </c>
      <c r="O3239" s="204" t="s">
        <v>2276</v>
      </c>
      <c r="P3239" s="204" t="s">
        <v>2276</v>
      </c>
      <c r="Q3239" s="204" t="s">
        <v>2276</v>
      </c>
      <c r="R3239" s="204" t="s">
        <v>2276</v>
      </c>
      <c r="S3239" s="204" t="s">
        <v>2276</v>
      </c>
      <c r="T3239" s="204" t="s">
        <v>2276</v>
      </c>
      <c r="U3239" s="204" t="s">
        <v>2276</v>
      </c>
      <c r="V3239" s="204" t="s">
        <v>2276</v>
      </c>
      <c r="W3239" s="204" t="s">
        <v>2276</v>
      </c>
      <c r="X3239" s="204" t="s">
        <v>38</v>
      </c>
      <c r="Y3239" s="204" t="s">
        <v>86</v>
      </c>
      <c r="Z3239" s="204" t="s">
        <v>64</v>
      </c>
      <c r="AA3239" s="4" t="s">
        <v>8704</v>
      </c>
      <c r="AB3239" s="204"/>
    </row>
    <row r="3240" spans="1:28" ht="60" customHeight="1">
      <c r="A3240" s="156" t="str">
        <f>'Reported burning'!A3240</f>
        <v>359a</v>
      </c>
      <c r="B3240" s="156" t="str">
        <f>'Reported burning'!B3240</f>
        <v>359a.6</v>
      </c>
      <c r="C3240" s="156" t="str">
        <f>'Reported burning'!C3240</f>
        <v>Human, deliberate</v>
      </c>
      <c r="D3240" s="156" t="str">
        <f>'Reported burning'!D3240</f>
        <v>Arson</v>
      </c>
      <c r="E3240" s="156" t="str">
        <f>'Reported burning'!E3240</f>
        <v>ND</v>
      </c>
      <c r="F3240" s="156" t="str">
        <f>'Reported burning'!F3240</f>
        <v>ND</v>
      </c>
      <c r="G3240" s="156" t="str">
        <f>'Reported burning'!G3240</f>
        <v>Grassland</v>
      </c>
      <c r="H3240" s="156" t="str">
        <f>'Reported burning'!H3240</f>
        <v>Presence</v>
      </c>
      <c r="I3240" s="5"/>
      <c r="J3240" s="204" t="s">
        <v>2276</v>
      </c>
      <c r="K3240" s="204" t="s">
        <v>2276</v>
      </c>
      <c r="L3240" s="204" t="s">
        <v>2276</v>
      </c>
      <c r="M3240" s="204" t="s">
        <v>2276</v>
      </c>
      <c r="N3240" s="204" t="s">
        <v>2276</v>
      </c>
      <c r="O3240" s="204" t="s">
        <v>2276</v>
      </c>
      <c r="P3240" s="204" t="s">
        <v>2276</v>
      </c>
      <c r="Q3240" s="204" t="s">
        <v>2276</v>
      </c>
      <c r="R3240" s="204" t="s">
        <v>2276</v>
      </c>
      <c r="S3240" s="204" t="s">
        <v>2276</v>
      </c>
      <c r="T3240" s="204" t="s">
        <v>2276</v>
      </c>
      <c r="U3240" s="204" t="s">
        <v>2276</v>
      </c>
      <c r="V3240" s="204" t="s">
        <v>2276</v>
      </c>
      <c r="W3240" s="204" t="s">
        <v>2276</v>
      </c>
      <c r="X3240" s="204" t="s">
        <v>2276</v>
      </c>
      <c r="Y3240" s="204" t="s">
        <v>2276</v>
      </c>
      <c r="Z3240" s="204" t="s">
        <v>2276</v>
      </c>
      <c r="AA3240" s="4" t="s">
        <v>8704</v>
      </c>
      <c r="AB3240" s="204"/>
    </row>
    <row r="3241" spans="1:28" ht="60" customHeight="1">
      <c r="A3241" s="156" t="str">
        <f>'Reported burning'!A3241</f>
        <v>359a</v>
      </c>
      <c r="B3241" s="156" t="str">
        <f>'Reported burning'!B3241</f>
        <v>359a.7</v>
      </c>
      <c r="C3241" s="156" t="str">
        <f>'Reported burning'!C3241</f>
        <v>Human, escaped</v>
      </c>
      <c r="D3241" s="156" t="str">
        <f>'Reported burning'!D3241</f>
        <v>Domestic</v>
      </c>
      <c r="E3241" s="156" t="str">
        <f>'Reported burning'!E3241</f>
        <v>ND</v>
      </c>
      <c r="F3241" s="156" t="str">
        <f>'Reported burning'!F3241</f>
        <v>ND</v>
      </c>
      <c r="G3241" s="156" t="str">
        <f>'Reported burning'!G3241</f>
        <v>Grassland</v>
      </c>
      <c r="H3241" s="156" t="str">
        <f>'Reported burning'!H3241</f>
        <v>Presence</v>
      </c>
      <c r="I3241" s="5"/>
      <c r="J3241" s="204" t="s">
        <v>2276</v>
      </c>
      <c r="K3241" s="204" t="s">
        <v>2276</v>
      </c>
      <c r="L3241" s="204" t="s">
        <v>2276</v>
      </c>
      <c r="M3241" s="204" t="s">
        <v>2276</v>
      </c>
      <c r="N3241" s="204" t="s">
        <v>2276</v>
      </c>
      <c r="O3241" s="204" t="s">
        <v>2276</v>
      </c>
      <c r="P3241" s="204" t="s">
        <v>2276</v>
      </c>
      <c r="Q3241" s="204" t="s">
        <v>2276</v>
      </c>
      <c r="R3241" s="204" t="s">
        <v>2276</v>
      </c>
      <c r="S3241" s="204" t="s">
        <v>2276</v>
      </c>
      <c r="T3241" s="204" t="s">
        <v>2276</v>
      </c>
      <c r="U3241" s="204" t="s">
        <v>2276</v>
      </c>
      <c r="V3241" s="204" t="s">
        <v>2276</v>
      </c>
      <c r="W3241" s="204" t="s">
        <v>2276</v>
      </c>
      <c r="X3241" s="204" t="s">
        <v>2276</v>
      </c>
      <c r="Y3241" s="204" t="s">
        <v>2276</v>
      </c>
      <c r="Z3241" s="204" t="s">
        <v>2276</v>
      </c>
      <c r="AA3241" s="4" t="s">
        <v>8704</v>
      </c>
      <c r="AB3241" s="204"/>
    </row>
    <row r="3242" spans="1:28" ht="60" customHeight="1">
      <c r="A3242" s="185" t="str">
        <f>'Reported burning'!A3242</f>
        <v>359a</v>
      </c>
      <c r="B3242" s="185" t="str">
        <f>'Reported burning'!B3242</f>
        <v>359a.8</v>
      </c>
      <c r="C3242" s="185" t="str">
        <f>'Reported burning'!C3242</f>
        <v>Human, escaped</v>
      </c>
      <c r="D3242" s="185" t="str">
        <f>'Reported burning'!D3242</f>
        <v>Cultural &amp; Spiritual</v>
      </c>
      <c r="E3242" s="185" t="str">
        <f>'Reported burning'!E3242</f>
        <v>ND</v>
      </c>
      <c r="F3242" s="185" t="str">
        <f>'Reported burning'!F3242</f>
        <v>ND</v>
      </c>
      <c r="G3242" s="185" t="str">
        <f>'Reported burning'!G3242</f>
        <v>Grassland</v>
      </c>
      <c r="H3242" s="185" t="str">
        <f>'Reported burning'!H3242</f>
        <v>Presence</v>
      </c>
      <c r="I3242" s="32"/>
      <c r="J3242" s="204" t="s">
        <v>2276</v>
      </c>
      <c r="K3242" s="204" t="s">
        <v>2276</v>
      </c>
      <c r="L3242" s="204" t="s">
        <v>2276</v>
      </c>
      <c r="M3242" s="204" t="s">
        <v>2276</v>
      </c>
      <c r="N3242" s="204" t="s">
        <v>2276</v>
      </c>
      <c r="O3242" s="204" t="s">
        <v>2276</v>
      </c>
      <c r="P3242" s="204" t="s">
        <v>2276</v>
      </c>
      <c r="Q3242" s="204" t="s">
        <v>2276</v>
      </c>
      <c r="R3242" s="204" t="s">
        <v>2276</v>
      </c>
      <c r="S3242" s="204" t="s">
        <v>2276</v>
      </c>
      <c r="T3242" s="204" t="s">
        <v>2276</v>
      </c>
      <c r="U3242" s="204" t="s">
        <v>2276</v>
      </c>
      <c r="V3242" s="204" t="s">
        <v>2276</v>
      </c>
      <c r="W3242" s="204" t="s">
        <v>2276</v>
      </c>
      <c r="X3242" s="204" t="s">
        <v>2276</v>
      </c>
      <c r="Y3242" s="204" t="s">
        <v>2276</v>
      </c>
      <c r="Z3242" s="204" t="s">
        <v>2276</v>
      </c>
      <c r="AA3242" s="4" t="s">
        <v>8704</v>
      </c>
      <c r="AB3242" s="204"/>
    </row>
    <row r="3243" spans="1:28" ht="60" customHeight="1">
      <c r="A3243" s="152" t="str">
        <f>'Reported burning'!A3243</f>
        <v>360a</v>
      </c>
      <c r="B3243" s="152" t="str">
        <f>'Reported burning'!B3243</f>
        <v>360a.1</v>
      </c>
      <c r="C3243" s="152" t="str">
        <f>'Reported burning'!C3243</f>
        <v>Human, deliberate</v>
      </c>
      <c r="D3243" s="152" t="str">
        <f>'Reported burning'!D3243</f>
        <v>Crop residue burning</v>
      </c>
      <c r="E3243" s="152" t="str">
        <f>'Reported burning'!E3243</f>
        <v>Cropping, Monoculture, Market-oriented</v>
      </c>
      <c r="F3243" s="152" t="str">
        <f>'Reported burning'!F3243</f>
        <v>Cropland</v>
      </c>
      <c r="G3243" s="152" t="str">
        <f>'Reported burning'!G3243</f>
        <v>Cropland</v>
      </c>
      <c r="H3243" s="152" t="str">
        <f>'Reported burning'!H3243</f>
        <v>Presence</v>
      </c>
      <c r="I3243" s="204"/>
      <c r="J3243" s="204" t="s">
        <v>2276</v>
      </c>
      <c r="K3243" s="204" t="s">
        <v>2276</v>
      </c>
      <c r="L3243" s="204" t="s">
        <v>2276</v>
      </c>
      <c r="M3243" s="204" t="s">
        <v>2276</v>
      </c>
      <c r="N3243" s="204" t="s">
        <v>2276</v>
      </c>
      <c r="O3243" s="204" t="s">
        <v>2276</v>
      </c>
      <c r="P3243" s="204" t="s">
        <v>2276</v>
      </c>
      <c r="Q3243" s="204" t="s">
        <v>2276</v>
      </c>
      <c r="R3243" s="204" t="s">
        <v>2276</v>
      </c>
      <c r="S3243" s="204" t="s">
        <v>2276</v>
      </c>
      <c r="T3243" s="204" t="s">
        <v>2276</v>
      </c>
      <c r="U3243" s="204" t="s">
        <v>2276</v>
      </c>
      <c r="V3243" s="204" t="s">
        <v>2276</v>
      </c>
      <c r="W3243" s="204" t="s">
        <v>2276</v>
      </c>
      <c r="X3243" s="204" t="s">
        <v>188</v>
      </c>
      <c r="Y3243" s="204" t="s">
        <v>188</v>
      </c>
      <c r="Z3243" s="204" t="s">
        <v>2276</v>
      </c>
      <c r="AA3243" s="4" t="s">
        <v>8713</v>
      </c>
      <c r="AB3243" s="204"/>
    </row>
    <row r="3244" spans="1:28" ht="60" customHeight="1">
      <c r="A3244" s="152" t="str">
        <f>'Reported burning'!A3244</f>
        <v>360a</v>
      </c>
      <c r="B3244" s="152" t="str">
        <f>'Reported burning'!B3244</f>
        <v>360a.2</v>
      </c>
      <c r="C3244" s="152" t="str">
        <f>'Reported burning'!C3244</f>
        <v>Human, deliberate</v>
      </c>
      <c r="D3244" s="152" t="str">
        <f>'Reported burning'!D3244</f>
        <v>Crop residue burning</v>
      </c>
      <c r="E3244" s="152" t="str">
        <f>'Reported burning'!E3244</f>
        <v>Cropping, Monoculture, Market-oriented</v>
      </c>
      <c r="F3244" s="152" t="str">
        <f>'Reported burning'!F3244</f>
        <v>Cropland</v>
      </c>
      <c r="G3244" s="152" t="str">
        <f>'Reported burning'!G3244</f>
        <v>Cropland</v>
      </c>
      <c r="H3244" s="152" t="str">
        <f>'Reported burning'!H3244</f>
        <v>Presence</v>
      </c>
      <c r="I3244" s="204"/>
      <c r="J3244" s="204" t="s">
        <v>2276</v>
      </c>
      <c r="K3244" s="204" t="s">
        <v>2276</v>
      </c>
      <c r="L3244" s="204" t="s">
        <v>2276</v>
      </c>
      <c r="M3244" s="204" t="s">
        <v>2276</v>
      </c>
      <c r="N3244" s="204" t="s">
        <v>2276</v>
      </c>
      <c r="O3244" s="204" t="s">
        <v>2276</v>
      </c>
      <c r="P3244" s="204" t="s">
        <v>2276</v>
      </c>
      <c r="Q3244" s="204" t="s">
        <v>2276</v>
      </c>
      <c r="R3244" s="204" t="s">
        <v>2276</v>
      </c>
      <c r="S3244" s="204" t="s">
        <v>2276</v>
      </c>
      <c r="T3244" s="204" t="s">
        <v>2276</v>
      </c>
      <c r="U3244" s="204" t="s">
        <v>2276</v>
      </c>
      <c r="V3244" s="204" t="s">
        <v>2276</v>
      </c>
      <c r="W3244" s="204" t="s">
        <v>2276</v>
      </c>
      <c r="X3244" s="204" t="s">
        <v>86</v>
      </c>
      <c r="Y3244" s="204" t="s">
        <v>86</v>
      </c>
      <c r="Z3244" s="204" t="s">
        <v>2276</v>
      </c>
      <c r="AA3244" s="4" t="s">
        <v>8713</v>
      </c>
      <c r="AB3244" s="204"/>
    </row>
    <row r="3245" spans="1:28" ht="60" customHeight="1">
      <c r="A3245" s="152" t="str">
        <f>'Reported burning'!A3245</f>
        <v>360a</v>
      </c>
      <c r="B3245" s="152" t="str">
        <f>'Reported burning'!B3245</f>
        <v>360a.3</v>
      </c>
      <c r="C3245" s="152" t="str">
        <f>'Reported burning'!C3245</f>
        <v>Human, deliberate</v>
      </c>
      <c r="D3245" s="152" t="str">
        <f>'Reported burning'!D3245</f>
        <v>Crop residue burning</v>
      </c>
      <c r="E3245" s="152" t="str">
        <f>'Reported burning'!E3245</f>
        <v>Cropping, Monoculture, Market-oriented</v>
      </c>
      <c r="F3245" s="152" t="str">
        <f>'Reported burning'!F3245</f>
        <v>Cropland</v>
      </c>
      <c r="G3245" s="152" t="str">
        <f>'Reported burning'!G3245</f>
        <v>Cropland</v>
      </c>
      <c r="H3245" s="152" t="str">
        <f>'Reported burning'!H3245</f>
        <v>Presence</v>
      </c>
      <c r="I3245" s="204"/>
      <c r="J3245" s="204" t="s">
        <v>2276</v>
      </c>
      <c r="K3245" s="204" t="s">
        <v>2276</v>
      </c>
      <c r="L3245" s="204" t="s">
        <v>2276</v>
      </c>
      <c r="M3245" s="204" t="s">
        <v>2276</v>
      </c>
      <c r="N3245" s="204" t="s">
        <v>2276</v>
      </c>
      <c r="O3245" s="204" t="s">
        <v>2276</v>
      </c>
      <c r="P3245" s="204" t="s">
        <v>2276</v>
      </c>
      <c r="Q3245" s="204" t="s">
        <v>2276</v>
      </c>
      <c r="R3245" s="204" t="s">
        <v>2276</v>
      </c>
      <c r="S3245" s="204" t="s">
        <v>2276</v>
      </c>
      <c r="T3245" s="204" t="s">
        <v>2276</v>
      </c>
      <c r="U3245" s="204" t="s">
        <v>2276</v>
      </c>
      <c r="V3245" s="204" t="s">
        <v>2276</v>
      </c>
      <c r="W3245" s="204" t="s">
        <v>2276</v>
      </c>
      <c r="X3245" s="204" t="s">
        <v>425</v>
      </c>
      <c r="Y3245" s="204" t="s">
        <v>425</v>
      </c>
      <c r="Z3245" s="204" t="s">
        <v>2276</v>
      </c>
      <c r="AA3245" s="4" t="s">
        <v>8713</v>
      </c>
      <c r="AB3245" s="204"/>
    </row>
    <row r="3246" spans="1:28" ht="56" customHeight="1">
      <c r="A3246" s="156" t="str">
        <f>'Reported burning'!A3246</f>
        <v>361a</v>
      </c>
      <c r="B3246" s="156" t="str">
        <f>'Reported burning'!B3246</f>
        <v>361a.1</v>
      </c>
      <c r="C3246" s="156" t="str">
        <f>'Reported burning'!C3246</f>
        <v>Human, deliberate</v>
      </c>
      <c r="D3246" s="156" t="str">
        <f>'Reported burning'!D3246</f>
        <v>Crop residue burning</v>
      </c>
      <c r="E3246" s="156" t="str">
        <f>'Reported burning'!E3246</f>
        <v>Cropping, Monoculture, Market-oriented</v>
      </c>
      <c r="F3246" s="156" t="str">
        <f>'Reported burning'!F3246</f>
        <v>Cropland</v>
      </c>
      <c r="G3246" s="156" t="str">
        <f>'Reported burning'!G3246</f>
        <v>Cropland</v>
      </c>
      <c r="H3246" s="156" t="str">
        <f>'Reported burning'!H3246</f>
        <v>Presence</v>
      </c>
      <c r="I3246" s="5"/>
      <c r="J3246" s="204" t="s">
        <v>2276</v>
      </c>
      <c r="K3246" s="204" t="s">
        <v>2276</v>
      </c>
      <c r="L3246" s="204" t="s">
        <v>2276</v>
      </c>
      <c r="M3246" s="204" t="s">
        <v>2276</v>
      </c>
      <c r="N3246" s="204" t="s">
        <v>2276</v>
      </c>
      <c r="O3246" s="204" t="s">
        <v>2276</v>
      </c>
      <c r="P3246" s="204" t="s">
        <v>2276</v>
      </c>
      <c r="Q3246" s="204" t="s">
        <v>2276</v>
      </c>
      <c r="R3246" s="204" t="s">
        <v>2276</v>
      </c>
      <c r="S3246" s="204" t="s">
        <v>2276</v>
      </c>
      <c r="T3246" s="204" t="s">
        <v>2276</v>
      </c>
      <c r="U3246" s="204" t="s">
        <v>2276</v>
      </c>
      <c r="V3246" s="204" t="s">
        <v>2276</v>
      </c>
      <c r="W3246" s="21" t="s">
        <v>2375</v>
      </c>
      <c r="X3246" s="204" t="s">
        <v>34</v>
      </c>
      <c r="Y3246" s="204" t="s">
        <v>34</v>
      </c>
      <c r="Z3246" s="204" t="s">
        <v>2276</v>
      </c>
      <c r="AA3246" s="4" t="s">
        <v>8727</v>
      </c>
      <c r="AB3246" s="204" t="s">
        <v>8729</v>
      </c>
    </row>
    <row r="3247" spans="1:28" ht="56" customHeight="1">
      <c r="A3247" s="156" t="str">
        <f>'Reported burning'!A3247</f>
        <v>361a</v>
      </c>
      <c r="B3247" s="156" t="str">
        <f>'Reported burning'!B3247</f>
        <v>361a.2</v>
      </c>
      <c r="C3247" s="156" t="str">
        <f>'Reported burning'!C3247</f>
        <v>Human, deliberate</v>
      </c>
      <c r="D3247" s="156" t="str">
        <f>'Reported burning'!D3247</f>
        <v>Crop residue burning</v>
      </c>
      <c r="E3247" s="156" t="str">
        <f>'Reported burning'!E3247</f>
        <v>Cropping, Monoculture, Subsistence-oriented</v>
      </c>
      <c r="F3247" s="156" t="str">
        <f>'Reported burning'!F3247</f>
        <v>Cropland</v>
      </c>
      <c r="G3247" s="156" t="str">
        <f>'Reported burning'!G3247</f>
        <v>Cropland</v>
      </c>
      <c r="H3247" s="156" t="str">
        <f>'Reported burning'!H3247</f>
        <v>Presence</v>
      </c>
      <c r="I3247" s="5"/>
      <c r="J3247" s="204" t="s">
        <v>2276</v>
      </c>
      <c r="K3247" s="204" t="s">
        <v>2276</v>
      </c>
      <c r="L3247" s="204" t="s">
        <v>2276</v>
      </c>
      <c r="M3247" s="204" t="s">
        <v>2276</v>
      </c>
      <c r="N3247" s="204" t="s">
        <v>2276</v>
      </c>
      <c r="O3247" s="204" t="s">
        <v>2276</v>
      </c>
      <c r="P3247" s="204" t="s">
        <v>2276</v>
      </c>
      <c r="Q3247" s="204" t="s">
        <v>2276</v>
      </c>
      <c r="R3247" s="204" t="s">
        <v>2276</v>
      </c>
      <c r="S3247" s="204" t="s">
        <v>2276</v>
      </c>
      <c r="T3247" s="204" t="s">
        <v>2276</v>
      </c>
      <c r="U3247" s="204" t="s">
        <v>2276</v>
      </c>
      <c r="V3247" s="204" t="s">
        <v>2276</v>
      </c>
      <c r="W3247" s="21" t="s">
        <v>2375</v>
      </c>
      <c r="X3247" s="204" t="s">
        <v>34</v>
      </c>
      <c r="Y3247" s="204" t="s">
        <v>34</v>
      </c>
      <c r="Z3247" s="204" t="s">
        <v>2276</v>
      </c>
      <c r="AA3247" s="4" t="s">
        <v>8728</v>
      </c>
      <c r="AB3247" s="204" t="s">
        <v>8729</v>
      </c>
    </row>
    <row r="3248" spans="1:28" ht="56" customHeight="1">
      <c r="A3248" s="156" t="str">
        <f>'Reported burning'!A3248</f>
        <v>361a</v>
      </c>
      <c r="B3248" s="156" t="str">
        <f>'Reported burning'!B3248</f>
        <v>361a.3</v>
      </c>
      <c r="C3248" s="156" t="str">
        <f>'Reported burning'!C3248</f>
        <v>Human, deliberate</v>
      </c>
      <c r="D3248" s="156" t="str">
        <f>'Reported burning'!D3248</f>
        <v>Crop residue burning</v>
      </c>
      <c r="E3248" s="156" t="str">
        <f>'Reported burning'!E3248</f>
        <v>Cropping, Monoculture, Market-oriented</v>
      </c>
      <c r="F3248" s="156" t="str">
        <f>'Reported burning'!F3248</f>
        <v>Cropland</v>
      </c>
      <c r="G3248" s="156" t="str">
        <f>'Reported burning'!G3248</f>
        <v>Cropland</v>
      </c>
      <c r="H3248" s="156" t="str">
        <f>'Reported burning'!H3248</f>
        <v>Presence</v>
      </c>
      <c r="I3248" s="5"/>
      <c r="J3248" s="204" t="s">
        <v>2276</v>
      </c>
      <c r="K3248" s="204" t="s">
        <v>2276</v>
      </c>
      <c r="L3248" s="204" t="s">
        <v>2276</v>
      </c>
      <c r="M3248" s="204" t="s">
        <v>2276</v>
      </c>
      <c r="N3248" s="204" t="s">
        <v>2276</v>
      </c>
      <c r="O3248" s="204" t="s">
        <v>2276</v>
      </c>
      <c r="P3248" s="204" t="s">
        <v>2276</v>
      </c>
      <c r="Q3248" s="204" t="s">
        <v>2276</v>
      </c>
      <c r="R3248" s="204" t="s">
        <v>2276</v>
      </c>
      <c r="S3248" s="204" t="s">
        <v>2276</v>
      </c>
      <c r="T3248" s="204" t="s">
        <v>2276</v>
      </c>
      <c r="U3248" s="204" t="s">
        <v>2276</v>
      </c>
      <c r="V3248" s="204" t="s">
        <v>2276</v>
      </c>
      <c r="W3248" s="21" t="s">
        <v>2375</v>
      </c>
      <c r="X3248" s="204" t="s">
        <v>425</v>
      </c>
      <c r="Y3248" s="204" t="s">
        <v>68</v>
      </c>
      <c r="Z3248" s="204" t="s">
        <v>76</v>
      </c>
      <c r="AA3248" s="4" t="s">
        <v>8727</v>
      </c>
      <c r="AB3248" s="204" t="s">
        <v>8729</v>
      </c>
    </row>
    <row r="3249" spans="1:28" ht="56" customHeight="1">
      <c r="A3249" s="156" t="str">
        <f>'Reported burning'!A3249</f>
        <v>361a</v>
      </c>
      <c r="B3249" s="156" t="str">
        <f>'Reported burning'!B3249</f>
        <v>361a.4</v>
      </c>
      <c r="C3249" s="156" t="str">
        <f>'Reported burning'!C3249</f>
        <v>Human, deliberate</v>
      </c>
      <c r="D3249" s="156" t="str">
        <f>'Reported burning'!D3249</f>
        <v>Crop residue burning</v>
      </c>
      <c r="E3249" s="156" t="str">
        <f>'Reported burning'!E3249</f>
        <v>Cropping, Monoculture, Subsistence-oriented</v>
      </c>
      <c r="F3249" s="156" t="str">
        <f>'Reported burning'!F3249</f>
        <v>Cropland</v>
      </c>
      <c r="G3249" s="156" t="str">
        <f>'Reported burning'!G3249</f>
        <v>Cropland</v>
      </c>
      <c r="H3249" s="156" t="str">
        <f>'Reported burning'!H3249</f>
        <v>Presence</v>
      </c>
      <c r="I3249" s="5"/>
      <c r="J3249" s="204" t="s">
        <v>2276</v>
      </c>
      <c r="K3249" s="204" t="s">
        <v>2276</v>
      </c>
      <c r="L3249" s="204" t="s">
        <v>2276</v>
      </c>
      <c r="M3249" s="204" t="s">
        <v>2276</v>
      </c>
      <c r="N3249" s="204" t="s">
        <v>2276</v>
      </c>
      <c r="O3249" s="204" t="s">
        <v>2276</v>
      </c>
      <c r="P3249" s="204" t="s">
        <v>2276</v>
      </c>
      <c r="Q3249" s="204" t="s">
        <v>2276</v>
      </c>
      <c r="R3249" s="204" t="s">
        <v>2276</v>
      </c>
      <c r="S3249" s="204" t="s">
        <v>2276</v>
      </c>
      <c r="T3249" s="204" t="s">
        <v>2276</v>
      </c>
      <c r="U3249" s="204" t="s">
        <v>2276</v>
      </c>
      <c r="V3249" s="204" t="s">
        <v>2276</v>
      </c>
      <c r="W3249" s="21" t="s">
        <v>2375</v>
      </c>
      <c r="X3249" s="204" t="s">
        <v>425</v>
      </c>
      <c r="Y3249" s="204" t="s">
        <v>68</v>
      </c>
      <c r="Z3249" s="204" t="s">
        <v>76</v>
      </c>
      <c r="AA3249" s="4" t="s">
        <v>8728</v>
      </c>
      <c r="AB3249" s="204" t="s">
        <v>8729</v>
      </c>
    </row>
    <row r="3250" spans="1:28" ht="56" customHeight="1">
      <c r="A3250" s="156" t="str">
        <f>'Reported burning'!A3250</f>
        <v>361a</v>
      </c>
      <c r="B3250" s="156" t="str">
        <f>'Reported burning'!B3250</f>
        <v>361a.5</v>
      </c>
      <c r="C3250" s="156" t="str">
        <f>'Reported burning'!C3250</f>
        <v>Human, deliberate</v>
      </c>
      <c r="D3250" s="156" t="str">
        <f>'Reported burning'!D3250</f>
        <v>Crop residue burning</v>
      </c>
      <c r="E3250" s="156" t="str">
        <f>'Reported burning'!E3250</f>
        <v>All</v>
      </c>
      <c r="F3250" s="156" t="str">
        <f>'Reported burning'!F3250</f>
        <v>Cropland</v>
      </c>
      <c r="G3250" s="156" t="str">
        <f>'Reported burning'!G3250</f>
        <v>Cropland</v>
      </c>
      <c r="H3250" s="156" t="str">
        <f>'Reported burning'!H3250</f>
        <v>Presence</v>
      </c>
      <c r="I3250" s="5"/>
      <c r="J3250" s="21" t="s">
        <v>8725</v>
      </c>
      <c r="K3250" s="204" t="s">
        <v>2276</v>
      </c>
      <c r="L3250" s="204" t="s">
        <v>2276</v>
      </c>
      <c r="M3250" s="204" t="s">
        <v>2276</v>
      </c>
      <c r="N3250" s="204" t="s">
        <v>2276</v>
      </c>
      <c r="O3250" s="204" t="s">
        <v>2276</v>
      </c>
      <c r="P3250" s="204" t="s">
        <v>2276</v>
      </c>
      <c r="Q3250" s="204" t="s">
        <v>2276</v>
      </c>
      <c r="R3250" s="204" t="s">
        <v>2276</v>
      </c>
      <c r="S3250" s="204" t="s">
        <v>2276</v>
      </c>
      <c r="T3250" s="204" t="s">
        <v>2276</v>
      </c>
      <c r="U3250" s="204" t="s">
        <v>2276</v>
      </c>
      <c r="V3250" s="204" t="s">
        <v>2276</v>
      </c>
      <c r="W3250" s="21" t="s">
        <v>2375</v>
      </c>
      <c r="X3250" s="204" t="s">
        <v>34</v>
      </c>
      <c r="Y3250" s="204" t="s">
        <v>34</v>
      </c>
      <c r="Z3250" s="204"/>
      <c r="AA3250" s="204"/>
      <c r="AB3250" s="4" t="s">
        <v>8726</v>
      </c>
    </row>
    <row r="3251" spans="1:28" ht="56" customHeight="1">
      <c r="A3251" s="156" t="str">
        <f>'Reported burning'!A3251</f>
        <v>361a</v>
      </c>
      <c r="B3251" s="156" t="str">
        <f>'Reported burning'!B3251</f>
        <v>361a.6</v>
      </c>
      <c r="C3251" s="156" t="str">
        <f>'Reported burning'!C3251</f>
        <v>Human, deliberate</v>
      </c>
      <c r="D3251" s="156" t="str">
        <f>'Reported burning'!D3251</f>
        <v>Crop residue burning</v>
      </c>
      <c r="E3251" s="156" t="str">
        <f>'Reported burning'!E3251</f>
        <v>All</v>
      </c>
      <c r="F3251" s="156" t="str">
        <f>'Reported burning'!F3251</f>
        <v>Cropland</v>
      </c>
      <c r="G3251" s="156" t="str">
        <f>'Reported burning'!G3251</f>
        <v>Cropland</v>
      </c>
      <c r="H3251" s="156" t="str">
        <f>'Reported burning'!H3251</f>
        <v>Presence</v>
      </c>
      <c r="I3251" s="5"/>
      <c r="J3251" s="21" t="s">
        <v>8725</v>
      </c>
      <c r="K3251" s="204" t="s">
        <v>2276</v>
      </c>
      <c r="L3251" s="204" t="s">
        <v>2276</v>
      </c>
      <c r="M3251" s="204" t="s">
        <v>2276</v>
      </c>
      <c r="N3251" s="204" t="s">
        <v>2276</v>
      </c>
      <c r="O3251" s="204" t="s">
        <v>2276</v>
      </c>
      <c r="P3251" s="204" t="s">
        <v>2276</v>
      </c>
      <c r="Q3251" s="204" t="s">
        <v>2276</v>
      </c>
      <c r="R3251" s="204" t="s">
        <v>2276</v>
      </c>
      <c r="S3251" s="204" t="s">
        <v>2276</v>
      </c>
      <c r="T3251" s="204" t="s">
        <v>2276</v>
      </c>
      <c r="U3251" s="204" t="s">
        <v>2276</v>
      </c>
      <c r="V3251" s="204" t="s">
        <v>2276</v>
      </c>
      <c r="W3251" s="21" t="s">
        <v>2375</v>
      </c>
      <c r="X3251" s="204" t="s">
        <v>425</v>
      </c>
      <c r="Y3251" s="204" t="s">
        <v>68</v>
      </c>
      <c r="Z3251" s="204" t="s">
        <v>76</v>
      </c>
      <c r="AA3251" s="204"/>
      <c r="AB3251" s="4" t="s">
        <v>8726</v>
      </c>
    </row>
    <row r="3252" spans="1:28" ht="39" customHeight="1">
      <c r="A3252" s="152" t="str">
        <f>'Reported burning'!A3252</f>
        <v>362a</v>
      </c>
      <c r="B3252" s="152" t="str">
        <f>'Reported burning'!B3252</f>
        <v>362a.1</v>
      </c>
      <c r="C3252" s="152" t="str">
        <f>'Reported burning'!C3252</f>
        <v>Human, deliberate</v>
      </c>
      <c r="D3252" s="152" t="str">
        <f>'Reported burning'!D3252</f>
        <v>Crop residue burning</v>
      </c>
      <c r="E3252" s="152" t="str">
        <f>'Reported burning'!E3252</f>
        <v>Cropping, Intensive</v>
      </c>
      <c r="F3252" s="152" t="str">
        <f>'Reported burning'!F3252</f>
        <v>Cropland</v>
      </c>
      <c r="G3252" s="152" t="str">
        <f>'Reported burning'!G3252</f>
        <v>Cropland</v>
      </c>
      <c r="H3252" s="152" t="str">
        <f>'Reported burning'!H3252</f>
        <v>Presence</v>
      </c>
      <c r="I3252" s="204"/>
      <c r="J3252" s="204" t="s">
        <v>2276</v>
      </c>
      <c r="K3252" s="204" t="s">
        <v>2276</v>
      </c>
      <c r="L3252" s="204" t="s">
        <v>2276</v>
      </c>
      <c r="M3252" s="204" t="s">
        <v>2276</v>
      </c>
      <c r="N3252" s="204" t="s">
        <v>2276</v>
      </c>
      <c r="O3252" s="204" t="s">
        <v>2276</v>
      </c>
      <c r="P3252" s="204" t="s">
        <v>2276</v>
      </c>
      <c r="Q3252" s="204" t="s">
        <v>2276</v>
      </c>
      <c r="R3252" s="21" t="s">
        <v>2374</v>
      </c>
      <c r="S3252" s="204" t="s">
        <v>2276</v>
      </c>
      <c r="T3252" s="204" t="s">
        <v>2276</v>
      </c>
      <c r="U3252" s="204" t="s">
        <v>2276</v>
      </c>
      <c r="V3252" s="204" t="s">
        <v>2276</v>
      </c>
      <c r="W3252" s="204" t="s">
        <v>2276</v>
      </c>
      <c r="X3252" s="204" t="s">
        <v>189</v>
      </c>
      <c r="Y3252" s="204" t="s">
        <v>34</v>
      </c>
      <c r="Z3252" s="204" t="s">
        <v>2655</v>
      </c>
      <c r="AA3252" s="19" t="s">
        <v>8744</v>
      </c>
      <c r="AB3252" s="19" t="s">
        <v>8745</v>
      </c>
    </row>
    <row r="3253" spans="1:28" ht="39" customHeight="1">
      <c r="A3253" s="152" t="str">
        <f>'Reported burning'!A3253</f>
        <v>362a</v>
      </c>
      <c r="B3253" s="152" t="str">
        <f>'Reported burning'!B3253</f>
        <v>362a.2</v>
      </c>
      <c r="C3253" s="152" t="str">
        <f>'Reported burning'!C3253</f>
        <v>Human, deliberate</v>
      </c>
      <c r="D3253" s="152" t="str">
        <f>'Reported burning'!D3253</f>
        <v>Pasture renewal</v>
      </c>
      <c r="E3253" s="152" t="str">
        <f>'Reported burning'!E3253</f>
        <v>Cattle, Extensive</v>
      </c>
      <c r="F3253" s="152" t="str">
        <f>'Reported burning'!F3253</f>
        <v>Grassland</v>
      </c>
      <c r="G3253" s="152" t="str">
        <f>'Reported burning'!G3253</f>
        <v>Grassland</v>
      </c>
      <c r="H3253" s="152" t="str">
        <f>'Reported burning'!H3253</f>
        <v>Presence</v>
      </c>
      <c r="I3253" s="204"/>
      <c r="J3253" s="204" t="s">
        <v>2276</v>
      </c>
      <c r="K3253" s="204" t="s">
        <v>2276</v>
      </c>
      <c r="L3253" s="204" t="s">
        <v>2276</v>
      </c>
      <c r="M3253" s="204" t="s">
        <v>2276</v>
      </c>
      <c r="N3253" s="204" t="s">
        <v>2276</v>
      </c>
      <c r="O3253" s="204" t="s">
        <v>2276</v>
      </c>
      <c r="P3253" s="204" t="s">
        <v>2276</v>
      </c>
      <c r="Q3253" s="204" t="s">
        <v>2276</v>
      </c>
      <c r="R3253" s="21" t="s">
        <v>2374</v>
      </c>
      <c r="S3253" s="204" t="s">
        <v>2276</v>
      </c>
      <c r="T3253" s="204" t="s">
        <v>2276</v>
      </c>
      <c r="U3253" s="204" t="s">
        <v>2276</v>
      </c>
      <c r="V3253" s="204" t="s">
        <v>2276</v>
      </c>
      <c r="W3253" s="204" t="s">
        <v>2276</v>
      </c>
      <c r="X3253" s="204" t="s">
        <v>189</v>
      </c>
      <c r="Y3253" s="204" t="s">
        <v>34</v>
      </c>
      <c r="Z3253" s="204" t="s">
        <v>2655</v>
      </c>
      <c r="AA3253" s="19" t="s">
        <v>8744</v>
      </c>
      <c r="AB3253" s="19" t="s">
        <v>8745</v>
      </c>
    </row>
    <row r="3254" spans="1:28" ht="39" customHeight="1">
      <c r="A3254" s="156" t="str">
        <f>'Reported burning'!A3254</f>
        <v>362b</v>
      </c>
      <c r="B3254" s="156" t="str">
        <f>'Reported burning'!B3254</f>
        <v>362b.1</v>
      </c>
      <c r="C3254" s="156" t="str">
        <f>'Reported burning'!C3254</f>
        <v>Human, deliberate</v>
      </c>
      <c r="D3254" s="156" t="str">
        <f>'Reported burning'!D3254</f>
        <v>ND</v>
      </c>
      <c r="E3254" s="156" t="str">
        <f>'Reported burning'!E3254</f>
        <v>All</v>
      </c>
      <c r="F3254" s="156" t="str">
        <f>'Reported burning'!F3254</f>
        <v>Shrubland (Mixed forest &amp; grassland)</v>
      </c>
      <c r="G3254" s="156" t="str">
        <f>'Reported burning'!G3254</f>
        <v>Shrubland (Mixed forest &amp; grassland)</v>
      </c>
      <c r="H3254" s="156" t="str">
        <f>'Reported burning'!H3254</f>
        <v>Presence</v>
      </c>
      <c r="I3254" s="5"/>
      <c r="J3254" s="204" t="s">
        <v>2276</v>
      </c>
      <c r="K3254" s="204" t="s">
        <v>2276</v>
      </c>
      <c r="L3254" s="204" t="s">
        <v>2276</v>
      </c>
      <c r="M3254" s="204" t="s">
        <v>2276</v>
      </c>
      <c r="N3254" s="204" t="s">
        <v>2276</v>
      </c>
      <c r="O3254" s="204" t="s">
        <v>2276</v>
      </c>
      <c r="P3254" s="204" t="s">
        <v>2276</v>
      </c>
      <c r="Q3254" s="204" t="s">
        <v>2276</v>
      </c>
      <c r="R3254" s="204" t="s">
        <v>2276</v>
      </c>
      <c r="S3254" s="204" t="s">
        <v>2276</v>
      </c>
      <c r="T3254" s="204" t="s">
        <v>2276</v>
      </c>
      <c r="U3254" s="204" t="s">
        <v>2276</v>
      </c>
      <c r="V3254" s="204" t="s">
        <v>2276</v>
      </c>
      <c r="W3254" s="204" t="s">
        <v>2276</v>
      </c>
      <c r="X3254" s="21" t="s">
        <v>2276</v>
      </c>
      <c r="Y3254" s="21" t="s">
        <v>2276</v>
      </c>
      <c r="Z3254" s="21" t="s">
        <v>2276</v>
      </c>
      <c r="AA3254" s="204"/>
      <c r="AB3254" s="204"/>
    </row>
    <row r="3255" spans="1:28" ht="39" customHeight="1">
      <c r="A3255" s="156" t="str">
        <f>'Reported burning'!A3255</f>
        <v>362c</v>
      </c>
      <c r="B3255" s="156" t="str">
        <f>'Reported burning'!B3255</f>
        <v>362c.1</v>
      </c>
      <c r="C3255" s="156" t="str">
        <f>'Reported burning'!C3255</f>
        <v>Human, deliberate</v>
      </c>
      <c r="D3255" s="156" t="str">
        <f>'Reported burning'!D3255</f>
        <v>ND</v>
      </c>
      <c r="E3255" s="156" t="str">
        <f>'Reported burning'!E3255</f>
        <v>All</v>
      </c>
      <c r="F3255" s="156" t="str">
        <f>'Reported burning'!F3255</f>
        <v>Shrubland (Mixed forest &amp; grassland)</v>
      </c>
      <c r="G3255" s="156" t="str">
        <f>'Reported burning'!G3255</f>
        <v>Shrubland (Mixed forest &amp; grassland)</v>
      </c>
      <c r="H3255" s="156" t="str">
        <f>'Reported burning'!H3255</f>
        <v>Presence</v>
      </c>
      <c r="I3255" s="5"/>
      <c r="J3255" s="204" t="s">
        <v>2276</v>
      </c>
      <c r="K3255" s="204" t="s">
        <v>2276</v>
      </c>
      <c r="L3255" s="204" t="s">
        <v>2276</v>
      </c>
      <c r="M3255" s="204" t="s">
        <v>2276</v>
      </c>
      <c r="N3255" s="204" t="s">
        <v>2276</v>
      </c>
      <c r="O3255" s="204" t="s">
        <v>2276</v>
      </c>
      <c r="P3255" s="204" t="s">
        <v>2276</v>
      </c>
      <c r="Q3255" s="204" t="s">
        <v>2276</v>
      </c>
      <c r="R3255" s="204" t="s">
        <v>2276</v>
      </c>
      <c r="S3255" s="204" t="s">
        <v>2276</v>
      </c>
      <c r="T3255" s="204" t="s">
        <v>2276</v>
      </c>
      <c r="U3255" s="204" t="s">
        <v>2276</v>
      </c>
      <c r="V3255" s="204" t="s">
        <v>2276</v>
      </c>
      <c r="W3255" s="204" t="s">
        <v>2276</v>
      </c>
      <c r="X3255" s="21" t="s">
        <v>2276</v>
      </c>
      <c r="Y3255" s="21" t="s">
        <v>2276</v>
      </c>
      <c r="Z3255" s="21" t="s">
        <v>2276</v>
      </c>
      <c r="AA3255" s="204"/>
      <c r="AB3255" s="204"/>
    </row>
    <row r="3256" spans="1:28" ht="39" customHeight="1">
      <c r="A3256" s="156" t="str">
        <f>'Reported burning'!A3256</f>
        <v>362b</v>
      </c>
      <c r="B3256" s="156" t="str">
        <f>'Reported burning'!B3256</f>
        <v>362b.2</v>
      </c>
      <c r="C3256" s="156" t="str">
        <f>'Reported burning'!C3256</f>
        <v>Human, deliberate</v>
      </c>
      <c r="D3256" s="156" t="str">
        <f>'Reported burning'!D3256</f>
        <v>Rangeland management</v>
      </c>
      <c r="E3256" s="156" t="str">
        <f>'Reported burning'!E3256</f>
        <v>Cattle, Extensive</v>
      </c>
      <c r="F3256" s="156" t="str">
        <f>'Reported burning'!F3256</f>
        <v>Shrubland (Mixed forest &amp; grassland)</v>
      </c>
      <c r="G3256" s="156" t="str">
        <f>'Reported burning'!G3256</f>
        <v>Shrubland (Mixed forest &amp; grassland)</v>
      </c>
      <c r="H3256" s="156" t="str">
        <f>'Reported burning'!H3256</f>
        <v>Presence</v>
      </c>
      <c r="I3256" s="5"/>
      <c r="J3256" s="204" t="s">
        <v>2276</v>
      </c>
      <c r="K3256" s="204" t="s">
        <v>2276</v>
      </c>
      <c r="L3256" s="204" t="s">
        <v>2276</v>
      </c>
      <c r="M3256" s="204" t="s">
        <v>2276</v>
      </c>
      <c r="N3256" s="204" t="s">
        <v>2276</v>
      </c>
      <c r="O3256" s="204" t="s">
        <v>2276</v>
      </c>
      <c r="P3256" s="204" t="s">
        <v>2276</v>
      </c>
      <c r="Q3256" s="204" t="s">
        <v>2276</v>
      </c>
      <c r="R3256" s="204" t="s">
        <v>2276</v>
      </c>
      <c r="S3256" s="204" t="s">
        <v>2276</v>
      </c>
      <c r="T3256" s="204" t="s">
        <v>2276</v>
      </c>
      <c r="U3256" s="204" t="s">
        <v>2276</v>
      </c>
      <c r="V3256" s="204" t="s">
        <v>2276</v>
      </c>
      <c r="W3256" s="204" t="s">
        <v>2276</v>
      </c>
      <c r="X3256" s="21" t="s">
        <v>2276</v>
      </c>
      <c r="Y3256" s="21" t="s">
        <v>2276</v>
      </c>
      <c r="Z3256" s="21" t="s">
        <v>2276</v>
      </c>
      <c r="AA3256" s="204"/>
      <c r="AB3256" s="204"/>
    </row>
    <row r="3257" spans="1:28" ht="39" customHeight="1">
      <c r="A3257" s="156" t="str">
        <f>'Reported burning'!A3257</f>
        <v>362c</v>
      </c>
      <c r="B3257" s="156" t="str">
        <f>'Reported burning'!B3257</f>
        <v>362c.2</v>
      </c>
      <c r="C3257" s="156" t="str">
        <f>'Reported burning'!C3257</f>
        <v>Human, deliberate</v>
      </c>
      <c r="D3257" s="156" t="str">
        <f>'Reported burning'!D3257</f>
        <v>Rangeland management</v>
      </c>
      <c r="E3257" s="156" t="str">
        <f>'Reported burning'!E3257</f>
        <v>Cattle, Extensive</v>
      </c>
      <c r="F3257" s="156" t="str">
        <f>'Reported burning'!F3257</f>
        <v>Shrubland (Mixed forest &amp; grassland)</v>
      </c>
      <c r="G3257" s="156" t="str">
        <f>'Reported burning'!G3257</f>
        <v>Shrubland (Mixed forest &amp; grassland)</v>
      </c>
      <c r="H3257" s="156" t="str">
        <f>'Reported burning'!H3257</f>
        <v>Presence</v>
      </c>
      <c r="I3257" s="5"/>
      <c r="J3257" s="204" t="s">
        <v>2276</v>
      </c>
      <c r="K3257" s="204" t="s">
        <v>2276</v>
      </c>
      <c r="L3257" s="204" t="s">
        <v>2276</v>
      </c>
      <c r="M3257" s="204" t="s">
        <v>2276</v>
      </c>
      <c r="N3257" s="204" t="s">
        <v>2276</v>
      </c>
      <c r="O3257" s="204" t="s">
        <v>2276</v>
      </c>
      <c r="P3257" s="204" t="s">
        <v>2276</v>
      </c>
      <c r="Q3257" s="204" t="s">
        <v>2276</v>
      </c>
      <c r="R3257" s="204" t="s">
        <v>2276</v>
      </c>
      <c r="S3257" s="204" t="s">
        <v>2276</v>
      </c>
      <c r="T3257" s="204" t="s">
        <v>2276</v>
      </c>
      <c r="U3257" s="204" t="s">
        <v>2276</v>
      </c>
      <c r="V3257" s="204" t="s">
        <v>2276</v>
      </c>
      <c r="W3257" s="204" t="s">
        <v>2276</v>
      </c>
      <c r="X3257" s="21" t="s">
        <v>2276</v>
      </c>
      <c r="Y3257" s="21" t="s">
        <v>2276</v>
      </c>
      <c r="Z3257" s="21" t="s">
        <v>2276</v>
      </c>
      <c r="AA3257" s="204"/>
      <c r="AB3257" s="204"/>
    </row>
    <row r="3258" spans="1:28" ht="39" customHeight="1">
      <c r="A3258" s="156" t="str">
        <f>'Reported burning'!A3258</f>
        <v>362b</v>
      </c>
      <c r="B3258" s="156" t="str">
        <f>'Reported burning'!B3258</f>
        <v>362b.3</v>
      </c>
      <c r="C3258" s="156" t="str">
        <f>'Reported burning'!C3258</f>
        <v>Human, deliberate</v>
      </c>
      <c r="D3258" s="156" t="str">
        <f>'Reported burning'!D3258</f>
        <v>Conservation</v>
      </c>
      <c r="E3258" s="156" t="str">
        <f>'Reported burning'!E3258</f>
        <v>Biodiversity conservation</v>
      </c>
      <c r="F3258" s="156" t="str">
        <f>'Reported burning'!F3258</f>
        <v>Shrubland (Mixed forest &amp; grassland)</v>
      </c>
      <c r="G3258" s="156" t="str">
        <f>'Reported burning'!G3258</f>
        <v>Shrubland (Mixed forest &amp; grassland)</v>
      </c>
      <c r="H3258" s="156" t="str">
        <f>'Reported burning'!H3258</f>
        <v>Presence</v>
      </c>
      <c r="I3258" s="5"/>
      <c r="J3258" s="204" t="s">
        <v>2276</v>
      </c>
      <c r="K3258" s="204" t="s">
        <v>2276</v>
      </c>
      <c r="L3258" s="204" t="s">
        <v>2276</v>
      </c>
      <c r="M3258" s="204" t="s">
        <v>2276</v>
      </c>
      <c r="N3258" s="204" t="s">
        <v>2276</v>
      </c>
      <c r="O3258" s="204" t="s">
        <v>2276</v>
      </c>
      <c r="P3258" s="204" t="s">
        <v>2276</v>
      </c>
      <c r="Q3258" s="204" t="s">
        <v>2276</v>
      </c>
      <c r="R3258" s="204" t="s">
        <v>2276</v>
      </c>
      <c r="S3258" s="204" t="s">
        <v>2276</v>
      </c>
      <c r="T3258" s="204" t="s">
        <v>2276</v>
      </c>
      <c r="U3258" s="204" t="s">
        <v>2276</v>
      </c>
      <c r="V3258" s="204" t="s">
        <v>2276</v>
      </c>
      <c r="W3258" s="204" t="s">
        <v>2276</v>
      </c>
      <c r="X3258" s="21" t="s">
        <v>2276</v>
      </c>
      <c r="Y3258" s="21" t="s">
        <v>2276</v>
      </c>
      <c r="Z3258" s="21" t="s">
        <v>2276</v>
      </c>
      <c r="AA3258" s="204"/>
      <c r="AB3258" s="204"/>
    </row>
    <row r="3259" spans="1:28" ht="39" customHeight="1">
      <c r="A3259" s="156" t="str">
        <f>'Reported burning'!A3259</f>
        <v>362c</v>
      </c>
      <c r="B3259" s="156" t="str">
        <f>'Reported burning'!B3259</f>
        <v>362c.3</v>
      </c>
      <c r="C3259" s="156" t="str">
        <f>'Reported burning'!C3259</f>
        <v>Human, deliberate</v>
      </c>
      <c r="D3259" s="156" t="str">
        <f>'Reported burning'!D3259</f>
        <v>Conservation</v>
      </c>
      <c r="E3259" s="156" t="str">
        <f>'Reported burning'!E3259</f>
        <v>Biodiversity conservation</v>
      </c>
      <c r="F3259" s="156" t="str">
        <f>'Reported burning'!F3259</f>
        <v>Shrubland (Mixed forest &amp; grassland)</v>
      </c>
      <c r="G3259" s="156" t="str">
        <f>'Reported burning'!G3259</f>
        <v>Shrubland (Mixed forest &amp; grassland)</v>
      </c>
      <c r="H3259" s="156" t="str">
        <f>'Reported burning'!H3259</f>
        <v>Presence</v>
      </c>
      <c r="I3259" s="5"/>
      <c r="J3259" s="204" t="s">
        <v>2276</v>
      </c>
      <c r="K3259" s="204" t="s">
        <v>2276</v>
      </c>
      <c r="L3259" s="204" t="s">
        <v>2276</v>
      </c>
      <c r="M3259" s="204" t="s">
        <v>2276</v>
      </c>
      <c r="N3259" s="204" t="s">
        <v>2276</v>
      </c>
      <c r="O3259" s="204" t="s">
        <v>2276</v>
      </c>
      <c r="P3259" s="204" t="s">
        <v>2276</v>
      </c>
      <c r="Q3259" s="204" t="s">
        <v>2276</v>
      </c>
      <c r="R3259" s="204" t="s">
        <v>2276</v>
      </c>
      <c r="S3259" s="204" t="s">
        <v>2276</v>
      </c>
      <c r="T3259" s="204" t="s">
        <v>2276</v>
      </c>
      <c r="U3259" s="204" t="s">
        <v>2276</v>
      </c>
      <c r="V3259" s="204" t="s">
        <v>2276</v>
      </c>
      <c r="W3259" s="204" t="s">
        <v>2276</v>
      </c>
      <c r="X3259" s="21" t="s">
        <v>2276</v>
      </c>
      <c r="Y3259" s="21" t="s">
        <v>2276</v>
      </c>
      <c r="Z3259" s="21" t="s">
        <v>2276</v>
      </c>
      <c r="AA3259" s="204"/>
      <c r="AB3259" s="204"/>
    </row>
    <row r="3260" spans="1:28" ht="41" customHeight="1">
      <c r="A3260" s="156" t="str">
        <f>'Reported burning'!A3260</f>
        <v>363a</v>
      </c>
      <c r="B3260" s="156" t="str">
        <f>'Reported burning'!B3260</f>
        <v>363a.1</v>
      </c>
      <c r="C3260" s="156" t="str">
        <f>'Reported burning'!C3260</f>
        <v>Human, deliberate</v>
      </c>
      <c r="D3260" s="156" t="str">
        <f>'Reported burning'!D3260</f>
        <v>Pasture renewal</v>
      </c>
      <c r="E3260" s="156" t="str">
        <f>'Reported burning'!E3260</f>
        <v>Cattle, Extensive</v>
      </c>
      <c r="F3260" s="156" t="str">
        <f>'Reported burning'!F3260</f>
        <v>Shrubland (Mixed forest &amp; grassland)</v>
      </c>
      <c r="G3260" s="156" t="str">
        <f>'Reported burning'!G3260</f>
        <v>Shrubland (Mixed forest &amp; grassland)</v>
      </c>
      <c r="H3260" s="156" t="str">
        <f>'Reported burning'!H3260</f>
        <v>Presence</v>
      </c>
      <c r="I3260" s="5"/>
      <c r="J3260" s="204" t="s">
        <v>2276</v>
      </c>
      <c r="K3260" s="204" t="s">
        <v>2276</v>
      </c>
      <c r="L3260" s="204" t="s">
        <v>2276</v>
      </c>
      <c r="M3260" s="204" t="s">
        <v>2276</v>
      </c>
      <c r="N3260" s="204" t="s">
        <v>2276</v>
      </c>
      <c r="O3260" s="204" t="s">
        <v>2276</v>
      </c>
      <c r="P3260" s="204" t="s">
        <v>2276</v>
      </c>
      <c r="Q3260" s="204" t="s">
        <v>2276</v>
      </c>
      <c r="R3260" s="204" t="s">
        <v>2276</v>
      </c>
      <c r="S3260" s="204" t="s">
        <v>2276</v>
      </c>
      <c r="T3260" s="204" t="s">
        <v>2276</v>
      </c>
      <c r="U3260" s="204" t="s">
        <v>2276</v>
      </c>
      <c r="V3260" s="204" t="s">
        <v>2276</v>
      </c>
      <c r="W3260" s="204" t="s">
        <v>2276</v>
      </c>
      <c r="X3260" s="204" t="s">
        <v>189</v>
      </c>
      <c r="Y3260" s="204" t="s">
        <v>86</v>
      </c>
      <c r="Z3260" s="204" t="s">
        <v>2276</v>
      </c>
      <c r="AA3260" s="204" t="s">
        <v>8770</v>
      </c>
      <c r="AB3260" s="204"/>
    </row>
    <row r="3261" spans="1:28" ht="41" customHeight="1">
      <c r="A3261" s="156" t="str">
        <f>'Reported burning'!A3261</f>
        <v>363a</v>
      </c>
      <c r="B3261" s="156" t="str">
        <f>'Reported burning'!B3261</f>
        <v>363a.2</v>
      </c>
      <c r="C3261" s="156" t="str">
        <f>'Reported burning'!C3261</f>
        <v>Human, deliberate</v>
      </c>
      <c r="D3261" s="156" t="str">
        <f>'Reported burning'!D3261</f>
        <v>Pasture renewal</v>
      </c>
      <c r="E3261" s="156" t="str">
        <f>'Reported burning'!E3261</f>
        <v>Cattle, Extensive</v>
      </c>
      <c r="F3261" s="156" t="str">
        <f>'Reported burning'!F3261</f>
        <v>Shrubland (Mixed forest &amp; grassland)</v>
      </c>
      <c r="G3261" s="156" t="str">
        <f>'Reported burning'!G3261</f>
        <v>Shrubland (Mixed forest &amp; grassland)</v>
      </c>
      <c r="H3261" s="156" t="str">
        <f>'Reported burning'!H3261</f>
        <v>Presence</v>
      </c>
      <c r="I3261" s="5"/>
      <c r="J3261" s="204" t="s">
        <v>2276</v>
      </c>
      <c r="K3261" s="204" t="s">
        <v>2276</v>
      </c>
      <c r="L3261" s="204" t="s">
        <v>2276</v>
      </c>
      <c r="M3261" s="204" t="s">
        <v>2276</v>
      </c>
      <c r="N3261" s="204" t="s">
        <v>2276</v>
      </c>
      <c r="O3261" s="204" t="s">
        <v>2276</v>
      </c>
      <c r="P3261" s="204" t="s">
        <v>2276</v>
      </c>
      <c r="Q3261" s="204" t="s">
        <v>2276</v>
      </c>
      <c r="R3261" s="204" t="s">
        <v>2276</v>
      </c>
      <c r="S3261" s="204" t="s">
        <v>2276</v>
      </c>
      <c r="T3261" s="204" t="s">
        <v>2276</v>
      </c>
      <c r="U3261" s="204" t="s">
        <v>2276</v>
      </c>
      <c r="V3261" s="204" t="s">
        <v>2276</v>
      </c>
      <c r="W3261" s="204" t="s">
        <v>2276</v>
      </c>
      <c r="X3261" s="204" t="s">
        <v>405</v>
      </c>
      <c r="Y3261" s="204" t="s">
        <v>35</v>
      </c>
      <c r="Z3261" s="204" t="s">
        <v>2276</v>
      </c>
      <c r="AA3261" s="204" t="s">
        <v>8770</v>
      </c>
      <c r="AB3261" s="204"/>
    </row>
    <row r="3262" spans="1:28" ht="41" customHeight="1">
      <c r="A3262" s="156" t="str">
        <f>'Reported burning'!A3262</f>
        <v>363a</v>
      </c>
      <c r="B3262" s="156" t="str">
        <f>'Reported burning'!B3262</f>
        <v>363a.3</v>
      </c>
      <c r="C3262" s="156" t="str">
        <f>'Reported burning'!C3262</f>
        <v>Human, deliberate</v>
      </c>
      <c r="D3262" s="156" t="str">
        <f>'Reported burning'!D3262</f>
        <v>Crop residue burning</v>
      </c>
      <c r="E3262" s="156" t="str">
        <f>'Reported burning'!E3262</f>
        <v>Cropping, Intensive</v>
      </c>
      <c r="F3262" s="156" t="str">
        <f>'Reported burning'!F3262</f>
        <v>Cropland</v>
      </c>
      <c r="G3262" s="156" t="str">
        <f>'Reported burning'!G3262</f>
        <v>Cropland</v>
      </c>
      <c r="H3262" s="156" t="str">
        <f>'Reported burning'!H3262</f>
        <v>Presence</v>
      </c>
      <c r="I3262" s="5"/>
      <c r="J3262" s="204" t="s">
        <v>2276</v>
      </c>
      <c r="K3262" s="204" t="s">
        <v>2276</v>
      </c>
      <c r="L3262" s="204" t="s">
        <v>2276</v>
      </c>
      <c r="M3262" s="204" t="s">
        <v>2276</v>
      </c>
      <c r="N3262" s="204" t="s">
        <v>2276</v>
      </c>
      <c r="O3262" s="204" t="s">
        <v>2276</v>
      </c>
      <c r="P3262" s="204" t="s">
        <v>2276</v>
      </c>
      <c r="Q3262" s="204" t="s">
        <v>2276</v>
      </c>
      <c r="R3262" s="204" t="s">
        <v>2276</v>
      </c>
      <c r="S3262" s="204" t="s">
        <v>2276</v>
      </c>
      <c r="T3262" s="204" t="s">
        <v>2276</v>
      </c>
      <c r="U3262" s="204" t="s">
        <v>2276</v>
      </c>
      <c r="V3262" s="204" t="s">
        <v>2276</v>
      </c>
      <c r="W3262" s="204" t="s">
        <v>2276</v>
      </c>
      <c r="X3262" s="204" t="s">
        <v>189</v>
      </c>
      <c r="Y3262" s="204" t="s">
        <v>86</v>
      </c>
      <c r="Z3262" s="204" t="s">
        <v>2276</v>
      </c>
      <c r="AA3262" s="204"/>
      <c r="AB3262" s="204"/>
    </row>
    <row r="3263" spans="1:28" ht="41" customHeight="1">
      <c r="A3263" s="156" t="str">
        <f>'Reported burning'!A3263</f>
        <v>363a</v>
      </c>
      <c r="B3263" s="156" t="str">
        <f>'Reported burning'!B3263</f>
        <v>363a.4</v>
      </c>
      <c r="C3263" s="156" t="str">
        <f>'Reported burning'!C3263</f>
        <v>Human, deliberate</v>
      </c>
      <c r="D3263" s="156" t="str">
        <f>'Reported burning'!D3263</f>
        <v>Crop residue burning</v>
      </c>
      <c r="E3263" s="156" t="str">
        <f>'Reported burning'!E3263</f>
        <v>Cropping, Intensive</v>
      </c>
      <c r="F3263" s="156" t="str">
        <f>'Reported burning'!F3263</f>
        <v>Cropland</v>
      </c>
      <c r="G3263" s="156" t="str">
        <f>'Reported burning'!G3263</f>
        <v>Cropland</v>
      </c>
      <c r="H3263" s="156" t="str">
        <f>'Reported burning'!H3263</f>
        <v>Presence</v>
      </c>
      <c r="I3263" s="5"/>
      <c r="J3263" s="204" t="s">
        <v>2276</v>
      </c>
      <c r="K3263" s="204" t="s">
        <v>2276</v>
      </c>
      <c r="L3263" s="204" t="s">
        <v>2276</v>
      </c>
      <c r="M3263" s="204" t="s">
        <v>2276</v>
      </c>
      <c r="N3263" s="204" t="s">
        <v>2276</v>
      </c>
      <c r="O3263" s="204" t="s">
        <v>2276</v>
      </c>
      <c r="P3263" s="204" t="s">
        <v>2276</v>
      </c>
      <c r="Q3263" s="204" t="s">
        <v>2276</v>
      </c>
      <c r="R3263" s="204" t="s">
        <v>2276</v>
      </c>
      <c r="S3263" s="204" t="s">
        <v>2276</v>
      </c>
      <c r="T3263" s="204" t="s">
        <v>2276</v>
      </c>
      <c r="U3263" s="204" t="s">
        <v>2276</v>
      </c>
      <c r="V3263" s="204" t="s">
        <v>2276</v>
      </c>
      <c r="W3263" s="204" t="s">
        <v>2276</v>
      </c>
      <c r="X3263" s="204" t="s">
        <v>405</v>
      </c>
      <c r="Y3263" s="204" t="s">
        <v>35</v>
      </c>
      <c r="Z3263" s="204" t="s">
        <v>2276</v>
      </c>
      <c r="AA3263" s="204"/>
      <c r="AB3263" s="204"/>
    </row>
    <row r="3264" spans="1:28" ht="52.5" customHeight="1">
      <c r="A3264" s="156" t="str">
        <f>'Reported burning'!A3264</f>
        <v>363b</v>
      </c>
      <c r="B3264" s="156" t="str">
        <f>'Reported burning'!B3264</f>
        <v>363b.1</v>
      </c>
      <c r="C3264" s="156" t="str">
        <f>'Reported burning'!C3264</f>
        <v>Human, deliberate</v>
      </c>
      <c r="D3264" s="156" t="str">
        <f>'Reported burning'!D3264</f>
        <v>Pasture renewal</v>
      </c>
      <c r="E3264" s="156" t="str">
        <f>'Reported burning'!E3264</f>
        <v>Cattle, Extensive</v>
      </c>
      <c r="F3264" s="156" t="str">
        <f>'Reported burning'!F3264</f>
        <v>Grassland</v>
      </c>
      <c r="G3264" s="156" t="str">
        <f>'Reported burning'!G3264</f>
        <v>Grassland</v>
      </c>
      <c r="H3264" s="156" t="str">
        <f>'Reported burning'!H3264</f>
        <v>Presence</v>
      </c>
      <c r="I3264" s="5"/>
      <c r="J3264" s="21" t="s">
        <v>2276</v>
      </c>
      <c r="K3264" s="21" t="s">
        <v>2276</v>
      </c>
      <c r="L3264" s="21" t="s">
        <v>2276</v>
      </c>
      <c r="M3264" s="21" t="s">
        <v>2276</v>
      </c>
      <c r="N3264" s="21" t="s">
        <v>2276</v>
      </c>
      <c r="O3264" s="21" t="s">
        <v>2276</v>
      </c>
      <c r="P3264" s="21" t="s">
        <v>2276</v>
      </c>
      <c r="Q3264" s="21" t="s">
        <v>2276</v>
      </c>
      <c r="R3264" s="21" t="s">
        <v>2276</v>
      </c>
      <c r="S3264" s="21" t="s">
        <v>2276</v>
      </c>
      <c r="T3264" s="21" t="s">
        <v>2276</v>
      </c>
      <c r="U3264" s="21" t="s">
        <v>2276</v>
      </c>
      <c r="V3264" s="21" t="s">
        <v>2276</v>
      </c>
      <c r="W3264" s="21" t="s">
        <v>2276</v>
      </c>
      <c r="X3264" s="204" t="s">
        <v>189</v>
      </c>
      <c r="Y3264" s="204" t="s">
        <v>86</v>
      </c>
      <c r="Z3264" s="21" t="s">
        <v>2276</v>
      </c>
      <c r="AA3264" s="74" t="s">
        <v>8763</v>
      </c>
      <c r="AB3264" s="204"/>
    </row>
    <row r="3265" spans="1:28" ht="52.5" customHeight="1">
      <c r="A3265" s="156" t="str">
        <f>'Reported burning'!A3265</f>
        <v>363b</v>
      </c>
      <c r="B3265" s="156" t="str">
        <f>'Reported burning'!B3265</f>
        <v>363b.2</v>
      </c>
      <c r="C3265" s="156" t="str">
        <f>'Reported burning'!C3265</f>
        <v>Human, deliberate</v>
      </c>
      <c r="D3265" s="156" t="str">
        <f>'Reported burning'!D3265</f>
        <v>Pasture renewal</v>
      </c>
      <c r="E3265" s="156" t="str">
        <f>'Reported burning'!E3265</f>
        <v>Cattle, Extensive</v>
      </c>
      <c r="F3265" s="156" t="str">
        <f>'Reported burning'!F3265</f>
        <v>Grassland</v>
      </c>
      <c r="G3265" s="156" t="str">
        <f>'Reported burning'!G3265</f>
        <v>Grassland</v>
      </c>
      <c r="H3265" s="156" t="str">
        <f>'Reported burning'!H3265</f>
        <v>Presence</v>
      </c>
      <c r="I3265" s="5"/>
      <c r="J3265" s="21" t="s">
        <v>2276</v>
      </c>
      <c r="K3265" s="21" t="s">
        <v>2276</v>
      </c>
      <c r="L3265" s="21" t="s">
        <v>2276</v>
      </c>
      <c r="M3265" s="21" t="s">
        <v>2276</v>
      </c>
      <c r="N3265" s="21" t="s">
        <v>2276</v>
      </c>
      <c r="O3265" s="21" t="s">
        <v>2276</v>
      </c>
      <c r="P3265" s="21" t="s">
        <v>2276</v>
      </c>
      <c r="Q3265" s="21" t="s">
        <v>2276</v>
      </c>
      <c r="R3265" s="21" t="s">
        <v>2276</v>
      </c>
      <c r="S3265" s="21" t="s">
        <v>2276</v>
      </c>
      <c r="T3265" s="21" t="s">
        <v>2276</v>
      </c>
      <c r="U3265" s="21" t="s">
        <v>2276</v>
      </c>
      <c r="V3265" s="21" t="s">
        <v>2276</v>
      </c>
      <c r="W3265" s="21" t="s">
        <v>2276</v>
      </c>
      <c r="X3265" s="204" t="s">
        <v>405</v>
      </c>
      <c r="Y3265" s="204" t="s">
        <v>35</v>
      </c>
      <c r="Z3265" s="21" t="s">
        <v>2276</v>
      </c>
      <c r="AA3265" s="74" t="s">
        <v>8763</v>
      </c>
      <c r="AB3265" s="204"/>
    </row>
    <row r="3266" spans="1:28" ht="52.5" customHeight="1">
      <c r="A3266" s="156" t="str">
        <f>'Reported burning'!A3266</f>
        <v>363b</v>
      </c>
      <c r="B3266" s="156" t="str">
        <f>'Reported burning'!B3266</f>
        <v>363b.3</v>
      </c>
      <c r="C3266" s="156" t="str">
        <f>'Reported burning'!C3266</f>
        <v>Human, deliberate</v>
      </c>
      <c r="D3266" s="156" t="str">
        <f>'Reported burning'!D3266</f>
        <v>Crop residue burning</v>
      </c>
      <c r="E3266" s="156" t="str">
        <f>'Reported burning'!E3266</f>
        <v>Cropping, Intensive</v>
      </c>
      <c r="F3266" s="156" t="str">
        <f>'Reported burning'!F3266</f>
        <v>Cropland</v>
      </c>
      <c r="G3266" s="156" t="str">
        <f>'Reported burning'!G3266</f>
        <v>Cropland</v>
      </c>
      <c r="H3266" s="156" t="str">
        <f>'Reported burning'!H3266</f>
        <v>Presence</v>
      </c>
      <c r="I3266" s="5"/>
      <c r="J3266" s="21" t="s">
        <v>2276</v>
      </c>
      <c r="K3266" s="21" t="s">
        <v>2276</v>
      </c>
      <c r="L3266" s="21" t="s">
        <v>2276</v>
      </c>
      <c r="M3266" s="21" t="s">
        <v>2276</v>
      </c>
      <c r="N3266" s="21" t="s">
        <v>2276</v>
      </c>
      <c r="O3266" s="21" t="s">
        <v>2276</v>
      </c>
      <c r="P3266" s="21" t="s">
        <v>2276</v>
      </c>
      <c r="Q3266" s="21" t="s">
        <v>2276</v>
      </c>
      <c r="R3266" s="21" t="s">
        <v>2276</v>
      </c>
      <c r="S3266" s="21" t="s">
        <v>2276</v>
      </c>
      <c r="T3266" s="21" t="s">
        <v>2276</v>
      </c>
      <c r="U3266" s="21" t="s">
        <v>2276</v>
      </c>
      <c r="V3266" s="21" t="s">
        <v>2276</v>
      </c>
      <c r="W3266" s="21" t="s">
        <v>2276</v>
      </c>
      <c r="X3266" s="204" t="s">
        <v>189</v>
      </c>
      <c r="Y3266" s="204" t="s">
        <v>86</v>
      </c>
      <c r="Z3266" s="21" t="s">
        <v>2276</v>
      </c>
      <c r="AA3266" s="74" t="s">
        <v>8763</v>
      </c>
      <c r="AB3266" s="204"/>
    </row>
    <row r="3267" spans="1:28" ht="52.5" customHeight="1">
      <c r="A3267" s="156" t="str">
        <f>'Reported burning'!A3267</f>
        <v>363b</v>
      </c>
      <c r="B3267" s="156" t="str">
        <f>'Reported burning'!B3267</f>
        <v>363b.4</v>
      </c>
      <c r="C3267" s="156" t="str">
        <f>'Reported burning'!C3267</f>
        <v>Human, deliberate</v>
      </c>
      <c r="D3267" s="156" t="str">
        <f>'Reported burning'!D3267</f>
        <v>Crop residue burning</v>
      </c>
      <c r="E3267" s="156" t="str">
        <f>'Reported burning'!E3267</f>
        <v>Cropping, Intensive</v>
      </c>
      <c r="F3267" s="156" t="str">
        <f>'Reported burning'!F3267</f>
        <v>Cropland</v>
      </c>
      <c r="G3267" s="156" t="str">
        <f>'Reported burning'!G3267</f>
        <v>Cropland</v>
      </c>
      <c r="H3267" s="156" t="str">
        <f>'Reported burning'!H3267</f>
        <v>Presence</v>
      </c>
      <c r="I3267" s="5"/>
      <c r="J3267" s="21" t="s">
        <v>2276</v>
      </c>
      <c r="K3267" s="21" t="s">
        <v>2276</v>
      </c>
      <c r="L3267" s="21" t="s">
        <v>2276</v>
      </c>
      <c r="M3267" s="21" t="s">
        <v>2276</v>
      </c>
      <c r="N3267" s="21" t="s">
        <v>2276</v>
      </c>
      <c r="O3267" s="21" t="s">
        <v>2276</v>
      </c>
      <c r="P3267" s="21" t="s">
        <v>2276</v>
      </c>
      <c r="Q3267" s="21" t="s">
        <v>2276</v>
      </c>
      <c r="R3267" s="21" t="s">
        <v>2276</v>
      </c>
      <c r="S3267" s="21" t="s">
        <v>2276</v>
      </c>
      <c r="T3267" s="21" t="s">
        <v>2276</v>
      </c>
      <c r="U3267" s="21" t="s">
        <v>2276</v>
      </c>
      <c r="V3267" s="21" t="s">
        <v>2276</v>
      </c>
      <c r="W3267" s="21" t="s">
        <v>2276</v>
      </c>
      <c r="X3267" s="204" t="s">
        <v>405</v>
      </c>
      <c r="Y3267" s="204" t="s">
        <v>35</v>
      </c>
      <c r="Z3267" s="21" t="s">
        <v>2276</v>
      </c>
      <c r="AA3267" s="74" t="s">
        <v>8763</v>
      </c>
      <c r="AB3267" s="204"/>
    </row>
    <row r="3268" spans="1:28" ht="52.5" customHeight="1">
      <c r="A3268" s="156" t="str">
        <f>'Reported burning'!A3268</f>
        <v>363c</v>
      </c>
      <c r="B3268" s="156" t="str">
        <f>'Reported burning'!B3268</f>
        <v>363c.1</v>
      </c>
      <c r="C3268" s="156" t="str">
        <f>'Reported burning'!C3268</f>
        <v>Human, deliberate</v>
      </c>
      <c r="D3268" s="156" t="str">
        <f>'Reported burning'!D3268</f>
        <v>Pasture renewal</v>
      </c>
      <c r="E3268" s="156" t="str">
        <f>'Reported burning'!E3268</f>
        <v>Cattle, Extensive</v>
      </c>
      <c r="F3268" s="156" t="str">
        <f>'Reported burning'!F3268</f>
        <v>Grassland</v>
      </c>
      <c r="G3268" s="156" t="str">
        <f>'Reported burning'!G3268</f>
        <v>Grassland</v>
      </c>
      <c r="H3268" s="156" t="str">
        <f>'Reported burning'!H3268</f>
        <v>Presence</v>
      </c>
      <c r="I3268" s="5"/>
      <c r="J3268" s="21" t="s">
        <v>2276</v>
      </c>
      <c r="K3268" s="21" t="s">
        <v>2276</v>
      </c>
      <c r="L3268" s="21" t="s">
        <v>2276</v>
      </c>
      <c r="M3268" s="21" t="s">
        <v>2276</v>
      </c>
      <c r="N3268" s="21" t="s">
        <v>2276</v>
      </c>
      <c r="O3268" s="21" t="s">
        <v>2276</v>
      </c>
      <c r="P3268" s="21" t="s">
        <v>2276</v>
      </c>
      <c r="Q3268" s="21" t="s">
        <v>2276</v>
      </c>
      <c r="R3268" s="21" t="s">
        <v>2276</v>
      </c>
      <c r="S3268" s="21" t="s">
        <v>2276</v>
      </c>
      <c r="T3268" s="21" t="s">
        <v>2276</v>
      </c>
      <c r="U3268" s="21" t="s">
        <v>2276</v>
      </c>
      <c r="V3268" s="21" t="s">
        <v>2276</v>
      </c>
      <c r="W3268" s="21" t="s">
        <v>2276</v>
      </c>
      <c r="X3268" s="204" t="s">
        <v>189</v>
      </c>
      <c r="Y3268" s="204" t="s">
        <v>86</v>
      </c>
      <c r="Z3268" s="21" t="s">
        <v>2276</v>
      </c>
      <c r="AA3268" s="74" t="s">
        <v>8763</v>
      </c>
      <c r="AB3268" s="204"/>
    </row>
    <row r="3269" spans="1:28" ht="52.5" customHeight="1">
      <c r="A3269" s="156" t="str">
        <f>'Reported burning'!A3269</f>
        <v>363c</v>
      </c>
      <c r="B3269" s="156" t="str">
        <f>'Reported burning'!B3269</f>
        <v>363c.2</v>
      </c>
      <c r="C3269" s="156" t="str">
        <f>'Reported burning'!C3269</f>
        <v>Human, deliberate</v>
      </c>
      <c r="D3269" s="156" t="str">
        <f>'Reported burning'!D3269</f>
        <v>Pasture renewal</v>
      </c>
      <c r="E3269" s="156" t="str">
        <f>'Reported burning'!E3269</f>
        <v>Cattle, Extensive</v>
      </c>
      <c r="F3269" s="156" t="str">
        <f>'Reported burning'!F3269</f>
        <v>Grassland</v>
      </c>
      <c r="G3269" s="156" t="str">
        <f>'Reported burning'!G3269</f>
        <v>Grassland</v>
      </c>
      <c r="H3269" s="156" t="str">
        <f>'Reported burning'!H3269</f>
        <v>Presence</v>
      </c>
      <c r="I3269" s="5"/>
      <c r="J3269" s="21" t="s">
        <v>2276</v>
      </c>
      <c r="K3269" s="21" t="s">
        <v>2276</v>
      </c>
      <c r="L3269" s="21" t="s">
        <v>2276</v>
      </c>
      <c r="M3269" s="21" t="s">
        <v>2276</v>
      </c>
      <c r="N3269" s="21" t="s">
        <v>2276</v>
      </c>
      <c r="O3269" s="21" t="s">
        <v>2276</v>
      </c>
      <c r="P3269" s="21" t="s">
        <v>2276</v>
      </c>
      <c r="Q3269" s="21" t="s">
        <v>2276</v>
      </c>
      <c r="R3269" s="21" t="s">
        <v>2276</v>
      </c>
      <c r="S3269" s="21" t="s">
        <v>2276</v>
      </c>
      <c r="T3269" s="21" t="s">
        <v>2276</v>
      </c>
      <c r="U3269" s="21" t="s">
        <v>2276</v>
      </c>
      <c r="V3269" s="21" t="s">
        <v>2276</v>
      </c>
      <c r="W3269" s="21" t="s">
        <v>2276</v>
      </c>
      <c r="X3269" s="204" t="s">
        <v>405</v>
      </c>
      <c r="Y3269" s="204" t="s">
        <v>35</v>
      </c>
      <c r="Z3269" s="21" t="s">
        <v>2276</v>
      </c>
      <c r="AA3269" s="74" t="s">
        <v>8763</v>
      </c>
      <c r="AB3269" s="204"/>
    </row>
    <row r="3270" spans="1:28" ht="52.5" customHeight="1">
      <c r="A3270" s="156" t="str">
        <f>'Reported burning'!A3270</f>
        <v>363c</v>
      </c>
      <c r="B3270" s="156" t="str">
        <f>'Reported burning'!B3270</f>
        <v>363c.3</v>
      </c>
      <c r="C3270" s="156" t="str">
        <f>'Reported burning'!C3270</f>
        <v>Human, deliberate</v>
      </c>
      <c r="D3270" s="156" t="str">
        <f>'Reported burning'!D3270</f>
        <v>Crop residue burning</v>
      </c>
      <c r="E3270" s="156" t="str">
        <f>'Reported burning'!E3270</f>
        <v>Cropping, Intensive</v>
      </c>
      <c r="F3270" s="156" t="str">
        <f>'Reported burning'!F3270</f>
        <v>Cropland</v>
      </c>
      <c r="G3270" s="156" t="str">
        <f>'Reported burning'!G3270</f>
        <v>Cropland</v>
      </c>
      <c r="H3270" s="156" t="str">
        <f>'Reported burning'!H3270</f>
        <v>Presence</v>
      </c>
      <c r="I3270" s="5"/>
      <c r="J3270" s="21" t="s">
        <v>2276</v>
      </c>
      <c r="K3270" s="21" t="s">
        <v>2276</v>
      </c>
      <c r="L3270" s="21" t="s">
        <v>2276</v>
      </c>
      <c r="M3270" s="21" t="s">
        <v>2276</v>
      </c>
      <c r="N3270" s="21" t="s">
        <v>2276</v>
      </c>
      <c r="O3270" s="21" t="s">
        <v>2276</v>
      </c>
      <c r="P3270" s="21" t="s">
        <v>2276</v>
      </c>
      <c r="Q3270" s="21" t="s">
        <v>2276</v>
      </c>
      <c r="R3270" s="21" t="s">
        <v>2276</v>
      </c>
      <c r="S3270" s="21" t="s">
        <v>2276</v>
      </c>
      <c r="T3270" s="21" t="s">
        <v>2276</v>
      </c>
      <c r="U3270" s="21" t="s">
        <v>2276</v>
      </c>
      <c r="V3270" s="21" t="s">
        <v>2276</v>
      </c>
      <c r="W3270" s="21" t="s">
        <v>2276</v>
      </c>
      <c r="X3270" s="204" t="s">
        <v>189</v>
      </c>
      <c r="Y3270" s="204" t="s">
        <v>86</v>
      </c>
      <c r="Z3270" s="21" t="s">
        <v>2276</v>
      </c>
      <c r="AA3270" s="74" t="s">
        <v>8763</v>
      </c>
      <c r="AB3270" s="204"/>
    </row>
    <row r="3271" spans="1:28" ht="52.5" customHeight="1">
      <c r="A3271" s="156" t="str">
        <f>'Reported burning'!A3271</f>
        <v>363c</v>
      </c>
      <c r="B3271" s="156" t="str">
        <f>'Reported burning'!B3271</f>
        <v>363c.4</v>
      </c>
      <c r="C3271" s="156" t="str">
        <f>'Reported burning'!C3271</f>
        <v>Human, deliberate</v>
      </c>
      <c r="D3271" s="156" t="str">
        <f>'Reported burning'!D3271</f>
        <v>Crop residue burning</v>
      </c>
      <c r="E3271" s="156" t="str">
        <f>'Reported burning'!E3271</f>
        <v>Cropping, Intensive</v>
      </c>
      <c r="F3271" s="156" t="str">
        <f>'Reported burning'!F3271</f>
        <v>Cropland</v>
      </c>
      <c r="G3271" s="156" t="str">
        <f>'Reported burning'!G3271</f>
        <v>Cropland</v>
      </c>
      <c r="H3271" s="156" t="str">
        <f>'Reported burning'!H3271</f>
        <v>Presence</v>
      </c>
      <c r="I3271" s="5"/>
      <c r="J3271" s="21" t="s">
        <v>2276</v>
      </c>
      <c r="K3271" s="21" t="s">
        <v>2276</v>
      </c>
      <c r="L3271" s="21" t="s">
        <v>2276</v>
      </c>
      <c r="M3271" s="21" t="s">
        <v>2276</v>
      </c>
      <c r="N3271" s="21" t="s">
        <v>2276</v>
      </c>
      <c r="O3271" s="21" t="s">
        <v>2276</v>
      </c>
      <c r="P3271" s="21" t="s">
        <v>2276</v>
      </c>
      <c r="Q3271" s="21" t="s">
        <v>2276</v>
      </c>
      <c r="R3271" s="21" t="s">
        <v>2276</v>
      </c>
      <c r="S3271" s="21" t="s">
        <v>2276</v>
      </c>
      <c r="T3271" s="21" t="s">
        <v>2276</v>
      </c>
      <c r="U3271" s="21" t="s">
        <v>2276</v>
      </c>
      <c r="V3271" s="21" t="s">
        <v>2276</v>
      </c>
      <c r="W3271" s="21" t="s">
        <v>2276</v>
      </c>
      <c r="X3271" s="204" t="s">
        <v>405</v>
      </c>
      <c r="Y3271" s="204" t="s">
        <v>35</v>
      </c>
      <c r="Z3271" s="21" t="s">
        <v>2276</v>
      </c>
      <c r="AA3271" s="74" t="s">
        <v>8763</v>
      </c>
      <c r="AB3271" s="204"/>
    </row>
    <row r="3272" spans="1:28" ht="42" customHeight="1">
      <c r="A3272" s="156" t="str">
        <f>'Reported burning'!A3272</f>
        <v>364a</v>
      </c>
      <c r="B3272" s="156" t="str">
        <f>'Reported burning'!B3272</f>
        <v>364a.1</v>
      </c>
      <c r="C3272" s="156" t="str">
        <f>'Reported burning'!C3272</f>
        <v>Human, deliberate</v>
      </c>
      <c r="D3272" s="156" t="str">
        <f>'Reported burning'!D3272</f>
        <v>Crop residue burning</v>
      </c>
      <c r="E3272" s="156" t="str">
        <f>'Reported burning'!E3272</f>
        <v>Cropping, Monoculture, Market-oriented</v>
      </c>
      <c r="F3272" s="156" t="str">
        <f>'Reported burning'!F3272</f>
        <v>Cropland</v>
      </c>
      <c r="G3272" s="156" t="str">
        <f>'Reported burning'!G3272</f>
        <v>Cropland</v>
      </c>
      <c r="H3272" s="156" t="str">
        <f>'Reported burning'!H3272</f>
        <v>Presence</v>
      </c>
      <c r="I3272" s="5"/>
      <c r="J3272" s="21" t="s">
        <v>2276</v>
      </c>
      <c r="K3272" s="21" t="s">
        <v>2276</v>
      </c>
      <c r="L3272" s="21" t="s">
        <v>2276</v>
      </c>
      <c r="M3272" s="21" t="s">
        <v>2276</v>
      </c>
      <c r="N3272" s="21" t="s">
        <v>2276</v>
      </c>
      <c r="O3272" s="21" t="s">
        <v>2276</v>
      </c>
      <c r="P3272" s="21" t="s">
        <v>2276</v>
      </c>
      <c r="Q3272" s="21" t="s">
        <v>2276</v>
      </c>
      <c r="R3272" s="21" t="s">
        <v>2276</v>
      </c>
      <c r="S3272" s="21" t="s">
        <v>2276</v>
      </c>
      <c r="T3272" s="21" t="s">
        <v>2276</v>
      </c>
      <c r="U3272" s="21" t="s">
        <v>2276</v>
      </c>
      <c r="V3272" s="21" t="s">
        <v>2276</v>
      </c>
      <c r="W3272" s="21" t="s">
        <v>2375</v>
      </c>
      <c r="X3272" s="204" t="s">
        <v>425</v>
      </c>
      <c r="Y3272" s="204" t="s">
        <v>68</v>
      </c>
      <c r="Z3272" s="21" t="s">
        <v>2276</v>
      </c>
      <c r="AA3272" s="204"/>
      <c r="AB3272" s="204"/>
    </row>
    <row r="3273" spans="1:28" ht="42" customHeight="1">
      <c r="A3273" s="156" t="str">
        <f>'Reported burning'!A3273</f>
        <v>364b</v>
      </c>
      <c r="B3273" s="156" t="str">
        <f>'Reported burning'!B3273</f>
        <v>364b</v>
      </c>
      <c r="C3273" s="156" t="str">
        <f>'Reported burning'!C3273</f>
        <v>Human, deliberate</v>
      </c>
      <c r="D3273" s="156" t="str">
        <f>'Reported burning'!D3273</f>
        <v>Crop residue burning</v>
      </c>
      <c r="E3273" s="156" t="str">
        <f>'Reported burning'!E3273</f>
        <v>Cropping, Monoculture, Market-oriented</v>
      </c>
      <c r="F3273" s="156" t="str">
        <f>'Reported burning'!F3273</f>
        <v>Cropland</v>
      </c>
      <c r="G3273" s="156" t="str">
        <f>'Reported burning'!G3273</f>
        <v>Cropland</v>
      </c>
      <c r="H3273" s="156" t="str">
        <f>'Reported burning'!H3273</f>
        <v>Presence</v>
      </c>
      <c r="I3273" s="5"/>
      <c r="J3273" s="21" t="s">
        <v>2276</v>
      </c>
      <c r="K3273" s="21" t="s">
        <v>2276</v>
      </c>
      <c r="L3273" s="21" t="s">
        <v>2276</v>
      </c>
      <c r="M3273" s="21" t="s">
        <v>2276</v>
      </c>
      <c r="N3273" s="21" t="s">
        <v>2276</v>
      </c>
      <c r="O3273" s="21" t="s">
        <v>2276</v>
      </c>
      <c r="P3273" s="21" t="s">
        <v>2276</v>
      </c>
      <c r="Q3273" s="21" t="s">
        <v>2276</v>
      </c>
      <c r="R3273" s="21" t="s">
        <v>2276</v>
      </c>
      <c r="S3273" s="21" t="s">
        <v>2276</v>
      </c>
      <c r="T3273" s="21" t="s">
        <v>2276</v>
      </c>
      <c r="U3273" s="21" t="s">
        <v>2276</v>
      </c>
      <c r="V3273" s="21" t="s">
        <v>2276</v>
      </c>
      <c r="W3273" s="21" t="s">
        <v>2375</v>
      </c>
      <c r="X3273" s="204" t="s">
        <v>425</v>
      </c>
      <c r="Y3273" s="204" t="s">
        <v>68</v>
      </c>
      <c r="Z3273" s="21" t="s">
        <v>2276</v>
      </c>
      <c r="AA3273" s="204"/>
      <c r="AB3273" s="204"/>
    </row>
    <row r="3274" spans="1:28" ht="42" customHeight="1">
      <c r="A3274" s="156" t="str">
        <f>'Reported burning'!A3274</f>
        <v>364c</v>
      </c>
      <c r="B3274" s="156" t="str">
        <f>'Reported burning'!B3274</f>
        <v>364c</v>
      </c>
      <c r="C3274" s="156" t="str">
        <f>'Reported burning'!C3274</f>
        <v>Human, deliberate</v>
      </c>
      <c r="D3274" s="156" t="str">
        <f>'Reported burning'!D3274</f>
        <v>Crop residue burning</v>
      </c>
      <c r="E3274" s="156" t="str">
        <f>'Reported burning'!E3274</f>
        <v>Cropping, Monoculture, Market-oriented</v>
      </c>
      <c r="F3274" s="156" t="str">
        <f>'Reported burning'!F3274</f>
        <v>Cropland</v>
      </c>
      <c r="G3274" s="156" t="str">
        <f>'Reported burning'!G3274</f>
        <v>Cropland</v>
      </c>
      <c r="H3274" s="156" t="str">
        <f>'Reported burning'!H3274</f>
        <v>Presence</v>
      </c>
      <c r="I3274" s="5"/>
      <c r="J3274" s="21" t="s">
        <v>2276</v>
      </c>
      <c r="K3274" s="21" t="s">
        <v>2276</v>
      </c>
      <c r="L3274" s="21" t="s">
        <v>2276</v>
      </c>
      <c r="M3274" s="21" t="s">
        <v>2276</v>
      </c>
      <c r="N3274" s="21" t="s">
        <v>2276</v>
      </c>
      <c r="O3274" s="21" t="s">
        <v>2276</v>
      </c>
      <c r="P3274" s="21" t="s">
        <v>2276</v>
      </c>
      <c r="Q3274" s="21" t="s">
        <v>2276</v>
      </c>
      <c r="R3274" s="21" t="s">
        <v>2276</v>
      </c>
      <c r="S3274" s="21" t="s">
        <v>2276</v>
      </c>
      <c r="T3274" s="21" t="s">
        <v>2276</v>
      </c>
      <c r="U3274" s="21" t="s">
        <v>2276</v>
      </c>
      <c r="V3274" s="21" t="s">
        <v>2276</v>
      </c>
      <c r="W3274" s="21" t="s">
        <v>2375</v>
      </c>
      <c r="X3274" s="204" t="s">
        <v>425</v>
      </c>
      <c r="Y3274" s="204" t="s">
        <v>68</v>
      </c>
      <c r="Z3274" s="21" t="s">
        <v>2276</v>
      </c>
      <c r="AA3274" s="204"/>
      <c r="AB3274" s="204"/>
    </row>
    <row r="3275" spans="1:28" ht="42" customHeight="1">
      <c r="A3275" s="156" t="str">
        <f>'Reported burning'!A3275</f>
        <v>364d</v>
      </c>
      <c r="B3275" s="156" t="str">
        <f>'Reported burning'!B3275</f>
        <v>364d</v>
      </c>
      <c r="C3275" s="156" t="str">
        <f>'Reported burning'!C3275</f>
        <v>Human, deliberate</v>
      </c>
      <c r="D3275" s="156" t="str">
        <f>'Reported burning'!D3275</f>
        <v>Crop residue burning</v>
      </c>
      <c r="E3275" s="156" t="str">
        <f>'Reported burning'!E3275</f>
        <v>Cropping, Monoculture, Market-oriented</v>
      </c>
      <c r="F3275" s="156" t="str">
        <f>'Reported burning'!F3275</f>
        <v>Cropland</v>
      </c>
      <c r="G3275" s="156" t="str">
        <f>'Reported burning'!G3275</f>
        <v>Cropland</v>
      </c>
      <c r="H3275" s="156" t="str">
        <f>'Reported burning'!H3275</f>
        <v>Presence</v>
      </c>
      <c r="I3275" s="5"/>
      <c r="J3275" s="21" t="s">
        <v>2276</v>
      </c>
      <c r="K3275" s="21" t="s">
        <v>2276</v>
      </c>
      <c r="L3275" s="21" t="s">
        <v>2276</v>
      </c>
      <c r="M3275" s="21" t="s">
        <v>2276</v>
      </c>
      <c r="N3275" s="21" t="s">
        <v>2276</v>
      </c>
      <c r="O3275" s="21" t="s">
        <v>2276</v>
      </c>
      <c r="P3275" s="21" t="s">
        <v>2276</v>
      </c>
      <c r="Q3275" s="21" t="s">
        <v>2276</v>
      </c>
      <c r="R3275" s="21" t="s">
        <v>2276</v>
      </c>
      <c r="S3275" s="21" t="s">
        <v>2276</v>
      </c>
      <c r="T3275" s="21" t="s">
        <v>2276</v>
      </c>
      <c r="U3275" s="21" t="s">
        <v>2276</v>
      </c>
      <c r="V3275" s="21" t="s">
        <v>2276</v>
      </c>
      <c r="W3275" s="21" t="s">
        <v>2375</v>
      </c>
      <c r="X3275" s="204" t="s">
        <v>425</v>
      </c>
      <c r="Y3275" s="204" t="s">
        <v>68</v>
      </c>
      <c r="Z3275" s="21" t="s">
        <v>2276</v>
      </c>
      <c r="AA3275" s="204"/>
      <c r="AB3275" s="204"/>
    </row>
    <row r="3276" spans="1:28" ht="42" customHeight="1">
      <c r="A3276" s="156" t="str">
        <f>'Reported burning'!A3276</f>
        <v>364e</v>
      </c>
      <c r="B3276" s="156" t="str">
        <f>'Reported burning'!B3276</f>
        <v>364e</v>
      </c>
      <c r="C3276" s="156" t="str">
        <f>'Reported burning'!C3276</f>
        <v>Human, deliberate</v>
      </c>
      <c r="D3276" s="156" t="str">
        <f>'Reported burning'!D3276</f>
        <v>Crop residue burning</v>
      </c>
      <c r="E3276" s="156" t="str">
        <f>'Reported burning'!E3276</f>
        <v>Cropping, Monoculture, Market-oriented</v>
      </c>
      <c r="F3276" s="156" t="str">
        <f>'Reported burning'!F3276</f>
        <v>Cropland</v>
      </c>
      <c r="G3276" s="156" t="str">
        <f>'Reported burning'!G3276</f>
        <v>Cropland</v>
      </c>
      <c r="H3276" s="156" t="str">
        <f>'Reported burning'!H3276</f>
        <v>Presence</v>
      </c>
      <c r="I3276" s="5"/>
      <c r="J3276" s="21" t="s">
        <v>2276</v>
      </c>
      <c r="K3276" s="21" t="s">
        <v>2276</v>
      </c>
      <c r="L3276" s="21" t="s">
        <v>2276</v>
      </c>
      <c r="M3276" s="21" t="s">
        <v>2276</v>
      </c>
      <c r="N3276" s="21" t="s">
        <v>2276</v>
      </c>
      <c r="O3276" s="21" t="s">
        <v>2276</v>
      </c>
      <c r="P3276" s="21" t="s">
        <v>2276</v>
      </c>
      <c r="Q3276" s="21" t="s">
        <v>2276</v>
      </c>
      <c r="R3276" s="21" t="s">
        <v>2276</v>
      </c>
      <c r="S3276" s="21" t="s">
        <v>2276</v>
      </c>
      <c r="T3276" s="21" t="s">
        <v>2276</v>
      </c>
      <c r="U3276" s="21" t="s">
        <v>2276</v>
      </c>
      <c r="V3276" s="21" t="s">
        <v>2276</v>
      </c>
      <c r="W3276" s="21" t="s">
        <v>2375</v>
      </c>
      <c r="X3276" s="204" t="s">
        <v>425</v>
      </c>
      <c r="Y3276" s="204" t="s">
        <v>68</v>
      </c>
      <c r="Z3276" s="21" t="s">
        <v>2276</v>
      </c>
      <c r="AA3276" s="204"/>
      <c r="AB3276" s="204"/>
    </row>
    <row r="3277" spans="1:28" ht="42" customHeight="1">
      <c r="A3277" s="156" t="str">
        <f>'Reported burning'!A3277</f>
        <v>364f</v>
      </c>
      <c r="B3277" s="156" t="str">
        <f>'Reported burning'!B3277</f>
        <v>364f</v>
      </c>
      <c r="C3277" s="156" t="str">
        <f>'Reported burning'!C3277</f>
        <v>Human, deliberate</v>
      </c>
      <c r="D3277" s="156" t="str">
        <f>'Reported burning'!D3277</f>
        <v>Crop residue burning</v>
      </c>
      <c r="E3277" s="156" t="str">
        <f>'Reported burning'!E3277</f>
        <v>Cropping, Monoculture, Market-oriented</v>
      </c>
      <c r="F3277" s="156" t="str">
        <f>'Reported burning'!F3277</f>
        <v>Cropland</v>
      </c>
      <c r="G3277" s="156" t="str">
        <f>'Reported burning'!G3277</f>
        <v>Cropland</v>
      </c>
      <c r="H3277" s="156" t="str">
        <f>'Reported burning'!H3277</f>
        <v>Presence</v>
      </c>
      <c r="I3277" s="5"/>
      <c r="J3277" s="21" t="s">
        <v>2276</v>
      </c>
      <c r="K3277" s="21" t="s">
        <v>2276</v>
      </c>
      <c r="L3277" s="21" t="s">
        <v>2276</v>
      </c>
      <c r="M3277" s="21" t="s">
        <v>2276</v>
      </c>
      <c r="N3277" s="21" t="s">
        <v>2276</v>
      </c>
      <c r="O3277" s="21" t="s">
        <v>2276</v>
      </c>
      <c r="P3277" s="21" t="s">
        <v>2276</v>
      </c>
      <c r="Q3277" s="21" t="s">
        <v>2276</v>
      </c>
      <c r="R3277" s="21" t="s">
        <v>2276</v>
      </c>
      <c r="S3277" s="21" t="s">
        <v>2276</v>
      </c>
      <c r="T3277" s="21" t="s">
        <v>2276</v>
      </c>
      <c r="U3277" s="21" t="s">
        <v>2276</v>
      </c>
      <c r="V3277" s="21" t="s">
        <v>2276</v>
      </c>
      <c r="W3277" s="21" t="s">
        <v>2375</v>
      </c>
      <c r="X3277" s="204" t="s">
        <v>425</v>
      </c>
      <c r="Y3277" s="204" t="s">
        <v>68</v>
      </c>
      <c r="Z3277" s="21" t="s">
        <v>2276</v>
      </c>
      <c r="AA3277" s="204"/>
      <c r="AB3277" s="204"/>
    </row>
    <row r="3278" spans="1:28" ht="42" customHeight="1">
      <c r="A3278" s="156" t="str">
        <f>'Reported burning'!A3278</f>
        <v>364g</v>
      </c>
      <c r="B3278" s="156" t="str">
        <f>'Reported burning'!B3278</f>
        <v>364g</v>
      </c>
      <c r="C3278" s="156" t="str">
        <f>'Reported burning'!C3278</f>
        <v>Human, deliberate</v>
      </c>
      <c r="D3278" s="156" t="str">
        <f>'Reported burning'!D3278</f>
        <v>Crop residue burning</v>
      </c>
      <c r="E3278" s="156" t="str">
        <f>'Reported burning'!E3278</f>
        <v>Cropping, Monoculture, Market-oriented</v>
      </c>
      <c r="F3278" s="156" t="str">
        <f>'Reported burning'!F3278</f>
        <v>Cropland</v>
      </c>
      <c r="G3278" s="156" t="str">
        <f>'Reported burning'!G3278</f>
        <v>Cropland</v>
      </c>
      <c r="H3278" s="156" t="str">
        <f>'Reported burning'!H3278</f>
        <v>Presence</v>
      </c>
      <c r="I3278" s="5"/>
      <c r="J3278" s="21" t="s">
        <v>2276</v>
      </c>
      <c r="K3278" s="21" t="s">
        <v>2276</v>
      </c>
      <c r="L3278" s="21" t="s">
        <v>2276</v>
      </c>
      <c r="M3278" s="21" t="s">
        <v>2276</v>
      </c>
      <c r="N3278" s="21" t="s">
        <v>2276</v>
      </c>
      <c r="O3278" s="21" t="s">
        <v>2276</v>
      </c>
      <c r="P3278" s="21" t="s">
        <v>2276</v>
      </c>
      <c r="Q3278" s="21" t="s">
        <v>2276</v>
      </c>
      <c r="R3278" s="21" t="s">
        <v>2276</v>
      </c>
      <c r="S3278" s="21" t="s">
        <v>2276</v>
      </c>
      <c r="T3278" s="21" t="s">
        <v>2276</v>
      </c>
      <c r="U3278" s="21" t="s">
        <v>2276</v>
      </c>
      <c r="V3278" s="21" t="s">
        <v>2276</v>
      </c>
      <c r="W3278" s="21" t="s">
        <v>2375</v>
      </c>
      <c r="X3278" s="204" t="s">
        <v>425</v>
      </c>
      <c r="Y3278" s="204" t="s">
        <v>68</v>
      </c>
      <c r="Z3278" s="21" t="s">
        <v>2276</v>
      </c>
      <c r="AA3278" s="204"/>
      <c r="AB3278" s="204"/>
    </row>
    <row r="3279" spans="1:28" ht="42" customHeight="1">
      <c r="A3279" s="156" t="str">
        <f>'Reported burning'!A3279</f>
        <v>364h</v>
      </c>
      <c r="B3279" s="156" t="str">
        <f>'Reported burning'!B3279</f>
        <v>364h</v>
      </c>
      <c r="C3279" s="156" t="str">
        <f>'Reported burning'!C3279</f>
        <v>Human, deliberate</v>
      </c>
      <c r="D3279" s="156" t="str">
        <f>'Reported burning'!D3279</f>
        <v>Crop residue burning</v>
      </c>
      <c r="E3279" s="156" t="str">
        <f>'Reported burning'!E3279</f>
        <v>Cropping, Monoculture, Market-oriented</v>
      </c>
      <c r="F3279" s="156" t="str">
        <f>'Reported burning'!F3279</f>
        <v>Cropland</v>
      </c>
      <c r="G3279" s="156" t="str">
        <f>'Reported burning'!G3279</f>
        <v>Cropland</v>
      </c>
      <c r="H3279" s="156" t="str">
        <f>'Reported burning'!H3279</f>
        <v>Presence</v>
      </c>
      <c r="I3279" s="5"/>
      <c r="J3279" s="21" t="s">
        <v>2276</v>
      </c>
      <c r="K3279" s="21" t="s">
        <v>2276</v>
      </c>
      <c r="L3279" s="21" t="s">
        <v>2276</v>
      </c>
      <c r="M3279" s="21" t="s">
        <v>2276</v>
      </c>
      <c r="N3279" s="21" t="s">
        <v>2276</v>
      </c>
      <c r="O3279" s="21" t="s">
        <v>2276</v>
      </c>
      <c r="P3279" s="21" t="s">
        <v>2276</v>
      </c>
      <c r="Q3279" s="21" t="s">
        <v>2276</v>
      </c>
      <c r="R3279" s="21" t="s">
        <v>2276</v>
      </c>
      <c r="S3279" s="21" t="s">
        <v>2276</v>
      </c>
      <c r="T3279" s="21" t="s">
        <v>2276</v>
      </c>
      <c r="U3279" s="21" t="s">
        <v>2276</v>
      </c>
      <c r="V3279" s="21" t="s">
        <v>2276</v>
      </c>
      <c r="W3279" s="21" t="s">
        <v>2375</v>
      </c>
      <c r="X3279" s="204" t="s">
        <v>425</v>
      </c>
      <c r="Y3279" s="204" t="s">
        <v>68</v>
      </c>
      <c r="Z3279" s="21" t="s">
        <v>2276</v>
      </c>
      <c r="AA3279" s="204"/>
      <c r="AB3279" s="204"/>
    </row>
    <row r="3280" spans="1:28" ht="42" customHeight="1">
      <c r="A3280" s="156" t="str">
        <f>'Reported burning'!A3280</f>
        <v>364i</v>
      </c>
      <c r="B3280" s="156" t="str">
        <f>'Reported burning'!B3280</f>
        <v>364i</v>
      </c>
      <c r="C3280" s="156" t="str">
        <f>'Reported burning'!C3280</f>
        <v>Human, deliberate</v>
      </c>
      <c r="D3280" s="156" t="str">
        <f>'Reported burning'!D3280</f>
        <v>Crop residue burning</v>
      </c>
      <c r="E3280" s="156" t="str">
        <f>'Reported burning'!E3280</f>
        <v>Cropping, Monoculture, Market-oriented</v>
      </c>
      <c r="F3280" s="156" t="str">
        <f>'Reported burning'!F3280</f>
        <v>Cropland</v>
      </c>
      <c r="G3280" s="156" t="str">
        <f>'Reported burning'!G3280</f>
        <v>Cropland</v>
      </c>
      <c r="H3280" s="156" t="str">
        <f>'Reported burning'!H3280</f>
        <v>Presence</v>
      </c>
      <c r="I3280" s="5"/>
      <c r="J3280" s="21" t="s">
        <v>2276</v>
      </c>
      <c r="K3280" s="21" t="s">
        <v>2276</v>
      </c>
      <c r="L3280" s="21" t="s">
        <v>2276</v>
      </c>
      <c r="M3280" s="21" t="s">
        <v>2276</v>
      </c>
      <c r="N3280" s="21" t="s">
        <v>2276</v>
      </c>
      <c r="O3280" s="21" t="s">
        <v>2276</v>
      </c>
      <c r="P3280" s="21" t="s">
        <v>2276</v>
      </c>
      <c r="Q3280" s="21" t="s">
        <v>2276</v>
      </c>
      <c r="R3280" s="21" t="s">
        <v>2276</v>
      </c>
      <c r="S3280" s="21" t="s">
        <v>2276</v>
      </c>
      <c r="T3280" s="21" t="s">
        <v>2276</v>
      </c>
      <c r="U3280" s="21" t="s">
        <v>2276</v>
      </c>
      <c r="V3280" s="21" t="s">
        <v>2276</v>
      </c>
      <c r="W3280" s="21" t="s">
        <v>2375</v>
      </c>
      <c r="X3280" s="204" t="s">
        <v>425</v>
      </c>
      <c r="Y3280" s="204" t="s">
        <v>68</v>
      </c>
      <c r="Z3280" s="21" t="s">
        <v>2276</v>
      </c>
      <c r="AA3280" s="204"/>
      <c r="AB3280" s="204"/>
    </row>
    <row r="3281" spans="1:28" ht="42" customHeight="1">
      <c r="A3281" s="156" t="str">
        <f>'Reported burning'!A3281</f>
        <v>364j</v>
      </c>
      <c r="B3281" s="156" t="str">
        <f>'Reported burning'!B3281</f>
        <v>364j</v>
      </c>
      <c r="C3281" s="156" t="str">
        <f>'Reported burning'!C3281</f>
        <v>Human, deliberate</v>
      </c>
      <c r="D3281" s="156" t="str">
        <f>'Reported burning'!D3281</f>
        <v>Crop residue burning</v>
      </c>
      <c r="E3281" s="156" t="str">
        <f>'Reported burning'!E3281</f>
        <v>Cropping, Monoculture, Market-oriented</v>
      </c>
      <c r="F3281" s="156" t="str">
        <f>'Reported burning'!F3281</f>
        <v>Cropland</v>
      </c>
      <c r="G3281" s="156" t="str">
        <f>'Reported burning'!G3281</f>
        <v>Cropland</v>
      </c>
      <c r="H3281" s="156" t="str">
        <f>'Reported burning'!H3281</f>
        <v>Absence</v>
      </c>
      <c r="I3281" s="5"/>
      <c r="J3281" s="21">
        <v>0</v>
      </c>
      <c r="K3281" s="21">
        <v>0</v>
      </c>
      <c r="L3281" s="21">
        <v>0</v>
      </c>
      <c r="M3281" s="21">
        <v>0</v>
      </c>
      <c r="N3281" s="21">
        <v>0</v>
      </c>
      <c r="O3281" s="21">
        <v>0</v>
      </c>
      <c r="P3281" s="21">
        <v>0</v>
      </c>
      <c r="Q3281" s="21">
        <v>0</v>
      </c>
      <c r="R3281" s="21">
        <v>0</v>
      </c>
      <c r="S3281" s="21">
        <v>0</v>
      </c>
      <c r="T3281" s="21">
        <v>0</v>
      </c>
      <c r="U3281" s="21">
        <v>0</v>
      </c>
      <c r="V3281" s="21">
        <v>0</v>
      </c>
      <c r="W3281" s="21" t="s">
        <v>2375</v>
      </c>
      <c r="X3281" s="204" t="s">
        <v>425</v>
      </c>
      <c r="Y3281" s="204" t="s">
        <v>68</v>
      </c>
      <c r="Z3281" s="21" t="s">
        <v>2276</v>
      </c>
      <c r="AA3281" s="204"/>
      <c r="AB3281" s="204"/>
    </row>
    <row r="3282" spans="1:28" ht="42" customHeight="1">
      <c r="A3282" s="156" t="str">
        <f>'Reported burning'!A3282</f>
        <v>364k</v>
      </c>
      <c r="B3282" s="156" t="str">
        <f>'Reported burning'!B3282</f>
        <v>364k</v>
      </c>
      <c r="C3282" s="156" t="str">
        <f>'Reported burning'!C3282</f>
        <v>Human, deliberate</v>
      </c>
      <c r="D3282" s="156" t="str">
        <f>'Reported burning'!D3282</f>
        <v>Crop residue burning</v>
      </c>
      <c r="E3282" s="156" t="str">
        <f>'Reported burning'!E3282</f>
        <v>Cropping, Monoculture, Market-oriented</v>
      </c>
      <c r="F3282" s="156" t="str">
        <f>'Reported burning'!F3282</f>
        <v>Cropland</v>
      </c>
      <c r="G3282" s="156" t="str">
        <f>'Reported burning'!G3282</f>
        <v>Cropland</v>
      </c>
      <c r="H3282" s="156" t="str">
        <f>'Reported burning'!H3282</f>
        <v>Presence</v>
      </c>
      <c r="I3282" s="5"/>
      <c r="J3282" s="21" t="s">
        <v>2276</v>
      </c>
      <c r="K3282" s="21" t="s">
        <v>2276</v>
      </c>
      <c r="L3282" s="21" t="s">
        <v>2276</v>
      </c>
      <c r="M3282" s="21" t="s">
        <v>2276</v>
      </c>
      <c r="N3282" s="21" t="s">
        <v>2276</v>
      </c>
      <c r="O3282" s="21" t="s">
        <v>2276</v>
      </c>
      <c r="P3282" s="21" t="s">
        <v>2276</v>
      </c>
      <c r="Q3282" s="21" t="s">
        <v>2276</v>
      </c>
      <c r="R3282" s="21" t="s">
        <v>2276</v>
      </c>
      <c r="S3282" s="21" t="s">
        <v>2276</v>
      </c>
      <c r="T3282" s="21" t="s">
        <v>2276</v>
      </c>
      <c r="U3282" s="21" t="s">
        <v>2276</v>
      </c>
      <c r="V3282" s="21" t="s">
        <v>2276</v>
      </c>
      <c r="W3282" s="21" t="s">
        <v>2375</v>
      </c>
      <c r="X3282" s="204" t="s">
        <v>425</v>
      </c>
      <c r="Y3282" s="204" t="s">
        <v>68</v>
      </c>
      <c r="Z3282" s="21" t="s">
        <v>2276</v>
      </c>
      <c r="AA3282" s="204"/>
      <c r="AB3282" s="204"/>
    </row>
    <row r="3283" spans="1:28" ht="42" customHeight="1">
      <c r="A3283" s="156" t="str">
        <f>'Reported burning'!A3283</f>
        <v>364l</v>
      </c>
      <c r="B3283" s="156" t="str">
        <f>'Reported burning'!B3283</f>
        <v>364l</v>
      </c>
      <c r="C3283" s="156" t="str">
        <f>'Reported burning'!C3283</f>
        <v>Human, deliberate</v>
      </c>
      <c r="D3283" s="156" t="str">
        <f>'Reported burning'!D3283</f>
        <v>Crop residue burning</v>
      </c>
      <c r="E3283" s="156" t="str">
        <f>'Reported burning'!E3283</f>
        <v>Cropping, Monoculture, Market-oriented</v>
      </c>
      <c r="F3283" s="156" t="str">
        <f>'Reported burning'!F3283</f>
        <v>Cropland</v>
      </c>
      <c r="G3283" s="156" t="str">
        <f>'Reported burning'!G3283</f>
        <v>Cropland</v>
      </c>
      <c r="H3283" s="156" t="str">
        <f>'Reported burning'!H3283</f>
        <v>Absence</v>
      </c>
      <c r="I3283" s="5"/>
      <c r="J3283" s="21">
        <v>0</v>
      </c>
      <c r="K3283" s="21">
        <v>0</v>
      </c>
      <c r="L3283" s="21">
        <v>0</v>
      </c>
      <c r="M3283" s="21">
        <v>0</v>
      </c>
      <c r="N3283" s="21">
        <v>0</v>
      </c>
      <c r="O3283" s="21">
        <v>0</v>
      </c>
      <c r="P3283" s="21">
        <v>0</v>
      </c>
      <c r="Q3283" s="21">
        <v>0</v>
      </c>
      <c r="R3283" s="21">
        <v>0</v>
      </c>
      <c r="S3283" s="21">
        <v>0</v>
      </c>
      <c r="T3283" s="21">
        <v>0</v>
      </c>
      <c r="U3283" s="21">
        <v>0</v>
      </c>
      <c r="V3283" s="21">
        <v>0</v>
      </c>
      <c r="W3283" s="21" t="s">
        <v>2375</v>
      </c>
      <c r="X3283" s="204" t="s">
        <v>425</v>
      </c>
      <c r="Y3283" s="204" t="s">
        <v>68</v>
      </c>
      <c r="Z3283" s="21" t="s">
        <v>2276</v>
      </c>
      <c r="AA3283" s="204"/>
      <c r="AB3283" s="204"/>
    </row>
    <row r="3284" spans="1:28" ht="42" customHeight="1">
      <c r="A3284" s="156" t="str">
        <f>'Reported burning'!A3284</f>
        <v>364m</v>
      </c>
      <c r="B3284" s="156" t="str">
        <f>'Reported burning'!B3284</f>
        <v>364m</v>
      </c>
      <c r="C3284" s="156" t="str">
        <f>'Reported burning'!C3284</f>
        <v>Human, deliberate</v>
      </c>
      <c r="D3284" s="156" t="str">
        <f>'Reported burning'!D3284</f>
        <v>Crop residue burning</v>
      </c>
      <c r="E3284" s="156" t="str">
        <f>'Reported burning'!E3284</f>
        <v>Cropping, Monoculture, Market-oriented</v>
      </c>
      <c r="F3284" s="156" t="str">
        <f>'Reported burning'!F3284</f>
        <v>Cropland</v>
      </c>
      <c r="G3284" s="156" t="str">
        <f>'Reported burning'!G3284</f>
        <v>Cropland</v>
      </c>
      <c r="H3284" s="156" t="str">
        <f>'Reported burning'!H3284</f>
        <v>Presence</v>
      </c>
      <c r="I3284" s="5"/>
      <c r="J3284" s="21" t="s">
        <v>2276</v>
      </c>
      <c r="K3284" s="21" t="s">
        <v>2276</v>
      </c>
      <c r="L3284" s="21" t="s">
        <v>2276</v>
      </c>
      <c r="M3284" s="21" t="s">
        <v>2276</v>
      </c>
      <c r="N3284" s="21" t="s">
        <v>2276</v>
      </c>
      <c r="O3284" s="21" t="s">
        <v>2276</v>
      </c>
      <c r="P3284" s="21" t="s">
        <v>2276</v>
      </c>
      <c r="Q3284" s="21" t="s">
        <v>2276</v>
      </c>
      <c r="R3284" s="21" t="s">
        <v>2276</v>
      </c>
      <c r="S3284" s="21" t="s">
        <v>2276</v>
      </c>
      <c r="T3284" s="21" t="s">
        <v>2276</v>
      </c>
      <c r="U3284" s="21" t="s">
        <v>2276</v>
      </c>
      <c r="V3284" s="21" t="s">
        <v>2276</v>
      </c>
      <c r="W3284" s="21" t="s">
        <v>2375</v>
      </c>
      <c r="X3284" s="204" t="s">
        <v>425</v>
      </c>
      <c r="Y3284" s="204" t="s">
        <v>68</v>
      </c>
      <c r="Z3284" s="21" t="s">
        <v>2276</v>
      </c>
      <c r="AA3284" s="204"/>
      <c r="AB3284" s="204"/>
    </row>
    <row r="3285" spans="1:28" ht="42" customHeight="1">
      <c r="A3285" s="156" t="str">
        <f>'Reported burning'!A3285</f>
        <v>364n</v>
      </c>
      <c r="B3285" s="156" t="str">
        <f>'Reported burning'!B3285</f>
        <v>364n</v>
      </c>
      <c r="C3285" s="156" t="str">
        <f>'Reported burning'!C3285</f>
        <v>Human, deliberate</v>
      </c>
      <c r="D3285" s="156" t="str">
        <f>'Reported burning'!D3285</f>
        <v>Crop residue burning</v>
      </c>
      <c r="E3285" s="156" t="str">
        <f>'Reported burning'!E3285</f>
        <v>Cropping, Monoculture, Market-oriented</v>
      </c>
      <c r="F3285" s="156" t="str">
        <f>'Reported burning'!F3285</f>
        <v>Cropland</v>
      </c>
      <c r="G3285" s="156" t="str">
        <f>'Reported burning'!G3285</f>
        <v>Cropland</v>
      </c>
      <c r="H3285" s="156" t="str">
        <f>'Reported burning'!H3285</f>
        <v>Presence</v>
      </c>
      <c r="I3285" s="5"/>
      <c r="J3285" s="21" t="s">
        <v>2276</v>
      </c>
      <c r="K3285" s="21" t="s">
        <v>2276</v>
      </c>
      <c r="L3285" s="21" t="s">
        <v>2276</v>
      </c>
      <c r="M3285" s="21" t="s">
        <v>2276</v>
      </c>
      <c r="N3285" s="21" t="s">
        <v>2276</v>
      </c>
      <c r="O3285" s="21" t="s">
        <v>2276</v>
      </c>
      <c r="P3285" s="21" t="s">
        <v>2276</v>
      </c>
      <c r="Q3285" s="21" t="s">
        <v>2276</v>
      </c>
      <c r="R3285" s="21" t="s">
        <v>2276</v>
      </c>
      <c r="S3285" s="21" t="s">
        <v>2276</v>
      </c>
      <c r="T3285" s="21" t="s">
        <v>2276</v>
      </c>
      <c r="U3285" s="21" t="s">
        <v>2276</v>
      </c>
      <c r="V3285" s="21" t="s">
        <v>2276</v>
      </c>
      <c r="W3285" s="21" t="s">
        <v>2375</v>
      </c>
      <c r="X3285" s="204" t="s">
        <v>425</v>
      </c>
      <c r="Y3285" s="204" t="s">
        <v>68</v>
      </c>
      <c r="Z3285" s="21" t="s">
        <v>2276</v>
      </c>
      <c r="AA3285" s="204"/>
      <c r="AB3285" s="204"/>
    </row>
    <row r="3286" spans="1:28" ht="42" customHeight="1">
      <c r="A3286" s="156" t="str">
        <f>'Reported burning'!A3286</f>
        <v>364o</v>
      </c>
      <c r="B3286" s="156" t="str">
        <f>'Reported burning'!B3286</f>
        <v>364o</v>
      </c>
      <c r="C3286" s="156" t="str">
        <f>'Reported burning'!C3286</f>
        <v>Human, deliberate</v>
      </c>
      <c r="D3286" s="156" t="str">
        <f>'Reported burning'!D3286</f>
        <v>Crop residue burning</v>
      </c>
      <c r="E3286" s="156" t="str">
        <f>'Reported burning'!E3286</f>
        <v>Cropping, Monoculture, Market-oriented</v>
      </c>
      <c r="F3286" s="156" t="str">
        <f>'Reported burning'!F3286</f>
        <v>Cropland</v>
      </c>
      <c r="G3286" s="156" t="str">
        <f>'Reported burning'!G3286</f>
        <v>Cropland</v>
      </c>
      <c r="H3286" s="156" t="str">
        <f>'Reported burning'!H3286</f>
        <v>Presence</v>
      </c>
      <c r="I3286" s="5"/>
      <c r="J3286" s="21" t="s">
        <v>2276</v>
      </c>
      <c r="K3286" s="21" t="s">
        <v>2276</v>
      </c>
      <c r="L3286" s="21" t="s">
        <v>2276</v>
      </c>
      <c r="M3286" s="21" t="s">
        <v>2276</v>
      </c>
      <c r="N3286" s="21" t="s">
        <v>2276</v>
      </c>
      <c r="O3286" s="21" t="s">
        <v>2276</v>
      </c>
      <c r="P3286" s="21" t="s">
        <v>2276</v>
      </c>
      <c r="Q3286" s="21" t="s">
        <v>2276</v>
      </c>
      <c r="R3286" s="21" t="s">
        <v>2276</v>
      </c>
      <c r="S3286" s="21" t="s">
        <v>2276</v>
      </c>
      <c r="T3286" s="21" t="s">
        <v>2276</v>
      </c>
      <c r="U3286" s="21" t="s">
        <v>2276</v>
      </c>
      <c r="V3286" s="21" t="s">
        <v>2276</v>
      </c>
      <c r="W3286" s="21" t="s">
        <v>2375</v>
      </c>
      <c r="X3286" s="204" t="s">
        <v>425</v>
      </c>
      <c r="Y3286" s="204" t="s">
        <v>68</v>
      </c>
      <c r="Z3286" s="21" t="s">
        <v>2276</v>
      </c>
      <c r="AA3286" s="204"/>
      <c r="AB3286" s="204"/>
    </row>
    <row r="3287" spans="1:28" ht="28" customHeight="1">
      <c r="A3287" s="156" t="str">
        <f>'Reported burning'!A3287</f>
        <v>365a</v>
      </c>
      <c r="B3287" s="156" t="str">
        <f>'Reported burning'!B3287</f>
        <v>365a.1</v>
      </c>
      <c r="C3287" s="156" t="str">
        <f>'Reported burning'!C3287</f>
        <v>Human, deliberate</v>
      </c>
      <c r="D3287" s="156" t="str">
        <f>'Reported burning'!D3287</f>
        <v>Crop residue burning</v>
      </c>
      <c r="E3287" s="156" t="str">
        <f>'Reported burning'!E3287</f>
        <v>ND</v>
      </c>
      <c r="F3287" s="156" t="str">
        <f>'Reported burning'!F3287</f>
        <v>Cropland</v>
      </c>
      <c r="G3287" s="156" t="str">
        <f>'Reported burning'!G3287</f>
        <v>ND</v>
      </c>
      <c r="H3287" s="156" t="str">
        <f>'Reported burning'!H3287</f>
        <v>Presence</v>
      </c>
      <c r="I3287" s="5"/>
      <c r="J3287" s="21" t="s">
        <v>2276</v>
      </c>
      <c r="K3287" s="21" t="s">
        <v>2276</v>
      </c>
      <c r="L3287" s="21" t="s">
        <v>2276</v>
      </c>
      <c r="M3287" s="21" t="s">
        <v>2276</v>
      </c>
      <c r="N3287" s="21" t="s">
        <v>2276</v>
      </c>
      <c r="O3287" s="21" t="s">
        <v>2276</v>
      </c>
      <c r="P3287" s="21" t="s">
        <v>2276</v>
      </c>
      <c r="Q3287" s="21" t="s">
        <v>2276</v>
      </c>
      <c r="R3287" s="21" t="s">
        <v>2276</v>
      </c>
      <c r="S3287" s="21" t="s">
        <v>2276</v>
      </c>
      <c r="T3287" s="21" t="s">
        <v>2276</v>
      </c>
      <c r="U3287" s="21" t="s">
        <v>2276</v>
      </c>
      <c r="V3287" s="21" t="s">
        <v>2276</v>
      </c>
      <c r="W3287" s="21" t="s">
        <v>2276</v>
      </c>
      <c r="X3287" s="204" t="s">
        <v>189</v>
      </c>
      <c r="Y3287" s="204" t="s">
        <v>38</v>
      </c>
      <c r="Z3287" s="204" t="s">
        <v>2655</v>
      </c>
      <c r="AA3287" s="204"/>
      <c r="AB3287" s="204"/>
    </row>
    <row r="3288" spans="1:28" ht="28" customHeight="1">
      <c r="A3288" s="156" t="str">
        <f>'Reported burning'!A3288</f>
        <v>365b</v>
      </c>
      <c r="B3288" s="156" t="str">
        <f>'Reported burning'!B3288</f>
        <v>365b.1</v>
      </c>
      <c r="C3288" s="156" t="str">
        <f>'Reported burning'!C3288</f>
        <v>Human, deliberate</v>
      </c>
      <c r="D3288" s="156" t="str">
        <f>'Reported burning'!D3288</f>
        <v>Crop residue burning</v>
      </c>
      <c r="E3288" s="156" t="str">
        <f>'Reported burning'!E3288</f>
        <v>ND</v>
      </c>
      <c r="F3288" s="156" t="str">
        <f>'Reported burning'!F3288</f>
        <v>Cropland</v>
      </c>
      <c r="G3288" s="156" t="str">
        <f>'Reported burning'!G3288</f>
        <v>ND</v>
      </c>
      <c r="H3288" s="156" t="str">
        <f>'Reported burning'!H3288</f>
        <v>Presence</v>
      </c>
      <c r="I3288" s="5"/>
      <c r="J3288" s="21" t="s">
        <v>2276</v>
      </c>
      <c r="K3288" s="21" t="s">
        <v>2276</v>
      </c>
      <c r="L3288" s="21" t="s">
        <v>2276</v>
      </c>
      <c r="M3288" s="21" t="s">
        <v>2276</v>
      </c>
      <c r="N3288" s="21" t="s">
        <v>2276</v>
      </c>
      <c r="O3288" s="21" t="s">
        <v>2276</v>
      </c>
      <c r="P3288" s="21" t="s">
        <v>2276</v>
      </c>
      <c r="Q3288" s="21" t="s">
        <v>2276</v>
      </c>
      <c r="R3288" s="21" t="s">
        <v>2276</v>
      </c>
      <c r="S3288" s="21" t="s">
        <v>2276</v>
      </c>
      <c r="T3288" s="21" t="s">
        <v>2276</v>
      </c>
      <c r="U3288" s="21" t="s">
        <v>2276</v>
      </c>
      <c r="V3288" s="21" t="s">
        <v>2276</v>
      </c>
      <c r="W3288" s="21" t="s">
        <v>2276</v>
      </c>
      <c r="X3288" s="204" t="s">
        <v>189</v>
      </c>
      <c r="Y3288" s="204" t="s">
        <v>38</v>
      </c>
      <c r="Z3288" s="204" t="s">
        <v>2655</v>
      </c>
      <c r="AA3288" s="204"/>
      <c r="AB3288" s="204"/>
    </row>
    <row r="3289" spans="1:28" ht="28" customHeight="1">
      <c r="A3289" s="156" t="str">
        <f>'Reported burning'!A3289</f>
        <v>365d</v>
      </c>
      <c r="B3289" s="156" t="str">
        <f>'Reported burning'!B3289</f>
        <v>365d.1</v>
      </c>
      <c r="C3289" s="156" t="str">
        <f>'Reported burning'!C3289</f>
        <v>Human, deliberate</v>
      </c>
      <c r="D3289" s="156" t="str">
        <f>'Reported burning'!D3289</f>
        <v>Crop residue burning</v>
      </c>
      <c r="E3289" s="156" t="str">
        <f>'Reported burning'!E3289</f>
        <v>ND</v>
      </c>
      <c r="F3289" s="156" t="str">
        <f>'Reported burning'!F3289</f>
        <v>Cropland</v>
      </c>
      <c r="G3289" s="156" t="str">
        <f>'Reported burning'!G3289</f>
        <v>ND</v>
      </c>
      <c r="H3289" s="156" t="str">
        <f>'Reported burning'!H3289</f>
        <v>Presence</v>
      </c>
      <c r="I3289" s="5"/>
      <c r="J3289" s="21" t="s">
        <v>2276</v>
      </c>
      <c r="K3289" s="21" t="s">
        <v>2276</v>
      </c>
      <c r="L3289" s="21" t="s">
        <v>2276</v>
      </c>
      <c r="M3289" s="21" t="s">
        <v>2276</v>
      </c>
      <c r="N3289" s="21" t="s">
        <v>2276</v>
      </c>
      <c r="O3289" s="21" t="s">
        <v>2276</v>
      </c>
      <c r="P3289" s="21" t="s">
        <v>2276</v>
      </c>
      <c r="Q3289" s="21" t="s">
        <v>2276</v>
      </c>
      <c r="R3289" s="21" t="s">
        <v>2276</v>
      </c>
      <c r="S3289" s="21" t="s">
        <v>2276</v>
      </c>
      <c r="T3289" s="21" t="s">
        <v>2276</v>
      </c>
      <c r="U3289" s="21" t="s">
        <v>2276</v>
      </c>
      <c r="V3289" s="21" t="s">
        <v>2276</v>
      </c>
      <c r="W3289" s="21" t="s">
        <v>2276</v>
      </c>
      <c r="X3289" s="204" t="s">
        <v>189</v>
      </c>
      <c r="Y3289" s="204" t="s">
        <v>38</v>
      </c>
      <c r="Z3289" s="204" t="s">
        <v>2655</v>
      </c>
      <c r="AA3289" s="204"/>
      <c r="AB3289" s="204"/>
    </row>
    <row r="3290" spans="1:28" ht="28" customHeight="1">
      <c r="A3290" s="156" t="str">
        <f>'Reported burning'!A3290</f>
        <v>365e</v>
      </c>
      <c r="B3290" s="156" t="str">
        <f>'Reported burning'!B3290</f>
        <v>365e.1</v>
      </c>
      <c r="C3290" s="156" t="str">
        <f>'Reported burning'!C3290</f>
        <v>Human, deliberate</v>
      </c>
      <c r="D3290" s="156" t="str">
        <f>'Reported burning'!D3290</f>
        <v>Crop residue burning</v>
      </c>
      <c r="E3290" s="156" t="str">
        <f>'Reported burning'!E3290</f>
        <v>ND</v>
      </c>
      <c r="F3290" s="156" t="str">
        <f>'Reported burning'!F3290</f>
        <v>Cropland</v>
      </c>
      <c r="G3290" s="156" t="str">
        <f>'Reported burning'!G3290</f>
        <v>ND</v>
      </c>
      <c r="H3290" s="156" t="str">
        <f>'Reported burning'!H3290</f>
        <v>Presence</v>
      </c>
      <c r="I3290" s="5"/>
      <c r="J3290" s="21" t="s">
        <v>2276</v>
      </c>
      <c r="K3290" s="21" t="s">
        <v>2276</v>
      </c>
      <c r="L3290" s="21" t="s">
        <v>2276</v>
      </c>
      <c r="M3290" s="21" t="s">
        <v>2276</v>
      </c>
      <c r="N3290" s="21" t="s">
        <v>2276</v>
      </c>
      <c r="O3290" s="21" t="s">
        <v>2276</v>
      </c>
      <c r="P3290" s="21" t="s">
        <v>2276</v>
      </c>
      <c r="Q3290" s="21" t="s">
        <v>2276</v>
      </c>
      <c r="R3290" s="21" t="s">
        <v>2276</v>
      </c>
      <c r="S3290" s="21" t="s">
        <v>2276</v>
      </c>
      <c r="T3290" s="21" t="s">
        <v>2276</v>
      </c>
      <c r="U3290" s="21" t="s">
        <v>2276</v>
      </c>
      <c r="V3290" s="21" t="s">
        <v>2276</v>
      </c>
      <c r="W3290" s="21" t="s">
        <v>2276</v>
      </c>
      <c r="X3290" s="204" t="s">
        <v>189</v>
      </c>
      <c r="Y3290" s="204" t="s">
        <v>38</v>
      </c>
      <c r="Z3290" s="204" t="s">
        <v>2655</v>
      </c>
      <c r="AA3290" s="204"/>
      <c r="AB3290" s="204"/>
    </row>
    <row r="3291" spans="1:28" ht="28" customHeight="1">
      <c r="A3291" s="156" t="str">
        <f>'Reported burning'!A3291</f>
        <v>365f</v>
      </c>
      <c r="B3291" s="156" t="str">
        <f>'Reported burning'!B3291</f>
        <v>365f.1</v>
      </c>
      <c r="C3291" s="156" t="str">
        <f>'Reported burning'!C3291</f>
        <v>Human, deliberate</v>
      </c>
      <c r="D3291" s="156" t="str">
        <f>'Reported burning'!D3291</f>
        <v>Crop residue burning</v>
      </c>
      <c r="E3291" s="156" t="str">
        <f>'Reported burning'!E3291</f>
        <v>ND</v>
      </c>
      <c r="F3291" s="156" t="str">
        <f>'Reported burning'!F3291</f>
        <v>Cropland</v>
      </c>
      <c r="G3291" s="156" t="str">
        <f>'Reported burning'!G3291</f>
        <v>ND</v>
      </c>
      <c r="H3291" s="156" t="str">
        <f>'Reported burning'!H3291</f>
        <v>Presence</v>
      </c>
      <c r="I3291" s="5"/>
      <c r="J3291" s="21" t="s">
        <v>2276</v>
      </c>
      <c r="K3291" s="21" t="s">
        <v>2276</v>
      </c>
      <c r="L3291" s="21" t="s">
        <v>2276</v>
      </c>
      <c r="M3291" s="21" t="s">
        <v>2276</v>
      </c>
      <c r="N3291" s="21" t="s">
        <v>2276</v>
      </c>
      <c r="O3291" s="21" t="s">
        <v>2276</v>
      </c>
      <c r="P3291" s="21" t="s">
        <v>2276</v>
      </c>
      <c r="Q3291" s="21" t="s">
        <v>2276</v>
      </c>
      <c r="R3291" s="21" t="s">
        <v>2276</v>
      </c>
      <c r="S3291" s="21" t="s">
        <v>2276</v>
      </c>
      <c r="T3291" s="21" t="s">
        <v>2276</v>
      </c>
      <c r="U3291" s="21" t="s">
        <v>2276</v>
      </c>
      <c r="V3291" s="21" t="s">
        <v>2276</v>
      </c>
      <c r="W3291" s="21" t="s">
        <v>2276</v>
      </c>
      <c r="X3291" s="204" t="s">
        <v>189</v>
      </c>
      <c r="Y3291" s="204" t="s">
        <v>38</v>
      </c>
      <c r="Z3291" s="204" t="s">
        <v>2655</v>
      </c>
      <c r="AA3291" s="204"/>
      <c r="AB3291" s="204"/>
    </row>
    <row r="3292" spans="1:28" ht="45.5" customHeight="1">
      <c r="A3292" s="156" t="str">
        <f>'Reported burning'!A3292</f>
        <v>365a</v>
      </c>
      <c r="B3292" s="156" t="str">
        <f>'Reported burning'!B3292</f>
        <v>365a.2</v>
      </c>
      <c r="C3292" s="156" t="str">
        <f>'Reported burning'!C3292</f>
        <v>Human, escaped</v>
      </c>
      <c r="D3292" s="156" t="str">
        <f>'Reported burning'!D3292</f>
        <v>Crop residue burning</v>
      </c>
      <c r="E3292" s="156" t="str">
        <f>'Reported burning'!E3292</f>
        <v>ND</v>
      </c>
      <c r="F3292" s="156" t="str">
        <f>'Reported burning'!F3292</f>
        <v>Cropland</v>
      </c>
      <c r="G3292" s="156" t="str">
        <f>'Reported burning'!G3292</f>
        <v>ND</v>
      </c>
      <c r="H3292" s="156" t="str">
        <f>'Reported burning'!H3292</f>
        <v>Presence</v>
      </c>
      <c r="I3292" s="5"/>
      <c r="J3292" s="21" t="s">
        <v>2276</v>
      </c>
      <c r="K3292" s="21" t="s">
        <v>2276</v>
      </c>
      <c r="L3292" s="21" t="s">
        <v>2276</v>
      </c>
      <c r="M3292" s="21" t="s">
        <v>2276</v>
      </c>
      <c r="N3292" s="21" t="s">
        <v>2276</v>
      </c>
      <c r="O3292" s="21" t="s">
        <v>2276</v>
      </c>
      <c r="P3292" s="21" t="s">
        <v>2276</v>
      </c>
      <c r="Q3292" s="21" t="s">
        <v>2276</v>
      </c>
      <c r="R3292" s="21" t="s">
        <v>2379</v>
      </c>
      <c r="S3292" s="21" t="s">
        <v>2276</v>
      </c>
      <c r="T3292" s="21" t="s">
        <v>2276</v>
      </c>
      <c r="U3292" s="21" t="s">
        <v>2276</v>
      </c>
      <c r="V3292" s="21" t="s">
        <v>2276</v>
      </c>
      <c r="W3292" s="21" t="s">
        <v>2276</v>
      </c>
      <c r="X3292" s="4" t="s">
        <v>38</v>
      </c>
      <c r="Y3292" s="4" t="s">
        <v>86</v>
      </c>
      <c r="Z3292" s="4" t="s">
        <v>76</v>
      </c>
      <c r="AA3292" s="4" t="s">
        <v>8828</v>
      </c>
      <c r="AB3292" s="19" t="s">
        <v>8829</v>
      </c>
    </row>
    <row r="3293" spans="1:28" ht="45.5" customHeight="1">
      <c r="A3293" s="156" t="str">
        <f>'Reported burning'!A3293</f>
        <v>365b</v>
      </c>
      <c r="B3293" s="156" t="str">
        <f>'Reported burning'!B3293</f>
        <v>365b.2</v>
      </c>
      <c r="C3293" s="156" t="str">
        <f>'Reported burning'!C3293</f>
        <v>Human, escaped</v>
      </c>
      <c r="D3293" s="156" t="str">
        <f>'Reported burning'!D3293</f>
        <v>Crop residue burning</v>
      </c>
      <c r="E3293" s="156" t="str">
        <f>'Reported burning'!E3293</f>
        <v>ND</v>
      </c>
      <c r="F3293" s="156" t="str">
        <f>'Reported burning'!F3293</f>
        <v>Cropland</v>
      </c>
      <c r="G3293" s="156" t="str">
        <f>'Reported burning'!G3293</f>
        <v>ND</v>
      </c>
      <c r="H3293" s="156" t="str">
        <f>'Reported burning'!H3293</f>
        <v>Presence</v>
      </c>
      <c r="I3293" s="5"/>
      <c r="J3293" s="21" t="s">
        <v>2276</v>
      </c>
      <c r="K3293" s="21" t="s">
        <v>2276</v>
      </c>
      <c r="L3293" s="21" t="s">
        <v>2276</v>
      </c>
      <c r="M3293" s="21" t="s">
        <v>2276</v>
      </c>
      <c r="N3293" s="21" t="s">
        <v>2276</v>
      </c>
      <c r="O3293" s="21" t="s">
        <v>2276</v>
      </c>
      <c r="P3293" s="21" t="s">
        <v>2276</v>
      </c>
      <c r="Q3293" s="21" t="s">
        <v>2276</v>
      </c>
      <c r="R3293" s="21" t="s">
        <v>2379</v>
      </c>
      <c r="S3293" s="21" t="s">
        <v>2276</v>
      </c>
      <c r="T3293" s="21" t="s">
        <v>2276</v>
      </c>
      <c r="U3293" s="21" t="s">
        <v>2276</v>
      </c>
      <c r="V3293" s="21" t="s">
        <v>2276</v>
      </c>
      <c r="W3293" s="21" t="s">
        <v>2276</v>
      </c>
      <c r="X3293" s="4" t="s">
        <v>38</v>
      </c>
      <c r="Y3293" s="4" t="s">
        <v>86</v>
      </c>
      <c r="Z3293" s="4" t="s">
        <v>76</v>
      </c>
      <c r="AA3293" s="4" t="s">
        <v>8828</v>
      </c>
      <c r="AB3293" s="19" t="s">
        <v>8829</v>
      </c>
    </row>
    <row r="3294" spans="1:28" ht="45.5" customHeight="1">
      <c r="A3294" s="156" t="str">
        <f>'Reported burning'!A3294</f>
        <v>365c</v>
      </c>
      <c r="B3294" s="156" t="str">
        <f>'Reported burning'!B3294</f>
        <v>365c.2</v>
      </c>
      <c r="C3294" s="156" t="str">
        <f>'Reported burning'!C3294</f>
        <v>Human, escaped</v>
      </c>
      <c r="D3294" s="156" t="str">
        <f>'Reported burning'!D3294</f>
        <v>Crop residue burning</v>
      </c>
      <c r="E3294" s="156" t="str">
        <f>'Reported burning'!E3294</f>
        <v>ND</v>
      </c>
      <c r="F3294" s="156" t="str">
        <f>'Reported burning'!F3294</f>
        <v>Cropland</v>
      </c>
      <c r="G3294" s="156" t="str">
        <f>'Reported burning'!G3294</f>
        <v>Forest</v>
      </c>
      <c r="H3294" s="156" t="str">
        <f>'Reported burning'!H3294</f>
        <v>Presence</v>
      </c>
      <c r="I3294" s="5"/>
      <c r="J3294" s="21" t="s">
        <v>2276</v>
      </c>
      <c r="K3294" s="21" t="s">
        <v>2276</v>
      </c>
      <c r="L3294" s="21" t="s">
        <v>2276</v>
      </c>
      <c r="M3294" s="21" t="s">
        <v>2276</v>
      </c>
      <c r="N3294" s="21" t="s">
        <v>2276</v>
      </c>
      <c r="O3294" s="21" t="s">
        <v>2276</v>
      </c>
      <c r="P3294" s="21" t="s">
        <v>2276</v>
      </c>
      <c r="Q3294" s="21" t="s">
        <v>2276</v>
      </c>
      <c r="R3294" s="21" t="s">
        <v>2379</v>
      </c>
      <c r="S3294" s="21" t="s">
        <v>2276</v>
      </c>
      <c r="T3294" s="21" t="s">
        <v>2276</v>
      </c>
      <c r="U3294" s="21" t="s">
        <v>2276</v>
      </c>
      <c r="V3294" s="21" t="s">
        <v>2276</v>
      </c>
      <c r="W3294" s="21" t="s">
        <v>2276</v>
      </c>
      <c r="X3294" s="4" t="s">
        <v>38</v>
      </c>
      <c r="Y3294" s="4" t="s">
        <v>86</v>
      </c>
      <c r="Z3294" s="4" t="s">
        <v>76</v>
      </c>
      <c r="AA3294" s="4" t="s">
        <v>8828</v>
      </c>
      <c r="AB3294" s="19" t="s">
        <v>8829</v>
      </c>
    </row>
    <row r="3295" spans="1:28" ht="45.5" customHeight="1">
      <c r="A3295" s="156" t="str">
        <f>'Reported burning'!A3295</f>
        <v>365d</v>
      </c>
      <c r="B3295" s="156" t="str">
        <f>'Reported burning'!B3295</f>
        <v>365d.2</v>
      </c>
      <c r="C3295" s="156" t="str">
        <f>'Reported burning'!C3295</f>
        <v>Human, escaped</v>
      </c>
      <c r="D3295" s="156" t="str">
        <f>'Reported burning'!D3295</f>
        <v>Crop residue burning</v>
      </c>
      <c r="E3295" s="156" t="str">
        <f>'Reported burning'!E3295</f>
        <v>ND</v>
      </c>
      <c r="F3295" s="156" t="str">
        <f>'Reported burning'!F3295</f>
        <v>Cropland</v>
      </c>
      <c r="G3295" s="156" t="str">
        <f>'Reported burning'!G3295</f>
        <v>ND</v>
      </c>
      <c r="H3295" s="156" t="str">
        <f>'Reported burning'!H3295</f>
        <v>Presence</v>
      </c>
      <c r="I3295" s="5"/>
      <c r="J3295" s="21" t="s">
        <v>2276</v>
      </c>
      <c r="K3295" s="21" t="s">
        <v>2276</v>
      </c>
      <c r="L3295" s="21" t="s">
        <v>2276</v>
      </c>
      <c r="M3295" s="21" t="s">
        <v>2276</v>
      </c>
      <c r="N3295" s="21" t="s">
        <v>2276</v>
      </c>
      <c r="O3295" s="21" t="s">
        <v>2276</v>
      </c>
      <c r="P3295" s="21" t="s">
        <v>2276</v>
      </c>
      <c r="Q3295" s="21" t="s">
        <v>2276</v>
      </c>
      <c r="R3295" s="21" t="s">
        <v>2379</v>
      </c>
      <c r="S3295" s="21" t="s">
        <v>2276</v>
      </c>
      <c r="T3295" s="21" t="s">
        <v>2276</v>
      </c>
      <c r="U3295" s="21" t="s">
        <v>2276</v>
      </c>
      <c r="V3295" s="21" t="s">
        <v>2276</v>
      </c>
      <c r="W3295" s="21" t="s">
        <v>2276</v>
      </c>
      <c r="X3295" s="4" t="s">
        <v>38</v>
      </c>
      <c r="Y3295" s="4" t="s">
        <v>86</v>
      </c>
      <c r="Z3295" s="4" t="s">
        <v>76</v>
      </c>
      <c r="AA3295" s="4" t="s">
        <v>8828</v>
      </c>
      <c r="AB3295" s="19" t="s">
        <v>8829</v>
      </c>
    </row>
    <row r="3296" spans="1:28" ht="45.5" customHeight="1">
      <c r="A3296" s="156" t="str">
        <f>'Reported burning'!A3296</f>
        <v>365e</v>
      </c>
      <c r="B3296" s="156" t="str">
        <f>'Reported burning'!B3296</f>
        <v>365e.2</v>
      </c>
      <c r="C3296" s="156" t="str">
        <f>'Reported burning'!C3296</f>
        <v>Human, escaped</v>
      </c>
      <c r="D3296" s="156" t="str">
        <f>'Reported burning'!D3296</f>
        <v>Crop residue burning</v>
      </c>
      <c r="E3296" s="156" t="str">
        <f>'Reported burning'!E3296</f>
        <v>ND</v>
      </c>
      <c r="F3296" s="156" t="str">
        <f>'Reported burning'!F3296</f>
        <v>Cropland</v>
      </c>
      <c r="G3296" s="156" t="str">
        <f>'Reported burning'!G3296</f>
        <v>ND</v>
      </c>
      <c r="H3296" s="156" t="str">
        <f>'Reported burning'!H3296</f>
        <v>Presence</v>
      </c>
      <c r="I3296" s="5"/>
      <c r="J3296" s="21" t="s">
        <v>2276</v>
      </c>
      <c r="K3296" s="21" t="s">
        <v>2276</v>
      </c>
      <c r="L3296" s="21" t="s">
        <v>2276</v>
      </c>
      <c r="M3296" s="21" t="s">
        <v>2276</v>
      </c>
      <c r="N3296" s="21" t="s">
        <v>2276</v>
      </c>
      <c r="O3296" s="21" t="s">
        <v>2276</v>
      </c>
      <c r="P3296" s="21" t="s">
        <v>2276</v>
      </c>
      <c r="Q3296" s="21" t="s">
        <v>2276</v>
      </c>
      <c r="R3296" s="21" t="s">
        <v>2379</v>
      </c>
      <c r="S3296" s="21" t="s">
        <v>2276</v>
      </c>
      <c r="T3296" s="21" t="s">
        <v>2276</v>
      </c>
      <c r="U3296" s="21" t="s">
        <v>2276</v>
      </c>
      <c r="V3296" s="21" t="s">
        <v>2276</v>
      </c>
      <c r="W3296" s="21" t="s">
        <v>2276</v>
      </c>
      <c r="X3296" s="4" t="s">
        <v>38</v>
      </c>
      <c r="Y3296" s="4" t="s">
        <v>86</v>
      </c>
      <c r="Z3296" s="4" t="s">
        <v>76</v>
      </c>
      <c r="AA3296" s="4" t="s">
        <v>8828</v>
      </c>
      <c r="AB3296" s="19" t="s">
        <v>8829</v>
      </c>
    </row>
    <row r="3297" spans="1:28" ht="45.5" customHeight="1">
      <c r="A3297" s="156" t="str">
        <f>'Reported burning'!A3297</f>
        <v>365f</v>
      </c>
      <c r="B3297" s="156" t="str">
        <f>'Reported burning'!B3297</f>
        <v>365f.2</v>
      </c>
      <c r="C3297" s="156" t="str">
        <f>'Reported burning'!C3297</f>
        <v>Human, escaped</v>
      </c>
      <c r="D3297" s="156" t="str">
        <f>'Reported burning'!D3297</f>
        <v>Crop residue burning</v>
      </c>
      <c r="E3297" s="156" t="str">
        <f>'Reported burning'!E3297</f>
        <v>ND</v>
      </c>
      <c r="F3297" s="156" t="str">
        <f>'Reported burning'!F3297</f>
        <v>Cropland</v>
      </c>
      <c r="G3297" s="156" t="str">
        <f>'Reported burning'!G3297</f>
        <v>ND</v>
      </c>
      <c r="H3297" s="156" t="str">
        <f>'Reported burning'!H3297</f>
        <v>Presence</v>
      </c>
      <c r="I3297" s="5"/>
      <c r="J3297" s="21" t="s">
        <v>2276</v>
      </c>
      <c r="K3297" s="21" t="s">
        <v>2276</v>
      </c>
      <c r="L3297" s="21" t="s">
        <v>2276</v>
      </c>
      <c r="M3297" s="21" t="s">
        <v>2276</v>
      </c>
      <c r="N3297" s="21" t="s">
        <v>2276</v>
      </c>
      <c r="O3297" s="21" t="s">
        <v>2276</v>
      </c>
      <c r="P3297" s="21" t="s">
        <v>2276</v>
      </c>
      <c r="Q3297" s="21" t="s">
        <v>2276</v>
      </c>
      <c r="R3297" s="21" t="s">
        <v>2379</v>
      </c>
      <c r="S3297" s="21" t="s">
        <v>2276</v>
      </c>
      <c r="T3297" s="21" t="s">
        <v>2276</v>
      </c>
      <c r="U3297" s="21" t="s">
        <v>2276</v>
      </c>
      <c r="V3297" s="21" t="s">
        <v>2276</v>
      </c>
      <c r="W3297" s="21" t="s">
        <v>2276</v>
      </c>
      <c r="X3297" s="4" t="s">
        <v>38</v>
      </c>
      <c r="Y3297" s="4" t="s">
        <v>86</v>
      </c>
      <c r="Z3297" s="4" t="s">
        <v>76</v>
      </c>
      <c r="AA3297" s="4" t="s">
        <v>8828</v>
      </c>
      <c r="AB3297" s="19" t="s">
        <v>8829</v>
      </c>
    </row>
    <row r="3298" spans="1:28" ht="41" customHeight="1">
      <c r="A3298" s="156" t="str">
        <f>'Reported burning'!A3298</f>
        <v>366a</v>
      </c>
      <c r="B3298" s="156" t="str">
        <f>'Reported burning'!B3298</f>
        <v>366a.1</v>
      </c>
      <c r="C3298" s="156" t="str">
        <f>'Reported burning'!C3298</f>
        <v>Human, deliberate</v>
      </c>
      <c r="D3298" s="156" t="str">
        <f>'Reported burning'!D3298</f>
        <v>Crop residue burning</v>
      </c>
      <c r="E3298" s="156" t="str">
        <f>'Reported burning'!E3298</f>
        <v>Cropping, Monoculture, Subsistence-oriented</v>
      </c>
      <c r="F3298" s="156" t="str">
        <f>'Reported burning'!F3298</f>
        <v>Cropland</v>
      </c>
      <c r="G3298" s="156" t="str">
        <f>'Reported burning'!G3298</f>
        <v>ND</v>
      </c>
      <c r="H3298" s="156" t="str">
        <f>'Reported burning'!H3298</f>
        <v>Absence</v>
      </c>
      <c r="I3298" s="5"/>
      <c r="J3298" s="21">
        <v>0</v>
      </c>
      <c r="K3298" s="21">
        <v>0</v>
      </c>
      <c r="L3298" s="21">
        <v>0</v>
      </c>
      <c r="M3298" s="21">
        <v>0</v>
      </c>
      <c r="N3298" s="21">
        <v>0</v>
      </c>
      <c r="O3298" s="21">
        <v>0</v>
      </c>
      <c r="P3298" s="21">
        <v>0</v>
      </c>
      <c r="Q3298" s="21">
        <v>0</v>
      </c>
      <c r="R3298" s="21">
        <v>0</v>
      </c>
      <c r="S3298" s="21">
        <v>0</v>
      </c>
      <c r="T3298" s="21">
        <v>0</v>
      </c>
      <c r="U3298" s="21">
        <v>0</v>
      </c>
      <c r="V3298" s="21">
        <v>0</v>
      </c>
      <c r="W3298" s="21" t="s">
        <v>2276</v>
      </c>
      <c r="X3298" s="204" t="s">
        <v>399</v>
      </c>
      <c r="Y3298" s="204" t="s">
        <v>405</v>
      </c>
      <c r="Z3298" s="204" t="s">
        <v>2276</v>
      </c>
      <c r="AA3298" s="4" t="s">
        <v>8836</v>
      </c>
      <c r="AB3298" s="204"/>
    </row>
    <row r="3299" spans="1:28" ht="53" customHeight="1">
      <c r="A3299" s="156" t="str">
        <f>'Reported burning'!A3299</f>
        <v>366a</v>
      </c>
      <c r="B3299" s="156" t="str">
        <f>'Reported burning'!B3299</f>
        <v>366a.2</v>
      </c>
      <c r="C3299" s="156" t="str">
        <f>'Reported burning'!C3299</f>
        <v>Human, deliberate</v>
      </c>
      <c r="D3299" s="156" t="str">
        <f>'Reported burning'!D3299</f>
        <v>Crop residue burning</v>
      </c>
      <c r="E3299" s="156" t="str">
        <f>'Reported burning'!E3299</f>
        <v>Mixed cropping-livestock small holder, Subsistence-oriented</v>
      </c>
      <c r="F3299" s="156" t="str">
        <f>'Reported burning'!F3299</f>
        <v>Cropland</v>
      </c>
      <c r="G3299" s="156" t="str">
        <f>'Reported burning'!G3299</f>
        <v>ND</v>
      </c>
      <c r="H3299" s="156" t="str">
        <f>'Reported burning'!H3299</f>
        <v>Absence</v>
      </c>
      <c r="I3299" s="5"/>
      <c r="J3299" s="21">
        <v>0</v>
      </c>
      <c r="K3299" s="21">
        <v>0</v>
      </c>
      <c r="L3299" s="21">
        <v>0</v>
      </c>
      <c r="M3299" s="21">
        <v>0</v>
      </c>
      <c r="N3299" s="21">
        <v>0</v>
      </c>
      <c r="O3299" s="21">
        <v>0</v>
      </c>
      <c r="P3299" s="21">
        <v>0</v>
      </c>
      <c r="Q3299" s="21">
        <v>0</v>
      </c>
      <c r="R3299" s="21">
        <v>0</v>
      </c>
      <c r="S3299" s="21">
        <v>0</v>
      </c>
      <c r="T3299" s="21">
        <v>0</v>
      </c>
      <c r="U3299" s="21">
        <v>0</v>
      </c>
      <c r="V3299" s="21">
        <v>0</v>
      </c>
      <c r="W3299" s="21" t="s">
        <v>2276</v>
      </c>
      <c r="X3299" s="204" t="s">
        <v>399</v>
      </c>
      <c r="Y3299" s="204" t="s">
        <v>405</v>
      </c>
      <c r="Z3299" s="204" t="s">
        <v>2276</v>
      </c>
      <c r="AA3299" s="4" t="s">
        <v>8836</v>
      </c>
      <c r="AB3299" s="204"/>
    </row>
    <row r="3300" spans="1:28" ht="49" customHeight="1">
      <c r="A3300" s="156" t="str">
        <f>'Reported burning'!A3300</f>
        <v>366a</v>
      </c>
      <c r="B3300" s="156" t="str">
        <f>'Reported burning'!B3300</f>
        <v>366a.3</v>
      </c>
      <c r="C3300" s="156" t="str">
        <f>'Reported burning'!C3300</f>
        <v>Human, deliberate</v>
      </c>
      <c r="D3300" s="156" t="str">
        <f>'Reported burning'!D3300</f>
        <v>Crop residue burning</v>
      </c>
      <c r="E3300" s="156" t="str">
        <f>'Reported burning'!E3300</f>
        <v>Cropping, Monoculture, Subsistence-oriented</v>
      </c>
      <c r="F3300" s="156" t="str">
        <f>'Reported burning'!F3300</f>
        <v>Cropland</v>
      </c>
      <c r="G3300" s="156" t="str">
        <f>'Reported burning'!G3300</f>
        <v>ND</v>
      </c>
      <c r="H3300" s="156" t="str">
        <f>'Reported burning'!H3300</f>
        <v>Presence</v>
      </c>
      <c r="I3300" s="5"/>
      <c r="J3300" s="21" t="s">
        <v>2276</v>
      </c>
      <c r="K3300" s="21" t="s">
        <v>2362</v>
      </c>
      <c r="L3300" s="21" t="s">
        <v>2276</v>
      </c>
      <c r="M3300" s="21" t="s">
        <v>2375</v>
      </c>
      <c r="N3300" s="21" t="s">
        <v>2276</v>
      </c>
      <c r="O3300" s="21" t="s">
        <v>2362</v>
      </c>
      <c r="P3300" s="21" t="s">
        <v>2276</v>
      </c>
      <c r="Q3300" s="21" t="s">
        <v>2362</v>
      </c>
      <c r="R3300" s="21" t="s">
        <v>2276</v>
      </c>
      <c r="S3300" s="21" t="s">
        <v>2276</v>
      </c>
      <c r="T3300" s="21" t="s">
        <v>2276</v>
      </c>
      <c r="U3300" s="14" t="s">
        <v>2376</v>
      </c>
      <c r="V3300" s="21" t="s">
        <v>2276</v>
      </c>
      <c r="W3300" s="14" t="s">
        <v>2375</v>
      </c>
      <c r="X3300" s="204" t="s">
        <v>35</v>
      </c>
      <c r="Y3300" s="204" t="s">
        <v>127</v>
      </c>
      <c r="Z3300" s="204" t="s">
        <v>2276</v>
      </c>
      <c r="AA3300" s="4"/>
      <c r="AB3300" s="4" t="s">
        <v>8837</v>
      </c>
    </row>
    <row r="3301" spans="1:28" ht="50" customHeight="1">
      <c r="A3301" s="156" t="str">
        <f>'Reported burning'!A3301</f>
        <v>366a</v>
      </c>
      <c r="B3301" s="156" t="str">
        <f>'Reported burning'!B3301</f>
        <v>366a.4</v>
      </c>
      <c r="C3301" s="156" t="str">
        <f>'Reported burning'!C3301</f>
        <v>Human, deliberate</v>
      </c>
      <c r="D3301" s="156" t="str">
        <f>'Reported burning'!D3301</f>
        <v>Crop residue burning</v>
      </c>
      <c r="E3301" s="156" t="str">
        <f>'Reported burning'!E3301</f>
        <v>Mixed cropping-livestock small holder, Subsistence-oriented</v>
      </c>
      <c r="F3301" s="156" t="str">
        <f>'Reported burning'!F3301</f>
        <v>Cropland</v>
      </c>
      <c r="G3301" s="156" t="str">
        <f>'Reported burning'!G3301</f>
        <v>ND</v>
      </c>
      <c r="H3301" s="156" t="str">
        <f>'Reported burning'!H3301</f>
        <v>Absence</v>
      </c>
      <c r="I3301" s="5"/>
      <c r="J3301" s="21">
        <v>0</v>
      </c>
      <c r="K3301" s="21">
        <v>0</v>
      </c>
      <c r="L3301" s="21">
        <v>0</v>
      </c>
      <c r="M3301" s="21">
        <v>0</v>
      </c>
      <c r="N3301" s="21">
        <v>0</v>
      </c>
      <c r="O3301" s="21">
        <v>0</v>
      </c>
      <c r="P3301" s="21">
        <v>0</v>
      </c>
      <c r="Q3301" s="21">
        <v>0</v>
      </c>
      <c r="R3301" s="21">
        <v>0</v>
      </c>
      <c r="S3301" s="21">
        <v>0</v>
      </c>
      <c r="T3301" s="21">
        <v>0</v>
      </c>
      <c r="U3301" s="21">
        <v>0</v>
      </c>
      <c r="V3301" s="21">
        <v>0</v>
      </c>
      <c r="W3301" s="21">
        <v>0</v>
      </c>
      <c r="X3301" s="204" t="s">
        <v>35</v>
      </c>
      <c r="Y3301" s="204" t="s">
        <v>127</v>
      </c>
      <c r="Z3301" s="204" t="s">
        <v>2276</v>
      </c>
      <c r="AA3301" s="4"/>
      <c r="AB3301" s="4" t="s">
        <v>8837</v>
      </c>
    </row>
    <row r="3302" spans="1:28" ht="36" customHeight="1">
      <c r="A3302" s="156" t="str">
        <f>'Reported burning'!A3302</f>
        <v>367a</v>
      </c>
      <c r="B3302" s="156" t="str">
        <f>'Reported burning'!B3302</f>
        <v>367a.1</v>
      </c>
      <c r="C3302" s="156" t="str">
        <f>'Reported burning'!C3302</f>
        <v>Human, deliberate</v>
      </c>
      <c r="D3302" s="156" t="str">
        <f>'Reported burning'!D3302</f>
        <v>Vegetation management</v>
      </c>
      <c r="E3302" s="156" t="str">
        <f>'Reported burning'!E3302</f>
        <v>Cropping, Monoculture, Market-oriented</v>
      </c>
      <c r="F3302" s="156" t="str">
        <f>'Reported burning'!F3302</f>
        <v>Cropland</v>
      </c>
      <c r="G3302" s="156" t="str">
        <f>'Reported burning'!G3302</f>
        <v>ND</v>
      </c>
      <c r="H3302" s="156" t="str">
        <f>'Reported burning'!H3302</f>
        <v>Presence</v>
      </c>
      <c r="I3302" s="5"/>
      <c r="J3302" s="21" t="s">
        <v>2276</v>
      </c>
      <c r="K3302" s="21" t="s">
        <v>2276</v>
      </c>
      <c r="L3302" s="21" t="s">
        <v>2276</v>
      </c>
      <c r="M3302" s="21" t="s">
        <v>2276</v>
      </c>
      <c r="N3302" s="21" t="s">
        <v>2276</v>
      </c>
      <c r="O3302" s="21" t="s">
        <v>2276</v>
      </c>
      <c r="P3302" s="21" t="s">
        <v>2276</v>
      </c>
      <c r="Q3302" s="21" t="s">
        <v>2276</v>
      </c>
      <c r="R3302" s="21" t="s">
        <v>2276</v>
      </c>
      <c r="S3302" s="21" t="s">
        <v>2276</v>
      </c>
      <c r="T3302" s="21" t="s">
        <v>2276</v>
      </c>
      <c r="U3302" s="21" t="s">
        <v>2276</v>
      </c>
      <c r="V3302" s="21" t="s">
        <v>2276</v>
      </c>
      <c r="W3302" s="21" t="s">
        <v>2276</v>
      </c>
      <c r="X3302" s="21" t="s">
        <v>2276</v>
      </c>
      <c r="Y3302" s="21" t="s">
        <v>2276</v>
      </c>
      <c r="Z3302" s="21" t="s">
        <v>2276</v>
      </c>
      <c r="AA3302" s="19" t="s">
        <v>8842</v>
      </c>
      <c r="AB3302" s="204"/>
    </row>
    <row r="3303" spans="1:28" ht="35.5" customHeight="1">
      <c r="A3303" s="156" t="str">
        <f>'Reported burning'!A3303</f>
        <v>368a</v>
      </c>
      <c r="B3303" s="156" t="str">
        <f>'Reported burning'!B3303</f>
        <v>368a.1</v>
      </c>
      <c r="C3303" s="156" t="str">
        <f>'Reported burning'!C3303</f>
        <v>Human, deliberate</v>
      </c>
      <c r="D3303" s="156" t="str">
        <f>'Reported burning'!D3303</f>
        <v>Crop field preparation</v>
      </c>
      <c r="E3303" s="156" t="str">
        <f>'Reported burning'!E3303</f>
        <v>Cropping, Swidden</v>
      </c>
      <c r="F3303" s="156" t="str">
        <f>'Reported burning'!F3303</f>
        <v>Forest</v>
      </c>
      <c r="G3303" s="156" t="str">
        <f>'Reported burning'!G3303</f>
        <v>ND</v>
      </c>
      <c r="H3303" s="156" t="str">
        <f>'Reported burning'!H3303</f>
        <v>Presence</v>
      </c>
      <c r="I3303" s="5"/>
      <c r="J3303" s="21" t="s">
        <v>2276</v>
      </c>
      <c r="K3303" s="21" t="s">
        <v>2276</v>
      </c>
      <c r="L3303" s="21" t="s">
        <v>2276</v>
      </c>
      <c r="M3303" s="21" t="s">
        <v>2276</v>
      </c>
      <c r="N3303" s="21" t="s">
        <v>2276</v>
      </c>
      <c r="O3303" s="21" t="s">
        <v>2276</v>
      </c>
      <c r="P3303" s="21" t="s">
        <v>2276</v>
      </c>
      <c r="Q3303" s="21" t="s">
        <v>2276</v>
      </c>
      <c r="R3303" s="21" t="s">
        <v>2276</v>
      </c>
      <c r="S3303" s="21" t="s">
        <v>2276</v>
      </c>
      <c r="T3303" s="21" t="s">
        <v>2276</v>
      </c>
      <c r="U3303" s="21" t="s">
        <v>2276</v>
      </c>
      <c r="V3303" s="21" t="s">
        <v>2276</v>
      </c>
      <c r="W3303" s="21" t="s">
        <v>2276</v>
      </c>
      <c r="X3303" s="21" t="s">
        <v>2276</v>
      </c>
      <c r="Y3303" s="21" t="s">
        <v>2276</v>
      </c>
      <c r="Z3303" s="21" t="s">
        <v>2276</v>
      </c>
      <c r="AA3303" s="204"/>
      <c r="AB3303" s="204"/>
    </row>
    <row r="3304" spans="1:28" ht="35.5" customHeight="1">
      <c r="A3304" s="156" t="str">
        <f>'Reported burning'!A3304</f>
        <v>368a</v>
      </c>
      <c r="B3304" s="156" t="str">
        <f>'Reported burning'!B3304</f>
        <v>368a.2</v>
      </c>
      <c r="C3304" s="156" t="str">
        <f>'Reported burning'!C3304</f>
        <v>Human, deliberate</v>
      </c>
      <c r="D3304" s="156" t="str">
        <f>'Reported burning'!D3304</f>
        <v>All</v>
      </c>
      <c r="E3304" s="156" t="str">
        <f>'Reported burning'!E3304</f>
        <v>Cropping, Intensive</v>
      </c>
      <c r="F3304" s="156" t="str">
        <f>'Reported burning'!F3304</f>
        <v>Cropland</v>
      </c>
      <c r="G3304" s="156" t="str">
        <f>'Reported burning'!G3304</f>
        <v>ND</v>
      </c>
      <c r="H3304" s="156" t="str">
        <f>'Reported burning'!H3304</f>
        <v>Absence</v>
      </c>
      <c r="I3304" s="5"/>
      <c r="J3304" s="21">
        <v>0</v>
      </c>
      <c r="K3304" s="21">
        <v>0</v>
      </c>
      <c r="L3304" s="21">
        <v>0</v>
      </c>
      <c r="M3304" s="21">
        <v>0</v>
      </c>
      <c r="N3304" s="21">
        <v>0</v>
      </c>
      <c r="O3304" s="21">
        <v>0</v>
      </c>
      <c r="P3304" s="21">
        <v>0</v>
      </c>
      <c r="Q3304" s="21">
        <v>0</v>
      </c>
      <c r="R3304" s="21">
        <v>0</v>
      </c>
      <c r="S3304" s="21">
        <v>0</v>
      </c>
      <c r="T3304" s="21">
        <v>0</v>
      </c>
      <c r="U3304" s="21">
        <v>0</v>
      </c>
      <c r="V3304" s="21">
        <v>0</v>
      </c>
      <c r="W3304" s="21" t="s">
        <v>2276</v>
      </c>
      <c r="X3304" s="21" t="s">
        <v>2276</v>
      </c>
      <c r="Y3304" s="21" t="s">
        <v>2276</v>
      </c>
      <c r="Z3304" s="21" t="s">
        <v>2276</v>
      </c>
      <c r="AA3304" s="4" t="s">
        <v>8847</v>
      </c>
      <c r="AB3304" s="204"/>
    </row>
    <row r="3305" spans="1:28" ht="35.5" customHeight="1">
      <c r="A3305" s="156" t="str">
        <f>'Reported burning'!A3305</f>
        <v>368a</v>
      </c>
      <c r="B3305" s="156" t="str">
        <f>'Reported burning'!B3305</f>
        <v>368a.3</v>
      </c>
      <c r="C3305" s="156" t="str">
        <f>'Reported burning'!C3305</f>
        <v>Human, deliberate</v>
      </c>
      <c r="D3305" s="156" t="str">
        <f>'Reported burning'!D3305</f>
        <v>All</v>
      </c>
      <c r="E3305" s="156" t="str">
        <f>'Reported burning'!E3305</f>
        <v>Forestry, Industrial</v>
      </c>
      <c r="F3305" s="156" t="str">
        <f>'Reported burning'!F3305</f>
        <v>Plantation forest</v>
      </c>
      <c r="G3305" s="156" t="str">
        <f>'Reported burning'!G3305</f>
        <v>ND</v>
      </c>
      <c r="H3305" s="156" t="str">
        <f>'Reported burning'!H3305</f>
        <v>Absence</v>
      </c>
      <c r="I3305" s="5"/>
      <c r="J3305" s="21">
        <v>0</v>
      </c>
      <c r="K3305" s="21">
        <v>0</v>
      </c>
      <c r="L3305" s="21">
        <v>0</v>
      </c>
      <c r="M3305" s="21">
        <v>0</v>
      </c>
      <c r="N3305" s="21">
        <v>0</v>
      </c>
      <c r="O3305" s="21">
        <v>0</v>
      </c>
      <c r="P3305" s="21">
        <v>0</v>
      </c>
      <c r="Q3305" s="21">
        <v>0</v>
      </c>
      <c r="R3305" s="21">
        <v>0</v>
      </c>
      <c r="S3305" s="21">
        <v>0</v>
      </c>
      <c r="T3305" s="21">
        <v>0</v>
      </c>
      <c r="U3305" s="21">
        <v>0</v>
      </c>
      <c r="V3305" s="21">
        <v>0</v>
      </c>
      <c r="W3305" s="21" t="s">
        <v>2276</v>
      </c>
      <c r="X3305" s="21" t="s">
        <v>2276</v>
      </c>
      <c r="Y3305" s="21" t="s">
        <v>2276</v>
      </c>
      <c r="Z3305" s="21" t="s">
        <v>2276</v>
      </c>
      <c r="AA3305" s="204"/>
      <c r="AB3305" s="204"/>
    </row>
    <row r="3306" spans="1:28" ht="43.5" customHeight="1">
      <c r="A3306" s="156" t="str">
        <f>'Reported burning'!A3306</f>
        <v>369a</v>
      </c>
      <c r="B3306" s="156" t="str">
        <f>'Reported burning'!B3306</f>
        <v>369a.1</v>
      </c>
      <c r="C3306" s="156" t="str">
        <f>'Reported burning'!C3306</f>
        <v>Human, deliberate</v>
      </c>
      <c r="D3306" s="156" t="str">
        <f>'Reported burning'!D3306</f>
        <v>Crop field preparation</v>
      </c>
      <c r="E3306" s="156" t="str">
        <f>'Reported burning'!E3306</f>
        <v>Cropping, Swidden</v>
      </c>
      <c r="F3306" s="156" t="str">
        <f>'Reported burning'!F3306</f>
        <v>Cropland</v>
      </c>
      <c r="G3306" s="156" t="str">
        <f>'Reported burning'!G3306</f>
        <v>ND</v>
      </c>
      <c r="H3306" s="156" t="str">
        <f>'Reported burning'!H3306</f>
        <v>Presence</v>
      </c>
      <c r="I3306" s="5"/>
      <c r="J3306" s="21" t="s">
        <v>2276</v>
      </c>
      <c r="K3306" s="21" t="s">
        <v>2276</v>
      </c>
      <c r="L3306" s="21" t="s">
        <v>2276</v>
      </c>
      <c r="M3306" s="21" t="s">
        <v>2276</v>
      </c>
      <c r="N3306" s="21" t="s">
        <v>2276</v>
      </c>
      <c r="O3306" s="21" t="s">
        <v>2276</v>
      </c>
      <c r="P3306" s="21" t="s">
        <v>2276</v>
      </c>
      <c r="Q3306" s="21" t="s">
        <v>2276</v>
      </c>
      <c r="R3306" s="21" t="s">
        <v>2276</v>
      </c>
      <c r="S3306" s="21" t="s">
        <v>2376</v>
      </c>
      <c r="T3306" s="21">
        <v>0</v>
      </c>
      <c r="U3306" s="21">
        <v>0</v>
      </c>
      <c r="V3306" s="21">
        <v>0</v>
      </c>
      <c r="W3306" s="21" t="s">
        <v>2375</v>
      </c>
      <c r="X3306" s="204"/>
      <c r="Y3306" s="204"/>
      <c r="Z3306" s="204"/>
      <c r="AA3306" s="204"/>
      <c r="AB3306" s="204"/>
    </row>
    <row r="3307" spans="1:28" ht="41" customHeight="1">
      <c r="A3307" s="156" t="str">
        <f>'Reported burning'!A3307</f>
        <v>369a</v>
      </c>
      <c r="B3307" s="156" t="str">
        <f>'Reported burning'!B3307</f>
        <v>369a.2</v>
      </c>
      <c r="C3307" s="156" t="str">
        <f>'Reported burning'!C3307</f>
        <v>Human, deliberate</v>
      </c>
      <c r="D3307" s="156" t="str">
        <f>'Reported burning'!D3307</f>
        <v>Crop field preparation</v>
      </c>
      <c r="E3307" s="156" t="str">
        <f>'Reported burning'!E3307</f>
        <v>Cropping, Monoculture, Subsistence-oriented</v>
      </c>
      <c r="F3307" s="156" t="str">
        <f>'Reported burning'!F3307</f>
        <v>Cropland</v>
      </c>
      <c r="G3307" s="156" t="str">
        <f>'Reported burning'!G3307</f>
        <v>ND</v>
      </c>
      <c r="H3307" s="156" t="str">
        <f>'Reported burning'!H3307</f>
        <v>Absence</v>
      </c>
      <c r="I3307" s="5"/>
      <c r="J3307" s="21">
        <v>0</v>
      </c>
      <c r="K3307" s="21">
        <v>0</v>
      </c>
      <c r="L3307" s="21">
        <v>0</v>
      </c>
      <c r="M3307" s="21">
        <v>0</v>
      </c>
      <c r="N3307" s="21">
        <v>0</v>
      </c>
      <c r="O3307" s="21">
        <v>0</v>
      </c>
      <c r="P3307" s="21">
        <v>0</v>
      </c>
      <c r="Q3307" s="21">
        <v>0</v>
      </c>
      <c r="R3307" s="21">
        <v>0</v>
      </c>
      <c r="S3307" s="21">
        <v>0</v>
      </c>
      <c r="T3307" s="21">
        <v>0</v>
      </c>
      <c r="U3307" s="21">
        <v>0</v>
      </c>
      <c r="V3307" s="21">
        <v>0</v>
      </c>
      <c r="W3307" s="21" t="s">
        <v>2276</v>
      </c>
      <c r="X3307" s="21" t="s">
        <v>2276</v>
      </c>
      <c r="Y3307" s="21" t="s">
        <v>2276</v>
      </c>
      <c r="Z3307" s="21" t="s">
        <v>2276</v>
      </c>
      <c r="AA3307" s="204"/>
      <c r="AB3307" s="204"/>
    </row>
    <row r="3308" spans="1:28" ht="41" customHeight="1">
      <c r="A3308" s="156" t="str">
        <f>'Reported burning'!A3308</f>
        <v>369a</v>
      </c>
      <c r="B3308" s="156" t="str">
        <f>'Reported burning'!B3308</f>
        <v>369a.3</v>
      </c>
      <c r="C3308" s="156" t="str">
        <f>'Reported burning'!C3308</f>
        <v>Human, deliberate</v>
      </c>
      <c r="D3308" s="156" t="str">
        <f>'Reported burning'!D3308</f>
        <v>Crop field preparation</v>
      </c>
      <c r="E3308" s="156" t="str">
        <f>'Reported burning'!E3308</f>
        <v>Mixed cropping-livestock small holder, Subsistence-oriented</v>
      </c>
      <c r="F3308" s="156" t="str">
        <f>'Reported burning'!F3308</f>
        <v>Cropland</v>
      </c>
      <c r="G3308" s="156" t="str">
        <f>'Reported burning'!G3308</f>
        <v>ND</v>
      </c>
      <c r="H3308" s="156" t="str">
        <f>'Reported burning'!H3308</f>
        <v>Absence</v>
      </c>
      <c r="I3308" s="5"/>
      <c r="J3308" s="21">
        <v>0</v>
      </c>
      <c r="K3308" s="21">
        <v>0</v>
      </c>
      <c r="L3308" s="21">
        <v>0</v>
      </c>
      <c r="M3308" s="21">
        <v>0</v>
      </c>
      <c r="N3308" s="21">
        <v>0</v>
      </c>
      <c r="O3308" s="21">
        <v>0</v>
      </c>
      <c r="P3308" s="21">
        <v>0</v>
      </c>
      <c r="Q3308" s="21">
        <v>0</v>
      </c>
      <c r="R3308" s="21">
        <v>0</v>
      </c>
      <c r="S3308" s="21">
        <v>0</v>
      </c>
      <c r="T3308" s="21">
        <v>0</v>
      </c>
      <c r="U3308" s="21">
        <v>0</v>
      </c>
      <c r="V3308" s="21">
        <v>0</v>
      </c>
      <c r="W3308" s="21" t="s">
        <v>2276</v>
      </c>
      <c r="X3308" s="21" t="s">
        <v>2276</v>
      </c>
      <c r="Y3308" s="21" t="s">
        <v>2276</v>
      </c>
      <c r="Z3308" s="21" t="s">
        <v>2276</v>
      </c>
      <c r="AA3308" s="204"/>
      <c r="AB3308" s="204"/>
    </row>
    <row r="3309" spans="1:28" ht="41" customHeight="1">
      <c r="A3309" s="156" t="str">
        <f>'Reported burning'!A3309</f>
        <v>369b</v>
      </c>
      <c r="B3309" s="156" t="str">
        <f>'Reported burning'!B3309</f>
        <v>369b.1</v>
      </c>
      <c r="C3309" s="156" t="str">
        <f>'Reported burning'!C3309</f>
        <v>Human, deliberate</v>
      </c>
      <c r="D3309" s="156" t="str">
        <f>'Reported burning'!D3309</f>
        <v>Crop field preparation</v>
      </c>
      <c r="E3309" s="156" t="str">
        <f>'Reported burning'!E3309</f>
        <v>Cropping, Swidden</v>
      </c>
      <c r="F3309" s="156" t="str">
        <f>'Reported burning'!F3309</f>
        <v>Cropland</v>
      </c>
      <c r="G3309" s="156" t="str">
        <f>'Reported burning'!G3309</f>
        <v>ND</v>
      </c>
      <c r="H3309" s="156" t="str">
        <f>'Reported burning'!H3309</f>
        <v>Presence</v>
      </c>
      <c r="I3309" s="5"/>
      <c r="J3309" s="21" t="s">
        <v>2276</v>
      </c>
      <c r="K3309" s="21" t="s">
        <v>2276</v>
      </c>
      <c r="L3309" s="21" t="s">
        <v>2276</v>
      </c>
      <c r="M3309" s="21" t="s">
        <v>2276</v>
      </c>
      <c r="N3309" s="21" t="s">
        <v>2276</v>
      </c>
      <c r="O3309" s="21" t="s">
        <v>2276</v>
      </c>
      <c r="P3309" s="21" t="s">
        <v>2276</v>
      </c>
      <c r="Q3309" s="21" t="s">
        <v>2276</v>
      </c>
      <c r="R3309" s="21" t="s">
        <v>2276</v>
      </c>
      <c r="S3309" s="21" t="s">
        <v>2374</v>
      </c>
      <c r="T3309" s="21">
        <v>0</v>
      </c>
      <c r="U3309" s="21">
        <v>0</v>
      </c>
      <c r="V3309" s="21">
        <v>0</v>
      </c>
      <c r="W3309" s="21" t="s">
        <v>2401</v>
      </c>
      <c r="X3309" s="21" t="s">
        <v>2276</v>
      </c>
      <c r="Y3309" s="21" t="s">
        <v>2276</v>
      </c>
      <c r="Z3309" s="21" t="s">
        <v>2276</v>
      </c>
      <c r="AA3309" s="204"/>
      <c r="AB3309" s="204"/>
    </row>
    <row r="3310" spans="1:28" ht="41" customHeight="1">
      <c r="A3310" s="156" t="str">
        <f>'Reported burning'!A3310</f>
        <v>369b</v>
      </c>
      <c r="B3310" s="156" t="str">
        <f>'Reported burning'!B3310</f>
        <v>369b.2</v>
      </c>
      <c r="C3310" s="156" t="str">
        <f>'Reported burning'!C3310</f>
        <v>Human, deliberate</v>
      </c>
      <c r="D3310" s="156" t="str">
        <f>'Reported burning'!D3310</f>
        <v>Crop field preparation</v>
      </c>
      <c r="E3310" s="156" t="str">
        <f>'Reported burning'!E3310</f>
        <v>Cropping, Monoculture, Subsistence-oriented</v>
      </c>
      <c r="F3310" s="156" t="str">
        <f>'Reported burning'!F3310</f>
        <v>Cropland</v>
      </c>
      <c r="G3310" s="156" t="str">
        <f>'Reported burning'!G3310</f>
        <v>ND</v>
      </c>
      <c r="H3310" s="156" t="str">
        <f>'Reported burning'!H3310</f>
        <v>Absence</v>
      </c>
      <c r="I3310" s="5"/>
      <c r="J3310" s="21">
        <v>0</v>
      </c>
      <c r="K3310" s="21">
        <v>0</v>
      </c>
      <c r="L3310" s="21">
        <v>0</v>
      </c>
      <c r="M3310" s="21">
        <v>0</v>
      </c>
      <c r="N3310" s="21">
        <v>0</v>
      </c>
      <c r="O3310" s="21">
        <v>0</v>
      </c>
      <c r="P3310" s="21">
        <v>0</v>
      </c>
      <c r="Q3310" s="21">
        <v>0</v>
      </c>
      <c r="R3310" s="21">
        <v>0</v>
      </c>
      <c r="S3310" s="21">
        <v>0</v>
      </c>
      <c r="T3310" s="21">
        <v>0</v>
      </c>
      <c r="U3310" s="21">
        <v>0</v>
      </c>
      <c r="V3310" s="21">
        <v>0</v>
      </c>
      <c r="W3310" s="21" t="s">
        <v>2276</v>
      </c>
      <c r="X3310" s="21" t="s">
        <v>2276</v>
      </c>
      <c r="Y3310" s="21" t="s">
        <v>2276</v>
      </c>
      <c r="Z3310" s="21" t="s">
        <v>2276</v>
      </c>
      <c r="AA3310" s="204"/>
      <c r="AB3310" s="204"/>
    </row>
    <row r="3311" spans="1:28" ht="41" customHeight="1">
      <c r="A3311" s="156" t="str">
        <f>'Reported burning'!A3311</f>
        <v>369b</v>
      </c>
      <c r="B3311" s="156" t="str">
        <f>'Reported burning'!B3311</f>
        <v>369b.3</v>
      </c>
      <c r="C3311" s="156" t="str">
        <f>'Reported burning'!C3311</f>
        <v>Human, deliberate</v>
      </c>
      <c r="D3311" s="156" t="str">
        <f>'Reported burning'!D3311</f>
        <v>Crop field preparation</v>
      </c>
      <c r="E3311" s="156" t="str">
        <f>'Reported burning'!E3311</f>
        <v>Mixed cropping-livestock small holder, Subsistence-oriented</v>
      </c>
      <c r="F3311" s="156" t="str">
        <f>'Reported burning'!F3311</f>
        <v>Cropland</v>
      </c>
      <c r="G3311" s="156" t="str">
        <f>'Reported burning'!G3311</f>
        <v>ND</v>
      </c>
      <c r="H3311" s="156" t="str">
        <f>'Reported burning'!H3311</f>
        <v>Absence</v>
      </c>
      <c r="I3311" s="5"/>
      <c r="J3311" s="21">
        <v>0</v>
      </c>
      <c r="K3311" s="21">
        <v>0</v>
      </c>
      <c r="L3311" s="21">
        <v>0</v>
      </c>
      <c r="M3311" s="21">
        <v>0</v>
      </c>
      <c r="N3311" s="21">
        <v>0</v>
      </c>
      <c r="O3311" s="21">
        <v>0</v>
      </c>
      <c r="P3311" s="21">
        <v>0</v>
      </c>
      <c r="Q3311" s="21">
        <v>0</v>
      </c>
      <c r="R3311" s="21">
        <v>0</v>
      </c>
      <c r="S3311" s="21">
        <v>0</v>
      </c>
      <c r="T3311" s="21">
        <v>0</v>
      </c>
      <c r="U3311" s="21">
        <v>0</v>
      </c>
      <c r="V3311" s="21">
        <v>0</v>
      </c>
      <c r="W3311" s="21" t="s">
        <v>2276</v>
      </c>
      <c r="X3311" s="21" t="s">
        <v>2276</v>
      </c>
      <c r="Y3311" s="21" t="s">
        <v>2276</v>
      </c>
      <c r="Z3311" s="21" t="s">
        <v>2276</v>
      </c>
      <c r="AA3311" s="204"/>
      <c r="AB3311" s="204"/>
    </row>
    <row r="3312" spans="1:28" ht="41" customHeight="1">
      <c r="A3312" s="156" t="str">
        <f>'Reported burning'!A3312</f>
        <v>369c</v>
      </c>
      <c r="B3312" s="156" t="str">
        <f>'Reported burning'!B3312</f>
        <v>369c.1</v>
      </c>
      <c r="C3312" s="156" t="str">
        <f>'Reported burning'!C3312</f>
        <v>Human, deliberate</v>
      </c>
      <c r="D3312" s="156" t="str">
        <f>'Reported burning'!D3312</f>
        <v>Crop field preparation</v>
      </c>
      <c r="E3312" s="156" t="str">
        <f>'Reported burning'!E3312</f>
        <v>Cropping, Swidden</v>
      </c>
      <c r="F3312" s="156" t="str">
        <f>'Reported burning'!F3312</f>
        <v>Cropland</v>
      </c>
      <c r="G3312" s="156" t="str">
        <f>'Reported burning'!G3312</f>
        <v>ND</v>
      </c>
      <c r="H3312" s="156" t="str">
        <f>'Reported burning'!H3312</f>
        <v>Presence</v>
      </c>
      <c r="I3312" s="5"/>
      <c r="J3312" s="21" t="s">
        <v>2276</v>
      </c>
      <c r="K3312" s="21" t="s">
        <v>2276</v>
      </c>
      <c r="L3312" s="21" t="s">
        <v>2276</v>
      </c>
      <c r="M3312" s="21" t="s">
        <v>2276</v>
      </c>
      <c r="N3312" s="21" t="s">
        <v>2276</v>
      </c>
      <c r="O3312" s="21" t="s">
        <v>2276</v>
      </c>
      <c r="P3312" s="21" t="s">
        <v>2276</v>
      </c>
      <c r="Q3312" s="21" t="s">
        <v>2276</v>
      </c>
      <c r="R3312" s="21" t="s">
        <v>2276</v>
      </c>
      <c r="S3312" s="21" t="s">
        <v>2376</v>
      </c>
      <c r="T3312" s="21">
        <v>0</v>
      </c>
      <c r="U3312" s="21">
        <v>0</v>
      </c>
      <c r="V3312" s="21">
        <v>0</v>
      </c>
      <c r="W3312" s="21" t="s">
        <v>2401</v>
      </c>
      <c r="X3312" s="21" t="s">
        <v>2276</v>
      </c>
      <c r="Y3312" s="21" t="s">
        <v>2276</v>
      </c>
      <c r="Z3312" s="21" t="s">
        <v>2276</v>
      </c>
      <c r="AA3312" s="204"/>
      <c r="AB3312" s="204"/>
    </row>
    <row r="3313" spans="1:28" ht="41" customHeight="1">
      <c r="A3313" s="156" t="str">
        <f>'Reported burning'!A3313</f>
        <v>369c</v>
      </c>
      <c r="B3313" s="156" t="str">
        <f>'Reported burning'!B3313</f>
        <v>369c.2</v>
      </c>
      <c r="C3313" s="156" t="str">
        <f>'Reported burning'!C3313</f>
        <v>Human, deliberate</v>
      </c>
      <c r="D3313" s="156" t="str">
        <f>'Reported burning'!D3313</f>
        <v>Crop field preparation</v>
      </c>
      <c r="E3313" s="156" t="str">
        <f>'Reported burning'!E3313</f>
        <v>Cropping, Monoculture, Subsistence-oriented</v>
      </c>
      <c r="F3313" s="156" t="str">
        <f>'Reported burning'!F3313</f>
        <v>Cropland</v>
      </c>
      <c r="G3313" s="156" t="str">
        <f>'Reported burning'!G3313</f>
        <v>ND</v>
      </c>
      <c r="H3313" s="156" t="str">
        <f>'Reported burning'!H3313</f>
        <v>Absence</v>
      </c>
      <c r="I3313" s="5"/>
      <c r="J3313" s="21">
        <v>0</v>
      </c>
      <c r="K3313" s="21">
        <v>0</v>
      </c>
      <c r="L3313" s="21">
        <v>0</v>
      </c>
      <c r="M3313" s="21">
        <v>0</v>
      </c>
      <c r="N3313" s="21">
        <v>0</v>
      </c>
      <c r="O3313" s="21">
        <v>0</v>
      </c>
      <c r="P3313" s="21">
        <v>0</v>
      </c>
      <c r="Q3313" s="21">
        <v>0</v>
      </c>
      <c r="R3313" s="21">
        <v>0</v>
      </c>
      <c r="S3313" s="21">
        <v>0</v>
      </c>
      <c r="T3313" s="21">
        <v>0</v>
      </c>
      <c r="U3313" s="21">
        <v>0</v>
      </c>
      <c r="V3313" s="21">
        <v>0</v>
      </c>
      <c r="W3313" s="21" t="s">
        <v>2276</v>
      </c>
      <c r="X3313" s="21" t="s">
        <v>2276</v>
      </c>
      <c r="Y3313" s="21" t="s">
        <v>2276</v>
      </c>
      <c r="Z3313" s="21" t="s">
        <v>2276</v>
      </c>
      <c r="AA3313" s="204"/>
      <c r="AB3313" s="204"/>
    </row>
    <row r="3314" spans="1:28" ht="41" customHeight="1">
      <c r="A3314" s="156" t="str">
        <f>'Reported burning'!A3314</f>
        <v>369c</v>
      </c>
      <c r="B3314" s="156" t="str">
        <f>'Reported burning'!B3314</f>
        <v>369c.3</v>
      </c>
      <c r="C3314" s="156" t="str">
        <f>'Reported burning'!C3314</f>
        <v>Human, deliberate</v>
      </c>
      <c r="D3314" s="156" t="str">
        <f>'Reported burning'!D3314</f>
        <v>Crop field preparation</v>
      </c>
      <c r="E3314" s="156" t="str">
        <f>'Reported burning'!E3314</f>
        <v>Mixed cropping-livestock small holder, Subsistence-oriented</v>
      </c>
      <c r="F3314" s="156" t="str">
        <f>'Reported burning'!F3314</f>
        <v>Cropland</v>
      </c>
      <c r="G3314" s="156" t="str">
        <f>'Reported burning'!G3314</f>
        <v>ND</v>
      </c>
      <c r="H3314" s="156" t="str">
        <f>'Reported burning'!H3314</f>
        <v>Absence</v>
      </c>
      <c r="I3314" s="5"/>
      <c r="J3314" s="21">
        <v>0</v>
      </c>
      <c r="K3314" s="21">
        <v>0</v>
      </c>
      <c r="L3314" s="21">
        <v>0</v>
      </c>
      <c r="M3314" s="21">
        <v>0</v>
      </c>
      <c r="N3314" s="21">
        <v>0</v>
      </c>
      <c r="O3314" s="21">
        <v>0</v>
      </c>
      <c r="P3314" s="21">
        <v>0</v>
      </c>
      <c r="Q3314" s="21">
        <v>0</v>
      </c>
      <c r="R3314" s="21">
        <v>0</v>
      </c>
      <c r="S3314" s="21">
        <v>0</v>
      </c>
      <c r="T3314" s="21">
        <v>0</v>
      </c>
      <c r="U3314" s="21">
        <v>0</v>
      </c>
      <c r="V3314" s="21">
        <v>0</v>
      </c>
      <c r="W3314" s="21" t="s">
        <v>2276</v>
      </c>
      <c r="X3314" s="21" t="s">
        <v>2276</v>
      </c>
      <c r="Y3314" s="21" t="s">
        <v>2276</v>
      </c>
      <c r="Z3314" s="21" t="s">
        <v>2276</v>
      </c>
      <c r="AA3314" s="204"/>
      <c r="AB3314" s="204"/>
    </row>
    <row r="3315" spans="1:28" ht="41" customHeight="1">
      <c r="A3315" s="156" t="str">
        <f>'Reported burning'!A3315</f>
        <v>369d</v>
      </c>
      <c r="B3315" s="156" t="str">
        <f>'Reported burning'!B3315</f>
        <v>369d.1</v>
      </c>
      <c r="C3315" s="156" t="str">
        <f>'Reported burning'!C3315</f>
        <v>Human, deliberate</v>
      </c>
      <c r="D3315" s="156" t="str">
        <f>'Reported burning'!D3315</f>
        <v>Crop field preparation</v>
      </c>
      <c r="E3315" s="156" t="str">
        <f>'Reported burning'!E3315</f>
        <v>Cropping, Swidden</v>
      </c>
      <c r="F3315" s="156" t="str">
        <f>'Reported burning'!F3315</f>
        <v>Cropland</v>
      </c>
      <c r="G3315" s="156" t="str">
        <f>'Reported burning'!G3315</f>
        <v>ND</v>
      </c>
      <c r="H3315" s="156" t="str">
        <f>'Reported burning'!H3315</f>
        <v>Presence</v>
      </c>
      <c r="I3315" s="5"/>
      <c r="J3315" s="21" t="s">
        <v>2276</v>
      </c>
      <c r="K3315" s="21" t="s">
        <v>2276</v>
      </c>
      <c r="L3315" s="21" t="s">
        <v>2276</v>
      </c>
      <c r="M3315" s="21" t="s">
        <v>2276</v>
      </c>
      <c r="N3315" s="21" t="s">
        <v>2276</v>
      </c>
      <c r="O3315" s="21" t="s">
        <v>2276</v>
      </c>
      <c r="P3315" s="21" t="s">
        <v>2276</v>
      </c>
      <c r="Q3315" s="21" t="s">
        <v>2276</v>
      </c>
      <c r="R3315" s="21" t="s">
        <v>2276</v>
      </c>
      <c r="S3315" s="21" t="s">
        <v>2527</v>
      </c>
      <c r="T3315" s="21">
        <v>0</v>
      </c>
      <c r="U3315" s="21">
        <v>0</v>
      </c>
      <c r="V3315" s="21">
        <v>0</v>
      </c>
      <c r="W3315" s="21" t="s">
        <v>2375</v>
      </c>
      <c r="X3315" s="21" t="s">
        <v>2276</v>
      </c>
      <c r="Y3315" s="21" t="s">
        <v>2276</v>
      </c>
      <c r="Z3315" s="21" t="s">
        <v>2276</v>
      </c>
      <c r="AA3315" s="204"/>
      <c r="AB3315" s="204"/>
    </row>
    <row r="3316" spans="1:28" ht="41" customHeight="1">
      <c r="A3316" s="156" t="str">
        <f>'Reported burning'!A3316</f>
        <v>369d</v>
      </c>
      <c r="B3316" s="156" t="str">
        <f>'Reported burning'!B3316</f>
        <v>369d.2</v>
      </c>
      <c r="C3316" s="156" t="str">
        <f>'Reported burning'!C3316</f>
        <v>Human, deliberate</v>
      </c>
      <c r="D3316" s="156" t="str">
        <f>'Reported burning'!D3316</f>
        <v>Crop field preparation</v>
      </c>
      <c r="E3316" s="156" t="str">
        <f>'Reported burning'!E3316</f>
        <v>Cropping, Monoculture, Subsistence-oriented</v>
      </c>
      <c r="F3316" s="156" t="str">
        <f>'Reported burning'!F3316</f>
        <v>Cropland</v>
      </c>
      <c r="G3316" s="156" t="str">
        <f>'Reported burning'!G3316</f>
        <v>ND</v>
      </c>
      <c r="H3316" s="156" t="str">
        <f>'Reported burning'!H3316</f>
        <v>Absence</v>
      </c>
      <c r="I3316" s="5"/>
      <c r="J3316" s="21">
        <v>0</v>
      </c>
      <c r="K3316" s="21">
        <v>0</v>
      </c>
      <c r="L3316" s="21">
        <v>0</v>
      </c>
      <c r="M3316" s="21">
        <v>0</v>
      </c>
      <c r="N3316" s="21">
        <v>0</v>
      </c>
      <c r="O3316" s="21">
        <v>0</v>
      </c>
      <c r="P3316" s="21">
        <v>0</v>
      </c>
      <c r="Q3316" s="21">
        <v>0</v>
      </c>
      <c r="R3316" s="21">
        <v>0</v>
      </c>
      <c r="S3316" s="21">
        <v>0</v>
      </c>
      <c r="T3316" s="21">
        <v>0</v>
      </c>
      <c r="U3316" s="21">
        <v>0</v>
      </c>
      <c r="V3316" s="21">
        <v>0</v>
      </c>
      <c r="W3316" s="21" t="s">
        <v>2276</v>
      </c>
      <c r="X3316" s="21" t="s">
        <v>2276</v>
      </c>
      <c r="Y3316" s="21" t="s">
        <v>2276</v>
      </c>
      <c r="Z3316" s="21" t="s">
        <v>2276</v>
      </c>
      <c r="AA3316" s="204"/>
      <c r="AB3316" s="204"/>
    </row>
    <row r="3317" spans="1:28" ht="41" customHeight="1">
      <c r="A3317" s="156" t="str">
        <f>'Reported burning'!A3317</f>
        <v>369d</v>
      </c>
      <c r="B3317" s="156" t="str">
        <f>'Reported burning'!B3317</f>
        <v>369d.3</v>
      </c>
      <c r="C3317" s="156" t="str">
        <f>'Reported burning'!C3317</f>
        <v>Human, deliberate</v>
      </c>
      <c r="D3317" s="156" t="str">
        <f>'Reported burning'!D3317</f>
        <v>Crop field preparation</v>
      </c>
      <c r="E3317" s="156" t="str">
        <f>'Reported burning'!E3317</f>
        <v>Mixed cropping-livestock small holder, Subsistence-oriented</v>
      </c>
      <c r="F3317" s="156" t="str">
        <f>'Reported burning'!F3317</f>
        <v>Cropland</v>
      </c>
      <c r="G3317" s="156" t="str">
        <f>'Reported burning'!G3317</f>
        <v>ND</v>
      </c>
      <c r="H3317" s="156" t="str">
        <f>'Reported burning'!H3317</f>
        <v>Absence</v>
      </c>
      <c r="I3317" s="5"/>
      <c r="J3317" s="21">
        <v>0</v>
      </c>
      <c r="K3317" s="21">
        <v>0</v>
      </c>
      <c r="L3317" s="21">
        <v>0</v>
      </c>
      <c r="M3317" s="21">
        <v>0</v>
      </c>
      <c r="N3317" s="21">
        <v>0</v>
      </c>
      <c r="O3317" s="21">
        <v>0</v>
      </c>
      <c r="P3317" s="21">
        <v>0</v>
      </c>
      <c r="Q3317" s="21">
        <v>0</v>
      </c>
      <c r="R3317" s="21">
        <v>0</v>
      </c>
      <c r="S3317" s="21">
        <v>0</v>
      </c>
      <c r="T3317" s="21">
        <v>0</v>
      </c>
      <c r="U3317" s="21">
        <v>0</v>
      </c>
      <c r="V3317" s="21">
        <v>0</v>
      </c>
      <c r="W3317" s="21" t="s">
        <v>2276</v>
      </c>
      <c r="X3317" s="21" t="s">
        <v>2276</v>
      </c>
      <c r="Y3317" s="21" t="s">
        <v>2276</v>
      </c>
      <c r="Z3317" s="21" t="s">
        <v>2276</v>
      </c>
      <c r="AA3317" s="204"/>
      <c r="AB3317" s="204"/>
    </row>
    <row r="3318" spans="1:28" ht="36.5" customHeight="1">
      <c r="A3318" s="156" t="str">
        <f>'Reported burning'!A3318</f>
        <v>370a</v>
      </c>
      <c r="B3318" s="156" t="str">
        <f>'Reported burning'!B3318</f>
        <v>370a.1</v>
      </c>
      <c r="C3318" s="156" t="str">
        <f>'Reported burning'!C3318</f>
        <v>All</v>
      </c>
      <c r="D3318" s="156" t="str">
        <f>'Reported burning'!D3318</f>
        <v>ND</v>
      </c>
      <c r="E3318" s="156" t="str">
        <f>'Reported burning'!E3318</f>
        <v>ND</v>
      </c>
      <c r="F3318" s="156" t="str">
        <f>'Reported burning'!F3318</f>
        <v>ND</v>
      </c>
      <c r="G3318" s="156" t="str">
        <f>'Reported burning'!G3318</f>
        <v>Forest</v>
      </c>
      <c r="H3318" s="156" t="str">
        <f>'Reported burning'!H3318</f>
        <v>Presence</v>
      </c>
      <c r="I3318" s="5"/>
      <c r="J3318" s="21" t="s">
        <v>2276</v>
      </c>
      <c r="K3318" s="21" t="s">
        <v>2276</v>
      </c>
      <c r="L3318" s="21" t="s">
        <v>2276</v>
      </c>
      <c r="M3318" s="21" t="s">
        <v>2276</v>
      </c>
      <c r="N3318" s="21" t="s">
        <v>2276</v>
      </c>
      <c r="O3318" s="21" t="s">
        <v>2276</v>
      </c>
      <c r="P3318" s="21" t="s">
        <v>2276</v>
      </c>
      <c r="Q3318" s="21" t="s">
        <v>2276</v>
      </c>
      <c r="R3318" s="21" t="s">
        <v>2276</v>
      </c>
      <c r="S3318" s="21" t="s">
        <v>2276</v>
      </c>
      <c r="T3318" s="21" t="s">
        <v>2276</v>
      </c>
      <c r="U3318" s="21" t="s">
        <v>2276</v>
      </c>
      <c r="V3318" s="21" t="s">
        <v>2276</v>
      </c>
      <c r="W3318" s="21" t="s">
        <v>2276</v>
      </c>
      <c r="X3318" s="21" t="s">
        <v>2276</v>
      </c>
      <c r="Y3318" s="21" t="s">
        <v>2276</v>
      </c>
      <c r="Z3318" s="21" t="s">
        <v>2276</v>
      </c>
      <c r="AA3318" s="204"/>
      <c r="AB3318" s="204"/>
    </row>
    <row r="3319" spans="1:28" ht="36.5" customHeight="1">
      <c r="A3319" s="156" t="str">
        <f>'Reported burning'!A3319</f>
        <v>370a</v>
      </c>
      <c r="B3319" s="156" t="str">
        <f>'Reported burning'!B3319</f>
        <v>370a.2</v>
      </c>
      <c r="C3319" s="156" t="str">
        <f>'Reported burning'!C3319</f>
        <v>All</v>
      </c>
      <c r="D3319" s="156" t="str">
        <f>'Reported burning'!D3319</f>
        <v>ND</v>
      </c>
      <c r="E3319" s="156" t="str">
        <f>'Reported burning'!E3319</f>
        <v>ND</v>
      </c>
      <c r="F3319" s="156" t="str">
        <f>'Reported burning'!F3319</f>
        <v>ND</v>
      </c>
      <c r="G3319" s="156" t="str">
        <f>'Reported burning'!G3319</f>
        <v>Forest</v>
      </c>
      <c r="H3319" s="156" t="str">
        <f>'Reported burning'!H3319</f>
        <v>Presence</v>
      </c>
      <c r="I3319" s="5"/>
      <c r="J3319" s="21" t="s">
        <v>2276</v>
      </c>
      <c r="K3319" s="21" t="s">
        <v>2276</v>
      </c>
      <c r="L3319" s="21" t="s">
        <v>2276</v>
      </c>
      <c r="M3319" s="21" t="s">
        <v>2276</v>
      </c>
      <c r="N3319" s="21" t="s">
        <v>2276</v>
      </c>
      <c r="O3319" s="21" t="s">
        <v>2276</v>
      </c>
      <c r="P3319" s="21" t="s">
        <v>2276</v>
      </c>
      <c r="Q3319" s="21" t="s">
        <v>2276</v>
      </c>
      <c r="R3319" s="21" t="s">
        <v>2276</v>
      </c>
      <c r="S3319" s="21" t="s">
        <v>2276</v>
      </c>
      <c r="T3319" s="21" t="s">
        <v>2276</v>
      </c>
      <c r="U3319" s="21" t="s">
        <v>2276</v>
      </c>
      <c r="V3319" s="21" t="s">
        <v>2276</v>
      </c>
      <c r="W3319" s="21" t="s">
        <v>2276</v>
      </c>
      <c r="X3319" s="21" t="s">
        <v>2276</v>
      </c>
      <c r="Y3319" s="21" t="s">
        <v>2276</v>
      </c>
      <c r="Z3319" s="21" t="s">
        <v>2276</v>
      </c>
      <c r="AA3319" s="204"/>
      <c r="AB3319" s="204"/>
    </row>
    <row r="3320" spans="1:28" ht="36.5" customHeight="1">
      <c r="A3320" s="156" t="str">
        <f>'Reported burning'!A3320</f>
        <v>370a</v>
      </c>
      <c r="B3320" s="156" t="str">
        <f>'Reported burning'!B3320</f>
        <v>370a.3</v>
      </c>
      <c r="C3320" s="156" t="str">
        <f>'Reported burning'!C3320</f>
        <v>Human, escaped</v>
      </c>
      <c r="D3320" s="156" t="str">
        <f>'Reported burning'!D3320</f>
        <v>Land clearance</v>
      </c>
      <c r="E3320" s="156" t="str">
        <f>'Reported burning'!E3320</f>
        <v>Cropping, Intensive</v>
      </c>
      <c r="F3320" s="156" t="str">
        <f>'Reported burning'!F3320</f>
        <v>Forest</v>
      </c>
      <c r="G3320" s="156" t="str">
        <f>'Reported burning'!G3320</f>
        <v>Forest</v>
      </c>
      <c r="H3320" s="156" t="str">
        <f>'Reported burning'!H3320</f>
        <v>Presence</v>
      </c>
      <c r="I3320" s="5"/>
      <c r="J3320" s="21" t="s">
        <v>2276</v>
      </c>
      <c r="K3320" s="21" t="s">
        <v>2276</v>
      </c>
      <c r="L3320" s="21" t="s">
        <v>2276</v>
      </c>
      <c r="M3320" s="21" t="s">
        <v>2276</v>
      </c>
      <c r="N3320" s="21" t="s">
        <v>2276</v>
      </c>
      <c r="O3320" s="21" t="s">
        <v>2276</v>
      </c>
      <c r="P3320" s="21" t="s">
        <v>2276</v>
      </c>
      <c r="Q3320" s="21" t="s">
        <v>2276</v>
      </c>
      <c r="R3320" s="21" t="s">
        <v>2276</v>
      </c>
      <c r="S3320" s="21" t="s">
        <v>2276</v>
      </c>
      <c r="T3320" s="21" t="s">
        <v>2276</v>
      </c>
      <c r="U3320" s="21" t="s">
        <v>2276</v>
      </c>
      <c r="V3320" s="21" t="s">
        <v>2276</v>
      </c>
      <c r="W3320" s="21" t="s">
        <v>2276</v>
      </c>
      <c r="X3320" s="21" t="s">
        <v>2276</v>
      </c>
      <c r="Y3320" s="21" t="s">
        <v>2276</v>
      </c>
      <c r="Z3320" s="21" t="s">
        <v>2276</v>
      </c>
      <c r="AA3320" s="204"/>
      <c r="AB3320" s="204"/>
    </row>
    <row r="3321" spans="1:28" s="203" customFormat="1" ht="36.5" customHeight="1">
      <c r="A3321" s="156" t="str">
        <f>'Reported burning'!A3321</f>
        <v>370a</v>
      </c>
      <c r="B3321" s="156" t="str">
        <f>'Reported burning'!B3321</f>
        <v>370a.4</v>
      </c>
      <c r="C3321" s="156" t="str">
        <f>'Reported burning'!C3321</f>
        <v>Human, escaped</v>
      </c>
      <c r="D3321" s="156" t="str">
        <f>'Reported burning'!D3321</f>
        <v>Land clearance</v>
      </c>
      <c r="E3321" s="156" t="str">
        <f>'Reported burning'!E3321</f>
        <v>Cropping, Monoculture, Market-oriented</v>
      </c>
      <c r="F3321" s="156" t="str">
        <f>'Reported burning'!F3321</f>
        <v>Forest</v>
      </c>
      <c r="G3321" s="156" t="str">
        <f>'Reported burning'!G3321</f>
        <v>Forest</v>
      </c>
      <c r="H3321" s="156" t="str">
        <f>'Reported burning'!H3321</f>
        <v>Presence</v>
      </c>
      <c r="I3321" s="5"/>
      <c r="J3321" s="21" t="s">
        <v>2276</v>
      </c>
      <c r="K3321" s="21" t="s">
        <v>2276</v>
      </c>
      <c r="L3321" s="21" t="s">
        <v>2276</v>
      </c>
      <c r="M3321" s="21" t="s">
        <v>2276</v>
      </c>
      <c r="N3321" s="21" t="s">
        <v>2276</v>
      </c>
      <c r="O3321" s="21" t="s">
        <v>2276</v>
      </c>
      <c r="P3321" s="21" t="s">
        <v>2276</v>
      </c>
      <c r="Q3321" s="21" t="s">
        <v>2276</v>
      </c>
      <c r="R3321" s="21" t="s">
        <v>2276</v>
      </c>
      <c r="S3321" s="21" t="s">
        <v>2276</v>
      </c>
      <c r="T3321" s="21" t="s">
        <v>2276</v>
      </c>
      <c r="U3321" s="21" t="s">
        <v>2276</v>
      </c>
      <c r="V3321" s="21" t="s">
        <v>2276</v>
      </c>
      <c r="W3321" s="21" t="s">
        <v>2276</v>
      </c>
      <c r="X3321" s="21" t="s">
        <v>2276</v>
      </c>
      <c r="Y3321" s="21" t="s">
        <v>2276</v>
      </c>
      <c r="Z3321" s="21" t="s">
        <v>2276</v>
      </c>
      <c r="AA3321" s="204"/>
      <c r="AB3321" s="204"/>
    </row>
    <row r="3322" spans="1:28" ht="36.5" customHeight="1">
      <c r="A3322" s="156" t="str">
        <f>'Reported burning'!A3322</f>
        <v>370a</v>
      </c>
      <c r="B3322" s="156" t="str">
        <f>'Reported burning'!B3322</f>
        <v>370a.5</v>
      </c>
      <c r="C3322" s="156" t="str">
        <f>'Reported burning'!C3322</f>
        <v>Human, escaped</v>
      </c>
      <c r="D3322" s="156" t="str">
        <f>'Reported burning'!D3322</f>
        <v>Crop field preparation</v>
      </c>
      <c r="E3322" s="156" t="str">
        <f>'Reported burning'!E3322</f>
        <v>Cropping, Swidden</v>
      </c>
      <c r="F3322" s="156" t="str">
        <f>'Reported burning'!F3322</f>
        <v>Secondary vegetation</v>
      </c>
      <c r="G3322" s="156" t="str">
        <f>'Reported burning'!G3322</f>
        <v>Forest</v>
      </c>
      <c r="H3322" s="156" t="str">
        <f>'Reported burning'!H3322</f>
        <v>Presence</v>
      </c>
      <c r="I3322" s="5"/>
      <c r="J3322" s="21" t="s">
        <v>2276</v>
      </c>
      <c r="K3322" s="21" t="s">
        <v>2276</v>
      </c>
      <c r="L3322" s="21" t="s">
        <v>2276</v>
      </c>
      <c r="M3322" s="21" t="s">
        <v>2276</v>
      </c>
      <c r="N3322" s="21" t="s">
        <v>2276</v>
      </c>
      <c r="O3322" s="21" t="s">
        <v>2276</v>
      </c>
      <c r="P3322" s="21" t="s">
        <v>2276</v>
      </c>
      <c r="Q3322" s="21" t="s">
        <v>2276</v>
      </c>
      <c r="R3322" s="21" t="s">
        <v>2276</v>
      </c>
      <c r="S3322" s="21" t="s">
        <v>2276</v>
      </c>
      <c r="T3322" s="21" t="s">
        <v>2276</v>
      </c>
      <c r="U3322" s="21" t="s">
        <v>2276</v>
      </c>
      <c r="V3322" s="21" t="s">
        <v>2276</v>
      </c>
      <c r="W3322" s="21" t="s">
        <v>2276</v>
      </c>
      <c r="X3322" s="21" t="s">
        <v>2276</v>
      </c>
      <c r="Y3322" s="21" t="s">
        <v>2276</v>
      </c>
      <c r="Z3322" s="21" t="s">
        <v>2276</v>
      </c>
      <c r="AA3322" s="204"/>
      <c r="AB3322" s="204"/>
    </row>
    <row r="3323" spans="1:28" ht="36.5" customHeight="1">
      <c r="A3323" s="156" t="str">
        <f>'Reported burning'!A3323</f>
        <v>370a</v>
      </c>
      <c r="B3323" s="156" t="str">
        <f>'Reported burning'!B3323</f>
        <v>370a.6</v>
      </c>
      <c r="C3323" s="156" t="str">
        <f>'Reported burning'!C3323</f>
        <v>Human, escaped</v>
      </c>
      <c r="D3323" s="156" t="str">
        <f>'Reported burning'!D3323</f>
        <v>Domestic</v>
      </c>
      <c r="E3323" s="156" t="str">
        <f>'Reported burning'!E3323</f>
        <v>Tourism manager</v>
      </c>
      <c r="F3323" s="156" t="str">
        <f>'Reported burning'!F3323</f>
        <v>ND</v>
      </c>
      <c r="G3323" s="156" t="str">
        <f>'Reported burning'!G3323</f>
        <v>Forest</v>
      </c>
      <c r="H3323" s="156" t="str">
        <f>'Reported burning'!H3323</f>
        <v>Presence</v>
      </c>
      <c r="I3323" s="5"/>
      <c r="J3323" s="21" t="s">
        <v>2276</v>
      </c>
      <c r="K3323" s="21" t="s">
        <v>2276</v>
      </c>
      <c r="L3323" s="21" t="s">
        <v>2276</v>
      </c>
      <c r="M3323" s="21" t="s">
        <v>2276</v>
      </c>
      <c r="N3323" s="21" t="s">
        <v>2276</v>
      </c>
      <c r="O3323" s="21" t="s">
        <v>2276</v>
      </c>
      <c r="P3323" s="21" t="s">
        <v>2276</v>
      </c>
      <c r="Q3323" s="21" t="s">
        <v>2276</v>
      </c>
      <c r="R3323" s="21" t="s">
        <v>2276</v>
      </c>
      <c r="S3323" s="21" t="s">
        <v>2276</v>
      </c>
      <c r="T3323" s="21" t="s">
        <v>2276</v>
      </c>
      <c r="U3323" s="21" t="s">
        <v>2276</v>
      </c>
      <c r="V3323" s="21" t="s">
        <v>2276</v>
      </c>
      <c r="W3323" s="21" t="s">
        <v>2276</v>
      </c>
      <c r="X3323" s="21" t="s">
        <v>2276</v>
      </c>
      <c r="Y3323" s="21" t="s">
        <v>2276</v>
      </c>
      <c r="Z3323" s="21" t="s">
        <v>2276</v>
      </c>
      <c r="AA3323" s="204"/>
      <c r="AB3323" s="204"/>
    </row>
    <row r="3324" spans="1:28" s="203" customFormat="1" ht="36.5" customHeight="1">
      <c r="A3324" s="156" t="str">
        <f>'Reported burning'!A3324</f>
        <v>370a</v>
      </c>
      <c r="B3324" s="156" t="str">
        <f>'Reported burning'!B3324</f>
        <v>370a.7</v>
      </c>
      <c r="C3324" s="156" t="str">
        <f>'Reported burning'!C3324</f>
        <v>Human, escaped</v>
      </c>
      <c r="D3324" s="156" t="str">
        <f>'Reported burning'!D3324</f>
        <v>Domestic</v>
      </c>
      <c r="E3324" s="156" t="str">
        <f>'Reported burning'!E3324</f>
        <v>Forestry, Traditional</v>
      </c>
      <c r="F3324" s="156" t="str">
        <f>'Reported burning'!F3324</f>
        <v>ND</v>
      </c>
      <c r="G3324" s="156" t="str">
        <f>'Reported burning'!G3324</f>
        <v>Forest</v>
      </c>
      <c r="H3324" s="156" t="str">
        <f>'Reported burning'!H3324</f>
        <v>Presence</v>
      </c>
      <c r="I3324" s="5"/>
      <c r="J3324" s="21" t="s">
        <v>2276</v>
      </c>
      <c r="K3324" s="21" t="s">
        <v>2276</v>
      </c>
      <c r="L3324" s="21" t="s">
        <v>2276</v>
      </c>
      <c r="M3324" s="21" t="s">
        <v>2276</v>
      </c>
      <c r="N3324" s="21" t="s">
        <v>2276</v>
      </c>
      <c r="O3324" s="21" t="s">
        <v>2276</v>
      </c>
      <c r="P3324" s="21" t="s">
        <v>2276</v>
      </c>
      <c r="Q3324" s="21" t="s">
        <v>2276</v>
      </c>
      <c r="R3324" s="21" t="s">
        <v>2276</v>
      </c>
      <c r="S3324" s="21" t="s">
        <v>2276</v>
      </c>
      <c r="T3324" s="21" t="s">
        <v>2276</v>
      </c>
      <c r="U3324" s="21" t="s">
        <v>2276</v>
      </c>
      <c r="V3324" s="21" t="s">
        <v>2276</v>
      </c>
      <c r="W3324" s="21" t="s">
        <v>2276</v>
      </c>
      <c r="X3324" s="21" t="s">
        <v>2276</v>
      </c>
      <c r="Y3324" s="21" t="s">
        <v>2276</v>
      </c>
      <c r="Z3324" s="21" t="s">
        <v>2276</v>
      </c>
      <c r="AA3324" s="204"/>
      <c r="AB3324" s="204"/>
    </row>
    <row r="3325" spans="1:28" ht="36.5" customHeight="1">
      <c r="A3325" s="156" t="s">
        <v>8877</v>
      </c>
      <c r="B3325" s="156" t="str">
        <f>'Reported burning'!B3325</f>
        <v>370a.8</v>
      </c>
      <c r="C3325" s="156" t="str">
        <f>'Reported burning'!C3325</f>
        <v>Human, escaped</v>
      </c>
      <c r="D3325" s="156" t="str">
        <f>'Reported burning'!D3325</f>
        <v>Hunting</v>
      </c>
      <c r="E3325" s="156" t="str">
        <f>'Reported burning'!E3325</f>
        <v>Forestry, Traditional</v>
      </c>
      <c r="F3325" s="156" t="str">
        <f>'Reported burning'!F3325</f>
        <v>Forest</v>
      </c>
      <c r="G3325" s="156" t="str">
        <f>'Reported burning'!G3325</f>
        <v>Forest</v>
      </c>
      <c r="H3325" s="156" t="str">
        <f>'Reported burning'!H3325</f>
        <v>Presence</v>
      </c>
      <c r="I3325" s="5"/>
      <c r="J3325" s="21" t="s">
        <v>2276</v>
      </c>
      <c r="K3325" s="21" t="s">
        <v>2276</v>
      </c>
      <c r="L3325" s="21" t="s">
        <v>2276</v>
      </c>
      <c r="M3325" s="21" t="s">
        <v>2276</v>
      </c>
      <c r="N3325" s="21" t="s">
        <v>2276</v>
      </c>
      <c r="O3325" s="21" t="s">
        <v>2276</v>
      </c>
      <c r="P3325" s="21" t="s">
        <v>2276</v>
      </c>
      <c r="Q3325" s="21" t="s">
        <v>2276</v>
      </c>
      <c r="R3325" s="21" t="s">
        <v>2276</v>
      </c>
      <c r="S3325" s="21" t="s">
        <v>2276</v>
      </c>
      <c r="T3325" s="21" t="s">
        <v>2276</v>
      </c>
      <c r="U3325" s="21" t="s">
        <v>2276</v>
      </c>
      <c r="V3325" s="21" t="s">
        <v>2276</v>
      </c>
      <c r="W3325" s="21" t="s">
        <v>2276</v>
      </c>
      <c r="X3325" s="21" t="s">
        <v>2276</v>
      </c>
      <c r="Y3325" s="21" t="s">
        <v>2276</v>
      </c>
      <c r="Z3325" s="21" t="s">
        <v>2276</v>
      </c>
      <c r="AA3325" s="204"/>
      <c r="AB3325" s="204"/>
    </row>
    <row r="3326" spans="1:28" ht="36.5" customHeight="1">
      <c r="A3326" s="156" t="str">
        <f>'Reported burning'!A3326</f>
        <v>370a</v>
      </c>
      <c r="B3326" s="156" t="str">
        <f>'Reported burning'!B3326</f>
        <v>370a.9</v>
      </c>
      <c r="C3326" s="156" t="str">
        <f>'Reported burning'!C3326</f>
        <v>Human, accidental</v>
      </c>
      <c r="D3326" s="156" t="str">
        <f>'Reported burning'!D3326</f>
        <v>Accidental</v>
      </c>
      <c r="E3326" s="156" t="str">
        <f>'Reported burning'!E3326</f>
        <v>Urban planner</v>
      </c>
      <c r="F3326" s="156" t="str">
        <f>'Reported burning'!F3326</f>
        <v>ND</v>
      </c>
      <c r="G3326" s="156" t="str">
        <f>'Reported burning'!G3326</f>
        <v>Forest</v>
      </c>
      <c r="H3326" s="156" t="str">
        <f>'Reported burning'!H3326</f>
        <v>Presence</v>
      </c>
      <c r="I3326" s="5"/>
      <c r="J3326" s="21" t="s">
        <v>2276</v>
      </c>
      <c r="K3326" s="21" t="s">
        <v>2276</v>
      </c>
      <c r="L3326" s="21" t="s">
        <v>2276</v>
      </c>
      <c r="M3326" s="21" t="s">
        <v>2276</v>
      </c>
      <c r="N3326" s="21" t="s">
        <v>2276</v>
      </c>
      <c r="O3326" s="21" t="s">
        <v>2276</v>
      </c>
      <c r="P3326" s="21" t="s">
        <v>2276</v>
      </c>
      <c r="Q3326" s="21" t="s">
        <v>2276</v>
      </c>
      <c r="R3326" s="21" t="s">
        <v>2276</v>
      </c>
      <c r="S3326" s="21" t="s">
        <v>2276</v>
      </c>
      <c r="T3326" s="21" t="s">
        <v>2276</v>
      </c>
      <c r="U3326" s="21" t="s">
        <v>2276</v>
      </c>
      <c r="V3326" s="21" t="s">
        <v>2276</v>
      </c>
      <c r="W3326" s="21" t="s">
        <v>2276</v>
      </c>
      <c r="X3326" s="21" t="s">
        <v>2276</v>
      </c>
      <c r="Y3326" s="21" t="s">
        <v>2276</v>
      </c>
      <c r="Z3326" s="21" t="s">
        <v>2276</v>
      </c>
      <c r="AA3326" s="204"/>
      <c r="AB3326" s="204"/>
    </row>
    <row r="3327" spans="1:28" ht="36.5" customHeight="1">
      <c r="A3327" s="156" t="str">
        <f>'Reported burning'!A3327</f>
        <v>370a</v>
      </c>
      <c r="B3327" s="156" t="str">
        <f>'Reported burning'!B3327</f>
        <v>370a.10</v>
      </c>
      <c r="C3327" s="156" t="str">
        <f>'Reported burning'!C3327</f>
        <v>Lightning</v>
      </c>
      <c r="D3327" s="156" t="str">
        <f>'Reported burning'!D3327</f>
        <v>ND</v>
      </c>
      <c r="E3327" s="156" t="str">
        <f>'Reported burning'!E3327</f>
        <v>ND</v>
      </c>
      <c r="F3327" s="156" t="str">
        <f>'Reported burning'!F3327</f>
        <v>ND</v>
      </c>
      <c r="G3327" s="156" t="str">
        <f>'Reported burning'!G3327</f>
        <v>Forest</v>
      </c>
      <c r="H3327" s="156" t="str">
        <f>'Reported burning'!H3327</f>
        <v>Presence</v>
      </c>
      <c r="I3327" s="5"/>
      <c r="J3327" s="21" t="s">
        <v>2276</v>
      </c>
      <c r="K3327" s="21" t="s">
        <v>2276</v>
      </c>
      <c r="L3327" s="21" t="s">
        <v>2276</v>
      </c>
      <c r="M3327" s="21" t="s">
        <v>2276</v>
      </c>
      <c r="N3327" s="21" t="s">
        <v>2276</v>
      </c>
      <c r="O3327" s="21" t="s">
        <v>2276</v>
      </c>
      <c r="P3327" s="21" t="s">
        <v>2276</v>
      </c>
      <c r="Q3327" s="21" t="s">
        <v>2276</v>
      </c>
      <c r="R3327" s="21" t="s">
        <v>2276</v>
      </c>
      <c r="S3327" s="21" t="s">
        <v>2276</v>
      </c>
      <c r="T3327" s="21" t="s">
        <v>2276</v>
      </c>
      <c r="U3327" s="21" t="s">
        <v>2276</v>
      </c>
      <c r="V3327" s="21" t="s">
        <v>2276</v>
      </c>
      <c r="W3327" s="21" t="s">
        <v>2276</v>
      </c>
      <c r="X3327" s="21" t="s">
        <v>2276</v>
      </c>
      <c r="Y3327" s="21" t="s">
        <v>2276</v>
      </c>
      <c r="Z3327" s="21" t="s">
        <v>2276</v>
      </c>
      <c r="AA3327" s="204"/>
      <c r="AB3327" s="204"/>
    </row>
    <row r="3328" spans="1:28" ht="37.5" customHeight="1">
      <c r="A3328" s="156" t="str">
        <f>'Reported burning'!A3328</f>
        <v>370a</v>
      </c>
      <c r="B3328" s="156" t="str">
        <f>'Reported burning'!B3328</f>
        <v>370a.11</v>
      </c>
      <c r="C3328" s="156" t="str">
        <f>'Reported burning'!C3328</f>
        <v>Human, deliberate</v>
      </c>
      <c r="D3328" s="156" t="str">
        <f>'Reported burning'!D3328</f>
        <v>Arson</v>
      </c>
      <c r="E3328" s="156" t="str">
        <f>'Reported burning'!E3328</f>
        <v>ND</v>
      </c>
      <c r="F3328" s="156" t="str">
        <f>'Reported burning'!F3328</f>
        <v>ND</v>
      </c>
      <c r="G3328" s="156" t="str">
        <f>'Reported burning'!G3328</f>
        <v>Forest</v>
      </c>
      <c r="H3328" s="156" t="str">
        <f>'Reported burning'!H3328</f>
        <v>Presence</v>
      </c>
      <c r="I3328" s="5"/>
      <c r="J3328" s="21" t="s">
        <v>2276</v>
      </c>
      <c r="K3328" s="21" t="s">
        <v>2276</v>
      </c>
      <c r="L3328" s="21" t="s">
        <v>2276</v>
      </c>
      <c r="M3328" s="21" t="s">
        <v>2276</v>
      </c>
      <c r="N3328" s="21" t="s">
        <v>2276</v>
      </c>
      <c r="O3328" s="21" t="s">
        <v>2276</v>
      </c>
      <c r="P3328" s="21" t="s">
        <v>2276</v>
      </c>
      <c r="Q3328" s="21" t="s">
        <v>2276</v>
      </c>
      <c r="R3328" s="21" t="s">
        <v>2276</v>
      </c>
      <c r="S3328" s="21" t="s">
        <v>2276</v>
      </c>
      <c r="T3328" s="21" t="s">
        <v>2276</v>
      </c>
      <c r="U3328" s="21" t="s">
        <v>2276</v>
      </c>
      <c r="V3328" s="21" t="s">
        <v>2276</v>
      </c>
      <c r="W3328" s="21" t="s">
        <v>2276</v>
      </c>
      <c r="X3328" s="21" t="s">
        <v>2276</v>
      </c>
      <c r="Y3328" s="21" t="s">
        <v>2276</v>
      </c>
      <c r="Z3328" s="21" t="s">
        <v>2276</v>
      </c>
      <c r="AA3328" s="204"/>
      <c r="AB3328" s="204"/>
    </row>
    <row r="3329" spans="1:28" ht="37.5" customHeight="1">
      <c r="A3329" s="156" t="str">
        <f>'Reported burning'!A3329</f>
        <v>371a</v>
      </c>
      <c r="B3329" s="156" t="str">
        <f>'Reported burning'!B3329</f>
        <v>371a.1</v>
      </c>
      <c r="C3329" s="156" t="str">
        <f>'Reported burning'!C3329</f>
        <v>Human, deliberate</v>
      </c>
      <c r="D3329" s="156" t="str">
        <f>'Reported burning'!D3329</f>
        <v>Crop field preparation</v>
      </c>
      <c r="E3329" s="156" t="str">
        <f>'Reported burning'!E3329</f>
        <v>Cropping, Swidden</v>
      </c>
      <c r="F3329" s="156" t="str">
        <f>'Reported burning'!F3329</f>
        <v>Secondary vegetation</v>
      </c>
      <c r="G3329" s="156" t="str">
        <f>'Reported burning'!G3329</f>
        <v>Secondary vegetation</v>
      </c>
      <c r="H3329" s="156" t="str">
        <f>'Reported burning'!H3329</f>
        <v>Presence</v>
      </c>
      <c r="I3329" s="5"/>
      <c r="J3329" s="21" t="s">
        <v>2276</v>
      </c>
      <c r="K3329" s="21" t="s">
        <v>2276</v>
      </c>
      <c r="L3329" s="21" t="s">
        <v>2276</v>
      </c>
      <c r="M3329" s="21" t="s">
        <v>2276</v>
      </c>
      <c r="N3329" s="21" t="s">
        <v>2276</v>
      </c>
      <c r="O3329" s="21" t="s">
        <v>2276</v>
      </c>
      <c r="P3329" s="21" t="s">
        <v>2276</v>
      </c>
      <c r="Q3329" s="21" t="s">
        <v>2276</v>
      </c>
      <c r="R3329" s="21" t="s">
        <v>2276</v>
      </c>
      <c r="S3329" s="21" t="s">
        <v>2276</v>
      </c>
      <c r="T3329" s="21" t="s">
        <v>2276</v>
      </c>
      <c r="U3329" s="21" t="s">
        <v>2276</v>
      </c>
      <c r="V3329" s="21" t="s">
        <v>2276</v>
      </c>
      <c r="W3329" s="21" t="s">
        <v>2276</v>
      </c>
      <c r="X3329" s="21" t="s">
        <v>2276</v>
      </c>
      <c r="Y3329" s="21" t="s">
        <v>2276</v>
      </c>
      <c r="Z3329" s="21" t="s">
        <v>2276</v>
      </c>
      <c r="AA3329" s="74" t="s">
        <v>8902</v>
      </c>
      <c r="AB3329" s="204"/>
    </row>
    <row r="3330" spans="1:28" ht="37.5" customHeight="1">
      <c r="A3330" s="156" t="str">
        <f>'Reported burning'!A3330</f>
        <v>371a</v>
      </c>
      <c r="B3330" s="156" t="str">
        <f>'Reported burning'!B3330</f>
        <v>371a.2</v>
      </c>
      <c r="C3330" s="156" t="str">
        <f>'Reported burning'!C3330</f>
        <v>Human, deliberate</v>
      </c>
      <c r="D3330" s="156" t="str">
        <f>'Reported burning'!D3330</f>
        <v>Pasture renewal</v>
      </c>
      <c r="E3330" s="156" t="str">
        <f>'Reported burning'!E3330</f>
        <v>Cattle, Extensive</v>
      </c>
      <c r="F3330" s="156" t="str">
        <f>'Reported burning'!F3330</f>
        <v>Pasture</v>
      </c>
      <c r="G3330" s="156" t="str">
        <f>'Reported burning'!G3330</f>
        <v>Pasture</v>
      </c>
      <c r="H3330" s="156" t="str">
        <f>'Reported burning'!H3330</f>
        <v>Presence</v>
      </c>
      <c r="I3330" s="5"/>
      <c r="J3330" s="21" t="s">
        <v>2276</v>
      </c>
      <c r="K3330" s="21" t="s">
        <v>2276</v>
      </c>
      <c r="L3330" s="21" t="s">
        <v>2276</v>
      </c>
      <c r="M3330" s="21" t="s">
        <v>2276</v>
      </c>
      <c r="N3330" s="21" t="s">
        <v>2276</v>
      </c>
      <c r="O3330" s="21" t="s">
        <v>2276</v>
      </c>
      <c r="P3330" s="21" t="s">
        <v>2276</v>
      </c>
      <c r="Q3330" s="21" t="s">
        <v>2276</v>
      </c>
      <c r="R3330" s="21" t="s">
        <v>2276</v>
      </c>
      <c r="S3330" s="21" t="s">
        <v>2276</v>
      </c>
      <c r="T3330" s="21" t="s">
        <v>2276</v>
      </c>
      <c r="U3330" s="21" t="s">
        <v>2276</v>
      </c>
      <c r="V3330" s="21" t="s">
        <v>2276</v>
      </c>
      <c r="W3330" s="21" t="s">
        <v>2276</v>
      </c>
      <c r="X3330" s="21" t="s">
        <v>2276</v>
      </c>
      <c r="Y3330" s="21" t="s">
        <v>2276</v>
      </c>
      <c r="Z3330" s="21" t="s">
        <v>2276</v>
      </c>
      <c r="AA3330" s="74" t="s">
        <v>8902</v>
      </c>
      <c r="AB3330" s="204"/>
    </row>
    <row r="3331" spans="1:28" ht="37.5" customHeight="1">
      <c r="A3331" s="156" t="str">
        <f>'Reported burning'!A3331</f>
        <v>371a</v>
      </c>
      <c r="B3331" s="156" t="str">
        <f>'Reported burning'!B3331</f>
        <v>371a.3</v>
      </c>
      <c r="C3331" s="156" t="str">
        <f>'Reported burning'!C3331</f>
        <v>Human, deliberate</v>
      </c>
      <c r="D3331" s="156" t="str">
        <f>'Reported burning'!D3331</f>
        <v>Pest management</v>
      </c>
      <c r="E3331" s="156" t="str">
        <f>'Reported burning'!E3331</f>
        <v>Cattle, Extensive</v>
      </c>
      <c r="F3331" s="156" t="str">
        <f>'Reported burning'!F3331</f>
        <v>Pasture</v>
      </c>
      <c r="G3331" s="156" t="str">
        <f>'Reported burning'!G3331</f>
        <v>Pasture</v>
      </c>
      <c r="H3331" s="156" t="str">
        <f>'Reported burning'!H3331</f>
        <v>Presence</v>
      </c>
      <c r="I3331" s="5"/>
      <c r="J3331" s="21" t="s">
        <v>2276</v>
      </c>
      <c r="K3331" s="21" t="s">
        <v>2276</v>
      </c>
      <c r="L3331" s="21" t="s">
        <v>2276</v>
      </c>
      <c r="M3331" s="21" t="s">
        <v>2276</v>
      </c>
      <c r="N3331" s="21" t="s">
        <v>2276</v>
      </c>
      <c r="O3331" s="21" t="s">
        <v>2276</v>
      </c>
      <c r="P3331" s="21" t="s">
        <v>2276</v>
      </c>
      <c r="Q3331" s="21" t="s">
        <v>2276</v>
      </c>
      <c r="R3331" s="21" t="s">
        <v>2276</v>
      </c>
      <c r="S3331" s="21" t="s">
        <v>2276</v>
      </c>
      <c r="T3331" s="21" t="s">
        <v>2276</v>
      </c>
      <c r="U3331" s="21" t="s">
        <v>2276</v>
      </c>
      <c r="V3331" s="21" t="s">
        <v>2276</v>
      </c>
      <c r="W3331" s="21" t="s">
        <v>2276</v>
      </c>
      <c r="X3331" s="21" t="s">
        <v>2276</v>
      </c>
      <c r="Y3331" s="21" t="s">
        <v>2276</v>
      </c>
      <c r="Z3331" s="21" t="s">
        <v>2276</v>
      </c>
      <c r="AA3331" s="74" t="s">
        <v>8902</v>
      </c>
      <c r="AB3331" s="204"/>
    </row>
    <row r="3332" spans="1:28" ht="37.5" customHeight="1">
      <c r="A3332" s="156" t="str">
        <f>'Reported burning'!A3332</f>
        <v>371a</v>
      </c>
      <c r="B3332" s="156" t="str">
        <f>'Reported burning'!B3332</f>
        <v>371a.4</v>
      </c>
      <c r="C3332" s="156" t="str">
        <f>'Reported burning'!C3332</f>
        <v>Human, deliberate</v>
      </c>
      <c r="D3332" s="156" t="str">
        <f>'Reported burning'!D3332</f>
        <v>Land clearance</v>
      </c>
      <c r="E3332" s="156" t="str">
        <f>'Reported burning'!E3332</f>
        <v>Cattle, Extensive</v>
      </c>
      <c r="F3332" s="156" t="str">
        <f>'Reported burning'!F3332</f>
        <v>Pasture</v>
      </c>
      <c r="G3332" s="156" t="str">
        <f>'Reported burning'!G3332</f>
        <v>Pasture</v>
      </c>
      <c r="H3332" s="156" t="str">
        <f>'Reported burning'!H3332</f>
        <v>Presence</v>
      </c>
      <c r="I3332" s="5"/>
      <c r="J3332" s="21" t="s">
        <v>2276</v>
      </c>
      <c r="K3332" s="21" t="s">
        <v>2276</v>
      </c>
      <c r="L3332" s="21" t="s">
        <v>2276</v>
      </c>
      <c r="M3332" s="21" t="s">
        <v>2276</v>
      </c>
      <c r="N3332" s="21" t="s">
        <v>2276</v>
      </c>
      <c r="O3332" s="21" t="s">
        <v>2276</v>
      </c>
      <c r="P3332" s="21" t="s">
        <v>2276</v>
      </c>
      <c r="Q3332" s="21" t="s">
        <v>2276</v>
      </c>
      <c r="R3332" s="21" t="s">
        <v>2276</v>
      </c>
      <c r="S3332" s="21" t="s">
        <v>2276</v>
      </c>
      <c r="T3332" s="21" t="s">
        <v>2276</v>
      </c>
      <c r="U3332" s="21" t="s">
        <v>2276</v>
      </c>
      <c r="V3332" s="21" t="s">
        <v>2276</v>
      </c>
      <c r="W3332" s="21" t="s">
        <v>2276</v>
      </c>
      <c r="X3332" s="21" t="s">
        <v>2276</v>
      </c>
      <c r="Y3332" s="21" t="s">
        <v>2276</v>
      </c>
      <c r="Z3332" s="21" t="s">
        <v>2276</v>
      </c>
      <c r="AA3332" s="74" t="s">
        <v>8902</v>
      </c>
      <c r="AB3332" s="204"/>
    </row>
    <row r="3333" spans="1:28" ht="37.5" customHeight="1">
      <c r="A3333" s="156" t="str">
        <f>'Reported burning'!A3333</f>
        <v>371a</v>
      </c>
      <c r="B3333" s="156" t="str">
        <f>'Reported burning'!B3333</f>
        <v>371a.5</v>
      </c>
      <c r="C3333" s="156" t="str">
        <f>'Reported burning'!C3333</f>
        <v>Human, escaped</v>
      </c>
      <c r="D3333" s="156" t="str">
        <f>'Reported burning'!D3333</f>
        <v>Crop field preparation</v>
      </c>
      <c r="E3333" s="156" t="str">
        <f>'Reported burning'!E3333</f>
        <v>Cropping, Swidden</v>
      </c>
      <c r="F3333" s="156" t="str">
        <f>'Reported burning'!F3333</f>
        <v>Secondary vegetation</v>
      </c>
      <c r="G3333" s="156" t="str">
        <f>'Reported burning'!G3333</f>
        <v>ND</v>
      </c>
      <c r="H3333" s="156" t="str">
        <f>'Reported burning'!H3333</f>
        <v>Presence</v>
      </c>
      <c r="I3333" s="5"/>
      <c r="J3333" s="21" t="s">
        <v>2276</v>
      </c>
      <c r="K3333" s="21" t="s">
        <v>2276</v>
      </c>
      <c r="L3333" s="21" t="s">
        <v>2276</v>
      </c>
      <c r="M3333" s="21" t="s">
        <v>2276</v>
      </c>
      <c r="N3333" s="21" t="s">
        <v>2276</v>
      </c>
      <c r="O3333" s="21" t="s">
        <v>2276</v>
      </c>
      <c r="P3333" s="21" t="s">
        <v>2276</v>
      </c>
      <c r="Q3333" s="21" t="s">
        <v>2276</v>
      </c>
      <c r="R3333" s="21" t="s">
        <v>2276</v>
      </c>
      <c r="S3333" s="21" t="s">
        <v>2276</v>
      </c>
      <c r="T3333" s="21" t="s">
        <v>2276</v>
      </c>
      <c r="U3333" s="21" t="s">
        <v>2276</v>
      </c>
      <c r="V3333" s="21" t="s">
        <v>2276</v>
      </c>
      <c r="W3333" s="21" t="s">
        <v>2276</v>
      </c>
      <c r="X3333" s="21" t="s">
        <v>2276</v>
      </c>
      <c r="Y3333" s="21" t="s">
        <v>2276</v>
      </c>
      <c r="Z3333" s="21" t="s">
        <v>2276</v>
      </c>
      <c r="AA3333" s="204" t="s">
        <v>8907</v>
      </c>
      <c r="AB3333" s="204"/>
    </row>
    <row r="3334" spans="1:28" ht="37.5" customHeight="1">
      <c r="A3334" s="156" t="str">
        <f>'Reported burning'!A3334</f>
        <v>371a</v>
      </c>
      <c r="B3334" s="156" t="str">
        <f>'Reported burning'!B3334</f>
        <v>371a.6</v>
      </c>
      <c r="C3334" s="156" t="str">
        <f>'Reported burning'!C3334</f>
        <v>Human, escaped</v>
      </c>
      <c r="D3334" s="156" t="str">
        <f>'Reported burning'!D3334</f>
        <v>Pasture renewal</v>
      </c>
      <c r="E3334" s="156" t="str">
        <f>'Reported burning'!E3334</f>
        <v>Cattle, Extensive</v>
      </c>
      <c r="F3334" s="156" t="str">
        <f>'Reported burning'!F3334</f>
        <v>Pasture</v>
      </c>
      <c r="G3334" s="156" t="str">
        <f>'Reported burning'!G3334</f>
        <v>ND</v>
      </c>
      <c r="H3334" s="156" t="str">
        <f>'Reported burning'!H3334</f>
        <v>Presence</v>
      </c>
      <c r="I3334" s="5"/>
      <c r="J3334" s="21" t="s">
        <v>2276</v>
      </c>
      <c r="K3334" s="21" t="s">
        <v>2276</v>
      </c>
      <c r="L3334" s="21" t="s">
        <v>2276</v>
      </c>
      <c r="M3334" s="21" t="s">
        <v>2276</v>
      </c>
      <c r="N3334" s="21" t="s">
        <v>2276</v>
      </c>
      <c r="O3334" s="21" t="s">
        <v>2276</v>
      </c>
      <c r="P3334" s="21" t="s">
        <v>2276</v>
      </c>
      <c r="Q3334" s="21" t="s">
        <v>2276</v>
      </c>
      <c r="R3334" s="21" t="s">
        <v>2276</v>
      </c>
      <c r="S3334" s="21" t="s">
        <v>2276</v>
      </c>
      <c r="T3334" s="21" t="s">
        <v>2276</v>
      </c>
      <c r="U3334" s="21" t="s">
        <v>2276</v>
      </c>
      <c r="V3334" s="21" t="s">
        <v>2276</v>
      </c>
      <c r="W3334" s="21" t="s">
        <v>2276</v>
      </c>
      <c r="X3334" s="21" t="s">
        <v>2276</v>
      </c>
      <c r="Y3334" s="21" t="s">
        <v>2276</v>
      </c>
      <c r="Z3334" s="21" t="s">
        <v>2276</v>
      </c>
      <c r="AA3334" s="204" t="s">
        <v>8907</v>
      </c>
      <c r="AB3334" s="204"/>
    </row>
    <row r="3335" spans="1:28" ht="37.5" customHeight="1">
      <c r="A3335" s="156" t="str">
        <f>'Reported burning'!A3335</f>
        <v>371a</v>
      </c>
      <c r="B3335" s="156" t="str">
        <f>'Reported burning'!B3335</f>
        <v>371a.7</v>
      </c>
      <c r="C3335" s="156" t="str">
        <f>'Reported burning'!C3335</f>
        <v>Human, escaped</v>
      </c>
      <c r="D3335" s="156" t="str">
        <f>'Reported burning'!D3335</f>
        <v>Pest management</v>
      </c>
      <c r="E3335" s="156" t="str">
        <f>'Reported burning'!E3335</f>
        <v>Cattle, Extensive</v>
      </c>
      <c r="F3335" s="156" t="str">
        <f>'Reported burning'!F3335</f>
        <v>Pasture</v>
      </c>
      <c r="G3335" s="156" t="str">
        <f>'Reported burning'!G3335</f>
        <v>ND</v>
      </c>
      <c r="H3335" s="156" t="str">
        <f>'Reported burning'!H3335</f>
        <v>Presence</v>
      </c>
      <c r="I3335" s="5"/>
      <c r="J3335" s="21" t="s">
        <v>2276</v>
      </c>
      <c r="K3335" s="21" t="s">
        <v>2276</v>
      </c>
      <c r="L3335" s="21" t="s">
        <v>2276</v>
      </c>
      <c r="M3335" s="21" t="s">
        <v>2276</v>
      </c>
      <c r="N3335" s="21" t="s">
        <v>2276</v>
      </c>
      <c r="O3335" s="21" t="s">
        <v>2276</v>
      </c>
      <c r="P3335" s="21" t="s">
        <v>2276</v>
      </c>
      <c r="Q3335" s="21" t="s">
        <v>2276</v>
      </c>
      <c r="R3335" s="21" t="s">
        <v>2276</v>
      </c>
      <c r="S3335" s="21" t="s">
        <v>2276</v>
      </c>
      <c r="T3335" s="21" t="s">
        <v>2276</v>
      </c>
      <c r="U3335" s="21" t="s">
        <v>2276</v>
      </c>
      <c r="V3335" s="21" t="s">
        <v>2276</v>
      </c>
      <c r="W3335" s="21" t="s">
        <v>2276</v>
      </c>
      <c r="X3335" s="21" t="s">
        <v>2276</v>
      </c>
      <c r="Y3335" s="21" t="s">
        <v>2276</v>
      </c>
      <c r="Z3335" s="21" t="s">
        <v>2276</v>
      </c>
      <c r="AA3335" s="204" t="s">
        <v>8907</v>
      </c>
      <c r="AB3335" s="204"/>
    </row>
    <row r="3336" spans="1:28" ht="37.5" customHeight="1">
      <c r="A3336" s="156" t="str">
        <f>'Reported burning'!A3336</f>
        <v>371a</v>
      </c>
      <c r="B3336" s="156" t="str">
        <f>'Reported burning'!B3336</f>
        <v>371a.8</v>
      </c>
      <c r="C3336" s="156" t="str">
        <f>'Reported burning'!C3336</f>
        <v>Human, escaped</v>
      </c>
      <c r="D3336" s="156" t="str">
        <f>'Reported burning'!D3336</f>
        <v>Land clearance</v>
      </c>
      <c r="E3336" s="156" t="str">
        <f>'Reported burning'!E3336</f>
        <v>Cattle, Extensive</v>
      </c>
      <c r="F3336" s="156" t="str">
        <f>'Reported burning'!F3336</f>
        <v>Pasture</v>
      </c>
      <c r="G3336" s="156" t="str">
        <f>'Reported burning'!G3336</f>
        <v>ND</v>
      </c>
      <c r="H3336" s="156" t="str">
        <f>'Reported burning'!H3336</f>
        <v>Presence</v>
      </c>
      <c r="I3336" s="5"/>
      <c r="J3336" s="21" t="s">
        <v>2276</v>
      </c>
      <c r="K3336" s="21" t="s">
        <v>2276</v>
      </c>
      <c r="L3336" s="21" t="s">
        <v>2276</v>
      </c>
      <c r="M3336" s="21" t="s">
        <v>2276</v>
      </c>
      <c r="N3336" s="21" t="s">
        <v>2276</v>
      </c>
      <c r="O3336" s="21" t="s">
        <v>2276</v>
      </c>
      <c r="P3336" s="21" t="s">
        <v>2276</v>
      </c>
      <c r="Q3336" s="21" t="s">
        <v>2276</v>
      </c>
      <c r="R3336" s="21" t="s">
        <v>2276</v>
      </c>
      <c r="S3336" s="21" t="s">
        <v>2276</v>
      </c>
      <c r="T3336" s="21" t="s">
        <v>2276</v>
      </c>
      <c r="U3336" s="21" t="s">
        <v>2276</v>
      </c>
      <c r="V3336" s="21" t="s">
        <v>2276</v>
      </c>
      <c r="W3336" s="21" t="s">
        <v>2276</v>
      </c>
      <c r="X3336" s="21" t="s">
        <v>2276</v>
      </c>
      <c r="Y3336" s="21" t="s">
        <v>2276</v>
      </c>
      <c r="Z3336" s="21" t="s">
        <v>2276</v>
      </c>
      <c r="AA3336" s="204" t="s">
        <v>8907</v>
      </c>
      <c r="AB3336" s="204"/>
    </row>
    <row r="3337" spans="1:28" ht="38.5" customHeight="1">
      <c r="A3337" s="156" t="str">
        <f>'Reported burning'!A3337</f>
        <v>371a</v>
      </c>
      <c r="B3337" s="156" t="str">
        <f>'Reported burning'!B3337</f>
        <v>371a.9</v>
      </c>
      <c r="C3337" s="156" t="str">
        <f>'Reported burning'!C3337</f>
        <v>Human, deliberate</v>
      </c>
      <c r="D3337" s="156" t="str">
        <f>'Reported burning'!D3337</f>
        <v>All</v>
      </c>
      <c r="E3337" s="156" t="str">
        <f>'Reported burning'!E3337</f>
        <v>Mixed cropping-livestock small holder, Market-oriented</v>
      </c>
      <c r="F3337" s="156" t="str">
        <f>'Reported burning'!F3337</f>
        <v>ND</v>
      </c>
      <c r="G3337" s="156" t="str">
        <f>'Reported burning'!G3337</f>
        <v>ND</v>
      </c>
      <c r="H3337" s="156" t="str">
        <f>'Reported burning'!H3337</f>
        <v>Absence</v>
      </c>
      <c r="I3337" s="5"/>
      <c r="J3337" s="21">
        <v>0</v>
      </c>
      <c r="K3337" s="21">
        <v>0</v>
      </c>
      <c r="L3337" s="21">
        <v>0</v>
      </c>
      <c r="M3337" s="21">
        <v>0</v>
      </c>
      <c r="N3337" s="21">
        <v>0</v>
      </c>
      <c r="O3337" s="21">
        <v>0</v>
      </c>
      <c r="P3337" s="21">
        <v>0</v>
      </c>
      <c r="Q3337" s="21">
        <v>0</v>
      </c>
      <c r="R3337" s="21">
        <v>0</v>
      </c>
      <c r="S3337" s="21">
        <v>0</v>
      </c>
      <c r="T3337" s="21">
        <v>0</v>
      </c>
      <c r="U3337" s="21">
        <v>0</v>
      </c>
      <c r="V3337" s="21">
        <v>0</v>
      </c>
      <c r="W3337" s="21">
        <v>0</v>
      </c>
      <c r="X3337" s="21" t="s">
        <v>2276</v>
      </c>
      <c r="Y3337" s="21" t="s">
        <v>2276</v>
      </c>
      <c r="Z3337" s="21" t="s">
        <v>2276</v>
      </c>
      <c r="AA3337" s="19" t="s">
        <v>8908</v>
      </c>
      <c r="AB3337" s="204"/>
    </row>
    <row r="3338" spans="1:28" ht="37.5" customHeight="1">
      <c r="A3338" s="156" t="str">
        <f>'Reported burning'!A3338</f>
        <v>371b</v>
      </c>
      <c r="B3338" s="156" t="str">
        <f>'Reported burning'!B3338</f>
        <v>371b.1</v>
      </c>
      <c r="C3338" s="156" t="str">
        <f>'Reported burning'!C3338</f>
        <v>Human, deliberate</v>
      </c>
      <c r="D3338" s="156" t="str">
        <f>'Reported burning'!D3338</f>
        <v>Crop field preparation</v>
      </c>
      <c r="E3338" s="156" t="str">
        <f>'Reported burning'!E3338</f>
        <v>Cropping, Swidden</v>
      </c>
      <c r="F3338" s="156" t="str">
        <f>'Reported burning'!F3338</f>
        <v>Secondary vegetation</v>
      </c>
      <c r="G3338" s="156" t="str">
        <f>'Reported burning'!G3338</f>
        <v>Secondary vegetation</v>
      </c>
      <c r="H3338" s="156" t="str">
        <f>'Reported burning'!H3338</f>
        <v>Presence</v>
      </c>
      <c r="I3338" s="5"/>
      <c r="J3338" s="21" t="s">
        <v>2276</v>
      </c>
      <c r="K3338" s="21" t="s">
        <v>2276</v>
      </c>
      <c r="L3338" s="21" t="s">
        <v>2276</v>
      </c>
      <c r="M3338" s="21" t="s">
        <v>2276</v>
      </c>
      <c r="N3338" s="21" t="s">
        <v>2276</v>
      </c>
      <c r="O3338" s="21" t="s">
        <v>2276</v>
      </c>
      <c r="P3338" s="21" t="s">
        <v>2276</v>
      </c>
      <c r="Q3338" s="21" t="s">
        <v>2276</v>
      </c>
      <c r="R3338" s="21" t="s">
        <v>2276</v>
      </c>
      <c r="S3338" s="21" t="s">
        <v>2276</v>
      </c>
      <c r="T3338" s="21" t="s">
        <v>2276</v>
      </c>
      <c r="U3338" s="21" t="s">
        <v>2276</v>
      </c>
      <c r="V3338" s="21" t="s">
        <v>2276</v>
      </c>
      <c r="W3338" s="21" t="s">
        <v>2276</v>
      </c>
      <c r="X3338" s="21" t="s">
        <v>2276</v>
      </c>
      <c r="Y3338" s="21" t="s">
        <v>2276</v>
      </c>
      <c r="Z3338" s="204"/>
      <c r="AA3338" s="74" t="s">
        <v>8902</v>
      </c>
      <c r="AB3338" s="204"/>
    </row>
    <row r="3339" spans="1:28" ht="37.5" customHeight="1">
      <c r="A3339" s="156" t="str">
        <f>'Reported burning'!A3339</f>
        <v>371b</v>
      </c>
      <c r="B3339" s="156" t="str">
        <f>'Reported burning'!B3339</f>
        <v>371b.2</v>
      </c>
      <c r="C3339" s="156" t="str">
        <f>'Reported burning'!C3339</f>
        <v>Human, deliberate</v>
      </c>
      <c r="D3339" s="156" t="str">
        <f>'Reported burning'!D3339</f>
        <v>Pasture renewal</v>
      </c>
      <c r="E3339" s="156" t="str">
        <f>'Reported burning'!E3339</f>
        <v>Cattle, Extensive</v>
      </c>
      <c r="F3339" s="156" t="str">
        <f>'Reported burning'!F3339</f>
        <v>Pasture</v>
      </c>
      <c r="G3339" s="156" t="str">
        <f>'Reported burning'!G3339</f>
        <v>Pasture</v>
      </c>
      <c r="H3339" s="156" t="str">
        <f>'Reported burning'!H3339</f>
        <v>Presence</v>
      </c>
      <c r="I3339" s="5"/>
      <c r="J3339" s="21" t="s">
        <v>2276</v>
      </c>
      <c r="K3339" s="21" t="s">
        <v>2276</v>
      </c>
      <c r="L3339" s="21" t="s">
        <v>2276</v>
      </c>
      <c r="M3339" s="21" t="s">
        <v>2276</v>
      </c>
      <c r="N3339" s="21" t="s">
        <v>2276</v>
      </c>
      <c r="O3339" s="21" t="s">
        <v>2276</v>
      </c>
      <c r="P3339" s="21" t="s">
        <v>2276</v>
      </c>
      <c r="Q3339" s="21" t="s">
        <v>2276</v>
      </c>
      <c r="R3339" s="21" t="s">
        <v>2276</v>
      </c>
      <c r="S3339" s="21" t="s">
        <v>2276</v>
      </c>
      <c r="T3339" s="21" t="s">
        <v>2276</v>
      </c>
      <c r="U3339" s="21" t="s">
        <v>2276</v>
      </c>
      <c r="V3339" s="21" t="s">
        <v>2276</v>
      </c>
      <c r="W3339" s="21" t="s">
        <v>2276</v>
      </c>
      <c r="X3339" s="21" t="s">
        <v>2276</v>
      </c>
      <c r="Y3339" s="21" t="s">
        <v>2276</v>
      </c>
      <c r="Z3339" s="204"/>
      <c r="AA3339" s="74" t="s">
        <v>8902</v>
      </c>
      <c r="AB3339" s="204"/>
    </row>
    <row r="3340" spans="1:28" ht="37.5" customHeight="1">
      <c r="A3340" s="156" t="str">
        <f>'Reported burning'!A3340</f>
        <v>371b</v>
      </c>
      <c r="B3340" s="156" t="str">
        <f>'Reported burning'!B3340</f>
        <v>371b.3</v>
      </c>
      <c r="C3340" s="156" t="str">
        <f>'Reported burning'!C3340</f>
        <v>Human, deliberate</v>
      </c>
      <c r="D3340" s="156" t="str">
        <f>'Reported burning'!D3340</f>
        <v>Pest management</v>
      </c>
      <c r="E3340" s="156" t="str">
        <f>'Reported burning'!E3340</f>
        <v>Cattle, Extensive</v>
      </c>
      <c r="F3340" s="156" t="str">
        <f>'Reported burning'!F3340</f>
        <v>Pasture</v>
      </c>
      <c r="G3340" s="156" t="str">
        <f>'Reported burning'!G3340</f>
        <v>Pasture</v>
      </c>
      <c r="H3340" s="156" t="str">
        <f>'Reported burning'!H3340</f>
        <v>Presence</v>
      </c>
      <c r="I3340" s="5"/>
      <c r="J3340" s="21" t="s">
        <v>2276</v>
      </c>
      <c r="K3340" s="21" t="s">
        <v>2276</v>
      </c>
      <c r="L3340" s="21" t="s">
        <v>2276</v>
      </c>
      <c r="M3340" s="21" t="s">
        <v>2276</v>
      </c>
      <c r="N3340" s="21" t="s">
        <v>2276</v>
      </c>
      <c r="O3340" s="21" t="s">
        <v>2276</v>
      </c>
      <c r="P3340" s="21" t="s">
        <v>2276</v>
      </c>
      <c r="Q3340" s="21" t="s">
        <v>2276</v>
      </c>
      <c r="R3340" s="21" t="s">
        <v>2276</v>
      </c>
      <c r="S3340" s="21" t="s">
        <v>2276</v>
      </c>
      <c r="T3340" s="21" t="s">
        <v>2276</v>
      </c>
      <c r="U3340" s="21" t="s">
        <v>2276</v>
      </c>
      <c r="V3340" s="21" t="s">
        <v>2276</v>
      </c>
      <c r="W3340" s="21" t="s">
        <v>2276</v>
      </c>
      <c r="X3340" s="21" t="s">
        <v>2276</v>
      </c>
      <c r="Y3340" s="21" t="s">
        <v>2276</v>
      </c>
      <c r="Z3340" s="204"/>
      <c r="AA3340" s="74" t="s">
        <v>8902</v>
      </c>
      <c r="AB3340" s="204"/>
    </row>
    <row r="3341" spans="1:28" ht="37.5" customHeight="1">
      <c r="A3341" s="156" t="str">
        <f>'Reported burning'!A3341</f>
        <v>371b</v>
      </c>
      <c r="B3341" s="156" t="str">
        <f>'Reported burning'!B3341</f>
        <v>371b.4</v>
      </c>
      <c r="C3341" s="156" t="str">
        <f>'Reported burning'!C3341</f>
        <v>Human, deliberate</v>
      </c>
      <c r="D3341" s="156" t="str">
        <f>'Reported burning'!D3341</f>
        <v>Land clearance</v>
      </c>
      <c r="E3341" s="156" t="str">
        <f>'Reported burning'!E3341</f>
        <v>Cattle, Extensive</v>
      </c>
      <c r="F3341" s="156" t="str">
        <f>'Reported burning'!F3341</f>
        <v>Pasture</v>
      </c>
      <c r="G3341" s="156" t="str">
        <f>'Reported burning'!G3341</f>
        <v>Pasture</v>
      </c>
      <c r="H3341" s="156" t="str">
        <f>'Reported burning'!H3341</f>
        <v>Presence</v>
      </c>
      <c r="I3341" s="5"/>
      <c r="J3341" s="21" t="s">
        <v>2276</v>
      </c>
      <c r="K3341" s="21" t="s">
        <v>2276</v>
      </c>
      <c r="L3341" s="21" t="s">
        <v>2276</v>
      </c>
      <c r="M3341" s="21" t="s">
        <v>2276</v>
      </c>
      <c r="N3341" s="21" t="s">
        <v>2276</v>
      </c>
      <c r="O3341" s="21" t="s">
        <v>2276</v>
      </c>
      <c r="P3341" s="21" t="s">
        <v>2276</v>
      </c>
      <c r="Q3341" s="21" t="s">
        <v>2276</v>
      </c>
      <c r="R3341" s="21" t="s">
        <v>2276</v>
      </c>
      <c r="S3341" s="21" t="s">
        <v>2276</v>
      </c>
      <c r="T3341" s="21" t="s">
        <v>2276</v>
      </c>
      <c r="U3341" s="21" t="s">
        <v>2276</v>
      </c>
      <c r="V3341" s="21" t="s">
        <v>2276</v>
      </c>
      <c r="W3341" s="21" t="s">
        <v>2276</v>
      </c>
      <c r="X3341" s="21" t="s">
        <v>2276</v>
      </c>
      <c r="Y3341" s="21" t="s">
        <v>2276</v>
      </c>
      <c r="Z3341" s="204"/>
      <c r="AA3341" s="74" t="s">
        <v>8902</v>
      </c>
      <c r="AB3341" s="204"/>
    </row>
    <row r="3342" spans="1:28" ht="37.5" customHeight="1">
      <c r="A3342" s="156" t="str">
        <f>'Reported burning'!A3342</f>
        <v>371b</v>
      </c>
      <c r="B3342" s="156" t="str">
        <f>'Reported burning'!B3342</f>
        <v>371b.5</v>
      </c>
      <c r="C3342" s="156" t="str">
        <f>'Reported burning'!C3342</f>
        <v>Human, escaped</v>
      </c>
      <c r="D3342" s="156" t="str">
        <f>'Reported burning'!D3342</f>
        <v>Crop field preparation</v>
      </c>
      <c r="E3342" s="156" t="str">
        <f>'Reported burning'!E3342</f>
        <v>Cropping, Swidden</v>
      </c>
      <c r="F3342" s="156" t="str">
        <f>'Reported burning'!F3342</f>
        <v>Secondary vegetation</v>
      </c>
      <c r="G3342" s="156" t="str">
        <f>'Reported burning'!G3342</f>
        <v>ND</v>
      </c>
      <c r="H3342" s="156" t="str">
        <f>'Reported burning'!H3342</f>
        <v>Presence</v>
      </c>
      <c r="I3342" s="5"/>
      <c r="J3342" s="21" t="s">
        <v>2276</v>
      </c>
      <c r="K3342" s="21" t="s">
        <v>2276</v>
      </c>
      <c r="L3342" s="21" t="s">
        <v>2276</v>
      </c>
      <c r="M3342" s="21" t="s">
        <v>2276</v>
      </c>
      <c r="N3342" s="21" t="s">
        <v>2276</v>
      </c>
      <c r="O3342" s="21" t="s">
        <v>2276</v>
      </c>
      <c r="P3342" s="21" t="s">
        <v>2276</v>
      </c>
      <c r="Q3342" s="21" t="s">
        <v>2276</v>
      </c>
      <c r="R3342" s="21" t="s">
        <v>2276</v>
      </c>
      <c r="S3342" s="21" t="s">
        <v>2276</v>
      </c>
      <c r="T3342" s="21" t="s">
        <v>2276</v>
      </c>
      <c r="U3342" s="21" t="s">
        <v>2276</v>
      </c>
      <c r="V3342" s="21" t="s">
        <v>2276</v>
      </c>
      <c r="W3342" s="21" t="s">
        <v>2276</v>
      </c>
      <c r="X3342" s="21" t="s">
        <v>2276</v>
      </c>
      <c r="Y3342" s="21" t="s">
        <v>2276</v>
      </c>
      <c r="Z3342" s="204"/>
      <c r="AA3342" s="204" t="s">
        <v>8907</v>
      </c>
      <c r="AB3342" s="204"/>
    </row>
    <row r="3343" spans="1:28" ht="37.5" customHeight="1">
      <c r="A3343" s="156" t="str">
        <f>'Reported burning'!A3343</f>
        <v>371b</v>
      </c>
      <c r="B3343" s="156" t="str">
        <f>'Reported burning'!B3343</f>
        <v>371b.6</v>
      </c>
      <c r="C3343" s="156" t="str">
        <f>'Reported burning'!C3343</f>
        <v>Human, escaped</v>
      </c>
      <c r="D3343" s="156" t="str">
        <f>'Reported burning'!D3343</f>
        <v>Pasture renewal</v>
      </c>
      <c r="E3343" s="156" t="str">
        <f>'Reported burning'!E3343</f>
        <v>Cattle, Extensive</v>
      </c>
      <c r="F3343" s="156" t="str">
        <f>'Reported burning'!F3343</f>
        <v>Pasture</v>
      </c>
      <c r="G3343" s="156" t="str">
        <f>'Reported burning'!G3343</f>
        <v>ND</v>
      </c>
      <c r="H3343" s="156" t="str">
        <f>'Reported burning'!H3343</f>
        <v>Presence</v>
      </c>
      <c r="I3343" s="5"/>
      <c r="J3343" s="21" t="s">
        <v>2276</v>
      </c>
      <c r="K3343" s="21" t="s">
        <v>2276</v>
      </c>
      <c r="L3343" s="21" t="s">
        <v>2276</v>
      </c>
      <c r="M3343" s="21" t="s">
        <v>2276</v>
      </c>
      <c r="N3343" s="21" t="s">
        <v>2276</v>
      </c>
      <c r="O3343" s="21" t="s">
        <v>2276</v>
      </c>
      <c r="P3343" s="21" t="s">
        <v>2276</v>
      </c>
      <c r="Q3343" s="21" t="s">
        <v>2276</v>
      </c>
      <c r="R3343" s="21" t="s">
        <v>2276</v>
      </c>
      <c r="S3343" s="21" t="s">
        <v>2276</v>
      </c>
      <c r="T3343" s="21" t="s">
        <v>2276</v>
      </c>
      <c r="U3343" s="21" t="s">
        <v>2276</v>
      </c>
      <c r="V3343" s="21" t="s">
        <v>2276</v>
      </c>
      <c r="W3343" s="21" t="s">
        <v>2276</v>
      </c>
      <c r="X3343" s="21" t="s">
        <v>2276</v>
      </c>
      <c r="Y3343" s="21" t="s">
        <v>2276</v>
      </c>
      <c r="Z3343" s="204"/>
      <c r="AA3343" s="204" t="s">
        <v>8907</v>
      </c>
      <c r="AB3343" s="204"/>
    </row>
    <row r="3344" spans="1:28" ht="37.5" customHeight="1">
      <c r="A3344" s="156" t="str">
        <f>'Reported burning'!A3344</f>
        <v>371b</v>
      </c>
      <c r="B3344" s="156" t="str">
        <f>'Reported burning'!B3344</f>
        <v>371b.7</v>
      </c>
      <c r="C3344" s="156" t="str">
        <f>'Reported burning'!C3344</f>
        <v>Human, escaped</v>
      </c>
      <c r="D3344" s="156" t="str">
        <f>'Reported burning'!D3344</f>
        <v>Pest management</v>
      </c>
      <c r="E3344" s="156" t="str">
        <f>'Reported burning'!E3344</f>
        <v>Cattle, Extensive</v>
      </c>
      <c r="F3344" s="156" t="str">
        <f>'Reported burning'!F3344</f>
        <v>Pasture</v>
      </c>
      <c r="G3344" s="156" t="str">
        <f>'Reported burning'!G3344</f>
        <v>ND</v>
      </c>
      <c r="H3344" s="156" t="str">
        <f>'Reported burning'!H3344</f>
        <v>Presence</v>
      </c>
      <c r="I3344" s="5"/>
      <c r="J3344" s="21" t="s">
        <v>2276</v>
      </c>
      <c r="K3344" s="21" t="s">
        <v>2276</v>
      </c>
      <c r="L3344" s="21" t="s">
        <v>2276</v>
      </c>
      <c r="M3344" s="21" t="s">
        <v>2276</v>
      </c>
      <c r="N3344" s="21" t="s">
        <v>2276</v>
      </c>
      <c r="O3344" s="21" t="s">
        <v>2276</v>
      </c>
      <c r="P3344" s="21" t="s">
        <v>2276</v>
      </c>
      <c r="Q3344" s="21" t="s">
        <v>2276</v>
      </c>
      <c r="R3344" s="21" t="s">
        <v>2276</v>
      </c>
      <c r="S3344" s="21" t="s">
        <v>2276</v>
      </c>
      <c r="T3344" s="21" t="s">
        <v>2276</v>
      </c>
      <c r="U3344" s="21" t="s">
        <v>2276</v>
      </c>
      <c r="V3344" s="21" t="s">
        <v>2276</v>
      </c>
      <c r="W3344" s="21" t="s">
        <v>2276</v>
      </c>
      <c r="X3344" s="21" t="s">
        <v>2276</v>
      </c>
      <c r="Y3344" s="21" t="s">
        <v>2276</v>
      </c>
      <c r="Z3344" s="204"/>
      <c r="AA3344" s="204" t="s">
        <v>8907</v>
      </c>
      <c r="AB3344" s="204"/>
    </row>
    <row r="3345" spans="1:28" ht="37.5" customHeight="1">
      <c r="A3345" s="156" t="str">
        <f>'Reported burning'!A3345</f>
        <v>371b</v>
      </c>
      <c r="B3345" s="156" t="str">
        <f>'Reported burning'!B3345</f>
        <v>371b.8</v>
      </c>
      <c r="C3345" s="156" t="str">
        <f>'Reported burning'!C3345</f>
        <v>Human, escaped</v>
      </c>
      <c r="D3345" s="156" t="str">
        <f>'Reported burning'!D3345</f>
        <v>Land clearance</v>
      </c>
      <c r="E3345" s="156" t="str">
        <f>'Reported burning'!E3345</f>
        <v>Cattle, Extensive</v>
      </c>
      <c r="F3345" s="156" t="str">
        <f>'Reported burning'!F3345</f>
        <v>Pasture</v>
      </c>
      <c r="G3345" s="156" t="str">
        <f>'Reported burning'!G3345</f>
        <v>ND</v>
      </c>
      <c r="H3345" s="156" t="str">
        <f>'Reported burning'!H3345</f>
        <v>Presence</v>
      </c>
      <c r="I3345" s="5"/>
      <c r="J3345" s="21" t="s">
        <v>2276</v>
      </c>
      <c r="K3345" s="21" t="s">
        <v>2276</v>
      </c>
      <c r="L3345" s="21" t="s">
        <v>2276</v>
      </c>
      <c r="M3345" s="21" t="s">
        <v>2276</v>
      </c>
      <c r="N3345" s="21" t="s">
        <v>2276</v>
      </c>
      <c r="O3345" s="21" t="s">
        <v>2276</v>
      </c>
      <c r="P3345" s="21" t="s">
        <v>2276</v>
      </c>
      <c r="Q3345" s="21" t="s">
        <v>2276</v>
      </c>
      <c r="R3345" s="21" t="s">
        <v>2276</v>
      </c>
      <c r="S3345" s="21" t="s">
        <v>2276</v>
      </c>
      <c r="T3345" s="21" t="s">
        <v>2276</v>
      </c>
      <c r="U3345" s="21" t="s">
        <v>2276</v>
      </c>
      <c r="V3345" s="21" t="s">
        <v>2276</v>
      </c>
      <c r="W3345" s="21" t="s">
        <v>2276</v>
      </c>
      <c r="X3345" s="21" t="s">
        <v>2276</v>
      </c>
      <c r="Y3345" s="21" t="s">
        <v>2276</v>
      </c>
      <c r="Z3345" s="204"/>
      <c r="AA3345" s="204" t="s">
        <v>8907</v>
      </c>
      <c r="AB3345" s="204"/>
    </row>
    <row r="3346" spans="1:28" ht="49" customHeight="1">
      <c r="A3346" s="156" t="str">
        <f>'Reported burning'!A3346</f>
        <v>371b</v>
      </c>
      <c r="B3346" s="156" t="str">
        <f>'Reported burning'!B3346</f>
        <v>371b.9</v>
      </c>
      <c r="C3346" s="156" t="str">
        <f>'Reported burning'!C3346</f>
        <v>Human, deliberate</v>
      </c>
      <c r="D3346" s="156" t="str">
        <f>'Reported burning'!D3346</f>
        <v>All</v>
      </c>
      <c r="E3346" s="156" t="str">
        <f>'Reported burning'!E3346</f>
        <v>Mixed cropping-livestock small holder, Market-oriented</v>
      </c>
      <c r="F3346" s="156" t="str">
        <f>'Reported burning'!F3346</f>
        <v>ND</v>
      </c>
      <c r="G3346" s="156" t="str">
        <f>'Reported burning'!G3346</f>
        <v>ND</v>
      </c>
      <c r="H3346" s="156" t="str">
        <f>'Reported burning'!H3346</f>
        <v>Absence</v>
      </c>
      <c r="I3346" s="5"/>
      <c r="J3346" s="21">
        <v>0</v>
      </c>
      <c r="K3346" s="21">
        <v>0</v>
      </c>
      <c r="L3346" s="21">
        <v>0</v>
      </c>
      <c r="M3346" s="21">
        <v>0</v>
      </c>
      <c r="N3346" s="21">
        <v>0</v>
      </c>
      <c r="O3346" s="21">
        <v>0</v>
      </c>
      <c r="P3346" s="21">
        <v>0</v>
      </c>
      <c r="Q3346" s="21">
        <v>0</v>
      </c>
      <c r="R3346" s="21">
        <v>0</v>
      </c>
      <c r="S3346" s="21">
        <v>0</v>
      </c>
      <c r="T3346" s="21">
        <v>0</v>
      </c>
      <c r="U3346" s="21" t="s">
        <v>2276</v>
      </c>
      <c r="V3346" s="21" t="s">
        <v>2276</v>
      </c>
      <c r="W3346" s="21" t="s">
        <v>2276</v>
      </c>
      <c r="X3346" s="21" t="s">
        <v>2276</v>
      </c>
      <c r="Y3346" s="21" t="s">
        <v>2276</v>
      </c>
      <c r="Z3346" s="204"/>
      <c r="AA3346" s="19" t="s">
        <v>8908</v>
      </c>
      <c r="AB3346" s="204"/>
    </row>
    <row r="3347" spans="1:28" ht="43" customHeight="1">
      <c r="A3347" s="156" t="str">
        <f>'Reported burning'!A3347</f>
        <v>372a</v>
      </c>
      <c r="B3347" s="156" t="str">
        <f>'Reported burning'!B3347</f>
        <v>372a.1</v>
      </c>
      <c r="C3347" s="156" t="str">
        <f>'Reported burning'!C3347</f>
        <v>Human, deliberate</v>
      </c>
      <c r="D3347" s="156" t="str">
        <f>'Reported burning'!D3347</f>
        <v>Forest clearance</v>
      </c>
      <c r="E3347" s="156" t="str">
        <f>'Reported burning'!E3347</f>
        <v>Cropping, Intensive</v>
      </c>
      <c r="F3347" s="156" t="str">
        <f>'Reported burning'!F3347</f>
        <v>Forest</v>
      </c>
      <c r="G3347" s="156" t="str">
        <f>'Reported burning'!G3347</f>
        <v>Forest</v>
      </c>
      <c r="H3347" s="156" t="str">
        <f>'Reported burning'!H3347</f>
        <v>Presence</v>
      </c>
      <c r="I3347" s="5"/>
      <c r="J3347" s="21" t="s">
        <v>2276</v>
      </c>
      <c r="K3347" s="21" t="s">
        <v>2276</v>
      </c>
      <c r="L3347" s="21" t="s">
        <v>2276</v>
      </c>
      <c r="M3347" s="21" t="s">
        <v>2276</v>
      </c>
      <c r="N3347" s="21" t="s">
        <v>2276</v>
      </c>
      <c r="O3347" s="21" t="s">
        <v>2276</v>
      </c>
      <c r="P3347" s="21" t="s">
        <v>2276</v>
      </c>
      <c r="Q3347" s="21" t="s">
        <v>2276</v>
      </c>
      <c r="R3347" s="21" t="s">
        <v>2276</v>
      </c>
      <c r="S3347" s="21" t="s">
        <v>2276</v>
      </c>
      <c r="T3347" s="21" t="s">
        <v>2276</v>
      </c>
      <c r="U3347" s="21" t="s">
        <v>2276</v>
      </c>
      <c r="V3347" s="21" t="s">
        <v>2276</v>
      </c>
      <c r="W3347" s="21" t="s">
        <v>2276</v>
      </c>
      <c r="X3347" s="21" t="s">
        <v>2276</v>
      </c>
      <c r="Y3347" s="21" t="s">
        <v>2276</v>
      </c>
      <c r="Z3347" s="21" t="s">
        <v>2276</v>
      </c>
      <c r="AA3347" s="204"/>
      <c r="AB3347" s="204"/>
    </row>
    <row r="3348" spans="1:28" ht="43" customHeight="1">
      <c r="A3348" s="156" t="str">
        <f>'Reported burning'!A3348</f>
        <v>372a</v>
      </c>
      <c r="B3348" s="156" t="str">
        <f>'Reported burning'!B3348</f>
        <v>372a.2</v>
      </c>
      <c r="C3348" s="156" t="str">
        <f>'Reported burning'!C3348</f>
        <v>Human, deliberate</v>
      </c>
      <c r="D3348" s="156" t="str">
        <f>'Reported burning'!D3348</f>
        <v>Hunting</v>
      </c>
      <c r="E3348" s="156" t="str">
        <f>'Reported burning'!E3348</f>
        <v>Forestry, Traditional</v>
      </c>
      <c r="F3348" s="156" t="str">
        <f>'Reported burning'!F3348</f>
        <v>Forest</v>
      </c>
      <c r="G3348" s="156" t="str">
        <f>'Reported burning'!G3348</f>
        <v>Forest</v>
      </c>
      <c r="H3348" s="156" t="str">
        <f>'Reported burning'!H3348</f>
        <v>Presence</v>
      </c>
      <c r="I3348" s="5"/>
      <c r="J3348" s="21" t="s">
        <v>2276</v>
      </c>
      <c r="K3348" s="21" t="s">
        <v>2276</v>
      </c>
      <c r="L3348" s="21" t="s">
        <v>2276</v>
      </c>
      <c r="M3348" s="21" t="s">
        <v>2276</v>
      </c>
      <c r="N3348" s="21" t="s">
        <v>2276</v>
      </c>
      <c r="O3348" s="21" t="s">
        <v>2276</v>
      </c>
      <c r="P3348" s="21" t="s">
        <v>2276</v>
      </c>
      <c r="Q3348" s="21" t="s">
        <v>2276</v>
      </c>
      <c r="R3348" s="21" t="s">
        <v>2276</v>
      </c>
      <c r="S3348" s="21" t="s">
        <v>2276</v>
      </c>
      <c r="T3348" s="21" t="s">
        <v>2276</v>
      </c>
      <c r="U3348" s="21" t="s">
        <v>2276</v>
      </c>
      <c r="V3348" s="21" t="s">
        <v>2276</v>
      </c>
      <c r="W3348" s="21" t="s">
        <v>2276</v>
      </c>
      <c r="X3348" s="21" t="s">
        <v>2276</v>
      </c>
      <c r="Y3348" s="21" t="s">
        <v>2276</v>
      </c>
      <c r="Z3348" s="21" t="s">
        <v>2276</v>
      </c>
      <c r="AA3348" s="204"/>
      <c r="AB3348" s="204"/>
    </row>
    <row r="3349" spans="1:28" ht="43" customHeight="1">
      <c r="A3349" s="156" t="str">
        <f>'Reported burning'!A3349</f>
        <v>372a</v>
      </c>
      <c r="B3349" s="156" t="str">
        <f>'Reported burning'!B3349</f>
        <v>372a.3</v>
      </c>
      <c r="C3349" s="156" t="str">
        <f>'Reported burning'!C3349</f>
        <v>Human, deliberate</v>
      </c>
      <c r="D3349" s="156" t="str">
        <f>'Reported burning'!D3349</f>
        <v>Fishing</v>
      </c>
      <c r="E3349" s="156" t="str">
        <f>'Reported burning'!E3349</f>
        <v>Forestry, Traditional</v>
      </c>
      <c r="F3349" s="156" t="str">
        <f>'Reported burning'!F3349</f>
        <v>Forest</v>
      </c>
      <c r="G3349" s="156" t="str">
        <f>'Reported burning'!G3349</f>
        <v>Forest</v>
      </c>
      <c r="H3349" s="156" t="str">
        <f>'Reported burning'!H3349</f>
        <v>Presence</v>
      </c>
      <c r="I3349" s="5"/>
      <c r="J3349" s="21" t="s">
        <v>2276</v>
      </c>
      <c r="K3349" s="21" t="s">
        <v>2276</v>
      </c>
      <c r="L3349" s="21" t="s">
        <v>2276</v>
      </c>
      <c r="M3349" s="21" t="s">
        <v>2276</v>
      </c>
      <c r="N3349" s="21" t="s">
        <v>2276</v>
      </c>
      <c r="O3349" s="21" t="s">
        <v>2276</v>
      </c>
      <c r="P3349" s="21" t="s">
        <v>2276</v>
      </c>
      <c r="Q3349" s="21" t="s">
        <v>2276</v>
      </c>
      <c r="R3349" s="21" t="s">
        <v>2276</v>
      </c>
      <c r="S3349" s="21" t="s">
        <v>2276</v>
      </c>
      <c r="T3349" s="21" t="s">
        <v>2276</v>
      </c>
      <c r="U3349" s="21" t="s">
        <v>2276</v>
      </c>
      <c r="V3349" s="21" t="s">
        <v>2276</v>
      </c>
      <c r="W3349" s="21" t="s">
        <v>2276</v>
      </c>
      <c r="X3349" s="21" t="s">
        <v>2276</v>
      </c>
      <c r="Y3349" s="21" t="s">
        <v>2276</v>
      </c>
      <c r="Z3349" s="21" t="s">
        <v>2276</v>
      </c>
      <c r="AA3349" s="204"/>
      <c r="AB3349" s="204"/>
    </row>
    <row r="3350" spans="1:28" ht="43" customHeight="1">
      <c r="A3350" s="156" t="str">
        <f>'Reported burning'!A3350</f>
        <v>372a</v>
      </c>
      <c r="B3350" s="156" t="str">
        <f>'Reported burning'!B3350</f>
        <v>372a.4</v>
      </c>
      <c r="C3350" s="156" t="str">
        <f>'Reported burning'!C3350</f>
        <v>Human, deliberate</v>
      </c>
      <c r="D3350" s="156" t="str">
        <f>'Reported burning'!D3350</f>
        <v>Harvesting of NTFP</v>
      </c>
      <c r="E3350" s="156" t="str">
        <f>'Reported burning'!E3350</f>
        <v>Forestry, Traditional</v>
      </c>
      <c r="F3350" s="156" t="str">
        <f>'Reported burning'!F3350</f>
        <v>Forest</v>
      </c>
      <c r="G3350" s="156" t="str">
        <f>'Reported burning'!G3350</f>
        <v>Forest</v>
      </c>
      <c r="H3350" s="156" t="str">
        <f>'Reported burning'!H3350</f>
        <v>Presence</v>
      </c>
      <c r="I3350" s="5"/>
      <c r="J3350" s="21" t="s">
        <v>2276</v>
      </c>
      <c r="K3350" s="21" t="s">
        <v>2276</v>
      </c>
      <c r="L3350" s="21" t="s">
        <v>2276</v>
      </c>
      <c r="M3350" s="21" t="s">
        <v>2276</v>
      </c>
      <c r="N3350" s="21" t="s">
        <v>2276</v>
      </c>
      <c r="O3350" s="21" t="s">
        <v>2276</v>
      </c>
      <c r="P3350" s="21" t="s">
        <v>2276</v>
      </c>
      <c r="Q3350" s="21" t="s">
        <v>2276</v>
      </c>
      <c r="R3350" s="21" t="s">
        <v>2276</v>
      </c>
      <c r="S3350" s="21" t="s">
        <v>2276</v>
      </c>
      <c r="T3350" s="21" t="s">
        <v>2276</v>
      </c>
      <c r="U3350" s="21" t="s">
        <v>2276</v>
      </c>
      <c r="V3350" s="21" t="s">
        <v>2276</v>
      </c>
      <c r="W3350" s="21" t="s">
        <v>2276</v>
      </c>
      <c r="X3350" s="21" t="s">
        <v>2276</v>
      </c>
      <c r="Y3350" s="21" t="s">
        <v>2276</v>
      </c>
      <c r="Z3350" s="21" t="s">
        <v>2276</v>
      </c>
      <c r="AA3350" s="204"/>
      <c r="AB3350" s="204"/>
    </row>
    <row r="3351" spans="1:28" ht="43" customHeight="1">
      <c r="A3351" s="156" t="str">
        <f>'Reported burning'!A3351</f>
        <v>372a</v>
      </c>
      <c r="B3351" s="156" t="str">
        <f>'Reported burning'!B3351</f>
        <v>372a.5</v>
      </c>
      <c r="C3351" s="156" t="str">
        <f>'Reported burning'!C3351</f>
        <v>Human, escaped</v>
      </c>
      <c r="D3351" s="156" t="str">
        <f>'Reported burning'!D3351</f>
        <v>Forest clearance</v>
      </c>
      <c r="E3351" s="156" t="str">
        <f>'Reported burning'!E3351</f>
        <v>Cropping, Intensive</v>
      </c>
      <c r="F3351" s="156" t="str">
        <f>'Reported burning'!F3351</f>
        <v>Forest</v>
      </c>
      <c r="G3351" s="156" t="str">
        <f>'Reported burning'!G3351</f>
        <v>Forest</v>
      </c>
      <c r="H3351" s="156" t="str">
        <f>'Reported burning'!H3351</f>
        <v>Presence</v>
      </c>
      <c r="I3351" s="5"/>
      <c r="J3351" s="21" t="s">
        <v>2276</v>
      </c>
      <c r="K3351" s="21" t="s">
        <v>2276</v>
      </c>
      <c r="L3351" s="21" t="s">
        <v>2276</v>
      </c>
      <c r="M3351" s="21" t="s">
        <v>2276</v>
      </c>
      <c r="N3351" s="21" t="s">
        <v>2276</v>
      </c>
      <c r="O3351" s="21" t="s">
        <v>2276</v>
      </c>
      <c r="P3351" s="21" t="s">
        <v>2276</v>
      </c>
      <c r="Q3351" s="21" t="s">
        <v>2276</v>
      </c>
      <c r="R3351" s="21" t="s">
        <v>2276</v>
      </c>
      <c r="S3351" s="21" t="s">
        <v>2276</v>
      </c>
      <c r="T3351" s="21" t="s">
        <v>2276</v>
      </c>
      <c r="U3351" s="21" t="s">
        <v>2276</v>
      </c>
      <c r="V3351" s="21" t="s">
        <v>2276</v>
      </c>
      <c r="W3351" s="21" t="s">
        <v>2276</v>
      </c>
      <c r="X3351" s="21" t="s">
        <v>2276</v>
      </c>
      <c r="Y3351" s="21" t="s">
        <v>2276</v>
      </c>
      <c r="Z3351" s="21" t="s">
        <v>2276</v>
      </c>
      <c r="AA3351" s="204"/>
      <c r="AB3351" s="204"/>
    </row>
    <row r="3352" spans="1:28" ht="43" customHeight="1">
      <c r="A3352" s="156" t="str">
        <f>'Reported burning'!A3352</f>
        <v>372a</v>
      </c>
      <c r="B3352" s="156" t="str">
        <f>'Reported burning'!B3352</f>
        <v>372a.6</v>
      </c>
      <c r="C3352" s="156" t="str">
        <f>'Reported burning'!C3352</f>
        <v>Human, escaped</v>
      </c>
      <c r="D3352" s="156" t="str">
        <f>'Reported burning'!D3352</f>
        <v>Hunting</v>
      </c>
      <c r="E3352" s="156" t="str">
        <f>'Reported burning'!E3352</f>
        <v>Forestry, Traditional</v>
      </c>
      <c r="F3352" s="156" t="str">
        <f>'Reported burning'!F3352</f>
        <v>Forest</v>
      </c>
      <c r="G3352" s="156" t="str">
        <f>'Reported burning'!G3352</f>
        <v>Forest</v>
      </c>
      <c r="H3352" s="156" t="str">
        <f>'Reported burning'!H3352</f>
        <v>Presence</v>
      </c>
      <c r="I3352" s="5"/>
      <c r="J3352" s="21" t="s">
        <v>2276</v>
      </c>
      <c r="K3352" s="21" t="s">
        <v>2276</v>
      </c>
      <c r="L3352" s="21" t="s">
        <v>2276</v>
      </c>
      <c r="M3352" s="21" t="s">
        <v>2276</v>
      </c>
      <c r="N3352" s="21" t="s">
        <v>2276</v>
      </c>
      <c r="O3352" s="21" t="s">
        <v>2276</v>
      </c>
      <c r="P3352" s="21" t="s">
        <v>2276</v>
      </c>
      <c r="Q3352" s="21" t="s">
        <v>2276</v>
      </c>
      <c r="R3352" s="21" t="s">
        <v>2276</v>
      </c>
      <c r="S3352" s="21" t="s">
        <v>2276</v>
      </c>
      <c r="T3352" s="21" t="s">
        <v>2276</v>
      </c>
      <c r="U3352" s="21" t="s">
        <v>2276</v>
      </c>
      <c r="V3352" s="21" t="s">
        <v>2276</v>
      </c>
      <c r="W3352" s="21" t="s">
        <v>2276</v>
      </c>
      <c r="X3352" s="21" t="s">
        <v>2276</v>
      </c>
      <c r="Y3352" s="21" t="s">
        <v>2276</v>
      </c>
      <c r="Z3352" s="21" t="s">
        <v>2276</v>
      </c>
      <c r="AA3352" s="204"/>
      <c r="AB3352" s="204"/>
    </row>
    <row r="3353" spans="1:28" ht="43" customHeight="1">
      <c r="A3353" s="156" t="str">
        <f>'Reported burning'!A3353</f>
        <v>372a</v>
      </c>
      <c r="B3353" s="156" t="str">
        <f>'Reported burning'!B3353</f>
        <v>372a.7</v>
      </c>
      <c r="C3353" s="156" t="str">
        <f>'Reported burning'!C3353</f>
        <v>Human, escaped</v>
      </c>
      <c r="D3353" s="156" t="str">
        <f>'Reported burning'!D3353</f>
        <v>Fishing</v>
      </c>
      <c r="E3353" s="156" t="str">
        <f>'Reported burning'!E3353</f>
        <v>Forestry, Traditional</v>
      </c>
      <c r="F3353" s="156" t="str">
        <f>'Reported burning'!F3353</f>
        <v>Forest</v>
      </c>
      <c r="G3353" s="156" t="str">
        <f>'Reported burning'!G3353</f>
        <v>Forest</v>
      </c>
      <c r="H3353" s="156" t="str">
        <f>'Reported burning'!H3353</f>
        <v>Presence</v>
      </c>
      <c r="I3353" s="5"/>
      <c r="J3353" s="21" t="s">
        <v>2276</v>
      </c>
      <c r="K3353" s="21" t="s">
        <v>2276</v>
      </c>
      <c r="L3353" s="21" t="s">
        <v>2276</v>
      </c>
      <c r="M3353" s="21" t="s">
        <v>2276</v>
      </c>
      <c r="N3353" s="21" t="s">
        <v>2276</v>
      </c>
      <c r="O3353" s="21" t="s">
        <v>2276</v>
      </c>
      <c r="P3353" s="21" t="s">
        <v>2276</v>
      </c>
      <c r="Q3353" s="21" t="s">
        <v>2276</v>
      </c>
      <c r="R3353" s="21" t="s">
        <v>2276</v>
      </c>
      <c r="S3353" s="21" t="s">
        <v>2276</v>
      </c>
      <c r="T3353" s="21" t="s">
        <v>2276</v>
      </c>
      <c r="U3353" s="21" t="s">
        <v>2276</v>
      </c>
      <c r="V3353" s="21" t="s">
        <v>2276</v>
      </c>
      <c r="W3353" s="21" t="s">
        <v>2276</v>
      </c>
      <c r="X3353" s="21" t="s">
        <v>2276</v>
      </c>
      <c r="Y3353" s="21" t="s">
        <v>2276</v>
      </c>
      <c r="Z3353" s="21" t="s">
        <v>2276</v>
      </c>
      <c r="AA3353" s="204"/>
      <c r="AB3353" s="204"/>
    </row>
    <row r="3354" spans="1:28" ht="43" customHeight="1">
      <c r="A3354" s="156" t="str">
        <f>'Reported burning'!A3354</f>
        <v>372a</v>
      </c>
      <c r="B3354" s="156" t="str">
        <f>'Reported burning'!B3354</f>
        <v>372a.8</v>
      </c>
      <c r="C3354" s="156" t="str">
        <f>'Reported burning'!C3354</f>
        <v>Human, escaped</v>
      </c>
      <c r="D3354" s="156" t="str">
        <f>'Reported burning'!D3354</f>
        <v>Harvesting of NTFP</v>
      </c>
      <c r="E3354" s="156" t="str">
        <f>'Reported burning'!E3354</f>
        <v>Forestry, Traditional</v>
      </c>
      <c r="F3354" s="156" t="str">
        <f>'Reported burning'!F3354</f>
        <v>Forest</v>
      </c>
      <c r="G3354" s="156" t="str">
        <f>'Reported burning'!G3354</f>
        <v>Forest</v>
      </c>
      <c r="H3354" s="156" t="str">
        <f>'Reported burning'!H3354</f>
        <v>Presence</v>
      </c>
      <c r="I3354" s="5"/>
      <c r="J3354" s="21" t="s">
        <v>2276</v>
      </c>
      <c r="K3354" s="21" t="s">
        <v>2276</v>
      </c>
      <c r="L3354" s="21" t="s">
        <v>2276</v>
      </c>
      <c r="M3354" s="21" t="s">
        <v>2276</v>
      </c>
      <c r="N3354" s="21" t="s">
        <v>2276</v>
      </c>
      <c r="O3354" s="21" t="s">
        <v>2276</v>
      </c>
      <c r="P3354" s="21" t="s">
        <v>2276</v>
      </c>
      <c r="Q3354" s="21" t="s">
        <v>2276</v>
      </c>
      <c r="R3354" s="21" t="s">
        <v>2276</v>
      </c>
      <c r="S3354" s="21" t="s">
        <v>2276</v>
      </c>
      <c r="T3354" s="21" t="s">
        <v>2276</v>
      </c>
      <c r="U3354" s="21" t="s">
        <v>2276</v>
      </c>
      <c r="V3354" s="21" t="s">
        <v>2276</v>
      </c>
      <c r="W3354" s="21" t="s">
        <v>2276</v>
      </c>
      <c r="X3354" s="21" t="s">
        <v>2276</v>
      </c>
      <c r="Y3354" s="21" t="s">
        <v>2276</v>
      </c>
      <c r="Z3354" s="21" t="s">
        <v>2276</v>
      </c>
      <c r="AA3354" s="204"/>
      <c r="AB3354" s="204"/>
    </row>
    <row r="3355" spans="1:28" ht="37" customHeight="1">
      <c r="A3355" s="156" t="str">
        <f>'Reported burning'!A3355</f>
        <v>372a</v>
      </c>
      <c r="B3355" s="156" t="str">
        <f>'Reported burning'!B3355</f>
        <v>372a.9</v>
      </c>
      <c r="C3355" s="156" t="str">
        <f>'Reported burning'!C3355</f>
        <v>Human, accidental</v>
      </c>
      <c r="D3355" s="156" t="str">
        <f>'Reported burning'!D3355</f>
        <v>Accidental</v>
      </c>
      <c r="E3355" s="156" t="str">
        <f>'Reported burning'!E3355</f>
        <v>All</v>
      </c>
      <c r="F3355" s="156" t="str">
        <f>'Reported burning'!F3355</f>
        <v>ND</v>
      </c>
      <c r="G3355" s="156" t="str">
        <f>'Reported burning'!G3355</f>
        <v>Forest</v>
      </c>
      <c r="H3355" s="156" t="str">
        <f>'Reported burning'!H3355</f>
        <v>Presence</v>
      </c>
      <c r="I3355" s="5"/>
      <c r="J3355" s="21" t="s">
        <v>2276</v>
      </c>
      <c r="K3355" s="21" t="s">
        <v>2276</v>
      </c>
      <c r="L3355" s="21" t="s">
        <v>2276</v>
      </c>
      <c r="M3355" s="21" t="s">
        <v>2276</v>
      </c>
      <c r="N3355" s="21" t="s">
        <v>2276</v>
      </c>
      <c r="O3355" s="21" t="s">
        <v>2276</v>
      </c>
      <c r="P3355" s="21" t="s">
        <v>2276</v>
      </c>
      <c r="Q3355" s="21" t="s">
        <v>2276</v>
      </c>
      <c r="R3355" s="21" t="s">
        <v>2276</v>
      </c>
      <c r="S3355" s="21" t="s">
        <v>2276</v>
      </c>
      <c r="T3355" s="21" t="s">
        <v>2276</v>
      </c>
      <c r="U3355" s="21" t="s">
        <v>2276</v>
      </c>
      <c r="V3355" s="21" t="s">
        <v>2276</v>
      </c>
      <c r="W3355" s="21" t="s">
        <v>2276</v>
      </c>
      <c r="X3355" s="21" t="s">
        <v>2276</v>
      </c>
      <c r="Y3355" s="21" t="s">
        <v>2276</v>
      </c>
      <c r="Z3355" s="21" t="s">
        <v>2276</v>
      </c>
      <c r="AA3355" s="204"/>
      <c r="AB3355" s="204"/>
    </row>
    <row r="3356" spans="1:28" ht="37" customHeight="1">
      <c r="A3356" s="156" t="str">
        <f>'Reported burning'!A3356</f>
        <v>372a</v>
      </c>
      <c r="B3356" s="156" t="str">
        <f>'Reported burning'!B3356</f>
        <v>372a.10</v>
      </c>
      <c r="C3356" s="156" t="str">
        <f>'Reported burning'!C3356</f>
        <v>Human, escaped</v>
      </c>
      <c r="D3356" s="156" t="str">
        <f>'Reported burning'!D3356</f>
        <v>All</v>
      </c>
      <c r="E3356" s="156" t="str">
        <f>'Reported burning'!E3356</f>
        <v>All</v>
      </c>
      <c r="F3356" s="156" t="str">
        <f>'Reported burning'!F3356</f>
        <v>ND</v>
      </c>
      <c r="G3356" s="156" t="str">
        <f>'Reported burning'!G3356</f>
        <v>Forest</v>
      </c>
      <c r="H3356" s="156" t="str">
        <f>'Reported burning'!H3356</f>
        <v>Presence</v>
      </c>
      <c r="I3356" s="5"/>
      <c r="J3356" s="21" t="s">
        <v>2276</v>
      </c>
      <c r="K3356" s="21" t="s">
        <v>2276</v>
      </c>
      <c r="L3356" s="21" t="s">
        <v>2276</v>
      </c>
      <c r="M3356" s="21" t="s">
        <v>2276</v>
      </c>
      <c r="N3356" s="21" t="s">
        <v>2276</v>
      </c>
      <c r="O3356" s="21" t="s">
        <v>2276</v>
      </c>
      <c r="P3356" s="21" t="s">
        <v>2276</v>
      </c>
      <c r="Q3356" s="21" t="s">
        <v>2276</v>
      </c>
      <c r="R3356" s="21" t="s">
        <v>2276</v>
      </c>
      <c r="S3356" s="21" t="s">
        <v>2276</v>
      </c>
      <c r="T3356" s="21" t="s">
        <v>2276</v>
      </c>
      <c r="U3356" s="21" t="s">
        <v>2276</v>
      </c>
      <c r="V3356" s="21" t="s">
        <v>2276</v>
      </c>
      <c r="W3356" s="21" t="s">
        <v>2276</v>
      </c>
      <c r="X3356" s="21" t="s">
        <v>2276</v>
      </c>
      <c r="Y3356" s="21" t="s">
        <v>2276</v>
      </c>
      <c r="Z3356" s="21" t="s">
        <v>2276</v>
      </c>
      <c r="AA3356" s="204"/>
      <c r="AB3356" s="204"/>
    </row>
    <row r="3357" spans="1:28" ht="37" customHeight="1">
      <c r="A3357" s="156" t="str">
        <f>'Reported burning'!A3357</f>
        <v>373a</v>
      </c>
      <c r="B3357" s="156" t="str">
        <f>'Reported burning'!B3357</f>
        <v>373a.1</v>
      </c>
      <c r="C3357" s="156" t="str">
        <f>'Reported burning'!C3357</f>
        <v>Human, accidental</v>
      </c>
      <c r="D3357" s="156" t="str">
        <f>'Reported burning'!D3357</f>
        <v>Accidental</v>
      </c>
      <c r="E3357" s="156" t="str">
        <f>'Reported burning'!E3357</f>
        <v>All</v>
      </c>
      <c r="F3357" s="156" t="str">
        <f>'Reported burning'!F3357</f>
        <v>ND</v>
      </c>
      <c r="G3357" s="156" t="str">
        <f>'Reported burning'!G3357</f>
        <v>ND</v>
      </c>
      <c r="H3357" s="156" t="str">
        <f>'Reported burning'!H3357</f>
        <v>Presence</v>
      </c>
      <c r="I3357" s="5"/>
      <c r="J3357" s="21" t="s">
        <v>2276</v>
      </c>
      <c r="K3357" s="21" t="s">
        <v>2276</v>
      </c>
      <c r="L3357" s="21" t="s">
        <v>2276</v>
      </c>
      <c r="M3357" s="21" t="s">
        <v>2276</v>
      </c>
      <c r="N3357" s="21" t="s">
        <v>2276</v>
      </c>
      <c r="O3357" s="21" t="s">
        <v>2276</v>
      </c>
      <c r="P3357" s="21" t="s">
        <v>2276</v>
      </c>
      <c r="Q3357" s="21" t="s">
        <v>2276</v>
      </c>
      <c r="R3357" s="21" t="s">
        <v>2276</v>
      </c>
      <c r="S3357" s="21" t="s">
        <v>2276</v>
      </c>
      <c r="T3357" s="21" t="s">
        <v>2276</v>
      </c>
      <c r="U3357" s="21" t="s">
        <v>2276</v>
      </c>
      <c r="V3357" s="21" t="s">
        <v>2276</v>
      </c>
      <c r="W3357" s="21" t="s">
        <v>2276</v>
      </c>
      <c r="X3357" s="21" t="s">
        <v>2276</v>
      </c>
      <c r="Y3357" s="21" t="s">
        <v>2276</v>
      </c>
      <c r="Z3357" s="21" t="s">
        <v>2276</v>
      </c>
      <c r="AA3357" s="204"/>
      <c r="AB3357" s="204"/>
    </row>
    <row r="3358" spans="1:28" ht="32.5" customHeight="1">
      <c r="A3358" s="156" t="str">
        <f>'Reported burning'!A3358</f>
        <v>373a</v>
      </c>
      <c r="B3358" s="156" t="str">
        <f>'Reported burning'!B3358</f>
        <v>373a.2</v>
      </c>
      <c r="C3358" s="156" t="str">
        <f>'Reported burning'!C3358</f>
        <v>Human, accidental</v>
      </c>
      <c r="D3358" s="156" t="str">
        <f>'Reported burning'!D3358</f>
        <v>Accidental</v>
      </c>
      <c r="E3358" s="156" t="str">
        <f>'Reported burning'!E3358</f>
        <v>Urban planner</v>
      </c>
      <c r="F3358" s="156" t="str">
        <f>'Reported burning'!F3358</f>
        <v>ND</v>
      </c>
      <c r="G3358" s="156" t="str">
        <f>'Reported burning'!G3358</f>
        <v>ND</v>
      </c>
      <c r="H3358" s="156" t="str">
        <f>'Reported burning'!H3358</f>
        <v>Presence</v>
      </c>
      <c r="I3358" s="5"/>
      <c r="J3358" s="21" t="s">
        <v>2276</v>
      </c>
      <c r="K3358" s="21" t="s">
        <v>2276</v>
      </c>
      <c r="L3358" s="21" t="s">
        <v>2276</v>
      </c>
      <c r="M3358" s="21" t="s">
        <v>2276</v>
      </c>
      <c r="N3358" s="21" t="s">
        <v>2276</v>
      </c>
      <c r="O3358" s="21" t="s">
        <v>2276</v>
      </c>
      <c r="P3358" s="21" t="s">
        <v>2276</v>
      </c>
      <c r="Q3358" s="21" t="s">
        <v>2276</v>
      </c>
      <c r="R3358" s="21" t="s">
        <v>2276</v>
      </c>
      <c r="S3358" s="21" t="s">
        <v>2276</v>
      </c>
      <c r="T3358" s="21" t="s">
        <v>2276</v>
      </c>
      <c r="U3358" s="21" t="s">
        <v>2276</v>
      </c>
      <c r="V3358" s="21" t="s">
        <v>2276</v>
      </c>
      <c r="W3358" s="21" t="s">
        <v>2276</v>
      </c>
      <c r="X3358" s="21" t="s">
        <v>2276</v>
      </c>
      <c r="Y3358" s="21" t="s">
        <v>2276</v>
      </c>
      <c r="Z3358" s="21" t="s">
        <v>2276</v>
      </c>
      <c r="AA3358" s="204"/>
      <c r="AB3358" s="204"/>
    </row>
    <row r="3359" spans="1:28" ht="32.5" customHeight="1">
      <c r="A3359" s="156" t="str">
        <f>'Reported burning'!A3359</f>
        <v>373a</v>
      </c>
      <c r="B3359" s="156" t="str">
        <f>'Reported burning'!B3359</f>
        <v>373a.3</v>
      </c>
      <c r="C3359" s="156" t="str">
        <f>'Reported burning'!C3359</f>
        <v>Human, escaped</v>
      </c>
      <c r="D3359" s="156" t="str">
        <f>'Reported burning'!D3359</f>
        <v>Hunting</v>
      </c>
      <c r="E3359" s="156" t="str">
        <f>'Reported burning'!E3359</f>
        <v>Forestry, Traditional</v>
      </c>
      <c r="F3359" s="156" t="str">
        <f>'Reported burning'!F3359</f>
        <v>Shrubland (Mixed forest &amp; grassland)</v>
      </c>
      <c r="G3359" s="156" t="str">
        <f>'Reported burning'!G3359</f>
        <v>ND</v>
      </c>
      <c r="H3359" s="156" t="str">
        <f>'Reported burning'!H3359</f>
        <v>Presence</v>
      </c>
      <c r="I3359" s="5"/>
      <c r="J3359" s="21" t="s">
        <v>2276</v>
      </c>
      <c r="K3359" s="21" t="s">
        <v>2276</v>
      </c>
      <c r="L3359" s="21" t="s">
        <v>2276</v>
      </c>
      <c r="M3359" s="21" t="s">
        <v>2276</v>
      </c>
      <c r="N3359" s="21" t="s">
        <v>2276</v>
      </c>
      <c r="O3359" s="21" t="s">
        <v>2276</v>
      </c>
      <c r="P3359" s="21" t="s">
        <v>2276</v>
      </c>
      <c r="Q3359" s="21" t="s">
        <v>2276</v>
      </c>
      <c r="R3359" s="21" t="s">
        <v>2276</v>
      </c>
      <c r="S3359" s="21" t="s">
        <v>2276</v>
      </c>
      <c r="T3359" s="21" t="s">
        <v>2276</v>
      </c>
      <c r="U3359" s="21" t="s">
        <v>2276</v>
      </c>
      <c r="V3359" s="21" t="s">
        <v>2276</v>
      </c>
      <c r="W3359" s="21" t="s">
        <v>2276</v>
      </c>
      <c r="X3359" s="21" t="s">
        <v>2276</v>
      </c>
      <c r="Y3359" s="21" t="s">
        <v>2276</v>
      </c>
      <c r="Z3359" s="21" t="s">
        <v>2276</v>
      </c>
      <c r="AA3359" s="204"/>
      <c r="AB3359" s="204"/>
    </row>
    <row r="3360" spans="1:28" ht="32.5" customHeight="1">
      <c r="A3360" s="156" t="str">
        <f>'Reported burning'!A3360</f>
        <v>373a</v>
      </c>
      <c r="B3360" s="156" t="str">
        <f>'Reported burning'!B3360</f>
        <v>373a.4</v>
      </c>
      <c r="C3360" s="156" t="str">
        <f>'Reported burning'!C3360</f>
        <v>Human, escaped</v>
      </c>
      <c r="D3360" s="156" t="str">
        <f>'Reported burning'!D3360</f>
        <v>Harvesting of NTFP</v>
      </c>
      <c r="E3360" s="156" t="str">
        <f>'Reported burning'!E3360</f>
        <v>Forestry, Traditional</v>
      </c>
      <c r="F3360" s="156" t="str">
        <f>'Reported burning'!F3360</f>
        <v>Shrubland (Mixed forest &amp; grassland)</v>
      </c>
      <c r="G3360" s="156" t="str">
        <f>'Reported burning'!G3360</f>
        <v>ND</v>
      </c>
      <c r="H3360" s="156" t="str">
        <f>'Reported burning'!H3360</f>
        <v>Presence</v>
      </c>
      <c r="I3360" s="5"/>
      <c r="J3360" s="21" t="s">
        <v>2276</v>
      </c>
      <c r="K3360" s="21" t="s">
        <v>2276</v>
      </c>
      <c r="L3360" s="21" t="s">
        <v>2276</v>
      </c>
      <c r="M3360" s="21" t="s">
        <v>2276</v>
      </c>
      <c r="N3360" s="21" t="s">
        <v>2276</v>
      </c>
      <c r="O3360" s="21" t="s">
        <v>2276</v>
      </c>
      <c r="P3360" s="21" t="s">
        <v>2276</v>
      </c>
      <c r="Q3360" s="21" t="s">
        <v>2276</v>
      </c>
      <c r="R3360" s="21" t="s">
        <v>2276</v>
      </c>
      <c r="S3360" s="21" t="s">
        <v>2276</v>
      </c>
      <c r="T3360" s="21" t="s">
        <v>2276</v>
      </c>
      <c r="U3360" s="21" t="s">
        <v>2276</v>
      </c>
      <c r="V3360" s="21" t="s">
        <v>2276</v>
      </c>
      <c r="W3360" s="21" t="s">
        <v>2276</v>
      </c>
      <c r="X3360" s="21" t="s">
        <v>2276</v>
      </c>
      <c r="Y3360" s="21" t="s">
        <v>2276</v>
      </c>
      <c r="Z3360" s="21" t="s">
        <v>2276</v>
      </c>
      <c r="AA3360" s="204"/>
      <c r="AB3360" s="204"/>
    </row>
    <row r="3361" spans="1:28" ht="32.5" customHeight="1">
      <c r="A3361" s="156" t="str">
        <f>'Reported burning'!A3361</f>
        <v>373a</v>
      </c>
      <c r="B3361" s="156" t="str">
        <f>'Reported burning'!B3361</f>
        <v>373a.5</v>
      </c>
      <c r="C3361" s="156" t="str">
        <f>'Reported burning'!C3361</f>
        <v>Human, escaped</v>
      </c>
      <c r="D3361" s="156" t="str">
        <f>'Reported burning'!D3361</f>
        <v>Land clearance</v>
      </c>
      <c r="E3361" s="156" t="str">
        <f>'Reported burning'!E3361</f>
        <v>Cropping, Monoculture, Subsistence-oriented</v>
      </c>
      <c r="F3361" s="156" t="str">
        <f>'Reported burning'!F3361</f>
        <v>Shrubland (Mixed forest &amp; grassland)</v>
      </c>
      <c r="G3361" s="156" t="str">
        <f>'Reported burning'!G3361</f>
        <v>ND</v>
      </c>
      <c r="H3361" s="156" t="str">
        <f>'Reported burning'!H3361</f>
        <v>Presence</v>
      </c>
      <c r="I3361" s="5"/>
      <c r="J3361" s="21" t="s">
        <v>2276</v>
      </c>
      <c r="K3361" s="21" t="s">
        <v>2276</v>
      </c>
      <c r="L3361" s="21" t="s">
        <v>2276</v>
      </c>
      <c r="M3361" s="21" t="s">
        <v>2276</v>
      </c>
      <c r="N3361" s="21" t="s">
        <v>2276</v>
      </c>
      <c r="O3361" s="21" t="s">
        <v>2276</v>
      </c>
      <c r="P3361" s="21" t="s">
        <v>2276</v>
      </c>
      <c r="Q3361" s="21" t="s">
        <v>2276</v>
      </c>
      <c r="R3361" s="21" t="s">
        <v>2276</v>
      </c>
      <c r="S3361" s="21" t="s">
        <v>2276</v>
      </c>
      <c r="T3361" s="21" t="s">
        <v>2276</v>
      </c>
      <c r="U3361" s="21" t="s">
        <v>2276</v>
      </c>
      <c r="V3361" s="21" t="s">
        <v>2276</v>
      </c>
      <c r="W3361" s="21" t="s">
        <v>2276</v>
      </c>
      <c r="X3361" s="21" t="s">
        <v>2276</v>
      </c>
      <c r="Y3361" s="21" t="s">
        <v>2276</v>
      </c>
      <c r="Z3361" s="21" t="s">
        <v>2276</v>
      </c>
      <c r="AA3361" s="204"/>
      <c r="AB3361" s="204"/>
    </row>
    <row r="3362" spans="1:28" ht="32.5" customHeight="1">
      <c r="A3362" s="156" t="str">
        <f>'Reported burning'!A3362</f>
        <v>373a</v>
      </c>
      <c r="B3362" s="156" t="str">
        <f>'Reported burning'!B3362</f>
        <v>373a.6</v>
      </c>
      <c r="C3362" s="156" t="str">
        <f>'Reported burning'!C3362</f>
        <v>Human, deliberate</v>
      </c>
      <c r="D3362" s="156" t="str">
        <f>'Reported burning'!D3362</f>
        <v>Hunting</v>
      </c>
      <c r="E3362" s="156" t="str">
        <f>'Reported burning'!E3362</f>
        <v>Forestry, Traditional</v>
      </c>
      <c r="F3362" s="156" t="str">
        <f>'Reported burning'!F3362</f>
        <v>Shrubland (Mixed forest &amp; grassland)</v>
      </c>
      <c r="G3362" s="156" t="str">
        <f>'Reported burning'!G3362</f>
        <v>Shrubland (Mixed forest &amp; grassland)</v>
      </c>
      <c r="H3362" s="156" t="str">
        <f>'Reported burning'!H3362</f>
        <v>Presence</v>
      </c>
      <c r="I3362" s="5"/>
      <c r="J3362" s="21" t="s">
        <v>2276</v>
      </c>
      <c r="K3362" s="21" t="s">
        <v>2276</v>
      </c>
      <c r="L3362" s="21" t="s">
        <v>2276</v>
      </c>
      <c r="M3362" s="21" t="s">
        <v>2276</v>
      </c>
      <c r="N3362" s="21" t="s">
        <v>2276</v>
      </c>
      <c r="O3362" s="21" t="s">
        <v>2276</v>
      </c>
      <c r="P3362" s="21" t="s">
        <v>2276</v>
      </c>
      <c r="Q3362" s="21" t="s">
        <v>2276</v>
      </c>
      <c r="R3362" s="21" t="s">
        <v>2276</v>
      </c>
      <c r="S3362" s="21" t="s">
        <v>2276</v>
      </c>
      <c r="T3362" s="21" t="s">
        <v>2276</v>
      </c>
      <c r="U3362" s="21" t="s">
        <v>2276</v>
      </c>
      <c r="V3362" s="21" t="s">
        <v>2276</v>
      </c>
      <c r="W3362" s="21" t="s">
        <v>2276</v>
      </c>
      <c r="X3362" s="21" t="s">
        <v>2276</v>
      </c>
      <c r="Y3362" s="21" t="s">
        <v>2276</v>
      </c>
      <c r="Z3362" s="21" t="s">
        <v>2276</v>
      </c>
      <c r="AA3362" s="204"/>
      <c r="AB3362" s="204"/>
    </row>
    <row r="3363" spans="1:28" ht="32.5" customHeight="1">
      <c r="A3363" s="156" t="str">
        <f>'Reported burning'!A3363</f>
        <v>373a</v>
      </c>
      <c r="B3363" s="156" t="str">
        <f>'Reported burning'!B3363</f>
        <v>373a.7</v>
      </c>
      <c r="C3363" s="156" t="str">
        <f>'Reported burning'!C3363</f>
        <v>Human, deliberate</v>
      </c>
      <c r="D3363" s="156" t="str">
        <f>'Reported burning'!D3363</f>
        <v>Harvesting of NTFP</v>
      </c>
      <c r="E3363" s="156" t="str">
        <f>'Reported burning'!E3363</f>
        <v>Forestry, Traditional</v>
      </c>
      <c r="F3363" s="156" t="str">
        <f>'Reported burning'!F3363</f>
        <v>Shrubland (Mixed forest &amp; grassland)</v>
      </c>
      <c r="G3363" s="156" t="str">
        <f>'Reported burning'!G3363</f>
        <v>Shrubland (Mixed forest &amp; grassland)</v>
      </c>
      <c r="H3363" s="156" t="str">
        <f>'Reported burning'!H3363</f>
        <v>Presence</v>
      </c>
      <c r="I3363" s="5"/>
      <c r="J3363" s="21" t="s">
        <v>2276</v>
      </c>
      <c r="K3363" s="21" t="s">
        <v>2276</v>
      </c>
      <c r="L3363" s="21" t="s">
        <v>2276</v>
      </c>
      <c r="M3363" s="21" t="s">
        <v>2276</v>
      </c>
      <c r="N3363" s="21" t="s">
        <v>2276</v>
      </c>
      <c r="O3363" s="21" t="s">
        <v>2276</v>
      </c>
      <c r="P3363" s="21" t="s">
        <v>2276</v>
      </c>
      <c r="Q3363" s="21" t="s">
        <v>2276</v>
      </c>
      <c r="R3363" s="21" t="s">
        <v>2276</v>
      </c>
      <c r="S3363" s="21" t="s">
        <v>2276</v>
      </c>
      <c r="T3363" s="21" t="s">
        <v>2276</v>
      </c>
      <c r="U3363" s="21" t="s">
        <v>2276</v>
      </c>
      <c r="V3363" s="21" t="s">
        <v>2276</v>
      </c>
      <c r="W3363" s="21" t="s">
        <v>2276</v>
      </c>
      <c r="X3363" s="21" t="s">
        <v>2276</v>
      </c>
      <c r="Y3363" s="21" t="s">
        <v>2276</v>
      </c>
      <c r="Z3363" s="21" t="s">
        <v>2276</v>
      </c>
      <c r="AA3363" s="204"/>
      <c r="AB3363" s="204"/>
    </row>
    <row r="3364" spans="1:28" ht="32.5" customHeight="1">
      <c r="A3364" s="156" t="str">
        <f>'Reported burning'!A3364</f>
        <v>373a</v>
      </c>
      <c r="B3364" s="156" t="str">
        <f>'Reported burning'!B3364</f>
        <v>373a.8</v>
      </c>
      <c r="C3364" s="156" t="str">
        <f>'Reported burning'!C3364</f>
        <v>Human, deliberate</v>
      </c>
      <c r="D3364" s="156" t="str">
        <f>'Reported burning'!D3364</f>
        <v>Land clearance</v>
      </c>
      <c r="E3364" s="156" t="str">
        <f>'Reported burning'!E3364</f>
        <v>Cropping, Monoculture, Subsistence-oriented</v>
      </c>
      <c r="F3364" s="156" t="str">
        <f>'Reported burning'!F3364</f>
        <v>Shrubland (Mixed forest &amp; grassland)</v>
      </c>
      <c r="G3364" s="156" t="str">
        <f>'Reported burning'!G3364</f>
        <v>Shrubland (Mixed forest &amp; grassland)</v>
      </c>
      <c r="H3364" s="156" t="str">
        <f>'Reported burning'!H3364</f>
        <v>Presence</v>
      </c>
      <c r="I3364" s="5"/>
      <c r="J3364" s="21" t="s">
        <v>2276</v>
      </c>
      <c r="K3364" s="21" t="s">
        <v>2276</v>
      </c>
      <c r="L3364" s="21" t="s">
        <v>2276</v>
      </c>
      <c r="M3364" s="21" t="s">
        <v>2276</v>
      </c>
      <c r="N3364" s="21" t="s">
        <v>2276</v>
      </c>
      <c r="O3364" s="21" t="s">
        <v>2276</v>
      </c>
      <c r="P3364" s="21" t="s">
        <v>2276</v>
      </c>
      <c r="Q3364" s="21" t="s">
        <v>2276</v>
      </c>
      <c r="R3364" s="21" t="s">
        <v>2276</v>
      </c>
      <c r="S3364" s="21" t="s">
        <v>2276</v>
      </c>
      <c r="T3364" s="21" t="s">
        <v>2276</v>
      </c>
      <c r="U3364" s="21" t="s">
        <v>2276</v>
      </c>
      <c r="V3364" s="21" t="s">
        <v>2276</v>
      </c>
      <c r="W3364" s="21" t="s">
        <v>2276</v>
      </c>
      <c r="X3364" s="21" t="s">
        <v>2276</v>
      </c>
      <c r="Y3364" s="21" t="s">
        <v>2276</v>
      </c>
      <c r="Z3364" s="21" t="s">
        <v>2276</v>
      </c>
      <c r="AA3364" s="204"/>
      <c r="AB3364" s="204"/>
    </row>
    <row r="3365" spans="1:28" ht="32.5" customHeight="1">
      <c r="A3365" s="156" t="str">
        <f>'Reported burning'!A3365</f>
        <v>373a</v>
      </c>
      <c r="B3365" s="156" t="str">
        <f>'Reported burning'!B3365</f>
        <v>373a.9</v>
      </c>
      <c r="C3365" s="156" t="str">
        <f>'Reported burning'!C3365</f>
        <v>Human, escaped</v>
      </c>
      <c r="D3365" s="156" t="str">
        <f>'Reported burning'!D3365</f>
        <v>Land clearance</v>
      </c>
      <c r="E3365" s="156" t="str">
        <f>'Reported burning'!E3365</f>
        <v>Cattle, Extensive</v>
      </c>
      <c r="F3365" s="156" t="str">
        <f>'Reported burning'!F3365</f>
        <v>Shrubland (Mixed forest &amp; grassland)</v>
      </c>
      <c r="G3365" s="156" t="str">
        <f>'Reported burning'!G3366</f>
        <v>Shrubland (Mixed forest &amp; grassland)</v>
      </c>
      <c r="H3365" s="156" t="str">
        <f>'Reported burning'!H3365</f>
        <v>Presence</v>
      </c>
      <c r="I3365" s="5"/>
      <c r="J3365" s="21" t="s">
        <v>2276</v>
      </c>
      <c r="K3365" s="21" t="s">
        <v>2276</v>
      </c>
      <c r="L3365" s="21" t="s">
        <v>2276</v>
      </c>
      <c r="M3365" s="21" t="s">
        <v>2276</v>
      </c>
      <c r="N3365" s="21" t="s">
        <v>2276</v>
      </c>
      <c r="O3365" s="21" t="s">
        <v>2276</v>
      </c>
      <c r="P3365" s="21" t="s">
        <v>2276</v>
      </c>
      <c r="Q3365" s="21" t="s">
        <v>2276</v>
      </c>
      <c r="R3365" s="21" t="s">
        <v>2276</v>
      </c>
      <c r="S3365" s="21" t="s">
        <v>2276</v>
      </c>
      <c r="T3365" s="21" t="s">
        <v>2276</v>
      </c>
      <c r="U3365" s="21" t="s">
        <v>2276</v>
      </c>
      <c r="V3365" s="21" t="s">
        <v>2276</v>
      </c>
      <c r="W3365" s="21" t="s">
        <v>2276</v>
      </c>
      <c r="X3365" s="21" t="s">
        <v>2276</v>
      </c>
      <c r="Y3365" s="21" t="s">
        <v>2276</v>
      </c>
      <c r="Z3365" s="21" t="s">
        <v>2276</v>
      </c>
      <c r="AA3365" s="204"/>
      <c r="AB3365" s="204"/>
    </row>
    <row r="3366" spans="1:28" ht="32.5" customHeight="1">
      <c r="A3366" s="156" t="str">
        <f>'Reported burning'!A3366</f>
        <v>373a</v>
      </c>
      <c r="B3366" s="156" t="str">
        <f>'Reported burning'!B3366</f>
        <v>373a.10</v>
      </c>
      <c r="C3366" s="156" t="str">
        <f>'Reported burning'!C3366</f>
        <v>Human, deliberate</v>
      </c>
      <c r="D3366" s="156" t="str">
        <f>'Reported burning'!D3366</f>
        <v>Land clearance</v>
      </c>
      <c r="E3366" s="156" t="str">
        <f>'Reported burning'!E3366</f>
        <v>Cattle, Extensive</v>
      </c>
      <c r="F3366" s="156" t="str">
        <f>'Reported burning'!F3366</f>
        <v>Shrubland (Mixed forest &amp; grassland)</v>
      </c>
      <c r="G3366" s="156" t="str">
        <f>'Reported burning'!G3365</f>
        <v>ND</v>
      </c>
      <c r="H3366" s="156" t="str">
        <f>'Reported burning'!H3366</f>
        <v>Presence</v>
      </c>
      <c r="I3366" s="5"/>
      <c r="J3366" s="21" t="s">
        <v>2276</v>
      </c>
      <c r="K3366" s="21" t="s">
        <v>2276</v>
      </c>
      <c r="L3366" s="21" t="s">
        <v>2276</v>
      </c>
      <c r="M3366" s="21" t="s">
        <v>2276</v>
      </c>
      <c r="N3366" s="21" t="s">
        <v>2276</v>
      </c>
      <c r="O3366" s="21" t="s">
        <v>2276</v>
      </c>
      <c r="P3366" s="21" t="s">
        <v>2276</v>
      </c>
      <c r="Q3366" s="21" t="s">
        <v>2276</v>
      </c>
      <c r="R3366" s="21" t="s">
        <v>2276</v>
      </c>
      <c r="S3366" s="21" t="s">
        <v>2276</v>
      </c>
      <c r="T3366" s="21" t="s">
        <v>2276</v>
      </c>
      <c r="U3366" s="21" t="s">
        <v>2276</v>
      </c>
      <c r="V3366" s="21" t="s">
        <v>2276</v>
      </c>
      <c r="W3366" s="21" t="s">
        <v>2276</v>
      </c>
      <c r="X3366" s="21" t="s">
        <v>2276</v>
      </c>
      <c r="Y3366" s="21" t="s">
        <v>2276</v>
      </c>
      <c r="Z3366" s="21" t="s">
        <v>2276</v>
      </c>
      <c r="AA3366" s="204"/>
      <c r="AB3366" s="204"/>
    </row>
    <row r="3367" spans="1:28" ht="34.5" customHeight="1">
      <c r="A3367" s="156" t="str">
        <f>'Reported burning'!A3367</f>
        <v>373b</v>
      </c>
      <c r="B3367" s="156" t="str">
        <f>'Reported burning'!B3367</f>
        <v>373b.1</v>
      </c>
      <c r="C3367" s="156" t="str">
        <f>'Reported burning'!C3367</f>
        <v>Human, escaped</v>
      </c>
      <c r="D3367" s="156" t="str">
        <f>'Reported burning'!D3367</f>
        <v>ND</v>
      </c>
      <c r="E3367" s="156" t="str">
        <f>'Reported burning'!E3367</f>
        <v>ND</v>
      </c>
      <c r="F3367" s="156" t="str">
        <f>'Reported burning'!F3367</f>
        <v>ND</v>
      </c>
      <c r="G3367" s="156" t="str">
        <f>'Reported burning'!G3367</f>
        <v>Cropland</v>
      </c>
      <c r="H3367" s="156" t="str">
        <f>'Reported burning'!H3367</f>
        <v>Presence</v>
      </c>
      <c r="I3367" s="5"/>
      <c r="J3367" s="21" t="s">
        <v>2276</v>
      </c>
      <c r="K3367" s="21" t="s">
        <v>2276</v>
      </c>
      <c r="L3367" s="21" t="s">
        <v>2276</v>
      </c>
      <c r="M3367" s="21" t="s">
        <v>2276</v>
      </c>
      <c r="N3367" s="21" t="s">
        <v>2276</v>
      </c>
      <c r="O3367" s="21" t="s">
        <v>2276</v>
      </c>
      <c r="P3367" s="21" t="s">
        <v>2276</v>
      </c>
      <c r="Q3367" s="21" t="s">
        <v>2276</v>
      </c>
      <c r="R3367" s="21" t="s">
        <v>2276</v>
      </c>
      <c r="S3367" s="21" t="s">
        <v>2276</v>
      </c>
      <c r="T3367" s="21" t="s">
        <v>2276</v>
      </c>
      <c r="U3367" s="21" t="s">
        <v>2276</v>
      </c>
      <c r="V3367" s="21" t="s">
        <v>2276</v>
      </c>
      <c r="W3367" s="21" t="s">
        <v>2276</v>
      </c>
      <c r="X3367" s="21" t="s">
        <v>2276</v>
      </c>
      <c r="Y3367" s="21" t="s">
        <v>2276</v>
      </c>
      <c r="Z3367" s="21" t="s">
        <v>2276</v>
      </c>
      <c r="AA3367" s="204"/>
      <c r="AB3367" s="204"/>
    </row>
    <row r="3368" spans="1:28" ht="44" customHeight="1">
      <c r="A3368" s="156" t="str">
        <f>'Reported burning'!A3368</f>
        <v>373b</v>
      </c>
      <c r="B3368" s="156" t="str">
        <f>'Reported burning'!B3368</f>
        <v>373b.2</v>
      </c>
      <c r="C3368" s="156" t="str">
        <f>'Reported burning'!C3368</f>
        <v>Lightning</v>
      </c>
      <c r="D3368" s="156" t="str">
        <f>'Reported burning'!D3368</f>
        <v>ND</v>
      </c>
      <c r="E3368" s="156" t="str">
        <f>'Reported burning'!E3368</f>
        <v>ND</v>
      </c>
      <c r="F3368" s="156" t="str">
        <f>'Reported burning'!F3368</f>
        <v>ND</v>
      </c>
      <c r="G3368" s="156" t="str">
        <f>'Reported burning'!G3368</f>
        <v>Cropland</v>
      </c>
      <c r="H3368" s="156" t="str">
        <f>'Reported burning'!H3368</f>
        <v>Presence</v>
      </c>
      <c r="I3368" s="5"/>
      <c r="J3368" s="21" t="s">
        <v>2276</v>
      </c>
      <c r="K3368" s="21" t="s">
        <v>2276</v>
      </c>
      <c r="L3368" s="21" t="s">
        <v>2276</v>
      </c>
      <c r="M3368" s="21" t="s">
        <v>2276</v>
      </c>
      <c r="N3368" s="21" t="s">
        <v>2276</v>
      </c>
      <c r="O3368" s="21" t="s">
        <v>2276</v>
      </c>
      <c r="P3368" s="21" t="s">
        <v>2276</v>
      </c>
      <c r="Q3368" s="21" t="s">
        <v>2276</v>
      </c>
      <c r="R3368" s="21" t="s">
        <v>2276</v>
      </c>
      <c r="S3368" s="21" t="s">
        <v>2276</v>
      </c>
      <c r="T3368" s="21" t="s">
        <v>2276</v>
      </c>
      <c r="U3368" s="21" t="s">
        <v>2276</v>
      </c>
      <c r="V3368" s="21" t="s">
        <v>2276</v>
      </c>
      <c r="W3368" s="21" t="s">
        <v>2276</v>
      </c>
      <c r="X3368" s="21" t="s">
        <v>2276</v>
      </c>
      <c r="Y3368" s="21" t="s">
        <v>2276</v>
      </c>
      <c r="Z3368" s="21" t="s">
        <v>2276</v>
      </c>
      <c r="AA3368" s="204"/>
      <c r="AB3368" s="204"/>
    </row>
    <row r="3369" spans="1:28" ht="44" customHeight="1">
      <c r="A3369" s="156" t="str">
        <f>'Reported burning'!A3369</f>
        <v>374a</v>
      </c>
      <c r="B3369" s="156" t="str">
        <f>'Reported burning'!B3369</f>
        <v>374a.1</v>
      </c>
      <c r="C3369" s="156" t="str">
        <f>'Reported burning'!C3369</f>
        <v>Human, deliberate</v>
      </c>
      <c r="D3369" s="156" t="str">
        <f>'Reported burning'!D3369</f>
        <v>Forest clearance</v>
      </c>
      <c r="E3369" s="156" t="str">
        <f>'Reported burning'!E3369</f>
        <v>Cropping, Monoculture, Subsistence-oriented</v>
      </c>
      <c r="F3369" s="156" t="str">
        <f>'Reported burning'!F3369</f>
        <v>Forest</v>
      </c>
      <c r="G3369" s="156" t="str">
        <f>'Reported burning'!G3369</f>
        <v>Forest</v>
      </c>
      <c r="H3369" s="156" t="str">
        <f>'Reported burning'!H3369</f>
        <v>Presence</v>
      </c>
      <c r="I3369" s="5"/>
      <c r="J3369" s="21" t="s">
        <v>2276</v>
      </c>
      <c r="K3369" s="21" t="s">
        <v>2276</v>
      </c>
      <c r="L3369" s="21" t="s">
        <v>2276</v>
      </c>
      <c r="M3369" s="21" t="s">
        <v>2276</v>
      </c>
      <c r="N3369" s="21" t="s">
        <v>2276</v>
      </c>
      <c r="O3369" s="21" t="s">
        <v>2276</v>
      </c>
      <c r="P3369" s="21" t="s">
        <v>2276</v>
      </c>
      <c r="Q3369" s="21" t="s">
        <v>2276</v>
      </c>
      <c r="R3369" s="21" t="s">
        <v>2276</v>
      </c>
      <c r="S3369" s="21" t="s">
        <v>2276</v>
      </c>
      <c r="T3369" s="21" t="s">
        <v>2276</v>
      </c>
      <c r="U3369" s="21" t="s">
        <v>2276</v>
      </c>
      <c r="V3369" s="21" t="s">
        <v>2276</v>
      </c>
      <c r="W3369" s="21" t="s">
        <v>2276</v>
      </c>
      <c r="X3369" s="21" t="s">
        <v>2276</v>
      </c>
      <c r="Y3369" s="21" t="s">
        <v>2276</v>
      </c>
      <c r="Z3369" s="21" t="s">
        <v>2276</v>
      </c>
      <c r="AA3369" s="204"/>
      <c r="AB3369" s="204"/>
    </row>
    <row r="3370" spans="1:28" ht="44" customHeight="1">
      <c r="A3370" s="156" t="str">
        <f>'Reported burning'!A3370</f>
        <v>374a</v>
      </c>
      <c r="B3370" s="156" t="str">
        <f>'Reported burning'!B3370</f>
        <v>374a.2</v>
      </c>
      <c r="C3370" s="156" t="str">
        <f>'Reported burning'!C3370</f>
        <v>Human, deliberate</v>
      </c>
      <c r="D3370" s="156" t="str">
        <f>'Reported burning'!D3370</f>
        <v>Forest clearance</v>
      </c>
      <c r="E3370" s="156" t="str">
        <f>'Reported burning'!E3370</f>
        <v>Cattle, Extensive</v>
      </c>
      <c r="F3370" s="156" t="str">
        <f>'Reported burning'!F3370</f>
        <v>Forest</v>
      </c>
      <c r="G3370" s="156" t="str">
        <f>'Reported burning'!G3370</f>
        <v>Forest</v>
      </c>
      <c r="H3370" s="156" t="str">
        <f>'Reported burning'!H3370</f>
        <v>Presence</v>
      </c>
      <c r="I3370" s="5"/>
      <c r="J3370" s="21" t="s">
        <v>2276</v>
      </c>
      <c r="K3370" s="21" t="s">
        <v>2276</v>
      </c>
      <c r="L3370" s="21" t="s">
        <v>2276</v>
      </c>
      <c r="M3370" s="21" t="s">
        <v>2276</v>
      </c>
      <c r="N3370" s="21" t="s">
        <v>2276</v>
      </c>
      <c r="O3370" s="21" t="s">
        <v>2276</v>
      </c>
      <c r="P3370" s="21" t="s">
        <v>2276</v>
      </c>
      <c r="Q3370" s="21" t="s">
        <v>2276</v>
      </c>
      <c r="R3370" s="21" t="s">
        <v>2276</v>
      </c>
      <c r="S3370" s="21" t="s">
        <v>2276</v>
      </c>
      <c r="T3370" s="21" t="s">
        <v>2276</v>
      </c>
      <c r="U3370" s="21" t="s">
        <v>2276</v>
      </c>
      <c r="V3370" s="21" t="s">
        <v>2276</v>
      </c>
      <c r="W3370" s="21" t="s">
        <v>2276</v>
      </c>
      <c r="X3370" s="21" t="s">
        <v>2276</v>
      </c>
      <c r="Y3370" s="21" t="s">
        <v>2276</v>
      </c>
      <c r="Z3370" s="21" t="s">
        <v>2276</v>
      </c>
      <c r="AA3370" s="204"/>
      <c r="AB3370" s="204"/>
    </row>
    <row r="3371" spans="1:28" ht="41" customHeight="1">
      <c r="A3371" s="156" t="str">
        <f>'Reported burning'!A3371</f>
        <v>375a</v>
      </c>
      <c r="B3371" s="156" t="str">
        <f>'Reported burning'!B3371</f>
        <v>375a.1</v>
      </c>
      <c r="C3371" s="156" t="str">
        <f>'Reported burning'!C3371</f>
        <v>Human, deliberate</v>
      </c>
      <c r="D3371" s="156" t="str">
        <f>'Reported burning'!D3371</f>
        <v>Crop field preparation</v>
      </c>
      <c r="E3371" s="156" t="str">
        <f>'Reported burning'!E3371</f>
        <v>Cropping, Monoculture, Subsistence-oriented</v>
      </c>
      <c r="F3371" s="156" t="str">
        <f>'Reported burning'!F3371</f>
        <v>Cropland</v>
      </c>
      <c r="G3371" s="156" t="str">
        <f>'Reported burning'!G3371</f>
        <v>ND</v>
      </c>
      <c r="H3371" s="156" t="str">
        <f>'Reported burning'!H3371</f>
        <v>Presence</v>
      </c>
      <c r="I3371" s="5"/>
      <c r="J3371" s="21" t="s">
        <v>2276</v>
      </c>
      <c r="K3371" s="21" t="s">
        <v>2276</v>
      </c>
      <c r="L3371" s="21" t="s">
        <v>2276</v>
      </c>
      <c r="M3371" s="21" t="s">
        <v>2276</v>
      </c>
      <c r="N3371" s="21" t="s">
        <v>2276</v>
      </c>
      <c r="O3371" s="21" t="s">
        <v>2276</v>
      </c>
      <c r="P3371" s="21" t="s">
        <v>2276</v>
      </c>
      <c r="Q3371" s="21" t="s">
        <v>2276</v>
      </c>
      <c r="R3371" s="21" t="s">
        <v>2276</v>
      </c>
      <c r="S3371" s="21" t="s">
        <v>2276</v>
      </c>
      <c r="T3371" s="21" t="s">
        <v>2276</v>
      </c>
      <c r="U3371" s="21" t="s">
        <v>2276</v>
      </c>
      <c r="V3371" s="21" t="s">
        <v>2276</v>
      </c>
      <c r="W3371" s="21" t="s">
        <v>2276</v>
      </c>
      <c r="X3371" s="21" t="s">
        <v>2276</v>
      </c>
      <c r="Y3371" s="21" t="s">
        <v>2276</v>
      </c>
      <c r="Z3371" s="21" t="s">
        <v>2276</v>
      </c>
      <c r="AA3371" s="204"/>
      <c r="AB3371" s="204"/>
    </row>
    <row r="3372" spans="1:28" ht="41" customHeight="1">
      <c r="A3372" s="156" t="str">
        <f>'Reported burning'!A3372</f>
        <v>375a</v>
      </c>
      <c r="B3372" s="156" t="str">
        <f>'Reported burning'!B3372</f>
        <v>375a.2</v>
      </c>
      <c r="C3372" s="156" t="str">
        <f>'Reported burning'!C3372</f>
        <v>Human, deliberate</v>
      </c>
      <c r="D3372" s="156" t="str">
        <f>'Reported burning'!D3372</f>
        <v>Crop field preparation</v>
      </c>
      <c r="E3372" s="156" t="str">
        <f>'Reported burning'!E3372</f>
        <v>Cropping, Monoculture, Market-oriented</v>
      </c>
      <c r="F3372" s="156" t="str">
        <f>'Reported burning'!F3372</f>
        <v>Cropland</v>
      </c>
      <c r="G3372" s="156" t="str">
        <f>'Reported burning'!G3372</f>
        <v>ND</v>
      </c>
      <c r="H3372" s="156" t="str">
        <f>'Reported burning'!H3372</f>
        <v>Presence</v>
      </c>
      <c r="I3372" s="5"/>
      <c r="J3372" s="21" t="s">
        <v>2276</v>
      </c>
      <c r="K3372" s="21" t="s">
        <v>2276</v>
      </c>
      <c r="L3372" s="21" t="s">
        <v>2276</v>
      </c>
      <c r="M3372" s="21" t="s">
        <v>2276</v>
      </c>
      <c r="N3372" s="21" t="s">
        <v>2276</v>
      </c>
      <c r="O3372" s="21" t="s">
        <v>2276</v>
      </c>
      <c r="P3372" s="21" t="s">
        <v>2276</v>
      </c>
      <c r="Q3372" s="21" t="s">
        <v>2276</v>
      </c>
      <c r="R3372" s="21" t="s">
        <v>2276</v>
      </c>
      <c r="S3372" s="21" t="s">
        <v>2276</v>
      </c>
      <c r="T3372" s="21" t="s">
        <v>2276</v>
      </c>
      <c r="U3372" s="21" t="s">
        <v>2276</v>
      </c>
      <c r="V3372" s="21" t="s">
        <v>2276</v>
      </c>
      <c r="W3372" s="21" t="s">
        <v>2276</v>
      </c>
      <c r="X3372" s="21" t="s">
        <v>2276</v>
      </c>
      <c r="Y3372" s="21" t="s">
        <v>2276</v>
      </c>
      <c r="Z3372" s="21" t="s">
        <v>2276</v>
      </c>
      <c r="AA3372" s="204"/>
      <c r="AB3372" s="204"/>
    </row>
    <row r="3373" spans="1:28" ht="41" customHeight="1">
      <c r="A3373" s="156" t="str">
        <f>'Reported burning'!A3373</f>
        <v>375a</v>
      </c>
      <c r="B3373" s="156" t="str">
        <f>'Reported burning'!B3373</f>
        <v>375a.3</v>
      </c>
      <c r="C3373" s="156" t="str">
        <f>'Reported burning'!C3373</f>
        <v>Human, deliberate</v>
      </c>
      <c r="D3373" s="156" t="str">
        <f>'Reported burning'!D3373</f>
        <v>Crop field preparation</v>
      </c>
      <c r="E3373" s="156" t="str">
        <f>'Reported burning'!E3373</f>
        <v>Cropping, Swidden</v>
      </c>
      <c r="F3373" s="156" t="str">
        <f>'Reported burning'!F3373</f>
        <v>Secondary vegetation</v>
      </c>
      <c r="G3373" s="156" t="str">
        <f>'Reported burning'!G3373</f>
        <v>ND</v>
      </c>
      <c r="H3373" s="156" t="str">
        <f>'Reported burning'!H3373</f>
        <v>Presence</v>
      </c>
      <c r="I3373" s="5"/>
      <c r="J3373" s="21" t="s">
        <v>2276</v>
      </c>
      <c r="K3373" s="21" t="s">
        <v>2276</v>
      </c>
      <c r="L3373" s="21" t="s">
        <v>2276</v>
      </c>
      <c r="M3373" s="21" t="s">
        <v>2276</v>
      </c>
      <c r="N3373" s="21" t="s">
        <v>2276</v>
      </c>
      <c r="O3373" s="21" t="s">
        <v>2276</v>
      </c>
      <c r="P3373" s="21" t="s">
        <v>2276</v>
      </c>
      <c r="Q3373" s="21" t="s">
        <v>2276</v>
      </c>
      <c r="R3373" s="21" t="s">
        <v>2276</v>
      </c>
      <c r="S3373" s="21" t="s">
        <v>2276</v>
      </c>
      <c r="T3373" s="21" t="s">
        <v>2276</v>
      </c>
      <c r="U3373" s="21" t="s">
        <v>2276</v>
      </c>
      <c r="V3373" s="21" t="s">
        <v>2276</v>
      </c>
      <c r="W3373" s="21" t="s">
        <v>2276</v>
      </c>
      <c r="X3373" s="21" t="s">
        <v>2276</v>
      </c>
      <c r="Y3373" s="21" t="s">
        <v>2276</v>
      </c>
      <c r="Z3373" s="21" t="s">
        <v>2276</v>
      </c>
      <c r="AA3373" s="204"/>
      <c r="AB3373" s="204"/>
    </row>
    <row r="3374" spans="1:28" ht="41" customHeight="1">
      <c r="A3374" s="156" t="str">
        <f>'Reported burning'!A3374</f>
        <v>375a</v>
      </c>
      <c r="B3374" s="156" t="str">
        <f>'Reported burning'!B3374</f>
        <v>375a.4</v>
      </c>
      <c r="C3374" s="156" t="str">
        <f>'Reported burning'!C3374</f>
        <v>Human, deliberate</v>
      </c>
      <c r="D3374" s="156" t="str">
        <f>'Reported burning'!D3374</f>
        <v>Pasture renewal</v>
      </c>
      <c r="E3374" s="156" t="str">
        <f>'Reported burning'!E3374</f>
        <v>Cattle, Extensive</v>
      </c>
      <c r="F3374" s="156" t="str">
        <f>'Reported burning'!F3374</f>
        <v>Pasture</v>
      </c>
      <c r="G3374" s="156" t="str">
        <f>'Reported burning'!G3374</f>
        <v>ND</v>
      </c>
      <c r="H3374" s="156" t="str">
        <f>'Reported burning'!H3374</f>
        <v>Presence</v>
      </c>
      <c r="I3374" s="5"/>
      <c r="J3374" s="21" t="s">
        <v>2276</v>
      </c>
      <c r="K3374" s="21" t="s">
        <v>2276</v>
      </c>
      <c r="L3374" s="21" t="s">
        <v>2276</v>
      </c>
      <c r="M3374" s="21" t="s">
        <v>2276</v>
      </c>
      <c r="N3374" s="21" t="s">
        <v>2276</v>
      </c>
      <c r="O3374" s="21" t="s">
        <v>2276</v>
      </c>
      <c r="P3374" s="21" t="s">
        <v>2276</v>
      </c>
      <c r="Q3374" s="21" t="s">
        <v>2276</v>
      </c>
      <c r="R3374" s="21" t="s">
        <v>2276</v>
      </c>
      <c r="S3374" s="21" t="s">
        <v>2276</v>
      </c>
      <c r="T3374" s="21" t="s">
        <v>2276</v>
      </c>
      <c r="U3374" s="21" t="s">
        <v>2276</v>
      </c>
      <c r="V3374" s="21" t="s">
        <v>2276</v>
      </c>
      <c r="W3374" s="21" t="s">
        <v>2276</v>
      </c>
      <c r="X3374" s="21" t="s">
        <v>2276</v>
      </c>
      <c r="Y3374" s="21" t="s">
        <v>2276</v>
      </c>
      <c r="Z3374" s="21" t="s">
        <v>2276</v>
      </c>
      <c r="AA3374" s="204"/>
      <c r="AB3374" s="204"/>
    </row>
    <row r="3375" spans="1:28" ht="41" customHeight="1">
      <c r="A3375" s="156" t="str">
        <f>'Reported burning'!A3375</f>
        <v>376a</v>
      </c>
      <c r="B3375" s="156" t="str">
        <f>'Reported burning'!B3375</f>
        <v>376a.1</v>
      </c>
      <c r="C3375" s="156" t="str">
        <f>'Reported burning'!C3375</f>
        <v>Human, deliberate</v>
      </c>
      <c r="D3375" s="156" t="str">
        <f>'Reported burning'!D3375</f>
        <v>ND</v>
      </c>
      <c r="E3375" s="156" t="str">
        <f>'Reported burning'!E3375</f>
        <v>Cattle, Extensive</v>
      </c>
      <c r="F3375" s="156" t="str">
        <f>'Reported burning'!F3375</f>
        <v>Grassland</v>
      </c>
      <c r="G3375" s="156" t="str">
        <f>'Reported burning'!G3375</f>
        <v>ND</v>
      </c>
      <c r="H3375" s="156" t="str">
        <f>'Reported burning'!H3375</f>
        <v>Presence</v>
      </c>
      <c r="I3375" s="5"/>
      <c r="J3375" s="21" t="s">
        <v>2276</v>
      </c>
      <c r="K3375" s="21" t="s">
        <v>2276</v>
      </c>
      <c r="L3375" s="21" t="s">
        <v>2276</v>
      </c>
      <c r="M3375" s="21" t="s">
        <v>2276</v>
      </c>
      <c r="N3375" s="21" t="s">
        <v>2276</v>
      </c>
      <c r="O3375" s="21" t="s">
        <v>2276</v>
      </c>
      <c r="P3375" s="21" t="s">
        <v>2276</v>
      </c>
      <c r="Q3375" s="21" t="s">
        <v>2276</v>
      </c>
      <c r="R3375" s="21" t="s">
        <v>2276</v>
      </c>
      <c r="S3375" s="21" t="s">
        <v>2276</v>
      </c>
      <c r="T3375" s="21" t="s">
        <v>2276</v>
      </c>
      <c r="U3375" s="21" t="s">
        <v>2276</v>
      </c>
      <c r="V3375" s="21" t="s">
        <v>2276</v>
      </c>
      <c r="W3375" s="21" t="s">
        <v>2276</v>
      </c>
      <c r="X3375" s="21" t="s">
        <v>2276</v>
      </c>
      <c r="Y3375" s="21" t="s">
        <v>2276</v>
      </c>
      <c r="Z3375" s="21" t="s">
        <v>2276</v>
      </c>
      <c r="AA3375" s="204"/>
      <c r="AB3375" s="204"/>
    </row>
    <row r="3376" spans="1:28" ht="41" customHeight="1">
      <c r="A3376" s="156" t="str">
        <f>'Reported burning'!A3376</f>
        <v>376a</v>
      </c>
      <c r="B3376" s="156" t="str">
        <f>'Reported burning'!B3376</f>
        <v>376a.2</v>
      </c>
      <c r="C3376" s="156" t="str">
        <f>'Reported burning'!C3376</f>
        <v>Human, escaped</v>
      </c>
      <c r="D3376" s="156" t="str">
        <f>'Reported burning'!D3376</f>
        <v>ND</v>
      </c>
      <c r="E3376" s="156" t="str">
        <f>'Reported burning'!E3376</f>
        <v>Cattle, Extensive</v>
      </c>
      <c r="F3376" s="156" t="str">
        <f>'Reported burning'!F3376</f>
        <v>Grassland</v>
      </c>
      <c r="G3376" s="156" t="str">
        <f>'Reported burning'!G3376</f>
        <v>Secondary vegetation</v>
      </c>
      <c r="H3376" s="156" t="str">
        <f>'Reported burning'!H3376</f>
        <v>Presence</v>
      </c>
      <c r="I3376" s="5"/>
      <c r="J3376" s="21" t="s">
        <v>2276</v>
      </c>
      <c r="K3376" s="21" t="s">
        <v>2276</v>
      </c>
      <c r="L3376" s="21" t="s">
        <v>2276</v>
      </c>
      <c r="M3376" s="21" t="s">
        <v>2276</v>
      </c>
      <c r="N3376" s="21" t="s">
        <v>2276</v>
      </c>
      <c r="O3376" s="21" t="s">
        <v>2276</v>
      </c>
      <c r="P3376" s="21" t="s">
        <v>2276</v>
      </c>
      <c r="Q3376" s="21" t="s">
        <v>2276</v>
      </c>
      <c r="R3376" s="21" t="s">
        <v>2276</v>
      </c>
      <c r="S3376" s="21" t="s">
        <v>2276</v>
      </c>
      <c r="T3376" s="21" t="s">
        <v>2276</v>
      </c>
      <c r="U3376" s="21" t="s">
        <v>2276</v>
      </c>
      <c r="V3376" s="21" t="s">
        <v>2276</v>
      </c>
      <c r="W3376" s="21" t="s">
        <v>2276</v>
      </c>
      <c r="X3376" s="21" t="s">
        <v>2276</v>
      </c>
      <c r="Y3376" s="21" t="s">
        <v>2276</v>
      </c>
      <c r="Z3376" s="21" t="s">
        <v>2276</v>
      </c>
      <c r="AA3376" s="204"/>
      <c r="AB3376" s="204"/>
    </row>
    <row r="3377" spans="1:28" ht="42" customHeight="1">
      <c r="A3377" s="156" t="str">
        <f>'Reported burning'!A3377</f>
        <v>377a</v>
      </c>
      <c r="B3377" s="156" t="str">
        <f>'Reported burning'!B3377</f>
        <v>377a.1</v>
      </c>
      <c r="C3377" s="156" t="str">
        <f>'Reported burning'!C3377</f>
        <v>Human, deliberate</v>
      </c>
      <c r="D3377" s="156" t="str">
        <f>'Reported burning'!D3377</f>
        <v>Hunting</v>
      </c>
      <c r="E3377" s="156" t="str">
        <f>'Reported burning'!E3377</f>
        <v>Forestry, Traditional</v>
      </c>
      <c r="F3377" s="156" t="str">
        <f>'Reported burning'!F3377</f>
        <v>Shrubland (Mixed forest &amp; grassland)</v>
      </c>
      <c r="G3377" s="156" t="str">
        <f>'Reported burning'!G3377</f>
        <v>Shrubland (Mixed forest &amp; grassland)</v>
      </c>
      <c r="H3377" s="156" t="str">
        <f>'Reported burning'!H3377</f>
        <v>Presence</v>
      </c>
      <c r="I3377" s="5"/>
      <c r="J3377" s="21" t="s">
        <v>2276</v>
      </c>
      <c r="K3377" s="21" t="s">
        <v>2276</v>
      </c>
      <c r="L3377" s="21" t="s">
        <v>2276</v>
      </c>
      <c r="M3377" s="21" t="s">
        <v>2276</v>
      </c>
      <c r="N3377" s="21" t="s">
        <v>2276</v>
      </c>
      <c r="O3377" s="21" t="s">
        <v>2276</v>
      </c>
      <c r="P3377" s="21" t="s">
        <v>2276</v>
      </c>
      <c r="Q3377" s="21" t="s">
        <v>2276</v>
      </c>
      <c r="R3377" s="21" t="s">
        <v>2276</v>
      </c>
      <c r="S3377" s="21" t="s">
        <v>2276</v>
      </c>
      <c r="T3377" s="21" t="s">
        <v>2276</v>
      </c>
      <c r="U3377" s="21" t="s">
        <v>2276</v>
      </c>
      <c r="V3377" s="21" t="s">
        <v>2276</v>
      </c>
      <c r="W3377" s="21" t="s">
        <v>2276</v>
      </c>
      <c r="X3377" s="21" t="s">
        <v>2276</v>
      </c>
      <c r="Y3377" s="21" t="s">
        <v>2276</v>
      </c>
      <c r="Z3377" s="21" t="s">
        <v>2276</v>
      </c>
      <c r="AA3377" s="204"/>
      <c r="AB3377" s="204"/>
    </row>
    <row r="3378" spans="1:28" ht="43.5" customHeight="1">
      <c r="A3378" s="156" t="str">
        <f>'Reported burning'!A3378</f>
        <v>378a</v>
      </c>
      <c r="B3378" s="156" t="str">
        <f>'Reported burning'!B3378</f>
        <v>378a.1</v>
      </c>
      <c r="C3378" s="156" t="str">
        <f>'Reported burning'!C3378</f>
        <v>Human, deliberate</v>
      </c>
      <c r="D3378" s="156" t="str">
        <f>'Reported burning'!D3378</f>
        <v>Crop residue burning</v>
      </c>
      <c r="E3378" s="156" t="str">
        <f>'Reported burning'!E3378</f>
        <v>All</v>
      </c>
      <c r="F3378" s="156" t="str">
        <f>'Reported burning'!F3378</f>
        <v>Cropland</v>
      </c>
      <c r="G3378" s="156" t="str">
        <f>'Reported burning'!G3378</f>
        <v>Cropland</v>
      </c>
      <c r="H3378" s="156" t="str">
        <f>'Reported burning'!H3378</f>
        <v>Presence</v>
      </c>
      <c r="I3378" s="5"/>
      <c r="J3378" s="21" t="s">
        <v>2276</v>
      </c>
      <c r="K3378" s="21" t="s">
        <v>2276</v>
      </c>
      <c r="L3378" s="21" t="s">
        <v>2276</v>
      </c>
      <c r="M3378" s="21" t="s">
        <v>2276</v>
      </c>
      <c r="N3378" s="21" t="s">
        <v>2276</v>
      </c>
      <c r="O3378" s="21" t="s">
        <v>2276</v>
      </c>
      <c r="P3378" s="21" t="s">
        <v>2276</v>
      </c>
      <c r="Q3378" s="21" t="s">
        <v>2276</v>
      </c>
      <c r="R3378" s="21" t="s">
        <v>2276</v>
      </c>
      <c r="S3378" s="21" t="s">
        <v>2276</v>
      </c>
      <c r="T3378" s="21" t="s">
        <v>2276</v>
      </c>
      <c r="U3378" s="21" t="s">
        <v>2276</v>
      </c>
      <c r="V3378" s="21" t="s">
        <v>2276</v>
      </c>
      <c r="W3378" s="21" t="s">
        <v>2276</v>
      </c>
      <c r="X3378" s="204" t="s">
        <v>86</v>
      </c>
      <c r="Y3378" s="204" t="s">
        <v>86</v>
      </c>
      <c r="Z3378" s="21" t="s">
        <v>2276</v>
      </c>
      <c r="AA3378" s="21"/>
      <c r="AB3378" s="204"/>
    </row>
    <row r="3379" spans="1:28" ht="43.5" customHeight="1">
      <c r="A3379" s="156" t="str">
        <f>'Reported burning'!A3379</f>
        <v>378a</v>
      </c>
      <c r="B3379" s="156" t="str">
        <f>'Reported burning'!B3379</f>
        <v>378a.2</v>
      </c>
      <c r="C3379" s="156" t="str">
        <f>'Reported burning'!C3379</f>
        <v>Human, deliberate</v>
      </c>
      <c r="D3379" s="156" t="str">
        <f>'Reported burning'!D3379</f>
        <v>Crop residue burning</v>
      </c>
      <c r="E3379" s="156" t="str">
        <f>'Reported burning'!E3379</f>
        <v>All</v>
      </c>
      <c r="F3379" s="156" t="str">
        <f>'Reported burning'!F3379</f>
        <v>Cropland</v>
      </c>
      <c r="G3379" s="156" t="str">
        <f>'Reported burning'!G3379</f>
        <v>Cropland</v>
      </c>
      <c r="H3379" s="156" t="str">
        <f>'Reported burning'!H3379</f>
        <v>Presence</v>
      </c>
      <c r="I3379" s="5"/>
      <c r="J3379" s="21" t="s">
        <v>2276</v>
      </c>
      <c r="K3379" s="21" t="s">
        <v>2276</v>
      </c>
      <c r="L3379" s="21" t="s">
        <v>2276</v>
      </c>
      <c r="M3379" s="21" t="s">
        <v>2276</v>
      </c>
      <c r="N3379" s="21" t="s">
        <v>2276</v>
      </c>
      <c r="O3379" s="21" t="s">
        <v>2276</v>
      </c>
      <c r="P3379" s="21" t="s">
        <v>2276</v>
      </c>
      <c r="Q3379" s="21" t="s">
        <v>2276</v>
      </c>
      <c r="R3379" s="21" t="s">
        <v>2276</v>
      </c>
      <c r="S3379" s="21" t="s">
        <v>2276</v>
      </c>
      <c r="T3379" s="21" t="s">
        <v>2276</v>
      </c>
      <c r="U3379" s="21" t="s">
        <v>2276</v>
      </c>
      <c r="V3379" s="21" t="s">
        <v>2276</v>
      </c>
      <c r="W3379" s="21" t="s">
        <v>2276</v>
      </c>
      <c r="X3379" s="204" t="s">
        <v>34</v>
      </c>
      <c r="Y3379" s="204" t="s">
        <v>34</v>
      </c>
      <c r="Z3379" s="21" t="s">
        <v>2276</v>
      </c>
      <c r="AA3379" s="21"/>
      <c r="AB3379" s="204"/>
    </row>
    <row r="3380" spans="1:28" ht="43.5" customHeight="1">
      <c r="A3380" s="156" t="str">
        <f>'Reported burning'!A3380</f>
        <v>378a</v>
      </c>
      <c r="B3380" s="156" t="str">
        <f>'Reported burning'!B3380</f>
        <v>378a.3</v>
      </c>
      <c r="C3380" s="156" t="str">
        <f>'Reported burning'!C3380</f>
        <v>Human, deliberate</v>
      </c>
      <c r="D3380" s="156" t="str">
        <f>'Reported burning'!D3380</f>
        <v>Crop residue burning</v>
      </c>
      <c r="E3380" s="156" t="str">
        <f>'Reported burning'!E3380</f>
        <v>All</v>
      </c>
      <c r="F3380" s="156" t="str">
        <f>'Reported burning'!F3380</f>
        <v>Cropland</v>
      </c>
      <c r="G3380" s="156" t="str">
        <f>'Reported burning'!G3380</f>
        <v>Cropland</v>
      </c>
      <c r="H3380" s="156" t="str">
        <f>'Reported burning'!H3380</f>
        <v>Presence</v>
      </c>
      <c r="I3380" s="5"/>
      <c r="J3380" s="21" t="s">
        <v>2276</v>
      </c>
      <c r="K3380" s="21" t="s">
        <v>2276</v>
      </c>
      <c r="L3380" s="21" t="s">
        <v>2276</v>
      </c>
      <c r="M3380" s="21" t="s">
        <v>2276</v>
      </c>
      <c r="N3380" s="21" t="s">
        <v>2276</v>
      </c>
      <c r="O3380" s="21" t="s">
        <v>2276</v>
      </c>
      <c r="P3380" s="21" t="s">
        <v>2276</v>
      </c>
      <c r="Q3380" s="21" t="s">
        <v>2276</v>
      </c>
      <c r="R3380" s="21" t="s">
        <v>2276</v>
      </c>
      <c r="S3380" s="21" t="s">
        <v>2276</v>
      </c>
      <c r="T3380" s="21" t="s">
        <v>2276</v>
      </c>
      <c r="U3380" s="21" t="s">
        <v>2276</v>
      </c>
      <c r="V3380" s="21" t="s">
        <v>2276</v>
      </c>
      <c r="W3380" s="21" t="s">
        <v>2276</v>
      </c>
      <c r="X3380" s="204" t="s">
        <v>404</v>
      </c>
      <c r="Y3380" s="204" t="s">
        <v>404</v>
      </c>
      <c r="Z3380" s="21" t="s">
        <v>2276</v>
      </c>
      <c r="AA3380" s="21"/>
      <c r="AB3380" s="204"/>
    </row>
    <row r="3381" spans="1:28" ht="43.5" customHeight="1">
      <c r="A3381" s="156" t="str">
        <f>'Reported burning'!A3381</f>
        <v>378a</v>
      </c>
      <c r="B3381" s="156" t="str">
        <f>'Reported burning'!B3381</f>
        <v>378a.4</v>
      </c>
      <c r="C3381" s="156" t="str">
        <f>'Reported burning'!C3381</f>
        <v>Human, deliberate</v>
      </c>
      <c r="D3381" s="156" t="str">
        <f>'Reported burning'!D3381</f>
        <v>Crop residue burning</v>
      </c>
      <c r="E3381" s="156" t="str">
        <f>'Reported burning'!E3381</f>
        <v>All</v>
      </c>
      <c r="F3381" s="156" t="str">
        <f>'Reported burning'!F3381</f>
        <v>Cropland</v>
      </c>
      <c r="G3381" s="156" t="str">
        <f>'Reported burning'!G3381</f>
        <v>Cropland</v>
      </c>
      <c r="H3381" s="156" t="str">
        <f>'Reported burning'!H3381</f>
        <v>Presence</v>
      </c>
      <c r="I3381" s="5"/>
      <c r="J3381" s="21" t="s">
        <v>2276</v>
      </c>
      <c r="K3381" s="21" t="s">
        <v>2276</v>
      </c>
      <c r="L3381" s="21" t="s">
        <v>2276</v>
      </c>
      <c r="M3381" s="21" t="s">
        <v>2276</v>
      </c>
      <c r="N3381" s="21" t="s">
        <v>2276</v>
      </c>
      <c r="O3381" s="21" t="s">
        <v>2276</v>
      </c>
      <c r="P3381" s="21" t="s">
        <v>2276</v>
      </c>
      <c r="Q3381" s="21" t="s">
        <v>2276</v>
      </c>
      <c r="R3381" s="21" t="s">
        <v>2276</v>
      </c>
      <c r="S3381" s="21" t="s">
        <v>2276</v>
      </c>
      <c r="T3381" s="21" t="s">
        <v>2276</v>
      </c>
      <c r="U3381" s="21" t="s">
        <v>2276</v>
      </c>
      <c r="V3381" s="21" t="s">
        <v>2276</v>
      </c>
      <c r="W3381" s="21" t="s">
        <v>2276</v>
      </c>
      <c r="X3381" s="204" t="s">
        <v>405</v>
      </c>
      <c r="Y3381" s="204" t="s">
        <v>405</v>
      </c>
      <c r="Z3381" s="21" t="s">
        <v>2276</v>
      </c>
      <c r="AA3381" s="21"/>
      <c r="AB3381" s="204"/>
    </row>
    <row r="3382" spans="1:28" ht="43.5" customHeight="1">
      <c r="A3382" s="156" t="str">
        <f>'Reported burning'!A3382</f>
        <v>378a</v>
      </c>
      <c r="B3382" s="156" t="str">
        <f>'Reported burning'!B3382</f>
        <v>378a.5</v>
      </c>
      <c r="C3382" s="156" t="str">
        <f>'Reported burning'!C3382</f>
        <v>Human, deliberate</v>
      </c>
      <c r="D3382" s="156" t="str">
        <f>'Reported burning'!D3382</f>
        <v>Crop residue burning</v>
      </c>
      <c r="E3382" s="156" t="str">
        <f>'Reported burning'!E3382</f>
        <v>All</v>
      </c>
      <c r="F3382" s="156" t="str">
        <f>'Reported burning'!F3382</f>
        <v>Cropland</v>
      </c>
      <c r="G3382" s="156" t="str">
        <f>'Reported burning'!G3382</f>
        <v>Cropland</v>
      </c>
      <c r="H3382" s="156" t="str">
        <f>'Reported burning'!H3382</f>
        <v>Presence</v>
      </c>
      <c r="I3382" s="5"/>
      <c r="J3382" s="21" t="s">
        <v>2276</v>
      </c>
      <c r="K3382" s="21" t="s">
        <v>2276</v>
      </c>
      <c r="L3382" s="21" t="s">
        <v>2276</v>
      </c>
      <c r="M3382" s="21" t="s">
        <v>2276</v>
      </c>
      <c r="N3382" s="21" t="s">
        <v>2276</v>
      </c>
      <c r="O3382" s="21" t="s">
        <v>2276</v>
      </c>
      <c r="P3382" s="21" t="s">
        <v>2276</v>
      </c>
      <c r="Q3382" s="21" t="s">
        <v>2276</v>
      </c>
      <c r="R3382" s="21" t="s">
        <v>2276</v>
      </c>
      <c r="S3382" s="21" t="s">
        <v>2276</v>
      </c>
      <c r="T3382" s="21" t="s">
        <v>2276</v>
      </c>
      <c r="U3382" s="21" t="s">
        <v>2276</v>
      </c>
      <c r="V3382" s="21" t="s">
        <v>2276</v>
      </c>
      <c r="W3382" s="21" t="s">
        <v>2276</v>
      </c>
      <c r="X3382" s="204" t="s">
        <v>425</v>
      </c>
      <c r="Y3382" s="204" t="s">
        <v>425</v>
      </c>
      <c r="Z3382" s="21" t="s">
        <v>2276</v>
      </c>
      <c r="AA3382" s="21"/>
      <c r="AB3382" s="204"/>
    </row>
    <row r="3383" spans="1:28" ht="43.5" customHeight="1">
      <c r="A3383" s="156" t="str">
        <f>'Reported burning'!A3383</f>
        <v>378a</v>
      </c>
      <c r="B3383" s="156" t="str">
        <f>'Reported burning'!B3383</f>
        <v>378a.6</v>
      </c>
      <c r="C3383" s="156" t="str">
        <f>'Reported burning'!C3383</f>
        <v>Human, deliberate</v>
      </c>
      <c r="D3383" s="156" t="str">
        <f>'Reported burning'!D3383</f>
        <v>Crop residue burning</v>
      </c>
      <c r="E3383" s="156" t="str">
        <f>'Reported burning'!E3383</f>
        <v>All</v>
      </c>
      <c r="F3383" s="156" t="str">
        <f>'Reported burning'!F3383</f>
        <v>Cropland</v>
      </c>
      <c r="G3383" s="156" t="str">
        <f>'Reported burning'!G3383</f>
        <v>Cropland</v>
      </c>
      <c r="H3383" s="156" t="str">
        <f>'Reported burning'!H3383</f>
        <v>Presence</v>
      </c>
      <c r="I3383" s="5"/>
      <c r="J3383" s="21" t="s">
        <v>2276</v>
      </c>
      <c r="K3383" s="21" t="s">
        <v>2276</v>
      </c>
      <c r="L3383" s="21" t="s">
        <v>2276</v>
      </c>
      <c r="M3383" s="21" t="s">
        <v>2276</v>
      </c>
      <c r="N3383" s="21" t="s">
        <v>2276</v>
      </c>
      <c r="O3383" s="21" t="s">
        <v>2276</v>
      </c>
      <c r="P3383" s="21" t="s">
        <v>2276</v>
      </c>
      <c r="Q3383" s="21" t="s">
        <v>2276</v>
      </c>
      <c r="R3383" s="21" t="s">
        <v>2276</v>
      </c>
      <c r="S3383" s="21" t="s">
        <v>2276</v>
      </c>
      <c r="T3383" s="21" t="s">
        <v>2276</v>
      </c>
      <c r="U3383" s="21" t="s">
        <v>2276</v>
      </c>
      <c r="V3383" s="21" t="s">
        <v>2276</v>
      </c>
      <c r="W3383" s="21" t="s">
        <v>2276</v>
      </c>
      <c r="X3383" s="204" t="s">
        <v>68</v>
      </c>
      <c r="Y3383" s="204" t="s">
        <v>68</v>
      </c>
      <c r="Z3383" s="21" t="s">
        <v>2276</v>
      </c>
      <c r="AA3383" s="21"/>
      <c r="AB3383" s="204"/>
    </row>
    <row r="3384" spans="1:28" ht="43.5" customHeight="1">
      <c r="A3384" s="156" t="str">
        <f>'Reported burning'!A3384</f>
        <v>378a</v>
      </c>
      <c r="B3384" s="156" t="str">
        <f>'Reported burning'!B3384</f>
        <v>378a.7</v>
      </c>
      <c r="C3384" s="156" t="str">
        <f>'Reported burning'!C3384</f>
        <v>Human, deliberate</v>
      </c>
      <c r="D3384" s="156" t="str">
        <f>'Reported burning'!D3384</f>
        <v>Crop residue burning</v>
      </c>
      <c r="E3384" s="156" t="str">
        <f>'Reported burning'!E3384</f>
        <v>All</v>
      </c>
      <c r="F3384" s="156" t="str">
        <f>'Reported burning'!F3384</f>
        <v>Cropland</v>
      </c>
      <c r="G3384" s="156" t="str">
        <f>'Reported burning'!G3384</f>
        <v>Cropland</v>
      </c>
      <c r="H3384" s="156" t="str">
        <f>'Reported burning'!H3384</f>
        <v>Presence</v>
      </c>
      <c r="I3384" s="5"/>
      <c r="J3384" s="21" t="s">
        <v>2276</v>
      </c>
      <c r="K3384" s="21" t="s">
        <v>2276</v>
      </c>
      <c r="L3384" s="21" t="s">
        <v>2276</v>
      </c>
      <c r="M3384" s="21" t="s">
        <v>2276</v>
      </c>
      <c r="N3384" s="21" t="s">
        <v>2276</v>
      </c>
      <c r="O3384" s="21" t="s">
        <v>2276</v>
      </c>
      <c r="P3384" s="21" t="s">
        <v>2276</v>
      </c>
      <c r="Q3384" s="21" t="s">
        <v>2276</v>
      </c>
      <c r="R3384" s="21" t="s">
        <v>2276</v>
      </c>
      <c r="S3384" s="21" t="s">
        <v>2276</v>
      </c>
      <c r="T3384" s="21" t="s">
        <v>2276</v>
      </c>
      <c r="U3384" s="21" t="s">
        <v>2276</v>
      </c>
      <c r="V3384" s="21" t="s">
        <v>2276</v>
      </c>
      <c r="W3384" s="21" t="s">
        <v>2276</v>
      </c>
      <c r="X3384" s="204" t="s">
        <v>35</v>
      </c>
      <c r="Y3384" s="204" t="s">
        <v>35</v>
      </c>
      <c r="Z3384" s="21" t="s">
        <v>2276</v>
      </c>
      <c r="AA3384" s="21"/>
      <c r="AB3384" s="204"/>
    </row>
    <row r="3385" spans="1:28" ht="43.5" customHeight="1">
      <c r="A3385" s="156" t="str">
        <f>'Reported burning'!A3385</f>
        <v>378a</v>
      </c>
      <c r="B3385" s="156" t="str">
        <f>'Reported burning'!B3385</f>
        <v>378a.8</v>
      </c>
      <c r="C3385" s="156" t="str">
        <f>'Reported burning'!C3385</f>
        <v>Human, deliberate</v>
      </c>
      <c r="D3385" s="156" t="str">
        <f>'Reported burning'!D3385</f>
        <v>Crop residue burning</v>
      </c>
      <c r="E3385" s="156" t="str">
        <f>'Reported burning'!E3385</f>
        <v>All</v>
      </c>
      <c r="F3385" s="156" t="str">
        <f>'Reported burning'!F3385</f>
        <v>Cropland</v>
      </c>
      <c r="G3385" s="156" t="str">
        <f>'Reported burning'!G3385</f>
        <v>Cropland</v>
      </c>
      <c r="H3385" s="156" t="str">
        <f>'Reported burning'!H3385</f>
        <v>Presence</v>
      </c>
      <c r="I3385" s="5"/>
      <c r="J3385" s="21" t="s">
        <v>2276</v>
      </c>
      <c r="K3385" s="21" t="s">
        <v>2276</v>
      </c>
      <c r="L3385" s="21" t="s">
        <v>2276</v>
      </c>
      <c r="M3385" s="21" t="s">
        <v>2276</v>
      </c>
      <c r="N3385" s="21" t="s">
        <v>2276</v>
      </c>
      <c r="O3385" s="21" t="s">
        <v>2276</v>
      </c>
      <c r="P3385" s="21" t="s">
        <v>2276</v>
      </c>
      <c r="Q3385" s="21" t="s">
        <v>2276</v>
      </c>
      <c r="R3385" s="21" t="s">
        <v>2276</v>
      </c>
      <c r="S3385" s="21" t="s">
        <v>2276</v>
      </c>
      <c r="T3385" s="21" t="s">
        <v>2276</v>
      </c>
      <c r="U3385" s="21" t="s">
        <v>2276</v>
      </c>
      <c r="V3385" s="21" t="s">
        <v>2276</v>
      </c>
      <c r="W3385" s="21" t="s">
        <v>2276</v>
      </c>
      <c r="X3385" s="204" t="s">
        <v>127</v>
      </c>
      <c r="Y3385" s="204" t="s">
        <v>127</v>
      </c>
      <c r="Z3385" s="21" t="s">
        <v>2276</v>
      </c>
      <c r="AA3385" s="21"/>
      <c r="AB3385" s="204"/>
    </row>
    <row r="3386" spans="1:28" ht="43.5" customHeight="1">
      <c r="A3386" s="156" t="str">
        <f>'Reported burning'!A3386</f>
        <v>378a</v>
      </c>
      <c r="B3386" s="156" t="str">
        <f>'Reported burning'!B3386</f>
        <v>378a.9</v>
      </c>
      <c r="C3386" s="156" t="str">
        <f>'Reported burning'!C3386</f>
        <v>Human, deliberate</v>
      </c>
      <c r="D3386" s="156" t="str">
        <f>'Reported burning'!D3386</f>
        <v>Crop residue burning</v>
      </c>
      <c r="E3386" s="156" t="str">
        <f>'Reported burning'!E3386</f>
        <v>All</v>
      </c>
      <c r="F3386" s="156" t="str">
        <f>'Reported burning'!F3386</f>
        <v>Cropland</v>
      </c>
      <c r="G3386" s="156" t="str">
        <f>'Reported burning'!G3386</f>
        <v>Cropland</v>
      </c>
      <c r="H3386" s="156" t="str">
        <f>'Reported burning'!H3386</f>
        <v>Presence</v>
      </c>
      <c r="I3386" s="5"/>
      <c r="J3386" s="21" t="s">
        <v>2276</v>
      </c>
      <c r="K3386" s="21" t="s">
        <v>2276</v>
      </c>
      <c r="L3386" s="21" t="s">
        <v>2276</v>
      </c>
      <c r="M3386" s="21" t="s">
        <v>2276</v>
      </c>
      <c r="N3386" s="21" t="s">
        <v>2276</v>
      </c>
      <c r="O3386" s="21" t="s">
        <v>2276</v>
      </c>
      <c r="P3386" s="21" t="s">
        <v>2276</v>
      </c>
      <c r="Q3386" s="21" t="s">
        <v>2276</v>
      </c>
      <c r="R3386" s="21" t="s">
        <v>2276</v>
      </c>
      <c r="S3386" s="21" t="s">
        <v>2276</v>
      </c>
      <c r="T3386" s="21" t="s">
        <v>2276</v>
      </c>
      <c r="U3386" s="21" t="s">
        <v>2276</v>
      </c>
      <c r="V3386" s="21" t="s">
        <v>2276</v>
      </c>
      <c r="W3386" s="21" t="s">
        <v>2276</v>
      </c>
      <c r="X3386" s="204" t="s">
        <v>399</v>
      </c>
      <c r="Y3386" s="204" t="s">
        <v>399</v>
      </c>
      <c r="Z3386" s="21" t="s">
        <v>2276</v>
      </c>
      <c r="AA3386" s="21"/>
      <c r="AB3386" s="204"/>
    </row>
    <row r="3387" spans="1:28" ht="43.5" customHeight="1">
      <c r="A3387" s="156" t="str">
        <f>'Reported burning'!A3387</f>
        <v>378a</v>
      </c>
      <c r="B3387" s="156" t="str">
        <f>'Reported burning'!B3387</f>
        <v>378a.10</v>
      </c>
      <c r="C3387" s="156" t="str">
        <f>'Reported burning'!C3387</f>
        <v>Human, deliberate</v>
      </c>
      <c r="D3387" s="156" t="str">
        <f>'Reported burning'!D3387</f>
        <v>Crop residue burning</v>
      </c>
      <c r="E3387" s="156" t="str">
        <f>'Reported burning'!E3387</f>
        <v>All</v>
      </c>
      <c r="F3387" s="156" t="str">
        <f>'Reported burning'!F3387</f>
        <v>Cropland</v>
      </c>
      <c r="G3387" s="156" t="str">
        <f>'Reported burning'!G3387</f>
        <v>Cropland</v>
      </c>
      <c r="H3387" s="156" t="str">
        <f>'Reported burning'!H3387</f>
        <v>Presence</v>
      </c>
      <c r="I3387" s="5"/>
      <c r="J3387" s="21" t="s">
        <v>2276</v>
      </c>
      <c r="K3387" s="21" t="s">
        <v>2276</v>
      </c>
      <c r="L3387" s="21" t="s">
        <v>2276</v>
      </c>
      <c r="M3387" s="21" t="s">
        <v>2276</v>
      </c>
      <c r="N3387" s="21" t="s">
        <v>2276</v>
      </c>
      <c r="O3387" s="21" t="s">
        <v>2276</v>
      </c>
      <c r="P3387" s="21" t="s">
        <v>2276</v>
      </c>
      <c r="Q3387" s="21" t="s">
        <v>2276</v>
      </c>
      <c r="R3387" s="21" t="s">
        <v>2276</v>
      </c>
      <c r="S3387" s="21" t="s">
        <v>2276</v>
      </c>
      <c r="T3387" s="21" t="s">
        <v>2276</v>
      </c>
      <c r="U3387" s="21" t="s">
        <v>2276</v>
      </c>
      <c r="V3387" s="21" t="s">
        <v>2276</v>
      </c>
      <c r="W3387" s="21" t="s">
        <v>2276</v>
      </c>
      <c r="X3387" s="204" t="s">
        <v>188</v>
      </c>
      <c r="Y3387" s="204" t="s">
        <v>188</v>
      </c>
      <c r="Z3387" s="21" t="s">
        <v>2276</v>
      </c>
      <c r="AA3387" s="204"/>
      <c r="AB3387" s="204"/>
    </row>
    <row r="3388" spans="1:28" ht="43.5" customHeight="1">
      <c r="A3388" s="156" t="str">
        <f>'Reported burning'!A3388</f>
        <v>378a</v>
      </c>
      <c r="B3388" s="156" t="str">
        <f>'Reported burning'!B3388</f>
        <v>378a.11</v>
      </c>
      <c r="C3388" s="156" t="str">
        <f>'Reported burning'!C3388</f>
        <v>Human, deliberate</v>
      </c>
      <c r="D3388" s="156" t="str">
        <f>'Reported burning'!D3388</f>
        <v>Crop residue burning</v>
      </c>
      <c r="E3388" s="156" t="str">
        <f>'Reported burning'!E3388</f>
        <v>All</v>
      </c>
      <c r="F3388" s="156" t="str">
        <f>'Reported burning'!F3388</f>
        <v>Cropland</v>
      </c>
      <c r="G3388" s="156" t="str">
        <f>'Reported burning'!G3388</f>
        <v>Cropland</v>
      </c>
      <c r="H3388" s="156" t="str">
        <f>'Reported burning'!H3388</f>
        <v>Presence</v>
      </c>
      <c r="I3388" s="5"/>
      <c r="J3388" s="21" t="s">
        <v>2276</v>
      </c>
      <c r="K3388" s="21" t="s">
        <v>2276</v>
      </c>
      <c r="L3388" s="21" t="s">
        <v>2276</v>
      </c>
      <c r="M3388" s="21" t="s">
        <v>2276</v>
      </c>
      <c r="N3388" s="21" t="s">
        <v>2276</v>
      </c>
      <c r="O3388" s="21" t="s">
        <v>2276</v>
      </c>
      <c r="P3388" s="21" t="s">
        <v>2276</v>
      </c>
      <c r="Q3388" s="21" t="s">
        <v>2276</v>
      </c>
      <c r="R3388" s="21" t="s">
        <v>2276</v>
      </c>
      <c r="S3388" s="21" t="s">
        <v>2276</v>
      </c>
      <c r="T3388" s="21" t="s">
        <v>2276</v>
      </c>
      <c r="U3388" s="21" t="s">
        <v>2276</v>
      </c>
      <c r="V3388" s="21" t="s">
        <v>2276</v>
      </c>
      <c r="W3388" s="21" t="s">
        <v>2276</v>
      </c>
      <c r="X3388" s="204" t="s">
        <v>189</v>
      </c>
      <c r="Y3388" s="204" t="s">
        <v>189</v>
      </c>
      <c r="Z3388" s="21" t="s">
        <v>2276</v>
      </c>
      <c r="AA3388" s="204"/>
      <c r="AB3388" s="204"/>
    </row>
    <row r="3389" spans="1:28" ht="43.5" customHeight="1">
      <c r="A3389" s="156" t="str">
        <f>'Reported burning'!A3389</f>
        <v>378a</v>
      </c>
      <c r="B3389" s="156" t="str">
        <f>'Reported burning'!B3389</f>
        <v>378a.12</v>
      </c>
      <c r="C3389" s="156" t="str">
        <f>'Reported burning'!C3389</f>
        <v>Human, deliberate</v>
      </c>
      <c r="D3389" s="156" t="str">
        <f>'Reported burning'!D3389</f>
        <v>Crop residue burning</v>
      </c>
      <c r="E3389" s="156" t="str">
        <f>'Reported burning'!E3389</f>
        <v>All</v>
      </c>
      <c r="F3389" s="156" t="str">
        <f>'Reported burning'!F3389</f>
        <v>Cropland</v>
      </c>
      <c r="G3389" s="156" t="str">
        <f>'Reported burning'!G3389</f>
        <v>Cropland</v>
      </c>
      <c r="H3389" s="156" t="str">
        <f>'Reported burning'!H3389</f>
        <v>Presence</v>
      </c>
      <c r="I3389" s="5"/>
      <c r="J3389" s="21" t="s">
        <v>2276</v>
      </c>
      <c r="K3389" s="21" t="s">
        <v>2276</v>
      </c>
      <c r="L3389" s="21" t="s">
        <v>2276</v>
      </c>
      <c r="M3389" s="21" t="s">
        <v>2276</v>
      </c>
      <c r="N3389" s="21" t="s">
        <v>2276</v>
      </c>
      <c r="O3389" s="21" t="s">
        <v>2276</v>
      </c>
      <c r="P3389" s="21" t="s">
        <v>2276</v>
      </c>
      <c r="Q3389" s="21" t="s">
        <v>2276</v>
      </c>
      <c r="R3389" s="21" t="s">
        <v>2276</v>
      </c>
      <c r="S3389" s="21" t="s">
        <v>2276</v>
      </c>
      <c r="T3389" s="21" t="s">
        <v>2276</v>
      </c>
      <c r="U3389" s="21" t="s">
        <v>2276</v>
      </c>
      <c r="V3389" s="21" t="s">
        <v>2276</v>
      </c>
      <c r="W3389" s="21" t="s">
        <v>2276</v>
      </c>
      <c r="X3389" s="204" t="s">
        <v>38</v>
      </c>
      <c r="Y3389" s="204" t="s">
        <v>38</v>
      </c>
      <c r="Z3389" s="21" t="s">
        <v>2276</v>
      </c>
      <c r="AA3389" s="204"/>
      <c r="AB3389" s="204"/>
    </row>
    <row r="3390" spans="1:28" ht="43.5" customHeight="1">
      <c r="A3390" s="156" t="str">
        <f>'Reported burning'!A3390</f>
        <v>378b</v>
      </c>
      <c r="B3390" s="156" t="str">
        <f>'Reported burning'!B3390</f>
        <v>378b.1</v>
      </c>
      <c r="C3390" s="156" t="str">
        <f>'Reported burning'!C3390</f>
        <v>Human, deliberate</v>
      </c>
      <c r="D3390" s="156" t="str">
        <f>'Reported burning'!D3390</f>
        <v>Crop residue burning</v>
      </c>
      <c r="E3390" s="156" t="str">
        <f>'Reported burning'!E3390</f>
        <v>All</v>
      </c>
      <c r="F3390" s="156" t="str">
        <f>'Reported burning'!F3390</f>
        <v>Cropland</v>
      </c>
      <c r="G3390" s="156" t="str">
        <f>'Reported burning'!G3390</f>
        <v>Cropland</v>
      </c>
      <c r="H3390" s="156" t="str">
        <f>'Reported burning'!H3390</f>
        <v>Presence</v>
      </c>
      <c r="I3390" s="5"/>
      <c r="J3390" s="21" t="s">
        <v>2276</v>
      </c>
      <c r="K3390" s="21" t="s">
        <v>2276</v>
      </c>
      <c r="L3390" s="21" t="s">
        <v>2276</v>
      </c>
      <c r="M3390" s="21" t="s">
        <v>2276</v>
      </c>
      <c r="N3390" s="21" t="s">
        <v>2276</v>
      </c>
      <c r="O3390" s="21" t="s">
        <v>2276</v>
      </c>
      <c r="P3390" s="21" t="s">
        <v>2276</v>
      </c>
      <c r="Q3390" s="21" t="s">
        <v>2276</v>
      </c>
      <c r="R3390" s="21" t="s">
        <v>2276</v>
      </c>
      <c r="S3390" s="21" t="s">
        <v>2276</v>
      </c>
      <c r="T3390" s="21" t="s">
        <v>2276</v>
      </c>
      <c r="U3390" s="21" t="s">
        <v>2276</v>
      </c>
      <c r="V3390" s="21" t="s">
        <v>2276</v>
      </c>
      <c r="W3390" s="21" t="s">
        <v>2276</v>
      </c>
      <c r="X3390" s="204" t="s">
        <v>86</v>
      </c>
      <c r="Y3390" s="204" t="s">
        <v>86</v>
      </c>
      <c r="Z3390" s="21" t="s">
        <v>2276</v>
      </c>
      <c r="AA3390" s="21"/>
      <c r="AB3390" s="204"/>
    </row>
    <row r="3391" spans="1:28" ht="43.5" customHeight="1">
      <c r="A3391" s="156" t="str">
        <f>'Reported burning'!A3391</f>
        <v>378b</v>
      </c>
      <c r="B3391" s="156" t="str">
        <f>'Reported burning'!B3391</f>
        <v>378b.2</v>
      </c>
      <c r="C3391" s="156" t="str">
        <f>'Reported burning'!C3391</f>
        <v>Human, deliberate</v>
      </c>
      <c r="D3391" s="156" t="str">
        <f>'Reported burning'!D3391</f>
        <v>Crop residue burning</v>
      </c>
      <c r="E3391" s="156" t="str">
        <f>'Reported burning'!E3391</f>
        <v>All</v>
      </c>
      <c r="F3391" s="156" t="str">
        <f>'Reported burning'!F3391</f>
        <v>Cropland</v>
      </c>
      <c r="G3391" s="156" t="str">
        <f>'Reported burning'!G3391</f>
        <v>Cropland</v>
      </c>
      <c r="H3391" s="156" t="str">
        <f>'Reported burning'!H3391</f>
        <v>Presence</v>
      </c>
      <c r="I3391" s="5"/>
      <c r="J3391" s="21" t="s">
        <v>2276</v>
      </c>
      <c r="K3391" s="21" t="s">
        <v>2276</v>
      </c>
      <c r="L3391" s="21" t="s">
        <v>2276</v>
      </c>
      <c r="M3391" s="21" t="s">
        <v>2276</v>
      </c>
      <c r="N3391" s="21" t="s">
        <v>2276</v>
      </c>
      <c r="O3391" s="21" t="s">
        <v>2276</v>
      </c>
      <c r="P3391" s="21" t="s">
        <v>2276</v>
      </c>
      <c r="Q3391" s="21" t="s">
        <v>2276</v>
      </c>
      <c r="R3391" s="21" t="s">
        <v>2276</v>
      </c>
      <c r="S3391" s="21" t="s">
        <v>2276</v>
      </c>
      <c r="T3391" s="21" t="s">
        <v>2276</v>
      </c>
      <c r="U3391" s="21" t="s">
        <v>2276</v>
      </c>
      <c r="V3391" s="21" t="s">
        <v>2276</v>
      </c>
      <c r="W3391" s="21" t="s">
        <v>2276</v>
      </c>
      <c r="X3391" s="204" t="s">
        <v>34</v>
      </c>
      <c r="Y3391" s="204" t="s">
        <v>34</v>
      </c>
      <c r="Z3391" s="21" t="s">
        <v>2276</v>
      </c>
      <c r="AA3391" s="21"/>
      <c r="AB3391" s="204"/>
    </row>
    <row r="3392" spans="1:28" ht="43.5" customHeight="1">
      <c r="A3392" s="156" t="str">
        <f>'Reported burning'!A3392</f>
        <v>378b</v>
      </c>
      <c r="B3392" s="156" t="str">
        <f>'Reported burning'!B3392</f>
        <v>378b.3</v>
      </c>
      <c r="C3392" s="156" t="str">
        <f>'Reported burning'!C3392</f>
        <v>Human, deliberate</v>
      </c>
      <c r="D3392" s="156" t="str">
        <f>'Reported burning'!D3392</f>
        <v>Crop residue burning</v>
      </c>
      <c r="E3392" s="156" t="str">
        <f>'Reported burning'!E3392</f>
        <v>All</v>
      </c>
      <c r="F3392" s="156" t="str">
        <f>'Reported burning'!F3392</f>
        <v>Cropland</v>
      </c>
      <c r="G3392" s="156" t="str">
        <f>'Reported burning'!G3392</f>
        <v>Cropland</v>
      </c>
      <c r="H3392" s="156" t="str">
        <f>'Reported burning'!H3392</f>
        <v>Presence</v>
      </c>
      <c r="I3392" s="5"/>
      <c r="J3392" s="21" t="s">
        <v>2276</v>
      </c>
      <c r="K3392" s="21" t="s">
        <v>2276</v>
      </c>
      <c r="L3392" s="21" t="s">
        <v>2276</v>
      </c>
      <c r="M3392" s="21" t="s">
        <v>2276</v>
      </c>
      <c r="N3392" s="21" t="s">
        <v>2276</v>
      </c>
      <c r="O3392" s="21" t="s">
        <v>2276</v>
      </c>
      <c r="P3392" s="21" t="s">
        <v>2276</v>
      </c>
      <c r="Q3392" s="21" t="s">
        <v>2276</v>
      </c>
      <c r="R3392" s="21" t="s">
        <v>2276</v>
      </c>
      <c r="S3392" s="21" t="s">
        <v>2276</v>
      </c>
      <c r="T3392" s="21" t="s">
        <v>2276</v>
      </c>
      <c r="U3392" s="21" t="s">
        <v>2276</v>
      </c>
      <c r="V3392" s="21" t="s">
        <v>2276</v>
      </c>
      <c r="W3392" s="21" t="s">
        <v>2276</v>
      </c>
      <c r="X3392" s="204" t="s">
        <v>404</v>
      </c>
      <c r="Y3392" s="204" t="s">
        <v>404</v>
      </c>
      <c r="Z3392" s="21" t="s">
        <v>2276</v>
      </c>
      <c r="AA3392" s="21"/>
      <c r="AB3392" s="204"/>
    </row>
    <row r="3393" spans="1:28" ht="43.5" customHeight="1">
      <c r="A3393" s="156" t="str">
        <f>'Reported burning'!A3393</f>
        <v>378b</v>
      </c>
      <c r="B3393" s="156" t="str">
        <f>'Reported burning'!B3393</f>
        <v>378b.4</v>
      </c>
      <c r="C3393" s="156" t="str">
        <f>'Reported burning'!C3393</f>
        <v>Human, deliberate</v>
      </c>
      <c r="D3393" s="156" t="str">
        <f>'Reported burning'!D3393</f>
        <v>Crop residue burning</v>
      </c>
      <c r="E3393" s="156" t="str">
        <f>'Reported burning'!E3393</f>
        <v>All</v>
      </c>
      <c r="F3393" s="156" t="str">
        <f>'Reported burning'!F3393</f>
        <v>Cropland</v>
      </c>
      <c r="G3393" s="156" t="str">
        <f>'Reported burning'!G3393</f>
        <v>Cropland</v>
      </c>
      <c r="H3393" s="156" t="str">
        <f>'Reported burning'!H3393</f>
        <v>Absence</v>
      </c>
      <c r="I3393" s="5"/>
      <c r="J3393" s="21">
        <v>0</v>
      </c>
      <c r="K3393" s="21">
        <v>0</v>
      </c>
      <c r="L3393" s="21">
        <v>0</v>
      </c>
      <c r="M3393" s="21">
        <v>0</v>
      </c>
      <c r="N3393" s="21">
        <v>0</v>
      </c>
      <c r="O3393" s="21">
        <v>0</v>
      </c>
      <c r="P3393" s="21">
        <v>0</v>
      </c>
      <c r="Q3393" s="21">
        <v>0</v>
      </c>
      <c r="R3393" s="21">
        <v>0</v>
      </c>
      <c r="S3393" s="21">
        <v>0</v>
      </c>
      <c r="T3393" s="21">
        <v>0</v>
      </c>
      <c r="U3393" s="21">
        <v>0</v>
      </c>
      <c r="V3393" s="21">
        <v>0</v>
      </c>
      <c r="W3393" s="21" t="s">
        <v>2276</v>
      </c>
      <c r="X3393" s="204" t="s">
        <v>405</v>
      </c>
      <c r="Y3393" s="204" t="s">
        <v>405</v>
      </c>
      <c r="Z3393" s="21" t="s">
        <v>2276</v>
      </c>
      <c r="AA3393" s="21"/>
      <c r="AB3393" s="204"/>
    </row>
    <row r="3394" spans="1:28" ht="43.5" customHeight="1">
      <c r="A3394" s="156" t="str">
        <f>'Reported burning'!A3394</f>
        <v>378b</v>
      </c>
      <c r="B3394" s="156" t="str">
        <f>'Reported burning'!B3394</f>
        <v>378b.5</v>
      </c>
      <c r="C3394" s="156" t="str">
        <f>'Reported burning'!C3394</f>
        <v>Human, deliberate</v>
      </c>
      <c r="D3394" s="156" t="str">
        <f>'Reported burning'!D3394</f>
        <v>Crop residue burning</v>
      </c>
      <c r="E3394" s="156" t="str">
        <f>'Reported burning'!E3394</f>
        <v>All</v>
      </c>
      <c r="F3394" s="156" t="str">
        <f>'Reported burning'!F3394</f>
        <v>Cropland</v>
      </c>
      <c r="G3394" s="156" t="str">
        <f>'Reported burning'!G3394</f>
        <v>Cropland</v>
      </c>
      <c r="H3394" s="156" t="str">
        <f>'Reported burning'!H3394</f>
        <v>Absence</v>
      </c>
      <c r="I3394" s="5"/>
      <c r="J3394" s="21">
        <v>0</v>
      </c>
      <c r="K3394" s="21">
        <v>0</v>
      </c>
      <c r="L3394" s="21">
        <v>0</v>
      </c>
      <c r="M3394" s="21">
        <v>0</v>
      </c>
      <c r="N3394" s="21">
        <v>0</v>
      </c>
      <c r="O3394" s="21">
        <v>0</v>
      </c>
      <c r="P3394" s="21">
        <v>0</v>
      </c>
      <c r="Q3394" s="21">
        <v>0</v>
      </c>
      <c r="R3394" s="21">
        <v>0</v>
      </c>
      <c r="S3394" s="21">
        <v>0</v>
      </c>
      <c r="T3394" s="21">
        <v>0</v>
      </c>
      <c r="U3394" s="21">
        <v>0</v>
      </c>
      <c r="V3394" s="21">
        <v>0</v>
      </c>
      <c r="W3394" s="21" t="s">
        <v>2276</v>
      </c>
      <c r="X3394" s="204" t="s">
        <v>425</v>
      </c>
      <c r="Y3394" s="204" t="s">
        <v>425</v>
      </c>
      <c r="Z3394" s="21" t="s">
        <v>2276</v>
      </c>
      <c r="AA3394" s="21"/>
      <c r="AB3394" s="204"/>
    </row>
    <row r="3395" spans="1:28" ht="43.5" customHeight="1">
      <c r="A3395" s="156" t="str">
        <f>'Reported burning'!A3395</f>
        <v>378b</v>
      </c>
      <c r="B3395" s="156" t="str">
        <f>'Reported burning'!B3395</f>
        <v>378b.6</v>
      </c>
      <c r="C3395" s="156" t="str">
        <f>'Reported burning'!C3395</f>
        <v>Human, deliberate</v>
      </c>
      <c r="D3395" s="156" t="str">
        <f>'Reported burning'!D3395</f>
        <v>Crop residue burning</v>
      </c>
      <c r="E3395" s="156" t="str">
        <f>'Reported burning'!E3395</f>
        <v>All</v>
      </c>
      <c r="F3395" s="156" t="str">
        <f>'Reported burning'!F3395</f>
        <v>Cropland</v>
      </c>
      <c r="G3395" s="156" t="str">
        <f>'Reported burning'!G3395</f>
        <v>Cropland</v>
      </c>
      <c r="H3395" s="156" t="str">
        <f>'Reported burning'!H3395</f>
        <v>Presence</v>
      </c>
      <c r="I3395" s="5"/>
      <c r="J3395" s="21" t="s">
        <v>2276</v>
      </c>
      <c r="K3395" s="21" t="s">
        <v>2276</v>
      </c>
      <c r="L3395" s="21" t="s">
        <v>2276</v>
      </c>
      <c r="M3395" s="21" t="s">
        <v>2276</v>
      </c>
      <c r="N3395" s="21" t="s">
        <v>2276</v>
      </c>
      <c r="O3395" s="21" t="s">
        <v>2276</v>
      </c>
      <c r="P3395" s="21" t="s">
        <v>2276</v>
      </c>
      <c r="Q3395" s="21" t="s">
        <v>2276</v>
      </c>
      <c r="R3395" s="21" t="s">
        <v>2276</v>
      </c>
      <c r="S3395" s="21" t="s">
        <v>2276</v>
      </c>
      <c r="T3395" s="21" t="s">
        <v>2276</v>
      </c>
      <c r="U3395" s="21" t="s">
        <v>2276</v>
      </c>
      <c r="V3395" s="21" t="s">
        <v>2276</v>
      </c>
      <c r="W3395" s="21" t="s">
        <v>2276</v>
      </c>
      <c r="X3395" s="204" t="s">
        <v>68</v>
      </c>
      <c r="Y3395" s="204" t="s">
        <v>68</v>
      </c>
      <c r="Z3395" s="21" t="s">
        <v>2276</v>
      </c>
      <c r="AA3395" s="21"/>
      <c r="AB3395" s="204"/>
    </row>
    <row r="3396" spans="1:28" ht="43.5" customHeight="1">
      <c r="A3396" s="156" t="str">
        <f>'Reported burning'!A3396</f>
        <v>378b</v>
      </c>
      <c r="B3396" s="156" t="str">
        <f>'Reported burning'!B3396</f>
        <v>378b.7</v>
      </c>
      <c r="C3396" s="156" t="str">
        <f>'Reported burning'!C3396</f>
        <v>Human, deliberate</v>
      </c>
      <c r="D3396" s="156" t="str">
        <f>'Reported burning'!D3396</f>
        <v>Crop residue burning</v>
      </c>
      <c r="E3396" s="156" t="str">
        <f>'Reported burning'!E3396</f>
        <v>All</v>
      </c>
      <c r="F3396" s="156" t="str">
        <f>'Reported burning'!F3396</f>
        <v>Cropland</v>
      </c>
      <c r="G3396" s="156" t="str">
        <f>'Reported burning'!G3396</f>
        <v>Cropland</v>
      </c>
      <c r="H3396" s="156" t="str">
        <f>'Reported burning'!H3396</f>
        <v>Presence</v>
      </c>
      <c r="I3396" s="5"/>
      <c r="J3396" s="21" t="s">
        <v>2276</v>
      </c>
      <c r="K3396" s="21" t="s">
        <v>2276</v>
      </c>
      <c r="L3396" s="21" t="s">
        <v>2276</v>
      </c>
      <c r="M3396" s="21" t="s">
        <v>2276</v>
      </c>
      <c r="N3396" s="21" t="s">
        <v>2276</v>
      </c>
      <c r="O3396" s="21" t="s">
        <v>2276</v>
      </c>
      <c r="P3396" s="21" t="s">
        <v>2276</v>
      </c>
      <c r="Q3396" s="21" t="s">
        <v>2276</v>
      </c>
      <c r="R3396" s="21" t="s">
        <v>2276</v>
      </c>
      <c r="S3396" s="21" t="s">
        <v>2276</v>
      </c>
      <c r="T3396" s="21" t="s">
        <v>2276</v>
      </c>
      <c r="U3396" s="21" t="s">
        <v>2276</v>
      </c>
      <c r="V3396" s="21" t="s">
        <v>2276</v>
      </c>
      <c r="W3396" s="21" t="s">
        <v>2276</v>
      </c>
      <c r="X3396" s="204" t="s">
        <v>35</v>
      </c>
      <c r="Y3396" s="204" t="s">
        <v>35</v>
      </c>
      <c r="Z3396" s="21" t="s">
        <v>2276</v>
      </c>
      <c r="AA3396" s="21"/>
      <c r="AB3396" s="204"/>
    </row>
    <row r="3397" spans="1:28" ht="43.5" customHeight="1">
      <c r="A3397" s="156" t="str">
        <f>'Reported burning'!A3397</f>
        <v>378b</v>
      </c>
      <c r="B3397" s="156" t="str">
        <f>'Reported burning'!B3397</f>
        <v>378b.8</v>
      </c>
      <c r="C3397" s="156" t="str">
        <f>'Reported burning'!C3397</f>
        <v>Human, deliberate</v>
      </c>
      <c r="D3397" s="156" t="str">
        <f>'Reported burning'!D3397</f>
        <v>Crop residue burning</v>
      </c>
      <c r="E3397" s="156" t="str">
        <f>'Reported burning'!E3397</f>
        <v>All</v>
      </c>
      <c r="F3397" s="156" t="str">
        <f>'Reported burning'!F3397</f>
        <v>Cropland</v>
      </c>
      <c r="G3397" s="156" t="str">
        <f>'Reported burning'!G3397</f>
        <v>Cropland</v>
      </c>
      <c r="H3397" s="156" t="str">
        <f>'Reported burning'!H3397</f>
        <v>Presence</v>
      </c>
      <c r="I3397" s="5"/>
      <c r="J3397" s="21" t="s">
        <v>2276</v>
      </c>
      <c r="K3397" s="21" t="s">
        <v>2276</v>
      </c>
      <c r="L3397" s="21" t="s">
        <v>2276</v>
      </c>
      <c r="M3397" s="21" t="s">
        <v>2276</v>
      </c>
      <c r="N3397" s="21" t="s">
        <v>2276</v>
      </c>
      <c r="O3397" s="21" t="s">
        <v>2276</v>
      </c>
      <c r="P3397" s="21" t="s">
        <v>2276</v>
      </c>
      <c r="Q3397" s="21" t="s">
        <v>2276</v>
      </c>
      <c r="R3397" s="21" t="s">
        <v>2276</v>
      </c>
      <c r="S3397" s="21" t="s">
        <v>2276</v>
      </c>
      <c r="T3397" s="21" t="s">
        <v>2276</v>
      </c>
      <c r="U3397" s="21" t="s">
        <v>2276</v>
      </c>
      <c r="V3397" s="21" t="s">
        <v>2276</v>
      </c>
      <c r="W3397" s="21" t="s">
        <v>2276</v>
      </c>
      <c r="X3397" s="204" t="s">
        <v>127</v>
      </c>
      <c r="Y3397" s="204" t="s">
        <v>127</v>
      </c>
      <c r="Z3397" s="21" t="s">
        <v>2276</v>
      </c>
      <c r="AA3397" s="21"/>
      <c r="AB3397" s="204"/>
    </row>
    <row r="3398" spans="1:28" ht="43.5" customHeight="1">
      <c r="A3398" s="156" t="str">
        <f>'Reported burning'!A3398</f>
        <v>378b</v>
      </c>
      <c r="B3398" s="156" t="str">
        <f>'Reported burning'!B3398</f>
        <v>378b.9</v>
      </c>
      <c r="C3398" s="156" t="str">
        <f>'Reported burning'!C3398</f>
        <v>Human, deliberate</v>
      </c>
      <c r="D3398" s="156" t="str">
        <f>'Reported burning'!D3398</f>
        <v>Crop residue burning</v>
      </c>
      <c r="E3398" s="156" t="str">
        <f>'Reported burning'!E3398</f>
        <v>All</v>
      </c>
      <c r="F3398" s="156" t="str">
        <f>'Reported burning'!F3398</f>
        <v>Cropland</v>
      </c>
      <c r="G3398" s="156" t="str">
        <f>'Reported burning'!G3398</f>
        <v>Cropland</v>
      </c>
      <c r="H3398" s="156" t="str">
        <f>'Reported burning'!H3398</f>
        <v>Presence</v>
      </c>
      <c r="I3398" s="5"/>
      <c r="J3398" s="21" t="s">
        <v>2276</v>
      </c>
      <c r="K3398" s="21" t="s">
        <v>2276</v>
      </c>
      <c r="L3398" s="21" t="s">
        <v>2276</v>
      </c>
      <c r="M3398" s="21" t="s">
        <v>2276</v>
      </c>
      <c r="N3398" s="21" t="s">
        <v>2276</v>
      </c>
      <c r="O3398" s="21" t="s">
        <v>2276</v>
      </c>
      <c r="P3398" s="21" t="s">
        <v>2276</v>
      </c>
      <c r="Q3398" s="21" t="s">
        <v>2276</v>
      </c>
      <c r="R3398" s="21" t="s">
        <v>2276</v>
      </c>
      <c r="S3398" s="21" t="s">
        <v>2276</v>
      </c>
      <c r="T3398" s="21" t="s">
        <v>2276</v>
      </c>
      <c r="U3398" s="21" t="s">
        <v>2276</v>
      </c>
      <c r="V3398" s="21" t="s">
        <v>2276</v>
      </c>
      <c r="W3398" s="21" t="s">
        <v>2276</v>
      </c>
      <c r="X3398" s="204" t="s">
        <v>399</v>
      </c>
      <c r="Y3398" s="204" t="s">
        <v>399</v>
      </c>
      <c r="Z3398" s="21" t="s">
        <v>2276</v>
      </c>
      <c r="AA3398" s="21"/>
      <c r="AB3398" s="204"/>
    </row>
    <row r="3399" spans="1:28" ht="43.5" customHeight="1">
      <c r="A3399" s="156" t="str">
        <f>'Reported burning'!A3399</f>
        <v>378b</v>
      </c>
      <c r="B3399" s="156" t="str">
        <f>'Reported burning'!B3399</f>
        <v>378b.10</v>
      </c>
      <c r="C3399" s="156" t="str">
        <f>'Reported burning'!C3399</f>
        <v>Human, deliberate</v>
      </c>
      <c r="D3399" s="156" t="str">
        <f>'Reported burning'!D3399</f>
        <v>Crop residue burning</v>
      </c>
      <c r="E3399" s="156" t="str">
        <f>'Reported burning'!E3399</f>
        <v>All</v>
      </c>
      <c r="F3399" s="156" t="str">
        <f>'Reported burning'!F3399</f>
        <v>Cropland</v>
      </c>
      <c r="G3399" s="156" t="str">
        <f>'Reported burning'!G3399</f>
        <v>Cropland</v>
      </c>
      <c r="H3399" s="156" t="str">
        <f>'Reported burning'!H3399</f>
        <v>Presence</v>
      </c>
      <c r="I3399" s="5"/>
      <c r="J3399" s="21" t="s">
        <v>2276</v>
      </c>
      <c r="K3399" s="21" t="s">
        <v>2276</v>
      </c>
      <c r="L3399" s="21" t="s">
        <v>2276</v>
      </c>
      <c r="M3399" s="21" t="s">
        <v>2276</v>
      </c>
      <c r="N3399" s="21" t="s">
        <v>2276</v>
      </c>
      <c r="O3399" s="21" t="s">
        <v>2276</v>
      </c>
      <c r="P3399" s="21" t="s">
        <v>2276</v>
      </c>
      <c r="Q3399" s="21" t="s">
        <v>2276</v>
      </c>
      <c r="R3399" s="21" t="s">
        <v>2276</v>
      </c>
      <c r="S3399" s="21" t="s">
        <v>2276</v>
      </c>
      <c r="T3399" s="21" t="s">
        <v>2276</v>
      </c>
      <c r="U3399" s="21" t="s">
        <v>2276</v>
      </c>
      <c r="V3399" s="21" t="s">
        <v>2276</v>
      </c>
      <c r="W3399" s="21" t="s">
        <v>2276</v>
      </c>
      <c r="X3399" s="204" t="s">
        <v>188</v>
      </c>
      <c r="Y3399" s="204" t="s">
        <v>188</v>
      </c>
      <c r="Z3399" s="21" t="s">
        <v>2276</v>
      </c>
      <c r="AA3399" s="204"/>
      <c r="AB3399" s="204"/>
    </row>
    <row r="3400" spans="1:28" ht="43.5" customHeight="1">
      <c r="A3400" s="156" t="str">
        <f>'Reported burning'!A3400</f>
        <v>378b</v>
      </c>
      <c r="B3400" s="156" t="str">
        <f>'Reported burning'!B3400</f>
        <v>378b.11</v>
      </c>
      <c r="C3400" s="156" t="str">
        <f>'Reported burning'!C3400</f>
        <v>Human, deliberate</v>
      </c>
      <c r="D3400" s="156" t="str">
        <f>'Reported burning'!D3400</f>
        <v>Crop residue burning</v>
      </c>
      <c r="E3400" s="156" t="str">
        <f>'Reported burning'!E3400</f>
        <v>All</v>
      </c>
      <c r="F3400" s="156" t="str">
        <f>'Reported burning'!F3400</f>
        <v>Cropland</v>
      </c>
      <c r="G3400" s="156" t="str">
        <f>'Reported burning'!G3400</f>
        <v>Cropland</v>
      </c>
      <c r="H3400" s="156" t="str">
        <f>'Reported burning'!H3400</f>
        <v>Presence</v>
      </c>
      <c r="I3400" s="5"/>
      <c r="J3400" s="21" t="s">
        <v>2276</v>
      </c>
      <c r="K3400" s="21" t="s">
        <v>2276</v>
      </c>
      <c r="L3400" s="21" t="s">
        <v>2276</v>
      </c>
      <c r="M3400" s="21" t="s">
        <v>2276</v>
      </c>
      <c r="N3400" s="21" t="s">
        <v>2276</v>
      </c>
      <c r="O3400" s="21" t="s">
        <v>2276</v>
      </c>
      <c r="P3400" s="21" t="s">
        <v>2276</v>
      </c>
      <c r="Q3400" s="21" t="s">
        <v>2276</v>
      </c>
      <c r="R3400" s="21" t="s">
        <v>2276</v>
      </c>
      <c r="S3400" s="21" t="s">
        <v>2276</v>
      </c>
      <c r="T3400" s="21" t="s">
        <v>2276</v>
      </c>
      <c r="U3400" s="21" t="s">
        <v>2276</v>
      </c>
      <c r="V3400" s="21" t="s">
        <v>2276</v>
      </c>
      <c r="W3400" s="21" t="s">
        <v>2276</v>
      </c>
      <c r="X3400" s="204" t="s">
        <v>189</v>
      </c>
      <c r="Y3400" s="204" t="s">
        <v>189</v>
      </c>
      <c r="Z3400" s="21" t="s">
        <v>2276</v>
      </c>
      <c r="AA3400" s="204"/>
      <c r="AB3400" s="204"/>
    </row>
    <row r="3401" spans="1:28" ht="43.5" customHeight="1">
      <c r="A3401" s="156" t="str">
        <f>'Reported burning'!A3401</f>
        <v>378b</v>
      </c>
      <c r="B3401" s="156" t="str">
        <f>'Reported burning'!B3401</f>
        <v>378b.12</v>
      </c>
      <c r="C3401" s="156" t="str">
        <f>'Reported burning'!C3401</f>
        <v>Human, deliberate</v>
      </c>
      <c r="D3401" s="156" t="str">
        <f>'Reported burning'!D3401</f>
        <v>Crop residue burning</v>
      </c>
      <c r="E3401" s="156" t="str">
        <f>'Reported burning'!E3401</f>
        <v>All</v>
      </c>
      <c r="F3401" s="156" t="str">
        <f>'Reported burning'!F3401</f>
        <v>Cropland</v>
      </c>
      <c r="G3401" s="156" t="str">
        <f>'Reported burning'!G3401</f>
        <v>Cropland</v>
      </c>
      <c r="H3401" s="156" t="str">
        <f>'Reported burning'!H3401</f>
        <v>Presence</v>
      </c>
      <c r="I3401" s="5"/>
      <c r="J3401" s="21" t="s">
        <v>2276</v>
      </c>
      <c r="K3401" s="21" t="s">
        <v>2276</v>
      </c>
      <c r="L3401" s="21" t="s">
        <v>2276</v>
      </c>
      <c r="M3401" s="21" t="s">
        <v>2276</v>
      </c>
      <c r="N3401" s="21" t="s">
        <v>2276</v>
      </c>
      <c r="O3401" s="21" t="s">
        <v>2276</v>
      </c>
      <c r="P3401" s="21" t="s">
        <v>2276</v>
      </c>
      <c r="Q3401" s="21" t="s">
        <v>2276</v>
      </c>
      <c r="R3401" s="21" t="s">
        <v>2276</v>
      </c>
      <c r="S3401" s="21" t="s">
        <v>2276</v>
      </c>
      <c r="T3401" s="21" t="s">
        <v>2276</v>
      </c>
      <c r="U3401" s="21" t="s">
        <v>2276</v>
      </c>
      <c r="V3401" s="21" t="s">
        <v>2276</v>
      </c>
      <c r="W3401" s="21" t="s">
        <v>2276</v>
      </c>
      <c r="X3401" s="204" t="s">
        <v>38</v>
      </c>
      <c r="Y3401" s="204" t="s">
        <v>38</v>
      </c>
      <c r="Z3401" s="21" t="s">
        <v>2276</v>
      </c>
      <c r="AA3401" s="204"/>
      <c r="AB3401" s="204"/>
    </row>
    <row r="3402" spans="1:28" ht="43.5" customHeight="1">
      <c r="A3402" s="156" t="str">
        <f>'Reported burning'!A3402</f>
        <v>378c</v>
      </c>
      <c r="B3402" s="156" t="str">
        <f>'Reported burning'!B3402</f>
        <v>378c.1</v>
      </c>
      <c r="C3402" s="156" t="str">
        <f>'Reported burning'!C3402</f>
        <v>Human, deliberate</v>
      </c>
      <c r="D3402" s="156" t="str">
        <f>'Reported burning'!D3402</f>
        <v>Crop residue burning</v>
      </c>
      <c r="E3402" s="156" t="str">
        <f>'Reported burning'!E3402</f>
        <v>All</v>
      </c>
      <c r="F3402" s="156" t="str">
        <f>'Reported burning'!F3402</f>
        <v>Cropland</v>
      </c>
      <c r="G3402" s="156" t="str">
        <f>'Reported burning'!G3402</f>
        <v>Cropland</v>
      </c>
      <c r="H3402" s="156" t="str">
        <f>'Reported burning'!H3402</f>
        <v>Presence</v>
      </c>
      <c r="I3402" s="5"/>
      <c r="J3402" s="21" t="s">
        <v>2276</v>
      </c>
      <c r="K3402" s="21" t="s">
        <v>2276</v>
      </c>
      <c r="L3402" s="21" t="s">
        <v>2276</v>
      </c>
      <c r="M3402" s="21" t="s">
        <v>2276</v>
      </c>
      <c r="N3402" s="21" t="s">
        <v>2276</v>
      </c>
      <c r="O3402" s="21" t="s">
        <v>2276</v>
      </c>
      <c r="P3402" s="21" t="s">
        <v>2276</v>
      </c>
      <c r="Q3402" s="21" t="s">
        <v>2276</v>
      </c>
      <c r="R3402" s="21" t="s">
        <v>2276</v>
      </c>
      <c r="S3402" s="21" t="s">
        <v>2276</v>
      </c>
      <c r="T3402" s="21" t="s">
        <v>2276</v>
      </c>
      <c r="U3402" s="21" t="s">
        <v>2276</v>
      </c>
      <c r="V3402" s="21" t="s">
        <v>2276</v>
      </c>
      <c r="W3402" s="21" t="s">
        <v>2276</v>
      </c>
      <c r="X3402" s="204" t="s">
        <v>86</v>
      </c>
      <c r="Y3402" s="204" t="s">
        <v>86</v>
      </c>
      <c r="Z3402" s="21" t="s">
        <v>2276</v>
      </c>
      <c r="AA3402" s="204"/>
      <c r="AB3402" s="204"/>
    </row>
    <row r="3403" spans="1:28" ht="43.5" customHeight="1">
      <c r="A3403" s="156" t="str">
        <f>'Reported burning'!A3403</f>
        <v>378c</v>
      </c>
      <c r="B3403" s="156" t="str">
        <f>'Reported burning'!B3403</f>
        <v>378c.2</v>
      </c>
      <c r="C3403" s="156" t="str">
        <f>'Reported burning'!C3403</f>
        <v>Human, deliberate</v>
      </c>
      <c r="D3403" s="156" t="str">
        <f>'Reported burning'!D3403</f>
        <v>Crop residue burning</v>
      </c>
      <c r="E3403" s="156" t="str">
        <f>'Reported burning'!E3403</f>
        <v>All</v>
      </c>
      <c r="F3403" s="156" t="str">
        <f>'Reported burning'!F3403</f>
        <v>Cropland</v>
      </c>
      <c r="G3403" s="156" t="str">
        <f>'Reported burning'!G3403</f>
        <v>Cropland</v>
      </c>
      <c r="H3403" s="156" t="str">
        <f>'Reported burning'!H3403</f>
        <v>Presence</v>
      </c>
      <c r="I3403" s="5"/>
      <c r="J3403" s="21" t="s">
        <v>2276</v>
      </c>
      <c r="K3403" s="21" t="s">
        <v>2276</v>
      </c>
      <c r="L3403" s="21" t="s">
        <v>2276</v>
      </c>
      <c r="M3403" s="21" t="s">
        <v>2276</v>
      </c>
      <c r="N3403" s="21" t="s">
        <v>2276</v>
      </c>
      <c r="O3403" s="21" t="s">
        <v>2276</v>
      </c>
      <c r="P3403" s="21" t="s">
        <v>2276</v>
      </c>
      <c r="Q3403" s="21" t="s">
        <v>2276</v>
      </c>
      <c r="R3403" s="21" t="s">
        <v>2276</v>
      </c>
      <c r="S3403" s="21" t="s">
        <v>2276</v>
      </c>
      <c r="T3403" s="21" t="s">
        <v>2276</v>
      </c>
      <c r="U3403" s="21" t="s">
        <v>2276</v>
      </c>
      <c r="V3403" s="21" t="s">
        <v>2276</v>
      </c>
      <c r="W3403" s="21" t="s">
        <v>2276</v>
      </c>
      <c r="X3403" s="204" t="s">
        <v>34</v>
      </c>
      <c r="Y3403" s="204" t="s">
        <v>34</v>
      </c>
      <c r="Z3403" s="21" t="s">
        <v>2276</v>
      </c>
      <c r="AA3403" s="204"/>
      <c r="AB3403" s="204"/>
    </row>
    <row r="3404" spans="1:28" ht="43.5" customHeight="1">
      <c r="A3404" s="156" t="str">
        <f>'Reported burning'!A3404</f>
        <v>378c</v>
      </c>
      <c r="B3404" s="156" t="str">
        <f>'Reported burning'!B3404</f>
        <v>378c.3</v>
      </c>
      <c r="C3404" s="156" t="str">
        <f>'Reported burning'!C3404</f>
        <v>Human, deliberate</v>
      </c>
      <c r="D3404" s="156" t="str">
        <f>'Reported burning'!D3404</f>
        <v>Crop residue burning</v>
      </c>
      <c r="E3404" s="156" t="str">
        <f>'Reported burning'!E3404</f>
        <v>All</v>
      </c>
      <c r="F3404" s="156" t="str">
        <f>'Reported burning'!F3404</f>
        <v>Cropland</v>
      </c>
      <c r="G3404" s="156" t="str">
        <f>'Reported burning'!G3404</f>
        <v>Cropland</v>
      </c>
      <c r="H3404" s="156" t="str">
        <f>'Reported burning'!H3404</f>
        <v>Presence</v>
      </c>
      <c r="I3404" s="5"/>
      <c r="J3404" s="21" t="s">
        <v>2276</v>
      </c>
      <c r="K3404" s="21" t="s">
        <v>2276</v>
      </c>
      <c r="L3404" s="21" t="s">
        <v>2276</v>
      </c>
      <c r="M3404" s="21" t="s">
        <v>2276</v>
      </c>
      <c r="N3404" s="21" t="s">
        <v>2276</v>
      </c>
      <c r="O3404" s="21" t="s">
        <v>2276</v>
      </c>
      <c r="P3404" s="21" t="s">
        <v>2276</v>
      </c>
      <c r="Q3404" s="21" t="s">
        <v>2276</v>
      </c>
      <c r="R3404" s="21" t="s">
        <v>2276</v>
      </c>
      <c r="S3404" s="21" t="s">
        <v>2276</v>
      </c>
      <c r="T3404" s="21" t="s">
        <v>2276</v>
      </c>
      <c r="U3404" s="21" t="s">
        <v>2276</v>
      </c>
      <c r="V3404" s="21" t="s">
        <v>2276</v>
      </c>
      <c r="W3404" s="21" t="s">
        <v>2276</v>
      </c>
      <c r="X3404" s="204" t="s">
        <v>404</v>
      </c>
      <c r="Y3404" s="204" t="s">
        <v>404</v>
      </c>
      <c r="Z3404" s="21" t="s">
        <v>2276</v>
      </c>
      <c r="AA3404" s="204"/>
      <c r="AB3404" s="204"/>
    </row>
    <row r="3405" spans="1:28" ht="43.5" customHeight="1">
      <c r="A3405" s="156" t="str">
        <f>'Reported burning'!A3405</f>
        <v>378c</v>
      </c>
      <c r="B3405" s="156" t="str">
        <f>'Reported burning'!B3405</f>
        <v>378c.4</v>
      </c>
      <c r="C3405" s="156" t="str">
        <f>'Reported burning'!C3405</f>
        <v>Human, deliberate</v>
      </c>
      <c r="D3405" s="156" t="str">
        <f>'Reported burning'!D3405</f>
        <v>Crop residue burning</v>
      </c>
      <c r="E3405" s="156" t="str">
        <f>'Reported burning'!E3405</f>
        <v>All</v>
      </c>
      <c r="F3405" s="156" t="str">
        <f>'Reported burning'!F3405</f>
        <v>Cropland</v>
      </c>
      <c r="G3405" s="156" t="str">
        <f>'Reported burning'!G3405</f>
        <v>Cropland</v>
      </c>
      <c r="H3405" s="156" t="str">
        <f>'Reported burning'!H3405</f>
        <v>Absence</v>
      </c>
      <c r="I3405" s="5"/>
      <c r="J3405" s="21">
        <v>0</v>
      </c>
      <c r="K3405" s="21">
        <v>0</v>
      </c>
      <c r="L3405" s="21">
        <v>0</v>
      </c>
      <c r="M3405" s="21">
        <v>0</v>
      </c>
      <c r="N3405" s="21">
        <v>0</v>
      </c>
      <c r="O3405" s="21">
        <v>0</v>
      </c>
      <c r="P3405" s="21">
        <v>0</v>
      </c>
      <c r="Q3405" s="21">
        <v>0</v>
      </c>
      <c r="R3405" s="21">
        <v>0</v>
      </c>
      <c r="S3405" s="21">
        <v>0</v>
      </c>
      <c r="T3405" s="21">
        <v>0</v>
      </c>
      <c r="U3405" s="21">
        <v>0</v>
      </c>
      <c r="V3405" s="21">
        <v>0</v>
      </c>
      <c r="W3405" s="21" t="s">
        <v>2276</v>
      </c>
      <c r="X3405" s="204" t="s">
        <v>405</v>
      </c>
      <c r="Y3405" s="204" t="s">
        <v>405</v>
      </c>
      <c r="Z3405" s="21" t="s">
        <v>2276</v>
      </c>
      <c r="AA3405" s="204"/>
      <c r="AB3405" s="204"/>
    </row>
    <row r="3406" spans="1:28" ht="43.5" customHeight="1">
      <c r="A3406" s="156" t="str">
        <f>'Reported burning'!A3406</f>
        <v>378c</v>
      </c>
      <c r="B3406" s="156" t="str">
        <f>'Reported burning'!B3406</f>
        <v>378c.5</v>
      </c>
      <c r="C3406" s="156" t="str">
        <f>'Reported burning'!C3406</f>
        <v>Human, deliberate</v>
      </c>
      <c r="D3406" s="156" t="str">
        <f>'Reported burning'!D3406</f>
        <v>Crop residue burning</v>
      </c>
      <c r="E3406" s="156" t="str">
        <f>'Reported burning'!E3406</f>
        <v>All</v>
      </c>
      <c r="F3406" s="156" t="str">
        <f>'Reported burning'!F3406</f>
        <v>Cropland</v>
      </c>
      <c r="G3406" s="156" t="str">
        <f>'Reported burning'!G3406</f>
        <v>Cropland</v>
      </c>
      <c r="H3406" s="156" t="str">
        <f>'Reported burning'!H3406</f>
        <v>Absence</v>
      </c>
      <c r="I3406" s="5"/>
      <c r="J3406" s="21">
        <v>0</v>
      </c>
      <c r="K3406" s="21">
        <v>0</v>
      </c>
      <c r="L3406" s="21">
        <v>0</v>
      </c>
      <c r="M3406" s="21">
        <v>0</v>
      </c>
      <c r="N3406" s="21">
        <v>0</v>
      </c>
      <c r="O3406" s="21">
        <v>0</v>
      </c>
      <c r="P3406" s="21">
        <v>0</v>
      </c>
      <c r="Q3406" s="21">
        <v>0</v>
      </c>
      <c r="R3406" s="21">
        <v>0</v>
      </c>
      <c r="S3406" s="21">
        <v>0</v>
      </c>
      <c r="T3406" s="21">
        <v>0</v>
      </c>
      <c r="U3406" s="21">
        <v>0</v>
      </c>
      <c r="V3406" s="21">
        <v>0</v>
      </c>
      <c r="W3406" s="21" t="s">
        <v>2276</v>
      </c>
      <c r="X3406" s="204" t="s">
        <v>425</v>
      </c>
      <c r="Y3406" s="204" t="s">
        <v>425</v>
      </c>
      <c r="Z3406" s="21" t="s">
        <v>2276</v>
      </c>
      <c r="AA3406" s="204"/>
      <c r="AB3406" s="204"/>
    </row>
    <row r="3407" spans="1:28" ht="43.5" customHeight="1">
      <c r="A3407" s="156" t="str">
        <f>'Reported burning'!A3407</f>
        <v>378c</v>
      </c>
      <c r="B3407" s="156" t="str">
        <f>'Reported burning'!B3407</f>
        <v>378c.6</v>
      </c>
      <c r="C3407" s="156" t="str">
        <f>'Reported burning'!C3407</f>
        <v>Human, deliberate</v>
      </c>
      <c r="D3407" s="156" t="str">
        <f>'Reported burning'!D3407</f>
        <v>Crop residue burning</v>
      </c>
      <c r="E3407" s="156" t="str">
        <f>'Reported burning'!E3407</f>
        <v>All</v>
      </c>
      <c r="F3407" s="156" t="str">
        <f>'Reported burning'!F3407</f>
        <v>Cropland</v>
      </c>
      <c r="G3407" s="156" t="str">
        <f>'Reported burning'!G3407</f>
        <v>Cropland</v>
      </c>
      <c r="H3407" s="156" t="str">
        <f>'Reported burning'!H3407</f>
        <v>Absence</v>
      </c>
      <c r="I3407" s="5"/>
      <c r="J3407" s="21">
        <v>0</v>
      </c>
      <c r="K3407" s="21">
        <v>0</v>
      </c>
      <c r="L3407" s="21">
        <v>0</v>
      </c>
      <c r="M3407" s="21">
        <v>0</v>
      </c>
      <c r="N3407" s="21">
        <v>0</v>
      </c>
      <c r="O3407" s="21">
        <v>0</v>
      </c>
      <c r="P3407" s="21">
        <v>0</v>
      </c>
      <c r="Q3407" s="21">
        <v>0</v>
      </c>
      <c r="R3407" s="21">
        <v>0</v>
      </c>
      <c r="S3407" s="21">
        <v>0</v>
      </c>
      <c r="T3407" s="21">
        <v>0</v>
      </c>
      <c r="U3407" s="21">
        <v>0</v>
      </c>
      <c r="V3407" s="21">
        <v>0</v>
      </c>
      <c r="W3407" s="21" t="s">
        <v>2276</v>
      </c>
      <c r="X3407" s="204" t="s">
        <v>68</v>
      </c>
      <c r="Y3407" s="204" t="s">
        <v>68</v>
      </c>
      <c r="Z3407" s="21" t="s">
        <v>2276</v>
      </c>
      <c r="AA3407" s="204"/>
      <c r="AB3407" s="204"/>
    </row>
    <row r="3408" spans="1:28" ht="43.5" customHeight="1">
      <c r="A3408" s="156" t="str">
        <f>'Reported burning'!A3408</f>
        <v>378c</v>
      </c>
      <c r="B3408" s="156" t="str">
        <f>'Reported burning'!B3408</f>
        <v>378c.7</v>
      </c>
      <c r="C3408" s="156" t="str">
        <f>'Reported burning'!C3408</f>
        <v>Human, deliberate</v>
      </c>
      <c r="D3408" s="156" t="str">
        <f>'Reported burning'!D3408</f>
        <v>Crop residue burning</v>
      </c>
      <c r="E3408" s="156" t="str">
        <f>'Reported burning'!E3408</f>
        <v>All</v>
      </c>
      <c r="F3408" s="156" t="str">
        <f>'Reported burning'!F3408</f>
        <v>Cropland</v>
      </c>
      <c r="G3408" s="156" t="str">
        <f>'Reported burning'!G3408</f>
        <v>Cropland</v>
      </c>
      <c r="H3408" s="156" t="str">
        <f>'Reported burning'!H3408</f>
        <v>Presence</v>
      </c>
      <c r="I3408" s="5"/>
      <c r="J3408" s="21" t="s">
        <v>2276</v>
      </c>
      <c r="K3408" s="21" t="s">
        <v>2276</v>
      </c>
      <c r="L3408" s="21" t="s">
        <v>2276</v>
      </c>
      <c r="M3408" s="21" t="s">
        <v>2276</v>
      </c>
      <c r="N3408" s="21" t="s">
        <v>2276</v>
      </c>
      <c r="O3408" s="21" t="s">
        <v>2276</v>
      </c>
      <c r="P3408" s="21" t="s">
        <v>2276</v>
      </c>
      <c r="Q3408" s="21" t="s">
        <v>2276</v>
      </c>
      <c r="R3408" s="21" t="s">
        <v>2276</v>
      </c>
      <c r="S3408" s="21" t="s">
        <v>2276</v>
      </c>
      <c r="T3408" s="21" t="s">
        <v>2276</v>
      </c>
      <c r="U3408" s="21" t="s">
        <v>2276</v>
      </c>
      <c r="V3408" s="21" t="s">
        <v>2276</v>
      </c>
      <c r="W3408" s="21" t="s">
        <v>2276</v>
      </c>
      <c r="X3408" s="204" t="s">
        <v>35</v>
      </c>
      <c r="Y3408" s="204" t="s">
        <v>35</v>
      </c>
      <c r="Z3408" s="21" t="s">
        <v>2276</v>
      </c>
      <c r="AA3408" s="204"/>
      <c r="AB3408" s="204"/>
    </row>
    <row r="3409" spans="1:28" ht="43.5" customHeight="1">
      <c r="A3409" s="156" t="str">
        <f>'Reported burning'!A3409</f>
        <v>378c</v>
      </c>
      <c r="B3409" s="156" t="str">
        <f>'Reported burning'!B3409</f>
        <v>378c.8</v>
      </c>
      <c r="C3409" s="156" t="str">
        <f>'Reported burning'!C3409</f>
        <v>Human, deliberate</v>
      </c>
      <c r="D3409" s="156" t="str">
        <f>'Reported burning'!D3409</f>
        <v>Crop residue burning</v>
      </c>
      <c r="E3409" s="156" t="str">
        <f>'Reported burning'!E3409</f>
        <v>All</v>
      </c>
      <c r="F3409" s="156" t="str">
        <f>'Reported burning'!F3409</f>
        <v>Cropland</v>
      </c>
      <c r="G3409" s="156" t="str">
        <f>'Reported burning'!G3409</f>
        <v>Cropland</v>
      </c>
      <c r="H3409" s="156" t="str">
        <f>'Reported burning'!H3409</f>
        <v>Presence</v>
      </c>
      <c r="I3409" s="5"/>
      <c r="J3409" s="21" t="s">
        <v>2276</v>
      </c>
      <c r="K3409" s="21" t="s">
        <v>2276</v>
      </c>
      <c r="L3409" s="21" t="s">
        <v>2276</v>
      </c>
      <c r="M3409" s="21" t="s">
        <v>2276</v>
      </c>
      <c r="N3409" s="21" t="s">
        <v>2276</v>
      </c>
      <c r="O3409" s="21" t="s">
        <v>2276</v>
      </c>
      <c r="P3409" s="21" t="s">
        <v>2276</v>
      </c>
      <c r="Q3409" s="21" t="s">
        <v>2276</v>
      </c>
      <c r="R3409" s="21" t="s">
        <v>2276</v>
      </c>
      <c r="S3409" s="21" t="s">
        <v>2276</v>
      </c>
      <c r="T3409" s="21" t="s">
        <v>2276</v>
      </c>
      <c r="U3409" s="21" t="s">
        <v>2276</v>
      </c>
      <c r="V3409" s="21" t="s">
        <v>2276</v>
      </c>
      <c r="W3409" s="21" t="s">
        <v>2276</v>
      </c>
      <c r="X3409" s="204" t="s">
        <v>127</v>
      </c>
      <c r="Y3409" s="204" t="s">
        <v>127</v>
      </c>
      <c r="Z3409" s="21" t="s">
        <v>2276</v>
      </c>
      <c r="AA3409" s="204"/>
      <c r="AB3409" s="204"/>
    </row>
    <row r="3410" spans="1:28" ht="43.5" customHeight="1">
      <c r="A3410" s="156" t="str">
        <f>'Reported burning'!A3410</f>
        <v>378c</v>
      </c>
      <c r="B3410" s="156" t="str">
        <f>'Reported burning'!B3410</f>
        <v>378c.9</v>
      </c>
      <c r="C3410" s="156" t="str">
        <f>'Reported burning'!C3410</f>
        <v>Human, deliberate</v>
      </c>
      <c r="D3410" s="156" t="str">
        <f>'Reported burning'!D3410</f>
        <v>Crop residue burning</v>
      </c>
      <c r="E3410" s="156" t="str">
        <f>'Reported burning'!E3410</f>
        <v>All</v>
      </c>
      <c r="F3410" s="156" t="str">
        <f>'Reported burning'!F3410</f>
        <v>Cropland</v>
      </c>
      <c r="G3410" s="156" t="str">
        <f>'Reported burning'!G3410</f>
        <v>Cropland</v>
      </c>
      <c r="H3410" s="156" t="str">
        <f>'Reported burning'!H3410</f>
        <v>Presence</v>
      </c>
      <c r="I3410" s="5"/>
      <c r="J3410" s="21" t="s">
        <v>2276</v>
      </c>
      <c r="K3410" s="21" t="s">
        <v>2276</v>
      </c>
      <c r="L3410" s="21" t="s">
        <v>2276</v>
      </c>
      <c r="M3410" s="21" t="s">
        <v>2276</v>
      </c>
      <c r="N3410" s="21" t="s">
        <v>2276</v>
      </c>
      <c r="O3410" s="21" t="s">
        <v>2276</v>
      </c>
      <c r="P3410" s="21" t="s">
        <v>2276</v>
      </c>
      <c r="Q3410" s="21" t="s">
        <v>2276</v>
      </c>
      <c r="R3410" s="21" t="s">
        <v>2276</v>
      </c>
      <c r="S3410" s="21" t="s">
        <v>2276</v>
      </c>
      <c r="T3410" s="21" t="s">
        <v>2276</v>
      </c>
      <c r="U3410" s="21" t="s">
        <v>2276</v>
      </c>
      <c r="V3410" s="21" t="s">
        <v>2276</v>
      </c>
      <c r="W3410" s="21" t="s">
        <v>2276</v>
      </c>
      <c r="X3410" s="204" t="s">
        <v>399</v>
      </c>
      <c r="Y3410" s="204" t="s">
        <v>399</v>
      </c>
      <c r="Z3410" s="21" t="s">
        <v>2276</v>
      </c>
      <c r="AA3410" s="204"/>
      <c r="AB3410" s="204"/>
    </row>
    <row r="3411" spans="1:28" ht="43.5" customHeight="1">
      <c r="A3411" s="156" t="str">
        <f>'Reported burning'!A3411</f>
        <v>378c</v>
      </c>
      <c r="B3411" s="156" t="str">
        <f>'Reported burning'!B3411</f>
        <v>378c.10</v>
      </c>
      <c r="C3411" s="156" t="str">
        <f>'Reported burning'!C3411</f>
        <v>Human, deliberate</v>
      </c>
      <c r="D3411" s="156" t="str">
        <f>'Reported burning'!D3411</f>
        <v>Crop residue burning</v>
      </c>
      <c r="E3411" s="156" t="str">
        <f>'Reported burning'!E3411</f>
        <v>All</v>
      </c>
      <c r="F3411" s="156" t="str">
        <f>'Reported burning'!F3411</f>
        <v>Cropland</v>
      </c>
      <c r="G3411" s="156" t="str">
        <f>'Reported burning'!G3411</f>
        <v>Cropland</v>
      </c>
      <c r="H3411" s="156" t="str">
        <f>'Reported burning'!H3411</f>
        <v>Presence</v>
      </c>
      <c r="I3411" s="5"/>
      <c r="J3411" s="21" t="s">
        <v>2276</v>
      </c>
      <c r="K3411" s="21" t="s">
        <v>2276</v>
      </c>
      <c r="L3411" s="21" t="s">
        <v>2276</v>
      </c>
      <c r="M3411" s="21" t="s">
        <v>2276</v>
      </c>
      <c r="N3411" s="21" t="s">
        <v>2276</v>
      </c>
      <c r="O3411" s="21" t="s">
        <v>2276</v>
      </c>
      <c r="P3411" s="21" t="s">
        <v>2276</v>
      </c>
      <c r="Q3411" s="21" t="s">
        <v>2276</v>
      </c>
      <c r="R3411" s="21" t="s">
        <v>2276</v>
      </c>
      <c r="S3411" s="21" t="s">
        <v>2276</v>
      </c>
      <c r="T3411" s="21" t="s">
        <v>2276</v>
      </c>
      <c r="U3411" s="21" t="s">
        <v>2276</v>
      </c>
      <c r="V3411" s="21" t="s">
        <v>2276</v>
      </c>
      <c r="W3411" s="21" t="s">
        <v>2276</v>
      </c>
      <c r="X3411" s="204" t="s">
        <v>188</v>
      </c>
      <c r="Y3411" s="204" t="s">
        <v>188</v>
      </c>
      <c r="Z3411" s="21" t="s">
        <v>2276</v>
      </c>
      <c r="AA3411" s="204"/>
      <c r="AB3411" s="204"/>
    </row>
    <row r="3412" spans="1:28" ht="43.5" customHeight="1">
      <c r="A3412" s="156" t="str">
        <f>'Reported burning'!A3412</f>
        <v>378c</v>
      </c>
      <c r="B3412" s="156" t="str">
        <f>'Reported burning'!B3412</f>
        <v>378c.11</v>
      </c>
      <c r="C3412" s="156" t="str">
        <f>'Reported burning'!C3412</f>
        <v>Human, deliberate</v>
      </c>
      <c r="D3412" s="156" t="str">
        <f>'Reported burning'!D3412</f>
        <v>Crop residue burning</v>
      </c>
      <c r="E3412" s="156" t="str">
        <f>'Reported burning'!E3412</f>
        <v>All</v>
      </c>
      <c r="F3412" s="156" t="str">
        <f>'Reported burning'!F3412</f>
        <v>Cropland</v>
      </c>
      <c r="G3412" s="156" t="str">
        <f>'Reported burning'!G3412</f>
        <v>Cropland</v>
      </c>
      <c r="H3412" s="156" t="str">
        <f>'Reported burning'!H3412</f>
        <v>Presence</v>
      </c>
      <c r="I3412" s="5"/>
      <c r="J3412" s="21" t="s">
        <v>2276</v>
      </c>
      <c r="K3412" s="21" t="s">
        <v>2276</v>
      </c>
      <c r="L3412" s="21" t="s">
        <v>2276</v>
      </c>
      <c r="M3412" s="21" t="s">
        <v>2276</v>
      </c>
      <c r="N3412" s="21" t="s">
        <v>2276</v>
      </c>
      <c r="O3412" s="21" t="s">
        <v>2276</v>
      </c>
      <c r="P3412" s="21" t="s">
        <v>2276</v>
      </c>
      <c r="Q3412" s="21" t="s">
        <v>2276</v>
      </c>
      <c r="R3412" s="21" t="s">
        <v>2276</v>
      </c>
      <c r="S3412" s="21" t="s">
        <v>2276</v>
      </c>
      <c r="T3412" s="21" t="s">
        <v>2276</v>
      </c>
      <c r="U3412" s="21" t="s">
        <v>2276</v>
      </c>
      <c r="V3412" s="21" t="s">
        <v>2276</v>
      </c>
      <c r="W3412" s="21" t="s">
        <v>2276</v>
      </c>
      <c r="X3412" s="204" t="s">
        <v>189</v>
      </c>
      <c r="Y3412" s="204" t="s">
        <v>189</v>
      </c>
      <c r="Z3412" s="21" t="s">
        <v>2276</v>
      </c>
      <c r="AA3412" s="204"/>
      <c r="AB3412" s="204"/>
    </row>
    <row r="3413" spans="1:28" ht="43.5" customHeight="1">
      <c r="A3413" s="156" t="str">
        <f>'Reported burning'!A3413</f>
        <v>378c</v>
      </c>
      <c r="B3413" s="156" t="str">
        <f>'Reported burning'!B3413</f>
        <v>378c.12</v>
      </c>
      <c r="C3413" s="156" t="str">
        <f>'Reported burning'!C3413</f>
        <v>Human, deliberate</v>
      </c>
      <c r="D3413" s="156" t="str">
        <f>'Reported burning'!D3413</f>
        <v>Crop residue burning</v>
      </c>
      <c r="E3413" s="156" t="str">
        <f>'Reported burning'!E3413</f>
        <v>All</v>
      </c>
      <c r="F3413" s="156" t="str">
        <f>'Reported burning'!F3413</f>
        <v>Cropland</v>
      </c>
      <c r="G3413" s="156" t="str">
        <f>'Reported burning'!G3413</f>
        <v>Cropland</v>
      </c>
      <c r="H3413" s="156" t="str">
        <f>'Reported burning'!H3413</f>
        <v>Presence</v>
      </c>
      <c r="I3413" s="5"/>
      <c r="J3413" s="21" t="s">
        <v>2276</v>
      </c>
      <c r="K3413" s="21" t="s">
        <v>2276</v>
      </c>
      <c r="L3413" s="21" t="s">
        <v>2276</v>
      </c>
      <c r="M3413" s="21" t="s">
        <v>2276</v>
      </c>
      <c r="N3413" s="21" t="s">
        <v>2276</v>
      </c>
      <c r="O3413" s="21" t="s">
        <v>2276</v>
      </c>
      <c r="P3413" s="21" t="s">
        <v>2276</v>
      </c>
      <c r="Q3413" s="21" t="s">
        <v>2276</v>
      </c>
      <c r="R3413" s="21" t="s">
        <v>2276</v>
      </c>
      <c r="S3413" s="21" t="s">
        <v>2276</v>
      </c>
      <c r="T3413" s="21" t="s">
        <v>2276</v>
      </c>
      <c r="U3413" s="21" t="s">
        <v>2276</v>
      </c>
      <c r="V3413" s="21" t="s">
        <v>2276</v>
      </c>
      <c r="W3413" s="21" t="s">
        <v>2276</v>
      </c>
      <c r="X3413" s="204" t="s">
        <v>38</v>
      </c>
      <c r="Y3413" s="204" t="s">
        <v>38</v>
      </c>
      <c r="Z3413" s="21" t="s">
        <v>2276</v>
      </c>
      <c r="AA3413" s="204"/>
      <c r="AB3413" s="204"/>
    </row>
    <row r="3414" spans="1:28" ht="43.5" customHeight="1">
      <c r="A3414" s="156" t="str">
        <f>'Reported burning'!A3414</f>
        <v>378d</v>
      </c>
      <c r="B3414" s="156" t="str">
        <f>'Reported burning'!B3414</f>
        <v>378d.1</v>
      </c>
      <c r="C3414" s="156" t="str">
        <f>'Reported burning'!C3414</f>
        <v>Human, deliberate</v>
      </c>
      <c r="D3414" s="156" t="str">
        <f>'Reported burning'!D3414</f>
        <v>Crop residue burning</v>
      </c>
      <c r="E3414" s="156" t="str">
        <f>'Reported burning'!E3414</f>
        <v>All</v>
      </c>
      <c r="F3414" s="156" t="str">
        <f>'Reported burning'!F3414</f>
        <v>Cropland</v>
      </c>
      <c r="G3414" s="156" t="str">
        <f>'Reported burning'!G3414</f>
        <v>Cropland</v>
      </c>
      <c r="H3414" s="156" t="str">
        <f>'Reported burning'!H3414</f>
        <v>Presence</v>
      </c>
      <c r="I3414" s="5"/>
      <c r="J3414" s="21" t="s">
        <v>2276</v>
      </c>
      <c r="K3414" s="21" t="s">
        <v>2276</v>
      </c>
      <c r="L3414" s="21" t="s">
        <v>2276</v>
      </c>
      <c r="M3414" s="21" t="s">
        <v>2276</v>
      </c>
      <c r="N3414" s="21" t="s">
        <v>2276</v>
      </c>
      <c r="O3414" s="21" t="s">
        <v>2276</v>
      </c>
      <c r="P3414" s="21" t="s">
        <v>2276</v>
      </c>
      <c r="Q3414" s="21" t="s">
        <v>2276</v>
      </c>
      <c r="R3414" s="21" t="s">
        <v>2276</v>
      </c>
      <c r="S3414" s="21" t="s">
        <v>2276</v>
      </c>
      <c r="T3414" s="21" t="s">
        <v>2276</v>
      </c>
      <c r="U3414" s="21" t="s">
        <v>2276</v>
      </c>
      <c r="V3414" s="21" t="s">
        <v>2276</v>
      </c>
      <c r="W3414" s="21" t="s">
        <v>2276</v>
      </c>
      <c r="X3414" s="204" t="s">
        <v>86</v>
      </c>
      <c r="Y3414" s="204" t="s">
        <v>86</v>
      </c>
      <c r="Z3414" s="21" t="s">
        <v>2276</v>
      </c>
      <c r="AA3414" s="204"/>
      <c r="AB3414" s="204"/>
    </row>
    <row r="3415" spans="1:28" ht="43.5" customHeight="1">
      <c r="A3415" s="156" t="str">
        <f>'Reported burning'!A3415</f>
        <v>378d</v>
      </c>
      <c r="B3415" s="156" t="str">
        <f>'Reported burning'!B3415</f>
        <v>378d.2</v>
      </c>
      <c r="C3415" s="156" t="str">
        <f>'Reported burning'!C3415</f>
        <v>Human, deliberate</v>
      </c>
      <c r="D3415" s="156" t="str">
        <f>'Reported burning'!D3415</f>
        <v>Crop residue burning</v>
      </c>
      <c r="E3415" s="156" t="str">
        <f>'Reported burning'!E3415</f>
        <v>All</v>
      </c>
      <c r="F3415" s="156" t="str">
        <f>'Reported burning'!F3415</f>
        <v>Cropland</v>
      </c>
      <c r="G3415" s="156" t="str">
        <f>'Reported burning'!G3415</f>
        <v>Cropland</v>
      </c>
      <c r="H3415" s="156" t="str">
        <f>'Reported burning'!H3415</f>
        <v>Presence</v>
      </c>
      <c r="I3415" s="5"/>
      <c r="J3415" s="21" t="s">
        <v>2276</v>
      </c>
      <c r="K3415" s="21" t="s">
        <v>2276</v>
      </c>
      <c r="L3415" s="21" t="s">
        <v>2276</v>
      </c>
      <c r="M3415" s="21" t="s">
        <v>2276</v>
      </c>
      <c r="N3415" s="21" t="s">
        <v>2276</v>
      </c>
      <c r="O3415" s="21" t="s">
        <v>2276</v>
      </c>
      <c r="P3415" s="21" t="s">
        <v>2276</v>
      </c>
      <c r="Q3415" s="21" t="s">
        <v>2276</v>
      </c>
      <c r="R3415" s="21" t="s">
        <v>2276</v>
      </c>
      <c r="S3415" s="21" t="s">
        <v>2276</v>
      </c>
      <c r="T3415" s="21" t="s">
        <v>2276</v>
      </c>
      <c r="U3415" s="21" t="s">
        <v>2276</v>
      </c>
      <c r="V3415" s="21" t="s">
        <v>2276</v>
      </c>
      <c r="W3415" s="21" t="s">
        <v>2276</v>
      </c>
      <c r="X3415" s="204" t="s">
        <v>34</v>
      </c>
      <c r="Y3415" s="204" t="s">
        <v>34</v>
      </c>
      <c r="Z3415" s="21" t="s">
        <v>2276</v>
      </c>
      <c r="AA3415" s="204"/>
      <c r="AB3415" s="204"/>
    </row>
    <row r="3416" spans="1:28" ht="43.5" customHeight="1">
      <c r="A3416" s="156" t="str">
        <f>'Reported burning'!A3416</f>
        <v>378d</v>
      </c>
      <c r="B3416" s="156" t="str">
        <f>'Reported burning'!B3416</f>
        <v>378d.3</v>
      </c>
      <c r="C3416" s="156" t="str">
        <f>'Reported burning'!C3416</f>
        <v>Human, deliberate</v>
      </c>
      <c r="D3416" s="156" t="str">
        <f>'Reported burning'!D3416</f>
        <v>Crop residue burning</v>
      </c>
      <c r="E3416" s="156" t="str">
        <f>'Reported burning'!E3416</f>
        <v>All</v>
      </c>
      <c r="F3416" s="156" t="str">
        <f>'Reported burning'!F3416</f>
        <v>Cropland</v>
      </c>
      <c r="G3416" s="156" t="str">
        <f>'Reported burning'!G3416</f>
        <v>Cropland</v>
      </c>
      <c r="H3416" s="156" t="str">
        <f>'Reported burning'!H3416</f>
        <v>Presence</v>
      </c>
      <c r="I3416" s="5"/>
      <c r="J3416" s="21" t="s">
        <v>2276</v>
      </c>
      <c r="K3416" s="21" t="s">
        <v>2276</v>
      </c>
      <c r="L3416" s="21" t="s">
        <v>2276</v>
      </c>
      <c r="M3416" s="21" t="s">
        <v>2276</v>
      </c>
      <c r="N3416" s="21" t="s">
        <v>2276</v>
      </c>
      <c r="O3416" s="21" t="s">
        <v>2276</v>
      </c>
      <c r="P3416" s="21" t="s">
        <v>2276</v>
      </c>
      <c r="Q3416" s="21" t="s">
        <v>2276</v>
      </c>
      <c r="R3416" s="21" t="s">
        <v>2276</v>
      </c>
      <c r="S3416" s="21" t="s">
        <v>2276</v>
      </c>
      <c r="T3416" s="21" t="s">
        <v>2276</v>
      </c>
      <c r="U3416" s="21" t="s">
        <v>2276</v>
      </c>
      <c r="V3416" s="21" t="s">
        <v>2276</v>
      </c>
      <c r="W3416" s="21" t="s">
        <v>2276</v>
      </c>
      <c r="X3416" s="204" t="s">
        <v>404</v>
      </c>
      <c r="Y3416" s="204" t="s">
        <v>404</v>
      </c>
      <c r="Z3416" s="21" t="s">
        <v>2276</v>
      </c>
      <c r="AA3416" s="204"/>
      <c r="AB3416" s="204"/>
    </row>
    <row r="3417" spans="1:28" ht="43.5" customHeight="1">
      <c r="A3417" s="156" t="str">
        <f>'Reported burning'!A3417</f>
        <v>378d</v>
      </c>
      <c r="B3417" s="156" t="str">
        <f>'Reported burning'!B3417</f>
        <v>378d.4</v>
      </c>
      <c r="C3417" s="156" t="str">
        <f>'Reported burning'!C3417</f>
        <v>Human, deliberate</v>
      </c>
      <c r="D3417" s="156" t="str">
        <f>'Reported burning'!D3417</f>
        <v>Crop residue burning</v>
      </c>
      <c r="E3417" s="156" t="str">
        <f>'Reported burning'!E3417</f>
        <v>All</v>
      </c>
      <c r="F3417" s="156" t="str">
        <f>'Reported burning'!F3417</f>
        <v>Cropland</v>
      </c>
      <c r="G3417" s="156" t="str">
        <f>'Reported burning'!G3417</f>
        <v>Cropland</v>
      </c>
      <c r="H3417" s="156" t="str">
        <f>'Reported burning'!H3417</f>
        <v>Absence</v>
      </c>
      <c r="I3417" s="5"/>
      <c r="J3417" s="21">
        <v>0</v>
      </c>
      <c r="K3417" s="21">
        <v>0</v>
      </c>
      <c r="L3417" s="21">
        <v>0</v>
      </c>
      <c r="M3417" s="21">
        <v>0</v>
      </c>
      <c r="N3417" s="21">
        <v>0</v>
      </c>
      <c r="O3417" s="21">
        <v>0</v>
      </c>
      <c r="P3417" s="21">
        <v>0</v>
      </c>
      <c r="Q3417" s="21">
        <v>0</v>
      </c>
      <c r="R3417" s="21">
        <v>0</v>
      </c>
      <c r="S3417" s="21">
        <v>0</v>
      </c>
      <c r="T3417" s="21">
        <v>0</v>
      </c>
      <c r="U3417" s="21">
        <v>0</v>
      </c>
      <c r="V3417" s="21">
        <v>0</v>
      </c>
      <c r="W3417" s="21" t="s">
        <v>2276</v>
      </c>
      <c r="X3417" s="204" t="s">
        <v>405</v>
      </c>
      <c r="Y3417" s="204" t="s">
        <v>405</v>
      </c>
      <c r="Z3417" s="21" t="s">
        <v>2276</v>
      </c>
      <c r="AA3417" s="204"/>
      <c r="AB3417" s="204"/>
    </row>
    <row r="3418" spans="1:28" ht="43.5" customHeight="1">
      <c r="A3418" s="156" t="str">
        <f>'Reported burning'!A3418</f>
        <v>378d</v>
      </c>
      <c r="B3418" s="156" t="str">
        <f>'Reported burning'!B3418</f>
        <v>378d.5</v>
      </c>
      <c r="C3418" s="156" t="str">
        <f>'Reported burning'!C3418</f>
        <v>Human, deliberate</v>
      </c>
      <c r="D3418" s="156" t="str">
        <f>'Reported burning'!D3418</f>
        <v>Crop residue burning</v>
      </c>
      <c r="E3418" s="156" t="str">
        <f>'Reported burning'!E3418</f>
        <v>All</v>
      </c>
      <c r="F3418" s="156" t="str">
        <f>'Reported burning'!F3418</f>
        <v>Cropland</v>
      </c>
      <c r="G3418" s="156" t="str">
        <f>'Reported burning'!G3418</f>
        <v>Cropland</v>
      </c>
      <c r="H3418" s="156" t="str">
        <f>'Reported burning'!H3418</f>
        <v>Absence</v>
      </c>
      <c r="I3418" s="5"/>
      <c r="J3418" s="21">
        <v>0</v>
      </c>
      <c r="K3418" s="21">
        <v>0</v>
      </c>
      <c r="L3418" s="21">
        <v>0</v>
      </c>
      <c r="M3418" s="21">
        <v>0</v>
      </c>
      <c r="N3418" s="21">
        <v>0</v>
      </c>
      <c r="O3418" s="21">
        <v>0</v>
      </c>
      <c r="P3418" s="21">
        <v>0</v>
      </c>
      <c r="Q3418" s="21">
        <v>0</v>
      </c>
      <c r="R3418" s="21">
        <v>0</v>
      </c>
      <c r="S3418" s="21">
        <v>0</v>
      </c>
      <c r="T3418" s="21">
        <v>0</v>
      </c>
      <c r="U3418" s="21">
        <v>0</v>
      </c>
      <c r="V3418" s="21">
        <v>0</v>
      </c>
      <c r="W3418" s="21" t="s">
        <v>2276</v>
      </c>
      <c r="X3418" s="204" t="s">
        <v>425</v>
      </c>
      <c r="Y3418" s="204" t="s">
        <v>425</v>
      </c>
      <c r="Z3418" s="21" t="s">
        <v>2276</v>
      </c>
      <c r="AA3418" s="204"/>
      <c r="AB3418" s="204"/>
    </row>
    <row r="3419" spans="1:28" ht="43.5" customHeight="1">
      <c r="A3419" s="156" t="str">
        <f>'Reported burning'!A3419</f>
        <v>378d</v>
      </c>
      <c r="B3419" s="156" t="str">
        <f>'Reported burning'!B3419</f>
        <v>378d.6</v>
      </c>
      <c r="C3419" s="156" t="str">
        <f>'Reported burning'!C3419</f>
        <v>Human, deliberate</v>
      </c>
      <c r="D3419" s="156" t="str">
        <f>'Reported burning'!D3419</f>
        <v>Crop residue burning</v>
      </c>
      <c r="E3419" s="156" t="str">
        <f>'Reported burning'!E3419</f>
        <v>All</v>
      </c>
      <c r="F3419" s="156" t="str">
        <f>'Reported burning'!F3419</f>
        <v>Cropland</v>
      </c>
      <c r="G3419" s="156" t="str">
        <f>'Reported burning'!G3419</f>
        <v>Cropland</v>
      </c>
      <c r="H3419" s="156" t="str">
        <f>'Reported burning'!H3419</f>
        <v>Presence</v>
      </c>
      <c r="I3419" s="5"/>
      <c r="J3419" s="21" t="s">
        <v>2276</v>
      </c>
      <c r="K3419" s="21" t="s">
        <v>2276</v>
      </c>
      <c r="L3419" s="21" t="s">
        <v>2276</v>
      </c>
      <c r="M3419" s="21" t="s">
        <v>2276</v>
      </c>
      <c r="N3419" s="21" t="s">
        <v>2276</v>
      </c>
      <c r="O3419" s="21" t="s">
        <v>2276</v>
      </c>
      <c r="P3419" s="21" t="s">
        <v>2276</v>
      </c>
      <c r="Q3419" s="21" t="s">
        <v>2276</v>
      </c>
      <c r="R3419" s="21" t="s">
        <v>2276</v>
      </c>
      <c r="S3419" s="21" t="s">
        <v>2276</v>
      </c>
      <c r="T3419" s="21" t="s">
        <v>2276</v>
      </c>
      <c r="U3419" s="21" t="s">
        <v>2276</v>
      </c>
      <c r="V3419" s="21" t="s">
        <v>2276</v>
      </c>
      <c r="W3419" s="21" t="s">
        <v>2276</v>
      </c>
      <c r="X3419" s="204" t="s">
        <v>68</v>
      </c>
      <c r="Y3419" s="204" t="s">
        <v>68</v>
      </c>
      <c r="Z3419" s="21" t="s">
        <v>2276</v>
      </c>
      <c r="AA3419" s="204"/>
      <c r="AB3419" s="204"/>
    </row>
    <row r="3420" spans="1:28" ht="43.5" customHeight="1">
      <c r="A3420" s="156" t="str">
        <f>'Reported burning'!A3420</f>
        <v>378d</v>
      </c>
      <c r="B3420" s="156" t="str">
        <f>'Reported burning'!B3420</f>
        <v>378d.7</v>
      </c>
      <c r="C3420" s="156" t="str">
        <f>'Reported burning'!C3420</f>
        <v>Human, deliberate</v>
      </c>
      <c r="D3420" s="156" t="str">
        <f>'Reported burning'!D3420</f>
        <v>Crop residue burning</v>
      </c>
      <c r="E3420" s="156" t="str">
        <f>'Reported burning'!E3420</f>
        <v>All</v>
      </c>
      <c r="F3420" s="156" t="str">
        <f>'Reported burning'!F3420</f>
        <v>Cropland</v>
      </c>
      <c r="G3420" s="156" t="str">
        <f>'Reported burning'!G3420</f>
        <v>Cropland</v>
      </c>
      <c r="H3420" s="156" t="str">
        <f>'Reported burning'!H3420</f>
        <v>Presence</v>
      </c>
      <c r="I3420" s="5"/>
      <c r="J3420" s="21" t="s">
        <v>2276</v>
      </c>
      <c r="K3420" s="21" t="s">
        <v>2276</v>
      </c>
      <c r="L3420" s="21" t="s">
        <v>2276</v>
      </c>
      <c r="M3420" s="21" t="s">
        <v>2276</v>
      </c>
      <c r="N3420" s="21" t="s">
        <v>2276</v>
      </c>
      <c r="O3420" s="21" t="s">
        <v>2276</v>
      </c>
      <c r="P3420" s="21" t="s">
        <v>2276</v>
      </c>
      <c r="Q3420" s="21" t="s">
        <v>2276</v>
      </c>
      <c r="R3420" s="21" t="s">
        <v>2276</v>
      </c>
      <c r="S3420" s="21" t="s">
        <v>2276</v>
      </c>
      <c r="T3420" s="21" t="s">
        <v>2276</v>
      </c>
      <c r="U3420" s="21" t="s">
        <v>2276</v>
      </c>
      <c r="V3420" s="21" t="s">
        <v>2276</v>
      </c>
      <c r="W3420" s="21" t="s">
        <v>2276</v>
      </c>
      <c r="X3420" s="204" t="s">
        <v>35</v>
      </c>
      <c r="Y3420" s="204" t="s">
        <v>35</v>
      </c>
      <c r="Z3420" s="21" t="s">
        <v>2276</v>
      </c>
      <c r="AA3420" s="204"/>
      <c r="AB3420" s="204"/>
    </row>
    <row r="3421" spans="1:28" ht="43.5" customHeight="1">
      <c r="A3421" s="156" t="str">
        <f>'Reported burning'!A3421</f>
        <v>378d</v>
      </c>
      <c r="B3421" s="156" t="str">
        <f>'Reported burning'!B3421</f>
        <v>378d.8</v>
      </c>
      <c r="C3421" s="156" t="str">
        <f>'Reported burning'!C3421</f>
        <v>Human, deliberate</v>
      </c>
      <c r="D3421" s="156" t="str">
        <f>'Reported burning'!D3421</f>
        <v>Crop residue burning</v>
      </c>
      <c r="E3421" s="156" t="str">
        <f>'Reported burning'!E3421</f>
        <v>All</v>
      </c>
      <c r="F3421" s="156" t="str">
        <f>'Reported burning'!F3421</f>
        <v>Cropland</v>
      </c>
      <c r="G3421" s="156" t="str">
        <f>'Reported burning'!G3421</f>
        <v>Cropland</v>
      </c>
      <c r="H3421" s="156" t="str">
        <f>'Reported burning'!H3421</f>
        <v>Presence</v>
      </c>
      <c r="I3421" s="5"/>
      <c r="J3421" s="21" t="s">
        <v>2276</v>
      </c>
      <c r="K3421" s="21" t="s">
        <v>2276</v>
      </c>
      <c r="L3421" s="21" t="s">
        <v>2276</v>
      </c>
      <c r="M3421" s="21" t="s">
        <v>2276</v>
      </c>
      <c r="N3421" s="21" t="s">
        <v>2276</v>
      </c>
      <c r="O3421" s="21" t="s">
        <v>2276</v>
      </c>
      <c r="P3421" s="21" t="s">
        <v>2276</v>
      </c>
      <c r="Q3421" s="21" t="s">
        <v>2276</v>
      </c>
      <c r="R3421" s="21" t="s">
        <v>2276</v>
      </c>
      <c r="S3421" s="21" t="s">
        <v>2276</v>
      </c>
      <c r="T3421" s="21" t="s">
        <v>2276</v>
      </c>
      <c r="U3421" s="21" t="s">
        <v>2276</v>
      </c>
      <c r="V3421" s="21" t="s">
        <v>2276</v>
      </c>
      <c r="W3421" s="21" t="s">
        <v>2276</v>
      </c>
      <c r="X3421" s="204" t="s">
        <v>127</v>
      </c>
      <c r="Y3421" s="204" t="s">
        <v>127</v>
      </c>
      <c r="Z3421" s="21" t="s">
        <v>2276</v>
      </c>
      <c r="AA3421" s="204"/>
      <c r="AB3421" s="204"/>
    </row>
    <row r="3422" spans="1:28" ht="43.5" customHeight="1">
      <c r="A3422" s="156" t="str">
        <f>'Reported burning'!A3422</f>
        <v>378d</v>
      </c>
      <c r="B3422" s="156" t="str">
        <f>'Reported burning'!B3422</f>
        <v>378d.9</v>
      </c>
      <c r="C3422" s="156" t="str">
        <f>'Reported burning'!C3422</f>
        <v>Human, deliberate</v>
      </c>
      <c r="D3422" s="156" t="str">
        <f>'Reported burning'!D3422</f>
        <v>Crop residue burning</v>
      </c>
      <c r="E3422" s="156" t="str">
        <f>'Reported burning'!E3422</f>
        <v>All</v>
      </c>
      <c r="F3422" s="156" t="str">
        <f>'Reported burning'!F3422</f>
        <v>Cropland</v>
      </c>
      <c r="G3422" s="156" t="str">
        <f>'Reported burning'!G3422</f>
        <v>Cropland</v>
      </c>
      <c r="H3422" s="156" t="str">
        <f>'Reported burning'!H3422</f>
        <v>Presence</v>
      </c>
      <c r="I3422" s="5"/>
      <c r="J3422" s="21" t="s">
        <v>2276</v>
      </c>
      <c r="K3422" s="21" t="s">
        <v>2276</v>
      </c>
      <c r="L3422" s="21" t="s">
        <v>2276</v>
      </c>
      <c r="M3422" s="21" t="s">
        <v>2276</v>
      </c>
      <c r="N3422" s="21" t="s">
        <v>2276</v>
      </c>
      <c r="O3422" s="21" t="s">
        <v>2276</v>
      </c>
      <c r="P3422" s="21" t="s">
        <v>2276</v>
      </c>
      <c r="Q3422" s="21" t="s">
        <v>2276</v>
      </c>
      <c r="R3422" s="21" t="s">
        <v>2276</v>
      </c>
      <c r="S3422" s="21" t="s">
        <v>2276</v>
      </c>
      <c r="T3422" s="21" t="s">
        <v>2276</v>
      </c>
      <c r="U3422" s="21" t="s">
        <v>2276</v>
      </c>
      <c r="V3422" s="21" t="s">
        <v>2276</v>
      </c>
      <c r="W3422" s="21" t="s">
        <v>2276</v>
      </c>
      <c r="X3422" s="204" t="s">
        <v>399</v>
      </c>
      <c r="Y3422" s="204" t="s">
        <v>399</v>
      </c>
      <c r="Z3422" s="21" t="s">
        <v>2276</v>
      </c>
      <c r="AA3422" s="204"/>
      <c r="AB3422" s="204"/>
    </row>
    <row r="3423" spans="1:28" ht="43.5" customHeight="1">
      <c r="A3423" s="156" t="str">
        <f>'Reported burning'!A3423</f>
        <v>378d</v>
      </c>
      <c r="B3423" s="156" t="str">
        <f>'Reported burning'!B3423</f>
        <v>378d.10</v>
      </c>
      <c r="C3423" s="156" t="str">
        <f>'Reported burning'!C3423</f>
        <v>Human, deliberate</v>
      </c>
      <c r="D3423" s="156" t="str">
        <f>'Reported burning'!D3423</f>
        <v>Crop residue burning</v>
      </c>
      <c r="E3423" s="156" t="str">
        <f>'Reported burning'!E3423</f>
        <v>All</v>
      </c>
      <c r="F3423" s="156" t="str">
        <f>'Reported burning'!F3423</f>
        <v>Cropland</v>
      </c>
      <c r="G3423" s="156" t="str">
        <f>'Reported burning'!G3423</f>
        <v>Cropland</v>
      </c>
      <c r="H3423" s="156" t="str">
        <f>'Reported burning'!H3423</f>
        <v>Presence</v>
      </c>
      <c r="I3423" s="5"/>
      <c r="J3423" s="21" t="s">
        <v>2276</v>
      </c>
      <c r="K3423" s="21" t="s">
        <v>2276</v>
      </c>
      <c r="L3423" s="21" t="s">
        <v>2276</v>
      </c>
      <c r="M3423" s="21" t="s">
        <v>2276</v>
      </c>
      <c r="N3423" s="21" t="s">
        <v>2276</v>
      </c>
      <c r="O3423" s="21" t="s">
        <v>2276</v>
      </c>
      <c r="P3423" s="21" t="s">
        <v>2276</v>
      </c>
      <c r="Q3423" s="21" t="s">
        <v>2276</v>
      </c>
      <c r="R3423" s="21" t="s">
        <v>2276</v>
      </c>
      <c r="S3423" s="21" t="s">
        <v>2276</v>
      </c>
      <c r="T3423" s="21" t="s">
        <v>2276</v>
      </c>
      <c r="U3423" s="21" t="s">
        <v>2276</v>
      </c>
      <c r="V3423" s="21" t="s">
        <v>2276</v>
      </c>
      <c r="W3423" s="21" t="s">
        <v>2276</v>
      </c>
      <c r="X3423" s="204" t="s">
        <v>188</v>
      </c>
      <c r="Y3423" s="204" t="s">
        <v>188</v>
      </c>
      <c r="Z3423" s="21" t="s">
        <v>2276</v>
      </c>
      <c r="AA3423" s="204"/>
      <c r="AB3423" s="204"/>
    </row>
    <row r="3424" spans="1:28" ht="43.5" customHeight="1">
      <c r="A3424" s="156" t="str">
        <f>'Reported burning'!A3424</f>
        <v>378d</v>
      </c>
      <c r="B3424" s="156" t="str">
        <f>'Reported burning'!B3424</f>
        <v>378d.11</v>
      </c>
      <c r="C3424" s="156" t="str">
        <f>'Reported burning'!C3424</f>
        <v>Human, deliberate</v>
      </c>
      <c r="D3424" s="156" t="str">
        <f>'Reported burning'!D3424</f>
        <v>Crop residue burning</v>
      </c>
      <c r="E3424" s="156" t="str">
        <f>'Reported burning'!E3424</f>
        <v>All</v>
      </c>
      <c r="F3424" s="156" t="str">
        <f>'Reported burning'!F3424</f>
        <v>Cropland</v>
      </c>
      <c r="G3424" s="156" t="str">
        <f>'Reported burning'!G3424</f>
        <v>Cropland</v>
      </c>
      <c r="H3424" s="156" t="str">
        <f>'Reported burning'!H3424</f>
        <v>Presence</v>
      </c>
      <c r="I3424" s="5"/>
      <c r="J3424" s="21" t="s">
        <v>2276</v>
      </c>
      <c r="K3424" s="21" t="s">
        <v>2276</v>
      </c>
      <c r="L3424" s="21" t="s">
        <v>2276</v>
      </c>
      <c r="M3424" s="21" t="s">
        <v>2276</v>
      </c>
      <c r="N3424" s="21" t="s">
        <v>2276</v>
      </c>
      <c r="O3424" s="21" t="s">
        <v>2276</v>
      </c>
      <c r="P3424" s="21" t="s">
        <v>2276</v>
      </c>
      <c r="Q3424" s="21" t="s">
        <v>2276</v>
      </c>
      <c r="R3424" s="21" t="s">
        <v>2276</v>
      </c>
      <c r="S3424" s="21" t="s">
        <v>2276</v>
      </c>
      <c r="T3424" s="21" t="s">
        <v>2276</v>
      </c>
      <c r="U3424" s="21" t="s">
        <v>2276</v>
      </c>
      <c r="V3424" s="21" t="s">
        <v>2276</v>
      </c>
      <c r="W3424" s="21" t="s">
        <v>2276</v>
      </c>
      <c r="X3424" s="204" t="s">
        <v>189</v>
      </c>
      <c r="Y3424" s="204" t="s">
        <v>189</v>
      </c>
      <c r="Z3424" s="21" t="s">
        <v>2276</v>
      </c>
      <c r="AA3424" s="204"/>
      <c r="AB3424" s="204"/>
    </row>
    <row r="3425" spans="1:28" ht="43.5" customHeight="1">
      <c r="A3425" s="156" t="str">
        <f>'Reported burning'!A3425</f>
        <v>378d</v>
      </c>
      <c r="B3425" s="156" t="str">
        <f>'Reported burning'!B3425</f>
        <v>378d.12</v>
      </c>
      <c r="C3425" s="156" t="str">
        <f>'Reported burning'!C3425</f>
        <v>Human, deliberate</v>
      </c>
      <c r="D3425" s="156" t="str">
        <f>'Reported burning'!D3425</f>
        <v>Crop residue burning</v>
      </c>
      <c r="E3425" s="156" t="str">
        <f>'Reported burning'!E3425</f>
        <v>All</v>
      </c>
      <c r="F3425" s="156" t="str">
        <f>'Reported burning'!F3425</f>
        <v>Cropland</v>
      </c>
      <c r="G3425" s="156" t="str">
        <f>'Reported burning'!G3425</f>
        <v>Cropland</v>
      </c>
      <c r="H3425" s="156" t="str">
        <f>'Reported burning'!H3425</f>
        <v>Presence</v>
      </c>
      <c r="I3425" s="5"/>
      <c r="J3425" s="21" t="s">
        <v>2276</v>
      </c>
      <c r="K3425" s="21" t="s">
        <v>2276</v>
      </c>
      <c r="L3425" s="21" t="s">
        <v>2276</v>
      </c>
      <c r="M3425" s="21" t="s">
        <v>2276</v>
      </c>
      <c r="N3425" s="21" t="s">
        <v>2276</v>
      </c>
      <c r="O3425" s="21" t="s">
        <v>2276</v>
      </c>
      <c r="P3425" s="21" t="s">
        <v>2276</v>
      </c>
      <c r="Q3425" s="21" t="s">
        <v>2276</v>
      </c>
      <c r="R3425" s="21" t="s">
        <v>2276</v>
      </c>
      <c r="S3425" s="21" t="s">
        <v>2276</v>
      </c>
      <c r="T3425" s="21" t="s">
        <v>2276</v>
      </c>
      <c r="U3425" s="21" t="s">
        <v>2276</v>
      </c>
      <c r="V3425" s="21" t="s">
        <v>2276</v>
      </c>
      <c r="W3425" s="21" t="s">
        <v>2276</v>
      </c>
      <c r="X3425" s="204" t="s">
        <v>38</v>
      </c>
      <c r="Y3425" s="204" t="s">
        <v>38</v>
      </c>
      <c r="Z3425" s="21" t="s">
        <v>2276</v>
      </c>
      <c r="AA3425" s="204"/>
      <c r="AB3425" s="204"/>
    </row>
    <row r="3426" spans="1:28" ht="43.5" customHeight="1">
      <c r="A3426" s="156" t="str">
        <f>'Reported burning'!A3426</f>
        <v>378e</v>
      </c>
      <c r="B3426" s="156" t="str">
        <f>'Reported burning'!B3426</f>
        <v>378e.1</v>
      </c>
      <c r="C3426" s="156" t="str">
        <f>'Reported burning'!C3426</f>
        <v>Human, deliberate</v>
      </c>
      <c r="D3426" s="156" t="str">
        <f>'Reported burning'!D3426</f>
        <v>Crop residue burning</v>
      </c>
      <c r="E3426" s="156" t="str">
        <f>'Reported burning'!E3426</f>
        <v>All</v>
      </c>
      <c r="F3426" s="156" t="str">
        <f>'Reported burning'!F3426</f>
        <v>Cropland</v>
      </c>
      <c r="G3426" s="156" t="str">
        <f>'Reported burning'!G3426</f>
        <v>Cropland</v>
      </c>
      <c r="H3426" s="156" t="str">
        <f>'Reported burning'!H3426</f>
        <v>Presence</v>
      </c>
      <c r="I3426" s="5"/>
      <c r="J3426" s="21" t="s">
        <v>2276</v>
      </c>
      <c r="K3426" s="21" t="s">
        <v>2276</v>
      </c>
      <c r="L3426" s="21" t="s">
        <v>2276</v>
      </c>
      <c r="M3426" s="21" t="s">
        <v>2276</v>
      </c>
      <c r="N3426" s="21" t="s">
        <v>2276</v>
      </c>
      <c r="O3426" s="21" t="s">
        <v>2276</v>
      </c>
      <c r="P3426" s="21" t="s">
        <v>2276</v>
      </c>
      <c r="Q3426" s="21" t="s">
        <v>2276</v>
      </c>
      <c r="R3426" s="21" t="s">
        <v>2276</v>
      </c>
      <c r="S3426" s="21" t="s">
        <v>2276</v>
      </c>
      <c r="T3426" s="21" t="s">
        <v>2276</v>
      </c>
      <c r="U3426" s="21" t="s">
        <v>2276</v>
      </c>
      <c r="V3426" s="21" t="s">
        <v>2276</v>
      </c>
      <c r="W3426" s="21" t="s">
        <v>2276</v>
      </c>
      <c r="X3426" s="204" t="s">
        <v>86</v>
      </c>
      <c r="Y3426" s="204" t="s">
        <v>86</v>
      </c>
      <c r="Z3426" s="21" t="s">
        <v>2276</v>
      </c>
      <c r="AA3426" s="21"/>
      <c r="AB3426" s="204"/>
    </row>
    <row r="3427" spans="1:28" ht="43.5" customHeight="1">
      <c r="A3427" s="156" t="str">
        <f>'Reported burning'!A3427</f>
        <v>378e</v>
      </c>
      <c r="B3427" s="156" t="str">
        <f>'Reported burning'!B3427</f>
        <v>378e.2</v>
      </c>
      <c r="C3427" s="156" t="str">
        <f>'Reported burning'!C3427</f>
        <v>Human, deliberate</v>
      </c>
      <c r="D3427" s="156" t="str">
        <f>'Reported burning'!D3427</f>
        <v>Crop residue burning</v>
      </c>
      <c r="E3427" s="156" t="str">
        <f>'Reported burning'!E3427</f>
        <v>All</v>
      </c>
      <c r="F3427" s="156" t="str">
        <f>'Reported burning'!F3427</f>
        <v>Cropland</v>
      </c>
      <c r="G3427" s="156" t="str">
        <f>'Reported burning'!G3427</f>
        <v>Cropland</v>
      </c>
      <c r="H3427" s="156" t="str">
        <f>'Reported burning'!H3427</f>
        <v>Presence</v>
      </c>
      <c r="I3427" s="5"/>
      <c r="J3427" s="21" t="s">
        <v>2276</v>
      </c>
      <c r="K3427" s="21" t="s">
        <v>2276</v>
      </c>
      <c r="L3427" s="21" t="s">
        <v>2276</v>
      </c>
      <c r="M3427" s="21" t="s">
        <v>2276</v>
      </c>
      <c r="N3427" s="21" t="s">
        <v>2276</v>
      </c>
      <c r="O3427" s="21" t="s">
        <v>2276</v>
      </c>
      <c r="P3427" s="21" t="s">
        <v>2276</v>
      </c>
      <c r="Q3427" s="21" t="s">
        <v>2276</v>
      </c>
      <c r="R3427" s="21" t="s">
        <v>2276</v>
      </c>
      <c r="S3427" s="21" t="s">
        <v>2276</v>
      </c>
      <c r="T3427" s="21" t="s">
        <v>2276</v>
      </c>
      <c r="U3427" s="21" t="s">
        <v>2276</v>
      </c>
      <c r="V3427" s="21" t="s">
        <v>2276</v>
      </c>
      <c r="W3427" s="21" t="s">
        <v>2276</v>
      </c>
      <c r="X3427" s="204" t="s">
        <v>34</v>
      </c>
      <c r="Y3427" s="204" t="s">
        <v>34</v>
      </c>
      <c r="Z3427" s="21" t="s">
        <v>2276</v>
      </c>
      <c r="AA3427" s="21"/>
      <c r="AB3427" s="204"/>
    </row>
    <row r="3428" spans="1:28" ht="43.5" customHeight="1">
      <c r="A3428" s="156" t="str">
        <f>'Reported burning'!A3428</f>
        <v>378e</v>
      </c>
      <c r="B3428" s="156" t="str">
        <f>'Reported burning'!B3428</f>
        <v>378e.3</v>
      </c>
      <c r="C3428" s="156" t="str">
        <f>'Reported burning'!C3428</f>
        <v>Human, deliberate</v>
      </c>
      <c r="D3428" s="156" t="str">
        <f>'Reported burning'!D3428</f>
        <v>Crop residue burning</v>
      </c>
      <c r="E3428" s="156" t="str">
        <f>'Reported burning'!E3428</f>
        <v>All</v>
      </c>
      <c r="F3428" s="156" t="str">
        <f>'Reported burning'!F3428</f>
        <v>Cropland</v>
      </c>
      <c r="G3428" s="156" t="str">
        <f>'Reported burning'!G3428</f>
        <v>Cropland</v>
      </c>
      <c r="H3428" s="156" t="str">
        <f>'Reported burning'!H3428</f>
        <v>Presence</v>
      </c>
      <c r="I3428" s="5"/>
      <c r="J3428" s="21" t="s">
        <v>2276</v>
      </c>
      <c r="K3428" s="21" t="s">
        <v>2276</v>
      </c>
      <c r="L3428" s="21" t="s">
        <v>2276</v>
      </c>
      <c r="M3428" s="21" t="s">
        <v>2276</v>
      </c>
      <c r="N3428" s="21" t="s">
        <v>2276</v>
      </c>
      <c r="O3428" s="21" t="s">
        <v>2276</v>
      </c>
      <c r="P3428" s="21" t="s">
        <v>2276</v>
      </c>
      <c r="Q3428" s="21" t="s">
        <v>2276</v>
      </c>
      <c r="R3428" s="21" t="s">
        <v>2276</v>
      </c>
      <c r="S3428" s="21" t="s">
        <v>2276</v>
      </c>
      <c r="T3428" s="21" t="s">
        <v>2276</v>
      </c>
      <c r="U3428" s="21" t="s">
        <v>2276</v>
      </c>
      <c r="V3428" s="21" t="s">
        <v>2276</v>
      </c>
      <c r="W3428" s="21" t="s">
        <v>2276</v>
      </c>
      <c r="X3428" s="204" t="s">
        <v>404</v>
      </c>
      <c r="Y3428" s="204" t="s">
        <v>404</v>
      </c>
      <c r="Z3428" s="21" t="s">
        <v>2276</v>
      </c>
      <c r="AA3428" s="21"/>
      <c r="AB3428" s="204"/>
    </row>
    <row r="3429" spans="1:28" ht="43.5" customHeight="1">
      <c r="A3429" s="156" t="str">
        <f>'Reported burning'!A3429</f>
        <v>378e</v>
      </c>
      <c r="B3429" s="156" t="str">
        <f>'Reported burning'!B3429</f>
        <v>378e.4</v>
      </c>
      <c r="C3429" s="156" t="str">
        <f>'Reported burning'!C3429</f>
        <v>Human, deliberate</v>
      </c>
      <c r="D3429" s="156" t="str">
        <f>'Reported burning'!D3429</f>
        <v>Crop residue burning</v>
      </c>
      <c r="E3429" s="156" t="str">
        <f>'Reported burning'!E3429</f>
        <v>All</v>
      </c>
      <c r="F3429" s="156" t="str">
        <f>'Reported burning'!F3429</f>
        <v>Cropland</v>
      </c>
      <c r="G3429" s="156" t="str">
        <f>'Reported burning'!G3429</f>
        <v>Cropland</v>
      </c>
      <c r="H3429" s="156" t="str">
        <f>'Reported burning'!H3429</f>
        <v>Presence</v>
      </c>
      <c r="I3429" s="5"/>
      <c r="J3429" s="21" t="s">
        <v>2276</v>
      </c>
      <c r="K3429" s="21" t="s">
        <v>2276</v>
      </c>
      <c r="L3429" s="21" t="s">
        <v>2276</v>
      </c>
      <c r="M3429" s="21" t="s">
        <v>2276</v>
      </c>
      <c r="N3429" s="21" t="s">
        <v>2276</v>
      </c>
      <c r="O3429" s="21" t="s">
        <v>2276</v>
      </c>
      <c r="P3429" s="21" t="s">
        <v>2276</v>
      </c>
      <c r="Q3429" s="21" t="s">
        <v>2276</v>
      </c>
      <c r="R3429" s="21" t="s">
        <v>2276</v>
      </c>
      <c r="S3429" s="21" t="s">
        <v>2276</v>
      </c>
      <c r="T3429" s="21" t="s">
        <v>2276</v>
      </c>
      <c r="U3429" s="21" t="s">
        <v>2276</v>
      </c>
      <c r="V3429" s="21" t="s">
        <v>2276</v>
      </c>
      <c r="W3429" s="21" t="s">
        <v>2276</v>
      </c>
      <c r="X3429" s="204" t="s">
        <v>405</v>
      </c>
      <c r="Y3429" s="204" t="s">
        <v>405</v>
      </c>
      <c r="Z3429" s="21" t="s">
        <v>2276</v>
      </c>
      <c r="AA3429" s="21"/>
      <c r="AB3429" s="204"/>
    </row>
    <row r="3430" spans="1:28" ht="43.5" customHeight="1">
      <c r="A3430" s="156" t="str">
        <f>'Reported burning'!A3430</f>
        <v>378e</v>
      </c>
      <c r="B3430" s="156" t="str">
        <f>'Reported burning'!B3430</f>
        <v>378e.5</v>
      </c>
      <c r="C3430" s="156" t="str">
        <f>'Reported burning'!C3430</f>
        <v>Human, deliberate</v>
      </c>
      <c r="D3430" s="156" t="str">
        <f>'Reported burning'!D3430</f>
        <v>Crop residue burning</v>
      </c>
      <c r="E3430" s="156" t="str">
        <f>'Reported burning'!E3430</f>
        <v>All</v>
      </c>
      <c r="F3430" s="156" t="str">
        <f>'Reported burning'!F3430</f>
        <v>Cropland</v>
      </c>
      <c r="G3430" s="156" t="str">
        <f>'Reported burning'!G3430</f>
        <v>Cropland</v>
      </c>
      <c r="H3430" s="156" t="str">
        <f>'Reported burning'!H3430</f>
        <v>Presence</v>
      </c>
      <c r="I3430" s="5"/>
      <c r="J3430" s="21" t="s">
        <v>2276</v>
      </c>
      <c r="K3430" s="21" t="s">
        <v>2276</v>
      </c>
      <c r="L3430" s="21" t="s">
        <v>2276</v>
      </c>
      <c r="M3430" s="21" t="s">
        <v>2276</v>
      </c>
      <c r="N3430" s="21" t="s">
        <v>2276</v>
      </c>
      <c r="O3430" s="21" t="s">
        <v>2276</v>
      </c>
      <c r="P3430" s="21" t="s">
        <v>2276</v>
      </c>
      <c r="Q3430" s="21" t="s">
        <v>2276</v>
      </c>
      <c r="R3430" s="21" t="s">
        <v>2276</v>
      </c>
      <c r="S3430" s="21" t="s">
        <v>2276</v>
      </c>
      <c r="T3430" s="21" t="s">
        <v>2276</v>
      </c>
      <c r="U3430" s="21" t="s">
        <v>2276</v>
      </c>
      <c r="V3430" s="21" t="s">
        <v>2276</v>
      </c>
      <c r="W3430" s="21" t="s">
        <v>2276</v>
      </c>
      <c r="X3430" s="204" t="s">
        <v>425</v>
      </c>
      <c r="Y3430" s="204" t="s">
        <v>425</v>
      </c>
      <c r="Z3430" s="21" t="s">
        <v>2276</v>
      </c>
      <c r="AA3430" s="21"/>
      <c r="AB3430" s="204"/>
    </row>
    <row r="3431" spans="1:28" ht="43.5" customHeight="1">
      <c r="A3431" s="156" t="str">
        <f>'Reported burning'!A3431</f>
        <v>378e</v>
      </c>
      <c r="B3431" s="156" t="str">
        <f>'Reported burning'!B3431</f>
        <v>378e.6</v>
      </c>
      <c r="C3431" s="156" t="str">
        <f>'Reported burning'!C3431</f>
        <v>Human, deliberate</v>
      </c>
      <c r="D3431" s="156" t="str">
        <f>'Reported burning'!D3431</f>
        <v>Crop residue burning</v>
      </c>
      <c r="E3431" s="156" t="str">
        <f>'Reported burning'!E3431</f>
        <v>All</v>
      </c>
      <c r="F3431" s="156" t="str">
        <f>'Reported burning'!F3431</f>
        <v>Cropland</v>
      </c>
      <c r="G3431" s="156" t="str">
        <f>'Reported burning'!G3431</f>
        <v>Cropland</v>
      </c>
      <c r="H3431" s="156" t="str">
        <f>'Reported burning'!H3431</f>
        <v>Presence</v>
      </c>
      <c r="I3431" s="5"/>
      <c r="J3431" s="21" t="s">
        <v>2276</v>
      </c>
      <c r="K3431" s="21" t="s">
        <v>2276</v>
      </c>
      <c r="L3431" s="21" t="s">
        <v>2276</v>
      </c>
      <c r="M3431" s="21" t="s">
        <v>2276</v>
      </c>
      <c r="N3431" s="21" t="s">
        <v>2276</v>
      </c>
      <c r="O3431" s="21" t="s">
        <v>2276</v>
      </c>
      <c r="P3431" s="21" t="s">
        <v>2276</v>
      </c>
      <c r="Q3431" s="21" t="s">
        <v>2276</v>
      </c>
      <c r="R3431" s="21" t="s">
        <v>2276</v>
      </c>
      <c r="S3431" s="21" t="s">
        <v>2276</v>
      </c>
      <c r="T3431" s="21" t="s">
        <v>2276</v>
      </c>
      <c r="U3431" s="21" t="s">
        <v>2276</v>
      </c>
      <c r="V3431" s="21" t="s">
        <v>2276</v>
      </c>
      <c r="W3431" s="21" t="s">
        <v>2276</v>
      </c>
      <c r="X3431" s="204" t="s">
        <v>68</v>
      </c>
      <c r="Y3431" s="204" t="s">
        <v>68</v>
      </c>
      <c r="Z3431" s="21" t="s">
        <v>2276</v>
      </c>
      <c r="AA3431" s="21"/>
      <c r="AB3431" s="204"/>
    </row>
    <row r="3432" spans="1:28" ht="43.5" customHeight="1">
      <c r="A3432" s="156" t="str">
        <f>'Reported burning'!A3432</f>
        <v>378e</v>
      </c>
      <c r="B3432" s="156" t="str">
        <f>'Reported burning'!B3432</f>
        <v>378e.7</v>
      </c>
      <c r="C3432" s="156" t="str">
        <f>'Reported burning'!C3432</f>
        <v>Human, deliberate</v>
      </c>
      <c r="D3432" s="156" t="str">
        <f>'Reported burning'!D3432</f>
        <v>Crop residue burning</v>
      </c>
      <c r="E3432" s="156" t="str">
        <f>'Reported burning'!E3432</f>
        <v>All</v>
      </c>
      <c r="F3432" s="156" t="str">
        <f>'Reported burning'!F3432</f>
        <v>Cropland</v>
      </c>
      <c r="G3432" s="156" t="str">
        <f>'Reported burning'!G3432</f>
        <v>Cropland</v>
      </c>
      <c r="H3432" s="156" t="str">
        <f>'Reported burning'!H3432</f>
        <v>Presence</v>
      </c>
      <c r="I3432" s="5"/>
      <c r="J3432" s="21" t="s">
        <v>2276</v>
      </c>
      <c r="K3432" s="21" t="s">
        <v>2276</v>
      </c>
      <c r="L3432" s="21" t="s">
        <v>2276</v>
      </c>
      <c r="M3432" s="21" t="s">
        <v>2276</v>
      </c>
      <c r="N3432" s="21" t="s">
        <v>2276</v>
      </c>
      <c r="O3432" s="21" t="s">
        <v>2276</v>
      </c>
      <c r="P3432" s="21" t="s">
        <v>2276</v>
      </c>
      <c r="Q3432" s="21" t="s">
        <v>2276</v>
      </c>
      <c r="R3432" s="21" t="s">
        <v>2276</v>
      </c>
      <c r="S3432" s="21" t="s">
        <v>2276</v>
      </c>
      <c r="T3432" s="21" t="s">
        <v>2276</v>
      </c>
      <c r="U3432" s="21" t="s">
        <v>2276</v>
      </c>
      <c r="V3432" s="21" t="s">
        <v>2276</v>
      </c>
      <c r="W3432" s="21" t="s">
        <v>2276</v>
      </c>
      <c r="X3432" s="204" t="s">
        <v>35</v>
      </c>
      <c r="Y3432" s="204" t="s">
        <v>35</v>
      </c>
      <c r="Z3432" s="21" t="s">
        <v>2276</v>
      </c>
      <c r="AA3432" s="21"/>
      <c r="AB3432" s="204"/>
    </row>
    <row r="3433" spans="1:28" ht="43.5" customHeight="1">
      <c r="A3433" s="156" t="str">
        <f>'Reported burning'!A3433</f>
        <v>378e</v>
      </c>
      <c r="B3433" s="156" t="str">
        <f>'Reported burning'!B3433</f>
        <v>378e.8</v>
      </c>
      <c r="C3433" s="156" t="str">
        <f>'Reported burning'!C3433</f>
        <v>Human, deliberate</v>
      </c>
      <c r="D3433" s="156" t="str">
        <f>'Reported burning'!D3433</f>
        <v>Crop residue burning</v>
      </c>
      <c r="E3433" s="156" t="str">
        <f>'Reported burning'!E3433</f>
        <v>All</v>
      </c>
      <c r="F3433" s="156" t="str">
        <f>'Reported burning'!F3433</f>
        <v>Cropland</v>
      </c>
      <c r="G3433" s="156" t="str">
        <f>'Reported burning'!G3433</f>
        <v>Cropland</v>
      </c>
      <c r="H3433" s="156" t="str">
        <f>'Reported burning'!H3433</f>
        <v>Presence</v>
      </c>
      <c r="I3433" s="5"/>
      <c r="J3433" s="21" t="s">
        <v>2276</v>
      </c>
      <c r="K3433" s="21" t="s">
        <v>2276</v>
      </c>
      <c r="L3433" s="21" t="s">
        <v>2276</v>
      </c>
      <c r="M3433" s="21" t="s">
        <v>2276</v>
      </c>
      <c r="N3433" s="21" t="s">
        <v>2276</v>
      </c>
      <c r="O3433" s="21" t="s">
        <v>2276</v>
      </c>
      <c r="P3433" s="21" t="s">
        <v>2276</v>
      </c>
      <c r="Q3433" s="21" t="s">
        <v>2276</v>
      </c>
      <c r="R3433" s="21" t="s">
        <v>2276</v>
      </c>
      <c r="S3433" s="21" t="s">
        <v>2276</v>
      </c>
      <c r="T3433" s="21" t="s">
        <v>2276</v>
      </c>
      <c r="U3433" s="21" t="s">
        <v>2276</v>
      </c>
      <c r="V3433" s="21" t="s">
        <v>2276</v>
      </c>
      <c r="W3433" s="21" t="s">
        <v>2276</v>
      </c>
      <c r="X3433" s="204" t="s">
        <v>127</v>
      </c>
      <c r="Y3433" s="204" t="s">
        <v>127</v>
      </c>
      <c r="Z3433" s="21" t="s">
        <v>2276</v>
      </c>
      <c r="AA3433" s="21"/>
      <c r="AB3433" s="204"/>
    </row>
    <row r="3434" spans="1:28" ht="43.5" customHeight="1">
      <c r="A3434" s="156" t="str">
        <f>'Reported burning'!A3434</f>
        <v>378e</v>
      </c>
      <c r="B3434" s="156" t="str">
        <f>'Reported burning'!B3434</f>
        <v>378e.9</v>
      </c>
      <c r="C3434" s="156" t="str">
        <f>'Reported burning'!C3434</f>
        <v>Human, deliberate</v>
      </c>
      <c r="D3434" s="156" t="str">
        <f>'Reported burning'!D3434</f>
        <v>Crop residue burning</v>
      </c>
      <c r="E3434" s="156" t="str">
        <f>'Reported burning'!E3434</f>
        <v>All</v>
      </c>
      <c r="F3434" s="156" t="str">
        <f>'Reported burning'!F3434</f>
        <v>Cropland</v>
      </c>
      <c r="G3434" s="156" t="str">
        <f>'Reported burning'!G3434</f>
        <v>Cropland</v>
      </c>
      <c r="H3434" s="156" t="str">
        <f>'Reported burning'!H3434</f>
        <v>Presence</v>
      </c>
      <c r="I3434" s="5"/>
      <c r="J3434" s="21" t="s">
        <v>2276</v>
      </c>
      <c r="K3434" s="21" t="s">
        <v>2276</v>
      </c>
      <c r="L3434" s="21" t="s">
        <v>2276</v>
      </c>
      <c r="M3434" s="21" t="s">
        <v>2276</v>
      </c>
      <c r="N3434" s="21" t="s">
        <v>2276</v>
      </c>
      <c r="O3434" s="21" t="s">
        <v>2276</v>
      </c>
      <c r="P3434" s="21" t="s">
        <v>2276</v>
      </c>
      <c r="Q3434" s="21" t="s">
        <v>2276</v>
      </c>
      <c r="R3434" s="21" t="s">
        <v>2276</v>
      </c>
      <c r="S3434" s="21" t="s">
        <v>2276</v>
      </c>
      <c r="T3434" s="21" t="s">
        <v>2276</v>
      </c>
      <c r="U3434" s="21" t="s">
        <v>2276</v>
      </c>
      <c r="V3434" s="21" t="s">
        <v>2276</v>
      </c>
      <c r="W3434" s="21" t="s">
        <v>2276</v>
      </c>
      <c r="X3434" s="204" t="s">
        <v>399</v>
      </c>
      <c r="Y3434" s="204" t="s">
        <v>399</v>
      </c>
      <c r="Z3434" s="21" t="s">
        <v>2276</v>
      </c>
      <c r="AA3434" s="21"/>
      <c r="AB3434" s="204"/>
    </row>
    <row r="3435" spans="1:28" ht="43.5" customHeight="1">
      <c r="A3435" s="156" t="str">
        <f>'Reported burning'!A3435</f>
        <v>378e</v>
      </c>
      <c r="B3435" s="156" t="str">
        <f>'Reported burning'!B3435</f>
        <v>378e.10</v>
      </c>
      <c r="C3435" s="156" t="str">
        <f>'Reported burning'!C3435</f>
        <v>Human, deliberate</v>
      </c>
      <c r="D3435" s="156" t="str">
        <f>'Reported burning'!D3435</f>
        <v>Crop residue burning</v>
      </c>
      <c r="E3435" s="156" t="str">
        <f>'Reported burning'!E3435</f>
        <v>All</v>
      </c>
      <c r="F3435" s="156" t="str">
        <f>'Reported burning'!F3435</f>
        <v>Cropland</v>
      </c>
      <c r="G3435" s="156" t="str">
        <f>'Reported burning'!G3435</f>
        <v>Cropland</v>
      </c>
      <c r="H3435" s="156" t="str">
        <f>'Reported burning'!H3435</f>
        <v>Presence</v>
      </c>
      <c r="I3435" s="5"/>
      <c r="J3435" s="21" t="s">
        <v>2276</v>
      </c>
      <c r="K3435" s="21" t="s">
        <v>2276</v>
      </c>
      <c r="L3435" s="21" t="s">
        <v>2276</v>
      </c>
      <c r="M3435" s="21" t="s">
        <v>2276</v>
      </c>
      <c r="N3435" s="21" t="s">
        <v>2276</v>
      </c>
      <c r="O3435" s="21" t="s">
        <v>2276</v>
      </c>
      <c r="P3435" s="21" t="s">
        <v>2276</v>
      </c>
      <c r="Q3435" s="21" t="s">
        <v>2276</v>
      </c>
      <c r="R3435" s="21" t="s">
        <v>2276</v>
      </c>
      <c r="S3435" s="21" t="s">
        <v>2276</v>
      </c>
      <c r="T3435" s="21" t="s">
        <v>2276</v>
      </c>
      <c r="U3435" s="21" t="s">
        <v>2276</v>
      </c>
      <c r="V3435" s="21" t="s">
        <v>2276</v>
      </c>
      <c r="W3435" s="21" t="s">
        <v>2276</v>
      </c>
      <c r="X3435" s="204" t="s">
        <v>188</v>
      </c>
      <c r="Y3435" s="204" t="s">
        <v>188</v>
      </c>
      <c r="Z3435" s="21" t="s">
        <v>2276</v>
      </c>
      <c r="AA3435" s="204"/>
      <c r="AB3435" s="204"/>
    </row>
    <row r="3436" spans="1:28" ht="43.5" customHeight="1">
      <c r="A3436" s="156" t="str">
        <f>'Reported burning'!A3436</f>
        <v>378e</v>
      </c>
      <c r="B3436" s="156" t="str">
        <f>'Reported burning'!B3436</f>
        <v>378e.11</v>
      </c>
      <c r="C3436" s="156" t="str">
        <f>'Reported burning'!C3436</f>
        <v>Human, deliberate</v>
      </c>
      <c r="D3436" s="156" t="str">
        <f>'Reported burning'!D3436</f>
        <v>Crop residue burning</v>
      </c>
      <c r="E3436" s="156" t="str">
        <f>'Reported burning'!E3436</f>
        <v>All</v>
      </c>
      <c r="F3436" s="156" t="str">
        <f>'Reported burning'!F3436</f>
        <v>Cropland</v>
      </c>
      <c r="G3436" s="156" t="str">
        <f>'Reported burning'!G3436</f>
        <v>Cropland</v>
      </c>
      <c r="H3436" s="156" t="str">
        <f>'Reported burning'!H3436</f>
        <v>Presence</v>
      </c>
      <c r="I3436" s="5"/>
      <c r="J3436" s="21" t="s">
        <v>2276</v>
      </c>
      <c r="K3436" s="21" t="s">
        <v>2276</v>
      </c>
      <c r="L3436" s="21" t="s">
        <v>2276</v>
      </c>
      <c r="M3436" s="21" t="s">
        <v>2276</v>
      </c>
      <c r="N3436" s="21" t="s">
        <v>2276</v>
      </c>
      <c r="O3436" s="21" t="s">
        <v>2276</v>
      </c>
      <c r="P3436" s="21" t="s">
        <v>2276</v>
      </c>
      <c r="Q3436" s="21" t="s">
        <v>2276</v>
      </c>
      <c r="R3436" s="21" t="s">
        <v>2276</v>
      </c>
      <c r="S3436" s="21" t="s">
        <v>2276</v>
      </c>
      <c r="T3436" s="21" t="s">
        <v>2276</v>
      </c>
      <c r="U3436" s="21" t="s">
        <v>2276</v>
      </c>
      <c r="V3436" s="21" t="s">
        <v>2276</v>
      </c>
      <c r="W3436" s="21" t="s">
        <v>2276</v>
      </c>
      <c r="X3436" s="204" t="s">
        <v>189</v>
      </c>
      <c r="Y3436" s="204" t="s">
        <v>189</v>
      </c>
      <c r="Z3436" s="21" t="s">
        <v>2276</v>
      </c>
      <c r="AA3436" s="204"/>
      <c r="AB3436" s="204"/>
    </row>
    <row r="3437" spans="1:28" ht="43.5" customHeight="1">
      <c r="A3437" s="156" t="str">
        <f>'Reported burning'!A3437</f>
        <v>378e</v>
      </c>
      <c r="B3437" s="156" t="str">
        <f>'Reported burning'!B3437</f>
        <v>378e.12</v>
      </c>
      <c r="C3437" s="156" t="str">
        <f>'Reported burning'!C3437</f>
        <v>Human, deliberate</v>
      </c>
      <c r="D3437" s="156" t="str">
        <f>'Reported burning'!D3437</f>
        <v>Crop residue burning</v>
      </c>
      <c r="E3437" s="156" t="str">
        <f>'Reported burning'!E3437</f>
        <v>All</v>
      </c>
      <c r="F3437" s="156" t="str">
        <f>'Reported burning'!F3437</f>
        <v>Cropland</v>
      </c>
      <c r="G3437" s="156" t="str">
        <f>'Reported burning'!G3437</f>
        <v>Cropland</v>
      </c>
      <c r="H3437" s="156" t="str">
        <f>'Reported burning'!H3437</f>
        <v>Presence</v>
      </c>
      <c r="I3437" s="5"/>
      <c r="J3437" s="21" t="s">
        <v>2276</v>
      </c>
      <c r="K3437" s="21" t="s">
        <v>2276</v>
      </c>
      <c r="L3437" s="21" t="s">
        <v>2276</v>
      </c>
      <c r="M3437" s="21" t="s">
        <v>2276</v>
      </c>
      <c r="N3437" s="21" t="s">
        <v>2276</v>
      </c>
      <c r="O3437" s="21" t="s">
        <v>2276</v>
      </c>
      <c r="P3437" s="21" t="s">
        <v>2276</v>
      </c>
      <c r="Q3437" s="21" t="s">
        <v>2276</v>
      </c>
      <c r="R3437" s="21" t="s">
        <v>2276</v>
      </c>
      <c r="S3437" s="21" t="s">
        <v>2276</v>
      </c>
      <c r="T3437" s="21" t="s">
        <v>2276</v>
      </c>
      <c r="U3437" s="21" t="s">
        <v>2276</v>
      </c>
      <c r="V3437" s="21" t="s">
        <v>2276</v>
      </c>
      <c r="W3437" s="21" t="s">
        <v>2276</v>
      </c>
      <c r="X3437" s="204" t="s">
        <v>38</v>
      </c>
      <c r="Y3437" s="204" t="s">
        <v>38</v>
      </c>
      <c r="Z3437" s="21" t="s">
        <v>2276</v>
      </c>
      <c r="AA3437" s="204"/>
      <c r="AB3437" s="204"/>
    </row>
    <row r="3438" spans="1:28" ht="43.5" customHeight="1">
      <c r="A3438" s="156" t="str">
        <f>'Reported burning'!A3438</f>
        <v>378f</v>
      </c>
      <c r="B3438" s="156" t="str">
        <f>'Reported burning'!B3438</f>
        <v>378f.1</v>
      </c>
      <c r="C3438" s="156" t="str">
        <f>'Reported burning'!C3438</f>
        <v>Human, deliberate</v>
      </c>
      <c r="D3438" s="156" t="str">
        <f>'Reported burning'!D3438</f>
        <v>Crop residue burning</v>
      </c>
      <c r="E3438" s="156" t="str">
        <f>'Reported burning'!E3438</f>
        <v>All</v>
      </c>
      <c r="F3438" s="156" t="str">
        <f>'Reported burning'!F3438</f>
        <v>Cropland</v>
      </c>
      <c r="G3438" s="156" t="str">
        <f>'Reported burning'!G3438</f>
        <v>Cropland</v>
      </c>
      <c r="H3438" s="156" t="str">
        <f>'Reported burning'!H3438</f>
        <v>Presence</v>
      </c>
      <c r="I3438" s="5"/>
      <c r="J3438" s="21" t="s">
        <v>2276</v>
      </c>
      <c r="K3438" s="21" t="s">
        <v>2276</v>
      </c>
      <c r="L3438" s="21" t="s">
        <v>2276</v>
      </c>
      <c r="M3438" s="21" t="s">
        <v>2276</v>
      </c>
      <c r="N3438" s="21" t="s">
        <v>2276</v>
      </c>
      <c r="O3438" s="21" t="s">
        <v>2276</v>
      </c>
      <c r="P3438" s="21" t="s">
        <v>2276</v>
      </c>
      <c r="Q3438" s="21" t="s">
        <v>2276</v>
      </c>
      <c r="R3438" s="21" t="s">
        <v>2276</v>
      </c>
      <c r="S3438" s="21" t="s">
        <v>2276</v>
      </c>
      <c r="T3438" s="21" t="s">
        <v>2276</v>
      </c>
      <c r="U3438" s="21" t="s">
        <v>2276</v>
      </c>
      <c r="V3438" s="21" t="s">
        <v>2276</v>
      </c>
      <c r="W3438" s="21" t="s">
        <v>2276</v>
      </c>
      <c r="X3438" s="204" t="s">
        <v>86</v>
      </c>
      <c r="Y3438" s="204" t="s">
        <v>86</v>
      </c>
      <c r="Z3438" s="21" t="s">
        <v>2276</v>
      </c>
      <c r="AA3438" s="21"/>
      <c r="AB3438" s="204"/>
    </row>
    <row r="3439" spans="1:28" ht="43.5" customHeight="1">
      <c r="A3439" s="156" t="str">
        <f>'Reported burning'!A3439</f>
        <v>378f</v>
      </c>
      <c r="B3439" s="156" t="str">
        <f>'Reported burning'!B3439</f>
        <v>378f.2</v>
      </c>
      <c r="C3439" s="156" t="str">
        <f>'Reported burning'!C3439</f>
        <v>Human, deliberate</v>
      </c>
      <c r="D3439" s="156" t="str">
        <f>'Reported burning'!D3439</f>
        <v>Crop residue burning</v>
      </c>
      <c r="E3439" s="156" t="str">
        <f>'Reported burning'!E3439</f>
        <v>All</v>
      </c>
      <c r="F3439" s="156" t="str">
        <f>'Reported burning'!F3439</f>
        <v>Cropland</v>
      </c>
      <c r="G3439" s="156" t="str">
        <f>'Reported burning'!G3439</f>
        <v>Cropland</v>
      </c>
      <c r="H3439" s="156" t="str">
        <f>'Reported burning'!H3439</f>
        <v>Presence</v>
      </c>
      <c r="I3439" s="5"/>
      <c r="J3439" s="21" t="s">
        <v>2276</v>
      </c>
      <c r="K3439" s="21" t="s">
        <v>2276</v>
      </c>
      <c r="L3439" s="21" t="s">
        <v>2276</v>
      </c>
      <c r="M3439" s="21" t="s">
        <v>2276</v>
      </c>
      <c r="N3439" s="21" t="s">
        <v>2276</v>
      </c>
      <c r="O3439" s="21" t="s">
        <v>2276</v>
      </c>
      <c r="P3439" s="21" t="s">
        <v>2276</v>
      </c>
      <c r="Q3439" s="21" t="s">
        <v>2276</v>
      </c>
      <c r="R3439" s="21" t="s">
        <v>2276</v>
      </c>
      <c r="S3439" s="21" t="s">
        <v>2276</v>
      </c>
      <c r="T3439" s="21" t="s">
        <v>2276</v>
      </c>
      <c r="U3439" s="21" t="s">
        <v>2276</v>
      </c>
      <c r="V3439" s="21" t="s">
        <v>2276</v>
      </c>
      <c r="W3439" s="21" t="s">
        <v>2276</v>
      </c>
      <c r="X3439" s="204" t="s">
        <v>34</v>
      </c>
      <c r="Y3439" s="204" t="s">
        <v>34</v>
      </c>
      <c r="Z3439" s="21" t="s">
        <v>2276</v>
      </c>
      <c r="AA3439" s="21"/>
      <c r="AB3439" s="204"/>
    </row>
    <row r="3440" spans="1:28" ht="43.5" customHeight="1">
      <c r="A3440" s="156" t="str">
        <f>'Reported burning'!A3440</f>
        <v>378f</v>
      </c>
      <c r="B3440" s="156" t="str">
        <f>'Reported burning'!B3440</f>
        <v>378f.3</v>
      </c>
      <c r="C3440" s="156" t="str">
        <f>'Reported burning'!C3440</f>
        <v>Human, deliberate</v>
      </c>
      <c r="D3440" s="156" t="str">
        <f>'Reported burning'!D3440</f>
        <v>Crop residue burning</v>
      </c>
      <c r="E3440" s="156" t="str">
        <f>'Reported burning'!E3440</f>
        <v>All</v>
      </c>
      <c r="F3440" s="156" t="str">
        <f>'Reported burning'!F3440</f>
        <v>Cropland</v>
      </c>
      <c r="G3440" s="156" t="str">
        <f>'Reported burning'!G3440</f>
        <v>Cropland</v>
      </c>
      <c r="H3440" s="156" t="str">
        <f>'Reported burning'!H3440</f>
        <v>Presence</v>
      </c>
      <c r="I3440" s="5"/>
      <c r="J3440" s="21" t="s">
        <v>2276</v>
      </c>
      <c r="K3440" s="21" t="s">
        <v>2276</v>
      </c>
      <c r="L3440" s="21" t="s">
        <v>2276</v>
      </c>
      <c r="M3440" s="21" t="s">
        <v>2276</v>
      </c>
      <c r="N3440" s="21" t="s">
        <v>2276</v>
      </c>
      <c r="O3440" s="21" t="s">
        <v>2276</v>
      </c>
      <c r="P3440" s="21" t="s">
        <v>2276</v>
      </c>
      <c r="Q3440" s="21" t="s">
        <v>2276</v>
      </c>
      <c r="R3440" s="21" t="s">
        <v>2276</v>
      </c>
      <c r="S3440" s="21" t="s">
        <v>2276</v>
      </c>
      <c r="T3440" s="21" t="s">
        <v>2276</v>
      </c>
      <c r="U3440" s="21" t="s">
        <v>2276</v>
      </c>
      <c r="V3440" s="21" t="s">
        <v>2276</v>
      </c>
      <c r="W3440" s="21" t="s">
        <v>2276</v>
      </c>
      <c r="X3440" s="204" t="s">
        <v>404</v>
      </c>
      <c r="Y3440" s="204" t="s">
        <v>404</v>
      </c>
      <c r="Z3440" s="21" t="s">
        <v>2276</v>
      </c>
      <c r="AA3440" s="21"/>
      <c r="AB3440" s="204"/>
    </row>
    <row r="3441" spans="1:28" ht="43.5" customHeight="1">
      <c r="A3441" s="156" t="str">
        <f>'Reported burning'!A3441</f>
        <v>378f</v>
      </c>
      <c r="B3441" s="156" t="str">
        <f>'Reported burning'!B3441</f>
        <v>378f.4</v>
      </c>
      <c r="C3441" s="156" t="str">
        <f>'Reported burning'!C3441</f>
        <v>Human, deliberate</v>
      </c>
      <c r="D3441" s="156" t="str">
        <f>'Reported burning'!D3441</f>
        <v>Crop residue burning</v>
      </c>
      <c r="E3441" s="156" t="str">
        <f>'Reported burning'!E3441</f>
        <v>All</v>
      </c>
      <c r="F3441" s="156" t="str">
        <f>'Reported burning'!F3441</f>
        <v>Cropland</v>
      </c>
      <c r="G3441" s="156" t="str">
        <f>'Reported burning'!G3441</f>
        <v>Cropland</v>
      </c>
      <c r="H3441" s="156" t="str">
        <f>'Reported burning'!H3441</f>
        <v>Presence</v>
      </c>
      <c r="I3441" s="5"/>
      <c r="J3441" s="21" t="s">
        <v>2276</v>
      </c>
      <c r="K3441" s="21" t="s">
        <v>2276</v>
      </c>
      <c r="L3441" s="21" t="s">
        <v>2276</v>
      </c>
      <c r="M3441" s="21" t="s">
        <v>2276</v>
      </c>
      <c r="N3441" s="21" t="s">
        <v>2276</v>
      </c>
      <c r="O3441" s="21" t="s">
        <v>2276</v>
      </c>
      <c r="P3441" s="21" t="s">
        <v>2276</v>
      </c>
      <c r="Q3441" s="21" t="s">
        <v>2276</v>
      </c>
      <c r="R3441" s="21" t="s">
        <v>2276</v>
      </c>
      <c r="S3441" s="21" t="s">
        <v>2276</v>
      </c>
      <c r="T3441" s="21" t="s">
        <v>2276</v>
      </c>
      <c r="U3441" s="21" t="s">
        <v>2276</v>
      </c>
      <c r="V3441" s="21" t="s">
        <v>2276</v>
      </c>
      <c r="W3441" s="21" t="s">
        <v>2276</v>
      </c>
      <c r="X3441" s="204" t="s">
        <v>405</v>
      </c>
      <c r="Y3441" s="204" t="s">
        <v>405</v>
      </c>
      <c r="Z3441" s="21" t="s">
        <v>2276</v>
      </c>
      <c r="AA3441" s="21"/>
      <c r="AB3441" s="204"/>
    </row>
    <row r="3442" spans="1:28" ht="43.5" customHeight="1">
      <c r="A3442" s="156" t="str">
        <f>'Reported burning'!A3442</f>
        <v>378f</v>
      </c>
      <c r="B3442" s="156" t="str">
        <f>'Reported burning'!B3442</f>
        <v>378f.5</v>
      </c>
      <c r="C3442" s="156" t="str">
        <f>'Reported burning'!C3442</f>
        <v>Human, deliberate</v>
      </c>
      <c r="D3442" s="156" t="str">
        <f>'Reported burning'!D3442</f>
        <v>Crop residue burning</v>
      </c>
      <c r="E3442" s="156" t="str">
        <f>'Reported burning'!E3442</f>
        <v>All</v>
      </c>
      <c r="F3442" s="156" t="str">
        <f>'Reported burning'!F3442</f>
        <v>Cropland</v>
      </c>
      <c r="G3442" s="156" t="str">
        <f>'Reported burning'!G3442</f>
        <v>Cropland</v>
      </c>
      <c r="H3442" s="156" t="str">
        <f>'Reported burning'!H3442</f>
        <v>Presence</v>
      </c>
      <c r="I3442" s="5"/>
      <c r="J3442" s="21" t="s">
        <v>2276</v>
      </c>
      <c r="K3442" s="21" t="s">
        <v>2276</v>
      </c>
      <c r="L3442" s="21" t="s">
        <v>2276</v>
      </c>
      <c r="M3442" s="21" t="s">
        <v>2276</v>
      </c>
      <c r="N3442" s="21" t="s">
        <v>2276</v>
      </c>
      <c r="O3442" s="21" t="s">
        <v>2276</v>
      </c>
      <c r="P3442" s="21" t="s">
        <v>2276</v>
      </c>
      <c r="Q3442" s="21" t="s">
        <v>2276</v>
      </c>
      <c r="R3442" s="21" t="s">
        <v>2276</v>
      </c>
      <c r="S3442" s="21" t="s">
        <v>2276</v>
      </c>
      <c r="T3442" s="21" t="s">
        <v>2276</v>
      </c>
      <c r="U3442" s="21" t="s">
        <v>2276</v>
      </c>
      <c r="V3442" s="21" t="s">
        <v>2276</v>
      </c>
      <c r="W3442" s="21" t="s">
        <v>2276</v>
      </c>
      <c r="X3442" s="204" t="s">
        <v>425</v>
      </c>
      <c r="Y3442" s="204" t="s">
        <v>425</v>
      </c>
      <c r="Z3442" s="21" t="s">
        <v>2276</v>
      </c>
      <c r="AA3442" s="21"/>
      <c r="AB3442" s="204"/>
    </row>
    <row r="3443" spans="1:28" ht="43.5" customHeight="1">
      <c r="A3443" s="156" t="str">
        <f>'Reported burning'!A3443</f>
        <v>378f</v>
      </c>
      <c r="B3443" s="156" t="str">
        <f>'Reported burning'!B3443</f>
        <v>378f.6</v>
      </c>
      <c r="C3443" s="156" t="str">
        <f>'Reported burning'!C3443</f>
        <v>Human, deliberate</v>
      </c>
      <c r="D3443" s="156" t="str">
        <f>'Reported burning'!D3443</f>
        <v>Crop residue burning</v>
      </c>
      <c r="E3443" s="156" t="str">
        <f>'Reported burning'!E3443</f>
        <v>All</v>
      </c>
      <c r="F3443" s="156" t="str">
        <f>'Reported burning'!F3443</f>
        <v>Cropland</v>
      </c>
      <c r="G3443" s="156" t="str">
        <f>'Reported burning'!G3443</f>
        <v>Cropland</v>
      </c>
      <c r="H3443" s="156" t="str">
        <f>'Reported burning'!H3443</f>
        <v>Presence</v>
      </c>
      <c r="I3443" s="5"/>
      <c r="J3443" s="21" t="s">
        <v>2276</v>
      </c>
      <c r="K3443" s="21" t="s">
        <v>2276</v>
      </c>
      <c r="L3443" s="21" t="s">
        <v>2276</v>
      </c>
      <c r="M3443" s="21" t="s">
        <v>2276</v>
      </c>
      <c r="N3443" s="21" t="s">
        <v>2276</v>
      </c>
      <c r="O3443" s="21" t="s">
        <v>2276</v>
      </c>
      <c r="P3443" s="21" t="s">
        <v>2276</v>
      </c>
      <c r="Q3443" s="21" t="s">
        <v>2276</v>
      </c>
      <c r="R3443" s="21" t="s">
        <v>2276</v>
      </c>
      <c r="S3443" s="21" t="s">
        <v>2276</v>
      </c>
      <c r="T3443" s="21" t="s">
        <v>2276</v>
      </c>
      <c r="U3443" s="21" t="s">
        <v>2276</v>
      </c>
      <c r="V3443" s="21" t="s">
        <v>2276</v>
      </c>
      <c r="W3443" s="21" t="s">
        <v>2276</v>
      </c>
      <c r="X3443" s="204" t="s">
        <v>68</v>
      </c>
      <c r="Y3443" s="204" t="s">
        <v>68</v>
      </c>
      <c r="Z3443" s="21" t="s">
        <v>2276</v>
      </c>
      <c r="AA3443" s="21"/>
      <c r="AB3443" s="204"/>
    </row>
    <row r="3444" spans="1:28" ht="43.5" customHeight="1">
      <c r="A3444" s="156" t="str">
        <f>'Reported burning'!A3444</f>
        <v>378f</v>
      </c>
      <c r="B3444" s="156" t="str">
        <f>'Reported burning'!B3444</f>
        <v>378f.7</v>
      </c>
      <c r="C3444" s="156" t="str">
        <f>'Reported burning'!C3444</f>
        <v>Human, deliberate</v>
      </c>
      <c r="D3444" s="156" t="str">
        <f>'Reported burning'!D3444</f>
        <v>Crop residue burning</v>
      </c>
      <c r="E3444" s="156" t="str">
        <f>'Reported burning'!E3444</f>
        <v>All</v>
      </c>
      <c r="F3444" s="156" t="str">
        <f>'Reported burning'!F3444</f>
        <v>Cropland</v>
      </c>
      <c r="G3444" s="156" t="str">
        <f>'Reported burning'!G3444</f>
        <v>Cropland</v>
      </c>
      <c r="H3444" s="156" t="str">
        <f>'Reported burning'!H3444</f>
        <v>Presence</v>
      </c>
      <c r="I3444" s="5"/>
      <c r="J3444" s="21" t="s">
        <v>2276</v>
      </c>
      <c r="K3444" s="21" t="s">
        <v>2276</v>
      </c>
      <c r="L3444" s="21" t="s">
        <v>2276</v>
      </c>
      <c r="M3444" s="21" t="s">
        <v>2276</v>
      </c>
      <c r="N3444" s="21" t="s">
        <v>2276</v>
      </c>
      <c r="O3444" s="21" t="s">
        <v>2276</v>
      </c>
      <c r="P3444" s="21" t="s">
        <v>2276</v>
      </c>
      <c r="Q3444" s="21" t="s">
        <v>2276</v>
      </c>
      <c r="R3444" s="21" t="s">
        <v>2276</v>
      </c>
      <c r="S3444" s="21" t="s">
        <v>2276</v>
      </c>
      <c r="T3444" s="21" t="s">
        <v>2276</v>
      </c>
      <c r="U3444" s="21" t="s">
        <v>2276</v>
      </c>
      <c r="V3444" s="21" t="s">
        <v>2276</v>
      </c>
      <c r="W3444" s="21" t="s">
        <v>2276</v>
      </c>
      <c r="X3444" s="204" t="s">
        <v>35</v>
      </c>
      <c r="Y3444" s="204" t="s">
        <v>35</v>
      </c>
      <c r="Z3444" s="21" t="s">
        <v>2276</v>
      </c>
      <c r="AA3444" s="21"/>
      <c r="AB3444" s="204"/>
    </row>
    <row r="3445" spans="1:28" ht="43.5" customHeight="1">
      <c r="A3445" s="156" t="str">
        <f>'Reported burning'!A3445</f>
        <v>378f</v>
      </c>
      <c r="B3445" s="156" t="str">
        <f>'Reported burning'!B3445</f>
        <v>378f.8</v>
      </c>
      <c r="C3445" s="156" t="str">
        <f>'Reported burning'!C3445</f>
        <v>Human, deliberate</v>
      </c>
      <c r="D3445" s="156" t="str">
        <f>'Reported burning'!D3445</f>
        <v>Crop residue burning</v>
      </c>
      <c r="E3445" s="156" t="str">
        <f>'Reported burning'!E3445</f>
        <v>All</v>
      </c>
      <c r="F3445" s="156" t="str">
        <f>'Reported burning'!F3445</f>
        <v>Cropland</v>
      </c>
      <c r="G3445" s="156" t="str">
        <f>'Reported burning'!G3445</f>
        <v>Cropland</v>
      </c>
      <c r="H3445" s="156" t="str">
        <f>'Reported burning'!H3445</f>
        <v>Presence</v>
      </c>
      <c r="I3445" s="5"/>
      <c r="J3445" s="21" t="s">
        <v>2276</v>
      </c>
      <c r="K3445" s="21" t="s">
        <v>2276</v>
      </c>
      <c r="L3445" s="21" t="s">
        <v>2276</v>
      </c>
      <c r="M3445" s="21" t="s">
        <v>2276</v>
      </c>
      <c r="N3445" s="21" t="s">
        <v>2276</v>
      </c>
      <c r="O3445" s="21" t="s">
        <v>2276</v>
      </c>
      <c r="P3445" s="21" t="s">
        <v>2276</v>
      </c>
      <c r="Q3445" s="21" t="s">
        <v>2276</v>
      </c>
      <c r="R3445" s="21" t="s">
        <v>2276</v>
      </c>
      <c r="S3445" s="21" t="s">
        <v>2276</v>
      </c>
      <c r="T3445" s="21" t="s">
        <v>2276</v>
      </c>
      <c r="U3445" s="21" t="s">
        <v>2276</v>
      </c>
      <c r="V3445" s="21" t="s">
        <v>2276</v>
      </c>
      <c r="W3445" s="21" t="s">
        <v>2276</v>
      </c>
      <c r="X3445" s="204" t="s">
        <v>127</v>
      </c>
      <c r="Y3445" s="204" t="s">
        <v>127</v>
      </c>
      <c r="Z3445" s="21" t="s">
        <v>2276</v>
      </c>
      <c r="AA3445" s="21"/>
      <c r="AB3445" s="204"/>
    </row>
    <row r="3446" spans="1:28" ht="43.5" customHeight="1">
      <c r="A3446" s="156" t="str">
        <f>'Reported burning'!A3446</f>
        <v>378f</v>
      </c>
      <c r="B3446" s="156" t="str">
        <f>'Reported burning'!B3446</f>
        <v>378f.9</v>
      </c>
      <c r="C3446" s="156" t="str">
        <f>'Reported burning'!C3446</f>
        <v>Human, deliberate</v>
      </c>
      <c r="D3446" s="156" t="str">
        <f>'Reported burning'!D3446</f>
        <v>Crop residue burning</v>
      </c>
      <c r="E3446" s="156" t="str">
        <f>'Reported burning'!E3446</f>
        <v>All</v>
      </c>
      <c r="F3446" s="156" t="str">
        <f>'Reported burning'!F3446</f>
        <v>Cropland</v>
      </c>
      <c r="G3446" s="156" t="str">
        <f>'Reported burning'!G3446</f>
        <v>Cropland</v>
      </c>
      <c r="H3446" s="156" t="str">
        <f>'Reported burning'!H3446</f>
        <v>Presence</v>
      </c>
      <c r="I3446" s="5"/>
      <c r="J3446" s="21" t="s">
        <v>2276</v>
      </c>
      <c r="K3446" s="21" t="s">
        <v>2276</v>
      </c>
      <c r="L3446" s="21" t="s">
        <v>2276</v>
      </c>
      <c r="M3446" s="21" t="s">
        <v>2276</v>
      </c>
      <c r="N3446" s="21" t="s">
        <v>2276</v>
      </c>
      <c r="O3446" s="21" t="s">
        <v>2276</v>
      </c>
      <c r="P3446" s="21" t="s">
        <v>2276</v>
      </c>
      <c r="Q3446" s="21" t="s">
        <v>2276</v>
      </c>
      <c r="R3446" s="21" t="s">
        <v>2276</v>
      </c>
      <c r="S3446" s="21" t="s">
        <v>2276</v>
      </c>
      <c r="T3446" s="21" t="s">
        <v>2276</v>
      </c>
      <c r="U3446" s="21" t="s">
        <v>2276</v>
      </c>
      <c r="V3446" s="21" t="s">
        <v>2276</v>
      </c>
      <c r="W3446" s="21" t="s">
        <v>2276</v>
      </c>
      <c r="X3446" s="204" t="s">
        <v>399</v>
      </c>
      <c r="Y3446" s="204" t="s">
        <v>399</v>
      </c>
      <c r="Z3446" s="21" t="s">
        <v>2276</v>
      </c>
      <c r="AA3446" s="21"/>
      <c r="AB3446" s="204"/>
    </row>
    <row r="3447" spans="1:28" ht="43.5" customHeight="1">
      <c r="A3447" s="156" t="str">
        <f>'Reported burning'!A3447</f>
        <v>378f</v>
      </c>
      <c r="B3447" s="156" t="str">
        <f>'Reported burning'!B3447</f>
        <v>378f.10</v>
      </c>
      <c r="C3447" s="156" t="str">
        <f>'Reported burning'!C3447</f>
        <v>Human, deliberate</v>
      </c>
      <c r="D3447" s="156" t="str">
        <f>'Reported burning'!D3447</f>
        <v>Crop residue burning</v>
      </c>
      <c r="E3447" s="156" t="str">
        <f>'Reported burning'!E3447</f>
        <v>All</v>
      </c>
      <c r="F3447" s="156" t="str">
        <f>'Reported burning'!F3447</f>
        <v>Cropland</v>
      </c>
      <c r="G3447" s="156" t="str">
        <f>'Reported burning'!G3447</f>
        <v>Cropland</v>
      </c>
      <c r="H3447" s="156" t="str">
        <f>'Reported burning'!H3447</f>
        <v>Presence</v>
      </c>
      <c r="I3447" s="5"/>
      <c r="J3447" s="21" t="s">
        <v>2276</v>
      </c>
      <c r="K3447" s="21" t="s">
        <v>2276</v>
      </c>
      <c r="L3447" s="21" t="s">
        <v>2276</v>
      </c>
      <c r="M3447" s="21" t="s">
        <v>2276</v>
      </c>
      <c r="N3447" s="21" t="s">
        <v>2276</v>
      </c>
      <c r="O3447" s="21" t="s">
        <v>2276</v>
      </c>
      <c r="P3447" s="21" t="s">
        <v>2276</v>
      </c>
      <c r="Q3447" s="21" t="s">
        <v>2276</v>
      </c>
      <c r="R3447" s="21" t="s">
        <v>2276</v>
      </c>
      <c r="S3447" s="21" t="s">
        <v>2276</v>
      </c>
      <c r="T3447" s="21" t="s">
        <v>2276</v>
      </c>
      <c r="U3447" s="21" t="s">
        <v>2276</v>
      </c>
      <c r="V3447" s="21" t="s">
        <v>2276</v>
      </c>
      <c r="W3447" s="21" t="s">
        <v>2276</v>
      </c>
      <c r="X3447" s="204" t="s">
        <v>188</v>
      </c>
      <c r="Y3447" s="204" t="s">
        <v>188</v>
      </c>
      <c r="Z3447" s="21" t="s">
        <v>2276</v>
      </c>
      <c r="AA3447" s="204"/>
      <c r="AB3447" s="204"/>
    </row>
    <row r="3448" spans="1:28" ht="43.5" customHeight="1">
      <c r="A3448" s="156" t="str">
        <f>'Reported burning'!A3448</f>
        <v>378f</v>
      </c>
      <c r="B3448" s="156" t="str">
        <f>'Reported burning'!B3448</f>
        <v>378f.11</v>
      </c>
      <c r="C3448" s="156" t="str">
        <f>'Reported burning'!C3448</f>
        <v>Human, deliberate</v>
      </c>
      <c r="D3448" s="156" t="str">
        <f>'Reported burning'!D3448</f>
        <v>Crop residue burning</v>
      </c>
      <c r="E3448" s="156" t="str">
        <f>'Reported burning'!E3448</f>
        <v>All</v>
      </c>
      <c r="F3448" s="156" t="str">
        <f>'Reported burning'!F3448</f>
        <v>Cropland</v>
      </c>
      <c r="G3448" s="156" t="str">
        <f>'Reported burning'!G3448</f>
        <v>Cropland</v>
      </c>
      <c r="H3448" s="156" t="str">
        <f>'Reported burning'!H3448</f>
        <v>Presence</v>
      </c>
      <c r="I3448" s="5"/>
      <c r="J3448" s="21" t="s">
        <v>2276</v>
      </c>
      <c r="K3448" s="21" t="s">
        <v>2276</v>
      </c>
      <c r="L3448" s="21" t="s">
        <v>2276</v>
      </c>
      <c r="M3448" s="21" t="s">
        <v>2276</v>
      </c>
      <c r="N3448" s="21" t="s">
        <v>2276</v>
      </c>
      <c r="O3448" s="21" t="s">
        <v>2276</v>
      </c>
      <c r="P3448" s="21" t="s">
        <v>2276</v>
      </c>
      <c r="Q3448" s="21" t="s">
        <v>2276</v>
      </c>
      <c r="R3448" s="21" t="s">
        <v>2276</v>
      </c>
      <c r="S3448" s="21" t="s">
        <v>2276</v>
      </c>
      <c r="T3448" s="21" t="s">
        <v>2276</v>
      </c>
      <c r="U3448" s="21" t="s">
        <v>2276</v>
      </c>
      <c r="V3448" s="21" t="s">
        <v>2276</v>
      </c>
      <c r="W3448" s="21" t="s">
        <v>2276</v>
      </c>
      <c r="X3448" s="204" t="s">
        <v>189</v>
      </c>
      <c r="Y3448" s="204" t="s">
        <v>189</v>
      </c>
      <c r="Z3448" s="21" t="s">
        <v>2276</v>
      </c>
      <c r="AA3448" s="204"/>
      <c r="AB3448" s="204"/>
    </row>
    <row r="3449" spans="1:28" ht="43.5" customHeight="1">
      <c r="A3449" s="156" t="str">
        <f>'Reported burning'!A3449</f>
        <v>378f</v>
      </c>
      <c r="B3449" s="156" t="str">
        <f>'Reported burning'!B3449</f>
        <v>378f.12</v>
      </c>
      <c r="C3449" s="156" t="str">
        <f>'Reported burning'!C3449</f>
        <v>Human, deliberate</v>
      </c>
      <c r="D3449" s="156" t="str">
        <f>'Reported burning'!D3449</f>
        <v>Crop residue burning</v>
      </c>
      <c r="E3449" s="156" t="str">
        <f>'Reported burning'!E3449</f>
        <v>All</v>
      </c>
      <c r="F3449" s="156" t="str">
        <f>'Reported burning'!F3449</f>
        <v>Cropland</v>
      </c>
      <c r="G3449" s="156" t="str">
        <f>'Reported burning'!G3449</f>
        <v>Cropland</v>
      </c>
      <c r="H3449" s="156" t="str">
        <f>'Reported burning'!H3449</f>
        <v>Presence</v>
      </c>
      <c r="I3449" s="5"/>
      <c r="J3449" s="21" t="s">
        <v>2276</v>
      </c>
      <c r="K3449" s="21" t="s">
        <v>2276</v>
      </c>
      <c r="L3449" s="21" t="s">
        <v>2276</v>
      </c>
      <c r="M3449" s="21" t="s">
        <v>2276</v>
      </c>
      <c r="N3449" s="21" t="s">
        <v>2276</v>
      </c>
      <c r="O3449" s="21" t="s">
        <v>2276</v>
      </c>
      <c r="P3449" s="21" t="s">
        <v>2276</v>
      </c>
      <c r="Q3449" s="21" t="s">
        <v>2276</v>
      </c>
      <c r="R3449" s="21" t="s">
        <v>2276</v>
      </c>
      <c r="S3449" s="21" t="s">
        <v>2276</v>
      </c>
      <c r="T3449" s="21" t="s">
        <v>2276</v>
      </c>
      <c r="U3449" s="21" t="s">
        <v>2276</v>
      </c>
      <c r="V3449" s="21" t="s">
        <v>2276</v>
      </c>
      <c r="W3449" s="21" t="s">
        <v>2276</v>
      </c>
      <c r="X3449" s="204" t="s">
        <v>38</v>
      </c>
      <c r="Y3449" s="204" t="s">
        <v>38</v>
      </c>
      <c r="Z3449" s="21" t="s">
        <v>2276</v>
      </c>
      <c r="AA3449" s="204"/>
      <c r="AB3449" s="204"/>
    </row>
    <row r="3450" spans="1:28" ht="43.5" customHeight="1">
      <c r="A3450" s="156" t="str">
        <f>'Reported burning'!A3450</f>
        <v>378g</v>
      </c>
      <c r="B3450" s="156" t="str">
        <f>'Reported burning'!B3450</f>
        <v>378g.1</v>
      </c>
      <c r="C3450" s="156" t="str">
        <f>'Reported burning'!C3450</f>
        <v>Human, deliberate</v>
      </c>
      <c r="D3450" s="156" t="str">
        <f>'Reported burning'!D3450</f>
        <v>Crop residue burning</v>
      </c>
      <c r="E3450" s="156" t="str">
        <f>'Reported burning'!E3450</f>
        <v>All</v>
      </c>
      <c r="F3450" s="156" t="str">
        <f>'Reported burning'!F3450</f>
        <v>Cropland</v>
      </c>
      <c r="G3450" s="156" t="str">
        <f>'Reported burning'!G3450</f>
        <v>Cropland</v>
      </c>
      <c r="H3450" s="156" t="str">
        <f>'Reported burning'!H3450</f>
        <v>Presence</v>
      </c>
      <c r="I3450" s="5"/>
      <c r="J3450" s="21" t="s">
        <v>2276</v>
      </c>
      <c r="K3450" s="21" t="s">
        <v>2276</v>
      </c>
      <c r="L3450" s="21" t="s">
        <v>2276</v>
      </c>
      <c r="M3450" s="21" t="s">
        <v>2276</v>
      </c>
      <c r="N3450" s="21" t="s">
        <v>2276</v>
      </c>
      <c r="O3450" s="21" t="s">
        <v>2276</v>
      </c>
      <c r="P3450" s="21" t="s">
        <v>2276</v>
      </c>
      <c r="Q3450" s="21" t="s">
        <v>2276</v>
      </c>
      <c r="R3450" s="21" t="s">
        <v>2276</v>
      </c>
      <c r="S3450" s="21" t="s">
        <v>2276</v>
      </c>
      <c r="T3450" s="21" t="s">
        <v>2276</v>
      </c>
      <c r="U3450" s="21" t="s">
        <v>2276</v>
      </c>
      <c r="V3450" s="21" t="s">
        <v>2276</v>
      </c>
      <c r="W3450" s="21" t="s">
        <v>2276</v>
      </c>
      <c r="X3450" s="204" t="s">
        <v>86</v>
      </c>
      <c r="Y3450" s="204" t="s">
        <v>86</v>
      </c>
      <c r="Z3450" s="21" t="s">
        <v>2276</v>
      </c>
      <c r="AA3450" s="21"/>
      <c r="AB3450" s="204"/>
    </row>
    <row r="3451" spans="1:28" ht="43.5" customHeight="1">
      <c r="A3451" s="156" t="str">
        <f>'Reported burning'!A3451</f>
        <v>378g</v>
      </c>
      <c r="B3451" s="156" t="str">
        <f>'Reported burning'!B3451</f>
        <v>378g.2</v>
      </c>
      <c r="C3451" s="156" t="str">
        <f>'Reported burning'!C3451</f>
        <v>Human, deliberate</v>
      </c>
      <c r="D3451" s="156" t="str">
        <f>'Reported burning'!D3451</f>
        <v>Crop residue burning</v>
      </c>
      <c r="E3451" s="156" t="str">
        <f>'Reported burning'!E3451</f>
        <v>All</v>
      </c>
      <c r="F3451" s="156" t="str">
        <f>'Reported burning'!F3451</f>
        <v>Cropland</v>
      </c>
      <c r="G3451" s="156" t="str">
        <f>'Reported burning'!G3451</f>
        <v>Cropland</v>
      </c>
      <c r="H3451" s="156" t="str">
        <f>'Reported burning'!H3451</f>
        <v>Presence</v>
      </c>
      <c r="I3451" s="5"/>
      <c r="J3451" s="21" t="s">
        <v>2276</v>
      </c>
      <c r="K3451" s="21" t="s">
        <v>2276</v>
      </c>
      <c r="L3451" s="21" t="s">
        <v>2276</v>
      </c>
      <c r="M3451" s="21" t="s">
        <v>2276</v>
      </c>
      <c r="N3451" s="21" t="s">
        <v>2276</v>
      </c>
      <c r="O3451" s="21" t="s">
        <v>2276</v>
      </c>
      <c r="P3451" s="21" t="s">
        <v>2276</v>
      </c>
      <c r="Q3451" s="21" t="s">
        <v>2276</v>
      </c>
      <c r="R3451" s="21" t="s">
        <v>2276</v>
      </c>
      <c r="S3451" s="21" t="s">
        <v>2276</v>
      </c>
      <c r="T3451" s="21" t="s">
        <v>2276</v>
      </c>
      <c r="U3451" s="21" t="s">
        <v>2276</v>
      </c>
      <c r="V3451" s="21" t="s">
        <v>2276</v>
      </c>
      <c r="W3451" s="21" t="s">
        <v>2276</v>
      </c>
      <c r="X3451" s="204" t="s">
        <v>34</v>
      </c>
      <c r="Y3451" s="204" t="s">
        <v>34</v>
      </c>
      <c r="Z3451" s="21" t="s">
        <v>2276</v>
      </c>
      <c r="AA3451" s="21"/>
      <c r="AB3451" s="204"/>
    </row>
    <row r="3452" spans="1:28" ht="43.5" customHeight="1">
      <c r="A3452" s="156" t="str">
        <f>'Reported burning'!A3452</f>
        <v>378g</v>
      </c>
      <c r="B3452" s="156" t="str">
        <f>'Reported burning'!B3452</f>
        <v>378g.3</v>
      </c>
      <c r="C3452" s="156" t="str">
        <f>'Reported burning'!C3452</f>
        <v>Human, deliberate</v>
      </c>
      <c r="D3452" s="156" t="str">
        <f>'Reported burning'!D3452</f>
        <v>Crop residue burning</v>
      </c>
      <c r="E3452" s="156" t="str">
        <f>'Reported burning'!E3452</f>
        <v>All</v>
      </c>
      <c r="F3452" s="156" t="str">
        <f>'Reported burning'!F3452</f>
        <v>Cropland</v>
      </c>
      <c r="G3452" s="156" t="str">
        <f>'Reported burning'!G3452</f>
        <v>Cropland</v>
      </c>
      <c r="H3452" s="156" t="str">
        <f>'Reported burning'!H3452</f>
        <v>Presence</v>
      </c>
      <c r="I3452" s="5"/>
      <c r="J3452" s="21" t="s">
        <v>2276</v>
      </c>
      <c r="K3452" s="21" t="s">
        <v>2276</v>
      </c>
      <c r="L3452" s="21" t="s">
        <v>2276</v>
      </c>
      <c r="M3452" s="21" t="s">
        <v>2276</v>
      </c>
      <c r="N3452" s="21" t="s">
        <v>2276</v>
      </c>
      <c r="O3452" s="21" t="s">
        <v>2276</v>
      </c>
      <c r="P3452" s="21" t="s">
        <v>2276</v>
      </c>
      <c r="Q3452" s="21" t="s">
        <v>2276</v>
      </c>
      <c r="R3452" s="21" t="s">
        <v>2276</v>
      </c>
      <c r="S3452" s="21" t="s">
        <v>2276</v>
      </c>
      <c r="T3452" s="21" t="s">
        <v>2276</v>
      </c>
      <c r="U3452" s="21" t="s">
        <v>2276</v>
      </c>
      <c r="V3452" s="21" t="s">
        <v>2276</v>
      </c>
      <c r="W3452" s="21" t="s">
        <v>2276</v>
      </c>
      <c r="X3452" s="204" t="s">
        <v>404</v>
      </c>
      <c r="Y3452" s="204" t="s">
        <v>404</v>
      </c>
      <c r="Z3452" s="21" t="s">
        <v>2276</v>
      </c>
      <c r="AA3452" s="21"/>
      <c r="AB3452" s="204"/>
    </row>
    <row r="3453" spans="1:28" ht="43.5" customHeight="1">
      <c r="A3453" s="156" t="str">
        <f>'Reported burning'!A3453</f>
        <v>378g</v>
      </c>
      <c r="B3453" s="156" t="str">
        <f>'Reported burning'!B3453</f>
        <v>378g.4</v>
      </c>
      <c r="C3453" s="156" t="str">
        <f>'Reported burning'!C3453</f>
        <v>Human, deliberate</v>
      </c>
      <c r="D3453" s="156" t="str">
        <f>'Reported burning'!D3453</f>
        <v>Crop residue burning</v>
      </c>
      <c r="E3453" s="156" t="str">
        <f>'Reported burning'!E3453</f>
        <v>All</v>
      </c>
      <c r="F3453" s="156" t="str">
        <f>'Reported burning'!F3453</f>
        <v>Cropland</v>
      </c>
      <c r="G3453" s="156" t="str">
        <f>'Reported burning'!G3453</f>
        <v>Cropland</v>
      </c>
      <c r="H3453" s="156" t="str">
        <f>'Reported burning'!H3453</f>
        <v>Presence</v>
      </c>
      <c r="I3453" s="5"/>
      <c r="J3453" s="21" t="s">
        <v>2276</v>
      </c>
      <c r="K3453" s="21" t="s">
        <v>2276</v>
      </c>
      <c r="L3453" s="21" t="s">
        <v>2276</v>
      </c>
      <c r="M3453" s="21" t="s">
        <v>2276</v>
      </c>
      <c r="N3453" s="21" t="s">
        <v>2276</v>
      </c>
      <c r="O3453" s="21" t="s">
        <v>2276</v>
      </c>
      <c r="P3453" s="21" t="s">
        <v>2276</v>
      </c>
      <c r="Q3453" s="21" t="s">
        <v>2276</v>
      </c>
      <c r="R3453" s="21" t="s">
        <v>2276</v>
      </c>
      <c r="S3453" s="21" t="s">
        <v>2276</v>
      </c>
      <c r="T3453" s="21" t="s">
        <v>2276</v>
      </c>
      <c r="U3453" s="21" t="s">
        <v>2276</v>
      </c>
      <c r="V3453" s="21" t="s">
        <v>2276</v>
      </c>
      <c r="W3453" s="21" t="s">
        <v>2276</v>
      </c>
      <c r="X3453" s="204" t="s">
        <v>405</v>
      </c>
      <c r="Y3453" s="204" t="s">
        <v>405</v>
      </c>
      <c r="Z3453" s="21" t="s">
        <v>2276</v>
      </c>
      <c r="AA3453" s="21"/>
      <c r="AB3453" s="204"/>
    </row>
    <row r="3454" spans="1:28" ht="43.5" customHeight="1">
      <c r="A3454" s="156" t="str">
        <f>'Reported burning'!A3454</f>
        <v>378g</v>
      </c>
      <c r="B3454" s="156" t="str">
        <f>'Reported burning'!B3454</f>
        <v>378g.5</v>
      </c>
      <c r="C3454" s="156" t="str">
        <f>'Reported burning'!C3454</f>
        <v>Human, deliberate</v>
      </c>
      <c r="D3454" s="156" t="str">
        <f>'Reported burning'!D3454</f>
        <v>Crop residue burning</v>
      </c>
      <c r="E3454" s="156" t="str">
        <f>'Reported burning'!E3454</f>
        <v>All</v>
      </c>
      <c r="F3454" s="156" t="str">
        <f>'Reported burning'!F3454</f>
        <v>Cropland</v>
      </c>
      <c r="G3454" s="156" t="str">
        <f>'Reported burning'!G3454</f>
        <v>Cropland</v>
      </c>
      <c r="H3454" s="156" t="str">
        <f>'Reported burning'!H3454</f>
        <v>Presence</v>
      </c>
      <c r="I3454" s="5"/>
      <c r="J3454" s="21" t="s">
        <v>2276</v>
      </c>
      <c r="K3454" s="21" t="s">
        <v>2276</v>
      </c>
      <c r="L3454" s="21" t="s">
        <v>2276</v>
      </c>
      <c r="M3454" s="21" t="s">
        <v>2276</v>
      </c>
      <c r="N3454" s="21" t="s">
        <v>2276</v>
      </c>
      <c r="O3454" s="21" t="s">
        <v>2276</v>
      </c>
      <c r="P3454" s="21" t="s">
        <v>2276</v>
      </c>
      <c r="Q3454" s="21" t="s">
        <v>2276</v>
      </c>
      <c r="R3454" s="21" t="s">
        <v>2276</v>
      </c>
      <c r="S3454" s="21" t="s">
        <v>2276</v>
      </c>
      <c r="T3454" s="21" t="s">
        <v>2276</v>
      </c>
      <c r="U3454" s="21" t="s">
        <v>2276</v>
      </c>
      <c r="V3454" s="21" t="s">
        <v>2276</v>
      </c>
      <c r="W3454" s="21" t="s">
        <v>2276</v>
      </c>
      <c r="X3454" s="204" t="s">
        <v>425</v>
      </c>
      <c r="Y3454" s="204" t="s">
        <v>425</v>
      </c>
      <c r="Z3454" s="21" t="s">
        <v>2276</v>
      </c>
      <c r="AA3454" s="21"/>
      <c r="AB3454" s="204"/>
    </row>
    <row r="3455" spans="1:28" ht="43.5" customHeight="1">
      <c r="A3455" s="156" t="str">
        <f>'Reported burning'!A3455</f>
        <v>378g</v>
      </c>
      <c r="B3455" s="156" t="str">
        <f>'Reported burning'!B3455</f>
        <v>378g.6</v>
      </c>
      <c r="C3455" s="156" t="str">
        <f>'Reported burning'!C3455</f>
        <v>Human, deliberate</v>
      </c>
      <c r="D3455" s="156" t="str">
        <f>'Reported burning'!D3455</f>
        <v>Crop residue burning</v>
      </c>
      <c r="E3455" s="156" t="str">
        <f>'Reported burning'!E3455</f>
        <v>All</v>
      </c>
      <c r="F3455" s="156" t="str">
        <f>'Reported burning'!F3455</f>
        <v>Cropland</v>
      </c>
      <c r="G3455" s="156" t="str">
        <f>'Reported burning'!G3455</f>
        <v>Cropland</v>
      </c>
      <c r="H3455" s="156" t="str">
        <f>'Reported burning'!H3455</f>
        <v>Presence</v>
      </c>
      <c r="I3455" s="5"/>
      <c r="J3455" s="21" t="s">
        <v>2276</v>
      </c>
      <c r="K3455" s="21" t="s">
        <v>2276</v>
      </c>
      <c r="L3455" s="21" t="s">
        <v>2276</v>
      </c>
      <c r="M3455" s="21" t="s">
        <v>2276</v>
      </c>
      <c r="N3455" s="21" t="s">
        <v>2276</v>
      </c>
      <c r="O3455" s="21" t="s">
        <v>2276</v>
      </c>
      <c r="P3455" s="21" t="s">
        <v>2276</v>
      </c>
      <c r="Q3455" s="21" t="s">
        <v>2276</v>
      </c>
      <c r="R3455" s="21" t="s">
        <v>2276</v>
      </c>
      <c r="S3455" s="21" t="s">
        <v>2276</v>
      </c>
      <c r="T3455" s="21" t="s">
        <v>2276</v>
      </c>
      <c r="U3455" s="21" t="s">
        <v>2276</v>
      </c>
      <c r="V3455" s="21" t="s">
        <v>2276</v>
      </c>
      <c r="W3455" s="21" t="s">
        <v>2276</v>
      </c>
      <c r="X3455" s="204" t="s">
        <v>68</v>
      </c>
      <c r="Y3455" s="204" t="s">
        <v>68</v>
      </c>
      <c r="Z3455" s="21" t="s">
        <v>2276</v>
      </c>
      <c r="AA3455" s="21"/>
      <c r="AB3455" s="204"/>
    </row>
    <row r="3456" spans="1:28" ht="43.5" customHeight="1">
      <c r="A3456" s="156" t="str">
        <f>'Reported burning'!A3456</f>
        <v>378g</v>
      </c>
      <c r="B3456" s="156" t="str">
        <f>'Reported burning'!B3456</f>
        <v>378g.7</v>
      </c>
      <c r="C3456" s="156" t="str">
        <f>'Reported burning'!C3456</f>
        <v>Human, deliberate</v>
      </c>
      <c r="D3456" s="156" t="str">
        <f>'Reported burning'!D3456</f>
        <v>Crop residue burning</v>
      </c>
      <c r="E3456" s="156" t="str">
        <f>'Reported burning'!E3456</f>
        <v>All</v>
      </c>
      <c r="F3456" s="156" t="str">
        <f>'Reported burning'!F3456</f>
        <v>Cropland</v>
      </c>
      <c r="G3456" s="156" t="str">
        <f>'Reported burning'!G3456</f>
        <v>Cropland</v>
      </c>
      <c r="H3456" s="156" t="str">
        <f>'Reported burning'!H3456</f>
        <v>Presence</v>
      </c>
      <c r="I3456" s="5"/>
      <c r="J3456" s="21" t="s">
        <v>2276</v>
      </c>
      <c r="K3456" s="21" t="s">
        <v>2276</v>
      </c>
      <c r="L3456" s="21" t="s">
        <v>2276</v>
      </c>
      <c r="M3456" s="21" t="s">
        <v>2276</v>
      </c>
      <c r="N3456" s="21" t="s">
        <v>2276</v>
      </c>
      <c r="O3456" s="21" t="s">
        <v>2276</v>
      </c>
      <c r="P3456" s="21" t="s">
        <v>2276</v>
      </c>
      <c r="Q3456" s="21" t="s">
        <v>2276</v>
      </c>
      <c r="R3456" s="21" t="s">
        <v>2276</v>
      </c>
      <c r="S3456" s="21" t="s">
        <v>2276</v>
      </c>
      <c r="T3456" s="21" t="s">
        <v>2276</v>
      </c>
      <c r="U3456" s="21" t="s">
        <v>2276</v>
      </c>
      <c r="V3456" s="21" t="s">
        <v>2276</v>
      </c>
      <c r="W3456" s="21" t="s">
        <v>2276</v>
      </c>
      <c r="X3456" s="204" t="s">
        <v>35</v>
      </c>
      <c r="Y3456" s="204" t="s">
        <v>35</v>
      </c>
      <c r="Z3456" s="21" t="s">
        <v>2276</v>
      </c>
      <c r="AA3456" s="21"/>
      <c r="AB3456" s="204"/>
    </row>
    <row r="3457" spans="1:28" ht="43.5" customHeight="1">
      <c r="A3457" s="156" t="str">
        <f>'Reported burning'!A3457</f>
        <v>378g</v>
      </c>
      <c r="B3457" s="156" t="str">
        <f>'Reported burning'!B3457</f>
        <v>378g.8</v>
      </c>
      <c r="C3457" s="156" t="str">
        <f>'Reported burning'!C3457</f>
        <v>Human, deliberate</v>
      </c>
      <c r="D3457" s="156" t="str">
        <f>'Reported burning'!D3457</f>
        <v>Crop residue burning</v>
      </c>
      <c r="E3457" s="156" t="str">
        <f>'Reported burning'!E3457</f>
        <v>All</v>
      </c>
      <c r="F3457" s="156" t="str">
        <f>'Reported burning'!F3457</f>
        <v>Cropland</v>
      </c>
      <c r="G3457" s="156" t="str">
        <f>'Reported burning'!G3457</f>
        <v>Cropland</v>
      </c>
      <c r="H3457" s="156" t="str">
        <f>'Reported burning'!H3457</f>
        <v>Presence</v>
      </c>
      <c r="I3457" s="5"/>
      <c r="J3457" s="21" t="s">
        <v>2276</v>
      </c>
      <c r="K3457" s="21" t="s">
        <v>2276</v>
      </c>
      <c r="L3457" s="21" t="s">
        <v>2276</v>
      </c>
      <c r="M3457" s="21" t="s">
        <v>2276</v>
      </c>
      <c r="N3457" s="21" t="s">
        <v>2276</v>
      </c>
      <c r="O3457" s="21" t="s">
        <v>2276</v>
      </c>
      <c r="P3457" s="21" t="s">
        <v>2276</v>
      </c>
      <c r="Q3457" s="21" t="s">
        <v>2276</v>
      </c>
      <c r="R3457" s="21" t="s">
        <v>2276</v>
      </c>
      <c r="S3457" s="21" t="s">
        <v>2276</v>
      </c>
      <c r="T3457" s="21" t="s">
        <v>2276</v>
      </c>
      <c r="U3457" s="21" t="s">
        <v>2276</v>
      </c>
      <c r="V3457" s="21" t="s">
        <v>2276</v>
      </c>
      <c r="W3457" s="21" t="s">
        <v>2276</v>
      </c>
      <c r="X3457" s="204" t="s">
        <v>127</v>
      </c>
      <c r="Y3457" s="204" t="s">
        <v>127</v>
      </c>
      <c r="Z3457" s="21" t="s">
        <v>2276</v>
      </c>
      <c r="AA3457" s="21"/>
      <c r="AB3457" s="204"/>
    </row>
    <row r="3458" spans="1:28" ht="43.5" customHeight="1">
      <c r="A3458" s="156" t="str">
        <f>'Reported burning'!A3458</f>
        <v>378g</v>
      </c>
      <c r="B3458" s="156" t="str">
        <f>'Reported burning'!B3458</f>
        <v>378g.9</v>
      </c>
      <c r="C3458" s="156" t="str">
        <f>'Reported burning'!C3458</f>
        <v>Human, deliberate</v>
      </c>
      <c r="D3458" s="156" t="str">
        <f>'Reported burning'!D3458</f>
        <v>Crop residue burning</v>
      </c>
      <c r="E3458" s="156" t="str">
        <f>'Reported burning'!E3458</f>
        <v>All</v>
      </c>
      <c r="F3458" s="156" t="str">
        <f>'Reported burning'!F3458</f>
        <v>Cropland</v>
      </c>
      <c r="G3458" s="156" t="str">
        <f>'Reported burning'!G3458</f>
        <v>Cropland</v>
      </c>
      <c r="H3458" s="156" t="str">
        <f>'Reported burning'!H3458</f>
        <v>Presence</v>
      </c>
      <c r="I3458" s="5"/>
      <c r="J3458" s="21" t="s">
        <v>2276</v>
      </c>
      <c r="K3458" s="21" t="s">
        <v>2276</v>
      </c>
      <c r="L3458" s="21" t="s">
        <v>2276</v>
      </c>
      <c r="M3458" s="21" t="s">
        <v>2276</v>
      </c>
      <c r="N3458" s="21" t="s">
        <v>2276</v>
      </c>
      <c r="O3458" s="21" t="s">
        <v>2276</v>
      </c>
      <c r="P3458" s="21" t="s">
        <v>2276</v>
      </c>
      <c r="Q3458" s="21" t="s">
        <v>2276</v>
      </c>
      <c r="R3458" s="21" t="s">
        <v>2276</v>
      </c>
      <c r="S3458" s="21" t="s">
        <v>2276</v>
      </c>
      <c r="T3458" s="21" t="s">
        <v>2276</v>
      </c>
      <c r="U3458" s="21" t="s">
        <v>2276</v>
      </c>
      <c r="V3458" s="21" t="s">
        <v>2276</v>
      </c>
      <c r="W3458" s="21" t="s">
        <v>2276</v>
      </c>
      <c r="X3458" s="204" t="s">
        <v>399</v>
      </c>
      <c r="Y3458" s="204" t="s">
        <v>399</v>
      </c>
      <c r="Z3458" s="21" t="s">
        <v>2276</v>
      </c>
      <c r="AA3458" s="21"/>
      <c r="AB3458" s="204"/>
    </row>
    <row r="3459" spans="1:28" ht="43.5" customHeight="1">
      <c r="A3459" s="156" t="str">
        <f>'Reported burning'!A3459</f>
        <v>378g</v>
      </c>
      <c r="B3459" s="156" t="str">
        <f>'Reported burning'!B3459</f>
        <v>378g.10</v>
      </c>
      <c r="C3459" s="156" t="str">
        <f>'Reported burning'!C3459</f>
        <v>Human, deliberate</v>
      </c>
      <c r="D3459" s="156" t="str">
        <f>'Reported burning'!D3459</f>
        <v>Crop residue burning</v>
      </c>
      <c r="E3459" s="156" t="str">
        <f>'Reported burning'!E3459</f>
        <v>All</v>
      </c>
      <c r="F3459" s="156" t="str">
        <f>'Reported burning'!F3459</f>
        <v>Cropland</v>
      </c>
      <c r="G3459" s="156" t="str">
        <f>'Reported burning'!G3459</f>
        <v>Cropland</v>
      </c>
      <c r="H3459" s="156" t="str">
        <f>'Reported burning'!H3459</f>
        <v>Presence</v>
      </c>
      <c r="I3459" s="5"/>
      <c r="J3459" s="21" t="s">
        <v>2276</v>
      </c>
      <c r="K3459" s="21" t="s">
        <v>2276</v>
      </c>
      <c r="L3459" s="21" t="s">
        <v>2276</v>
      </c>
      <c r="M3459" s="21" t="s">
        <v>2276</v>
      </c>
      <c r="N3459" s="21" t="s">
        <v>2276</v>
      </c>
      <c r="O3459" s="21" t="s">
        <v>2276</v>
      </c>
      <c r="P3459" s="21" t="s">
        <v>2276</v>
      </c>
      <c r="Q3459" s="21" t="s">
        <v>2276</v>
      </c>
      <c r="R3459" s="21" t="s">
        <v>2276</v>
      </c>
      <c r="S3459" s="21" t="s">
        <v>2276</v>
      </c>
      <c r="T3459" s="21" t="s">
        <v>2276</v>
      </c>
      <c r="U3459" s="21" t="s">
        <v>2276</v>
      </c>
      <c r="V3459" s="21" t="s">
        <v>2276</v>
      </c>
      <c r="W3459" s="21" t="s">
        <v>2276</v>
      </c>
      <c r="X3459" s="204" t="s">
        <v>188</v>
      </c>
      <c r="Y3459" s="204" t="s">
        <v>188</v>
      </c>
      <c r="Z3459" s="21" t="s">
        <v>2276</v>
      </c>
      <c r="AA3459" s="204"/>
      <c r="AB3459" s="204"/>
    </row>
    <row r="3460" spans="1:28" ht="43.5" customHeight="1">
      <c r="A3460" s="156" t="str">
        <f>'Reported burning'!A3460</f>
        <v>378g</v>
      </c>
      <c r="B3460" s="156" t="str">
        <f>'Reported burning'!B3460</f>
        <v>378g.11</v>
      </c>
      <c r="C3460" s="156" t="str">
        <f>'Reported burning'!C3460</f>
        <v>Human, deliberate</v>
      </c>
      <c r="D3460" s="156" t="str">
        <f>'Reported burning'!D3460</f>
        <v>Crop residue burning</v>
      </c>
      <c r="E3460" s="156" t="str">
        <f>'Reported burning'!E3460</f>
        <v>All</v>
      </c>
      <c r="F3460" s="156" t="str">
        <f>'Reported burning'!F3460</f>
        <v>Cropland</v>
      </c>
      <c r="G3460" s="156" t="str">
        <f>'Reported burning'!G3460</f>
        <v>Cropland</v>
      </c>
      <c r="H3460" s="156" t="str">
        <f>'Reported burning'!H3460</f>
        <v>Presence</v>
      </c>
      <c r="I3460" s="5"/>
      <c r="J3460" s="21" t="s">
        <v>2276</v>
      </c>
      <c r="K3460" s="21" t="s">
        <v>2276</v>
      </c>
      <c r="L3460" s="21" t="s">
        <v>2276</v>
      </c>
      <c r="M3460" s="21" t="s">
        <v>2276</v>
      </c>
      <c r="N3460" s="21" t="s">
        <v>2276</v>
      </c>
      <c r="O3460" s="21" t="s">
        <v>2276</v>
      </c>
      <c r="P3460" s="21" t="s">
        <v>2276</v>
      </c>
      <c r="Q3460" s="21" t="s">
        <v>2276</v>
      </c>
      <c r="R3460" s="21" t="s">
        <v>2276</v>
      </c>
      <c r="S3460" s="21" t="s">
        <v>2276</v>
      </c>
      <c r="T3460" s="21" t="s">
        <v>2276</v>
      </c>
      <c r="U3460" s="21" t="s">
        <v>2276</v>
      </c>
      <c r="V3460" s="21" t="s">
        <v>2276</v>
      </c>
      <c r="W3460" s="21" t="s">
        <v>2276</v>
      </c>
      <c r="X3460" s="204" t="s">
        <v>189</v>
      </c>
      <c r="Y3460" s="204" t="s">
        <v>189</v>
      </c>
      <c r="Z3460" s="21" t="s">
        <v>2276</v>
      </c>
      <c r="AA3460" s="204"/>
      <c r="AB3460" s="204"/>
    </row>
    <row r="3461" spans="1:28" ht="43.5" customHeight="1">
      <c r="A3461" s="156" t="str">
        <f>'Reported burning'!A3461</f>
        <v>378g</v>
      </c>
      <c r="B3461" s="156" t="str">
        <f>'Reported burning'!B3461</f>
        <v>378g.12</v>
      </c>
      <c r="C3461" s="156" t="str">
        <f>'Reported burning'!C3461</f>
        <v>Human, deliberate</v>
      </c>
      <c r="D3461" s="156" t="str">
        <f>'Reported burning'!D3461</f>
        <v>Crop residue burning</v>
      </c>
      <c r="E3461" s="156" t="str">
        <f>'Reported burning'!E3461</f>
        <v>All</v>
      </c>
      <c r="F3461" s="156" t="str">
        <f>'Reported burning'!F3461</f>
        <v>Cropland</v>
      </c>
      <c r="G3461" s="156" t="str">
        <f>'Reported burning'!G3461</f>
        <v>Cropland</v>
      </c>
      <c r="H3461" s="156" t="str">
        <f>'Reported burning'!H3461</f>
        <v>Presence</v>
      </c>
      <c r="I3461" s="5"/>
      <c r="J3461" s="21" t="s">
        <v>2276</v>
      </c>
      <c r="K3461" s="21" t="s">
        <v>2276</v>
      </c>
      <c r="L3461" s="21" t="s">
        <v>2276</v>
      </c>
      <c r="M3461" s="21" t="s">
        <v>2276</v>
      </c>
      <c r="N3461" s="21" t="s">
        <v>2276</v>
      </c>
      <c r="O3461" s="21" t="s">
        <v>2276</v>
      </c>
      <c r="P3461" s="21" t="s">
        <v>2276</v>
      </c>
      <c r="Q3461" s="21" t="s">
        <v>2276</v>
      </c>
      <c r="R3461" s="21" t="s">
        <v>2276</v>
      </c>
      <c r="S3461" s="21" t="s">
        <v>2276</v>
      </c>
      <c r="T3461" s="21" t="s">
        <v>2276</v>
      </c>
      <c r="U3461" s="21" t="s">
        <v>2276</v>
      </c>
      <c r="V3461" s="21" t="s">
        <v>2276</v>
      </c>
      <c r="W3461" s="21" t="s">
        <v>2276</v>
      </c>
      <c r="X3461" s="204" t="s">
        <v>38</v>
      </c>
      <c r="Y3461" s="204" t="s">
        <v>38</v>
      </c>
      <c r="Z3461" s="21" t="s">
        <v>2276</v>
      </c>
      <c r="AA3461" s="204"/>
      <c r="AB3461" s="204"/>
    </row>
    <row r="3462" spans="1:28" ht="43.5" customHeight="1">
      <c r="A3462" s="156" t="str">
        <f>'Reported burning'!A3462</f>
        <v>378h</v>
      </c>
      <c r="B3462" s="156" t="str">
        <f>'Reported burning'!B3462</f>
        <v>378h.1</v>
      </c>
      <c r="C3462" s="156" t="str">
        <f>'Reported burning'!C3462</f>
        <v>Human, deliberate</v>
      </c>
      <c r="D3462" s="156" t="str">
        <f>'Reported burning'!D3462</f>
        <v>Crop residue burning</v>
      </c>
      <c r="E3462" s="156" t="str">
        <f>'Reported burning'!E3462</f>
        <v>All</v>
      </c>
      <c r="F3462" s="156" t="str">
        <f>'Reported burning'!F3462</f>
        <v>Cropland</v>
      </c>
      <c r="G3462" s="156" t="str">
        <f>'Reported burning'!G3462</f>
        <v>Cropland</v>
      </c>
      <c r="H3462" s="156" t="str">
        <f>'Reported burning'!H3462</f>
        <v>Presence</v>
      </c>
      <c r="I3462" s="5"/>
      <c r="J3462" s="21" t="s">
        <v>2276</v>
      </c>
      <c r="K3462" s="21" t="s">
        <v>2276</v>
      </c>
      <c r="L3462" s="21" t="s">
        <v>2276</v>
      </c>
      <c r="M3462" s="21" t="s">
        <v>2276</v>
      </c>
      <c r="N3462" s="21" t="s">
        <v>2276</v>
      </c>
      <c r="O3462" s="21" t="s">
        <v>2276</v>
      </c>
      <c r="P3462" s="21" t="s">
        <v>2276</v>
      </c>
      <c r="Q3462" s="21" t="s">
        <v>2276</v>
      </c>
      <c r="R3462" s="21" t="s">
        <v>2276</v>
      </c>
      <c r="S3462" s="21" t="s">
        <v>2276</v>
      </c>
      <c r="T3462" s="21" t="s">
        <v>2276</v>
      </c>
      <c r="U3462" s="21" t="s">
        <v>2276</v>
      </c>
      <c r="V3462" s="21" t="s">
        <v>2276</v>
      </c>
      <c r="W3462" s="21" t="s">
        <v>2276</v>
      </c>
      <c r="X3462" s="204" t="s">
        <v>86</v>
      </c>
      <c r="Y3462" s="204" t="s">
        <v>86</v>
      </c>
      <c r="Z3462" s="21" t="s">
        <v>2276</v>
      </c>
      <c r="AA3462" s="21"/>
      <c r="AB3462" s="204"/>
    </row>
    <row r="3463" spans="1:28" ht="43.5" customHeight="1">
      <c r="A3463" s="156" t="str">
        <f>'Reported burning'!A3463</f>
        <v>378h</v>
      </c>
      <c r="B3463" s="156" t="str">
        <f>'Reported burning'!B3463</f>
        <v>378h.2</v>
      </c>
      <c r="C3463" s="156" t="str">
        <f>'Reported burning'!C3463</f>
        <v>Human, deliberate</v>
      </c>
      <c r="D3463" s="156" t="str">
        <f>'Reported burning'!D3463</f>
        <v>Crop residue burning</v>
      </c>
      <c r="E3463" s="156" t="str">
        <f>'Reported burning'!E3463</f>
        <v>All</v>
      </c>
      <c r="F3463" s="156" t="str">
        <f>'Reported burning'!F3463</f>
        <v>Cropland</v>
      </c>
      <c r="G3463" s="156" t="str">
        <f>'Reported burning'!G3463</f>
        <v>Cropland</v>
      </c>
      <c r="H3463" s="156" t="str">
        <f>'Reported burning'!H3463</f>
        <v>Presence</v>
      </c>
      <c r="I3463" s="5"/>
      <c r="J3463" s="21" t="s">
        <v>2276</v>
      </c>
      <c r="K3463" s="21" t="s">
        <v>2276</v>
      </c>
      <c r="L3463" s="21" t="s">
        <v>2276</v>
      </c>
      <c r="M3463" s="21" t="s">
        <v>2276</v>
      </c>
      <c r="N3463" s="21" t="s">
        <v>2276</v>
      </c>
      <c r="O3463" s="21" t="s">
        <v>2276</v>
      </c>
      <c r="P3463" s="21" t="s">
        <v>2276</v>
      </c>
      <c r="Q3463" s="21" t="s">
        <v>2276</v>
      </c>
      <c r="R3463" s="21" t="s">
        <v>2276</v>
      </c>
      <c r="S3463" s="21" t="s">
        <v>2276</v>
      </c>
      <c r="T3463" s="21" t="s">
        <v>2276</v>
      </c>
      <c r="U3463" s="21" t="s">
        <v>2276</v>
      </c>
      <c r="V3463" s="21" t="s">
        <v>2276</v>
      </c>
      <c r="W3463" s="21" t="s">
        <v>2276</v>
      </c>
      <c r="X3463" s="204" t="s">
        <v>34</v>
      </c>
      <c r="Y3463" s="204" t="s">
        <v>34</v>
      </c>
      <c r="Z3463" s="21" t="s">
        <v>2276</v>
      </c>
      <c r="AA3463" s="21"/>
      <c r="AB3463" s="204"/>
    </row>
    <row r="3464" spans="1:28" ht="43.5" customHeight="1">
      <c r="A3464" s="156" t="str">
        <f>'Reported burning'!A3464</f>
        <v>378h</v>
      </c>
      <c r="B3464" s="156" t="str">
        <f>'Reported burning'!B3464</f>
        <v>378h.3</v>
      </c>
      <c r="C3464" s="156" t="str">
        <f>'Reported burning'!C3464</f>
        <v>Human, deliberate</v>
      </c>
      <c r="D3464" s="156" t="str">
        <f>'Reported burning'!D3464</f>
        <v>Crop residue burning</v>
      </c>
      <c r="E3464" s="156" t="str">
        <f>'Reported burning'!E3464</f>
        <v>All</v>
      </c>
      <c r="F3464" s="156" t="str">
        <f>'Reported burning'!F3464</f>
        <v>Cropland</v>
      </c>
      <c r="G3464" s="156" t="str">
        <f>'Reported burning'!G3464</f>
        <v>Cropland</v>
      </c>
      <c r="H3464" s="156" t="str">
        <f>'Reported burning'!H3464</f>
        <v>Presence</v>
      </c>
      <c r="I3464" s="5"/>
      <c r="J3464" s="21" t="s">
        <v>2276</v>
      </c>
      <c r="K3464" s="21" t="s">
        <v>2276</v>
      </c>
      <c r="L3464" s="21" t="s">
        <v>2276</v>
      </c>
      <c r="M3464" s="21" t="s">
        <v>2276</v>
      </c>
      <c r="N3464" s="21" t="s">
        <v>2276</v>
      </c>
      <c r="O3464" s="21" t="s">
        <v>2276</v>
      </c>
      <c r="P3464" s="21" t="s">
        <v>2276</v>
      </c>
      <c r="Q3464" s="21" t="s">
        <v>2276</v>
      </c>
      <c r="R3464" s="21" t="s">
        <v>2276</v>
      </c>
      <c r="S3464" s="21" t="s">
        <v>2276</v>
      </c>
      <c r="T3464" s="21" t="s">
        <v>2276</v>
      </c>
      <c r="U3464" s="21" t="s">
        <v>2276</v>
      </c>
      <c r="V3464" s="21" t="s">
        <v>2276</v>
      </c>
      <c r="W3464" s="21" t="s">
        <v>2276</v>
      </c>
      <c r="X3464" s="204" t="s">
        <v>404</v>
      </c>
      <c r="Y3464" s="204" t="s">
        <v>404</v>
      </c>
      <c r="Z3464" s="21" t="s">
        <v>2276</v>
      </c>
      <c r="AA3464" s="21"/>
      <c r="AB3464" s="204"/>
    </row>
    <row r="3465" spans="1:28" ht="43.5" customHeight="1">
      <c r="A3465" s="156" t="str">
        <f>'Reported burning'!A3465</f>
        <v>378h</v>
      </c>
      <c r="B3465" s="156" t="str">
        <f>'Reported burning'!B3465</f>
        <v>378h.4</v>
      </c>
      <c r="C3465" s="156" t="str">
        <f>'Reported burning'!C3465</f>
        <v>Human, deliberate</v>
      </c>
      <c r="D3465" s="156" t="str">
        <f>'Reported burning'!D3465</f>
        <v>Crop residue burning</v>
      </c>
      <c r="E3465" s="156" t="str">
        <f>'Reported burning'!E3465</f>
        <v>All</v>
      </c>
      <c r="F3465" s="156" t="str">
        <f>'Reported burning'!F3465</f>
        <v>Cropland</v>
      </c>
      <c r="G3465" s="156" t="str">
        <f>'Reported burning'!G3465</f>
        <v>Cropland</v>
      </c>
      <c r="H3465" s="156" t="str">
        <f>'Reported burning'!H3465</f>
        <v>Presence</v>
      </c>
      <c r="I3465" s="5"/>
      <c r="J3465" s="21" t="s">
        <v>2276</v>
      </c>
      <c r="K3465" s="21" t="s">
        <v>2276</v>
      </c>
      <c r="L3465" s="21" t="s">
        <v>2276</v>
      </c>
      <c r="M3465" s="21" t="s">
        <v>2276</v>
      </c>
      <c r="N3465" s="21" t="s">
        <v>2276</v>
      </c>
      <c r="O3465" s="21" t="s">
        <v>2276</v>
      </c>
      <c r="P3465" s="21" t="s">
        <v>2276</v>
      </c>
      <c r="Q3465" s="21" t="s">
        <v>2276</v>
      </c>
      <c r="R3465" s="21" t="s">
        <v>2276</v>
      </c>
      <c r="S3465" s="21" t="s">
        <v>2276</v>
      </c>
      <c r="T3465" s="21" t="s">
        <v>2276</v>
      </c>
      <c r="U3465" s="21" t="s">
        <v>2276</v>
      </c>
      <c r="V3465" s="21" t="s">
        <v>2276</v>
      </c>
      <c r="W3465" s="21" t="s">
        <v>2276</v>
      </c>
      <c r="X3465" s="204" t="s">
        <v>405</v>
      </c>
      <c r="Y3465" s="204" t="s">
        <v>405</v>
      </c>
      <c r="Z3465" s="21" t="s">
        <v>2276</v>
      </c>
      <c r="AA3465" s="21"/>
      <c r="AB3465" s="204"/>
    </row>
    <row r="3466" spans="1:28" ht="43.5" customHeight="1">
      <c r="A3466" s="156" t="str">
        <f>'Reported burning'!A3466</f>
        <v>378h</v>
      </c>
      <c r="B3466" s="156" t="str">
        <f>'Reported burning'!B3466</f>
        <v>378h.5</v>
      </c>
      <c r="C3466" s="156" t="str">
        <f>'Reported burning'!C3466</f>
        <v>Human, deliberate</v>
      </c>
      <c r="D3466" s="156" t="str">
        <f>'Reported burning'!D3466</f>
        <v>Crop residue burning</v>
      </c>
      <c r="E3466" s="156" t="str">
        <f>'Reported burning'!E3466</f>
        <v>All</v>
      </c>
      <c r="F3466" s="156" t="str">
        <f>'Reported burning'!F3466</f>
        <v>Cropland</v>
      </c>
      <c r="G3466" s="156" t="str">
        <f>'Reported burning'!G3466</f>
        <v>Cropland</v>
      </c>
      <c r="H3466" s="156" t="str">
        <f>'Reported burning'!H3466</f>
        <v>Presence</v>
      </c>
      <c r="I3466" s="5"/>
      <c r="J3466" s="21" t="s">
        <v>2276</v>
      </c>
      <c r="K3466" s="21" t="s">
        <v>2276</v>
      </c>
      <c r="L3466" s="21" t="s">
        <v>2276</v>
      </c>
      <c r="M3466" s="21" t="s">
        <v>2276</v>
      </c>
      <c r="N3466" s="21" t="s">
        <v>2276</v>
      </c>
      <c r="O3466" s="21" t="s">
        <v>2276</v>
      </c>
      <c r="P3466" s="21" t="s">
        <v>2276</v>
      </c>
      <c r="Q3466" s="21" t="s">
        <v>2276</v>
      </c>
      <c r="R3466" s="21" t="s">
        <v>2276</v>
      </c>
      <c r="S3466" s="21" t="s">
        <v>2276</v>
      </c>
      <c r="T3466" s="21" t="s">
        <v>2276</v>
      </c>
      <c r="U3466" s="21" t="s">
        <v>2276</v>
      </c>
      <c r="V3466" s="21" t="s">
        <v>2276</v>
      </c>
      <c r="W3466" s="21" t="s">
        <v>2276</v>
      </c>
      <c r="X3466" s="204" t="s">
        <v>425</v>
      </c>
      <c r="Y3466" s="204" t="s">
        <v>425</v>
      </c>
      <c r="Z3466" s="21" t="s">
        <v>2276</v>
      </c>
      <c r="AA3466" s="21"/>
      <c r="AB3466" s="204"/>
    </row>
    <row r="3467" spans="1:28" ht="43.5" customHeight="1">
      <c r="A3467" s="156" t="str">
        <f>'Reported burning'!A3467</f>
        <v>378h</v>
      </c>
      <c r="B3467" s="156" t="str">
        <f>'Reported burning'!B3467</f>
        <v>378h.6</v>
      </c>
      <c r="C3467" s="156" t="str">
        <f>'Reported burning'!C3467</f>
        <v>Human, deliberate</v>
      </c>
      <c r="D3467" s="156" t="str">
        <f>'Reported burning'!D3467</f>
        <v>Crop residue burning</v>
      </c>
      <c r="E3467" s="156" t="str">
        <f>'Reported burning'!E3467</f>
        <v>All</v>
      </c>
      <c r="F3467" s="156" t="str">
        <f>'Reported burning'!F3467</f>
        <v>Cropland</v>
      </c>
      <c r="G3467" s="156" t="str">
        <f>'Reported burning'!G3467</f>
        <v>Cropland</v>
      </c>
      <c r="H3467" s="156" t="str">
        <f>'Reported burning'!H3467</f>
        <v>Presence</v>
      </c>
      <c r="I3467" s="5"/>
      <c r="J3467" s="21" t="s">
        <v>2276</v>
      </c>
      <c r="K3467" s="21" t="s">
        <v>2276</v>
      </c>
      <c r="L3467" s="21" t="s">
        <v>2276</v>
      </c>
      <c r="M3467" s="21" t="s">
        <v>2276</v>
      </c>
      <c r="N3467" s="21" t="s">
        <v>2276</v>
      </c>
      <c r="O3467" s="21" t="s">
        <v>2276</v>
      </c>
      <c r="P3467" s="21" t="s">
        <v>2276</v>
      </c>
      <c r="Q3467" s="21" t="s">
        <v>2276</v>
      </c>
      <c r="R3467" s="21" t="s">
        <v>2276</v>
      </c>
      <c r="S3467" s="21" t="s">
        <v>2276</v>
      </c>
      <c r="T3467" s="21" t="s">
        <v>2276</v>
      </c>
      <c r="U3467" s="21" t="s">
        <v>2276</v>
      </c>
      <c r="V3467" s="21" t="s">
        <v>2276</v>
      </c>
      <c r="W3467" s="21" t="s">
        <v>2276</v>
      </c>
      <c r="X3467" s="204" t="s">
        <v>68</v>
      </c>
      <c r="Y3467" s="204" t="s">
        <v>68</v>
      </c>
      <c r="Z3467" s="21" t="s">
        <v>2276</v>
      </c>
      <c r="AA3467" s="21"/>
      <c r="AB3467" s="204"/>
    </row>
    <row r="3468" spans="1:28" ht="43.5" customHeight="1">
      <c r="A3468" s="156" t="str">
        <f>'Reported burning'!A3468</f>
        <v>378h</v>
      </c>
      <c r="B3468" s="156" t="str">
        <f>'Reported burning'!B3468</f>
        <v>378h.7</v>
      </c>
      <c r="C3468" s="156" t="str">
        <f>'Reported burning'!C3468</f>
        <v>Human, deliberate</v>
      </c>
      <c r="D3468" s="156" t="str">
        <f>'Reported burning'!D3468</f>
        <v>Crop residue burning</v>
      </c>
      <c r="E3468" s="156" t="str">
        <f>'Reported burning'!E3468</f>
        <v>All</v>
      </c>
      <c r="F3468" s="156" t="str">
        <f>'Reported burning'!F3468</f>
        <v>Cropland</v>
      </c>
      <c r="G3468" s="156" t="str">
        <f>'Reported burning'!G3468</f>
        <v>Cropland</v>
      </c>
      <c r="H3468" s="156" t="str">
        <f>'Reported burning'!H3468</f>
        <v>Absence</v>
      </c>
      <c r="I3468" s="5"/>
      <c r="J3468" s="21">
        <v>0</v>
      </c>
      <c r="K3468" s="21">
        <v>0</v>
      </c>
      <c r="L3468" s="21">
        <v>0</v>
      </c>
      <c r="M3468" s="21">
        <v>0</v>
      </c>
      <c r="N3468" s="21">
        <v>0</v>
      </c>
      <c r="O3468" s="21">
        <v>0</v>
      </c>
      <c r="P3468" s="21">
        <v>0</v>
      </c>
      <c r="Q3468" s="21">
        <v>0</v>
      </c>
      <c r="R3468" s="21">
        <v>0</v>
      </c>
      <c r="S3468" s="21">
        <v>0</v>
      </c>
      <c r="T3468" s="21">
        <v>0</v>
      </c>
      <c r="U3468" s="21">
        <v>0</v>
      </c>
      <c r="V3468" s="21">
        <v>0</v>
      </c>
      <c r="W3468" s="21" t="s">
        <v>2276</v>
      </c>
      <c r="X3468" s="204" t="s">
        <v>35</v>
      </c>
      <c r="Y3468" s="204" t="s">
        <v>35</v>
      </c>
      <c r="Z3468" s="21" t="s">
        <v>2276</v>
      </c>
      <c r="AA3468" s="21"/>
      <c r="AB3468" s="204"/>
    </row>
    <row r="3469" spans="1:28" ht="43.5" customHeight="1">
      <c r="A3469" s="156" t="str">
        <f>'Reported burning'!A3469</f>
        <v>378h</v>
      </c>
      <c r="B3469" s="156" t="str">
        <f>'Reported burning'!B3469</f>
        <v>378h.8</v>
      </c>
      <c r="C3469" s="156" t="str">
        <f>'Reported burning'!C3469</f>
        <v>Human, deliberate</v>
      </c>
      <c r="D3469" s="156" t="str">
        <f>'Reported burning'!D3469</f>
        <v>Crop residue burning</v>
      </c>
      <c r="E3469" s="156" t="str">
        <f>'Reported burning'!E3469</f>
        <v>All</v>
      </c>
      <c r="F3469" s="156" t="str">
        <f>'Reported burning'!F3469</f>
        <v>Cropland</v>
      </c>
      <c r="G3469" s="156" t="str">
        <f>'Reported burning'!G3469</f>
        <v>Cropland</v>
      </c>
      <c r="H3469" s="156" t="str">
        <f>'Reported burning'!H3469</f>
        <v>Absence</v>
      </c>
      <c r="I3469" s="5"/>
      <c r="J3469" s="21">
        <v>0</v>
      </c>
      <c r="K3469" s="21">
        <v>0</v>
      </c>
      <c r="L3469" s="21">
        <v>0</v>
      </c>
      <c r="M3469" s="21">
        <v>0</v>
      </c>
      <c r="N3469" s="21">
        <v>0</v>
      </c>
      <c r="O3469" s="21">
        <v>0</v>
      </c>
      <c r="P3469" s="21">
        <v>0</v>
      </c>
      <c r="Q3469" s="21">
        <v>0</v>
      </c>
      <c r="R3469" s="21">
        <v>0</v>
      </c>
      <c r="S3469" s="21">
        <v>0</v>
      </c>
      <c r="T3469" s="21">
        <v>0</v>
      </c>
      <c r="U3469" s="21">
        <v>0</v>
      </c>
      <c r="V3469" s="21">
        <v>0</v>
      </c>
      <c r="W3469" s="21" t="s">
        <v>2276</v>
      </c>
      <c r="X3469" s="204" t="s">
        <v>127</v>
      </c>
      <c r="Y3469" s="204" t="s">
        <v>127</v>
      </c>
      <c r="Z3469" s="21" t="s">
        <v>2276</v>
      </c>
      <c r="AA3469" s="21"/>
      <c r="AB3469" s="204"/>
    </row>
    <row r="3470" spans="1:28" ht="43.5" customHeight="1">
      <c r="A3470" s="156" t="str">
        <f>'Reported burning'!A3470</f>
        <v>378h</v>
      </c>
      <c r="B3470" s="156" t="str">
        <f>'Reported burning'!B3470</f>
        <v>378h.9</v>
      </c>
      <c r="C3470" s="156" t="str">
        <f>'Reported burning'!C3470</f>
        <v>Human, deliberate</v>
      </c>
      <c r="D3470" s="156" t="str">
        <f>'Reported burning'!D3470</f>
        <v>Crop residue burning</v>
      </c>
      <c r="E3470" s="156" t="str">
        <f>'Reported burning'!E3470</f>
        <v>All</v>
      </c>
      <c r="F3470" s="156" t="str">
        <f>'Reported burning'!F3470</f>
        <v>Cropland</v>
      </c>
      <c r="G3470" s="156" t="str">
        <f>'Reported burning'!G3470</f>
        <v>Cropland</v>
      </c>
      <c r="H3470" s="156" t="str">
        <f>'Reported burning'!H3470</f>
        <v>Presence</v>
      </c>
      <c r="I3470" s="5"/>
      <c r="J3470" s="21" t="s">
        <v>2276</v>
      </c>
      <c r="K3470" s="21" t="s">
        <v>2276</v>
      </c>
      <c r="L3470" s="21" t="s">
        <v>2276</v>
      </c>
      <c r="M3470" s="21" t="s">
        <v>2276</v>
      </c>
      <c r="N3470" s="21" t="s">
        <v>2276</v>
      </c>
      <c r="O3470" s="21" t="s">
        <v>2276</v>
      </c>
      <c r="P3470" s="21" t="s">
        <v>2276</v>
      </c>
      <c r="Q3470" s="21" t="s">
        <v>2276</v>
      </c>
      <c r="R3470" s="21" t="s">
        <v>2276</v>
      </c>
      <c r="S3470" s="21" t="s">
        <v>2276</v>
      </c>
      <c r="T3470" s="21" t="s">
        <v>2276</v>
      </c>
      <c r="U3470" s="21" t="s">
        <v>2276</v>
      </c>
      <c r="V3470" s="21" t="s">
        <v>2276</v>
      </c>
      <c r="W3470" s="21" t="s">
        <v>2276</v>
      </c>
      <c r="X3470" s="204" t="s">
        <v>399</v>
      </c>
      <c r="Y3470" s="204" t="s">
        <v>399</v>
      </c>
      <c r="Z3470" s="21" t="s">
        <v>2276</v>
      </c>
      <c r="AA3470" s="21"/>
      <c r="AB3470" s="204"/>
    </row>
    <row r="3471" spans="1:28" ht="43.5" customHeight="1">
      <c r="A3471" s="156" t="str">
        <f>'Reported burning'!A3471</f>
        <v>378h</v>
      </c>
      <c r="B3471" s="156" t="str">
        <f>'Reported burning'!B3471</f>
        <v>378h.10</v>
      </c>
      <c r="C3471" s="156" t="str">
        <f>'Reported burning'!C3471</f>
        <v>Human, deliberate</v>
      </c>
      <c r="D3471" s="156" t="str">
        <f>'Reported burning'!D3471</f>
        <v>Crop residue burning</v>
      </c>
      <c r="E3471" s="156" t="str">
        <f>'Reported burning'!E3471</f>
        <v>All</v>
      </c>
      <c r="F3471" s="156" t="str">
        <f>'Reported burning'!F3471</f>
        <v>Cropland</v>
      </c>
      <c r="G3471" s="156" t="str">
        <f>'Reported burning'!G3471</f>
        <v>Cropland</v>
      </c>
      <c r="H3471" s="156" t="str">
        <f>'Reported burning'!H3471</f>
        <v>Presence</v>
      </c>
      <c r="I3471" s="5"/>
      <c r="J3471" s="21" t="s">
        <v>2276</v>
      </c>
      <c r="K3471" s="21" t="s">
        <v>2276</v>
      </c>
      <c r="L3471" s="21" t="s">
        <v>2276</v>
      </c>
      <c r="M3471" s="21" t="s">
        <v>2276</v>
      </c>
      <c r="N3471" s="21" t="s">
        <v>2276</v>
      </c>
      <c r="O3471" s="21" t="s">
        <v>2276</v>
      </c>
      <c r="P3471" s="21" t="s">
        <v>2276</v>
      </c>
      <c r="Q3471" s="21" t="s">
        <v>2276</v>
      </c>
      <c r="R3471" s="21" t="s">
        <v>2276</v>
      </c>
      <c r="S3471" s="21" t="s">
        <v>2276</v>
      </c>
      <c r="T3471" s="21" t="s">
        <v>2276</v>
      </c>
      <c r="U3471" s="21" t="s">
        <v>2276</v>
      </c>
      <c r="V3471" s="21" t="s">
        <v>2276</v>
      </c>
      <c r="W3471" s="21" t="s">
        <v>2276</v>
      </c>
      <c r="X3471" s="204" t="s">
        <v>188</v>
      </c>
      <c r="Y3471" s="204" t="s">
        <v>188</v>
      </c>
      <c r="Z3471" s="21" t="s">
        <v>2276</v>
      </c>
      <c r="AA3471" s="204"/>
      <c r="AB3471" s="204"/>
    </row>
    <row r="3472" spans="1:28" ht="43.5" customHeight="1">
      <c r="A3472" s="156" t="str">
        <f>'Reported burning'!A3472</f>
        <v>378h</v>
      </c>
      <c r="B3472" s="156" t="str">
        <f>'Reported burning'!B3472</f>
        <v>378h.11</v>
      </c>
      <c r="C3472" s="156" t="str">
        <f>'Reported burning'!C3472</f>
        <v>Human, deliberate</v>
      </c>
      <c r="D3472" s="156" t="str">
        <f>'Reported burning'!D3472</f>
        <v>Crop residue burning</v>
      </c>
      <c r="E3472" s="156" t="str">
        <f>'Reported burning'!E3472</f>
        <v>All</v>
      </c>
      <c r="F3472" s="156" t="str">
        <f>'Reported burning'!F3472</f>
        <v>Cropland</v>
      </c>
      <c r="G3472" s="156" t="str">
        <f>'Reported burning'!G3472</f>
        <v>Cropland</v>
      </c>
      <c r="H3472" s="156" t="str">
        <f>'Reported burning'!H3472</f>
        <v>Presence</v>
      </c>
      <c r="I3472" s="5"/>
      <c r="J3472" s="21" t="s">
        <v>2276</v>
      </c>
      <c r="K3472" s="21" t="s">
        <v>2276</v>
      </c>
      <c r="L3472" s="21" t="s">
        <v>2276</v>
      </c>
      <c r="M3472" s="21" t="s">
        <v>2276</v>
      </c>
      <c r="N3472" s="21" t="s">
        <v>2276</v>
      </c>
      <c r="O3472" s="21" t="s">
        <v>2276</v>
      </c>
      <c r="P3472" s="21" t="s">
        <v>2276</v>
      </c>
      <c r="Q3472" s="21" t="s">
        <v>2276</v>
      </c>
      <c r="R3472" s="21" t="s">
        <v>2276</v>
      </c>
      <c r="S3472" s="21" t="s">
        <v>2276</v>
      </c>
      <c r="T3472" s="21" t="s">
        <v>2276</v>
      </c>
      <c r="U3472" s="21" t="s">
        <v>2276</v>
      </c>
      <c r="V3472" s="21" t="s">
        <v>2276</v>
      </c>
      <c r="W3472" s="21" t="s">
        <v>2276</v>
      </c>
      <c r="X3472" s="204" t="s">
        <v>189</v>
      </c>
      <c r="Y3472" s="204" t="s">
        <v>189</v>
      </c>
      <c r="Z3472" s="21" t="s">
        <v>2276</v>
      </c>
      <c r="AA3472" s="204"/>
      <c r="AB3472" s="204"/>
    </row>
    <row r="3473" spans="1:28" ht="43.5" customHeight="1">
      <c r="A3473" s="156" t="str">
        <f>'Reported burning'!A3473</f>
        <v>378h</v>
      </c>
      <c r="B3473" s="156" t="str">
        <f>'Reported burning'!B3473</f>
        <v>378h.12</v>
      </c>
      <c r="C3473" s="156" t="str">
        <f>'Reported burning'!C3473</f>
        <v>Human, deliberate</v>
      </c>
      <c r="D3473" s="156" t="str">
        <f>'Reported burning'!D3473</f>
        <v>Crop residue burning</v>
      </c>
      <c r="E3473" s="156" t="str">
        <f>'Reported burning'!E3473</f>
        <v>All</v>
      </c>
      <c r="F3473" s="156" t="str">
        <f>'Reported burning'!F3473</f>
        <v>Cropland</v>
      </c>
      <c r="G3473" s="156" t="str">
        <f>'Reported burning'!G3473</f>
        <v>Cropland</v>
      </c>
      <c r="H3473" s="156" t="str">
        <f>'Reported burning'!H3473</f>
        <v>Presence</v>
      </c>
      <c r="I3473" s="5"/>
      <c r="J3473" s="21" t="s">
        <v>2276</v>
      </c>
      <c r="K3473" s="21" t="s">
        <v>2276</v>
      </c>
      <c r="L3473" s="21" t="s">
        <v>2276</v>
      </c>
      <c r="M3473" s="21" t="s">
        <v>2276</v>
      </c>
      <c r="N3473" s="21" t="s">
        <v>2276</v>
      </c>
      <c r="O3473" s="21" t="s">
        <v>2276</v>
      </c>
      <c r="P3473" s="21" t="s">
        <v>2276</v>
      </c>
      <c r="Q3473" s="21" t="s">
        <v>2276</v>
      </c>
      <c r="R3473" s="21" t="s">
        <v>2276</v>
      </c>
      <c r="S3473" s="21" t="s">
        <v>2276</v>
      </c>
      <c r="T3473" s="21" t="s">
        <v>2276</v>
      </c>
      <c r="U3473" s="21" t="s">
        <v>2276</v>
      </c>
      <c r="V3473" s="21" t="s">
        <v>2276</v>
      </c>
      <c r="W3473" s="21" t="s">
        <v>2276</v>
      </c>
      <c r="X3473" s="204" t="s">
        <v>38</v>
      </c>
      <c r="Y3473" s="204" t="s">
        <v>38</v>
      </c>
      <c r="Z3473" s="21" t="s">
        <v>2276</v>
      </c>
      <c r="AA3473" s="204"/>
      <c r="AB3473" s="204"/>
    </row>
    <row r="3474" spans="1:28" ht="43.5" customHeight="1">
      <c r="A3474" s="156" t="str">
        <f>'Reported burning'!A3474</f>
        <v>378i</v>
      </c>
      <c r="B3474" s="156" t="str">
        <f>'Reported burning'!B3474</f>
        <v>378i.1</v>
      </c>
      <c r="C3474" s="156" t="str">
        <f>'Reported burning'!C3474</f>
        <v>Human, deliberate</v>
      </c>
      <c r="D3474" s="156" t="str">
        <f>'Reported burning'!D3474</f>
        <v>Crop residue burning</v>
      </c>
      <c r="E3474" s="156" t="str">
        <f>'Reported burning'!E3474</f>
        <v>All</v>
      </c>
      <c r="F3474" s="156" t="str">
        <f>'Reported burning'!F3474</f>
        <v>Cropland</v>
      </c>
      <c r="G3474" s="156" t="str">
        <f>'Reported burning'!G3474</f>
        <v>Cropland</v>
      </c>
      <c r="H3474" s="156" t="str">
        <f>'Reported burning'!H3474</f>
        <v>Presence</v>
      </c>
      <c r="I3474" s="5"/>
      <c r="J3474" s="21" t="s">
        <v>2276</v>
      </c>
      <c r="K3474" s="21" t="s">
        <v>2276</v>
      </c>
      <c r="L3474" s="21" t="s">
        <v>2276</v>
      </c>
      <c r="M3474" s="21" t="s">
        <v>2276</v>
      </c>
      <c r="N3474" s="21" t="s">
        <v>2276</v>
      </c>
      <c r="O3474" s="21" t="s">
        <v>2276</v>
      </c>
      <c r="P3474" s="21" t="s">
        <v>2276</v>
      </c>
      <c r="Q3474" s="21" t="s">
        <v>2276</v>
      </c>
      <c r="R3474" s="21" t="s">
        <v>2276</v>
      </c>
      <c r="S3474" s="21" t="s">
        <v>2276</v>
      </c>
      <c r="T3474" s="21" t="s">
        <v>2276</v>
      </c>
      <c r="U3474" s="21" t="s">
        <v>2276</v>
      </c>
      <c r="V3474" s="21" t="s">
        <v>2276</v>
      </c>
      <c r="W3474" s="21" t="s">
        <v>2276</v>
      </c>
      <c r="X3474" s="204" t="s">
        <v>86</v>
      </c>
      <c r="Y3474" s="204" t="s">
        <v>86</v>
      </c>
      <c r="Z3474" s="21" t="s">
        <v>2276</v>
      </c>
      <c r="AA3474" s="21"/>
      <c r="AB3474" s="204"/>
    </row>
    <row r="3475" spans="1:28" ht="43.5" customHeight="1">
      <c r="A3475" s="156" t="str">
        <f>'Reported burning'!A3475</f>
        <v>378i</v>
      </c>
      <c r="B3475" s="156" t="str">
        <f>'Reported burning'!B3475</f>
        <v>378i.2</v>
      </c>
      <c r="C3475" s="156" t="str">
        <f>'Reported burning'!C3475</f>
        <v>Human, deliberate</v>
      </c>
      <c r="D3475" s="156" t="str">
        <f>'Reported burning'!D3475</f>
        <v>Crop residue burning</v>
      </c>
      <c r="E3475" s="156" t="str">
        <f>'Reported burning'!E3475</f>
        <v>All</v>
      </c>
      <c r="F3475" s="156" t="str">
        <f>'Reported burning'!F3475</f>
        <v>Cropland</v>
      </c>
      <c r="G3475" s="156" t="str">
        <f>'Reported burning'!G3475</f>
        <v>Cropland</v>
      </c>
      <c r="H3475" s="156" t="str">
        <f>'Reported burning'!H3475</f>
        <v>Presence</v>
      </c>
      <c r="I3475" s="5"/>
      <c r="J3475" s="21" t="s">
        <v>2276</v>
      </c>
      <c r="K3475" s="21" t="s">
        <v>2276</v>
      </c>
      <c r="L3475" s="21" t="s">
        <v>2276</v>
      </c>
      <c r="M3475" s="21" t="s">
        <v>2276</v>
      </c>
      <c r="N3475" s="21" t="s">
        <v>2276</v>
      </c>
      <c r="O3475" s="21" t="s">
        <v>2276</v>
      </c>
      <c r="P3475" s="21" t="s">
        <v>2276</v>
      </c>
      <c r="Q3475" s="21" t="s">
        <v>2276</v>
      </c>
      <c r="R3475" s="21" t="s">
        <v>2276</v>
      </c>
      <c r="S3475" s="21" t="s">
        <v>2276</v>
      </c>
      <c r="T3475" s="21" t="s">
        <v>2276</v>
      </c>
      <c r="U3475" s="21" t="s">
        <v>2276</v>
      </c>
      <c r="V3475" s="21" t="s">
        <v>2276</v>
      </c>
      <c r="W3475" s="21" t="s">
        <v>2276</v>
      </c>
      <c r="X3475" s="204" t="s">
        <v>34</v>
      </c>
      <c r="Y3475" s="204" t="s">
        <v>34</v>
      </c>
      <c r="Z3475" s="21" t="s">
        <v>2276</v>
      </c>
      <c r="AA3475" s="21"/>
      <c r="AB3475" s="204"/>
    </row>
    <row r="3476" spans="1:28" ht="43.5" customHeight="1">
      <c r="A3476" s="156" t="str">
        <f>'Reported burning'!A3476</f>
        <v>378i</v>
      </c>
      <c r="B3476" s="156" t="str">
        <f>'Reported burning'!B3476</f>
        <v>378i.3</v>
      </c>
      <c r="C3476" s="156" t="str">
        <f>'Reported burning'!C3476</f>
        <v>Human, deliberate</v>
      </c>
      <c r="D3476" s="156" t="str">
        <f>'Reported burning'!D3476</f>
        <v>Crop residue burning</v>
      </c>
      <c r="E3476" s="156" t="str">
        <f>'Reported burning'!E3476</f>
        <v>All</v>
      </c>
      <c r="F3476" s="156" t="str">
        <f>'Reported burning'!F3476</f>
        <v>Cropland</v>
      </c>
      <c r="G3476" s="156" t="str">
        <f>'Reported burning'!G3476</f>
        <v>Cropland</v>
      </c>
      <c r="H3476" s="156" t="str">
        <f>'Reported burning'!H3476</f>
        <v>Presence</v>
      </c>
      <c r="I3476" s="5"/>
      <c r="J3476" s="21" t="s">
        <v>2276</v>
      </c>
      <c r="K3476" s="21" t="s">
        <v>2276</v>
      </c>
      <c r="L3476" s="21" t="s">
        <v>2276</v>
      </c>
      <c r="M3476" s="21" t="s">
        <v>2276</v>
      </c>
      <c r="N3476" s="21" t="s">
        <v>2276</v>
      </c>
      <c r="O3476" s="21" t="s">
        <v>2276</v>
      </c>
      <c r="P3476" s="21" t="s">
        <v>2276</v>
      </c>
      <c r="Q3476" s="21" t="s">
        <v>2276</v>
      </c>
      <c r="R3476" s="21" t="s">
        <v>2276</v>
      </c>
      <c r="S3476" s="21" t="s">
        <v>2276</v>
      </c>
      <c r="T3476" s="21" t="s">
        <v>2276</v>
      </c>
      <c r="U3476" s="21" t="s">
        <v>2276</v>
      </c>
      <c r="V3476" s="21" t="s">
        <v>2276</v>
      </c>
      <c r="W3476" s="21" t="s">
        <v>2276</v>
      </c>
      <c r="X3476" s="204" t="s">
        <v>404</v>
      </c>
      <c r="Y3476" s="204" t="s">
        <v>404</v>
      </c>
      <c r="Z3476" s="21" t="s">
        <v>2276</v>
      </c>
      <c r="AA3476" s="21"/>
      <c r="AB3476" s="204"/>
    </row>
    <row r="3477" spans="1:28" ht="43.5" customHeight="1">
      <c r="A3477" s="156" t="str">
        <f>'Reported burning'!A3477</f>
        <v>378i</v>
      </c>
      <c r="B3477" s="156" t="str">
        <f>'Reported burning'!B3477</f>
        <v>378i.4</v>
      </c>
      <c r="C3477" s="156" t="str">
        <f>'Reported burning'!C3477</f>
        <v>Human, deliberate</v>
      </c>
      <c r="D3477" s="156" t="str">
        <f>'Reported burning'!D3477</f>
        <v>Crop residue burning</v>
      </c>
      <c r="E3477" s="156" t="str">
        <f>'Reported burning'!E3477</f>
        <v>All</v>
      </c>
      <c r="F3477" s="156" t="str">
        <f>'Reported burning'!F3477</f>
        <v>Cropland</v>
      </c>
      <c r="G3477" s="156" t="str">
        <f>'Reported burning'!G3477</f>
        <v>Cropland</v>
      </c>
      <c r="H3477" s="156" t="str">
        <f>'Reported burning'!H3477</f>
        <v>Presence</v>
      </c>
      <c r="I3477" s="5"/>
      <c r="J3477" s="21" t="s">
        <v>2276</v>
      </c>
      <c r="K3477" s="21" t="s">
        <v>2276</v>
      </c>
      <c r="L3477" s="21" t="s">
        <v>2276</v>
      </c>
      <c r="M3477" s="21" t="s">
        <v>2276</v>
      </c>
      <c r="N3477" s="21" t="s">
        <v>2276</v>
      </c>
      <c r="O3477" s="21" t="s">
        <v>2276</v>
      </c>
      <c r="P3477" s="21" t="s">
        <v>2276</v>
      </c>
      <c r="Q3477" s="21" t="s">
        <v>2276</v>
      </c>
      <c r="R3477" s="21" t="s">
        <v>2276</v>
      </c>
      <c r="S3477" s="21" t="s">
        <v>2276</v>
      </c>
      <c r="T3477" s="21" t="s">
        <v>2276</v>
      </c>
      <c r="U3477" s="21" t="s">
        <v>2276</v>
      </c>
      <c r="V3477" s="21" t="s">
        <v>2276</v>
      </c>
      <c r="W3477" s="21" t="s">
        <v>2276</v>
      </c>
      <c r="X3477" s="204" t="s">
        <v>405</v>
      </c>
      <c r="Y3477" s="204" t="s">
        <v>405</v>
      </c>
      <c r="Z3477" s="21" t="s">
        <v>2276</v>
      </c>
      <c r="AA3477" s="21"/>
      <c r="AB3477" s="204"/>
    </row>
    <row r="3478" spans="1:28" ht="43.5" customHeight="1">
      <c r="A3478" s="156" t="str">
        <f>'Reported burning'!A3478</f>
        <v>378i</v>
      </c>
      <c r="B3478" s="156" t="str">
        <f>'Reported burning'!B3478</f>
        <v>378i.5</v>
      </c>
      <c r="C3478" s="156" t="str">
        <f>'Reported burning'!C3478</f>
        <v>Human, deliberate</v>
      </c>
      <c r="D3478" s="156" t="str">
        <f>'Reported burning'!D3478</f>
        <v>Crop residue burning</v>
      </c>
      <c r="E3478" s="156" t="str">
        <f>'Reported burning'!E3478</f>
        <v>All</v>
      </c>
      <c r="F3478" s="156" t="str">
        <f>'Reported burning'!F3478</f>
        <v>Cropland</v>
      </c>
      <c r="G3478" s="156" t="str">
        <f>'Reported burning'!G3478</f>
        <v>Cropland</v>
      </c>
      <c r="H3478" s="156" t="str">
        <f>'Reported burning'!H3478</f>
        <v>Presence</v>
      </c>
      <c r="I3478" s="5"/>
      <c r="J3478" s="21" t="s">
        <v>2276</v>
      </c>
      <c r="K3478" s="21" t="s">
        <v>2276</v>
      </c>
      <c r="L3478" s="21" t="s">
        <v>2276</v>
      </c>
      <c r="M3478" s="21" t="s">
        <v>2276</v>
      </c>
      <c r="N3478" s="21" t="s">
        <v>2276</v>
      </c>
      <c r="O3478" s="21" t="s">
        <v>2276</v>
      </c>
      <c r="P3478" s="21" t="s">
        <v>2276</v>
      </c>
      <c r="Q3478" s="21" t="s">
        <v>2276</v>
      </c>
      <c r="R3478" s="21" t="s">
        <v>2276</v>
      </c>
      <c r="S3478" s="21" t="s">
        <v>2276</v>
      </c>
      <c r="T3478" s="21" t="s">
        <v>2276</v>
      </c>
      <c r="U3478" s="21" t="s">
        <v>2276</v>
      </c>
      <c r="V3478" s="21" t="s">
        <v>2276</v>
      </c>
      <c r="W3478" s="21" t="s">
        <v>2276</v>
      </c>
      <c r="X3478" s="204" t="s">
        <v>425</v>
      </c>
      <c r="Y3478" s="204" t="s">
        <v>425</v>
      </c>
      <c r="Z3478" s="21" t="s">
        <v>2276</v>
      </c>
      <c r="AA3478" s="21"/>
      <c r="AB3478" s="204"/>
    </row>
    <row r="3479" spans="1:28" ht="43.5" customHeight="1">
      <c r="A3479" s="156" t="str">
        <f>'Reported burning'!A3479</f>
        <v>378i</v>
      </c>
      <c r="B3479" s="156" t="str">
        <f>'Reported burning'!B3479</f>
        <v>378i.6</v>
      </c>
      <c r="C3479" s="156" t="str">
        <f>'Reported burning'!C3479</f>
        <v>Human, deliberate</v>
      </c>
      <c r="D3479" s="156" t="str">
        <f>'Reported burning'!D3479</f>
        <v>Crop residue burning</v>
      </c>
      <c r="E3479" s="156" t="str">
        <f>'Reported burning'!E3479</f>
        <v>All</v>
      </c>
      <c r="F3479" s="156" t="str">
        <f>'Reported burning'!F3479</f>
        <v>Cropland</v>
      </c>
      <c r="G3479" s="156" t="str">
        <f>'Reported burning'!G3479</f>
        <v>Cropland</v>
      </c>
      <c r="H3479" s="156" t="str">
        <f>'Reported burning'!H3479</f>
        <v>Presence</v>
      </c>
      <c r="I3479" s="5"/>
      <c r="J3479" s="21" t="s">
        <v>2276</v>
      </c>
      <c r="K3479" s="21" t="s">
        <v>2276</v>
      </c>
      <c r="L3479" s="21" t="s">
        <v>2276</v>
      </c>
      <c r="M3479" s="21" t="s">
        <v>2276</v>
      </c>
      <c r="N3479" s="21" t="s">
        <v>2276</v>
      </c>
      <c r="O3479" s="21" t="s">
        <v>2276</v>
      </c>
      <c r="P3479" s="21" t="s">
        <v>2276</v>
      </c>
      <c r="Q3479" s="21" t="s">
        <v>2276</v>
      </c>
      <c r="R3479" s="21" t="s">
        <v>2276</v>
      </c>
      <c r="S3479" s="21" t="s">
        <v>2276</v>
      </c>
      <c r="T3479" s="21" t="s">
        <v>2276</v>
      </c>
      <c r="U3479" s="21" t="s">
        <v>2276</v>
      </c>
      <c r="V3479" s="21" t="s">
        <v>2276</v>
      </c>
      <c r="W3479" s="21" t="s">
        <v>2276</v>
      </c>
      <c r="X3479" s="204" t="s">
        <v>68</v>
      </c>
      <c r="Y3479" s="204" t="s">
        <v>68</v>
      </c>
      <c r="Z3479" s="21" t="s">
        <v>2276</v>
      </c>
      <c r="AA3479" s="21"/>
      <c r="AB3479" s="204"/>
    </row>
    <row r="3480" spans="1:28" ht="43.5" customHeight="1">
      <c r="A3480" s="156" t="str">
        <f>'Reported burning'!A3480</f>
        <v>378i</v>
      </c>
      <c r="B3480" s="156" t="str">
        <f>'Reported burning'!B3480</f>
        <v>378i.7</v>
      </c>
      <c r="C3480" s="156" t="str">
        <f>'Reported burning'!C3480</f>
        <v>Human, deliberate</v>
      </c>
      <c r="D3480" s="156" t="str">
        <f>'Reported burning'!D3480</f>
        <v>Crop residue burning</v>
      </c>
      <c r="E3480" s="156" t="str">
        <f>'Reported burning'!E3480</f>
        <v>All</v>
      </c>
      <c r="F3480" s="156" t="str">
        <f>'Reported burning'!F3480</f>
        <v>Cropland</v>
      </c>
      <c r="G3480" s="156" t="str">
        <f>'Reported burning'!G3480</f>
        <v>Cropland</v>
      </c>
      <c r="H3480" s="156" t="str">
        <f>'Reported burning'!H3480</f>
        <v>Presence</v>
      </c>
      <c r="I3480" s="5"/>
      <c r="J3480" s="21" t="s">
        <v>2276</v>
      </c>
      <c r="K3480" s="21" t="s">
        <v>2276</v>
      </c>
      <c r="L3480" s="21" t="s">
        <v>2276</v>
      </c>
      <c r="M3480" s="21" t="s">
        <v>2276</v>
      </c>
      <c r="N3480" s="21" t="s">
        <v>2276</v>
      </c>
      <c r="O3480" s="21" t="s">
        <v>2276</v>
      </c>
      <c r="P3480" s="21" t="s">
        <v>2276</v>
      </c>
      <c r="Q3480" s="21" t="s">
        <v>2276</v>
      </c>
      <c r="R3480" s="21" t="s">
        <v>2276</v>
      </c>
      <c r="S3480" s="21" t="s">
        <v>2276</v>
      </c>
      <c r="T3480" s="21" t="s">
        <v>2276</v>
      </c>
      <c r="U3480" s="21" t="s">
        <v>2276</v>
      </c>
      <c r="V3480" s="21" t="s">
        <v>2276</v>
      </c>
      <c r="W3480" s="21" t="s">
        <v>2276</v>
      </c>
      <c r="X3480" s="204" t="s">
        <v>35</v>
      </c>
      <c r="Y3480" s="204" t="s">
        <v>35</v>
      </c>
      <c r="Z3480" s="21" t="s">
        <v>2276</v>
      </c>
      <c r="AA3480" s="21"/>
      <c r="AB3480" s="204"/>
    </row>
    <row r="3481" spans="1:28" ht="43.5" customHeight="1">
      <c r="A3481" s="156" t="str">
        <f>'Reported burning'!A3481</f>
        <v>378i</v>
      </c>
      <c r="B3481" s="156" t="str">
        <f>'Reported burning'!B3481</f>
        <v>378i.8</v>
      </c>
      <c r="C3481" s="156" t="str">
        <f>'Reported burning'!C3481</f>
        <v>Human, deliberate</v>
      </c>
      <c r="D3481" s="156" t="str">
        <f>'Reported burning'!D3481</f>
        <v>Crop residue burning</v>
      </c>
      <c r="E3481" s="156" t="str">
        <f>'Reported burning'!E3481</f>
        <v>All</v>
      </c>
      <c r="F3481" s="156" t="str">
        <f>'Reported burning'!F3481</f>
        <v>Cropland</v>
      </c>
      <c r="G3481" s="156" t="str">
        <f>'Reported burning'!G3481</f>
        <v>Cropland</v>
      </c>
      <c r="H3481" s="156" t="str">
        <f>'Reported burning'!H3481</f>
        <v>Presence</v>
      </c>
      <c r="I3481" s="5"/>
      <c r="J3481" s="21" t="s">
        <v>2276</v>
      </c>
      <c r="K3481" s="21" t="s">
        <v>2276</v>
      </c>
      <c r="L3481" s="21" t="s">
        <v>2276</v>
      </c>
      <c r="M3481" s="21" t="s">
        <v>2276</v>
      </c>
      <c r="N3481" s="21" t="s">
        <v>2276</v>
      </c>
      <c r="O3481" s="21" t="s">
        <v>2276</v>
      </c>
      <c r="P3481" s="21" t="s">
        <v>2276</v>
      </c>
      <c r="Q3481" s="21" t="s">
        <v>2276</v>
      </c>
      <c r="R3481" s="21" t="s">
        <v>2276</v>
      </c>
      <c r="S3481" s="21" t="s">
        <v>2276</v>
      </c>
      <c r="T3481" s="21" t="s">
        <v>2276</v>
      </c>
      <c r="U3481" s="21" t="s">
        <v>2276</v>
      </c>
      <c r="V3481" s="21" t="s">
        <v>2276</v>
      </c>
      <c r="W3481" s="21" t="s">
        <v>2276</v>
      </c>
      <c r="X3481" s="204" t="s">
        <v>127</v>
      </c>
      <c r="Y3481" s="204" t="s">
        <v>127</v>
      </c>
      <c r="Z3481" s="21" t="s">
        <v>2276</v>
      </c>
      <c r="AA3481" s="21"/>
      <c r="AB3481" s="204"/>
    </row>
    <row r="3482" spans="1:28" ht="43.5" customHeight="1">
      <c r="A3482" s="156" t="str">
        <f>'Reported burning'!A3482</f>
        <v>378i</v>
      </c>
      <c r="B3482" s="156" t="str">
        <f>'Reported burning'!B3482</f>
        <v>378i.9</v>
      </c>
      <c r="C3482" s="156" t="str">
        <f>'Reported burning'!C3482</f>
        <v>Human, deliberate</v>
      </c>
      <c r="D3482" s="156" t="str">
        <f>'Reported burning'!D3482</f>
        <v>Crop residue burning</v>
      </c>
      <c r="E3482" s="156" t="str">
        <f>'Reported burning'!E3482</f>
        <v>All</v>
      </c>
      <c r="F3482" s="156" t="str">
        <f>'Reported burning'!F3482</f>
        <v>Cropland</v>
      </c>
      <c r="G3482" s="156" t="str">
        <f>'Reported burning'!G3482</f>
        <v>Cropland</v>
      </c>
      <c r="H3482" s="156" t="str">
        <f>'Reported burning'!H3482</f>
        <v>Presence</v>
      </c>
      <c r="I3482" s="5"/>
      <c r="J3482" s="21" t="s">
        <v>2276</v>
      </c>
      <c r="K3482" s="21" t="s">
        <v>2276</v>
      </c>
      <c r="L3482" s="21" t="s">
        <v>2276</v>
      </c>
      <c r="M3482" s="21" t="s">
        <v>2276</v>
      </c>
      <c r="N3482" s="21" t="s">
        <v>2276</v>
      </c>
      <c r="O3482" s="21" t="s">
        <v>2276</v>
      </c>
      <c r="P3482" s="21" t="s">
        <v>2276</v>
      </c>
      <c r="Q3482" s="21" t="s">
        <v>2276</v>
      </c>
      <c r="R3482" s="21" t="s">
        <v>2276</v>
      </c>
      <c r="S3482" s="21" t="s">
        <v>2276</v>
      </c>
      <c r="T3482" s="21" t="s">
        <v>2276</v>
      </c>
      <c r="U3482" s="21" t="s">
        <v>2276</v>
      </c>
      <c r="V3482" s="21" t="s">
        <v>2276</v>
      </c>
      <c r="W3482" s="21" t="s">
        <v>2276</v>
      </c>
      <c r="X3482" s="204" t="s">
        <v>399</v>
      </c>
      <c r="Y3482" s="204" t="s">
        <v>399</v>
      </c>
      <c r="Z3482" s="21" t="s">
        <v>2276</v>
      </c>
      <c r="AA3482" s="21"/>
      <c r="AB3482" s="204"/>
    </row>
    <row r="3483" spans="1:28" ht="43.5" customHeight="1">
      <c r="A3483" s="156" t="str">
        <f>'Reported burning'!A3483</f>
        <v>378i</v>
      </c>
      <c r="B3483" s="156" t="str">
        <f>'Reported burning'!B3483</f>
        <v>378i.10</v>
      </c>
      <c r="C3483" s="156" t="str">
        <f>'Reported burning'!C3483</f>
        <v>Human, deliberate</v>
      </c>
      <c r="D3483" s="156" t="str">
        <f>'Reported burning'!D3483</f>
        <v>Crop residue burning</v>
      </c>
      <c r="E3483" s="156" t="str">
        <f>'Reported burning'!E3483</f>
        <v>All</v>
      </c>
      <c r="F3483" s="156" t="str">
        <f>'Reported burning'!F3483</f>
        <v>Cropland</v>
      </c>
      <c r="G3483" s="156" t="str">
        <f>'Reported burning'!G3483</f>
        <v>Cropland</v>
      </c>
      <c r="H3483" s="156" t="str">
        <f>'Reported burning'!H3483</f>
        <v>Presence</v>
      </c>
      <c r="I3483" s="5"/>
      <c r="J3483" s="21" t="s">
        <v>2276</v>
      </c>
      <c r="K3483" s="21" t="s">
        <v>2276</v>
      </c>
      <c r="L3483" s="21" t="s">
        <v>2276</v>
      </c>
      <c r="M3483" s="21" t="s">
        <v>2276</v>
      </c>
      <c r="N3483" s="21" t="s">
        <v>2276</v>
      </c>
      <c r="O3483" s="21" t="s">
        <v>2276</v>
      </c>
      <c r="P3483" s="21" t="s">
        <v>2276</v>
      </c>
      <c r="Q3483" s="21" t="s">
        <v>2276</v>
      </c>
      <c r="R3483" s="21" t="s">
        <v>2276</v>
      </c>
      <c r="S3483" s="21" t="s">
        <v>2276</v>
      </c>
      <c r="T3483" s="21" t="s">
        <v>2276</v>
      </c>
      <c r="U3483" s="21" t="s">
        <v>2276</v>
      </c>
      <c r="V3483" s="21" t="s">
        <v>2276</v>
      </c>
      <c r="W3483" s="21" t="s">
        <v>2276</v>
      </c>
      <c r="X3483" s="204" t="s">
        <v>188</v>
      </c>
      <c r="Y3483" s="204" t="s">
        <v>188</v>
      </c>
      <c r="Z3483" s="21" t="s">
        <v>2276</v>
      </c>
      <c r="AA3483" s="204"/>
      <c r="AB3483" s="204"/>
    </row>
    <row r="3484" spans="1:28" ht="43.5" customHeight="1">
      <c r="A3484" s="156" t="str">
        <f>'Reported burning'!A3484</f>
        <v>378i</v>
      </c>
      <c r="B3484" s="156" t="str">
        <f>'Reported burning'!B3484</f>
        <v>378i.11</v>
      </c>
      <c r="C3484" s="156" t="str">
        <f>'Reported burning'!C3484</f>
        <v>Human, deliberate</v>
      </c>
      <c r="D3484" s="156" t="str">
        <f>'Reported burning'!D3484</f>
        <v>Crop residue burning</v>
      </c>
      <c r="E3484" s="156" t="str">
        <f>'Reported burning'!E3484</f>
        <v>All</v>
      </c>
      <c r="F3484" s="156" t="str">
        <f>'Reported burning'!F3484</f>
        <v>Cropland</v>
      </c>
      <c r="G3484" s="156" t="str">
        <f>'Reported burning'!G3484</f>
        <v>Cropland</v>
      </c>
      <c r="H3484" s="156" t="str">
        <f>'Reported burning'!H3484</f>
        <v>Presence</v>
      </c>
      <c r="I3484" s="5"/>
      <c r="J3484" s="21" t="s">
        <v>2276</v>
      </c>
      <c r="K3484" s="21" t="s">
        <v>2276</v>
      </c>
      <c r="L3484" s="21" t="s">
        <v>2276</v>
      </c>
      <c r="M3484" s="21" t="s">
        <v>2276</v>
      </c>
      <c r="N3484" s="21" t="s">
        <v>2276</v>
      </c>
      <c r="O3484" s="21" t="s">
        <v>2276</v>
      </c>
      <c r="P3484" s="21" t="s">
        <v>2276</v>
      </c>
      <c r="Q3484" s="21" t="s">
        <v>2276</v>
      </c>
      <c r="R3484" s="21" t="s">
        <v>2276</v>
      </c>
      <c r="S3484" s="21" t="s">
        <v>2276</v>
      </c>
      <c r="T3484" s="21" t="s">
        <v>2276</v>
      </c>
      <c r="U3484" s="21" t="s">
        <v>2276</v>
      </c>
      <c r="V3484" s="21" t="s">
        <v>2276</v>
      </c>
      <c r="W3484" s="21" t="s">
        <v>2276</v>
      </c>
      <c r="X3484" s="204" t="s">
        <v>189</v>
      </c>
      <c r="Y3484" s="204" t="s">
        <v>189</v>
      </c>
      <c r="Z3484" s="21" t="s">
        <v>2276</v>
      </c>
      <c r="AA3484" s="204"/>
      <c r="AB3484" s="204"/>
    </row>
    <row r="3485" spans="1:28" ht="43.5" customHeight="1">
      <c r="A3485" s="156" t="str">
        <f>'Reported burning'!A3485</f>
        <v>378i</v>
      </c>
      <c r="B3485" s="156" t="str">
        <f>'Reported burning'!B3485</f>
        <v>378i.12</v>
      </c>
      <c r="C3485" s="156" t="str">
        <f>'Reported burning'!C3485</f>
        <v>Human, deliberate</v>
      </c>
      <c r="D3485" s="156" t="str">
        <f>'Reported burning'!D3485</f>
        <v>Crop residue burning</v>
      </c>
      <c r="E3485" s="156" t="str">
        <f>'Reported burning'!E3485</f>
        <v>All</v>
      </c>
      <c r="F3485" s="156" t="str">
        <f>'Reported burning'!F3485</f>
        <v>Cropland</v>
      </c>
      <c r="G3485" s="156" t="str">
        <f>'Reported burning'!G3485</f>
        <v>Cropland</v>
      </c>
      <c r="H3485" s="156" t="str">
        <f>'Reported burning'!H3485</f>
        <v>Presence</v>
      </c>
      <c r="I3485" s="5"/>
      <c r="J3485" s="21" t="s">
        <v>2276</v>
      </c>
      <c r="K3485" s="21" t="s">
        <v>2276</v>
      </c>
      <c r="L3485" s="21" t="s">
        <v>2276</v>
      </c>
      <c r="M3485" s="21" t="s">
        <v>2276</v>
      </c>
      <c r="N3485" s="21" t="s">
        <v>2276</v>
      </c>
      <c r="O3485" s="21" t="s">
        <v>2276</v>
      </c>
      <c r="P3485" s="21" t="s">
        <v>2276</v>
      </c>
      <c r="Q3485" s="21" t="s">
        <v>2276</v>
      </c>
      <c r="R3485" s="21" t="s">
        <v>2276</v>
      </c>
      <c r="S3485" s="21" t="s">
        <v>2276</v>
      </c>
      <c r="T3485" s="21" t="s">
        <v>2276</v>
      </c>
      <c r="U3485" s="21" t="s">
        <v>2276</v>
      </c>
      <c r="V3485" s="21" t="s">
        <v>2276</v>
      </c>
      <c r="W3485" s="21" t="s">
        <v>2276</v>
      </c>
      <c r="X3485" s="204" t="s">
        <v>38</v>
      </c>
      <c r="Y3485" s="204" t="s">
        <v>38</v>
      </c>
      <c r="Z3485" s="21" t="s">
        <v>2276</v>
      </c>
      <c r="AA3485" s="204"/>
      <c r="AB3485" s="204"/>
    </row>
    <row r="3486" spans="1:28" ht="53.5" customHeight="1">
      <c r="A3486" s="156" t="str">
        <f>'Reported burning'!A3486</f>
        <v>379a</v>
      </c>
      <c r="B3486" s="156" t="str">
        <f>'Reported burning'!B3486</f>
        <v>379a.1</v>
      </c>
      <c r="C3486" s="156" t="str">
        <f>'Reported burning'!C3486</f>
        <v>Human, accidental</v>
      </c>
      <c r="D3486" s="156" t="str">
        <f>'Reported burning'!D3486</f>
        <v>Accidental</v>
      </c>
      <c r="E3486" s="156" t="str">
        <f>'Reported burning'!E3486</f>
        <v>Urban planner</v>
      </c>
      <c r="F3486" s="156" t="str">
        <f>'Reported burning'!F3486</f>
        <v>ND</v>
      </c>
      <c r="G3486" s="156" t="str">
        <f>'Reported burning'!G3486</f>
        <v>Plantation forest</v>
      </c>
      <c r="H3486" s="156" t="str">
        <f>'Reported burning'!H3486</f>
        <v>Presence</v>
      </c>
      <c r="I3486" s="5"/>
      <c r="J3486" s="21" t="s">
        <v>2276</v>
      </c>
      <c r="K3486" s="21" t="s">
        <v>2276</v>
      </c>
      <c r="L3486" s="21" t="s">
        <v>2276</v>
      </c>
      <c r="M3486" s="21" t="s">
        <v>2276</v>
      </c>
      <c r="N3486" s="21" t="s">
        <v>2276</v>
      </c>
      <c r="O3486" s="21" t="s">
        <v>2276</v>
      </c>
      <c r="P3486" s="21" t="s">
        <v>2276</v>
      </c>
      <c r="Q3486" s="21" t="s">
        <v>2276</v>
      </c>
      <c r="R3486" s="21" t="s">
        <v>2276</v>
      </c>
      <c r="S3486" s="21" t="s">
        <v>2276</v>
      </c>
      <c r="T3486" s="21" t="s">
        <v>2276</v>
      </c>
      <c r="U3486" s="21" t="s">
        <v>2276</v>
      </c>
      <c r="V3486" s="21" t="s">
        <v>2276</v>
      </c>
      <c r="W3486" s="21" t="s">
        <v>2276</v>
      </c>
      <c r="X3486" s="178" t="s">
        <v>34</v>
      </c>
      <c r="Y3486" s="204" t="s">
        <v>34</v>
      </c>
      <c r="Z3486" s="21" t="s">
        <v>2276</v>
      </c>
      <c r="AA3486" s="204" t="s">
        <v>9125</v>
      </c>
      <c r="AB3486" s="204"/>
    </row>
    <row r="3487" spans="1:28" ht="53.5" customHeight="1">
      <c r="A3487" s="156" t="str">
        <f>'Reported burning'!A3487</f>
        <v>379a</v>
      </c>
      <c r="B3487" s="156" t="str">
        <f>'Reported burning'!B3487</f>
        <v>379a.2</v>
      </c>
      <c r="C3487" s="156" t="str">
        <f>'Reported burning'!C3487</f>
        <v>Unknown</v>
      </c>
      <c r="D3487" s="156" t="str">
        <f>'Reported burning'!D3487</f>
        <v>ND</v>
      </c>
      <c r="E3487" s="156" t="str">
        <f>'Reported burning'!E3487</f>
        <v>ND</v>
      </c>
      <c r="F3487" s="156" t="str">
        <f>'Reported burning'!F3487</f>
        <v>ND</v>
      </c>
      <c r="G3487" s="156" t="str">
        <f>'Reported burning'!G3487</f>
        <v>Plantation forest</v>
      </c>
      <c r="H3487" s="156" t="str">
        <f>'Reported burning'!H3487</f>
        <v>Presence</v>
      </c>
      <c r="I3487" s="5"/>
      <c r="J3487" s="21" t="s">
        <v>2276</v>
      </c>
      <c r="K3487" s="21" t="s">
        <v>2276</v>
      </c>
      <c r="L3487" s="21" t="s">
        <v>2276</v>
      </c>
      <c r="M3487" s="21" t="s">
        <v>2276</v>
      </c>
      <c r="N3487" s="21" t="s">
        <v>2276</v>
      </c>
      <c r="O3487" s="21" t="s">
        <v>2276</v>
      </c>
      <c r="P3487" s="21" t="s">
        <v>2276</v>
      </c>
      <c r="Q3487" s="21" t="s">
        <v>2276</v>
      </c>
      <c r="R3487" s="21" t="s">
        <v>2276</v>
      </c>
      <c r="S3487" s="21" t="s">
        <v>2276</v>
      </c>
      <c r="T3487" s="21" t="s">
        <v>2276</v>
      </c>
      <c r="U3487" s="21" t="s">
        <v>2276</v>
      </c>
      <c r="V3487" s="21" t="s">
        <v>2276</v>
      </c>
      <c r="W3487" s="21" t="s">
        <v>2276</v>
      </c>
      <c r="X3487" s="178" t="s">
        <v>68</v>
      </c>
      <c r="Y3487" s="204" t="s">
        <v>68</v>
      </c>
      <c r="Z3487" s="21" t="s">
        <v>2276</v>
      </c>
      <c r="AA3487" s="204"/>
      <c r="AB3487" s="204"/>
    </row>
    <row r="3488" spans="1:28" ht="53.5" customHeight="1">
      <c r="A3488" s="156" t="str">
        <f>'Reported burning'!A3488</f>
        <v>379b</v>
      </c>
      <c r="B3488" s="156" t="str">
        <f>'Reported burning'!B3488</f>
        <v>379b.1</v>
      </c>
      <c r="C3488" s="156" t="str">
        <f>'Reported burning'!C3488</f>
        <v>Unknown</v>
      </c>
      <c r="D3488" s="156" t="str">
        <f>'Reported burning'!D3488</f>
        <v>ND</v>
      </c>
      <c r="E3488" s="156" t="str">
        <f>'Reported burning'!E3488</f>
        <v>Forestry, Industrial</v>
      </c>
      <c r="F3488" s="156" t="str">
        <f>'Reported burning'!F3488</f>
        <v>ND</v>
      </c>
      <c r="G3488" s="156" t="str">
        <f>'Reported burning'!G3488</f>
        <v>Plantation forest</v>
      </c>
      <c r="H3488" s="156" t="str">
        <f>'Reported burning'!H3488</f>
        <v>Presence</v>
      </c>
      <c r="I3488" s="5"/>
      <c r="J3488" s="21" t="s">
        <v>2276</v>
      </c>
      <c r="K3488" s="21" t="s">
        <v>2276</v>
      </c>
      <c r="L3488" s="21" t="s">
        <v>2276</v>
      </c>
      <c r="M3488" s="21" t="s">
        <v>2276</v>
      </c>
      <c r="N3488" s="21" t="s">
        <v>2276</v>
      </c>
      <c r="O3488" s="21" t="s">
        <v>2276</v>
      </c>
      <c r="P3488" s="21" t="s">
        <v>2276</v>
      </c>
      <c r="Q3488" s="21" t="s">
        <v>2276</v>
      </c>
      <c r="R3488" s="21" t="s">
        <v>2276</v>
      </c>
      <c r="S3488" s="21" t="s">
        <v>2276</v>
      </c>
      <c r="T3488" s="21" t="s">
        <v>2276</v>
      </c>
      <c r="U3488" s="21" t="s">
        <v>2276</v>
      </c>
      <c r="V3488" s="21" t="s">
        <v>2276</v>
      </c>
      <c r="W3488" s="21" t="s">
        <v>2276</v>
      </c>
      <c r="X3488" s="178" t="s">
        <v>127</v>
      </c>
      <c r="Y3488" s="204" t="s">
        <v>188</v>
      </c>
      <c r="Z3488" s="21" t="s">
        <v>2276</v>
      </c>
      <c r="AA3488" s="204"/>
      <c r="AB3488" s="4" t="s">
        <v>9128</v>
      </c>
    </row>
    <row r="3489" spans="1:28" ht="53.5" customHeight="1">
      <c r="A3489" s="156" t="str">
        <f>'Reported burning'!A3489</f>
        <v>379b</v>
      </c>
      <c r="B3489" s="156" t="str">
        <f>'Reported burning'!B3489</f>
        <v>379b.2</v>
      </c>
      <c r="C3489" s="156" t="str">
        <f>'Reported burning'!C3489</f>
        <v>Unknown</v>
      </c>
      <c r="D3489" s="156" t="str">
        <f>'Reported burning'!D3489</f>
        <v>ND</v>
      </c>
      <c r="E3489" s="156" t="str">
        <f>'Reported burning'!E3489</f>
        <v>ND</v>
      </c>
      <c r="F3489" s="156" t="str">
        <f>'Reported burning'!F3489</f>
        <v>ND</v>
      </c>
      <c r="G3489" s="156" t="str">
        <f>'Reported burning'!G3489</f>
        <v>Plantation forest</v>
      </c>
      <c r="H3489" s="156" t="str">
        <f>'Reported burning'!H3489</f>
        <v>Presence</v>
      </c>
      <c r="I3489" s="5"/>
      <c r="J3489" s="21" t="s">
        <v>2276</v>
      </c>
      <c r="K3489" s="21" t="s">
        <v>2276</v>
      </c>
      <c r="L3489" s="21" t="s">
        <v>2276</v>
      </c>
      <c r="M3489" s="21" t="s">
        <v>2276</v>
      </c>
      <c r="N3489" s="21" t="s">
        <v>2276</v>
      </c>
      <c r="O3489" s="21" t="s">
        <v>2276</v>
      </c>
      <c r="P3489" s="21" t="s">
        <v>2276</v>
      </c>
      <c r="Q3489" s="21" t="s">
        <v>2276</v>
      </c>
      <c r="R3489" s="21" t="s">
        <v>2276</v>
      </c>
      <c r="S3489" s="21" t="s">
        <v>2276</v>
      </c>
      <c r="T3489" s="21" t="s">
        <v>2276</v>
      </c>
      <c r="U3489" s="21" t="s">
        <v>2276</v>
      </c>
      <c r="V3489" s="21" t="s">
        <v>2276</v>
      </c>
      <c r="W3489" s="21" t="s">
        <v>2276</v>
      </c>
      <c r="X3489" s="178" t="s">
        <v>127</v>
      </c>
      <c r="Y3489" s="204" t="s">
        <v>188</v>
      </c>
      <c r="Z3489" s="21" t="s">
        <v>2276</v>
      </c>
      <c r="AA3489" s="204"/>
      <c r="AB3489" s="4" t="s">
        <v>9128</v>
      </c>
    </row>
    <row r="3490" spans="1:28" ht="51.5" customHeight="1">
      <c r="A3490" s="156" t="str">
        <f>'Reported burning'!A3490</f>
        <v>380a</v>
      </c>
      <c r="B3490" s="156" t="str">
        <f>'Reported burning'!B3490</f>
        <v>380a.1</v>
      </c>
      <c r="C3490" s="156" t="str">
        <f>'Reported burning'!C3490</f>
        <v>All</v>
      </c>
      <c r="D3490" s="156" t="str">
        <f>'Reported burning'!D3490</f>
        <v>ND</v>
      </c>
      <c r="E3490" s="156" t="str">
        <f>'Reported burning'!E3490</f>
        <v>ND</v>
      </c>
      <c r="F3490" s="156" t="str">
        <f>'Reported burning'!F3490</f>
        <v>ND</v>
      </c>
      <c r="G3490" s="156" t="str">
        <f>'Reported burning'!G3490</f>
        <v>Shrubland (Mixed forest &amp; grassland)</v>
      </c>
      <c r="H3490" s="156" t="str">
        <f>'Reported burning'!H3490</f>
        <v>Presence</v>
      </c>
      <c r="I3490" s="5"/>
      <c r="J3490" s="21" t="s">
        <v>2276</v>
      </c>
      <c r="K3490" s="21" t="s">
        <v>2276</v>
      </c>
      <c r="L3490" s="21" t="s">
        <v>2276</v>
      </c>
      <c r="M3490" s="21" t="s">
        <v>2276</v>
      </c>
      <c r="N3490" s="21" t="s">
        <v>2276</v>
      </c>
      <c r="O3490" s="21" t="s">
        <v>2276</v>
      </c>
      <c r="P3490" s="21" t="s">
        <v>2276</v>
      </c>
      <c r="Q3490" s="21" t="s">
        <v>2276</v>
      </c>
      <c r="R3490" s="21" t="s">
        <v>2276</v>
      </c>
      <c r="S3490" s="21" t="s">
        <v>2276</v>
      </c>
      <c r="T3490" s="21" t="s">
        <v>2276</v>
      </c>
      <c r="U3490" s="21" t="s">
        <v>2276</v>
      </c>
      <c r="V3490" s="21" t="s">
        <v>2276</v>
      </c>
      <c r="W3490" s="21" t="s">
        <v>2276</v>
      </c>
      <c r="X3490" s="21" t="s">
        <v>2276</v>
      </c>
      <c r="Y3490" s="21" t="s">
        <v>2276</v>
      </c>
      <c r="Z3490" s="21" t="s">
        <v>2276</v>
      </c>
      <c r="AA3490" s="204"/>
      <c r="AB3490" s="204"/>
    </row>
    <row r="3491" spans="1:28" ht="51.5" customHeight="1">
      <c r="A3491" s="156" t="str">
        <f>'Reported burning'!A3491</f>
        <v>380a</v>
      </c>
      <c r="B3491" s="156" t="str">
        <f>'Reported burning'!B3491</f>
        <v>380a.2</v>
      </c>
      <c r="C3491" s="156" t="str">
        <f>'Reported burning'!C3491</f>
        <v>All</v>
      </c>
      <c r="D3491" s="156" t="str">
        <f>'Reported burning'!D3491</f>
        <v>ND</v>
      </c>
      <c r="E3491" s="156" t="str">
        <f>'Reported burning'!E3491</f>
        <v>ND</v>
      </c>
      <c r="F3491" s="156" t="str">
        <f>'Reported burning'!F3491</f>
        <v>ND</v>
      </c>
      <c r="G3491" s="156" t="str">
        <f>'Reported burning'!G3491</f>
        <v>Forest</v>
      </c>
      <c r="H3491" s="156" t="str">
        <f>'Reported burning'!H3491</f>
        <v>Presence</v>
      </c>
      <c r="I3491" s="5"/>
      <c r="J3491" s="21" t="s">
        <v>2372</v>
      </c>
      <c r="K3491" s="21" t="s">
        <v>2276</v>
      </c>
      <c r="L3491" s="21" t="s">
        <v>2276</v>
      </c>
      <c r="M3491" s="21" t="s">
        <v>2276</v>
      </c>
      <c r="N3491" s="21" t="s">
        <v>2276</v>
      </c>
      <c r="O3491" s="21" t="s">
        <v>2276</v>
      </c>
      <c r="P3491" s="21" t="s">
        <v>2375</v>
      </c>
      <c r="Q3491" s="21" t="s">
        <v>2276</v>
      </c>
      <c r="R3491" s="21" t="s">
        <v>2276</v>
      </c>
      <c r="S3491" s="21" t="s">
        <v>2276</v>
      </c>
      <c r="T3491" s="21" t="s">
        <v>2276</v>
      </c>
      <c r="U3491" s="21" t="s">
        <v>2276</v>
      </c>
      <c r="V3491" s="21" t="s">
        <v>2276</v>
      </c>
      <c r="W3491" s="21" t="s">
        <v>2276</v>
      </c>
      <c r="X3491" s="21" t="s">
        <v>2276</v>
      </c>
      <c r="Y3491" s="21" t="s">
        <v>2276</v>
      </c>
      <c r="Z3491" s="21" t="s">
        <v>2276</v>
      </c>
      <c r="AA3491" s="204"/>
      <c r="AB3491" s="4" t="s">
        <v>9141</v>
      </c>
    </row>
    <row r="3492" spans="1:28" ht="48.5" customHeight="1">
      <c r="A3492" s="156" t="str">
        <f>'Reported burning'!A3492</f>
        <v>380a</v>
      </c>
      <c r="B3492" s="156" t="str">
        <f>'Reported burning'!B3492</f>
        <v>380a.3</v>
      </c>
      <c r="C3492" s="156" t="str">
        <f>'Reported burning'!C3492</f>
        <v>All</v>
      </c>
      <c r="D3492" s="156" t="str">
        <f>'Reported burning'!D3492</f>
        <v>ND</v>
      </c>
      <c r="E3492" s="156" t="str">
        <f>'Reported burning'!E3492</f>
        <v>Forestry, Industrial</v>
      </c>
      <c r="F3492" s="156" t="str">
        <f>'Reported burning'!F3492</f>
        <v>ND</v>
      </c>
      <c r="G3492" s="156" t="str">
        <f>'Reported burning'!G3492</f>
        <v>Plantation forest</v>
      </c>
      <c r="H3492" s="156" t="str">
        <f>'Reported burning'!H3492</f>
        <v>Presence</v>
      </c>
      <c r="I3492" s="5"/>
      <c r="J3492" s="21" t="s">
        <v>2372</v>
      </c>
      <c r="K3492" s="21" t="s">
        <v>2276</v>
      </c>
      <c r="L3492" s="21" t="s">
        <v>2276</v>
      </c>
      <c r="M3492" s="21" t="s">
        <v>2276</v>
      </c>
      <c r="N3492" s="21" t="s">
        <v>2276</v>
      </c>
      <c r="O3492" s="21" t="s">
        <v>2276</v>
      </c>
      <c r="P3492" s="21" t="s">
        <v>2375</v>
      </c>
      <c r="Q3492" s="21" t="s">
        <v>2276</v>
      </c>
      <c r="R3492" s="21" t="s">
        <v>2276</v>
      </c>
      <c r="S3492" s="21" t="s">
        <v>2276</v>
      </c>
      <c r="T3492" s="21" t="s">
        <v>2276</v>
      </c>
      <c r="U3492" s="21" t="s">
        <v>2276</v>
      </c>
      <c r="V3492" s="21" t="s">
        <v>2276</v>
      </c>
      <c r="W3492" s="21" t="s">
        <v>2276</v>
      </c>
      <c r="X3492" s="21" t="s">
        <v>2276</v>
      </c>
      <c r="Y3492" s="21" t="s">
        <v>2276</v>
      </c>
      <c r="Z3492" s="21" t="s">
        <v>2276</v>
      </c>
      <c r="AA3492" s="204"/>
      <c r="AB3492" s="204"/>
    </row>
    <row r="3493" spans="1:28" ht="51.5" customHeight="1">
      <c r="A3493" s="156" t="str">
        <f>'Reported burning'!A3493</f>
        <v>380a</v>
      </c>
      <c r="B3493" s="156" t="str">
        <f>'Reported burning'!B3493</f>
        <v>380a.4</v>
      </c>
      <c r="C3493" s="156" t="str">
        <f>'Reported burning'!C3493</f>
        <v>Human, deliberate</v>
      </c>
      <c r="D3493" s="156" t="str">
        <f>'Reported burning'!D3493</f>
        <v>Arson</v>
      </c>
      <c r="E3493" s="156" t="str">
        <f>'Reported burning'!E3493</f>
        <v>ND</v>
      </c>
      <c r="F3493" s="156" t="str">
        <f>'Reported burning'!F3493</f>
        <v>All</v>
      </c>
      <c r="G3493" s="156" t="str">
        <f>'Reported burning'!G3493</f>
        <v>Forest</v>
      </c>
      <c r="H3493" s="156" t="str">
        <f>'Reported burning'!H3493</f>
        <v>Presence</v>
      </c>
      <c r="I3493" s="5"/>
      <c r="J3493" s="21" t="s">
        <v>2276</v>
      </c>
      <c r="K3493" s="21" t="s">
        <v>2276</v>
      </c>
      <c r="L3493" s="21" t="s">
        <v>2276</v>
      </c>
      <c r="M3493" s="21" t="s">
        <v>2276</v>
      </c>
      <c r="N3493" s="21" t="s">
        <v>2276</v>
      </c>
      <c r="O3493" s="21" t="s">
        <v>2276</v>
      </c>
      <c r="P3493" s="21" t="s">
        <v>2276</v>
      </c>
      <c r="Q3493" s="21" t="s">
        <v>2276</v>
      </c>
      <c r="R3493" s="21" t="s">
        <v>2276</v>
      </c>
      <c r="S3493" s="21" t="s">
        <v>2276</v>
      </c>
      <c r="T3493" s="21" t="s">
        <v>2276</v>
      </c>
      <c r="U3493" s="21" t="s">
        <v>2276</v>
      </c>
      <c r="V3493" s="21" t="s">
        <v>2276</v>
      </c>
      <c r="W3493" s="21" t="s">
        <v>2276</v>
      </c>
      <c r="X3493" s="21" t="s">
        <v>2276</v>
      </c>
      <c r="Y3493" s="21" t="s">
        <v>2276</v>
      </c>
      <c r="Z3493" s="21" t="s">
        <v>2276</v>
      </c>
      <c r="AA3493" s="204"/>
      <c r="AB3493" s="204"/>
    </row>
    <row r="3494" spans="1:28" ht="54" customHeight="1">
      <c r="A3494" s="156" t="str">
        <f>'Reported burning'!A3494</f>
        <v>380a</v>
      </c>
      <c r="B3494" s="156" t="str">
        <f>'Reported burning'!B3494</f>
        <v>380a.5</v>
      </c>
      <c r="C3494" s="156" t="str">
        <f>'Reported burning'!C3494</f>
        <v>Human, deliberate</v>
      </c>
      <c r="D3494" s="156" t="str">
        <f>'Reported burning'!D3494</f>
        <v>ND</v>
      </c>
      <c r="E3494" s="156" t="str">
        <f>'Reported burning'!E3494</f>
        <v>ND</v>
      </c>
      <c r="F3494" s="156" t="str">
        <f>'Reported burning'!F3494</f>
        <v>All</v>
      </c>
      <c r="G3494" s="156" t="str">
        <f>'Reported burning'!G3494</f>
        <v>Forest</v>
      </c>
      <c r="H3494" s="156" t="str">
        <f>'Reported burning'!H3494</f>
        <v>Presence</v>
      </c>
      <c r="I3494" s="5"/>
      <c r="J3494" s="21" t="s">
        <v>2276</v>
      </c>
      <c r="K3494" s="21" t="s">
        <v>2276</v>
      </c>
      <c r="L3494" s="21" t="s">
        <v>2276</v>
      </c>
      <c r="M3494" s="21" t="s">
        <v>2276</v>
      </c>
      <c r="N3494" s="21" t="s">
        <v>2276</v>
      </c>
      <c r="O3494" s="21" t="s">
        <v>2276</v>
      </c>
      <c r="P3494" s="21" t="s">
        <v>2276</v>
      </c>
      <c r="Q3494" s="21" t="s">
        <v>2276</v>
      </c>
      <c r="R3494" s="21" t="s">
        <v>2276</v>
      </c>
      <c r="S3494" s="21" t="s">
        <v>2276</v>
      </c>
      <c r="T3494" s="21" t="s">
        <v>2276</v>
      </c>
      <c r="U3494" s="21" t="s">
        <v>2276</v>
      </c>
      <c r="V3494" s="21" t="s">
        <v>2276</v>
      </c>
      <c r="W3494" s="21" t="s">
        <v>2276</v>
      </c>
      <c r="X3494" s="21" t="s">
        <v>2276</v>
      </c>
      <c r="Y3494" s="21" t="s">
        <v>2276</v>
      </c>
      <c r="Z3494" s="21" t="s">
        <v>2276</v>
      </c>
      <c r="AA3494" s="204"/>
      <c r="AB3494" s="204"/>
    </row>
    <row r="3495" spans="1:28" ht="54" customHeight="1">
      <c r="A3495" s="156" t="str">
        <f>'Reported burning'!A3495</f>
        <v>380a</v>
      </c>
      <c r="B3495" s="156" t="str">
        <f>'Reported burning'!B3495</f>
        <v>380a.6</v>
      </c>
      <c r="C3495" s="156" t="str">
        <f>'Reported burning'!C3495</f>
        <v>Lightning</v>
      </c>
      <c r="D3495" s="156" t="str">
        <f>'Reported burning'!D3495</f>
        <v>ND</v>
      </c>
      <c r="E3495" s="156" t="str">
        <f>'Reported burning'!E3495</f>
        <v>ND</v>
      </c>
      <c r="F3495" s="156" t="str">
        <f>'Reported burning'!F3495</f>
        <v>All</v>
      </c>
      <c r="G3495" s="156" t="str">
        <f>'Reported burning'!G3495</f>
        <v>Forest</v>
      </c>
      <c r="H3495" s="156" t="str">
        <f>'Reported burning'!H3495</f>
        <v>Presence</v>
      </c>
      <c r="I3495" s="5"/>
      <c r="J3495" s="21" t="s">
        <v>2276</v>
      </c>
      <c r="K3495" s="21" t="s">
        <v>2276</v>
      </c>
      <c r="L3495" s="21" t="s">
        <v>2276</v>
      </c>
      <c r="M3495" s="21" t="s">
        <v>2276</v>
      </c>
      <c r="N3495" s="21" t="s">
        <v>2276</v>
      </c>
      <c r="O3495" s="21" t="s">
        <v>2276</v>
      </c>
      <c r="P3495" s="21" t="s">
        <v>2276</v>
      </c>
      <c r="Q3495" s="21" t="s">
        <v>2276</v>
      </c>
      <c r="R3495" s="21" t="s">
        <v>2276</v>
      </c>
      <c r="S3495" s="21" t="s">
        <v>2276</v>
      </c>
      <c r="T3495" s="21" t="s">
        <v>2276</v>
      </c>
      <c r="U3495" s="21" t="s">
        <v>2276</v>
      </c>
      <c r="V3495" s="21" t="s">
        <v>2276</v>
      </c>
      <c r="W3495" s="21" t="s">
        <v>2276</v>
      </c>
      <c r="X3495" s="21" t="s">
        <v>2276</v>
      </c>
      <c r="Y3495" s="21" t="s">
        <v>2276</v>
      </c>
      <c r="Z3495" s="21" t="s">
        <v>2276</v>
      </c>
      <c r="AA3495" s="204"/>
      <c r="AB3495" s="204"/>
    </row>
    <row r="3496" spans="1:28" ht="54" customHeight="1">
      <c r="A3496" s="156" t="str">
        <f>'Reported burning'!A3496</f>
        <v>380a</v>
      </c>
      <c r="B3496" s="156" t="str">
        <f>'Reported burning'!B3496</f>
        <v>380a.7</v>
      </c>
      <c r="C3496" s="156" t="str">
        <f>'Reported burning'!C3496</f>
        <v>Human, accidental</v>
      </c>
      <c r="D3496" s="156" t="str">
        <f>'Reported burning'!D3496</f>
        <v>Accidental</v>
      </c>
      <c r="E3496" s="156" t="str">
        <f>'Reported burning'!E3496</f>
        <v>ND</v>
      </c>
      <c r="F3496" s="156" t="str">
        <f>'Reported burning'!F3496</f>
        <v>All</v>
      </c>
      <c r="G3496" s="156" t="str">
        <f>'Reported burning'!G3496</f>
        <v>Forest</v>
      </c>
      <c r="H3496" s="156" t="str">
        <f>'Reported burning'!H3496</f>
        <v>Presence</v>
      </c>
      <c r="I3496" s="5"/>
      <c r="J3496" s="21" t="s">
        <v>2276</v>
      </c>
      <c r="K3496" s="21" t="s">
        <v>2276</v>
      </c>
      <c r="L3496" s="21" t="s">
        <v>2276</v>
      </c>
      <c r="M3496" s="21" t="s">
        <v>2276</v>
      </c>
      <c r="N3496" s="21" t="s">
        <v>2276</v>
      </c>
      <c r="O3496" s="21" t="s">
        <v>2276</v>
      </c>
      <c r="P3496" s="21" t="s">
        <v>2276</v>
      </c>
      <c r="Q3496" s="21" t="s">
        <v>2276</v>
      </c>
      <c r="R3496" s="21" t="s">
        <v>2276</v>
      </c>
      <c r="S3496" s="21" t="s">
        <v>2276</v>
      </c>
      <c r="T3496" s="21" t="s">
        <v>2276</v>
      </c>
      <c r="U3496" s="21" t="s">
        <v>2276</v>
      </c>
      <c r="V3496" s="21" t="s">
        <v>2276</v>
      </c>
      <c r="W3496" s="21" t="s">
        <v>2276</v>
      </c>
      <c r="X3496" s="21" t="s">
        <v>2276</v>
      </c>
      <c r="Y3496" s="21" t="s">
        <v>2276</v>
      </c>
      <c r="Z3496" s="21" t="s">
        <v>2276</v>
      </c>
      <c r="AA3496" s="204"/>
      <c r="AB3496" s="204"/>
    </row>
    <row r="3497" spans="1:28" ht="102.5" customHeight="1">
      <c r="A3497" s="156" t="str">
        <f>'Reported burning'!A3497</f>
        <v>381a</v>
      </c>
      <c r="B3497" s="156" t="str">
        <f>'Reported burning'!B3497</f>
        <v>381a.1</v>
      </c>
      <c r="C3497" s="156" t="str">
        <f>'Reported burning'!C3497</f>
        <v>Human, escaped</v>
      </c>
      <c r="D3497" s="156" t="str">
        <f>'Reported burning'!D3497</f>
        <v>ND</v>
      </c>
      <c r="E3497" s="156" t="str">
        <f>'Reported burning'!E3497</f>
        <v>All</v>
      </c>
      <c r="F3497" s="156" t="str">
        <f>'Reported burning'!F3497</f>
        <v>ND</v>
      </c>
      <c r="G3497" s="156" t="str">
        <f>'Reported burning'!G3497</f>
        <v>Shrubland (Mixed forest &amp; grassland)</v>
      </c>
      <c r="H3497" s="156" t="str">
        <f>'Reported burning'!H3497</f>
        <v>Presence</v>
      </c>
      <c r="I3497" s="5"/>
      <c r="J3497" s="177" t="s">
        <v>2276</v>
      </c>
      <c r="K3497" s="177" t="s">
        <v>2276</v>
      </c>
      <c r="L3497" s="177" t="s">
        <v>2276</v>
      </c>
      <c r="M3497" s="177" t="s">
        <v>2276</v>
      </c>
      <c r="N3497" s="177" t="s">
        <v>2276</v>
      </c>
      <c r="O3497" s="177" t="s">
        <v>2276</v>
      </c>
      <c r="P3497" s="177" t="s">
        <v>2276</v>
      </c>
      <c r="Q3497" s="177" t="s">
        <v>2276</v>
      </c>
      <c r="R3497" s="177" t="s">
        <v>2276</v>
      </c>
      <c r="S3497" s="21" t="s">
        <v>2276</v>
      </c>
      <c r="T3497" s="21" t="s">
        <v>2276</v>
      </c>
      <c r="U3497" s="21" t="s">
        <v>2276</v>
      </c>
      <c r="V3497" s="21" t="s">
        <v>2276</v>
      </c>
      <c r="W3497" s="21" t="s">
        <v>2276</v>
      </c>
      <c r="X3497" s="21" t="s">
        <v>2276</v>
      </c>
      <c r="Y3497" s="21" t="s">
        <v>2276</v>
      </c>
      <c r="Z3497" s="21" t="s">
        <v>2276</v>
      </c>
      <c r="AA3497" s="4" t="s">
        <v>9184</v>
      </c>
      <c r="AB3497" s="4" t="s">
        <v>9241</v>
      </c>
    </row>
    <row r="3498" spans="1:28" ht="102.5" customHeight="1">
      <c r="A3498" s="156" t="str">
        <f>'Reported burning'!A3498</f>
        <v>381aa</v>
      </c>
      <c r="B3498" s="156" t="str">
        <f>'Reported burning'!B3498</f>
        <v>381aa.1</v>
      </c>
      <c r="C3498" s="156" t="str">
        <f>'Reported burning'!C3498</f>
        <v>Human, escaped</v>
      </c>
      <c r="D3498" s="156" t="str">
        <f>'Reported burning'!D3498</f>
        <v>ND</v>
      </c>
      <c r="E3498" s="156" t="str">
        <f>'Reported burning'!E3498</f>
        <v>All</v>
      </c>
      <c r="F3498" s="156" t="str">
        <f>'Reported burning'!F3498</f>
        <v>ND</v>
      </c>
      <c r="G3498" s="156" t="str">
        <f>'Reported burning'!G3498</f>
        <v>Shrubland (Mixed forest &amp; grassland)</v>
      </c>
      <c r="H3498" s="156" t="str">
        <f>'Reported burning'!H3498</f>
        <v>Presence</v>
      </c>
      <c r="I3498" s="5"/>
      <c r="J3498" s="177" t="s">
        <v>2276</v>
      </c>
      <c r="K3498" s="177" t="s">
        <v>2276</v>
      </c>
      <c r="L3498" s="177" t="s">
        <v>2276</v>
      </c>
      <c r="M3498" s="177" t="s">
        <v>2276</v>
      </c>
      <c r="N3498" s="177" t="s">
        <v>2276</v>
      </c>
      <c r="O3498" s="177" t="s">
        <v>2276</v>
      </c>
      <c r="P3498" s="177" t="s">
        <v>2276</v>
      </c>
      <c r="Q3498" s="177" t="s">
        <v>2276</v>
      </c>
      <c r="R3498" s="177" t="s">
        <v>2276</v>
      </c>
      <c r="S3498" s="21" t="s">
        <v>2276</v>
      </c>
      <c r="T3498" s="21" t="s">
        <v>2276</v>
      </c>
      <c r="U3498" s="21" t="s">
        <v>2276</v>
      </c>
      <c r="V3498" s="21" t="s">
        <v>2276</v>
      </c>
      <c r="W3498" s="21" t="s">
        <v>2276</v>
      </c>
      <c r="X3498" s="21" t="s">
        <v>2276</v>
      </c>
      <c r="Y3498" s="21" t="s">
        <v>2276</v>
      </c>
      <c r="Z3498" s="21" t="s">
        <v>2276</v>
      </c>
      <c r="AA3498" s="4" t="s">
        <v>9184</v>
      </c>
      <c r="AB3498" s="4" t="s">
        <v>9241</v>
      </c>
    </row>
    <row r="3499" spans="1:28" ht="102.5" customHeight="1">
      <c r="A3499" s="156" t="str">
        <f>'Reported burning'!A3499</f>
        <v>381ba</v>
      </c>
      <c r="B3499" s="156" t="str">
        <f>'Reported burning'!B3499</f>
        <v>381ba.1</v>
      </c>
      <c r="C3499" s="156" t="str">
        <f>'Reported burning'!C3499</f>
        <v>Human, escaped</v>
      </c>
      <c r="D3499" s="156" t="str">
        <f>'Reported burning'!D3499</f>
        <v>ND</v>
      </c>
      <c r="E3499" s="156" t="str">
        <f>'Reported burning'!E3499</f>
        <v>All</v>
      </c>
      <c r="F3499" s="156" t="str">
        <f>'Reported burning'!F3499</f>
        <v>ND</v>
      </c>
      <c r="G3499" s="156" t="str">
        <f>'Reported burning'!G3499</f>
        <v>Shrubland (Mixed forest &amp; grassland)</v>
      </c>
      <c r="H3499" s="156" t="str">
        <f>'Reported burning'!H3499</f>
        <v>Presence</v>
      </c>
      <c r="I3499" s="5"/>
      <c r="J3499" s="177" t="s">
        <v>2276</v>
      </c>
      <c r="K3499" s="177" t="s">
        <v>2276</v>
      </c>
      <c r="L3499" s="177" t="s">
        <v>2276</v>
      </c>
      <c r="M3499" s="177" t="s">
        <v>2276</v>
      </c>
      <c r="N3499" s="177" t="s">
        <v>2276</v>
      </c>
      <c r="O3499" s="177" t="s">
        <v>2276</v>
      </c>
      <c r="P3499" s="177" t="s">
        <v>2276</v>
      </c>
      <c r="Q3499" s="177" t="s">
        <v>2276</v>
      </c>
      <c r="R3499" s="177" t="s">
        <v>2276</v>
      </c>
      <c r="S3499" s="21" t="s">
        <v>2276</v>
      </c>
      <c r="T3499" s="21" t="s">
        <v>2276</v>
      </c>
      <c r="U3499" s="21" t="s">
        <v>2276</v>
      </c>
      <c r="V3499" s="21" t="s">
        <v>2276</v>
      </c>
      <c r="W3499" s="21" t="s">
        <v>2276</v>
      </c>
      <c r="X3499" s="21" t="s">
        <v>2276</v>
      </c>
      <c r="Y3499" s="21" t="s">
        <v>2276</v>
      </c>
      <c r="Z3499" s="21" t="s">
        <v>2276</v>
      </c>
      <c r="AA3499" s="4" t="s">
        <v>9184</v>
      </c>
      <c r="AB3499" s="4" t="s">
        <v>9241</v>
      </c>
    </row>
    <row r="3500" spans="1:28" ht="102.5" customHeight="1">
      <c r="A3500" s="156" t="str">
        <f>'Reported burning'!A3500</f>
        <v>381b</v>
      </c>
      <c r="B3500" s="156" t="str">
        <f>'Reported burning'!B3500</f>
        <v>381b.1</v>
      </c>
      <c r="C3500" s="156" t="str">
        <f>'Reported burning'!C3500</f>
        <v>Human, escaped</v>
      </c>
      <c r="D3500" s="156" t="str">
        <f>'Reported burning'!D3500</f>
        <v>ND</v>
      </c>
      <c r="E3500" s="156" t="str">
        <f>'Reported burning'!E3500</f>
        <v>All</v>
      </c>
      <c r="F3500" s="156" t="str">
        <f>'Reported burning'!F3500</f>
        <v>ND</v>
      </c>
      <c r="G3500" s="156" t="str">
        <f>'Reported burning'!G3500</f>
        <v>Shrubland (Mixed forest &amp; grassland)</v>
      </c>
      <c r="H3500" s="156" t="str">
        <f>'Reported burning'!H3500</f>
        <v>Absence</v>
      </c>
      <c r="I3500" s="5"/>
      <c r="J3500" s="21">
        <v>0</v>
      </c>
      <c r="K3500" s="21">
        <v>0</v>
      </c>
      <c r="L3500" s="21">
        <v>0</v>
      </c>
      <c r="M3500" s="21">
        <v>0</v>
      </c>
      <c r="N3500" s="21">
        <v>0</v>
      </c>
      <c r="O3500" s="21">
        <v>0</v>
      </c>
      <c r="P3500" s="21">
        <v>0</v>
      </c>
      <c r="Q3500" s="21">
        <v>0</v>
      </c>
      <c r="R3500" s="21">
        <v>0</v>
      </c>
      <c r="S3500" s="21">
        <v>0</v>
      </c>
      <c r="T3500" s="21">
        <v>0</v>
      </c>
      <c r="U3500" s="21">
        <v>0</v>
      </c>
      <c r="V3500" s="21">
        <v>0</v>
      </c>
      <c r="W3500" s="21" t="s">
        <v>2276</v>
      </c>
      <c r="X3500" s="21" t="s">
        <v>2276</v>
      </c>
      <c r="Y3500" s="21" t="s">
        <v>2276</v>
      </c>
      <c r="Z3500" s="21" t="s">
        <v>2276</v>
      </c>
      <c r="AA3500" s="4" t="s">
        <v>9184</v>
      </c>
      <c r="AB3500" s="4" t="s">
        <v>9241</v>
      </c>
    </row>
    <row r="3501" spans="1:28" ht="102.5" customHeight="1">
      <c r="A3501" s="156" t="str">
        <f>'Reported burning'!A3501</f>
        <v>381c</v>
      </c>
      <c r="B3501" s="156" t="str">
        <f>'Reported burning'!B3501</f>
        <v>381c.1</v>
      </c>
      <c r="C3501" s="156" t="str">
        <f>'Reported burning'!C3501</f>
        <v>Human, escaped</v>
      </c>
      <c r="D3501" s="156" t="str">
        <f>'Reported burning'!D3501</f>
        <v>ND</v>
      </c>
      <c r="E3501" s="156" t="str">
        <f>'Reported burning'!E3501</f>
        <v>All</v>
      </c>
      <c r="F3501" s="156" t="str">
        <f>'Reported burning'!F3501</f>
        <v>ND</v>
      </c>
      <c r="G3501" s="156" t="str">
        <f>'Reported burning'!G3501</f>
        <v>Shrubland (Mixed forest &amp; grassland)</v>
      </c>
      <c r="H3501" s="156" t="str">
        <f>'Reported burning'!H3501</f>
        <v>Absence</v>
      </c>
      <c r="I3501" s="5"/>
      <c r="J3501" s="21">
        <v>0</v>
      </c>
      <c r="K3501" s="21">
        <v>0</v>
      </c>
      <c r="L3501" s="21">
        <v>0</v>
      </c>
      <c r="M3501" s="21">
        <v>0</v>
      </c>
      <c r="N3501" s="21">
        <v>0</v>
      </c>
      <c r="O3501" s="21">
        <v>0</v>
      </c>
      <c r="P3501" s="21">
        <v>0</v>
      </c>
      <c r="Q3501" s="21">
        <v>0</v>
      </c>
      <c r="R3501" s="21">
        <v>0</v>
      </c>
      <c r="S3501" s="21">
        <v>0</v>
      </c>
      <c r="T3501" s="21">
        <v>0</v>
      </c>
      <c r="U3501" s="21">
        <v>0</v>
      </c>
      <c r="V3501" s="21">
        <v>0</v>
      </c>
      <c r="W3501" s="21" t="s">
        <v>2276</v>
      </c>
      <c r="X3501" s="21" t="s">
        <v>2276</v>
      </c>
      <c r="Y3501" s="21" t="s">
        <v>2276</v>
      </c>
      <c r="Z3501" s="21" t="s">
        <v>2276</v>
      </c>
      <c r="AA3501" s="4" t="s">
        <v>9184</v>
      </c>
      <c r="AB3501" s="4" t="s">
        <v>9241</v>
      </c>
    </row>
    <row r="3502" spans="1:28" ht="102.5" customHeight="1">
      <c r="A3502" s="156" t="str">
        <f>'Reported burning'!A3502</f>
        <v>381d</v>
      </c>
      <c r="B3502" s="156" t="str">
        <f>'Reported burning'!B3502</f>
        <v>381d.1</v>
      </c>
      <c r="C3502" s="156" t="str">
        <f>'Reported burning'!C3502</f>
        <v>Human, escaped</v>
      </c>
      <c r="D3502" s="156" t="str">
        <f>'Reported burning'!D3502</f>
        <v>ND</v>
      </c>
      <c r="E3502" s="156" t="str">
        <f>'Reported burning'!E3502</f>
        <v>All</v>
      </c>
      <c r="F3502" s="156" t="str">
        <f>'Reported burning'!F3502</f>
        <v>ND</v>
      </c>
      <c r="G3502" s="156" t="str">
        <f>'Reported burning'!G3502</f>
        <v>Shrubland (Mixed forest &amp; grassland)</v>
      </c>
      <c r="H3502" s="156" t="str">
        <f>'Reported burning'!H3502</f>
        <v>Absence</v>
      </c>
      <c r="I3502" s="5"/>
      <c r="J3502" s="21">
        <v>0</v>
      </c>
      <c r="K3502" s="21">
        <v>0</v>
      </c>
      <c r="L3502" s="21">
        <v>0</v>
      </c>
      <c r="M3502" s="21">
        <v>0</v>
      </c>
      <c r="N3502" s="21">
        <v>0</v>
      </c>
      <c r="O3502" s="21">
        <v>0</v>
      </c>
      <c r="P3502" s="21">
        <v>0</v>
      </c>
      <c r="Q3502" s="21">
        <v>0</v>
      </c>
      <c r="R3502" s="21">
        <v>0</v>
      </c>
      <c r="S3502" s="21">
        <v>0</v>
      </c>
      <c r="T3502" s="21">
        <v>0</v>
      </c>
      <c r="U3502" s="21">
        <v>0</v>
      </c>
      <c r="V3502" s="21">
        <v>0</v>
      </c>
      <c r="W3502" s="21" t="s">
        <v>2276</v>
      </c>
      <c r="X3502" s="21" t="s">
        <v>2276</v>
      </c>
      <c r="Y3502" s="21" t="s">
        <v>2276</v>
      </c>
      <c r="Z3502" s="21" t="s">
        <v>2276</v>
      </c>
      <c r="AA3502" s="4" t="s">
        <v>9184</v>
      </c>
      <c r="AB3502" s="4" t="s">
        <v>9241</v>
      </c>
    </row>
    <row r="3503" spans="1:28" ht="102.5" customHeight="1">
      <c r="A3503" s="156" t="str">
        <f>'Reported burning'!A3503</f>
        <v>381e</v>
      </c>
      <c r="B3503" s="156" t="str">
        <f>'Reported burning'!B3503</f>
        <v>381e.1</v>
      </c>
      <c r="C3503" s="156" t="str">
        <f>'Reported burning'!C3503</f>
        <v>Human, escaped</v>
      </c>
      <c r="D3503" s="156" t="str">
        <f>'Reported burning'!D3503</f>
        <v>ND</v>
      </c>
      <c r="E3503" s="156" t="str">
        <f>'Reported burning'!E3503</f>
        <v>All</v>
      </c>
      <c r="F3503" s="156" t="str">
        <f>'Reported burning'!F3503</f>
        <v>ND</v>
      </c>
      <c r="G3503" s="156" t="str">
        <f>'Reported burning'!G3503</f>
        <v>Shrubland (Mixed forest &amp; grassland)</v>
      </c>
      <c r="H3503" s="156" t="str">
        <f>'Reported burning'!H3503</f>
        <v>Presence</v>
      </c>
      <c r="I3503" s="5"/>
      <c r="J3503" s="177" t="s">
        <v>2276</v>
      </c>
      <c r="K3503" s="177" t="s">
        <v>2276</v>
      </c>
      <c r="L3503" s="177" t="s">
        <v>2276</v>
      </c>
      <c r="M3503" s="177" t="s">
        <v>2276</v>
      </c>
      <c r="N3503" s="177" t="s">
        <v>2276</v>
      </c>
      <c r="O3503" s="177" t="s">
        <v>2276</v>
      </c>
      <c r="P3503" s="177" t="s">
        <v>2276</v>
      </c>
      <c r="Q3503" s="177" t="s">
        <v>2276</v>
      </c>
      <c r="R3503" s="177" t="s">
        <v>2276</v>
      </c>
      <c r="S3503" s="177" t="s">
        <v>2276</v>
      </c>
      <c r="T3503" s="177" t="s">
        <v>2276</v>
      </c>
      <c r="U3503" s="177" t="s">
        <v>2276</v>
      </c>
      <c r="V3503" s="177" t="s">
        <v>2276</v>
      </c>
      <c r="W3503" s="177" t="s">
        <v>2276</v>
      </c>
      <c r="X3503" s="177" t="s">
        <v>2276</v>
      </c>
      <c r="Y3503" s="177" t="s">
        <v>2276</v>
      </c>
      <c r="Z3503" s="177" t="s">
        <v>2276</v>
      </c>
      <c r="AA3503" s="4" t="s">
        <v>9184</v>
      </c>
      <c r="AB3503" s="4" t="s">
        <v>9241</v>
      </c>
    </row>
    <row r="3504" spans="1:28" ht="102.5" customHeight="1">
      <c r="A3504" s="156" t="str">
        <f>'Reported burning'!A3504</f>
        <v>381f</v>
      </c>
      <c r="B3504" s="156" t="str">
        <f>'Reported burning'!B3504</f>
        <v>381f.1</v>
      </c>
      <c r="C3504" s="156" t="str">
        <f>'Reported burning'!C3504</f>
        <v>Human, escaped</v>
      </c>
      <c r="D3504" s="156" t="str">
        <f>'Reported burning'!D3504</f>
        <v>ND</v>
      </c>
      <c r="E3504" s="156" t="str">
        <f>'Reported burning'!E3504</f>
        <v>All</v>
      </c>
      <c r="F3504" s="156" t="str">
        <f>'Reported burning'!F3504</f>
        <v>ND</v>
      </c>
      <c r="G3504" s="156" t="str">
        <f>'Reported burning'!G3504</f>
        <v>Shrubland (Mixed forest &amp; grassland)</v>
      </c>
      <c r="H3504" s="156" t="str">
        <f>'Reported burning'!H3504</f>
        <v>Presence</v>
      </c>
      <c r="I3504" s="5"/>
      <c r="J3504" s="177" t="s">
        <v>2276</v>
      </c>
      <c r="K3504" s="177" t="s">
        <v>2276</v>
      </c>
      <c r="L3504" s="177" t="s">
        <v>2276</v>
      </c>
      <c r="M3504" s="177" t="s">
        <v>2276</v>
      </c>
      <c r="N3504" s="177" t="s">
        <v>2276</v>
      </c>
      <c r="O3504" s="177" t="s">
        <v>2276</v>
      </c>
      <c r="P3504" s="177" t="s">
        <v>2276</v>
      </c>
      <c r="Q3504" s="177" t="s">
        <v>2276</v>
      </c>
      <c r="R3504" s="177" t="s">
        <v>2276</v>
      </c>
      <c r="S3504" s="177" t="s">
        <v>2276</v>
      </c>
      <c r="T3504" s="177" t="s">
        <v>2276</v>
      </c>
      <c r="U3504" s="177" t="s">
        <v>2276</v>
      </c>
      <c r="V3504" s="177" t="s">
        <v>2276</v>
      </c>
      <c r="W3504" s="177" t="s">
        <v>2276</v>
      </c>
      <c r="X3504" s="177" t="s">
        <v>2276</v>
      </c>
      <c r="Y3504" s="177" t="s">
        <v>2276</v>
      </c>
      <c r="Z3504" s="177" t="s">
        <v>2276</v>
      </c>
      <c r="AA3504" s="4" t="s">
        <v>9184</v>
      </c>
      <c r="AB3504" s="4" t="s">
        <v>9241</v>
      </c>
    </row>
    <row r="3505" spans="1:28" ht="102.5" customHeight="1">
      <c r="A3505" s="156" t="str">
        <f>'Reported burning'!A3505</f>
        <v>381g</v>
      </c>
      <c r="B3505" s="156" t="str">
        <f>'Reported burning'!B3505</f>
        <v>381g.1</v>
      </c>
      <c r="C3505" s="156" t="str">
        <f>'Reported burning'!C3505</f>
        <v>Human, escaped</v>
      </c>
      <c r="D3505" s="156" t="str">
        <f>'Reported burning'!D3505</f>
        <v>ND</v>
      </c>
      <c r="E3505" s="156" t="str">
        <f>'Reported burning'!E3505</f>
        <v>All</v>
      </c>
      <c r="F3505" s="156" t="str">
        <f>'Reported burning'!F3505</f>
        <v>ND</v>
      </c>
      <c r="G3505" s="156" t="str">
        <f>'Reported burning'!G3505</f>
        <v>Shrubland (Mixed forest &amp; grassland)</v>
      </c>
      <c r="H3505" s="156" t="str">
        <f>'Reported burning'!H3505</f>
        <v>Presence</v>
      </c>
      <c r="I3505" s="5"/>
      <c r="J3505" s="177" t="s">
        <v>2276</v>
      </c>
      <c r="K3505" s="177" t="s">
        <v>2276</v>
      </c>
      <c r="L3505" s="177" t="s">
        <v>2276</v>
      </c>
      <c r="M3505" s="177" t="s">
        <v>2276</v>
      </c>
      <c r="N3505" s="177" t="s">
        <v>2276</v>
      </c>
      <c r="O3505" s="177" t="s">
        <v>2276</v>
      </c>
      <c r="P3505" s="177" t="s">
        <v>2276</v>
      </c>
      <c r="Q3505" s="177" t="s">
        <v>2276</v>
      </c>
      <c r="R3505" s="177" t="s">
        <v>2276</v>
      </c>
      <c r="S3505" s="177" t="s">
        <v>2276</v>
      </c>
      <c r="T3505" s="177" t="s">
        <v>2276</v>
      </c>
      <c r="U3505" s="177" t="s">
        <v>2276</v>
      </c>
      <c r="V3505" s="177" t="s">
        <v>2276</v>
      </c>
      <c r="W3505" s="177" t="s">
        <v>2276</v>
      </c>
      <c r="X3505" s="177" t="s">
        <v>2276</v>
      </c>
      <c r="Y3505" s="177" t="s">
        <v>2276</v>
      </c>
      <c r="Z3505" s="177" t="s">
        <v>2276</v>
      </c>
      <c r="AA3505" s="4" t="s">
        <v>9184</v>
      </c>
      <c r="AB3505" s="4" t="s">
        <v>9241</v>
      </c>
    </row>
    <row r="3506" spans="1:28" ht="102.5" customHeight="1">
      <c r="A3506" s="156" t="str">
        <f>'Reported burning'!A3506</f>
        <v>381h</v>
      </c>
      <c r="B3506" s="156" t="str">
        <f>'Reported burning'!B3506</f>
        <v>381h.1</v>
      </c>
      <c r="C3506" s="156" t="str">
        <f>'Reported burning'!C3506</f>
        <v>Human, escaped</v>
      </c>
      <c r="D3506" s="156" t="str">
        <f>'Reported burning'!D3506</f>
        <v>ND</v>
      </c>
      <c r="E3506" s="156" t="str">
        <f>'Reported burning'!E3506</f>
        <v>All</v>
      </c>
      <c r="F3506" s="156" t="str">
        <f>'Reported burning'!F3506</f>
        <v>ND</v>
      </c>
      <c r="G3506" s="156" t="str">
        <f>'Reported burning'!G3506</f>
        <v>Shrubland (Mixed forest &amp; grassland)</v>
      </c>
      <c r="H3506" s="156" t="str">
        <f>'Reported burning'!H3506</f>
        <v>Presence</v>
      </c>
      <c r="I3506" s="5"/>
      <c r="J3506" s="177" t="s">
        <v>2276</v>
      </c>
      <c r="K3506" s="177" t="s">
        <v>2276</v>
      </c>
      <c r="L3506" s="177" t="s">
        <v>2276</v>
      </c>
      <c r="M3506" s="177" t="s">
        <v>2276</v>
      </c>
      <c r="N3506" s="177" t="s">
        <v>2276</v>
      </c>
      <c r="O3506" s="177" t="s">
        <v>2276</v>
      </c>
      <c r="P3506" s="177" t="s">
        <v>2276</v>
      </c>
      <c r="Q3506" s="177" t="s">
        <v>2276</v>
      </c>
      <c r="R3506" s="177" t="s">
        <v>2276</v>
      </c>
      <c r="S3506" s="177" t="s">
        <v>2276</v>
      </c>
      <c r="T3506" s="177" t="s">
        <v>2276</v>
      </c>
      <c r="U3506" s="177" t="s">
        <v>2276</v>
      </c>
      <c r="V3506" s="177" t="s">
        <v>2276</v>
      </c>
      <c r="W3506" s="177" t="s">
        <v>2276</v>
      </c>
      <c r="X3506" s="177" t="s">
        <v>2276</v>
      </c>
      <c r="Y3506" s="177" t="s">
        <v>2276</v>
      </c>
      <c r="Z3506" s="177" t="s">
        <v>2276</v>
      </c>
      <c r="AA3506" s="4" t="s">
        <v>9184</v>
      </c>
      <c r="AB3506" s="4" t="s">
        <v>9241</v>
      </c>
    </row>
    <row r="3507" spans="1:28" ht="102.5" customHeight="1">
      <c r="A3507" s="156" t="str">
        <f>'Reported burning'!A3507</f>
        <v>381i</v>
      </c>
      <c r="B3507" s="156" t="str">
        <f>'Reported burning'!B3507</f>
        <v>381i.1</v>
      </c>
      <c r="C3507" s="156" t="str">
        <f>'Reported burning'!C3507</f>
        <v>Human, escaped</v>
      </c>
      <c r="D3507" s="156" t="str">
        <f>'Reported burning'!D3507</f>
        <v>ND</v>
      </c>
      <c r="E3507" s="156" t="str">
        <f>'Reported burning'!E3507</f>
        <v>All</v>
      </c>
      <c r="F3507" s="156" t="str">
        <f>'Reported burning'!F3507</f>
        <v>ND</v>
      </c>
      <c r="G3507" s="156" t="str">
        <f>'Reported burning'!G3507</f>
        <v>Shrubland (Mixed forest &amp; grassland)</v>
      </c>
      <c r="H3507" s="156" t="str">
        <f>'Reported burning'!H3507</f>
        <v>Presence</v>
      </c>
      <c r="I3507" s="5"/>
      <c r="J3507" s="177" t="s">
        <v>2276</v>
      </c>
      <c r="K3507" s="177" t="s">
        <v>2276</v>
      </c>
      <c r="L3507" s="177" t="s">
        <v>2276</v>
      </c>
      <c r="M3507" s="177" t="s">
        <v>2276</v>
      </c>
      <c r="N3507" s="177" t="s">
        <v>2276</v>
      </c>
      <c r="O3507" s="177" t="s">
        <v>2276</v>
      </c>
      <c r="P3507" s="177" t="s">
        <v>2276</v>
      </c>
      <c r="Q3507" s="177" t="s">
        <v>2276</v>
      </c>
      <c r="R3507" s="177" t="s">
        <v>2276</v>
      </c>
      <c r="S3507" s="177" t="s">
        <v>2276</v>
      </c>
      <c r="T3507" s="177" t="s">
        <v>2276</v>
      </c>
      <c r="U3507" s="177" t="s">
        <v>2276</v>
      </c>
      <c r="V3507" s="177" t="s">
        <v>2276</v>
      </c>
      <c r="W3507" s="177" t="s">
        <v>2276</v>
      </c>
      <c r="X3507" s="177" t="s">
        <v>2276</v>
      </c>
      <c r="Y3507" s="177" t="s">
        <v>2276</v>
      </c>
      <c r="Z3507" s="177" t="s">
        <v>2276</v>
      </c>
      <c r="AA3507" s="4" t="s">
        <v>9184</v>
      </c>
      <c r="AB3507" s="4" t="s">
        <v>9241</v>
      </c>
    </row>
    <row r="3508" spans="1:28" ht="102.5" customHeight="1">
      <c r="A3508" s="156" t="str">
        <f>'Reported burning'!A3508</f>
        <v>381j</v>
      </c>
      <c r="B3508" s="156" t="str">
        <f>'Reported burning'!B3508</f>
        <v>381j.1</v>
      </c>
      <c r="C3508" s="156" t="str">
        <f>'Reported burning'!C3508</f>
        <v>Human, escaped</v>
      </c>
      <c r="D3508" s="156" t="str">
        <f>'Reported burning'!D3508</f>
        <v>ND</v>
      </c>
      <c r="E3508" s="156" t="str">
        <f>'Reported burning'!E3508</f>
        <v>All</v>
      </c>
      <c r="F3508" s="156" t="str">
        <f>'Reported burning'!F3508</f>
        <v>ND</v>
      </c>
      <c r="G3508" s="156" t="str">
        <f>'Reported burning'!G3508</f>
        <v>Shrubland (Mixed forest &amp; grassland)</v>
      </c>
      <c r="H3508" s="156" t="str">
        <f>'Reported burning'!H3508</f>
        <v>Presence</v>
      </c>
      <c r="I3508" s="5"/>
      <c r="J3508" s="177" t="s">
        <v>2276</v>
      </c>
      <c r="K3508" s="177" t="s">
        <v>2276</v>
      </c>
      <c r="L3508" s="177" t="s">
        <v>2276</v>
      </c>
      <c r="M3508" s="177" t="s">
        <v>2276</v>
      </c>
      <c r="N3508" s="177" t="s">
        <v>2276</v>
      </c>
      <c r="O3508" s="177" t="s">
        <v>2276</v>
      </c>
      <c r="P3508" s="177" t="s">
        <v>2276</v>
      </c>
      <c r="Q3508" s="177" t="s">
        <v>2276</v>
      </c>
      <c r="R3508" s="177" t="s">
        <v>2276</v>
      </c>
      <c r="S3508" s="177" t="s">
        <v>2276</v>
      </c>
      <c r="T3508" s="177" t="s">
        <v>2276</v>
      </c>
      <c r="U3508" s="177" t="s">
        <v>2276</v>
      </c>
      <c r="V3508" s="177" t="s">
        <v>2276</v>
      </c>
      <c r="W3508" s="177" t="s">
        <v>2276</v>
      </c>
      <c r="X3508" s="177" t="s">
        <v>2276</v>
      </c>
      <c r="Y3508" s="177" t="s">
        <v>2276</v>
      </c>
      <c r="Z3508" s="177" t="s">
        <v>2276</v>
      </c>
      <c r="AA3508" s="4" t="s">
        <v>9184</v>
      </c>
      <c r="AB3508" s="4" t="s">
        <v>9241</v>
      </c>
    </row>
    <row r="3509" spans="1:28" ht="102.5" customHeight="1">
      <c r="A3509" s="156" t="str">
        <f>'Reported burning'!A3509</f>
        <v>381k</v>
      </c>
      <c r="B3509" s="156" t="str">
        <f>'Reported burning'!B3509</f>
        <v>381k.1</v>
      </c>
      <c r="C3509" s="156" t="str">
        <f>'Reported burning'!C3509</f>
        <v>Human, escaped</v>
      </c>
      <c r="D3509" s="156" t="str">
        <f>'Reported burning'!D3509</f>
        <v>ND</v>
      </c>
      <c r="E3509" s="156" t="str">
        <f>'Reported burning'!E3509</f>
        <v>All</v>
      </c>
      <c r="F3509" s="156" t="str">
        <f>'Reported burning'!F3509</f>
        <v>ND</v>
      </c>
      <c r="G3509" s="156" t="str">
        <f>'Reported burning'!G3509</f>
        <v>Shrubland (Mixed forest &amp; grassland)</v>
      </c>
      <c r="H3509" s="156" t="str">
        <f>'Reported burning'!H3509</f>
        <v>Absence</v>
      </c>
      <c r="I3509" s="5"/>
      <c r="J3509" s="21">
        <v>0</v>
      </c>
      <c r="K3509" s="21">
        <v>0</v>
      </c>
      <c r="L3509" s="21">
        <v>0</v>
      </c>
      <c r="M3509" s="21">
        <v>0</v>
      </c>
      <c r="N3509" s="204">
        <v>0</v>
      </c>
      <c r="O3509" s="21">
        <v>0</v>
      </c>
      <c r="P3509" s="21">
        <v>0</v>
      </c>
      <c r="Q3509" s="21">
        <v>0</v>
      </c>
      <c r="R3509" s="21">
        <v>0</v>
      </c>
      <c r="S3509" s="21">
        <v>0</v>
      </c>
      <c r="T3509" s="21">
        <v>0</v>
      </c>
      <c r="U3509" s="21">
        <v>0</v>
      </c>
      <c r="V3509" s="21">
        <v>0</v>
      </c>
      <c r="W3509" s="177" t="s">
        <v>2276</v>
      </c>
      <c r="X3509" s="177" t="s">
        <v>2276</v>
      </c>
      <c r="Y3509" s="177" t="s">
        <v>2276</v>
      </c>
      <c r="Z3509" s="177" t="s">
        <v>2276</v>
      </c>
      <c r="AA3509" s="4" t="s">
        <v>9184</v>
      </c>
      <c r="AB3509" s="4" t="s">
        <v>9241</v>
      </c>
    </row>
    <row r="3510" spans="1:28" ht="102.5" customHeight="1">
      <c r="A3510" s="156" t="str">
        <f>'Reported burning'!A3510</f>
        <v>381l</v>
      </c>
      <c r="B3510" s="156" t="str">
        <f>'Reported burning'!B3510</f>
        <v>381l.1</v>
      </c>
      <c r="C3510" s="156" t="str">
        <f>'Reported burning'!C3510</f>
        <v>Human, escaped</v>
      </c>
      <c r="D3510" s="156" t="str">
        <f>'Reported burning'!D3510</f>
        <v>ND</v>
      </c>
      <c r="E3510" s="156" t="str">
        <f>'Reported burning'!E3510</f>
        <v>All</v>
      </c>
      <c r="F3510" s="156" t="str">
        <f>'Reported burning'!F3510</f>
        <v>ND</v>
      </c>
      <c r="G3510" s="156" t="str">
        <f>'Reported burning'!G3510</f>
        <v>Shrubland (Mixed forest &amp; grassland)</v>
      </c>
      <c r="H3510" s="156" t="str">
        <f>'Reported burning'!H3510</f>
        <v>Presence</v>
      </c>
      <c r="I3510" s="5"/>
      <c r="J3510" s="177" t="s">
        <v>2276</v>
      </c>
      <c r="K3510" s="177" t="s">
        <v>2276</v>
      </c>
      <c r="L3510" s="177" t="s">
        <v>2276</v>
      </c>
      <c r="M3510" s="177" t="s">
        <v>2276</v>
      </c>
      <c r="N3510" s="21" t="s">
        <v>2276</v>
      </c>
      <c r="O3510" s="177" t="s">
        <v>2276</v>
      </c>
      <c r="P3510" s="177" t="s">
        <v>2276</v>
      </c>
      <c r="Q3510" s="177" t="s">
        <v>2276</v>
      </c>
      <c r="R3510" s="177" t="s">
        <v>2276</v>
      </c>
      <c r="S3510" s="177" t="s">
        <v>2276</v>
      </c>
      <c r="T3510" s="177" t="s">
        <v>2276</v>
      </c>
      <c r="U3510" s="177" t="s">
        <v>2276</v>
      </c>
      <c r="V3510" s="177" t="s">
        <v>2276</v>
      </c>
      <c r="W3510" s="177" t="s">
        <v>2276</v>
      </c>
      <c r="X3510" s="177" t="s">
        <v>2276</v>
      </c>
      <c r="Y3510" s="177" t="s">
        <v>2276</v>
      </c>
      <c r="Z3510" s="177" t="s">
        <v>2276</v>
      </c>
      <c r="AA3510" s="4" t="s">
        <v>9184</v>
      </c>
      <c r="AB3510" s="4" t="s">
        <v>9241</v>
      </c>
    </row>
    <row r="3511" spans="1:28" ht="102.5" customHeight="1">
      <c r="A3511" s="156" t="str">
        <f>'Reported burning'!A3511</f>
        <v>381m</v>
      </c>
      <c r="B3511" s="156" t="str">
        <f>'Reported burning'!B3511</f>
        <v>381m.1</v>
      </c>
      <c r="C3511" s="156" t="str">
        <f>'Reported burning'!C3511</f>
        <v>Human, escaped</v>
      </c>
      <c r="D3511" s="156" t="str">
        <f>'Reported burning'!D3511</f>
        <v>ND</v>
      </c>
      <c r="E3511" s="156" t="str">
        <f>'Reported burning'!E3511</f>
        <v>All</v>
      </c>
      <c r="F3511" s="156" t="str">
        <f>'Reported burning'!F3511</f>
        <v>ND</v>
      </c>
      <c r="G3511" s="156" t="str">
        <f>'Reported burning'!G3511</f>
        <v>Shrubland (Mixed forest &amp; grassland)</v>
      </c>
      <c r="H3511" s="156" t="str">
        <f>'Reported burning'!H3511</f>
        <v>Presence</v>
      </c>
      <c r="I3511" s="5"/>
      <c r="J3511" s="177" t="s">
        <v>2276</v>
      </c>
      <c r="K3511" s="177" t="s">
        <v>2276</v>
      </c>
      <c r="L3511" s="177" t="s">
        <v>2276</v>
      </c>
      <c r="M3511" s="177" t="s">
        <v>2276</v>
      </c>
      <c r="N3511" s="21" t="s">
        <v>2276</v>
      </c>
      <c r="O3511" s="177" t="s">
        <v>2276</v>
      </c>
      <c r="P3511" s="177" t="s">
        <v>2276</v>
      </c>
      <c r="Q3511" s="177" t="s">
        <v>2276</v>
      </c>
      <c r="R3511" s="177" t="s">
        <v>2276</v>
      </c>
      <c r="S3511" s="177" t="s">
        <v>2276</v>
      </c>
      <c r="T3511" s="177" t="s">
        <v>2276</v>
      </c>
      <c r="U3511" s="177" t="s">
        <v>2276</v>
      </c>
      <c r="V3511" s="177" t="s">
        <v>2276</v>
      </c>
      <c r="W3511" s="177" t="s">
        <v>2276</v>
      </c>
      <c r="X3511" s="177" t="s">
        <v>2276</v>
      </c>
      <c r="Y3511" s="177" t="s">
        <v>2276</v>
      </c>
      <c r="Z3511" s="177" t="s">
        <v>2276</v>
      </c>
      <c r="AA3511" s="4" t="s">
        <v>9184</v>
      </c>
      <c r="AB3511" s="4" t="s">
        <v>9241</v>
      </c>
    </row>
    <row r="3512" spans="1:28" ht="102.5" customHeight="1">
      <c r="A3512" s="156" t="str">
        <f>'Reported burning'!A3512</f>
        <v>381n</v>
      </c>
      <c r="B3512" s="156" t="str">
        <f>'Reported burning'!B3512</f>
        <v>381n.1</v>
      </c>
      <c r="C3512" s="156" t="str">
        <f>'Reported burning'!C3512</f>
        <v>Human, escaped</v>
      </c>
      <c r="D3512" s="156" t="str">
        <f>'Reported burning'!D3512</f>
        <v>ND</v>
      </c>
      <c r="E3512" s="156" t="str">
        <f>'Reported burning'!E3512</f>
        <v>All</v>
      </c>
      <c r="F3512" s="156" t="str">
        <f>'Reported burning'!F3512</f>
        <v>ND</v>
      </c>
      <c r="G3512" s="156" t="str">
        <f>'Reported burning'!G3512</f>
        <v>Shrubland (Mixed forest &amp; grassland)</v>
      </c>
      <c r="H3512" s="156" t="str">
        <f>'Reported burning'!H3512</f>
        <v>Presence</v>
      </c>
      <c r="I3512" s="5"/>
      <c r="J3512" s="177" t="s">
        <v>2276</v>
      </c>
      <c r="K3512" s="177" t="s">
        <v>2276</v>
      </c>
      <c r="L3512" s="177" t="s">
        <v>2276</v>
      </c>
      <c r="M3512" s="177" t="s">
        <v>2276</v>
      </c>
      <c r="N3512" s="21" t="s">
        <v>2276</v>
      </c>
      <c r="O3512" s="177" t="s">
        <v>2276</v>
      </c>
      <c r="P3512" s="177" t="s">
        <v>2276</v>
      </c>
      <c r="Q3512" s="177" t="s">
        <v>2276</v>
      </c>
      <c r="R3512" s="177" t="s">
        <v>2276</v>
      </c>
      <c r="S3512" s="177" t="s">
        <v>2276</v>
      </c>
      <c r="T3512" s="177" t="s">
        <v>2276</v>
      </c>
      <c r="U3512" s="177" t="s">
        <v>2276</v>
      </c>
      <c r="V3512" s="177" t="s">
        <v>2276</v>
      </c>
      <c r="W3512" s="177" t="s">
        <v>2276</v>
      </c>
      <c r="X3512" s="177" t="s">
        <v>2276</v>
      </c>
      <c r="Y3512" s="177" t="s">
        <v>2276</v>
      </c>
      <c r="Z3512" s="177" t="s">
        <v>2276</v>
      </c>
      <c r="AA3512" s="4" t="s">
        <v>9184</v>
      </c>
      <c r="AB3512" s="4" t="s">
        <v>9241</v>
      </c>
    </row>
    <row r="3513" spans="1:28" ht="102.5" customHeight="1">
      <c r="A3513" s="156" t="str">
        <f>'Reported burning'!A3513</f>
        <v>381o</v>
      </c>
      <c r="B3513" s="156" t="str">
        <f>'Reported burning'!B3513</f>
        <v>381o.1</v>
      </c>
      <c r="C3513" s="156" t="str">
        <f>'Reported burning'!C3513</f>
        <v>Human, escaped</v>
      </c>
      <c r="D3513" s="156" t="str">
        <f>'Reported burning'!D3513</f>
        <v>ND</v>
      </c>
      <c r="E3513" s="156" t="str">
        <f>'Reported burning'!E3513</f>
        <v>All</v>
      </c>
      <c r="F3513" s="156" t="str">
        <f>'Reported burning'!F3513</f>
        <v>ND</v>
      </c>
      <c r="G3513" s="156" t="str">
        <f>'Reported burning'!G3513</f>
        <v>Shrubland (Mixed forest &amp; grassland)</v>
      </c>
      <c r="H3513" s="156" t="str">
        <f>'Reported burning'!H3513</f>
        <v>Presence</v>
      </c>
      <c r="I3513" s="5"/>
      <c r="J3513" s="177" t="s">
        <v>2276</v>
      </c>
      <c r="K3513" s="177" t="s">
        <v>2276</v>
      </c>
      <c r="L3513" s="177" t="s">
        <v>2276</v>
      </c>
      <c r="M3513" s="177" t="s">
        <v>2276</v>
      </c>
      <c r="N3513" s="21" t="s">
        <v>2276</v>
      </c>
      <c r="O3513" s="177" t="s">
        <v>2276</v>
      </c>
      <c r="P3513" s="177" t="s">
        <v>2276</v>
      </c>
      <c r="Q3513" s="177" t="s">
        <v>2276</v>
      </c>
      <c r="R3513" s="177" t="s">
        <v>2276</v>
      </c>
      <c r="S3513" s="177" t="s">
        <v>2276</v>
      </c>
      <c r="T3513" s="177" t="s">
        <v>2276</v>
      </c>
      <c r="U3513" s="177" t="s">
        <v>2276</v>
      </c>
      <c r="V3513" s="177" t="s">
        <v>2276</v>
      </c>
      <c r="W3513" s="177" t="s">
        <v>2276</v>
      </c>
      <c r="X3513" s="177" t="s">
        <v>2276</v>
      </c>
      <c r="Y3513" s="177" t="s">
        <v>2276</v>
      </c>
      <c r="Z3513" s="177" t="s">
        <v>2276</v>
      </c>
      <c r="AA3513" s="4" t="s">
        <v>9184</v>
      </c>
      <c r="AB3513" s="4" t="s">
        <v>9241</v>
      </c>
    </row>
    <row r="3514" spans="1:28" ht="102.5" customHeight="1">
      <c r="A3514" s="156" t="str">
        <f>'Reported burning'!A3514</f>
        <v>381p</v>
      </c>
      <c r="B3514" s="156" t="str">
        <f>'Reported burning'!B3514</f>
        <v>381p.1</v>
      </c>
      <c r="C3514" s="156" t="str">
        <f>'Reported burning'!C3514</f>
        <v>Human, escaped</v>
      </c>
      <c r="D3514" s="156" t="str">
        <f>'Reported burning'!D3514</f>
        <v>ND</v>
      </c>
      <c r="E3514" s="156" t="str">
        <f>'Reported burning'!E3514</f>
        <v>All</v>
      </c>
      <c r="F3514" s="156" t="str">
        <f>'Reported burning'!F3514</f>
        <v>ND</v>
      </c>
      <c r="G3514" s="156" t="str">
        <f>'Reported burning'!G3514</f>
        <v>Shrubland (Mixed forest &amp; grassland)</v>
      </c>
      <c r="H3514" s="156" t="str">
        <f>'Reported burning'!H3514</f>
        <v>Presence</v>
      </c>
      <c r="I3514" s="5"/>
      <c r="J3514" s="177" t="s">
        <v>2276</v>
      </c>
      <c r="K3514" s="177" t="s">
        <v>2276</v>
      </c>
      <c r="L3514" s="177" t="s">
        <v>2276</v>
      </c>
      <c r="M3514" s="177" t="s">
        <v>2276</v>
      </c>
      <c r="N3514" s="21" t="s">
        <v>2276</v>
      </c>
      <c r="O3514" s="177" t="s">
        <v>2276</v>
      </c>
      <c r="P3514" s="177" t="s">
        <v>2276</v>
      </c>
      <c r="Q3514" s="177" t="s">
        <v>2276</v>
      </c>
      <c r="R3514" s="177" t="s">
        <v>2276</v>
      </c>
      <c r="S3514" s="177" t="s">
        <v>2276</v>
      </c>
      <c r="T3514" s="177" t="s">
        <v>2276</v>
      </c>
      <c r="U3514" s="177" t="s">
        <v>2276</v>
      </c>
      <c r="V3514" s="177" t="s">
        <v>2276</v>
      </c>
      <c r="W3514" s="177" t="s">
        <v>2276</v>
      </c>
      <c r="X3514" s="177" t="s">
        <v>2276</v>
      </c>
      <c r="Y3514" s="177" t="s">
        <v>2276</v>
      </c>
      <c r="Z3514" s="177" t="s">
        <v>2276</v>
      </c>
      <c r="AA3514" s="4" t="s">
        <v>9184</v>
      </c>
      <c r="AB3514" s="4" t="s">
        <v>9241</v>
      </c>
    </row>
    <row r="3515" spans="1:28" s="203" customFormat="1" ht="102.5" customHeight="1">
      <c r="A3515" s="156" t="str">
        <f>'Reported burning'!A3515</f>
        <v>381p</v>
      </c>
      <c r="B3515" s="156" t="str">
        <f>'Reported burning'!B3515</f>
        <v>381q.1</v>
      </c>
      <c r="C3515" s="156" t="str">
        <f>'Reported burning'!C3515</f>
        <v>Human, escaped</v>
      </c>
      <c r="D3515" s="156" t="str">
        <f>'Reported burning'!D3515</f>
        <v>ND</v>
      </c>
      <c r="E3515" s="156" t="str">
        <f>'Reported burning'!E3515</f>
        <v>All</v>
      </c>
      <c r="F3515" s="156" t="str">
        <f>'Reported burning'!F3515</f>
        <v>ND</v>
      </c>
      <c r="G3515" s="156" t="str">
        <f>'Reported burning'!G3515</f>
        <v>Shrubland (Mixed forest &amp; grassland)</v>
      </c>
      <c r="H3515" s="156" t="str">
        <f>'Reported burning'!H3515</f>
        <v>Presence</v>
      </c>
      <c r="I3515" s="5"/>
      <c r="J3515" s="177" t="s">
        <v>2276</v>
      </c>
      <c r="K3515" s="177" t="s">
        <v>2276</v>
      </c>
      <c r="L3515" s="177" t="s">
        <v>2276</v>
      </c>
      <c r="M3515" s="177" t="s">
        <v>2276</v>
      </c>
      <c r="N3515" s="21" t="s">
        <v>2276</v>
      </c>
      <c r="O3515" s="177" t="s">
        <v>2276</v>
      </c>
      <c r="P3515" s="177" t="s">
        <v>2276</v>
      </c>
      <c r="Q3515" s="177" t="s">
        <v>2276</v>
      </c>
      <c r="R3515" s="177" t="s">
        <v>2276</v>
      </c>
      <c r="S3515" s="177" t="s">
        <v>2276</v>
      </c>
      <c r="T3515" s="177" t="s">
        <v>2276</v>
      </c>
      <c r="U3515" s="177" t="s">
        <v>2276</v>
      </c>
      <c r="V3515" s="177" t="s">
        <v>2276</v>
      </c>
      <c r="W3515" s="177" t="s">
        <v>2276</v>
      </c>
      <c r="X3515" s="177" t="s">
        <v>2276</v>
      </c>
      <c r="Y3515" s="177" t="s">
        <v>2276</v>
      </c>
      <c r="Z3515" s="177" t="s">
        <v>2276</v>
      </c>
      <c r="AA3515" s="4" t="s">
        <v>9184</v>
      </c>
      <c r="AB3515" s="4" t="s">
        <v>9241</v>
      </c>
    </row>
    <row r="3516" spans="1:28" ht="102.5" customHeight="1">
      <c r="A3516" s="156" t="str">
        <f>'Reported burning'!A3516</f>
        <v>381ab</v>
      </c>
      <c r="B3516" s="156" t="str">
        <f>'Reported burning'!B3516</f>
        <v>381ab.1</v>
      </c>
      <c r="C3516" s="156" t="str">
        <f>'Reported burning'!C3516</f>
        <v>Human, escaped</v>
      </c>
      <c r="D3516" s="156" t="str">
        <f>'Reported burning'!D3516</f>
        <v>ND</v>
      </c>
      <c r="E3516" s="156" t="str">
        <f>'Reported burning'!E3516</f>
        <v>All</v>
      </c>
      <c r="F3516" s="156" t="str">
        <f>'Reported burning'!F3516</f>
        <v>ND</v>
      </c>
      <c r="G3516" s="156" t="str">
        <f>'Reported burning'!G3516</f>
        <v>Shrubland (Mixed forest &amp; grassland)</v>
      </c>
      <c r="H3516" s="156" t="str">
        <f>'Reported burning'!H3516</f>
        <v>Presence</v>
      </c>
      <c r="I3516" s="5"/>
      <c r="J3516" s="177" t="s">
        <v>2276</v>
      </c>
      <c r="K3516" s="177" t="s">
        <v>2276</v>
      </c>
      <c r="L3516" s="177" t="s">
        <v>2276</v>
      </c>
      <c r="M3516" s="177" t="s">
        <v>2276</v>
      </c>
      <c r="N3516" s="21" t="s">
        <v>2276</v>
      </c>
      <c r="O3516" s="177" t="s">
        <v>2276</v>
      </c>
      <c r="P3516" s="177" t="s">
        <v>2276</v>
      </c>
      <c r="Q3516" s="177" t="s">
        <v>2276</v>
      </c>
      <c r="R3516" s="177" t="s">
        <v>2276</v>
      </c>
      <c r="S3516" s="177" t="s">
        <v>2276</v>
      </c>
      <c r="T3516" s="177" t="s">
        <v>2276</v>
      </c>
      <c r="U3516" s="177" t="s">
        <v>2276</v>
      </c>
      <c r="V3516" s="177" t="s">
        <v>2276</v>
      </c>
      <c r="W3516" s="177" t="s">
        <v>2276</v>
      </c>
      <c r="X3516" s="177" t="s">
        <v>2276</v>
      </c>
      <c r="Y3516" s="177" t="s">
        <v>2276</v>
      </c>
      <c r="Z3516" s="177" t="s">
        <v>2276</v>
      </c>
      <c r="AA3516" s="4" t="s">
        <v>9184</v>
      </c>
      <c r="AB3516" s="4" t="s">
        <v>9241</v>
      </c>
    </row>
    <row r="3517" spans="1:28" ht="102.5" customHeight="1">
      <c r="A3517" s="156" t="str">
        <f>'Reported burning'!A3517</f>
        <v>381ac</v>
      </c>
      <c r="B3517" s="156" t="str">
        <f>'Reported burning'!B3517</f>
        <v>381ac.1</v>
      </c>
      <c r="C3517" s="156" t="str">
        <f>'Reported burning'!C3517</f>
        <v>Human, escaped</v>
      </c>
      <c r="D3517" s="156" t="str">
        <f>'Reported burning'!D3517</f>
        <v>ND</v>
      </c>
      <c r="E3517" s="156" t="str">
        <f>'Reported burning'!E3517</f>
        <v>All</v>
      </c>
      <c r="F3517" s="156" t="str">
        <f>'Reported burning'!F3517</f>
        <v>ND</v>
      </c>
      <c r="G3517" s="156" t="str">
        <f>'Reported burning'!G3517</f>
        <v>Shrubland (Mixed forest &amp; grassland)</v>
      </c>
      <c r="H3517" s="156" t="str">
        <f>'Reported burning'!H3517</f>
        <v>Presence</v>
      </c>
      <c r="I3517" s="5"/>
      <c r="J3517" s="177" t="s">
        <v>2276</v>
      </c>
      <c r="K3517" s="177" t="s">
        <v>2276</v>
      </c>
      <c r="L3517" s="177" t="s">
        <v>2276</v>
      </c>
      <c r="M3517" s="177" t="s">
        <v>2276</v>
      </c>
      <c r="N3517" s="21" t="s">
        <v>2276</v>
      </c>
      <c r="O3517" s="177" t="s">
        <v>2276</v>
      </c>
      <c r="P3517" s="177" t="s">
        <v>2276</v>
      </c>
      <c r="Q3517" s="177" t="s">
        <v>2276</v>
      </c>
      <c r="R3517" s="177" t="s">
        <v>2276</v>
      </c>
      <c r="S3517" s="177" t="s">
        <v>2276</v>
      </c>
      <c r="T3517" s="177" t="s">
        <v>2276</v>
      </c>
      <c r="U3517" s="177" t="s">
        <v>2276</v>
      </c>
      <c r="V3517" s="177" t="s">
        <v>2276</v>
      </c>
      <c r="W3517" s="177" t="s">
        <v>2276</v>
      </c>
      <c r="X3517" s="177" t="s">
        <v>2276</v>
      </c>
      <c r="Y3517" s="177" t="s">
        <v>2276</v>
      </c>
      <c r="Z3517" s="177" t="s">
        <v>2276</v>
      </c>
      <c r="AA3517" s="4" t="s">
        <v>9184</v>
      </c>
      <c r="AB3517" s="4" t="s">
        <v>9241</v>
      </c>
    </row>
    <row r="3518" spans="1:28" ht="102.5" customHeight="1">
      <c r="A3518" s="156" t="str">
        <f>'Reported burning'!A3518</f>
        <v>381ad</v>
      </c>
      <c r="B3518" s="156" t="str">
        <f>'Reported burning'!B3518</f>
        <v>381ad.1</v>
      </c>
      <c r="C3518" s="156" t="str">
        <f>'Reported burning'!C3518</f>
        <v>Human, escaped</v>
      </c>
      <c r="D3518" s="156" t="str">
        <f>'Reported burning'!D3518</f>
        <v>ND</v>
      </c>
      <c r="E3518" s="156" t="str">
        <f>'Reported burning'!E3518</f>
        <v>All</v>
      </c>
      <c r="F3518" s="156" t="str">
        <f>'Reported burning'!F3518</f>
        <v>ND</v>
      </c>
      <c r="G3518" s="156" t="str">
        <f>'Reported burning'!G3518</f>
        <v>Shrubland (Mixed forest &amp; grassland)</v>
      </c>
      <c r="H3518" s="156" t="str">
        <f>'Reported burning'!H3518</f>
        <v>Presence</v>
      </c>
      <c r="I3518" s="5"/>
      <c r="J3518" s="177" t="s">
        <v>2276</v>
      </c>
      <c r="K3518" s="177" t="s">
        <v>2276</v>
      </c>
      <c r="L3518" s="177" t="s">
        <v>2276</v>
      </c>
      <c r="M3518" s="177" t="s">
        <v>2276</v>
      </c>
      <c r="N3518" s="21" t="s">
        <v>2276</v>
      </c>
      <c r="O3518" s="177" t="s">
        <v>2276</v>
      </c>
      <c r="P3518" s="177" t="s">
        <v>2276</v>
      </c>
      <c r="Q3518" s="177" t="s">
        <v>2276</v>
      </c>
      <c r="R3518" s="177" t="s">
        <v>2276</v>
      </c>
      <c r="S3518" s="177" t="s">
        <v>2276</v>
      </c>
      <c r="T3518" s="177" t="s">
        <v>2276</v>
      </c>
      <c r="U3518" s="177" t="s">
        <v>2276</v>
      </c>
      <c r="V3518" s="177" t="s">
        <v>2276</v>
      </c>
      <c r="W3518" s="177" t="s">
        <v>2276</v>
      </c>
      <c r="X3518" s="177" t="s">
        <v>2276</v>
      </c>
      <c r="Y3518" s="177" t="s">
        <v>2276</v>
      </c>
      <c r="Z3518" s="177" t="s">
        <v>2276</v>
      </c>
      <c r="AA3518" s="4" t="s">
        <v>9184</v>
      </c>
      <c r="AB3518" s="4" t="s">
        <v>9241</v>
      </c>
    </row>
    <row r="3519" spans="1:28" ht="102.5" customHeight="1">
      <c r="A3519" s="156" t="str">
        <f>'Reported burning'!A3519</f>
        <v>381ae</v>
      </c>
      <c r="B3519" s="156" t="str">
        <f>'Reported burning'!B3519</f>
        <v>381ae.1</v>
      </c>
      <c r="C3519" s="156" t="str">
        <f>'Reported burning'!C3519</f>
        <v>Human, escaped</v>
      </c>
      <c r="D3519" s="156" t="str">
        <f>'Reported burning'!D3519</f>
        <v>ND</v>
      </c>
      <c r="E3519" s="156" t="str">
        <f>'Reported burning'!E3519</f>
        <v>All</v>
      </c>
      <c r="F3519" s="156" t="str">
        <f>'Reported burning'!F3519</f>
        <v>ND</v>
      </c>
      <c r="G3519" s="156" t="str">
        <f>'Reported burning'!G3519</f>
        <v>Shrubland (Mixed forest &amp; grassland)</v>
      </c>
      <c r="H3519" s="156" t="str">
        <f>'Reported burning'!H3519</f>
        <v>Presence</v>
      </c>
      <c r="I3519" s="5"/>
      <c r="J3519" s="177" t="s">
        <v>2276</v>
      </c>
      <c r="K3519" s="177" t="s">
        <v>2276</v>
      </c>
      <c r="L3519" s="177" t="s">
        <v>2276</v>
      </c>
      <c r="M3519" s="177" t="s">
        <v>2276</v>
      </c>
      <c r="N3519" s="21" t="s">
        <v>2276</v>
      </c>
      <c r="O3519" s="177" t="s">
        <v>2276</v>
      </c>
      <c r="P3519" s="177" t="s">
        <v>2276</v>
      </c>
      <c r="Q3519" s="177" t="s">
        <v>2276</v>
      </c>
      <c r="R3519" s="177" t="s">
        <v>2276</v>
      </c>
      <c r="S3519" s="177" t="s">
        <v>2276</v>
      </c>
      <c r="T3519" s="177" t="s">
        <v>2276</v>
      </c>
      <c r="U3519" s="177" t="s">
        <v>2276</v>
      </c>
      <c r="V3519" s="177" t="s">
        <v>2276</v>
      </c>
      <c r="W3519" s="177" t="s">
        <v>2276</v>
      </c>
      <c r="X3519" s="177" t="s">
        <v>2276</v>
      </c>
      <c r="Y3519" s="177" t="s">
        <v>2276</v>
      </c>
      <c r="Z3519" s="177" t="s">
        <v>2276</v>
      </c>
      <c r="AA3519" s="4" t="s">
        <v>9184</v>
      </c>
      <c r="AB3519" s="4" t="s">
        <v>9241</v>
      </c>
    </row>
    <row r="3520" spans="1:28" ht="102.5" customHeight="1">
      <c r="A3520" s="156" t="str">
        <f>'Reported burning'!A3520</f>
        <v>381af</v>
      </c>
      <c r="B3520" s="156" t="str">
        <f>'Reported burning'!B3520</f>
        <v>381af.1</v>
      </c>
      <c r="C3520" s="156" t="str">
        <f>'Reported burning'!C3520</f>
        <v>Human, escaped</v>
      </c>
      <c r="D3520" s="156" t="str">
        <f>'Reported burning'!D3520</f>
        <v>ND</v>
      </c>
      <c r="E3520" s="156" t="str">
        <f>'Reported burning'!E3520</f>
        <v>All</v>
      </c>
      <c r="F3520" s="156" t="str">
        <f>'Reported burning'!F3520</f>
        <v>ND</v>
      </c>
      <c r="G3520" s="156" t="str">
        <f>'Reported burning'!G3520</f>
        <v>Shrubland (Mixed forest &amp; grassland)</v>
      </c>
      <c r="H3520" s="156" t="str">
        <f>'Reported burning'!H3520</f>
        <v>Presence</v>
      </c>
      <c r="I3520" s="5"/>
      <c r="J3520" s="177" t="s">
        <v>2276</v>
      </c>
      <c r="K3520" s="177" t="s">
        <v>2276</v>
      </c>
      <c r="L3520" s="177" t="s">
        <v>2276</v>
      </c>
      <c r="M3520" s="177" t="s">
        <v>2276</v>
      </c>
      <c r="N3520" s="21" t="s">
        <v>2276</v>
      </c>
      <c r="O3520" s="177" t="s">
        <v>2276</v>
      </c>
      <c r="P3520" s="177" t="s">
        <v>2276</v>
      </c>
      <c r="Q3520" s="177" t="s">
        <v>2276</v>
      </c>
      <c r="R3520" s="177" t="s">
        <v>2276</v>
      </c>
      <c r="S3520" s="177" t="s">
        <v>2276</v>
      </c>
      <c r="T3520" s="177" t="s">
        <v>2276</v>
      </c>
      <c r="U3520" s="177" t="s">
        <v>2276</v>
      </c>
      <c r="V3520" s="177" t="s">
        <v>2276</v>
      </c>
      <c r="W3520" s="177" t="s">
        <v>2276</v>
      </c>
      <c r="X3520" s="177" t="s">
        <v>2276</v>
      </c>
      <c r="Y3520" s="177" t="s">
        <v>2276</v>
      </c>
      <c r="Z3520" s="177" t="s">
        <v>2276</v>
      </c>
      <c r="AA3520" s="4" t="s">
        <v>9184</v>
      </c>
      <c r="AB3520" s="4" t="s">
        <v>9241</v>
      </c>
    </row>
    <row r="3521" spans="1:28" ht="102.5" customHeight="1">
      <c r="A3521" s="156" t="str">
        <f>'Reported burning'!A3521</f>
        <v>381ag</v>
      </c>
      <c r="B3521" s="156" t="str">
        <f>'Reported burning'!B3521</f>
        <v>381ag.1</v>
      </c>
      <c r="C3521" s="156" t="str">
        <f>'Reported burning'!C3521</f>
        <v>Human, escaped</v>
      </c>
      <c r="D3521" s="156" t="str">
        <f>'Reported burning'!D3521</f>
        <v>ND</v>
      </c>
      <c r="E3521" s="156" t="str">
        <f>'Reported burning'!E3521</f>
        <v>All</v>
      </c>
      <c r="F3521" s="156" t="str">
        <f>'Reported burning'!F3521</f>
        <v>ND</v>
      </c>
      <c r="G3521" s="156" t="str">
        <f>'Reported burning'!G3521</f>
        <v>Shrubland (Mixed forest &amp; grassland)</v>
      </c>
      <c r="H3521" s="156" t="str">
        <f>'Reported burning'!H3521</f>
        <v>Presence</v>
      </c>
      <c r="I3521" s="5"/>
      <c r="J3521" s="177" t="s">
        <v>2276</v>
      </c>
      <c r="K3521" s="177" t="s">
        <v>2276</v>
      </c>
      <c r="L3521" s="177" t="s">
        <v>2276</v>
      </c>
      <c r="M3521" s="177" t="s">
        <v>2276</v>
      </c>
      <c r="N3521" s="21" t="s">
        <v>2276</v>
      </c>
      <c r="O3521" s="177" t="s">
        <v>2276</v>
      </c>
      <c r="P3521" s="177" t="s">
        <v>2276</v>
      </c>
      <c r="Q3521" s="177" t="s">
        <v>2276</v>
      </c>
      <c r="R3521" s="177" t="s">
        <v>2276</v>
      </c>
      <c r="S3521" s="177" t="s">
        <v>2276</v>
      </c>
      <c r="T3521" s="177" t="s">
        <v>2276</v>
      </c>
      <c r="U3521" s="177" t="s">
        <v>2276</v>
      </c>
      <c r="V3521" s="177" t="s">
        <v>2276</v>
      </c>
      <c r="W3521" s="177" t="s">
        <v>2276</v>
      </c>
      <c r="X3521" s="177" t="s">
        <v>2276</v>
      </c>
      <c r="Y3521" s="177" t="s">
        <v>2276</v>
      </c>
      <c r="Z3521" s="177" t="s">
        <v>2276</v>
      </c>
      <c r="AA3521" s="4" t="s">
        <v>9184</v>
      </c>
      <c r="AB3521" s="4" t="s">
        <v>9241</v>
      </c>
    </row>
    <row r="3522" spans="1:28" ht="102.5" customHeight="1">
      <c r="A3522" s="156" t="str">
        <f>'Reported burning'!A3522</f>
        <v>381ah</v>
      </c>
      <c r="B3522" s="156" t="str">
        <f>'Reported burning'!B3522</f>
        <v>381ah.1</v>
      </c>
      <c r="C3522" s="156" t="str">
        <f>'Reported burning'!C3522</f>
        <v>Human, escaped</v>
      </c>
      <c r="D3522" s="156" t="str">
        <f>'Reported burning'!D3522</f>
        <v>ND</v>
      </c>
      <c r="E3522" s="156" t="str">
        <f>'Reported burning'!E3522</f>
        <v>All</v>
      </c>
      <c r="F3522" s="156" t="str">
        <f>'Reported burning'!F3522</f>
        <v>ND</v>
      </c>
      <c r="G3522" s="156" t="str">
        <f>'Reported burning'!G3522</f>
        <v>Shrubland (Mixed forest &amp; grassland)</v>
      </c>
      <c r="H3522" s="156" t="str">
        <f>'Reported burning'!H3522</f>
        <v>Presence</v>
      </c>
      <c r="I3522" s="5"/>
      <c r="J3522" s="177" t="s">
        <v>2276</v>
      </c>
      <c r="K3522" s="177" t="s">
        <v>2276</v>
      </c>
      <c r="L3522" s="177" t="s">
        <v>2276</v>
      </c>
      <c r="M3522" s="177" t="s">
        <v>2276</v>
      </c>
      <c r="N3522" s="21" t="s">
        <v>2276</v>
      </c>
      <c r="O3522" s="177" t="s">
        <v>2276</v>
      </c>
      <c r="P3522" s="177" t="s">
        <v>2276</v>
      </c>
      <c r="Q3522" s="177" t="s">
        <v>2276</v>
      </c>
      <c r="R3522" s="177" t="s">
        <v>2276</v>
      </c>
      <c r="S3522" s="177" t="s">
        <v>2276</v>
      </c>
      <c r="T3522" s="177" t="s">
        <v>2276</v>
      </c>
      <c r="U3522" s="177" t="s">
        <v>2276</v>
      </c>
      <c r="V3522" s="177" t="s">
        <v>2276</v>
      </c>
      <c r="W3522" s="177" t="s">
        <v>2276</v>
      </c>
      <c r="X3522" s="177" t="s">
        <v>2276</v>
      </c>
      <c r="Y3522" s="177" t="s">
        <v>2276</v>
      </c>
      <c r="Z3522" s="177" t="s">
        <v>2276</v>
      </c>
      <c r="AA3522" s="4" t="s">
        <v>9184</v>
      </c>
      <c r="AB3522" s="4" t="s">
        <v>9241</v>
      </c>
    </row>
    <row r="3523" spans="1:28" ht="102.5" customHeight="1">
      <c r="A3523" s="156" t="str">
        <f>'Reported burning'!A3523</f>
        <v>381ai</v>
      </c>
      <c r="B3523" s="156" t="str">
        <f>'Reported burning'!B3523</f>
        <v>381ai.1</v>
      </c>
      <c r="C3523" s="156" t="str">
        <f>'Reported burning'!C3523</f>
        <v>Human, escaped</v>
      </c>
      <c r="D3523" s="156" t="str">
        <f>'Reported burning'!D3523</f>
        <v>ND</v>
      </c>
      <c r="E3523" s="156" t="str">
        <f>'Reported burning'!E3523</f>
        <v>All</v>
      </c>
      <c r="F3523" s="156" t="str">
        <f>'Reported burning'!F3523</f>
        <v>ND</v>
      </c>
      <c r="G3523" s="156" t="str">
        <f>'Reported burning'!G3523</f>
        <v>Shrubland (Mixed forest &amp; grassland)</v>
      </c>
      <c r="H3523" s="156" t="str">
        <f>'Reported burning'!H3523</f>
        <v>Presence</v>
      </c>
      <c r="I3523" s="5"/>
      <c r="J3523" s="177" t="s">
        <v>2276</v>
      </c>
      <c r="K3523" s="177" t="s">
        <v>2276</v>
      </c>
      <c r="L3523" s="177" t="s">
        <v>2276</v>
      </c>
      <c r="M3523" s="177" t="s">
        <v>2276</v>
      </c>
      <c r="N3523" s="21" t="s">
        <v>2276</v>
      </c>
      <c r="O3523" s="177" t="s">
        <v>2276</v>
      </c>
      <c r="P3523" s="177" t="s">
        <v>2276</v>
      </c>
      <c r="Q3523" s="177" t="s">
        <v>2276</v>
      </c>
      <c r="R3523" s="177" t="s">
        <v>2276</v>
      </c>
      <c r="S3523" s="177" t="s">
        <v>2276</v>
      </c>
      <c r="T3523" s="177" t="s">
        <v>2276</v>
      </c>
      <c r="U3523" s="177" t="s">
        <v>2276</v>
      </c>
      <c r="V3523" s="177" t="s">
        <v>2276</v>
      </c>
      <c r="W3523" s="177" t="s">
        <v>2276</v>
      </c>
      <c r="X3523" s="177" t="s">
        <v>2276</v>
      </c>
      <c r="Y3523" s="177" t="s">
        <v>2276</v>
      </c>
      <c r="Z3523" s="177" t="s">
        <v>2276</v>
      </c>
      <c r="AA3523" s="4" t="s">
        <v>9184</v>
      </c>
      <c r="AB3523" s="4" t="s">
        <v>9241</v>
      </c>
    </row>
    <row r="3524" spans="1:28" ht="102.5" customHeight="1">
      <c r="A3524" s="156" t="str">
        <f>'Reported burning'!A3524</f>
        <v>381aj</v>
      </c>
      <c r="B3524" s="156" t="str">
        <f>'Reported burning'!B3524</f>
        <v>381aj.1</v>
      </c>
      <c r="C3524" s="156" t="str">
        <f>'Reported burning'!C3524</f>
        <v>Human, escaped</v>
      </c>
      <c r="D3524" s="156" t="str">
        <f>'Reported burning'!D3524</f>
        <v>ND</v>
      </c>
      <c r="E3524" s="156" t="str">
        <f>'Reported burning'!E3524</f>
        <v>All</v>
      </c>
      <c r="F3524" s="156" t="str">
        <f>'Reported burning'!F3524</f>
        <v>ND</v>
      </c>
      <c r="G3524" s="156" t="str">
        <f>'Reported burning'!G3524</f>
        <v>Shrubland (Mixed forest &amp; grassland)</v>
      </c>
      <c r="H3524" s="156" t="str">
        <f>'Reported burning'!H3524</f>
        <v>Presence</v>
      </c>
      <c r="I3524" s="5"/>
      <c r="J3524" s="177" t="s">
        <v>2276</v>
      </c>
      <c r="K3524" s="177" t="s">
        <v>2276</v>
      </c>
      <c r="L3524" s="177" t="s">
        <v>2276</v>
      </c>
      <c r="M3524" s="177" t="s">
        <v>2276</v>
      </c>
      <c r="N3524" s="21" t="s">
        <v>2276</v>
      </c>
      <c r="O3524" s="177" t="s">
        <v>2276</v>
      </c>
      <c r="P3524" s="177" t="s">
        <v>2276</v>
      </c>
      <c r="Q3524" s="177" t="s">
        <v>2276</v>
      </c>
      <c r="R3524" s="177" t="s">
        <v>2276</v>
      </c>
      <c r="S3524" s="177" t="s">
        <v>2276</v>
      </c>
      <c r="T3524" s="177" t="s">
        <v>2276</v>
      </c>
      <c r="U3524" s="177" t="s">
        <v>2276</v>
      </c>
      <c r="V3524" s="177" t="s">
        <v>2276</v>
      </c>
      <c r="W3524" s="177" t="s">
        <v>2276</v>
      </c>
      <c r="X3524" s="177" t="s">
        <v>2276</v>
      </c>
      <c r="Y3524" s="177" t="s">
        <v>2276</v>
      </c>
      <c r="Z3524" s="177" t="s">
        <v>2276</v>
      </c>
      <c r="AA3524" s="4" t="s">
        <v>9184</v>
      </c>
      <c r="AB3524" s="4" t="s">
        <v>9241</v>
      </c>
    </row>
    <row r="3525" spans="1:28" ht="102.5" customHeight="1">
      <c r="A3525" s="156" t="str">
        <f>'Reported burning'!A3525</f>
        <v>381ak</v>
      </c>
      <c r="B3525" s="156" t="str">
        <f>'Reported burning'!B3525</f>
        <v>381ak.1</v>
      </c>
      <c r="C3525" s="156" t="str">
        <f>'Reported burning'!C3525</f>
        <v>Human, escaped</v>
      </c>
      <c r="D3525" s="156" t="str">
        <f>'Reported burning'!D3525</f>
        <v>ND</v>
      </c>
      <c r="E3525" s="156" t="str">
        <f>'Reported burning'!E3525</f>
        <v>All</v>
      </c>
      <c r="F3525" s="156" t="str">
        <f>'Reported burning'!F3525</f>
        <v>ND</v>
      </c>
      <c r="G3525" s="156" t="str">
        <f>'Reported burning'!G3525</f>
        <v>Shrubland (Mixed forest &amp; grassland)</v>
      </c>
      <c r="H3525" s="156" t="str">
        <f>'Reported burning'!H3525</f>
        <v>Presence</v>
      </c>
      <c r="I3525" s="5"/>
      <c r="J3525" s="177" t="s">
        <v>2276</v>
      </c>
      <c r="K3525" s="177" t="s">
        <v>2276</v>
      </c>
      <c r="L3525" s="177" t="s">
        <v>2276</v>
      </c>
      <c r="M3525" s="177" t="s">
        <v>2276</v>
      </c>
      <c r="N3525" s="21" t="s">
        <v>2276</v>
      </c>
      <c r="O3525" s="177" t="s">
        <v>2276</v>
      </c>
      <c r="P3525" s="177" t="s">
        <v>2276</v>
      </c>
      <c r="Q3525" s="177" t="s">
        <v>2276</v>
      </c>
      <c r="R3525" s="177" t="s">
        <v>2276</v>
      </c>
      <c r="S3525" s="177" t="s">
        <v>2276</v>
      </c>
      <c r="T3525" s="177" t="s">
        <v>2276</v>
      </c>
      <c r="U3525" s="177" t="s">
        <v>2276</v>
      </c>
      <c r="V3525" s="177" t="s">
        <v>2276</v>
      </c>
      <c r="W3525" s="177" t="s">
        <v>2276</v>
      </c>
      <c r="X3525" s="177" t="s">
        <v>2276</v>
      </c>
      <c r="Y3525" s="177" t="s">
        <v>2276</v>
      </c>
      <c r="Z3525" s="177" t="s">
        <v>2276</v>
      </c>
      <c r="AA3525" s="4" t="s">
        <v>9184</v>
      </c>
      <c r="AB3525" s="4" t="s">
        <v>9241</v>
      </c>
    </row>
    <row r="3526" spans="1:28" ht="102.5" customHeight="1">
      <c r="A3526" s="156" t="str">
        <f>'Reported burning'!A3526</f>
        <v>381al</v>
      </c>
      <c r="B3526" s="156" t="str">
        <f>'Reported burning'!B3526</f>
        <v>381al.1</v>
      </c>
      <c r="C3526" s="156" t="str">
        <f>'Reported burning'!C3526</f>
        <v>Human, escaped</v>
      </c>
      <c r="D3526" s="156" t="str">
        <f>'Reported burning'!D3526</f>
        <v>ND</v>
      </c>
      <c r="E3526" s="156" t="str">
        <f>'Reported burning'!E3526</f>
        <v>All</v>
      </c>
      <c r="F3526" s="156" t="str">
        <f>'Reported burning'!F3526</f>
        <v>ND</v>
      </c>
      <c r="G3526" s="156" t="str">
        <f>'Reported burning'!G3526</f>
        <v>Shrubland (Mixed forest &amp; grassland)</v>
      </c>
      <c r="H3526" s="156" t="str">
        <f>'Reported burning'!H3526</f>
        <v>Presence</v>
      </c>
      <c r="I3526" s="5"/>
      <c r="J3526" s="177" t="s">
        <v>2276</v>
      </c>
      <c r="K3526" s="177" t="s">
        <v>2276</v>
      </c>
      <c r="L3526" s="177" t="s">
        <v>2276</v>
      </c>
      <c r="M3526" s="177" t="s">
        <v>2276</v>
      </c>
      <c r="N3526" s="21" t="s">
        <v>2276</v>
      </c>
      <c r="O3526" s="177" t="s">
        <v>2276</v>
      </c>
      <c r="P3526" s="177" t="s">
        <v>2276</v>
      </c>
      <c r="Q3526" s="177" t="s">
        <v>2276</v>
      </c>
      <c r="R3526" s="177" t="s">
        <v>2276</v>
      </c>
      <c r="S3526" s="177" t="s">
        <v>2276</v>
      </c>
      <c r="T3526" s="177" t="s">
        <v>2276</v>
      </c>
      <c r="U3526" s="177" t="s">
        <v>2276</v>
      </c>
      <c r="V3526" s="177" t="s">
        <v>2276</v>
      </c>
      <c r="W3526" s="177" t="s">
        <v>2276</v>
      </c>
      <c r="X3526" s="177" t="s">
        <v>2276</v>
      </c>
      <c r="Y3526" s="177" t="s">
        <v>2276</v>
      </c>
      <c r="Z3526" s="177" t="s">
        <v>2276</v>
      </c>
      <c r="AA3526" s="4" t="s">
        <v>9184</v>
      </c>
      <c r="AB3526" s="4" t="s">
        <v>9241</v>
      </c>
    </row>
    <row r="3527" spans="1:28" ht="102.5" customHeight="1">
      <c r="A3527" s="156" t="str">
        <f>'Reported burning'!A3527</f>
        <v>381am</v>
      </c>
      <c r="B3527" s="156" t="str">
        <f>'Reported burning'!B3527</f>
        <v>381am.1</v>
      </c>
      <c r="C3527" s="156" t="str">
        <f>'Reported burning'!C3527</f>
        <v>Human, escaped</v>
      </c>
      <c r="D3527" s="156" t="str">
        <f>'Reported burning'!D3527</f>
        <v>ND</v>
      </c>
      <c r="E3527" s="156" t="str">
        <f>'Reported burning'!E3527</f>
        <v>All</v>
      </c>
      <c r="F3527" s="156" t="str">
        <f>'Reported burning'!F3527</f>
        <v>ND</v>
      </c>
      <c r="G3527" s="156" t="str">
        <f>'Reported burning'!G3527</f>
        <v>Shrubland (Mixed forest &amp; grassland)</v>
      </c>
      <c r="H3527" s="156" t="str">
        <f>'Reported burning'!H3527</f>
        <v>Presence</v>
      </c>
      <c r="I3527" s="5"/>
      <c r="J3527" s="177" t="s">
        <v>2276</v>
      </c>
      <c r="K3527" s="177" t="s">
        <v>2276</v>
      </c>
      <c r="L3527" s="177" t="s">
        <v>2276</v>
      </c>
      <c r="M3527" s="177" t="s">
        <v>2276</v>
      </c>
      <c r="N3527" s="21" t="s">
        <v>2276</v>
      </c>
      <c r="O3527" s="177" t="s">
        <v>2276</v>
      </c>
      <c r="P3527" s="177" t="s">
        <v>2276</v>
      </c>
      <c r="Q3527" s="177" t="s">
        <v>2276</v>
      </c>
      <c r="R3527" s="177" t="s">
        <v>2276</v>
      </c>
      <c r="S3527" s="177" t="s">
        <v>2276</v>
      </c>
      <c r="T3527" s="177" t="s">
        <v>2276</v>
      </c>
      <c r="U3527" s="177" t="s">
        <v>2276</v>
      </c>
      <c r="V3527" s="177" t="s">
        <v>2276</v>
      </c>
      <c r="W3527" s="177" t="s">
        <v>2276</v>
      </c>
      <c r="X3527" s="177" t="s">
        <v>2276</v>
      </c>
      <c r="Y3527" s="177" t="s">
        <v>2276</v>
      </c>
      <c r="Z3527" s="177" t="s">
        <v>2276</v>
      </c>
      <c r="AA3527" s="4" t="s">
        <v>9184</v>
      </c>
      <c r="AB3527" s="4" t="s">
        <v>9241</v>
      </c>
    </row>
    <row r="3528" spans="1:28" ht="102.5" customHeight="1">
      <c r="A3528" s="156" t="str">
        <f>'Reported burning'!A3528</f>
        <v>381an</v>
      </c>
      <c r="B3528" s="156" t="str">
        <f>'Reported burning'!B3528</f>
        <v>381an.1</v>
      </c>
      <c r="C3528" s="156" t="str">
        <f>'Reported burning'!C3528</f>
        <v>Human, escaped</v>
      </c>
      <c r="D3528" s="156" t="str">
        <f>'Reported burning'!D3528</f>
        <v>ND</v>
      </c>
      <c r="E3528" s="156" t="str">
        <f>'Reported burning'!E3528</f>
        <v>All</v>
      </c>
      <c r="F3528" s="156" t="str">
        <f>'Reported burning'!F3528</f>
        <v>ND</v>
      </c>
      <c r="G3528" s="156" t="str">
        <f>'Reported burning'!G3528</f>
        <v>Shrubland (Mixed forest &amp; grassland)</v>
      </c>
      <c r="H3528" s="156" t="str">
        <f>'Reported burning'!H3528</f>
        <v>Presence</v>
      </c>
      <c r="I3528" s="5"/>
      <c r="J3528" s="177" t="s">
        <v>2276</v>
      </c>
      <c r="K3528" s="177" t="s">
        <v>2276</v>
      </c>
      <c r="L3528" s="177" t="s">
        <v>2276</v>
      </c>
      <c r="M3528" s="177" t="s">
        <v>2276</v>
      </c>
      <c r="N3528" s="21" t="s">
        <v>2276</v>
      </c>
      <c r="O3528" s="177" t="s">
        <v>2276</v>
      </c>
      <c r="P3528" s="177" t="s">
        <v>2276</v>
      </c>
      <c r="Q3528" s="177" t="s">
        <v>2276</v>
      </c>
      <c r="R3528" s="177" t="s">
        <v>2276</v>
      </c>
      <c r="S3528" s="177" t="s">
        <v>2276</v>
      </c>
      <c r="T3528" s="177" t="s">
        <v>2276</v>
      </c>
      <c r="U3528" s="177" t="s">
        <v>2276</v>
      </c>
      <c r="V3528" s="177" t="s">
        <v>2276</v>
      </c>
      <c r="W3528" s="177" t="s">
        <v>2276</v>
      </c>
      <c r="X3528" s="177" t="s">
        <v>2276</v>
      </c>
      <c r="Y3528" s="177" t="s">
        <v>2276</v>
      </c>
      <c r="Z3528" s="177" t="s">
        <v>2276</v>
      </c>
      <c r="AA3528" s="4" t="s">
        <v>9184</v>
      </c>
      <c r="AB3528" s="4" t="s">
        <v>9241</v>
      </c>
    </row>
    <row r="3529" spans="1:28" ht="102.5" customHeight="1">
      <c r="A3529" s="156" t="str">
        <f>'Reported burning'!A3529</f>
        <v>381ao</v>
      </c>
      <c r="B3529" s="156" t="str">
        <f>'Reported burning'!B3529</f>
        <v>381ao.1</v>
      </c>
      <c r="C3529" s="156" t="str">
        <f>'Reported burning'!C3529</f>
        <v>Human, escaped</v>
      </c>
      <c r="D3529" s="156" t="str">
        <f>'Reported burning'!D3529</f>
        <v>ND</v>
      </c>
      <c r="E3529" s="156" t="str">
        <f>'Reported burning'!E3529</f>
        <v>All</v>
      </c>
      <c r="F3529" s="156" t="str">
        <f>'Reported burning'!F3529</f>
        <v>ND</v>
      </c>
      <c r="G3529" s="156" t="str">
        <f>'Reported burning'!G3529</f>
        <v>Shrubland (Mixed forest &amp; grassland)</v>
      </c>
      <c r="H3529" s="156" t="str">
        <f>'Reported burning'!H3529</f>
        <v>Presence</v>
      </c>
      <c r="I3529" s="5"/>
      <c r="J3529" s="177" t="s">
        <v>2276</v>
      </c>
      <c r="K3529" s="177" t="s">
        <v>2276</v>
      </c>
      <c r="L3529" s="177" t="s">
        <v>2276</v>
      </c>
      <c r="M3529" s="177" t="s">
        <v>2276</v>
      </c>
      <c r="N3529" s="21" t="s">
        <v>2276</v>
      </c>
      <c r="O3529" s="177" t="s">
        <v>2276</v>
      </c>
      <c r="P3529" s="177" t="s">
        <v>2276</v>
      </c>
      <c r="Q3529" s="177" t="s">
        <v>2276</v>
      </c>
      <c r="R3529" s="177" t="s">
        <v>2276</v>
      </c>
      <c r="S3529" s="177" t="s">
        <v>2276</v>
      </c>
      <c r="T3529" s="177" t="s">
        <v>2276</v>
      </c>
      <c r="U3529" s="177" t="s">
        <v>2276</v>
      </c>
      <c r="V3529" s="177" t="s">
        <v>2276</v>
      </c>
      <c r="W3529" s="177" t="s">
        <v>2276</v>
      </c>
      <c r="X3529" s="177" t="s">
        <v>2276</v>
      </c>
      <c r="Y3529" s="177" t="s">
        <v>2276</v>
      </c>
      <c r="Z3529" s="177" t="s">
        <v>2276</v>
      </c>
      <c r="AA3529" s="4" t="s">
        <v>9184</v>
      </c>
      <c r="AB3529" s="4" t="s">
        <v>9241</v>
      </c>
    </row>
    <row r="3530" spans="1:28" ht="102.5" customHeight="1">
      <c r="A3530" s="156" t="str">
        <f>'Reported burning'!A3530</f>
        <v>381ap</v>
      </c>
      <c r="B3530" s="156" t="str">
        <f>'Reported burning'!B3530</f>
        <v>381ap.1</v>
      </c>
      <c r="C3530" s="156" t="str">
        <f>'Reported burning'!C3530</f>
        <v>Human, escaped</v>
      </c>
      <c r="D3530" s="156" t="str">
        <f>'Reported burning'!D3530</f>
        <v>ND</v>
      </c>
      <c r="E3530" s="156" t="str">
        <f>'Reported burning'!E3530</f>
        <v>All</v>
      </c>
      <c r="F3530" s="156" t="str">
        <f>'Reported burning'!F3530</f>
        <v>ND</v>
      </c>
      <c r="G3530" s="156" t="str">
        <f>'Reported burning'!G3530</f>
        <v>Shrubland (Mixed forest &amp; grassland)</v>
      </c>
      <c r="H3530" s="156" t="str">
        <f>'Reported burning'!H3530</f>
        <v>Presence</v>
      </c>
      <c r="I3530" s="5"/>
      <c r="J3530" s="177" t="s">
        <v>2276</v>
      </c>
      <c r="K3530" s="177" t="s">
        <v>2276</v>
      </c>
      <c r="L3530" s="177" t="s">
        <v>2276</v>
      </c>
      <c r="M3530" s="177" t="s">
        <v>2276</v>
      </c>
      <c r="N3530" s="21" t="s">
        <v>2276</v>
      </c>
      <c r="O3530" s="177" t="s">
        <v>2276</v>
      </c>
      <c r="P3530" s="177" t="s">
        <v>2276</v>
      </c>
      <c r="Q3530" s="177" t="s">
        <v>2276</v>
      </c>
      <c r="R3530" s="177" t="s">
        <v>2276</v>
      </c>
      <c r="S3530" s="177" t="s">
        <v>2276</v>
      </c>
      <c r="T3530" s="177" t="s">
        <v>2276</v>
      </c>
      <c r="U3530" s="177" t="s">
        <v>2276</v>
      </c>
      <c r="V3530" s="177" t="s">
        <v>2276</v>
      </c>
      <c r="W3530" s="177" t="s">
        <v>2276</v>
      </c>
      <c r="X3530" s="177" t="s">
        <v>2276</v>
      </c>
      <c r="Y3530" s="177" t="s">
        <v>2276</v>
      </c>
      <c r="Z3530" s="177" t="s">
        <v>2276</v>
      </c>
      <c r="AA3530" s="4" t="s">
        <v>9184</v>
      </c>
      <c r="AB3530" s="4" t="s">
        <v>9241</v>
      </c>
    </row>
    <row r="3531" spans="1:28" ht="102.5" customHeight="1">
      <c r="A3531" s="156" t="str">
        <f>'Reported burning'!A3531</f>
        <v>381aq</v>
      </c>
      <c r="B3531" s="156" t="str">
        <f>'Reported burning'!B3531</f>
        <v>381aq.1</v>
      </c>
      <c r="C3531" s="156" t="str">
        <f>'Reported burning'!C3531</f>
        <v>Human, escaped</v>
      </c>
      <c r="D3531" s="156" t="str">
        <f>'Reported burning'!D3531</f>
        <v>ND</v>
      </c>
      <c r="E3531" s="156" t="str">
        <f>'Reported burning'!E3531</f>
        <v>All</v>
      </c>
      <c r="F3531" s="156" t="str">
        <f>'Reported burning'!F3531</f>
        <v>ND</v>
      </c>
      <c r="G3531" s="156" t="str">
        <f>'Reported burning'!G3531</f>
        <v>Shrubland (Mixed forest &amp; grassland)</v>
      </c>
      <c r="H3531" s="156" t="str">
        <f>'Reported burning'!H3531</f>
        <v>Presence</v>
      </c>
      <c r="I3531" s="5"/>
      <c r="J3531" s="177" t="s">
        <v>2276</v>
      </c>
      <c r="K3531" s="177" t="s">
        <v>2276</v>
      </c>
      <c r="L3531" s="177" t="s">
        <v>2276</v>
      </c>
      <c r="M3531" s="177" t="s">
        <v>2276</v>
      </c>
      <c r="N3531" s="21" t="s">
        <v>2276</v>
      </c>
      <c r="O3531" s="177" t="s">
        <v>2276</v>
      </c>
      <c r="P3531" s="177" t="s">
        <v>2276</v>
      </c>
      <c r="Q3531" s="177" t="s">
        <v>2276</v>
      </c>
      <c r="R3531" s="177" t="s">
        <v>2276</v>
      </c>
      <c r="S3531" s="177" t="s">
        <v>2276</v>
      </c>
      <c r="T3531" s="177" t="s">
        <v>2276</v>
      </c>
      <c r="U3531" s="177" t="s">
        <v>2276</v>
      </c>
      <c r="V3531" s="177" t="s">
        <v>2276</v>
      </c>
      <c r="W3531" s="177" t="s">
        <v>2276</v>
      </c>
      <c r="X3531" s="177" t="s">
        <v>2276</v>
      </c>
      <c r="Y3531" s="177" t="s">
        <v>2276</v>
      </c>
      <c r="Z3531" s="177" t="s">
        <v>2276</v>
      </c>
      <c r="AA3531" s="4" t="s">
        <v>9184</v>
      </c>
      <c r="AB3531" s="4" t="s">
        <v>9241</v>
      </c>
    </row>
    <row r="3532" spans="1:28" ht="59" customHeight="1">
      <c r="A3532" s="156" t="str">
        <f>'Reported burning'!A3532</f>
        <v>381al</v>
      </c>
      <c r="B3532" s="156" t="str">
        <f>'Reported burning'!B3532</f>
        <v>381al.2</v>
      </c>
      <c r="C3532" s="156" t="str">
        <f>'Reported burning'!C3532</f>
        <v>Human, deliberate</v>
      </c>
      <c r="D3532" s="156" t="str">
        <f>'Reported burning'!D3532</f>
        <v>Arson</v>
      </c>
      <c r="E3532" s="156" t="str">
        <f>'Reported burning'!E3532</f>
        <v>ND</v>
      </c>
      <c r="F3532" s="156" t="str">
        <f>'Reported burning'!F3532</f>
        <v>Plantation forest</v>
      </c>
      <c r="G3532" s="156" t="str">
        <f>'Reported burning'!G3532</f>
        <v>Plantation forest</v>
      </c>
      <c r="H3532" s="156" t="str">
        <f>'Reported burning'!H3532</f>
        <v>Presence</v>
      </c>
      <c r="I3532" s="5"/>
      <c r="J3532" s="177" t="s">
        <v>2276</v>
      </c>
      <c r="K3532" s="177" t="s">
        <v>2276</v>
      </c>
      <c r="L3532" s="177" t="s">
        <v>2276</v>
      </c>
      <c r="M3532" s="177" t="s">
        <v>2276</v>
      </c>
      <c r="N3532" s="177" t="s">
        <v>2276</v>
      </c>
      <c r="O3532" s="177" t="s">
        <v>2276</v>
      </c>
      <c r="P3532" s="177" t="s">
        <v>2276</v>
      </c>
      <c r="Q3532" s="177" t="s">
        <v>2276</v>
      </c>
      <c r="R3532" s="177" t="s">
        <v>2276</v>
      </c>
      <c r="S3532" s="177" t="s">
        <v>2276</v>
      </c>
      <c r="T3532" s="177" t="s">
        <v>2276</v>
      </c>
      <c r="U3532" s="177" t="s">
        <v>2276</v>
      </c>
      <c r="V3532" s="177" t="s">
        <v>2276</v>
      </c>
      <c r="W3532" s="177" t="s">
        <v>2276</v>
      </c>
      <c r="X3532" s="177" t="s">
        <v>2276</v>
      </c>
      <c r="Y3532" s="177" t="s">
        <v>2276</v>
      </c>
      <c r="Z3532" s="177" t="s">
        <v>2276</v>
      </c>
      <c r="AA3532" s="4" t="s">
        <v>9244</v>
      </c>
      <c r="AB3532" s="204"/>
    </row>
    <row r="3533" spans="1:28" ht="59" customHeight="1">
      <c r="A3533" s="156" t="str">
        <f>'Reported burning'!A3533</f>
        <v>381am</v>
      </c>
      <c r="B3533" s="156" t="str">
        <f>'Reported burning'!B3533</f>
        <v>381am.2</v>
      </c>
      <c r="C3533" s="156" t="str">
        <f>'Reported burning'!C3533</f>
        <v>Human, deliberate</v>
      </c>
      <c r="D3533" s="156" t="str">
        <f>'Reported burning'!D3533</f>
        <v>Arson</v>
      </c>
      <c r="E3533" s="156" t="str">
        <f>'Reported burning'!E3533</f>
        <v>ND</v>
      </c>
      <c r="F3533" s="156" t="str">
        <f>'Reported burning'!F3533</f>
        <v>Plantation forest</v>
      </c>
      <c r="G3533" s="156" t="str">
        <f>'Reported burning'!G3533</f>
        <v>Plantation forest</v>
      </c>
      <c r="H3533" s="156" t="str">
        <f>'Reported burning'!H3533</f>
        <v>Presence</v>
      </c>
      <c r="I3533" s="5"/>
      <c r="J3533" s="177" t="s">
        <v>2276</v>
      </c>
      <c r="K3533" s="177" t="s">
        <v>2276</v>
      </c>
      <c r="L3533" s="177" t="s">
        <v>2276</v>
      </c>
      <c r="M3533" s="177" t="s">
        <v>2276</v>
      </c>
      <c r="N3533" s="177" t="s">
        <v>2276</v>
      </c>
      <c r="O3533" s="177" t="s">
        <v>2276</v>
      </c>
      <c r="P3533" s="177" t="s">
        <v>2276</v>
      </c>
      <c r="Q3533" s="177" t="s">
        <v>2276</v>
      </c>
      <c r="R3533" s="177" t="s">
        <v>2276</v>
      </c>
      <c r="S3533" s="177" t="s">
        <v>2276</v>
      </c>
      <c r="T3533" s="177" t="s">
        <v>2276</v>
      </c>
      <c r="U3533" s="177" t="s">
        <v>2276</v>
      </c>
      <c r="V3533" s="177" t="s">
        <v>2276</v>
      </c>
      <c r="W3533" s="177" t="s">
        <v>2276</v>
      </c>
      <c r="X3533" s="177" t="s">
        <v>2276</v>
      </c>
      <c r="Y3533" s="177" t="s">
        <v>2276</v>
      </c>
      <c r="Z3533" s="177" t="s">
        <v>2276</v>
      </c>
      <c r="AA3533" s="4" t="s">
        <v>9244</v>
      </c>
      <c r="AB3533" s="204"/>
    </row>
    <row r="3534" spans="1:28" ht="43.5" customHeight="1">
      <c r="A3534" s="156" t="str">
        <f>'Reported burning'!A3534</f>
        <v>381aq</v>
      </c>
      <c r="B3534" s="156" t="str">
        <f>'Reported burning'!B3534</f>
        <v>381aq.2</v>
      </c>
      <c r="C3534" s="156" t="str">
        <f>'Reported burning'!C3534</f>
        <v>Human, accidental</v>
      </c>
      <c r="D3534" s="156" t="str">
        <f>'Reported burning'!D3534</f>
        <v>Accidental</v>
      </c>
      <c r="E3534" s="156" t="str">
        <f>'Reported burning'!E3534</f>
        <v>Tourism manager</v>
      </c>
      <c r="F3534" s="156" t="str">
        <f>'Reported burning'!F3534</f>
        <v>ND</v>
      </c>
      <c r="G3534" s="156" t="str">
        <f>'Reported burning'!G3534</f>
        <v>Shrubland (Mixed forest &amp; grassland)</v>
      </c>
      <c r="H3534" s="156" t="str">
        <f>'Reported burning'!H3534</f>
        <v>Presence</v>
      </c>
      <c r="I3534" s="5"/>
      <c r="J3534" s="177" t="s">
        <v>2276</v>
      </c>
      <c r="K3534" s="177" t="s">
        <v>2276</v>
      </c>
      <c r="L3534" s="177" t="s">
        <v>2276</v>
      </c>
      <c r="M3534" s="177" t="s">
        <v>2276</v>
      </c>
      <c r="N3534" s="177" t="s">
        <v>2276</v>
      </c>
      <c r="O3534" s="177" t="s">
        <v>2276</v>
      </c>
      <c r="P3534" s="177" t="s">
        <v>2276</v>
      </c>
      <c r="Q3534" s="177" t="s">
        <v>2276</v>
      </c>
      <c r="R3534" s="177" t="s">
        <v>2276</v>
      </c>
      <c r="S3534" s="177" t="s">
        <v>2276</v>
      </c>
      <c r="T3534" s="177" t="s">
        <v>2276</v>
      </c>
      <c r="U3534" s="177" t="s">
        <v>2276</v>
      </c>
      <c r="V3534" s="177" t="s">
        <v>2276</v>
      </c>
      <c r="W3534" s="177" t="s">
        <v>2276</v>
      </c>
      <c r="X3534" s="177" t="s">
        <v>2276</v>
      </c>
      <c r="Y3534" s="177" t="s">
        <v>2276</v>
      </c>
      <c r="Z3534" s="177" t="s">
        <v>2276</v>
      </c>
      <c r="AA3534" s="4" t="s">
        <v>9245</v>
      </c>
      <c r="AB3534" s="204"/>
    </row>
    <row r="3535" spans="1:28" ht="43.5" customHeight="1">
      <c r="A3535" s="156" t="str">
        <f>'Reported burning'!A3535</f>
        <v>381ah</v>
      </c>
      <c r="B3535" s="156" t="str">
        <f>'Reported burning'!B3535</f>
        <v>381ah.2</v>
      </c>
      <c r="C3535" s="156" t="str">
        <f>'Reported burning'!C3535</f>
        <v>Human, accidental</v>
      </c>
      <c r="D3535" s="156" t="str">
        <f>'Reported burning'!D3535</f>
        <v>Accidental</v>
      </c>
      <c r="E3535" s="156" t="str">
        <f>'Reported burning'!E3535</f>
        <v>Urban planner</v>
      </c>
      <c r="F3535" s="156" t="str">
        <f>'Reported burning'!F3535</f>
        <v>ND</v>
      </c>
      <c r="G3535" s="156" t="str">
        <f>'Reported burning'!G3535</f>
        <v>Shrubland (Mixed forest &amp; grassland)</v>
      </c>
      <c r="H3535" s="156" t="str">
        <f>'Reported burning'!H3535</f>
        <v>Presence</v>
      </c>
      <c r="I3535" s="5"/>
      <c r="J3535" s="177" t="s">
        <v>2276</v>
      </c>
      <c r="K3535" s="177" t="s">
        <v>2276</v>
      </c>
      <c r="L3535" s="177" t="s">
        <v>2276</v>
      </c>
      <c r="M3535" s="177" t="s">
        <v>2276</v>
      </c>
      <c r="N3535" s="177" t="s">
        <v>2276</v>
      </c>
      <c r="O3535" s="177" t="s">
        <v>2276</v>
      </c>
      <c r="P3535" s="177" t="s">
        <v>2276</v>
      </c>
      <c r="Q3535" s="177" t="s">
        <v>2276</v>
      </c>
      <c r="R3535" s="177" t="s">
        <v>2276</v>
      </c>
      <c r="S3535" s="177" t="s">
        <v>2276</v>
      </c>
      <c r="T3535" s="177" t="s">
        <v>2276</v>
      </c>
      <c r="U3535" s="177" t="s">
        <v>2276</v>
      </c>
      <c r="V3535" s="177" t="s">
        <v>2276</v>
      </c>
      <c r="W3535" s="177" t="s">
        <v>2276</v>
      </c>
      <c r="X3535" s="177" t="s">
        <v>2276</v>
      </c>
      <c r="Y3535" s="177" t="s">
        <v>2276</v>
      </c>
      <c r="Z3535" s="177" t="s">
        <v>2276</v>
      </c>
      <c r="AA3535" s="4" t="s">
        <v>9246</v>
      </c>
      <c r="AB3535" s="204"/>
    </row>
    <row r="3536" spans="1:28" ht="43.5" customHeight="1">
      <c r="A3536" s="156" t="str">
        <f>'Reported burning'!A3536</f>
        <v>381m</v>
      </c>
      <c r="B3536" s="156" t="str">
        <f>'Reported burning'!B3536</f>
        <v>381am.3</v>
      </c>
      <c r="C3536" s="156" t="str">
        <f>'Reported burning'!C3536</f>
        <v>Human, deliberate</v>
      </c>
      <c r="D3536" s="156" t="str">
        <f>'Reported burning'!D3536</f>
        <v>Crop residue burning</v>
      </c>
      <c r="E3536" s="156" t="str">
        <f>'Reported burning'!E3536</f>
        <v>Cropping, Monoculture, Market-oriented</v>
      </c>
      <c r="F3536" s="156" t="str">
        <f>'Reported burning'!F3536</f>
        <v>Cropland</v>
      </c>
      <c r="G3536" s="156" t="str">
        <f>'Reported burning'!G3536</f>
        <v>Cropland</v>
      </c>
      <c r="H3536" s="156" t="str">
        <f>'Reported burning'!H3536</f>
        <v>Presence</v>
      </c>
      <c r="I3536" s="5"/>
      <c r="J3536" s="177" t="s">
        <v>2276</v>
      </c>
      <c r="K3536" s="177" t="s">
        <v>2276</v>
      </c>
      <c r="L3536" s="177" t="s">
        <v>2276</v>
      </c>
      <c r="M3536" s="177" t="s">
        <v>2276</v>
      </c>
      <c r="N3536" s="177" t="s">
        <v>2276</v>
      </c>
      <c r="O3536" s="177" t="s">
        <v>2276</v>
      </c>
      <c r="P3536" s="177" t="s">
        <v>2276</v>
      </c>
      <c r="Q3536" s="177" t="s">
        <v>2276</v>
      </c>
      <c r="R3536" s="177" t="s">
        <v>2276</v>
      </c>
      <c r="S3536" s="177" t="s">
        <v>2276</v>
      </c>
      <c r="T3536" s="177" t="s">
        <v>2276</v>
      </c>
      <c r="U3536" s="177" t="s">
        <v>2276</v>
      </c>
      <c r="V3536" s="177" t="s">
        <v>2276</v>
      </c>
      <c r="W3536" s="177" t="s">
        <v>2276</v>
      </c>
      <c r="X3536" s="177" t="s">
        <v>2276</v>
      </c>
      <c r="Y3536" s="177" t="s">
        <v>2276</v>
      </c>
      <c r="Z3536" s="177" t="s">
        <v>2276</v>
      </c>
      <c r="AA3536" s="4" t="s">
        <v>9249</v>
      </c>
      <c r="AB3536" s="204"/>
    </row>
    <row r="3537" spans="1:28" ht="43.5" customHeight="1">
      <c r="A3537" s="156" t="str">
        <f>'Reported burning'!A3537</f>
        <v>381am</v>
      </c>
      <c r="B3537" s="156" t="str">
        <f>'Reported burning'!B3537</f>
        <v>381m.2</v>
      </c>
      <c r="C3537" s="156" t="str">
        <f>'Reported burning'!C3537</f>
        <v>Human, deliberate</v>
      </c>
      <c r="D3537" s="156" t="str">
        <f>'Reported burning'!D3537</f>
        <v>Crop residue burning</v>
      </c>
      <c r="E3537" s="156" t="str">
        <f>'Reported burning'!E3537</f>
        <v>Cropping, Monoculture, Market-oriented</v>
      </c>
      <c r="F3537" s="156" t="str">
        <f>'Reported burning'!F3537</f>
        <v>Cropland</v>
      </c>
      <c r="G3537" s="156" t="str">
        <f>'Reported burning'!G3537</f>
        <v>Cropland</v>
      </c>
      <c r="H3537" s="156" t="str">
        <f>'Reported burning'!H3537</f>
        <v>Presence</v>
      </c>
      <c r="I3537" s="5"/>
      <c r="J3537" s="177" t="s">
        <v>2276</v>
      </c>
      <c r="K3537" s="177" t="s">
        <v>2276</v>
      </c>
      <c r="L3537" s="177" t="s">
        <v>2276</v>
      </c>
      <c r="M3537" s="177" t="s">
        <v>2276</v>
      </c>
      <c r="N3537" s="177" t="s">
        <v>2276</v>
      </c>
      <c r="O3537" s="177" t="s">
        <v>2276</v>
      </c>
      <c r="P3537" s="177" t="s">
        <v>2276</v>
      </c>
      <c r="Q3537" s="177" t="s">
        <v>2276</v>
      </c>
      <c r="R3537" s="177" t="s">
        <v>2276</v>
      </c>
      <c r="S3537" s="177" t="s">
        <v>2276</v>
      </c>
      <c r="T3537" s="177" t="s">
        <v>2276</v>
      </c>
      <c r="U3537" s="177" t="s">
        <v>2276</v>
      </c>
      <c r="V3537" s="177" t="s">
        <v>2276</v>
      </c>
      <c r="W3537" s="177" t="s">
        <v>2276</v>
      </c>
      <c r="X3537" s="177" t="s">
        <v>2276</v>
      </c>
      <c r="Y3537" s="177" t="s">
        <v>2276</v>
      </c>
      <c r="Z3537" s="177" t="s">
        <v>2276</v>
      </c>
      <c r="AA3537" s="4" t="s">
        <v>9249</v>
      </c>
      <c r="AB3537" s="204"/>
    </row>
    <row r="3538" spans="1:28" ht="43.5" customHeight="1">
      <c r="A3538" s="156" t="str">
        <f>'Reported burning'!A3538</f>
        <v>381ag</v>
      </c>
      <c r="B3538" s="156" t="str">
        <f>'Reported burning'!B3538</f>
        <v>381ag.2</v>
      </c>
      <c r="C3538" s="156" t="str">
        <f>'Reported burning'!C3538</f>
        <v>Human, accidental</v>
      </c>
      <c r="D3538" s="156" t="str">
        <f>'Reported burning'!D3538</f>
        <v>Accidental</v>
      </c>
      <c r="E3538" s="156" t="str">
        <f>'Reported burning'!E3538</f>
        <v>Urban planner</v>
      </c>
      <c r="F3538" s="156" t="str">
        <f>'Reported burning'!F3538</f>
        <v>ND</v>
      </c>
      <c r="G3538" s="156" t="str">
        <f>'Reported burning'!G3538</f>
        <v>Shrubland (Mixed forest &amp; grassland)</v>
      </c>
      <c r="H3538" s="156" t="str">
        <f>'Reported burning'!H3538</f>
        <v>Presence</v>
      </c>
      <c r="I3538" s="5"/>
      <c r="J3538" s="177" t="s">
        <v>2276</v>
      </c>
      <c r="K3538" s="177" t="s">
        <v>2276</v>
      </c>
      <c r="L3538" s="177" t="s">
        <v>2276</v>
      </c>
      <c r="M3538" s="177" t="s">
        <v>2276</v>
      </c>
      <c r="N3538" s="177" t="s">
        <v>2276</v>
      </c>
      <c r="O3538" s="177" t="s">
        <v>2276</v>
      </c>
      <c r="P3538" s="177" t="s">
        <v>2276</v>
      </c>
      <c r="Q3538" s="177" t="s">
        <v>2276</v>
      </c>
      <c r="R3538" s="177" t="s">
        <v>2276</v>
      </c>
      <c r="S3538" s="177" t="s">
        <v>2276</v>
      </c>
      <c r="T3538" s="177" t="s">
        <v>2276</v>
      </c>
      <c r="U3538" s="177" t="s">
        <v>2276</v>
      </c>
      <c r="V3538" s="177" t="s">
        <v>2276</v>
      </c>
      <c r="W3538" s="177" t="s">
        <v>2276</v>
      </c>
      <c r="X3538" s="177" t="s">
        <v>2276</v>
      </c>
      <c r="Y3538" s="177" t="s">
        <v>2276</v>
      </c>
      <c r="Z3538" s="177" t="s">
        <v>2276</v>
      </c>
      <c r="AA3538" s="4" t="s">
        <v>9246</v>
      </c>
      <c r="AB3538" s="204"/>
    </row>
    <row r="3539" spans="1:28" ht="51.5" customHeight="1">
      <c r="A3539" s="156" t="str">
        <f>'Reported burning'!A3539</f>
        <v>382a</v>
      </c>
      <c r="B3539" s="156" t="str">
        <f>'Reported burning'!B3539</f>
        <v>382a.1</v>
      </c>
      <c r="C3539" s="156" t="str">
        <f>'Reported burning'!C3539</f>
        <v>Unknown</v>
      </c>
      <c r="D3539" s="156" t="str">
        <f>'Reported burning'!D3539</f>
        <v>ND</v>
      </c>
      <c r="E3539" s="156" t="str">
        <f>'Reported burning'!E3539</f>
        <v>Biodiversity conservation</v>
      </c>
      <c r="F3539" s="156" t="str">
        <f>'Reported burning'!F3539</f>
        <v>ND</v>
      </c>
      <c r="G3539" s="156" t="str">
        <f>'Reported burning'!G3539</f>
        <v>Forest</v>
      </c>
      <c r="H3539" s="156" t="str">
        <f>'Reported burning'!H3539</f>
        <v>Presence</v>
      </c>
      <c r="I3539" s="5"/>
      <c r="J3539" s="177" t="s">
        <v>2276</v>
      </c>
      <c r="K3539" s="177" t="s">
        <v>2276</v>
      </c>
      <c r="L3539" s="177" t="s">
        <v>2276</v>
      </c>
      <c r="M3539" s="177" t="s">
        <v>2276</v>
      </c>
      <c r="N3539" s="177" t="s">
        <v>2276</v>
      </c>
      <c r="O3539" s="177" t="s">
        <v>2276</v>
      </c>
      <c r="P3539" s="177" t="s">
        <v>2276</v>
      </c>
      <c r="Q3539" s="177" t="s">
        <v>2276</v>
      </c>
      <c r="R3539" s="177" t="s">
        <v>2276</v>
      </c>
      <c r="S3539" s="177" t="s">
        <v>2276</v>
      </c>
      <c r="T3539" s="14" t="s">
        <v>2392</v>
      </c>
      <c r="U3539" s="177" t="s">
        <v>2276</v>
      </c>
      <c r="V3539" s="21" t="s">
        <v>2392</v>
      </c>
      <c r="W3539" s="21" t="s">
        <v>2276</v>
      </c>
      <c r="X3539" s="177" t="s">
        <v>2276</v>
      </c>
      <c r="Y3539" s="177" t="s">
        <v>2276</v>
      </c>
      <c r="Z3539" s="177" t="s">
        <v>2276</v>
      </c>
      <c r="AA3539" s="204"/>
      <c r="AB3539" s="204"/>
    </row>
    <row r="3540" spans="1:28" ht="51.5" customHeight="1">
      <c r="A3540" s="156" t="str">
        <f>'Reported burning'!A3540</f>
        <v>382b</v>
      </c>
      <c r="B3540" s="156" t="str">
        <f>'Reported burning'!B3540</f>
        <v>382b.1</v>
      </c>
      <c r="C3540" s="156" t="str">
        <f>'Reported burning'!C3540</f>
        <v>Human, deliberate</v>
      </c>
      <c r="D3540" s="156" t="str">
        <f>'Reported burning'!D3540</f>
        <v>Crop residue burning</v>
      </c>
      <c r="E3540" s="156" t="str">
        <f>'Reported burning'!E3540</f>
        <v>Cropping, Monoculture, Market-oriented</v>
      </c>
      <c r="F3540" s="156" t="str">
        <f>'Reported burning'!F3540</f>
        <v>Cropland</v>
      </c>
      <c r="G3540" s="156" t="str">
        <f>'Reported burning'!G3540</f>
        <v>Cropland</v>
      </c>
      <c r="H3540" s="156" t="str">
        <f>'Reported burning'!H3540</f>
        <v>Presence</v>
      </c>
      <c r="I3540" s="5"/>
      <c r="J3540" s="177" t="s">
        <v>2276</v>
      </c>
      <c r="K3540" s="177" t="s">
        <v>2276</v>
      </c>
      <c r="L3540" s="177" t="s">
        <v>2276</v>
      </c>
      <c r="M3540" s="177" t="s">
        <v>2276</v>
      </c>
      <c r="N3540" s="177" t="s">
        <v>2276</v>
      </c>
      <c r="O3540" s="21" t="s">
        <v>2375</v>
      </c>
      <c r="P3540" s="177" t="s">
        <v>2276</v>
      </c>
      <c r="Q3540" s="177" t="s">
        <v>2276</v>
      </c>
      <c r="R3540" s="177" t="s">
        <v>2276</v>
      </c>
      <c r="S3540" s="177" t="s">
        <v>2276</v>
      </c>
      <c r="T3540" s="177" t="s">
        <v>2276</v>
      </c>
      <c r="U3540" s="177" t="s">
        <v>2276</v>
      </c>
      <c r="V3540" s="177" t="s">
        <v>2276</v>
      </c>
      <c r="W3540" s="177" t="s">
        <v>2276</v>
      </c>
      <c r="X3540" s="177" t="s">
        <v>2276</v>
      </c>
      <c r="Y3540" s="177" t="s">
        <v>2276</v>
      </c>
      <c r="Z3540" s="177" t="s">
        <v>2276</v>
      </c>
      <c r="AA3540" s="204"/>
      <c r="AB3540" s="204"/>
    </row>
    <row r="3541" spans="1:28" ht="51.5" customHeight="1">
      <c r="A3541" s="156" t="str">
        <f>'Reported burning'!A3541</f>
        <v>383a</v>
      </c>
      <c r="B3541" s="156" t="str">
        <f>'Reported burning'!B3541</f>
        <v>383a.1</v>
      </c>
      <c r="C3541" s="156" t="str">
        <f>'Reported burning'!C3541</f>
        <v>Unknown</v>
      </c>
      <c r="D3541" s="156" t="str">
        <f>'Reported burning'!D3541</f>
        <v>ND</v>
      </c>
      <c r="E3541" s="156" t="str">
        <f>'Reported burning'!E3541</f>
        <v>Forestry, Industrial</v>
      </c>
      <c r="F3541" s="156" t="str">
        <f>'Reported burning'!F3541</f>
        <v>ND</v>
      </c>
      <c r="G3541" s="156" t="str">
        <f>'Reported burning'!G3541</f>
        <v>Plantation forest</v>
      </c>
      <c r="H3541" s="156" t="str">
        <f>'Reported burning'!H3541</f>
        <v>Presence</v>
      </c>
      <c r="I3541" s="5"/>
      <c r="J3541" s="177" t="s">
        <v>2276</v>
      </c>
      <c r="K3541" s="177" t="s">
        <v>2276</v>
      </c>
      <c r="L3541" s="177" t="s">
        <v>2276</v>
      </c>
      <c r="M3541" s="177" t="s">
        <v>2276</v>
      </c>
      <c r="N3541" s="177" t="s">
        <v>2276</v>
      </c>
      <c r="O3541" s="177" t="s">
        <v>2276</v>
      </c>
      <c r="P3541" s="177" t="s">
        <v>2276</v>
      </c>
      <c r="Q3541" s="177" t="s">
        <v>2276</v>
      </c>
      <c r="R3541" s="177" t="s">
        <v>2276</v>
      </c>
      <c r="S3541" s="177" t="s">
        <v>2276</v>
      </c>
      <c r="T3541" s="177" t="s">
        <v>2276</v>
      </c>
      <c r="U3541" s="177" t="s">
        <v>2276</v>
      </c>
      <c r="V3541" s="177" t="s">
        <v>2276</v>
      </c>
      <c r="W3541" s="177" t="s">
        <v>2276</v>
      </c>
      <c r="X3541" s="204" t="s">
        <v>188</v>
      </c>
      <c r="Y3541" s="204" t="s">
        <v>188</v>
      </c>
      <c r="Z3541" s="21" t="s">
        <v>2276</v>
      </c>
      <c r="AA3541" s="19" t="s">
        <v>9270</v>
      </c>
      <c r="AB3541" s="204"/>
    </row>
    <row r="3542" spans="1:28" ht="46.5" customHeight="1">
      <c r="A3542" s="156" t="str">
        <f>'Reported burning'!A3542</f>
        <v>384a</v>
      </c>
      <c r="B3542" s="156" t="str">
        <f>'Reported burning'!B3542</f>
        <v>384a.1</v>
      </c>
      <c r="C3542" s="156" t="str">
        <f>'Reported burning'!C3542</f>
        <v>Unknown</v>
      </c>
      <c r="D3542" s="156" t="str">
        <f>'Reported burning'!D3542</f>
        <v>ND</v>
      </c>
      <c r="E3542" s="156" t="str">
        <f>'Reported burning'!E3542</f>
        <v>Forestry, Industrial</v>
      </c>
      <c r="F3542" s="156" t="str">
        <f>'Reported burning'!F3542</f>
        <v>ND</v>
      </c>
      <c r="G3542" s="156" t="str">
        <f>'Reported burning'!G3542</f>
        <v>Plantation forest</v>
      </c>
      <c r="H3542" s="156" t="str">
        <f>'Reported burning'!H3542</f>
        <v>Presence</v>
      </c>
      <c r="I3542" s="5"/>
      <c r="J3542" s="177" t="s">
        <v>2276</v>
      </c>
      <c r="K3542" s="177" t="s">
        <v>2276</v>
      </c>
      <c r="L3542" s="177" t="s">
        <v>2276</v>
      </c>
      <c r="M3542" s="177" t="s">
        <v>2276</v>
      </c>
      <c r="N3542" s="177" t="s">
        <v>2276</v>
      </c>
      <c r="O3542" s="177" t="s">
        <v>2276</v>
      </c>
      <c r="P3542" s="177" t="s">
        <v>2276</v>
      </c>
      <c r="Q3542" s="177" t="s">
        <v>2276</v>
      </c>
      <c r="R3542" s="177" t="s">
        <v>2276</v>
      </c>
      <c r="S3542" s="177" t="s">
        <v>2276</v>
      </c>
      <c r="T3542" s="177" t="s">
        <v>2276</v>
      </c>
      <c r="U3542" s="177" t="s">
        <v>2276</v>
      </c>
      <c r="V3542" s="177" t="s">
        <v>2276</v>
      </c>
      <c r="W3542" s="177" t="s">
        <v>2276</v>
      </c>
      <c r="X3542" s="177" t="s">
        <v>2276</v>
      </c>
      <c r="Y3542" s="177" t="s">
        <v>2276</v>
      </c>
      <c r="Z3542" s="177" t="s">
        <v>2276</v>
      </c>
      <c r="AA3542" s="204"/>
      <c r="AB3542" s="204"/>
    </row>
    <row r="3543" spans="1:28" ht="87">
      <c r="A3543" s="152" t="str">
        <f>'Reported burning'!A3543</f>
        <v>385a</v>
      </c>
      <c r="B3543" s="152" t="str">
        <f>'Reported burning'!B3543</f>
        <v>385a.1</v>
      </c>
      <c r="C3543" s="152" t="str">
        <f>'Reported burning'!C3543</f>
        <v>Human, escaped</v>
      </c>
      <c r="D3543" s="152" t="str">
        <f>'Reported burning'!D3543</f>
        <v>ND</v>
      </c>
      <c r="E3543" s="152" t="str">
        <f>'Reported burning'!E3543</f>
        <v>ND</v>
      </c>
      <c r="F3543" s="152" t="str">
        <f>'Reported burning'!F3543</f>
        <v>ND</v>
      </c>
      <c r="G3543" s="152" t="str">
        <f>'Reported burning'!G3543</f>
        <v>ND</v>
      </c>
      <c r="H3543" s="152" t="str">
        <f>'Reported burning'!H3543</f>
        <v>Presence</v>
      </c>
      <c r="I3543" s="204"/>
      <c r="J3543" s="177" t="s">
        <v>2276</v>
      </c>
      <c r="K3543" s="177" t="s">
        <v>2276</v>
      </c>
      <c r="L3543" s="177" t="s">
        <v>2276</v>
      </c>
      <c r="M3543" s="177" t="s">
        <v>2276</v>
      </c>
      <c r="N3543" s="177" t="s">
        <v>2276</v>
      </c>
      <c r="O3543" s="177" t="s">
        <v>2276</v>
      </c>
      <c r="P3543" s="177" t="s">
        <v>2276</v>
      </c>
      <c r="Q3543" s="177" t="s">
        <v>2276</v>
      </c>
      <c r="R3543" s="177" t="s">
        <v>2276</v>
      </c>
      <c r="S3543" s="177" t="s">
        <v>2276</v>
      </c>
      <c r="T3543" s="177" t="s">
        <v>2276</v>
      </c>
      <c r="U3543" s="177" t="s">
        <v>2276</v>
      </c>
      <c r="V3543" s="177" t="s">
        <v>2276</v>
      </c>
      <c r="W3543" s="177" t="s">
        <v>2276</v>
      </c>
      <c r="X3543" s="21" t="s">
        <v>2276</v>
      </c>
      <c r="Y3543" s="21" t="s">
        <v>2276</v>
      </c>
      <c r="Z3543" s="21" t="s">
        <v>2276</v>
      </c>
      <c r="AA3543" s="4" t="s">
        <v>9184</v>
      </c>
      <c r="AB3543" s="204"/>
    </row>
    <row r="3544" spans="1:28" ht="87">
      <c r="A3544" s="152" t="str">
        <f>'Reported burning'!A3544</f>
        <v>385a</v>
      </c>
      <c r="B3544" s="152" t="str">
        <f>'Reported burning'!B3544</f>
        <v>385a.2</v>
      </c>
      <c r="C3544" s="152" t="str">
        <f>'Reported burning'!C3544</f>
        <v>Human, escaped</v>
      </c>
      <c r="D3544" s="152" t="str">
        <f>'Reported burning'!D3544</f>
        <v>ND</v>
      </c>
      <c r="E3544" s="152" t="str">
        <f>'Reported burning'!E3544</f>
        <v>Forestry, Industrial</v>
      </c>
      <c r="F3544" s="152" t="str">
        <f>'Reported burning'!F3544</f>
        <v>ND</v>
      </c>
      <c r="G3544" s="152" t="str">
        <f>'Reported burning'!G3544</f>
        <v>Plantation forest</v>
      </c>
      <c r="H3544" s="152" t="str">
        <f>'Reported burning'!H3544</f>
        <v>Presence</v>
      </c>
      <c r="I3544" s="204"/>
      <c r="J3544" s="177" t="s">
        <v>2276</v>
      </c>
      <c r="K3544" s="177" t="s">
        <v>2276</v>
      </c>
      <c r="L3544" s="177" t="s">
        <v>2276</v>
      </c>
      <c r="M3544" s="177" t="s">
        <v>2276</v>
      </c>
      <c r="N3544" s="177" t="s">
        <v>2276</v>
      </c>
      <c r="O3544" s="177" t="s">
        <v>2276</v>
      </c>
      <c r="P3544" s="177" t="s">
        <v>2276</v>
      </c>
      <c r="Q3544" s="177" t="s">
        <v>2276</v>
      </c>
      <c r="R3544" s="177" t="s">
        <v>2276</v>
      </c>
      <c r="S3544" s="177" t="s">
        <v>2276</v>
      </c>
      <c r="T3544" s="177" t="s">
        <v>2276</v>
      </c>
      <c r="U3544" s="177" t="s">
        <v>2276</v>
      </c>
      <c r="V3544" s="177" t="s">
        <v>2276</v>
      </c>
      <c r="W3544" s="177" t="s">
        <v>2276</v>
      </c>
      <c r="X3544" s="204" t="s">
        <v>127</v>
      </c>
      <c r="Y3544" s="204" t="s">
        <v>188</v>
      </c>
      <c r="Z3544" s="21" t="s">
        <v>2276</v>
      </c>
      <c r="AA3544" s="4" t="s">
        <v>9184</v>
      </c>
      <c r="AB3544" s="204"/>
    </row>
    <row r="3545" spans="1:28" ht="87">
      <c r="A3545" s="152" t="str">
        <f>'Reported burning'!A3545</f>
        <v>385a</v>
      </c>
      <c r="B3545" s="152" t="str">
        <f>'Reported burning'!B3545</f>
        <v>385a.3</v>
      </c>
      <c r="C3545" s="152" t="str">
        <f>'Reported burning'!C3545</f>
        <v>Human, escaped</v>
      </c>
      <c r="D3545" s="152" t="str">
        <f>'Reported burning'!D3545</f>
        <v>ND</v>
      </c>
      <c r="E3545" s="152" t="str">
        <f>'Reported burning'!E3545</f>
        <v>ND</v>
      </c>
      <c r="F3545" s="152" t="str">
        <f>'Reported burning'!F3545</f>
        <v>ND</v>
      </c>
      <c r="G3545" s="152" t="str">
        <f>'Reported burning'!G3545</f>
        <v>Forest</v>
      </c>
      <c r="H3545" s="152" t="str">
        <f>'Reported burning'!H3545</f>
        <v>Presence</v>
      </c>
      <c r="I3545" s="204"/>
      <c r="J3545" s="177" t="s">
        <v>2276</v>
      </c>
      <c r="K3545" s="177" t="s">
        <v>2276</v>
      </c>
      <c r="L3545" s="177" t="s">
        <v>2276</v>
      </c>
      <c r="M3545" s="177" t="s">
        <v>2276</v>
      </c>
      <c r="N3545" s="177" t="s">
        <v>2276</v>
      </c>
      <c r="O3545" s="177" t="s">
        <v>2276</v>
      </c>
      <c r="P3545" s="177" t="s">
        <v>2276</v>
      </c>
      <c r="Q3545" s="177" t="s">
        <v>2276</v>
      </c>
      <c r="R3545" s="177" t="s">
        <v>2276</v>
      </c>
      <c r="S3545" s="177" t="s">
        <v>2276</v>
      </c>
      <c r="T3545" s="177" t="s">
        <v>2276</v>
      </c>
      <c r="U3545" s="177" t="s">
        <v>2276</v>
      </c>
      <c r="V3545" s="177" t="s">
        <v>2276</v>
      </c>
      <c r="W3545" s="177" t="s">
        <v>2276</v>
      </c>
      <c r="X3545" s="204" t="s">
        <v>127</v>
      </c>
      <c r="Y3545" s="204" t="s">
        <v>188</v>
      </c>
      <c r="Z3545" s="21" t="s">
        <v>2276</v>
      </c>
      <c r="AA3545" s="4" t="s">
        <v>9184</v>
      </c>
      <c r="AB3545" s="204"/>
    </row>
    <row r="3546" spans="1:28" ht="87">
      <c r="A3546" s="152" t="str">
        <f>'Reported burning'!A3546</f>
        <v>385a</v>
      </c>
      <c r="B3546" s="152" t="str">
        <f>'Reported burning'!B3546</f>
        <v>385a.4</v>
      </c>
      <c r="C3546" s="152" t="str">
        <f>'Reported burning'!C3546</f>
        <v>Human, escaped</v>
      </c>
      <c r="D3546" s="152" t="str">
        <f>'Reported burning'!D3546</f>
        <v>ND</v>
      </c>
      <c r="E3546" s="152" t="str">
        <f>'Reported burning'!E3546</f>
        <v>Cropping, Monoculture, Market-oriented</v>
      </c>
      <c r="F3546" s="152" t="str">
        <f>'Reported burning'!F3546</f>
        <v>ND</v>
      </c>
      <c r="G3546" s="152" t="str">
        <f>'Reported burning'!G3546</f>
        <v>Shrubland (Mixed forest &amp; grassland)</v>
      </c>
      <c r="H3546" s="152" t="str">
        <f>'Reported burning'!H3546</f>
        <v>Presence</v>
      </c>
      <c r="I3546" s="204"/>
      <c r="J3546" s="177" t="s">
        <v>2276</v>
      </c>
      <c r="K3546" s="177" t="s">
        <v>2276</v>
      </c>
      <c r="L3546" s="177" t="s">
        <v>2276</v>
      </c>
      <c r="M3546" s="177" t="s">
        <v>2276</v>
      </c>
      <c r="N3546" s="177" t="s">
        <v>2276</v>
      </c>
      <c r="O3546" s="177" t="s">
        <v>2276</v>
      </c>
      <c r="P3546" s="177" t="s">
        <v>2276</v>
      </c>
      <c r="Q3546" s="177" t="s">
        <v>2276</v>
      </c>
      <c r="R3546" s="177" t="s">
        <v>2276</v>
      </c>
      <c r="S3546" s="177" t="s">
        <v>2276</v>
      </c>
      <c r="T3546" s="177" t="s">
        <v>2276</v>
      </c>
      <c r="U3546" s="177" t="s">
        <v>2276</v>
      </c>
      <c r="V3546" s="177" t="s">
        <v>2276</v>
      </c>
      <c r="W3546" s="177" t="s">
        <v>2276</v>
      </c>
      <c r="X3546" s="204" t="s">
        <v>127</v>
      </c>
      <c r="Y3546" s="204" t="s">
        <v>188</v>
      </c>
      <c r="Z3546" s="21" t="s">
        <v>2276</v>
      </c>
      <c r="AA3546" s="4" t="s">
        <v>9184</v>
      </c>
      <c r="AB3546" s="204"/>
    </row>
    <row r="3547" spans="1:28" ht="87">
      <c r="A3547" s="152" t="str">
        <f>'Reported burning'!A3547</f>
        <v>385a</v>
      </c>
      <c r="B3547" s="152" t="str">
        <f>'Reported burning'!B3547</f>
        <v>385a.5</v>
      </c>
      <c r="C3547" s="152" t="str">
        <f>'Reported burning'!C3547</f>
        <v>Human, escaped</v>
      </c>
      <c r="D3547" s="152" t="str">
        <f>'Reported burning'!D3547</f>
        <v>ND</v>
      </c>
      <c r="E3547" s="152" t="str">
        <f>'Reported burning'!E3547</f>
        <v>ND</v>
      </c>
      <c r="F3547" s="152" t="str">
        <f>'Reported burning'!F3547</f>
        <v>ND</v>
      </c>
      <c r="G3547" s="152" t="str">
        <f>'Reported burning'!G3547</f>
        <v>Grassland</v>
      </c>
      <c r="H3547" s="152" t="str">
        <f>'Reported burning'!H3547</f>
        <v>Presence</v>
      </c>
      <c r="I3547" s="204"/>
      <c r="J3547" s="177" t="s">
        <v>2276</v>
      </c>
      <c r="K3547" s="177" t="s">
        <v>2276</v>
      </c>
      <c r="L3547" s="177" t="s">
        <v>2276</v>
      </c>
      <c r="M3547" s="177" t="s">
        <v>2276</v>
      </c>
      <c r="N3547" s="177" t="s">
        <v>2276</v>
      </c>
      <c r="O3547" s="177" t="s">
        <v>2276</v>
      </c>
      <c r="P3547" s="177" t="s">
        <v>2276</v>
      </c>
      <c r="Q3547" s="177" t="s">
        <v>2276</v>
      </c>
      <c r="R3547" s="177" t="s">
        <v>2276</v>
      </c>
      <c r="S3547" s="177" t="s">
        <v>2276</v>
      </c>
      <c r="T3547" s="177" t="s">
        <v>2276</v>
      </c>
      <c r="U3547" s="177" t="s">
        <v>2276</v>
      </c>
      <c r="V3547" s="177" t="s">
        <v>2276</v>
      </c>
      <c r="W3547" s="177" t="s">
        <v>2276</v>
      </c>
      <c r="X3547" s="204" t="s">
        <v>127</v>
      </c>
      <c r="Y3547" s="204" t="s">
        <v>188</v>
      </c>
      <c r="Z3547" s="21" t="s">
        <v>2276</v>
      </c>
      <c r="AA3547" s="4" t="s">
        <v>9184</v>
      </c>
      <c r="AB3547" s="204"/>
    </row>
    <row r="3548" spans="1:28" ht="87">
      <c r="A3548" s="152" t="str">
        <f>'Reported burning'!A3548</f>
        <v>385a</v>
      </c>
      <c r="B3548" s="152" t="str">
        <f>'Reported burning'!B3548</f>
        <v>385a.6</v>
      </c>
      <c r="C3548" s="152" t="str">
        <f>'Reported burning'!C3548</f>
        <v>Human, escaped</v>
      </c>
      <c r="D3548" s="152" t="str">
        <f>'Reported burning'!D3548</f>
        <v>ND</v>
      </c>
      <c r="E3548" s="152" t="str">
        <f>'Reported burning'!E3548</f>
        <v>ND</v>
      </c>
      <c r="F3548" s="152" t="str">
        <f>'Reported burning'!F3548</f>
        <v>ND</v>
      </c>
      <c r="G3548" s="152" t="str">
        <f>'Reported burning'!G3548</f>
        <v>Cropland</v>
      </c>
      <c r="H3548" s="152" t="str">
        <f>'Reported burning'!H3548</f>
        <v>Presence</v>
      </c>
      <c r="I3548" s="204"/>
      <c r="J3548" s="177" t="s">
        <v>2276</v>
      </c>
      <c r="K3548" s="177" t="s">
        <v>2276</v>
      </c>
      <c r="L3548" s="177" t="s">
        <v>2276</v>
      </c>
      <c r="M3548" s="177" t="s">
        <v>2276</v>
      </c>
      <c r="N3548" s="177" t="s">
        <v>2276</v>
      </c>
      <c r="O3548" s="177" t="s">
        <v>2276</v>
      </c>
      <c r="P3548" s="177" t="s">
        <v>2276</v>
      </c>
      <c r="Q3548" s="177" t="s">
        <v>2276</v>
      </c>
      <c r="R3548" s="177" t="s">
        <v>2276</v>
      </c>
      <c r="S3548" s="177" t="s">
        <v>2276</v>
      </c>
      <c r="T3548" s="177" t="s">
        <v>2276</v>
      </c>
      <c r="U3548" s="177" t="s">
        <v>2276</v>
      </c>
      <c r="V3548" s="177" t="s">
        <v>2276</v>
      </c>
      <c r="W3548" s="177" t="s">
        <v>2276</v>
      </c>
      <c r="X3548" s="204" t="s">
        <v>127</v>
      </c>
      <c r="Y3548" s="204" t="s">
        <v>188</v>
      </c>
      <c r="Z3548" s="21" t="s">
        <v>2276</v>
      </c>
      <c r="AA3548" s="4" t="s">
        <v>9184</v>
      </c>
      <c r="AB3548" s="204"/>
    </row>
    <row r="3549" spans="1:28" ht="33.5" customHeight="1">
      <c r="A3549" s="152" t="str">
        <f>'Reported burning'!A3549</f>
        <v>386a</v>
      </c>
      <c r="B3549" s="152" t="str">
        <f>'Reported burning'!B3549</f>
        <v>386a.1</v>
      </c>
      <c r="C3549" s="152" t="str">
        <f>'Reported burning'!C3549</f>
        <v>All</v>
      </c>
      <c r="D3549" s="152" t="str">
        <f>'Reported burning'!D3549</f>
        <v>ND</v>
      </c>
      <c r="E3549" s="152" t="str">
        <f>'Reported burning'!E3549</f>
        <v>ND</v>
      </c>
      <c r="F3549" s="152" t="str">
        <f>'Reported burning'!F3549</f>
        <v>ND</v>
      </c>
      <c r="G3549" s="152" t="str">
        <f>'Reported burning'!G3549</f>
        <v>Forest</v>
      </c>
      <c r="H3549" s="152" t="str">
        <f>'Reported burning'!H3549</f>
        <v>Presence</v>
      </c>
      <c r="I3549" s="204"/>
      <c r="J3549" s="177" t="s">
        <v>2276</v>
      </c>
      <c r="K3549" s="177" t="s">
        <v>2276</v>
      </c>
      <c r="L3549" s="177" t="s">
        <v>2276</v>
      </c>
      <c r="M3549" s="177" t="s">
        <v>2276</v>
      </c>
      <c r="N3549" s="177" t="s">
        <v>2276</v>
      </c>
      <c r="O3549" s="177" t="s">
        <v>2276</v>
      </c>
      <c r="P3549" s="177" t="s">
        <v>2276</v>
      </c>
      <c r="Q3549" s="177" t="s">
        <v>2276</v>
      </c>
      <c r="R3549" s="177" t="s">
        <v>2276</v>
      </c>
      <c r="S3549" s="177" t="s">
        <v>2276</v>
      </c>
      <c r="T3549" s="21" t="s">
        <v>2527</v>
      </c>
      <c r="U3549" s="21" t="s">
        <v>2276</v>
      </c>
      <c r="V3549" s="21" t="s">
        <v>2276</v>
      </c>
      <c r="W3549" s="21" t="s">
        <v>2276</v>
      </c>
      <c r="X3549" s="21" t="s">
        <v>2276</v>
      </c>
      <c r="Y3549" s="21" t="s">
        <v>2276</v>
      </c>
      <c r="Z3549" s="21" t="s">
        <v>2276</v>
      </c>
      <c r="AA3549" s="204"/>
      <c r="AB3549" s="204"/>
    </row>
    <row r="3550" spans="1:28" ht="33.5" customHeight="1">
      <c r="A3550" s="152" t="str">
        <f>'Reported burning'!A3550</f>
        <v>386a</v>
      </c>
      <c r="B3550" s="152" t="str">
        <f>'Reported burning'!B3550</f>
        <v>386a.2</v>
      </c>
      <c r="C3550" s="152" t="str">
        <f>'Reported burning'!C3550</f>
        <v>All</v>
      </c>
      <c r="D3550" s="152" t="str">
        <f>'Reported burning'!D3550</f>
        <v>ND</v>
      </c>
      <c r="E3550" s="152" t="str">
        <f>'Reported burning'!E3550</f>
        <v>ND</v>
      </c>
      <c r="F3550" s="152" t="str">
        <f>'Reported burning'!F3550</f>
        <v>ND</v>
      </c>
      <c r="G3550" s="152" t="str">
        <f>'Reported burning'!G3550</f>
        <v>Forest</v>
      </c>
      <c r="H3550" s="152" t="str">
        <f>'Reported burning'!H3550</f>
        <v>Presence</v>
      </c>
      <c r="I3550" s="204"/>
      <c r="J3550" s="177" t="s">
        <v>2276</v>
      </c>
      <c r="K3550" s="177" t="s">
        <v>2276</v>
      </c>
      <c r="L3550" s="177" t="s">
        <v>2276</v>
      </c>
      <c r="M3550" s="177" t="s">
        <v>2276</v>
      </c>
      <c r="N3550" s="177" t="s">
        <v>2276</v>
      </c>
      <c r="O3550" s="177" t="s">
        <v>2276</v>
      </c>
      <c r="P3550" s="177" t="s">
        <v>2276</v>
      </c>
      <c r="Q3550" s="177" t="s">
        <v>2276</v>
      </c>
      <c r="R3550" s="177" t="s">
        <v>2276</v>
      </c>
      <c r="S3550" s="177" t="s">
        <v>2276</v>
      </c>
      <c r="T3550" s="21" t="s">
        <v>2276</v>
      </c>
      <c r="U3550" s="21" t="s">
        <v>2276</v>
      </c>
      <c r="V3550" s="21" t="s">
        <v>2276</v>
      </c>
      <c r="W3550" s="21" t="s">
        <v>2276</v>
      </c>
      <c r="X3550" s="21" t="s">
        <v>2276</v>
      </c>
      <c r="Y3550" s="21" t="s">
        <v>2276</v>
      </c>
      <c r="Z3550" s="21" t="s">
        <v>2276</v>
      </c>
      <c r="AA3550" s="204"/>
      <c r="AB3550" s="204"/>
    </row>
    <row r="3551" spans="1:28" ht="44.5" customHeight="1">
      <c r="A3551" s="156" t="str">
        <f>'Reported burning'!A3551</f>
        <v>387a</v>
      </c>
      <c r="B3551" s="156" t="str">
        <f>'Reported burning'!B3551</f>
        <v>387a.1</v>
      </c>
      <c r="C3551" s="156" t="str">
        <f>'Reported burning'!C3551</f>
        <v>Human, deliberate</v>
      </c>
      <c r="D3551" s="156" t="str">
        <f>'Reported burning'!D3551</f>
        <v>Pyrome management</v>
      </c>
      <c r="E3551" s="156" t="str">
        <f>'Reported burning'!E3551</f>
        <v>Forestry, Industrial</v>
      </c>
      <c r="F3551" s="156" t="str">
        <f>'Reported burning'!F3551</f>
        <v>Forest</v>
      </c>
      <c r="G3551" s="156" t="str">
        <f>'Reported burning'!G3551</f>
        <v>Forest</v>
      </c>
      <c r="H3551" s="156" t="str">
        <f>'Reported burning'!H3551</f>
        <v>Presence</v>
      </c>
      <c r="I3551" s="5"/>
      <c r="J3551" s="21" t="s">
        <v>2276</v>
      </c>
      <c r="K3551" s="21" t="s">
        <v>2276</v>
      </c>
      <c r="L3551" s="21" t="s">
        <v>2276</v>
      </c>
      <c r="M3551" s="21" t="s">
        <v>2276</v>
      </c>
      <c r="N3551" s="21" t="s">
        <v>2276</v>
      </c>
      <c r="O3551" s="21" t="s">
        <v>2276</v>
      </c>
      <c r="P3551" s="21" t="s">
        <v>2276</v>
      </c>
      <c r="Q3551" s="21" t="s">
        <v>2276</v>
      </c>
      <c r="R3551" s="21" t="s">
        <v>2276</v>
      </c>
      <c r="S3551" s="21" t="s">
        <v>2276</v>
      </c>
      <c r="T3551" s="21" t="s">
        <v>2276</v>
      </c>
      <c r="U3551" s="21" t="s">
        <v>2276</v>
      </c>
      <c r="V3551" s="21" t="s">
        <v>2276</v>
      </c>
      <c r="W3551" s="21" t="s">
        <v>2276</v>
      </c>
      <c r="X3551" s="21" t="s">
        <v>2276</v>
      </c>
      <c r="Y3551" s="21" t="s">
        <v>2276</v>
      </c>
      <c r="Z3551" s="21" t="s">
        <v>2276</v>
      </c>
      <c r="AA3551" s="204"/>
      <c r="AB3551" s="204"/>
    </row>
    <row r="3552" spans="1:28" ht="44.5" customHeight="1">
      <c r="A3552" s="156" t="str">
        <f>'Reported burning'!A3552</f>
        <v>387b</v>
      </c>
      <c r="B3552" s="156" t="str">
        <f>'Reported burning'!B3552</f>
        <v>387b.1</v>
      </c>
      <c r="C3552" s="156" t="str">
        <f>'Reported burning'!C3552</f>
        <v>Human, deliberate</v>
      </c>
      <c r="D3552" s="156" t="str">
        <f>'Reported burning'!D3552</f>
        <v>Pyrome management</v>
      </c>
      <c r="E3552" s="156" t="str">
        <f>'Reported burning'!E3552</f>
        <v>Forestry, Industrial</v>
      </c>
      <c r="F3552" s="156" t="str">
        <f>'Reported burning'!F3552</f>
        <v>Forest</v>
      </c>
      <c r="G3552" s="156" t="str">
        <f>'Reported burning'!G3552</f>
        <v>Forest</v>
      </c>
      <c r="H3552" s="156" t="str">
        <f>'Reported burning'!H3552</f>
        <v>Presence</v>
      </c>
      <c r="I3552" s="5"/>
      <c r="J3552" s="21" t="s">
        <v>2276</v>
      </c>
      <c r="K3552" s="21" t="s">
        <v>2276</v>
      </c>
      <c r="L3552" s="21" t="s">
        <v>2276</v>
      </c>
      <c r="M3552" s="21" t="s">
        <v>2276</v>
      </c>
      <c r="N3552" s="21" t="s">
        <v>2276</v>
      </c>
      <c r="O3552" s="21" t="s">
        <v>2276</v>
      </c>
      <c r="P3552" s="21" t="s">
        <v>2276</v>
      </c>
      <c r="Q3552" s="21" t="s">
        <v>2276</v>
      </c>
      <c r="R3552" s="21" t="s">
        <v>2276</v>
      </c>
      <c r="S3552" s="21" t="s">
        <v>2276</v>
      </c>
      <c r="T3552" s="21" t="s">
        <v>2276</v>
      </c>
      <c r="U3552" s="21" t="s">
        <v>2276</v>
      </c>
      <c r="V3552" s="21" t="s">
        <v>2276</v>
      </c>
      <c r="W3552" s="21" t="s">
        <v>2276</v>
      </c>
      <c r="X3552" s="21" t="s">
        <v>2276</v>
      </c>
      <c r="Y3552" s="21" t="s">
        <v>2276</v>
      </c>
      <c r="Z3552" s="21" t="s">
        <v>2276</v>
      </c>
      <c r="AA3552" s="204"/>
      <c r="AB3552" s="204"/>
    </row>
    <row r="3553" spans="1:28" ht="44.5" customHeight="1">
      <c r="A3553" s="156" t="str">
        <f>'Reported burning'!A3553</f>
        <v>387a</v>
      </c>
      <c r="B3553" s="156" t="str">
        <f>'Reported burning'!B3553</f>
        <v>387a.2</v>
      </c>
      <c r="C3553" s="156" t="str">
        <f>'Reported burning'!C3553</f>
        <v>Human, deliberate</v>
      </c>
      <c r="D3553" s="156" t="str">
        <f>'Reported burning'!D3553</f>
        <v>Pyrome management</v>
      </c>
      <c r="E3553" s="156" t="str">
        <f>'Reported burning'!E3553</f>
        <v>Fire suppression agent</v>
      </c>
      <c r="F3553" s="156" t="str">
        <f>'Reported burning'!F3553</f>
        <v>Forest</v>
      </c>
      <c r="G3553" s="156" t="str">
        <f>'Reported burning'!G3553</f>
        <v>Forest</v>
      </c>
      <c r="H3553" s="156" t="str">
        <f>'Reported burning'!H3553</f>
        <v>Presence</v>
      </c>
      <c r="I3553" s="5"/>
      <c r="J3553" s="21" t="s">
        <v>2276</v>
      </c>
      <c r="K3553" s="21" t="s">
        <v>2276</v>
      </c>
      <c r="L3553" s="21" t="s">
        <v>2276</v>
      </c>
      <c r="M3553" s="21" t="s">
        <v>2276</v>
      </c>
      <c r="N3553" s="21" t="s">
        <v>2276</v>
      </c>
      <c r="O3553" s="21" t="s">
        <v>2276</v>
      </c>
      <c r="P3553" s="21" t="s">
        <v>2276</v>
      </c>
      <c r="Q3553" s="21" t="s">
        <v>2276</v>
      </c>
      <c r="R3553" s="21" t="s">
        <v>2276</v>
      </c>
      <c r="S3553" s="21" t="s">
        <v>2276</v>
      </c>
      <c r="T3553" s="21" t="s">
        <v>2276</v>
      </c>
      <c r="U3553" s="21" t="s">
        <v>2276</v>
      </c>
      <c r="V3553" s="21" t="s">
        <v>2276</v>
      </c>
      <c r="W3553" s="21" t="s">
        <v>2276</v>
      </c>
      <c r="X3553" s="21" t="s">
        <v>2276</v>
      </c>
      <c r="Y3553" s="21" t="s">
        <v>2276</v>
      </c>
      <c r="Z3553" s="21" t="s">
        <v>2276</v>
      </c>
      <c r="AA3553" s="204"/>
      <c r="AB3553" s="204"/>
    </row>
    <row r="3554" spans="1:28" ht="44.5" customHeight="1">
      <c r="A3554" s="156" t="str">
        <f>'Reported burning'!A3554</f>
        <v>387b</v>
      </c>
      <c r="B3554" s="156" t="str">
        <f>'Reported burning'!B3554</f>
        <v>387b.2</v>
      </c>
      <c r="C3554" s="156" t="str">
        <f>'Reported burning'!C3554</f>
        <v>Human, deliberate</v>
      </c>
      <c r="D3554" s="156" t="str">
        <f>'Reported burning'!D3554</f>
        <v>Pyrome management</v>
      </c>
      <c r="E3554" s="156" t="str">
        <f>'Reported burning'!E3554</f>
        <v>Fire suppression agent</v>
      </c>
      <c r="F3554" s="156" t="str">
        <f>'Reported burning'!F3554</f>
        <v>Forest</v>
      </c>
      <c r="G3554" s="156" t="str">
        <f>'Reported burning'!G3554</f>
        <v>Forest</v>
      </c>
      <c r="H3554" s="156" t="str">
        <f>'Reported burning'!H3554</f>
        <v>Presence</v>
      </c>
      <c r="I3554" s="5"/>
      <c r="J3554" s="21" t="s">
        <v>2276</v>
      </c>
      <c r="K3554" s="21" t="s">
        <v>2276</v>
      </c>
      <c r="L3554" s="21" t="s">
        <v>2276</v>
      </c>
      <c r="M3554" s="21" t="s">
        <v>2276</v>
      </c>
      <c r="N3554" s="21" t="s">
        <v>2276</v>
      </c>
      <c r="O3554" s="21" t="s">
        <v>2276</v>
      </c>
      <c r="P3554" s="21" t="s">
        <v>2276</v>
      </c>
      <c r="Q3554" s="21" t="s">
        <v>2276</v>
      </c>
      <c r="R3554" s="21" t="s">
        <v>2276</v>
      </c>
      <c r="S3554" s="21" t="s">
        <v>2276</v>
      </c>
      <c r="T3554" s="21" t="s">
        <v>2276</v>
      </c>
      <c r="U3554" s="21" t="s">
        <v>2276</v>
      </c>
      <c r="V3554" s="21" t="s">
        <v>2276</v>
      </c>
      <c r="W3554" s="21" t="s">
        <v>2276</v>
      </c>
      <c r="X3554" s="21" t="s">
        <v>2276</v>
      </c>
      <c r="Y3554" s="21" t="s">
        <v>2276</v>
      </c>
      <c r="Z3554" s="21" t="s">
        <v>2276</v>
      </c>
      <c r="AA3554" s="204"/>
      <c r="AB3554" s="204"/>
    </row>
    <row r="3555" spans="1:28" ht="43" customHeight="1">
      <c r="A3555" s="156" t="str">
        <f>'Reported burning'!A3555</f>
        <v>388a</v>
      </c>
      <c r="B3555" s="156" t="str">
        <f>'Reported burning'!B3555</f>
        <v>388a.1</v>
      </c>
      <c r="C3555" s="156" t="str">
        <f>'Reported burning'!C3555</f>
        <v>Human, deliberate</v>
      </c>
      <c r="D3555" s="156" t="str">
        <f>'Reported burning'!D3555</f>
        <v>Pyrome management</v>
      </c>
      <c r="E3555" s="156" t="str">
        <f>'Reported burning'!E3555</f>
        <v>Fire suppression agent</v>
      </c>
      <c r="F3555" s="156" t="str">
        <f>'Reported burning'!F3555</f>
        <v>Shrubland (Mixed forest &amp; grassland)</v>
      </c>
      <c r="G3555" s="156" t="str">
        <f>'Reported burning'!G3555</f>
        <v>Shrubland (Mixed forest &amp; grassland)</v>
      </c>
      <c r="H3555" s="156" t="str">
        <f>'Reported burning'!H3555</f>
        <v>Presence</v>
      </c>
      <c r="I3555" s="5"/>
      <c r="J3555" s="21" t="s">
        <v>2276</v>
      </c>
      <c r="K3555" s="21" t="s">
        <v>2276</v>
      </c>
      <c r="L3555" s="21" t="s">
        <v>2276</v>
      </c>
      <c r="M3555" s="21" t="s">
        <v>2276</v>
      </c>
      <c r="N3555" s="21" t="s">
        <v>2276</v>
      </c>
      <c r="O3555" s="21" t="s">
        <v>2276</v>
      </c>
      <c r="P3555" s="21" t="s">
        <v>2276</v>
      </c>
      <c r="Q3555" s="21" t="s">
        <v>2276</v>
      </c>
      <c r="R3555" s="21" t="s">
        <v>2276</v>
      </c>
      <c r="S3555" s="21" t="s">
        <v>2276</v>
      </c>
      <c r="T3555" s="21" t="s">
        <v>2276</v>
      </c>
      <c r="U3555" s="21" t="s">
        <v>2276</v>
      </c>
      <c r="V3555" s="21" t="s">
        <v>2276</v>
      </c>
      <c r="W3555" s="21" t="s">
        <v>2276</v>
      </c>
      <c r="X3555" s="21" t="s">
        <v>2276</v>
      </c>
      <c r="Y3555" s="21" t="s">
        <v>2276</v>
      </c>
      <c r="Z3555" s="21" t="s">
        <v>2276</v>
      </c>
      <c r="AA3555" s="204"/>
      <c r="AB3555" s="204"/>
    </row>
    <row r="3556" spans="1:28">
      <c r="A3556" s="156">
        <f>'Reported burning'!A3556</f>
        <v>0</v>
      </c>
      <c r="B3556" s="156">
        <f>'Reported burning'!B3556</f>
        <v>0</v>
      </c>
      <c r="C3556" s="156">
        <f>'Reported burning'!C3556</f>
        <v>0</v>
      </c>
      <c r="D3556" s="156">
        <f>'Reported burning'!D3556</f>
        <v>0</v>
      </c>
      <c r="E3556" s="156">
        <f>'Reported burning'!E3556</f>
        <v>0</v>
      </c>
      <c r="F3556" s="156">
        <f>'Reported burning'!F3556</f>
        <v>0</v>
      </c>
      <c r="G3556" s="156">
        <f>'Reported burning'!G3556</f>
        <v>0</v>
      </c>
      <c r="H3556" s="156">
        <f>'Reported burning'!H3556</f>
        <v>0</v>
      </c>
      <c r="I3556" s="5"/>
    </row>
    <row r="3557" spans="1:28">
      <c r="A3557" s="156">
        <f>'Reported burning'!A3557</f>
        <v>0</v>
      </c>
      <c r="B3557" s="156">
        <f>'Reported burning'!B3557</f>
        <v>0</v>
      </c>
      <c r="C3557" s="156">
        <f>'Reported burning'!C3557</f>
        <v>0</v>
      </c>
      <c r="D3557" s="156">
        <f>'Reported burning'!D3557</f>
        <v>0</v>
      </c>
      <c r="E3557" s="156">
        <f>'Reported burning'!E3557</f>
        <v>0</v>
      </c>
      <c r="F3557" s="156">
        <f>'Reported burning'!F3557</f>
        <v>0</v>
      </c>
      <c r="G3557" s="156">
        <f>'Reported burning'!G3557</f>
        <v>0</v>
      </c>
      <c r="H3557" s="156">
        <f>'Reported burning'!H3557</f>
        <v>0</v>
      </c>
      <c r="I3557" s="5"/>
    </row>
    <row r="3558" spans="1:28">
      <c r="A3558" s="156">
        <f>'Reported burning'!A3558</f>
        <v>0</v>
      </c>
      <c r="B3558" s="156">
        <f>'Reported burning'!B3558</f>
        <v>0</v>
      </c>
      <c r="C3558" s="156">
        <f>'Reported burning'!C3558</f>
        <v>0</v>
      </c>
      <c r="D3558" s="156">
        <f>'Reported burning'!D3558</f>
        <v>0</v>
      </c>
      <c r="E3558" s="156">
        <f>'Reported burning'!E3558</f>
        <v>0</v>
      </c>
      <c r="F3558" s="156">
        <f>'Reported burning'!F3558</f>
        <v>0</v>
      </c>
      <c r="G3558" s="156">
        <f>'Reported burning'!G3558</f>
        <v>0</v>
      </c>
      <c r="H3558" s="156">
        <f>'Reported burning'!H3558</f>
        <v>0</v>
      </c>
      <c r="I3558" s="5"/>
    </row>
    <row r="3559" spans="1:28">
      <c r="A3559" s="156">
        <f>'Reported burning'!A3559</f>
        <v>0</v>
      </c>
      <c r="B3559" s="156">
        <f>'Reported burning'!B3559</f>
        <v>0</v>
      </c>
      <c r="C3559" s="156">
        <f>'Reported burning'!C3559</f>
        <v>0</v>
      </c>
      <c r="D3559" s="156">
        <f>'Reported burning'!D3559</f>
        <v>0</v>
      </c>
      <c r="E3559" s="156">
        <f>'Reported burning'!E3559</f>
        <v>0</v>
      </c>
      <c r="F3559" s="156">
        <f>'Reported burning'!F3559</f>
        <v>0</v>
      </c>
      <c r="G3559" s="156">
        <f>'Reported burning'!G3559</f>
        <v>0</v>
      </c>
      <c r="H3559" s="156">
        <f>'Reported burning'!H3559</f>
        <v>0</v>
      </c>
      <c r="I3559" s="5"/>
    </row>
    <row r="3560" spans="1:28">
      <c r="A3560" s="156">
        <f>'Reported burning'!A3560</f>
        <v>0</v>
      </c>
      <c r="B3560" s="156">
        <f>'Reported burning'!B3560</f>
        <v>0</v>
      </c>
      <c r="C3560" s="156">
        <f>'Reported burning'!C3560</f>
        <v>0</v>
      </c>
      <c r="D3560" s="156">
        <f>'Reported burning'!D3560</f>
        <v>0</v>
      </c>
      <c r="E3560" s="156">
        <f>'Reported burning'!E3560</f>
        <v>0</v>
      </c>
      <c r="F3560" s="156">
        <f>'Reported burning'!F3560</f>
        <v>0</v>
      </c>
      <c r="G3560" s="156">
        <f>'Reported burning'!G3560</f>
        <v>0</v>
      </c>
      <c r="H3560" s="156">
        <f>'Reported burning'!H3560</f>
        <v>0</v>
      </c>
      <c r="I3560" s="5"/>
    </row>
    <row r="3561" spans="1:28">
      <c r="A3561" s="156">
        <f>'Reported burning'!A3561</f>
        <v>0</v>
      </c>
      <c r="B3561" s="156">
        <f>'Reported burning'!B3561</f>
        <v>0</v>
      </c>
      <c r="C3561" s="156">
        <f>'Reported burning'!C3561</f>
        <v>0</v>
      </c>
      <c r="D3561" s="156">
        <f>'Reported burning'!D3561</f>
        <v>0</v>
      </c>
      <c r="E3561" s="156">
        <f>'Reported burning'!E3561</f>
        <v>0</v>
      </c>
      <c r="F3561" s="156">
        <f>'Reported burning'!F3561</f>
        <v>0</v>
      </c>
      <c r="G3561" s="156">
        <f>'Reported burning'!G3561</f>
        <v>0</v>
      </c>
      <c r="H3561" s="156">
        <f>'Reported burning'!H3561</f>
        <v>0</v>
      </c>
      <c r="I3561" s="5"/>
    </row>
    <row r="3562" spans="1:28">
      <c r="A3562" s="156">
        <f>'Reported burning'!A3562</f>
        <v>0</v>
      </c>
      <c r="B3562" s="156">
        <f>'Reported burning'!B3562</f>
        <v>0</v>
      </c>
      <c r="C3562" s="156">
        <f>'Reported burning'!C3562</f>
        <v>0</v>
      </c>
      <c r="D3562" s="156">
        <f>'Reported burning'!D3562</f>
        <v>0</v>
      </c>
      <c r="E3562" s="156">
        <f>'Reported burning'!E3562</f>
        <v>0</v>
      </c>
      <c r="F3562" s="156">
        <f>'Reported burning'!F3562</f>
        <v>0</v>
      </c>
      <c r="G3562" s="156">
        <f>'Reported burning'!G3562</f>
        <v>0</v>
      </c>
      <c r="H3562" s="156">
        <f>'Reported burning'!H3562</f>
        <v>0</v>
      </c>
      <c r="I3562" s="5"/>
    </row>
    <row r="3563" spans="1:28">
      <c r="A3563" s="156">
        <f>'Reported burning'!A3563</f>
        <v>0</v>
      </c>
      <c r="B3563" s="156">
        <f>'Reported burning'!B3563</f>
        <v>0</v>
      </c>
      <c r="C3563" s="156">
        <f>'Reported burning'!C3563</f>
        <v>0</v>
      </c>
      <c r="D3563" s="156">
        <f>'Reported burning'!D3563</f>
        <v>0</v>
      </c>
      <c r="E3563" s="156">
        <f>'Reported burning'!E3563</f>
        <v>0</v>
      </c>
      <c r="F3563" s="156">
        <f>'Reported burning'!F3563</f>
        <v>0</v>
      </c>
      <c r="G3563" s="156">
        <f>'Reported burning'!G3563</f>
        <v>0</v>
      </c>
      <c r="H3563" s="156">
        <f>'Reported burning'!H3563</f>
        <v>0</v>
      </c>
      <c r="I3563" s="5"/>
    </row>
    <row r="3564" spans="1:28">
      <c r="A3564" s="156">
        <f>'Reported burning'!A3564</f>
        <v>0</v>
      </c>
      <c r="B3564" s="156">
        <f>'Reported burning'!B3564</f>
        <v>0</v>
      </c>
      <c r="C3564" s="156">
        <f>'Reported burning'!C3564</f>
        <v>0</v>
      </c>
      <c r="D3564" s="156">
        <f>'Reported burning'!D3564</f>
        <v>0</v>
      </c>
      <c r="E3564" s="156">
        <f>'Reported burning'!E3564</f>
        <v>0</v>
      </c>
      <c r="F3564" s="156">
        <f>'Reported burning'!F3564</f>
        <v>0</v>
      </c>
      <c r="G3564" s="156">
        <f>'Reported burning'!G3564</f>
        <v>0</v>
      </c>
      <c r="H3564" s="156">
        <f>'Reported burning'!H3564</f>
        <v>0</v>
      </c>
      <c r="I3564" s="5"/>
    </row>
    <row r="3565" spans="1:28">
      <c r="A3565" s="156">
        <f>'Reported burning'!A3565</f>
        <v>0</v>
      </c>
      <c r="B3565" s="156">
        <f>'Reported burning'!B3565</f>
        <v>0</v>
      </c>
      <c r="C3565" s="156">
        <f>'Reported burning'!C3565</f>
        <v>0</v>
      </c>
      <c r="D3565" s="156">
        <f>'Reported burning'!D3565</f>
        <v>0</v>
      </c>
      <c r="E3565" s="156">
        <f>'Reported burning'!E3565</f>
        <v>0</v>
      </c>
      <c r="F3565" s="156">
        <f>'Reported burning'!F3565</f>
        <v>0</v>
      </c>
      <c r="G3565" s="156">
        <f>'Reported burning'!G3565</f>
        <v>0</v>
      </c>
      <c r="H3565" s="156">
        <f>'Reported burning'!H3565</f>
        <v>0</v>
      </c>
      <c r="I3565" s="5"/>
    </row>
    <row r="3566" spans="1:28">
      <c r="A3566" s="156">
        <f>'Reported burning'!A3566</f>
        <v>0</v>
      </c>
      <c r="B3566" s="156">
        <f>'Reported burning'!B3566</f>
        <v>0</v>
      </c>
      <c r="C3566" s="156">
        <f>'Reported burning'!C3566</f>
        <v>0</v>
      </c>
      <c r="D3566" s="156">
        <f>'Reported burning'!D3566</f>
        <v>0</v>
      </c>
      <c r="E3566" s="156">
        <f>'Reported burning'!E3566</f>
        <v>0</v>
      </c>
      <c r="F3566" s="156">
        <f>'Reported burning'!F3566</f>
        <v>0</v>
      </c>
      <c r="G3566" s="156">
        <f>'Reported burning'!G3566</f>
        <v>0</v>
      </c>
      <c r="H3566" s="156">
        <f>'Reported burning'!H3566</f>
        <v>0</v>
      </c>
      <c r="I3566" s="5"/>
    </row>
    <row r="3567" spans="1:28">
      <c r="A3567" s="156">
        <f>'Reported burning'!A3567</f>
        <v>0</v>
      </c>
      <c r="B3567" s="156">
        <f>'Reported burning'!B3567</f>
        <v>0</v>
      </c>
      <c r="C3567" s="156">
        <f>'Reported burning'!C3567</f>
        <v>0</v>
      </c>
      <c r="D3567" s="156">
        <f>'Reported burning'!D3567</f>
        <v>0</v>
      </c>
      <c r="E3567" s="156">
        <f>'Reported burning'!E3567</f>
        <v>0</v>
      </c>
      <c r="F3567" s="156">
        <f>'Reported burning'!F3567</f>
        <v>0</v>
      </c>
      <c r="G3567" s="156">
        <f>'Reported burning'!G3567</f>
        <v>0</v>
      </c>
      <c r="H3567" s="156">
        <f>'Reported burning'!H3567</f>
        <v>0</v>
      </c>
      <c r="I3567" s="5"/>
    </row>
    <row r="3568" spans="1:28">
      <c r="A3568" s="156">
        <f>'Reported burning'!A3568</f>
        <v>0</v>
      </c>
      <c r="B3568" s="156">
        <f>'Reported burning'!B3568</f>
        <v>0</v>
      </c>
      <c r="C3568" s="156">
        <f>'Reported burning'!C3568</f>
        <v>0</v>
      </c>
      <c r="D3568" s="156">
        <f>'Reported burning'!D3568</f>
        <v>0</v>
      </c>
      <c r="E3568" s="156">
        <f>'Reported burning'!E3568</f>
        <v>0</v>
      </c>
      <c r="F3568" s="156">
        <f>'Reported burning'!F3568</f>
        <v>0</v>
      </c>
      <c r="G3568" s="156">
        <f>'Reported burning'!G3568</f>
        <v>0</v>
      </c>
      <c r="H3568" s="156">
        <f>'Reported burning'!H3568</f>
        <v>0</v>
      </c>
      <c r="I3568" s="5"/>
    </row>
    <row r="3569" spans="1:9">
      <c r="A3569" s="156">
        <f>'Reported burning'!A3569</f>
        <v>0</v>
      </c>
      <c r="B3569" s="156">
        <f>'Reported burning'!B3569</f>
        <v>0</v>
      </c>
      <c r="C3569" s="156">
        <f>'Reported burning'!C3569</f>
        <v>0</v>
      </c>
      <c r="D3569" s="156">
        <f>'Reported burning'!D3569</f>
        <v>0</v>
      </c>
      <c r="E3569" s="156">
        <f>'Reported burning'!E3569</f>
        <v>0</v>
      </c>
      <c r="F3569" s="156">
        <f>'Reported burning'!F3569</f>
        <v>0</v>
      </c>
      <c r="G3569" s="156">
        <f>'Reported burning'!G3569</f>
        <v>0</v>
      </c>
      <c r="H3569" s="156">
        <f>'Reported burning'!H3569</f>
        <v>0</v>
      </c>
      <c r="I3569" s="5"/>
    </row>
    <row r="3570" spans="1:9">
      <c r="A3570" s="156">
        <f>'Reported burning'!A3570</f>
        <v>0</v>
      </c>
      <c r="B3570" s="156">
        <f>'Reported burning'!B3570</f>
        <v>0</v>
      </c>
      <c r="C3570" s="156">
        <f>'Reported burning'!C3570</f>
        <v>0</v>
      </c>
      <c r="D3570" s="156">
        <f>'Reported burning'!D3570</f>
        <v>0</v>
      </c>
      <c r="E3570" s="156">
        <f>'Reported burning'!E3570</f>
        <v>0</v>
      </c>
      <c r="F3570" s="156">
        <f>'Reported burning'!F3570</f>
        <v>0</v>
      </c>
      <c r="G3570" s="156">
        <f>'Reported burning'!G3570</f>
        <v>0</v>
      </c>
      <c r="H3570" s="156">
        <f>'Reported burning'!H3570</f>
        <v>0</v>
      </c>
      <c r="I3570" s="5"/>
    </row>
    <row r="3571" spans="1:9">
      <c r="A3571" s="156">
        <f>'Reported burning'!A3571</f>
        <v>0</v>
      </c>
      <c r="B3571" s="156">
        <f>'Reported burning'!B3571</f>
        <v>0</v>
      </c>
      <c r="C3571" s="156">
        <f>'Reported burning'!C3571</f>
        <v>0</v>
      </c>
      <c r="D3571" s="156">
        <f>'Reported burning'!D3571</f>
        <v>0</v>
      </c>
      <c r="E3571" s="156">
        <f>'Reported burning'!E3571</f>
        <v>0</v>
      </c>
      <c r="F3571" s="156">
        <f>'Reported burning'!F3571</f>
        <v>0</v>
      </c>
      <c r="G3571" s="156">
        <f>'Reported burning'!G3571</f>
        <v>0</v>
      </c>
      <c r="H3571" s="156">
        <f>'Reported burning'!H3571</f>
        <v>0</v>
      </c>
      <c r="I3571" s="5"/>
    </row>
    <row r="3572" spans="1:9">
      <c r="A3572" s="156">
        <f>'Reported burning'!A3572</f>
        <v>0</v>
      </c>
      <c r="B3572" s="156">
        <f>'Reported burning'!B3572</f>
        <v>0</v>
      </c>
      <c r="C3572" s="156">
        <f>'Reported burning'!C3572</f>
        <v>0</v>
      </c>
      <c r="D3572" s="156">
        <f>'Reported burning'!D3572</f>
        <v>0</v>
      </c>
      <c r="E3572" s="156">
        <f>'Reported burning'!E3572</f>
        <v>0</v>
      </c>
      <c r="F3572" s="156">
        <f>'Reported burning'!F3572</f>
        <v>0</v>
      </c>
      <c r="G3572" s="156">
        <f>'Reported burning'!G3572</f>
        <v>0</v>
      </c>
      <c r="H3572" s="156">
        <f>'Reported burning'!H3572</f>
        <v>0</v>
      </c>
      <c r="I3572" s="5"/>
    </row>
    <row r="3573" spans="1:9">
      <c r="A3573" s="156">
        <f>'Reported burning'!A3573</f>
        <v>0</v>
      </c>
      <c r="B3573" s="156">
        <f>'Reported burning'!B3573</f>
        <v>0</v>
      </c>
      <c r="C3573" s="156">
        <f>'Reported burning'!C3573</f>
        <v>0</v>
      </c>
      <c r="D3573" s="156">
        <f>'Reported burning'!D3573</f>
        <v>0</v>
      </c>
      <c r="E3573" s="156">
        <f>'Reported burning'!E3573</f>
        <v>0</v>
      </c>
      <c r="F3573" s="156">
        <f>'Reported burning'!F3573</f>
        <v>0</v>
      </c>
      <c r="G3573" s="156">
        <f>'Reported burning'!G3573</f>
        <v>0</v>
      </c>
      <c r="H3573" s="156">
        <f>'Reported burning'!H3573</f>
        <v>0</v>
      </c>
      <c r="I3573" s="5"/>
    </row>
    <row r="3574" spans="1:9">
      <c r="A3574" s="156">
        <f>'Reported burning'!A3574</f>
        <v>0</v>
      </c>
      <c r="B3574" s="156">
        <f>'Reported burning'!B3574</f>
        <v>0</v>
      </c>
      <c r="C3574" s="156">
        <f>'Reported burning'!C3574</f>
        <v>0</v>
      </c>
      <c r="D3574" s="156">
        <f>'Reported burning'!D3574</f>
        <v>0</v>
      </c>
      <c r="E3574" s="156">
        <f>'Reported burning'!E3574</f>
        <v>0</v>
      </c>
      <c r="F3574" s="156">
        <f>'Reported burning'!F3574</f>
        <v>0</v>
      </c>
      <c r="G3574" s="156">
        <f>'Reported burning'!G3574</f>
        <v>0</v>
      </c>
      <c r="H3574" s="156">
        <f>'Reported burning'!H3574</f>
        <v>0</v>
      </c>
      <c r="I3574" s="5"/>
    </row>
    <row r="3575" spans="1:9">
      <c r="A3575" s="156">
        <f>'Reported burning'!A3575</f>
        <v>0</v>
      </c>
      <c r="B3575" s="156">
        <f>'Reported burning'!B3575</f>
        <v>0</v>
      </c>
      <c r="C3575" s="156">
        <f>'Reported burning'!C3575</f>
        <v>0</v>
      </c>
      <c r="D3575" s="156">
        <f>'Reported burning'!D3575</f>
        <v>0</v>
      </c>
      <c r="E3575" s="156">
        <f>'Reported burning'!E3575</f>
        <v>0</v>
      </c>
      <c r="F3575" s="156">
        <f>'Reported burning'!F3575</f>
        <v>0</v>
      </c>
      <c r="G3575" s="156">
        <f>'Reported burning'!G3575</f>
        <v>0</v>
      </c>
      <c r="H3575" s="156">
        <f>'Reported burning'!H3575</f>
        <v>0</v>
      </c>
      <c r="I3575" s="5"/>
    </row>
    <row r="3576" spans="1:9">
      <c r="A3576" s="156">
        <f>'Reported burning'!A3576</f>
        <v>0</v>
      </c>
      <c r="B3576" s="156">
        <f>'Reported burning'!B3576</f>
        <v>0</v>
      </c>
      <c r="C3576" s="156">
        <f>'Reported burning'!C3576</f>
        <v>0</v>
      </c>
      <c r="D3576" s="156">
        <f>'Reported burning'!D3576</f>
        <v>0</v>
      </c>
      <c r="E3576" s="156">
        <f>'Reported burning'!E3576</f>
        <v>0</v>
      </c>
      <c r="F3576" s="156">
        <f>'Reported burning'!F3576</f>
        <v>0</v>
      </c>
      <c r="G3576" s="156">
        <f>'Reported burning'!G3576</f>
        <v>0</v>
      </c>
      <c r="H3576" s="156">
        <f>'Reported burning'!H3576</f>
        <v>0</v>
      </c>
      <c r="I3576" s="5"/>
    </row>
    <row r="3577" spans="1:9">
      <c r="A3577" s="156">
        <f>'Reported burning'!A3577</f>
        <v>0</v>
      </c>
      <c r="B3577" s="156">
        <f>'Reported burning'!B3577</f>
        <v>0</v>
      </c>
      <c r="C3577" s="156">
        <f>'Reported burning'!C3577</f>
        <v>0</v>
      </c>
      <c r="D3577" s="156">
        <f>'Reported burning'!D3577</f>
        <v>0</v>
      </c>
      <c r="E3577" s="156">
        <f>'Reported burning'!E3577</f>
        <v>0</v>
      </c>
      <c r="F3577" s="156">
        <f>'Reported burning'!F3577</f>
        <v>0</v>
      </c>
      <c r="G3577" s="156">
        <f>'Reported burning'!G3577</f>
        <v>0</v>
      </c>
      <c r="H3577" s="156">
        <f>'Reported burning'!H3577</f>
        <v>0</v>
      </c>
      <c r="I3577" s="5"/>
    </row>
    <row r="3578" spans="1:9">
      <c r="A3578" s="156">
        <f>'Reported burning'!A3578</f>
        <v>0</v>
      </c>
      <c r="B3578" s="156">
        <f>'Reported burning'!B3578</f>
        <v>0</v>
      </c>
      <c r="C3578" s="156">
        <f>'Reported burning'!C3578</f>
        <v>0</v>
      </c>
      <c r="D3578" s="156">
        <f>'Reported burning'!D3578</f>
        <v>0</v>
      </c>
      <c r="E3578" s="156">
        <f>'Reported burning'!E3578</f>
        <v>0</v>
      </c>
      <c r="F3578" s="156">
        <f>'Reported burning'!F3578</f>
        <v>0</v>
      </c>
      <c r="G3578" s="156">
        <f>'Reported burning'!G3578</f>
        <v>0</v>
      </c>
      <c r="H3578" s="156">
        <f>'Reported burning'!H3578</f>
        <v>0</v>
      </c>
      <c r="I3578" s="5"/>
    </row>
    <row r="3579" spans="1:9">
      <c r="A3579" s="156">
        <f>'Reported burning'!A3579</f>
        <v>0</v>
      </c>
      <c r="B3579" s="156">
        <f>'Reported burning'!B3579</f>
        <v>0</v>
      </c>
      <c r="C3579" s="156">
        <f>'Reported burning'!C3579</f>
        <v>0</v>
      </c>
      <c r="D3579" s="156">
        <f>'Reported burning'!D3579</f>
        <v>0</v>
      </c>
      <c r="E3579" s="156">
        <f>'Reported burning'!E3579</f>
        <v>0</v>
      </c>
      <c r="F3579" s="156">
        <f>'Reported burning'!F3579</f>
        <v>0</v>
      </c>
      <c r="G3579" s="156">
        <f>'Reported burning'!G3579</f>
        <v>0</v>
      </c>
      <c r="H3579" s="156">
        <f>'Reported burning'!H3579</f>
        <v>0</v>
      </c>
      <c r="I3579" s="5"/>
    </row>
    <row r="3580" spans="1:9">
      <c r="A3580" s="156">
        <f>'Reported burning'!A3580</f>
        <v>0</v>
      </c>
      <c r="B3580" s="156">
        <f>'Reported burning'!B3580</f>
        <v>0</v>
      </c>
      <c r="C3580" s="156">
        <f>'Reported burning'!C3580</f>
        <v>0</v>
      </c>
      <c r="D3580" s="156">
        <f>'Reported burning'!D3580</f>
        <v>0</v>
      </c>
      <c r="E3580" s="156">
        <f>'Reported burning'!E3580</f>
        <v>0</v>
      </c>
      <c r="F3580" s="156">
        <f>'Reported burning'!F3580</f>
        <v>0</v>
      </c>
      <c r="G3580" s="156">
        <f>'Reported burning'!G3580</f>
        <v>0</v>
      </c>
      <c r="H3580" s="156">
        <f>'Reported burning'!H3580</f>
        <v>0</v>
      </c>
      <c r="I3580" s="5"/>
    </row>
    <row r="3581" spans="1:9">
      <c r="A3581" s="156">
        <f>'Reported burning'!A3581</f>
        <v>0</v>
      </c>
      <c r="B3581" s="156">
        <f>'Reported burning'!B3581</f>
        <v>0</v>
      </c>
      <c r="C3581" s="156">
        <f>'Reported burning'!C3581</f>
        <v>0</v>
      </c>
      <c r="D3581" s="156">
        <f>'Reported burning'!D3581</f>
        <v>0</v>
      </c>
      <c r="E3581" s="156">
        <f>'Reported burning'!E3581</f>
        <v>0</v>
      </c>
      <c r="F3581" s="156">
        <f>'Reported burning'!F3581</f>
        <v>0</v>
      </c>
      <c r="G3581" s="156">
        <f>'Reported burning'!G3581</f>
        <v>0</v>
      </c>
      <c r="H3581" s="156">
        <f>'Reported burning'!H3581</f>
        <v>0</v>
      </c>
      <c r="I3581" s="5"/>
    </row>
    <row r="3582" spans="1:9">
      <c r="A3582" s="156">
        <f>'Reported burning'!A3582</f>
        <v>0</v>
      </c>
      <c r="B3582" s="156">
        <f>'Reported burning'!B3582</f>
        <v>0</v>
      </c>
      <c r="C3582" s="156">
        <f>'Reported burning'!C3582</f>
        <v>0</v>
      </c>
      <c r="D3582" s="156">
        <f>'Reported burning'!D3582</f>
        <v>0</v>
      </c>
      <c r="E3582" s="156">
        <f>'Reported burning'!E3582</f>
        <v>0</v>
      </c>
      <c r="F3582" s="156">
        <f>'Reported burning'!F3582</f>
        <v>0</v>
      </c>
      <c r="G3582" s="156">
        <f>'Reported burning'!G3582</f>
        <v>0</v>
      </c>
      <c r="H3582" s="156">
        <f>'Reported burning'!H3582</f>
        <v>0</v>
      </c>
      <c r="I3582" s="5"/>
    </row>
    <row r="3583" spans="1:9">
      <c r="A3583" s="156">
        <f>'Reported burning'!A3583</f>
        <v>0</v>
      </c>
      <c r="B3583" s="156">
        <f>'Reported burning'!B3583</f>
        <v>0</v>
      </c>
      <c r="C3583" s="156">
        <f>'Reported burning'!C3583</f>
        <v>0</v>
      </c>
      <c r="D3583" s="156">
        <f>'Reported burning'!D3583</f>
        <v>0</v>
      </c>
      <c r="E3583" s="156">
        <f>'Reported burning'!E3583</f>
        <v>0</v>
      </c>
      <c r="F3583" s="156">
        <f>'Reported burning'!F3583</f>
        <v>0</v>
      </c>
      <c r="G3583" s="156">
        <f>'Reported burning'!G3583</f>
        <v>0</v>
      </c>
      <c r="H3583" s="156">
        <f>'Reported burning'!H3583</f>
        <v>0</v>
      </c>
      <c r="I3583" s="5"/>
    </row>
    <row r="3584" spans="1:9">
      <c r="A3584" s="156">
        <f>'Reported burning'!A3584</f>
        <v>0</v>
      </c>
      <c r="B3584" s="156">
        <f>'Reported burning'!B3584</f>
        <v>0</v>
      </c>
      <c r="C3584" s="156">
        <f>'Reported burning'!C3584</f>
        <v>0</v>
      </c>
      <c r="D3584" s="156">
        <f>'Reported burning'!D3584</f>
        <v>0</v>
      </c>
      <c r="E3584" s="156">
        <f>'Reported burning'!E3584</f>
        <v>0</v>
      </c>
      <c r="F3584" s="156">
        <f>'Reported burning'!F3584</f>
        <v>0</v>
      </c>
      <c r="G3584" s="156">
        <f>'Reported burning'!G3584</f>
        <v>0</v>
      </c>
      <c r="H3584" s="156">
        <f>'Reported burning'!H3584</f>
        <v>0</v>
      </c>
      <c r="I3584" s="5"/>
    </row>
    <row r="3585" spans="1:9">
      <c r="A3585" s="156">
        <f>'Reported burning'!A3585</f>
        <v>0</v>
      </c>
      <c r="B3585" s="156">
        <f>'Reported burning'!B3585</f>
        <v>0</v>
      </c>
      <c r="C3585" s="156">
        <f>'Reported burning'!C3585</f>
        <v>0</v>
      </c>
      <c r="D3585" s="156">
        <f>'Reported burning'!D3585</f>
        <v>0</v>
      </c>
      <c r="E3585" s="156">
        <f>'Reported burning'!E3585</f>
        <v>0</v>
      </c>
      <c r="F3585" s="156">
        <f>'Reported burning'!F3585</f>
        <v>0</v>
      </c>
      <c r="G3585" s="156">
        <f>'Reported burning'!G3585</f>
        <v>0</v>
      </c>
      <c r="H3585" s="156">
        <f>'Reported burning'!H3585</f>
        <v>0</v>
      </c>
      <c r="I3585" s="5"/>
    </row>
    <row r="3586" spans="1:9">
      <c r="A3586" s="156">
        <f>'Reported burning'!A3586</f>
        <v>0</v>
      </c>
      <c r="B3586" s="156">
        <f>'Reported burning'!B3586</f>
        <v>0</v>
      </c>
      <c r="C3586" s="156">
        <f>'Reported burning'!C3586</f>
        <v>0</v>
      </c>
      <c r="D3586" s="156">
        <f>'Reported burning'!D3586</f>
        <v>0</v>
      </c>
      <c r="E3586" s="156">
        <f>'Reported burning'!E3586</f>
        <v>0</v>
      </c>
      <c r="F3586" s="156">
        <f>'Reported burning'!F3586</f>
        <v>0</v>
      </c>
      <c r="G3586" s="156">
        <f>'Reported burning'!G3586</f>
        <v>0</v>
      </c>
      <c r="H3586" s="156">
        <f>'Reported burning'!H3586</f>
        <v>0</v>
      </c>
      <c r="I3586" s="5"/>
    </row>
    <row r="3587" spans="1:9">
      <c r="A3587" s="156">
        <f>'Reported burning'!A3587</f>
        <v>0</v>
      </c>
      <c r="B3587" s="156">
        <f>'Reported burning'!B3587</f>
        <v>0</v>
      </c>
      <c r="C3587" s="156">
        <f>'Reported burning'!C3587</f>
        <v>0</v>
      </c>
      <c r="D3587" s="156">
        <f>'Reported burning'!D3587</f>
        <v>0</v>
      </c>
      <c r="E3587" s="156">
        <f>'Reported burning'!E3587</f>
        <v>0</v>
      </c>
      <c r="F3587" s="156">
        <f>'Reported burning'!F3587</f>
        <v>0</v>
      </c>
      <c r="G3587" s="156">
        <f>'Reported burning'!G3587</f>
        <v>0</v>
      </c>
      <c r="H3587" s="156">
        <f>'Reported burning'!H3587</f>
        <v>0</v>
      </c>
      <c r="I3587" s="5"/>
    </row>
    <row r="3588" spans="1:9">
      <c r="A3588" s="156">
        <f>'Reported burning'!A3588</f>
        <v>0</v>
      </c>
      <c r="B3588" s="156">
        <f>'Reported burning'!B3588</f>
        <v>0</v>
      </c>
      <c r="C3588" s="156">
        <f>'Reported burning'!C3588</f>
        <v>0</v>
      </c>
      <c r="D3588" s="156">
        <f>'Reported burning'!D3588</f>
        <v>0</v>
      </c>
      <c r="E3588" s="156">
        <f>'Reported burning'!E3588</f>
        <v>0</v>
      </c>
      <c r="F3588" s="156">
        <f>'Reported burning'!F3588</f>
        <v>0</v>
      </c>
      <c r="G3588" s="156">
        <f>'Reported burning'!G3588</f>
        <v>0</v>
      </c>
      <c r="H3588" s="156">
        <f>'Reported burning'!H3588</f>
        <v>0</v>
      </c>
      <c r="I3588" s="5"/>
    </row>
    <row r="3589" spans="1:9">
      <c r="A3589" s="156">
        <f>'Reported burning'!A3589</f>
        <v>0</v>
      </c>
      <c r="B3589" s="156">
        <f>'Reported burning'!B3589</f>
        <v>0</v>
      </c>
      <c r="C3589" s="156">
        <f>'Reported burning'!C3589</f>
        <v>0</v>
      </c>
      <c r="D3589" s="156">
        <f>'Reported burning'!D3589</f>
        <v>0</v>
      </c>
      <c r="E3589" s="156">
        <f>'Reported burning'!E3589</f>
        <v>0</v>
      </c>
      <c r="F3589" s="156">
        <f>'Reported burning'!F3589</f>
        <v>0</v>
      </c>
      <c r="G3589" s="156">
        <f>'Reported burning'!G3589</f>
        <v>0</v>
      </c>
      <c r="H3589" s="156">
        <f>'Reported burning'!H3589</f>
        <v>0</v>
      </c>
      <c r="I3589" s="5"/>
    </row>
    <row r="3590" spans="1:9">
      <c r="A3590" s="156">
        <f>'Reported burning'!A3590</f>
        <v>0</v>
      </c>
      <c r="B3590" s="156">
        <f>'Reported burning'!B3590</f>
        <v>0</v>
      </c>
      <c r="C3590" s="156">
        <f>'Reported burning'!C3590</f>
        <v>0</v>
      </c>
      <c r="D3590" s="156">
        <f>'Reported burning'!D3590</f>
        <v>0</v>
      </c>
      <c r="E3590" s="156">
        <f>'Reported burning'!E3590</f>
        <v>0</v>
      </c>
      <c r="F3590" s="156">
        <f>'Reported burning'!F3590</f>
        <v>0</v>
      </c>
      <c r="G3590" s="156">
        <f>'Reported burning'!G3590</f>
        <v>0</v>
      </c>
      <c r="H3590" s="156">
        <f>'Reported burning'!H3590</f>
        <v>0</v>
      </c>
      <c r="I3590" s="5"/>
    </row>
    <row r="3591" spans="1:9">
      <c r="A3591" s="156">
        <f>'Reported burning'!A3591</f>
        <v>0</v>
      </c>
      <c r="B3591" s="156">
        <f>'Reported burning'!B3591</f>
        <v>0</v>
      </c>
      <c r="C3591" s="156">
        <f>'Reported burning'!C3591</f>
        <v>0</v>
      </c>
      <c r="D3591" s="156">
        <f>'Reported burning'!D3591</f>
        <v>0</v>
      </c>
      <c r="E3591" s="156">
        <f>'Reported burning'!E3591</f>
        <v>0</v>
      </c>
      <c r="F3591" s="156">
        <f>'Reported burning'!F3591</f>
        <v>0</v>
      </c>
      <c r="G3591" s="156">
        <f>'Reported burning'!G3591</f>
        <v>0</v>
      </c>
      <c r="H3591" s="156">
        <f>'Reported burning'!H3591</f>
        <v>0</v>
      </c>
      <c r="I3591" s="5"/>
    </row>
    <row r="3592" spans="1:9">
      <c r="A3592" s="156">
        <f>'Reported burning'!A3592</f>
        <v>0</v>
      </c>
      <c r="B3592" s="156">
        <f>'Reported burning'!B3592</f>
        <v>0</v>
      </c>
      <c r="C3592" s="156">
        <f>'Reported burning'!C3592</f>
        <v>0</v>
      </c>
      <c r="D3592" s="156">
        <f>'Reported burning'!D3592</f>
        <v>0</v>
      </c>
      <c r="E3592" s="156">
        <f>'Reported burning'!E3592</f>
        <v>0</v>
      </c>
      <c r="F3592" s="156">
        <f>'Reported burning'!F3592</f>
        <v>0</v>
      </c>
      <c r="G3592" s="156">
        <f>'Reported burning'!G3592</f>
        <v>0</v>
      </c>
      <c r="H3592" s="156">
        <f>'Reported burning'!H3592</f>
        <v>0</v>
      </c>
      <c r="I3592" s="5"/>
    </row>
    <row r="3593" spans="1:9">
      <c r="A3593" s="156">
        <f>'Reported burning'!A3593</f>
        <v>0</v>
      </c>
      <c r="B3593" s="156">
        <f>'Reported burning'!B3593</f>
        <v>0</v>
      </c>
      <c r="C3593" s="156">
        <f>'Reported burning'!C3593</f>
        <v>0</v>
      </c>
      <c r="D3593" s="156">
        <f>'Reported burning'!D3593</f>
        <v>0</v>
      </c>
      <c r="E3593" s="156">
        <f>'Reported burning'!E3593</f>
        <v>0</v>
      </c>
      <c r="F3593" s="156">
        <f>'Reported burning'!F3593</f>
        <v>0</v>
      </c>
      <c r="G3593" s="156">
        <f>'Reported burning'!G3593</f>
        <v>0</v>
      </c>
      <c r="H3593" s="156">
        <f>'Reported burning'!H3593</f>
        <v>0</v>
      </c>
      <c r="I3593" s="5"/>
    </row>
    <row r="3594" spans="1:9">
      <c r="A3594" s="156">
        <f>'Reported burning'!A3594</f>
        <v>0</v>
      </c>
      <c r="B3594" s="156">
        <f>'Reported burning'!B3594</f>
        <v>0</v>
      </c>
      <c r="C3594" s="156">
        <f>'Reported burning'!C3594</f>
        <v>0</v>
      </c>
      <c r="D3594" s="156">
        <f>'Reported burning'!D3594</f>
        <v>0</v>
      </c>
      <c r="E3594" s="156">
        <f>'Reported burning'!E3594</f>
        <v>0</v>
      </c>
      <c r="F3594" s="156">
        <f>'Reported burning'!F3594</f>
        <v>0</v>
      </c>
      <c r="G3594" s="156">
        <f>'Reported burning'!G3594</f>
        <v>0</v>
      </c>
      <c r="H3594" s="156">
        <f>'Reported burning'!H3594</f>
        <v>0</v>
      </c>
      <c r="I3594" s="5"/>
    </row>
    <row r="3595" spans="1:9">
      <c r="A3595" s="156">
        <f>'Reported burning'!A3595</f>
        <v>0</v>
      </c>
      <c r="B3595" s="156">
        <f>'Reported burning'!B3595</f>
        <v>0</v>
      </c>
      <c r="C3595" s="156">
        <f>'Reported burning'!C3595</f>
        <v>0</v>
      </c>
      <c r="D3595" s="156">
        <f>'Reported burning'!D3595</f>
        <v>0</v>
      </c>
      <c r="E3595" s="156">
        <f>'Reported burning'!E3595</f>
        <v>0</v>
      </c>
      <c r="F3595" s="156">
        <f>'Reported burning'!F3595</f>
        <v>0</v>
      </c>
      <c r="G3595" s="156">
        <f>'Reported burning'!G3595</f>
        <v>0</v>
      </c>
      <c r="H3595" s="156">
        <f>'Reported burning'!H3595</f>
        <v>0</v>
      </c>
      <c r="I3595" s="5"/>
    </row>
    <row r="3596" spans="1:9">
      <c r="A3596" s="156">
        <f>'Reported burning'!A3596</f>
        <v>0</v>
      </c>
      <c r="B3596" s="156">
        <f>'Reported burning'!B3596</f>
        <v>0</v>
      </c>
      <c r="C3596" s="156">
        <f>'Reported burning'!C3596</f>
        <v>0</v>
      </c>
      <c r="D3596" s="156">
        <f>'Reported burning'!D3596</f>
        <v>0</v>
      </c>
      <c r="E3596" s="156">
        <f>'Reported burning'!E3596</f>
        <v>0</v>
      </c>
      <c r="F3596" s="156">
        <f>'Reported burning'!F3596</f>
        <v>0</v>
      </c>
      <c r="G3596" s="156">
        <f>'Reported burning'!G3596</f>
        <v>0</v>
      </c>
      <c r="H3596" s="156">
        <f>'Reported burning'!H3596</f>
        <v>0</v>
      </c>
      <c r="I3596" s="5"/>
    </row>
    <row r="3597" spans="1:9">
      <c r="A3597" s="156">
        <f>'Reported burning'!A3597</f>
        <v>0</v>
      </c>
      <c r="B3597" s="156">
        <f>'Reported burning'!B3597</f>
        <v>0</v>
      </c>
      <c r="C3597" s="156">
        <f>'Reported burning'!C3597</f>
        <v>0</v>
      </c>
      <c r="D3597" s="156">
        <f>'Reported burning'!D3597</f>
        <v>0</v>
      </c>
      <c r="E3597" s="156">
        <f>'Reported burning'!E3597</f>
        <v>0</v>
      </c>
      <c r="F3597" s="156">
        <f>'Reported burning'!F3597</f>
        <v>0</v>
      </c>
      <c r="G3597" s="156">
        <f>'Reported burning'!G3597</f>
        <v>0</v>
      </c>
      <c r="H3597" s="156">
        <f>'Reported burning'!H3597</f>
        <v>0</v>
      </c>
      <c r="I3597" s="5"/>
    </row>
    <row r="3598" spans="1:9">
      <c r="A3598" s="156">
        <f>'Reported burning'!A3598</f>
        <v>0</v>
      </c>
      <c r="B3598" s="156">
        <f>'Reported burning'!B3598</f>
        <v>0</v>
      </c>
      <c r="C3598" s="156">
        <f>'Reported burning'!C3598</f>
        <v>0</v>
      </c>
      <c r="D3598" s="156">
        <f>'Reported burning'!D3598</f>
        <v>0</v>
      </c>
      <c r="E3598" s="156">
        <f>'Reported burning'!E3598</f>
        <v>0</v>
      </c>
      <c r="F3598" s="156">
        <f>'Reported burning'!F3598</f>
        <v>0</v>
      </c>
      <c r="G3598" s="156">
        <f>'Reported burning'!G3598</f>
        <v>0</v>
      </c>
      <c r="H3598" s="156">
        <f>'Reported burning'!H3598</f>
        <v>0</v>
      </c>
      <c r="I3598" s="5"/>
    </row>
    <row r="3599" spans="1:9">
      <c r="A3599" s="156">
        <f>'Reported burning'!A3599</f>
        <v>0</v>
      </c>
      <c r="B3599" s="156">
        <f>'Reported burning'!B3599</f>
        <v>0</v>
      </c>
      <c r="C3599" s="156">
        <f>'Reported burning'!C3599</f>
        <v>0</v>
      </c>
      <c r="D3599" s="156">
        <f>'Reported burning'!D3599</f>
        <v>0</v>
      </c>
      <c r="E3599" s="156">
        <f>'Reported burning'!E3599</f>
        <v>0</v>
      </c>
      <c r="F3599" s="156">
        <f>'Reported burning'!F3599</f>
        <v>0</v>
      </c>
      <c r="G3599" s="156">
        <f>'Reported burning'!G3599</f>
        <v>0</v>
      </c>
      <c r="H3599" s="156">
        <f>'Reported burning'!H3599</f>
        <v>0</v>
      </c>
      <c r="I3599" s="5"/>
    </row>
    <row r="3600" spans="1:9">
      <c r="A3600" s="156">
        <f>'Reported burning'!A3600</f>
        <v>0</v>
      </c>
      <c r="B3600" s="156">
        <f>'Reported burning'!B3600</f>
        <v>0</v>
      </c>
      <c r="C3600" s="156">
        <f>'Reported burning'!C3600</f>
        <v>0</v>
      </c>
      <c r="D3600" s="156">
        <f>'Reported burning'!D3600</f>
        <v>0</v>
      </c>
      <c r="E3600" s="156">
        <f>'Reported burning'!E3600</f>
        <v>0</v>
      </c>
      <c r="F3600" s="156">
        <f>'Reported burning'!F3600</f>
        <v>0</v>
      </c>
      <c r="G3600" s="156">
        <f>'Reported burning'!G3600</f>
        <v>0</v>
      </c>
      <c r="H3600" s="156">
        <f>'Reported burning'!H3600</f>
        <v>0</v>
      </c>
      <c r="I3600" s="5"/>
    </row>
    <row r="3601" spans="1:9">
      <c r="A3601" s="156">
        <f>'Reported burning'!A3601</f>
        <v>0</v>
      </c>
      <c r="B3601" s="156">
        <f>'Reported burning'!B3601</f>
        <v>0</v>
      </c>
      <c r="C3601" s="156">
        <f>'Reported burning'!C3601</f>
        <v>0</v>
      </c>
      <c r="D3601" s="156">
        <f>'Reported burning'!D3601</f>
        <v>0</v>
      </c>
      <c r="E3601" s="156">
        <f>'Reported burning'!E3601</f>
        <v>0</v>
      </c>
      <c r="F3601" s="156">
        <f>'Reported burning'!F3601</f>
        <v>0</v>
      </c>
      <c r="G3601" s="156">
        <f>'Reported burning'!G3601</f>
        <v>0</v>
      </c>
      <c r="H3601" s="156">
        <f>'Reported burning'!H3601</f>
        <v>0</v>
      </c>
      <c r="I3601" s="5"/>
    </row>
    <row r="3602" spans="1:9">
      <c r="A3602" s="156">
        <f>'Reported burning'!A3602</f>
        <v>0</v>
      </c>
      <c r="B3602" s="156">
        <f>'Reported burning'!B3602</f>
        <v>0</v>
      </c>
      <c r="C3602" s="156">
        <f>'Reported burning'!C3602</f>
        <v>0</v>
      </c>
      <c r="D3602" s="156">
        <f>'Reported burning'!D3602</f>
        <v>0</v>
      </c>
      <c r="E3602" s="156">
        <f>'Reported burning'!E3602</f>
        <v>0</v>
      </c>
      <c r="F3602" s="156">
        <f>'Reported burning'!F3602</f>
        <v>0</v>
      </c>
      <c r="G3602" s="156">
        <f>'Reported burning'!G3602</f>
        <v>0</v>
      </c>
      <c r="H3602" s="156">
        <f>'Reported burning'!H3602</f>
        <v>0</v>
      </c>
      <c r="I3602" s="5"/>
    </row>
    <row r="3603" spans="1:9">
      <c r="A3603" s="156">
        <f>'Reported burning'!A3603</f>
        <v>0</v>
      </c>
      <c r="B3603" s="156">
        <f>'Reported burning'!B3603</f>
        <v>0</v>
      </c>
      <c r="C3603" s="156">
        <f>'Reported burning'!C3603</f>
        <v>0</v>
      </c>
      <c r="D3603" s="156">
        <f>'Reported burning'!D3603</f>
        <v>0</v>
      </c>
      <c r="E3603" s="156">
        <f>'Reported burning'!E3603</f>
        <v>0</v>
      </c>
      <c r="F3603" s="156">
        <f>'Reported burning'!F3603</f>
        <v>0</v>
      </c>
      <c r="G3603" s="156">
        <f>'Reported burning'!G3603</f>
        <v>0</v>
      </c>
      <c r="H3603" s="156">
        <f>'Reported burning'!H3603</f>
        <v>0</v>
      </c>
      <c r="I3603" s="5"/>
    </row>
    <row r="3604" spans="1:9">
      <c r="A3604" s="156">
        <f>'Reported burning'!A3604</f>
        <v>0</v>
      </c>
      <c r="B3604" s="156">
        <f>'Reported burning'!B3604</f>
        <v>0</v>
      </c>
      <c r="C3604" s="156">
        <f>'Reported burning'!C3604</f>
        <v>0</v>
      </c>
      <c r="D3604" s="156">
        <f>'Reported burning'!D3604</f>
        <v>0</v>
      </c>
      <c r="E3604" s="156">
        <f>'Reported burning'!E3604</f>
        <v>0</v>
      </c>
      <c r="F3604" s="156">
        <f>'Reported burning'!F3604</f>
        <v>0</v>
      </c>
      <c r="G3604" s="156">
        <f>'Reported burning'!G3604</f>
        <v>0</v>
      </c>
      <c r="H3604" s="156">
        <f>'Reported burning'!H3604</f>
        <v>0</v>
      </c>
      <c r="I3604" s="5"/>
    </row>
    <row r="3605" spans="1:9">
      <c r="A3605" s="156">
        <f>'Reported burning'!A3605</f>
        <v>0</v>
      </c>
      <c r="B3605" s="156">
        <f>'Reported burning'!B3605</f>
        <v>0</v>
      </c>
      <c r="C3605" s="156">
        <f>'Reported burning'!C3605</f>
        <v>0</v>
      </c>
      <c r="D3605" s="156">
        <f>'Reported burning'!D3605</f>
        <v>0</v>
      </c>
      <c r="E3605" s="156">
        <f>'Reported burning'!E3605</f>
        <v>0</v>
      </c>
      <c r="F3605" s="156">
        <f>'Reported burning'!F3605</f>
        <v>0</v>
      </c>
      <c r="G3605" s="156">
        <f>'Reported burning'!G3605</f>
        <v>0</v>
      </c>
      <c r="H3605" s="156">
        <f>'Reported burning'!H3605</f>
        <v>0</v>
      </c>
      <c r="I3605" s="5"/>
    </row>
    <row r="3606" spans="1:9">
      <c r="A3606" s="156">
        <f>'Reported burning'!A3606</f>
        <v>0</v>
      </c>
      <c r="B3606" s="156">
        <f>'Reported burning'!B3606</f>
        <v>0</v>
      </c>
      <c r="C3606" s="156">
        <f>'Reported burning'!C3606</f>
        <v>0</v>
      </c>
      <c r="D3606" s="156">
        <f>'Reported burning'!D3606</f>
        <v>0</v>
      </c>
      <c r="E3606" s="156">
        <f>'Reported burning'!E3606</f>
        <v>0</v>
      </c>
      <c r="F3606" s="156">
        <f>'Reported burning'!F3606</f>
        <v>0</v>
      </c>
      <c r="G3606" s="156">
        <f>'Reported burning'!G3606</f>
        <v>0</v>
      </c>
      <c r="H3606" s="156">
        <f>'Reported burning'!H3606</f>
        <v>0</v>
      </c>
      <c r="I3606" s="5"/>
    </row>
    <row r="3607" spans="1:9">
      <c r="A3607" s="156">
        <f>'Reported burning'!A3607</f>
        <v>0</v>
      </c>
      <c r="B3607" s="156">
        <f>'Reported burning'!B3607</f>
        <v>0</v>
      </c>
      <c r="C3607" s="156">
        <f>'Reported burning'!C3607</f>
        <v>0</v>
      </c>
      <c r="D3607" s="156">
        <f>'Reported burning'!D3607</f>
        <v>0</v>
      </c>
      <c r="E3607" s="156">
        <f>'Reported burning'!E3607</f>
        <v>0</v>
      </c>
      <c r="F3607" s="156">
        <f>'Reported burning'!F3607</f>
        <v>0</v>
      </c>
      <c r="G3607" s="156">
        <f>'Reported burning'!G3607</f>
        <v>0</v>
      </c>
      <c r="H3607" s="156">
        <f>'Reported burning'!H3607</f>
        <v>0</v>
      </c>
      <c r="I3607" s="5"/>
    </row>
    <row r="3608" spans="1:9">
      <c r="A3608" s="156">
        <f>'Reported burning'!A3608</f>
        <v>0</v>
      </c>
      <c r="B3608" s="156">
        <f>'Reported burning'!B3608</f>
        <v>0</v>
      </c>
      <c r="C3608" s="156">
        <f>'Reported burning'!C3608</f>
        <v>0</v>
      </c>
      <c r="D3608" s="156">
        <f>'Reported burning'!D3608</f>
        <v>0</v>
      </c>
      <c r="E3608" s="156">
        <f>'Reported burning'!E3608</f>
        <v>0</v>
      </c>
      <c r="F3608" s="156">
        <f>'Reported burning'!F3608</f>
        <v>0</v>
      </c>
      <c r="G3608" s="156">
        <f>'Reported burning'!G3608</f>
        <v>0</v>
      </c>
      <c r="H3608" s="156">
        <f>'Reported burning'!H3608</f>
        <v>0</v>
      </c>
      <c r="I3608" s="5"/>
    </row>
    <row r="3609" spans="1:9">
      <c r="A3609" s="156">
        <f>'Reported burning'!A3609</f>
        <v>0</v>
      </c>
      <c r="B3609" s="156">
        <f>'Reported burning'!B3609</f>
        <v>0</v>
      </c>
      <c r="C3609" s="156">
        <f>'Reported burning'!C3609</f>
        <v>0</v>
      </c>
      <c r="D3609" s="156">
        <f>'Reported burning'!D3609</f>
        <v>0</v>
      </c>
      <c r="E3609" s="156">
        <f>'Reported burning'!E3609</f>
        <v>0</v>
      </c>
      <c r="F3609" s="156">
        <f>'Reported burning'!F3609</f>
        <v>0</v>
      </c>
      <c r="G3609" s="156">
        <f>'Reported burning'!G3609</f>
        <v>0</v>
      </c>
      <c r="H3609" s="156">
        <f>'Reported burning'!H3609</f>
        <v>0</v>
      </c>
      <c r="I3609" s="5"/>
    </row>
    <row r="3610" spans="1:9">
      <c r="A3610" s="156">
        <f>'Reported burning'!A3610</f>
        <v>0</v>
      </c>
      <c r="B3610" s="156">
        <f>'Reported burning'!B3610</f>
        <v>0</v>
      </c>
      <c r="C3610" s="156">
        <f>'Reported burning'!C3610</f>
        <v>0</v>
      </c>
      <c r="D3610" s="156">
        <f>'Reported burning'!D3610</f>
        <v>0</v>
      </c>
      <c r="E3610" s="156">
        <f>'Reported burning'!E3610</f>
        <v>0</v>
      </c>
      <c r="F3610" s="156">
        <f>'Reported burning'!F3610</f>
        <v>0</v>
      </c>
      <c r="G3610" s="156">
        <f>'Reported burning'!G3610</f>
        <v>0</v>
      </c>
      <c r="H3610" s="156">
        <f>'Reported burning'!H3610</f>
        <v>0</v>
      </c>
      <c r="I3610" s="5"/>
    </row>
    <row r="3611" spans="1:9">
      <c r="A3611" s="156">
        <f>'Reported burning'!A3611</f>
        <v>0</v>
      </c>
      <c r="B3611" s="156">
        <f>'Reported burning'!B3611</f>
        <v>0</v>
      </c>
      <c r="C3611" s="156">
        <f>'Reported burning'!C3611</f>
        <v>0</v>
      </c>
      <c r="D3611" s="156">
        <f>'Reported burning'!D3611</f>
        <v>0</v>
      </c>
      <c r="E3611" s="156">
        <f>'Reported burning'!E3611</f>
        <v>0</v>
      </c>
      <c r="F3611" s="156">
        <f>'Reported burning'!F3611</f>
        <v>0</v>
      </c>
      <c r="G3611" s="156">
        <f>'Reported burning'!G3611</f>
        <v>0</v>
      </c>
      <c r="H3611" s="156">
        <f>'Reported burning'!H3611</f>
        <v>0</v>
      </c>
      <c r="I3611" s="5"/>
    </row>
    <row r="3612" spans="1:9">
      <c r="A3612" s="156">
        <f>'Reported burning'!A3612</f>
        <v>0</v>
      </c>
      <c r="B3612" s="156">
        <f>'Reported burning'!B3612</f>
        <v>0</v>
      </c>
      <c r="C3612" s="156">
        <f>'Reported burning'!C3612</f>
        <v>0</v>
      </c>
      <c r="D3612" s="156">
        <f>'Reported burning'!D3612</f>
        <v>0</v>
      </c>
      <c r="E3612" s="156">
        <f>'Reported burning'!E3612</f>
        <v>0</v>
      </c>
      <c r="F3612" s="156">
        <f>'Reported burning'!F3612</f>
        <v>0</v>
      </c>
      <c r="G3612" s="156">
        <f>'Reported burning'!G3612</f>
        <v>0</v>
      </c>
      <c r="H3612" s="156">
        <f>'Reported burning'!H3612</f>
        <v>0</v>
      </c>
      <c r="I3612" s="5"/>
    </row>
    <row r="3613" spans="1:9">
      <c r="A3613" s="156">
        <f>'Reported burning'!A3613</f>
        <v>0</v>
      </c>
      <c r="B3613" s="156">
        <f>'Reported burning'!B3613</f>
        <v>0</v>
      </c>
      <c r="C3613" s="156">
        <f>'Reported burning'!C3613</f>
        <v>0</v>
      </c>
      <c r="D3613" s="156">
        <f>'Reported burning'!D3613</f>
        <v>0</v>
      </c>
      <c r="E3613" s="156">
        <f>'Reported burning'!E3613</f>
        <v>0</v>
      </c>
      <c r="F3613" s="156">
        <f>'Reported burning'!F3613</f>
        <v>0</v>
      </c>
      <c r="G3613" s="156">
        <f>'Reported burning'!G3613</f>
        <v>0</v>
      </c>
      <c r="H3613" s="156">
        <f>'Reported burning'!H3613</f>
        <v>0</v>
      </c>
      <c r="I3613" s="5"/>
    </row>
    <row r="3614" spans="1:9">
      <c r="A3614" s="156">
        <f>'Reported burning'!A3614</f>
        <v>0</v>
      </c>
      <c r="B3614" s="156">
        <f>'Reported burning'!B3614</f>
        <v>0</v>
      </c>
      <c r="C3614" s="156">
        <f>'Reported burning'!C3614</f>
        <v>0</v>
      </c>
      <c r="D3614" s="156">
        <f>'Reported burning'!D3614</f>
        <v>0</v>
      </c>
      <c r="E3614" s="156">
        <f>'Reported burning'!E3614</f>
        <v>0</v>
      </c>
      <c r="F3614" s="156">
        <f>'Reported burning'!F3614</f>
        <v>0</v>
      </c>
      <c r="G3614" s="156">
        <f>'Reported burning'!G3614</f>
        <v>0</v>
      </c>
      <c r="H3614" s="156">
        <f>'Reported burning'!H3614</f>
        <v>0</v>
      </c>
      <c r="I3614" s="5"/>
    </row>
    <row r="3615" spans="1:9">
      <c r="A3615" s="156">
        <f>'Reported burning'!A3615</f>
        <v>0</v>
      </c>
      <c r="B3615" s="156">
        <f>'Reported burning'!B3615</f>
        <v>0</v>
      </c>
      <c r="C3615" s="156">
        <f>'Reported burning'!C3615</f>
        <v>0</v>
      </c>
      <c r="D3615" s="156">
        <f>'Reported burning'!D3615</f>
        <v>0</v>
      </c>
      <c r="E3615" s="156">
        <f>'Reported burning'!E3615</f>
        <v>0</v>
      </c>
      <c r="F3615" s="156">
        <f>'Reported burning'!F3615</f>
        <v>0</v>
      </c>
      <c r="G3615" s="156">
        <f>'Reported burning'!G3615</f>
        <v>0</v>
      </c>
      <c r="H3615" s="156">
        <f>'Reported burning'!H3615</f>
        <v>0</v>
      </c>
      <c r="I3615" s="5"/>
    </row>
    <row r="3616" spans="1:9">
      <c r="A3616" s="156">
        <f>'Reported burning'!A3616</f>
        <v>0</v>
      </c>
      <c r="B3616" s="156">
        <f>'Reported burning'!B3616</f>
        <v>0</v>
      </c>
      <c r="C3616" s="156">
        <f>'Reported burning'!C3616</f>
        <v>0</v>
      </c>
      <c r="D3616" s="156">
        <f>'Reported burning'!D3616</f>
        <v>0</v>
      </c>
      <c r="E3616" s="156">
        <f>'Reported burning'!E3616</f>
        <v>0</v>
      </c>
      <c r="F3616" s="156">
        <f>'Reported burning'!F3616</f>
        <v>0</v>
      </c>
      <c r="G3616" s="156">
        <f>'Reported burning'!G3616</f>
        <v>0</v>
      </c>
      <c r="H3616" s="156">
        <f>'Reported burning'!H3616</f>
        <v>0</v>
      </c>
      <c r="I3616" s="5"/>
    </row>
    <row r="3617" spans="1:9">
      <c r="A3617" s="156">
        <f>'Reported burning'!A3617</f>
        <v>0</v>
      </c>
      <c r="B3617" s="156">
        <f>'Reported burning'!B3617</f>
        <v>0</v>
      </c>
      <c r="C3617" s="156">
        <f>'Reported burning'!C3617</f>
        <v>0</v>
      </c>
      <c r="D3617" s="156">
        <f>'Reported burning'!D3617</f>
        <v>0</v>
      </c>
      <c r="E3617" s="156">
        <f>'Reported burning'!E3617</f>
        <v>0</v>
      </c>
      <c r="F3617" s="156">
        <f>'Reported burning'!F3617</f>
        <v>0</v>
      </c>
      <c r="G3617" s="156">
        <f>'Reported burning'!G3617</f>
        <v>0</v>
      </c>
      <c r="H3617" s="156">
        <f>'Reported burning'!H3617</f>
        <v>0</v>
      </c>
      <c r="I3617" s="5"/>
    </row>
    <row r="3618" spans="1:9">
      <c r="A3618" s="156">
        <f>'Reported burning'!A3618</f>
        <v>0</v>
      </c>
      <c r="B3618" s="156">
        <f>'Reported burning'!B3618</f>
        <v>0</v>
      </c>
      <c r="C3618" s="156">
        <f>'Reported burning'!C3618</f>
        <v>0</v>
      </c>
      <c r="D3618" s="156">
        <f>'Reported burning'!D3618</f>
        <v>0</v>
      </c>
      <c r="E3618" s="156">
        <f>'Reported burning'!E3618</f>
        <v>0</v>
      </c>
      <c r="F3618" s="156">
        <f>'Reported burning'!F3618</f>
        <v>0</v>
      </c>
      <c r="G3618" s="156">
        <f>'Reported burning'!G3618</f>
        <v>0</v>
      </c>
      <c r="H3618" s="156">
        <f>'Reported burning'!H3618</f>
        <v>0</v>
      </c>
      <c r="I3618" s="5"/>
    </row>
    <row r="3619" spans="1:9">
      <c r="A3619" s="156">
        <f>'Reported burning'!A3619</f>
        <v>0</v>
      </c>
      <c r="B3619" s="156">
        <f>'Reported burning'!B3619</f>
        <v>0</v>
      </c>
      <c r="C3619" s="156">
        <f>'Reported burning'!C3619</f>
        <v>0</v>
      </c>
      <c r="D3619" s="156">
        <f>'Reported burning'!D3619</f>
        <v>0</v>
      </c>
      <c r="E3619" s="156">
        <f>'Reported burning'!E3619</f>
        <v>0</v>
      </c>
      <c r="F3619" s="156">
        <f>'Reported burning'!F3619</f>
        <v>0</v>
      </c>
      <c r="G3619" s="156">
        <f>'Reported burning'!G3619</f>
        <v>0</v>
      </c>
      <c r="H3619" s="156">
        <f>'Reported burning'!H3619</f>
        <v>0</v>
      </c>
      <c r="I3619" s="5"/>
    </row>
    <row r="3620" spans="1:9">
      <c r="A3620" s="156">
        <f>'Reported burning'!A3620</f>
        <v>0</v>
      </c>
      <c r="B3620" s="156">
        <f>'Reported burning'!B3620</f>
        <v>0</v>
      </c>
      <c r="C3620" s="156">
        <f>'Reported burning'!C3620</f>
        <v>0</v>
      </c>
      <c r="D3620" s="156">
        <f>'Reported burning'!D3620</f>
        <v>0</v>
      </c>
      <c r="E3620" s="156">
        <f>'Reported burning'!E3620</f>
        <v>0</v>
      </c>
      <c r="F3620" s="156">
        <f>'Reported burning'!F3620</f>
        <v>0</v>
      </c>
      <c r="G3620" s="156">
        <f>'Reported burning'!G3620</f>
        <v>0</v>
      </c>
      <c r="H3620" s="156">
        <f>'Reported burning'!H3620</f>
        <v>0</v>
      </c>
      <c r="I3620" s="5"/>
    </row>
    <row r="3621" spans="1:9">
      <c r="A3621" s="156">
        <f>'Reported burning'!A3621</f>
        <v>0</v>
      </c>
      <c r="B3621" s="156">
        <f>'Reported burning'!B3621</f>
        <v>0</v>
      </c>
      <c r="C3621" s="156">
        <f>'Reported burning'!C3621</f>
        <v>0</v>
      </c>
      <c r="D3621" s="156">
        <f>'Reported burning'!D3621</f>
        <v>0</v>
      </c>
      <c r="E3621" s="156">
        <f>'Reported burning'!E3621</f>
        <v>0</v>
      </c>
      <c r="F3621" s="156">
        <f>'Reported burning'!F3621</f>
        <v>0</v>
      </c>
      <c r="G3621" s="156">
        <f>'Reported burning'!G3621</f>
        <v>0</v>
      </c>
      <c r="H3621" s="156">
        <f>'Reported burning'!H3621</f>
        <v>0</v>
      </c>
      <c r="I3621" s="5"/>
    </row>
    <row r="3622" spans="1:9">
      <c r="A3622" s="156">
        <f>'Reported burning'!A3622</f>
        <v>0</v>
      </c>
      <c r="B3622" s="156">
        <f>'Reported burning'!B3622</f>
        <v>0</v>
      </c>
      <c r="C3622" s="156">
        <f>'Reported burning'!C3622</f>
        <v>0</v>
      </c>
      <c r="D3622" s="156">
        <f>'Reported burning'!D3622</f>
        <v>0</v>
      </c>
      <c r="E3622" s="156">
        <f>'Reported burning'!E3622</f>
        <v>0</v>
      </c>
      <c r="F3622" s="156">
        <f>'Reported burning'!F3622</f>
        <v>0</v>
      </c>
      <c r="G3622" s="156">
        <f>'Reported burning'!G3622</f>
        <v>0</v>
      </c>
      <c r="H3622" s="156">
        <f>'Reported burning'!H3622</f>
        <v>0</v>
      </c>
      <c r="I3622" s="5"/>
    </row>
    <row r="3623" spans="1:9">
      <c r="A3623" s="156">
        <f>'Reported burning'!A3623</f>
        <v>0</v>
      </c>
      <c r="B3623" s="156">
        <f>'Reported burning'!B3623</f>
        <v>0</v>
      </c>
      <c r="C3623" s="156">
        <f>'Reported burning'!C3623</f>
        <v>0</v>
      </c>
      <c r="D3623" s="156">
        <f>'Reported burning'!D3623</f>
        <v>0</v>
      </c>
      <c r="E3623" s="156">
        <f>'Reported burning'!E3623</f>
        <v>0</v>
      </c>
      <c r="F3623" s="156">
        <f>'Reported burning'!F3623</f>
        <v>0</v>
      </c>
      <c r="G3623" s="156">
        <f>'Reported burning'!G3623</f>
        <v>0</v>
      </c>
      <c r="H3623" s="156">
        <f>'Reported burning'!H3623</f>
        <v>0</v>
      </c>
      <c r="I3623" s="5"/>
    </row>
    <row r="3624" spans="1:9">
      <c r="A3624" s="156">
        <f>'Reported burning'!A3624</f>
        <v>0</v>
      </c>
      <c r="B3624" s="156">
        <f>'Reported burning'!B3624</f>
        <v>0</v>
      </c>
      <c r="C3624" s="156">
        <f>'Reported burning'!C3624</f>
        <v>0</v>
      </c>
      <c r="D3624" s="156">
        <f>'Reported burning'!D3624</f>
        <v>0</v>
      </c>
      <c r="E3624" s="156">
        <f>'Reported burning'!E3624</f>
        <v>0</v>
      </c>
      <c r="F3624" s="156">
        <f>'Reported burning'!F3624</f>
        <v>0</v>
      </c>
      <c r="G3624" s="156">
        <f>'Reported burning'!G3624</f>
        <v>0</v>
      </c>
      <c r="H3624" s="156">
        <f>'Reported burning'!H3624</f>
        <v>0</v>
      </c>
      <c r="I3624" s="5"/>
    </row>
    <row r="3625" spans="1:9">
      <c r="A3625" s="156">
        <f>'Reported burning'!A3625</f>
        <v>0</v>
      </c>
      <c r="B3625" s="156">
        <f>'Reported burning'!B3625</f>
        <v>0</v>
      </c>
      <c r="C3625" s="156">
        <f>'Reported burning'!C3625</f>
        <v>0</v>
      </c>
      <c r="D3625" s="156">
        <f>'Reported burning'!D3625</f>
        <v>0</v>
      </c>
      <c r="E3625" s="156">
        <f>'Reported burning'!E3625</f>
        <v>0</v>
      </c>
      <c r="F3625" s="156">
        <f>'Reported burning'!F3625</f>
        <v>0</v>
      </c>
      <c r="G3625" s="156">
        <f>'Reported burning'!G3625</f>
        <v>0</v>
      </c>
      <c r="H3625" s="156">
        <f>'Reported burning'!H3625</f>
        <v>0</v>
      </c>
      <c r="I3625" s="5"/>
    </row>
    <row r="3626" spans="1:9">
      <c r="A3626" s="156">
        <f>'Reported burning'!A3626</f>
        <v>0</v>
      </c>
      <c r="B3626" s="156">
        <f>'Reported burning'!B3626</f>
        <v>0</v>
      </c>
      <c r="C3626" s="156">
        <f>'Reported burning'!C3626</f>
        <v>0</v>
      </c>
      <c r="D3626" s="156">
        <f>'Reported burning'!D3626</f>
        <v>0</v>
      </c>
      <c r="E3626" s="156">
        <f>'Reported burning'!E3626</f>
        <v>0</v>
      </c>
      <c r="F3626" s="156">
        <f>'Reported burning'!F3626</f>
        <v>0</v>
      </c>
      <c r="G3626" s="156">
        <f>'Reported burning'!G3626</f>
        <v>0</v>
      </c>
      <c r="H3626" s="156">
        <f>'Reported burning'!H3626</f>
        <v>0</v>
      </c>
      <c r="I3626" s="5"/>
    </row>
    <row r="3627" spans="1:9">
      <c r="A3627" s="156">
        <f>'Reported burning'!A3627</f>
        <v>0</v>
      </c>
      <c r="B3627" s="156">
        <f>'Reported burning'!B3627</f>
        <v>0</v>
      </c>
      <c r="C3627" s="156">
        <f>'Reported burning'!C3627</f>
        <v>0</v>
      </c>
      <c r="D3627" s="156">
        <f>'Reported burning'!D3627</f>
        <v>0</v>
      </c>
      <c r="E3627" s="156">
        <f>'Reported burning'!E3627</f>
        <v>0</v>
      </c>
      <c r="F3627" s="156">
        <f>'Reported burning'!F3627</f>
        <v>0</v>
      </c>
      <c r="G3627" s="156">
        <f>'Reported burning'!G3627</f>
        <v>0</v>
      </c>
      <c r="H3627" s="156">
        <f>'Reported burning'!H3627</f>
        <v>0</v>
      </c>
      <c r="I3627" s="5"/>
    </row>
    <row r="3628" spans="1:9">
      <c r="A3628" s="156">
        <f>'Reported burning'!A3628</f>
        <v>0</v>
      </c>
      <c r="B3628" s="156">
        <f>'Reported burning'!B3628</f>
        <v>0</v>
      </c>
      <c r="C3628" s="156">
        <f>'Reported burning'!C3628</f>
        <v>0</v>
      </c>
      <c r="D3628" s="156">
        <f>'Reported burning'!D3628</f>
        <v>0</v>
      </c>
      <c r="E3628" s="156">
        <f>'Reported burning'!E3628</f>
        <v>0</v>
      </c>
      <c r="F3628" s="156">
        <f>'Reported burning'!F3628</f>
        <v>0</v>
      </c>
      <c r="G3628" s="156">
        <f>'Reported burning'!G3628</f>
        <v>0</v>
      </c>
      <c r="H3628" s="156">
        <f>'Reported burning'!H3628</f>
        <v>0</v>
      </c>
      <c r="I3628" s="5"/>
    </row>
    <row r="3629" spans="1:9">
      <c r="A3629" s="156">
        <f>'Reported burning'!A3629</f>
        <v>0</v>
      </c>
      <c r="B3629" s="156">
        <f>'Reported burning'!B3629</f>
        <v>0</v>
      </c>
      <c r="C3629" s="156">
        <f>'Reported burning'!C3629</f>
        <v>0</v>
      </c>
      <c r="D3629" s="156">
        <f>'Reported burning'!D3629</f>
        <v>0</v>
      </c>
      <c r="E3629" s="156">
        <f>'Reported burning'!E3629</f>
        <v>0</v>
      </c>
      <c r="F3629" s="156">
        <f>'Reported burning'!F3629</f>
        <v>0</v>
      </c>
      <c r="G3629" s="156">
        <f>'Reported burning'!G3629</f>
        <v>0</v>
      </c>
      <c r="H3629" s="156">
        <f>'Reported burning'!H3629</f>
        <v>0</v>
      </c>
      <c r="I3629" s="5"/>
    </row>
    <row r="3630" spans="1:9">
      <c r="A3630" s="156">
        <f>'Reported burning'!A3630</f>
        <v>0</v>
      </c>
      <c r="B3630" s="156">
        <f>'Reported burning'!B3630</f>
        <v>0</v>
      </c>
      <c r="C3630" s="156">
        <f>'Reported burning'!C3630</f>
        <v>0</v>
      </c>
      <c r="D3630" s="156">
        <f>'Reported burning'!D3630</f>
        <v>0</v>
      </c>
      <c r="E3630" s="156">
        <f>'Reported burning'!E3630</f>
        <v>0</v>
      </c>
      <c r="F3630" s="156">
        <f>'Reported burning'!F3630</f>
        <v>0</v>
      </c>
      <c r="G3630" s="156">
        <f>'Reported burning'!G3630</f>
        <v>0</v>
      </c>
      <c r="H3630" s="156">
        <f>'Reported burning'!H3630</f>
        <v>0</v>
      </c>
      <c r="I3630" s="5"/>
    </row>
    <row r="3631" spans="1:9">
      <c r="A3631" s="156">
        <f>'Reported burning'!A3631</f>
        <v>0</v>
      </c>
      <c r="B3631" s="156">
        <f>'Reported burning'!B3631</f>
        <v>0</v>
      </c>
      <c r="C3631" s="156">
        <f>'Reported burning'!C3631</f>
        <v>0</v>
      </c>
      <c r="D3631" s="156">
        <f>'Reported burning'!D3631</f>
        <v>0</v>
      </c>
      <c r="E3631" s="156">
        <f>'Reported burning'!E3631</f>
        <v>0</v>
      </c>
      <c r="F3631" s="156">
        <f>'Reported burning'!F3631</f>
        <v>0</v>
      </c>
      <c r="G3631" s="156">
        <f>'Reported burning'!G3631</f>
        <v>0</v>
      </c>
      <c r="H3631" s="156">
        <f>'Reported burning'!H3631</f>
        <v>0</v>
      </c>
      <c r="I3631" s="5"/>
    </row>
    <row r="3632" spans="1:9">
      <c r="A3632" s="156">
        <f>'Reported burning'!A3632</f>
        <v>0</v>
      </c>
      <c r="B3632" s="156">
        <f>'Reported burning'!B3632</f>
        <v>0</v>
      </c>
      <c r="C3632" s="156">
        <f>'Reported burning'!C3632</f>
        <v>0</v>
      </c>
      <c r="D3632" s="156">
        <f>'Reported burning'!D3632</f>
        <v>0</v>
      </c>
      <c r="E3632" s="156">
        <f>'Reported burning'!E3632</f>
        <v>0</v>
      </c>
      <c r="F3632" s="156">
        <f>'Reported burning'!F3632</f>
        <v>0</v>
      </c>
      <c r="G3632" s="156">
        <f>'Reported burning'!G3632</f>
        <v>0</v>
      </c>
      <c r="H3632" s="156">
        <f>'Reported burning'!H3632</f>
        <v>0</v>
      </c>
      <c r="I3632" s="5"/>
    </row>
    <row r="3633" spans="1:9">
      <c r="A3633" s="156">
        <f>'Reported burning'!A3633</f>
        <v>0</v>
      </c>
      <c r="B3633" s="156">
        <f>'Reported burning'!B3633</f>
        <v>0</v>
      </c>
      <c r="C3633" s="156">
        <f>'Reported burning'!C3633</f>
        <v>0</v>
      </c>
      <c r="D3633" s="156">
        <f>'Reported burning'!D3633</f>
        <v>0</v>
      </c>
      <c r="E3633" s="156">
        <f>'Reported burning'!E3633</f>
        <v>0</v>
      </c>
      <c r="F3633" s="156">
        <f>'Reported burning'!F3633</f>
        <v>0</v>
      </c>
      <c r="G3633" s="156">
        <f>'Reported burning'!G3633</f>
        <v>0</v>
      </c>
      <c r="H3633" s="156">
        <f>'Reported burning'!H3633</f>
        <v>0</v>
      </c>
      <c r="I3633" s="5"/>
    </row>
    <row r="3634" spans="1:9">
      <c r="A3634" s="156">
        <f>'Reported burning'!A3634</f>
        <v>0</v>
      </c>
      <c r="B3634" s="156">
        <f>'Reported burning'!B3634</f>
        <v>0</v>
      </c>
      <c r="C3634" s="156">
        <f>'Reported burning'!C3634</f>
        <v>0</v>
      </c>
      <c r="D3634" s="156">
        <f>'Reported burning'!D3634</f>
        <v>0</v>
      </c>
      <c r="E3634" s="156">
        <f>'Reported burning'!E3634</f>
        <v>0</v>
      </c>
      <c r="F3634" s="156">
        <f>'Reported burning'!F3634</f>
        <v>0</v>
      </c>
      <c r="G3634" s="156">
        <f>'Reported burning'!G3634</f>
        <v>0</v>
      </c>
      <c r="H3634" s="156">
        <f>'Reported burning'!H3634</f>
        <v>0</v>
      </c>
      <c r="I3634" s="5"/>
    </row>
    <row r="3635" spans="1:9">
      <c r="A3635" s="156">
        <f>'Reported burning'!A3635</f>
        <v>0</v>
      </c>
      <c r="B3635" s="156">
        <f>'Reported burning'!B3635</f>
        <v>0</v>
      </c>
      <c r="C3635" s="156">
        <f>'Reported burning'!C3635</f>
        <v>0</v>
      </c>
      <c r="D3635" s="156">
        <f>'Reported burning'!D3635</f>
        <v>0</v>
      </c>
      <c r="E3635" s="156">
        <f>'Reported burning'!E3635</f>
        <v>0</v>
      </c>
      <c r="F3635" s="156">
        <f>'Reported burning'!F3635</f>
        <v>0</v>
      </c>
      <c r="G3635" s="156">
        <f>'Reported burning'!G3635</f>
        <v>0</v>
      </c>
      <c r="H3635" s="156">
        <f>'Reported burning'!H3635</f>
        <v>0</v>
      </c>
      <c r="I3635" s="5"/>
    </row>
    <row r="3636" spans="1:9">
      <c r="A3636" s="156">
        <f>'Reported burning'!A3636</f>
        <v>0</v>
      </c>
      <c r="B3636" s="156">
        <f>'Reported burning'!B3636</f>
        <v>0</v>
      </c>
      <c r="C3636" s="156">
        <f>'Reported burning'!C3636</f>
        <v>0</v>
      </c>
      <c r="D3636" s="156">
        <f>'Reported burning'!D3636</f>
        <v>0</v>
      </c>
      <c r="E3636" s="156">
        <f>'Reported burning'!E3636</f>
        <v>0</v>
      </c>
      <c r="F3636" s="156">
        <f>'Reported burning'!F3636</f>
        <v>0</v>
      </c>
      <c r="G3636" s="156">
        <f>'Reported burning'!G3636</f>
        <v>0</v>
      </c>
      <c r="H3636" s="156">
        <f>'Reported burning'!H3636</f>
        <v>0</v>
      </c>
      <c r="I3636" s="5"/>
    </row>
    <row r="3637" spans="1:9">
      <c r="A3637" s="156">
        <f>'Reported burning'!A3637</f>
        <v>0</v>
      </c>
      <c r="B3637" s="156">
        <f>'Reported burning'!B3637</f>
        <v>0</v>
      </c>
      <c r="C3637" s="156">
        <f>'Reported burning'!C3637</f>
        <v>0</v>
      </c>
      <c r="D3637" s="156">
        <f>'Reported burning'!D3637</f>
        <v>0</v>
      </c>
      <c r="E3637" s="156">
        <f>'Reported burning'!E3637</f>
        <v>0</v>
      </c>
      <c r="F3637" s="156">
        <f>'Reported burning'!F3637</f>
        <v>0</v>
      </c>
      <c r="G3637" s="156">
        <f>'Reported burning'!G3637</f>
        <v>0</v>
      </c>
      <c r="H3637" s="156">
        <f>'Reported burning'!H3637</f>
        <v>0</v>
      </c>
      <c r="I3637" s="5"/>
    </row>
    <row r="3638" spans="1:9">
      <c r="A3638" s="156">
        <f>'Reported burning'!A3638</f>
        <v>0</v>
      </c>
      <c r="B3638" s="156">
        <f>'Reported burning'!B3638</f>
        <v>0</v>
      </c>
      <c r="C3638" s="156">
        <f>'Reported burning'!C3638</f>
        <v>0</v>
      </c>
      <c r="D3638" s="156">
        <f>'Reported burning'!D3638</f>
        <v>0</v>
      </c>
      <c r="E3638" s="156">
        <f>'Reported burning'!E3638</f>
        <v>0</v>
      </c>
      <c r="F3638" s="156">
        <f>'Reported burning'!F3638</f>
        <v>0</v>
      </c>
      <c r="G3638" s="156">
        <f>'Reported burning'!G3638</f>
        <v>0</v>
      </c>
      <c r="H3638" s="156">
        <f>'Reported burning'!H3638</f>
        <v>0</v>
      </c>
      <c r="I3638" s="5"/>
    </row>
    <row r="3639" spans="1:9">
      <c r="A3639" s="156">
        <f>'Reported burning'!A3639</f>
        <v>0</v>
      </c>
      <c r="B3639" s="156">
        <f>'Reported burning'!B3639</f>
        <v>0</v>
      </c>
      <c r="C3639" s="156">
        <f>'Reported burning'!C3639</f>
        <v>0</v>
      </c>
      <c r="D3639" s="156">
        <f>'Reported burning'!D3639</f>
        <v>0</v>
      </c>
      <c r="E3639" s="156">
        <f>'Reported burning'!E3639</f>
        <v>0</v>
      </c>
      <c r="F3639" s="156">
        <f>'Reported burning'!F3639</f>
        <v>0</v>
      </c>
      <c r="G3639" s="156">
        <f>'Reported burning'!G3639</f>
        <v>0</v>
      </c>
      <c r="H3639" s="156">
        <f>'Reported burning'!H3639</f>
        <v>0</v>
      </c>
      <c r="I3639" s="5"/>
    </row>
    <row r="3640" spans="1:9">
      <c r="A3640" s="156">
        <f>'Reported burning'!A3640</f>
        <v>0</v>
      </c>
      <c r="B3640" s="156">
        <f>'Reported burning'!B3640</f>
        <v>0</v>
      </c>
      <c r="C3640" s="156">
        <f>'Reported burning'!C3640</f>
        <v>0</v>
      </c>
      <c r="D3640" s="156">
        <f>'Reported burning'!D3640</f>
        <v>0</v>
      </c>
      <c r="E3640" s="156">
        <f>'Reported burning'!E3640</f>
        <v>0</v>
      </c>
      <c r="F3640" s="156">
        <f>'Reported burning'!F3640</f>
        <v>0</v>
      </c>
      <c r="G3640" s="156">
        <f>'Reported burning'!G3640</f>
        <v>0</v>
      </c>
      <c r="H3640" s="156">
        <f>'Reported burning'!H3640</f>
        <v>0</v>
      </c>
      <c r="I3640" s="5"/>
    </row>
    <row r="3641" spans="1:9">
      <c r="A3641" s="156">
        <f>'Reported burning'!A3641</f>
        <v>0</v>
      </c>
      <c r="B3641" s="156">
        <f>'Reported burning'!B3641</f>
        <v>0</v>
      </c>
      <c r="C3641" s="156">
        <f>'Reported burning'!C3641</f>
        <v>0</v>
      </c>
      <c r="D3641" s="156">
        <f>'Reported burning'!D3641</f>
        <v>0</v>
      </c>
      <c r="E3641" s="156">
        <f>'Reported burning'!E3641</f>
        <v>0</v>
      </c>
      <c r="F3641" s="156">
        <f>'Reported burning'!F3641</f>
        <v>0</v>
      </c>
      <c r="G3641" s="156">
        <f>'Reported burning'!G3641</f>
        <v>0</v>
      </c>
      <c r="H3641" s="156">
        <f>'Reported burning'!H3641</f>
        <v>0</v>
      </c>
      <c r="I3641" s="5"/>
    </row>
    <row r="3642" spans="1:9">
      <c r="A3642" s="156">
        <f>'Reported burning'!A3642</f>
        <v>0</v>
      </c>
      <c r="B3642" s="156">
        <f>'Reported burning'!B3642</f>
        <v>0</v>
      </c>
      <c r="C3642" s="156">
        <f>'Reported burning'!C3642</f>
        <v>0</v>
      </c>
      <c r="D3642" s="156">
        <f>'Reported burning'!D3642</f>
        <v>0</v>
      </c>
      <c r="E3642" s="156">
        <f>'Reported burning'!E3642</f>
        <v>0</v>
      </c>
      <c r="F3642" s="156">
        <f>'Reported burning'!F3642</f>
        <v>0</v>
      </c>
      <c r="G3642" s="156">
        <f>'Reported burning'!G3642</f>
        <v>0</v>
      </c>
      <c r="H3642" s="156">
        <f>'Reported burning'!H3642</f>
        <v>0</v>
      </c>
      <c r="I3642" s="5"/>
    </row>
    <row r="3643" spans="1:9">
      <c r="A3643" s="156">
        <f>'Reported burning'!A3643</f>
        <v>0</v>
      </c>
      <c r="B3643" s="156">
        <f>'Reported burning'!B3643</f>
        <v>0</v>
      </c>
      <c r="C3643" s="156">
        <f>'Reported burning'!C3643</f>
        <v>0</v>
      </c>
      <c r="D3643" s="156">
        <f>'Reported burning'!D3643</f>
        <v>0</v>
      </c>
      <c r="E3643" s="156">
        <f>'Reported burning'!E3643</f>
        <v>0</v>
      </c>
      <c r="F3643" s="156">
        <f>'Reported burning'!F3643</f>
        <v>0</v>
      </c>
      <c r="G3643" s="156">
        <f>'Reported burning'!G3643</f>
        <v>0</v>
      </c>
      <c r="H3643" s="156">
        <f>'Reported burning'!H3643</f>
        <v>0</v>
      </c>
      <c r="I3643" s="5"/>
    </row>
    <row r="3644" spans="1:9">
      <c r="A3644" s="156">
        <f>'Reported burning'!A3644</f>
        <v>0</v>
      </c>
      <c r="B3644" s="156">
        <f>'Reported burning'!B3644</f>
        <v>0</v>
      </c>
      <c r="C3644" s="156">
        <f>'Reported burning'!C3644</f>
        <v>0</v>
      </c>
      <c r="D3644" s="156">
        <f>'Reported burning'!D3644</f>
        <v>0</v>
      </c>
      <c r="E3644" s="156">
        <f>'Reported burning'!E3644</f>
        <v>0</v>
      </c>
      <c r="F3644" s="156">
        <f>'Reported burning'!F3644</f>
        <v>0</v>
      </c>
      <c r="G3644" s="156">
        <f>'Reported burning'!G3644</f>
        <v>0</v>
      </c>
      <c r="H3644" s="156">
        <f>'Reported burning'!H3644</f>
        <v>0</v>
      </c>
      <c r="I3644" s="5"/>
    </row>
    <row r="3645" spans="1:9">
      <c r="A3645" s="156">
        <f>'Reported burning'!A3645</f>
        <v>0</v>
      </c>
      <c r="B3645" s="156">
        <f>'Reported burning'!B3645</f>
        <v>0</v>
      </c>
      <c r="C3645" s="156">
        <f>'Reported burning'!C3645</f>
        <v>0</v>
      </c>
      <c r="D3645" s="156">
        <f>'Reported burning'!D3645</f>
        <v>0</v>
      </c>
      <c r="E3645" s="156">
        <f>'Reported burning'!E3645</f>
        <v>0</v>
      </c>
      <c r="F3645" s="156">
        <f>'Reported burning'!F3645</f>
        <v>0</v>
      </c>
      <c r="G3645" s="156">
        <f>'Reported burning'!G3645</f>
        <v>0</v>
      </c>
      <c r="H3645" s="156">
        <f>'Reported burning'!H3645</f>
        <v>0</v>
      </c>
      <c r="I3645" s="5"/>
    </row>
    <row r="3646" spans="1:9">
      <c r="A3646" s="156">
        <f>'Reported burning'!A3646</f>
        <v>0</v>
      </c>
      <c r="B3646" s="156">
        <f>'Reported burning'!B3646</f>
        <v>0</v>
      </c>
      <c r="C3646" s="156">
        <f>'Reported burning'!C3646</f>
        <v>0</v>
      </c>
      <c r="D3646" s="156">
        <f>'Reported burning'!D3646</f>
        <v>0</v>
      </c>
      <c r="E3646" s="156">
        <f>'Reported burning'!E3646</f>
        <v>0</v>
      </c>
      <c r="F3646" s="156">
        <f>'Reported burning'!F3646</f>
        <v>0</v>
      </c>
      <c r="G3646" s="156">
        <f>'Reported burning'!G3646</f>
        <v>0</v>
      </c>
      <c r="H3646" s="156">
        <f>'Reported burning'!H3646</f>
        <v>0</v>
      </c>
      <c r="I3646" s="5"/>
    </row>
    <row r="3647" spans="1:9">
      <c r="A3647" s="156">
        <f>'Reported burning'!A3647</f>
        <v>0</v>
      </c>
      <c r="B3647" s="156">
        <f>'Reported burning'!B3647</f>
        <v>0</v>
      </c>
      <c r="C3647" s="156">
        <f>'Reported burning'!C3647</f>
        <v>0</v>
      </c>
      <c r="D3647" s="156">
        <f>'Reported burning'!D3647</f>
        <v>0</v>
      </c>
      <c r="E3647" s="156">
        <f>'Reported burning'!E3647</f>
        <v>0</v>
      </c>
      <c r="F3647" s="156">
        <f>'Reported burning'!F3647</f>
        <v>0</v>
      </c>
      <c r="G3647" s="156">
        <f>'Reported burning'!G3647</f>
        <v>0</v>
      </c>
      <c r="H3647" s="156">
        <f>'Reported burning'!H3647</f>
        <v>0</v>
      </c>
      <c r="I3647" s="5"/>
    </row>
    <row r="3648" spans="1:9">
      <c r="A3648" s="156">
        <f>'Reported burning'!A3648</f>
        <v>0</v>
      </c>
      <c r="B3648" s="156">
        <f>'Reported burning'!B3648</f>
        <v>0</v>
      </c>
      <c r="C3648" s="156">
        <f>'Reported burning'!C3648</f>
        <v>0</v>
      </c>
      <c r="D3648" s="156">
        <f>'Reported burning'!D3648</f>
        <v>0</v>
      </c>
      <c r="E3648" s="156">
        <f>'Reported burning'!E3648</f>
        <v>0</v>
      </c>
      <c r="F3648" s="156">
        <f>'Reported burning'!F3648</f>
        <v>0</v>
      </c>
      <c r="G3648" s="156">
        <f>'Reported burning'!G3648</f>
        <v>0</v>
      </c>
      <c r="H3648" s="156">
        <f>'Reported burning'!H3648</f>
        <v>0</v>
      </c>
      <c r="I3648" s="5"/>
    </row>
    <row r="3649" spans="1:9">
      <c r="A3649" s="156">
        <f>'Reported burning'!A3649</f>
        <v>0</v>
      </c>
      <c r="B3649" s="156">
        <f>'Reported burning'!B3649</f>
        <v>0</v>
      </c>
      <c r="C3649" s="156">
        <f>'Reported burning'!C3649</f>
        <v>0</v>
      </c>
      <c r="D3649" s="156">
        <f>'Reported burning'!D3649</f>
        <v>0</v>
      </c>
      <c r="E3649" s="156">
        <f>'Reported burning'!E3649</f>
        <v>0</v>
      </c>
      <c r="F3649" s="156">
        <f>'Reported burning'!F3649</f>
        <v>0</v>
      </c>
      <c r="G3649" s="156">
        <f>'Reported burning'!G3649</f>
        <v>0</v>
      </c>
      <c r="H3649" s="156">
        <f>'Reported burning'!H3649</f>
        <v>0</v>
      </c>
      <c r="I3649" s="5"/>
    </row>
    <row r="3650" spans="1:9">
      <c r="A3650" s="156">
        <f>'Reported burning'!A3650</f>
        <v>0</v>
      </c>
      <c r="B3650" s="156">
        <f>'Reported burning'!B3650</f>
        <v>0</v>
      </c>
      <c r="C3650" s="156">
        <f>'Reported burning'!C3650</f>
        <v>0</v>
      </c>
      <c r="D3650" s="156">
        <f>'Reported burning'!D3650</f>
        <v>0</v>
      </c>
      <c r="E3650" s="156">
        <f>'Reported burning'!E3650</f>
        <v>0</v>
      </c>
      <c r="F3650" s="156">
        <f>'Reported burning'!F3650</f>
        <v>0</v>
      </c>
      <c r="G3650" s="156">
        <f>'Reported burning'!G3650</f>
        <v>0</v>
      </c>
      <c r="H3650" s="156">
        <f>'Reported burning'!H3650</f>
        <v>0</v>
      </c>
      <c r="I3650" s="5"/>
    </row>
    <row r="3651" spans="1:9">
      <c r="A3651" s="156">
        <f>'Reported burning'!A3651</f>
        <v>0</v>
      </c>
      <c r="B3651" s="156">
        <f>'Reported burning'!B3651</f>
        <v>0</v>
      </c>
      <c r="C3651" s="156">
        <f>'Reported burning'!C3651</f>
        <v>0</v>
      </c>
      <c r="D3651" s="156">
        <f>'Reported burning'!D3651</f>
        <v>0</v>
      </c>
      <c r="E3651" s="156">
        <f>'Reported burning'!E3651</f>
        <v>0</v>
      </c>
      <c r="F3651" s="156">
        <f>'Reported burning'!F3651</f>
        <v>0</v>
      </c>
      <c r="G3651" s="156">
        <f>'Reported burning'!G3651</f>
        <v>0</v>
      </c>
      <c r="H3651" s="156">
        <f>'Reported burning'!H3651</f>
        <v>0</v>
      </c>
      <c r="I3651" s="5"/>
    </row>
    <row r="3652" spans="1:9">
      <c r="A3652" s="156">
        <f>'Reported burning'!A3652</f>
        <v>0</v>
      </c>
      <c r="B3652" s="156">
        <f>'Reported burning'!B3652</f>
        <v>0</v>
      </c>
      <c r="C3652" s="156">
        <f>'Reported burning'!C3652</f>
        <v>0</v>
      </c>
      <c r="D3652" s="156">
        <f>'Reported burning'!D3652</f>
        <v>0</v>
      </c>
      <c r="E3652" s="156">
        <f>'Reported burning'!E3652</f>
        <v>0</v>
      </c>
      <c r="F3652" s="156">
        <f>'Reported burning'!F3652</f>
        <v>0</v>
      </c>
      <c r="G3652" s="156">
        <f>'Reported burning'!G3652</f>
        <v>0</v>
      </c>
      <c r="H3652" s="156">
        <f>'Reported burning'!H3652</f>
        <v>0</v>
      </c>
      <c r="I3652" s="5"/>
    </row>
    <row r="3653" spans="1:9">
      <c r="A3653" s="156">
        <f>'Reported burning'!A3653</f>
        <v>0</v>
      </c>
      <c r="B3653" s="156">
        <f>'Reported burning'!B3653</f>
        <v>0</v>
      </c>
      <c r="C3653" s="156">
        <f>'Reported burning'!C3653</f>
        <v>0</v>
      </c>
      <c r="D3653" s="156">
        <f>'Reported burning'!D3653</f>
        <v>0</v>
      </c>
      <c r="E3653" s="156">
        <f>'Reported burning'!E3653</f>
        <v>0</v>
      </c>
      <c r="F3653" s="156">
        <f>'Reported burning'!F3653</f>
        <v>0</v>
      </c>
      <c r="G3653" s="156">
        <f>'Reported burning'!G3653</f>
        <v>0</v>
      </c>
      <c r="H3653" s="156">
        <f>'Reported burning'!H3653</f>
        <v>0</v>
      </c>
      <c r="I3653" s="5"/>
    </row>
    <row r="3654" spans="1:9">
      <c r="A3654" s="156">
        <f>'Reported burning'!A3654</f>
        <v>0</v>
      </c>
      <c r="B3654" s="156">
        <f>'Reported burning'!B3654</f>
        <v>0</v>
      </c>
      <c r="C3654" s="156">
        <f>'Reported burning'!C3654</f>
        <v>0</v>
      </c>
      <c r="D3654" s="156">
        <f>'Reported burning'!D3654</f>
        <v>0</v>
      </c>
      <c r="E3654" s="156">
        <f>'Reported burning'!E3654</f>
        <v>0</v>
      </c>
      <c r="F3654" s="156">
        <f>'Reported burning'!F3654</f>
        <v>0</v>
      </c>
      <c r="G3654" s="156">
        <f>'Reported burning'!G3654</f>
        <v>0</v>
      </c>
      <c r="H3654" s="156">
        <f>'Reported burning'!H3654</f>
        <v>0</v>
      </c>
      <c r="I3654" s="5"/>
    </row>
    <row r="3655" spans="1:9">
      <c r="A3655" s="156">
        <f>'Reported burning'!A3655</f>
        <v>0</v>
      </c>
      <c r="B3655" s="156">
        <f>'Reported burning'!B3655</f>
        <v>0</v>
      </c>
      <c r="C3655" s="156">
        <f>'Reported burning'!C3655</f>
        <v>0</v>
      </c>
      <c r="D3655" s="156">
        <f>'Reported burning'!D3655</f>
        <v>0</v>
      </c>
      <c r="E3655" s="156">
        <f>'Reported burning'!E3655</f>
        <v>0</v>
      </c>
      <c r="F3655" s="156">
        <f>'Reported burning'!F3655</f>
        <v>0</v>
      </c>
      <c r="G3655" s="156">
        <f>'Reported burning'!G3655</f>
        <v>0</v>
      </c>
      <c r="H3655" s="156">
        <f>'Reported burning'!H3655</f>
        <v>0</v>
      </c>
      <c r="I3655" s="5"/>
    </row>
    <row r="3656" spans="1:9">
      <c r="A3656" s="156">
        <f>'Reported burning'!A3656</f>
        <v>0</v>
      </c>
      <c r="B3656" s="156">
        <f>'Reported burning'!B3656</f>
        <v>0</v>
      </c>
      <c r="C3656" s="156">
        <f>'Reported burning'!C3656</f>
        <v>0</v>
      </c>
      <c r="D3656" s="156">
        <f>'Reported burning'!D3656</f>
        <v>0</v>
      </c>
      <c r="E3656" s="156">
        <f>'Reported burning'!E3656</f>
        <v>0</v>
      </c>
      <c r="F3656" s="156">
        <f>'Reported burning'!F3656</f>
        <v>0</v>
      </c>
      <c r="G3656" s="156">
        <f>'Reported burning'!G3656</f>
        <v>0</v>
      </c>
      <c r="H3656" s="156">
        <f>'Reported burning'!H3656</f>
        <v>0</v>
      </c>
      <c r="I3656" s="5"/>
    </row>
    <row r="3657" spans="1:9">
      <c r="A3657" s="156">
        <f>'Reported burning'!A3657</f>
        <v>0</v>
      </c>
      <c r="B3657" s="156">
        <f>'Reported burning'!B3657</f>
        <v>0</v>
      </c>
      <c r="C3657" s="156">
        <f>'Reported burning'!C3657</f>
        <v>0</v>
      </c>
      <c r="D3657" s="156">
        <f>'Reported burning'!D3657</f>
        <v>0</v>
      </c>
      <c r="E3657" s="156">
        <f>'Reported burning'!E3657</f>
        <v>0</v>
      </c>
      <c r="F3657" s="156">
        <f>'Reported burning'!F3657</f>
        <v>0</v>
      </c>
      <c r="G3657" s="156">
        <f>'Reported burning'!G3657</f>
        <v>0</v>
      </c>
      <c r="H3657" s="156">
        <f>'Reported burning'!H3657</f>
        <v>0</v>
      </c>
      <c r="I3657" s="5"/>
    </row>
    <row r="3658" spans="1:9">
      <c r="A3658" s="156">
        <f>'Reported burning'!A3658</f>
        <v>0</v>
      </c>
      <c r="B3658" s="156">
        <f>'Reported burning'!B3658</f>
        <v>0</v>
      </c>
      <c r="C3658" s="156">
        <f>'Reported burning'!C3658</f>
        <v>0</v>
      </c>
      <c r="D3658" s="156">
        <f>'Reported burning'!D3658</f>
        <v>0</v>
      </c>
      <c r="E3658" s="156">
        <f>'Reported burning'!E3658</f>
        <v>0</v>
      </c>
      <c r="F3658" s="156">
        <f>'Reported burning'!F3658</f>
        <v>0</v>
      </c>
      <c r="G3658" s="156">
        <f>'Reported burning'!G3658</f>
        <v>0</v>
      </c>
      <c r="H3658" s="156">
        <f>'Reported burning'!H3658</f>
        <v>0</v>
      </c>
      <c r="I3658" s="5"/>
    </row>
    <row r="3659" spans="1:9">
      <c r="A3659" s="156">
        <f>'Reported burning'!A3659</f>
        <v>0</v>
      </c>
      <c r="B3659" s="156">
        <f>'Reported burning'!B3659</f>
        <v>0</v>
      </c>
      <c r="C3659" s="156">
        <f>'Reported burning'!C3659</f>
        <v>0</v>
      </c>
      <c r="D3659" s="156">
        <f>'Reported burning'!D3659</f>
        <v>0</v>
      </c>
      <c r="E3659" s="156">
        <f>'Reported burning'!E3659</f>
        <v>0</v>
      </c>
      <c r="F3659" s="156">
        <f>'Reported burning'!F3659</f>
        <v>0</v>
      </c>
      <c r="G3659" s="156">
        <f>'Reported burning'!G3659</f>
        <v>0</v>
      </c>
      <c r="H3659" s="156">
        <f>'Reported burning'!H3659</f>
        <v>0</v>
      </c>
      <c r="I3659" s="5"/>
    </row>
    <row r="3660" spans="1:9">
      <c r="A3660" s="156">
        <f>'Reported burning'!A3660</f>
        <v>0</v>
      </c>
      <c r="B3660" s="156">
        <f>'Reported burning'!B3660</f>
        <v>0</v>
      </c>
      <c r="C3660" s="156">
        <f>'Reported burning'!C3660</f>
        <v>0</v>
      </c>
      <c r="D3660" s="156">
        <f>'Reported burning'!D3660</f>
        <v>0</v>
      </c>
      <c r="E3660" s="156">
        <f>'Reported burning'!E3660</f>
        <v>0</v>
      </c>
      <c r="F3660" s="156">
        <f>'Reported burning'!F3660</f>
        <v>0</v>
      </c>
      <c r="G3660" s="156">
        <f>'Reported burning'!G3660</f>
        <v>0</v>
      </c>
      <c r="H3660" s="156">
        <f>'Reported burning'!H3660</f>
        <v>0</v>
      </c>
      <c r="I3660" s="5"/>
    </row>
    <row r="3661" spans="1:9">
      <c r="A3661" s="156">
        <f>'Reported burning'!A3661</f>
        <v>0</v>
      </c>
      <c r="B3661" s="156">
        <f>'Reported burning'!B3661</f>
        <v>0</v>
      </c>
      <c r="C3661" s="156">
        <f>'Reported burning'!C3661</f>
        <v>0</v>
      </c>
      <c r="D3661" s="156">
        <f>'Reported burning'!D3661</f>
        <v>0</v>
      </c>
      <c r="E3661" s="156">
        <f>'Reported burning'!E3661</f>
        <v>0</v>
      </c>
      <c r="F3661" s="156">
        <f>'Reported burning'!F3661</f>
        <v>0</v>
      </c>
      <c r="G3661" s="156">
        <f>'Reported burning'!G3661</f>
        <v>0</v>
      </c>
      <c r="H3661" s="156">
        <f>'Reported burning'!H3661</f>
        <v>0</v>
      </c>
      <c r="I3661" s="5"/>
    </row>
    <row r="3662" spans="1:9">
      <c r="A3662" s="156">
        <f>'Reported burning'!A3662</f>
        <v>0</v>
      </c>
      <c r="B3662" s="156">
        <f>'Reported burning'!B3662</f>
        <v>0</v>
      </c>
      <c r="C3662" s="156">
        <f>'Reported burning'!C3662</f>
        <v>0</v>
      </c>
      <c r="D3662" s="156">
        <f>'Reported burning'!D3662</f>
        <v>0</v>
      </c>
      <c r="E3662" s="156">
        <f>'Reported burning'!E3662</f>
        <v>0</v>
      </c>
      <c r="F3662" s="156">
        <f>'Reported burning'!F3662</f>
        <v>0</v>
      </c>
      <c r="G3662" s="156">
        <f>'Reported burning'!G3662</f>
        <v>0</v>
      </c>
      <c r="H3662" s="156">
        <f>'Reported burning'!H3662</f>
        <v>0</v>
      </c>
      <c r="I3662" s="5"/>
    </row>
    <row r="3663" spans="1:9">
      <c r="A3663" s="156">
        <f>'Reported burning'!A3663</f>
        <v>0</v>
      </c>
      <c r="B3663" s="156">
        <f>'Reported burning'!B3663</f>
        <v>0</v>
      </c>
      <c r="C3663" s="156">
        <f>'Reported burning'!C3663</f>
        <v>0</v>
      </c>
      <c r="D3663" s="156">
        <f>'Reported burning'!D3663</f>
        <v>0</v>
      </c>
      <c r="E3663" s="156">
        <f>'Reported burning'!E3663</f>
        <v>0</v>
      </c>
      <c r="F3663" s="156">
        <f>'Reported burning'!F3663</f>
        <v>0</v>
      </c>
      <c r="G3663" s="156">
        <f>'Reported burning'!G3663</f>
        <v>0</v>
      </c>
      <c r="H3663" s="156">
        <f>'Reported burning'!H3663</f>
        <v>0</v>
      </c>
      <c r="I3663" s="5"/>
    </row>
    <row r="3664" spans="1:9">
      <c r="A3664" s="156">
        <f>'Reported burning'!A3664</f>
        <v>0</v>
      </c>
      <c r="B3664" s="156">
        <f>'Reported burning'!B3664</f>
        <v>0</v>
      </c>
      <c r="C3664" s="156">
        <f>'Reported burning'!C3664</f>
        <v>0</v>
      </c>
      <c r="D3664" s="156">
        <f>'Reported burning'!D3664</f>
        <v>0</v>
      </c>
      <c r="E3664" s="156">
        <f>'Reported burning'!E3664</f>
        <v>0</v>
      </c>
      <c r="F3664" s="156">
        <f>'Reported burning'!F3664</f>
        <v>0</v>
      </c>
      <c r="G3664" s="156">
        <f>'Reported burning'!G3664</f>
        <v>0</v>
      </c>
      <c r="H3664" s="156">
        <f>'Reported burning'!H3664</f>
        <v>0</v>
      </c>
      <c r="I3664" s="5"/>
    </row>
    <row r="3665" spans="1:9">
      <c r="A3665" s="156">
        <f>'Reported burning'!A3665</f>
        <v>0</v>
      </c>
      <c r="B3665" s="156">
        <f>'Reported burning'!B3665</f>
        <v>0</v>
      </c>
      <c r="C3665" s="156">
        <f>'Reported burning'!C3665</f>
        <v>0</v>
      </c>
      <c r="D3665" s="156">
        <f>'Reported burning'!D3665</f>
        <v>0</v>
      </c>
      <c r="E3665" s="156">
        <f>'Reported burning'!E3665</f>
        <v>0</v>
      </c>
      <c r="F3665" s="156">
        <f>'Reported burning'!F3665</f>
        <v>0</v>
      </c>
      <c r="G3665" s="156">
        <f>'Reported burning'!G3665</f>
        <v>0</v>
      </c>
      <c r="H3665" s="156">
        <f>'Reported burning'!H3665</f>
        <v>0</v>
      </c>
      <c r="I3665" s="5"/>
    </row>
    <row r="3666" spans="1:9">
      <c r="A3666" s="156">
        <f>'Reported burning'!A3666</f>
        <v>0</v>
      </c>
      <c r="B3666" s="156">
        <f>'Reported burning'!B3666</f>
        <v>0</v>
      </c>
      <c r="C3666" s="156">
        <f>'Reported burning'!C3666</f>
        <v>0</v>
      </c>
      <c r="D3666" s="156">
        <f>'Reported burning'!D3666</f>
        <v>0</v>
      </c>
      <c r="E3666" s="156">
        <f>'Reported burning'!E3666</f>
        <v>0</v>
      </c>
      <c r="F3666" s="156">
        <f>'Reported burning'!F3666</f>
        <v>0</v>
      </c>
      <c r="G3666" s="156">
        <f>'Reported burning'!G3666</f>
        <v>0</v>
      </c>
      <c r="H3666" s="156">
        <f>'Reported burning'!H3666</f>
        <v>0</v>
      </c>
      <c r="I3666" s="5"/>
    </row>
    <row r="3667" spans="1:9">
      <c r="A3667" s="156">
        <f>'Reported burning'!A3667</f>
        <v>0</v>
      </c>
      <c r="B3667" s="156">
        <f>'Reported burning'!B3667</f>
        <v>0</v>
      </c>
      <c r="C3667" s="156">
        <f>'Reported burning'!C3667</f>
        <v>0</v>
      </c>
      <c r="D3667" s="156">
        <f>'Reported burning'!D3667</f>
        <v>0</v>
      </c>
      <c r="E3667" s="156">
        <f>'Reported burning'!E3667</f>
        <v>0</v>
      </c>
      <c r="F3667" s="156">
        <f>'Reported burning'!F3667</f>
        <v>0</v>
      </c>
      <c r="G3667" s="156">
        <f>'Reported burning'!G3667</f>
        <v>0</v>
      </c>
      <c r="H3667" s="156">
        <f>'Reported burning'!H3667</f>
        <v>0</v>
      </c>
      <c r="I3667" s="5"/>
    </row>
    <row r="3668" spans="1:9">
      <c r="A3668" s="156">
        <f>'Reported burning'!A3668</f>
        <v>0</v>
      </c>
      <c r="B3668" s="156">
        <f>'Reported burning'!B3668</f>
        <v>0</v>
      </c>
      <c r="C3668" s="156">
        <f>'Reported burning'!C3668</f>
        <v>0</v>
      </c>
      <c r="D3668" s="156">
        <f>'Reported burning'!D3668</f>
        <v>0</v>
      </c>
      <c r="E3668" s="156">
        <f>'Reported burning'!E3668</f>
        <v>0</v>
      </c>
      <c r="F3668" s="156">
        <f>'Reported burning'!F3668</f>
        <v>0</v>
      </c>
      <c r="G3668" s="156">
        <f>'Reported burning'!G3668</f>
        <v>0</v>
      </c>
      <c r="H3668" s="156">
        <f>'Reported burning'!H3668</f>
        <v>0</v>
      </c>
      <c r="I3668" s="5"/>
    </row>
    <row r="3669" spans="1:9">
      <c r="A3669" s="156">
        <f>'Reported burning'!A3669</f>
        <v>0</v>
      </c>
      <c r="B3669" s="156">
        <f>'Reported burning'!B3669</f>
        <v>0</v>
      </c>
      <c r="C3669" s="156">
        <f>'Reported burning'!C3669</f>
        <v>0</v>
      </c>
      <c r="D3669" s="156">
        <f>'Reported burning'!D3669</f>
        <v>0</v>
      </c>
      <c r="E3669" s="156">
        <f>'Reported burning'!E3669</f>
        <v>0</v>
      </c>
      <c r="F3669" s="156">
        <f>'Reported burning'!F3669</f>
        <v>0</v>
      </c>
      <c r="G3669" s="156">
        <f>'Reported burning'!G3669</f>
        <v>0</v>
      </c>
      <c r="H3669" s="156">
        <f>'Reported burning'!H3669</f>
        <v>0</v>
      </c>
      <c r="I3669" s="5"/>
    </row>
    <row r="3670" spans="1:9">
      <c r="A3670" s="156">
        <f>'Reported burning'!A3670</f>
        <v>0</v>
      </c>
      <c r="B3670" s="156">
        <f>'Reported burning'!B3670</f>
        <v>0</v>
      </c>
      <c r="C3670" s="156">
        <f>'Reported burning'!C3670</f>
        <v>0</v>
      </c>
      <c r="D3670" s="156">
        <f>'Reported burning'!D3670</f>
        <v>0</v>
      </c>
      <c r="E3670" s="156">
        <f>'Reported burning'!E3670</f>
        <v>0</v>
      </c>
      <c r="F3670" s="156">
        <f>'Reported burning'!F3670</f>
        <v>0</v>
      </c>
      <c r="G3670" s="156">
        <f>'Reported burning'!G3670</f>
        <v>0</v>
      </c>
      <c r="H3670" s="156">
        <f>'Reported burning'!H3670</f>
        <v>0</v>
      </c>
      <c r="I3670" s="5"/>
    </row>
    <row r="3671" spans="1:9">
      <c r="A3671" s="156">
        <f>'Reported burning'!A3671</f>
        <v>0</v>
      </c>
      <c r="B3671" s="156">
        <f>'Reported burning'!B3671</f>
        <v>0</v>
      </c>
      <c r="C3671" s="156">
        <f>'Reported burning'!C3671</f>
        <v>0</v>
      </c>
      <c r="D3671" s="156">
        <f>'Reported burning'!D3671</f>
        <v>0</v>
      </c>
      <c r="E3671" s="156">
        <f>'Reported burning'!E3671</f>
        <v>0</v>
      </c>
      <c r="F3671" s="156">
        <f>'Reported burning'!F3671</f>
        <v>0</v>
      </c>
      <c r="G3671" s="156">
        <f>'Reported burning'!G3671</f>
        <v>0</v>
      </c>
      <c r="H3671" s="156">
        <f>'Reported burning'!H3671</f>
        <v>0</v>
      </c>
      <c r="I3671" s="5"/>
    </row>
    <row r="3672" spans="1:9">
      <c r="A3672" s="156">
        <f>'Reported burning'!A3672</f>
        <v>0</v>
      </c>
      <c r="B3672" s="156">
        <f>'Reported burning'!B3672</f>
        <v>0</v>
      </c>
      <c r="C3672" s="156">
        <f>'Reported burning'!C3672</f>
        <v>0</v>
      </c>
      <c r="D3672" s="156">
        <f>'Reported burning'!D3672</f>
        <v>0</v>
      </c>
      <c r="E3672" s="156">
        <f>'Reported burning'!E3672</f>
        <v>0</v>
      </c>
      <c r="F3672" s="156">
        <f>'Reported burning'!F3672</f>
        <v>0</v>
      </c>
      <c r="G3672" s="156">
        <f>'Reported burning'!G3672</f>
        <v>0</v>
      </c>
      <c r="H3672" s="156">
        <f>'Reported burning'!H3672</f>
        <v>0</v>
      </c>
      <c r="I3672" s="5"/>
    </row>
    <row r="3673" spans="1:9">
      <c r="A3673" s="156">
        <f>'Reported burning'!A3673</f>
        <v>0</v>
      </c>
      <c r="B3673" s="156">
        <f>'Reported burning'!B3673</f>
        <v>0</v>
      </c>
      <c r="C3673" s="156">
        <f>'Reported burning'!C3673</f>
        <v>0</v>
      </c>
      <c r="D3673" s="156">
        <f>'Reported burning'!D3673</f>
        <v>0</v>
      </c>
      <c r="E3673" s="156">
        <f>'Reported burning'!E3673</f>
        <v>0</v>
      </c>
      <c r="F3673" s="156">
        <f>'Reported burning'!F3673</f>
        <v>0</v>
      </c>
      <c r="G3673" s="156">
        <f>'Reported burning'!G3673</f>
        <v>0</v>
      </c>
      <c r="H3673" s="156">
        <f>'Reported burning'!H3673</f>
        <v>0</v>
      </c>
      <c r="I3673" s="5"/>
    </row>
    <row r="3674" spans="1:9">
      <c r="A3674" s="156">
        <f>'Reported burning'!A3674</f>
        <v>0</v>
      </c>
      <c r="B3674" s="156">
        <f>'Reported burning'!B3674</f>
        <v>0</v>
      </c>
      <c r="C3674" s="156">
        <f>'Reported burning'!C3674</f>
        <v>0</v>
      </c>
      <c r="D3674" s="156">
        <f>'Reported burning'!D3674</f>
        <v>0</v>
      </c>
      <c r="E3674" s="156">
        <f>'Reported burning'!E3674</f>
        <v>0</v>
      </c>
      <c r="F3674" s="156">
        <f>'Reported burning'!F3674</f>
        <v>0</v>
      </c>
      <c r="G3674" s="156">
        <f>'Reported burning'!G3674</f>
        <v>0</v>
      </c>
      <c r="H3674" s="156">
        <f>'Reported burning'!H3674</f>
        <v>0</v>
      </c>
      <c r="I3674" s="5"/>
    </row>
    <row r="3675" spans="1:9">
      <c r="A3675" s="156">
        <f>'Reported burning'!A3675</f>
        <v>0</v>
      </c>
      <c r="B3675" s="156">
        <f>'Reported burning'!B3675</f>
        <v>0</v>
      </c>
      <c r="C3675" s="156">
        <f>'Reported burning'!C3675</f>
        <v>0</v>
      </c>
      <c r="D3675" s="156">
        <f>'Reported burning'!D3675</f>
        <v>0</v>
      </c>
      <c r="E3675" s="156">
        <f>'Reported burning'!E3675</f>
        <v>0</v>
      </c>
      <c r="F3675" s="156">
        <f>'Reported burning'!F3675</f>
        <v>0</v>
      </c>
      <c r="G3675" s="156">
        <f>'Reported burning'!G3675</f>
        <v>0</v>
      </c>
      <c r="H3675" s="156">
        <f>'Reported burning'!H3675</f>
        <v>0</v>
      </c>
      <c r="I3675" s="5"/>
    </row>
    <row r="3676" spans="1:9">
      <c r="A3676" s="156">
        <f>'Reported burning'!A3676</f>
        <v>0</v>
      </c>
      <c r="B3676" s="156">
        <f>'Reported burning'!B3676</f>
        <v>0</v>
      </c>
      <c r="C3676" s="156">
        <f>'Reported burning'!C3676</f>
        <v>0</v>
      </c>
      <c r="D3676" s="156">
        <f>'Reported burning'!D3676</f>
        <v>0</v>
      </c>
      <c r="E3676" s="156">
        <f>'Reported burning'!E3676</f>
        <v>0</v>
      </c>
      <c r="F3676" s="156">
        <f>'Reported burning'!F3676</f>
        <v>0</v>
      </c>
      <c r="G3676" s="156">
        <f>'Reported burning'!G3676</f>
        <v>0</v>
      </c>
      <c r="H3676" s="156">
        <f>'Reported burning'!H3676</f>
        <v>0</v>
      </c>
      <c r="I3676" s="5"/>
    </row>
    <row r="3677" spans="1:9">
      <c r="A3677" s="156">
        <f>'Reported burning'!A3677</f>
        <v>0</v>
      </c>
      <c r="B3677" s="156">
        <f>'Reported burning'!B3677</f>
        <v>0</v>
      </c>
      <c r="C3677" s="156">
        <f>'Reported burning'!C3677</f>
        <v>0</v>
      </c>
      <c r="D3677" s="156">
        <f>'Reported burning'!D3677</f>
        <v>0</v>
      </c>
      <c r="E3677" s="156">
        <f>'Reported burning'!E3677</f>
        <v>0</v>
      </c>
      <c r="F3677" s="156">
        <f>'Reported burning'!F3677</f>
        <v>0</v>
      </c>
      <c r="G3677" s="156">
        <f>'Reported burning'!G3677</f>
        <v>0</v>
      </c>
      <c r="H3677" s="156">
        <f>'Reported burning'!H3677</f>
        <v>0</v>
      </c>
      <c r="I3677" s="5"/>
    </row>
    <row r="3678" spans="1:9">
      <c r="A3678" s="156">
        <f>'Reported burning'!A3678</f>
        <v>0</v>
      </c>
      <c r="B3678" s="156">
        <f>'Reported burning'!B3678</f>
        <v>0</v>
      </c>
      <c r="C3678" s="156">
        <f>'Reported burning'!C3678</f>
        <v>0</v>
      </c>
      <c r="D3678" s="156">
        <f>'Reported burning'!D3678</f>
        <v>0</v>
      </c>
      <c r="E3678" s="156">
        <f>'Reported burning'!E3678</f>
        <v>0</v>
      </c>
      <c r="F3678" s="156">
        <f>'Reported burning'!F3678</f>
        <v>0</v>
      </c>
      <c r="G3678" s="156">
        <f>'Reported burning'!G3678</f>
        <v>0</v>
      </c>
      <c r="H3678" s="156">
        <f>'Reported burning'!H3678</f>
        <v>0</v>
      </c>
      <c r="I3678" s="5"/>
    </row>
    <row r="3679" spans="1:9">
      <c r="A3679" s="156">
        <f>'Reported burning'!A3679</f>
        <v>0</v>
      </c>
      <c r="B3679" s="156">
        <f>'Reported burning'!B3679</f>
        <v>0</v>
      </c>
      <c r="C3679" s="156">
        <f>'Reported burning'!C3679</f>
        <v>0</v>
      </c>
      <c r="D3679" s="156">
        <f>'Reported burning'!D3679</f>
        <v>0</v>
      </c>
      <c r="E3679" s="156">
        <f>'Reported burning'!E3679</f>
        <v>0</v>
      </c>
      <c r="F3679" s="156">
        <f>'Reported burning'!F3679</f>
        <v>0</v>
      </c>
      <c r="G3679" s="156">
        <f>'Reported burning'!G3679</f>
        <v>0</v>
      </c>
      <c r="H3679" s="156">
        <f>'Reported burning'!H3679</f>
        <v>0</v>
      </c>
      <c r="I3679" s="5"/>
    </row>
    <row r="3680" spans="1:9">
      <c r="A3680" s="156">
        <f>'Reported burning'!A3680</f>
        <v>0</v>
      </c>
      <c r="B3680" s="156">
        <f>'Reported burning'!B3680</f>
        <v>0</v>
      </c>
      <c r="C3680" s="156">
        <f>'Reported burning'!C3680</f>
        <v>0</v>
      </c>
      <c r="D3680" s="156">
        <f>'Reported burning'!D3680</f>
        <v>0</v>
      </c>
      <c r="E3680" s="156">
        <f>'Reported burning'!E3680</f>
        <v>0</v>
      </c>
      <c r="F3680" s="156">
        <f>'Reported burning'!F3680</f>
        <v>0</v>
      </c>
      <c r="G3680" s="156">
        <f>'Reported burning'!G3680</f>
        <v>0</v>
      </c>
      <c r="H3680" s="156">
        <f>'Reported burning'!H3680</f>
        <v>0</v>
      </c>
      <c r="I3680" s="5"/>
    </row>
    <row r="3681" spans="1:9">
      <c r="A3681" s="156">
        <f>'Reported burning'!A3681</f>
        <v>0</v>
      </c>
      <c r="B3681" s="156">
        <f>'Reported burning'!B3681</f>
        <v>0</v>
      </c>
      <c r="C3681" s="156">
        <f>'Reported burning'!C3681</f>
        <v>0</v>
      </c>
      <c r="D3681" s="156">
        <f>'Reported burning'!D3681</f>
        <v>0</v>
      </c>
      <c r="E3681" s="156">
        <f>'Reported burning'!E3681</f>
        <v>0</v>
      </c>
      <c r="F3681" s="156">
        <f>'Reported burning'!F3681</f>
        <v>0</v>
      </c>
      <c r="G3681" s="156">
        <f>'Reported burning'!G3681</f>
        <v>0</v>
      </c>
      <c r="H3681" s="156">
        <f>'Reported burning'!H3681</f>
        <v>0</v>
      </c>
      <c r="I3681" s="5"/>
    </row>
    <row r="3682" spans="1:9">
      <c r="A3682" s="156">
        <f>'Reported burning'!A3682</f>
        <v>0</v>
      </c>
      <c r="B3682" s="156">
        <f>'Reported burning'!B3682</f>
        <v>0</v>
      </c>
      <c r="C3682" s="156">
        <f>'Reported burning'!C3682</f>
        <v>0</v>
      </c>
      <c r="D3682" s="156">
        <f>'Reported burning'!D3682</f>
        <v>0</v>
      </c>
      <c r="E3682" s="156">
        <f>'Reported burning'!E3682</f>
        <v>0</v>
      </c>
      <c r="F3682" s="156">
        <f>'Reported burning'!F3682</f>
        <v>0</v>
      </c>
      <c r="G3682" s="156">
        <f>'Reported burning'!G3682</f>
        <v>0</v>
      </c>
      <c r="H3682" s="156">
        <f>'Reported burning'!H3682</f>
        <v>0</v>
      </c>
      <c r="I3682" s="5"/>
    </row>
    <row r="3683" spans="1:9">
      <c r="A3683" s="156">
        <f>'Reported burning'!A3683</f>
        <v>0</v>
      </c>
      <c r="B3683" s="156">
        <f>'Reported burning'!B3683</f>
        <v>0</v>
      </c>
      <c r="C3683" s="156">
        <f>'Reported burning'!C3683</f>
        <v>0</v>
      </c>
      <c r="D3683" s="156">
        <f>'Reported burning'!D3683</f>
        <v>0</v>
      </c>
      <c r="E3683" s="156">
        <f>'Reported burning'!E3683</f>
        <v>0</v>
      </c>
      <c r="F3683" s="156">
        <f>'Reported burning'!F3683</f>
        <v>0</v>
      </c>
      <c r="G3683" s="156">
        <f>'Reported burning'!G3683</f>
        <v>0</v>
      </c>
      <c r="H3683" s="156">
        <f>'Reported burning'!H3683</f>
        <v>0</v>
      </c>
      <c r="I3683" s="5"/>
    </row>
    <row r="3684" spans="1:9">
      <c r="A3684" s="156">
        <f>'Reported burning'!A3684</f>
        <v>0</v>
      </c>
      <c r="B3684" s="156">
        <f>'Reported burning'!B3684</f>
        <v>0</v>
      </c>
      <c r="C3684" s="156">
        <f>'Reported burning'!C3684</f>
        <v>0</v>
      </c>
      <c r="D3684" s="156">
        <f>'Reported burning'!D3684</f>
        <v>0</v>
      </c>
      <c r="E3684" s="156">
        <f>'Reported burning'!E3684</f>
        <v>0</v>
      </c>
      <c r="F3684" s="156">
        <f>'Reported burning'!F3684</f>
        <v>0</v>
      </c>
      <c r="G3684" s="156">
        <f>'Reported burning'!G3684</f>
        <v>0</v>
      </c>
      <c r="H3684" s="156">
        <f>'Reported burning'!H3684</f>
        <v>0</v>
      </c>
      <c r="I3684" s="5"/>
    </row>
    <row r="3685" spans="1:9">
      <c r="A3685" s="156">
        <f>'Reported burning'!A3685</f>
        <v>0</v>
      </c>
      <c r="B3685" s="156">
        <f>'Reported burning'!B3685</f>
        <v>0</v>
      </c>
      <c r="C3685" s="156">
        <f>'Reported burning'!C3685</f>
        <v>0</v>
      </c>
      <c r="D3685" s="156">
        <f>'Reported burning'!D3685</f>
        <v>0</v>
      </c>
      <c r="E3685" s="156">
        <f>'Reported burning'!E3685</f>
        <v>0</v>
      </c>
      <c r="F3685" s="156">
        <f>'Reported burning'!F3685</f>
        <v>0</v>
      </c>
      <c r="G3685" s="156">
        <f>'Reported burning'!G3685</f>
        <v>0</v>
      </c>
      <c r="H3685" s="156">
        <f>'Reported burning'!H3685</f>
        <v>0</v>
      </c>
      <c r="I3685" s="5"/>
    </row>
    <row r="3686" spans="1:9">
      <c r="A3686" s="156">
        <f>'Reported burning'!A3686</f>
        <v>0</v>
      </c>
      <c r="B3686" s="156">
        <f>'Reported burning'!B3686</f>
        <v>0</v>
      </c>
      <c r="C3686" s="156">
        <f>'Reported burning'!C3686</f>
        <v>0</v>
      </c>
      <c r="D3686" s="156">
        <f>'Reported burning'!D3686</f>
        <v>0</v>
      </c>
      <c r="E3686" s="156">
        <f>'Reported burning'!E3686</f>
        <v>0</v>
      </c>
      <c r="F3686" s="156">
        <f>'Reported burning'!F3686</f>
        <v>0</v>
      </c>
      <c r="G3686" s="156">
        <f>'Reported burning'!G3686</f>
        <v>0</v>
      </c>
      <c r="H3686" s="156">
        <f>'Reported burning'!H3686</f>
        <v>0</v>
      </c>
      <c r="I3686" s="5"/>
    </row>
    <row r="3687" spans="1:9">
      <c r="A3687" s="156">
        <f>'Reported burning'!A3687</f>
        <v>0</v>
      </c>
      <c r="B3687" s="156">
        <f>'Reported burning'!B3687</f>
        <v>0</v>
      </c>
      <c r="C3687" s="156">
        <f>'Reported burning'!C3687</f>
        <v>0</v>
      </c>
      <c r="D3687" s="156">
        <f>'Reported burning'!D3687</f>
        <v>0</v>
      </c>
      <c r="E3687" s="156">
        <f>'Reported burning'!E3687</f>
        <v>0</v>
      </c>
      <c r="F3687" s="156">
        <f>'Reported burning'!F3687</f>
        <v>0</v>
      </c>
      <c r="G3687" s="156">
        <f>'Reported burning'!G3687</f>
        <v>0</v>
      </c>
      <c r="H3687" s="156">
        <f>'Reported burning'!H3687</f>
        <v>0</v>
      </c>
      <c r="I3687" s="5"/>
    </row>
    <row r="3688" spans="1:9">
      <c r="A3688" s="156">
        <f>'Reported burning'!A3688</f>
        <v>0</v>
      </c>
      <c r="B3688" s="156">
        <f>'Reported burning'!B3688</f>
        <v>0</v>
      </c>
      <c r="C3688" s="156">
        <f>'Reported burning'!C3688</f>
        <v>0</v>
      </c>
      <c r="D3688" s="156">
        <f>'Reported burning'!D3688</f>
        <v>0</v>
      </c>
      <c r="E3688" s="156">
        <f>'Reported burning'!E3688</f>
        <v>0</v>
      </c>
      <c r="F3688" s="156">
        <f>'Reported burning'!F3688</f>
        <v>0</v>
      </c>
      <c r="G3688" s="156">
        <f>'Reported burning'!G3688</f>
        <v>0</v>
      </c>
      <c r="H3688" s="156">
        <f>'Reported burning'!H3688</f>
        <v>0</v>
      </c>
      <c r="I3688" s="5"/>
    </row>
    <row r="3689" spans="1:9">
      <c r="A3689" s="156">
        <f>'Reported burning'!A3689</f>
        <v>0</v>
      </c>
      <c r="B3689" s="156">
        <f>'Reported burning'!B3689</f>
        <v>0</v>
      </c>
      <c r="C3689" s="156">
        <f>'Reported burning'!C3689</f>
        <v>0</v>
      </c>
      <c r="D3689" s="156">
        <f>'Reported burning'!D3689</f>
        <v>0</v>
      </c>
      <c r="E3689" s="156">
        <f>'Reported burning'!E3689</f>
        <v>0</v>
      </c>
      <c r="F3689" s="156">
        <f>'Reported burning'!F3689</f>
        <v>0</v>
      </c>
      <c r="G3689" s="156">
        <f>'Reported burning'!G3689</f>
        <v>0</v>
      </c>
      <c r="H3689" s="156">
        <f>'Reported burning'!H3689</f>
        <v>0</v>
      </c>
      <c r="I3689" s="5"/>
    </row>
    <row r="3690" spans="1:9">
      <c r="A3690" s="156">
        <f>'Reported burning'!A3690</f>
        <v>0</v>
      </c>
      <c r="B3690" s="156">
        <f>'Reported burning'!B3690</f>
        <v>0</v>
      </c>
      <c r="C3690" s="156">
        <f>'Reported burning'!C3690</f>
        <v>0</v>
      </c>
      <c r="D3690" s="156">
        <f>'Reported burning'!D3690</f>
        <v>0</v>
      </c>
      <c r="E3690" s="156">
        <f>'Reported burning'!E3690</f>
        <v>0</v>
      </c>
      <c r="F3690" s="156">
        <f>'Reported burning'!F3690</f>
        <v>0</v>
      </c>
      <c r="G3690" s="156">
        <f>'Reported burning'!G3690</f>
        <v>0</v>
      </c>
      <c r="H3690" s="156">
        <f>'Reported burning'!H3690</f>
        <v>0</v>
      </c>
      <c r="I3690" s="5"/>
    </row>
    <row r="3691" spans="1:9">
      <c r="A3691" s="156">
        <f>'Reported burning'!A3691</f>
        <v>0</v>
      </c>
      <c r="B3691" s="156">
        <f>'Reported burning'!B3691</f>
        <v>0</v>
      </c>
      <c r="C3691" s="156">
        <f>'Reported burning'!C3691</f>
        <v>0</v>
      </c>
      <c r="D3691" s="156">
        <f>'Reported burning'!D3691</f>
        <v>0</v>
      </c>
      <c r="E3691" s="156">
        <f>'Reported burning'!E3691</f>
        <v>0</v>
      </c>
      <c r="F3691" s="156">
        <f>'Reported burning'!F3691</f>
        <v>0</v>
      </c>
      <c r="G3691" s="156">
        <f>'Reported burning'!G3691</f>
        <v>0</v>
      </c>
      <c r="H3691" s="156">
        <f>'Reported burning'!H3691</f>
        <v>0</v>
      </c>
      <c r="I3691" s="5"/>
    </row>
    <row r="3692" spans="1:9">
      <c r="A3692" s="156">
        <f>'Reported burning'!A3692</f>
        <v>0</v>
      </c>
      <c r="B3692" s="156">
        <f>'Reported burning'!B3692</f>
        <v>0</v>
      </c>
      <c r="C3692" s="156">
        <f>'Reported burning'!C3692</f>
        <v>0</v>
      </c>
      <c r="D3692" s="156">
        <f>'Reported burning'!D3692</f>
        <v>0</v>
      </c>
      <c r="E3692" s="156">
        <f>'Reported burning'!E3692</f>
        <v>0</v>
      </c>
      <c r="F3692" s="156">
        <f>'Reported burning'!F3692</f>
        <v>0</v>
      </c>
      <c r="G3692" s="156">
        <f>'Reported burning'!G3692</f>
        <v>0</v>
      </c>
      <c r="H3692" s="156">
        <f>'Reported burning'!H3692</f>
        <v>0</v>
      </c>
      <c r="I3692" s="5"/>
    </row>
    <row r="3693" spans="1:9">
      <c r="A3693" s="156">
        <f>'Reported burning'!A3693</f>
        <v>0</v>
      </c>
      <c r="B3693" s="156">
        <f>'Reported burning'!B3693</f>
        <v>0</v>
      </c>
      <c r="C3693" s="156">
        <f>'Reported burning'!C3693</f>
        <v>0</v>
      </c>
      <c r="D3693" s="156">
        <f>'Reported burning'!D3693</f>
        <v>0</v>
      </c>
      <c r="E3693" s="156">
        <f>'Reported burning'!E3693</f>
        <v>0</v>
      </c>
      <c r="F3693" s="156">
        <f>'Reported burning'!F3693</f>
        <v>0</v>
      </c>
      <c r="G3693" s="156">
        <f>'Reported burning'!G3693</f>
        <v>0</v>
      </c>
      <c r="H3693" s="156">
        <f>'Reported burning'!H3693</f>
        <v>0</v>
      </c>
      <c r="I3693" s="5"/>
    </row>
    <row r="3694" spans="1:9">
      <c r="A3694" s="156">
        <f>'Reported burning'!A3694</f>
        <v>0</v>
      </c>
      <c r="B3694" s="156">
        <f>'Reported burning'!B3694</f>
        <v>0</v>
      </c>
      <c r="C3694" s="156">
        <f>'Reported burning'!C3694</f>
        <v>0</v>
      </c>
      <c r="D3694" s="156">
        <f>'Reported burning'!D3694</f>
        <v>0</v>
      </c>
      <c r="E3694" s="156">
        <f>'Reported burning'!E3694</f>
        <v>0</v>
      </c>
      <c r="F3694" s="156">
        <f>'Reported burning'!F3694</f>
        <v>0</v>
      </c>
      <c r="G3694" s="156">
        <f>'Reported burning'!G3694</f>
        <v>0</v>
      </c>
      <c r="H3694" s="156">
        <f>'Reported burning'!H3694</f>
        <v>0</v>
      </c>
      <c r="I3694" s="5"/>
    </row>
    <row r="3695" spans="1:9">
      <c r="A3695" s="156">
        <f>'Reported burning'!A3695</f>
        <v>0</v>
      </c>
      <c r="B3695" s="156">
        <f>'Reported burning'!B3695</f>
        <v>0</v>
      </c>
      <c r="C3695" s="156">
        <f>'Reported burning'!C3695</f>
        <v>0</v>
      </c>
      <c r="D3695" s="156">
        <f>'Reported burning'!D3695</f>
        <v>0</v>
      </c>
      <c r="E3695" s="156">
        <f>'Reported burning'!E3695</f>
        <v>0</v>
      </c>
      <c r="F3695" s="156">
        <f>'Reported burning'!F3695</f>
        <v>0</v>
      </c>
      <c r="G3695" s="156">
        <f>'Reported burning'!G3695</f>
        <v>0</v>
      </c>
      <c r="H3695" s="156">
        <f>'Reported burning'!H3695</f>
        <v>0</v>
      </c>
      <c r="I3695" s="5"/>
    </row>
    <row r="3696" spans="1:9">
      <c r="A3696" s="156">
        <f>'Reported burning'!A3696</f>
        <v>0</v>
      </c>
      <c r="B3696" s="156">
        <f>'Reported burning'!B3696</f>
        <v>0</v>
      </c>
      <c r="C3696" s="156">
        <f>'Reported burning'!C3696</f>
        <v>0</v>
      </c>
      <c r="D3696" s="156">
        <f>'Reported burning'!D3696</f>
        <v>0</v>
      </c>
      <c r="E3696" s="156">
        <f>'Reported burning'!E3696</f>
        <v>0</v>
      </c>
      <c r="F3696" s="156">
        <f>'Reported burning'!F3696</f>
        <v>0</v>
      </c>
      <c r="G3696" s="156">
        <f>'Reported burning'!G3696</f>
        <v>0</v>
      </c>
      <c r="H3696" s="156">
        <f>'Reported burning'!H3696</f>
        <v>0</v>
      </c>
      <c r="I3696" s="5"/>
    </row>
    <row r="3697" spans="1:9">
      <c r="A3697" s="156">
        <f>'Reported burning'!A3697</f>
        <v>0</v>
      </c>
      <c r="B3697" s="156">
        <f>'Reported burning'!B3697</f>
        <v>0</v>
      </c>
      <c r="C3697" s="156">
        <f>'Reported burning'!C3697</f>
        <v>0</v>
      </c>
      <c r="D3697" s="156">
        <f>'Reported burning'!D3697</f>
        <v>0</v>
      </c>
      <c r="E3697" s="156">
        <f>'Reported burning'!E3697</f>
        <v>0</v>
      </c>
      <c r="F3697" s="156">
        <f>'Reported burning'!F3697</f>
        <v>0</v>
      </c>
      <c r="G3697" s="156">
        <f>'Reported burning'!G3697</f>
        <v>0</v>
      </c>
      <c r="H3697" s="156">
        <f>'Reported burning'!H3697</f>
        <v>0</v>
      </c>
      <c r="I3697" s="5"/>
    </row>
    <row r="3698" spans="1:9">
      <c r="A3698" s="156">
        <f>'Reported burning'!A3698</f>
        <v>0</v>
      </c>
      <c r="B3698" s="156">
        <f>'Reported burning'!B3698</f>
        <v>0</v>
      </c>
      <c r="C3698" s="156">
        <f>'Reported burning'!C3698</f>
        <v>0</v>
      </c>
      <c r="D3698" s="156">
        <f>'Reported burning'!D3698</f>
        <v>0</v>
      </c>
      <c r="E3698" s="156">
        <f>'Reported burning'!E3698</f>
        <v>0</v>
      </c>
      <c r="F3698" s="156">
        <f>'Reported burning'!F3698</f>
        <v>0</v>
      </c>
      <c r="G3698" s="156">
        <f>'Reported burning'!G3698</f>
        <v>0</v>
      </c>
      <c r="H3698" s="156">
        <f>'Reported burning'!H3698</f>
        <v>0</v>
      </c>
      <c r="I3698" s="5"/>
    </row>
    <row r="3699" spans="1:9">
      <c r="A3699" s="156">
        <f>'Reported burning'!A3699</f>
        <v>0</v>
      </c>
      <c r="B3699" s="156">
        <f>'Reported burning'!B3699</f>
        <v>0</v>
      </c>
      <c r="C3699" s="156">
        <f>'Reported burning'!C3699</f>
        <v>0</v>
      </c>
      <c r="D3699" s="156">
        <f>'Reported burning'!D3699</f>
        <v>0</v>
      </c>
      <c r="E3699" s="156">
        <f>'Reported burning'!E3699</f>
        <v>0</v>
      </c>
      <c r="F3699" s="156">
        <f>'Reported burning'!F3699</f>
        <v>0</v>
      </c>
      <c r="G3699" s="156">
        <f>'Reported burning'!G3699</f>
        <v>0</v>
      </c>
      <c r="H3699" s="156">
        <f>'Reported burning'!H3699</f>
        <v>0</v>
      </c>
      <c r="I3699" s="5"/>
    </row>
    <row r="3700" spans="1:9">
      <c r="A3700" s="156">
        <f>'Reported burning'!A3700</f>
        <v>0</v>
      </c>
      <c r="B3700" s="156">
        <f>'Reported burning'!B3700</f>
        <v>0</v>
      </c>
      <c r="C3700" s="156">
        <f>'Reported burning'!C3700</f>
        <v>0</v>
      </c>
      <c r="D3700" s="156">
        <f>'Reported burning'!D3700</f>
        <v>0</v>
      </c>
      <c r="E3700" s="156">
        <f>'Reported burning'!E3700</f>
        <v>0</v>
      </c>
      <c r="F3700" s="156">
        <f>'Reported burning'!F3700</f>
        <v>0</v>
      </c>
      <c r="G3700" s="156">
        <f>'Reported burning'!G3700</f>
        <v>0</v>
      </c>
      <c r="H3700" s="156">
        <f>'Reported burning'!H3700</f>
        <v>0</v>
      </c>
      <c r="I3700" s="5"/>
    </row>
    <row r="3701" spans="1:9">
      <c r="A3701" s="156">
        <f>'Reported burning'!A3701</f>
        <v>0</v>
      </c>
      <c r="B3701" s="156">
        <f>'Reported burning'!B3701</f>
        <v>0</v>
      </c>
      <c r="C3701" s="156">
        <f>'Reported burning'!C3701</f>
        <v>0</v>
      </c>
      <c r="D3701" s="156">
        <f>'Reported burning'!D3701</f>
        <v>0</v>
      </c>
      <c r="E3701" s="156">
        <f>'Reported burning'!E3701</f>
        <v>0</v>
      </c>
      <c r="F3701" s="156">
        <f>'Reported burning'!F3701</f>
        <v>0</v>
      </c>
      <c r="G3701" s="156">
        <f>'Reported burning'!G3701</f>
        <v>0</v>
      </c>
      <c r="H3701" s="156">
        <f>'Reported burning'!H3701</f>
        <v>0</v>
      </c>
      <c r="I3701" s="5"/>
    </row>
    <row r="3702" spans="1:9">
      <c r="A3702" s="156">
        <f>'Reported burning'!A3702</f>
        <v>0</v>
      </c>
      <c r="B3702" s="156">
        <f>'Reported burning'!B3702</f>
        <v>0</v>
      </c>
      <c r="C3702" s="156">
        <f>'Reported burning'!C3702</f>
        <v>0</v>
      </c>
      <c r="D3702" s="156">
        <f>'Reported burning'!D3702</f>
        <v>0</v>
      </c>
      <c r="E3702" s="156">
        <f>'Reported burning'!E3702</f>
        <v>0</v>
      </c>
      <c r="F3702" s="156">
        <f>'Reported burning'!F3702</f>
        <v>0</v>
      </c>
      <c r="G3702" s="156">
        <f>'Reported burning'!G3702</f>
        <v>0</v>
      </c>
      <c r="H3702" s="156">
        <f>'Reported burning'!H3702</f>
        <v>0</v>
      </c>
      <c r="I3702" s="5"/>
    </row>
    <row r="3703" spans="1:9">
      <c r="A3703" s="156">
        <f>'Reported burning'!A3703</f>
        <v>0</v>
      </c>
      <c r="B3703" s="156">
        <f>'Reported burning'!B3703</f>
        <v>0</v>
      </c>
      <c r="C3703" s="156">
        <f>'Reported burning'!C3703</f>
        <v>0</v>
      </c>
      <c r="D3703" s="156">
        <f>'Reported burning'!D3703</f>
        <v>0</v>
      </c>
      <c r="E3703" s="156">
        <f>'Reported burning'!E3703</f>
        <v>0</v>
      </c>
      <c r="F3703" s="156">
        <f>'Reported burning'!F3703</f>
        <v>0</v>
      </c>
      <c r="G3703" s="156">
        <f>'Reported burning'!G3703</f>
        <v>0</v>
      </c>
      <c r="H3703" s="156">
        <f>'Reported burning'!H3703</f>
        <v>0</v>
      </c>
      <c r="I3703" s="5"/>
    </row>
    <row r="3704" spans="1:9">
      <c r="A3704" s="156">
        <f>'Reported burning'!A3704</f>
        <v>0</v>
      </c>
      <c r="B3704" s="156">
        <f>'Reported burning'!B3704</f>
        <v>0</v>
      </c>
      <c r="C3704" s="156">
        <f>'Reported burning'!C3704</f>
        <v>0</v>
      </c>
      <c r="D3704" s="156">
        <f>'Reported burning'!D3704</f>
        <v>0</v>
      </c>
      <c r="E3704" s="156">
        <f>'Reported burning'!E3704</f>
        <v>0</v>
      </c>
      <c r="F3704" s="156">
        <f>'Reported burning'!F3704</f>
        <v>0</v>
      </c>
      <c r="G3704" s="156">
        <f>'Reported burning'!G3704</f>
        <v>0</v>
      </c>
      <c r="H3704" s="156">
        <f>'Reported burning'!H3704</f>
        <v>0</v>
      </c>
      <c r="I3704" s="5"/>
    </row>
    <row r="3705" spans="1:9">
      <c r="A3705" s="156">
        <f>'Reported burning'!A3705</f>
        <v>0</v>
      </c>
      <c r="B3705" s="156">
        <f>'Reported burning'!B3705</f>
        <v>0</v>
      </c>
      <c r="C3705" s="156">
        <f>'Reported burning'!C3705</f>
        <v>0</v>
      </c>
      <c r="D3705" s="156">
        <f>'Reported burning'!D3705</f>
        <v>0</v>
      </c>
      <c r="E3705" s="156">
        <f>'Reported burning'!E3705</f>
        <v>0</v>
      </c>
      <c r="F3705" s="156">
        <f>'Reported burning'!F3705</f>
        <v>0</v>
      </c>
      <c r="G3705" s="156">
        <f>'Reported burning'!G3705</f>
        <v>0</v>
      </c>
      <c r="H3705" s="156">
        <f>'Reported burning'!H3705</f>
        <v>0</v>
      </c>
      <c r="I3705" s="5"/>
    </row>
    <row r="3706" spans="1:9">
      <c r="A3706" s="156">
        <f>'Reported burning'!A3706</f>
        <v>0</v>
      </c>
      <c r="B3706" s="156">
        <f>'Reported burning'!B3706</f>
        <v>0</v>
      </c>
      <c r="C3706" s="156">
        <f>'Reported burning'!C3706</f>
        <v>0</v>
      </c>
      <c r="D3706" s="156">
        <f>'Reported burning'!D3706</f>
        <v>0</v>
      </c>
      <c r="E3706" s="156">
        <f>'Reported burning'!E3706</f>
        <v>0</v>
      </c>
      <c r="F3706" s="156">
        <f>'Reported burning'!F3706</f>
        <v>0</v>
      </c>
      <c r="G3706" s="156">
        <f>'Reported burning'!G3706</f>
        <v>0</v>
      </c>
      <c r="H3706" s="156">
        <f>'Reported burning'!H3706</f>
        <v>0</v>
      </c>
      <c r="I3706" s="5"/>
    </row>
    <row r="3707" spans="1:9">
      <c r="A3707" s="156">
        <f>'Reported burning'!A3707</f>
        <v>0</v>
      </c>
      <c r="B3707" s="156">
        <f>'Reported burning'!B3707</f>
        <v>0</v>
      </c>
      <c r="C3707" s="156">
        <f>'Reported burning'!C3707</f>
        <v>0</v>
      </c>
      <c r="D3707" s="156">
        <f>'Reported burning'!D3707</f>
        <v>0</v>
      </c>
      <c r="E3707" s="156">
        <f>'Reported burning'!E3707</f>
        <v>0</v>
      </c>
      <c r="F3707" s="156">
        <f>'Reported burning'!F3707</f>
        <v>0</v>
      </c>
      <c r="G3707" s="156">
        <f>'Reported burning'!G3707</f>
        <v>0</v>
      </c>
      <c r="H3707" s="156">
        <f>'Reported burning'!H3707</f>
        <v>0</v>
      </c>
      <c r="I3707" s="5"/>
    </row>
    <row r="3708" spans="1:9">
      <c r="A3708" s="156">
        <f>'Reported burning'!A3708</f>
        <v>0</v>
      </c>
      <c r="B3708" s="156">
        <f>'Reported burning'!B3708</f>
        <v>0</v>
      </c>
      <c r="C3708" s="156">
        <f>'Reported burning'!C3708</f>
        <v>0</v>
      </c>
      <c r="D3708" s="156">
        <f>'Reported burning'!D3708</f>
        <v>0</v>
      </c>
      <c r="E3708" s="156">
        <f>'Reported burning'!E3708</f>
        <v>0</v>
      </c>
      <c r="F3708" s="156">
        <f>'Reported burning'!F3708</f>
        <v>0</v>
      </c>
      <c r="G3708" s="156">
        <f>'Reported burning'!G3708</f>
        <v>0</v>
      </c>
      <c r="H3708" s="156">
        <f>'Reported burning'!H3708</f>
        <v>0</v>
      </c>
      <c r="I3708" s="5"/>
    </row>
    <row r="3709" spans="1:9">
      <c r="A3709" s="156">
        <f>'Reported burning'!A3709</f>
        <v>0</v>
      </c>
      <c r="B3709" s="156">
        <f>'Reported burning'!B3709</f>
        <v>0</v>
      </c>
      <c r="C3709" s="156">
        <f>'Reported burning'!C3709</f>
        <v>0</v>
      </c>
      <c r="D3709" s="156">
        <f>'Reported burning'!D3709</f>
        <v>0</v>
      </c>
      <c r="E3709" s="156">
        <f>'Reported burning'!E3709</f>
        <v>0</v>
      </c>
      <c r="F3709" s="156">
        <f>'Reported burning'!F3709</f>
        <v>0</v>
      </c>
      <c r="G3709" s="156">
        <f>'Reported burning'!G3709</f>
        <v>0</v>
      </c>
      <c r="H3709" s="156">
        <f>'Reported burning'!H3709</f>
        <v>0</v>
      </c>
      <c r="I3709" s="5"/>
    </row>
    <row r="3710" spans="1:9">
      <c r="A3710" s="156">
        <f>'Reported burning'!A3710</f>
        <v>0</v>
      </c>
      <c r="B3710" s="156">
        <f>'Reported burning'!B3710</f>
        <v>0</v>
      </c>
      <c r="C3710" s="156">
        <f>'Reported burning'!C3710</f>
        <v>0</v>
      </c>
      <c r="D3710" s="156">
        <f>'Reported burning'!D3710</f>
        <v>0</v>
      </c>
      <c r="E3710" s="156">
        <f>'Reported burning'!E3710</f>
        <v>0</v>
      </c>
      <c r="F3710" s="156">
        <f>'Reported burning'!F3710</f>
        <v>0</v>
      </c>
      <c r="G3710" s="156">
        <f>'Reported burning'!G3710</f>
        <v>0</v>
      </c>
      <c r="H3710" s="156">
        <f>'Reported burning'!H3710</f>
        <v>0</v>
      </c>
      <c r="I3710" s="5"/>
    </row>
    <row r="3711" spans="1:9">
      <c r="A3711" s="156">
        <f>'Reported burning'!A3711</f>
        <v>0</v>
      </c>
      <c r="B3711" s="156">
        <f>'Reported burning'!B3711</f>
        <v>0</v>
      </c>
      <c r="C3711" s="156">
        <f>'Reported burning'!C3711</f>
        <v>0</v>
      </c>
      <c r="D3711" s="156">
        <f>'Reported burning'!D3711</f>
        <v>0</v>
      </c>
      <c r="E3711" s="156">
        <f>'Reported burning'!E3711</f>
        <v>0</v>
      </c>
      <c r="F3711" s="156">
        <f>'Reported burning'!F3711</f>
        <v>0</v>
      </c>
      <c r="G3711" s="156">
        <f>'Reported burning'!G3711</f>
        <v>0</v>
      </c>
      <c r="H3711" s="156">
        <f>'Reported burning'!H3711</f>
        <v>0</v>
      </c>
      <c r="I3711" s="5"/>
    </row>
    <row r="3712" spans="1:9">
      <c r="A3712" s="156">
        <f>'Reported burning'!A3712</f>
        <v>0</v>
      </c>
      <c r="B3712" s="156">
        <f>'Reported burning'!B3712</f>
        <v>0</v>
      </c>
      <c r="C3712" s="156">
        <f>'Reported burning'!C3712</f>
        <v>0</v>
      </c>
      <c r="D3712" s="156">
        <f>'Reported burning'!D3712</f>
        <v>0</v>
      </c>
      <c r="E3712" s="156">
        <f>'Reported burning'!E3712</f>
        <v>0</v>
      </c>
      <c r="F3712" s="156">
        <f>'Reported burning'!F3712</f>
        <v>0</v>
      </c>
      <c r="G3712" s="156">
        <f>'Reported burning'!G3712</f>
        <v>0</v>
      </c>
      <c r="H3712" s="156">
        <f>'Reported burning'!H3712</f>
        <v>0</v>
      </c>
      <c r="I3712" s="5"/>
    </row>
    <row r="3713" spans="1:9">
      <c r="A3713" s="156">
        <f>'Reported burning'!A3713</f>
        <v>0</v>
      </c>
      <c r="B3713" s="156">
        <f>'Reported burning'!B3713</f>
        <v>0</v>
      </c>
      <c r="C3713" s="156">
        <f>'Reported burning'!C3713</f>
        <v>0</v>
      </c>
      <c r="D3713" s="156">
        <f>'Reported burning'!D3713</f>
        <v>0</v>
      </c>
      <c r="E3713" s="156">
        <f>'Reported burning'!E3713</f>
        <v>0</v>
      </c>
      <c r="F3713" s="156">
        <f>'Reported burning'!F3713</f>
        <v>0</v>
      </c>
      <c r="G3713" s="156">
        <f>'Reported burning'!G3713</f>
        <v>0</v>
      </c>
      <c r="H3713" s="156">
        <f>'Reported burning'!H3713</f>
        <v>0</v>
      </c>
      <c r="I3713" s="5"/>
    </row>
    <row r="3714" spans="1:9">
      <c r="A3714" s="156">
        <f>'Reported burning'!A3714</f>
        <v>0</v>
      </c>
      <c r="B3714" s="156">
        <f>'Reported burning'!B3714</f>
        <v>0</v>
      </c>
      <c r="C3714" s="156">
        <f>'Reported burning'!C3714</f>
        <v>0</v>
      </c>
      <c r="D3714" s="156">
        <f>'Reported burning'!D3714</f>
        <v>0</v>
      </c>
      <c r="E3714" s="156">
        <f>'Reported burning'!E3714</f>
        <v>0</v>
      </c>
      <c r="F3714" s="156">
        <f>'Reported burning'!F3714</f>
        <v>0</v>
      </c>
      <c r="G3714" s="156">
        <f>'Reported burning'!G3714</f>
        <v>0</v>
      </c>
      <c r="H3714" s="156">
        <f>'Reported burning'!H3714</f>
        <v>0</v>
      </c>
      <c r="I3714" s="5"/>
    </row>
    <row r="3715" spans="1:9">
      <c r="A3715" s="156">
        <f>'Reported burning'!A3715</f>
        <v>0</v>
      </c>
      <c r="B3715" s="156">
        <f>'Reported burning'!B3715</f>
        <v>0</v>
      </c>
      <c r="C3715" s="156">
        <f>'Reported burning'!C3715</f>
        <v>0</v>
      </c>
      <c r="D3715" s="156">
        <f>'Reported burning'!D3715</f>
        <v>0</v>
      </c>
      <c r="E3715" s="156">
        <f>'Reported burning'!E3715</f>
        <v>0</v>
      </c>
      <c r="F3715" s="156">
        <f>'Reported burning'!F3715</f>
        <v>0</v>
      </c>
      <c r="G3715" s="156">
        <f>'Reported burning'!G3715</f>
        <v>0</v>
      </c>
      <c r="H3715" s="156">
        <f>'Reported burning'!H3715</f>
        <v>0</v>
      </c>
      <c r="I3715" s="5"/>
    </row>
    <row r="3716" spans="1:9">
      <c r="A3716" s="156">
        <f>'Reported burning'!A3716</f>
        <v>0</v>
      </c>
      <c r="B3716" s="156">
        <f>'Reported burning'!B3716</f>
        <v>0</v>
      </c>
      <c r="C3716" s="156">
        <f>'Reported burning'!C3716</f>
        <v>0</v>
      </c>
      <c r="D3716" s="156">
        <f>'Reported burning'!D3716</f>
        <v>0</v>
      </c>
      <c r="E3716" s="156">
        <f>'Reported burning'!E3716</f>
        <v>0</v>
      </c>
      <c r="F3716" s="156">
        <f>'Reported burning'!F3716</f>
        <v>0</v>
      </c>
      <c r="G3716" s="156">
        <f>'Reported burning'!G3716</f>
        <v>0</v>
      </c>
      <c r="H3716" s="156">
        <f>'Reported burning'!H3716</f>
        <v>0</v>
      </c>
      <c r="I3716" s="5"/>
    </row>
    <row r="3717" spans="1:9">
      <c r="A3717" s="156">
        <f>'Reported burning'!A3717</f>
        <v>0</v>
      </c>
      <c r="B3717" s="156">
        <f>'Reported burning'!B3717</f>
        <v>0</v>
      </c>
      <c r="C3717" s="156">
        <f>'Reported burning'!C3717</f>
        <v>0</v>
      </c>
      <c r="D3717" s="156">
        <f>'Reported burning'!D3717</f>
        <v>0</v>
      </c>
      <c r="E3717" s="156">
        <f>'Reported burning'!E3717</f>
        <v>0</v>
      </c>
      <c r="F3717" s="156">
        <f>'Reported burning'!F3717</f>
        <v>0</v>
      </c>
      <c r="G3717" s="156">
        <f>'Reported burning'!G3717</f>
        <v>0</v>
      </c>
      <c r="H3717" s="156">
        <f>'Reported burning'!H3717</f>
        <v>0</v>
      </c>
      <c r="I3717" s="5"/>
    </row>
    <row r="3718" spans="1:9">
      <c r="A3718" s="156">
        <f>'Reported burning'!A3718</f>
        <v>0</v>
      </c>
      <c r="B3718" s="156">
        <f>'Reported burning'!B3718</f>
        <v>0</v>
      </c>
      <c r="C3718" s="156">
        <f>'Reported burning'!C3718</f>
        <v>0</v>
      </c>
      <c r="D3718" s="156">
        <f>'Reported burning'!D3718</f>
        <v>0</v>
      </c>
      <c r="E3718" s="156">
        <f>'Reported burning'!E3718</f>
        <v>0</v>
      </c>
      <c r="F3718" s="156">
        <f>'Reported burning'!F3718</f>
        <v>0</v>
      </c>
      <c r="G3718" s="156">
        <f>'Reported burning'!G3718</f>
        <v>0</v>
      </c>
      <c r="H3718" s="156">
        <f>'Reported burning'!H3718</f>
        <v>0</v>
      </c>
      <c r="I3718" s="5"/>
    </row>
    <row r="3719" spans="1:9">
      <c r="A3719" s="156">
        <f>'Reported burning'!A3719</f>
        <v>0</v>
      </c>
      <c r="B3719" s="156">
        <f>'Reported burning'!B3719</f>
        <v>0</v>
      </c>
      <c r="C3719" s="156">
        <f>'Reported burning'!C3719</f>
        <v>0</v>
      </c>
      <c r="D3719" s="156">
        <f>'Reported burning'!D3719</f>
        <v>0</v>
      </c>
      <c r="E3719" s="156">
        <f>'Reported burning'!E3719</f>
        <v>0</v>
      </c>
      <c r="F3719" s="156">
        <f>'Reported burning'!F3719</f>
        <v>0</v>
      </c>
      <c r="G3719" s="156">
        <f>'Reported burning'!G3719</f>
        <v>0</v>
      </c>
      <c r="H3719" s="156">
        <f>'Reported burning'!H3719</f>
        <v>0</v>
      </c>
      <c r="I3719" s="5"/>
    </row>
    <row r="3720" spans="1:9">
      <c r="A3720" s="156">
        <f>'Reported burning'!A3720</f>
        <v>0</v>
      </c>
      <c r="B3720" s="156">
        <f>'Reported burning'!B3720</f>
        <v>0</v>
      </c>
      <c r="C3720" s="156">
        <f>'Reported burning'!C3720</f>
        <v>0</v>
      </c>
      <c r="D3720" s="156">
        <f>'Reported burning'!D3720</f>
        <v>0</v>
      </c>
      <c r="E3720" s="156">
        <f>'Reported burning'!E3720</f>
        <v>0</v>
      </c>
      <c r="F3720" s="156">
        <f>'Reported burning'!F3720</f>
        <v>0</v>
      </c>
      <c r="G3720" s="156">
        <f>'Reported burning'!G3720</f>
        <v>0</v>
      </c>
      <c r="H3720" s="156">
        <f>'Reported burning'!H3720</f>
        <v>0</v>
      </c>
      <c r="I3720" s="5"/>
    </row>
    <row r="3721" spans="1:9">
      <c r="A3721" s="156">
        <f>'Reported burning'!A3721</f>
        <v>0</v>
      </c>
      <c r="B3721" s="156">
        <f>'Reported burning'!B3721</f>
        <v>0</v>
      </c>
      <c r="C3721" s="156">
        <f>'Reported burning'!C3721</f>
        <v>0</v>
      </c>
      <c r="D3721" s="156">
        <f>'Reported burning'!D3721</f>
        <v>0</v>
      </c>
      <c r="E3721" s="156">
        <f>'Reported burning'!E3721</f>
        <v>0</v>
      </c>
      <c r="F3721" s="156">
        <f>'Reported burning'!F3721</f>
        <v>0</v>
      </c>
      <c r="G3721" s="156">
        <f>'Reported burning'!G3721</f>
        <v>0</v>
      </c>
      <c r="H3721" s="156">
        <f>'Reported burning'!H3721</f>
        <v>0</v>
      </c>
      <c r="I3721" s="5"/>
    </row>
    <row r="3722" spans="1:9">
      <c r="A3722" s="156">
        <f>'Reported burning'!A3722</f>
        <v>0</v>
      </c>
      <c r="B3722" s="156">
        <f>'Reported burning'!B3722</f>
        <v>0</v>
      </c>
      <c r="C3722" s="156">
        <f>'Reported burning'!C3722</f>
        <v>0</v>
      </c>
      <c r="D3722" s="156">
        <f>'Reported burning'!D3722</f>
        <v>0</v>
      </c>
      <c r="E3722" s="156">
        <f>'Reported burning'!E3722</f>
        <v>0</v>
      </c>
      <c r="F3722" s="156">
        <f>'Reported burning'!F3722</f>
        <v>0</v>
      </c>
      <c r="G3722" s="156">
        <f>'Reported burning'!G3722</f>
        <v>0</v>
      </c>
      <c r="H3722" s="156">
        <f>'Reported burning'!H3722</f>
        <v>0</v>
      </c>
      <c r="I3722" s="5"/>
    </row>
    <row r="3723" spans="1:9">
      <c r="A3723" s="156">
        <f>'Reported burning'!A3723</f>
        <v>0</v>
      </c>
      <c r="B3723" s="156">
        <f>'Reported burning'!B3723</f>
        <v>0</v>
      </c>
      <c r="C3723" s="156">
        <f>'Reported burning'!C3723</f>
        <v>0</v>
      </c>
      <c r="D3723" s="156">
        <f>'Reported burning'!D3723</f>
        <v>0</v>
      </c>
      <c r="E3723" s="156">
        <f>'Reported burning'!E3723</f>
        <v>0</v>
      </c>
      <c r="F3723" s="156">
        <f>'Reported burning'!F3723</f>
        <v>0</v>
      </c>
      <c r="G3723" s="156">
        <f>'Reported burning'!G3723</f>
        <v>0</v>
      </c>
      <c r="H3723" s="156">
        <f>'Reported burning'!H3723</f>
        <v>0</v>
      </c>
      <c r="I3723" s="5"/>
    </row>
    <row r="3724" spans="1:9">
      <c r="A3724" s="156">
        <f>'Reported burning'!A3724</f>
        <v>0</v>
      </c>
      <c r="B3724" s="156">
        <f>'Reported burning'!B3724</f>
        <v>0</v>
      </c>
      <c r="C3724" s="156">
        <f>'Reported burning'!C3724</f>
        <v>0</v>
      </c>
      <c r="D3724" s="156">
        <f>'Reported burning'!D3724</f>
        <v>0</v>
      </c>
      <c r="E3724" s="156">
        <f>'Reported burning'!E3724</f>
        <v>0</v>
      </c>
      <c r="F3724" s="156">
        <f>'Reported burning'!F3724</f>
        <v>0</v>
      </c>
      <c r="G3724" s="156">
        <f>'Reported burning'!G3724</f>
        <v>0</v>
      </c>
      <c r="H3724" s="156">
        <f>'Reported burning'!H3724</f>
        <v>0</v>
      </c>
      <c r="I3724" s="5"/>
    </row>
    <row r="3725" spans="1:9">
      <c r="A3725" s="156">
        <f>'Reported burning'!A3725</f>
        <v>0</v>
      </c>
      <c r="B3725" s="156">
        <f>'Reported burning'!B3725</f>
        <v>0</v>
      </c>
      <c r="C3725" s="156">
        <f>'Reported burning'!C3725</f>
        <v>0</v>
      </c>
      <c r="D3725" s="156">
        <f>'Reported burning'!D3725</f>
        <v>0</v>
      </c>
      <c r="E3725" s="156">
        <f>'Reported burning'!E3725</f>
        <v>0</v>
      </c>
      <c r="F3725" s="156">
        <f>'Reported burning'!F3725</f>
        <v>0</v>
      </c>
      <c r="G3725" s="156">
        <f>'Reported burning'!G3725</f>
        <v>0</v>
      </c>
      <c r="H3725" s="156">
        <f>'Reported burning'!H3725</f>
        <v>0</v>
      </c>
      <c r="I3725" s="5"/>
    </row>
    <row r="3726" spans="1:9">
      <c r="A3726" s="156">
        <f>'Reported burning'!A3726</f>
        <v>0</v>
      </c>
      <c r="B3726" s="156">
        <f>'Reported burning'!B3726</f>
        <v>0</v>
      </c>
      <c r="C3726" s="156">
        <f>'Reported burning'!C3726</f>
        <v>0</v>
      </c>
      <c r="D3726" s="156">
        <f>'Reported burning'!D3726</f>
        <v>0</v>
      </c>
      <c r="E3726" s="156">
        <f>'Reported burning'!E3726</f>
        <v>0</v>
      </c>
      <c r="F3726" s="156">
        <f>'Reported burning'!F3726</f>
        <v>0</v>
      </c>
      <c r="G3726" s="156">
        <f>'Reported burning'!G3726</f>
        <v>0</v>
      </c>
      <c r="H3726" s="156">
        <f>'Reported burning'!H3726</f>
        <v>0</v>
      </c>
      <c r="I3726" s="5"/>
    </row>
    <row r="3727" spans="1:9">
      <c r="A3727" s="156">
        <f>'Reported burning'!A3727</f>
        <v>0</v>
      </c>
      <c r="B3727" s="156">
        <f>'Reported burning'!B3727</f>
        <v>0</v>
      </c>
      <c r="C3727" s="156">
        <f>'Reported burning'!C3727</f>
        <v>0</v>
      </c>
      <c r="D3727" s="156">
        <f>'Reported burning'!D3727</f>
        <v>0</v>
      </c>
      <c r="E3727" s="156">
        <f>'Reported burning'!E3727</f>
        <v>0</v>
      </c>
      <c r="F3727" s="156">
        <f>'Reported burning'!F3727</f>
        <v>0</v>
      </c>
      <c r="G3727" s="156">
        <f>'Reported burning'!G3727</f>
        <v>0</v>
      </c>
      <c r="H3727" s="156">
        <f>'Reported burning'!H3727</f>
        <v>0</v>
      </c>
      <c r="I3727" s="5"/>
    </row>
    <row r="3728" spans="1:9">
      <c r="A3728" s="156">
        <f>'Reported burning'!A3728</f>
        <v>0</v>
      </c>
      <c r="B3728" s="156">
        <f>'Reported burning'!B3728</f>
        <v>0</v>
      </c>
      <c r="C3728" s="156">
        <f>'Reported burning'!C3728</f>
        <v>0</v>
      </c>
      <c r="D3728" s="156">
        <f>'Reported burning'!D3728</f>
        <v>0</v>
      </c>
      <c r="E3728" s="156">
        <f>'Reported burning'!E3728</f>
        <v>0</v>
      </c>
      <c r="F3728" s="156">
        <f>'Reported burning'!F3728</f>
        <v>0</v>
      </c>
      <c r="G3728" s="156">
        <f>'Reported burning'!G3728</f>
        <v>0</v>
      </c>
      <c r="H3728" s="156">
        <f>'Reported burning'!H3728</f>
        <v>0</v>
      </c>
      <c r="I3728" s="5"/>
    </row>
    <row r="3729" spans="1:9">
      <c r="A3729" s="156">
        <f>'Reported burning'!A3729</f>
        <v>0</v>
      </c>
      <c r="B3729" s="156">
        <f>'Reported burning'!B3729</f>
        <v>0</v>
      </c>
      <c r="C3729" s="156">
        <f>'Reported burning'!C3729</f>
        <v>0</v>
      </c>
      <c r="D3729" s="156">
        <f>'Reported burning'!D3729</f>
        <v>0</v>
      </c>
      <c r="E3729" s="156">
        <f>'Reported burning'!E3729</f>
        <v>0</v>
      </c>
      <c r="F3729" s="156">
        <f>'Reported burning'!F3729</f>
        <v>0</v>
      </c>
      <c r="G3729" s="156">
        <f>'Reported burning'!G3729</f>
        <v>0</v>
      </c>
      <c r="H3729" s="156">
        <f>'Reported burning'!H3729</f>
        <v>0</v>
      </c>
      <c r="I3729" s="5"/>
    </row>
    <row r="3730" spans="1:9">
      <c r="A3730" s="156">
        <f>'Reported burning'!A3730</f>
        <v>0</v>
      </c>
      <c r="B3730" s="156">
        <f>'Reported burning'!B3730</f>
        <v>0</v>
      </c>
      <c r="C3730" s="156">
        <f>'Reported burning'!C3730</f>
        <v>0</v>
      </c>
      <c r="D3730" s="156">
        <f>'Reported burning'!D3730</f>
        <v>0</v>
      </c>
      <c r="E3730" s="156">
        <f>'Reported burning'!E3730</f>
        <v>0</v>
      </c>
      <c r="F3730" s="156">
        <f>'Reported burning'!F3730</f>
        <v>0</v>
      </c>
      <c r="G3730" s="156">
        <f>'Reported burning'!G3730</f>
        <v>0</v>
      </c>
      <c r="H3730" s="156">
        <f>'Reported burning'!H3730</f>
        <v>0</v>
      </c>
      <c r="I3730" s="5"/>
    </row>
    <row r="3731" spans="1:9">
      <c r="A3731" s="156">
        <f>'Reported burning'!A3731</f>
        <v>0</v>
      </c>
      <c r="B3731" s="156">
        <f>'Reported burning'!B3731</f>
        <v>0</v>
      </c>
      <c r="C3731" s="156">
        <f>'Reported burning'!C3731</f>
        <v>0</v>
      </c>
      <c r="D3731" s="156">
        <f>'Reported burning'!D3731</f>
        <v>0</v>
      </c>
      <c r="E3731" s="156">
        <f>'Reported burning'!E3731</f>
        <v>0</v>
      </c>
      <c r="F3731" s="156">
        <f>'Reported burning'!F3731</f>
        <v>0</v>
      </c>
      <c r="G3731" s="156">
        <f>'Reported burning'!G3731</f>
        <v>0</v>
      </c>
      <c r="H3731" s="156">
        <f>'Reported burning'!H3731</f>
        <v>0</v>
      </c>
      <c r="I3731" s="5"/>
    </row>
    <row r="3732" spans="1:9">
      <c r="A3732" s="156">
        <f>'Reported burning'!A3732</f>
        <v>0</v>
      </c>
      <c r="B3732" s="156">
        <f>'Reported burning'!B3732</f>
        <v>0</v>
      </c>
      <c r="C3732" s="156">
        <f>'Reported burning'!C3732</f>
        <v>0</v>
      </c>
      <c r="D3732" s="156">
        <f>'Reported burning'!D3732</f>
        <v>0</v>
      </c>
      <c r="E3732" s="156">
        <f>'Reported burning'!E3732</f>
        <v>0</v>
      </c>
      <c r="F3732" s="156">
        <f>'Reported burning'!F3732</f>
        <v>0</v>
      </c>
      <c r="G3732" s="156">
        <f>'Reported burning'!G3732</f>
        <v>0</v>
      </c>
      <c r="H3732" s="156">
        <f>'Reported burning'!H3732</f>
        <v>0</v>
      </c>
      <c r="I3732" s="5"/>
    </row>
    <row r="3733" spans="1:9">
      <c r="A3733" s="156">
        <f>'Reported burning'!A3733</f>
        <v>0</v>
      </c>
      <c r="B3733" s="156">
        <f>'Reported burning'!B3733</f>
        <v>0</v>
      </c>
      <c r="C3733" s="156">
        <f>'Reported burning'!C3733</f>
        <v>0</v>
      </c>
      <c r="D3733" s="156">
        <f>'Reported burning'!D3733</f>
        <v>0</v>
      </c>
      <c r="E3733" s="156">
        <f>'Reported burning'!E3733</f>
        <v>0</v>
      </c>
      <c r="F3733" s="156">
        <f>'Reported burning'!F3733</f>
        <v>0</v>
      </c>
      <c r="G3733" s="156">
        <f>'Reported burning'!G3733</f>
        <v>0</v>
      </c>
      <c r="H3733" s="156">
        <f>'Reported burning'!H3733</f>
        <v>0</v>
      </c>
      <c r="I3733" s="5"/>
    </row>
    <row r="3734" spans="1:9">
      <c r="A3734" s="156">
        <f>'Reported burning'!A3734</f>
        <v>0</v>
      </c>
      <c r="B3734" s="156">
        <f>'Reported burning'!B3734</f>
        <v>0</v>
      </c>
      <c r="C3734" s="156">
        <f>'Reported burning'!C3734</f>
        <v>0</v>
      </c>
      <c r="D3734" s="156">
        <f>'Reported burning'!D3734</f>
        <v>0</v>
      </c>
      <c r="E3734" s="156">
        <f>'Reported burning'!E3734</f>
        <v>0</v>
      </c>
      <c r="F3734" s="156">
        <f>'Reported burning'!F3734</f>
        <v>0</v>
      </c>
      <c r="G3734" s="156">
        <f>'Reported burning'!G3734</f>
        <v>0</v>
      </c>
      <c r="H3734" s="156">
        <f>'Reported burning'!H3734</f>
        <v>0</v>
      </c>
      <c r="I3734" s="5"/>
    </row>
    <row r="3735" spans="1:9">
      <c r="A3735" s="156">
        <f>'Reported burning'!A3735</f>
        <v>0</v>
      </c>
      <c r="B3735" s="156">
        <f>'Reported burning'!B3735</f>
        <v>0</v>
      </c>
      <c r="C3735" s="156">
        <f>'Reported burning'!C3735</f>
        <v>0</v>
      </c>
      <c r="D3735" s="156">
        <f>'Reported burning'!D3735</f>
        <v>0</v>
      </c>
      <c r="E3735" s="156">
        <f>'Reported burning'!E3735</f>
        <v>0</v>
      </c>
      <c r="F3735" s="156">
        <f>'Reported burning'!F3735</f>
        <v>0</v>
      </c>
      <c r="G3735" s="156">
        <f>'Reported burning'!G3735</f>
        <v>0</v>
      </c>
      <c r="H3735" s="156">
        <f>'Reported burning'!H3735</f>
        <v>0</v>
      </c>
      <c r="I3735" s="5"/>
    </row>
    <row r="3736" spans="1:9">
      <c r="A3736" s="156">
        <f>'Reported burning'!A3736</f>
        <v>0</v>
      </c>
      <c r="B3736" s="156">
        <f>'Reported burning'!B3736</f>
        <v>0</v>
      </c>
      <c r="C3736" s="156">
        <f>'Reported burning'!C3736</f>
        <v>0</v>
      </c>
      <c r="D3736" s="156">
        <f>'Reported burning'!D3736</f>
        <v>0</v>
      </c>
      <c r="E3736" s="156">
        <f>'Reported burning'!E3736</f>
        <v>0</v>
      </c>
      <c r="F3736" s="156">
        <f>'Reported burning'!F3736</f>
        <v>0</v>
      </c>
      <c r="G3736" s="156">
        <f>'Reported burning'!G3736</f>
        <v>0</v>
      </c>
      <c r="H3736" s="156">
        <f>'Reported burning'!H3736</f>
        <v>0</v>
      </c>
      <c r="I3736" s="5"/>
    </row>
    <row r="3737" spans="1:9">
      <c r="A3737" s="156">
        <f>'Reported burning'!A3737</f>
        <v>0</v>
      </c>
      <c r="B3737" s="156">
        <f>'Reported burning'!B3737</f>
        <v>0</v>
      </c>
      <c r="C3737" s="156">
        <f>'Reported burning'!C3737</f>
        <v>0</v>
      </c>
      <c r="D3737" s="156">
        <f>'Reported burning'!D3737</f>
        <v>0</v>
      </c>
      <c r="E3737" s="156">
        <f>'Reported burning'!E3737</f>
        <v>0</v>
      </c>
      <c r="F3737" s="156">
        <f>'Reported burning'!F3737</f>
        <v>0</v>
      </c>
      <c r="G3737" s="156">
        <f>'Reported burning'!G3737</f>
        <v>0</v>
      </c>
      <c r="H3737" s="156">
        <f>'Reported burning'!H3737</f>
        <v>0</v>
      </c>
      <c r="I3737" s="5"/>
    </row>
    <row r="3738" spans="1:9">
      <c r="A3738" s="156">
        <f>'Reported burning'!A3738</f>
        <v>0</v>
      </c>
      <c r="B3738" s="156">
        <f>'Reported burning'!B3738</f>
        <v>0</v>
      </c>
      <c r="C3738" s="156">
        <f>'Reported burning'!C3738</f>
        <v>0</v>
      </c>
      <c r="D3738" s="156">
        <f>'Reported burning'!D3738</f>
        <v>0</v>
      </c>
      <c r="E3738" s="156">
        <f>'Reported burning'!E3738</f>
        <v>0</v>
      </c>
      <c r="F3738" s="156">
        <f>'Reported burning'!F3738</f>
        <v>0</v>
      </c>
      <c r="G3738" s="156">
        <f>'Reported burning'!G3738</f>
        <v>0</v>
      </c>
      <c r="H3738" s="156">
        <f>'Reported burning'!H3738</f>
        <v>0</v>
      </c>
      <c r="I3738" s="5"/>
    </row>
    <row r="3739" spans="1:9">
      <c r="A3739" s="156">
        <f>'Reported burning'!A3739</f>
        <v>0</v>
      </c>
      <c r="B3739" s="156">
        <f>'Reported burning'!B3739</f>
        <v>0</v>
      </c>
      <c r="C3739" s="156">
        <f>'Reported burning'!C3739</f>
        <v>0</v>
      </c>
      <c r="D3739" s="156">
        <f>'Reported burning'!D3739</f>
        <v>0</v>
      </c>
      <c r="E3739" s="156">
        <f>'Reported burning'!E3739</f>
        <v>0</v>
      </c>
      <c r="F3739" s="156">
        <f>'Reported burning'!F3739</f>
        <v>0</v>
      </c>
      <c r="G3739" s="156">
        <f>'Reported burning'!G3739</f>
        <v>0</v>
      </c>
      <c r="H3739" s="156">
        <f>'Reported burning'!H3739</f>
        <v>0</v>
      </c>
      <c r="I3739" s="5"/>
    </row>
    <row r="3740" spans="1:9">
      <c r="A3740" s="156">
        <f>'Reported burning'!A3740</f>
        <v>0</v>
      </c>
      <c r="B3740" s="156">
        <f>'Reported burning'!B3740</f>
        <v>0</v>
      </c>
      <c r="C3740" s="156">
        <f>'Reported burning'!C3740</f>
        <v>0</v>
      </c>
      <c r="D3740" s="156">
        <f>'Reported burning'!D3740</f>
        <v>0</v>
      </c>
      <c r="E3740" s="156">
        <f>'Reported burning'!E3740</f>
        <v>0</v>
      </c>
      <c r="F3740" s="156">
        <f>'Reported burning'!F3740</f>
        <v>0</v>
      </c>
      <c r="G3740" s="156">
        <f>'Reported burning'!G3740</f>
        <v>0</v>
      </c>
      <c r="H3740" s="156">
        <f>'Reported burning'!H3740</f>
        <v>0</v>
      </c>
      <c r="I3740" s="5"/>
    </row>
    <row r="3741" spans="1:9">
      <c r="A3741" s="156">
        <f>'Reported burning'!A3741</f>
        <v>0</v>
      </c>
      <c r="B3741" s="156">
        <f>'Reported burning'!B3741</f>
        <v>0</v>
      </c>
      <c r="C3741" s="156">
        <f>'Reported burning'!C3741</f>
        <v>0</v>
      </c>
      <c r="D3741" s="156">
        <f>'Reported burning'!D3741</f>
        <v>0</v>
      </c>
      <c r="E3741" s="156">
        <f>'Reported burning'!E3741</f>
        <v>0</v>
      </c>
      <c r="F3741" s="156">
        <f>'Reported burning'!F3741</f>
        <v>0</v>
      </c>
      <c r="G3741" s="156">
        <f>'Reported burning'!G3741</f>
        <v>0</v>
      </c>
      <c r="H3741" s="156">
        <f>'Reported burning'!H3741</f>
        <v>0</v>
      </c>
      <c r="I3741" s="5"/>
    </row>
    <row r="3742" spans="1:9">
      <c r="A3742" s="156">
        <f>'Reported burning'!A3742</f>
        <v>0</v>
      </c>
      <c r="B3742" s="156">
        <f>'Reported burning'!B3742</f>
        <v>0</v>
      </c>
      <c r="C3742" s="156">
        <f>'Reported burning'!C3742</f>
        <v>0</v>
      </c>
      <c r="D3742" s="156">
        <f>'Reported burning'!D3742</f>
        <v>0</v>
      </c>
      <c r="E3742" s="156">
        <f>'Reported burning'!E3742</f>
        <v>0</v>
      </c>
      <c r="F3742" s="156">
        <f>'Reported burning'!F3742</f>
        <v>0</v>
      </c>
      <c r="G3742" s="156">
        <f>'Reported burning'!G3742</f>
        <v>0</v>
      </c>
      <c r="H3742" s="156">
        <f>'Reported burning'!H3742</f>
        <v>0</v>
      </c>
      <c r="I3742" s="5"/>
    </row>
    <row r="3743" spans="1:9">
      <c r="A3743" s="156">
        <f>'Reported burning'!A3743</f>
        <v>0</v>
      </c>
      <c r="B3743" s="156">
        <f>'Reported burning'!B3743</f>
        <v>0</v>
      </c>
      <c r="C3743" s="156">
        <f>'Reported burning'!C3743</f>
        <v>0</v>
      </c>
      <c r="D3743" s="156">
        <f>'Reported burning'!D3743</f>
        <v>0</v>
      </c>
      <c r="E3743" s="156">
        <f>'Reported burning'!E3743</f>
        <v>0</v>
      </c>
      <c r="F3743" s="156">
        <f>'Reported burning'!F3743</f>
        <v>0</v>
      </c>
      <c r="G3743" s="156">
        <f>'Reported burning'!G3743</f>
        <v>0</v>
      </c>
      <c r="H3743" s="156">
        <f>'Reported burning'!H3743</f>
        <v>0</v>
      </c>
      <c r="I3743" s="5"/>
    </row>
    <row r="3744" spans="1:9">
      <c r="A3744" s="156">
        <f>'Reported burning'!A3744</f>
        <v>0</v>
      </c>
      <c r="B3744" s="156">
        <f>'Reported burning'!B3744</f>
        <v>0</v>
      </c>
      <c r="C3744" s="156">
        <f>'Reported burning'!C3744</f>
        <v>0</v>
      </c>
      <c r="D3744" s="156">
        <f>'Reported burning'!D3744</f>
        <v>0</v>
      </c>
      <c r="E3744" s="156">
        <f>'Reported burning'!E3744</f>
        <v>0</v>
      </c>
      <c r="F3744" s="156">
        <f>'Reported burning'!F3744</f>
        <v>0</v>
      </c>
      <c r="G3744" s="156">
        <f>'Reported burning'!G3744</f>
        <v>0</v>
      </c>
      <c r="H3744" s="156">
        <f>'Reported burning'!H3744</f>
        <v>0</v>
      </c>
      <c r="I3744" s="5"/>
    </row>
    <row r="3745" spans="1:9">
      <c r="A3745" s="156">
        <f>'Reported burning'!A3745</f>
        <v>0</v>
      </c>
      <c r="B3745" s="156">
        <f>'Reported burning'!B3745</f>
        <v>0</v>
      </c>
      <c r="C3745" s="156">
        <f>'Reported burning'!C3745</f>
        <v>0</v>
      </c>
      <c r="D3745" s="156">
        <f>'Reported burning'!D3745</f>
        <v>0</v>
      </c>
      <c r="E3745" s="156">
        <f>'Reported burning'!E3745</f>
        <v>0</v>
      </c>
      <c r="F3745" s="156">
        <f>'Reported burning'!F3745</f>
        <v>0</v>
      </c>
      <c r="G3745" s="156">
        <f>'Reported burning'!G3745</f>
        <v>0</v>
      </c>
      <c r="H3745" s="156">
        <f>'Reported burning'!H3745</f>
        <v>0</v>
      </c>
      <c r="I3745" s="5"/>
    </row>
    <row r="3746" spans="1:9">
      <c r="A3746" s="156">
        <f>'Reported burning'!A3746</f>
        <v>0</v>
      </c>
      <c r="B3746" s="156">
        <f>'Reported burning'!B3746</f>
        <v>0</v>
      </c>
      <c r="C3746" s="156">
        <f>'Reported burning'!C3746</f>
        <v>0</v>
      </c>
      <c r="D3746" s="156">
        <f>'Reported burning'!D3746</f>
        <v>0</v>
      </c>
      <c r="E3746" s="156">
        <f>'Reported burning'!E3746</f>
        <v>0</v>
      </c>
      <c r="F3746" s="156">
        <f>'Reported burning'!F3746</f>
        <v>0</v>
      </c>
      <c r="G3746" s="156">
        <f>'Reported burning'!G3746</f>
        <v>0</v>
      </c>
      <c r="H3746" s="156">
        <f>'Reported burning'!H3746</f>
        <v>0</v>
      </c>
      <c r="I3746" s="5"/>
    </row>
    <row r="3747" spans="1:9">
      <c r="A3747" s="156">
        <f>'Reported burning'!A3747</f>
        <v>0</v>
      </c>
      <c r="B3747" s="156">
        <f>'Reported burning'!B3747</f>
        <v>0</v>
      </c>
      <c r="C3747" s="156">
        <f>'Reported burning'!C3747</f>
        <v>0</v>
      </c>
      <c r="D3747" s="156">
        <f>'Reported burning'!D3747</f>
        <v>0</v>
      </c>
      <c r="E3747" s="156">
        <f>'Reported burning'!E3747</f>
        <v>0</v>
      </c>
      <c r="F3747" s="156">
        <f>'Reported burning'!F3747</f>
        <v>0</v>
      </c>
      <c r="G3747" s="156">
        <f>'Reported burning'!G3747</f>
        <v>0</v>
      </c>
      <c r="H3747" s="156">
        <f>'Reported burning'!H3747</f>
        <v>0</v>
      </c>
      <c r="I3747" s="5"/>
    </row>
    <row r="3748" spans="1:9">
      <c r="A3748" s="156">
        <f>'Reported burning'!A3748</f>
        <v>0</v>
      </c>
      <c r="B3748" s="156">
        <f>'Reported burning'!B3748</f>
        <v>0</v>
      </c>
      <c r="C3748" s="156">
        <f>'Reported burning'!C3748</f>
        <v>0</v>
      </c>
      <c r="D3748" s="156">
        <f>'Reported burning'!D3748</f>
        <v>0</v>
      </c>
      <c r="E3748" s="156">
        <f>'Reported burning'!E3748</f>
        <v>0</v>
      </c>
      <c r="F3748" s="156">
        <f>'Reported burning'!F3748</f>
        <v>0</v>
      </c>
      <c r="G3748" s="156">
        <f>'Reported burning'!G3748</f>
        <v>0</v>
      </c>
      <c r="H3748" s="156">
        <f>'Reported burning'!H3748</f>
        <v>0</v>
      </c>
      <c r="I3748" s="5"/>
    </row>
    <row r="3749" spans="1:9">
      <c r="A3749" s="156">
        <f>'Reported burning'!A3749</f>
        <v>0</v>
      </c>
      <c r="B3749" s="156">
        <f>'Reported burning'!B3749</f>
        <v>0</v>
      </c>
      <c r="C3749" s="156">
        <f>'Reported burning'!C3749</f>
        <v>0</v>
      </c>
      <c r="D3749" s="156">
        <f>'Reported burning'!D3749</f>
        <v>0</v>
      </c>
      <c r="E3749" s="156">
        <f>'Reported burning'!E3749</f>
        <v>0</v>
      </c>
      <c r="F3749" s="156">
        <f>'Reported burning'!F3749</f>
        <v>0</v>
      </c>
      <c r="G3749" s="156">
        <f>'Reported burning'!G3749</f>
        <v>0</v>
      </c>
      <c r="H3749" s="156">
        <f>'Reported burning'!H3749</f>
        <v>0</v>
      </c>
      <c r="I3749" s="5"/>
    </row>
    <row r="3750" spans="1:9">
      <c r="A3750" s="156">
        <f>'Reported burning'!A3750</f>
        <v>0</v>
      </c>
      <c r="B3750" s="156">
        <f>'Reported burning'!B3750</f>
        <v>0</v>
      </c>
      <c r="C3750" s="156">
        <f>'Reported burning'!C3750</f>
        <v>0</v>
      </c>
      <c r="D3750" s="156">
        <f>'Reported burning'!D3750</f>
        <v>0</v>
      </c>
      <c r="E3750" s="156">
        <f>'Reported burning'!E3750</f>
        <v>0</v>
      </c>
      <c r="F3750" s="156">
        <f>'Reported burning'!F3750</f>
        <v>0</v>
      </c>
      <c r="G3750" s="156">
        <f>'Reported burning'!G3750</f>
        <v>0</v>
      </c>
      <c r="H3750" s="156">
        <f>'Reported burning'!H3750</f>
        <v>0</v>
      </c>
      <c r="I3750" s="5"/>
    </row>
    <row r="3751" spans="1:9">
      <c r="A3751" s="156">
        <f>'Reported burning'!A3751</f>
        <v>0</v>
      </c>
      <c r="B3751" s="156">
        <f>'Reported burning'!B3751</f>
        <v>0</v>
      </c>
      <c r="C3751" s="156">
        <f>'Reported burning'!C3751</f>
        <v>0</v>
      </c>
      <c r="D3751" s="156">
        <f>'Reported burning'!D3751</f>
        <v>0</v>
      </c>
      <c r="E3751" s="156">
        <f>'Reported burning'!E3751</f>
        <v>0</v>
      </c>
      <c r="F3751" s="156">
        <f>'Reported burning'!F3751</f>
        <v>0</v>
      </c>
      <c r="G3751" s="156">
        <f>'Reported burning'!G3751</f>
        <v>0</v>
      </c>
      <c r="H3751" s="156">
        <f>'Reported burning'!H3751</f>
        <v>0</v>
      </c>
      <c r="I3751" s="5"/>
    </row>
    <row r="3752" spans="1:9">
      <c r="A3752" s="156">
        <f>'Reported burning'!A3752</f>
        <v>0</v>
      </c>
      <c r="B3752" s="156">
        <f>'Reported burning'!B3752</f>
        <v>0</v>
      </c>
      <c r="C3752" s="156">
        <f>'Reported burning'!C3752</f>
        <v>0</v>
      </c>
      <c r="D3752" s="156">
        <f>'Reported burning'!D3752</f>
        <v>0</v>
      </c>
      <c r="E3752" s="156">
        <f>'Reported burning'!E3752</f>
        <v>0</v>
      </c>
      <c r="F3752" s="156">
        <f>'Reported burning'!F3752</f>
        <v>0</v>
      </c>
      <c r="G3752" s="156">
        <f>'Reported burning'!G3752</f>
        <v>0</v>
      </c>
      <c r="H3752" s="156">
        <f>'Reported burning'!H3752</f>
        <v>0</v>
      </c>
      <c r="I3752" s="5"/>
    </row>
    <row r="3753" spans="1:9">
      <c r="A3753" s="156">
        <f>'Reported burning'!A3753</f>
        <v>0</v>
      </c>
      <c r="B3753" s="156">
        <f>'Reported burning'!B3753</f>
        <v>0</v>
      </c>
      <c r="C3753" s="156">
        <f>'Reported burning'!C3753</f>
        <v>0</v>
      </c>
      <c r="D3753" s="156">
        <f>'Reported burning'!D3753</f>
        <v>0</v>
      </c>
      <c r="E3753" s="156">
        <f>'Reported burning'!E3753</f>
        <v>0</v>
      </c>
      <c r="F3753" s="156">
        <f>'Reported burning'!F3753</f>
        <v>0</v>
      </c>
      <c r="G3753" s="156">
        <f>'Reported burning'!G3753</f>
        <v>0</v>
      </c>
      <c r="H3753" s="156">
        <f>'Reported burning'!H3753</f>
        <v>0</v>
      </c>
      <c r="I3753" s="5"/>
    </row>
    <row r="3754" spans="1:9">
      <c r="A3754" s="156">
        <f>'Reported burning'!A3754</f>
        <v>0</v>
      </c>
      <c r="B3754" s="156">
        <f>'Reported burning'!B3754</f>
        <v>0</v>
      </c>
      <c r="C3754" s="156">
        <f>'Reported burning'!C3754</f>
        <v>0</v>
      </c>
      <c r="D3754" s="156">
        <f>'Reported burning'!D3754</f>
        <v>0</v>
      </c>
      <c r="E3754" s="156">
        <f>'Reported burning'!E3754</f>
        <v>0</v>
      </c>
      <c r="F3754" s="156">
        <f>'Reported burning'!F3754</f>
        <v>0</v>
      </c>
      <c r="G3754" s="156">
        <f>'Reported burning'!G3754</f>
        <v>0</v>
      </c>
      <c r="H3754" s="156">
        <f>'Reported burning'!H3754</f>
        <v>0</v>
      </c>
      <c r="I3754" s="5"/>
    </row>
    <row r="3755" spans="1:9">
      <c r="A3755" s="156">
        <f>'Reported burning'!A3755</f>
        <v>0</v>
      </c>
      <c r="B3755" s="156">
        <f>'Reported burning'!B3755</f>
        <v>0</v>
      </c>
      <c r="C3755" s="156">
        <f>'Reported burning'!C3755</f>
        <v>0</v>
      </c>
      <c r="D3755" s="156">
        <f>'Reported burning'!D3755</f>
        <v>0</v>
      </c>
      <c r="E3755" s="156">
        <f>'Reported burning'!E3755</f>
        <v>0</v>
      </c>
      <c r="F3755" s="156">
        <f>'Reported burning'!F3755</f>
        <v>0</v>
      </c>
      <c r="G3755" s="156">
        <f>'Reported burning'!G3755</f>
        <v>0</v>
      </c>
      <c r="H3755" s="156">
        <f>'Reported burning'!H3755</f>
        <v>0</v>
      </c>
      <c r="I3755" s="5"/>
    </row>
    <row r="3756" spans="1:9">
      <c r="A3756" s="156">
        <f>'Reported burning'!A3756</f>
        <v>0</v>
      </c>
      <c r="B3756" s="156">
        <f>'Reported burning'!B3756</f>
        <v>0</v>
      </c>
      <c r="C3756" s="156">
        <f>'Reported burning'!C3756</f>
        <v>0</v>
      </c>
      <c r="D3756" s="156">
        <f>'Reported burning'!D3756</f>
        <v>0</v>
      </c>
      <c r="E3756" s="156">
        <f>'Reported burning'!E3756</f>
        <v>0</v>
      </c>
      <c r="F3756" s="156">
        <f>'Reported burning'!F3756</f>
        <v>0</v>
      </c>
      <c r="G3756" s="156">
        <f>'Reported burning'!G3756</f>
        <v>0</v>
      </c>
      <c r="H3756" s="156">
        <f>'Reported burning'!H3756</f>
        <v>0</v>
      </c>
      <c r="I3756" s="5"/>
    </row>
    <row r="3757" spans="1:9">
      <c r="A3757" s="156">
        <f>'Reported burning'!A3757</f>
        <v>0</v>
      </c>
      <c r="B3757" s="156">
        <f>'Reported burning'!B3757</f>
        <v>0</v>
      </c>
      <c r="C3757" s="156">
        <f>'Reported burning'!C3757</f>
        <v>0</v>
      </c>
      <c r="D3757" s="156">
        <f>'Reported burning'!D3757</f>
        <v>0</v>
      </c>
      <c r="E3757" s="156">
        <f>'Reported burning'!E3757</f>
        <v>0</v>
      </c>
      <c r="F3757" s="156">
        <f>'Reported burning'!F3757</f>
        <v>0</v>
      </c>
      <c r="G3757" s="156">
        <f>'Reported burning'!G3757</f>
        <v>0</v>
      </c>
      <c r="H3757" s="156">
        <f>'Reported burning'!H3757</f>
        <v>0</v>
      </c>
      <c r="I3757" s="5"/>
    </row>
    <row r="3758" spans="1:9">
      <c r="A3758" s="156">
        <f>'Reported burning'!A3758</f>
        <v>0</v>
      </c>
      <c r="B3758" s="156">
        <f>'Reported burning'!B3758</f>
        <v>0</v>
      </c>
      <c r="C3758" s="156">
        <f>'Reported burning'!C3758</f>
        <v>0</v>
      </c>
      <c r="D3758" s="156">
        <f>'Reported burning'!D3758</f>
        <v>0</v>
      </c>
      <c r="E3758" s="156">
        <f>'Reported burning'!E3758</f>
        <v>0</v>
      </c>
      <c r="F3758" s="156">
        <f>'Reported burning'!F3758</f>
        <v>0</v>
      </c>
      <c r="G3758" s="156">
        <f>'Reported burning'!G3758</f>
        <v>0</v>
      </c>
      <c r="H3758" s="156">
        <f>'Reported burning'!H3758</f>
        <v>0</v>
      </c>
      <c r="I3758" s="5"/>
    </row>
    <row r="3759" spans="1:9">
      <c r="A3759" s="156">
        <f>'Reported burning'!A3759</f>
        <v>0</v>
      </c>
      <c r="B3759" s="156">
        <f>'Reported burning'!B3759</f>
        <v>0</v>
      </c>
      <c r="C3759" s="156">
        <f>'Reported burning'!C3759</f>
        <v>0</v>
      </c>
      <c r="D3759" s="156">
        <f>'Reported burning'!D3759</f>
        <v>0</v>
      </c>
      <c r="E3759" s="156">
        <f>'Reported burning'!E3759</f>
        <v>0</v>
      </c>
      <c r="F3759" s="156">
        <f>'Reported burning'!F3759</f>
        <v>0</v>
      </c>
      <c r="G3759" s="156">
        <f>'Reported burning'!G3759</f>
        <v>0</v>
      </c>
      <c r="H3759" s="156">
        <f>'Reported burning'!H3759</f>
        <v>0</v>
      </c>
      <c r="I3759" s="5"/>
    </row>
    <row r="3760" spans="1:9">
      <c r="A3760" s="156">
        <f>'Reported burning'!A3760</f>
        <v>0</v>
      </c>
      <c r="B3760" s="156">
        <f>'Reported burning'!B3760</f>
        <v>0</v>
      </c>
      <c r="C3760" s="156">
        <f>'Reported burning'!C3760</f>
        <v>0</v>
      </c>
      <c r="D3760" s="156">
        <f>'Reported burning'!D3760</f>
        <v>0</v>
      </c>
      <c r="E3760" s="156">
        <f>'Reported burning'!E3760</f>
        <v>0</v>
      </c>
      <c r="F3760" s="156">
        <f>'Reported burning'!F3760</f>
        <v>0</v>
      </c>
      <c r="G3760" s="156">
        <f>'Reported burning'!G3760</f>
        <v>0</v>
      </c>
      <c r="H3760" s="156">
        <f>'Reported burning'!H3760</f>
        <v>0</v>
      </c>
      <c r="I3760" s="5"/>
    </row>
    <row r="3761" spans="1:9">
      <c r="A3761" s="156">
        <f>'Reported burning'!A3761</f>
        <v>0</v>
      </c>
      <c r="B3761" s="156">
        <f>'Reported burning'!B3761</f>
        <v>0</v>
      </c>
      <c r="C3761" s="156">
        <f>'Reported burning'!C3761</f>
        <v>0</v>
      </c>
      <c r="D3761" s="156">
        <f>'Reported burning'!D3761</f>
        <v>0</v>
      </c>
      <c r="E3761" s="156">
        <f>'Reported burning'!E3761</f>
        <v>0</v>
      </c>
      <c r="F3761" s="156">
        <f>'Reported burning'!F3761</f>
        <v>0</v>
      </c>
      <c r="G3761" s="156">
        <f>'Reported burning'!G3761</f>
        <v>0</v>
      </c>
      <c r="H3761" s="156">
        <f>'Reported burning'!H3761</f>
        <v>0</v>
      </c>
      <c r="I3761" s="5"/>
    </row>
    <row r="3762" spans="1:9">
      <c r="A3762" s="156">
        <f>'Reported burning'!A3762</f>
        <v>0</v>
      </c>
      <c r="B3762" s="156">
        <f>'Reported burning'!B3762</f>
        <v>0</v>
      </c>
      <c r="C3762" s="156">
        <f>'Reported burning'!C3762</f>
        <v>0</v>
      </c>
      <c r="D3762" s="156">
        <f>'Reported burning'!D3762</f>
        <v>0</v>
      </c>
      <c r="E3762" s="156">
        <f>'Reported burning'!E3762</f>
        <v>0</v>
      </c>
      <c r="F3762" s="156">
        <f>'Reported burning'!F3762</f>
        <v>0</v>
      </c>
      <c r="G3762" s="156">
        <f>'Reported burning'!G3762</f>
        <v>0</v>
      </c>
      <c r="H3762" s="156">
        <f>'Reported burning'!H3762</f>
        <v>0</v>
      </c>
      <c r="I3762" s="5"/>
    </row>
    <row r="3763" spans="1:9">
      <c r="A3763" s="156">
        <f>'Reported burning'!A3763</f>
        <v>0</v>
      </c>
      <c r="B3763" s="156">
        <f>'Reported burning'!B3763</f>
        <v>0</v>
      </c>
      <c r="C3763" s="156">
        <f>'Reported burning'!C3763</f>
        <v>0</v>
      </c>
      <c r="D3763" s="156">
        <f>'Reported burning'!D3763</f>
        <v>0</v>
      </c>
      <c r="E3763" s="156">
        <f>'Reported burning'!E3763</f>
        <v>0</v>
      </c>
      <c r="F3763" s="156">
        <f>'Reported burning'!F3763</f>
        <v>0</v>
      </c>
      <c r="G3763" s="156">
        <f>'Reported burning'!G3763</f>
        <v>0</v>
      </c>
      <c r="H3763" s="156">
        <f>'Reported burning'!H3763</f>
        <v>0</v>
      </c>
      <c r="I3763" s="5"/>
    </row>
    <row r="3764" spans="1:9">
      <c r="A3764" s="156">
        <f>'Reported burning'!A3764</f>
        <v>0</v>
      </c>
      <c r="B3764" s="156">
        <f>'Reported burning'!B3764</f>
        <v>0</v>
      </c>
      <c r="C3764" s="156">
        <f>'Reported burning'!C3764</f>
        <v>0</v>
      </c>
      <c r="D3764" s="156">
        <f>'Reported burning'!D3764</f>
        <v>0</v>
      </c>
      <c r="E3764" s="156">
        <f>'Reported burning'!E3764</f>
        <v>0</v>
      </c>
      <c r="F3764" s="156">
        <f>'Reported burning'!F3764</f>
        <v>0</v>
      </c>
      <c r="G3764" s="156">
        <f>'Reported burning'!G3764</f>
        <v>0</v>
      </c>
      <c r="H3764" s="156">
        <f>'Reported burning'!H3764</f>
        <v>0</v>
      </c>
      <c r="I3764" s="5"/>
    </row>
    <row r="3765" spans="1:9">
      <c r="A3765" s="156">
        <f>'Reported burning'!A3765</f>
        <v>0</v>
      </c>
      <c r="B3765" s="156">
        <f>'Reported burning'!B3765</f>
        <v>0</v>
      </c>
      <c r="C3765" s="156">
        <f>'Reported burning'!C3765</f>
        <v>0</v>
      </c>
      <c r="D3765" s="156">
        <f>'Reported burning'!D3765</f>
        <v>0</v>
      </c>
      <c r="E3765" s="156">
        <f>'Reported burning'!E3765</f>
        <v>0</v>
      </c>
      <c r="F3765" s="156">
        <f>'Reported burning'!F3765</f>
        <v>0</v>
      </c>
      <c r="G3765" s="156">
        <f>'Reported burning'!G3765</f>
        <v>0</v>
      </c>
      <c r="H3765" s="156">
        <f>'Reported burning'!H3765</f>
        <v>0</v>
      </c>
      <c r="I3765" s="5"/>
    </row>
    <row r="3766" spans="1:9">
      <c r="A3766" s="156">
        <f>'Reported burning'!A3766</f>
        <v>0</v>
      </c>
      <c r="B3766" s="156">
        <f>'Reported burning'!B3766</f>
        <v>0</v>
      </c>
      <c r="C3766" s="156">
        <f>'Reported burning'!C3766</f>
        <v>0</v>
      </c>
      <c r="D3766" s="156">
        <f>'Reported burning'!D3766</f>
        <v>0</v>
      </c>
      <c r="E3766" s="156">
        <f>'Reported burning'!E3766</f>
        <v>0</v>
      </c>
      <c r="F3766" s="156">
        <f>'Reported burning'!F3766</f>
        <v>0</v>
      </c>
      <c r="G3766" s="156">
        <f>'Reported burning'!G3766</f>
        <v>0</v>
      </c>
      <c r="H3766" s="156">
        <f>'Reported burning'!H3766</f>
        <v>0</v>
      </c>
      <c r="I3766" s="5"/>
    </row>
    <row r="3767" spans="1:9">
      <c r="A3767" s="156">
        <f>'Reported burning'!A3767</f>
        <v>0</v>
      </c>
      <c r="B3767" s="156">
        <f>'Reported burning'!B3767</f>
        <v>0</v>
      </c>
      <c r="C3767" s="156">
        <f>'Reported burning'!C3767</f>
        <v>0</v>
      </c>
      <c r="D3767" s="156">
        <f>'Reported burning'!D3767</f>
        <v>0</v>
      </c>
      <c r="E3767" s="156">
        <f>'Reported burning'!E3767</f>
        <v>0</v>
      </c>
      <c r="F3767" s="156">
        <f>'Reported burning'!F3767</f>
        <v>0</v>
      </c>
      <c r="G3767" s="156">
        <f>'Reported burning'!G3767</f>
        <v>0</v>
      </c>
      <c r="H3767" s="156">
        <f>'Reported burning'!H3767</f>
        <v>0</v>
      </c>
      <c r="I3767" s="5"/>
    </row>
    <row r="3768" spans="1:9">
      <c r="A3768" s="156">
        <f>'Reported burning'!A3768</f>
        <v>0</v>
      </c>
      <c r="B3768" s="156">
        <f>'Reported burning'!B3768</f>
        <v>0</v>
      </c>
      <c r="C3768" s="156">
        <f>'Reported burning'!C3768</f>
        <v>0</v>
      </c>
      <c r="D3768" s="156">
        <f>'Reported burning'!D3768</f>
        <v>0</v>
      </c>
      <c r="E3768" s="156">
        <f>'Reported burning'!E3768</f>
        <v>0</v>
      </c>
      <c r="F3768" s="156">
        <f>'Reported burning'!F3768</f>
        <v>0</v>
      </c>
      <c r="G3768" s="156">
        <f>'Reported burning'!G3768</f>
        <v>0</v>
      </c>
      <c r="H3768" s="156">
        <f>'Reported burning'!H3768</f>
        <v>0</v>
      </c>
      <c r="I3768" s="5"/>
    </row>
    <row r="3769" spans="1:9">
      <c r="A3769" s="156">
        <f>'Reported burning'!A3769</f>
        <v>0</v>
      </c>
      <c r="B3769" s="156">
        <f>'Reported burning'!B3769</f>
        <v>0</v>
      </c>
      <c r="C3769" s="156">
        <f>'Reported burning'!C3769</f>
        <v>0</v>
      </c>
      <c r="D3769" s="156">
        <f>'Reported burning'!D3769</f>
        <v>0</v>
      </c>
      <c r="E3769" s="156">
        <f>'Reported burning'!E3769</f>
        <v>0</v>
      </c>
      <c r="F3769" s="156">
        <f>'Reported burning'!F3769</f>
        <v>0</v>
      </c>
      <c r="G3769" s="156">
        <f>'Reported burning'!G3769</f>
        <v>0</v>
      </c>
      <c r="H3769" s="156">
        <f>'Reported burning'!H3769</f>
        <v>0</v>
      </c>
      <c r="I3769" s="5"/>
    </row>
    <row r="3770" spans="1:9">
      <c r="A3770" s="156">
        <f>'Reported burning'!A3770</f>
        <v>0</v>
      </c>
      <c r="B3770" s="156">
        <f>'Reported burning'!B3770</f>
        <v>0</v>
      </c>
      <c r="C3770" s="156">
        <f>'Reported burning'!C3770</f>
        <v>0</v>
      </c>
      <c r="D3770" s="156">
        <f>'Reported burning'!D3770</f>
        <v>0</v>
      </c>
      <c r="E3770" s="156">
        <f>'Reported burning'!E3770</f>
        <v>0</v>
      </c>
      <c r="F3770" s="156">
        <f>'Reported burning'!F3770</f>
        <v>0</v>
      </c>
      <c r="G3770" s="156">
        <f>'Reported burning'!G3770</f>
        <v>0</v>
      </c>
      <c r="H3770" s="156">
        <f>'Reported burning'!H3770</f>
        <v>0</v>
      </c>
      <c r="I3770" s="5"/>
    </row>
    <row r="3771" spans="1:9">
      <c r="A3771" s="156">
        <f>'Reported burning'!A3771</f>
        <v>0</v>
      </c>
      <c r="B3771" s="156">
        <f>'Reported burning'!B3771</f>
        <v>0</v>
      </c>
      <c r="C3771" s="156">
        <f>'Reported burning'!C3771</f>
        <v>0</v>
      </c>
      <c r="D3771" s="156">
        <f>'Reported burning'!D3771</f>
        <v>0</v>
      </c>
      <c r="E3771" s="156">
        <f>'Reported burning'!E3771</f>
        <v>0</v>
      </c>
      <c r="F3771" s="156">
        <f>'Reported burning'!F3771</f>
        <v>0</v>
      </c>
      <c r="G3771" s="156">
        <f>'Reported burning'!G3771</f>
        <v>0</v>
      </c>
      <c r="H3771" s="156">
        <f>'Reported burning'!H3771</f>
        <v>0</v>
      </c>
      <c r="I3771" s="5"/>
    </row>
    <row r="3772" spans="1:9">
      <c r="A3772" s="156">
        <f>'Reported burning'!A3772</f>
        <v>0</v>
      </c>
      <c r="B3772" s="156">
        <f>'Reported burning'!B3772</f>
        <v>0</v>
      </c>
      <c r="C3772" s="156">
        <f>'Reported burning'!C3772</f>
        <v>0</v>
      </c>
      <c r="D3772" s="156">
        <f>'Reported burning'!D3772</f>
        <v>0</v>
      </c>
      <c r="E3772" s="156">
        <f>'Reported burning'!E3772</f>
        <v>0</v>
      </c>
      <c r="F3772" s="156">
        <f>'Reported burning'!F3772</f>
        <v>0</v>
      </c>
      <c r="G3772" s="156">
        <f>'Reported burning'!G3772</f>
        <v>0</v>
      </c>
      <c r="H3772" s="156">
        <f>'Reported burning'!H3772</f>
        <v>0</v>
      </c>
      <c r="I3772" s="5"/>
    </row>
    <row r="3773" spans="1:9">
      <c r="A3773" s="156">
        <f>'Reported burning'!A3773</f>
        <v>0</v>
      </c>
      <c r="B3773" s="156">
        <f>'Reported burning'!B3773</f>
        <v>0</v>
      </c>
      <c r="C3773" s="156">
        <f>'Reported burning'!C3773</f>
        <v>0</v>
      </c>
      <c r="D3773" s="156">
        <f>'Reported burning'!D3773</f>
        <v>0</v>
      </c>
      <c r="E3773" s="156">
        <f>'Reported burning'!E3773</f>
        <v>0</v>
      </c>
      <c r="F3773" s="156">
        <f>'Reported burning'!F3773</f>
        <v>0</v>
      </c>
      <c r="G3773" s="156">
        <f>'Reported burning'!G3773</f>
        <v>0</v>
      </c>
      <c r="H3773" s="156">
        <f>'Reported burning'!H3773</f>
        <v>0</v>
      </c>
      <c r="I3773" s="5"/>
    </row>
    <row r="3774" spans="1:9">
      <c r="A3774" s="156">
        <f>'Reported burning'!A3774</f>
        <v>0</v>
      </c>
      <c r="B3774" s="156">
        <f>'Reported burning'!B3774</f>
        <v>0</v>
      </c>
      <c r="C3774" s="156">
        <f>'Reported burning'!C3774</f>
        <v>0</v>
      </c>
      <c r="D3774" s="156">
        <f>'Reported burning'!D3774</f>
        <v>0</v>
      </c>
      <c r="E3774" s="156">
        <f>'Reported burning'!E3774</f>
        <v>0</v>
      </c>
      <c r="F3774" s="156">
        <f>'Reported burning'!F3774</f>
        <v>0</v>
      </c>
      <c r="G3774" s="156">
        <f>'Reported burning'!G3774</f>
        <v>0</v>
      </c>
      <c r="H3774" s="156">
        <f>'Reported burning'!H3774</f>
        <v>0</v>
      </c>
      <c r="I3774" s="5"/>
    </row>
    <row r="3775" spans="1:9">
      <c r="A3775" s="156">
        <f>'Reported burning'!A3775</f>
        <v>0</v>
      </c>
      <c r="B3775" s="156">
        <f>'Reported burning'!B3775</f>
        <v>0</v>
      </c>
      <c r="C3775" s="156">
        <f>'Reported burning'!C3775</f>
        <v>0</v>
      </c>
      <c r="D3775" s="156">
        <f>'Reported burning'!D3775</f>
        <v>0</v>
      </c>
      <c r="E3775" s="156">
        <f>'Reported burning'!E3775</f>
        <v>0</v>
      </c>
      <c r="F3775" s="156">
        <f>'Reported burning'!F3775</f>
        <v>0</v>
      </c>
      <c r="G3775" s="156">
        <f>'Reported burning'!G3775</f>
        <v>0</v>
      </c>
      <c r="H3775" s="156">
        <f>'Reported burning'!H3775</f>
        <v>0</v>
      </c>
      <c r="I3775" s="5"/>
    </row>
    <row r="3776" spans="1:9">
      <c r="A3776" s="156">
        <f>'Reported burning'!A3776</f>
        <v>0</v>
      </c>
      <c r="B3776" s="156">
        <f>'Reported burning'!B3776</f>
        <v>0</v>
      </c>
      <c r="C3776" s="156">
        <f>'Reported burning'!C3776</f>
        <v>0</v>
      </c>
      <c r="D3776" s="156">
        <f>'Reported burning'!D3776</f>
        <v>0</v>
      </c>
      <c r="E3776" s="156">
        <f>'Reported burning'!E3776</f>
        <v>0</v>
      </c>
      <c r="F3776" s="156">
        <f>'Reported burning'!F3776</f>
        <v>0</v>
      </c>
      <c r="G3776" s="156">
        <f>'Reported burning'!G3776</f>
        <v>0</v>
      </c>
      <c r="H3776" s="156">
        <f>'Reported burning'!H3776</f>
        <v>0</v>
      </c>
      <c r="I3776" s="5"/>
    </row>
    <row r="3777" spans="1:9">
      <c r="A3777" s="156">
        <f>'Reported burning'!A3777</f>
        <v>0</v>
      </c>
      <c r="B3777" s="156">
        <f>'Reported burning'!B3777</f>
        <v>0</v>
      </c>
      <c r="C3777" s="156">
        <f>'Reported burning'!C3777</f>
        <v>0</v>
      </c>
      <c r="D3777" s="156">
        <f>'Reported burning'!D3777</f>
        <v>0</v>
      </c>
      <c r="E3777" s="156">
        <f>'Reported burning'!E3777</f>
        <v>0</v>
      </c>
      <c r="F3777" s="156">
        <f>'Reported burning'!F3777</f>
        <v>0</v>
      </c>
      <c r="G3777" s="156">
        <f>'Reported burning'!G3777</f>
        <v>0</v>
      </c>
      <c r="H3777" s="156">
        <f>'Reported burning'!H3777</f>
        <v>0</v>
      </c>
      <c r="I3777" s="5"/>
    </row>
    <row r="3778" spans="1:9">
      <c r="A3778" s="156">
        <f>'Reported burning'!A3778</f>
        <v>0</v>
      </c>
      <c r="B3778" s="156">
        <f>'Reported burning'!B3778</f>
        <v>0</v>
      </c>
      <c r="C3778" s="156">
        <f>'Reported burning'!C3778</f>
        <v>0</v>
      </c>
      <c r="D3778" s="156">
        <f>'Reported burning'!D3778</f>
        <v>0</v>
      </c>
      <c r="E3778" s="156">
        <f>'Reported burning'!E3778</f>
        <v>0</v>
      </c>
      <c r="F3778" s="156">
        <f>'Reported burning'!F3778</f>
        <v>0</v>
      </c>
      <c r="G3778" s="156">
        <f>'Reported burning'!G3778</f>
        <v>0</v>
      </c>
      <c r="H3778" s="156">
        <f>'Reported burning'!H3778</f>
        <v>0</v>
      </c>
      <c r="I3778" s="5"/>
    </row>
    <row r="3779" spans="1:9">
      <c r="A3779" s="156">
        <f>'Reported burning'!A3779</f>
        <v>0</v>
      </c>
      <c r="B3779" s="156">
        <f>'Reported burning'!B3779</f>
        <v>0</v>
      </c>
      <c r="C3779" s="156">
        <f>'Reported burning'!C3779</f>
        <v>0</v>
      </c>
      <c r="D3779" s="156">
        <f>'Reported burning'!D3779</f>
        <v>0</v>
      </c>
      <c r="E3779" s="156">
        <f>'Reported burning'!E3779</f>
        <v>0</v>
      </c>
      <c r="F3779" s="156">
        <f>'Reported burning'!F3779</f>
        <v>0</v>
      </c>
      <c r="G3779" s="156">
        <f>'Reported burning'!G3779</f>
        <v>0</v>
      </c>
      <c r="H3779" s="156">
        <f>'Reported burning'!H3779</f>
        <v>0</v>
      </c>
      <c r="I3779" s="5"/>
    </row>
    <row r="3780" spans="1:9">
      <c r="A3780" s="156">
        <f>'Reported burning'!A3780</f>
        <v>0</v>
      </c>
      <c r="B3780" s="156">
        <f>'Reported burning'!B3780</f>
        <v>0</v>
      </c>
      <c r="C3780" s="156">
        <f>'Reported burning'!C3780</f>
        <v>0</v>
      </c>
      <c r="D3780" s="156">
        <f>'Reported burning'!D3780</f>
        <v>0</v>
      </c>
      <c r="E3780" s="156">
        <f>'Reported burning'!E3780</f>
        <v>0</v>
      </c>
      <c r="F3780" s="156">
        <f>'Reported burning'!F3780</f>
        <v>0</v>
      </c>
      <c r="G3780" s="156">
        <f>'Reported burning'!G3780</f>
        <v>0</v>
      </c>
      <c r="H3780" s="156">
        <f>'Reported burning'!H3780</f>
        <v>0</v>
      </c>
      <c r="I3780" s="5"/>
    </row>
    <row r="3781" spans="1:9">
      <c r="A3781" s="156">
        <f>'Reported burning'!A3781</f>
        <v>0</v>
      </c>
      <c r="B3781" s="156">
        <f>'Reported burning'!B3781</f>
        <v>0</v>
      </c>
      <c r="C3781" s="156">
        <f>'Reported burning'!C3781</f>
        <v>0</v>
      </c>
      <c r="D3781" s="156">
        <f>'Reported burning'!D3781</f>
        <v>0</v>
      </c>
      <c r="E3781" s="156">
        <f>'Reported burning'!E3781</f>
        <v>0</v>
      </c>
      <c r="F3781" s="156">
        <f>'Reported burning'!F3781</f>
        <v>0</v>
      </c>
      <c r="G3781" s="156">
        <f>'Reported burning'!G3781</f>
        <v>0</v>
      </c>
      <c r="H3781" s="156">
        <f>'Reported burning'!H3781</f>
        <v>0</v>
      </c>
      <c r="I3781" s="5"/>
    </row>
    <row r="3782" spans="1:9">
      <c r="A3782" s="156">
        <f>'Reported burning'!A3782</f>
        <v>0</v>
      </c>
      <c r="B3782" s="156">
        <f>'Reported burning'!B3782</f>
        <v>0</v>
      </c>
      <c r="C3782" s="156">
        <f>'Reported burning'!C3782</f>
        <v>0</v>
      </c>
      <c r="D3782" s="156">
        <f>'Reported burning'!D3782</f>
        <v>0</v>
      </c>
      <c r="E3782" s="156">
        <f>'Reported burning'!E3782</f>
        <v>0</v>
      </c>
      <c r="F3782" s="156">
        <f>'Reported burning'!F3782</f>
        <v>0</v>
      </c>
      <c r="G3782" s="156">
        <f>'Reported burning'!G3782</f>
        <v>0</v>
      </c>
      <c r="H3782" s="156">
        <f>'Reported burning'!H3782</f>
        <v>0</v>
      </c>
      <c r="I3782" s="5"/>
    </row>
    <row r="3783" spans="1:9">
      <c r="A3783" s="156">
        <f>'Reported burning'!A3783</f>
        <v>0</v>
      </c>
      <c r="B3783" s="156">
        <f>'Reported burning'!B3783</f>
        <v>0</v>
      </c>
      <c r="C3783" s="156">
        <f>'Reported burning'!C3783</f>
        <v>0</v>
      </c>
      <c r="D3783" s="156">
        <f>'Reported burning'!D3783</f>
        <v>0</v>
      </c>
      <c r="E3783" s="156">
        <f>'Reported burning'!E3783</f>
        <v>0</v>
      </c>
      <c r="F3783" s="156">
        <f>'Reported burning'!F3783</f>
        <v>0</v>
      </c>
      <c r="G3783" s="156">
        <f>'Reported burning'!G3783</f>
        <v>0</v>
      </c>
      <c r="H3783" s="156">
        <f>'Reported burning'!H3783</f>
        <v>0</v>
      </c>
      <c r="I3783" s="5"/>
    </row>
    <row r="3784" spans="1:9">
      <c r="A3784" s="156">
        <f>'Reported burning'!A3784</f>
        <v>0</v>
      </c>
      <c r="B3784" s="156">
        <f>'Reported burning'!B3784</f>
        <v>0</v>
      </c>
      <c r="C3784" s="156">
        <f>'Reported burning'!C3784</f>
        <v>0</v>
      </c>
      <c r="D3784" s="156">
        <f>'Reported burning'!D3784</f>
        <v>0</v>
      </c>
      <c r="E3784" s="156">
        <f>'Reported burning'!E3784</f>
        <v>0</v>
      </c>
      <c r="F3784" s="156">
        <f>'Reported burning'!F3784</f>
        <v>0</v>
      </c>
      <c r="G3784" s="156">
        <f>'Reported burning'!G3784</f>
        <v>0</v>
      </c>
      <c r="H3784" s="156">
        <f>'Reported burning'!H3784</f>
        <v>0</v>
      </c>
      <c r="I3784" s="5"/>
    </row>
    <row r="3785" spans="1:9">
      <c r="A3785" s="156">
        <f>'Reported burning'!A3785</f>
        <v>0</v>
      </c>
      <c r="B3785" s="156">
        <f>'Reported burning'!B3785</f>
        <v>0</v>
      </c>
      <c r="C3785" s="156">
        <f>'Reported burning'!C3785</f>
        <v>0</v>
      </c>
      <c r="D3785" s="156">
        <f>'Reported burning'!D3785</f>
        <v>0</v>
      </c>
      <c r="E3785" s="156">
        <f>'Reported burning'!E3785</f>
        <v>0</v>
      </c>
      <c r="F3785" s="156">
        <f>'Reported burning'!F3785</f>
        <v>0</v>
      </c>
      <c r="G3785" s="156">
        <f>'Reported burning'!G3785</f>
        <v>0</v>
      </c>
      <c r="H3785" s="156">
        <f>'Reported burning'!H3785</f>
        <v>0</v>
      </c>
      <c r="I3785" s="5"/>
    </row>
    <row r="3786" spans="1:9">
      <c r="A3786" s="156">
        <f>'Reported burning'!A3786</f>
        <v>0</v>
      </c>
      <c r="B3786" s="156">
        <f>'Reported burning'!B3786</f>
        <v>0</v>
      </c>
      <c r="C3786" s="156">
        <f>'Reported burning'!C3786</f>
        <v>0</v>
      </c>
      <c r="D3786" s="156">
        <f>'Reported burning'!D3786</f>
        <v>0</v>
      </c>
      <c r="E3786" s="156">
        <f>'Reported burning'!E3786</f>
        <v>0</v>
      </c>
      <c r="F3786" s="156">
        <f>'Reported burning'!F3786</f>
        <v>0</v>
      </c>
      <c r="G3786" s="156">
        <f>'Reported burning'!G3786</f>
        <v>0</v>
      </c>
      <c r="H3786" s="156">
        <f>'Reported burning'!H3786</f>
        <v>0</v>
      </c>
      <c r="I3786" s="5"/>
    </row>
    <row r="3787" spans="1:9">
      <c r="A3787" s="156">
        <f>'Reported burning'!A3787</f>
        <v>0</v>
      </c>
      <c r="B3787" s="156">
        <f>'Reported burning'!B3787</f>
        <v>0</v>
      </c>
      <c r="C3787" s="156">
        <f>'Reported burning'!C3787</f>
        <v>0</v>
      </c>
      <c r="D3787" s="156">
        <f>'Reported burning'!D3787</f>
        <v>0</v>
      </c>
      <c r="E3787" s="156">
        <f>'Reported burning'!E3787</f>
        <v>0</v>
      </c>
      <c r="F3787" s="156">
        <f>'Reported burning'!F3787</f>
        <v>0</v>
      </c>
      <c r="G3787" s="156">
        <f>'Reported burning'!G3787</f>
        <v>0</v>
      </c>
      <c r="H3787" s="156">
        <f>'Reported burning'!H3787</f>
        <v>0</v>
      </c>
      <c r="I3787" s="5"/>
    </row>
    <row r="3788" spans="1:9">
      <c r="A3788" s="156">
        <f>'Reported burning'!A3788</f>
        <v>0</v>
      </c>
      <c r="B3788" s="156">
        <f>'Reported burning'!B3788</f>
        <v>0</v>
      </c>
      <c r="C3788" s="156">
        <f>'Reported burning'!C3788</f>
        <v>0</v>
      </c>
      <c r="D3788" s="156">
        <f>'Reported burning'!D3788</f>
        <v>0</v>
      </c>
      <c r="E3788" s="156">
        <f>'Reported burning'!E3788</f>
        <v>0</v>
      </c>
      <c r="F3788" s="156">
        <f>'Reported burning'!F3788</f>
        <v>0</v>
      </c>
      <c r="G3788" s="156">
        <f>'Reported burning'!G3788</f>
        <v>0</v>
      </c>
      <c r="H3788" s="156">
        <f>'Reported burning'!H3788</f>
        <v>0</v>
      </c>
      <c r="I3788" s="5"/>
    </row>
    <row r="3789" spans="1:9">
      <c r="A3789" s="156">
        <f>'Reported burning'!A3789</f>
        <v>0</v>
      </c>
      <c r="B3789" s="156">
        <f>'Reported burning'!B3789</f>
        <v>0</v>
      </c>
      <c r="C3789" s="156">
        <f>'Reported burning'!C3789</f>
        <v>0</v>
      </c>
      <c r="D3789" s="156">
        <f>'Reported burning'!D3789</f>
        <v>0</v>
      </c>
      <c r="E3789" s="156">
        <f>'Reported burning'!E3789</f>
        <v>0</v>
      </c>
      <c r="F3789" s="156">
        <f>'Reported burning'!F3789</f>
        <v>0</v>
      </c>
      <c r="G3789" s="156">
        <f>'Reported burning'!G3789</f>
        <v>0</v>
      </c>
      <c r="H3789" s="156">
        <f>'Reported burning'!H3789</f>
        <v>0</v>
      </c>
      <c r="I3789" s="5"/>
    </row>
    <row r="3790" spans="1:9">
      <c r="A3790" s="156">
        <f>'Reported burning'!A3790</f>
        <v>0</v>
      </c>
      <c r="B3790" s="156">
        <f>'Reported burning'!B3790</f>
        <v>0</v>
      </c>
      <c r="C3790" s="156">
        <f>'Reported burning'!C3790</f>
        <v>0</v>
      </c>
      <c r="D3790" s="156">
        <f>'Reported burning'!D3790</f>
        <v>0</v>
      </c>
      <c r="E3790" s="156">
        <f>'Reported burning'!E3790</f>
        <v>0</v>
      </c>
      <c r="F3790" s="156">
        <f>'Reported burning'!F3790</f>
        <v>0</v>
      </c>
      <c r="G3790" s="156">
        <f>'Reported burning'!G3790</f>
        <v>0</v>
      </c>
      <c r="H3790" s="156">
        <f>'Reported burning'!H3790</f>
        <v>0</v>
      </c>
      <c r="I3790" s="5"/>
    </row>
    <row r="3791" spans="1:9">
      <c r="A3791" s="156">
        <f>'Reported burning'!A3791</f>
        <v>0</v>
      </c>
      <c r="B3791" s="156">
        <f>'Reported burning'!B3791</f>
        <v>0</v>
      </c>
      <c r="C3791" s="156">
        <f>'Reported burning'!C3791</f>
        <v>0</v>
      </c>
      <c r="D3791" s="156">
        <f>'Reported burning'!D3791</f>
        <v>0</v>
      </c>
      <c r="E3791" s="156">
        <f>'Reported burning'!E3791</f>
        <v>0</v>
      </c>
      <c r="F3791" s="156">
        <f>'Reported burning'!F3791</f>
        <v>0</v>
      </c>
      <c r="G3791" s="156">
        <f>'Reported burning'!G3791</f>
        <v>0</v>
      </c>
      <c r="H3791" s="156">
        <f>'Reported burning'!H3791</f>
        <v>0</v>
      </c>
      <c r="I3791" s="5"/>
    </row>
    <row r="3792" spans="1:9">
      <c r="A3792" s="156">
        <f>'Reported burning'!A3792</f>
        <v>0</v>
      </c>
      <c r="B3792" s="156">
        <f>'Reported burning'!B3792</f>
        <v>0</v>
      </c>
      <c r="C3792" s="156">
        <f>'Reported burning'!C3792</f>
        <v>0</v>
      </c>
      <c r="D3792" s="156">
        <f>'Reported burning'!D3792</f>
        <v>0</v>
      </c>
      <c r="E3792" s="156">
        <f>'Reported burning'!E3792</f>
        <v>0</v>
      </c>
      <c r="F3792" s="156">
        <f>'Reported burning'!F3792</f>
        <v>0</v>
      </c>
      <c r="G3792" s="156">
        <f>'Reported burning'!G3792</f>
        <v>0</v>
      </c>
      <c r="H3792" s="156">
        <f>'Reported burning'!H3792</f>
        <v>0</v>
      </c>
      <c r="I3792" s="5"/>
    </row>
    <row r="3793" spans="1:9">
      <c r="A3793" s="156">
        <f>'Reported burning'!A3793</f>
        <v>0</v>
      </c>
      <c r="B3793" s="156">
        <f>'Reported burning'!B3793</f>
        <v>0</v>
      </c>
      <c r="C3793" s="156">
        <f>'Reported burning'!C3793</f>
        <v>0</v>
      </c>
      <c r="D3793" s="156">
        <f>'Reported burning'!D3793</f>
        <v>0</v>
      </c>
      <c r="E3793" s="156">
        <f>'Reported burning'!E3793</f>
        <v>0</v>
      </c>
      <c r="F3793" s="156">
        <f>'Reported burning'!F3793</f>
        <v>0</v>
      </c>
      <c r="G3793" s="156">
        <f>'Reported burning'!G3793</f>
        <v>0</v>
      </c>
      <c r="H3793" s="156">
        <f>'Reported burning'!H3793</f>
        <v>0</v>
      </c>
      <c r="I3793" s="5"/>
    </row>
    <row r="3794" spans="1:9">
      <c r="A3794" s="156">
        <f>'Reported burning'!A3794</f>
        <v>0</v>
      </c>
      <c r="B3794" s="156">
        <f>'Reported burning'!B3794</f>
        <v>0</v>
      </c>
      <c r="C3794" s="156">
        <f>'Reported burning'!C3794</f>
        <v>0</v>
      </c>
      <c r="D3794" s="156">
        <f>'Reported burning'!D3794</f>
        <v>0</v>
      </c>
      <c r="E3794" s="156">
        <f>'Reported burning'!E3794</f>
        <v>0</v>
      </c>
      <c r="F3794" s="156">
        <f>'Reported burning'!F3794</f>
        <v>0</v>
      </c>
      <c r="G3794" s="156">
        <f>'Reported burning'!G3794</f>
        <v>0</v>
      </c>
      <c r="H3794" s="156">
        <f>'Reported burning'!H3794</f>
        <v>0</v>
      </c>
      <c r="I3794" s="5"/>
    </row>
    <row r="3795" spans="1:9">
      <c r="A3795" s="156">
        <f>'Reported burning'!A3795</f>
        <v>0</v>
      </c>
      <c r="B3795" s="156">
        <f>'Reported burning'!B3795</f>
        <v>0</v>
      </c>
      <c r="C3795" s="156">
        <f>'Reported burning'!C3795</f>
        <v>0</v>
      </c>
      <c r="D3795" s="156">
        <f>'Reported burning'!D3795</f>
        <v>0</v>
      </c>
      <c r="E3795" s="156">
        <f>'Reported burning'!E3795</f>
        <v>0</v>
      </c>
      <c r="F3795" s="156">
        <f>'Reported burning'!F3795</f>
        <v>0</v>
      </c>
      <c r="G3795" s="156">
        <f>'Reported burning'!G3795</f>
        <v>0</v>
      </c>
      <c r="H3795" s="156">
        <f>'Reported burning'!H3795</f>
        <v>0</v>
      </c>
      <c r="I3795" s="5"/>
    </row>
    <row r="3796" spans="1:9">
      <c r="A3796" s="156">
        <f>'Reported burning'!A3796</f>
        <v>0</v>
      </c>
      <c r="B3796" s="156">
        <f>'Reported burning'!B3796</f>
        <v>0</v>
      </c>
      <c r="C3796" s="156">
        <f>'Reported burning'!C3796</f>
        <v>0</v>
      </c>
      <c r="D3796" s="156">
        <f>'Reported burning'!D3796</f>
        <v>0</v>
      </c>
      <c r="E3796" s="156">
        <f>'Reported burning'!E3796</f>
        <v>0</v>
      </c>
      <c r="F3796" s="156">
        <f>'Reported burning'!F3796</f>
        <v>0</v>
      </c>
      <c r="G3796" s="156">
        <f>'Reported burning'!G3796</f>
        <v>0</v>
      </c>
      <c r="H3796" s="156">
        <f>'Reported burning'!H3796</f>
        <v>0</v>
      </c>
      <c r="I3796" s="5"/>
    </row>
    <row r="3797" spans="1:9">
      <c r="A3797" s="156">
        <f>'Reported burning'!A3797</f>
        <v>0</v>
      </c>
      <c r="B3797" s="156">
        <f>'Reported burning'!B3797</f>
        <v>0</v>
      </c>
      <c r="C3797" s="156">
        <f>'Reported burning'!C3797</f>
        <v>0</v>
      </c>
      <c r="D3797" s="156">
        <f>'Reported burning'!D3797</f>
        <v>0</v>
      </c>
      <c r="E3797" s="156">
        <f>'Reported burning'!E3797</f>
        <v>0</v>
      </c>
      <c r="F3797" s="156">
        <f>'Reported burning'!F3797</f>
        <v>0</v>
      </c>
      <c r="G3797" s="156">
        <f>'Reported burning'!G3797</f>
        <v>0</v>
      </c>
      <c r="H3797" s="156">
        <f>'Reported burning'!H3797</f>
        <v>0</v>
      </c>
      <c r="I3797" s="5"/>
    </row>
    <row r="3798" spans="1:9">
      <c r="A3798" s="156">
        <f>'Reported burning'!A3798</f>
        <v>0</v>
      </c>
      <c r="B3798" s="156">
        <f>'Reported burning'!B3798</f>
        <v>0</v>
      </c>
      <c r="C3798" s="156">
        <f>'Reported burning'!C3798</f>
        <v>0</v>
      </c>
      <c r="D3798" s="156">
        <f>'Reported burning'!D3798</f>
        <v>0</v>
      </c>
      <c r="E3798" s="156">
        <f>'Reported burning'!E3798</f>
        <v>0</v>
      </c>
      <c r="F3798" s="156">
        <f>'Reported burning'!F3798</f>
        <v>0</v>
      </c>
      <c r="G3798" s="156">
        <f>'Reported burning'!G3798</f>
        <v>0</v>
      </c>
      <c r="H3798" s="156">
        <f>'Reported burning'!H3798</f>
        <v>0</v>
      </c>
      <c r="I3798" s="5"/>
    </row>
    <row r="3799" spans="1:9">
      <c r="A3799" s="156">
        <f>'Reported burning'!A3799</f>
        <v>0</v>
      </c>
      <c r="B3799" s="156">
        <f>'Reported burning'!B3799</f>
        <v>0</v>
      </c>
      <c r="C3799" s="156">
        <f>'Reported burning'!C3799</f>
        <v>0</v>
      </c>
      <c r="D3799" s="156">
        <f>'Reported burning'!D3799</f>
        <v>0</v>
      </c>
      <c r="E3799" s="156">
        <f>'Reported burning'!E3799</f>
        <v>0</v>
      </c>
      <c r="F3799" s="156">
        <f>'Reported burning'!F3799</f>
        <v>0</v>
      </c>
      <c r="G3799" s="156">
        <f>'Reported burning'!G3799</f>
        <v>0</v>
      </c>
      <c r="H3799" s="156">
        <f>'Reported burning'!H3799</f>
        <v>0</v>
      </c>
      <c r="I3799" s="5"/>
    </row>
    <row r="3800" spans="1:9">
      <c r="A3800" s="156">
        <f>'Reported burning'!A3800</f>
        <v>0</v>
      </c>
      <c r="B3800" s="156">
        <f>'Reported burning'!B3800</f>
        <v>0</v>
      </c>
      <c r="C3800" s="156">
        <f>'Reported burning'!C3800</f>
        <v>0</v>
      </c>
      <c r="D3800" s="156">
        <f>'Reported burning'!D3800</f>
        <v>0</v>
      </c>
      <c r="E3800" s="156">
        <f>'Reported burning'!E3800</f>
        <v>0</v>
      </c>
      <c r="F3800" s="156">
        <f>'Reported burning'!F3800</f>
        <v>0</v>
      </c>
      <c r="G3800" s="156">
        <f>'Reported burning'!G3800</f>
        <v>0</v>
      </c>
      <c r="H3800" s="156">
        <f>'Reported burning'!H3800</f>
        <v>0</v>
      </c>
      <c r="I3800" s="5"/>
    </row>
    <row r="3801" spans="1:9">
      <c r="A3801" s="156">
        <f>'Reported burning'!A3801</f>
        <v>0</v>
      </c>
      <c r="B3801" s="156">
        <f>'Reported burning'!B3801</f>
        <v>0</v>
      </c>
      <c r="C3801" s="156">
        <f>'Reported burning'!C3801</f>
        <v>0</v>
      </c>
      <c r="D3801" s="156">
        <f>'Reported burning'!D3801</f>
        <v>0</v>
      </c>
      <c r="E3801" s="156">
        <f>'Reported burning'!E3801</f>
        <v>0</v>
      </c>
      <c r="F3801" s="156">
        <f>'Reported burning'!F3801</f>
        <v>0</v>
      </c>
      <c r="G3801" s="156">
        <f>'Reported burning'!G3801</f>
        <v>0</v>
      </c>
      <c r="H3801" s="156">
        <f>'Reported burning'!H3801</f>
        <v>0</v>
      </c>
      <c r="I3801" s="5"/>
    </row>
    <row r="3802" spans="1:9">
      <c r="A3802" s="156">
        <f>'Reported burning'!A3802</f>
        <v>0</v>
      </c>
      <c r="B3802" s="156">
        <f>'Reported burning'!B3802</f>
        <v>0</v>
      </c>
      <c r="C3802" s="156">
        <f>'Reported burning'!C3802</f>
        <v>0</v>
      </c>
      <c r="D3802" s="156">
        <f>'Reported burning'!D3802</f>
        <v>0</v>
      </c>
      <c r="E3802" s="156">
        <f>'Reported burning'!E3802</f>
        <v>0</v>
      </c>
      <c r="F3802" s="156">
        <f>'Reported burning'!F3802</f>
        <v>0</v>
      </c>
      <c r="G3802" s="156">
        <f>'Reported burning'!G3802</f>
        <v>0</v>
      </c>
      <c r="H3802" s="156">
        <f>'Reported burning'!H3802</f>
        <v>0</v>
      </c>
      <c r="I3802" s="5"/>
    </row>
    <row r="3803" spans="1:9">
      <c r="A3803" s="156">
        <f>'Reported burning'!A3803</f>
        <v>0</v>
      </c>
      <c r="B3803" s="156">
        <f>'Reported burning'!B3803</f>
        <v>0</v>
      </c>
      <c r="C3803" s="156">
        <f>'Reported burning'!C3803</f>
        <v>0</v>
      </c>
      <c r="D3803" s="156">
        <f>'Reported burning'!D3803</f>
        <v>0</v>
      </c>
      <c r="E3803" s="156">
        <f>'Reported burning'!E3803</f>
        <v>0</v>
      </c>
      <c r="F3803" s="156">
        <f>'Reported burning'!F3803</f>
        <v>0</v>
      </c>
      <c r="G3803" s="156">
        <f>'Reported burning'!G3803</f>
        <v>0</v>
      </c>
      <c r="H3803" s="156">
        <f>'Reported burning'!H3803</f>
        <v>0</v>
      </c>
      <c r="I3803" s="5"/>
    </row>
    <row r="3804" spans="1:9">
      <c r="A3804" s="156">
        <f>'Reported burning'!A3804</f>
        <v>0</v>
      </c>
      <c r="B3804" s="156">
        <f>'Reported burning'!B3804</f>
        <v>0</v>
      </c>
      <c r="C3804" s="156">
        <f>'Reported burning'!C3804</f>
        <v>0</v>
      </c>
      <c r="D3804" s="156">
        <f>'Reported burning'!D3804</f>
        <v>0</v>
      </c>
      <c r="E3804" s="156">
        <f>'Reported burning'!E3804</f>
        <v>0</v>
      </c>
      <c r="F3804" s="156">
        <f>'Reported burning'!F3804</f>
        <v>0</v>
      </c>
      <c r="G3804" s="156">
        <f>'Reported burning'!G3804</f>
        <v>0</v>
      </c>
      <c r="H3804" s="156">
        <f>'Reported burning'!H3804</f>
        <v>0</v>
      </c>
      <c r="I3804" s="5"/>
    </row>
    <row r="3805" spans="1:9">
      <c r="A3805" s="156">
        <f>'Reported burning'!A3805</f>
        <v>0</v>
      </c>
      <c r="B3805" s="156">
        <f>'Reported burning'!B3805</f>
        <v>0</v>
      </c>
      <c r="C3805" s="156">
        <f>'Reported burning'!C3805</f>
        <v>0</v>
      </c>
      <c r="D3805" s="156">
        <f>'Reported burning'!D3805</f>
        <v>0</v>
      </c>
      <c r="E3805" s="156">
        <f>'Reported burning'!E3805</f>
        <v>0</v>
      </c>
      <c r="F3805" s="156">
        <f>'Reported burning'!F3805</f>
        <v>0</v>
      </c>
      <c r="G3805" s="156">
        <f>'Reported burning'!G3805</f>
        <v>0</v>
      </c>
      <c r="H3805" s="156">
        <f>'Reported burning'!H3805</f>
        <v>0</v>
      </c>
      <c r="I3805" s="5"/>
    </row>
    <row r="3806" spans="1:9">
      <c r="A3806" s="156">
        <f>'Reported burning'!A3806</f>
        <v>0</v>
      </c>
      <c r="B3806" s="156">
        <f>'Reported burning'!B3806</f>
        <v>0</v>
      </c>
      <c r="C3806" s="156">
        <f>'Reported burning'!C3806</f>
        <v>0</v>
      </c>
      <c r="D3806" s="156">
        <f>'Reported burning'!D3806</f>
        <v>0</v>
      </c>
      <c r="E3806" s="156">
        <f>'Reported burning'!E3806</f>
        <v>0</v>
      </c>
      <c r="F3806" s="156">
        <f>'Reported burning'!F3806</f>
        <v>0</v>
      </c>
      <c r="G3806" s="156">
        <f>'Reported burning'!G3806</f>
        <v>0</v>
      </c>
      <c r="H3806" s="156">
        <f>'Reported burning'!H3806</f>
        <v>0</v>
      </c>
      <c r="I3806" s="5"/>
    </row>
    <row r="3807" spans="1:9">
      <c r="A3807" s="156">
        <f>'Reported burning'!A3807</f>
        <v>0</v>
      </c>
      <c r="B3807" s="156">
        <f>'Reported burning'!B3807</f>
        <v>0</v>
      </c>
      <c r="C3807" s="156">
        <f>'Reported burning'!C3807</f>
        <v>0</v>
      </c>
      <c r="D3807" s="156">
        <f>'Reported burning'!D3807</f>
        <v>0</v>
      </c>
      <c r="E3807" s="156">
        <f>'Reported burning'!E3807</f>
        <v>0</v>
      </c>
      <c r="F3807" s="156">
        <f>'Reported burning'!F3807</f>
        <v>0</v>
      </c>
      <c r="G3807" s="156">
        <f>'Reported burning'!G3807</f>
        <v>0</v>
      </c>
      <c r="H3807" s="156">
        <f>'Reported burning'!H3807</f>
        <v>0</v>
      </c>
      <c r="I3807" s="5"/>
    </row>
    <row r="3808" spans="1:9">
      <c r="A3808" s="156">
        <f>'Reported burning'!A3808</f>
        <v>0</v>
      </c>
      <c r="B3808" s="156">
        <f>'Reported burning'!B3808</f>
        <v>0</v>
      </c>
      <c r="C3808" s="156">
        <f>'Reported burning'!C3808</f>
        <v>0</v>
      </c>
      <c r="D3808" s="156">
        <f>'Reported burning'!D3808</f>
        <v>0</v>
      </c>
      <c r="E3808" s="156">
        <f>'Reported burning'!E3808</f>
        <v>0</v>
      </c>
      <c r="F3808" s="156">
        <f>'Reported burning'!F3808</f>
        <v>0</v>
      </c>
      <c r="G3808" s="156">
        <f>'Reported burning'!G3808</f>
        <v>0</v>
      </c>
      <c r="H3808" s="156">
        <f>'Reported burning'!H3808</f>
        <v>0</v>
      </c>
      <c r="I3808" s="5"/>
    </row>
    <row r="3809" spans="1:9">
      <c r="A3809" s="156">
        <f>'Reported burning'!A3809</f>
        <v>0</v>
      </c>
      <c r="B3809" s="156">
        <f>'Reported burning'!B3809</f>
        <v>0</v>
      </c>
      <c r="C3809" s="156">
        <f>'Reported burning'!C3809</f>
        <v>0</v>
      </c>
      <c r="D3809" s="156">
        <f>'Reported burning'!D3809</f>
        <v>0</v>
      </c>
      <c r="E3809" s="156">
        <f>'Reported burning'!E3809</f>
        <v>0</v>
      </c>
      <c r="F3809" s="156">
        <f>'Reported burning'!F3809</f>
        <v>0</v>
      </c>
      <c r="G3809" s="156">
        <f>'Reported burning'!G3809</f>
        <v>0</v>
      </c>
      <c r="H3809" s="156">
        <f>'Reported burning'!H3809</f>
        <v>0</v>
      </c>
      <c r="I3809" s="5"/>
    </row>
    <row r="3810" spans="1:9">
      <c r="A3810" s="156">
        <f>'Reported burning'!A3810</f>
        <v>0</v>
      </c>
      <c r="B3810" s="156">
        <f>'Reported burning'!B3810</f>
        <v>0</v>
      </c>
      <c r="C3810" s="156">
        <f>'Reported burning'!C3810</f>
        <v>0</v>
      </c>
      <c r="D3810" s="156">
        <f>'Reported burning'!D3810</f>
        <v>0</v>
      </c>
      <c r="E3810" s="156">
        <f>'Reported burning'!E3810</f>
        <v>0</v>
      </c>
      <c r="F3810" s="156">
        <f>'Reported burning'!F3810</f>
        <v>0</v>
      </c>
      <c r="G3810" s="156">
        <f>'Reported burning'!G3810</f>
        <v>0</v>
      </c>
      <c r="H3810" s="156">
        <f>'Reported burning'!H3810</f>
        <v>0</v>
      </c>
      <c r="I3810" s="5"/>
    </row>
    <row r="3811" spans="1:9">
      <c r="A3811" s="156">
        <f>'Reported burning'!A3811</f>
        <v>0</v>
      </c>
      <c r="B3811" s="156">
        <f>'Reported burning'!B3811</f>
        <v>0</v>
      </c>
      <c r="C3811" s="156">
        <f>'Reported burning'!C3811</f>
        <v>0</v>
      </c>
      <c r="D3811" s="156">
        <f>'Reported burning'!D3811</f>
        <v>0</v>
      </c>
      <c r="E3811" s="156">
        <f>'Reported burning'!E3811</f>
        <v>0</v>
      </c>
      <c r="F3811" s="156">
        <f>'Reported burning'!F3811</f>
        <v>0</v>
      </c>
      <c r="G3811" s="156">
        <f>'Reported burning'!G3811</f>
        <v>0</v>
      </c>
      <c r="H3811" s="156">
        <f>'Reported burning'!H3811</f>
        <v>0</v>
      </c>
      <c r="I3811" s="5"/>
    </row>
    <row r="3812" spans="1:9">
      <c r="A3812" s="156">
        <f>'Reported burning'!A3812</f>
        <v>0</v>
      </c>
      <c r="B3812" s="156">
        <f>'Reported burning'!B3812</f>
        <v>0</v>
      </c>
      <c r="C3812" s="156">
        <f>'Reported burning'!C3812</f>
        <v>0</v>
      </c>
      <c r="D3812" s="156">
        <f>'Reported burning'!D3812</f>
        <v>0</v>
      </c>
      <c r="E3812" s="156">
        <f>'Reported burning'!E3812</f>
        <v>0</v>
      </c>
      <c r="F3812" s="156">
        <f>'Reported burning'!F3812</f>
        <v>0</v>
      </c>
      <c r="G3812" s="156">
        <f>'Reported burning'!G3812</f>
        <v>0</v>
      </c>
      <c r="H3812" s="156">
        <f>'Reported burning'!H3812</f>
        <v>0</v>
      </c>
      <c r="I3812" s="5"/>
    </row>
    <row r="3813" spans="1:9">
      <c r="A3813" s="156">
        <f>'Reported burning'!A3813</f>
        <v>0</v>
      </c>
      <c r="B3813" s="156">
        <f>'Reported burning'!B3813</f>
        <v>0</v>
      </c>
      <c r="C3813" s="156">
        <f>'Reported burning'!C3813</f>
        <v>0</v>
      </c>
      <c r="D3813" s="156">
        <f>'Reported burning'!D3813</f>
        <v>0</v>
      </c>
      <c r="E3813" s="156">
        <f>'Reported burning'!E3813</f>
        <v>0</v>
      </c>
      <c r="F3813" s="156">
        <f>'Reported burning'!F3813</f>
        <v>0</v>
      </c>
      <c r="G3813" s="156">
        <f>'Reported burning'!G3813</f>
        <v>0</v>
      </c>
      <c r="H3813" s="156">
        <f>'Reported burning'!H3813</f>
        <v>0</v>
      </c>
      <c r="I3813" s="5"/>
    </row>
    <row r="3814" spans="1:9">
      <c r="A3814" s="156">
        <f>'Reported burning'!A3814</f>
        <v>0</v>
      </c>
      <c r="B3814" s="156">
        <f>'Reported burning'!B3814</f>
        <v>0</v>
      </c>
      <c r="C3814" s="156">
        <f>'Reported burning'!C3814</f>
        <v>0</v>
      </c>
      <c r="D3814" s="156">
        <f>'Reported burning'!D3814</f>
        <v>0</v>
      </c>
      <c r="E3814" s="156">
        <f>'Reported burning'!E3814</f>
        <v>0</v>
      </c>
      <c r="F3814" s="156">
        <f>'Reported burning'!F3814</f>
        <v>0</v>
      </c>
      <c r="G3814" s="156">
        <f>'Reported burning'!G3814</f>
        <v>0</v>
      </c>
      <c r="H3814" s="156">
        <f>'Reported burning'!H3814</f>
        <v>0</v>
      </c>
      <c r="I3814" s="5"/>
    </row>
    <row r="3815" spans="1:9">
      <c r="A3815" s="156">
        <f>'Reported burning'!A3815</f>
        <v>0</v>
      </c>
      <c r="B3815" s="156">
        <f>'Reported burning'!B3815</f>
        <v>0</v>
      </c>
      <c r="C3815" s="156">
        <f>'Reported burning'!C3815</f>
        <v>0</v>
      </c>
      <c r="D3815" s="156">
        <f>'Reported burning'!D3815</f>
        <v>0</v>
      </c>
      <c r="E3815" s="156">
        <f>'Reported burning'!E3815</f>
        <v>0</v>
      </c>
      <c r="F3815" s="156">
        <f>'Reported burning'!F3815</f>
        <v>0</v>
      </c>
      <c r="G3815" s="156">
        <f>'Reported burning'!G3815</f>
        <v>0</v>
      </c>
      <c r="H3815" s="156">
        <f>'Reported burning'!H3815</f>
        <v>0</v>
      </c>
      <c r="I3815" s="5"/>
    </row>
    <row r="3816" spans="1:9">
      <c r="A3816" s="156">
        <f>'Reported burning'!A3816</f>
        <v>0</v>
      </c>
      <c r="B3816" s="156">
        <f>'Reported burning'!B3816</f>
        <v>0</v>
      </c>
      <c r="C3816" s="156">
        <f>'Reported burning'!C3816</f>
        <v>0</v>
      </c>
      <c r="D3816" s="156">
        <f>'Reported burning'!D3816</f>
        <v>0</v>
      </c>
      <c r="E3816" s="156">
        <f>'Reported burning'!E3816</f>
        <v>0</v>
      </c>
      <c r="F3816" s="156">
        <f>'Reported burning'!F3816</f>
        <v>0</v>
      </c>
      <c r="G3816" s="156">
        <f>'Reported burning'!G3816</f>
        <v>0</v>
      </c>
      <c r="H3816" s="156">
        <f>'Reported burning'!H3816</f>
        <v>0</v>
      </c>
      <c r="I3816" s="5"/>
    </row>
    <row r="3817" spans="1:9">
      <c r="A3817" s="156">
        <f>'Reported burning'!A3817</f>
        <v>0</v>
      </c>
      <c r="B3817" s="156">
        <f>'Reported burning'!B3817</f>
        <v>0</v>
      </c>
      <c r="C3817" s="156">
        <f>'Reported burning'!C3817</f>
        <v>0</v>
      </c>
      <c r="D3817" s="156">
        <f>'Reported burning'!D3817</f>
        <v>0</v>
      </c>
      <c r="E3817" s="156">
        <f>'Reported burning'!E3817</f>
        <v>0</v>
      </c>
      <c r="F3817" s="156">
        <f>'Reported burning'!F3817</f>
        <v>0</v>
      </c>
      <c r="G3817" s="156">
        <f>'Reported burning'!G3817</f>
        <v>0</v>
      </c>
      <c r="H3817" s="156">
        <f>'Reported burning'!H3817</f>
        <v>0</v>
      </c>
      <c r="I3817" s="5"/>
    </row>
    <row r="3818" spans="1:9">
      <c r="A3818" s="156">
        <f>'Reported burning'!A3818</f>
        <v>0</v>
      </c>
      <c r="B3818" s="156">
        <f>'Reported burning'!B3818</f>
        <v>0</v>
      </c>
      <c r="C3818" s="156">
        <f>'Reported burning'!C3818</f>
        <v>0</v>
      </c>
      <c r="D3818" s="156">
        <f>'Reported burning'!D3818</f>
        <v>0</v>
      </c>
      <c r="E3818" s="156">
        <f>'Reported burning'!E3818</f>
        <v>0</v>
      </c>
      <c r="F3818" s="156">
        <f>'Reported burning'!F3818</f>
        <v>0</v>
      </c>
      <c r="G3818" s="156">
        <f>'Reported burning'!G3818</f>
        <v>0</v>
      </c>
      <c r="H3818" s="156">
        <f>'Reported burning'!H3818</f>
        <v>0</v>
      </c>
      <c r="I3818" s="5"/>
    </row>
    <row r="3819" spans="1:9">
      <c r="A3819" s="156">
        <f>'Reported burning'!A3819</f>
        <v>0</v>
      </c>
      <c r="B3819" s="156">
        <f>'Reported burning'!B3819</f>
        <v>0</v>
      </c>
      <c r="C3819" s="156">
        <f>'Reported burning'!C3819</f>
        <v>0</v>
      </c>
      <c r="D3819" s="156">
        <f>'Reported burning'!D3819</f>
        <v>0</v>
      </c>
      <c r="E3819" s="156">
        <f>'Reported burning'!E3819</f>
        <v>0</v>
      </c>
      <c r="F3819" s="156">
        <f>'Reported burning'!F3819</f>
        <v>0</v>
      </c>
      <c r="G3819" s="156">
        <f>'Reported burning'!G3819</f>
        <v>0</v>
      </c>
      <c r="H3819" s="156">
        <f>'Reported burning'!H3819</f>
        <v>0</v>
      </c>
      <c r="I3819" s="5"/>
    </row>
    <row r="3820" spans="1:9">
      <c r="A3820" s="156">
        <f>'Reported burning'!A3820</f>
        <v>0</v>
      </c>
      <c r="B3820" s="156">
        <f>'Reported burning'!B3820</f>
        <v>0</v>
      </c>
      <c r="C3820" s="156">
        <f>'Reported burning'!C3820</f>
        <v>0</v>
      </c>
      <c r="D3820" s="156">
        <f>'Reported burning'!D3820</f>
        <v>0</v>
      </c>
      <c r="E3820" s="156">
        <f>'Reported burning'!E3820</f>
        <v>0</v>
      </c>
      <c r="F3820" s="156">
        <f>'Reported burning'!F3820</f>
        <v>0</v>
      </c>
      <c r="G3820" s="156">
        <f>'Reported burning'!G3820</f>
        <v>0</v>
      </c>
      <c r="H3820" s="156">
        <f>'Reported burning'!H3820</f>
        <v>0</v>
      </c>
      <c r="I3820" s="5"/>
    </row>
    <row r="3821" spans="1:9">
      <c r="A3821" s="156">
        <f>'Reported burning'!A3821</f>
        <v>0</v>
      </c>
      <c r="B3821" s="156">
        <f>'Reported burning'!B3821</f>
        <v>0</v>
      </c>
      <c r="C3821" s="156">
        <f>'Reported burning'!C3821</f>
        <v>0</v>
      </c>
      <c r="D3821" s="156">
        <f>'Reported burning'!D3821</f>
        <v>0</v>
      </c>
      <c r="E3821" s="156">
        <f>'Reported burning'!E3821</f>
        <v>0</v>
      </c>
      <c r="F3821" s="156">
        <f>'Reported burning'!F3821</f>
        <v>0</v>
      </c>
      <c r="G3821" s="156">
        <f>'Reported burning'!G3821</f>
        <v>0</v>
      </c>
      <c r="H3821" s="156">
        <f>'Reported burning'!H3821</f>
        <v>0</v>
      </c>
      <c r="I3821" s="5"/>
    </row>
    <row r="3822" spans="1:9">
      <c r="A3822" s="156">
        <f>'Reported burning'!A3822</f>
        <v>0</v>
      </c>
      <c r="B3822" s="156">
        <f>'Reported burning'!B3822</f>
        <v>0</v>
      </c>
      <c r="C3822" s="156">
        <f>'Reported burning'!C3822</f>
        <v>0</v>
      </c>
      <c r="D3822" s="156">
        <f>'Reported burning'!D3822</f>
        <v>0</v>
      </c>
      <c r="E3822" s="156">
        <f>'Reported burning'!E3822</f>
        <v>0</v>
      </c>
      <c r="F3822" s="156">
        <f>'Reported burning'!F3822</f>
        <v>0</v>
      </c>
      <c r="G3822" s="156">
        <f>'Reported burning'!G3822</f>
        <v>0</v>
      </c>
      <c r="H3822" s="156">
        <f>'Reported burning'!H3822</f>
        <v>0</v>
      </c>
      <c r="I3822" s="5"/>
    </row>
    <row r="3823" spans="1:9">
      <c r="A3823" s="156">
        <f>'Reported burning'!A3823</f>
        <v>0</v>
      </c>
      <c r="B3823" s="156">
        <f>'Reported burning'!B3823</f>
        <v>0</v>
      </c>
      <c r="C3823" s="156">
        <f>'Reported burning'!C3823</f>
        <v>0</v>
      </c>
      <c r="D3823" s="156">
        <f>'Reported burning'!D3823</f>
        <v>0</v>
      </c>
      <c r="E3823" s="156">
        <f>'Reported burning'!E3823</f>
        <v>0</v>
      </c>
      <c r="F3823" s="156">
        <f>'Reported burning'!F3823</f>
        <v>0</v>
      </c>
      <c r="G3823" s="156">
        <f>'Reported burning'!G3823</f>
        <v>0</v>
      </c>
      <c r="H3823" s="156">
        <f>'Reported burning'!H3823</f>
        <v>0</v>
      </c>
      <c r="I3823" s="5"/>
    </row>
    <row r="3824" spans="1:9">
      <c r="A3824" s="156">
        <f>'Reported burning'!A3824</f>
        <v>0</v>
      </c>
      <c r="B3824" s="156">
        <f>'Reported burning'!B3824</f>
        <v>0</v>
      </c>
      <c r="C3824" s="156">
        <f>'Reported burning'!C3824</f>
        <v>0</v>
      </c>
      <c r="D3824" s="156">
        <f>'Reported burning'!D3824</f>
        <v>0</v>
      </c>
      <c r="E3824" s="156">
        <f>'Reported burning'!E3824</f>
        <v>0</v>
      </c>
      <c r="F3824" s="156">
        <f>'Reported burning'!F3824</f>
        <v>0</v>
      </c>
      <c r="G3824" s="156">
        <f>'Reported burning'!G3824</f>
        <v>0</v>
      </c>
      <c r="H3824" s="156">
        <f>'Reported burning'!H3824</f>
        <v>0</v>
      </c>
      <c r="I3824" s="5"/>
    </row>
    <row r="3825" spans="1:9">
      <c r="A3825" s="156">
        <f>'Reported burning'!A3825</f>
        <v>0</v>
      </c>
      <c r="B3825" s="156">
        <f>'Reported burning'!B3825</f>
        <v>0</v>
      </c>
      <c r="C3825" s="156">
        <f>'Reported burning'!C3825</f>
        <v>0</v>
      </c>
      <c r="D3825" s="156">
        <f>'Reported burning'!D3825</f>
        <v>0</v>
      </c>
      <c r="E3825" s="156">
        <f>'Reported burning'!E3825</f>
        <v>0</v>
      </c>
      <c r="F3825" s="156">
        <f>'Reported burning'!F3825</f>
        <v>0</v>
      </c>
      <c r="G3825" s="156">
        <f>'Reported burning'!G3825</f>
        <v>0</v>
      </c>
      <c r="H3825" s="156">
        <f>'Reported burning'!H3825</f>
        <v>0</v>
      </c>
      <c r="I3825" s="5"/>
    </row>
    <row r="3826" spans="1:9">
      <c r="A3826" s="156">
        <f>'Reported burning'!A3826</f>
        <v>0</v>
      </c>
      <c r="B3826" s="156">
        <f>'Reported burning'!B3826</f>
        <v>0</v>
      </c>
      <c r="C3826" s="156">
        <f>'Reported burning'!C3826</f>
        <v>0</v>
      </c>
      <c r="D3826" s="156">
        <f>'Reported burning'!D3826</f>
        <v>0</v>
      </c>
      <c r="E3826" s="156">
        <f>'Reported burning'!E3826</f>
        <v>0</v>
      </c>
      <c r="F3826" s="156">
        <f>'Reported burning'!F3826</f>
        <v>0</v>
      </c>
      <c r="G3826" s="156">
        <f>'Reported burning'!G3826</f>
        <v>0</v>
      </c>
      <c r="H3826" s="156">
        <f>'Reported burning'!H3826</f>
        <v>0</v>
      </c>
      <c r="I3826" s="5"/>
    </row>
    <row r="3827" spans="1:9">
      <c r="A3827" s="156">
        <f>'Reported burning'!A3827</f>
        <v>0</v>
      </c>
      <c r="B3827" s="156">
        <f>'Reported burning'!B3827</f>
        <v>0</v>
      </c>
      <c r="C3827" s="156">
        <f>'Reported burning'!C3827</f>
        <v>0</v>
      </c>
      <c r="D3827" s="156">
        <f>'Reported burning'!D3827</f>
        <v>0</v>
      </c>
      <c r="E3827" s="156">
        <f>'Reported burning'!E3827</f>
        <v>0</v>
      </c>
      <c r="F3827" s="156">
        <f>'Reported burning'!F3827</f>
        <v>0</v>
      </c>
      <c r="G3827" s="156">
        <f>'Reported burning'!G3827</f>
        <v>0</v>
      </c>
      <c r="H3827" s="156">
        <f>'Reported burning'!H3827</f>
        <v>0</v>
      </c>
      <c r="I3827" s="5"/>
    </row>
    <row r="3828" spans="1:9">
      <c r="A3828" s="156">
        <f>'Reported burning'!A3828</f>
        <v>0</v>
      </c>
      <c r="B3828" s="156">
        <f>'Reported burning'!B3828</f>
        <v>0</v>
      </c>
      <c r="C3828" s="156">
        <f>'Reported burning'!C3828</f>
        <v>0</v>
      </c>
      <c r="D3828" s="156">
        <f>'Reported burning'!D3828</f>
        <v>0</v>
      </c>
      <c r="E3828" s="156">
        <f>'Reported burning'!E3828</f>
        <v>0</v>
      </c>
      <c r="F3828" s="156">
        <f>'Reported burning'!F3828</f>
        <v>0</v>
      </c>
      <c r="G3828" s="156">
        <f>'Reported burning'!G3828</f>
        <v>0</v>
      </c>
      <c r="H3828" s="156">
        <f>'Reported burning'!H3828</f>
        <v>0</v>
      </c>
      <c r="I3828" s="5"/>
    </row>
    <row r="3829" spans="1:9">
      <c r="A3829" s="156">
        <f>'Reported burning'!A3829</f>
        <v>0</v>
      </c>
      <c r="B3829" s="156">
        <f>'Reported burning'!B3829</f>
        <v>0</v>
      </c>
      <c r="C3829" s="156">
        <f>'Reported burning'!C3829</f>
        <v>0</v>
      </c>
      <c r="D3829" s="156">
        <f>'Reported burning'!D3829</f>
        <v>0</v>
      </c>
      <c r="E3829" s="156">
        <f>'Reported burning'!E3829</f>
        <v>0</v>
      </c>
      <c r="F3829" s="156">
        <f>'Reported burning'!F3829</f>
        <v>0</v>
      </c>
      <c r="G3829" s="156">
        <f>'Reported burning'!G3829</f>
        <v>0</v>
      </c>
      <c r="H3829" s="156">
        <f>'Reported burning'!H3829</f>
        <v>0</v>
      </c>
      <c r="I3829" s="5"/>
    </row>
    <row r="3830" spans="1:9">
      <c r="A3830" s="156">
        <f>'Reported burning'!A3830</f>
        <v>0</v>
      </c>
      <c r="B3830" s="156">
        <f>'Reported burning'!B3830</f>
        <v>0</v>
      </c>
      <c r="C3830" s="156">
        <f>'Reported burning'!C3830</f>
        <v>0</v>
      </c>
      <c r="D3830" s="156">
        <f>'Reported burning'!D3830</f>
        <v>0</v>
      </c>
      <c r="E3830" s="156">
        <f>'Reported burning'!E3830</f>
        <v>0</v>
      </c>
      <c r="F3830" s="156">
        <f>'Reported burning'!F3830</f>
        <v>0</v>
      </c>
      <c r="G3830" s="156">
        <f>'Reported burning'!G3830</f>
        <v>0</v>
      </c>
      <c r="H3830" s="156">
        <f>'Reported burning'!H3830</f>
        <v>0</v>
      </c>
      <c r="I3830" s="5"/>
    </row>
    <row r="3831" spans="1:9">
      <c r="A3831" s="156">
        <f>'Reported burning'!A3831</f>
        <v>0</v>
      </c>
      <c r="B3831" s="156">
        <f>'Reported burning'!B3831</f>
        <v>0</v>
      </c>
      <c r="C3831" s="156">
        <f>'Reported burning'!C3831</f>
        <v>0</v>
      </c>
      <c r="D3831" s="156">
        <f>'Reported burning'!D3831</f>
        <v>0</v>
      </c>
      <c r="E3831" s="156">
        <f>'Reported burning'!E3831</f>
        <v>0</v>
      </c>
      <c r="F3831" s="156">
        <f>'Reported burning'!F3831</f>
        <v>0</v>
      </c>
      <c r="G3831" s="156">
        <f>'Reported burning'!G3831</f>
        <v>0</v>
      </c>
      <c r="H3831" s="156">
        <f>'Reported burning'!H3831</f>
        <v>0</v>
      </c>
      <c r="I3831" s="5"/>
    </row>
    <row r="3832" spans="1:9">
      <c r="A3832" s="156">
        <f>'Reported burning'!A3832</f>
        <v>0</v>
      </c>
      <c r="B3832" s="156">
        <f>'Reported burning'!B3832</f>
        <v>0</v>
      </c>
      <c r="C3832" s="156">
        <f>'Reported burning'!C3832</f>
        <v>0</v>
      </c>
      <c r="D3832" s="156">
        <f>'Reported burning'!D3832</f>
        <v>0</v>
      </c>
      <c r="E3832" s="156">
        <f>'Reported burning'!E3832</f>
        <v>0</v>
      </c>
      <c r="F3832" s="156">
        <f>'Reported burning'!F3832</f>
        <v>0</v>
      </c>
      <c r="G3832" s="156">
        <f>'Reported burning'!G3832</f>
        <v>0</v>
      </c>
      <c r="H3832" s="156">
        <f>'Reported burning'!H3832</f>
        <v>0</v>
      </c>
      <c r="I3832" s="5"/>
    </row>
    <row r="3833" spans="1:9">
      <c r="A3833" s="156">
        <f>'Reported burning'!A3833</f>
        <v>0</v>
      </c>
      <c r="B3833" s="156">
        <f>'Reported burning'!B3833</f>
        <v>0</v>
      </c>
      <c r="C3833" s="156">
        <f>'Reported burning'!C3833</f>
        <v>0</v>
      </c>
      <c r="D3833" s="156">
        <f>'Reported burning'!D3833</f>
        <v>0</v>
      </c>
      <c r="E3833" s="156">
        <f>'Reported burning'!E3833</f>
        <v>0</v>
      </c>
      <c r="F3833" s="156">
        <f>'Reported burning'!F3833</f>
        <v>0</v>
      </c>
      <c r="G3833" s="156">
        <f>'Reported burning'!G3833</f>
        <v>0</v>
      </c>
      <c r="H3833" s="156">
        <f>'Reported burning'!H3833</f>
        <v>0</v>
      </c>
      <c r="I3833" s="5"/>
    </row>
    <row r="3834" spans="1:9">
      <c r="A3834" s="156">
        <f>'Reported burning'!A3834</f>
        <v>0</v>
      </c>
      <c r="B3834" s="156">
        <f>'Reported burning'!B3834</f>
        <v>0</v>
      </c>
      <c r="C3834" s="156">
        <f>'Reported burning'!C3834</f>
        <v>0</v>
      </c>
      <c r="D3834" s="156">
        <f>'Reported burning'!D3834</f>
        <v>0</v>
      </c>
      <c r="E3834" s="156">
        <f>'Reported burning'!E3834</f>
        <v>0</v>
      </c>
      <c r="F3834" s="156">
        <f>'Reported burning'!F3834</f>
        <v>0</v>
      </c>
      <c r="G3834" s="156">
        <f>'Reported burning'!G3834</f>
        <v>0</v>
      </c>
      <c r="H3834" s="156">
        <f>'Reported burning'!H3834</f>
        <v>0</v>
      </c>
      <c r="I3834" s="5"/>
    </row>
    <row r="3835" spans="1:9">
      <c r="A3835" s="156">
        <f>'Reported burning'!A3835</f>
        <v>0</v>
      </c>
      <c r="B3835" s="156">
        <f>'Reported burning'!B3835</f>
        <v>0</v>
      </c>
      <c r="C3835" s="156">
        <f>'Reported burning'!C3835</f>
        <v>0</v>
      </c>
      <c r="D3835" s="156">
        <f>'Reported burning'!D3835</f>
        <v>0</v>
      </c>
      <c r="E3835" s="156">
        <f>'Reported burning'!E3835</f>
        <v>0</v>
      </c>
      <c r="F3835" s="156">
        <f>'Reported burning'!F3835</f>
        <v>0</v>
      </c>
      <c r="G3835" s="156">
        <f>'Reported burning'!G3835</f>
        <v>0</v>
      </c>
      <c r="H3835" s="156">
        <f>'Reported burning'!H3835</f>
        <v>0</v>
      </c>
      <c r="I3835" s="5"/>
    </row>
    <row r="3836" spans="1:9">
      <c r="A3836" s="156">
        <f>'Reported burning'!A3836</f>
        <v>0</v>
      </c>
      <c r="B3836" s="156">
        <f>'Reported burning'!B3836</f>
        <v>0</v>
      </c>
      <c r="C3836" s="156">
        <f>'Reported burning'!C3836</f>
        <v>0</v>
      </c>
      <c r="D3836" s="156">
        <f>'Reported burning'!D3836</f>
        <v>0</v>
      </c>
      <c r="E3836" s="156">
        <f>'Reported burning'!E3836</f>
        <v>0</v>
      </c>
      <c r="F3836" s="156">
        <f>'Reported burning'!F3836</f>
        <v>0</v>
      </c>
      <c r="G3836" s="156">
        <f>'Reported burning'!G3836</f>
        <v>0</v>
      </c>
      <c r="H3836" s="156">
        <f>'Reported burning'!H3836</f>
        <v>0</v>
      </c>
      <c r="I3836" s="5"/>
    </row>
    <row r="3837" spans="1:9">
      <c r="A3837" s="156">
        <f>'Reported burning'!A3837</f>
        <v>0</v>
      </c>
      <c r="B3837" s="156">
        <f>'Reported burning'!B3837</f>
        <v>0</v>
      </c>
      <c r="C3837" s="156">
        <f>'Reported burning'!C3837</f>
        <v>0</v>
      </c>
      <c r="D3837" s="156">
        <f>'Reported burning'!D3837</f>
        <v>0</v>
      </c>
      <c r="E3837" s="156">
        <f>'Reported burning'!E3837</f>
        <v>0</v>
      </c>
      <c r="F3837" s="156">
        <f>'Reported burning'!F3837</f>
        <v>0</v>
      </c>
      <c r="G3837" s="156">
        <f>'Reported burning'!G3837</f>
        <v>0</v>
      </c>
      <c r="H3837" s="156">
        <f>'Reported burning'!H3837</f>
        <v>0</v>
      </c>
      <c r="I3837" s="5"/>
    </row>
    <row r="3838" spans="1:9">
      <c r="A3838" s="156">
        <f>'Reported burning'!A3838</f>
        <v>0</v>
      </c>
      <c r="B3838" s="156">
        <f>'Reported burning'!B3838</f>
        <v>0</v>
      </c>
      <c r="C3838" s="156">
        <f>'Reported burning'!C3838</f>
        <v>0</v>
      </c>
      <c r="D3838" s="156">
        <f>'Reported burning'!D3838</f>
        <v>0</v>
      </c>
      <c r="E3838" s="156">
        <f>'Reported burning'!E3838</f>
        <v>0</v>
      </c>
      <c r="F3838" s="156">
        <f>'Reported burning'!F3838</f>
        <v>0</v>
      </c>
      <c r="G3838" s="156">
        <f>'Reported burning'!G3838</f>
        <v>0</v>
      </c>
      <c r="H3838" s="156">
        <f>'Reported burning'!H3838</f>
        <v>0</v>
      </c>
      <c r="I3838" s="5"/>
    </row>
    <row r="3839" spans="1:9">
      <c r="A3839" s="156">
        <f>'Reported burning'!A3839</f>
        <v>0</v>
      </c>
      <c r="B3839" s="156">
        <f>'Reported burning'!B3839</f>
        <v>0</v>
      </c>
      <c r="C3839" s="156">
        <f>'Reported burning'!C3839</f>
        <v>0</v>
      </c>
      <c r="D3839" s="156">
        <f>'Reported burning'!D3839</f>
        <v>0</v>
      </c>
      <c r="E3839" s="156">
        <f>'Reported burning'!E3839</f>
        <v>0</v>
      </c>
      <c r="F3839" s="156">
        <f>'Reported burning'!F3839</f>
        <v>0</v>
      </c>
      <c r="G3839" s="156">
        <f>'Reported burning'!G3839</f>
        <v>0</v>
      </c>
      <c r="H3839" s="156">
        <f>'Reported burning'!H3839</f>
        <v>0</v>
      </c>
      <c r="I3839" s="5"/>
    </row>
    <row r="3840" spans="1:9">
      <c r="A3840" s="156">
        <f>'Reported burning'!A3840</f>
        <v>0</v>
      </c>
      <c r="B3840" s="156">
        <f>'Reported burning'!B3840</f>
        <v>0</v>
      </c>
      <c r="C3840" s="156">
        <f>'Reported burning'!C3840</f>
        <v>0</v>
      </c>
      <c r="D3840" s="156">
        <f>'Reported burning'!D3840</f>
        <v>0</v>
      </c>
      <c r="E3840" s="156">
        <f>'Reported burning'!E3840</f>
        <v>0</v>
      </c>
      <c r="F3840" s="156">
        <f>'Reported burning'!F3840</f>
        <v>0</v>
      </c>
      <c r="G3840" s="156">
        <f>'Reported burning'!G3840</f>
        <v>0</v>
      </c>
      <c r="H3840" s="156">
        <f>'Reported burning'!H3840</f>
        <v>0</v>
      </c>
      <c r="I3840" s="5"/>
    </row>
    <row r="3841" spans="1:9">
      <c r="A3841" s="156">
        <f>'Reported burning'!A3841</f>
        <v>0</v>
      </c>
      <c r="B3841" s="156">
        <f>'Reported burning'!B3841</f>
        <v>0</v>
      </c>
      <c r="C3841" s="156">
        <f>'Reported burning'!C3841</f>
        <v>0</v>
      </c>
      <c r="D3841" s="156">
        <f>'Reported burning'!D3841</f>
        <v>0</v>
      </c>
      <c r="E3841" s="156">
        <f>'Reported burning'!E3841</f>
        <v>0</v>
      </c>
      <c r="F3841" s="156">
        <f>'Reported burning'!F3841</f>
        <v>0</v>
      </c>
      <c r="G3841" s="156">
        <f>'Reported burning'!G3841</f>
        <v>0</v>
      </c>
      <c r="H3841" s="156">
        <f>'Reported burning'!H3841</f>
        <v>0</v>
      </c>
      <c r="I3841" s="5"/>
    </row>
    <row r="3842" spans="1:9">
      <c r="A3842" s="156">
        <f>'Reported burning'!A3842</f>
        <v>0</v>
      </c>
      <c r="B3842" s="156">
        <f>'Reported burning'!B3842</f>
        <v>0</v>
      </c>
      <c r="C3842" s="156">
        <f>'Reported burning'!C3842</f>
        <v>0</v>
      </c>
      <c r="D3842" s="156">
        <f>'Reported burning'!D3842</f>
        <v>0</v>
      </c>
      <c r="E3842" s="156">
        <f>'Reported burning'!E3842</f>
        <v>0</v>
      </c>
      <c r="F3842" s="156">
        <f>'Reported burning'!F3842</f>
        <v>0</v>
      </c>
      <c r="G3842" s="156">
        <f>'Reported burning'!G3842</f>
        <v>0</v>
      </c>
      <c r="H3842" s="156">
        <f>'Reported burning'!H3842</f>
        <v>0</v>
      </c>
      <c r="I3842" s="5"/>
    </row>
    <row r="3843" spans="1:9">
      <c r="A3843" s="156">
        <f>'Reported burning'!A3843</f>
        <v>0</v>
      </c>
      <c r="B3843" s="156">
        <f>'Reported burning'!B3843</f>
        <v>0</v>
      </c>
      <c r="C3843" s="156">
        <f>'Reported burning'!C3843</f>
        <v>0</v>
      </c>
      <c r="D3843" s="156">
        <f>'Reported burning'!D3843</f>
        <v>0</v>
      </c>
      <c r="E3843" s="156">
        <f>'Reported burning'!E3843</f>
        <v>0</v>
      </c>
      <c r="F3843" s="156">
        <f>'Reported burning'!F3843</f>
        <v>0</v>
      </c>
      <c r="G3843" s="156">
        <f>'Reported burning'!G3843</f>
        <v>0</v>
      </c>
      <c r="H3843" s="156">
        <f>'Reported burning'!H3843</f>
        <v>0</v>
      </c>
      <c r="I3843" s="5"/>
    </row>
    <row r="3844" spans="1:9">
      <c r="A3844" s="156">
        <f>'Reported burning'!A3844</f>
        <v>0</v>
      </c>
      <c r="B3844" s="156">
        <f>'Reported burning'!B3844</f>
        <v>0</v>
      </c>
      <c r="C3844" s="156">
        <f>'Reported burning'!C3844</f>
        <v>0</v>
      </c>
      <c r="D3844" s="156">
        <f>'Reported burning'!D3844</f>
        <v>0</v>
      </c>
      <c r="E3844" s="156">
        <f>'Reported burning'!E3844</f>
        <v>0</v>
      </c>
      <c r="F3844" s="156">
        <f>'Reported burning'!F3844</f>
        <v>0</v>
      </c>
      <c r="G3844" s="156">
        <f>'Reported burning'!G3844</f>
        <v>0</v>
      </c>
      <c r="H3844" s="156">
        <f>'Reported burning'!H3844</f>
        <v>0</v>
      </c>
      <c r="I3844" s="5"/>
    </row>
    <row r="3845" spans="1:9">
      <c r="A3845" s="156">
        <f>'Reported burning'!A3845</f>
        <v>0</v>
      </c>
      <c r="B3845" s="156">
        <f>'Reported burning'!B3845</f>
        <v>0</v>
      </c>
      <c r="C3845" s="156">
        <f>'Reported burning'!C3845</f>
        <v>0</v>
      </c>
      <c r="D3845" s="156">
        <f>'Reported burning'!D3845</f>
        <v>0</v>
      </c>
      <c r="E3845" s="156">
        <f>'Reported burning'!E3845</f>
        <v>0</v>
      </c>
      <c r="F3845" s="156">
        <f>'Reported burning'!F3845</f>
        <v>0</v>
      </c>
      <c r="G3845" s="156">
        <f>'Reported burning'!G3845</f>
        <v>0</v>
      </c>
      <c r="H3845" s="156">
        <f>'Reported burning'!H3845</f>
        <v>0</v>
      </c>
      <c r="I3845" s="5"/>
    </row>
    <row r="3846" spans="1:9">
      <c r="A3846" s="156">
        <f>'Reported burning'!A3846</f>
        <v>0</v>
      </c>
      <c r="B3846" s="156">
        <f>'Reported burning'!B3846</f>
        <v>0</v>
      </c>
      <c r="C3846" s="156">
        <f>'Reported burning'!C3846</f>
        <v>0</v>
      </c>
      <c r="D3846" s="156">
        <f>'Reported burning'!D3846</f>
        <v>0</v>
      </c>
      <c r="E3846" s="156">
        <f>'Reported burning'!E3846</f>
        <v>0</v>
      </c>
      <c r="F3846" s="156">
        <f>'Reported burning'!F3846</f>
        <v>0</v>
      </c>
      <c r="G3846" s="156">
        <f>'Reported burning'!G3846</f>
        <v>0</v>
      </c>
      <c r="H3846" s="156">
        <f>'Reported burning'!H3846</f>
        <v>0</v>
      </c>
      <c r="I3846" s="5"/>
    </row>
    <row r="3847" spans="1:9">
      <c r="A3847" s="156">
        <f>'Reported burning'!A3847</f>
        <v>0</v>
      </c>
      <c r="B3847" s="156">
        <f>'Reported burning'!B3847</f>
        <v>0</v>
      </c>
      <c r="C3847" s="156">
        <f>'Reported burning'!C3847</f>
        <v>0</v>
      </c>
      <c r="D3847" s="156">
        <f>'Reported burning'!D3847</f>
        <v>0</v>
      </c>
      <c r="E3847" s="156">
        <f>'Reported burning'!E3847</f>
        <v>0</v>
      </c>
      <c r="F3847" s="156">
        <f>'Reported burning'!F3847</f>
        <v>0</v>
      </c>
      <c r="G3847" s="156">
        <f>'Reported burning'!G3847</f>
        <v>0</v>
      </c>
      <c r="H3847" s="156">
        <f>'Reported burning'!H3847</f>
        <v>0</v>
      </c>
      <c r="I3847" s="5"/>
    </row>
    <row r="3848" spans="1:9">
      <c r="A3848" s="156">
        <f>'Reported burning'!A3848</f>
        <v>0</v>
      </c>
      <c r="B3848" s="156">
        <f>'Reported burning'!B3848</f>
        <v>0</v>
      </c>
      <c r="C3848" s="156">
        <f>'Reported burning'!C3848</f>
        <v>0</v>
      </c>
      <c r="D3848" s="156">
        <f>'Reported burning'!D3848</f>
        <v>0</v>
      </c>
      <c r="E3848" s="156">
        <f>'Reported burning'!E3848</f>
        <v>0</v>
      </c>
      <c r="F3848" s="156">
        <f>'Reported burning'!F3848</f>
        <v>0</v>
      </c>
      <c r="G3848" s="156">
        <f>'Reported burning'!G3848</f>
        <v>0</v>
      </c>
      <c r="H3848" s="156">
        <f>'Reported burning'!H3848</f>
        <v>0</v>
      </c>
      <c r="I3848" s="5"/>
    </row>
    <row r="3849" spans="1:9">
      <c r="A3849" s="156">
        <f>'Reported burning'!A3849</f>
        <v>0</v>
      </c>
      <c r="B3849" s="156">
        <f>'Reported burning'!B3849</f>
        <v>0</v>
      </c>
      <c r="C3849" s="156">
        <f>'Reported burning'!C3849</f>
        <v>0</v>
      </c>
      <c r="D3849" s="156">
        <f>'Reported burning'!D3849</f>
        <v>0</v>
      </c>
      <c r="E3849" s="156">
        <f>'Reported burning'!E3849</f>
        <v>0</v>
      </c>
      <c r="F3849" s="156">
        <f>'Reported burning'!F3849</f>
        <v>0</v>
      </c>
      <c r="G3849" s="156">
        <f>'Reported burning'!G3849</f>
        <v>0</v>
      </c>
      <c r="H3849" s="156">
        <f>'Reported burning'!H3849</f>
        <v>0</v>
      </c>
      <c r="I3849" s="5"/>
    </row>
    <row r="3850" spans="1:9">
      <c r="A3850" s="156">
        <f>'Reported burning'!A3850</f>
        <v>0</v>
      </c>
      <c r="B3850" s="156">
        <f>'Reported burning'!B3850</f>
        <v>0</v>
      </c>
      <c r="C3850" s="156">
        <f>'Reported burning'!C3850</f>
        <v>0</v>
      </c>
      <c r="D3850" s="156">
        <f>'Reported burning'!D3850</f>
        <v>0</v>
      </c>
      <c r="E3850" s="156">
        <f>'Reported burning'!E3850</f>
        <v>0</v>
      </c>
      <c r="F3850" s="156">
        <f>'Reported burning'!F3850</f>
        <v>0</v>
      </c>
      <c r="G3850" s="156">
        <f>'Reported burning'!G3850</f>
        <v>0</v>
      </c>
      <c r="H3850" s="156">
        <f>'Reported burning'!H3850</f>
        <v>0</v>
      </c>
      <c r="I3850" s="5"/>
    </row>
    <row r="3851" spans="1:9">
      <c r="A3851" s="156">
        <f>'Reported burning'!A3851</f>
        <v>0</v>
      </c>
      <c r="B3851" s="156">
        <f>'Reported burning'!B3851</f>
        <v>0</v>
      </c>
      <c r="C3851" s="156">
        <f>'Reported burning'!C3851</f>
        <v>0</v>
      </c>
      <c r="D3851" s="156">
        <f>'Reported burning'!D3851</f>
        <v>0</v>
      </c>
      <c r="E3851" s="156">
        <f>'Reported burning'!E3851</f>
        <v>0</v>
      </c>
      <c r="F3851" s="156">
        <f>'Reported burning'!F3851</f>
        <v>0</v>
      </c>
      <c r="G3851" s="156">
        <f>'Reported burning'!G3851</f>
        <v>0</v>
      </c>
      <c r="H3851" s="156">
        <f>'Reported burning'!H3851</f>
        <v>0</v>
      </c>
      <c r="I3851" s="5"/>
    </row>
    <row r="3852" spans="1:9">
      <c r="A3852" s="156">
        <f>'Reported burning'!A3852</f>
        <v>0</v>
      </c>
      <c r="B3852" s="156">
        <f>'Reported burning'!B3852</f>
        <v>0</v>
      </c>
      <c r="C3852" s="156">
        <f>'Reported burning'!C3852</f>
        <v>0</v>
      </c>
      <c r="D3852" s="156">
        <f>'Reported burning'!D3852</f>
        <v>0</v>
      </c>
      <c r="E3852" s="156">
        <f>'Reported burning'!E3852</f>
        <v>0</v>
      </c>
      <c r="F3852" s="156">
        <f>'Reported burning'!F3852</f>
        <v>0</v>
      </c>
      <c r="G3852" s="156">
        <f>'Reported burning'!G3852</f>
        <v>0</v>
      </c>
      <c r="H3852" s="156">
        <f>'Reported burning'!H3852</f>
        <v>0</v>
      </c>
      <c r="I3852" s="5"/>
    </row>
    <row r="3853" spans="1:9">
      <c r="A3853" s="156">
        <f>'Reported burning'!A3853</f>
        <v>0</v>
      </c>
      <c r="B3853" s="156">
        <f>'Reported burning'!B3853</f>
        <v>0</v>
      </c>
      <c r="C3853" s="156">
        <f>'Reported burning'!C3853</f>
        <v>0</v>
      </c>
      <c r="D3853" s="156">
        <f>'Reported burning'!D3853</f>
        <v>0</v>
      </c>
      <c r="E3853" s="156">
        <f>'Reported burning'!E3853</f>
        <v>0</v>
      </c>
      <c r="F3853" s="156">
        <f>'Reported burning'!F3853</f>
        <v>0</v>
      </c>
      <c r="G3853" s="156">
        <f>'Reported burning'!G3853</f>
        <v>0</v>
      </c>
      <c r="H3853" s="156">
        <f>'Reported burning'!H3853</f>
        <v>0</v>
      </c>
      <c r="I3853" s="5"/>
    </row>
    <row r="3854" spans="1:9">
      <c r="A3854" s="156">
        <f>'Reported burning'!A3854</f>
        <v>0</v>
      </c>
      <c r="B3854" s="156">
        <f>'Reported burning'!B3854</f>
        <v>0</v>
      </c>
      <c r="C3854" s="156">
        <f>'Reported burning'!C3854</f>
        <v>0</v>
      </c>
      <c r="D3854" s="156">
        <f>'Reported burning'!D3854</f>
        <v>0</v>
      </c>
      <c r="E3854" s="156">
        <f>'Reported burning'!E3854</f>
        <v>0</v>
      </c>
      <c r="F3854" s="156">
        <f>'Reported burning'!F3854</f>
        <v>0</v>
      </c>
      <c r="G3854" s="156">
        <f>'Reported burning'!G3854</f>
        <v>0</v>
      </c>
      <c r="H3854" s="156">
        <f>'Reported burning'!H3854</f>
        <v>0</v>
      </c>
      <c r="I3854" s="5"/>
    </row>
    <row r="3855" spans="1:9">
      <c r="A3855" s="156">
        <f>'Reported burning'!A3855</f>
        <v>0</v>
      </c>
      <c r="B3855" s="156">
        <f>'Reported burning'!B3855</f>
        <v>0</v>
      </c>
      <c r="C3855" s="156">
        <f>'Reported burning'!C3855</f>
        <v>0</v>
      </c>
      <c r="D3855" s="156">
        <f>'Reported burning'!D3855</f>
        <v>0</v>
      </c>
      <c r="E3855" s="156">
        <f>'Reported burning'!E3855</f>
        <v>0</v>
      </c>
      <c r="F3855" s="156">
        <f>'Reported burning'!F3855</f>
        <v>0</v>
      </c>
      <c r="G3855" s="156">
        <f>'Reported burning'!G3855</f>
        <v>0</v>
      </c>
      <c r="H3855" s="156">
        <f>'Reported burning'!H3855</f>
        <v>0</v>
      </c>
      <c r="I3855" s="5"/>
    </row>
    <row r="3856" spans="1:9">
      <c r="A3856" s="156">
        <f>'Reported burning'!A3856</f>
        <v>0</v>
      </c>
      <c r="B3856" s="156">
        <f>'Reported burning'!B3856</f>
        <v>0</v>
      </c>
      <c r="C3856" s="156">
        <f>'Reported burning'!C3856</f>
        <v>0</v>
      </c>
      <c r="D3856" s="156">
        <f>'Reported burning'!D3856</f>
        <v>0</v>
      </c>
      <c r="E3856" s="156">
        <f>'Reported burning'!E3856</f>
        <v>0</v>
      </c>
      <c r="F3856" s="156">
        <f>'Reported burning'!F3856</f>
        <v>0</v>
      </c>
      <c r="G3856" s="156">
        <f>'Reported burning'!G3856</f>
        <v>0</v>
      </c>
      <c r="H3856" s="156">
        <f>'Reported burning'!H3856</f>
        <v>0</v>
      </c>
      <c r="I3856" s="5"/>
    </row>
    <row r="3857" spans="1:9">
      <c r="A3857" s="156">
        <f>'Reported burning'!A3857</f>
        <v>0</v>
      </c>
      <c r="B3857" s="156">
        <f>'Reported burning'!B3857</f>
        <v>0</v>
      </c>
      <c r="C3857" s="156">
        <f>'Reported burning'!C3857</f>
        <v>0</v>
      </c>
      <c r="D3857" s="156">
        <f>'Reported burning'!D3857</f>
        <v>0</v>
      </c>
      <c r="E3857" s="156">
        <f>'Reported burning'!E3857</f>
        <v>0</v>
      </c>
      <c r="F3857" s="156">
        <f>'Reported burning'!F3857</f>
        <v>0</v>
      </c>
      <c r="G3857" s="156">
        <f>'Reported burning'!G3857</f>
        <v>0</v>
      </c>
      <c r="H3857" s="156">
        <f>'Reported burning'!H3857</f>
        <v>0</v>
      </c>
      <c r="I3857" s="5"/>
    </row>
    <row r="3858" spans="1:9">
      <c r="A3858" s="156">
        <f>'Reported burning'!A3858</f>
        <v>0</v>
      </c>
      <c r="B3858" s="156">
        <f>'Reported burning'!B3858</f>
        <v>0</v>
      </c>
      <c r="C3858" s="156">
        <f>'Reported burning'!C3858</f>
        <v>0</v>
      </c>
      <c r="D3858" s="156">
        <f>'Reported burning'!D3858</f>
        <v>0</v>
      </c>
      <c r="E3858" s="156">
        <f>'Reported burning'!E3858</f>
        <v>0</v>
      </c>
      <c r="F3858" s="156">
        <f>'Reported burning'!F3858</f>
        <v>0</v>
      </c>
      <c r="G3858" s="156">
        <f>'Reported burning'!G3858</f>
        <v>0</v>
      </c>
      <c r="H3858" s="156">
        <f>'Reported burning'!H3858</f>
        <v>0</v>
      </c>
      <c r="I3858" s="5"/>
    </row>
    <row r="3859" spans="1:9">
      <c r="A3859" s="156">
        <f>'Reported burning'!A3859</f>
        <v>0</v>
      </c>
      <c r="B3859" s="156">
        <f>'Reported burning'!B3859</f>
        <v>0</v>
      </c>
      <c r="C3859" s="156">
        <f>'Reported burning'!C3859</f>
        <v>0</v>
      </c>
      <c r="D3859" s="156">
        <f>'Reported burning'!D3859</f>
        <v>0</v>
      </c>
      <c r="E3859" s="156">
        <f>'Reported burning'!E3859</f>
        <v>0</v>
      </c>
      <c r="F3859" s="156">
        <f>'Reported burning'!F3859</f>
        <v>0</v>
      </c>
      <c r="G3859" s="156">
        <f>'Reported burning'!G3859</f>
        <v>0</v>
      </c>
      <c r="H3859" s="156">
        <f>'Reported burning'!H3859</f>
        <v>0</v>
      </c>
      <c r="I3859" s="5"/>
    </row>
    <row r="3860" spans="1:9">
      <c r="A3860" s="156">
        <f>'Reported burning'!A3860</f>
        <v>0</v>
      </c>
      <c r="B3860" s="156">
        <f>'Reported burning'!B3860</f>
        <v>0</v>
      </c>
      <c r="C3860" s="156">
        <f>'Reported burning'!C3860</f>
        <v>0</v>
      </c>
      <c r="D3860" s="156">
        <f>'Reported burning'!D3860</f>
        <v>0</v>
      </c>
      <c r="E3860" s="156">
        <f>'Reported burning'!E3860</f>
        <v>0</v>
      </c>
      <c r="F3860" s="156">
        <f>'Reported burning'!F3860</f>
        <v>0</v>
      </c>
      <c r="G3860" s="156">
        <f>'Reported burning'!G3860</f>
        <v>0</v>
      </c>
      <c r="H3860" s="156">
        <f>'Reported burning'!H3860</f>
        <v>0</v>
      </c>
      <c r="I3860" s="5"/>
    </row>
    <row r="3861" spans="1:9">
      <c r="A3861" s="156">
        <f>'Reported burning'!A3861</f>
        <v>0</v>
      </c>
      <c r="B3861" s="156">
        <f>'Reported burning'!B3861</f>
        <v>0</v>
      </c>
      <c r="C3861" s="156">
        <f>'Reported burning'!C3861</f>
        <v>0</v>
      </c>
      <c r="D3861" s="156">
        <f>'Reported burning'!D3861</f>
        <v>0</v>
      </c>
      <c r="E3861" s="156">
        <f>'Reported burning'!E3861</f>
        <v>0</v>
      </c>
      <c r="F3861" s="156">
        <f>'Reported burning'!F3861</f>
        <v>0</v>
      </c>
      <c r="G3861" s="156">
        <f>'Reported burning'!G3861</f>
        <v>0</v>
      </c>
      <c r="H3861" s="156">
        <f>'Reported burning'!H3861</f>
        <v>0</v>
      </c>
      <c r="I3861" s="5"/>
    </row>
    <row r="3862" spans="1:9">
      <c r="A3862" s="156">
        <f>'Reported burning'!A3862</f>
        <v>0</v>
      </c>
      <c r="B3862" s="156">
        <f>'Reported burning'!B3862</f>
        <v>0</v>
      </c>
      <c r="C3862" s="156">
        <f>'Reported burning'!C3862</f>
        <v>0</v>
      </c>
      <c r="D3862" s="156">
        <f>'Reported burning'!D3862</f>
        <v>0</v>
      </c>
      <c r="E3862" s="156">
        <f>'Reported burning'!E3862</f>
        <v>0</v>
      </c>
      <c r="F3862" s="156">
        <f>'Reported burning'!F3862</f>
        <v>0</v>
      </c>
      <c r="G3862" s="156">
        <f>'Reported burning'!G3862</f>
        <v>0</v>
      </c>
      <c r="H3862" s="156">
        <f>'Reported burning'!H3862</f>
        <v>0</v>
      </c>
      <c r="I3862" s="5"/>
    </row>
    <row r="3863" spans="1:9">
      <c r="A3863" s="156">
        <f>'Reported burning'!A3863</f>
        <v>0</v>
      </c>
      <c r="B3863" s="156">
        <f>'Reported burning'!B3863</f>
        <v>0</v>
      </c>
      <c r="C3863" s="156">
        <f>'Reported burning'!C3863</f>
        <v>0</v>
      </c>
      <c r="D3863" s="156">
        <f>'Reported burning'!D3863</f>
        <v>0</v>
      </c>
      <c r="E3863" s="156">
        <f>'Reported burning'!E3863</f>
        <v>0</v>
      </c>
      <c r="F3863" s="156">
        <f>'Reported burning'!F3863</f>
        <v>0</v>
      </c>
      <c r="G3863" s="156">
        <f>'Reported burning'!G3863</f>
        <v>0</v>
      </c>
      <c r="H3863" s="156">
        <f>'Reported burning'!H3863</f>
        <v>0</v>
      </c>
      <c r="I3863" s="5"/>
    </row>
    <row r="3864" spans="1:9">
      <c r="A3864" s="156">
        <f>'Reported burning'!A3864</f>
        <v>0</v>
      </c>
      <c r="B3864" s="156">
        <f>'Reported burning'!B3864</f>
        <v>0</v>
      </c>
      <c r="C3864" s="156">
        <f>'Reported burning'!C3864</f>
        <v>0</v>
      </c>
      <c r="D3864" s="156">
        <f>'Reported burning'!D3864</f>
        <v>0</v>
      </c>
      <c r="E3864" s="156">
        <f>'Reported burning'!E3864</f>
        <v>0</v>
      </c>
      <c r="F3864" s="156">
        <f>'Reported burning'!F3864</f>
        <v>0</v>
      </c>
      <c r="G3864" s="156">
        <f>'Reported burning'!G3864</f>
        <v>0</v>
      </c>
      <c r="H3864" s="156">
        <f>'Reported burning'!H3864</f>
        <v>0</v>
      </c>
      <c r="I3864" s="5"/>
    </row>
    <row r="3865" spans="1:9">
      <c r="A3865" s="156">
        <f>'Reported burning'!A3865</f>
        <v>0</v>
      </c>
      <c r="B3865" s="156">
        <f>'Reported burning'!B3865</f>
        <v>0</v>
      </c>
      <c r="C3865" s="156">
        <f>'Reported burning'!C3865</f>
        <v>0</v>
      </c>
      <c r="D3865" s="156">
        <f>'Reported burning'!D3865</f>
        <v>0</v>
      </c>
      <c r="E3865" s="156">
        <f>'Reported burning'!E3865</f>
        <v>0</v>
      </c>
      <c r="F3865" s="156">
        <f>'Reported burning'!F3865</f>
        <v>0</v>
      </c>
      <c r="G3865" s="156">
        <f>'Reported burning'!G3865</f>
        <v>0</v>
      </c>
      <c r="H3865" s="156">
        <f>'Reported burning'!H3865</f>
        <v>0</v>
      </c>
      <c r="I3865" s="5"/>
    </row>
    <row r="3866" spans="1:9">
      <c r="A3866" s="156">
        <f>'Reported burning'!A3866</f>
        <v>0</v>
      </c>
      <c r="B3866" s="156">
        <f>'Reported burning'!B3866</f>
        <v>0</v>
      </c>
      <c r="C3866" s="156">
        <f>'Reported burning'!C3866</f>
        <v>0</v>
      </c>
      <c r="D3866" s="156">
        <f>'Reported burning'!D3866</f>
        <v>0</v>
      </c>
      <c r="E3866" s="156">
        <f>'Reported burning'!E3866</f>
        <v>0</v>
      </c>
      <c r="F3866" s="156">
        <f>'Reported burning'!F3866</f>
        <v>0</v>
      </c>
      <c r="G3866" s="156">
        <f>'Reported burning'!G3866</f>
        <v>0</v>
      </c>
      <c r="H3866" s="156">
        <f>'Reported burning'!H3866</f>
        <v>0</v>
      </c>
      <c r="I3866" s="5"/>
    </row>
    <row r="3867" spans="1:9">
      <c r="A3867" s="156">
        <f>'Reported burning'!A3867</f>
        <v>0</v>
      </c>
      <c r="B3867" s="156">
        <f>'Reported burning'!B3867</f>
        <v>0</v>
      </c>
      <c r="C3867" s="156">
        <f>'Reported burning'!C3867</f>
        <v>0</v>
      </c>
      <c r="D3867" s="156">
        <f>'Reported burning'!D3867</f>
        <v>0</v>
      </c>
      <c r="E3867" s="156">
        <f>'Reported burning'!E3867</f>
        <v>0</v>
      </c>
      <c r="F3867" s="156">
        <f>'Reported burning'!F3867</f>
        <v>0</v>
      </c>
      <c r="G3867" s="156">
        <f>'Reported burning'!G3867</f>
        <v>0</v>
      </c>
      <c r="H3867" s="156">
        <f>'Reported burning'!H3867</f>
        <v>0</v>
      </c>
      <c r="I3867" s="5"/>
    </row>
    <row r="3868" spans="1:9">
      <c r="A3868" s="156">
        <f>'Reported burning'!A3868</f>
        <v>0</v>
      </c>
      <c r="B3868" s="156">
        <f>'Reported burning'!B3868</f>
        <v>0</v>
      </c>
      <c r="C3868" s="156">
        <f>'Reported burning'!C3868</f>
        <v>0</v>
      </c>
      <c r="D3868" s="156">
        <f>'Reported burning'!D3868</f>
        <v>0</v>
      </c>
      <c r="E3868" s="156">
        <f>'Reported burning'!E3868</f>
        <v>0</v>
      </c>
      <c r="F3868" s="156">
        <f>'Reported burning'!F3868</f>
        <v>0</v>
      </c>
      <c r="G3868" s="156">
        <f>'Reported burning'!G3868</f>
        <v>0</v>
      </c>
      <c r="H3868" s="156">
        <f>'Reported burning'!H3868</f>
        <v>0</v>
      </c>
      <c r="I3868" s="5"/>
    </row>
    <row r="3869" spans="1:9">
      <c r="A3869" s="156">
        <f>'Reported burning'!A3869</f>
        <v>0</v>
      </c>
      <c r="B3869" s="156">
        <f>'Reported burning'!B3869</f>
        <v>0</v>
      </c>
      <c r="C3869" s="156">
        <f>'Reported burning'!C3869</f>
        <v>0</v>
      </c>
      <c r="D3869" s="156">
        <f>'Reported burning'!D3869</f>
        <v>0</v>
      </c>
      <c r="E3869" s="156">
        <f>'Reported burning'!E3869</f>
        <v>0</v>
      </c>
      <c r="F3869" s="156">
        <f>'Reported burning'!F3869</f>
        <v>0</v>
      </c>
      <c r="G3869" s="156">
        <f>'Reported burning'!G3869</f>
        <v>0</v>
      </c>
      <c r="H3869" s="156">
        <f>'Reported burning'!H3869</f>
        <v>0</v>
      </c>
      <c r="I3869" s="5"/>
    </row>
    <row r="3870" spans="1:9">
      <c r="A3870" s="156">
        <f>'Reported burning'!A3870</f>
        <v>0</v>
      </c>
      <c r="B3870" s="156">
        <f>'Reported burning'!B3870</f>
        <v>0</v>
      </c>
      <c r="C3870" s="156">
        <f>'Reported burning'!C3870</f>
        <v>0</v>
      </c>
      <c r="D3870" s="156">
        <f>'Reported burning'!D3870</f>
        <v>0</v>
      </c>
      <c r="E3870" s="156">
        <f>'Reported burning'!E3870</f>
        <v>0</v>
      </c>
      <c r="F3870" s="156">
        <f>'Reported burning'!F3870</f>
        <v>0</v>
      </c>
      <c r="G3870" s="156">
        <f>'Reported burning'!G3870</f>
        <v>0</v>
      </c>
      <c r="H3870" s="156">
        <f>'Reported burning'!H3870</f>
        <v>0</v>
      </c>
      <c r="I3870" s="5"/>
    </row>
    <row r="3871" spans="1:9">
      <c r="A3871" s="156">
        <f>'Reported burning'!A3871</f>
        <v>0</v>
      </c>
      <c r="B3871" s="156">
        <f>'Reported burning'!B3871</f>
        <v>0</v>
      </c>
      <c r="C3871" s="156">
        <f>'Reported burning'!C3871</f>
        <v>0</v>
      </c>
      <c r="D3871" s="156">
        <f>'Reported burning'!D3871</f>
        <v>0</v>
      </c>
      <c r="E3871" s="156">
        <f>'Reported burning'!E3871</f>
        <v>0</v>
      </c>
      <c r="F3871" s="156">
        <f>'Reported burning'!F3871</f>
        <v>0</v>
      </c>
      <c r="G3871" s="156">
        <f>'Reported burning'!G3871</f>
        <v>0</v>
      </c>
      <c r="H3871" s="156">
        <f>'Reported burning'!H3871</f>
        <v>0</v>
      </c>
      <c r="I3871" s="5"/>
    </row>
    <row r="3872" spans="1:9">
      <c r="A3872" s="156">
        <f>'Reported burning'!A3872</f>
        <v>0</v>
      </c>
      <c r="B3872" s="156">
        <f>'Reported burning'!B3872</f>
        <v>0</v>
      </c>
      <c r="C3872" s="156">
        <f>'Reported burning'!C3872</f>
        <v>0</v>
      </c>
      <c r="D3872" s="156">
        <f>'Reported burning'!D3872</f>
        <v>0</v>
      </c>
      <c r="E3872" s="156">
        <f>'Reported burning'!E3872</f>
        <v>0</v>
      </c>
      <c r="F3872" s="156">
        <f>'Reported burning'!F3872</f>
        <v>0</v>
      </c>
      <c r="G3872" s="156">
        <f>'Reported burning'!G3872</f>
        <v>0</v>
      </c>
      <c r="H3872" s="156">
        <f>'Reported burning'!H3872</f>
        <v>0</v>
      </c>
      <c r="I3872" s="5"/>
    </row>
    <row r="3873" spans="1:9">
      <c r="A3873" s="156">
        <f>'Reported burning'!A3873</f>
        <v>0</v>
      </c>
      <c r="B3873" s="156">
        <f>'Reported burning'!B3873</f>
        <v>0</v>
      </c>
      <c r="C3873" s="156">
        <f>'Reported burning'!C3873</f>
        <v>0</v>
      </c>
      <c r="D3873" s="156">
        <f>'Reported burning'!D3873</f>
        <v>0</v>
      </c>
      <c r="E3873" s="156">
        <f>'Reported burning'!E3873</f>
        <v>0</v>
      </c>
      <c r="F3873" s="156">
        <f>'Reported burning'!F3873</f>
        <v>0</v>
      </c>
      <c r="G3873" s="156">
        <f>'Reported burning'!G3873</f>
        <v>0</v>
      </c>
      <c r="H3873" s="156">
        <f>'Reported burning'!H3873</f>
        <v>0</v>
      </c>
      <c r="I3873" s="5"/>
    </row>
    <row r="3874" spans="1:9">
      <c r="A3874" s="156">
        <f>'Reported burning'!A3874</f>
        <v>0</v>
      </c>
      <c r="B3874" s="156">
        <f>'Reported burning'!B3874</f>
        <v>0</v>
      </c>
      <c r="C3874" s="156">
        <f>'Reported burning'!C3874</f>
        <v>0</v>
      </c>
      <c r="D3874" s="156">
        <f>'Reported burning'!D3874</f>
        <v>0</v>
      </c>
      <c r="E3874" s="156">
        <f>'Reported burning'!E3874</f>
        <v>0</v>
      </c>
      <c r="F3874" s="156">
        <f>'Reported burning'!F3874</f>
        <v>0</v>
      </c>
      <c r="G3874" s="156">
        <f>'Reported burning'!G3874</f>
        <v>0</v>
      </c>
      <c r="H3874" s="156">
        <f>'Reported burning'!H3874</f>
        <v>0</v>
      </c>
      <c r="I3874" s="5"/>
    </row>
    <row r="3875" spans="1:9">
      <c r="A3875" s="156">
        <f>'Reported burning'!A3875</f>
        <v>0</v>
      </c>
      <c r="B3875" s="156">
        <f>'Reported burning'!B3875</f>
        <v>0</v>
      </c>
      <c r="C3875" s="156">
        <f>'Reported burning'!C3875</f>
        <v>0</v>
      </c>
      <c r="D3875" s="156">
        <f>'Reported burning'!D3875</f>
        <v>0</v>
      </c>
      <c r="E3875" s="156">
        <f>'Reported burning'!E3875</f>
        <v>0</v>
      </c>
      <c r="F3875" s="156">
        <f>'Reported burning'!F3875</f>
        <v>0</v>
      </c>
      <c r="G3875" s="156">
        <f>'Reported burning'!G3875</f>
        <v>0</v>
      </c>
      <c r="H3875" s="156">
        <f>'Reported burning'!H3875</f>
        <v>0</v>
      </c>
      <c r="I3875" s="5"/>
    </row>
    <row r="3876" spans="1:9">
      <c r="A3876" s="156">
        <f>'Reported burning'!A3876</f>
        <v>0</v>
      </c>
      <c r="B3876" s="156">
        <f>'Reported burning'!B3876</f>
        <v>0</v>
      </c>
      <c r="C3876" s="156">
        <f>'Reported burning'!C3876</f>
        <v>0</v>
      </c>
      <c r="D3876" s="156">
        <f>'Reported burning'!D3876</f>
        <v>0</v>
      </c>
      <c r="E3876" s="156">
        <f>'Reported burning'!E3876</f>
        <v>0</v>
      </c>
      <c r="F3876" s="156">
        <f>'Reported burning'!F3876</f>
        <v>0</v>
      </c>
      <c r="G3876" s="156">
        <f>'Reported burning'!G3876</f>
        <v>0</v>
      </c>
      <c r="H3876" s="156">
        <f>'Reported burning'!H3876</f>
        <v>0</v>
      </c>
      <c r="I3876" s="5"/>
    </row>
    <row r="3877" spans="1:9">
      <c r="A3877" s="156">
        <f>'Reported burning'!A3877</f>
        <v>0</v>
      </c>
      <c r="B3877" s="156">
        <f>'Reported burning'!B3877</f>
        <v>0</v>
      </c>
      <c r="C3877" s="156">
        <f>'Reported burning'!C3877</f>
        <v>0</v>
      </c>
      <c r="D3877" s="156">
        <f>'Reported burning'!D3877</f>
        <v>0</v>
      </c>
      <c r="E3877" s="156">
        <f>'Reported burning'!E3877</f>
        <v>0</v>
      </c>
      <c r="F3877" s="156">
        <f>'Reported burning'!F3877</f>
        <v>0</v>
      </c>
      <c r="G3877" s="156">
        <f>'Reported burning'!G3877</f>
        <v>0</v>
      </c>
      <c r="H3877" s="156">
        <f>'Reported burning'!H3877</f>
        <v>0</v>
      </c>
      <c r="I3877" s="5"/>
    </row>
    <row r="3878" spans="1:9">
      <c r="A3878" s="156">
        <f>'Reported burning'!A3878</f>
        <v>0</v>
      </c>
      <c r="B3878" s="156">
        <f>'Reported burning'!B3878</f>
        <v>0</v>
      </c>
      <c r="C3878" s="156">
        <f>'Reported burning'!C3878</f>
        <v>0</v>
      </c>
      <c r="D3878" s="156">
        <f>'Reported burning'!D3878</f>
        <v>0</v>
      </c>
      <c r="E3878" s="156">
        <f>'Reported burning'!E3878</f>
        <v>0</v>
      </c>
      <c r="F3878" s="156">
        <f>'Reported burning'!F3878</f>
        <v>0</v>
      </c>
      <c r="G3878" s="156">
        <f>'Reported burning'!G3878</f>
        <v>0</v>
      </c>
      <c r="H3878" s="156">
        <f>'Reported burning'!H3878</f>
        <v>0</v>
      </c>
      <c r="I3878" s="5"/>
    </row>
    <row r="3879" spans="1:9">
      <c r="A3879" s="156">
        <f>'Reported burning'!A3879</f>
        <v>0</v>
      </c>
      <c r="B3879" s="156">
        <f>'Reported burning'!B3879</f>
        <v>0</v>
      </c>
      <c r="C3879" s="156">
        <f>'Reported burning'!C3879</f>
        <v>0</v>
      </c>
      <c r="D3879" s="156">
        <f>'Reported burning'!D3879</f>
        <v>0</v>
      </c>
      <c r="E3879" s="156">
        <f>'Reported burning'!E3879</f>
        <v>0</v>
      </c>
      <c r="F3879" s="156">
        <f>'Reported burning'!F3879</f>
        <v>0</v>
      </c>
      <c r="G3879" s="156">
        <f>'Reported burning'!G3879</f>
        <v>0</v>
      </c>
      <c r="H3879" s="156">
        <f>'Reported burning'!H3879</f>
        <v>0</v>
      </c>
      <c r="I3879" s="5"/>
    </row>
    <row r="3880" spans="1:9">
      <c r="A3880" s="156">
        <f>'Reported burning'!A3880</f>
        <v>0</v>
      </c>
      <c r="B3880" s="156">
        <f>'Reported burning'!B3880</f>
        <v>0</v>
      </c>
      <c r="C3880" s="156">
        <f>'Reported burning'!C3880</f>
        <v>0</v>
      </c>
      <c r="D3880" s="156">
        <f>'Reported burning'!D3880</f>
        <v>0</v>
      </c>
      <c r="E3880" s="156">
        <f>'Reported burning'!E3880</f>
        <v>0</v>
      </c>
      <c r="F3880" s="156">
        <f>'Reported burning'!F3880</f>
        <v>0</v>
      </c>
      <c r="G3880" s="156">
        <f>'Reported burning'!G3880</f>
        <v>0</v>
      </c>
      <c r="H3880" s="156">
        <f>'Reported burning'!H3880</f>
        <v>0</v>
      </c>
      <c r="I3880" s="5"/>
    </row>
    <row r="3881" spans="1:9">
      <c r="A3881" s="156">
        <f>'Reported burning'!A3881</f>
        <v>0</v>
      </c>
      <c r="B3881" s="156">
        <f>'Reported burning'!B3881</f>
        <v>0</v>
      </c>
      <c r="C3881" s="156">
        <f>'Reported burning'!C3881</f>
        <v>0</v>
      </c>
      <c r="D3881" s="156">
        <f>'Reported burning'!D3881</f>
        <v>0</v>
      </c>
      <c r="E3881" s="156">
        <f>'Reported burning'!E3881</f>
        <v>0</v>
      </c>
      <c r="F3881" s="156">
        <f>'Reported burning'!F3881</f>
        <v>0</v>
      </c>
      <c r="G3881" s="156">
        <f>'Reported burning'!G3881</f>
        <v>0</v>
      </c>
      <c r="H3881" s="156">
        <f>'Reported burning'!H3881</f>
        <v>0</v>
      </c>
      <c r="I3881" s="5"/>
    </row>
    <row r="3882" spans="1:9">
      <c r="A3882" s="156">
        <f>'Reported burning'!A3882</f>
        <v>0</v>
      </c>
      <c r="B3882" s="156">
        <f>'Reported burning'!B3882</f>
        <v>0</v>
      </c>
      <c r="C3882" s="156">
        <f>'Reported burning'!C3882</f>
        <v>0</v>
      </c>
      <c r="D3882" s="156">
        <f>'Reported burning'!D3882</f>
        <v>0</v>
      </c>
      <c r="E3882" s="156">
        <f>'Reported burning'!E3882</f>
        <v>0</v>
      </c>
      <c r="F3882" s="156">
        <f>'Reported burning'!F3882</f>
        <v>0</v>
      </c>
      <c r="G3882" s="156">
        <f>'Reported burning'!G3882</f>
        <v>0</v>
      </c>
      <c r="H3882" s="156">
        <f>'Reported burning'!H3882</f>
        <v>0</v>
      </c>
      <c r="I3882" s="5"/>
    </row>
    <row r="3883" spans="1:9">
      <c r="A3883" s="156">
        <f>'Reported burning'!A3883</f>
        <v>0</v>
      </c>
      <c r="B3883" s="156">
        <f>'Reported burning'!B3883</f>
        <v>0</v>
      </c>
      <c r="C3883" s="156">
        <f>'Reported burning'!C3883</f>
        <v>0</v>
      </c>
      <c r="D3883" s="156">
        <f>'Reported burning'!D3883</f>
        <v>0</v>
      </c>
      <c r="E3883" s="156">
        <f>'Reported burning'!E3883</f>
        <v>0</v>
      </c>
      <c r="F3883" s="156">
        <f>'Reported burning'!F3883</f>
        <v>0</v>
      </c>
      <c r="G3883" s="156">
        <f>'Reported burning'!G3883</f>
        <v>0</v>
      </c>
      <c r="H3883" s="156">
        <f>'Reported burning'!H3883</f>
        <v>0</v>
      </c>
      <c r="I3883" s="5"/>
    </row>
    <row r="3884" spans="1:9">
      <c r="A3884" s="156">
        <f>'Reported burning'!A3884</f>
        <v>0</v>
      </c>
      <c r="B3884" s="156">
        <f>'Reported burning'!B3884</f>
        <v>0</v>
      </c>
      <c r="C3884" s="156">
        <f>'Reported burning'!C3884</f>
        <v>0</v>
      </c>
      <c r="D3884" s="156">
        <f>'Reported burning'!D3884</f>
        <v>0</v>
      </c>
      <c r="E3884" s="156">
        <f>'Reported burning'!E3884</f>
        <v>0</v>
      </c>
      <c r="F3884" s="156">
        <f>'Reported burning'!F3884</f>
        <v>0</v>
      </c>
      <c r="G3884" s="156">
        <f>'Reported burning'!G3884</f>
        <v>0</v>
      </c>
      <c r="H3884" s="156">
        <f>'Reported burning'!H3884</f>
        <v>0</v>
      </c>
      <c r="I3884" s="5"/>
    </row>
    <row r="3885" spans="1:9">
      <c r="A3885" s="156">
        <f>'Reported burning'!A3885</f>
        <v>0</v>
      </c>
      <c r="B3885" s="156">
        <f>'Reported burning'!B3885</f>
        <v>0</v>
      </c>
      <c r="C3885" s="156">
        <f>'Reported burning'!C3885</f>
        <v>0</v>
      </c>
      <c r="D3885" s="156">
        <f>'Reported burning'!D3885</f>
        <v>0</v>
      </c>
      <c r="E3885" s="156">
        <f>'Reported burning'!E3885</f>
        <v>0</v>
      </c>
      <c r="F3885" s="156">
        <f>'Reported burning'!F3885</f>
        <v>0</v>
      </c>
      <c r="G3885" s="156">
        <f>'Reported burning'!G3885</f>
        <v>0</v>
      </c>
      <c r="H3885" s="156">
        <f>'Reported burning'!H3885</f>
        <v>0</v>
      </c>
      <c r="I3885" s="5"/>
    </row>
    <row r="3886" spans="1:9">
      <c r="A3886" s="156">
        <f>'Reported burning'!A3886</f>
        <v>0</v>
      </c>
      <c r="B3886" s="156">
        <f>'Reported burning'!B3886</f>
        <v>0</v>
      </c>
      <c r="C3886" s="156">
        <f>'Reported burning'!C3886</f>
        <v>0</v>
      </c>
      <c r="D3886" s="156">
        <f>'Reported burning'!D3886</f>
        <v>0</v>
      </c>
      <c r="E3886" s="156">
        <f>'Reported burning'!E3886</f>
        <v>0</v>
      </c>
      <c r="F3886" s="156">
        <f>'Reported burning'!F3886</f>
        <v>0</v>
      </c>
      <c r="G3886" s="156">
        <f>'Reported burning'!G3886</f>
        <v>0</v>
      </c>
      <c r="H3886" s="156">
        <f>'Reported burning'!H3886</f>
        <v>0</v>
      </c>
      <c r="I3886" s="5"/>
    </row>
    <row r="3887" spans="1:9">
      <c r="A3887" s="156">
        <f>'Reported burning'!A3887</f>
        <v>0</v>
      </c>
      <c r="B3887" s="156">
        <f>'Reported burning'!B3887</f>
        <v>0</v>
      </c>
      <c r="C3887" s="156">
        <f>'Reported burning'!C3887</f>
        <v>0</v>
      </c>
      <c r="D3887" s="156">
        <f>'Reported burning'!D3887</f>
        <v>0</v>
      </c>
      <c r="E3887" s="156">
        <f>'Reported burning'!E3887</f>
        <v>0</v>
      </c>
      <c r="F3887" s="156">
        <f>'Reported burning'!F3887</f>
        <v>0</v>
      </c>
      <c r="G3887" s="156">
        <f>'Reported burning'!G3887</f>
        <v>0</v>
      </c>
      <c r="H3887" s="156">
        <f>'Reported burning'!H3887</f>
        <v>0</v>
      </c>
      <c r="I3887" s="5"/>
    </row>
    <row r="3888" spans="1:9">
      <c r="A3888" s="156">
        <f>'Reported burning'!A3888</f>
        <v>0</v>
      </c>
      <c r="B3888" s="156">
        <f>'Reported burning'!B3888</f>
        <v>0</v>
      </c>
      <c r="C3888" s="156">
        <f>'Reported burning'!C3888</f>
        <v>0</v>
      </c>
      <c r="D3888" s="156">
        <f>'Reported burning'!D3888</f>
        <v>0</v>
      </c>
      <c r="E3888" s="156">
        <f>'Reported burning'!E3888</f>
        <v>0</v>
      </c>
      <c r="F3888" s="156">
        <f>'Reported burning'!F3888</f>
        <v>0</v>
      </c>
      <c r="G3888" s="156">
        <f>'Reported burning'!G3888</f>
        <v>0</v>
      </c>
      <c r="H3888" s="156">
        <f>'Reported burning'!H3888</f>
        <v>0</v>
      </c>
      <c r="I3888" s="5"/>
    </row>
    <row r="3889" spans="1:9">
      <c r="A3889" s="156">
        <f>'Reported burning'!A3889</f>
        <v>0</v>
      </c>
      <c r="B3889" s="156">
        <f>'Reported burning'!B3889</f>
        <v>0</v>
      </c>
      <c r="C3889" s="156">
        <f>'Reported burning'!C3889</f>
        <v>0</v>
      </c>
      <c r="D3889" s="156">
        <f>'Reported burning'!D3889</f>
        <v>0</v>
      </c>
      <c r="E3889" s="156">
        <f>'Reported burning'!E3889</f>
        <v>0</v>
      </c>
      <c r="F3889" s="156">
        <f>'Reported burning'!F3889</f>
        <v>0</v>
      </c>
      <c r="G3889" s="156">
        <f>'Reported burning'!G3889</f>
        <v>0</v>
      </c>
      <c r="H3889" s="156">
        <f>'Reported burning'!H3889</f>
        <v>0</v>
      </c>
      <c r="I3889" s="5"/>
    </row>
    <row r="3890" spans="1:9">
      <c r="A3890" s="156">
        <f>'Reported burning'!A3890</f>
        <v>0</v>
      </c>
      <c r="B3890" s="156">
        <f>'Reported burning'!B3890</f>
        <v>0</v>
      </c>
      <c r="C3890" s="156">
        <f>'Reported burning'!C3890</f>
        <v>0</v>
      </c>
      <c r="D3890" s="156">
        <f>'Reported burning'!D3890</f>
        <v>0</v>
      </c>
      <c r="E3890" s="156">
        <f>'Reported burning'!E3890</f>
        <v>0</v>
      </c>
      <c r="F3890" s="156">
        <f>'Reported burning'!F3890</f>
        <v>0</v>
      </c>
      <c r="G3890" s="156">
        <f>'Reported burning'!G3890</f>
        <v>0</v>
      </c>
      <c r="H3890" s="156">
        <f>'Reported burning'!H3890</f>
        <v>0</v>
      </c>
      <c r="I3890" s="5"/>
    </row>
    <row r="3891" spans="1:9">
      <c r="A3891" s="156">
        <f>'Reported burning'!A3891</f>
        <v>0</v>
      </c>
      <c r="B3891" s="156">
        <f>'Reported burning'!B3891</f>
        <v>0</v>
      </c>
      <c r="C3891" s="156">
        <f>'Reported burning'!C3891</f>
        <v>0</v>
      </c>
      <c r="D3891" s="156">
        <f>'Reported burning'!D3891</f>
        <v>0</v>
      </c>
      <c r="E3891" s="156">
        <f>'Reported burning'!E3891</f>
        <v>0</v>
      </c>
      <c r="F3891" s="156">
        <f>'Reported burning'!F3891</f>
        <v>0</v>
      </c>
      <c r="G3891" s="156">
        <f>'Reported burning'!G3891</f>
        <v>0</v>
      </c>
      <c r="H3891" s="156">
        <f>'Reported burning'!H3891</f>
        <v>0</v>
      </c>
      <c r="I3891" s="5"/>
    </row>
    <row r="3892" spans="1:9">
      <c r="A3892" s="156">
        <f>'Reported burning'!A3892</f>
        <v>0</v>
      </c>
      <c r="B3892" s="156">
        <f>'Reported burning'!B3892</f>
        <v>0</v>
      </c>
      <c r="C3892" s="156">
        <f>'Reported burning'!C3892</f>
        <v>0</v>
      </c>
      <c r="D3892" s="156">
        <f>'Reported burning'!D3892</f>
        <v>0</v>
      </c>
      <c r="E3892" s="156">
        <f>'Reported burning'!E3892</f>
        <v>0</v>
      </c>
      <c r="F3892" s="156">
        <f>'Reported burning'!F3892</f>
        <v>0</v>
      </c>
      <c r="G3892" s="156">
        <f>'Reported burning'!G3892</f>
        <v>0</v>
      </c>
      <c r="H3892" s="156">
        <f>'Reported burning'!H3892</f>
        <v>0</v>
      </c>
      <c r="I3892" s="5"/>
    </row>
    <row r="3893" spans="1:9">
      <c r="A3893" s="156">
        <f>'Reported burning'!A3893</f>
        <v>0</v>
      </c>
      <c r="B3893" s="156">
        <f>'Reported burning'!B3893</f>
        <v>0</v>
      </c>
      <c r="C3893" s="156">
        <f>'Reported burning'!C3893</f>
        <v>0</v>
      </c>
      <c r="D3893" s="156">
        <f>'Reported burning'!D3893</f>
        <v>0</v>
      </c>
      <c r="E3893" s="156">
        <f>'Reported burning'!E3893</f>
        <v>0</v>
      </c>
      <c r="F3893" s="156">
        <f>'Reported burning'!F3893</f>
        <v>0</v>
      </c>
      <c r="G3893" s="156">
        <f>'Reported burning'!G3893</f>
        <v>0</v>
      </c>
      <c r="H3893" s="156">
        <f>'Reported burning'!H3893</f>
        <v>0</v>
      </c>
      <c r="I3893" s="5"/>
    </row>
    <row r="3894" spans="1:9">
      <c r="A3894" s="156">
        <f>'Reported burning'!A3894</f>
        <v>0</v>
      </c>
      <c r="B3894" s="156">
        <f>'Reported burning'!B3894</f>
        <v>0</v>
      </c>
      <c r="C3894" s="156">
        <f>'Reported burning'!C3894</f>
        <v>0</v>
      </c>
      <c r="D3894" s="156">
        <f>'Reported burning'!D3894</f>
        <v>0</v>
      </c>
      <c r="E3894" s="156">
        <f>'Reported burning'!E3894</f>
        <v>0</v>
      </c>
      <c r="F3894" s="156">
        <f>'Reported burning'!F3894</f>
        <v>0</v>
      </c>
      <c r="G3894" s="156">
        <f>'Reported burning'!G3894</f>
        <v>0</v>
      </c>
      <c r="H3894" s="156">
        <f>'Reported burning'!H3894</f>
        <v>0</v>
      </c>
      <c r="I3894" s="5"/>
    </row>
    <row r="3895" spans="1:9">
      <c r="A3895" s="156">
        <f>'Reported burning'!A3895</f>
        <v>0</v>
      </c>
      <c r="B3895" s="156">
        <f>'Reported burning'!B3895</f>
        <v>0</v>
      </c>
      <c r="C3895" s="156">
        <f>'Reported burning'!C3895</f>
        <v>0</v>
      </c>
      <c r="D3895" s="156">
        <f>'Reported burning'!D3895</f>
        <v>0</v>
      </c>
      <c r="E3895" s="156">
        <f>'Reported burning'!E3895</f>
        <v>0</v>
      </c>
      <c r="F3895" s="156">
        <f>'Reported burning'!F3895</f>
        <v>0</v>
      </c>
      <c r="G3895" s="156">
        <f>'Reported burning'!G3895</f>
        <v>0</v>
      </c>
      <c r="H3895" s="156">
        <f>'Reported burning'!H3895</f>
        <v>0</v>
      </c>
      <c r="I3895" s="5"/>
    </row>
    <row r="3896" spans="1:9">
      <c r="A3896" s="156">
        <f>'Reported burning'!A3896</f>
        <v>0</v>
      </c>
      <c r="B3896" s="156">
        <f>'Reported burning'!B3896</f>
        <v>0</v>
      </c>
      <c r="C3896" s="156">
        <f>'Reported burning'!C3896</f>
        <v>0</v>
      </c>
      <c r="D3896" s="156">
        <f>'Reported burning'!D3896</f>
        <v>0</v>
      </c>
      <c r="E3896" s="156">
        <f>'Reported burning'!E3896</f>
        <v>0</v>
      </c>
      <c r="F3896" s="156">
        <f>'Reported burning'!F3896</f>
        <v>0</v>
      </c>
      <c r="G3896" s="156">
        <f>'Reported burning'!G3896</f>
        <v>0</v>
      </c>
      <c r="H3896" s="156">
        <f>'Reported burning'!H3896</f>
        <v>0</v>
      </c>
      <c r="I3896" s="5"/>
    </row>
    <row r="3897" spans="1:9">
      <c r="A3897" s="156">
        <f>'Reported burning'!A3897</f>
        <v>0</v>
      </c>
      <c r="B3897" s="156">
        <f>'Reported burning'!B3897</f>
        <v>0</v>
      </c>
      <c r="C3897" s="156">
        <f>'Reported burning'!C3897</f>
        <v>0</v>
      </c>
      <c r="D3897" s="156">
        <f>'Reported burning'!D3897</f>
        <v>0</v>
      </c>
      <c r="E3897" s="156">
        <f>'Reported burning'!E3897</f>
        <v>0</v>
      </c>
      <c r="F3897" s="156">
        <f>'Reported burning'!F3897</f>
        <v>0</v>
      </c>
      <c r="G3897" s="156">
        <f>'Reported burning'!G3897</f>
        <v>0</v>
      </c>
      <c r="H3897" s="156">
        <f>'Reported burning'!H3897</f>
        <v>0</v>
      </c>
      <c r="I3897" s="5"/>
    </row>
    <row r="3898" spans="1:9">
      <c r="A3898" s="156">
        <f>'Reported burning'!A3898</f>
        <v>0</v>
      </c>
      <c r="B3898" s="156">
        <f>'Reported burning'!B3898</f>
        <v>0</v>
      </c>
      <c r="C3898" s="156">
        <f>'Reported burning'!C3898</f>
        <v>0</v>
      </c>
      <c r="D3898" s="156">
        <f>'Reported burning'!D3898</f>
        <v>0</v>
      </c>
      <c r="E3898" s="156">
        <f>'Reported burning'!E3898</f>
        <v>0</v>
      </c>
      <c r="F3898" s="156">
        <f>'Reported burning'!F3898</f>
        <v>0</v>
      </c>
      <c r="G3898" s="156">
        <f>'Reported burning'!G3898</f>
        <v>0</v>
      </c>
      <c r="H3898" s="156">
        <f>'Reported burning'!H3898</f>
        <v>0</v>
      </c>
      <c r="I3898" s="5"/>
    </row>
    <row r="3899" spans="1:9">
      <c r="A3899" s="156">
        <f>'Reported burning'!A3899</f>
        <v>0</v>
      </c>
      <c r="B3899" s="156">
        <f>'Reported burning'!B3899</f>
        <v>0</v>
      </c>
      <c r="C3899" s="156">
        <f>'Reported burning'!C3899</f>
        <v>0</v>
      </c>
      <c r="D3899" s="156">
        <f>'Reported burning'!D3899</f>
        <v>0</v>
      </c>
      <c r="E3899" s="156">
        <f>'Reported burning'!E3899</f>
        <v>0</v>
      </c>
      <c r="F3899" s="156">
        <f>'Reported burning'!F3899</f>
        <v>0</v>
      </c>
      <c r="G3899" s="156">
        <f>'Reported burning'!G3899</f>
        <v>0</v>
      </c>
      <c r="H3899" s="156">
        <f>'Reported burning'!H3899</f>
        <v>0</v>
      </c>
      <c r="I3899" s="5"/>
    </row>
    <row r="3900" spans="1:9">
      <c r="A3900" s="156">
        <f>'Reported burning'!A3900</f>
        <v>0</v>
      </c>
      <c r="B3900" s="156">
        <f>'Reported burning'!B3900</f>
        <v>0</v>
      </c>
      <c r="C3900" s="156">
        <f>'Reported burning'!C3900</f>
        <v>0</v>
      </c>
      <c r="D3900" s="156">
        <f>'Reported burning'!D3900</f>
        <v>0</v>
      </c>
      <c r="E3900" s="156">
        <f>'Reported burning'!E3900</f>
        <v>0</v>
      </c>
      <c r="F3900" s="156">
        <f>'Reported burning'!F3900</f>
        <v>0</v>
      </c>
      <c r="G3900" s="156">
        <f>'Reported burning'!G3900</f>
        <v>0</v>
      </c>
      <c r="H3900" s="156">
        <f>'Reported burning'!H3900</f>
        <v>0</v>
      </c>
      <c r="I3900" s="5"/>
    </row>
    <row r="3901" spans="1:9">
      <c r="A3901" s="156">
        <f>'Reported burning'!A3901</f>
        <v>0</v>
      </c>
      <c r="B3901" s="156">
        <f>'Reported burning'!B3901</f>
        <v>0</v>
      </c>
      <c r="C3901" s="156">
        <f>'Reported burning'!C3901</f>
        <v>0</v>
      </c>
      <c r="D3901" s="156">
        <f>'Reported burning'!D3901</f>
        <v>0</v>
      </c>
      <c r="E3901" s="156">
        <f>'Reported burning'!E3901</f>
        <v>0</v>
      </c>
      <c r="F3901" s="156">
        <f>'Reported burning'!F3901</f>
        <v>0</v>
      </c>
      <c r="G3901" s="156">
        <f>'Reported burning'!G3901</f>
        <v>0</v>
      </c>
      <c r="H3901" s="156">
        <f>'Reported burning'!H3901</f>
        <v>0</v>
      </c>
      <c r="I3901" s="5"/>
    </row>
    <row r="3902" spans="1:9">
      <c r="A3902" s="156">
        <f>'Reported burning'!A3902</f>
        <v>0</v>
      </c>
      <c r="B3902" s="156">
        <f>'Reported burning'!B3902</f>
        <v>0</v>
      </c>
      <c r="C3902" s="156">
        <f>'Reported burning'!C3902</f>
        <v>0</v>
      </c>
      <c r="D3902" s="156">
        <f>'Reported burning'!D3902</f>
        <v>0</v>
      </c>
      <c r="E3902" s="156">
        <f>'Reported burning'!E3902</f>
        <v>0</v>
      </c>
      <c r="F3902" s="156">
        <f>'Reported burning'!F3902</f>
        <v>0</v>
      </c>
      <c r="G3902" s="156">
        <f>'Reported burning'!G3902</f>
        <v>0</v>
      </c>
      <c r="H3902" s="156">
        <f>'Reported burning'!H3902</f>
        <v>0</v>
      </c>
      <c r="I3902" s="5"/>
    </row>
    <row r="3903" spans="1:9">
      <c r="A3903" s="156">
        <f>'Reported burning'!A3903</f>
        <v>0</v>
      </c>
      <c r="B3903" s="156">
        <f>'Reported burning'!B3903</f>
        <v>0</v>
      </c>
      <c r="C3903" s="156">
        <f>'Reported burning'!C3903</f>
        <v>0</v>
      </c>
      <c r="D3903" s="156">
        <f>'Reported burning'!D3903</f>
        <v>0</v>
      </c>
      <c r="E3903" s="156">
        <f>'Reported burning'!E3903</f>
        <v>0</v>
      </c>
      <c r="F3903" s="156">
        <f>'Reported burning'!F3903</f>
        <v>0</v>
      </c>
      <c r="G3903" s="156">
        <f>'Reported burning'!G3903</f>
        <v>0</v>
      </c>
      <c r="H3903" s="156">
        <f>'Reported burning'!H3903</f>
        <v>0</v>
      </c>
      <c r="I3903" s="5"/>
    </row>
    <row r="3904" spans="1:9">
      <c r="A3904" s="156">
        <f>'Reported burning'!A3904</f>
        <v>0</v>
      </c>
      <c r="B3904" s="156">
        <f>'Reported burning'!B3904</f>
        <v>0</v>
      </c>
      <c r="C3904" s="156">
        <f>'Reported burning'!C3904</f>
        <v>0</v>
      </c>
      <c r="D3904" s="156">
        <f>'Reported burning'!D3904</f>
        <v>0</v>
      </c>
      <c r="E3904" s="156">
        <f>'Reported burning'!E3904</f>
        <v>0</v>
      </c>
      <c r="F3904" s="156">
        <f>'Reported burning'!F3904</f>
        <v>0</v>
      </c>
      <c r="G3904" s="156">
        <f>'Reported burning'!G3904</f>
        <v>0</v>
      </c>
      <c r="H3904" s="156">
        <f>'Reported burning'!H3904</f>
        <v>0</v>
      </c>
      <c r="I3904" s="5"/>
    </row>
    <row r="3905" spans="1:9">
      <c r="A3905" s="156">
        <f>'Reported burning'!A3905</f>
        <v>0</v>
      </c>
      <c r="B3905" s="156">
        <f>'Reported burning'!B3905</f>
        <v>0</v>
      </c>
      <c r="C3905" s="156">
        <f>'Reported burning'!C3905</f>
        <v>0</v>
      </c>
      <c r="D3905" s="156">
        <f>'Reported burning'!D3905</f>
        <v>0</v>
      </c>
      <c r="E3905" s="156">
        <f>'Reported burning'!E3905</f>
        <v>0</v>
      </c>
      <c r="F3905" s="156">
        <f>'Reported burning'!F3905</f>
        <v>0</v>
      </c>
      <c r="G3905" s="156">
        <f>'Reported burning'!G3905</f>
        <v>0</v>
      </c>
      <c r="H3905" s="156">
        <f>'Reported burning'!H3905</f>
        <v>0</v>
      </c>
      <c r="I3905" s="5"/>
    </row>
    <row r="3906" spans="1:9">
      <c r="A3906" s="156">
        <f>'Reported burning'!A3906</f>
        <v>0</v>
      </c>
      <c r="B3906" s="156">
        <f>'Reported burning'!B3906</f>
        <v>0</v>
      </c>
      <c r="C3906" s="156">
        <f>'Reported burning'!C3906</f>
        <v>0</v>
      </c>
      <c r="D3906" s="156">
        <f>'Reported burning'!D3906</f>
        <v>0</v>
      </c>
      <c r="E3906" s="156">
        <f>'Reported burning'!E3906</f>
        <v>0</v>
      </c>
      <c r="F3906" s="156">
        <f>'Reported burning'!F3906</f>
        <v>0</v>
      </c>
      <c r="G3906" s="156">
        <f>'Reported burning'!G3906</f>
        <v>0</v>
      </c>
      <c r="H3906" s="156">
        <f>'Reported burning'!H3906</f>
        <v>0</v>
      </c>
      <c r="I3906" s="5"/>
    </row>
    <row r="3907" spans="1:9">
      <c r="A3907" s="156">
        <f>'Reported burning'!A3907</f>
        <v>0</v>
      </c>
      <c r="B3907" s="156">
        <f>'Reported burning'!B3907</f>
        <v>0</v>
      </c>
      <c r="C3907" s="156">
        <f>'Reported burning'!C3907</f>
        <v>0</v>
      </c>
      <c r="D3907" s="156">
        <f>'Reported burning'!D3907</f>
        <v>0</v>
      </c>
      <c r="E3907" s="156">
        <f>'Reported burning'!E3907</f>
        <v>0</v>
      </c>
      <c r="F3907" s="156">
        <f>'Reported burning'!F3907</f>
        <v>0</v>
      </c>
      <c r="G3907" s="156">
        <f>'Reported burning'!G3907</f>
        <v>0</v>
      </c>
      <c r="H3907" s="156">
        <f>'Reported burning'!H3907</f>
        <v>0</v>
      </c>
      <c r="I3907" s="5"/>
    </row>
    <row r="3908" spans="1:9">
      <c r="A3908" s="156">
        <f>'Reported burning'!A3908</f>
        <v>0</v>
      </c>
      <c r="B3908" s="156">
        <f>'Reported burning'!B3908</f>
        <v>0</v>
      </c>
      <c r="C3908" s="156">
        <f>'Reported burning'!C3908</f>
        <v>0</v>
      </c>
      <c r="D3908" s="156">
        <f>'Reported burning'!D3908</f>
        <v>0</v>
      </c>
      <c r="E3908" s="156">
        <f>'Reported burning'!E3908</f>
        <v>0</v>
      </c>
      <c r="F3908" s="156">
        <f>'Reported burning'!F3908</f>
        <v>0</v>
      </c>
      <c r="G3908" s="156">
        <f>'Reported burning'!G3908</f>
        <v>0</v>
      </c>
      <c r="H3908" s="156">
        <f>'Reported burning'!H3908</f>
        <v>0</v>
      </c>
      <c r="I3908" s="5"/>
    </row>
    <row r="3909" spans="1:9">
      <c r="A3909" s="156">
        <f>'Reported burning'!A3909</f>
        <v>0</v>
      </c>
      <c r="B3909" s="156">
        <f>'Reported burning'!B3909</f>
        <v>0</v>
      </c>
      <c r="C3909" s="156">
        <f>'Reported burning'!C3909</f>
        <v>0</v>
      </c>
      <c r="D3909" s="156">
        <f>'Reported burning'!D3909</f>
        <v>0</v>
      </c>
      <c r="E3909" s="156">
        <f>'Reported burning'!E3909</f>
        <v>0</v>
      </c>
      <c r="F3909" s="156">
        <f>'Reported burning'!F3909</f>
        <v>0</v>
      </c>
      <c r="G3909" s="156">
        <f>'Reported burning'!G3909</f>
        <v>0</v>
      </c>
      <c r="H3909" s="156">
        <f>'Reported burning'!H3909</f>
        <v>0</v>
      </c>
      <c r="I3909" s="5"/>
    </row>
    <row r="3910" spans="1:9">
      <c r="A3910" s="156">
        <f>'Reported burning'!A3910</f>
        <v>0</v>
      </c>
      <c r="B3910" s="156">
        <f>'Reported burning'!B3910</f>
        <v>0</v>
      </c>
      <c r="C3910" s="156">
        <f>'Reported burning'!C3910</f>
        <v>0</v>
      </c>
      <c r="D3910" s="156">
        <f>'Reported burning'!D3910</f>
        <v>0</v>
      </c>
      <c r="E3910" s="156">
        <f>'Reported burning'!E3910</f>
        <v>0</v>
      </c>
      <c r="F3910" s="156">
        <f>'Reported burning'!F3910</f>
        <v>0</v>
      </c>
      <c r="G3910" s="156">
        <f>'Reported burning'!G3910</f>
        <v>0</v>
      </c>
      <c r="H3910" s="156">
        <f>'Reported burning'!H3910</f>
        <v>0</v>
      </c>
      <c r="I3910" s="5"/>
    </row>
    <row r="3911" spans="1:9">
      <c r="A3911" s="156">
        <f>'Reported burning'!A3911</f>
        <v>0</v>
      </c>
      <c r="B3911" s="156">
        <f>'Reported burning'!B3911</f>
        <v>0</v>
      </c>
      <c r="C3911" s="156">
        <f>'Reported burning'!C3911</f>
        <v>0</v>
      </c>
      <c r="D3911" s="156">
        <f>'Reported burning'!D3911</f>
        <v>0</v>
      </c>
      <c r="E3911" s="156">
        <f>'Reported burning'!E3911</f>
        <v>0</v>
      </c>
      <c r="F3911" s="156">
        <f>'Reported burning'!F3911</f>
        <v>0</v>
      </c>
      <c r="G3911" s="156">
        <f>'Reported burning'!G3911</f>
        <v>0</v>
      </c>
      <c r="H3911" s="156">
        <f>'Reported burning'!H3911</f>
        <v>0</v>
      </c>
      <c r="I3911" s="5"/>
    </row>
    <row r="3912" spans="1:9">
      <c r="A3912" s="156">
        <f>'Reported burning'!A3912</f>
        <v>0</v>
      </c>
      <c r="B3912" s="156">
        <f>'Reported burning'!B3912</f>
        <v>0</v>
      </c>
      <c r="C3912" s="156">
        <f>'Reported burning'!C3912</f>
        <v>0</v>
      </c>
      <c r="D3912" s="156">
        <f>'Reported burning'!D3912</f>
        <v>0</v>
      </c>
      <c r="E3912" s="156">
        <f>'Reported burning'!E3912</f>
        <v>0</v>
      </c>
      <c r="F3912" s="156">
        <f>'Reported burning'!F3912</f>
        <v>0</v>
      </c>
      <c r="G3912" s="156">
        <f>'Reported burning'!G3912</f>
        <v>0</v>
      </c>
      <c r="H3912" s="156">
        <f>'Reported burning'!H3912</f>
        <v>0</v>
      </c>
      <c r="I3912" s="5"/>
    </row>
    <row r="3913" spans="1:9">
      <c r="A3913" s="156">
        <f>'Reported burning'!A3913</f>
        <v>0</v>
      </c>
      <c r="B3913" s="156">
        <f>'Reported burning'!B3913</f>
        <v>0</v>
      </c>
      <c r="C3913" s="156">
        <f>'Reported burning'!C3913</f>
        <v>0</v>
      </c>
      <c r="D3913" s="156">
        <f>'Reported burning'!D3913</f>
        <v>0</v>
      </c>
      <c r="E3913" s="156">
        <f>'Reported burning'!E3913</f>
        <v>0</v>
      </c>
      <c r="F3913" s="156">
        <f>'Reported burning'!F3913</f>
        <v>0</v>
      </c>
      <c r="G3913" s="156">
        <f>'Reported burning'!G3913</f>
        <v>0</v>
      </c>
      <c r="H3913" s="156">
        <f>'Reported burning'!H3913</f>
        <v>0</v>
      </c>
      <c r="I3913" s="5"/>
    </row>
    <row r="3914" spans="1:9">
      <c r="A3914" s="156">
        <f>'Reported burning'!A3914</f>
        <v>0</v>
      </c>
      <c r="B3914" s="156">
        <f>'Reported burning'!B3914</f>
        <v>0</v>
      </c>
      <c r="C3914" s="156">
        <f>'Reported burning'!C3914</f>
        <v>0</v>
      </c>
      <c r="D3914" s="156">
        <f>'Reported burning'!D3914</f>
        <v>0</v>
      </c>
      <c r="E3914" s="156">
        <f>'Reported burning'!E3914</f>
        <v>0</v>
      </c>
      <c r="F3914" s="156">
        <f>'Reported burning'!F3914</f>
        <v>0</v>
      </c>
      <c r="G3914" s="156">
        <f>'Reported burning'!G3914</f>
        <v>0</v>
      </c>
      <c r="H3914" s="156">
        <f>'Reported burning'!H3914</f>
        <v>0</v>
      </c>
      <c r="I3914" s="5"/>
    </row>
    <row r="3915" spans="1:9">
      <c r="A3915" s="156">
        <f>'Reported burning'!A3915</f>
        <v>0</v>
      </c>
      <c r="B3915" s="156">
        <f>'Reported burning'!B3915</f>
        <v>0</v>
      </c>
      <c r="C3915" s="156">
        <f>'Reported burning'!C3915</f>
        <v>0</v>
      </c>
      <c r="D3915" s="156">
        <f>'Reported burning'!D3915</f>
        <v>0</v>
      </c>
      <c r="E3915" s="156">
        <f>'Reported burning'!E3915</f>
        <v>0</v>
      </c>
      <c r="F3915" s="156">
        <f>'Reported burning'!F3915</f>
        <v>0</v>
      </c>
      <c r="G3915" s="156">
        <f>'Reported burning'!G3915</f>
        <v>0</v>
      </c>
      <c r="H3915" s="156">
        <f>'Reported burning'!H3915</f>
        <v>0</v>
      </c>
      <c r="I3915" s="5"/>
    </row>
    <row r="3916" spans="1:9">
      <c r="A3916" s="156">
        <f>'Reported burning'!A3916</f>
        <v>0</v>
      </c>
      <c r="B3916" s="156">
        <f>'Reported burning'!B3916</f>
        <v>0</v>
      </c>
      <c r="C3916" s="156">
        <f>'Reported burning'!C3916</f>
        <v>0</v>
      </c>
      <c r="D3916" s="156">
        <f>'Reported burning'!D3916</f>
        <v>0</v>
      </c>
      <c r="E3916" s="156">
        <f>'Reported burning'!E3916</f>
        <v>0</v>
      </c>
      <c r="F3916" s="156">
        <f>'Reported burning'!F3916</f>
        <v>0</v>
      </c>
      <c r="G3916" s="156">
        <f>'Reported burning'!G3916</f>
        <v>0</v>
      </c>
      <c r="H3916" s="156">
        <f>'Reported burning'!H3916</f>
        <v>0</v>
      </c>
      <c r="I3916" s="5"/>
    </row>
    <row r="3917" spans="1:9">
      <c r="A3917" s="156">
        <f>'Reported burning'!A3917</f>
        <v>0</v>
      </c>
      <c r="B3917" s="156">
        <f>'Reported burning'!B3917</f>
        <v>0</v>
      </c>
      <c r="C3917" s="156">
        <f>'Reported burning'!C3917</f>
        <v>0</v>
      </c>
      <c r="D3917" s="156">
        <f>'Reported burning'!D3917</f>
        <v>0</v>
      </c>
      <c r="E3917" s="156">
        <f>'Reported burning'!E3917</f>
        <v>0</v>
      </c>
      <c r="F3917" s="156">
        <f>'Reported burning'!F3917</f>
        <v>0</v>
      </c>
      <c r="G3917" s="156">
        <f>'Reported burning'!G3917</f>
        <v>0</v>
      </c>
      <c r="H3917" s="156">
        <f>'Reported burning'!H3917</f>
        <v>0</v>
      </c>
      <c r="I3917" s="5"/>
    </row>
    <row r="3918" spans="1:9">
      <c r="A3918" s="156">
        <f>'Reported burning'!A3918</f>
        <v>0</v>
      </c>
      <c r="B3918" s="156">
        <f>'Reported burning'!B3918</f>
        <v>0</v>
      </c>
      <c r="C3918" s="156">
        <f>'Reported burning'!C3918</f>
        <v>0</v>
      </c>
      <c r="D3918" s="156">
        <f>'Reported burning'!D3918</f>
        <v>0</v>
      </c>
      <c r="E3918" s="156">
        <f>'Reported burning'!E3918</f>
        <v>0</v>
      </c>
      <c r="F3918" s="156">
        <f>'Reported burning'!F3918</f>
        <v>0</v>
      </c>
      <c r="G3918" s="156">
        <f>'Reported burning'!G3918</f>
        <v>0</v>
      </c>
      <c r="H3918" s="156">
        <f>'Reported burning'!H3918</f>
        <v>0</v>
      </c>
      <c r="I3918" s="5"/>
    </row>
    <row r="3919" spans="1:9">
      <c r="A3919" s="156">
        <f>'Reported burning'!A3919</f>
        <v>0</v>
      </c>
      <c r="B3919" s="156">
        <f>'Reported burning'!B3919</f>
        <v>0</v>
      </c>
      <c r="C3919" s="156">
        <f>'Reported burning'!C3919</f>
        <v>0</v>
      </c>
      <c r="D3919" s="156">
        <f>'Reported burning'!D3919</f>
        <v>0</v>
      </c>
      <c r="E3919" s="156">
        <f>'Reported burning'!E3919</f>
        <v>0</v>
      </c>
      <c r="F3919" s="156">
        <f>'Reported burning'!F3919</f>
        <v>0</v>
      </c>
      <c r="G3919" s="156">
        <f>'Reported burning'!G3919</f>
        <v>0</v>
      </c>
      <c r="H3919" s="156">
        <f>'Reported burning'!H3919</f>
        <v>0</v>
      </c>
      <c r="I3919" s="5"/>
    </row>
    <row r="3920" spans="1:9">
      <c r="A3920" s="156">
        <f>'Reported burning'!A3920</f>
        <v>0</v>
      </c>
      <c r="B3920" s="156">
        <f>'Reported burning'!B3920</f>
        <v>0</v>
      </c>
      <c r="C3920" s="156">
        <f>'Reported burning'!C3920</f>
        <v>0</v>
      </c>
      <c r="D3920" s="156">
        <f>'Reported burning'!D3920</f>
        <v>0</v>
      </c>
      <c r="E3920" s="156">
        <f>'Reported burning'!E3920</f>
        <v>0</v>
      </c>
      <c r="F3920" s="156">
        <f>'Reported burning'!F3920</f>
        <v>0</v>
      </c>
      <c r="G3920" s="156">
        <f>'Reported burning'!G3920</f>
        <v>0</v>
      </c>
      <c r="H3920" s="156">
        <f>'Reported burning'!H3920</f>
        <v>0</v>
      </c>
      <c r="I3920" s="5"/>
    </row>
    <row r="3921" spans="1:9">
      <c r="A3921" s="156">
        <f>'Reported burning'!A3921</f>
        <v>0</v>
      </c>
      <c r="B3921" s="156">
        <f>'Reported burning'!B3921</f>
        <v>0</v>
      </c>
      <c r="C3921" s="156">
        <f>'Reported burning'!C3921</f>
        <v>0</v>
      </c>
      <c r="D3921" s="156">
        <f>'Reported burning'!D3921</f>
        <v>0</v>
      </c>
      <c r="E3921" s="156">
        <f>'Reported burning'!E3921</f>
        <v>0</v>
      </c>
      <c r="F3921" s="156">
        <f>'Reported burning'!F3921</f>
        <v>0</v>
      </c>
      <c r="G3921" s="156">
        <f>'Reported burning'!G3921</f>
        <v>0</v>
      </c>
      <c r="H3921" s="156">
        <f>'Reported burning'!H3921</f>
        <v>0</v>
      </c>
      <c r="I3921" s="5"/>
    </row>
    <row r="3922" spans="1:9">
      <c r="A3922" s="156">
        <f>'Reported burning'!A3922</f>
        <v>0</v>
      </c>
      <c r="B3922" s="156">
        <f>'Reported burning'!B3922</f>
        <v>0</v>
      </c>
      <c r="C3922" s="156">
        <f>'Reported burning'!C3922</f>
        <v>0</v>
      </c>
      <c r="D3922" s="156">
        <f>'Reported burning'!D3922</f>
        <v>0</v>
      </c>
      <c r="E3922" s="156">
        <f>'Reported burning'!E3922</f>
        <v>0</v>
      </c>
      <c r="F3922" s="156">
        <f>'Reported burning'!F3922</f>
        <v>0</v>
      </c>
      <c r="G3922" s="156">
        <f>'Reported burning'!G3922</f>
        <v>0</v>
      </c>
      <c r="H3922" s="156">
        <f>'Reported burning'!H3922</f>
        <v>0</v>
      </c>
      <c r="I3922" s="5"/>
    </row>
    <row r="3923" spans="1:9">
      <c r="A3923" s="156">
        <f>'Reported burning'!A3923</f>
        <v>0</v>
      </c>
      <c r="B3923" s="156">
        <f>'Reported burning'!B3923</f>
        <v>0</v>
      </c>
      <c r="C3923" s="156">
        <f>'Reported burning'!C3923</f>
        <v>0</v>
      </c>
      <c r="D3923" s="156">
        <f>'Reported burning'!D3923</f>
        <v>0</v>
      </c>
      <c r="E3923" s="156">
        <f>'Reported burning'!E3923</f>
        <v>0</v>
      </c>
      <c r="F3923" s="156">
        <f>'Reported burning'!F3923</f>
        <v>0</v>
      </c>
      <c r="G3923" s="156">
        <f>'Reported burning'!G3923</f>
        <v>0</v>
      </c>
      <c r="H3923" s="156">
        <f>'Reported burning'!H3923</f>
        <v>0</v>
      </c>
      <c r="I3923" s="5"/>
    </row>
    <row r="3924" spans="1:9">
      <c r="A3924" s="156">
        <f>'Reported burning'!A3924</f>
        <v>0</v>
      </c>
      <c r="B3924" s="156">
        <f>'Reported burning'!B3924</f>
        <v>0</v>
      </c>
      <c r="C3924" s="156">
        <f>'Reported burning'!C3924</f>
        <v>0</v>
      </c>
      <c r="D3924" s="156">
        <f>'Reported burning'!D3924</f>
        <v>0</v>
      </c>
      <c r="E3924" s="156">
        <f>'Reported burning'!E3924</f>
        <v>0</v>
      </c>
      <c r="F3924" s="156">
        <f>'Reported burning'!F3924</f>
        <v>0</v>
      </c>
      <c r="G3924" s="156">
        <f>'Reported burning'!G3924</f>
        <v>0</v>
      </c>
      <c r="H3924" s="156">
        <f>'Reported burning'!H3924</f>
        <v>0</v>
      </c>
      <c r="I3924" s="5"/>
    </row>
    <row r="3925" spans="1:9">
      <c r="A3925" s="156">
        <f>'Reported burning'!A3925</f>
        <v>0</v>
      </c>
      <c r="B3925" s="156">
        <f>'Reported burning'!B3925</f>
        <v>0</v>
      </c>
      <c r="C3925" s="156">
        <f>'Reported burning'!C3925</f>
        <v>0</v>
      </c>
      <c r="D3925" s="156">
        <f>'Reported burning'!D3925</f>
        <v>0</v>
      </c>
      <c r="E3925" s="156">
        <f>'Reported burning'!E3925</f>
        <v>0</v>
      </c>
      <c r="F3925" s="156">
        <f>'Reported burning'!F3925</f>
        <v>0</v>
      </c>
      <c r="G3925" s="156">
        <f>'Reported burning'!G3925</f>
        <v>0</v>
      </c>
      <c r="H3925" s="156">
        <f>'Reported burning'!H3925</f>
        <v>0</v>
      </c>
      <c r="I3925" s="5"/>
    </row>
    <row r="3926" spans="1:9">
      <c r="A3926" s="156">
        <f>'Reported burning'!A3926</f>
        <v>0</v>
      </c>
      <c r="B3926" s="156">
        <f>'Reported burning'!B3926</f>
        <v>0</v>
      </c>
      <c r="C3926" s="156">
        <f>'Reported burning'!C3926</f>
        <v>0</v>
      </c>
      <c r="D3926" s="156">
        <f>'Reported burning'!D3926</f>
        <v>0</v>
      </c>
      <c r="E3926" s="156">
        <f>'Reported burning'!E3926</f>
        <v>0</v>
      </c>
      <c r="F3926" s="156">
        <f>'Reported burning'!F3926</f>
        <v>0</v>
      </c>
      <c r="G3926" s="156">
        <f>'Reported burning'!G3926</f>
        <v>0</v>
      </c>
      <c r="H3926" s="156">
        <f>'Reported burning'!H3926</f>
        <v>0</v>
      </c>
      <c r="I3926" s="5"/>
    </row>
    <row r="3927" spans="1:9">
      <c r="A3927" s="156">
        <f>'Reported burning'!A3927</f>
        <v>0</v>
      </c>
      <c r="B3927" s="156">
        <f>'Reported burning'!B3927</f>
        <v>0</v>
      </c>
      <c r="C3927" s="156">
        <f>'Reported burning'!C3927</f>
        <v>0</v>
      </c>
      <c r="D3927" s="156">
        <f>'Reported burning'!D3927</f>
        <v>0</v>
      </c>
      <c r="E3927" s="156">
        <f>'Reported burning'!E3927</f>
        <v>0</v>
      </c>
      <c r="F3927" s="156">
        <f>'Reported burning'!F3927</f>
        <v>0</v>
      </c>
      <c r="G3927" s="156">
        <f>'Reported burning'!G3927</f>
        <v>0</v>
      </c>
      <c r="H3927" s="156">
        <f>'Reported burning'!H3927</f>
        <v>0</v>
      </c>
      <c r="I3927" s="5"/>
    </row>
    <row r="3928" spans="1:9">
      <c r="A3928" s="156">
        <f>'Reported burning'!A3928</f>
        <v>0</v>
      </c>
      <c r="B3928" s="156">
        <f>'Reported burning'!B3928</f>
        <v>0</v>
      </c>
      <c r="C3928" s="156">
        <f>'Reported burning'!C3928</f>
        <v>0</v>
      </c>
      <c r="D3928" s="156">
        <f>'Reported burning'!D3928</f>
        <v>0</v>
      </c>
      <c r="E3928" s="156">
        <f>'Reported burning'!E3928</f>
        <v>0</v>
      </c>
      <c r="F3928" s="156">
        <f>'Reported burning'!F3928</f>
        <v>0</v>
      </c>
      <c r="G3928" s="156">
        <f>'Reported burning'!G3928</f>
        <v>0</v>
      </c>
      <c r="H3928" s="156">
        <f>'Reported burning'!H3928</f>
        <v>0</v>
      </c>
      <c r="I3928" s="5"/>
    </row>
    <row r="3929" spans="1:9">
      <c r="A3929" s="156">
        <f>'Reported burning'!A3929</f>
        <v>0</v>
      </c>
      <c r="B3929" s="156">
        <f>'Reported burning'!B3929</f>
        <v>0</v>
      </c>
      <c r="C3929" s="156">
        <f>'Reported burning'!C3929</f>
        <v>0</v>
      </c>
      <c r="D3929" s="156">
        <f>'Reported burning'!D3929</f>
        <v>0</v>
      </c>
      <c r="E3929" s="156">
        <f>'Reported burning'!E3929</f>
        <v>0</v>
      </c>
      <c r="F3929" s="156">
        <f>'Reported burning'!F3929</f>
        <v>0</v>
      </c>
      <c r="G3929" s="156">
        <f>'Reported burning'!G3929</f>
        <v>0</v>
      </c>
      <c r="H3929" s="156">
        <f>'Reported burning'!H3929</f>
        <v>0</v>
      </c>
      <c r="I3929" s="5"/>
    </row>
    <row r="3930" spans="1:9">
      <c r="A3930" s="156">
        <f>'Reported burning'!A3930</f>
        <v>0</v>
      </c>
      <c r="B3930" s="156">
        <f>'Reported burning'!B3930</f>
        <v>0</v>
      </c>
      <c r="C3930" s="156">
        <f>'Reported burning'!C3930</f>
        <v>0</v>
      </c>
      <c r="D3930" s="156">
        <f>'Reported burning'!D3930</f>
        <v>0</v>
      </c>
      <c r="E3930" s="156">
        <f>'Reported burning'!E3930</f>
        <v>0</v>
      </c>
      <c r="F3930" s="156">
        <f>'Reported burning'!F3930</f>
        <v>0</v>
      </c>
      <c r="G3930" s="156">
        <f>'Reported burning'!G3930</f>
        <v>0</v>
      </c>
      <c r="H3930" s="156">
        <f>'Reported burning'!H3930</f>
        <v>0</v>
      </c>
      <c r="I3930" s="5"/>
    </row>
    <row r="3931" spans="1:9">
      <c r="A3931" s="156">
        <f>'Reported burning'!A3931</f>
        <v>0</v>
      </c>
      <c r="B3931" s="156">
        <f>'Reported burning'!B3931</f>
        <v>0</v>
      </c>
      <c r="C3931" s="156">
        <f>'Reported burning'!C3931</f>
        <v>0</v>
      </c>
      <c r="D3931" s="156">
        <f>'Reported burning'!D3931</f>
        <v>0</v>
      </c>
      <c r="E3931" s="156">
        <f>'Reported burning'!E3931</f>
        <v>0</v>
      </c>
      <c r="F3931" s="156">
        <f>'Reported burning'!F3931</f>
        <v>0</v>
      </c>
      <c r="G3931" s="156">
        <f>'Reported burning'!G3931</f>
        <v>0</v>
      </c>
      <c r="H3931" s="156">
        <f>'Reported burning'!H3931</f>
        <v>0</v>
      </c>
      <c r="I3931" s="5"/>
    </row>
    <row r="3932" spans="1:9">
      <c r="A3932" s="156">
        <f>'Reported burning'!A3932</f>
        <v>0</v>
      </c>
      <c r="B3932" s="156">
        <f>'Reported burning'!B3932</f>
        <v>0</v>
      </c>
      <c r="C3932" s="156">
        <f>'Reported burning'!C3932</f>
        <v>0</v>
      </c>
      <c r="D3932" s="156">
        <f>'Reported burning'!D3932</f>
        <v>0</v>
      </c>
      <c r="E3932" s="156">
        <f>'Reported burning'!E3932</f>
        <v>0</v>
      </c>
      <c r="F3932" s="156">
        <f>'Reported burning'!F3932</f>
        <v>0</v>
      </c>
      <c r="G3932" s="156">
        <f>'Reported burning'!G3932</f>
        <v>0</v>
      </c>
      <c r="H3932" s="156">
        <f>'Reported burning'!H3932</f>
        <v>0</v>
      </c>
      <c r="I3932" s="5"/>
    </row>
    <row r="3933" spans="1:9">
      <c r="A3933" s="156">
        <f>'Reported burning'!A3933</f>
        <v>0</v>
      </c>
      <c r="B3933" s="156">
        <f>'Reported burning'!B3933</f>
        <v>0</v>
      </c>
      <c r="C3933" s="156">
        <f>'Reported burning'!C3933</f>
        <v>0</v>
      </c>
      <c r="D3933" s="156">
        <f>'Reported burning'!D3933</f>
        <v>0</v>
      </c>
      <c r="E3933" s="156">
        <f>'Reported burning'!E3933</f>
        <v>0</v>
      </c>
      <c r="F3933" s="156">
        <f>'Reported burning'!F3933</f>
        <v>0</v>
      </c>
      <c r="G3933" s="156">
        <f>'Reported burning'!G3933</f>
        <v>0</v>
      </c>
      <c r="H3933" s="156">
        <f>'Reported burning'!H3933</f>
        <v>0</v>
      </c>
      <c r="I3933" s="5"/>
    </row>
    <row r="3934" spans="1:9">
      <c r="A3934" s="156">
        <f>'Reported burning'!A3934</f>
        <v>0</v>
      </c>
      <c r="B3934" s="156">
        <f>'Reported burning'!B3934</f>
        <v>0</v>
      </c>
      <c r="C3934" s="156">
        <f>'Reported burning'!C3934</f>
        <v>0</v>
      </c>
      <c r="D3934" s="156">
        <f>'Reported burning'!D3934</f>
        <v>0</v>
      </c>
      <c r="E3934" s="156">
        <f>'Reported burning'!E3934</f>
        <v>0</v>
      </c>
      <c r="F3934" s="156">
        <f>'Reported burning'!F3934</f>
        <v>0</v>
      </c>
      <c r="G3934" s="156">
        <f>'Reported burning'!G3934</f>
        <v>0</v>
      </c>
      <c r="H3934" s="156">
        <f>'Reported burning'!H3934</f>
        <v>0</v>
      </c>
      <c r="I3934" s="5"/>
    </row>
    <row r="3935" spans="1:9">
      <c r="A3935" s="156">
        <f>'Reported burning'!A3935</f>
        <v>0</v>
      </c>
      <c r="B3935" s="156">
        <f>'Reported burning'!B3935</f>
        <v>0</v>
      </c>
      <c r="C3935" s="156">
        <f>'Reported burning'!C3935</f>
        <v>0</v>
      </c>
      <c r="D3935" s="156">
        <f>'Reported burning'!D3935</f>
        <v>0</v>
      </c>
      <c r="E3935" s="156">
        <f>'Reported burning'!E3935</f>
        <v>0</v>
      </c>
      <c r="F3935" s="156">
        <f>'Reported burning'!F3935</f>
        <v>0</v>
      </c>
      <c r="G3935" s="156">
        <f>'Reported burning'!G3935</f>
        <v>0</v>
      </c>
      <c r="H3935" s="156">
        <f>'Reported burning'!H3935</f>
        <v>0</v>
      </c>
      <c r="I3935" s="5"/>
    </row>
    <row r="3936" spans="1:9">
      <c r="A3936" s="156">
        <f>'Reported burning'!A3936</f>
        <v>0</v>
      </c>
      <c r="B3936" s="156">
        <f>'Reported burning'!B3936</f>
        <v>0</v>
      </c>
      <c r="C3936" s="156">
        <f>'Reported burning'!C3936</f>
        <v>0</v>
      </c>
      <c r="D3936" s="156">
        <f>'Reported burning'!D3936</f>
        <v>0</v>
      </c>
      <c r="E3936" s="156">
        <f>'Reported burning'!E3936</f>
        <v>0</v>
      </c>
      <c r="F3936" s="156">
        <f>'Reported burning'!F3936</f>
        <v>0</v>
      </c>
      <c r="G3936" s="156">
        <f>'Reported burning'!G3936</f>
        <v>0</v>
      </c>
      <c r="H3936" s="156">
        <f>'Reported burning'!H3936</f>
        <v>0</v>
      </c>
      <c r="I3936" s="5"/>
    </row>
    <row r="3937" spans="1:9">
      <c r="A3937" s="156">
        <f>'Reported burning'!A3937</f>
        <v>0</v>
      </c>
      <c r="B3937" s="156">
        <f>'Reported burning'!B3937</f>
        <v>0</v>
      </c>
      <c r="C3937" s="156">
        <f>'Reported burning'!C3937</f>
        <v>0</v>
      </c>
      <c r="D3937" s="156">
        <f>'Reported burning'!D3937</f>
        <v>0</v>
      </c>
      <c r="E3937" s="156">
        <f>'Reported burning'!E3937</f>
        <v>0</v>
      </c>
      <c r="F3937" s="156">
        <f>'Reported burning'!F3937</f>
        <v>0</v>
      </c>
      <c r="G3937" s="156">
        <f>'Reported burning'!G3937</f>
        <v>0</v>
      </c>
      <c r="H3937" s="156">
        <f>'Reported burning'!H3937</f>
        <v>0</v>
      </c>
      <c r="I3937" s="5"/>
    </row>
    <row r="3938" spans="1:9">
      <c r="A3938" s="156">
        <f>'Reported burning'!A3938</f>
        <v>0</v>
      </c>
      <c r="B3938" s="156">
        <f>'Reported burning'!B3938</f>
        <v>0</v>
      </c>
      <c r="C3938" s="156">
        <f>'Reported burning'!C3938</f>
        <v>0</v>
      </c>
      <c r="D3938" s="156">
        <f>'Reported burning'!D3938</f>
        <v>0</v>
      </c>
      <c r="E3938" s="156">
        <f>'Reported burning'!E3938</f>
        <v>0</v>
      </c>
      <c r="F3938" s="156">
        <f>'Reported burning'!F3938</f>
        <v>0</v>
      </c>
      <c r="G3938" s="156">
        <f>'Reported burning'!G3938</f>
        <v>0</v>
      </c>
      <c r="H3938" s="156">
        <f>'Reported burning'!H3938</f>
        <v>0</v>
      </c>
      <c r="I3938" s="5"/>
    </row>
    <row r="3939" spans="1:9">
      <c r="A3939" s="156">
        <f>'Reported burning'!A3939</f>
        <v>0</v>
      </c>
      <c r="B3939" s="156">
        <f>'Reported burning'!B3939</f>
        <v>0</v>
      </c>
      <c r="C3939" s="156">
        <f>'Reported burning'!C3939</f>
        <v>0</v>
      </c>
      <c r="D3939" s="156">
        <f>'Reported burning'!D3939</f>
        <v>0</v>
      </c>
      <c r="E3939" s="156">
        <f>'Reported burning'!E3939</f>
        <v>0</v>
      </c>
      <c r="F3939" s="156">
        <f>'Reported burning'!F3939</f>
        <v>0</v>
      </c>
      <c r="G3939" s="156">
        <f>'Reported burning'!G3939</f>
        <v>0</v>
      </c>
      <c r="H3939" s="156">
        <f>'Reported burning'!H3939</f>
        <v>0</v>
      </c>
      <c r="I3939" s="5"/>
    </row>
    <row r="3940" spans="1:9">
      <c r="A3940" s="156">
        <f>'Reported burning'!A3940</f>
        <v>0</v>
      </c>
      <c r="B3940" s="156">
        <f>'Reported burning'!B3940</f>
        <v>0</v>
      </c>
      <c r="C3940" s="156">
        <f>'Reported burning'!C3940</f>
        <v>0</v>
      </c>
      <c r="D3940" s="156">
        <f>'Reported burning'!D3940</f>
        <v>0</v>
      </c>
      <c r="E3940" s="156">
        <f>'Reported burning'!E3940</f>
        <v>0</v>
      </c>
      <c r="F3940" s="156">
        <f>'Reported burning'!F3940</f>
        <v>0</v>
      </c>
      <c r="G3940" s="156">
        <f>'Reported burning'!G3940</f>
        <v>0</v>
      </c>
      <c r="H3940" s="156">
        <f>'Reported burning'!H3940</f>
        <v>0</v>
      </c>
      <c r="I3940" s="5"/>
    </row>
    <row r="3941" spans="1:9">
      <c r="A3941" s="156">
        <f>'Reported burning'!A3941</f>
        <v>0</v>
      </c>
      <c r="B3941" s="156">
        <f>'Reported burning'!B3941</f>
        <v>0</v>
      </c>
      <c r="C3941" s="156">
        <f>'Reported burning'!C3941</f>
        <v>0</v>
      </c>
      <c r="D3941" s="156">
        <f>'Reported burning'!D3941</f>
        <v>0</v>
      </c>
      <c r="E3941" s="156">
        <f>'Reported burning'!E3941</f>
        <v>0</v>
      </c>
      <c r="F3941" s="156">
        <f>'Reported burning'!F3941</f>
        <v>0</v>
      </c>
      <c r="G3941" s="156">
        <f>'Reported burning'!G3941</f>
        <v>0</v>
      </c>
      <c r="H3941" s="156">
        <f>'Reported burning'!H3941</f>
        <v>0</v>
      </c>
      <c r="I3941" s="5"/>
    </row>
    <row r="3942" spans="1:9">
      <c r="A3942" s="156">
        <f>'Reported burning'!A3942</f>
        <v>0</v>
      </c>
      <c r="B3942" s="156">
        <f>'Reported burning'!B3942</f>
        <v>0</v>
      </c>
      <c r="C3942" s="156">
        <f>'Reported burning'!C3942</f>
        <v>0</v>
      </c>
      <c r="D3942" s="156">
        <f>'Reported burning'!D3942</f>
        <v>0</v>
      </c>
      <c r="E3942" s="156">
        <f>'Reported burning'!E3942</f>
        <v>0</v>
      </c>
      <c r="F3942" s="156">
        <f>'Reported burning'!F3942</f>
        <v>0</v>
      </c>
      <c r="G3942" s="156">
        <f>'Reported burning'!G3942</f>
        <v>0</v>
      </c>
      <c r="H3942" s="156">
        <f>'Reported burning'!H3942</f>
        <v>0</v>
      </c>
      <c r="I3942" s="5"/>
    </row>
    <row r="3943" spans="1:9">
      <c r="A3943" s="156">
        <f>'Reported burning'!A3943</f>
        <v>0</v>
      </c>
      <c r="B3943" s="156">
        <f>'Reported burning'!B3943</f>
        <v>0</v>
      </c>
      <c r="C3943" s="156">
        <f>'Reported burning'!C3943</f>
        <v>0</v>
      </c>
      <c r="D3943" s="156">
        <f>'Reported burning'!D3943</f>
        <v>0</v>
      </c>
      <c r="E3943" s="156">
        <f>'Reported burning'!E3943</f>
        <v>0</v>
      </c>
      <c r="F3943" s="156">
        <f>'Reported burning'!F3943</f>
        <v>0</v>
      </c>
      <c r="G3943" s="156">
        <f>'Reported burning'!G3943</f>
        <v>0</v>
      </c>
      <c r="H3943" s="156">
        <f>'Reported burning'!H3943</f>
        <v>0</v>
      </c>
      <c r="I3943" s="5"/>
    </row>
    <row r="3944" spans="1:9">
      <c r="A3944" s="156">
        <f>'Reported burning'!A3944</f>
        <v>0</v>
      </c>
      <c r="B3944" s="156">
        <f>'Reported burning'!B3944</f>
        <v>0</v>
      </c>
      <c r="C3944" s="156">
        <f>'Reported burning'!C3944</f>
        <v>0</v>
      </c>
      <c r="D3944" s="156">
        <f>'Reported burning'!D3944</f>
        <v>0</v>
      </c>
      <c r="E3944" s="156">
        <f>'Reported burning'!E3944</f>
        <v>0</v>
      </c>
      <c r="F3944" s="156">
        <f>'Reported burning'!F3944</f>
        <v>0</v>
      </c>
      <c r="G3944" s="156">
        <f>'Reported burning'!G3944</f>
        <v>0</v>
      </c>
      <c r="H3944" s="156">
        <f>'Reported burning'!H3944</f>
        <v>0</v>
      </c>
      <c r="I3944" s="5"/>
    </row>
    <row r="3945" spans="1:9">
      <c r="A3945" s="156">
        <f>'Reported burning'!A3945</f>
        <v>0</v>
      </c>
      <c r="B3945" s="156">
        <f>'Reported burning'!B3945</f>
        <v>0</v>
      </c>
      <c r="C3945" s="156">
        <f>'Reported burning'!C3945</f>
        <v>0</v>
      </c>
      <c r="D3945" s="156">
        <f>'Reported burning'!D3945</f>
        <v>0</v>
      </c>
      <c r="E3945" s="156">
        <f>'Reported burning'!E3945</f>
        <v>0</v>
      </c>
      <c r="F3945" s="156">
        <f>'Reported burning'!F3945</f>
        <v>0</v>
      </c>
      <c r="G3945" s="156">
        <f>'Reported burning'!G3945</f>
        <v>0</v>
      </c>
      <c r="H3945" s="156">
        <f>'Reported burning'!H3945</f>
        <v>0</v>
      </c>
      <c r="I3945" s="5"/>
    </row>
    <row r="3946" spans="1:9">
      <c r="A3946" s="156">
        <f>'Reported burning'!A3946</f>
        <v>0</v>
      </c>
      <c r="B3946" s="156">
        <f>'Reported burning'!B3946</f>
        <v>0</v>
      </c>
      <c r="C3946" s="156">
        <f>'Reported burning'!C3946</f>
        <v>0</v>
      </c>
      <c r="D3946" s="156">
        <f>'Reported burning'!D3946</f>
        <v>0</v>
      </c>
      <c r="E3946" s="156">
        <f>'Reported burning'!E3946</f>
        <v>0</v>
      </c>
      <c r="F3946" s="156">
        <f>'Reported burning'!F3946</f>
        <v>0</v>
      </c>
      <c r="G3946" s="156">
        <f>'Reported burning'!G3946</f>
        <v>0</v>
      </c>
      <c r="H3946" s="156">
        <f>'Reported burning'!H3946</f>
        <v>0</v>
      </c>
      <c r="I3946" s="5"/>
    </row>
  </sheetData>
  <autoFilter ref="A1:A3946" xr:uid="{CDE09BE0-F5F5-46A1-8BC0-66FAD6C81324}"/>
  <phoneticPr fontId="6" type="noConversion"/>
  <conditionalFormatting sqref="AA238:AB238 AB241">
    <cfRule type="duplicateValues" dxfId="164" priority="36"/>
    <cfRule type="duplicateValues" dxfId="163" priority="37"/>
  </conditionalFormatting>
  <conditionalFormatting sqref="AB231 AB233">
    <cfRule type="duplicateValues" dxfId="162" priority="34"/>
    <cfRule type="duplicateValues" dxfId="161" priority="35"/>
  </conditionalFormatting>
  <conditionalFormatting sqref="AB237">
    <cfRule type="duplicateValues" dxfId="160" priority="32"/>
    <cfRule type="duplicateValues" dxfId="159" priority="33"/>
  </conditionalFormatting>
  <conditionalFormatting sqref="AA239:AB239">
    <cfRule type="duplicateValues" dxfId="158" priority="30"/>
    <cfRule type="duplicateValues" dxfId="157" priority="31"/>
  </conditionalFormatting>
  <conditionalFormatting sqref="AA240">
    <cfRule type="duplicateValues" dxfId="156" priority="26"/>
    <cfRule type="duplicateValues" dxfId="155" priority="27"/>
  </conditionalFormatting>
  <conditionalFormatting sqref="AA241">
    <cfRule type="duplicateValues" dxfId="154" priority="24"/>
    <cfRule type="duplicateValues" dxfId="153" priority="25"/>
  </conditionalFormatting>
  <conditionalFormatting sqref="AA242">
    <cfRule type="duplicateValues" dxfId="152" priority="22"/>
    <cfRule type="duplicateValues" dxfId="151" priority="23"/>
  </conditionalFormatting>
  <conditionalFormatting sqref="AB235:AB236">
    <cfRule type="duplicateValues" dxfId="150" priority="20"/>
    <cfRule type="duplicateValues" dxfId="149" priority="21"/>
  </conditionalFormatting>
  <conditionalFormatting sqref="AB240">
    <cfRule type="duplicateValues" dxfId="148" priority="18"/>
    <cfRule type="duplicateValues" dxfId="147" priority="19"/>
  </conditionalFormatting>
  <conditionalFormatting sqref="AB242">
    <cfRule type="duplicateValues" dxfId="146" priority="16"/>
    <cfRule type="duplicateValues" dxfId="145" priority="17"/>
  </conditionalFormatting>
  <conditionalFormatting sqref="AB234">
    <cfRule type="duplicateValues" dxfId="144" priority="5"/>
    <cfRule type="duplicateValues" dxfId="143" priority="6"/>
  </conditionalFormatting>
  <conditionalFormatting sqref="AB232">
    <cfRule type="duplicateValues" dxfId="142" priority="3"/>
    <cfRule type="duplicateValues" dxfId="141" priority="4"/>
  </conditionalFormatting>
  <dataValidations xWindow="81" yWindow="392" count="8">
    <dataValidation type="whole" allowBlank="1" showInputMessage="1" showErrorMessage="1" prompt="Integer: leave blank if all study years" sqref="I805:I916 I589:I788 I1:I536 AA2132:AA2135 AB2130:AB2132 AA2562 I918:I1048576" xr:uid="{44BCFA16-E4FF-4DD8-A16E-C774E4872836}">
      <formula1>1900</formula1>
      <formula2>2020</formula2>
    </dataValidation>
    <dataValidation allowBlank="1" showInputMessage="1" showErrorMessage="1" prompt="Case study ID + .1, .2 etc for each direct fire creation PCB associated with the case study" sqref="B1 B3947:B1048576" xr:uid="{2880189A-7147-4804-9C2C-2A2473A6A0CD}"/>
    <dataValidation type="textLength" allowBlank="1" showInputMessage="1" showErrorMessage="1" sqref="AA809:AA810" xr:uid="{D686AA90-7BA4-463D-802C-28CFCCE7DF1B}">
      <formula1>2</formula1>
      <formula2>20</formula2>
    </dataValidation>
    <dataValidation allowBlank="1" showInputMessage="1" showErrorMessage="1" prompt="The same as Case study ID in Record Info" sqref="B917:I917 AA917:AB917 W1116:Z1121 L1191:W1191 V1113:V1121 U1116:U1121 L1326:V1329 A1:A1527 L1113:T1121 A1528:H1528 B918:H1527 B2:H916 A1529:A1048576 B1529:H3946" xr:uid="{17AA178F-4754-4BE2-9EC5-55FBA7DF8BF7}"/>
    <dataValidation type="decimal" allowBlank="1" showInputMessage="1" showErrorMessage="1" prompt="Float_x000a_" sqref="AA869:AB872 U922 N885:P886 T885:Z887 X888:Z892 T889:W890 T888:V888 S887 S889 S891:V893 W893:Z893 S894:Z894 W900 W896:Z898 W901:Z905 L885:L922 W907 S895:V916 R885:R922 W908:Z912 W914 L869:Z884 U917 V917:V922 T917:T922 S917 P918:P922 M887:Q917 M918:N922 W915:Z916 X917:Z921 Q922 S922 J3500:V3502 J3509:V3509" xr:uid="{3B57A34E-4C32-4B12-893C-FD52A40661E2}">
      <formula1>0</formula1>
      <formula2>999999999</formula2>
    </dataValidation>
    <dataValidation type="decimal" allowBlank="1" showInputMessage="1" showErrorMessage="1" prompt="Float" sqref="K2454:V2455 L1111:W1112 L971:V971 L1123:W1124 L1172:W1178 X1123 L1197:Z1200 L1201:AB1207 L1208:Z1210 K3142:V3142 M1218:S1218 L1212:S1212 N1211:S1211 N1213:S1217 M1216 M1214 L1211 U1211:Z1218 AA1219:AA1223 M1219:Z1225 K3159:V3159 L1213:L1225 L1227:Z1237 AC1281:AC1292 K3173:V3183 K3185:V3185 K3188:V3190 K3216:U3217 K1469:V1469 L978:V978 K1489:V1497 K1502:V1502 K1517:W1519 K1528:X1528 K1574:V1584 K1594:V1594 K1592:V1592 K1605:W1605 K1597:W1597 K1603:W1603 K1608:W1608 K1612:W1622 K1627:W1629 K1649:V1649 K1672:V1674 K1849:W1850 I537:I588 K1922:V1937 K1972:V1975 K1995:V1998 K2030:U2031 K2033:U2034 K2027:U2028 K2042:V2050 Z2042:Z2069 K2051:U2058 W2042:Y2049 K2059:V2069 W2051:W2069 V2051:V2057 K2070:Z2071 K2072:V2074 X2059:Y2069 K2089:V2090 K2123:V2126 K2129:V2129 K2132:V2132 K2513:V2514 K2523:V2523 K2546:V2547 K2933:U2933 K2970:U2970 K2983:V2983 K2990:V2990 K3038:V3038 K3041:V3047 K3073:V3073 K3102:V3102 K3110:V3110 K3140:V3140 K2447:V2447 X3254:Z3259 Z3264:Z3286 J3264:W3271 J3284:V3286 J3272:V3280 J3282:V3282 J3287:Q3297 S3287:W3297 R3287:R3291 L3300 V3300 R3300:T3300 P3300 N3300 J3300 W3298:W3299 J3302:Z3302 J3303:V3303 W3303:Z3305 W3307:Z3308 J3306:R3306 W3310:Z3311 J3309:R3309 X3309:Z3309 W3313:Z3314 J3312:R3312 X3312:Z3312 W3316:Z3317 J3315:R3315 X3315:Z3315 J3347:Z3376 J3338:Y3346 J3318:Z3337 AA3378:AA3386 Z3377:Z3496 AA3390:AA3398 AA3426:AA3434 AA3438:AA3446 AA3450:AA3458 AA3462:AA3470 AA3474:AA3482 J3377:Y3377 J3378:V3404 J3408:V3416 J3419:V3490 Q3491:V3492 K3491:O3492 W3378:W3555 J3503:V3508 J3493:V3499 X3490:Y3496 J3510:V3538 U3539:U3555 V3540:V3555 X3497:Z3540 T3540:T3548 J3539:N3540 P3539:S3540 O3539 Z3541:Z3555 X3542:Y3543 J3541:S3549 J3550:T3555 X3549:Y3555" xr:uid="{B3C6C6A5-74F8-4A7D-8965-C5F3C42A7810}">
      <formula1>0</formula1>
      <formula2>9999</formula2>
    </dataValidation>
    <dataValidation type="decimal" allowBlank="1" showInputMessage="1" showErrorMessage="1" prompt="Float_x000a__x000a_" sqref="J3281:V3281 J3283:V3283 J3298:V3299 J3301:W3301 J3304:V3305 J3307:V3308 T3306:V3306 J3310:V3311 T3309:V3309 J3313:V3314 T3312:V3312 J3316:V3317 T3315:V3315" xr:uid="{62A98ED7-2157-4DDD-A9FB-0FA143525867}">
      <formula1>0</formula1>
      <formula2>9999999</formula2>
    </dataValidation>
    <dataValidation type="decimal" allowBlank="1" showInputMessage="1" showErrorMessage="1" prompt="Float between 0-100" sqref="J3405:V3407 J3417:V3418" xr:uid="{7C89A4EC-6D68-4D78-BC21-D9F6AD9F9A8A}">
      <formula1>0</formula1>
      <formula2>100</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81" yWindow="392" count="19">
        <x14:dataValidation type="list" allowBlank="1" showInputMessage="1" showErrorMessage="1" prompt="One of: Human Deliberate, Human Accidental, Human Escaped, Lightning, Other Natural, Unknown" xr:uid="{77BAA449-F600-4FAA-A409-378EF4E05B84}">
          <x14:formula1>
            <xm:f>'IGNORE Lookups'!$E$3:$E$8</xm:f>
          </x14:formula1>
          <xm:sqref>C1 C3947:C1048576</xm:sqref>
        </x14:dataValidation>
        <x14:dataValidation type="list" allowBlank="1" showInputMessage="1" showErrorMessage="1" xr:uid="{A80DA6D3-F1ED-4EE0-A729-6AB920157E33}">
          <x14:formula1>
            <xm:f>'IGNORE Lookups'!$I$2:$I$14</xm:f>
          </x14:formula1>
          <xm:sqref>X863:Y863 X895:Y895 X899:Y900 X906:Y907 X913:Y914 X922:Y941 X946:Y949 X951:Y985 X1052:Y1055 X1070:Y1080 X1094:Y1110 X1113:Y1115 X1122:Y1122 Y1139:Z1143 X1147:Y1148 X1144:Y1145 X1160:Y1160 X1162:Y1171 X1179:Y1186 X1238:Y1242 X1259:Y1259 X1256:Y1256 X1262:Y1264 X1267:Y1276 X1281:Y1292 X1300:Y1307 X1343:Y1345 X1367:Y1372 X1375:Y1376 X1381:Y1391 X1393:Y1406 X1412:Y1423 X1476:Y1477 X1482:Y1488 X1510:Y1510 X1560:Y1560 X1564:Y1564 X1591:Y1591 X1602:Y1602 X1596:Y1600 X1604:Y1604 X1606:Y1606 X1660:Y1666 X1670:Y1670 X1675:Y1676 X1125:Y1128 X1:Y151 X1693:Y1722 X1732:Y1733 X1809:Y1822 X1834:Y1836 X1840:Y1844 X1847:Y1848 X1851 X1863:Y1865 X1886:Y1888 X1868:Y1868 Z1861 X1881:Y1881 X1879:Y1879 X1854:Y1861 Z1859 X1897:Y1899 X1890:Y1891 X1873:Y1877 X1895:Y1895 X1905:Y1905 X1986:Y1988 X2050:Y2058 X2086:Y2088 X2107:Y2110 X2112:Y2115 Y2135:Z2135 Y2133:Z2133 X155:Y822 X2147:Y2147 X2149:Y2150 X2153:Y2154 X2163:Y2170 X2180:Y2188 X2202:Y2206 X2211:Y2219 X2306:Y2306 X2310:Y2313 X2145:Y2145 Z2491:Z2502 W2513:Z2514 K2515:V2516 W2515 Z2515:Z2516 K2520:U2522 Z2518 X2515:Y2519 W2521:Z2523 V2521:V2522 K2524:Z2529 V2520:Z2520 K2538:Y2538 K2530:V2537 W2536:Y2536 W2530:Z2535 X2537:Y2537 Z2536:Z2544 K2539:V2540 K2541:Y2544 X2539:Y2540 K2548:R2551 S2548:S2549 W2545:Z2547 S2545:V2545 N2545 K2545:L2545 K2807:V2817 S2551:Z2551 T2548:Z2550 K2638:V2641 W2638:W2817 K2645:V2659 K2663:V2677 K2681:V2695 K2699:V2713 K2717:V2731 K2735:V2749 K2753:V2767 K2771:V2785 K2789:V2803 K2818:W2835 R2836:W2836 K2552:W2637 O2836:P2836 N2838:N2840 X2844:Y2844 O2838:P2844 X2461:Z2476 N2837:P2837 X2552:Z2562 X3238:Y3239 Q2836:Q2842 K2924:M2924 K2836:K2842 M2836:M2842 X2491:Y2506 W2837:W2842 X2563:Y2842 X2843:Z2843 Q2845:Y2911 S2837:V2844 W2919:Z2919 K2845:O2911 K2912:L2919 M2912:P2916 X2915:Z2918 Q2915:Q2916 M2918:Q2919 R2912:V2919 W2912 Z2844:Z2914 W2916:W2917 X2912:Y2914 M2917 W2914 O2917:Q2917 X2920:Z2921 W2932 W2922:Z2924 O2924:V2924 K2925:Y2931 K2512:Z2512 X2937:Y2951 X2969:Y2969 X2971:Y2972 X2982:Y2989 X3020:Y3020 X3022:Y3038 X3040:Y3040 X3055:Y3072 X3075:Y3076 X3091:Y3101 X3103:Y3109 X3111:Y3116 X3117:Z3124 X3125:Y3128 Y2455 X2401:Y2424 X2450:X2455 Y2451 Y2453 X3143:Y3147 X3151:Y3158 X3160:Y3160 X3197:Y3211 X3218:Y3222 X3228:Y3233 X3243:Y3253 X3260:Y3301 X3306:Y3306 X3378:Y3489 X3541:Y3541 X3544:Y3548 X3556:Y1048576</xm:sqref>
        </x14:dataValidation>
        <x14:dataValidation type="list" allowBlank="1" showInputMessage="1" showErrorMessage="1" xr:uid="{EADF027C-B889-438A-81FA-F5D4AA23CB7F}">
          <x14:formula1>
            <xm:f>'IGNORE Lookups'!$J$3:$J$7</xm:f>
          </x14:formula1>
          <xm:sqref>Z863:Z868 Z895 Z899:Z900 Z906:Z907 Z913:Z914 Z922:Z941 Z946:Z949 Z951:Z984 Z1052:Z1055 Z1070:Z1080 Z1094:Z1110 Z1113:Z1115 Z1122 AA1139:AA1143 Z1147:Z1148 Z1144:Z1145 Z1160:AA1160 Z1162:AA1171 Z1179:Z1186 Z1238:Z1242 Z1259 Z1256 Z1262:Z1264 Z1267:Z1276 Z1375:Z1376 Z1381:Z1391 Z1393:Z1406 Z1412:Z1423 Z1476:Z1477 Z1482:Z1488 Z1560 Z1564 Z1571 Z1591 Z1602 Z1596:Z1600 Z1604 Z1606 Z1660:Z1666 Z1125:Z1128 Z1:Z151 Z1693:Z1722 Z1809:Z1822 Z1834:Z1836 Z1847:Z1848 Z1856:Z1857 Z1865 Z1986:Z1988 X2111:Y2111 W2116 X2116:Y2127 K2127:V2128 W2119:W2127 K2130:Y2131 W2128:Y2129 K2133:Q2135 W2132:Y2132 Z2107:Z2132 K2136:V2140 Y2134:Z2134 S2133:X2135 R2133:R2134 K2147:U2148 Z155:Z822 Z2310:Z2313 AA2146 Z2152:Z2154 Z2163:Z2170 Z2177:Z2178 Z2180:Z2187 Z2202:Z2206 Z2306 W2136:Y2144 K2142:V2146 X2146:Y2146 Z2136:Z2150 V2148:Y2148 Z3238:Z3239 V2147 Z2503:Z2506 Z2517 Z2519 Z2563:Z2842 Z2925:Z2931 Z2937:Z2951 Z2986 Z3022:Z3038 Z3040 Z3059:Z3072 Z3091:Z3101 Z3103:Z3109 Z3111:Z3116 Z3125:Z3128 Z3143:Z3147 Z3201:Z3202 K2116:V2122 Z3248:Z3253 Z3287:Z3301 Z3306 Z3556:Z1048576</xm:sqref>
        </x14:dataValidation>
        <x14:dataValidation type="list" allowBlank="1" showInputMessage="1" showErrorMessage="1" prompt="Presence or absence" xr:uid="{606FCF66-415C-41B1-B1BE-9964B4191819}">
          <x14:formula1>
            <xm:f>'IGNORE Lookups'!$H$2:$H$3</xm:f>
          </x14:formula1>
          <xm:sqref>H1 H3947:H1048576</xm:sqref>
        </x14:dataValidation>
        <x14:dataValidation type="list" allowBlank="1" showInputMessage="1" showErrorMessage="1" xr:uid="{62876A7A-7519-4CDA-8C59-D1191D159B01}">
          <x14:formula1>
            <xm:f>'IGNORE Lookups'!$G$3:$G$10</xm:f>
          </x14:formula1>
          <xm:sqref>W1731 L1226:Z1226 F1:G1 K2047:Z2048 AB1226 L1243:Z1252 L1253:V1255 X1253:Z1255 L1256:W1261 L1262:V1266 X1257:Z1258 X1260:Z1261 L1267:U1276 W1263 W1265:Z1266 W1630:Z1634 L1278:V1278 X1277:Z1280 W1279:W1321 Z1281:Z1357 L1281:V1325 X1293:Y1299 L1330:V1330 X1308:Y1321 W1322:Y1330 L1331:Y1342 X1346:Y1357 W2046:Z2046 K2050:V2055 W2049:Z2049 K1529:V1555 AA1677:AA1678 L1238:U1239 X1517:AA1519 Y1528:Z1528 W1529:Z1552 X1553:Z1553 K1556:W1560 W1554:Z1554 X1555:Z1559 W1561:Z1561 K1562:Z1563 K1569:Z1569 L1564 P1564 N1564 R1564:T1564 V1564:W1564 W1565:Z1568 W1570:Z1570 K1571:Y1571 W1572:Z1572 K1573:Z1573 K1585:Z1590 W1574:Z1584 K1593:Z1593 W1592:Z1592 W1594:Z1594 K1595:Z1595 K1591:V1591 X1601:Z1601 X1603:Z1603 X1605:Z1605 K1596:W1596 X1607:Z1608 K1598:W1602 K1604:W1604 K1606:V1607 K1609:Z1629 W1606 K1630:U1659 Z2050:Z2069 V1267:W1267 W1277 V1635:AA1635 W2051:W2069 K2057:U2058 K1662:W1662 O1240:S1242 V1632:V1634 V1636:Z1659 K1661:O1661 Q1661:W1661 S1660:W1660 K1660:Q1660 K1665:W1666 K1663:O1664 Q1663:W1664 K1669:V1676 K1667:Z1667 K2059:V2069 W1668:W1676 Z1668:Z1676 X1668:Y1669 X1671:Y1674 K1677:Z1680 K1683:Z1687 T1240:T1241 U1240:W1242 L1240:M1242 W1681:Z1682 K1693:K1731 X1688:Z1692 L1698:L1731 M1693:M1731 O1693:V1697 X1723:Z1731 N1698:W1730 K1823:Z1831 N1731:U1731 X2059:Y2069 K1832:S1833 K1834:W1836 T1832:Z1832 U1833:V1833 X1833:Z1833 K1837:V1839 K1840:W1844 W1838:Z1839 X1837:Z1837 K1847:W1848 K1846:L1846 K1845:Y1845 K1851:W1853 X1846:Y1846 N1846:S1846 U1846:V1846 Z1840:Z1846 K1861:V1868 Y1850:Z1853 X1849:Z1849 X1850 X1852:X1853 K1869:Y1872 Z1858 X1862:Z1862 Z1863:Z1864 Z1854:Z1855 W1866:Y1867 X1882:Y1885 K1854:V1859 X1878:Y1878 X1880:Y1880 K1860:W1860 W1855:W1859 W1861:W1863 Z1860 K1896:W1913 X1892:Y1894 K1873:V1895 W1874:W1885 Z1866:Z1971 X1900:Y1904 K1914:Y1921 X1906:Y1913 X1896:Y1896 X1889:Y1889 W1887:W1895 V2057 W1922:Y1937 K1941:K1951 K1938:K1939 O1941:O1951 O1938:O1939 Q1938:Q1939 AA1942:AB1949 L1938:N1951 K1952:O1971 R1938:V1951 W1938:W1949 W1952:W1962 Q1941:Q1971 P1938:P1971 R1952:R1962 S1952:V1966 X1938:Y1966 K1986:N1986 R1967:Y1971 K1976:Z1985 W1972:Z1975 K1990:V1990 U1986:W1986 W1989:Z1990 R1986:T1989 K1987:Q1989 K2070:Z2071 K1991:Z1994 U1987:V1989 W1995:Z1998 K1999:K2005 L1999:L2002 P1999:R2002 M1999:M2026 N1999:N2002 S2012:Z2026 F3947:G1048576 S1999:Z2008 T2009:Z2011 K2012:K2026 O2012:O2026 Q2012:Q2026 Q2003:Q2005 R2006:R2026 P2006:P2026 N2006:N2026 L2006:L2026 K2029:Z2029 O1999:O2005 K2032:Z2032 K2035:Z2040 V2030:Z2031 V2033:Z2034 V2027:Z2028 K2042:Z2042 M2041:O2041 S2041:U2041 W2041:Z2041 K2044:Z2045 W2043:Z2043</xm:sqref>
        </x14:dataValidation>
        <x14:dataValidation type="list" allowBlank="1" showInputMessage="1" showErrorMessage="1" xr:uid="{B23DF0E5-ABEB-42C2-BC5E-21D1A72B6E20}">
          <x14:formula1>
            <xm:f>'IGNORE Lookups'!$I$3:$I$14</xm:f>
          </x14:formula1>
          <xm:sqref>X864:Y868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49DF0AD-B9B4-441F-A568-82E4EFD04841}">
          <x14:formula1>
            <xm:f>'IGNORE Lookups'!$F$3:$F$23</xm:f>
          </x14:formula1>
          <xm:sqref>D1 D3947:D1048576</xm:sqref>
        </x14:dataValidation>
        <x14:dataValidation type="list" allowBlank="1" showInputMessage="1" showErrorMessage="1" xr:uid="{02EB0620-5B89-4C11-9299-DE7D7509325E}">
          <x14:formula1>
            <xm:f>'IGNORE Lookups'!$G$3:$G$11</xm:f>
          </x14:formula1>
          <xm:sqref>W923:W928 W931:W948 AA943 X942:Z945 X950:Z950 T923:T948 W951:W952 U923:V949 T951:T952 T954:T970 N972:N973 L962:N962 Q1110:W1110 L969:N969 N964:N967 L961:M961 L963:M968 L970:M970 L972:M977 V974 V968:V969 U951:U970 V951:V956 V961:V962 O972:U977 V985:W985 N975:N976 R961 R963 N979:U980 N982:N983 L979:L1080 Z985 P986:P1080 R986:V991 X986:Z1051 L1081:S1109 M992:M1080 O992:O1080 W993:W1007 W1053 W1040:W1050 W1025:W1038 W1009:W1023 T992:V1069 S992:S1052 W1055 S1054 X1056:Z1069 S1056:S1080 T1070:W1071 W1072:W1077 Q992:R1080 T1072:V1080 X1081:Z1093 T1081:T1093 U1081:W1109 R970 L1122:W1122 X1111:Z1112 Y1122:Y1124 L1129:V1171 Z1123:Z1124 AB1123:AB1124 X1124 O1125:V1125 L1126:W1126 K1504:O1516 W1129:Z1138 R968 W1139:X1143 X1154:Z1159 Q1511:Y1516 W1145:W1160 N986:N1080 M979:M985 O985:Q985 M1125 K1498:V1500 L923:S949 W1489:Z1497 K1501:Z1501 X1498:Z1500 W1499 W1502:Z1502 K1503:N1503 O981:R984 P1503:P1516 R1503:Z1503 X1504:Z1509 Z1510:Z1516 Q1504:W1510 S981:U985 W954:W984 L1127:V1127 L1110:O1110 R951:R957 L951:Q960 O961:Q970 S951:S970</xm:sqref>
        </x14:dataValidation>
        <x14:dataValidation type="list" allowBlank="1" showInputMessage="1" showErrorMessage="1" prompt="Should be included in AFTs listed in land use record_x000a_" xr:uid="{7EF252FD-BAFF-477B-8C5F-96D534AF02C8}">
          <x14:formula1>
            <xm:f>'IGNORE Lookups'!$C$23:$C$41</xm:f>
          </x14:formula1>
          <xm:sqref>E1 E3947:E1048576</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2208C4B-57F6-4D41-8171-C2E009E60465}">
          <x14:formula1>
            <xm:f>'IGNORE Lookups'!$F$3:$F$27</xm:f>
          </x14:formula1>
          <xm:sqref>X1149:Z1153 L1208:Z1210 L1213:L1225 L1227:Z1237 M1219:Z1225 AA1219:AA1223 U1211:Z1218 L1211 M1214 M1216 N1213:S1217 N1211:S1211 L1212:S1212 M1218:S1218 L1201:AB1207 X1146:Z1146 W1197:Z1200 X1172:Z1178 W1162:W1171 W1161:AA1161</xm:sqref>
        </x14:dataValidation>
        <x14:dataValidation type="list" allowBlank="1" showInputMessage="1" showErrorMessage="1" xr:uid="{4A73D9D5-4712-4F83-916B-305B43FBC89C}">
          <x14:formula1>
            <xm:f>'IGNORE Lookups'!$F$3:$F$27</xm:f>
          </x14:formula1>
          <xm:sqref>X1379:Z1380 L1368:S1371 X1373:Z1374 U1373:W1376 T1373:T1374 U1368:V1371 L1358:Z1363 W1364:Z1372 L1377:Z1378 L1379:V1410 X1392:Z1392 L1411:Z1411 W1379:W1408 X1407:Z1410 K2112:K2115 K1478:Z1481 L1417:Q1423 L1373:S1376 L1416:N1416 R1412:W1423 P1416 L1412:Q1415 AA1445 AA1427 AA1425 AA1434 AA1436 AA1443 K1466:Z1475 M2112:M2115 K1476:V1477 O2111:V2113 K1732:W1733 K1734:Y1738 Z1732:Z1808 X1739:Y1808 K1739:O1822 S1739:W1822 K2075:Z2075 R1740:R1748 P1740:P1748 P1750:P1758 R1750:R1758 R1760:R1768 P1760:P1768 P1770:P1778 R1770:R1778 R1780:R1788 P1800:P1808 P1780:P1788 P1790:P1798 Q1739:Q1822 R1790:R1798 R1800:R1808 W2111:W2115 W2072:Z2074 Z2076:Z2106 X2076:Y2085 K2076:W2088 K2091:N2106 W2089:Y2090 Q2091:Y2106 K2107:V2108 O2105:P2106 O2091:O2101 P2091:P2104 K2111:M2111 L2114:L2115 L2109:N2110 P2109:W2110 N2114:V2115</xm:sqref>
        </x14:dataValidation>
        <x14:dataValidation type="list" allowBlank="1" showInputMessage="1" showErrorMessage="1" xr:uid="{6EC831F5-CE44-443E-883A-B397249D2404}">
          <x14:formula1>
            <xm:f>'IGNORE Lookups'!$F$29:$F$44</xm:f>
          </x14:formula1>
          <xm:sqref>M1211 L1125 M1215 N1125 W847:W848 N984:N985 O986:O991 Q986:Q991 P985 N981 N977 N974 L152:Z154 P957:P960 P964:P967 N961 N970 N963 L1:R151 L1424:Z1465 N968 P962 P851:R853 X861:Z862 W863 W859:Z860 M853:O853 M1213 M854:R858 X856:Z858 W851:Z853 X854:Z854 L851:O852 W856:W857 W855:Z855 M845:P850 L853:L858 Q885:Q886 M885:M886 L859:R868 Q918:Q921 O918:O922 M1217 Q1416 O1416 L1128:W1128 M986:M991 Q1503 O1503 O1564 K1564 M1564 Q1564 N1240:N1242 R1660 P1661 P1663:P1664 N3074 R3067:R3072 P1110 R957 O3119:O3128 P969 K3119:K3128 Q3119:Q3128 K3201:N3202 S603:U609 K1:K1465 AB610 L611:U617 L619:R844 L618:W618 L610:W610 P3228:P3229 L1693:L1697 N1693:N1697 R1799 R1809:R1822 P1809:P1822 P1739 R1739 P1749 R1749 P1759 R1759 P1769 R1769 P1779 R1779 P1789 R1789 P1799 M1846 Q1940 K1940 O1940 R1963:R1966 O1986:Q1986 P2003:P2005 N2003:N2005 L2003:L2005 Q2006:Q2011 O2006:O2011 R2003:R2005 K2006:K2011 P2041:R2041 K2041:L2041 O2054 Q2054 O2102:O2104 K2109:K2110 O2109:O2110 N2111:N2113 L2112:L2113 R2135 L155:R609 K2310:R2313 K2149:R2150 K2152:R2155 S2176:Z2176 K2163:R2177 R2188 N2180:N2188 K2180:M2187 O2180:R2187 P2217:Q2219 P2211:R2216 K2202:O2206 Q2202:R2206 K1668:V1668 K2220:Q2221 S2214:W2219 S2221:Z2221 R2217:R2221 K2211:O2219 S2220:AA2220 K2306:R2306 R2511 M2510 P2511 K2507:K2511 O2545:R2545 M2545 Q2843:Q2844 N2836 M2843:M2844 N2841:N2844 K2843:K2844 L2496 L2836:L2844 R2493 R2496 L2493 R2837:R2844 P2845:P2911 N2917 Q2912:Q2914 K2920:R2921 N2924 N2971 O2988 Q2988 P2989 N2989 L3067:L3072 P3067:P3072 R3252:R3253 R3292:R3297 Q3300 O3300 K3300 M3300 P3491:P3492 O3540 K3556:R1048576</xm:sqref>
        </x14:dataValidation>
        <x14:dataValidation type="list" allowBlank="1" showInputMessage="1" showErrorMessage="1" xr:uid="{B26A30C8-EB82-40E6-83A7-E7BE45A0CF04}">
          <x14:formula1>
            <xm:f>'IGNORE Lookups'!$G$29:$G$40</xm:f>
          </x14:formula1>
          <xm:sqref>W846 V611:V617 V1268:V1276 V1238:V1239 T1211:T1218 S1192:S1196 U1192:U1196 U1113:U1115 T1094:T1109 S1055 S1053 R985 V975:V977 V970 V963:V967 V957:V960 V972:V973 T949 T953 S885:S886 S888 S890 U918:U921 S918:S921 T1368:T1371 T1375:T1376 U1564 V1630:V1631 T1242 V979:V984 S1:V151 R958:R960 R962 R964:R967 R969 S619:V868 V603:V609 V1731 T1833 T1846 S2009:S2011 V2041 V2058 S155:V602 V2374 S2149:V2150 S2152:V2155 U2157:U2175 T2163:T2175 S2157:S2175 V2163:V2175 W2171:Z2175 S2177:V2177 S2180:V2187 W2187 S2211:V2213 S2202:V2206 V2314 S2306:V2306 S2310:V2313 T2317:T2320 V2317:V2320 V2329 V2338 V2347 V2356 V2365 T2503:T2506 T2508 V2517 S2550 V2466 S2920:V2921 V2937:V2946 T2969 S2987 V2988:V2989 V3026:V3037 S3040 V3067 S2415:S2417 S2401:S2405 S2407:S2408 S2412 S3133:S3139 S2450 S2443:S2444 T3191 S3195:S3196 U3300 S3306 S3309 S3312 S3315 V3539 T3539 T3549 S3556:V1048576</xm:sqref>
        </x14:dataValidation>
        <x14:dataValidation type="list" allowBlank="1" showInputMessage="1" showErrorMessage="1" xr:uid="{999E5E90-F9EB-4941-9A5D-878C99B401B0}">
          <x14:formula1>
            <xm:f>'IGNORE Lookups'!$H$29:$H$35</xm:f>
          </x14:formula1>
          <xm:sqref>X823:Z850 W1409:W1410 W1278 W1264 W1262 W1253:W1255 W1238:W1239 W1192:W1196 W1144 W619:W845 W1125 W1113:W1115 W1078:W1080 W1056:W1069 W1054 W1008 W1024 W1039 W1051:W1052 W986:W992 W953 W949 W861:W862 W849:W850 W858 W854 W864:W868 W888 W891:W892 W895 W913 W906 W899 W917:W922 W929:W930 W1476:W1477 K2517:U2519 W1498 W1500 W1525:W1527 W1607 W1268:W1276 W1553 W1555 W1591 W1127 W1:W151 W611:W617 W1693:W1697 W1833 W1837 W1846 W1854 W1864:W1865 W1868 W1886 W1873 W1950:W1951 W1963:W1966 W1987:W1988 W2050 W2107:W2108 W2117:W2118 W155:W609 W2145:W2147 W2149:W2150 W2152:W2155 X2155:Z2155 W2163:W2170 W2177 W2180:W2186 W2211:W2213 W2202:W2206 W2306 W2310:W2313 W2503 W2505 K1482:W1488 V2518:V2519 W2516:W2519 W2537 W2539:W2540 W2461 W2843:W2844 W2913 W2915 W2918 W2920:W2921 W2934 W2937:W2951 W2979 W2988 W3020 W3040 W3075:W3076 W3125:W3128 W3143:W3147 W3151:W3158 W3246:W3251 W3272:W3286 W3300 W3306 W3309 W3312 W3315 W3556:W1048576</xm:sqref>
        </x14:dataValidation>
        <x14:dataValidation type="list" allowBlank="1" showInputMessage="1" showErrorMessage="1" xr:uid="{22B62566-8B42-4989-AC2F-9DCAB30ABC59}">
          <x14:formula1>
            <xm:f>'IGNORE Lookups'!$E$29:$E$42</xm:f>
          </x14:formula1>
          <xm:sqref>K2460:K2501 L1279:V1280 R2497:R2501 R2494:R2495 L2494:L2495 L2497:L2501 W2374:Z2382 V2467:V2501 W2462:W2501 L1372:V1372 L2460:L2492 L1277:V1277 V1192:V1196 T1192:T1196 L1192:R1196 R2460:R2492 X1191:Z1196 L1187:Z1190 S2461:U2501 L1179:W1186 X2477:Z2490 L950:W950 L1343:W1357 L1364:V1367 K1520:V1527 K1561:V1561 X1520:Z1527 W1520:W1524 P2450:R2453 K1565:V1568 K1570:V1570 K1572:V1572 O2314:O2382 X2389:Y2394 Q2314:R2394 V2456:V2457 K2922:V2923 K2932:V2932 V2459:V2465 K2968:V2968 S2458:S2460 T2456:U2460 K2448:O2449 W2458 T2428:V2429 T2431:V2432 T2434:V2435 T2437:V2438 T2440:V2441 T2443:V2446 P2448:R2448 O2445:R2446 X2152:Y2152 K2151:Z2151 S2156 V2156:Z2162 U2156 K2156:R2162 T2156:T2162 K2178:W2179 O2188:Q2188 Z2188 S2188:W2188 K2188:M2188 Q2207:Z2210 K2189:Z2201 K2207:O2210 K2450:N2453 P2202:P2210 P2449:S2449 T2448:V2453 K2307:Z2309 S2317:S2388 P2314:P2316 V2315:V2316 S2314:T2316 U2314:U2394 V2321:V2328 W2314:Z2329 V2330:Z2337 W2338:Z2338 V2339:Z2346 W2347:Z2347 V2348:Z2355 W2356:Z2356 V2357:Z2364 W2365:Z2365 P2321:P2394 M2460:Q2501 V2375:V2394 K2314:N2394 V2366:Z2373 K2502:W2502 T2321:T2394 M2511 K2503:S2506 W2506:W2511 U2503:V2503 U2504:W2504 U2505:V2506 L2507:S2509 T2507:V2507 T2509:V2509 U2508:V2508 L2510:L2511 N2510:O2511 P2510:V2510 Q2511 S2511:V2511 X2507:Z2511 K2457:R2459 K2642:V2644 K2660:V2662 K2678:V2680 K2696:V2698 K2714:V2716 K2732:V2734 K2750:V2752 K2768:V2770 K2786:V2788 K2804:V2806</xm:sqref>
        </x14:dataValidation>
        <x14:dataValidation type="list" allowBlank="1" showInputMessage="1" showErrorMessage="1" xr:uid="{B415B483-9364-4D78-9BCE-41B72AB9A5F5}">
          <x14:formula1>
            <xm:f>'C:\Users\Oli\Documents\PhD\Model development\Data\Collaborators\Current Contributor Versions\[Adam''s fire data.xlsx]IGNORE Lookups'!#REF!</xm:f>
          </x14:formula1>
          <xm:sqref>P2317:P2320 X2383:Y2388 O2383:O2394 S2389:S2394 W2383:W2394 Z2383:Z2405 P2406:V2406 K2409:N2411 W2407:W2408 K2413:N2414 P2409:V2411 P2413:V2414 W2401:W2405 W2412 K2423:N2424 W2415:W2422 T2423:V2424 K2427:R2427 P2423:R2424 O2401:O2424 T2427:V2427 K2430:R2430 T2430:V2430 K2433:R2433 T2433:V2433 K2436:R2436 T2436:V2436 K2439:R2439 T2439:V2439 K2442:N2442 S2418:S2441 P2442:V2442 K2456:R2456 O2442:O2444 S2448 X2445:Y2446 Z2407:Z2446 S2445:S2446 W2425:W2446 Y2454 O2450:O2453 W2448:W2453 X2448:X2449 Y2448:Y2450 Y2452 S2451:S2453 W2459:W2460 V2458 S2456:S2457 Z2448:Z2460 X2456:Y2460 W2456:W2457 K2406:N2406</xm:sqref>
        </x14:dataValidation>
        <x14:dataValidation type="list" allowBlank="1" showInputMessage="1" showErrorMessage="1" xr:uid="{292FF7CC-40D3-4A40-91DE-E69F77B01638}">
          <x14:formula1>
            <xm:f>'C:\Users\Oli\Documents\PhD\Model development\Data\Collaborators\Current Contributor Versions\[Fire Database Ben v2.xlsx]IGNORE Lookups'!#REF!</xm:f>
          </x14:formula1>
          <xm:sqref>X2177:Y2179 Z2179 Z2211:Z2219 K2401:N2405 Z2406 T2401:V2405 P2401:R2405 K2407:N2408 K2412:N2412 P2407:R2408 T2407:V2408 K2415:N2422 P2412:R2412 T2412:V2412 W2413:W2414 W2409:W2411 W2406 W2423:W2424 T2415:V2422 P2415:R2422 K2425:R2426 K2428:R2429 K2431:R2432 K2434:R2435 K2437:R2438 K2440:R2441 K2443:N2446 T2425:V2426 P2443:R2444 X2425:Y2444 W2447:Z2447 W2454:W2455 K2395:Y2400</xm:sqref>
        </x14:dataValidation>
        <x14:dataValidation type="list" allowBlank="1" showInputMessage="1" showErrorMessage="1" prompt="One of: Traditional , Private, Centrally-allocated, Insecure, Mixed. _x000a_" xr:uid="{BF1116FB-359C-47E7-BC75-685C624DF54C}">
          <x14:formula1>
            <xm:f>'IGNORE Lookups'!$A$23:$A$28</xm:f>
          </x14:formula1>
          <xm:sqref>V2933:V2936 X2932:Z2934 W2933 K2947:V2951 W2935:Z2936 X3234:Y3237 K2952:Z2967 K2969:S2969 W2968:Z2968 K2971:M2971 U2969:W2969 Z2969 V2970:Z2970 Z2971:Z2985 K2972:W2972 O2971:W2971 K2973:Y2978 K2979:V2979 K2982:V2982 X2979:Y2979 K2980:Y2981 W2982:W2987 K2984:V2987 K2991:Y3019 Z2987:Z3021 T2988:U2989 W2989 K2988:N2988 K2989:M2989 P2988 O2989 Q2989:S2989 R2988:S2988 W2990:Y2990 K3020:V3020 K3021:Y3021 K3022:U3037 V3022:V3025 W3022:W3039 K3039:V3039 K3040:R3040 X3039:Z3039 T3040:V3040 K3048:Z3054 K3055:W3066 W3041:Z3047 Z3055:Z3058 K3067:K3072 M3067:O3072 Q3067:Q3073 K3074:M3074 S3067:U3072 W3067:W3073 V3068:V3073 K3073:P3073 O3074:Z3074 Z3075:Z3083 K3075:V3076 R3073:U3073 X3073:Z3073 K3077:Y3083 K3084:Z3090 K3091:W3101 K3102:Z3102 K3103:W3109 K3110:Z3110 X3240:Z3242 K3141:Z3141 K3111:W3118 W3119:W3124 R3119:V3128 P3119:P3139 L3119:N3128 Q3129:Z3132 K3129:O3139 Q3133:R3139 T3133:Z3139 W3140:Z3140 K3143:V3147 W3142:Z3142 K3148:Z3150 K3151:V3158 Z3151:Z3192 W3159:Y3159 K3160:W3160 K3161:Y3161 K3162:V3172 K3184:Y3184 K3186:V3187 K3191:S3191 W3162:Y3183 W3185:Y3190 K3193:Z3194 U3191:Y3191 K3192:Y3192 K3195:R3196 T3195:Z3196 K3197:W3200 Z3197:Z3200 Z3243:Z3247 O3201:W3202 K3218:W3227 K3203:W3211 K3212:Y3215 V3216:Y3217 Z3203:Z3237 K3230:W3245 X3223:Y3227 Q3228:W3229 K3228:O3229 K2934:U2946</xm:sqref>
        </x14:dataValidation>
        <x14:dataValidation type="list" allowBlank="1" showInputMessage="1" showErrorMessage="1" xr:uid="{E36CE04E-BEBD-4D0D-A047-604BF44253E5}">
          <x14:formula1>
            <xm:f>'IGNORE Lookups'!$E$29:$E$45</xm:f>
          </x14:formula1>
          <xm:sqref>K3246:V3251 S3252:W3253 K3252:Q3253 Z3260:Z3263 K3254:W3263 J1:J3263 J3491:J3492 J3556:J1048576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FBB1-6E7C-4FF9-B911-46F2208C87E0}">
  <dimension ref="A1:O816"/>
  <sheetViews>
    <sheetView zoomScale="55" zoomScaleNormal="55" workbookViewId="0">
      <pane ySplit="1" topLeftCell="A810" activePane="bottomLeft" state="frozen"/>
      <selection activeCell="F1" sqref="F1"/>
      <selection pane="bottomLeft" activeCell="E816" sqref="E816"/>
    </sheetView>
  </sheetViews>
  <sheetFormatPr defaultRowHeight="14.5"/>
  <cols>
    <col min="1" max="1" width="20.26953125" customWidth="1"/>
    <col min="2" max="2" width="25.1796875" customWidth="1"/>
    <col min="3" max="3" width="20.81640625" customWidth="1"/>
    <col min="4" max="4" width="24.81640625" customWidth="1"/>
    <col min="5" max="5" width="21.453125" style="60" customWidth="1"/>
    <col min="6" max="7" width="24.1796875" customWidth="1"/>
    <col min="8" max="8" width="26.1796875" customWidth="1"/>
    <col min="9" max="9" width="69.453125" customWidth="1"/>
    <col min="10" max="10" width="34.7265625" customWidth="1"/>
    <col min="11" max="11" width="70.90625" customWidth="1"/>
    <col min="12" max="12" width="29.81640625" customWidth="1"/>
    <col min="13" max="13" width="73.1796875" customWidth="1"/>
    <col min="14" max="14" width="100" customWidth="1"/>
  </cols>
  <sheetData>
    <row r="1" spans="1:14" ht="16" thickBot="1">
      <c r="A1" s="1" t="s">
        <v>2264</v>
      </c>
      <c r="B1" s="2" t="s">
        <v>1134</v>
      </c>
      <c r="C1" s="2" t="s">
        <v>7</v>
      </c>
      <c r="D1" s="2" t="s">
        <v>8</v>
      </c>
      <c r="E1" s="15" t="s">
        <v>2285</v>
      </c>
      <c r="F1" s="2" t="s">
        <v>119</v>
      </c>
      <c r="G1" s="2" t="s">
        <v>1086</v>
      </c>
      <c r="H1" s="2" t="s">
        <v>2431</v>
      </c>
      <c r="I1" s="2" t="s">
        <v>527</v>
      </c>
      <c r="J1" s="2" t="s">
        <v>2441</v>
      </c>
      <c r="K1" s="2" t="s">
        <v>2442</v>
      </c>
      <c r="L1" s="2" t="s">
        <v>2432</v>
      </c>
      <c r="M1" s="2" t="s">
        <v>535</v>
      </c>
      <c r="N1" s="16" t="s">
        <v>6255</v>
      </c>
    </row>
    <row r="2" spans="1:14" ht="28" customHeight="1">
      <c r="A2" s="6" t="s">
        <v>15</v>
      </c>
      <c r="B2" s="6" t="s">
        <v>40</v>
      </c>
      <c r="C2" s="6" t="s">
        <v>24</v>
      </c>
      <c r="D2" s="6" t="s">
        <v>25</v>
      </c>
      <c r="E2" s="6" t="s">
        <v>45</v>
      </c>
      <c r="F2" s="6" t="s">
        <v>29</v>
      </c>
      <c r="G2" s="6"/>
      <c r="H2" s="6" t="s">
        <v>2276</v>
      </c>
      <c r="I2" s="5" t="s">
        <v>2276</v>
      </c>
      <c r="J2" s="6" t="s">
        <v>2276</v>
      </c>
      <c r="K2" s="6" t="s">
        <v>2276</v>
      </c>
      <c r="L2" s="6" t="s">
        <v>2276</v>
      </c>
      <c r="M2" s="47" t="s">
        <v>2276</v>
      </c>
      <c r="N2" s="5"/>
    </row>
    <row r="3" spans="1:14" ht="28" customHeight="1">
      <c r="A3" s="4" t="s">
        <v>15</v>
      </c>
      <c r="B3" s="4" t="s">
        <v>41</v>
      </c>
      <c r="C3" s="4" t="s">
        <v>24</v>
      </c>
      <c r="D3" s="4" t="s">
        <v>26</v>
      </c>
      <c r="E3" s="4" t="s">
        <v>45</v>
      </c>
      <c r="F3" s="4" t="s">
        <v>29</v>
      </c>
      <c r="G3" s="4"/>
      <c r="H3" s="4" t="s">
        <v>2276</v>
      </c>
      <c r="I3" s="3" t="s">
        <v>2276</v>
      </c>
      <c r="J3" s="4" t="s">
        <v>2276</v>
      </c>
      <c r="K3" s="4" t="s">
        <v>2276</v>
      </c>
      <c r="L3" s="4" t="s">
        <v>2276</v>
      </c>
      <c r="M3" s="48" t="s">
        <v>2276</v>
      </c>
      <c r="N3" s="3"/>
    </row>
    <row r="4" spans="1:14" ht="28" customHeight="1">
      <c r="A4" s="4" t="s">
        <v>15</v>
      </c>
      <c r="B4" s="4" t="s">
        <v>42</v>
      </c>
      <c r="C4" s="4" t="s">
        <v>24</v>
      </c>
      <c r="D4" s="4" t="s">
        <v>27</v>
      </c>
      <c r="E4" s="4" t="s">
        <v>397</v>
      </c>
      <c r="F4" s="4" t="s">
        <v>28</v>
      </c>
      <c r="G4" s="4"/>
      <c r="H4" s="4" t="s">
        <v>2276</v>
      </c>
      <c r="I4" s="3" t="s">
        <v>2276</v>
      </c>
      <c r="J4" s="4" t="s">
        <v>2276</v>
      </c>
      <c r="K4" s="4" t="s">
        <v>2276</v>
      </c>
      <c r="L4" s="4" t="s">
        <v>2276</v>
      </c>
      <c r="M4" s="48" t="s">
        <v>2276</v>
      </c>
      <c r="N4" s="3"/>
    </row>
    <row r="5" spans="1:14" ht="28" customHeight="1">
      <c r="A5" s="4" t="s">
        <v>15</v>
      </c>
      <c r="B5" s="4" t="s">
        <v>43</v>
      </c>
      <c r="C5" s="4" t="s">
        <v>31</v>
      </c>
      <c r="D5" s="4" t="s">
        <v>30</v>
      </c>
      <c r="E5" s="4" t="s">
        <v>45</v>
      </c>
      <c r="F5" s="4" t="s">
        <v>32</v>
      </c>
      <c r="G5" s="4"/>
      <c r="H5" s="4" t="s">
        <v>2276</v>
      </c>
      <c r="I5" s="3" t="s">
        <v>2276</v>
      </c>
      <c r="J5" s="4" t="s">
        <v>2276</v>
      </c>
      <c r="K5" s="4" t="s">
        <v>2276</v>
      </c>
      <c r="L5" s="4" t="s">
        <v>2276</v>
      </c>
      <c r="M5" s="48" t="s">
        <v>2276</v>
      </c>
      <c r="N5" s="3"/>
    </row>
    <row r="6" spans="1:14" ht="28" customHeight="1">
      <c r="A6" s="4" t="s">
        <v>15</v>
      </c>
      <c r="B6" s="4" t="s">
        <v>44</v>
      </c>
      <c r="C6" s="4" t="s">
        <v>24</v>
      </c>
      <c r="D6" s="4" t="s">
        <v>33</v>
      </c>
      <c r="E6" s="9"/>
      <c r="F6" s="4" t="s">
        <v>32</v>
      </c>
      <c r="G6" s="4"/>
      <c r="H6" s="4" t="s">
        <v>2276</v>
      </c>
      <c r="I6" s="3" t="s">
        <v>2276</v>
      </c>
      <c r="J6" s="4" t="s">
        <v>2276</v>
      </c>
      <c r="K6" s="4" t="s">
        <v>2276</v>
      </c>
      <c r="L6" s="4" t="s">
        <v>2276</v>
      </c>
      <c r="M6" s="48" t="s">
        <v>2276</v>
      </c>
      <c r="N6" s="3"/>
    </row>
    <row r="7" spans="1:14" ht="28" customHeight="1">
      <c r="A7" s="4" t="s">
        <v>15</v>
      </c>
      <c r="B7" s="4" t="s">
        <v>60</v>
      </c>
      <c r="C7" s="4" t="s">
        <v>24</v>
      </c>
      <c r="D7" s="4" t="s">
        <v>61</v>
      </c>
      <c r="E7" s="24" t="s">
        <v>116</v>
      </c>
      <c r="F7" s="4" t="s">
        <v>62</v>
      </c>
      <c r="G7" s="4"/>
      <c r="H7" s="4" t="s">
        <v>2276</v>
      </c>
      <c r="I7" s="3" t="s">
        <v>2276</v>
      </c>
      <c r="J7" s="4" t="s">
        <v>2276</v>
      </c>
      <c r="K7" s="4" t="s">
        <v>2276</v>
      </c>
      <c r="L7" s="4" t="s">
        <v>2276</v>
      </c>
      <c r="M7" s="48" t="s">
        <v>2276</v>
      </c>
      <c r="N7" s="3"/>
    </row>
    <row r="8" spans="1:14" ht="28" customHeight="1">
      <c r="A8" s="19" t="s">
        <v>16</v>
      </c>
      <c r="B8" s="19" t="s">
        <v>46</v>
      </c>
      <c r="C8" s="19" t="s">
        <v>24</v>
      </c>
      <c r="D8" s="19" t="s">
        <v>25</v>
      </c>
      <c r="E8" s="4" t="s">
        <v>45</v>
      </c>
      <c r="F8" s="19" t="s">
        <v>29</v>
      </c>
      <c r="G8" s="19"/>
      <c r="H8" s="19" t="s">
        <v>2276</v>
      </c>
      <c r="I8" s="3" t="s">
        <v>2276</v>
      </c>
      <c r="J8" s="19" t="s">
        <v>2276</v>
      </c>
      <c r="K8" s="19" t="s">
        <v>2276</v>
      </c>
      <c r="L8" s="19" t="s">
        <v>2276</v>
      </c>
      <c r="M8" s="49" t="s">
        <v>2276</v>
      </c>
      <c r="N8" s="3"/>
    </row>
    <row r="9" spans="1:14" ht="28" customHeight="1">
      <c r="A9" s="19" t="s">
        <v>17</v>
      </c>
      <c r="B9" s="19" t="s">
        <v>47</v>
      </c>
      <c r="C9" s="19" t="s">
        <v>24</v>
      </c>
      <c r="D9" s="19" t="s">
        <v>27</v>
      </c>
      <c r="E9" s="4" t="s">
        <v>397</v>
      </c>
      <c r="F9" s="19" t="s">
        <v>28</v>
      </c>
      <c r="G9" s="19"/>
      <c r="H9" s="19" t="s">
        <v>2276</v>
      </c>
      <c r="I9" s="3" t="s">
        <v>2276</v>
      </c>
      <c r="J9" s="19" t="s">
        <v>2276</v>
      </c>
      <c r="K9" s="19" t="s">
        <v>2276</v>
      </c>
      <c r="L9" s="19" t="s">
        <v>2276</v>
      </c>
      <c r="M9" s="49" t="s">
        <v>2276</v>
      </c>
      <c r="N9" s="3"/>
    </row>
    <row r="10" spans="1:14" ht="28" customHeight="1">
      <c r="A10" s="19" t="s">
        <v>18</v>
      </c>
      <c r="B10" s="19" t="s">
        <v>51</v>
      </c>
      <c r="C10" s="19" t="s">
        <v>24</v>
      </c>
      <c r="D10" s="19" t="s">
        <v>25</v>
      </c>
      <c r="E10" s="4" t="s">
        <v>45</v>
      </c>
      <c r="F10" s="19" t="s">
        <v>29</v>
      </c>
      <c r="G10" s="19"/>
      <c r="H10" s="19" t="s">
        <v>2276</v>
      </c>
      <c r="I10" s="3" t="s">
        <v>2276</v>
      </c>
      <c r="J10" s="19" t="s">
        <v>2276</v>
      </c>
      <c r="K10" s="19" t="s">
        <v>2276</v>
      </c>
      <c r="L10" s="19" t="s">
        <v>2276</v>
      </c>
      <c r="M10" s="49" t="s">
        <v>2276</v>
      </c>
      <c r="N10" s="3"/>
    </row>
    <row r="11" spans="1:14" ht="40.5" customHeight="1">
      <c r="A11" s="4" t="s">
        <v>19</v>
      </c>
      <c r="B11" s="4" t="s">
        <v>53</v>
      </c>
      <c r="C11" s="4" t="s">
        <v>24</v>
      </c>
      <c r="D11" s="4" t="s">
        <v>25</v>
      </c>
      <c r="E11" s="4" t="s">
        <v>45</v>
      </c>
      <c r="F11" s="4" t="s">
        <v>29</v>
      </c>
      <c r="G11" s="4"/>
      <c r="H11" s="4" t="s">
        <v>2276</v>
      </c>
      <c r="I11" s="3" t="s">
        <v>2276</v>
      </c>
      <c r="J11" s="4" t="s">
        <v>2276</v>
      </c>
      <c r="K11" s="4" t="s">
        <v>2276</v>
      </c>
      <c r="L11" s="4" t="s">
        <v>2276</v>
      </c>
      <c r="M11" s="48" t="s">
        <v>2276</v>
      </c>
      <c r="N11" s="3"/>
    </row>
    <row r="12" spans="1:14" ht="40.5" customHeight="1">
      <c r="A12" s="4" t="s">
        <v>19</v>
      </c>
      <c r="B12" s="4" t="s">
        <v>54</v>
      </c>
      <c r="C12" s="4" t="s">
        <v>24</v>
      </c>
      <c r="D12" s="4" t="s">
        <v>137</v>
      </c>
      <c r="E12" s="4" t="s">
        <v>137</v>
      </c>
      <c r="F12" s="4" t="s">
        <v>55</v>
      </c>
      <c r="G12" s="4"/>
      <c r="H12" s="4" t="s">
        <v>2276</v>
      </c>
      <c r="I12" s="3" t="s">
        <v>2276</v>
      </c>
      <c r="J12" s="4" t="s">
        <v>2276</v>
      </c>
      <c r="K12" s="4" t="s">
        <v>2276</v>
      </c>
      <c r="L12" s="4" t="s">
        <v>2276</v>
      </c>
      <c r="M12" s="48" t="s">
        <v>2276</v>
      </c>
      <c r="N12" s="3"/>
    </row>
    <row r="13" spans="1:14" ht="46" customHeight="1">
      <c r="A13" s="26" t="s">
        <v>71</v>
      </c>
      <c r="B13" s="26" t="s">
        <v>73</v>
      </c>
      <c r="C13" s="26" t="s">
        <v>24</v>
      </c>
      <c r="D13" s="26" t="s">
        <v>27</v>
      </c>
      <c r="E13" s="26" t="s">
        <v>397</v>
      </c>
      <c r="F13" s="26" t="s">
        <v>74</v>
      </c>
      <c r="G13" s="26"/>
      <c r="H13" s="105">
        <v>2</v>
      </c>
      <c r="I13" s="9" t="s">
        <v>120</v>
      </c>
      <c r="J13" s="26" t="s">
        <v>2276</v>
      </c>
      <c r="K13" s="26" t="s">
        <v>2276</v>
      </c>
      <c r="L13" s="26" t="s">
        <v>2276</v>
      </c>
      <c r="M13" s="50" t="s">
        <v>2276</v>
      </c>
      <c r="N13" s="3"/>
    </row>
    <row r="14" spans="1:14" ht="40.5" customHeight="1">
      <c r="A14" s="19" t="s">
        <v>112</v>
      </c>
      <c r="B14" s="19" t="s">
        <v>115</v>
      </c>
      <c r="C14" s="19" t="s">
        <v>24</v>
      </c>
      <c r="D14" s="19" t="s">
        <v>83</v>
      </c>
      <c r="E14" s="19" t="s">
        <v>84</v>
      </c>
      <c r="F14" s="19" t="s">
        <v>28</v>
      </c>
      <c r="G14" s="19"/>
      <c r="H14" s="19" t="s">
        <v>2276</v>
      </c>
      <c r="I14" s="3" t="s">
        <v>2276</v>
      </c>
      <c r="J14" s="19" t="s">
        <v>2276</v>
      </c>
      <c r="K14" s="19" t="s">
        <v>2276</v>
      </c>
      <c r="L14" s="19" t="s">
        <v>2276</v>
      </c>
      <c r="M14" s="49" t="s">
        <v>2276</v>
      </c>
      <c r="N14" s="3"/>
    </row>
    <row r="15" spans="1:14" ht="247" customHeight="1">
      <c r="A15" s="23" t="s">
        <v>123</v>
      </c>
      <c r="B15" s="23" t="s">
        <v>124</v>
      </c>
      <c r="C15" s="23" t="s">
        <v>24</v>
      </c>
      <c r="D15" s="23" t="s">
        <v>27</v>
      </c>
      <c r="E15" s="26" t="s">
        <v>397</v>
      </c>
      <c r="F15" s="23" t="s">
        <v>74</v>
      </c>
      <c r="G15" s="23"/>
      <c r="H15" s="23">
        <v>1</v>
      </c>
      <c r="I15" s="4" t="s">
        <v>2286</v>
      </c>
      <c r="J15" s="23" t="s">
        <v>2276</v>
      </c>
      <c r="K15" s="23" t="s">
        <v>2276</v>
      </c>
      <c r="L15" s="23" t="s">
        <v>2276</v>
      </c>
      <c r="M15" s="51" t="s">
        <v>2276</v>
      </c>
      <c r="N15" s="3"/>
    </row>
    <row r="16" spans="1:14" ht="295.5" customHeight="1">
      <c r="A16" s="23" t="s">
        <v>123</v>
      </c>
      <c r="B16" s="23" t="s">
        <v>125</v>
      </c>
      <c r="C16" s="23" t="s">
        <v>24</v>
      </c>
      <c r="D16" s="23" t="s">
        <v>27</v>
      </c>
      <c r="E16" s="26" t="s">
        <v>397</v>
      </c>
      <c r="F16" s="23" t="s">
        <v>126</v>
      </c>
      <c r="G16" s="23"/>
      <c r="H16" s="23">
        <v>1</v>
      </c>
      <c r="I16" s="4" t="s">
        <v>2287</v>
      </c>
      <c r="J16" s="23" t="s">
        <v>2276</v>
      </c>
      <c r="K16" s="23" t="s">
        <v>2276</v>
      </c>
      <c r="L16" s="23" t="s">
        <v>2276</v>
      </c>
      <c r="M16" s="51" t="s">
        <v>2276</v>
      </c>
      <c r="N16" s="3"/>
    </row>
    <row r="17" spans="1:14" ht="52.5" customHeight="1">
      <c r="A17" s="23" t="s">
        <v>145</v>
      </c>
      <c r="B17" s="23" t="s">
        <v>2300</v>
      </c>
      <c r="C17" s="23" t="s">
        <v>24</v>
      </c>
      <c r="D17" s="23" t="s">
        <v>27</v>
      </c>
      <c r="E17" s="26" t="s">
        <v>397</v>
      </c>
      <c r="F17" s="23" t="s">
        <v>74</v>
      </c>
      <c r="G17" s="23"/>
      <c r="H17" s="23">
        <v>0</v>
      </c>
      <c r="I17" s="4" t="s">
        <v>2304</v>
      </c>
      <c r="J17" s="23"/>
      <c r="K17" s="23"/>
      <c r="L17" s="23"/>
      <c r="M17" s="51"/>
      <c r="N17" s="3"/>
    </row>
    <row r="18" spans="1:14" ht="52.5" customHeight="1">
      <c r="A18" s="23" t="s">
        <v>145</v>
      </c>
      <c r="B18" s="23" t="s">
        <v>2301</v>
      </c>
      <c r="C18" s="23" t="s">
        <v>24</v>
      </c>
      <c r="D18" s="23" t="s">
        <v>1245</v>
      </c>
      <c r="E18" s="26" t="s">
        <v>116</v>
      </c>
      <c r="F18" s="23" t="s">
        <v>74</v>
      </c>
      <c r="G18" s="23"/>
      <c r="H18" s="23">
        <v>0</v>
      </c>
      <c r="I18" s="4" t="s">
        <v>2304</v>
      </c>
      <c r="J18" s="23"/>
      <c r="K18" s="23"/>
      <c r="L18" s="23"/>
      <c r="M18" s="51"/>
      <c r="N18" s="3"/>
    </row>
    <row r="19" spans="1:14" ht="52.5" customHeight="1">
      <c r="A19" s="23" t="s">
        <v>509</v>
      </c>
      <c r="B19" s="23" t="s">
        <v>2309</v>
      </c>
      <c r="C19" s="23" t="s">
        <v>24</v>
      </c>
      <c r="D19" s="23" t="s">
        <v>1245</v>
      </c>
      <c r="E19" s="26" t="s">
        <v>116</v>
      </c>
      <c r="F19" s="23" t="s">
        <v>74</v>
      </c>
      <c r="G19" s="23"/>
      <c r="H19" s="23">
        <v>0</v>
      </c>
      <c r="I19" s="4" t="s">
        <v>2329</v>
      </c>
      <c r="J19" s="23"/>
      <c r="K19" s="23"/>
      <c r="L19" s="23"/>
      <c r="M19" s="51"/>
      <c r="N19" s="3"/>
    </row>
    <row r="20" spans="1:14" ht="52.5" customHeight="1">
      <c r="A20" s="23" t="s">
        <v>509</v>
      </c>
      <c r="B20" s="23" t="s">
        <v>2310</v>
      </c>
      <c r="C20" s="23" t="s">
        <v>24</v>
      </c>
      <c r="D20" s="23" t="s">
        <v>1245</v>
      </c>
      <c r="E20" s="26" t="s">
        <v>116</v>
      </c>
      <c r="F20" s="23" t="s">
        <v>160</v>
      </c>
      <c r="G20" s="23"/>
      <c r="H20" s="23">
        <v>0</v>
      </c>
      <c r="I20" s="4" t="s">
        <v>2329</v>
      </c>
      <c r="J20" s="23"/>
      <c r="K20" s="23"/>
      <c r="L20" s="23"/>
      <c r="M20" s="51"/>
      <c r="N20" s="3"/>
    </row>
    <row r="21" spans="1:14" ht="52.5" customHeight="1">
      <c r="A21" s="23" t="s">
        <v>2315</v>
      </c>
      <c r="B21" s="23" t="s">
        <v>2317</v>
      </c>
      <c r="C21" s="23" t="s">
        <v>24</v>
      </c>
      <c r="D21" s="23" t="s">
        <v>1245</v>
      </c>
      <c r="E21" s="26" t="s">
        <v>116</v>
      </c>
      <c r="F21" s="23" t="s">
        <v>74</v>
      </c>
      <c r="G21" s="23"/>
      <c r="H21" s="23">
        <v>0</v>
      </c>
      <c r="I21" s="4" t="s">
        <v>2329</v>
      </c>
      <c r="J21" s="23"/>
      <c r="K21" s="23"/>
      <c r="L21" s="23"/>
      <c r="M21" s="51"/>
      <c r="N21" s="3"/>
    </row>
    <row r="22" spans="1:14" ht="52.5" customHeight="1">
      <c r="A22" s="23" t="s">
        <v>2315</v>
      </c>
      <c r="B22" s="23" t="s">
        <v>2318</v>
      </c>
      <c r="C22" s="23" t="s">
        <v>24</v>
      </c>
      <c r="D22" s="23" t="s">
        <v>1245</v>
      </c>
      <c r="E22" s="26" t="s">
        <v>116</v>
      </c>
      <c r="F22" s="23" t="s">
        <v>160</v>
      </c>
      <c r="G22" s="23"/>
      <c r="H22" s="23">
        <v>0</v>
      </c>
      <c r="I22" s="4" t="s">
        <v>2329</v>
      </c>
      <c r="J22" s="23"/>
      <c r="K22" s="23"/>
      <c r="L22" s="23"/>
      <c r="M22" s="51"/>
      <c r="N22" s="3"/>
    </row>
    <row r="23" spans="1:14" ht="52.5" customHeight="1">
      <c r="A23" s="23" t="s">
        <v>2316</v>
      </c>
      <c r="B23" s="23" t="s">
        <v>2320</v>
      </c>
      <c r="C23" s="23" t="s">
        <v>24</v>
      </c>
      <c r="D23" s="23" t="s">
        <v>1245</v>
      </c>
      <c r="E23" s="26" t="s">
        <v>116</v>
      </c>
      <c r="F23" s="23" t="s">
        <v>74</v>
      </c>
      <c r="G23" s="23"/>
      <c r="H23" s="23">
        <v>0</v>
      </c>
      <c r="I23" s="4" t="s">
        <v>2329</v>
      </c>
      <c r="J23" s="23"/>
      <c r="K23" s="23"/>
      <c r="L23" s="23"/>
      <c r="M23" s="51"/>
      <c r="N23" s="3"/>
    </row>
    <row r="24" spans="1:14" ht="52.5" customHeight="1">
      <c r="A24" s="23" t="s">
        <v>2316</v>
      </c>
      <c r="B24" s="23" t="s">
        <v>2321</v>
      </c>
      <c r="C24" s="23" t="s">
        <v>24</v>
      </c>
      <c r="D24" s="23" t="s">
        <v>1245</v>
      </c>
      <c r="E24" s="26" t="s">
        <v>116</v>
      </c>
      <c r="F24" s="23" t="s">
        <v>160</v>
      </c>
      <c r="G24" s="23"/>
      <c r="H24" s="23">
        <v>0</v>
      </c>
      <c r="I24" s="4" t="s">
        <v>2329</v>
      </c>
      <c r="J24" s="23"/>
      <c r="K24" s="23" t="s">
        <v>5083</v>
      </c>
      <c r="L24" s="23"/>
      <c r="M24" s="51"/>
      <c r="N24" s="3"/>
    </row>
    <row r="25" spans="1:14" ht="52.5" customHeight="1">
      <c r="A25" s="23" t="s">
        <v>933</v>
      </c>
      <c r="B25" s="23" t="s">
        <v>5060</v>
      </c>
      <c r="C25" s="23" t="s">
        <v>24</v>
      </c>
      <c r="D25" s="23" t="s">
        <v>2804</v>
      </c>
      <c r="E25" s="26" t="s">
        <v>5005</v>
      </c>
      <c r="F25" s="26" t="s">
        <v>2662</v>
      </c>
      <c r="G25" s="23"/>
      <c r="H25" s="23">
        <v>0</v>
      </c>
      <c r="I25" s="4" t="s">
        <v>5081</v>
      </c>
      <c r="J25" s="23" t="s">
        <v>2276</v>
      </c>
      <c r="K25" s="23" t="s">
        <v>2276</v>
      </c>
      <c r="L25" s="23" t="s">
        <v>2276</v>
      </c>
      <c r="M25" s="51" t="s">
        <v>2276</v>
      </c>
      <c r="N25" s="3"/>
    </row>
    <row r="26" spans="1:14" ht="52.5" customHeight="1">
      <c r="A26" s="23" t="s">
        <v>933</v>
      </c>
      <c r="B26" s="23" t="s">
        <v>5061</v>
      </c>
      <c r="C26" s="23" t="s">
        <v>1105</v>
      </c>
      <c r="D26" s="23" t="s">
        <v>1105</v>
      </c>
      <c r="E26" s="26" t="s">
        <v>3209</v>
      </c>
      <c r="F26" s="26" t="s">
        <v>2662</v>
      </c>
      <c r="G26" s="23"/>
      <c r="H26" s="23" t="s">
        <v>2276</v>
      </c>
      <c r="I26" s="23" t="s">
        <v>2276</v>
      </c>
      <c r="J26" s="23" t="s">
        <v>2276</v>
      </c>
      <c r="K26" s="23" t="s">
        <v>2276</v>
      </c>
      <c r="L26" s="23">
        <v>2</v>
      </c>
      <c r="M26" s="50" t="s">
        <v>5079</v>
      </c>
      <c r="N26" s="3"/>
    </row>
    <row r="27" spans="1:14" ht="52.5" customHeight="1">
      <c r="A27" s="23" t="s">
        <v>933</v>
      </c>
      <c r="B27" s="23" t="s">
        <v>5062</v>
      </c>
      <c r="C27" s="23" t="s">
        <v>1105</v>
      </c>
      <c r="D27" s="23" t="s">
        <v>1105</v>
      </c>
      <c r="E27" s="26" t="s">
        <v>137</v>
      </c>
      <c r="F27" s="26" t="s">
        <v>2662</v>
      </c>
      <c r="G27" s="23"/>
      <c r="H27" s="23" t="s">
        <v>2276</v>
      </c>
      <c r="I27" s="23" t="s">
        <v>2276</v>
      </c>
      <c r="J27" s="23">
        <v>0</v>
      </c>
      <c r="K27" s="23" t="s">
        <v>5083</v>
      </c>
      <c r="L27" s="23" t="s">
        <v>2276</v>
      </c>
      <c r="M27" s="51" t="s">
        <v>2276</v>
      </c>
      <c r="N27" s="3"/>
    </row>
    <row r="28" spans="1:14" ht="52.5" customHeight="1">
      <c r="A28" s="23" t="s">
        <v>5059</v>
      </c>
      <c r="B28" s="23" t="s">
        <v>5068</v>
      </c>
      <c r="C28" s="23" t="s">
        <v>24</v>
      </c>
      <c r="D28" s="23"/>
      <c r="E28" s="26" t="s">
        <v>5005</v>
      </c>
      <c r="F28" s="26" t="s">
        <v>2662</v>
      </c>
      <c r="G28" s="23"/>
      <c r="H28" s="23">
        <v>1</v>
      </c>
      <c r="I28" s="4" t="s">
        <v>5082</v>
      </c>
      <c r="J28" s="23">
        <v>2</v>
      </c>
      <c r="K28" s="23" t="s">
        <v>5080</v>
      </c>
      <c r="L28" s="23" t="s">
        <v>2276</v>
      </c>
      <c r="M28" s="51" t="s">
        <v>2276</v>
      </c>
      <c r="N28" s="3"/>
    </row>
    <row r="29" spans="1:14" ht="57.5" customHeight="1">
      <c r="A29" s="19" t="s">
        <v>1098</v>
      </c>
      <c r="B29" s="19" t="s">
        <v>1101</v>
      </c>
      <c r="C29" s="23" t="s">
        <v>1105</v>
      </c>
      <c r="D29" s="19" t="s">
        <v>1105</v>
      </c>
      <c r="E29" s="19" t="s">
        <v>137</v>
      </c>
      <c r="F29" s="19" t="s">
        <v>74</v>
      </c>
      <c r="G29" s="3"/>
      <c r="H29" s="3" t="s">
        <v>2276</v>
      </c>
      <c r="I29" s="3" t="s">
        <v>2276</v>
      </c>
      <c r="J29" s="3" t="s">
        <v>2276</v>
      </c>
      <c r="K29" s="3" t="s">
        <v>2276</v>
      </c>
      <c r="L29" s="3">
        <v>3</v>
      </c>
      <c r="M29" s="48" t="s">
        <v>1106</v>
      </c>
      <c r="N29" s="3"/>
    </row>
    <row r="30" spans="1:14" ht="57.5" customHeight="1">
      <c r="A30" s="19" t="s">
        <v>1117</v>
      </c>
      <c r="B30" s="19" t="s">
        <v>2331</v>
      </c>
      <c r="C30" s="23" t="s">
        <v>24</v>
      </c>
      <c r="D30" s="19" t="s">
        <v>1105</v>
      </c>
      <c r="E30" s="19" t="s">
        <v>1105</v>
      </c>
      <c r="F30" s="19" t="s">
        <v>1105</v>
      </c>
      <c r="G30" s="3"/>
      <c r="H30" s="23">
        <v>0</v>
      </c>
      <c r="I30" s="4" t="s">
        <v>2350</v>
      </c>
      <c r="J30" s="3" t="s">
        <v>2276</v>
      </c>
      <c r="K30" s="3" t="s">
        <v>2276</v>
      </c>
      <c r="L30" s="3" t="s">
        <v>2276</v>
      </c>
      <c r="M30" s="52" t="s">
        <v>2276</v>
      </c>
      <c r="N30" s="3"/>
    </row>
    <row r="31" spans="1:14" ht="57.5" customHeight="1">
      <c r="A31" s="19" t="s">
        <v>1118</v>
      </c>
      <c r="B31" s="19" t="s">
        <v>2333</v>
      </c>
      <c r="C31" s="23" t="s">
        <v>24</v>
      </c>
      <c r="D31" s="19" t="s">
        <v>1105</v>
      </c>
      <c r="E31" s="19" t="s">
        <v>1105</v>
      </c>
      <c r="F31" s="19" t="s">
        <v>1105</v>
      </c>
      <c r="G31" s="3"/>
      <c r="H31" s="23">
        <v>0</v>
      </c>
      <c r="I31" s="4" t="s">
        <v>2350</v>
      </c>
      <c r="J31" s="3" t="s">
        <v>2276</v>
      </c>
      <c r="K31" s="3" t="s">
        <v>2276</v>
      </c>
      <c r="L31" s="3" t="s">
        <v>2276</v>
      </c>
      <c r="M31" s="52" t="s">
        <v>2276</v>
      </c>
      <c r="N31" s="3"/>
    </row>
    <row r="32" spans="1:14" ht="41" customHeight="1">
      <c r="A32" s="19" t="s">
        <v>1125</v>
      </c>
      <c r="B32" s="19" t="s">
        <v>1127</v>
      </c>
      <c r="C32" s="23" t="s">
        <v>24</v>
      </c>
      <c r="D32" s="23" t="s">
        <v>27</v>
      </c>
      <c r="E32" s="19" t="s">
        <v>130</v>
      </c>
      <c r="F32" s="23" t="s">
        <v>126</v>
      </c>
      <c r="G32" s="3"/>
      <c r="H32" s="3">
        <v>2</v>
      </c>
      <c r="I32" s="4" t="s">
        <v>1133</v>
      </c>
      <c r="J32" s="3" t="s">
        <v>2276</v>
      </c>
      <c r="K32" s="3" t="s">
        <v>2276</v>
      </c>
      <c r="L32" s="3" t="s">
        <v>2276</v>
      </c>
      <c r="M32" s="52" t="s">
        <v>2276</v>
      </c>
      <c r="N32" s="3"/>
    </row>
    <row r="33" spans="1:14" ht="43.5" customHeight="1">
      <c r="A33" s="19" t="s">
        <v>1125</v>
      </c>
      <c r="B33" s="19" t="s">
        <v>1129</v>
      </c>
      <c r="C33" s="23" t="s">
        <v>24</v>
      </c>
      <c r="D33" s="23" t="s">
        <v>83</v>
      </c>
      <c r="E33" s="19" t="s">
        <v>130</v>
      </c>
      <c r="F33" s="23" t="s">
        <v>28</v>
      </c>
      <c r="G33" s="3"/>
      <c r="H33" s="3">
        <v>2</v>
      </c>
      <c r="I33" s="4" t="s">
        <v>1133</v>
      </c>
      <c r="J33" s="3" t="s">
        <v>2276</v>
      </c>
      <c r="K33" s="3" t="s">
        <v>2276</v>
      </c>
      <c r="L33" s="3" t="s">
        <v>2276</v>
      </c>
      <c r="M33" s="52" t="s">
        <v>2276</v>
      </c>
      <c r="N33" s="3"/>
    </row>
    <row r="34" spans="1:14" ht="37" customHeight="1">
      <c r="A34" s="19" t="s">
        <v>1144</v>
      </c>
      <c r="B34" s="19" t="s">
        <v>1148</v>
      </c>
      <c r="C34" s="3" t="s">
        <v>1105</v>
      </c>
      <c r="D34" s="3"/>
      <c r="E34" s="4" t="s">
        <v>2649</v>
      </c>
      <c r="F34" s="19" t="s">
        <v>74</v>
      </c>
      <c r="G34" s="3"/>
      <c r="H34" s="3" t="s">
        <v>2276</v>
      </c>
      <c r="I34" s="3" t="s">
        <v>2276</v>
      </c>
      <c r="J34" s="3">
        <v>0</v>
      </c>
      <c r="K34" s="3" t="s">
        <v>1158</v>
      </c>
      <c r="L34" s="3" t="s">
        <v>2276</v>
      </c>
      <c r="M34" s="52" t="s">
        <v>2276</v>
      </c>
      <c r="N34" s="3"/>
    </row>
    <row r="35" spans="1:14" ht="42" customHeight="1">
      <c r="A35" s="19" t="s">
        <v>1144</v>
      </c>
      <c r="B35" s="19" t="s">
        <v>1150</v>
      </c>
      <c r="C35" s="3" t="s">
        <v>1105</v>
      </c>
      <c r="D35" s="3"/>
      <c r="E35" s="4" t="s">
        <v>863</v>
      </c>
      <c r="F35" s="19" t="s">
        <v>74</v>
      </c>
      <c r="G35" s="3"/>
      <c r="H35" s="3" t="s">
        <v>2276</v>
      </c>
      <c r="I35" s="3" t="s">
        <v>2276</v>
      </c>
      <c r="J35" s="3">
        <v>0</v>
      </c>
      <c r="K35" s="3" t="s">
        <v>1158</v>
      </c>
      <c r="L35" s="3" t="s">
        <v>2276</v>
      </c>
      <c r="M35" s="52" t="s">
        <v>2276</v>
      </c>
      <c r="N35" s="3"/>
    </row>
    <row r="36" spans="1:14" ht="38" customHeight="1">
      <c r="A36" s="19" t="s">
        <v>1144</v>
      </c>
      <c r="B36" s="19" t="s">
        <v>1160</v>
      </c>
      <c r="C36" s="3" t="s">
        <v>1105</v>
      </c>
      <c r="D36" s="3"/>
      <c r="E36" s="4" t="s">
        <v>116</v>
      </c>
      <c r="F36" s="19" t="s">
        <v>74</v>
      </c>
      <c r="G36" s="3"/>
      <c r="H36" s="3" t="s">
        <v>2276</v>
      </c>
      <c r="I36" s="3" t="s">
        <v>2276</v>
      </c>
      <c r="J36" s="3">
        <v>0</v>
      </c>
      <c r="K36" s="3" t="s">
        <v>1158</v>
      </c>
      <c r="L36" s="3" t="s">
        <v>2276</v>
      </c>
      <c r="M36" s="52" t="s">
        <v>2276</v>
      </c>
      <c r="N36" s="3"/>
    </row>
    <row r="37" spans="1:14" ht="64" customHeight="1">
      <c r="A37" s="19" t="s">
        <v>1178</v>
      </c>
      <c r="B37" s="19" t="s">
        <v>1182</v>
      </c>
      <c r="C37" s="11" t="s">
        <v>1105</v>
      </c>
      <c r="D37" s="3" t="s">
        <v>143</v>
      </c>
      <c r="E37" s="19" t="s">
        <v>45</v>
      </c>
      <c r="F37" s="19" t="s">
        <v>74</v>
      </c>
      <c r="G37" s="3"/>
      <c r="H37" s="3">
        <v>0</v>
      </c>
      <c r="I37" s="4" t="s">
        <v>1186</v>
      </c>
      <c r="J37" s="3" t="s">
        <v>2276</v>
      </c>
      <c r="K37" s="3" t="s">
        <v>2276</v>
      </c>
      <c r="L37" s="3">
        <v>1</v>
      </c>
      <c r="M37" s="48" t="s">
        <v>2444</v>
      </c>
      <c r="N37" s="3"/>
    </row>
    <row r="38" spans="1:14" ht="86.5" customHeight="1">
      <c r="A38" s="19" t="s">
        <v>1178</v>
      </c>
      <c r="B38" s="19" t="s">
        <v>1183</v>
      </c>
      <c r="C38" s="11" t="s">
        <v>1105</v>
      </c>
      <c r="D38" s="3" t="s">
        <v>1105</v>
      </c>
      <c r="E38" s="19" t="s">
        <v>3209</v>
      </c>
      <c r="F38" s="19" t="s">
        <v>74</v>
      </c>
      <c r="G38" s="3">
        <v>1998</v>
      </c>
      <c r="H38" s="3" t="s">
        <v>2276</v>
      </c>
      <c r="I38" s="4" t="s">
        <v>2276</v>
      </c>
      <c r="J38" s="3" t="s">
        <v>2276</v>
      </c>
      <c r="K38" s="3" t="s">
        <v>2276</v>
      </c>
      <c r="L38" s="3">
        <v>2</v>
      </c>
      <c r="M38" s="48" t="s">
        <v>2443</v>
      </c>
      <c r="N38" s="3"/>
    </row>
    <row r="39" spans="1:14" ht="85.5" customHeight="1">
      <c r="A39" s="3" t="s">
        <v>1178</v>
      </c>
      <c r="B39" s="3" t="s">
        <v>1184</v>
      </c>
      <c r="C39" s="3" t="s">
        <v>1105</v>
      </c>
      <c r="D39" s="3" t="s">
        <v>1105</v>
      </c>
      <c r="E39" s="19" t="s">
        <v>3209</v>
      </c>
      <c r="F39" s="19" t="s">
        <v>74</v>
      </c>
      <c r="G39" s="3">
        <v>1999</v>
      </c>
      <c r="H39" s="3" t="s">
        <v>2276</v>
      </c>
      <c r="I39" s="3" t="s">
        <v>2276</v>
      </c>
      <c r="J39" s="3" t="s">
        <v>2276</v>
      </c>
      <c r="K39" s="3" t="s">
        <v>2276</v>
      </c>
      <c r="L39" s="3">
        <v>3</v>
      </c>
      <c r="M39" s="48" t="s">
        <v>1190</v>
      </c>
      <c r="N39" s="3"/>
    </row>
    <row r="40" spans="1:14" ht="119.5" customHeight="1">
      <c r="A40" s="19" t="s">
        <v>1232</v>
      </c>
      <c r="B40" s="19" t="s">
        <v>1233</v>
      </c>
      <c r="C40" s="19" t="s">
        <v>24</v>
      </c>
      <c r="D40" s="19" t="s">
        <v>1242</v>
      </c>
      <c r="E40" s="19" t="s">
        <v>5005</v>
      </c>
      <c r="F40" s="3" t="s">
        <v>55</v>
      </c>
      <c r="G40" s="3"/>
      <c r="H40" s="3">
        <v>2</v>
      </c>
      <c r="I40" s="4" t="s">
        <v>2288</v>
      </c>
      <c r="J40" s="3" t="s">
        <v>2276</v>
      </c>
      <c r="K40" s="3" t="s">
        <v>2276</v>
      </c>
      <c r="L40" s="3" t="s">
        <v>2276</v>
      </c>
      <c r="M40" s="52" t="s">
        <v>2276</v>
      </c>
      <c r="N40" s="3"/>
    </row>
    <row r="41" spans="1:14" ht="68" customHeight="1">
      <c r="A41" s="19" t="s">
        <v>1240</v>
      </c>
      <c r="B41" s="19" t="s">
        <v>1241</v>
      </c>
      <c r="C41" s="19" t="s">
        <v>24</v>
      </c>
      <c r="D41" s="19" t="s">
        <v>1242</v>
      </c>
      <c r="E41" s="19" t="s">
        <v>137</v>
      </c>
      <c r="F41" s="3" t="s">
        <v>55</v>
      </c>
      <c r="G41" s="3"/>
      <c r="H41" s="3">
        <v>3</v>
      </c>
      <c r="I41" s="4" t="s">
        <v>2567</v>
      </c>
      <c r="J41" s="3">
        <v>3</v>
      </c>
      <c r="K41" s="4" t="s">
        <v>1247</v>
      </c>
      <c r="L41" s="3" t="s">
        <v>2276</v>
      </c>
      <c r="M41" s="52" t="s">
        <v>2276</v>
      </c>
      <c r="N41" s="3"/>
    </row>
    <row r="42" spans="1:14" ht="55" customHeight="1">
      <c r="A42" s="19" t="s">
        <v>2446</v>
      </c>
      <c r="B42" s="19" t="s">
        <v>2453</v>
      </c>
      <c r="C42" s="11" t="s">
        <v>24</v>
      </c>
      <c r="D42" s="11" t="s">
        <v>27</v>
      </c>
      <c r="E42" s="19" t="s">
        <v>130</v>
      </c>
      <c r="F42" s="19" t="s">
        <v>74</v>
      </c>
      <c r="G42" s="3"/>
      <c r="H42" s="3">
        <v>1</v>
      </c>
      <c r="I42" s="4" t="s">
        <v>2459</v>
      </c>
      <c r="J42" s="3" t="s">
        <v>2276</v>
      </c>
      <c r="K42" s="3" t="s">
        <v>2276</v>
      </c>
      <c r="L42" s="3" t="s">
        <v>2276</v>
      </c>
      <c r="M42" s="52" t="s">
        <v>2276</v>
      </c>
      <c r="N42" s="3"/>
    </row>
    <row r="43" spans="1:14" ht="48.5" customHeight="1">
      <c r="A43" s="19" t="s">
        <v>2449</v>
      </c>
      <c r="B43" s="19" t="s">
        <v>2460</v>
      </c>
      <c r="C43" s="11" t="s">
        <v>24</v>
      </c>
      <c r="D43" s="11" t="s">
        <v>27</v>
      </c>
      <c r="E43" s="19" t="s">
        <v>130</v>
      </c>
      <c r="F43" s="19" t="s">
        <v>74</v>
      </c>
      <c r="G43" s="3"/>
      <c r="H43" s="3">
        <v>1</v>
      </c>
      <c r="I43" s="4" t="s">
        <v>2459</v>
      </c>
      <c r="J43" s="3" t="s">
        <v>2276</v>
      </c>
      <c r="K43" s="3" t="s">
        <v>2276</v>
      </c>
      <c r="L43" s="3" t="s">
        <v>2276</v>
      </c>
      <c r="M43" s="52" t="s">
        <v>2276</v>
      </c>
      <c r="N43" s="3"/>
    </row>
    <row r="44" spans="1:14" ht="42.5" customHeight="1">
      <c r="A44" s="3" t="s">
        <v>2550</v>
      </c>
      <c r="B44" s="11" t="s">
        <v>2554</v>
      </c>
      <c r="C44" s="23" t="s">
        <v>24</v>
      </c>
      <c r="D44" s="11" t="s">
        <v>27</v>
      </c>
      <c r="E44" s="19" t="s">
        <v>130</v>
      </c>
      <c r="F44" s="11" t="s">
        <v>161</v>
      </c>
      <c r="G44" s="3">
        <v>2002</v>
      </c>
      <c r="H44" s="11">
        <v>1</v>
      </c>
      <c r="I44" s="19" t="s">
        <v>2565</v>
      </c>
      <c r="J44" s="3" t="s">
        <v>2276</v>
      </c>
      <c r="K44" s="3" t="s">
        <v>2276</v>
      </c>
      <c r="L44" s="3" t="s">
        <v>2276</v>
      </c>
      <c r="M44" s="52" t="s">
        <v>2276</v>
      </c>
      <c r="N44" s="3"/>
    </row>
    <row r="45" spans="1:14" ht="45" customHeight="1">
      <c r="A45" s="3" t="s">
        <v>2550</v>
      </c>
      <c r="B45" s="11" t="s">
        <v>2555</v>
      </c>
      <c r="C45" s="23" t="s">
        <v>24</v>
      </c>
      <c r="D45" s="11" t="s">
        <v>27</v>
      </c>
      <c r="E45" s="19" t="s">
        <v>397</v>
      </c>
      <c r="F45" s="11" t="s">
        <v>28</v>
      </c>
      <c r="G45" s="3">
        <v>2002</v>
      </c>
      <c r="H45" s="11">
        <v>2</v>
      </c>
      <c r="I45" s="19" t="s">
        <v>2566</v>
      </c>
      <c r="J45" s="3" t="s">
        <v>2276</v>
      </c>
      <c r="K45" s="3" t="s">
        <v>2276</v>
      </c>
      <c r="L45" s="3" t="s">
        <v>2276</v>
      </c>
      <c r="M45" s="52" t="s">
        <v>2276</v>
      </c>
      <c r="N45" s="3"/>
    </row>
    <row r="46" spans="1:14" ht="29">
      <c r="A46" s="3" t="s">
        <v>2557</v>
      </c>
      <c r="B46" s="11" t="s">
        <v>2558</v>
      </c>
      <c r="C46" s="23" t="s">
        <v>24</v>
      </c>
      <c r="D46" s="11" t="s">
        <v>27</v>
      </c>
      <c r="E46" s="19" t="s">
        <v>130</v>
      </c>
      <c r="F46" s="11" t="s">
        <v>161</v>
      </c>
      <c r="G46" s="3">
        <v>1997</v>
      </c>
      <c r="H46" s="11">
        <v>1</v>
      </c>
      <c r="I46" s="19" t="s">
        <v>2565</v>
      </c>
      <c r="J46" s="3" t="s">
        <v>2276</v>
      </c>
      <c r="K46" s="3" t="s">
        <v>2276</v>
      </c>
      <c r="L46" s="3" t="s">
        <v>2276</v>
      </c>
      <c r="M46" s="52" t="s">
        <v>2276</v>
      </c>
      <c r="N46" s="3"/>
    </row>
    <row r="47" spans="1:14" ht="29">
      <c r="A47" s="3" t="s">
        <v>2557</v>
      </c>
      <c r="B47" s="11" t="s">
        <v>2559</v>
      </c>
      <c r="C47" s="23" t="s">
        <v>24</v>
      </c>
      <c r="D47" s="11" t="s">
        <v>27</v>
      </c>
      <c r="E47" s="19" t="s">
        <v>130</v>
      </c>
      <c r="F47" s="11" t="s">
        <v>161</v>
      </c>
      <c r="G47" s="3">
        <v>1992</v>
      </c>
      <c r="H47" s="11">
        <v>1</v>
      </c>
      <c r="I47" s="19" t="s">
        <v>2565</v>
      </c>
      <c r="J47" s="3" t="s">
        <v>2276</v>
      </c>
      <c r="K47" s="3" t="s">
        <v>2276</v>
      </c>
      <c r="L47" s="3" t="s">
        <v>2276</v>
      </c>
      <c r="M47" s="52" t="s">
        <v>2276</v>
      </c>
      <c r="N47" s="3"/>
    </row>
    <row r="48" spans="1:14" ht="29">
      <c r="A48" s="3" t="s">
        <v>2557</v>
      </c>
      <c r="B48" s="11" t="s">
        <v>2560</v>
      </c>
      <c r="C48" s="23" t="s">
        <v>24</v>
      </c>
      <c r="D48" s="11" t="s">
        <v>27</v>
      </c>
      <c r="E48" s="19" t="s">
        <v>130</v>
      </c>
      <c r="F48" s="11" t="s">
        <v>161</v>
      </c>
      <c r="G48" s="3">
        <v>1987</v>
      </c>
      <c r="H48" s="11">
        <v>1</v>
      </c>
      <c r="I48" s="19" t="s">
        <v>2565</v>
      </c>
      <c r="J48" s="3" t="s">
        <v>2276</v>
      </c>
      <c r="K48" s="3" t="s">
        <v>2276</v>
      </c>
      <c r="L48" s="3" t="s">
        <v>2276</v>
      </c>
      <c r="M48" s="52" t="s">
        <v>2276</v>
      </c>
      <c r="N48" s="3"/>
    </row>
    <row r="49" spans="1:14" ht="29">
      <c r="A49" s="3" t="s">
        <v>2557</v>
      </c>
      <c r="B49" s="11" t="s">
        <v>2561</v>
      </c>
      <c r="C49" s="23" t="s">
        <v>24</v>
      </c>
      <c r="D49" s="11" t="s">
        <v>27</v>
      </c>
      <c r="E49" s="19" t="s">
        <v>130</v>
      </c>
      <c r="F49" s="11" t="s">
        <v>161</v>
      </c>
      <c r="G49" s="3">
        <v>1982</v>
      </c>
      <c r="H49" s="11">
        <v>1</v>
      </c>
      <c r="I49" s="19" t="s">
        <v>2565</v>
      </c>
      <c r="J49" s="3" t="s">
        <v>2276</v>
      </c>
      <c r="K49" s="3" t="s">
        <v>2276</v>
      </c>
      <c r="L49" s="3" t="s">
        <v>2276</v>
      </c>
      <c r="M49" s="52" t="s">
        <v>2276</v>
      </c>
      <c r="N49" s="3"/>
    </row>
    <row r="50" spans="1:14" ht="29">
      <c r="A50" s="3" t="s">
        <v>2557</v>
      </c>
      <c r="B50" s="11" t="s">
        <v>2562</v>
      </c>
      <c r="C50" s="23" t="s">
        <v>24</v>
      </c>
      <c r="D50" s="11" t="s">
        <v>27</v>
      </c>
      <c r="E50" s="19" t="s">
        <v>130</v>
      </c>
      <c r="F50" s="11" t="s">
        <v>161</v>
      </c>
      <c r="G50" s="3">
        <v>1977</v>
      </c>
      <c r="H50" s="11">
        <v>1</v>
      </c>
      <c r="I50" s="19" t="s">
        <v>2565</v>
      </c>
      <c r="J50" s="3" t="s">
        <v>2276</v>
      </c>
      <c r="K50" s="3" t="s">
        <v>2276</v>
      </c>
      <c r="L50" s="3" t="s">
        <v>2276</v>
      </c>
      <c r="M50" s="52" t="s">
        <v>2276</v>
      </c>
      <c r="N50" s="3"/>
    </row>
    <row r="51" spans="1:14" ht="51" customHeight="1">
      <c r="A51" s="3" t="s">
        <v>2563</v>
      </c>
      <c r="B51" s="11" t="s">
        <v>2571</v>
      </c>
      <c r="C51" s="23" t="s">
        <v>24</v>
      </c>
      <c r="D51" s="11" t="s">
        <v>27</v>
      </c>
      <c r="E51" s="19" t="s">
        <v>397</v>
      </c>
      <c r="F51" s="11" t="s">
        <v>28</v>
      </c>
      <c r="G51" s="3"/>
      <c r="H51" s="11">
        <v>2</v>
      </c>
      <c r="I51" s="19" t="s">
        <v>2566</v>
      </c>
      <c r="J51" s="3" t="s">
        <v>2276</v>
      </c>
      <c r="K51" s="3" t="s">
        <v>2276</v>
      </c>
      <c r="L51" s="3" t="s">
        <v>2276</v>
      </c>
      <c r="M51" s="52" t="s">
        <v>2276</v>
      </c>
      <c r="N51" s="3"/>
    </row>
    <row r="52" spans="1:14" ht="51" customHeight="1">
      <c r="A52" s="11" t="s">
        <v>2708</v>
      </c>
      <c r="B52" s="11" t="s">
        <v>2720</v>
      </c>
      <c r="C52" s="23" t="s">
        <v>24</v>
      </c>
      <c r="D52" s="11" t="s">
        <v>27</v>
      </c>
      <c r="E52" s="19" t="s">
        <v>130</v>
      </c>
      <c r="F52" s="11" t="s">
        <v>74</v>
      </c>
      <c r="G52" s="3"/>
      <c r="H52" s="11">
        <v>2</v>
      </c>
      <c r="I52" s="19" t="s">
        <v>2740</v>
      </c>
      <c r="J52" s="11" t="s">
        <v>2276</v>
      </c>
      <c r="K52" s="11" t="s">
        <v>2276</v>
      </c>
      <c r="L52" s="11" t="s">
        <v>2276</v>
      </c>
      <c r="M52" s="52"/>
      <c r="N52" s="3"/>
    </row>
    <row r="53" spans="1:14" ht="51" customHeight="1">
      <c r="A53" s="11" t="s">
        <v>2708</v>
      </c>
      <c r="B53" s="11" t="s">
        <v>2727</v>
      </c>
      <c r="C53" s="23" t="s">
        <v>24</v>
      </c>
      <c r="D53" s="11" t="s">
        <v>27</v>
      </c>
      <c r="E53" s="19" t="s">
        <v>130</v>
      </c>
      <c r="F53" s="11" t="s">
        <v>160</v>
      </c>
      <c r="G53" s="3"/>
      <c r="H53" s="11">
        <v>2</v>
      </c>
      <c r="I53" s="19" t="s">
        <v>2740</v>
      </c>
      <c r="J53" s="11" t="s">
        <v>2276</v>
      </c>
      <c r="K53" s="11" t="s">
        <v>2276</v>
      </c>
      <c r="L53" s="11" t="s">
        <v>2276</v>
      </c>
      <c r="M53" s="52"/>
      <c r="N53" s="3"/>
    </row>
    <row r="54" spans="1:14" ht="64" customHeight="1">
      <c r="A54" s="11" t="s">
        <v>2708</v>
      </c>
      <c r="B54" s="11" t="s">
        <v>2743</v>
      </c>
      <c r="C54" s="3" t="s">
        <v>1105</v>
      </c>
      <c r="D54" s="3" t="s">
        <v>1105</v>
      </c>
      <c r="E54" s="9" t="s">
        <v>1105</v>
      </c>
      <c r="F54" s="3" t="s">
        <v>1105</v>
      </c>
      <c r="G54" s="3"/>
      <c r="H54" s="11" t="s">
        <v>2276</v>
      </c>
      <c r="I54" s="11" t="s">
        <v>2276</v>
      </c>
      <c r="J54" s="11" t="s">
        <v>2276</v>
      </c>
      <c r="K54" s="11" t="s">
        <v>2276</v>
      </c>
      <c r="L54" s="3">
        <v>1</v>
      </c>
      <c r="M54" s="48" t="s">
        <v>2744</v>
      </c>
      <c r="N54" s="3"/>
    </row>
    <row r="55" spans="1:14" ht="68.5" customHeight="1">
      <c r="A55" s="11" t="s">
        <v>2709</v>
      </c>
      <c r="B55" s="11" t="s">
        <v>2716</v>
      </c>
      <c r="C55" s="3" t="s">
        <v>1105</v>
      </c>
      <c r="D55" s="3" t="s">
        <v>1105</v>
      </c>
      <c r="E55" s="4" t="s">
        <v>3209</v>
      </c>
      <c r="F55" s="3" t="s">
        <v>1105</v>
      </c>
      <c r="G55" s="3"/>
      <c r="H55" s="11" t="s">
        <v>2276</v>
      </c>
      <c r="I55" s="11" t="s">
        <v>2276</v>
      </c>
      <c r="J55" s="11" t="s">
        <v>2276</v>
      </c>
      <c r="K55" s="11" t="s">
        <v>2276</v>
      </c>
      <c r="L55" s="3">
        <v>2</v>
      </c>
      <c r="M55" s="48" t="s">
        <v>2745</v>
      </c>
      <c r="N55" s="3"/>
    </row>
    <row r="56" spans="1:14" ht="59" customHeight="1">
      <c r="A56" s="11" t="s">
        <v>2881</v>
      </c>
      <c r="B56" s="11" t="s">
        <v>2883</v>
      </c>
      <c r="C56" s="3" t="s">
        <v>24</v>
      </c>
      <c r="D56" s="3" t="s">
        <v>27</v>
      </c>
      <c r="E56" s="4" t="s">
        <v>130</v>
      </c>
      <c r="F56" s="3" t="s">
        <v>160</v>
      </c>
      <c r="G56" s="3"/>
      <c r="H56" s="3">
        <v>2</v>
      </c>
      <c r="I56" s="4" t="s">
        <v>2884</v>
      </c>
      <c r="J56" s="11" t="s">
        <v>2276</v>
      </c>
      <c r="K56" s="11" t="s">
        <v>2276</v>
      </c>
      <c r="L56" s="11" t="s">
        <v>2276</v>
      </c>
      <c r="M56" s="196" t="s">
        <v>2276</v>
      </c>
      <c r="N56" s="3"/>
    </row>
    <row r="57" spans="1:14" ht="67" customHeight="1">
      <c r="A57" s="11" t="s">
        <v>2886</v>
      </c>
      <c r="B57" s="11" t="s">
        <v>2894</v>
      </c>
      <c r="C57" s="3" t="s">
        <v>24</v>
      </c>
      <c r="D57" s="3" t="s">
        <v>1105</v>
      </c>
      <c r="E57" s="4" t="s">
        <v>863</v>
      </c>
      <c r="F57" s="4" t="s">
        <v>2662</v>
      </c>
      <c r="G57" s="3"/>
      <c r="H57" s="3">
        <v>0</v>
      </c>
      <c r="I57" s="60" t="s">
        <v>2920</v>
      </c>
      <c r="J57" s="11" t="s">
        <v>2276</v>
      </c>
      <c r="K57" s="11" t="s">
        <v>2276</v>
      </c>
      <c r="L57" s="3">
        <v>1</v>
      </c>
      <c r="M57" s="48" t="s">
        <v>2919</v>
      </c>
      <c r="N57" s="3"/>
    </row>
    <row r="58" spans="1:14" ht="99.5" customHeight="1">
      <c r="A58" s="11" t="s">
        <v>2886</v>
      </c>
      <c r="B58" s="11" t="s">
        <v>2897</v>
      </c>
      <c r="C58" s="3" t="s">
        <v>24</v>
      </c>
      <c r="D58" s="3" t="s">
        <v>27</v>
      </c>
      <c r="E58" s="4" t="s">
        <v>130</v>
      </c>
      <c r="F58" s="3" t="s">
        <v>160</v>
      </c>
      <c r="G58" s="3"/>
      <c r="H58" s="3">
        <v>1</v>
      </c>
      <c r="I58" s="4" t="s">
        <v>2921</v>
      </c>
      <c r="J58" s="11" t="s">
        <v>2276</v>
      </c>
      <c r="K58" s="11" t="s">
        <v>2276</v>
      </c>
      <c r="L58" s="3">
        <v>1</v>
      </c>
      <c r="M58" s="48" t="s">
        <v>2919</v>
      </c>
      <c r="N58" s="3"/>
    </row>
    <row r="59" spans="1:14" ht="62" customHeight="1">
      <c r="A59" s="11" t="s">
        <v>2887</v>
      </c>
      <c r="B59" s="11" t="s">
        <v>2895</v>
      </c>
      <c r="C59" s="3" t="s">
        <v>24</v>
      </c>
      <c r="D59" s="3" t="s">
        <v>1105</v>
      </c>
      <c r="E59" s="4" t="s">
        <v>863</v>
      </c>
      <c r="F59" s="4" t="s">
        <v>2662</v>
      </c>
      <c r="G59" s="3"/>
      <c r="H59" s="3">
        <v>0</v>
      </c>
      <c r="I59" s="60" t="s">
        <v>2920</v>
      </c>
      <c r="J59" s="11" t="s">
        <v>2276</v>
      </c>
      <c r="K59" s="11" t="s">
        <v>2276</v>
      </c>
      <c r="L59" s="3">
        <v>1</v>
      </c>
      <c r="M59" s="48" t="s">
        <v>2919</v>
      </c>
      <c r="N59" s="3"/>
    </row>
    <row r="60" spans="1:14" ht="76.5" customHeight="1">
      <c r="A60" s="11" t="s">
        <v>2887</v>
      </c>
      <c r="B60" s="11" t="s">
        <v>2907</v>
      </c>
      <c r="C60" s="3" t="s">
        <v>24</v>
      </c>
      <c r="D60" s="3" t="s">
        <v>27</v>
      </c>
      <c r="E60" s="4" t="s">
        <v>130</v>
      </c>
      <c r="F60" s="3" t="s">
        <v>160</v>
      </c>
      <c r="G60" s="3"/>
      <c r="H60" s="3">
        <v>1</v>
      </c>
      <c r="I60" s="4" t="s">
        <v>2921</v>
      </c>
      <c r="J60" s="11" t="s">
        <v>2276</v>
      </c>
      <c r="K60" s="11" t="s">
        <v>2276</v>
      </c>
      <c r="L60" s="3">
        <v>1</v>
      </c>
      <c r="M60" s="48" t="s">
        <v>2919</v>
      </c>
      <c r="N60" s="3"/>
    </row>
    <row r="61" spans="1:14" ht="68.5" customHeight="1">
      <c r="A61" s="11" t="s">
        <v>2888</v>
      </c>
      <c r="B61" s="11" t="s">
        <v>2896</v>
      </c>
      <c r="C61" s="3" t="s">
        <v>24</v>
      </c>
      <c r="D61" s="3" t="s">
        <v>1105</v>
      </c>
      <c r="E61" s="4" t="s">
        <v>863</v>
      </c>
      <c r="F61" s="4" t="s">
        <v>2662</v>
      </c>
      <c r="G61" s="3"/>
      <c r="H61" s="3">
        <v>0</v>
      </c>
      <c r="I61" s="60" t="s">
        <v>2920</v>
      </c>
      <c r="J61" s="11" t="s">
        <v>2276</v>
      </c>
      <c r="K61" s="11" t="s">
        <v>2276</v>
      </c>
      <c r="L61" s="3">
        <v>1</v>
      </c>
      <c r="M61" s="48" t="s">
        <v>2919</v>
      </c>
      <c r="N61" s="3"/>
    </row>
    <row r="62" spans="1:14" ht="95.5" customHeight="1">
      <c r="A62" s="11" t="s">
        <v>2888</v>
      </c>
      <c r="B62" s="11" t="s">
        <v>2913</v>
      </c>
      <c r="C62" s="3" t="s">
        <v>24</v>
      </c>
      <c r="D62" s="3" t="s">
        <v>27</v>
      </c>
      <c r="E62" s="4" t="s">
        <v>130</v>
      </c>
      <c r="F62" s="3" t="s">
        <v>160</v>
      </c>
      <c r="G62" s="3"/>
      <c r="H62" s="3">
        <v>1</v>
      </c>
      <c r="I62" s="4" t="s">
        <v>2921</v>
      </c>
      <c r="J62" s="11" t="s">
        <v>2276</v>
      </c>
      <c r="K62" s="11" t="s">
        <v>2276</v>
      </c>
      <c r="L62" s="3">
        <v>1</v>
      </c>
      <c r="M62" s="48" t="s">
        <v>2919</v>
      </c>
      <c r="N62" s="3"/>
    </row>
    <row r="63" spans="1:14" ht="116.5" customHeight="1">
      <c r="A63" s="11" t="s">
        <v>2924</v>
      </c>
      <c r="B63" s="11" t="s">
        <v>2928</v>
      </c>
      <c r="C63" s="3" t="s">
        <v>24</v>
      </c>
      <c r="D63" s="3" t="s">
        <v>144</v>
      </c>
      <c r="E63" s="4" t="s">
        <v>137</v>
      </c>
      <c r="F63" s="4" t="s">
        <v>2662</v>
      </c>
      <c r="G63" s="3"/>
      <c r="H63" s="3">
        <v>3</v>
      </c>
      <c r="I63" s="4" t="s">
        <v>2930</v>
      </c>
      <c r="J63" s="11" t="s">
        <v>2276</v>
      </c>
      <c r="K63" s="11" t="s">
        <v>2276</v>
      </c>
      <c r="L63" s="3">
        <v>2</v>
      </c>
      <c r="M63" s="48" t="s">
        <v>2930</v>
      </c>
      <c r="N63" s="3"/>
    </row>
    <row r="64" spans="1:14" ht="95.5" customHeight="1">
      <c r="A64" s="11" t="s">
        <v>2954</v>
      </c>
      <c r="B64" s="11" t="s">
        <v>2958</v>
      </c>
      <c r="C64" s="3" t="s">
        <v>24</v>
      </c>
      <c r="D64" s="3" t="s">
        <v>27</v>
      </c>
      <c r="E64" s="4" t="s">
        <v>130</v>
      </c>
      <c r="F64" s="3" t="s">
        <v>160</v>
      </c>
      <c r="G64" s="3"/>
      <c r="H64" s="11">
        <v>1</v>
      </c>
      <c r="I64" s="4" t="s">
        <v>2984</v>
      </c>
      <c r="J64" s="3">
        <v>2</v>
      </c>
      <c r="K64" s="4" t="s">
        <v>2983</v>
      </c>
      <c r="L64" s="11" t="s">
        <v>2276</v>
      </c>
      <c r="M64" s="196" t="s">
        <v>2276</v>
      </c>
      <c r="N64" s="3"/>
    </row>
    <row r="65" spans="1:14" ht="66.5" customHeight="1">
      <c r="A65" s="11" t="s">
        <v>2954</v>
      </c>
      <c r="B65" s="11" t="s">
        <v>2960</v>
      </c>
      <c r="C65" s="23" t="s">
        <v>24</v>
      </c>
      <c r="D65" s="3" t="s">
        <v>1131</v>
      </c>
      <c r="E65" s="4" t="s">
        <v>116</v>
      </c>
      <c r="F65" s="4" t="s">
        <v>2662</v>
      </c>
      <c r="G65" s="3"/>
      <c r="H65" s="11">
        <v>2</v>
      </c>
      <c r="I65" s="19" t="s">
        <v>2980</v>
      </c>
      <c r="J65" s="3">
        <v>2</v>
      </c>
      <c r="K65" s="4" t="s">
        <v>2983</v>
      </c>
      <c r="L65" s="11" t="s">
        <v>2276</v>
      </c>
      <c r="M65" s="196" t="s">
        <v>2276</v>
      </c>
      <c r="N65" s="3"/>
    </row>
    <row r="66" spans="1:14" ht="63" customHeight="1">
      <c r="A66" s="11" t="s">
        <v>2954</v>
      </c>
      <c r="B66" s="11" t="s">
        <v>2962</v>
      </c>
      <c r="C66" s="23" t="s">
        <v>24</v>
      </c>
      <c r="D66" s="3" t="s">
        <v>1105</v>
      </c>
      <c r="E66" s="4" t="s">
        <v>116</v>
      </c>
      <c r="F66" s="4" t="s">
        <v>2662</v>
      </c>
      <c r="G66" s="3"/>
      <c r="H66" s="11" t="s">
        <v>2276</v>
      </c>
      <c r="I66" s="11" t="s">
        <v>2276</v>
      </c>
      <c r="J66" s="3">
        <v>2</v>
      </c>
      <c r="K66" s="4" t="s">
        <v>2983</v>
      </c>
      <c r="L66" s="11" t="s">
        <v>2276</v>
      </c>
      <c r="M66" s="196" t="s">
        <v>2276</v>
      </c>
      <c r="N66" s="3"/>
    </row>
    <row r="67" spans="1:14" ht="31.5" customHeight="1">
      <c r="A67" s="11" t="s">
        <v>2988</v>
      </c>
      <c r="B67" s="11" t="s">
        <v>2989</v>
      </c>
      <c r="C67" s="23" t="s">
        <v>24</v>
      </c>
      <c r="D67" s="3" t="s">
        <v>27</v>
      </c>
      <c r="E67" s="4" t="s">
        <v>130</v>
      </c>
      <c r="F67" s="4" t="s">
        <v>2662</v>
      </c>
      <c r="G67" s="3"/>
      <c r="H67" s="3">
        <v>1</v>
      </c>
      <c r="I67" s="4" t="s">
        <v>3012</v>
      </c>
      <c r="J67" s="3">
        <v>2</v>
      </c>
      <c r="K67" s="4" t="s">
        <v>3013</v>
      </c>
      <c r="L67" s="11" t="s">
        <v>2276</v>
      </c>
      <c r="M67" s="196" t="s">
        <v>2276</v>
      </c>
      <c r="N67" s="3"/>
    </row>
    <row r="68" spans="1:14" ht="41" customHeight="1">
      <c r="A68" s="11" t="s">
        <v>2988</v>
      </c>
      <c r="B68" s="11" t="s">
        <v>2990</v>
      </c>
      <c r="C68" s="23" t="s">
        <v>24</v>
      </c>
      <c r="D68" s="3" t="s">
        <v>27</v>
      </c>
      <c r="E68" s="4" t="s">
        <v>130</v>
      </c>
      <c r="F68" s="4" t="s">
        <v>160</v>
      </c>
      <c r="G68" s="3"/>
      <c r="H68" s="3">
        <v>1</v>
      </c>
      <c r="I68" s="4" t="s">
        <v>3012</v>
      </c>
      <c r="J68" s="3">
        <v>2</v>
      </c>
      <c r="K68" s="4" t="s">
        <v>3013</v>
      </c>
      <c r="L68" s="11" t="s">
        <v>2276</v>
      </c>
      <c r="M68" s="196" t="s">
        <v>2276</v>
      </c>
      <c r="N68" s="3"/>
    </row>
    <row r="69" spans="1:14" ht="45" customHeight="1">
      <c r="A69" s="11" t="s">
        <v>2988</v>
      </c>
      <c r="B69" s="11" t="s">
        <v>2991</v>
      </c>
      <c r="C69" s="23" t="s">
        <v>24</v>
      </c>
      <c r="D69" s="3" t="s">
        <v>61</v>
      </c>
      <c r="E69" s="4" t="s">
        <v>2649</v>
      </c>
      <c r="F69" s="4" t="s">
        <v>2662</v>
      </c>
      <c r="G69" s="3"/>
      <c r="H69" s="11" t="s">
        <v>2276</v>
      </c>
      <c r="I69" s="11" t="s">
        <v>2276</v>
      </c>
      <c r="J69" s="3">
        <v>2</v>
      </c>
      <c r="K69" s="4" t="s">
        <v>3016</v>
      </c>
      <c r="L69" s="11" t="s">
        <v>2276</v>
      </c>
      <c r="M69" s="196" t="s">
        <v>2276</v>
      </c>
      <c r="N69" s="3"/>
    </row>
    <row r="70" spans="1:14" ht="44" customHeight="1">
      <c r="A70" s="11" t="s">
        <v>2995</v>
      </c>
      <c r="B70" s="11" t="s">
        <v>2996</v>
      </c>
      <c r="C70" s="23" t="s">
        <v>24</v>
      </c>
      <c r="D70" s="3" t="s">
        <v>27</v>
      </c>
      <c r="E70" s="4" t="s">
        <v>130</v>
      </c>
      <c r="F70" s="3" t="s">
        <v>160</v>
      </c>
      <c r="G70" s="3"/>
      <c r="H70" s="3">
        <v>1</v>
      </c>
      <c r="I70" s="4" t="s">
        <v>3029</v>
      </c>
      <c r="J70" s="3">
        <v>1</v>
      </c>
      <c r="K70" s="4" t="s">
        <v>3034</v>
      </c>
      <c r="L70" s="11" t="s">
        <v>2276</v>
      </c>
      <c r="M70" s="196" t="s">
        <v>2276</v>
      </c>
      <c r="N70" s="3"/>
    </row>
    <row r="71" spans="1:14" ht="50.5" customHeight="1">
      <c r="A71" s="11" t="s">
        <v>2995</v>
      </c>
      <c r="B71" s="11" t="s">
        <v>3021</v>
      </c>
      <c r="C71" s="23" t="s">
        <v>24</v>
      </c>
      <c r="D71" s="3" t="s">
        <v>2660</v>
      </c>
      <c r="E71" s="4" t="s">
        <v>45</v>
      </c>
      <c r="F71" s="3" t="s">
        <v>29</v>
      </c>
      <c r="G71" s="3"/>
      <c r="H71" s="3">
        <v>0</v>
      </c>
      <c r="I71" s="4" t="s">
        <v>3033</v>
      </c>
      <c r="J71" s="3">
        <v>1</v>
      </c>
      <c r="K71" s="4" t="s">
        <v>3034</v>
      </c>
      <c r="L71" s="11" t="s">
        <v>2276</v>
      </c>
      <c r="M71" s="196" t="s">
        <v>2276</v>
      </c>
      <c r="N71" s="3"/>
    </row>
    <row r="72" spans="1:14" ht="34.5" customHeight="1">
      <c r="A72" s="11" t="s">
        <v>3044</v>
      </c>
      <c r="B72" s="11" t="s">
        <v>3049</v>
      </c>
      <c r="C72" s="23" t="s">
        <v>24</v>
      </c>
      <c r="D72" s="3" t="s">
        <v>2660</v>
      </c>
      <c r="E72" s="4" t="s">
        <v>45</v>
      </c>
      <c r="F72" s="4" t="s">
        <v>2662</v>
      </c>
      <c r="G72" s="3"/>
      <c r="H72" s="3">
        <v>1</v>
      </c>
      <c r="I72" s="4" t="s">
        <v>3095</v>
      </c>
      <c r="J72" s="3">
        <v>2</v>
      </c>
      <c r="K72" s="4" t="s">
        <v>3096</v>
      </c>
      <c r="L72" s="11" t="s">
        <v>2276</v>
      </c>
      <c r="M72" s="196" t="s">
        <v>2276</v>
      </c>
      <c r="N72" s="3"/>
    </row>
    <row r="73" spans="1:14" ht="34" customHeight="1">
      <c r="A73" s="11" t="s">
        <v>3044</v>
      </c>
      <c r="B73" s="11" t="s">
        <v>3050</v>
      </c>
      <c r="C73" s="23" t="s">
        <v>24</v>
      </c>
      <c r="D73" s="3" t="s">
        <v>2660</v>
      </c>
      <c r="E73" s="4" t="s">
        <v>45</v>
      </c>
      <c r="F73" s="4" t="s">
        <v>29</v>
      </c>
      <c r="G73" s="3"/>
      <c r="H73" s="3">
        <v>1</v>
      </c>
      <c r="I73" s="4" t="s">
        <v>3095</v>
      </c>
      <c r="J73" s="3">
        <v>2</v>
      </c>
      <c r="K73" s="4" t="s">
        <v>3096</v>
      </c>
      <c r="L73" s="11" t="s">
        <v>2276</v>
      </c>
      <c r="M73" s="196" t="s">
        <v>2276</v>
      </c>
      <c r="N73" s="3"/>
    </row>
    <row r="74" spans="1:14" ht="29">
      <c r="A74" s="11" t="s">
        <v>3044</v>
      </c>
      <c r="B74" s="11" t="s">
        <v>3051</v>
      </c>
      <c r="C74" s="23" t="s">
        <v>24</v>
      </c>
      <c r="D74" s="3" t="s">
        <v>2660</v>
      </c>
      <c r="E74" s="4" t="s">
        <v>45</v>
      </c>
      <c r="F74" s="4" t="s">
        <v>55</v>
      </c>
      <c r="G74" s="3"/>
      <c r="H74" s="3">
        <v>1</v>
      </c>
      <c r="I74" s="4" t="s">
        <v>3095</v>
      </c>
      <c r="J74" s="3">
        <v>2</v>
      </c>
      <c r="K74" s="4" t="s">
        <v>3096</v>
      </c>
      <c r="L74" s="11" t="s">
        <v>2276</v>
      </c>
      <c r="M74" s="196" t="s">
        <v>2276</v>
      </c>
      <c r="N74" s="3"/>
    </row>
    <row r="75" spans="1:14" ht="29">
      <c r="A75" s="11" t="s">
        <v>3045</v>
      </c>
      <c r="B75" s="11" t="s">
        <v>3065</v>
      </c>
      <c r="C75" s="23" t="s">
        <v>24</v>
      </c>
      <c r="D75" s="3" t="s">
        <v>2660</v>
      </c>
      <c r="E75" s="4" t="s">
        <v>45</v>
      </c>
      <c r="F75" s="4" t="s">
        <v>2662</v>
      </c>
      <c r="G75" s="3"/>
      <c r="H75" s="3">
        <v>1</v>
      </c>
      <c r="I75" s="4" t="s">
        <v>3095</v>
      </c>
      <c r="J75" s="3">
        <v>2</v>
      </c>
      <c r="K75" s="4" t="s">
        <v>3096</v>
      </c>
      <c r="L75" s="11" t="s">
        <v>2276</v>
      </c>
      <c r="M75" s="196" t="s">
        <v>2276</v>
      </c>
      <c r="N75" s="3"/>
    </row>
    <row r="76" spans="1:14" ht="29">
      <c r="A76" s="11" t="s">
        <v>3045</v>
      </c>
      <c r="B76" s="11" t="s">
        <v>3066</v>
      </c>
      <c r="C76" s="23" t="s">
        <v>24</v>
      </c>
      <c r="D76" s="3" t="s">
        <v>2660</v>
      </c>
      <c r="E76" s="4" t="s">
        <v>45</v>
      </c>
      <c r="F76" s="4" t="s">
        <v>29</v>
      </c>
      <c r="G76" s="3"/>
      <c r="H76" s="3">
        <v>1</v>
      </c>
      <c r="I76" s="4" t="s">
        <v>3095</v>
      </c>
      <c r="J76" s="3">
        <v>2</v>
      </c>
      <c r="K76" s="4" t="s">
        <v>3096</v>
      </c>
      <c r="L76" s="11" t="s">
        <v>2276</v>
      </c>
      <c r="M76" s="196" t="s">
        <v>2276</v>
      </c>
      <c r="N76" s="3"/>
    </row>
    <row r="77" spans="1:14" ht="44.5" customHeight="1">
      <c r="A77" s="11" t="s">
        <v>3045</v>
      </c>
      <c r="B77" s="11" t="s">
        <v>3067</v>
      </c>
      <c r="C77" s="23" t="s">
        <v>24</v>
      </c>
      <c r="D77" s="3" t="s">
        <v>2660</v>
      </c>
      <c r="E77" s="4" t="s">
        <v>45</v>
      </c>
      <c r="F77" s="4" t="s">
        <v>55</v>
      </c>
      <c r="G77" s="3"/>
      <c r="H77" s="3">
        <v>1</v>
      </c>
      <c r="I77" s="4" t="s">
        <v>3095</v>
      </c>
      <c r="J77" s="3">
        <v>2</v>
      </c>
      <c r="K77" s="4" t="s">
        <v>3096</v>
      </c>
      <c r="L77" s="11" t="s">
        <v>2276</v>
      </c>
      <c r="M77" s="196" t="s">
        <v>2276</v>
      </c>
      <c r="N77" s="3"/>
    </row>
    <row r="78" spans="1:14" ht="80" customHeight="1">
      <c r="A78" s="11" t="s">
        <v>3129</v>
      </c>
      <c r="B78" s="11" t="s">
        <v>3138</v>
      </c>
      <c r="C78" s="3" t="s">
        <v>24</v>
      </c>
      <c r="D78" s="3" t="s">
        <v>27</v>
      </c>
      <c r="E78" s="4" t="s">
        <v>130</v>
      </c>
      <c r="F78" s="3" t="s">
        <v>160</v>
      </c>
      <c r="G78" s="3"/>
      <c r="H78" s="3">
        <v>2</v>
      </c>
      <c r="I78" s="4" t="s">
        <v>3204</v>
      </c>
      <c r="J78" s="3" t="s">
        <v>2276</v>
      </c>
      <c r="K78" s="3" t="s">
        <v>2276</v>
      </c>
      <c r="L78" s="3">
        <v>0</v>
      </c>
      <c r="M78" s="48" t="s">
        <v>3214</v>
      </c>
      <c r="N78" s="3"/>
    </row>
    <row r="79" spans="1:14" ht="79" customHeight="1">
      <c r="A79" s="11" t="s">
        <v>3129</v>
      </c>
      <c r="B79" s="11" t="s">
        <v>3147</v>
      </c>
      <c r="C79" s="3" t="s">
        <v>24</v>
      </c>
      <c r="D79" s="3" t="s">
        <v>2660</v>
      </c>
      <c r="E79" s="4" t="s">
        <v>130</v>
      </c>
      <c r="F79" s="4" t="s">
        <v>2662</v>
      </c>
      <c r="G79" s="3"/>
      <c r="H79" s="3">
        <v>2</v>
      </c>
      <c r="I79" s="4" t="s">
        <v>3204</v>
      </c>
      <c r="J79" s="3">
        <v>2</v>
      </c>
      <c r="K79" s="4" t="s">
        <v>3205</v>
      </c>
      <c r="L79" s="3">
        <v>0</v>
      </c>
      <c r="M79" s="48" t="s">
        <v>3214</v>
      </c>
      <c r="N79" s="3"/>
    </row>
    <row r="80" spans="1:14" ht="79" customHeight="1">
      <c r="A80" s="11" t="s">
        <v>3129</v>
      </c>
      <c r="B80" s="11" t="s">
        <v>3148</v>
      </c>
      <c r="C80" s="3" t="s">
        <v>24</v>
      </c>
      <c r="D80" s="3" t="s">
        <v>1105</v>
      </c>
      <c r="E80" s="4" t="s">
        <v>3209</v>
      </c>
      <c r="F80" s="4" t="s">
        <v>2276</v>
      </c>
      <c r="G80" s="3"/>
      <c r="H80" s="3" t="s">
        <v>2276</v>
      </c>
      <c r="I80" s="3" t="s">
        <v>2276</v>
      </c>
      <c r="J80" s="3" t="s">
        <v>2276</v>
      </c>
      <c r="K80" s="3" t="s">
        <v>2276</v>
      </c>
      <c r="L80" s="3">
        <v>0</v>
      </c>
      <c r="M80" s="196" t="s">
        <v>3213</v>
      </c>
      <c r="N80" s="3"/>
    </row>
    <row r="81" spans="1:14" ht="83" customHeight="1">
      <c r="A81" s="11" t="s">
        <v>3130</v>
      </c>
      <c r="B81" s="11" t="s">
        <v>3139</v>
      </c>
      <c r="C81" s="3" t="s">
        <v>24</v>
      </c>
      <c r="D81" s="3" t="s">
        <v>27</v>
      </c>
      <c r="E81" s="4" t="s">
        <v>130</v>
      </c>
      <c r="F81" s="3" t="s">
        <v>160</v>
      </c>
      <c r="G81" s="3"/>
      <c r="H81" s="3">
        <v>2</v>
      </c>
      <c r="I81" s="4" t="s">
        <v>3204</v>
      </c>
      <c r="J81" s="3" t="s">
        <v>2276</v>
      </c>
      <c r="K81" s="3" t="s">
        <v>2276</v>
      </c>
      <c r="L81" s="3">
        <v>0</v>
      </c>
      <c r="M81" s="48" t="s">
        <v>3214</v>
      </c>
      <c r="N81" s="3"/>
    </row>
    <row r="82" spans="1:14" ht="85" customHeight="1">
      <c r="A82" s="11" t="s">
        <v>3130</v>
      </c>
      <c r="B82" s="11" t="s">
        <v>3164</v>
      </c>
      <c r="C82" s="3" t="s">
        <v>24</v>
      </c>
      <c r="D82" s="3" t="s">
        <v>2660</v>
      </c>
      <c r="E82" s="4" t="s">
        <v>130</v>
      </c>
      <c r="F82" s="4" t="s">
        <v>2662</v>
      </c>
      <c r="G82" s="3"/>
      <c r="H82" s="3">
        <v>2</v>
      </c>
      <c r="I82" s="4" t="s">
        <v>3204</v>
      </c>
      <c r="J82" s="3">
        <v>2</v>
      </c>
      <c r="K82" s="4" t="s">
        <v>3205</v>
      </c>
      <c r="L82" s="3">
        <v>0</v>
      </c>
      <c r="M82" s="48" t="s">
        <v>3214</v>
      </c>
      <c r="N82" s="3"/>
    </row>
    <row r="83" spans="1:14" ht="85" customHeight="1">
      <c r="A83" s="11" t="s">
        <v>3130</v>
      </c>
      <c r="B83" s="11" t="s">
        <v>3165</v>
      </c>
      <c r="C83" s="3" t="s">
        <v>24</v>
      </c>
      <c r="D83" s="3" t="s">
        <v>1105</v>
      </c>
      <c r="E83" s="4" t="s">
        <v>3209</v>
      </c>
      <c r="F83" s="4" t="s">
        <v>2276</v>
      </c>
      <c r="G83" s="3"/>
      <c r="H83" s="3" t="s">
        <v>2276</v>
      </c>
      <c r="I83" s="3" t="s">
        <v>2276</v>
      </c>
      <c r="J83" s="3" t="s">
        <v>2276</v>
      </c>
      <c r="K83" s="3" t="s">
        <v>2276</v>
      </c>
      <c r="L83" s="3">
        <v>0</v>
      </c>
      <c r="M83" s="196" t="s">
        <v>3213</v>
      </c>
      <c r="N83" s="3"/>
    </row>
    <row r="84" spans="1:14" ht="82" customHeight="1">
      <c r="A84" s="11" t="s">
        <v>3131</v>
      </c>
      <c r="B84" s="11" t="s">
        <v>3140</v>
      </c>
      <c r="C84" s="3" t="s">
        <v>24</v>
      </c>
      <c r="D84" s="3" t="s">
        <v>27</v>
      </c>
      <c r="E84" s="4" t="s">
        <v>130</v>
      </c>
      <c r="F84" s="3" t="s">
        <v>160</v>
      </c>
      <c r="G84" s="3"/>
      <c r="H84" s="3">
        <v>2</v>
      </c>
      <c r="I84" s="4" t="s">
        <v>3204</v>
      </c>
      <c r="J84" s="3" t="s">
        <v>2276</v>
      </c>
      <c r="K84" s="3" t="s">
        <v>2276</v>
      </c>
      <c r="L84" s="3">
        <v>0</v>
      </c>
      <c r="M84" s="197" t="s">
        <v>3215</v>
      </c>
      <c r="N84" s="3"/>
    </row>
    <row r="85" spans="1:14" ht="87.5" customHeight="1">
      <c r="A85" s="11" t="s">
        <v>3131</v>
      </c>
      <c r="B85" s="11" t="s">
        <v>3143</v>
      </c>
      <c r="C85" s="3" t="s">
        <v>1105</v>
      </c>
      <c r="D85" s="3" t="s">
        <v>1105</v>
      </c>
      <c r="E85" s="4" t="s">
        <v>3209</v>
      </c>
      <c r="F85" s="3" t="s">
        <v>2276</v>
      </c>
      <c r="G85" s="3"/>
      <c r="H85" s="3" t="s">
        <v>2276</v>
      </c>
      <c r="I85" s="3" t="s">
        <v>2276</v>
      </c>
      <c r="J85" s="3">
        <v>2</v>
      </c>
      <c r="K85" s="4" t="s">
        <v>3210</v>
      </c>
      <c r="L85" s="3">
        <v>2</v>
      </c>
      <c r="M85" s="48" t="s">
        <v>3211</v>
      </c>
      <c r="N85" s="3"/>
    </row>
    <row r="86" spans="1:14" ht="115" customHeight="1">
      <c r="A86" s="11" t="s">
        <v>3132</v>
      </c>
      <c r="B86" s="11" t="s">
        <v>3141</v>
      </c>
      <c r="C86" s="3" t="s">
        <v>24</v>
      </c>
      <c r="D86" s="3" t="s">
        <v>1242</v>
      </c>
      <c r="E86" s="4" t="s">
        <v>116</v>
      </c>
      <c r="F86" s="4" t="s">
        <v>2662</v>
      </c>
      <c r="G86" s="3"/>
      <c r="H86" s="3">
        <v>2</v>
      </c>
      <c r="I86" s="4" t="s">
        <v>3206</v>
      </c>
      <c r="J86" s="3">
        <v>2</v>
      </c>
      <c r="K86" s="4" t="s">
        <v>3206</v>
      </c>
      <c r="L86" s="3" t="s">
        <v>2276</v>
      </c>
      <c r="M86" s="52" t="s">
        <v>2276</v>
      </c>
      <c r="N86" s="3"/>
    </row>
    <row r="87" spans="1:14" ht="114" customHeight="1">
      <c r="A87" s="11" t="s">
        <v>3132</v>
      </c>
      <c r="B87" s="11" t="s">
        <v>3191</v>
      </c>
      <c r="C87" s="3" t="s">
        <v>24</v>
      </c>
      <c r="D87" s="3" t="s">
        <v>27</v>
      </c>
      <c r="E87" s="4" t="s">
        <v>130</v>
      </c>
      <c r="F87" s="3" t="s">
        <v>160</v>
      </c>
      <c r="G87" s="3"/>
      <c r="H87" s="3">
        <v>2</v>
      </c>
      <c r="I87" s="4" t="s">
        <v>3212</v>
      </c>
      <c r="J87" s="3" t="s">
        <v>2276</v>
      </c>
      <c r="K87" s="3" t="s">
        <v>2276</v>
      </c>
      <c r="L87" s="3">
        <v>2</v>
      </c>
      <c r="M87" s="48" t="s">
        <v>3207</v>
      </c>
      <c r="N87" s="3"/>
    </row>
    <row r="88" spans="1:14" ht="70.5" customHeight="1">
      <c r="A88" s="11" t="s">
        <v>3132</v>
      </c>
      <c r="B88" s="11" t="s">
        <v>3192</v>
      </c>
      <c r="C88" s="3" t="s">
        <v>24</v>
      </c>
      <c r="D88" s="3" t="s">
        <v>1105</v>
      </c>
      <c r="E88" s="4" t="s">
        <v>3209</v>
      </c>
      <c r="F88" s="3" t="s">
        <v>2276</v>
      </c>
      <c r="G88" s="3"/>
      <c r="H88" s="3" t="s">
        <v>2276</v>
      </c>
      <c r="I88" s="3" t="s">
        <v>2276</v>
      </c>
      <c r="J88" s="3" t="s">
        <v>2276</v>
      </c>
      <c r="K88" s="3" t="s">
        <v>2276</v>
      </c>
      <c r="L88" s="3">
        <v>2</v>
      </c>
      <c r="M88" s="48" t="s">
        <v>3208</v>
      </c>
      <c r="N88" s="3"/>
    </row>
    <row r="89" spans="1:14" ht="142.5" customHeight="1">
      <c r="A89" s="11" t="s">
        <v>3286</v>
      </c>
      <c r="B89" s="11" t="s">
        <v>3291</v>
      </c>
      <c r="C89" s="3" t="s">
        <v>24</v>
      </c>
      <c r="D89" s="3" t="s">
        <v>1245</v>
      </c>
      <c r="E89" s="4" t="s">
        <v>116</v>
      </c>
      <c r="F89" s="3" t="s">
        <v>55</v>
      </c>
      <c r="G89" s="3"/>
      <c r="H89" s="3">
        <v>2</v>
      </c>
      <c r="I89" s="4" t="s">
        <v>3295</v>
      </c>
      <c r="J89" s="3">
        <v>2</v>
      </c>
      <c r="K89" s="4" t="s">
        <v>3295</v>
      </c>
      <c r="L89" s="3" t="s">
        <v>2276</v>
      </c>
      <c r="M89" s="52" t="s">
        <v>2276</v>
      </c>
      <c r="N89" s="3"/>
    </row>
    <row r="90" spans="1:14" ht="141.5" customHeight="1">
      <c r="A90" s="11" t="s">
        <v>3286</v>
      </c>
      <c r="B90" s="11" t="s">
        <v>3293</v>
      </c>
      <c r="C90" s="3" t="s">
        <v>24</v>
      </c>
      <c r="D90" s="3" t="s">
        <v>1245</v>
      </c>
      <c r="E90" s="4" t="s">
        <v>116</v>
      </c>
      <c r="F90" s="4" t="s">
        <v>2662</v>
      </c>
      <c r="G90" s="3"/>
      <c r="H90" s="3">
        <v>2</v>
      </c>
      <c r="I90" s="4" t="s">
        <v>3295</v>
      </c>
      <c r="J90" s="3">
        <v>2</v>
      </c>
      <c r="K90" s="4" t="s">
        <v>3295</v>
      </c>
      <c r="L90" s="3" t="s">
        <v>2276</v>
      </c>
      <c r="M90" s="52" t="s">
        <v>2276</v>
      </c>
      <c r="N90" s="3"/>
    </row>
    <row r="91" spans="1:14" ht="70" customHeight="1">
      <c r="A91" s="23" t="s">
        <v>3297</v>
      </c>
      <c r="B91" s="23" t="s">
        <v>3308</v>
      </c>
      <c r="C91" s="3" t="s">
        <v>24</v>
      </c>
      <c r="D91" s="3" t="s">
        <v>2660</v>
      </c>
      <c r="E91" s="4" t="s">
        <v>5005</v>
      </c>
      <c r="F91" s="3" t="s">
        <v>55</v>
      </c>
      <c r="G91" s="3"/>
      <c r="H91" s="3">
        <v>0</v>
      </c>
      <c r="I91" s="4" t="s">
        <v>3330</v>
      </c>
      <c r="J91" s="3">
        <v>1</v>
      </c>
      <c r="K91" s="3" t="s">
        <v>3331</v>
      </c>
      <c r="L91" s="3" t="s">
        <v>2276</v>
      </c>
      <c r="M91" s="52" t="s">
        <v>2276</v>
      </c>
      <c r="N91" s="3"/>
    </row>
    <row r="92" spans="1:14" ht="70" customHeight="1">
      <c r="A92" s="23" t="s">
        <v>3297</v>
      </c>
      <c r="B92" s="23" t="s">
        <v>3309</v>
      </c>
      <c r="C92" s="3" t="s">
        <v>24</v>
      </c>
      <c r="D92" s="3" t="s">
        <v>2660</v>
      </c>
      <c r="E92" s="4" t="s">
        <v>5005</v>
      </c>
      <c r="F92" s="4" t="s">
        <v>2662</v>
      </c>
      <c r="G92" s="3"/>
      <c r="H92" s="3">
        <v>0</v>
      </c>
      <c r="I92" s="4" t="s">
        <v>3330</v>
      </c>
      <c r="J92" s="3">
        <v>1</v>
      </c>
      <c r="K92" s="3" t="s">
        <v>3331</v>
      </c>
      <c r="L92" s="3" t="s">
        <v>2276</v>
      </c>
      <c r="M92" s="52" t="s">
        <v>2276</v>
      </c>
      <c r="N92" s="3"/>
    </row>
    <row r="93" spans="1:14" ht="70" customHeight="1">
      <c r="A93" s="23" t="s">
        <v>3302</v>
      </c>
      <c r="B93" s="23" t="s">
        <v>3311</v>
      </c>
      <c r="C93" s="3" t="s">
        <v>24</v>
      </c>
      <c r="D93" s="3" t="s">
        <v>2660</v>
      </c>
      <c r="E93" s="4" t="s">
        <v>5005</v>
      </c>
      <c r="F93" s="3" t="s">
        <v>55</v>
      </c>
      <c r="G93" s="3"/>
      <c r="H93" s="3">
        <v>0</v>
      </c>
      <c r="I93" s="4" t="s">
        <v>3330</v>
      </c>
      <c r="J93" s="3">
        <v>1</v>
      </c>
      <c r="K93" s="3" t="s">
        <v>3331</v>
      </c>
      <c r="L93" s="3" t="s">
        <v>2276</v>
      </c>
      <c r="M93" s="52" t="s">
        <v>2276</v>
      </c>
      <c r="N93" s="3"/>
    </row>
    <row r="94" spans="1:14" ht="70" customHeight="1">
      <c r="A94" s="23" t="s">
        <v>3302</v>
      </c>
      <c r="B94" s="23" t="s">
        <v>3312</v>
      </c>
      <c r="C94" s="3" t="s">
        <v>24</v>
      </c>
      <c r="D94" s="3" t="s">
        <v>2660</v>
      </c>
      <c r="E94" s="4" t="s">
        <v>5005</v>
      </c>
      <c r="F94" s="4" t="s">
        <v>2662</v>
      </c>
      <c r="G94" s="3"/>
      <c r="H94" s="3">
        <v>0</v>
      </c>
      <c r="I94" s="4" t="s">
        <v>3330</v>
      </c>
      <c r="J94" s="3">
        <v>1</v>
      </c>
      <c r="K94" s="3" t="s">
        <v>3331</v>
      </c>
      <c r="L94" s="3" t="s">
        <v>2276</v>
      </c>
      <c r="M94" s="52" t="s">
        <v>2276</v>
      </c>
      <c r="N94" s="3"/>
    </row>
    <row r="95" spans="1:14" ht="70" customHeight="1">
      <c r="A95" s="23" t="s">
        <v>3303</v>
      </c>
      <c r="B95" s="23" t="s">
        <v>3313</v>
      </c>
      <c r="C95" s="3" t="s">
        <v>24</v>
      </c>
      <c r="D95" s="3" t="s">
        <v>2660</v>
      </c>
      <c r="E95" s="4" t="s">
        <v>5005</v>
      </c>
      <c r="F95" s="3" t="s">
        <v>55</v>
      </c>
      <c r="G95" s="3"/>
      <c r="H95" s="3">
        <v>0</v>
      </c>
      <c r="I95" s="4" t="s">
        <v>3330</v>
      </c>
      <c r="J95" s="3">
        <v>1</v>
      </c>
      <c r="K95" s="3" t="s">
        <v>3331</v>
      </c>
      <c r="L95" s="3" t="s">
        <v>2276</v>
      </c>
      <c r="M95" s="52" t="s">
        <v>2276</v>
      </c>
      <c r="N95" s="3"/>
    </row>
    <row r="96" spans="1:14" ht="70" customHeight="1">
      <c r="A96" s="23" t="s">
        <v>3303</v>
      </c>
      <c r="B96" s="23" t="s">
        <v>3314</v>
      </c>
      <c r="C96" s="3" t="s">
        <v>24</v>
      </c>
      <c r="D96" s="3" t="s">
        <v>2660</v>
      </c>
      <c r="E96" s="4" t="s">
        <v>5005</v>
      </c>
      <c r="F96" s="4" t="s">
        <v>2662</v>
      </c>
      <c r="G96" s="3"/>
      <c r="H96" s="3">
        <v>0</v>
      </c>
      <c r="I96" s="4" t="s">
        <v>3330</v>
      </c>
      <c r="J96" s="3">
        <v>1</v>
      </c>
      <c r="K96" s="3" t="s">
        <v>3331</v>
      </c>
      <c r="L96" s="3" t="s">
        <v>2276</v>
      </c>
      <c r="M96" s="52" t="s">
        <v>2276</v>
      </c>
      <c r="N96" s="3"/>
    </row>
    <row r="97" spans="1:14" ht="36.5" customHeight="1">
      <c r="A97" s="23" t="s">
        <v>3305</v>
      </c>
      <c r="B97" s="23" t="s">
        <v>3317</v>
      </c>
      <c r="C97" s="3" t="s">
        <v>24</v>
      </c>
      <c r="D97" s="3" t="s">
        <v>2660</v>
      </c>
      <c r="E97" s="4" t="s">
        <v>5005</v>
      </c>
      <c r="F97" s="3" t="s">
        <v>55</v>
      </c>
      <c r="G97" s="3"/>
      <c r="H97" s="3">
        <v>2</v>
      </c>
      <c r="I97" s="4" t="s">
        <v>3332</v>
      </c>
      <c r="J97" s="3">
        <v>0</v>
      </c>
      <c r="K97" s="4" t="s">
        <v>3329</v>
      </c>
      <c r="L97" s="3" t="s">
        <v>2276</v>
      </c>
      <c r="M97" s="52" t="s">
        <v>2276</v>
      </c>
      <c r="N97" s="3"/>
    </row>
    <row r="98" spans="1:14" ht="36.5" customHeight="1">
      <c r="A98" s="23" t="s">
        <v>3306</v>
      </c>
      <c r="B98" s="23" t="s">
        <v>3320</v>
      </c>
      <c r="C98" s="3" t="s">
        <v>24</v>
      </c>
      <c r="D98" s="3" t="s">
        <v>2660</v>
      </c>
      <c r="E98" s="4" t="s">
        <v>5005</v>
      </c>
      <c r="F98" s="3" t="s">
        <v>55</v>
      </c>
      <c r="G98" s="3"/>
      <c r="H98" s="3">
        <v>2</v>
      </c>
      <c r="I98" s="4" t="s">
        <v>3332</v>
      </c>
      <c r="J98" s="3">
        <v>0</v>
      </c>
      <c r="K98" s="4" t="s">
        <v>3329</v>
      </c>
      <c r="L98" s="3" t="s">
        <v>2276</v>
      </c>
      <c r="M98" s="52" t="s">
        <v>2276</v>
      </c>
      <c r="N98" s="3"/>
    </row>
    <row r="99" spans="1:14" ht="36.5" customHeight="1">
      <c r="A99" s="23" t="s">
        <v>3307</v>
      </c>
      <c r="B99" s="23" t="s">
        <v>3321</v>
      </c>
      <c r="C99" s="3" t="s">
        <v>24</v>
      </c>
      <c r="D99" s="3" t="s">
        <v>2660</v>
      </c>
      <c r="E99" s="4" t="s">
        <v>5005</v>
      </c>
      <c r="F99" s="3" t="s">
        <v>55</v>
      </c>
      <c r="G99" s="3"/>
      <c r="H99" s="3">
        <v>2</v>
      </c>
      <c r="I99" s="4" t="s">
        <v>3332</v>
      </c>
      <c r="J99" s="3">
        <v>0</v>
      </c>
      <c r="K99" s="4" t="s">
        <v>3329</v>
      </c>
      <c r="L99" s="3" t="s">
        <v>2276</v>
      </c>
      <c r="M99" s="52" t="s">
        <v>2276</v>
      </c>
      <c r="N99" s="3"/>
    </row>
    <row r="100" spans="1:14" ht="36.5" customHeight="1">
      <c r="A100" s="23" t="s">
        <v>3297</v>
      </c>
      <c r="B100" s="23" t="s">
        <v>3322</v>
      </c>
      <c r="C100" s="3" t="s">
        <v>24</v>
      </c>
      <c r="D100" s="3" t="s">
        <v>144</v>
      </c>
      <c r="E100" s="4" t="s">
        <v>137</v>
      </c>
      <c r="F100" s="3" t="s">
        <v>55</v>
      </c>
      <c r="G100" s="3"/>
      <c r="H100" s="3">
        <v>1</v>
      </c>
      <c r="I100" s="4" t="s">
        <v>3333</v>
      </c>
      <c r="J100" s="3"/>
      <c r="K100" s="3"/>
      <c r="L100" s="3" t="s">
        <v>2276</v>
      </c>
      <c r="M100" s="52" t="s">
        <v>2276</v>
      </c>
      <c r="N100" s="3"/>
    </row>
    <row r="101" spans="1:14" ht="36.5" customHeight="1">
      <c r="A101" s="23" t="s">
        <v>3297</v>
      </c>
      <c r="B101" s="23" t="s">
        <v>3323</v>
      </c>
      <c r="C101" s="3" t="s">
        <v>24</v>
      </c>
      <c r="D101" s="3" t="s">
        <v>144</v>
      </c>
      <c r="E101" s="4" t="s">
        <v>137</v>
      </c>
      <c r="F101" s="4" t="s">
        <v>2662</v>
      </c>
      <c r="G101" s="3"/>
      <c r="H101" s="3">
        <v>1</v>
      </c>
      <c r="I101" s="4" t="s">
        <v>3333</v>
      </c>
      <c r="J101" s="3">
        <v>1</v>
      </c>
      <c r="K101" s="4" t="s">
        <v>3333</v>
      </c>
      <c r="L101" s="3" t="s">
        <v>2276</v>
      </c>
      <c r="M101" s="52" t="s">
        <v>2276</v>
      </c>
      <c r="N101" s="3"/>
    </row>
    <row r="102" spans="1:14" ht="36.5" customHeight="1">
      <c r="A102" s="23" t="s">
        <v>3302</v>
      </c>
      <c r="B102" s="23" t="s">
        <v>3324</v>
      </c>
      <c r="C102" s="3" t="s">
        <v>24</v>
      </c>
      <c r="D102" s="3" t="s">
        <v>144</v>
      </c>
      <c r="E102" s="4" t="s">
        <v>137</v>
      </c>
      <c r="F102" s="3" t="s">
        <v>55</v>
      </c>
      <c r="G102" s="3"/>
      <c r="H102" s="3">
        <v>1</v>
      </c>
      <c r="I102" s="4" t="s">
        <v>3333</v>
      </c>
      <c r="J102" s="3">
        <v>1</v>
      </c>
      <c r="K102" s="4" t="s">
        <v>3333</v>
      </c>
      <c r="L102" s="3" t="s">
        <v>2276</v>
      </c>
      <c r="M102" s="52" t="s">
        <v>2276</v>
      </c>
      <c r="N102" s="3"/>
    </row>
    <row r="103" spans="1:14" ht="36.5" customHeight="1">
      <c r="A103" s="23" t="s">
        <v>3302</v>
      </c>
      <c r="B103" s="23" t="s">
        <v>3325</v>
      </c>
      <c r="C103" s="3" t="s">
        <v>24</v>
      </c>
      <c r="D103" s="3" t="s">
        <v>144</v>
      </c>
      <c r="E103" s="4" t="s">
        <v>137</v>
      </c>
      <c r="F103" s="4" t="s">
        <v>2662</v>
      </c>
      <c r="G103" s="3"/>
      <c r="H103" s="3">
        <v>1</v>
      </c>
      <c r="I103" s="4" t="s">
        <v>3333</v>
      </c>
      <c r="J103" s="3">
        <v>1</v>
      </c>
      <c r="K103" s="4" t="s">
        <v>3333</v>
      </c>
      <c r="L103" s="3" t="s">
        <v>2276</v>
      </c>
      <c r="M103" s="52" t="s">
        <v>2276</v>
      </c>
      <c r="N103" s="3"/>
    </row>
    <row r="104" spans="1:14" ht="36.5" customHeight="1">
      <c r="A104" s="23" t="s">
        <v>3303</v>
      </c>
      <c r="B104" s="23" t="s">
        <v>3326</v>
      </c>
      <c r="C104" s="3" t="s">
        <v>24</v>
      </c>
      <c r="D104" s="3" t="s">
        <v>144</v>
      </c>
      <c r="E104" s="4" t="s">
        <v>137</v>
      </c>
      <c r="F104" s="3" t="s">
        <v>55</v>
      </c>
      <c r="G104" s="3"/>
      <c r="H104" s="3">
        <v>1</v>
      </c>
      <c r="I104" s="4" t="s">
        <v>3333</v>
      </c>
      <c r="J104" s="3">
        <v>1</v>
      </c>
      <c r="K104" s="4" t="s">
        <v>3333</v>
      </c>
      <c r="L104" s="3" t="s">
        <v>2276</v>
      </c>
      <c r="M104" s="52" t="s">
        <v>2276</v>
      </c>
      <c r="N104" s="3"/>
    </row>
    <row r="105" spans="1:14" ht="36.5" customHeight="1">
      <c r="A105" s="23" t="s">
        <v>3303</v>
      </c>
      <c r="B105" s="23" t="s">
        <v>3327</v>
      </c>
      <c r="C105" s="3" t="s">
        <v>24</v>
      </c>
      <c r="D105" s="3" t="s">
        <v>144</v>
      </c>
      <c r="E105" s="4" t="s">
        <v>137</v>
      </c>
      <c r="F105" s="4" t="s">
        <v>2662</v>
      </c>
      <c r="G105" s="3"/>
      <c r="H105" s="3">
        <v>1</v>
      </c>
      <c r="I105" s="4" t="s">
        <v>3333</v>
      </c>
      <c r="J105" s="3">
        <v>1</v>
      </c>
      <c r="K105" s="4" t="s">
        <v>3333</v>
      </c>
      <c r="L105" s="3" t="s">
        <v>2276</v>
      </c>
      <c r="M105" s="52" t="s">
        <v>2276</v>
      </c>
      <c r="N105" s="3"/>
    </row>
    <row r="106" spans="1:14" ht="52.5" customHeight="1">
      <c r="A106" s="23" t="s">
        <v>3378</v>
      </c>
      <c r="B106" s="3" t="s">
        <v>3389</v>
      </c>
      <c r="C106" s="3" t="s">
        <v>24</v>
      </c>
      <c r="D106" s="3" t="s">
        <v>2804</v>
      </c>
      <c r="E106" s="4" t="s">
        <v>5005</v>
      </c>
      <c r="F106" s="4" t="s">
        <v>2662</v>
      </c>
      <c r="G106" s="3">
        <v>1968</v>
      </c>
      <c r="H106" s="3">
        <v>2</v>
      </c>
      <c r="I106" s="4" t="s">
        <v>3400</v>
      </c>
      <c r="J106" s="3" t="s">
        <v>2276</v>
      </c>
      <c r="K106" s="3" t="s">
        <v>2276</v>
      </c>
      <c r="L106" s="3" t="s">
        <v>2276</v>
      </c>
      <c r="M106" s="52" t="s">
        <v>2276</v>
      </c>
      <c r="N106" s="3"/>
    </row>
    <row r="107" spans="1:14" ht="52.5" customHeight="1">
      <c r="A107" s="23" t="s">
        <v>3379</v>
      </c>
      <c r="B107" s="3" t="s">
        <v>3390</v>
      </c>
      <c r="C107" s="3" t="s">
        <v>24</v>
      </c>
      <c r="D107" s="3" t="s">
        <v>2804</v>
      </c>
      <c r="E107" s="4" t="s">
        <v>5005</v>
      </c>
      <c r="F107" s="4" t="s">
        <v>2662</v>
      </c>
      <c r="G107" s="3">
        <v>1968</v>
      </c>
      <c r="H107" s="3">
        <v>2</v>
      </c>
      <c r="I107" s="4" t="s">
        <v>3400</v>
      </c>
      <c r="J107" s="3" t="s">
        <v>2276</v>
      </c>
      <c r="K107" s="3" t="s">
        <v>2276</v>
      </c>
      <c r="L107" s="3" t="s">
        <v>2276</v>
      </c>
      <c r="M107" s="52" t="s">
        <v>2276</v>
      </c>
      <c r="N107" s="3"/>
    </row>
    <row r="108" spans="1:14" ht="52.5" customHeight="1">
      <c r="A108" s="23" t="s">
        <v>3383</v>
      </c>
      <c r="B108" s="3" t="s">
        <v>3391</v>
      </c>
      <c r="C108" s="3" t="s">
        <v>24</v>
      </c>
      <c r="D108" s="3" t="s">
        <v>2804</v>
      </c>
      <c r="E108" s="4" t="s">
        <v>5005</v>
      </c>
      <c r="F108" s="4" t="s">
        <v>2662</v>
      </c>
      <c r="G108" s="3">
        <v>1968</v>
      </c>
      <c r="H108" s="3">
        <v>2</v>
      </c>
      <c r="I108" s="4" t="s">
        <v>3400</v>
      </c>
      <c r="J108" s="3" t="s">
        <v>2276</v>
      </c>
      <c r="K108" s="3" t="s">
        <v>2276</v>
      </c>
      <c r="L108" s="3" t="s">
        <v>2276</v>
      </c>
      <c r="M108" s="52" t="s">
        <v>2276</v>
      </c>
      <c r="N108" s="3"/>
    </row>
    <row r="109" spans="1:14" ht="111" customHeight="1">
      <c r="A109" s="3" t="s">
        <v>3413</v>
      </c>
      <c r="B109" s="3" t="s">
        <v>3418</v>
      </c>
      <c r="C109" s="3" t="s">
        <v>24</v>
      </c>
      <c r="D109" s="3" t="s">
        <v>1245</v>
      </c>
      <c r="E109" s="4" t="s">
        <v>116</v>
      </c>
      <c r="F109" s="4" t="s">
        <v>2662</v>
      </c>
      <c r="G109" s="3"/>
      <c r="H109" s="3">
        <v>2</v>
      </c>
      <c r="I109" s="4" t="s">
        <v>3422</v>
      </c>
      <c r="J109" s="3">
        <v>2</v>
      </c>
      <c r="K109" s="3" t="s">
        <v>3417</v>
      </c>
      <c r="L109" s="3" t="s">
        <v>2276</v>
      </c>
      <c r="M109" s="52" t="s">
        <v>2276</v>
      </c>
      <c r="N109" s="3"/>
    </row>
    <row r="110" spans="1:14" ht="80" customHeight="1">
      <c r="A110" s="11" t="s">
        <v>3426</v>
      </c>
      <c r="B110" s="11" t="s">
        <v>3429</v>
      </c>
      <c r="C110" s="3" t="s">
        <v>24</v>
      </c>
      <c r="D110" s="3" t="s">
        <v>1245</v>
      </c>
      <c r="E110" s="4" t="s">
        <v>116</v>
      </c>
      <c r="F110" s="4" t="s">
        <v>2662</v>
      </c>
      <c r="G110" s="3">
        <v>1953</v>
      </c>
      <c r="H110" s="3">
        <v>2</v>
      </c>
      <c r="I110" s="4" t="s">
        <v>3440</v>
      </c>
      <c r="J110" s="3">
        <v>2</v>
      </c>
      <c r="K110" s="4" t="s">
        <v>3441</v>
      </c>
      <c r="L110" s="3" t="s">
        <v>2276</v>
      </c>
      <c r="M110" s="52" t="s">
        <v>2276</v>
      </c>
      <c r="N110" s="3"/>
    </row>
    <row r="111" spans="1:14" ht="193.5" customHeight="1">
      <c r="A111" s="11" t="s">
        <v>3445</v>
      </c>
      <c r="B111" s="11" t="s">
        <v>3447</v>
      </c>
      <c r="C111" s="3" t="s">
        <v>24</v>
      </c>
      <c r="D111" s="3" t="s">
        <v>1105</v>
      </c>
      <c r="E111" s="4" t="s">
        <v>116</v>
      </c>
      <c r="F111" s="4" t="s">
        <v>2662</v>
      </c>
      <c r="G111" s="38"/>
      <c r="H111" s="38">
        <v>2</v>
      </c>
      <c r="I111" s="60" t="s">
        <v>3457</v>
      </c>
      <c r="J111" s="38">
        <v>2</v>
      </c>
      <c r="K111" s="60" t="s">
        <v>3457</v>
      </c>
      <c r="L111" s="38" t="s">
        <v>2276</v>
      </c>
      <c r="M111" s="198" t="s">
        <v>2276</v>
      </c>
      <c r="N111" s="3"/>
    </row>
    <row r="112" spans="1:14" ht="61.5" customHeight="1">
      <c r="A112" s="11" t="s">
        <v>3460</v>
      </c>
      <c r="B112" s="11" t="s">
        <v>3465</v>
      </c>
      <c r="C112" s="3" t="s">
        <v>24</v>
      </c>
      <c r="D112" s="3" t="s">
        <v>27</v>
      </c>
      <c r="E112" s="4" t="s">
        <v>130</v>
      </c>
      <c r="F112" s="3" t="s">
        <v>160</v>
      </c>
      <c r="G112" s="3"/>
      <c r="H112" s="3">
        <v>2</v>
      </c>
      <c r="I112" s="4" t="s">
        <v>3473</v>
      </c>
      <c r="J112" s="3" t="s">
        <v>2276</v>
      </c>
      <c r="K112" s="3" t="s">
        <v>2276</v>
      </c>
      <c r="L112" s="3" t="s">
        <v>2276</v>
      </c>
      <c r="M112" s="52" t="s">
        <v>2276</v>
      </c>
      <c r="N112" s="3"/>
    </row>
    <row r="113" spans="1:14" ht="61.5" customHeight="1">
      <c r="A113" s="11" t="s">
        <v>3460</v>
      </c>
      <c r="B113" s="11" t="s">
        <v>3467</v>
      </c>
      <c r="C113" s="3" t="s">
        <v>24</v>
      </c>
      <c r="D113" s="3" t="s">
        <v>3476</v>
      </c>
      <c r="E113" s="4" t="s">
        <v>863</v>
      </c>
      <c r="F113" s="3" t="s">
        <v>160</v>
      </c>
      <c r="G113" s="3"/>
      <c r="H113" s="3">
        <v>0</v>
      </c>
      <c r="I113" s="4" t="s">
        <v>3474</v>
      </c>
      <c r="J113" s="3" t="s">
        <v>2276</v>
      </c>
      <c r="K113" s="3" t="s">
        <v>2276</v>
      </c>
      <c r="L113" s="3" t="s">
        <v>2276</v>
      </c>
      <c r="M113" s="52" t="s">
        <v>2276</v>
      </c>
      <c r="N113" s="3"/>
    </row>
    <row r="114" spans="1:14" ht="61.5" customHeight="1">
      <c r="A114" s="11" t="s">
        <v>3460</v>
      </c>
      <c r="B114" s="11" t="s">
        <v>3469</v>
      </c>
      <c r="C114" s="3" t="s">
        <v>24</v>
      </c>
      <c r="D114" s="3" t="s">
        <v>3480</v>
      </c>
      <c r="E114" s="4" t="s">
        <v>116</v>
      </c>
      <c r="F114" s="3" t="s">
        <v>74</v>
      </c>
      <c r="G114" s="3"/>
      <c r="H114" s="3">
        <v>0</v>
      </c>
      <c r="I114" s="4" t="s">
        <v>3486</v>
      </c>
      <c r="J114" s="3" t="s">
        <v>2276</v>
      </c>
      <c r="K114" s="3" t="s">
        <v>2276</v>
      </c>
      <c r="L114" s="3" t="s">
        <v>2276</v>
      </c>
      <c r="M114" s="52" t="s">
        <v>2276</v>
      </c>
      <c r="N114" s="3"/>
    </row>
    <row r="115" spans="1:14" ht="151" customHeight="1">
      <c r="A115" s="23" t="s">
        <v>3491</v>
      </c>
      <c r="B115" s="3" t="s">
        <v>3497</v>
      </c>
      <c r="C115" s="3" t="s">
        <v>1105</v>
      </c>
      <c r="D115" s="3" t="s">
        <v>1105</v>
      </c>
      <c r="E115" s="60" t="s">
        <v>3209</v>
      </c>
      <c r="F115" s="3" t="s">
        <v>2276</v>
      </c>
      <c r="G115" s="3"/>
      <c r="H115" s="3" t="s">
        <v>2276</v>
      </c>
      <c r="I115" s="3" t="s">
        <v>2276</v>
      </c>
      <c r="J115" s="3" t="s">
        <v>2276</v>
      </c>
      <c r="K115" s="3" t="s">
        <v>2276</v>
      </c>
      <c r="L115" s="3">
        <v>1</v>
      </c>
      <c r="M115" s="48" t="s">
        <v>3500</v>
      </c>
      <c r="N115" s="3"/>
    </row>
    <row r="116" spans="1:14" ht="109" customHeight="1">
      <c r="A116" s="23" t="s">
        <v>3491</v>
      </c>
      <c r="B116" s="3" t="s">
        <v>3498</v>
      </c>
      <c r="C116" s="3" t="s">
        <v>1105</v>
      </c>
      <c r="D116" s="3" t="s">
        <v>1105</v>
      </c>
      <c r="E116" s="4" t="s">
        <v>397</v>
      </c>
      <c r="F116" s="3" t="s">
        <v>28</v>
      </c>
      <c r="G116" s="3">
        <v>2009</v>
      </c>
      <c r="H116" s="22">
        <v>0</v>
      </c>
      <c r="I116" s="162" t="s">
        <v>3505</v>
      </c>
      <c r="J116" s="3">
        <v>0</v>
      </c>
      <c r="K116" s="162" t="s">
        <v>3505</v>
      </c>
      <c r="L116" s="12">
        <v>0</v>
      </c>
      <c r="M116" s="199" t="s">
        <v>3528</v>
      </c>
      <c r="N116" s="3"/>
    </row>
    <row r="117" spans="1:14" ht="109" customHeight="1">
      <c r="A117" s="23" t="s">
        <v>3491</v>
      </c>
      <c r="B117" s="3" t="s">
        <v>3499</v>
      </c>
      <c r="C117" s="3" t="s">
        <v>1105</v>
      </c>
      <c r="D117" s="3" t="s">
        <v>1105</v>
      </c>
      <c r="E117" s="4" t="s">
        <v>396</v>
      </c>
      <c r="F117" s="3" t="s">
        <v>28</v>
      </c>
      <c r="G117" s="3">
        <v>2009</v>
      </c>
      <c r="H117" s="22">
        <v>0</v>
      </c>
      <c r="I117" s="162" t="s">
        <v>3505</v>
      </c>
      <c r="J117" s="3">
        <v>0</v>
      </c>
      <c r="K117" s="162" t="s">
        <v>3505</v>
      </c>
      <c r="L117" s="12">
        <v>0</v>
      </c>
      <c r="M117" s="199" t="s">
        <v>3528</v>
      </c>
      <c r="N117" s="3"/>
    </row>
    <row r="118" spans="1:14" ht="109" customHeight="1">
      <c r="A118" s="23" t="s">
        <v>3491</v>
      </c>
      <c r="B118" s="3" t="s">
        <v>3502</v>
      </c>
      <c r="C118" s="3" t="s">
        <v>1105</v>
      </c>
      <c r="D118" s="3" t="s">
        <v>1105</v>
      </c>
      <c r="E118" s="4" t="s">
        <v>45</v>
      </c>
      <c r="F118" s="3" t="s">
        <v>29</v>
      </c>
      <c r="G118" s="3">
        <v>2009</v>
      </c>
      <c r="H118" s="22">
        <v>0</v>
      </c>
      <c r="I118" s="162" t="s">
        <v>3505</v>
      </c>
      <c r="J118" s="3">
        <v>0</v>
      </c>
      <c r="K118" s="162" t="s">
        <v>3505</v>
      </c>
      <c r="L118" s="12">
        <v>0</v>
      </c>
      <c r="M118" s="199" t="s">
        <v>3528</v>
      </c>
      <c r="N118" s="3"/>
    </row>
    <row r="119" spans="1:14" ht="109" customHeight="1">
      <c r="A119" s="23" t="s">
        <v>3491</v>
      </c>
      <c r="B119" s="3" t="s">
        <v>3503</v>
      </c>
      <c r="C119" s="3" t="s">
        <v>1105</v>
      </c>
      <c r="D119" s="3" t="s">
        <v>1105</v>
      </c>
      <c r="E119" s="4" t="s">
        <v>397</v>
      </c>
      <c r="F119" s="3" t="s">
        <v>28</v>
      </c>
      <c r="G119" s="3">
        <v>2010</v>
      </c>
      <c r="H119" s="22">
        <v>0</v>
      </c>
      <c r="I119" s="162" t="s">
        <v>3507</v>
      </c>
      <c r="J119" s="3">
        <v>0</v>
      </c>
      <c r="K119" s="162" t="s">
        <v>3507</v>
      </c>
      <c r="L119" s="12">
        <v>0</v>
      </c>
      <c r="M119" s="199" t="s">
        <v>3528</v>
      </c>
      <c r="N119" s="3"/>
    </row>
    <row r="120" spans="1:14" ht="109" customHeight="1">
      <c r="A120" s="23" t="s">
        <v>3491</v>
      </c>
      <c r="B120" s="3" t="s">
        <v>3504</v>
      </c>
      <c r="C120" s="3" t="s">
        <v>1105</v>
      </c>
      <c r="D120" s="3" t="s">
        <v>1105</v>
      </c>
      <c r="E120" s="4" t="s">
        <v>396</v>
      </c>
      <c r="F120" s="3" t="s">
        <v>28</v>
      </c>
      <c r="G120" s="3">
        <v>2010</v>
      </c>
      <c r="H120" s="22">
        <v>0</v>
      </c>
      <c r="I120" s="162" t="s">
        <v>3507</v>
      </c>
      <c r="J120" s="3">
        <v>0</v>
      </c>
      <c r="K120" s="162" t="s">
        <v>3507</v>
      </c>
      <c r="L120" s="12">
        <v>0</v>
      </c>
      <c r="M120" s="199" t="s">
        <v>3528</v>
      </c>
      <c r="N120" s="3"/>
    </row>
    <row r="121" spans="1:14" ht="109" customHeight="1">
      <c r="A121" s="23" t="s">
        <v>3491</v>
      </c>
      <c r="B121" s="3" t="s">
        <v>3506</v>
      </c>
      <c r="C121" s="3" t="s">
        <v>1105</v>
      </c>
      <c r="D121" s="3" t="s">
        <v>1105</v>
      </c>
      <c r="E121" s="4" t="s">
        <v>45</v>
      </c>
      <c r="F121" s="3" t="s">
        <v>29</v>
      </c>
      <c r="G121" s="3">
        <v>2010</v>
      </c>
      <c r="H121" s="22">
        <v>0</v>
      </c>
      <c r="I121" s="162" t="s">
        <v>3507</v>
      </c>
      <c r="J121" s="3">
        <v>0</v>
      </c>
      <c r="K121" s="162" t="s">
        <v>3507</v>
      </c>
      <c r="L121" s="12">
        <v>0</v>
      </c>
      <c r="M121" s="199" t="s">
        <v>3528</v>
      </c>
      <c r="N121" s="3"/>
    </row>
    <row r="122" spans="1:14" ht="109" customHeight="1">
      <c r="A122" s="23" t="s">
        <v>3491</v>
      </c>
      <c r="B122" s="3" t="s">
        <v>3508</v>
      </c>
      <c r="C122" s="3" t="s">
        <v>1105</v>
      </c>
      <c r="D122" s="3" t="s">
        <v>1105</v>
      </c>
      <c r="E122" s="4" t="s">
        <v>397</v>
      </c>
      <c r="F122" s="3" t="s">
        <v>28</v>
      </c>
      <c r="G122" s="3">
        <v>2011</v>
      </c>
      <c r="H122" s="22">
        <v>1</v>
      </c>
      <c r="I122" s="162" t="s">
        <v>3511</v>
      </c>
      <c r="J122" s="22">
        <v>1</v>
      </c>
      <c r="K122" s="162" t="s">
        <v>3511</v>
      </c>
      <c r="L122" s="12">
        <v>1</v>
      </c>
      <c r="M122" s="199" t="s">
        <v>3524</v>
      </c>
      <c r="N122" s="3"/>
    </row>
    <row r="123" spans="1:14" ht="109" customHeight="1">
      <c r="A123" s="23" t="s">
        <v>3491</v>
      </c>
      <c r="B123" s="3" t="s">
        <v>3509</v>
      </c>
      <c r="C123" s="3" t="s">
        <v>1105</v>
      </c>
      <c r="D123" s="3" t="s">
        <v>1105</v>
      </c>
      <c r="E123" s="4" t="s">
        <v>396</v>
      </c>
      <c r="F123" s="3" t="s">
        <v>28</v>
      </c>
      <c r="G123" s="3">
        <v>2011</v>
      </c>
      <c r="H123" s="22">
        <v>1</v>
      </c>
      <c r="I123" s="162" t="s">
        <v>3511</v>
      </c>
      <c r="J123" s="22">
        <v>1</v>
      </c>
      <c r="K123" s="162" t="s">
        <v>3511</v>
      </c>
      <c r="L123" s="12">
        <v>1</v>
      </c>
      <c r="M123" s="199" t="s">
        <v>3524</v>
      </c>
      <c r="N123" s="3"/>
    </row>
    <row r="124" spans="1:14" ht="109" customHeight="1">
      <c r="A124" s="23" t="s">
        <v>3491</v>
      </c>
      <c r="B124" s="3" t="s">
        <v>3510</v>
      </c>
      <c r="C124" s="3" t="s">
        <v>1105</v>
      </c>
      <c r="D124" s="3" t="s">
        <v>1105</v>
      </c>
      <c r="E124" s="4" t="s">
        <v>45</v>
      </c>
      <c r="F124" s="3" t="s">
        <v>29</v>
      </c>
      <c r="G124" s="3">
        <v>2011</v>
      </c>
      <c r="H124" s="22">
        <v>1</v>
      </c>
      <c r="I124" s="162" t="s">
        <v>3511</v>
      </c>
      <c r="J124" s="22">
        <v>1</v>
      </c>
      <c r="K124" s="162" t="s">
        <v>3511</v>
      </c>
      <c r="L124" s="12">
        <v>1</v>
      </c>
      <c r="M124" s="199" t="s">
        <v>3524</v>
      </c>
      <c r="N124" s="3"/>
    </row>
    <row r="125" spans="1:14" ht="109" customHeight="1">
      <c r="A125" s="23" t="s">
        <v>3491</v>
      </c>
      <c r="B125" s="3" t="s">
        <v>3512</v>
      </c>
      <c r="C125" s="3" t="s">
        <v>1105</v>
      </c>
      <c r="D125" s="3" t="s">
        <v>1105</v>
      </c>
      <c r="E125" s="4" t="s">
        <v>397</v>
      </c>
      <c r="F125" s="3" t="s">
        <v>28</v>
      </c>
      <c r="G125" s="3">
        <v>2012</v>
      </c>
      <c r="H125" s="22">
        <v>1</v>
      </c>
      <c r="I125" s="162" t="s">
        <v>3515</v>
      </c>
      <c r="J125" s="22">
        <v>1</v>
      </c>
      <c r="K125" s="162" t="s">
        <v>3515</v>
      </c>
      <c r="L125" s="12">
        <v>1</v>
      </c>
      <c r="M125" s="199" t="s">
        <v>3523</v>
      </c>
      <c r="N125" s="3"/>
    </row>
    <row r="126" spans="1:14" ht="109" customHeight="1">
      <c r="A126" s="23" t="s">
        <v>3491</v>
      </c>
      <c r="B126" s="3" t="s">
        <v>3513</v>
      </c>
      <c r="C126" s="3" t="s">
        <v>1105</v>
      </c>
      <c r="D126" s="3" t="s">
        <v>1105</v>
      </c>
      <c r="E126" s="4" t="s">
        <v>396</v>
      </c>
      <c r="F126" s="3" t="s">
        <v>28</v>
      </c>
      <c r="G126" s="3">
        <v>2012</v>
      </c>
      <c r="H126" s="22">
        <v>1</v>
      </c>
      <c r="I126" s="162" t="s">
        <v>3515</v>
      </c>
      <c r="J126" s="22">
        <v>1</v>
      </c>
      <c r="K126" s="162" t="s">
        <v>3515</v>
      </c>
      <c r="L126" s="12">
        <v>1</v>
      </c>
      <c r="M126" s="199" t="s">
        <v>3523</v>
      </c>
      <c r="N126" s="3"/>
    </row>
    <row r="127" spans="1:14" ht="109" customHeight="1">
      <c r="A127" s="23" t="s">
        <v>3491</v>
      </c>
      <c r="B127" s="3" t="s">
        <v>3514</v>
      </c>
      <c r="C127" s="3" t="s">
        <v>1105</v>
      </c>
      <c r="D127" s="3" t="s">
        <v>1105</v>
      </c>
      <c r="E127" s="4" t="s">
        <v>45</v>
      </c>
      <c r="F127" s="3" t="s">
        <v>29</v>
      </c>
      <c r="G127" s="3">
        <v>2012</v>
      </c>
      <c r="H127" s="22">
        <v>1</v>
      </c>
      <c r="I127" s="162" t="s">
        <v>3515</v>
      </c>
      <c r="J127" s="22">
        <v>1</v>
      </c>
      <c r="K127" s="162" t="s">
        <v>3515</v>
      </c>
      <c r="L127" s="12">
        <v>1</v>
      </c>
      <c r="M127" s="199" t="s">
        <v>3523</v>
      </c>
      <c r="N127" s="3"/>
    </row>
    <row r="128" spans="1:14" ht="109" customHeight="1">
      <c r="A128" s="23" t="s">
        <v>3491</v>
      </c>
      <c r="B128" s="3" t="s">
        <v>3516</v>
      </c>
      <c r="C128" s="3" t="s">
        <v>1105</v>
      </c>
      <c r="D128" s="3" t="s">
        <v>1105</v>
      </c>
      <c r="E128" s="4" t="s">
        <v>397</v>
      </c>
      <c r="F128" s="3" t="s">
        <v>28</v>
      </c>
      <c r="G128" s="3">
        <v>2013</v>
      </c>
      <c r="H128" s="22">
        <v>1</v>
      </c>
      <c r="I128" s="162" t="s">
        <v>3515</v>
      </c>
      <c r="J128" s="22">
        <v>1</v>
      </c>
      <c r="K128" s="162" t="s">
        <v>3515</v>
      </c>
      <c r="L128" s="12">
        <v>1</v>
      </c>
      <c r="M128" s="199" t="s">
        <v>3525</v>
      </c>
      <c r="N128" s="3"/>
    </row>
    <row r="129" spans="1:14" ht="109" customHeight="1">
      <c r="A129" s="23" t="s">
        <v>3491</v>
      </c>
      <c r="B129" s="3" t="s">
        <v>3517</v>
      </c>
      <c r="C129" s="3" t="s">
        <v>1105</v>
      </c>
      <c r="D129" s="3" t="s">
        <v>1105</v>
      </c>
      <c r="E129" s="4" t="s">
        <v>396</v>
      </c>
      <c r="F129" s="3" t="s">
        <v>28</v>
      </c>
      <c r="G129" s="3">
        <v>2013</v>
      </c>
      <c r="H129" s="22">
        <v>1</v>
      </c>
      <c r="I129" s="162" t="s">
        <v>3515</v>
      </c>
      <c r="J129" s="22">
        <v>1</v>
      </c>
      <c r="K129" s="162" t="s">
        <v>3515</v>
      </c>
      <c r="L129" s="12">
        <v>1</v>
      </c>
      <c r="M129" s="199" t="s">
        <v>3525</v>
      </c>
      <c r="N129" s="3"/>
    </row>
    <row r="130" spans="1:14" ht="109" customHeight="1">
      <c r="A130" s="23" t="s">
        <v>3491</v>
      </c>
      <c r="B130" s="3" t="s">
        <v>3518</v>
      </c>
      <c r="C130" s="3" t="s">
        <v>1105</v>
      </c>
      <c r="D130" s="3" t="s">
        <v>1105</v>
      </c>
      <c r="E130" s="4" t="s">
        <v>45</v>
      </c>
      <c r="F130" s="3" t="s">
        <v>29</v>
      </c>
      <c r="G130" s="3">
        <v>2013</v>
      </c>
      <c r="H130" s="22">
        <v>1</v>
      </c>
      <c r="I130" s="162" t="s">
        <v>3515</v>
      </c>
      <c r="J130" s="22">
        <v>1</v>
      </c>
      <c r="K130" s="162" t="s">
        <v>3515</v>
      </c>
      <c r="L130" s="12">
        <v>1</v>
      </c>
      <c r="M130" s="199" t="s">
        <v>3525</v>
      </c>
      <c r="N130" s="3"/>
    </row>
    <row r="131" spans="1:14" ht="109" customHeight="1">
      <c r="A131" s="23" t="s">
        <v>3491</v>
      </c>
      <c r="B131" s="3" t="s">
        <v>3519</v>
      </c>
      <c r="C131" s="3" t="s">
        <v>1105</v>
      </c>
      <c r="D131" s="3" t="s">
        <v>1105</v>
      </c>
      <c r="E131" s="4" t="s">
        <v>397</v>
      </c>
      <c r="F131" s="3" t="s">
        <v>28</v>
      </c>
      <c r="G131" s="3">
        <v>2014</v>
      </c>
      <c r="H131" s="22">
        <v>1</v>
      </c>
      <c r="I131" s="162" t="s">
        <v>3522</v>
      </c>
      <c r="J131" s="22">
        <v>1</v>
      </c>
      <c r="K131" s="162" t="s">
        <v>3515</v>
      </c>
      <c r="L131" s="12">
        <v>1</v>
      </c>
      <c r="M131" s="199" t="s">
        <v>3526</v>
      </c>
      <c r="N131" s="3"/>
    </row>
    <row r="132" spans="1:14" ht="109" customHeight="1">
      <c r="A132" s="23" t="s">
        <v>3491</v>
      </c>
      <c r="B132" s="3" t="s">
        <v>3520</v>
      </c>
      <c r="C132" s="3" t="s">
        <v>1105</v>
      </c>
      <c r="D132" s="3" t="s">
        <v>1105</v>
      </c>
      <c r="E132" s="4" t="s">
        <v>396</v>
      </c>
      <c r="F132" s="3" t="s">
        <v>28</v>
      </c>
      <c r="G132" s="3">
        <v>2014</v>
      </c>
      <c r="H132" s="22">
        <v>1</v>
      </c>
      <c r="I132" s="162" t="s">
        <v>3515</v>
      </c>
      <c r="J132" s="22">
        <v>1</v>
      </c>
      <c r="K132" s="162" t="s">
        <v>3515</v>
      </c>
      <c r="L132" s="12">
        <v>1</v>
      </c>
      <c r="M132" s="199" t="s">
        <v>3526</v>
      </c>
      <c r="N132" s="3"/>
    </row>
    <row r="133" spans="1:14" ht="109" customHeight="1">
      <c r="A133" s="23" t="s">
        <v>3491</v>
      </c>
      <c r="B133" s="3" t="s">
        <v>3521</v>
      </c>
      <c r="C133" s="3" t="s">
        <v>1105</v>
      </c>
      <c r="D133" s="3" t="s">
        <v>1105</v>
      </c>
      <c r="E133" s="4" t="s">
        <v>45</v>
      </c>
      <c r="F133" s="3" t="s">
        <v>29</v>
      </c>
      <c r="G133" s="3">
        <v>2014</v>
      </c>
      <c r="H133" s="22">
        <v>1</v>
      </c>
      <c r="I133" s="162" t="s">
        <v>3515</v>
      </c>
      <c r="J133" s="22">
        <v>1</v>
      </c>
      <c r="K133" s="162" t="s">
        <v>3515</v>
      </c>
      <c r="L133" s="12">
        <v>1</v>
      </c>
      <c r="M133" s="199" t="s">
        <v>3526</v>
      </c>
      <c r="N133" s="3"/>
    </row>
    <row r="134" spans="1:14" ht="97" customHeight="1">
      <c r="A134" s="23" t="s">
        <v>3492</v>
      </c>
      <c r="B134" s="3" t="s">
        <v>3494</v>
      </c>
      <c r="C134" s="3" t="s">
        <v>1105</v>
      </c>
      <c r="D134" s="3" t="s">
        <v>1105</v>
      </c>
      <c r="E134" s="4" t="s">
        <v>1105</v>
      </c>
      <c r="F134" s="3" t="s">
        <v>2663</v>
      </c>
      <c r="G134" s="3"/>
      <c r="H134" s="3" t="s">
        <v>2276</v>
      </c>
      <c r="I134" s="3" t="s">
        <v>2276</v>
      </c>
      <c r="J134" s="3" t="s">
        <v>2276</v>
      </c>
      <c r="K134" s="3" t="s">
        <v>2276</v>
      </c>
      <c r="L134" s="3">
        <v>3</v>
      </c>
      <c r="M134" s="48" t="s">
        <v>3496</v>
      </c>
      <c r="N134" s="3"/>
    </row>
    <row r="135" spans="1:14" ht="102" customHeight="1">
      <c r="A135" s="23" t="s">
        <v>3492</v>
      </c>
      <c r="B135" s="3" t="s">
        <v>3495</v>
      </c>
      <c r="C135" s="3" t="s">
        <v>1105</v>
      </c>
      <c r="D135" s="3" t="s">
        <v>1105</v>
      </c>
      <c r="E135" s="4" t="s">
        <v>84</v>
      </c>
      <c r="F135" s="3" t="s">
        <v>28</v>
      </c>
      <c r="G135" s="3"/>
      <c r="H135" s="3" t="s">
        <v>2276</v>
      </c>
      <c r="I135" s="3" t="s">
        <v>2276</v>
      </c>
      <c r="J135" s="3" t="s">
        <v>2276</v>
      </c>
      <c r="K135" s="3" t="s">
        <v>2276</v>
      </c>
      <c r="L135" s="3">
        <v>3</v>
      </c>
      <c r="M135" s="48" t="s">
        <v>3496</v>
      </c>
      <c r="N135" s="3"/>
    </row>
    <row r="136" spans="1:14" ht="94" customHeight="1">
      <c r="A136" s="26" t="s">
        <v>3530</v>
      </c>
      <c r="B136" s="4" t="s">
        <v>3533</v>
      </c>
      <c r="C136" s="4" t="s">
        <v>24</v>
      </c>
      <c r="D136" s="4" t="s">
        <v>1105</v>
      </c>
      <c r="E136" s="4" t="s">
        <v>5005</v>
      </c>
      <c r="F136" s="4" t="s">
        <v>2662</v>
      </c>
      <c r="G136" s="3"/>
      <c r="H136" s="3">
        <v>2</v>
      </c>
      <c r="I136" s="4" t="s">
        <v>3547</v>
      </c>
      <c r="J136" s="3">
        <v>2</v>
      </c>
      <c r="K136" s="4" t="s">
        <v>3549</v>
      </c>
      <c r="L136" s="3">
        <v>2</v>
      </c>
      <c r="M136" s="48" t="s">
        <v>3548</v>
      </c>
      <c r="N136" s="3"/>
    </row>
    <row r="137" spans="1:14" ht="60.5" customHeight="1">
      <c r="A137" s="26" t="s">
        <v>3532</v>
      </c>
      <c r="B137" s="4" t="s">
        <v>3573</v>
      </c>
      <c r="C137" s="4" t="s">
        <v>24</v>
      </c>
      <c r="D137" s="4" t="s">
        <v>1105</v>
      </c>
      <c r="E137" s="4" t="s">
        <v>5005</v>
      </c>
      <c r="F137" s="4" t="s">
        <v>2662</v>
      </c>
      <c r="G137" s="3"/>
      <c r="H137" s="3">
        <v>1</v>
      </c>
      <c r="I137" s="4" t="s">
        <v>3575</v>
      </c>
      <c r="J137" s="3">
        <v>1</v>
      </c>
      <c r="K137" s="4" t="s">
        <v>3575</v>
      </c>
      <c r="L137" s="3">
        <v>1</v>
      </c>
      <c r="M137" s="48" t="s">
        <v>3575</v>
      </c>
      <c r="N137" s="3"/>
    </row>
    <row r="138" spans="1:14" ht="30" customHeight="1">
      <c r="A138" s="23" t="s">
        <v>3625</v>
      </c>
      <c r="B138" s="11" t="s">
        <v>3635</v>
      </c>
      <c r="C138" s="4" t="s">
        <v>24</v>
      </c>
      <c r="D138" s="3" t="s">
        <v>27</v>
      </c>
      <c r="E138" s="4" t="s">
        <v>130</v>
      </c>
      <c r="F138" s="3" t="s">
        <v>2276</v>
      </c>
      <c r="G138" s="3"/>
      <c r="H138" s="3">
        <v>2</v>
      </c>
      <c r="I138" s="19" t="s">
        <v>3660</v>
      </c>
      <c r="J138" s="3" t="s">
        <v>2276</v>
      </c>
      <c r="K138" s="3" t="s">
        <v>2276</v>
      </c>
      <c r="L138" s="3" t="s">
        <v>2276</v>
      </c>
      <c r="M138" s="52" t="s">
        <v>2276</v>
      </c>
      <c r="N138" s="3"/>
    </row>
    <row r="139" spans="1:14" ht="30" customHeight="1">
      <c r="A139" s="23" t="s">
        <v>3626</v>
      </c>
      <c r="B139" s="11" t="s">
        <v>3636</v>
      </c>
      <c r="C139" s="4" t="s">
        <v>24</v>
      </c>
      <c r="D139" s="3" t="s">
        <v>27</v>
      </c>
      <c r="E139" s="4" t="s">
        <v>130</v>
      </c>
      <c r="F139" s="3" t="s">
        <v>2276</v>
      </c>
      <c r="G139" s="3"/>
      <c r="H139" s="3">
        <v>2</v>
      </c>
      <c r="I139" s="19" t="s">
        <v>3660</v>
      </c>
      <c r="J139" s="3" t="s">
        <v>2276</v>
      </c>
      <c r="K139" s="3" t="s">
        <v>2276</v>
      </c>
      <c r="L139" s="3" t="s">
        <v>2276</v>
      </c>
      <c r="M139" s="52" t="s">
        <v>2276</v>
      </c>
      <c r="N139" s="3"/>
    </row>
    <row r="140" spans="1:14" ht="30" customHeight="1">
      <c r="A140" s="23" t="s">
        <v>3629</v>
      </c>
      <c r="B140" s="11" t="s">
        <v>3637</v>
      </c>
      <c r="C140" s="4" t="s">
        <v>24</v>
      </c>
      <c r="D140" s="3" t="s">
        <v>27</v>
      </c>
      <c r="E140" s="4" t="s">
        <v>130</v>
      </c>
      <c r="F140" s="3" t="s">
        <v>2276</v>
      </c>
      <c r="G140" s="3"/>
      <c r="H140" s="3">
        <v>2</v>
      </c>
      <c r="I140" s="19" t="s">
        <v>3660</v>
      </c>
      <c r="J140" s="3" t="s">
        <v>2276</v>
      </c>
      <c r="K140" s="3" t="s">
        <v>2276</v>
      </c>
      <c r="L140" s="3" t="s">
        <v>2276</v>
      </c>
      <c r="M140" s="52" t="s">
        <v>2276</v>
      </c>
      <c r="N140" s="3"/>
    </row>
    <row r="141" spans="1:14" ht="33" customHeight="1">
      <c r="A141" s="23" t="s">
        <v>3625</v>
      </c>
      <c r="B141" s="11" t="s">
        <v>3639</v>
      </c>
      <c r="C141" s="4" t="s">
        <v>24</v>
      </c>
      <c r="D141" s="3" t="s">
        <v>1105</v>
      </c>
      <c r="E141" s="4" t="s">
        <v>3209</v>
      </c>
      <c r="F141" s="3" t="s">
        <v>2276</v>
      </c>
      <c r="G141" s="3"/>
      <c r="H141" s="3" t="s">
        <v>2276</v>
      </c>
      <c r="I141" s="3" t="s">
        <v>2276</v>
      </c>
      <c r="J141" s="3">
        <v>2</v>
      </c>
      <c r="K141" s="4" t="s">
        <v>3662</v>
      </c>
      <c r="L141" s="3">
        <v>2</v>
      </c>
      <c r="M141" s="48" t="s">
        <v>3661</v>
      </c>
      <c r="N141" s="3"/>
    </row>
    <row r="142" spans="1:14" ht="33" customHeight="1">
      <c r="A142" s="23" t="s">
        <v>3626</v>
      </c>
      <c r="B142" s="11" t="s">
        <v>3640</v>
      </c>
      <c r="C142" s="4" t="s">
        <v>24</v>
      </c>
      <c r="D142" s="3" t="s">
        <v>1105</v>
      </c>
      <c r="E142" s="4" t="s">
        <v>3209</v>
      </c>
      <c r="F142" s="3" t="s">
        <v>2276</v>
      </c>
      <c r="G142" s="3"/>
      <c r="H142" s="3" t="s">
        <v>2276</v>
      </c>
      <c r="I142" s="3" t="s">
        <v>2276</v>
      </c>
      <c r="J142" s="3">
        <v>2</v>
      </c>
      <c r="K142" s="4" t="s">
        <v>3662</v>
      </c>
      <c r="L142" s="3">
        <v>2</v>
      </c>
      <c r="M142" s="48" t="s">
        <v>3661</v>
      </c>
      <c r="N142" s="3"/>
    </row>
    <row r="143" spans="1:14" ht="33" customHeight="1">
      <c r="A143" s="23" t="s">
        <v>3629</v>
      </c>
      <c r="B143" s="11" t="s">
        <v>3641</v>
      </c>
      <c r="C143" s="4" t="s">
        <v>24</v>
      </c>
      <c r="D143" s="3" t="s">
        <v>1105</v>
      </c>
      <c r="E143" s="4" t="s">
        <v>3209</v>
      </c>
      <c r="F143" s="3" t="s">
        <v>2276</v>
      </c>
      <c r="G143" s="3"/>
      <c r="H143" s="3" t="s">
        <v>2276</v>
      </c>
      <c r="I143" s="3" t="s">
        <v>2276</v>
      </c>
      <c r="J143" s="3">
        <v>2</v>
      </c>
      <c r="K143" s="4" t="s">
        <v>3662</v>
      </c>
      <c r="L143" s="3">
        <v>2</v>
      </c>
      <c r="M143" s="48" t="s">
        <v>3661</v>
      </c>
      <c r="N143" s="3"/>
    </row>
    <row r="144" spans="1:14" ht="83.5" customHeight="1">
      <c r="A144" s="23" t="s">
        <v>3664</v>
      </c>
      <c r="B144" s="11" t="s">
        <v>3669</v>
      </c>
      <c r="C144" s="3" t="s">
        <v>1105</v>
      </c>
      <c r="D144" s="3" t="s">
        <v>1105</v>
      </c>
      <c r="E144" s="4" t="s">
        <v>397</v>
      </c>
      <c r="F144" s="3" t="s">
        <v>2276</v>
      </c>
      <c r="G144" s="3">
        <v>2009</v>
      </c>
      <c r="H144" s="3">
        <v>0</v>
      </c>
      <c r="I144" s="4" t="s">
        <v>3693</v>
      </c>
      <c r="J144" s="3" t="s">
        <v>2276</v>
      </c>
      <c r="K144" s="3" t="s">
        <v>2276</v>
      </c>
      <c r="L144" s="3" t="s">
        <v>2276</v>
      </c>
      <c r="M144" s="52" t="s">
        <v>2276</v>
      </c>
      <c r="N144" s="3"/>
    </row>
    <row r="145" spans="1:14" ht="82" customHeight="1">
      <c r="A145" s="23" t="s">
        <v>3664</v>
      </c>
      <c r="B145" s="11" t="s">
        <v>3670</v>
      </c>
      <c r="C145" s="3" t="s">
        <v>1105</v>
      </c>
      <c r="D145" s="3" t="s">
        <v>1105</v>
      </c>
      <c r="E145" s="4" t="s">
        <v>396</v>
      </c>
      <c r="F145" s="3" t="s">
        <v>2276</v>
      </c>
      <c r="G145" s="3">
        <v>2009</v>
      </c>
      <c r="H145" s="3">
        <v>0</v>
      </c>
      <c r="I145" s="4" t="s">
        <v>3693</v>
      </c>
      <c r="J145" s="3" t="s">
        <v>2276</v>
      </c>
      <c r="K145" s="3" t="s">
        <v>2276</v>
      </c>
      <c r="L145" s="3" t="s">
        <v>2276</v>
      </c>
      <c r="M145" s="52" t="s">
        <v>2276</v>
      </c>
      <c r="N145" s="3"/>
    </row>
    <row r="146" spans="1:14" ht="72.5">
      <c r="A146" s="23" t="s">
        <v>3664</v>
      </c>
      <c r="B146" s="11" t="s">
        <v>3671</v>
      </c>
      <c r="C146" s="3" t="s">
        <v>1105</v>
      </c>
      <c r="D146" s="3" t="s">
        <v>1105</v>
      </c>
      <c r="E146" s="4" t="s">
        <v>397</v>
      </c>
      <c r="F146" s="3" t="s">
        <v>2276</v>
      </c>
      <c r="G146" s="3">
        <v>2010</v>
      </c>
      <c r="H146" s="3">
        <v>0</v>
      </c>
      <c r="I146" s="4" t="s">
        <v>3693</v>
      </c>
      <c r="J146" s="3" t="s">
        <v>2276</v>
      </c>
      <c r="K146" s="3" t="s">
        <v>2276</v>
      </c>
      <c r="L146" s="3" t="s">
        <v>2276</v>
      </c>
      <c r="M146" s="52" t="s">
        <v>2276</v>
      </c>
      <c r="N146" s="3"/>
    </row>
    <row r="147" spans="1:14" ht="72.5">
      <c r="A147" s="23" t="s">
        <v>3664</v>
      </c>
      <c r="B147" s="11" t="s">
        <v>3672</v>
      </c>
      <c r="C147" s="3" t="s">
        <v>1105</v>
      </c>
      <c r="D147" s="3" t="s">
        <v>1105</v>
      </c>
      <c r="E147" s="4" t="s">
        <v>396</v>
      </c>
      <c r="F147" s="3" t="s">
        <v>2276</v>
      </c>
      <c r="G147" s="3">
        <v>2010</v>
      </c>
      <c r="H147" s="3">
        <v>0</v>
      </c>
      <c r="I147" s="4" t="s">
        <v>3693</v>
      </c>
      <c r="J147" s="3" t="s">
        <v>2276</v>
      </c>
      <c r="K147" s="3" t="s">
        <v>2276</v>
      </c>
      <c r="L147" s="3" t="s">
        <v>2276</v>
      </c>
      <c r="M147" s="52" t="s">
        <v>2276</v>
      </c>
      <c r="N147" s="3"/>
    </row>
    <row r="148" spans="1:14" ht="45.5" customHeight="1">
      <c r="A148" s="23" t="s">
        <v>3664</v>
      </c>
      <c r="B148" s="11" t="s">
        <v>3674</v>
      </c>
      <c r="C148" s="3" t="s">
        <v>1105</v>
      </c>
      <c r="D148" s="3" t="s">
        <v>1105</v>
      </c>
      <c r="E148" s="4" t="s">
        <v>397</v>
      </c>
      <c r="F148" s="3" t="s">
        <v>2276</v>
      </c>
      <c r="G148" s="3">
        <v>2011</v>
      </c>
      <c r="H148" s="3">
        <v>1</v>
      </c>
      <c r="I148" s="19" t="s">
        <v>3698</v>
      </c>
      <c r="J148" s="3" t="s">
        <v>2276</v>
      </c>
      <c r="K148" s="3" t="s">
        <v>2276</v>
      </c>
      <c r="L148" s="3" t="s">
        <v>2276</v>
      </c>
      <c r="M148" s="52" t="s">
        <v>2276</v>
      </c>
      <c r="N148" s="3"/>
    </row>
    <row r="149" spans="1:14" ht="51" customHeight="1">
      <c r="A149" s="23" t="s">
        <v>3664</v>
      </c>
      <c r="B149" s="11" t="s">
        <v>3676</v>
      </c>
      <c r="C149" s="3" t="s">
        <v>1105</v>
      </c>
      <c r="D149" s="3" t="s">
        <v>1105</v>
      </c>
      <c r="E149" s="4" t="s">
        <v>396</v>
      </c>
      <c r="F149" s="3" t="s">
        <v>2276</v>
      </c>
      <c r="G149" s="3">
        <v>2011</v>
      </c>
      <c r="H149" s="3">
        <v>1</v>
      </c>
      <c r="I149" s="19" t="s">
        <v>3698</v>
      </c>
      <c r="J149" s="3" t="s">
        <v>2276</v>
      </c>
      <c r="K149" s="3" t="s">
        <v>2276</v>
      </c>
      <c r="L149" s="3" t="s">
        <v>2276</v>
      </c>
      <c r="M149" s="52" t="s">
        <v>2276</v>
      </c>
      <c r="N149" s="3"/>
    </row>
    <row r="150" spans="1:14" ht="46.5" customHeight="1">
      <c r="A150" s="23" t="s">
        <v>3664</v>
      </c>
      <c r="B150" s="11" t="s">
        <v>3677</v>
      </c>
      <c r="C150" s="3" t="s">
        <v>1105</v>
      </c>
      <c r="D150" s="3" t="s">
        <v>1105</v>
      </c>
      <c r="E150" s="4" t="s">
        <v>397</v>
      </c>
      <c r="F150" s="3" t="s">
        <v>2276</v>
      </c>
      <c r="G150" s="3">
        <v>2012</v>
      </c>
      <c r="H150" s="3">
        <v>1</v>
      </c>
      <c r="I150" s="19" t="s">
        <v>3698</v>
      </c>
      <c r="J150" s="3" t="s">
        <v>2276</v>
      </c>
      <c r="K150" s="3" t="s">
        <v>2276</v>
      </c>
      <c r="L150" s="3" t="s">
        <v>2276</v>
      </c>
      <c r="M150" s="52" t="s">
        <v>2276</v>
      </c>
      <c r="N150" s="3"/>
    </row>
    <row r="151" spans="1:14" ht="46.5" customHeight="1">
      <c r="A151" s="23" t="s">
        <v>3664</v>
      </c>
      <c r="B151" s="11" t="s">
        <v>3678</v>
      </c>
      <c r="C151" s="3" t="s">
        <v>1105</v>
      </c>
      <c r="D151" s="3" t="s">
        <v>1105</v>
      </c>
      <c r="E151" s="4" t="s">
        <v>396</v>
      </c>
      <c r="F151" s="3" t="s">
        <v>2276</v>
      </c>
      <c r="G151" s="3">
        <v>2012</v>
      </c>
      <c r="H151" s="3">
        <v>1</v>
      </c>
      <c r="I151" s="19" t="s">
        <v>3698</v>
      </c>
      <c r="J151" s="3" t="s">
        <v>2276</v>
      </c>
      <c r="K151" s="3" t="s">
        <v>2276</v>
      </c>
      <c r="L151" s="3" t="s">
        <v>2276</v>
      </c>
      <c r="M151" s="52" t="s">
        <v>2276</v>
      </c>
      <c r="N151" s="3"/>
    </row>
    <row r="152" spans="1:14" ht="36.5" customHeight="1">
      <c r="A152" s="23" t="s">
        <v>3700</v>
      </c>
      <c r="B152" s="3" t="s">
        <v>3711</v>
      </c>
      <c r="C152" s="3" t="s">
        <v>1105</v>
      </c>
      <c r="D152" s="3" t="s">
        <v>1105</v>
      </c>
      <c r="E152" s="4" t="s">
        <v>2649</v>
      </c>
      <c r="F152" s="3" t="s">
        <v>74</v>
      </c>
      <c r="G152" s="3"/>
      <c r="H152" s="3" t="s">
        <v>2276</v>
      </c>
      <c r="I152" s="3" t="s">
        <v>2276</v>
      </c>
      <c r="J152" s="3" t="s">
        <v>2276</v>
      </c>
      <c r="K152" s="3" t="s">
        <v>2276</v>
      </c>
      <c r="L152" s="3">
        <v>3</v>
      </c>
      <c r="M152" s="52" t="s">
        <v>3713</v>
      </c>
      <c r="N152" s="3"/>
    </row>
    <row r="153" spans="1:14" ht="40" customHeight="1">
      <c r="A153" s="23" t="s">
        <v>3700</v>
      </c>
      <c r="B153" s="3" t="s">
        <v>3709</v>
      </c>
      <c r="C153" s="3" t="s">
        <v>1105</v>
      </c>
      <c r="D153" s="3" t="s">
        <v>1105</v>
      </c>
      <c r="E153" s="4" t="s">
        <v>2649</v>
      </c>
      <c r="F153" s="3" t="s">
        <v>2663</v>
      </c>
      <c r="G153" s="3"/>
      <c r="H153" s="3" t="s">
        <v>2276</v>
      </c>
      <c r="I153" s="3" t="s">
        <v>2276</v>
      </c>
      <c r="J153" s="3" t="s">
        <v>2276</v>
      </c>
      <c r="K153" s="3" t="s">
        <v>2276</v>
      </c>
      <c r="L153" s="3">
        <v>3</v>
      </c>
      <c r="M153" s="52" t="s">
        <v>3713</v>
      </c>
      <c r="N153" s="3"/>
    </row>
    <row r="154" spans="1:14" ht="45.5" customHeight="1">
      <c r="A154" s="23" t="s">
        <v>3701</v>
      </c>
      <c r="B154" s="3" t="s">
        <v>3710</v>
      </c>
      <c r="C154" s="3" t="s">
        <v>1105</v>
      </c>
      <c r="D154" s="3" t="s">
        <v>1105</v>
      </c>
      <c r="E154" s="4" t="s">
        <v>137</v>
      </c>
      <c r="F154" s="3" t="s">
        <v>74</v>
      </c>
      <c r="G154" s="3"/>
      <c r="H154" s="3" t="s">
        <v>2276</v>
      </c>
      <c r="I154" s="3" t="s">
        <v>2276</v>
      </c>
      <c r="J154" s="3" t="s">
        <v>2276</v>
      </c>
      <c r="K154" s="3" t="s">
        <v>2276</v>
      </c>
      <c r="L154" s="3">
        <v>2</v>
      </c>
      <c r="M154" s="48" t="s">
        <v>3714</v>
      </c>
      <c r="N154" s="3"/>
    </row>
    <row r="155" spans="1:14" ht="67" customHeight="1">
      <c r="A155" s="23" t="s">
        <v>3716</v>
      </c>
      <c r="B155" s="11" t="s">
        <v>3720</v>
      </c>
      <c r="C155" s="3" t="s">
        <v>1105</v>
      </c>
      <c r="D155" s="3" t="s">
        <v>1105</v>
      </c>
      <c r="E155" s="4" t="s">
        <v>5005</v>
      </c>
      <c r="F155" s="4" t="s">
        <v>2662</v>
      </c>
      <c r="G155" s="3"/>
      <c r="H155" s="3">
        <v>1</v>
      </c>
      <c r="I155" s="4" t="s">
        <v>3748</v>
      </c>
      <c r="J155" s="3">
        <v>2</v>
      </c>
      <c r="K155" s="4" t="s">
        <v>3749</v>
      </c>
      <c r="L155" s="3" t="s">
        <v>2276</v>
      </c>
      <c r="M155" s="52" t="s">
        <v>2276</v>
      </c>
      <c r="N155" s="3"/>
    </row>
    <row r="156" spans="1:14" ht="136" customHeight="1">
      <c r="A156" s="23" t="s">
        <v>3769</v>
      </c>
      <c r="B156" s="11" t="s">
        <v>3774</v>
      </c>
      <c r="C156" s="3" t="s">
        <v>24</v>
      </c>
      <c r="D156" s="3" t="s">
        <v>2660</v>
      </c>
      <c r="E156" s="4" t="s">
        <v>45</v>
      </c>
      <c r="F156" s="3" t="s">
        <v>29</v>
      </c>
      <c r="G156" s="3"/>
      <c r="H156" s="3">
        <v>0</v>
      </c>
      <c r="I156" s="4" t="s">
        <v>3781</v>
      </c>
      <c r="J156" s="3">
        <v>1</v>
      </c>
      <c r="K156" s="4" t="s">
        <v>3780</v>
      </c>
      <c r="L156" s="3" t="s">
        <v>2276</v>
      </c>
      <c r="M156" s="52" t="s">
        <v>2276</v>
      </c>
      <c r="N156" s="3"/>
    </row>
    <row r="157" spans="1:14" ht="52.5" customHeight="1">
      <c r="A157" s="23" t="s">
        <v>3783</v>
      </c>
      <c r="B157" s="11" t="s">
        <v>3786</v>
      </c>
      <c r="C157" s="3" t="s">
        <v>24</v>
      </c>
      <c r="D157" s="3" t="s">
        <v>1105</v>
      </c>
      <c r="E157" s="4" t="s">
        <v>45</v>
      </c>
      <c r="F157" s="3" t="s">
        <v>2276</v>
      </c>
      <c r="G157" s="3"/>
      <c r="H157" s="3">
        <v>1</v>
      </c>
      <c r="I157" s="3" t="s">
        <v>3795</v>
      </c>
      <c r="J157" s="3" t="s">
        <v>2276</v>
      </c>
      <c r="K157" s="3" t="s">
        <v>2276</v>
      </c>
      <c r="L157" s="3" t="s">
        <v>2276</v>
      </c>
      <c r="M157" s="52" t="s">
        <v>2276</v>
      </c>
      <c r="N157" s="3"/>
    </row>
    <row r="158" spans="1:14" ht="52.5" customHeight="1">
      <c r="A158" s="23" t="s">
        <v>3783</v>
      </c>
      <c r="B158" s="11" t="s">
        <v>3788</v>
      </c>
      <c r="C158" s="3" t="s">
        <v>24</v>
      </c>
      <c r="D158" s="3" t="s">
        <v>1105</v>
      </c>
      <c r="E158" s="4" t="s">
        <v>130</v>
      </c>
      <c r="F158" s="3" t="s">
        <v>2276</v>
      </c>
      <c r="G158" s="3"/>
      <c r="H158" s="3">
        <v>1</v>
      </c>
      <c r="I158" s="3" t="s">
        <v>3795</v>
      </c>
      <c r="J158" s="3" t="s">
        <v>2276</v>
      </c>
      <c r="K158" s="3" t="s">
        <v>2276</v>
      </c>
      <c r="L158" s="3" t="s">
        <v>2276</v>
      </c>
      <c r="M158" s="52" t="s">
        <v>2276</v>
      </c>
      <c r="N158" s="3"/>
    </row>
    <row r="159" spans="1:14" ht="52.5" customHeight="1">
      <c r="A159" s="23" t="s">
        <v>3797</v>
      </c>
      <c r="B159" s="11" t="s">
        <v>3801</v>
      </c>
      <c r="C159" s="3" t="s">
        <v>24</v>
      </c>
      <c r="D159" s="3" t="s">
        <v>1242</v>
      </c>
      <c r="E159" s="4" t="s">
        <v>1105</v>
      </c>
      <c r="F159" s="4" t="s">
        <v>2662</v>
      </c>
      <c r="G159" s="3"/>
      <c r="H159" s="3">
        <v>2</v>
      </c>
      <c r="I159" s="4" t="s">
        <v>3811</v>
      </c>
      <c r="J159" s="3">
        <v>2</v>
      </c>
      <c r="K159" s="4" t="s">
        <v>3811</v>
      </c>
      <c r="L159" s="3" t="s">
        <v>2276</v>
      </c>
      <c r="M159" s="52" t="s">
        <v>2276</v>
      </c>
      <c r="N159" s="3"/>
    </row>
    <row r="160" spans="1:14" ht="57" customHeight="1">
      <c r="A160" s="23" t="s">
        <v>3816</v>
      </c>
      <c r="B160" s="11" t="s">
        <v>3818</v>
      </c>
      <c r="C160" s="3" t="s">
        <v>24</v>
      </c>
      <c r="D160" s="3" t="s">
        <v>1242</v>
      </c>
      <c r="E160" s="4" t="s">
        <v>1105</v>
      </c>
      <c r="F160" s="4" t="s">
        <v>2662</v>
      </c>
      <c r="G160" s="3"/>
      <c r="H160" s="3">
        <v>1</v>
      </c>
      <c r="I160" s="4" t="s">
        <v>3830</v>
      </c>
      <c r="J160" s="3">
        <v>2</v>
      </c>
      <c r="K160" s="4" t="s">
        <v>3811</v>
      </c>
      <c r="L160" s="3" t="s">
        <v>2276</v>
      </c>
      <c r="M160" s="52" t="s">
        <v>2276</v>
      </c>
      <c r="N160" s="3"/>
    </row>
    <row r="161" spans="1:14" ht="57" customHeight="1">
      <c r="A161" s="23" t="s">
        <v>3850</v>
      </c>
      <c r="B161" s="11" t="s">
        <v>3857</v>
      </c>
      <c r="C161" s="3" t="s">
        <v>24</v>
      </c>
      <c r="D161" s="3" t="s">
        <v>1105</v>
      </c>
      <c r="E161" s="4" t="s">
        <v>137</v>
      </c>
      <c r="F161" s="4" t="s">
        <v>2276</v>
      </c>
      <c r="G161" s="3"/>
      <c r="H161" s="3" t="s">
        <v>2276</v>
      </c>
      <c r="I161" s="3" t="s">
        <v>2276</v>
      </c>
      <c r="J161" s="3">
        <v>3</v>
      </c>
      <c r="K161" s="4" t="s">
        <v>4128</v>
      </c>
      <c r="L161" s="3" t="s">
        <v>2276</v>
      </c>
      <c r="M161" s="52" t="s">
        <v>2276</v>
      </c>
      <c r="N161" s="3"/>
    </row>
    <row r="162" spans="1:14" ht="45.5" customHeight="1">
      <c r="A162" s="23" t="s">
        <v>3861</v>
      </c>
      <c r="B162" s="11" t="s">
        <v>3865</v>
      </c>
      <c r="C162" s="3" t="s">
        <v>24</v>
      </c>
      <c r="D162" s="3" t="s">
        <v>1105</v>
      </c>
      <c r="E162" s="4" t="s">
        <v>2648</v>
      </c>
      <c r="F162" s="4" t="s">
        <v>2662</v>
      </c>
      <c r="G162" s="3"/>
      <c r="H162" s="3">
        <v>2</v>
      </c>
      <c r="I162" s="4" t="s">
        <v>3890</v>
      </c>
      <c r="J162" s="3">
        <v>2</v>
      </c>
      <c r="K162" s="4" t="s">
        <v>3889</v>
      </c>
      <c r="L162" s="3" t="s">
        <v>2276</v>
      </c>
      <c r="M162" s="52" t="s">
        <v>2276</v>
      </c>
      <c r="N162" s="3"/>
    </row>
    <row r="163" spans="1:14" ht="63" customHeight="1">
      <c r="A163" s="23" t="s">
        <v>3861</v>
      </c>
      <c r="B163" s="11" t="s">
        <v>3867</v>
      </c>
      <c r="C163" s="3" t="s">
        <v>1105</v>
      </c>
      <c r="D163" s="3" t="s">
        <v>1105</v>
      </c>
      <c r="E163" s="4" t="s">
        <v>2649</v>
      </c>
      <c r="F163" s="3" t="s">
        <v>74</v>
      </c>
      <c r="G163" s="3"/>
      <c r="H163" s="3" t="s">
        <v>2276</v>
      </c>
      <c r="I163" s="3" t="s">
        <v>2276</v>
      </c>
      <c r="J163" s="3">
        <v>0</v>
      </c>
      <c r="K163" s="4" t="s">
        <v>3888</v>
      </c>
      <c r="L163" s="3">
        <v>3</v>
      </c>
      <c r="M163" s="48" t="s">
        <v>3887</v>
      </c>
      <c r="N163" s="3"/>
    </row>
    <row r="164" spans="1:14" ht="34" customHeight="1">
      <c r="A164" s="23" t="s">
        <v>4048</v>
      </c>
      <c r="B164" s="11" t="s">
        <v>4049</v>
      </c>
      <c r="C164" s="3" t="s">
        <v>1105</v>
      </c>
      <c r="D164" s="3" t="s">
        <v>1105</v>
      </c>
      <c r="E164" s="4" t="s">
        <v>45</v>
      </c>
      <c r="F164" s="4" t="s">
        <v>2662</v>
      </c>
      <c r="G164" s="3"/>
      <c r="H164" s="3" t="s">
        <v>2276</v>
      </c>
      <c r="I164" s="3" t="s">
        <v>2276</v>
      </c>
      <c r="J164" s="3">
        <v>2</v>
      </c>
      <c r="K164" s="19" t="s">
        <v>4076</v>
      </c>
      <c r="L164" s="3" t="s">
        <v>2276</v>
      </c>
      <c r="M164" s="52" t="s">
        <v>2276</v>
      </c>
      <c r="N164" s="3"/>
    </row>
    <row r="165" spans="1:14" ht="34" customHeight="1">
      <c r="A165" s="23" t="s">
        <v>4059</v>
      </c>
      <c r="B165" s="11" t="s">
        <v>4072</v>
      </c>
      <c r="C165" s="3" t="s">
        <v>1105</v>
      </c>
      <c r="D165" s="3" t="s">
        <v>1105</v>
      </c>
      <c r="E165" s="4" t="s">
        <v>45</v>
      </c>
      <c r="F165" s="4" t="s">
        <v>2662</v>
      </c>
      <c r="G165" s="3"/>
      <c r="H165" s="3" t="s">
        <v>2276</v>
      </c>
      <c r="I165" s="3" t="s">
        <v>2276</v>
      </c>
      <c r="J165" s="3">
        <v>2</v>
      </c>
      <c r="K165" s="19" t="s">
        <v>4076</v>
      </c>
      <c r="L165" s="3" t="s">
        <v>2276</v>
      </c>
      <c r="M165" s="52" t="s">
        <v>2276</v>
      </c>
      <c r="N165" s="3"/>
    </row>
    <row r="166" spans="1:14" ht="34" customHeight="1">
      <c r="A166" s="23" t="s">
        <v>4060</v>
      </c>
      <c r="B166" s="11" t="s">
        <v>4073</v>
      </c>
      <c r="C166" s="3" t="s">
        <v>1105</v>
      </c>
      <c r="D166" s="3" t="s">
        <v>1105</v>
      </c>
      <c r="E166" s="4" t="s">
        <v>45</v>
      </c>
      <c r="F166" s="4" t="s">
        <v>2662</v>
      </c>
      <c r="G166" s="3"/>
      <c r="H166" s="3" t="s">
        <v>2276</v>
      </c>
      <c r="I166" s="3" t="s">
        <v>2276</v>
      </c>
      <c r="J166" s="3">
        <v>2</v>
      </c>
      <c r="K166" s="19" t="s">
        <v>4076</v>
      </c>
      <c r="L166" s="3" t="s">
        <v>2276</v>
      </c>
      <c r="M166" s="52" t="s">
        <v>2276</v>
      </c>
      <c r="N166" s="3"/>
    </row>
    <row r="167" spans="1:14" ht="34" customHeight="1">
      <c r="A167" s="23" t="s">
        <v>4061</v>
      </c>
      <c r="B167" s="11" t="s">
        <v>4074</v>
      </c>
      <c r="C167" s="3" t="s">
        <v>1105</v>
      </c>
      <c r="D167" s="3" t="s">
        <v>1105</v>
      </c>
      <c r="E167" s="4" t="s">
        <v>45</v>
      </c>
      <c r="F167" s="4" t="s">
        <v>2662</v>
      </c>
      <c r="G167" s="3"/>
      <c r="H167" s="3" t="s">
        <v>2276</v>
      </c>
      <c r="I167" s="3" t="s">
        <v>2276</v>
      </c>
      <c r="J167" s="3">
        <v>2</v>
      </c>
      <c r="K167" s="19" t="s">
        <v>4076</v>
      </c>
      <c r="L167" s="3" t="s">
        <v>2276</v>
      </c>
      <c r="M167" s="52" t="s">
        <v>2276</v>
      </c>
      <c r="N167" s="3"/>
    </row>
    <row r="168" spans="1:14" ht="34" customHeight="1">
      <c r="A168" s="23" t="s">
        <v>4062</v>
      </c>
      <c r="B168" s="11" t="s">
        <v>4075</v>
      </c>
      <c r="C168" s="3" t="s">
        <v>1105</v>
      </c>
      <c r="D168" s="3" t="s">
        <v>1105</v>
      </c>
      <c r="E168" s="4" t="s">
        <v>45</v>
      </c>
      <c r="F168" s="4" t="s">
        <v>2662</v>
      </c>
      <c r="G168" s="3"/>
      <c r="H168" s="3" t="s">
        <v>2276</v>
      </c>
      <c r="I168" s="3" t="s">
        <v>2276</v>
      </c>
      <c r="J168" s="3">
        <v>2</v>
      </c>
      <c r="K168" s="19" t="s">
        <v>4076</v>
      </c>
      <c r="L168" s="3" t="s">
        <v>2276</v>
      </c>
      <c r="M168" s="52" t="s">
        <v>2276</v>
      </c>
      <c r="N168" s="3"/>
    </row>
    <row r="169" spans="1:14" ht="34" customHeight="1">
      <c r="A169" s="23" t="s">
        <v>4063</v>
      </c>
      <c r="B169" s="11" t="s">
        <v>4066</v>
      </c>
      <c r="C169" s="3" t="s">
        <v>1105</v>
      </c>
      <c r="D169" s="3" t="s">
        <v>1105</v>
      </c>
      <c r="E169" s="4" t="s">
        <v>45</v>
      </c>
      <c r="F169" s="4" t="s">
        <v>2662</v>
      </c>
      <c r="G169" s="3"/>
      <c r="H169" s="3" t="s">
        <v>2276</v>
      </c>
      <c r="I169" s="3" t="s">
        <v>2276</v>
      </c>
      <c r="J169" s="3">
        <v>2</v>
      </c>
      <c r="K169" s="19" t="s">
        <v>4076</v>
      </c>
      <c r="L169" s="3" t="s">
        <v>2276</v>
      </c>
      <c r="M169" s="52" t="s">
        <v>2276</v>
      </c>
      <c r="N169" s="3"/>
    </row>
    <row r="170" spans="1:14" ht="37.5" customHeight="1">
      <c r="A170" s="23" t="s">
        <v>4086</v>
      </c>
      <c r="B170" s="19" t="s">
        <v>4090</v>
      </c>
      <c r="C170" s="4" t="s">
        <v>1105</v>
      </c>
      <c r="D170" s="4" t="s">
        <v>1105</v>
      </c>
      <c r="E170" s="4" t="s">
        <v>3209</v>
      </c>
      <c r="F170" s="4" t="s">
        <v>74</v>
      </c>
      <c r="G170" s="3">
        <v>1982</v>
      </c>
      <c r="H170" s="3" t="s">
        <v>2276</v>
      </c>
      <c r="I170" s="3" t="s">
        <v>2276</v>
      </c>
      <c r="J170" s="3" t="s">
        <v>2276</v>
      </c>
      <c r="K170" s="3" t="s">
        <v>2276</v>
      </c>
      <c r="L170" s="3">
        <v>1</v>
      </c>
      <c r="M170" s="52" t="s">
        <v>4102</v>
      </c>
      <c r="N170" s="3"/>
    </row>
    <row r="171" spans="1:14" ht="37.5" customHeight="1">
      <c r="A171" s="23" t="s">
        <v>4086</v>
      </c>
      <c r="B171" s="19" t="s">
        <v>4091</v>
      </c>
      <c r="C171" s="4" t="s">
        <v>1105</v>
      </c>
      <c r="D171" s="4" t="s">
        <v>1105</v>
      </c>
      <c r="E171" s="4" t="s">
        <v>3209</v>
      </c>
      <c r="F171" s="4" t="s">
        <v>74</v>
      </c>
      <c r="G171" s="3">
        <v>1983</v>
      </c>
      <c r="H171" s="3" t="s">
        <v>2276</v>
      </c>
      <c r="I171" s="3" t="s">
        <v>2276</v>
      </c>
      <c r="J171" s="3" t="s">
        <v>2276</v>
      </c>
      <c r="K171" s="3" t="s">
        <v>2276</v>
      </c>
      <c r="L171" s="3">
        <v>1</v>
      </c>
      <c r="M171" s="52" t="s">
        <v>4102</v>
      </c>
      <c r="N171" s="3"/>
    </row>
    <row r="172" spans="1:14" ht="37.5" customHeight="1">
      <c r="A172" s="23" t="s">
        <v>4086</v>
      </c>
      <c r="B172" s="19" t="s">
        <v>4092</v>
      </c>
      <c r="C172" s="4" t="s">
        <v>1105</v>
      </c>
      <c r="D172" s="4" t="s">
        <v>1105</v>
      </c>
      <c r="E172" s="4" t="s">
        <v>3209</v>
      </c>
      <c r="F172" s="4" t="s">
        <v>74</v>
      </c>
      <c r="G172" s="3">
        <v>1984</v>
      </c>
      <c r="H172" s="3" t="s">
        <v>2276</v>
      </c>
      <c r="I172" s="3" t="s">
        <v>2276</v>
      </c>
      <c r="J172" s="3" t="s">
        <v>2276</v>
      </c>
      <c r="K172" s="3" t="s">
        <v>2276</v>
      </c>
      <c r="L172" s="3">
        <v>1</v>
      </c>
      <c r="M172" s="52" t="s">
        <v>4102</v>
      </c>
      <c r="N172" s="3"/>
    </row>
    <row r="173" spans="1:14" ht="37.5" customHeight="1">
      <c r="A173" s="23" t="s">
        <v>4086</v>
      </c>
      <c r="B173" s="19" t="s">
        <v>4093</v>
      </c>
      <c r="C173" s="4" t="s">
        <v>1105</v>
      </c>
      <c r="D173" s="4" t="s">
        <v>1105</v>
      </c>
      <c r="E173" s="4" t="s">
        <v>3209</v>
      </c>
      <c r="F173" s="4" t="s">
        <v>74</v>
      </c>
      <c r="G173" s="3">
        <v>1985</v>
      </c>
      <c r="H173" s="3" t="s">
        <v>2276</v>
      </c>
      <c r="I173" s="3" t="s">
        <v>2276</v>
      </c>
      <c r="J173" s="3" t="s">
        <v>2276</v>
      </c>
      <c r="K173" s="3" t="s">
        <v>2276</v>
      </c>
      <c r="L173" s="3">
        <v>1</v>
      </c>
      <c r="M173" s="52" t="s">
        <v>4102</v>
      </c>
      <c r="N173" s="3"/>
    </row>
    <row r="174" spans="1:14" ht="37.5" customHeight="1">
      <c r="A174" s="23" t="s">
        <v>4086</v>
      </c>
      <c r="B174" s="19" t="s">
        <v>4094</v>
      </c>
      <c r="C174" s="4" t="s">
        <v>1105</v>
      </c>
      <c r="D174" s="4" t="s">
        <v>1105</v>
      </c>
      <c r="E174" s="4" t="s">
        <v>3209</v>
      </c>
      <c r="F174" s="4" t="s">
        <v>74</v>
      </c>
      <c r="G174" s="3">
        <v>1986</v>
      </c>
      <c r="H174" s="3" t="s">
        <v>2276</v>
      </c>
      <c r="I174" s="3" t="s">
        <v>2276</v>
      </c>
      <c r="J174" s="3" t="s">
        <v>2276</v>
      </c>
      <c r="K174" s="3" t="s">
        <v>2276</v>
      </c>
      <c r="L174" s="3">
        <v>1</v>
      </c>
      <c r="M174" s="52" t="s">
        <v>4102</v>
      </c>
      <c r="N174" s="3"/>
    </row>
    <row r="175" spans="1:14" ht="37.5" customHeight="1">
      <c r="A175" s="23" t="s">
        <v>4086</v>
      </c>
      <c r="B175" s="19" t="s">
        <v>4095</v>
      </c>
      <c r="C175" s="4" t="s">
        <v>1105</v>
      </c>
      <c r="D175" s="4" t="s">
        <v>1105</v>
      </c>
      <c r="E175" s="4" t="s">
        <v>3209</v>
      </c>
      <c r="F175" s="4" t="s">
        <v>74</v>
      </c>
      <c r="G175" s="3">
        <v>1987</v>
      </c>
      <c r="H175" s="3" t="s">
        <v>2276</v>
      </c>
      <c r="I175" s="3" t="s">
        <v>2276</v>
      </c>
      <c r="J175" s="3" t="s">
        <v>2276</v>
      </c>
      <c r="K175" s="3" t="s">
        <v>2276</v>
      </c>
      <c r="L175" s="3">
        <v>1</v>
      </c>
      <c r="M175" s="52" t="s">
        <v>4102</v>
      </c>
      <c r="N175" s="3"/>
    </row>
    <row r="176" spans="1:14" ht="37.5" customHeight="1">
      <c r="A176" s="23" t="s">
        <v>4086</v>
      </c>
      <c r="B176" s="19" t="s">
        <v>4096</v>
      </c>
      <c r="C176" s="4" t="s">
        <v>1105</v>
      </c>
      <c r="D176" s="4" t="s">
        <v>1105</v>
      </c>
      <c r="E176" s="4" t="s">
        <v>3209</v>
      </c>
      <c r="F176" s="4" t="s">
        <v>74</v>
      </c>
      <c r="G176" s="3">
        <v>1988</v>
      </c>
      <c r="H176" s="3" t="s">
        <v>2276</v>
      </c>
      <c r="I176" s="3" t="s">
        <v>2276</v>
      </c>
      <c r="J176" s="3" t="s">
        <v>2276</v>
      </c>
      <c r="K176" s="3" t="s">
        <v>2276</v>
      </c>
      <c r="L176" s="3">
        <v>1</v>
      </c>
      <c r="M176" s="52" t="s">
        <v>4102</v>
      </c>
      <c r="N176" s="3"/>
    </row>
    <row r="177" spans="1:14" ht="37.5" customHeight="1">
      <c r="A177" s="23" t="s">
        <v>4086</v>
      </c>
      <c r="B177" s="19" t="s">
        <v>4097</v>
      </c>
      <c r="C177" s="4" t="s">
        <v>1105</v>
      </c>
      <c r="D177" s="4" t="s">
        <v>1105</v>
      </c>
      <c r="E177" s="4" t="s">
        <v>3209</v>
      </c>
      <c r="F177" s="4" t="s">
        <v>74</v>
      </c>
      <c r="G177" s="3">
        <v>1989</v>
      </c>
      <c r="H177" s="3" t="s">
        <v>2276</v>
      </c>
      <c r="I177" s="3" t="s">
        <v>2276</v>
      </c>
      <c r="J177" s="3" t="s">
        <v>2276</v>
      </c>
      <c r="K177" s="3" t="s">
        <v>2276</v>
      </c>
      <c r="L177" s="3">
        <v>1</v>
      </c>
      <c r="M177" s="52" t="s">
        <v>4102</v>
      </c>
      <c r="N177" s="3"/>
    </row>
    <row r="178" spans="1:14" ht="37.5" customHeight="1">
      <c r="A178" s="23" t="s">
        <v>4086</v>
      </c>
      <c r="B178" s="19" t="s">
        <v>4098</v>
      </c>
      <c r="C178" s="4" t="s">
        <v>1105</v>
      </c>
      <c r="D178" s="4" t="s">
        <v>1105</v>
      </c>
      <c r="E178" s="4" t="s">
        <v>3209</v>
      </c>
      <c r="F178" s="4" t="s">
        <v>74</v>
      </c>
      <c r="G178" s="3">
        <v>1990</v>
      </c>
      <c r="H178" s="3" t="s">
        <v>2276</v>
      </c>
      <c r="I178" s="3" t="s">
        <v>2276</v>
      </c>
      <c r="J178" s="3" t="s">
        <v>2276</v>
      </c>
      <c r="K178" s="3" t="s">
        <v>2276</v>
      </c>
      <c r="L178" s="3">
        <v>1</v>
      </c>
      <c r="M178" s="52" t="s">
        <v>4102</v>
      </c>
      <c r="N178" s="3"/>
    </row>
    <row r="179" spans="1:14" ht="37.5" customHeight="1">
      <c r="A179" s="23" t="s">
        <v>4086</v>
      </c>
      <c r="B179" s="19" t="s">
        <v>4100</v>
      </c>
      <c r="C179" s="4" t="s">
        <v>1105</v>
      </c>
      <c r="D179" s="4" t="s">
        <v>1105</v>
      </c>
      <c r="E179" s="4" t="s">
        <v>3209</v>
      </c>
      <c r="F179" s="4" t="s">
        <v>74</v>
      </c>
      <c r="G179" s="3">
        <v>1991</v>
      </c>
      <c r="H179" s="3" t="s">
        <v>2276</v>
      </c>
      <c r="I179" s="3" t="s">
        <v>2276</v>
      </c>
      <c r="J179" s="3" t="s">
        <v>2276</v>
      </c>
      <c r="K179" s="3" t="s">
        <v>2276</v>
      </c>
      <c r="L179" s="3">
        <v>1</v>
      </c>
      <c r="M179" s="52" t="s">
        <v>4102</v>
      </c>
      <c r="N179" s="3"/>
    </row>
    <row r="180" spans="1:14" ht="37.5" customHeight="1">
      <c r="A180" s="23" t="s">
        <v>4086</v>
      </c>
      <c r="B180" s="19" t="s">
        <v>4101</v>
      </c>
      <c r="C180" s="4" t="s">
        <v>1105</v>
      </c>
      <c r="D180" s="4" t="s">
        <v>1105</v>
      </c>
      <c r="E180" s="4" t="s">
        <v>3209</v>
      </c>
      <c r="F180" s="4" t="s">
        <v>74</v>
      </c>
      <c r="G180" s="3">
        <v>1992</v>
      </c>
      <c r="H180" s="3" t="s">
        <v>2276</v>
      </c>
      <c r="I180" s="3" t="s">
        <v>2276</v>
      </c>
      <c r="J180" s="3" t="s">
        <v>2276</v>
      </c>
      <c r="K180" s="3" t="s">
        <v>2276</v>
      </c>
      <c r="L180" s="3">
        <v>1</v>
      </c>
      <c r="M180" s="52" t="s">
        <v>4102</v>
      </c>
      <c r="N180" s="3"/>
    </row>
    <row r="181" spans="1:14" ht="42" customHeight="1">
      <c r="A181" s="23" t="s">
        <v>4086</v>
      </c>
      <c r="B181" s="19" t="s">
        <v>4103</v>
      </c>
      <c r="C181" s="4" t="s">
        <v>1105</v>
      </c>
      <c r="D181" s="4" t="s">
        <v>1105</v>
      </c>
      <c r="E181" s="4" t="s">
        <v>5005</v>
      </c>
      <c r="F181" s="3" t="s">
        <v>55</v>
      </c>
      <c r="G181" s="3"/>
      <c r="H181" s="3" t="s">
        <v>2276</v>
      </c>
      <c r="I181" s="3" t="s">
        <v>2276</v>
      </c>
      <c r="J181" s="3">
        <v>1</v>
      </c>
      <c r="K181" s="4" t="s">
        <v>4105</v>
      </c>
      <c r="L181" s="3" t="s">
        <v>2276</v>
      </c>
      <c r="M181" s="52" t="s">
        <v>2276</v>
      </c>
      <c r="N181" s="3"/>
    </row>
    <row r="182" spans="1:14" ht="42" customHeight="1">
      <c r="A182" s="23" t="s">
        <v>4086</v>
      </c>
      <c r="B182" s="19" t="s">
        <v>4104</v>
      </c>
      <c r="C182" s="4" t="s">
        <v>1105</v>
      </c>
      <c r="D182" s="4" t="s">
        <v>1105</v>
      </c>
      <c r="E182" s="4" t="s">
        <v>45</v>
      </c>
      <c r="F182" s="3" t="s">
        <v>55</v>
      </c>
      <c r="G182" s="3"/>
      <c r="H182" s="3" t="s">
        <v>2276</v>
      </c>
      <c r="I182" s="3" t="s">
        <v>2276</v>
      </c>
      <c r="J182" s="3">
        <v>1</v>
      </c>
      <c r="K182" s="4" t="s">
        <v>4105</v>
      </c>
      <c r="L182" s="3" t="s">
        <v>2276</v>
      </c>
      <c r="M182" s="52" t="s">
        <v>2276</v>
      </c>
      <c r="N182" s="3"/>
    </row>
    <row r="183" spans="1:14" ht="49" customHeight="1">
      <c r="A183" s="11" t="s">
        <v>4108</v>
      </c>
      <c r="B183" s="3" t="s">
        <v>4118</v>
      </c>
      <c r="C183" s="3" t="s">
        <v>24</v>
      </c>
      <c r="D183" s="3" t="s">
        <v>2660</v>
      </c>
      <c r="E183" s="4" t="s">
        <v>5005</v>
      </c>
      <c r="F183" s="3" t="s">
        <v>55</v>
      </c>
      <c r="G183" s="3"/>
      <c r="H183" s="3" t="s">
        <v>2276</v>
      </c>
      <c r="I183" s="3" t="s">
        <v>2276</v>
      </c>
      <c r="J183" s="3" t="s">
        <v>2276</v>
      </c>
      <c r="K183" s="3" t="s">
        <v>2276</v>
      </c>
      <c r="L183" s="3" t="s">
        <v>2276</v>
      </c>
      <c r="M183" s="52" t="s">
        <v>2276</v>
      </c>
      <c r="N183" s="3"/>
    </row>
    <row r="184" spans="1:14" ht="49" customHeight="1">
      <c r="A184" s="11" t="s">
        <v>4108</v>
      </c>
      <c r="B184" s="3" t="s">
        <v>4119</v>
      </c>
      <c r="C184" s="3" t="s">
        <v>24</v>
      </c>
      <c r="D184" s="3" t="s">
        <v>2660</v>
      </c>
      <c r="E184" s="4" t="s">
        <v>45</v>
      </c>
      <c r="F184" s="3" t="s">
        <v>55</v>
      </c>
      <c r="G184" s="3"/>
      <c r="H184" s="3" t="s">
        <v>2276</v>
      </c>
      <c r="I184" s="3" t="s">
        <v>2276</v>
      </c>
      <c r="J184" s="3" t="s">
        <v>2276</v>
      </c>
      <c r="K184" s="3" t="s">
        <v>2276</v>
      </c>
      <c r="L184" s="3" t="s">
        <v>2276</v>
      </c>
      <c r="M184" s="52" t="s">
        <v>2276</v>
      </c>
      <c r="N184" s="3"/>
    </row>
    <row r="185" spans="1:14" ht="59" customHeight="1">
      <c r="A185" s="11" t="s">
        <v>4109</v>
      </c>
      <c r="B185" s="3" t="s">
        <v>4120</v>
      </c>
      <c r="C185" s="3" t="s">
        <v>24</v>
      </c>
      <c r="D185" s="3" t="s">
        <v>2660</v>
      </c>
      <c r="E185" s="4" t="s">
        <v>5005</v>
      </c>
      <c r="F185" s="3" t="s">
        <v>55</v>
      </c>
      <c r="G185" s="3"/>
      <c r="H185" s="3">
        <v>2</v>
      </c>
      <c r="I185" s="4" t="s">
        <v>4124</v>
      </c>
      <c r="J185" s="3" t="s">
        <v>2276</v>
      </c>
      <c r="K185" s="3" t="s">
        <v>2276</v>
      </c>
      <c r="L185" s="3" t="s">
        <v>2276</v>
      </c>
      <c r="M185" s="52" t="s">
        <v>2276</v>
      </c>
      <c r="N185" s="3"/>
    </row>
    <row r="186" spans="1:14" ht="73" customHeight="1">
      <c r="A186" s="11" t="s">
        <v>4109</v>
      </c>
      <c r="B186" s="3" t="s">
        <v>4121</v>
      </c>
      <c r="C186" s="3" t="s">
        <v>24</v>
      </c>
      <c r="D186" s="3" t="s">
        <v>2660</v>
      </c>
      <c r="E186" s="4" t="s">
        <v>45</v>
      </c>
      <c r="F186" s="3" t="s">
        <v>55</v>
      </c>
      <c r="G186" s="3"/>
      <c r="H186" s="3">
        <v>2</v>
      </c>
      <c r="I186" s="4" t="s">
        <v>4124</v>
      </c>
      <c r="J186" s="3" t="s">
        <v>2276</v>
      </c>
      <c r="K186" s="3" t="s">
        <v>2276</v>
      </c>
      <c r="L186" s="3" t="s">
        <v>2276</v>
      </c>
      <c r="M186" s="52" t="s">
        <v>2276</v>
      </c>
      <c r="N186" s="3"/>
    </row>
    <row r="187" spans="1:14" ht="45" customHeight="1">
      <c r="A187" s="11" t="s">
        <v>4129</v>
      </c>
      <c r="B187" s="11" t="s">
        <v>4133</v>
      </c>
      <c r="C187" s="3" t="s">
        <v>24</v>
      </c>
      <c r="D187" s="3" t="s">
        <v>2804</v>
      </c>
      <c r="E187" s="4" t="s">
        <v>2649</v>
      </c>
      <c r="F187" s="4" t="s">
        <v>2662</v>
      </c>
      <c r="G187" s="3"/>
      <c r="H187" s="3" t="s">
        <v>2276</v>
      </c>
      <c r="I187" s="3" t="s">
        <v>2276</v>
      </c>
      <c r="J187" s="3" t="s">
        <v>2276</v>
      </c>
      <c r="K187" s="3" t="s">
        <v>2276</v>
      </c>
      <c r="L187" s="3" t="s">
        <v>2276</v>
      </c>
      <c r="M187" s="52" t="s">
        <v>2276</v>
      </c>
      <c r="N187" s="3"/>
    </row>
    <row r="188" spans="1:14" ht="44" customHeight="1">
      <c r="A188" s="11" t="s">
        <v>4129</v>
      </c>
      <c r="B188" s="11" t="s">
        <v>4134</v>
      </c>
      <c r="C188" s="3" t="s">
        <v>24</v>
      </c>
      <c r="D188" s="3" t="s">
        <v>2804</v>
      </c>
      <c r="E188" s="4" t="s">
        <v>137</v>
      </c>
      <c r="F188" s="4" t="s">
        <v>2662</v>
      </c>
      <c r="G188" s="3"/>
      <c r="H188" s="3" t="s">
        <v>2276</v>
      </c>
      <c r="I188" s="3" t="s">
        <v>2276</v>
      </c>
      <c r="J188" s="3" t="s">
        <v>2276</v>
      </c>
      <c r="K188" s="3" t="s">
        <v>2276</v>
      </c>
      <c r="L188" s="3" t="s">
        <v>2276</v>
      </c>
      <c r="M188" s="52" t="s">
        <v>2276</v>
      </c>
      <c r="N188" s="3"/>
    </row>
    <row r="189" spans="1:14" ht="55" customHeight="1">
      <c r="A189" s="11" t="s">
        <v>4146</v>
      </c>
      <c r="B189" s="11" t="s">
        <v>4154</v>
      </c>
      <c r="C189" s="3" t="s">
        <v>24</v>
      </c>
      <c r="D189" s="3" t="s">
        <v>1105</v>
      </c>
      <c r="E189" s="4" t="s">
        <v>3854</v>
      </c>
      <c r="F189" s="3" t="s">
        <v>2276</v>
      </c>
      <c r="G189" s="3"/>
      <c r="H189" s="3" t="s">
        <v>2276</v>
      </c>
      <c r="I189" s="3" t="s">
        <v>2276</v>
      </c>
      <c r="J189" s="3">
        <v>2</v>
      </c>
      <c r="K189" s="4" t="s">
        <v>4175</v>
      </c>
      <c r="L189" s="3" t="s">
        <v>2276</v>
      </c>
      <c r="M189" s="52" t="s">
        <v>2276</v>
      </c>
      <c r="N189" s="3"/>
    </row>
    <row r="190" spans="1:14" ht="50.5" customHeight="1">
      <c r="A190" s="11" t="s">
        <v>4146</v>
      </c>
      <c r="B190" s="11" t="s">
        <v>4155</v>
      </c>
      <c r="C190" s="3" t="s">
        <v>24</v>
      </c>
      <c r="D190" s="3" t="s">
        <v>1105</v>
      </c>
      <c r="E190" s="4" t="s">
        <v>863</v>
      </c>
      <c r="F190" s="3" t="s">
        <v>2276</v>
      </c>
      <c r="G190" s="3"/>
      <c r="H190" s="3">
        <v>1</v>
      </c>
      <c r="I190" s="60" t="s">
        <v>4179</v>
      </c>
      <c r="J190" s="3" t="s">
        <v>2276</v>
      </c>
      <c r="K190" s="3" t="s">
        <v>2276</v>
      </c>
      <c r="L190" s="3" t="s">
        <v>2276</v>
      </c>
      <c r="M190" s="52" t="s">
        <v>2276</v>
      </c>
      <c r="N190" s="3"/>
    </row>
    <row r="191" spans="1:14" ht="49" customHeight="1">
      <c r="A191" s="11" t="s">
        <v>4147</v>
      </c>
      <c r="B191" s="11" t="s">
        <v>4164</v>
      </c>
      <c r="C191" s="3" t="s">
        <v>24</v>
      </c>
      <c r="D191" s="3" t="s">
        <v>1105</v>
      </c>
      <c r="E191" s="4" t="s">
        <v>5005</v>
      </c>
      <c r="F191" s="3" t="s">
        <v>2276</v>
      </c>
      <c r="G191" s="3"/>
      <c r="H191" s="3">
        <v>2</v>
      </c>
      <c r="I191" s="4" t="s">
        <v>4176</v>
      </c>
      <c r="J191" s="3">
        <v>2</v>
      </c>
      <c r="K191" s="4" t="s">
        <v>4175</v>
      </c>
      <c r="L191" s="3" t="s">
        <v>2276</v>
      </c>
      <c r="M191" s="52" t="s">
        <v>2276</v>
      </c>
      <c r="N191" s="3"/>
    </row>
    <row r="192" spans="1:14" ht="50.5" customHeight="1">
      <c r="A192" s="11" t="s">
        <v>4147</v>
      </c>
      <c r="B192" s="11" t="s">
        <v>4165</v>
      </c>
      <c r="C192" s="3" t="s">
        <v>24</v>
      </c>
      <c r="D192" s="3" t="s">
        <v>1105</v>
      </c>
      <c r="E192" s="4" t="s">
        <v>45</v>
      </c>
      <c r="F192" s="3" t="s">
        <v>2276</v>
      </c>
      <c r="G192" s="3"/>
      <c r="H192" s="3">
        <v>2</v>
      </c>
      <c r="I192" s="4" t="s">
        <v>4176</v>
      </c>
      <c r="J192" s="3">
        <v>2</v>
      </c>
      <c r="K192" s="4" t="s">
        <v>4175</v>
      </c>
      <c r="L192" s="3" t="s">
        <v>2276</v>
      </c>
      <c r="M192" s="52" t="s">
        <v>2276</v>
      </c>
      <c r="N192" s="3"/>
    </row>
    <row r="193" spans="1:15" ht="47" customHeight="1">
      <c r="A193" s="11" t="s">
        <v>4147</v>
      </c>
      <c r="B193" s="11" t="s">
        <v>4167</v>
      </c>
      <c r="C193" s="3" t="s">
        <v>24</v>
      </c>
      <c r="D193" s="3" t="s">
        <v>1105</v>
      </c>
      <c r="E193" s="4" t="s">
        <v>2652</v>
      </c>
      <c r="F193" s="3" t="s">
        <v>2276</v>
      </c>
      <c r="G193" s="3"/>
      <c r="H193" s="3" t="s">
        <v>2276</v>
      </c>
      <c r="I193" s="3" t="s">
        <v>2276</v>
      </c>
      <c r="J193" s="3">
        <v>1</v>
      </c>
      <c r="K193" s="4" t="s">
        <v>4425</v>
      </c>
      <c r="L193" s="3" t="s">
        <v>2276</v>
      </c>
      <c r="M193" s="52" t="s">
        <v>2276</v>
      </c>
      <c r="N193" s="3"/>
    </row>
    <row r="194" spans="1:15" ht="55.5" customHeight="1">
      <c r="A194" s="11" t="s">
        <v>4147</v>
      </c>
      <c r="B194" s="11" t="s">
        <v>4168</v>
      </c>
      <c r="C194" s="3" t="s">
        <v>24</v>
      </c>
      <c r="D194" s="3" t="s">
        <v>1105</v>
      </c>
      <c r="E194" s="4" t="s">
        <v>137</v>
      </c>
      <c r="F194" s="3" t="s">
        <v>2276</v>
      </c>
      <c r="G194" s="3"/>
      <c r="H194" s="3" t="s">
        <v>2276</v>
      </c>
      <c r="I194" s="3" t="s">
        <v>2276</v>
      </c>
      <c r="J194" s="3">
        <v>1</v>
      </c>
      <c r="K194" s="4" t="s">
        <v>4425</v>
      </c>
      <c r="L194" s="3" t="s">
        <v>2276</v>
      </c>
      <c r="M194" s="52" t="s">
        <v>2276</v>
      </c>
      <c r="N194" s="3"/>
      <c r="O194" s="122"/>
    </row>
    <row r="195" spans="1:15" ht="35" customHeight="1">
      <c r="A195" s="35" t="s">
        <v>4197</v>
      </c>
      <c r="B195" s="35" t="s">
        <v>4200</v>
      </c>
      <c r="C195" s="38" t="s">
        <v>1105</v>
      </c>
      <c r="D195" s="38" t="s">
        <v>1105</v>
      </c>
      <c r="E195" s="168" t="s">
        <v>84</v>
      </c>
      <c r="F195" s="38" t="s">
        <v>55</v>
      </c>
      <c r="G195" s="38"/>
      <c r="H195" s="38" t="s">
        <v>2276</v>
      </c>
      <c r="I195" s="38" t="s">
        <v>2276</v>
      </c>
      <c r="J195">
        <v>2</v>
      </c>
      <c r="K195" s="151" t="s">
        <v>4207</v>
      </c>
      <c r="L195" s="38" t="s">
        <v>2276</v>
      </c>
      <c r="M195" s="198" t="s">
        <v>2276</v>
      </c>
      <c r="N195" s="3"/>
    </row>
    <row r="196" spans="1:15" ht="40" customHeight="1">
      <c r="A196" s="35" t="s">
        <v>4220</v>
      </c>
      <c r="B196" s="35" t="s">
        <v>4224</v>
      </c>
      <c r="C196" s="38" t="s">
        <v>24</v>
      </c>
      <c r="D196" s="38" t="s">
        <v>1242</v>
      </c>
      <c r="E196" s="168" t="s">
        <v>137</v>
      </c>
      <c r="F196" s="168" t="s">
        <v>2662</v>
      </c>
      <c r="G196" s="38"/>
      <c r="H196" s="38">
        <v>2</v>
      </c>
      <c r="I196" s="38" t="s">
        <v>4250</v>
      </c>
      <c r="J196" s="38">
        <v>2</v>
      </c>
      <c r="K196" s="55" t="s">
        <v>4251</v>
      </c>
      <c r="L196" s="38" t="s">
        <v>2276</v>
      </c>
      <c r="M196" s="198" t="s">
        <v>2276</v>
      </c>
      <c r="N196" s="3"/>
    </row>
    <row r="197" spans="1:15" ht="51.5" customHeight="1">
      <c r="A197" s="35" t="s">
        <v>4221</v>
      </c>
      <c r="B197" s="35" t="s">
        <v>4232</v>
      </c>
      <c r="C197" s="38" t="s">
        <v>24</v>
      </c>
      <c r="D197" s="38" t="s">
        <v>1242</v>
      </c>
      <c r="E197" s="168" t="s">
        <v>3854</v>
      </c>
      <c r="F197" s="168" t="s">
        <v>2662</v>
      </c>
      <c r="G197" s="38"/>
      <c r="H197" s="38">
        <v>1</v>
      </c>
      <c r="I197" s="38" t="s">
        <v>4252</v>
      </c>
      <c r="J197" s="38" t="s">
        <v>2276</v>
      </c>
      <c r="K197" s="38" t="s">
        <v>2276</v>
      </c>
      <c r="L197" s="38" t="s">
        <v>2276</v>
      </c>
      <c r="M197" s="198" t="s">
        <v>2276</v>
      </c>
      <c r="N197" s="3"/>
    </row>
    <row r="198" spans="1:15" ht="36" customHeight="1">
      <c r="A198" s="11" t="s">
        <v>4221</v>
      </c>
      <c r="B198" s="11" t="s">
        <v>4233</v>
      </c>
      <c r="C198" s="3" t="s">
        <v>24</v>
      </c>
      <c r="D198" s="3" t="s">
        <v>1245</v>
      </c>
      <c r="E198" s="4" t="s">
        <v>116</v>
      </c>
      <c r="F198" s="168" t="s">
        <v>2662</v>
      </c>
      <c r="G198" s="3"/>
      <c r="H198" s="3">
        <v>0</v>
      </c>
      <c r="I198" s="4" t="s">
        <v>3012</v>
      </c>
      <c r="J198" s="4">
        <v>0</v>
      </c>
      <c r="K198" s="4" t="s">
        <v>3012</v>
      </c>
      <c r="L198" s="38" t="s">
        <v>2276</v>
      </c>
      <c r="M198" s="198" t="s">
        <v>2276</v>
      </c>
      <c r="N198" s="3"/>
    </row>
    <row r="199" spans="1:15" ht="39.5" customHeight="1">
      <c r="A199" s="11" t="s">
        <v>4221</v>
      </c>
      <c r="B199" s="11" t="s">
        <v>4234</v>
      </c>
      <c r="C199" s="3" t="s">
        <v>24</v>
      </c>
      <c r="D199" s="3" t="s">
        <v>27</v>
      </c>
      <c r="E199" s="4" t="s">
        <v>130</v>
      </c>
      <c r="F199" s="4" t="s">
        <v>2662</v>
      </c>
      <c r="G199" s="3"/>
      <c r="H199" s="3">
        <v>0</v>
      </c>
      <c r="I199" s="4" t="s">
        <v>3012</v>
      </c>
      <c r="J199" s="4">
        <v>0</v>
      </c>
      <c r="K199" s="4" t="s">
        <v>3012</v>
      </c>
      <c r="L199" s="3" t="s">
        <v>2276</v>
      </c>
      <c r="M199" s="52" t="s">
        <v>2276</v>
      </c>
      <c r="N199" s="3"/>
    </row>
    <row r="200" spans="1:15" ht="63" customHeight="1">
      <c r="A200" s="11" t="s">
        <v>4256</v>
      </c>
      <c r="B200" s="11" t="s">
        <v>4263</v>
      </c>
      <c r="C200" s="3" t="s">
        <v>1105</v>
      </c>
      <c r="D200" s="3" t="s">
        <v>1105</v>
      </c>
      <c r="E200" s="4" t="s">
        <v>3209</v>
      </c>
      <c r="F200" s="3" t="s">
        <v>74</v>
      </c>
      <c r="G200" s="3"/>
      <c r="H200" s="38" t="s">
        <v>2276</v>
      </c>
      <c r="I200" s="38" t="s">
        <v>2276</v>
      </c>
      <c r="J200" s="38" t="s">
        <v>2276</v>
      </c>
      <c r="K200" s="38" t="s">
        <v>2276</v>
      </c>
      <c r="L200" s="3">
        <v>2</v>
      </c>
      <c r="M200" s="48" t="s">
        <v>4312</v>
      </c>
      <c r="N200" s="3"/>
    </row>
    <row r="201" spans="1:15" ht="43.5">
      <c r="A201" s="11" t="s">
        <v>4257</v>
      </c>
      <c r="B201" s="11" t="s">
        <v>4281</v>
      </c>
      <c r="C201" s="3" t="s">
        <v>1105</v>
      </c>
      <c r="D201" s="3" t="s">
        <v>1105</v>
      </c>
      <c r="E201" s="4" t="s">
        <v>3209</v>
      </c>
      <c r="F201" s="3" t="s">
        <v>74</v>
      </c>
      <c r="G201" s="3"/>
      <c r="H201" s="38" t="s">
        <v>2276</v>
      </c>
      <c r="I201" s="38" t="s">
        <v>2276</v>
      </c>
      <c r="J201" s="38" t="s">
        <v>2276</v>
      </c>
      <c r="K201" s="38" t="s">
        <v>2276</v>
      </c>
      <c r="L201" s="3">
        <v>2</v>
      </c>
      <c r="M201" s="48" t="s">
        <v>4312</v>
      </c>
      <c r="N201" s="3"/>
    </row>
    <row r="202" spans="1:15" ht="43.5">
      <c r="A202" s="11" t="s">
        <v>4065</v>
      </c>
      <c r="B202" s="11" t="s">
        <v>4290</v>
      </c>
      <c r="C202" s="3" t="s">
        <v>1105</v>
      </c>
      <c r="D202" s="3" t="s">
        <v>1105</v>
      </c>
      <c r="E202" s="168" t="s">
        <v>3209</v>
      </c>
      <c r="F202" s="38" t="s">
        <v>74</v>
      </c>
      <c r="G202" s="38"/>
      <c r="H202" s="38" t="s">
        <v>2276</v>
      </c>
      <c r="I202" s="38" t="s">
        <v>2276</v>
      </c>
      <c r="J202" s="38" t="s">
        <v>2276</v>
      </c>
      <c r="K202" s="38" t="s">
        <v>2276</v>
      </c>
      <c r="L202" s="38">
        <v>2</v>
      </c>
      <c r="M202" s="200" t="s">
        <v>4312</v>
      </c>
      <c r="N202" s="3"/>
    </row>
    <row r="203" spans="1:15" ht="46.5" customHeight="1">
      <c r="A203" s="11" t="s">
        <v>4313</v>
      </c>
      <c r="B203" s="11" t="s">
        <v>4332</v>
      </c>
      <c r="C203" s="3" t="s">
        <v>1105</v>
      </c>
      <c r="D203" s="3" t="s">
        <v>1105</v>
      </c>
      <c r="E203" s="4" t="s">
        <v>1105</v>
      </c>
      <c r="F203" s="3" t="s">
        <v>2276</v>
      </c>
      <c r="G203" s="3"/>
      <c r="H203" s="38" t="s">
        <v>2276</v>
      </c>
      <c r="I203" s="38" t="s">
        <v>2276</v>
      </c>
      <c r="J203" s="3">
        <v>0</v>
      </c>
      <c r="K203" s="4" t="s">
        <v>4344</v>
      </c>
      <c r="L203" s="3" t="s">
        <v>2276</v>
      </c>
      <c r="M203" s="52" t="s">
        <v>2276</v>
      </c>
      <c r="N203" s="3"/>
    </row>
    <row r="204" spans="1:15" ht="50" customHeight="1">
      <c r="A204" s="11" t="s">
        <v>4317</v>
      </c>
      <c r="B204" s="11" t="s">
        <v>4333</v>
      </c>
      <c r="C204" s="3" t="s">
        <v>1105</v>
      </c>
      <c r="D204" s="3" t="s">
        <v>1105</v>
      </c>
      <c r="E204" s="4" t="s">
        <v>45</v>
      </c>
      <c r="F204" s="3" t="s">
        <v>74</v>
      </c>
      <c r="G204" s="3"/>
      <c r="H204" s="38" t="s">
        <v>2276</v>
      </c>
      <c r="I204" s="38" t="s">
        <v>2276</v>
      </c>
      <c r="J204" s="3">
        <v>2</v>
      </c>
      <c r="K204" s="4" t="s">
        <v>4343</v>
      </c>
      <c r="L204" s="3" t="s">
        <v>2276</v>
      </c>
      <c r="M204" s="52" t="s">
        <v>2276</v>
      </c>
      <c r="N204" s="3"/>
    </row>
    <row r="205" spans="1:15" ht="50" customHeight="1">
      <c r="A205" s="11" t="s">
        <v>4318</v>
      </c>
      <c r="B205" s="11" t="s">
        <v>4334</v>
      </c>
      <c r="C205" s="3" t="s">
        <v>1105</v>
      </c>
      <c r="D205" s="3" t="s">
        <v>1105</v>
      </c>
      <c r="E205" s="4" t="s">
        <v>45</v>
      </c>
      <c r="F205" s="3" t="s">
        <v>74</v>
      </c>
      <c r="G205" s="3"/>
      <c r="H205" s="38" t="s">
        <v>2276</v>
      </c>
      <c r="I205" s="38" t="s">
        <v>2276</v>
      </c>
      <c r="J205" s="3">
        <v>2</v>
      </c>
      <c r="K205" s="4" t="s">
        <v>4343</v>
      </c>
      <c r="L205" s="3" t="s">
        <v>2276</v>
      </c>
      <c r="M205" s="52" t="s">
        <v>2276</v>
      </c>
      <c r="N205" s="3"/>
    </row>
    <row r="206" spans="1:15" ht="50" customHeight="1">
      <c r="A206" s="11" t="s">
        <v>4319</v>
      </c>
      <c r="B206" s="11" t="s">
        <v>4335</v>
      </c>
      <c r="C206" s="3" t="s">
        <v>1105</v>
      </c>
      <c r="D206" s="3" t="s">
        <v>1105</v>
      </c>
      <c r="E206" s="4" t="s">
        <v>45</v>
      </c>
      <c r="F206" s="3" t="s">
        <v>74</v>
      </c>
      <c r="G206" s="3"/>
      <c r="H206" s="38" t="s">
        <v>2276</v>
      </c>
      <c r="I206" s="38" t="s">
        <v>2276</v>
      </c>
      <c r="J206" s="3">
        <v>2</v>
      </c>
      <c r="K206" s="4" t="s">
        <v>4343</v>
      </c>
      <c r="L206" s="3" t="s">
        <v>2276</v>
      </c>
      <c r="M206" s="52" t="s">
        <v>2276</v>
      </c>
      <c r="N206" s="3"/>
    </row>
    <row r="207" spans="1:15" ht="50" customHeight="1">
      <c r="A207" s="11" t="s">
        <v>4320</v>
      </c>
      <c r="B207" s="11" t="s">
        <v>4336</v>
      </c>
      <c r="C207" s="3" t="s">
        <v>1105</v>
      </c>
      <c r="D207" s="3" t="s">
        <v>1105</v>
      </c>
      <c r="E207" s="4" t="s">
        <v>45</v>
      </c>
      <c r="F207" s="3" t="s">
        <v>74</v>
      </c>
      <c r="G207" s="3"/>
      <c r="H207" s="38" t="s">
        <v>2276</v>
      </c>
      <c r="I207" s="38" t="s">
        <v>2276</v>
      </c>
      <c r="J207" s="3">
        <v>2</v>
      </c>
      <c r="K207" s="4" t="s">
        <v>4343</v>
      </c>
      <c r="L207" s="3" t="s">
        <v>2276</v>
      </c>
      <c r="M207" s="52" t="s">
        <v>2276</v>
      </c>
      <c r="N207" s="3"/>
    </row>
    <row r="208" spans="1:15" ht="50" customHeight="1">
      <c r="A208" s="11" t="s">
        <v>4321</v>
      </c>
      <c r="B208" s="11" t="s">
        <v>4337</v>
      </c>
      <c r="C208" s="3" t="s">
        <v>1105</v>
      </c>
      <c r="D208" s="3" t="s">
        <v>1105</v>
      </c>
      <c r="E208" s="4" t="s">
        <v>45</v>
      </c>
      <c r="F208" s="3" t="s">
        <v>74</v>
      </c>
      <c r="G208" s="3"/>
      <c r="H208" s="38" t="s">
        <v>2276</v>
      </c>
      <c r="I208" s="38" t="s">
        <v>2276</v>
      </c>
      <c r="J208" s="3">
        <v>2</v>
      </c>
      <c r="K208" s="4" t="s">
        <v>4343</v>
      </c>
      <c r="L208" s="3" t="s">
        <v>2276</v>
      </c>
      <c r="M208" s="52" t="s">
        <v>2276</v>
      </c>
      <c r="N208" s="3"/>
    </row>
    <row r="209" spans="1:14" ht="50" customHeight="1">
      <c r="A209" s="11" t="s">
        <v>4322</v>
      </c>
      <c r="B209" s="11" t="s">
        <v>4338</v>
      </c>
      <c r="C209" s="3" t="s">
        <v>1105</v>
      </c>
      <c r="D209" s="3" t="s">
        <v>1105</v>
      </c>
      <c r="E209" s="4" t="s">
        <v>45</v>
      </c>
      <c r="F209" s="3" t="s">
        <v>74</v>
      </c>
      <c r="G209" s="3"/>
      <c r="H209" s="38" t="s">
        <v>2276</v>
      </c>
      <c r="I209" s="38" t="s">
        <v>2276</v>
      </c>
      <c r="J209" s="3">
        <v>2</v>
      </c>
      <c r="K209" s="4" t="s">
        <v>4343</v>
      </c>
      <c r="L209" s="3" t="s">
        <v>2276</v>
      </c>
      <c r="M209" s="52" t="s">
        <v>2276</v>
      </c>
      <c r="N209" s="3"/>
    </row>
    <row r="210" spans="1:14" ht="50" customHeight="1">
      <c r="A210" s="11" t="s">
        <v>4323</v>
      </c>
      <c r="B210" s="11" t="s">
        <v>4339</v>
      </c>
      <c r="C210" s="3" t="s">
        <v>1105</v>
      </c>
      <c r="D210" s="3" t="s">
        <v>1105</v>
      </c>
      <c r="E210" s="4" t="s">
        <v>45</v>
      </c>
      <c r="F210" s="3" t="s">
        <v>74</v>
      </c>
      <c r="G210" s="3"/>
      <c r="H210" s="38" t="s">
        <v>2276</v>
      </c>
      <c r="I210" s="38" t="s">
        <v>2276</v>
      </c>
      <c r="J210" s="3">
        <v>2</v>
      </c>
      <c r="K210" s="4" t="s">
        <v>4343</v>
      </c>
      <c r="L210" s="3" t="s">
        <v>2276</v>
      </c>
      <c r="M210" s="52" t="s">
        <v>2276</v>
      </c>
      <c r="N210" s="3"/>
    </row>
    <row r="211" spans="1:14" ht="50" customHeight="1">
      <c r="A211" s="11" t="s">
        <v>4324</v>
      </c>
      <c r="B211" s="11" t="s">
        <v>4340</v>
      </c>
      <c r="C211" s="3" t="s">
        <v>1105</v>
      </c>
      <c r="D211" s="3" t="s">
        <v>1105</v>
      </c>
      <c r="E211" s="4" t="s">
        <v>45</v>
      </c>
      <c r="F211" s="3" t="s">
        <v>74</v>
      </c>
      <c r="G211" s="3"/>
      <c r="H211" s="38" t="s">
        <v>2276</v>
      </c>
      <c r="I211" s="38" t="s">
        <v>2276</v>
      </c>
      <c r="J211" s="3">
        <v>2</v>
      </c>
      <c r="K211" s="4" t="s">
        <v>4343</v>
      </c>
      <c r="L211" s="3" t="s">
        <v>2276</v>
      </c>
      <c r="M211" s="52" t="s">
        <v>2276</v>
      </c>
      <c r="N211" s="3"/>
    </row>
    <row r="212" spans="1:14" ht="50" customHeight="1">
      <c r="A212" s="11" t="s">
        <v>4325</v>
      </c>
      <c r="B212" s="11" t="s">
        <v>4341</v>
      </c>
      <c r="C212" s="3" t="s">
        <v>1105</v>
      </c>
      <c r="D212" s="3" t="s">
        <v>1105</v>
      </c>
      <c r="E212" s="4" t="s">
        <v>45</v>
      </c>
      <c r="F212" s="3" t="s">
        <v>74</v>
      </c>
      <c r="G212" s="3"/>
      <c r="H212" s="38" t="s">
        <v>2276</v>
      </c>
      <c r="I212" s="38" t="s">
        <v>2276</v>
      </c>
      <c r="J212" s="3">
        <v>2</v>
      </c>
      <c r="K212" s="4" t="s">
        <v>4343</v>
      </c>
      <c r="L212" s="3" t="s">
        <v>2276</v>
      </c>
      <c r="M212" s="52" t="s">
        <v>2276</v>
      </c>
      <c r="N212" s="3"/>
    </row>
    <row r="213" spans="1:14" ht="50" customHeight="1">
      <c r="A213" s="11" t="s">
        <v>4326</v>
      </c>
      <c r="B213" s="11" t="s">
        <v>4342</v>
      </c>
      <c r="C213" s="3" t="s">
        <v>1105</v>
      </c>
      <c r="D213" s="3" t="s">
        <v>1105</v>
      </c>
      <c r="E213" s="4" t="s">
        <v>45</v>
      </c>
      <c r="F213" s="3" t="s">
        <v>74</v>
      </c>
      <c r="G213" s="3"/>
      <c r="H213" s="38" t="s">
        <v>2276</v>
      </c>
      <c r="I213" s="38" t="s">
        <v>2276</v>
      </c>
      <c r="J213" s="3">
        <v>2</v>
      </c>
      <c r="K213" s="4" t="s">
        <v>4343</v>
      </c>
      <c r="L213" s="3" t="s">
        <v>2276</v>
      </c>
      <c r="M213" s="52" t="s">
        <v>2276</v>
      </c>
      <c r="N213" s="3"/>
    </row>
    <row r="214" spans="1:14" ht="50" customHeight="1">
      <c r="A214" s="11" t="s">
        <v>4313</v>
      </c>
      <c r="B214" s="11" t="s">
        <v>4345</v>
      </c>
      <c r="C214" s="3" t="s">
        <v>1105</v>
      </c>
      <c r="D214" s="3" t="s">
        <v>1105</v>
      </c>
      <c r="E214" s="4" t="s">
        <v>3209</v>
      </c>
      <c r="F214" s="3" t="s">
        <v>2276</v>
      </c>
      <c r="G214" s="3"/>
      <c r="H214" s="38" t="s">
        <v>2276</v>
      </c>
      <c r="I214" s="38" t="s">
        <v>2276</v>
      </c>
      <c r="J214" s="3" t="s">
        <v>2276</v>
      </c>
      <c r="K214" s="3" t="s">
        <v>2276</v>
      </c>
      <c r="L214" s="3">
        <v>3</v>
      </c>
      <c r="M214" s="48" t="s">
        <v>4356</v>
      </c>
      <c r="N214" s="3"/>
    </row>
    <row r="215" spans="1:14" ht="50" customHeight="1">
      <c r="A215" s="11" t="s">
        <v>4317</v>
      </c>
      <c r="B215" s="11" t="s">
        <v>4346</v>
      </c>
      <c r="C215" s="3" t="s">
        <v>1105</v>
      </c>
      <c r="D215" s="3" t="s">
        <v>1105</v>
      </c>
      <c r="E215" s="4" t="s">
        <v>3209</v>
      </c>
      <c r="F215" s="3" t="s">
        <v>2276</v>
      </c>
      <c r="G215" s="3"/>
      <c r="H215" s="38" t="s">
        <v>2276</v>
      </c>
      <c r="I215" s="38" t="s">
        <v>2276</v>
      </c>
      <c r="J215" s="3" t="s">
        <v>2276</v>
      </c>
      <c r="K215" s="3" t="s">
        <v>2276</v>
      </c>
      <c r="L215" s="3">
        <v>3</v>
      </c>
      <c r="M215" s="48" t="s">
        <v>4356</v>
      </c>
      <c r="N215" s="3"/>
    </row>
    <row r="216" spans="1:14" ht="50" customHeight="1">
      <c r="A216" s="11" t="s">
        <v>4318</v>
      </c>
      <c r="B216" s="11" t="s">
        <v>4347</v>
      </c>
      <c r="C216" s="3" t="s">
        <v>1105</v>
      </c>
      <c r="D216" s="3" t="s">
        <v>1105</v>
      </c>
      <c r="E216" s="4" t="s">
        <v>3209</v>
      </c>
      <c r="F216" s="3" t="s">
        <v>2276</v>
      </c>
      <c r="G216" s="3"/>
      <c r="H216" s="38" t="s">
        <v>2276</v>
      </c>
      <c r="I216" s="38" t="s">
        <v>2276</v>
      </c>
      <c r="J216" s="3" t="s">
        <v>2276</v>
      </c>
      <c r="K216" s="3" t="s">
        <v>2276</v>
      </c>
      <c r="L216" s="3">
        <v>3</v>
      </c>
      <c r="M216" s="48" t="s">
        <v>4356</v>
      </c>
      <c r="N216" s="3"/>
    </row>
    <row r="217" spans="1:14" ht="50" customHeight="1">
      <c r="A217" s="11" t="s">
        <v>4319</v>
      </c>
      <c r="B217" s="11" t="s">
        <v>4348</v>
      </c>
      <c r="C217" s="3" t="s">
        <v>1105</v>
      </c>
      <c r="D217" s="3" t="s">
        <v>1105</v>
      </c>
      <c r="E217" s="4" t="s">
        <v>3209</v>
      </c>
      <c r="F217" s="3" t="s">
        <v>2276</v>
      </c>
      <c r="G217" s="3"/>
      <c r="H217" s="38" t="s">
        <v>2276</v>
      </c>
      <c r="I217" s="38" t="s">
        <v>2276</v>
      </c>
      <c r="J217" s="3" t="s">
        <v>2276</v>
      </c>
      <c r="K217" s="3" t="s">
        <v>2276</v>
      </c>
      <c r="L217" s="3">
        <v>3</v>
      </c>
      <c r="M217" s="48" t="s">
        <v>4356</v>
      </c>
      <c r="N217" s="3"/>
    </row>
    <row r="218" spans="1:14" ht="50" customHeight="1">
      <c r="A218" s="11" t="s">
        <v>4320</v>
      </c>
      <c r="B218" s="11" t="s">
        <v>4349</v>
      </c>
      <c r="C218" s="3" t="s">
        <v>1105</v>
      </c>
      <c r="D218" s="3" t="s">
        <v>1105</v>
      </c>
      <c r="E218" s="4" t="s">
        <v>3209</v>
      </c>
      <c r="F218" s="3" t="s">
        <v>2276</v>
      </c>
      <c r="G218" s="3"/>
      <c r="H218" s="38" t="s">
        <v>2276</v>
      </c>
      <c r="I218" s="38" t="s">
        <v>2276</v>
      </c>
      <c r="J218" s="3" t="s">
        <v>2276</v>
      </c>
      <c r="K218" s="3" t="s">
        <v>2276</v>
      </c>
      <c r="L218" s="3">
        <v>3</v>
      </c>
      <c r="M218" s="48" t="s">
        <v>4356</v>
      </c>
      <c r="N218" s="3"/>
    </row>
    <row r="219" spans="1:14" ht="50" customHeight="1">
      <c r="A219" s="11" t="s">
        <v>4321</v>
      </c>
      <c r="B219" s="11" t="s">
        <v>4350</v>
      </c>
      <c r="C219" s="3" t="s">
        <v>1105</v>
      </c>
      <c r="D219" s="3" t="s">
        <v>1105</v>
      </c>
      <c r="E219" s="4" t="s">
        <v>3209</v>
      </c>
      <c r="F219" s="3" t="s">
        <v>2276</v>
      </c>
      <c r="G219" s="3"/>
      <c r="H219" s="38" t="s">
        <v>2276</v>
      </c>
      <c r="I219" s="38" t="s">
        <v>2276</v>
      </c>
      <c r="J219" s="3" t="s">
        <v>2276</v>
      </c>
      <c r="K219" s="3" t="s">
        <v>2276</v>
      </c>
      <c r="L219" s="3">
        <v>3</v>
      </c>
      <c r="M219" s="48" t="s">
        <v>4356</v>
      </c>
      <c r="N219" s="3"/>
    </row>
    <row r="220" spans="1:14" ht="50" customHeight="1">
      <c r="A220" s="11" t="s">
        <v>4322</v>
      </c>
      <c r="B220" s="11" t="s">
        <v>4351</v>
      </c>
      <c r="C220" s="3" t="s">
        <v>1105</v>
      </c>
      <c r="D220" s="3" t="s">
        <v>1105</v>
      </c>
      <c r="E220" s="4" t="s">
        <v>3209</v>
      </c>
      <c r="F220" s="3" t="s">
        <v>2276</v>
      </c>
      <c r="G220" s="3"/>
      <c r="H220" s="38" t="s">
        <v>2276</v>
      </c>
      <c r="I220" s="38" t="s">
        <v>2276</v>
      </c>
      <c r="J220" s="3" t="s">
        <v>2276</v>
      </c>
      <c r="K220" s="3" t="s">
        <v>2276</v>
      </c>
      <c r="L220" s="3">
        <v>3</v>
      </c>
      <c r="M220" s="48" t="s">
        <v>4356</v>
      </c>
      <c r="N220" s="3"/>
    </row>
    <row r="221" spans="1:14" ht="50" customHeight="1">
      <c r="A221" s="11" t="s">
        <v>4323</v>
      </c>
      <c r="B221" s="11" t="s">
        <v>4352</v>
      </c>
      <c r="C221" s="3" t="s">
        <v>1105</v>
      </c>
      <c r="D221" s="3" t="s">
        <v>1105</v>
      </c>
      <c r="E221" s="4" t="s">
        <v>3209</v>
      </c>
      <c r="F221" s="3" t="s">
        <v>2276</v>
      </c>
      <c r="G221" s="3"/>
      <c r="H221" s="38" t="s">
        <v>2276</v>
      </c>
      <c r="I221" s="38" t="s">
        <v>2276</v>
      </c>
      <c r="J221" s="3" t="s">
        <v>2276</v>
      </c>
      <c r="K221" s="3" t="s">
        <v>2276</v>
      </c>
      <c r="L221" s="3">
        <v>3</v>
      </c>
      <c r="M221" s="48" t="s">
        <v>4356</v>
      </c>
      <c r="N221" s="3"/>
    </row>
    <row r="222" spans="1:14" ht="50" customHeight="1">
      <c r="A222" s="11" t="s">
        <v>4324</v>
      </c>
      <c r="B222" s="11" t="s">
        <v>4353</v>
      </c>
      <c r="C222" s="3" t="s">
        <v>1105</v>
      </c>
      <c r="D222" s="3" t="s">
        <v>1105</v>
      </c>
      <c r="E222" s="4" t="s">
        <v>3209</v>
      </c>
      <c r="F222" s="3" t="s">
        <v>2276</v>
      </c>
      <c r="G222" s="3"/>
      <c r="H222" s="38" t="s">
        <v>2276</v>
      </c>
      <c r="I222" s="38" t="s">
        <v>2276</v>
      </c>
      <c r="J222" s="3" t="s">
        <v>2276</v>
      </c>
      <c r="K222" s="3" t="s">
        <v>2276</v>
      </c>
      <c r="L222" s="3">
        <v>3</v>
      </c>
      <c r="M222" s="48" t="s">
        <v>4356</v>
      </c>
      <c r="N222" s="3"/>
    </row>
    <row r="223" spans="1:14" ht="50" customHeight="1">
      <c r="A223" s="11" t="s">
        <v>4325</v>
      </c>
      <c r="B223" s="11" t="s">
        <v>4354</v>
      </c>
      <c r="C223" s="3" t="s">
        <v>1105</v>
      </c>
      <c r="D223" s="3" t="s">
        <v>1105</v>
      </c>
      <c r="E223" s="4" t="s">
        <v>3209</v>
      </c>
      <c r="F223" s="3" t="s">
        <v>2276</v>
      </c>
      <c r="G223" s="3"/>
      <c r="H223" s="38" t="s">
        <v>2276</v>
      </c>
      <c r="I223" s="38" t="s">
        <v>2276</v>
      </c>
      <c r="J223" s="3" t="s">
        <v>2276</v>
      </c>
      <c r="K223" s="3" t="s">
        <v>2276</v>
      </c>
      <c r="L223" s="3">
        <v>3</v>
      </c>
      <c r="M223" s="48" t="s">
        <v>4356</v>
      </c>
      <c r="N223" s="3"/>
    </row>
    <row r="224" spans="1:14" ht="50" customHeight="1">
      <c r="A224" s="11" t="s">
        <v>4326</v>
      </c>
      <c r="B224" s="11" t="s">
        <v>4355</v>
      </c>
      <c r="C224" s="3" t="s">
        <v>1105</v>
      </c>
      <c r="D224" s="3" t="s">
        <v>1105</v>
      </c>
      <c r="E224" s="4" t="s">
        <v>3209</v>
      </c>
      <c r="F224" s="3" t="s">
        <v>2276</v>
      </c>
      <c r="G224" s="3"/>
      <c r="H224" s="3" t="s">
        <v>2276</v>
      </c>
      <c r="I224" s="3" t="s">
        <v>2276</v>
      </c>
      <c r="J224" s="3" t="s">
        <v>2276</v>
      </c>
      <c r="K224" s="3" t="s">
        <v>2276</v>
      </c>
      <c r="L224" s="3">
        <v>3</v>
      </c>
      <c r="M224" s="48" t="s">
        <v>4356</v>
      </c>
      <c r="N224" s="3"/>
    </row>
    <row r="225" spans="1:14" ht="39" customHeight="1">
      <c r="A225" s="11" t="s">
        <v>4362</v>
      </c>
      <c r="B225" s="11" t="s">
        <v>4366</v>
      </c>
      <c r="C225" s="3" t="s">
        <v>24</v>
      </c>
      <c r="D225" s="3" t="s">
        <v>1105</v>
      </c>
      <c r="E225" s="4" t="s">
        <v>137</v>
      </c>
      <c r="F225" s="3" t="s">
        <v>74</v>
      </c>
      <c r="G225" s="3"/>
      <c r="H225" s="3" t="s">
        <v>2276</v>
      </c>
      <c r="I225" s="3" t="s">
        <v>2276</v>
      </c>
      <c r="J225" s="3">
        <v>2</v>
      </c>
      <c r="K225" s="19" t="s">
        <v>4377</v>
      </c>
      <c r="L225" s="3" t="s">
        <v>2276</v>
      </c>
      <c r="M225" s="52" t="s">
        <v>2276</v>
      </c>
      <c r="N225" s="3"/>
    </row>
    <row r="226" spans="1:14" ht="46.5" customHeight="1">
      <c r="A226" s="11" t="s">
        <v>4362</v>
      </c>
      <c r="B226" s="11" t="s">
        <v>4367</v>
      </c>
      <c r="C226" s="3" t="s">
        <v>1105</v>
      </c>
      <c r="D226" s="3" t="s">
        <v>1105</v>
      </c>
      <c r="E226" s="4" t="s">
        <v>137</v>
      </c>
      <c r="F226" s="3" t="s">
        <v>74</v>
      </c>
      <c r="G226" s="3"/>
      <c r="H226" s="3" t="s">
        <v>2276</v>
      </c>
      <c r="I226" s="3" t="s">
        <v>2276</v>
      </c>
      <c r="J226" s="3">
        <v>1</v>
      </c>
      <c r="K226" s="19" t="s">
        <v>4378</v>
      </c>
      <c r="L226" s="3" t="s">
        <v>2276</v>
      </c>
      <c r="M226" s="52" t="s">
        <v>2276</v>
      </c>
      <c r="N226" s="3"/>
    </row>
    <row r="227" spans="1:14" ht="58.5" customHeight="1">
      <c r="A227" s="152" t="s">
        <v>4418</v>
      </c>
      <c r="B227" s="152" t="s">
        <v>4428</v>
      </c>
      <c r="C227" s="3" t="s">
        <v>1105</v>
      </c>
      <c r="D227" s="3" t="s">
        <v>1105</v>
      </c>
      <c r="E227" s="4" t="s">
        <v>5005</v>
      </c>
      <c r="F227" s="4" t="s">
        <v>2662</v>
      </c>
      <c r="G227" s="3"/>
      <c r="H227" s="3" t="s">
        <v>2276</v>
      </c>
      <c r="I227" s="3" t="s">
        <v>2276</v>
      </c>
      <c r="J227" s="3">
        <v>2</v>
      </c>
      <c r="K227" s="4" t="s">
        <v>4432</v>
      </c>
      <c r="L227" s="3" t="s">
        <v>2276</v>
      </c>
      <c r="M227" s="52" t="s">
        <v>2276</v>
      </c>
      <c r="N227" s="3"/>
    </row>
    <row r="228" spans="1:14" ht="61.5" customHeight="1">
      <c r="A228" s="152" t="s">
        <v>4448</v>
      </c>
      <c r="B228" s="152" t="s">
        <v>4457</v>
      </c>
      <c r="C228" s="3" t="s">
        <v>24</v>
      </c>
      <c r="D228" s="3" t="s">
        <v>1105</v>
      </c>
      <c r="E228" s="4" t="s">
        <v>130</v>
      </c>
      <c r="F228" s="3" t="s">
        <v>2276</v>
      </c>
      <c r="G228" s="3"/>
      <c r="H228" s="3">
        <v>2</v>
      </c>
      <c r="I228" s="19" t="s">
        <v>4470</v>
      </c>
      <c r="J228" s="3" t="s">
        <v>2276</v>
      </c>
      <c r="K228" s="3" t="s">
        <v>2276</v>
      </c>
      <c r="L228" s="3">
        <v>1</v>
      </c>
      <c r="M228" s="197" t="s">
        <v>4471</v>
      </c>
      <c r="N228" s="3"/>
    </row>
    <row r="229" spans="1:14" ht="50" customHeight="1">
      <c r="A229" s="11" t="s">
        <v>4488</v>
      </c>
      <c r="B229" s="11" t="s">
        <v>4496</v>
      </c>
      <c r="C229" s="3" t="s">
        <v>1105</v>
      </c>
      <c r="D229" s="3" t="s">
        <v>1105</v>
      </c>
      <c r="E229" s="4" t="s">
        <v>5005</v>
      </c>
      <c r="F229" s="4" t="s">
        <v>2662</v>
      </c>
      <c r="G229" s="3"/>
      <c r="H229" s="3" t="s">
        <v>2276</v>
      </c>
      <c r="I229" s="3" t="s">
        <v>2276</v>
      </c>
      <c r="J229" s="3">
        <v>1</v>
      </c>
      <c r="K229" s="19" t="s">
        <v>4500</v>
      </c>
      <c r="L229" s="3" t="s">
        <v>2276</v>
      </c>
      <c r="M229" s="52" t="s">
        <v>2276</v>
      </c>
      <c r="N229" s="3"/>
    </row>
    <row r="230" spans="1:14" ht="62" customHeight="1">
      <c r="A230" s="11" t="s">
        <v>4489</v>
      </c>
      <c r="B230" s="11" t="s">
        <v>4499</v>
      </c>
      <c r="C230" s="3" t="s">
        <v>1105</v>
      </c>
      <c r="D230" s="3" t="s">
        <v>1105</v>
      </c>
      <c r="E230" s="4" t="s">
        <v>5005</v>
      </c>
      <c r="F230" s="4" t="s">
        <v>2662</v>
      </c>
      <c r="G230" s="3"/>
      <c r="H230" s="3" t="s">
        <v>2276</v>
      </c>
      <c r="I230" s="3" t="s">
        <v>2276</v>
      </c>
      <c r="J230" s="3">
        <v>1</v>
      </c>
      <c r="K230" s="19" t="s">
        <v>4500</v>
      </c>
      <c r="L230" s="3" t="s">
        <v>2276</v>
      </c>
      <c r="M230" s="52" t="s">
        <v>2276</v>
      </c>
      <c r="N230" s="3"/>
    </row>
    <row r="231" spans="1:14" ht="64.5" customHeight="1">
      <c r="A231" s="11" t="s">
        <v>4489</v>
      </c>
      <c r="B231" s="11" t="s">
        <v>4497</v>
      </c>
      <c r="C231" s="3" t="s">
        <v>1105</v>
      </c>
      <c r="D231" s="3" t="s">
        <v>1105</v>
      </c>
      <c r="E231" s="4" t="s">
        <v>3854</v>
      </c>
      <c r="F231" s="4" t="s">
        <v>2662</v>
      </c>
      <c r="G231" s="3"/>
      <c r="H231" s="3" t="s">
        <v>2276</v>
      </c>
      <c r="I231" s="3" t="s">
        <v>2276</v>
      </c>
      <c r="J231" s="3">
        <v>1</v>
      </c>
      <c r="K231" s="19" t="s">
        <v>4500</v>
      </c>
      <c r="L231" s="3" t="s">
        <v>2276</v>
      </c>
      <c r="M231" s="52" t="s">
        <v>2276</v>
      </c>
      <c r="N231" s="3"/>
    </row>
    <row r="232" spans="1:14" ht="37" customHeight="1">
      <c r="A232" s="11" t="s">
        <v>4502</v>
      </c>
      <c r="B232" s="11" t="s">
        <v>4508</v>
      </c>
      <c r="C232" s="3" t="s">
        <v>1105</v>
      </c>
      <c r="D232" s="3" t="s">
        <v>1105</v>
      </c>
      <c r="E232" s="4" t="s">
        <v>2647</v>
      </c>
      <c r="F232" s="3"/>
      <c r="G232" s="3"/>
      <c r="H232" s="3" t="s">
        <v>2276</v>
      </c>
      <c r="I232" s="3" t="s">
        <v>2276</v>
      </c>
      <c r="J232" s="3">
        <v>2</v>
      </c>
      <c r="K232" s="4" t="s">
        <v>4516</v>
      </c>
      <c r="L232" s="3" t="s">
        <v>2276</v>
      </c>
      <c r="M232" s="52" t="s">
        <v>2276</v>
      </c>
      <c r="N232" s="3"/>
    </row>
    <row r="233" spans="1:14" ht="37" customHeight="1">
      <c r="A233" s="11" t="s">
        <v>4502</v>
      </c>
      <c r="B233" s="11" t="s">
        <v>4510</v>
      </c>
      <c r="C233" s="3" t="s">
        <v>1105</v>
      </c>
      <c r="D233" s="3" t="s">
        <v>1105</v>
      </c>
      <c r="E233" s="4" t="s">
        <v>45</v>
      </c>
      <c r="F233" s="3"/>
      <c r="G233" s="3"/>
      <c r="H233" s="3" t="s">
        <v>2276</v>
      </c>
      <c r="I233" s="3" t="s">
        <v>2276</v>
      </c>
      <c r="J233" s="3">
        <v>2</v>
      </c>
      <c r="K233" s="4" t="s">
        <v>4516</v>
      </c>
      <c r="L233" s="3" t="s">
        <v>2276</v>
      </c>
      <c r="M233" s="52" t="s">
        <v>2276</v>
      </c>
      <c r="N233" s="3"/>
    </row>
    <row r="234" spans="1:14" ht="37" customHeight="1">
      <c r="A234" s="11" t="s">
        <v>4506</v>
      </c>
      <c r="B234" s="11" t="s">
        <v>4512</v>
      </c>
      <c r="C234" s="3" t="s">
        <v>1105</v>
      </c>
      <c r="D234" s="3" t="s">
        <v>1105</v>
      </c>
      <c r="E234" s="4" t="s">
        <v>2647</v>
      </c>
      <c r="F234" s="3"/>
      <c r="G234" s="3"/>
      <c r="H234" s="3" t="s">
        <v>2276</v>
      </c>
      <c r="I234" s="3" t="s">
        <v>2276</v>
      </c>
      <c r="J234" s="3">
        <v>2</v>
      </c>
      <c r="K234" s="4" t="s">
        <v>4516</v>
      </c>
      <c r="L234" s="3" t="s">
        <v>2276</v>
      </c>
      <c r="M234" s="52" t="s">
        <v>2276</v>
      </c>
      <c r="N234" s="3"/>
    </row>
    <row r="235" spans="1:14" ht="37" customHeight="1">
      <c r="A235" s="11" t="s">
        <v>4506</v>
      </c>
      <c r="B235" s="11" t="s">
        <v>4513</v>
      </c>
      <c r="C235" s="3" t="s">
        <v>1105</v>
      </c>
      <c r="D235" s="3" t="s">
        <v>1105</v>
      </c>
      <c r="E235" s="4" t="s">
        <v>45</v>
      </c>
      <c r="F235" s="3"/>
      <c r="G235" s="3"/>
      <c r="H235" s="3" t="s">
        <v>2276</v>
      </c>
      <c r="I235" s="3" t="s">
        <v>2276</v>
      </c>
      <c r="J235" s="3">
        <v>2</v>
      </c>
      <c r="K235" s="4" t="s">
        <v>4516</v>
      </c>
      <c r="L235" s="3" t="s">
        <v>2276</v>
      </c>
      <c r="M235" s="52" t="s">
        <v>2276</v>
      </c>
      <c r="N235" s="3"/>
    </row>
    <row r="236" spans="1:14" ht="51" customHeight="1">
      <c r="A236" s="11" t="s">
        <v>4519</v>
      </c>
      <c r="B236" s="11" t="s">
        <v>4529</v>
      </c>
      <c r="C236" s="3" t="s">
        <v>1105</v>
      </c>
      <c r="D236" s="3" t="s">
        <v>1105</v>
      </c>
      <c r="E236" s="4" t="s">
        <v>2647</v>
      </c>
      <c r="F236" s="4" t="s">
        <v>2662</v>
      </c>
      <c r="G236" s="3">
        <v>1973</v>
      </c>
      <c r="H236" s="3" t="s">
        <v>2276</v>
      </c>
      <c r="I236" s="3" t="s">
        <v>2276</v>
      </c>
      <c r="J236" s="3">
        <v>1</v>
      </c>
      <c r="K236" s="4" t="s">
        <v>4541</v>
      </c>
      <c r="L236" s="3" t="s">
        <v>2276</v>
      </c>
      <c r="M236" s="52" t="s">
        <v>2276</v>
      </c>
      <c r="N236" s="3"/>
    </row>
    <row r="237" spans="1:14" ht="51" customHeight="1">
      <c r="A237" s="11" t="s">
        <v>4519</v>
      </c>
      <c r="B237" s="11" t="s">
        <v>4533</v>
      </c>
      <c r="C237" s="3" t="s">
        <v>1105</v>
      </c>
      <c r="D237" s="3" t="s">
        <v>1105</v>
      </c>
      <c r="E237" s="4" t="s">
        <v>45</v>
      </c>
      <c r="F237" s="4" t="s">
        <v>2662</v>
      </c>
      <c r="G237" s="3">
        <v>1973</v>
      </c>
      <c r="H237" s="3" t="s">
        <v>2276</v>
      </c>
      <c r="I237" s="3" t="s">
        <v>2276</v>
      </c>
      <c r="J237" s="3">
        <v>1</v>
      </c>
      <c r="K237" s="4" t="s">
        <v>4541</v>
      </c>
      <c r="L237" s="3" t="s">
        <v>2276</v>
      </c>
      <c r="M237" s="52" t="s">
        <v>2276</v>
      </c>
      <c r="N237" s="3"/>
    </row>
    <row r="238" spans="1:14" ht="51" customHeight="1">
      <c r="A238" s="11" t="s">
        <v>4520</v>
      </c>
      <c r="B238" s="11" t="s">
        <v>4530</v>
      </c>
      <c r="C238" s="3" t="s">
        <v>1105</v>
      </c>
      <c r="D238" s="3" t="s">
        <v>1105</v>
      </c>
      <c r="E238" s="4" t="s">
        <v>5005</v>
      </c>
      <c r="F238" s="4" t="s">
        <v>2662</v>
      </c>
      <c r="G238" s="3">
        <v>1973</v>
      </c>
      <c r="H238" s="3" t="s">
        <v>2276</v>
      </c>
      <c r="I238" s="3" t="s">
        <v>2276</v>
      </c>
      <c r="J238" s="3">
        <v>1</v>
      </c>
      <c r="K238" s="4" t="s">
        <v>4541</v>
      </c>
      <c r="L238" s="3" t="s">
        <v>2276</v>
      </c>
      <c r="M238" s="52" t="s">
        <v>2276</v>
      </c>
      <c r="N238" s="3"/>
    </row>
    <row r="239" spans="1:14" ht="51" customHeight="1">
      <c r="A239" s="11" t="s">
        <v>4521</v>
      </c>
      <c r="B239" s="11" t="s">
        <v>4531</v>
      </c>
      <c r="C239" s="3" t="s">
        <v>1105</v>
      </c>
      <c r="D239" s="3" t="s">
        <v>1105</v>
      </c>
      <c r="E239" s="4" t="s">
        <v>5005</v>
      </c>
      <c r="F239" s="4" t="s">
        <v>2662</v>
      </c>
      <c r="G239" s="3">
        <v>1973</v>
      </c>
      <c r="H239" s="3" t="s">
        <v>2276</v>
      </c>
      <c r="I239" s="3" t="s">
        <v>2276</v>
      </c>
      <c r="J239" s="3">
        <v>1</v>
      </c>
      <c r="K239" s="4" t="s">
        <v>4541</v>
      </c>
      <c r="L239" s="3" t="s">
        <v>2276</v>
      </c>
      <c r="M239" s="52" t="s">
        <v>2276</v>
      </c>
      <c r="N239" s="3"/>
    </row>
    <row r="240" spans="1:14" ht="78.5" customHeight="1">
      <c r="A240" s="11" t="s">
        <v>4582</v>
      </c>
      <c r="B240" s="3" t="s">
        <v>4583</v>
      </c>
      <c r="C240" s="3" t="s">
        <v>24</v>
      </c>
      <c r="D240" s="3" t="s">
        <v>1105</v>
      </c>
      <c r="E240" s="4" t="s">
        <v>5005</v>
      </c>
      <c r="F240" s="4" t="s">
        <v>2662</v>
      </c>
      <c r="G240" s="3"/>
      <c r="H240" s="3" t="s">
        <v>2276</v>
      </c>
      <c r="I240" s="3" t="s">
        <v>2276</v>
      </c>
      <c r="J240" s="3">
        <v>2</v>
      </c>
      <c r="K240" s="4" t="s">
        <v>4596</v>
      </c>
      <c r="L240" s="3" t="s">
        <v>2276</v>
      </c>
      <c r="M240" s="52" t="s">
        <v>2276</v>
      </c>
      <c r="N240" s="3"/>
    </row>
    <row r="241" spans="1:14" ht="69.5" customHeight="1">
      <c r="A241" s="11" t="s">
        <v>4585</v>
      </c>
      <c r="B241" s="3" t="s">
        <v>4589</v>
      </c>
      <c r="C241" s="3" t="s">
        <v>24</v>
      </c>
      <c r="D241" s="3" t="s">
        <v>1105</v>
      </c>
      <c r="E241" s="4" t="s">
        <v>137</v>
      </c>
      <c r="F241" s="4" t="s">
        <v>2662</v>
      </c>
      <c r="G241" s="3"/>
      <c r="H241" s="3">
        <v>3</v>
      </c>
      <c r="I241" s="4" t="s">
        <v>4594</v>
      </c>
      <c r="J241" s="3">
        <v>2</v>
      </c>
      <c r="K241" s="4" t="s">
        <v>4595</v>
      </c>
      <c r="L241" s="3" t="s">
        <v>2276</v>
      </c>
      <c r="M241" s="52" t="s">
        <v>2276</v>
      </c>
      <c r="N241" s="3"/>
    </row>
    <row r="242" spans="1:14" ht="58">
      <c r="A242" s="11" t="s">
        <v>4586</v>
      </c>
      <c r="B242" s="3" t="s">
        <v>4590</v>
      </c>
      <c r="C242" s="3" t="s">
        <v>24</v>
      </c>
      <c r="D242" s="3" t="s">
        <v>1105</v>
      </c>
      <c r="E242" s="4" t="s">
        <v>137</v>
      </c>
      <c r="F242" s="4" t="s">
        <v>2662</v>
      </c>
      <c r="G242" s="3"/>
      <c r="H242" s="3">
        <v>3</v>
      </c>
      <c r="I242" s="4" t="s">
        <v>4594</v>
      </c>
      <c r="J242" s="3">
        <v>2</v>
      </c>
      <c r="K242" s="4" t="s">
        <v>4595</v>
      </c>
      <c r="L242" s="3" t="s">
        <v>2276</v>
      </c>
      <c r="M242" s="52" t="s">
        <v>2276</v>
      </c>
      <c r="N242" s="3"/>
    </row>
    <row r="243" spans="1:14" ht="56.5" customHeight="1">
      <c r="A243" s="11" t="s">
        <v>4597</v>
      </c>
      <c r="B243" s="3" t="s">
        <v>4606</v>
      </c>
      <c r="C243" s="3" t="s">
        <v>2656</v>
      </c>
      <c r="D243" s="3" t="s">
        <v>144</v>
      </c>
      <c r="E243" s="4" t="s">
        <v>137</v>
      </c>
      <c r="F243" s="4" t="s">
        <v>2662</v>
      </c>
      <c r="G243" s="3"/>
      <c r="H243" s="3">
        <v>3</v>
      </c>
      <c r="I243" s="4" t="s">
        <v>4616</v>
      </c>
      <c r="J243" s="3">
        <v>2</v>
      </c>
      <c r="K243" s="4" t="s">
        <v>4619</v>
      </c>
      <c r="L243" s="3" t="s">
        <v>2276</v>
      </c>
      <c r="M243" s="52" t="s">
        <v>2276</v>
      </c>
      <c r="N243" s="3"/>
    </row>
    <row r="244" spans="1:14" ht="54" customHeight="1">
      <c r="A244" s="11" t="s">
        <v>4597</v>
      </c>
      <c r="B244" s="3" t="s">
        <v>4608</v>
      </c>
      <c r="C244" s="3" t="s">
        <v>24</v>
      </c>
      <c r="D244" s="3" t="s">
        <v>1105</v>
      </c>
      <c r="E244" s="4" t="s">
        <v>137</v>
      </c>
      <c r="F244" s="4" t="s">
        <v>2662</v>
      </c>
      <c r="G244" s="3"/>
      <c r="H244" s="3" t="s">
        <v>2276</v>
      </c>
      <c r="I244" s="3" t="s">
        <v>2276</v>
      </c>
      <c r="J244" s="3" t="s">
        <v>2276</v>
      </c>
      <c r="K244" s="3" t="s">
        <v>2276</v>
      </c>
      <c r="L244" s="3">
        <v>3</v>
      </c>
      <c r="M244" s="48" t="s">
        <v>4618</v>
      </c>
      <c r="N244" s="3"/>
    </row>
    <row r="245" spans="1:14" ht="51" customHeight="1">
      <c r="A245" s="11" t="s">
        <v>4597</v>
      </c>
      <c r="B245" s="3" t="s">
        <v>4615</v>
      </c>
      <c r="C245" s="3" t="s">
        <v>31</v>
      </c>
      <c r="D245" s="3" t="s">
        <v>1105</v>
      </c>
      <c r="E245" s="4" t="s">
        <v>137</v>
      </c>
      <c r="F245" s="4" t="s">
        <v>2662</v>
      </c>
      <c r="G245" s="3"/>
      <c r="H245" s="3" t="s">
        <v>2276</v>
      </c>
      <c r="I245" s="3" t="s">
        <v>2276</v>
      </c>
      <c r="J245" s="3" t="s">
        <v>2276</v>
      </c>
      <c r="K245" s="3" t="s">
        <v>2276</v>
      </c>
      <c r="L245" s="3">
        <v>3</v>
      </c>
      <c r="M245" s="48" t="s">
        <v>4618</v>
      </c>
      <c r="N245" s="3"/>
    </row>
    <row r="246" spans="1:14" ht="54.5" customHeight="1">
      <c r="A246" s="11" t="s">
        <v>4603</v>
      </c>
      <c r="B246" s="3" t="s">
        <v>4613</v>
      </c>
      <c r="C246" s="3" t="s">
        <v>24</v>
      </c>
      <c r="D246" s="3" t="s">
        <v>1105</v>
      </c>
      <c r="E246" s="4" t="s">
        <v>137</v>
      </c>
      <c r="F246" s="4" t="s">
        <v>2662</v>
      </c>
      <c r="G246" s="3"/>
      <c r="H246" s="3" t="s">
        <v>2276</v>
      </c>
      <c r="I246" s="3" t="s">
        <v>2276</v>
      </c>
      <c r="J246" s="3">
        <v>3</v>
      </c>
      <c r="K246" s="4" t="s">
        <v>4617</v>
      </c>
      <c r="L246" s="3"/>
      <c r="M246" s="52"/>
      <c r="N246" s="3"/>
    </row>
    <row r="247" spans="1:14" ht="48" customHeight="1">
      <c r="A247" s="3" t="s">
        <v>4620</v>
      </c>
      <c r="B247" s="11" t="s">
        <v>4629</v>
      </c>
      <c r="C247" s="3" t="s">
        <v>1105</v>
      </c>
      <c r="D247" s="3" t="s">
        <v>1105</v>
      </c>
      <c r="E247" s="4" t="s">
        <v>2647</v>
      </c>
      <c r="F247" s="4" t="s">
        <v>2662</v>
      </c>
      <c r="G247" s="3"/>
      <c r="H247" s="3" t="s">
        <v>2276</v>
      </c>
      <c r="I247" s="3" t="s">
        <v>2276</v>
      </c>
      <c r="J247" s="3">
        <v>2</v>
      </c>
      <c r="K247" s="4" t="s">
        <v>4640</v>
      </c>
      <c r="L247" s="3" t="s">
        <v>2276</v>
      </c>
      <c r="M247" s="52" t="s">
        <v>2276</v>
      </c>
      <c r="N247" s="3"/>
    </row>
    <row r="248" spans="1:14" ht="48" customHeight="1">
      <c r="A248" s="3" t="s">
        <v>4620</v>
      </c>
      <c r="B248" s="11" t="s">
        <v>4632</v>
      </c>
      <c r="C248" s="3" t="s">
        <v>1105</v>
      </c>
      <c r="D248" s="3" t="s">
        <v>1105</v>
      </c>
      <c r="E248" s="4" t="s">
        <v>5005</v>
      </c>
      <c r="F248" s="4" t="s">
        <v>2662</v>
      </c>
      <c r="G248" s="3"/>
      <c r="H248" s="3">
        <v>0</v>
      </c>
      <c r="I248" t="s">
        <v>4641</v>
      </c>
      <c r="J248" s="3">
        <v>2</v>
      </c>
      <c r="K248" s="4" t="s">
        <v>4640</v>
      </c>
      <c r="L248" s="3" t="s">
        <v>2276</v>
      </c>
      <c r="M248" s="52" t="s">
        <v>2276</v>
      </c>
      <c r="N248" s="3"/>
    </row>
    <row r="249" spans="1:14" ht="48" customHeight="1">
      <c r="A249" s="3" t="s">
        <v>4620</v>
      </c>
      <c r="B249" s="11" t="s">
        <v>4637</v>
      </c>
      <c r="C249" s="3" t="s">
        <v>1105</v>
      </c>
      <c r="D249" s="3" t="s">
        <v>1105</v>
      </c>
      <c r="E249" s="4" t="s">
        <v>45</v>
      </c>
      <c r="F249" s="4" t="s">
        <v>2662</v>
      </c>
      <c r="G249" s="3"/>
      <c r="H249" s="3" t="s">
        <v>2276</v>
      </c>
      <c r="I249" s="3" t="s">
        <v>2276</v>
      </c>
      <c r="J249" s="3">
        <v>2</v>
      </c>
      <c r="K249" s="4" t="s">
        <v>4640</v>
      </c>
      <c r="L249" s="3" t="s">
        <v>2276</v>
      </c>
      <c r="M249" s="52" t="s">
        <v>2276</v>
      </c>
      <c r="N249" s="3"/>
    </row>
    <row r="250" spans="1:14" ht="48" customHeight="1">
      <c r="A250" s="3" t="s">
        <v>4620</v>
      </c>
      <c r="B250" s="11" t="s">
        <v>4638</v>
      </c>
      <c r="C250" s="3" t="s">
        <v>1105</v>
      </c>
      <c r="D250" s="3" t="s">
        <v>1105</v>
      </c>
      <c r="E250" s="4" t="s">
        <v>5005</v>
      </c>
      <c r="F250" s="4" t="s">
        <v>2662</v>
      </c>
      <c r="G250" s="3"/>
      <c r="H250" s="3" t="s">
        <v>2276</v>
      </c>
      <c r="I250" s="3" t="s">
        <v>2276</v>
      </c>
      <c r="J250" s="3">
        <v>2</v>
      </c>
      <c r="K250" s="4" t="s">
        <v>4640</v>
      </c>
      <c r="L250" s="3" t="s">
        <v>2276</v>
      </c>
      <c r="M250" s="52" t="s">
        <v>2276</v>
      </c>
      <c r="N250" s="3"/>
    </row>
    <row r="251" spans="1:14" ht="34.5" customHeight="1">
      <c r="A251" s="11" t="s">
        <v>4643</v>
      </c>
      <c r="B251" s="11" t="s">
        <v>4650</v>
      </c>
      <c r="C251" s="3" t="s">
        <v>1105</v>
      </c>
      <c r="D251" s="3" t="s">
        <v>1105</v>
      </c>
      <c r="E251" s="4" t="s">
        <v>5005</v>
      </c>
      <c r="F251" s="3" t="s">
        <v>74</v>
      </c>
      <c r="G251" s="3">
        <v>1997</v>
      </c>
      <c r="H251" s="3" t="s">
        <v>2276</v>
      </c>
      <c r="I251" s="3" t="s">
        <v>2276</v>
      </c>
      <c r="J251" s="3">
        <v>1</v>
      </c>
      <c r="K251" s="4" t="s">
        <v>4657</v>
      </c>
      <c r="L251" s="3" t="s">
        <v>2276</v>
      </c>
      <c r="M251" s="52" t="s">
        <v>2276</v>
      </c>
      <c r="N251" s="3"/>
    </row>
    <row r="252" spans="1:14" ht="34.5" customHeight="1">
      <c r="A252" s="3" t="s">
        <v>4643</v>
      </c>
      <c r="B252" s="11" t="s">
        <v>4652</v>
      </c>
      <c r="C252" s="3" t="s">
        <v>1105</v>
      </c>
      <c r="D252" s="3" t="s">
        <v>1105</v>
      </c>
      <c r="E252" s="4" t="s">
        <v>5005</v>
      </c>
      <c r="F252" s="3" t="s">
        <v>74</v>
      </c>
      <c r="G252" s="3">
        <v>1999</v>
      </c>
      <c r="H252" s="3" t="s">
        <v>2276</v>
      </c>
      <c r="I252" s="3" t="s">
        <v>2276</v>
      </c>
      <c r="J252" s="3">
        <v>2</v>
      </c>
      <c r="K252" s="4" t="s">
        <v>4658</v>
      </c>
      <c r="L252" s="3" t="s">
        <v>2276</v>
      </c>
      <c r="M252" s="52" t="s">
        <v>2276</v>
      </c>
      <c r="N252" s="3"/>
    </row>
    <row r="253" spans="1:14" ht="34.5" customHeight="1">
      <c r="A253" s="11" t="s">
        <v>4644</v>
      </c>
      <c r="B253" s="11" t="s">
        <v>4653</v>
      </c>
      <c r="C253" s="3" t="s">
        <v>1105</v>
      </c>
      <c r="D253" s="3" t="s">
        <v>1105</v>
      </c>
      <c r="E253" s="4" t="s">
        <v>5005</v>
      </c>
      <c r="F253" s="3" t="s">
        <v>74</v>
      </c>
      <c r="G253" s="3">
        <v>1997</v>
      </c>
      <c r="H253" s="3" t="s">
        <v>2276</v>
      </c>
      <c r="I253" s="3" t="s">
        <v>2276</v>
      </c>
      <c r="J253" s="3">
        <v>1</v>
      </c>
      <c r="K253" s="4" t="s">
        <v>4657</v>
      </c>
      <c r="L253" s="3" t="s">
        <v>2276</v>
      </c>
      <c r="M253" s="52" t="s">
        <v>2276</v>
      </c>
      <c r="N253" s="3"/>
    </row>
    <row r="254" spans="1:14" ht="34.5" customHeight="1">
      <c r="A254" s="11" t="s">
        <v>4644</v>
      </c>
      <c r="B254" s="11" t="s">
        <v>4654</v>
      </c>
      <c r="C254" s="3" t="s">
        <v>1105</v>
      </c>
      <c r="D254" s="3" t="s">
        <v>1105</v>
      </c>
      <c r="E254" s="4" t="s">
        <v>5005</v>
      </c>
      <c r="F254" s="3" t="s">
        <v>74</v>
      </c>
      <c r="G254" s="3">
        <v>1999</v>
      </c>
      <c r="H254" s="3" t="s">
        <v>2276</v>
      </c>
      <c r="I254" s="3" t="s">
        <v>2276</v>
      </c>
      <c r="J254" s="3">
        <v>2</v>
      </c>
      <c r="K254" s="4" t="s">
        <v>4658</v>
      </c>
      <c r="L254" s="3" t="s">
        <v>2276</v>
      </c>
      <c r="M254" s="52" t="s">
        <v>2276</v>
      </c>
      <c r="N254" s="3"/>
    </row>
    <row r="255" spans="1:14" ht="62" customHeight="1">
      <c r="A255" s="11" t="s">
        <v>4661</v>
      </c>
      <c r="B255" s="11" t="s">
        <v>4664</v>
      </c>
      <c r="C255" s="3" t="s">
        <v>1105</v>
      </c>
      <c r="D255" s="3" t="s">
        <v>1105</v>
      </c>
      <c r="E255" s="4" t="s">
        <v>5005</v>
      </c>
      <c r="F255" s="4" t="s">
        <v>2662</v>
      </c>
      <c r="G255" s="3"/>
      <c r="H255" s="3" t="s">
        <v>2276</v>
      </c>
      <c r="I255" s="3" t="s">
        <v>2276</v>
      </c>
      <c r="J255" s="3">
        <v>2</v>
      </c>
      <c r="K255" s="4" t="s">
        <v>4670</v>
      </c>
      <c r="L255" s="3" t="s">
        <v>2276</v>
      </c>
      <c r="M255" s="52" t="s">
        <v>2276</v>
      </c>
      <c r="N255" s="3"/>
    </row>
    <row r="256" spans="1:14" ht="55.5" customHeight="1">
      <c r="A256" s="11" t="s">
        <v>4716</v>
      </c>
      <c r="B256" s="3" t="s">
        <v>4724</v>
      </c>
      <c r="C256" s="3" t="s">
        <v>1105</v>
      </c>
      <c r="D256" s="3" t="s">
        <v>1105</v>
      </c>
      <c r="E256" s="4" t="s">
        <v>84</v>
      </c>
      <c r="F256" s="3" t="s">
        <v>28</v>
      </c>
      <c r="G256" s="3"/>
      <c r="H256" s="3" t="s">
        <v>2276</v>
      </c>
      <c r="I256" s="3" t="s">
        <v>2276</v>
      </c>
      <c r="J256" s="3">
        <v>3</v>
      </c>
      <c r="K256" s="4" t="s">
        <v>4730</v>
      </c>
      <c r="L256" s="3" t="s">
        <v>2276</v>
      </c>
      <c r="M256" s="52" t="s">
        <v>2276</v>
      </c>
      <c r="N256" s="3"/>
    </row>
    <row r="257" spans="1:14" ht="79" customHeight="1">
      <c r="A257" s="11" t="s">
        <v>4734</v>
      </c>
      <c r="B257" s="11" t="s">
        <v>4738</v>
      </c>
      <c r="C257" s="3" t="s">
        <v>1105</v>
      </c>
      <c r="D257" s="3" t="s">
        <v>1105</v>
      </c>
      <c r="E257" s="4" t="s">
        <v>5005</v>
      </c>
      <c r="F257" s="3" t="s">
        <v>74</v>
      </c>
      <c r="G257" s="3"/>
      <c r="H257" s="3" t="s">
        <v>2276</v>
      </c>
      <c r="I257" s="3" t="s">
        <v>2276</v>
      </c>
      <c r="J257" s="3">
        <v>2</v>
      </c>
      <c r="K257" s="4" t="s">
        <v>4740</v>
      </c>
      <c r="L257" s="3" t="s">
        <v>2276</v>
      </c>
      <c r="M257" s="52" t="s">
        <v>2276</v>
      </c>
      <c r="N257" s="3"/>
    </row>
    <row r="258" spans="1:14" ht="79" customHeight="1">
      <c r="A258" s="11" t="s">
        <v>4735</v>
      </c>
      <c r="B258" s="11" t="s">
        <v>4739</v>
      </c>
      <c r="C258" s="3" t="s">
        <v>1105</v>
      </c>
      <c r="D258" s="3" t="s">
        <v>1105</v>
      </c>
      <c r="E258" s="4" t="s">
        <v>5005</v>
      </c>
      <c r="F258" s="3" t="s">
        <v>74</v>
      </c>
      <c r="G258" s="3"/>
      <c r="H258" s="3" t="s">
        <v>2276</v>
      </c>
      <c r="I258" s="3" t="s">
        <v>2276</v>
      </c>
      <c r="J258" s="3">
        <v>2</v>
      </c>
      <c r="K258" s="4" t="s">
        <v>4740</v>
      </c>
      <c r="L258" s="3" t="s">
        <v>2276</v>
      </c>
      <c r="M258" s="52" t="s">
        <v>2276</v>
      </c>
      <c r="N258" s="3"/>
    </row>
    <row r="259" spans="1:14" ht="31" customHeight="1">
      <c r="A259" s="11" t="s">
        <v>4747</v>
      </c>
      <c r="B259" s="11" t="s">
        <v>4754</v>
      </c>
      <c r="C259" s="3" t="s">
        <v>24</v>
      </c>
      <c r="D259" s="3" t="s">
        <v>1105</v>
      </c>
      <c r="E259" s="4" t="s">
        <v>5005</v>
      </c>
      <c r="F259" s="4" t="s">
        <v>2662</v>
      </c>
      <c r="G259" s="3">
        <v>1937</v>
      </c>
      <c r="H259" s="3">
        <v>2</v>
      </c>
      <c r="I259" s="11" t="s">
        <v>4765</v>
      </c>
      <c r="J259" s="3" t="s">
        <v>2276</v>
      </c>
      <c r="K259" s="3" t="s">
        <v>2276</v>
      </c>
      <c r="L259" s="3" t="s">
        <v>2276</v>
      </c>
      <c r="M259" s="52" t="s">
        <v>2276</v>
      </c>
      <c r="N259" s="3"/>
    </row>
    <row r="260" spans="1:14" ht="31" customHeight="1">
      <c r="A260" s="11" t="s">
        <v>4747</v>
      </c>
      <c r="B260" s="11" t="s">
        <v>4756</v>
      </c>
      <c r="C260" s="3" t="s">
        <v>24</v>
      </c>
      <c r="D260" s="3" t="s">
        <v>1105</v>
      </c>
      <c r="E260" s="4" t="s">
        <v>130</v>
      </c>
      <c r="F260" s="4" t="s">
        <v>2662</v>
      </c>
      <c r="G260" s="3">
        <v>1937</v>
      </c>
      <c r="H260" s="3">
        <v>2</v>
      </c>
      <c r="I260" s="11" t="s">
        <v>4765</v>
      </c>
      <c r="J260" s="3" t="s">
        <v>2276</v>
      </c>
      <c r="K260" s="3" t="s">
        <v>2276</v>
      </c>
      <c r="L260" s="3" t="s">
        <v>2276</v>
      </c>
      <c r="M260" s="52" t="s">
        <v>2276</v>
      </c>
      <c r="N260" s="3"/>
    </row>
    <row r="261" spans="1:14" ht="31" customHeight="1">
      <c r="A261" s="11" t="s">
        <v>4747</v>
      </c>
      <c r="B261" s="11" t="s">
        <v>4757</v>
      </c>
      <c r="C261" s="3" t="s">
        <v>24</v>
      </c>
      <c r="D261" s="3" t="s">
        <v>1105</v>
      </c>
      <c r="E261" s="4" t="s">
        <v>45</v>
      </c>
      <c r="F261" s="4" t="s">
        <v>2662</v>
      </c>
      <c r="G261" s="3">
        <v>1937</v>
      </c>
      <c r="H261" s="3">
        <v>2</v>
      </c>
      <c r="I261" s="11" t="s">
        <v>4765</v>
      </c>
      <c r="J261" s="3" t="s">
        <v>2276</v>
      </c>
      <c r="K261" s="3" t="s">
        <v>2276</v>
      </c>
      <c r="L261" s="3" t="s">
        <v>2276</v>
      </c>
      <c r="M261" s="52" t="s">
        <v>2276</v>
      </c>
      <c r="N261" s="3"/>
    </row>
    <row r="262" spans="1:14" ht="29">
      <c r="A262" s="11" t="s">
        <v>4747</v>
      </c>
      <c r="B262" s="11" t="s">
        <v>4758</v>
      </c>
      <c r="C262" s="3" t="s">
        <v>24</v>
      </c>
      <c r="D262" s="3" t="s">
        <v>1105</v>
      </c>
      <c r="E262" s="4" t="s">
        <v>5005</v>
      </c>
      <c r="F262" s="4" t="s">
        <v>2662</v>
      </c>
      <c r="G262" s="11">
        <v>1990</v>
      </c>
      <c r="H262" s="3">
        <v>1</v>
      </c>
      <c r="I262" s="11" t="s">
        <v>4766</v>
      </c>
      <c r="J262" s="3" t="s">
        <v>2276</v>
      </c>
      <c r="K262" s="3" t="s">
        <v>2276</v>
      </c>
      <c r="L262" s="3" t="s">
        <v>2276</v>
      </c>
      <c r="M262" s="52" t="s">
        <v>2276</v>
      </c>
      <c r="N262" s="3"/>
    </row>
    <row r="263" spans="1:14" ht="29">
      <c r="A263" s="11" t="s">
        <v>4747</v>
      </c>
      <c r="B263" s="11" t="s">
        <v>4763</v>
      </c>
      <c r="C263" s="3" t="s">
        <v>24</v>
      </c>
      <c r="D263" s="3" t="s">
        <v>1105</v>
      </c>
      <c r="E263" s="4" t="s">
        <v>130</v>
      </c>
      <c r="F263" s="4" t="s">
        <v>2662</v>
      </c>
      <c r="G263" s="11">
        <v>1990</v>
      </c>
      <c r="H263" s="3">
        <v>1</v>
      </c>
      <c r="I263" s="11" t="s">
        <v>4766</v>
      </c>
      <c r="J263" s="3" t="s">
        <v>2276</v>
      </c>
      <c r="K263" s="3" t="s">
        <v>2276</v>
      </c>
      <c r="L263" s="3" t="s">
        <v>2276</v>
      </c>
      <c r="M263" s="52" t="s">
        <v>2276</v>
      </c>
      <c r="N263" s="3"/>
    </row>
    <row r="264" spans="1:14" ht="29">
      <c r="A264" s="11" t="s">
        <v>4747</v>
      </c>
      <c r="B264" s="11" t="s">
        <v>4764</v>
      </c>
      <c r="C264" s="3" t="s">
        <v>24</v>
      </c>
      <c r="D264" s="3" t="s">
        <v>1105</v>
      </c>
      <c r="E264" s="4" t="s">
        <v>45</v>
      </c>
      <c r="F264" s="4" t="s">
        <v>2662</v>
      </c>
      <c r="G264" s="11">
        <v>1990</v>
      </c>
      <c r="H264" s="3">
        <v>1</v>
      </c>
      <c r="I264" s="11" t="s">
        <v>4766</v>
      </c>
      <c r="J264" s="3" t="s">
        <v>2276</v>
      </c>
      <c r="K264" s="3" t="s">
        <v>2276</v>
      </c>
      <c r="L264" s="3" t="s">
        <v>2276</v>
      </c>
      <c r="M264" s="52" t="s">
        <v>2276</v>
      </c>
      <c r="N264" s="3"/>
    </row>
    <row r="265" spans="1:14" ht="45.5" customHeight="1">
      <c r="A265" s="11" t="s">
        <v>4777</v>
      </c>
      <c r="B265" s="11" t="s">
        <v>4783</v>
      </c>
      <c r="C265" s="3" t="s">
        <v>24</v>
      </c>
      <c r="D265" s="3" t="s">
        <v>2804</v>
      </c>
      <c r="E265" s="4" t="s">
        <v>5005</v>
      </c>
      <c r="F265" s="4" t="s">
        <v>2662</v>
      </c>
      <c r="G265" s="3"/>
      <c r="H265" s="3" t="s">
        <v>2276</v>
      </c>
      <c r="I265" s="3" t="s">
        <v>2276</v>
      </c>
      <c r="J265" s="3">
        <v>2</v>
      </c>
      <c r="K265" s="4" t="s">
        <v>4786</v>
      </c>
      <c r="L265" s="3" t="s">
        <v>2276</v>
      </c>
      <c r="M265" s="52" t="s">
        <v>2276</v>
      </c>
      <c r="N265" s="3"/>
    </row>
    <row r="266" spans="1:14" ht="79" customHeight="1">
      <c r="A266" s="11" t="s">
        <v>4791</v>
      </c>
      <c r="B266" s="11" t="s">
        <v>4794</v>
      </c>
      <c r="C266" s="3" t="s">
        <v>1105</v>
      </c>
      <c r="D266" s="3" t="s">
        <v>1105</v>
      </c>
      <c r="E266" s="4" t="s">
        <v>5005</v>
      </c>
      <c r="F266" s="4" t="s">
        <v>2662</v>
      </c>
      <c r="G266" s="3">
        <v>1965</v>
      </c>
      <c r="H266" s="3" t="s">
        <v>2276</v>
      </c>
      <c r="I266" s="3" t="s">
        <v>2276</v>
      </c>
      <c r="J266" s="3">
        <v>2</v>
      </c>
      <c r="K266" s="4" t="s">
        <v>4797</v>
      </c>
      <c r="L266" s="3" t="s">
        <v>2276</v>
      </c>
      <c r="M266" s="52" t="s">
        <v>2276</v>
      </c>
      <c r="N266" s="3"/>
    </row>
    <row r="267" spans="1:14" ht="36.5" customHeight="1">
      <c r="A267" s="11" t="s">
        <v>4793</v>
      </c>
      <c r="B267" s="11" t="s">
        <v>4795</v>
      </c>
      <c r="C267" s="3" t="s">
        <v>1105</v>
      </c>
      <c r="D267" s="3" t="s">
        <v>1105</v>
      </c>
      <c r="E267" s="4" t="s">
        <v>5005</v>
      </c>
      <c r="F267" s="4" t="s">
        <v>2662</v>
      </c>
      <c r="G267" s="3"/>
      <c r="H267" s="3" t="s">
        <v>2276</v>
      </c>
      <c r="I267" s="3" t="s">
        <v>2276</v>
      </c>
      <c r="J267" s="3">
        <v>2</v>
      </c>
      <c r="K267" s="4" t="s">
        <v>4786</v>
      </c>
      <c r="L267" s="3" t="s">
        <v>2276</v>
      </c>
      <c r="M267" s="52" t="s">
        <v>2276</v>
      </c>
      <c r="N267" s="3"/>
    </row>
    <row r="268" spans="1:14" ht="35.5" customHeight="1">
      <c r="A268" s="3" t="s">
        <v>4802</v>
      </c>
      <c r="B268" s="3" t="s">
        <v>4814</v>
      </c>
      <c r="C268" s="3" t="s">
        <v>1105</v>
      </c>
      <c r="D268" s="3" t="s">
        <v>1105</v>
      </c>
      <c r="E268" s="4" t="s">
        <v>5005</v>
      </c>
      <c r="F268" s="3" t="s">
        <v>74</v>
      </c>
      <c r="G268" s="3"/>
      <c r="H268" s="3" t="s">
        <v>2276</v>
      </c>
      <c r="I268" s="3" t="s">
        <v>2276</v>
      </c>
      <c r="J268" s="3">
        <v>2</v>
      </c>
      <c r="K268" s="4" t="s">
        <v>4837</v>
      </c>
      <c r="L268" s="3" t="s">
        <v>2276</v>
      </c>
      <c r="M268" s="52" t="s">
        <v>2276</v>
      </c>
      <c r="N268" s="3"/>
    </row>
    <row r="269" spans="1:14" ht="35.5" customHeight="1">
      <c r="A269" s="3" t="s">
        <v>4803</v>
      </c>
      <c r="B269" s="3" t="s">
        <v>4815</v>
      </c>
      <c r="C269" s="3" t="s">
        <v>1105</v>
      </c>
      <c r="D269" s="3" t="s">
        <v>1105</v>
      </c>
      <c r="E269" s="4" t="s">
        <v>5005</v>
      </c>
      <c r="F269" s="3" t="s">
        <v>74</v>
      </c>
      <c r="G269" s="3"/>
      <c r="H269" s="3" t="s">
        <v>2276</v>
      </c>
      <c r="I269" s="3" t="s">
        <v>2276</v>
      </c>
      <c r="J269" s="3">
        <v>2</v>
      </c>
      <c r="K269" s="4" t="s">
        <v>4837</v>
      </c>
      <c r="L269" s="3" t="s">
        <v>2276</v>
      </c>
      <c r="M269" s="52" t="s">
        <v>2276</v>
      </c>
      <c r="N269" s="3"/>
    </row>
    <row r="270" spans="1:14" ht="35.5" customHeight="1">
      <c r="A270" s="3" t="s">
        <v>4804</v>
      </c>
      <c r="B270" s="3" t="s">
        <v>4816</v>
      </c>
      <c r="C270" s="3" t="s">
        <v>1105</v>
      </c>
      <c r="D270" s="3" t="s">
        <v>1105</v>
      </c>
      <c r="E270" s="4" t="s">
        <v>5005</v>
      </c>
      <c r="F270" s="3" t="s">
        <v>74</v>
      </c>
      <c r="G270" s="3"/>
      <c r="H270" s="3" t="s">
        <v>2276</v>
      </c>
      <c r="I270" s="3" t="s">
        <v>2276</v>
      </c>
      <c r="J270" s="3">
        <v>2</v>
      </c>
      <c r="K270" s="4" t="s">
        <v>4837</v>
      </c>
      <c r="L270" s="3" t="s">
        <v>2276</v>
      </c>
      <c r="M270" s="52" t="s">
        <v>2276</v>
      </c>
      <c r="N270" s="3"/>
    </row>
    <row r="271" spans="1:14" ht="35.5" customHeight="1">
      <c r="A271" s="3" t="s">
        <v>4805</v>
      </c>
      <c r="B271" s="3" t="s">
        <v>4817</v>
      </c>
      <c r="C271" s="3" t="s">
        <v>1105</v>
      </c>
      <c r="D271" s="3" t="s">
        <v>1105</v>
      </c>
      <c r="E271" s="4" t="s">
        <v>5005</v>
      </c>
      <c r="F271" s="3" t="s">
        <v>74</v>
      </c>
      <c r="G271" s="3"/>
      <c r="H271" s="3" t="s">
        <v>2276</v>
      </c>
      <c r="I271" s="3" t="s">
        <v>2276</v>
      </c>
      <c r="J271" s="3">
        <v>2</v>
      </c>
      <c r="K271" s="4" t="s">
        <v>4837</v>
      </c>
      <c r="L271" s="3" t="s">
        <v>2276</v>
      </c>
      <c r="M271" s="52" t="s">
        <v>2276</v>
      </c>
      <c r="N271" s="3"/>
    </row>
    <row r="272" spans="1:14" ht="42.5" customHeight="1">
      <c r="A272" s="3" t="s">
        <v>4802</v>
      </c>
      <c r="B272" s="3" t="s">
        <v>4819</v>
      </c>
      <c r="C272" s="3" t="s">
        <v>1105</v>
      </c>
      <c r="D272" s="3" t="s">
        <v>1105</v>
      </c>
      <c r="E272" s="4" t="s">
        <v>2649</v>
      </c>
      <c r="F272" s="3" t="s">
        <v>74</v>
      </c>
      <c r="G272" s="3"/>
      <c r="H272" s="3" t="s">
        <v>2276</v>
      </c>
      <c r="I272" s="3" t="s">
        <v>2276</v>
      </c>
      <c r="J272" s="3">
        <v>2</v>
      </c>
      <c r="K272" s="4" t="s">
        <v>4840</v>
      </c>
      <c r="L272" s="3" t="s">
        <v>2276</v>
      </c>
      <c r="M272" s="52" t="s">
        <v>2276</v>
      </c>
      <c r="N272" s="3"/>
    </row>
    <row r="273" spans="1:14" ht="32.5" customHeight="1">
      <c r="A273" s="3" t="s">
        <v>4803</v>
      </c>
      <c r="B273" s="3" t="s">
        <v>4820</v>
      </c>
      <c r="C273" s="3" t="s">
        <v>1105</v>
      </c>
      <c r="D273" s="3" t="s">
        <v>1105</v>
      </c>
      <c r="E273" s="4" t="s">
        <v>2649</v>
      </c>
      <c r="F273" s="3" t="s">
        <v>74</v>
      </c>
      <c r="G273" s="3"/>
      <c r="H273" s="3" t="s">
        <v>2276</v>
      </c>
      <c r="I273" s="3" t="s">
        <v>2276</v>
      </c>
      <c r="J273" s="3">
        <v>3</v>
      </c>
      <c r="K273" s="4" t="s">
        <v>4839</v>
      </c>
      <c r="L273" s="3" t="s">
        <v>2276</v>
      </c>
      <c r="M273" s="52" t="s">
        <v>2276</v>
      </c>
      <c r="N273" s="3"/>
    </row>
    <row r="274" spans="1:14" ht="32.5" customHeight="1">
      <c r="A274" s="3" t="s">
        <v>4804</v>
      </c>
      <c r="B274" s="3" t="s">
        <v>4821</v>
      </c>
      <c r="C274" s="3" t="s">
        <v>1105</v>
      </c>
      <c r="D274" s="3" t="s">
        <v>1105</v>
      </c>
      <c r="E274" s="4" t="s">
        <v>2649</v>
      </c>
      <c r="F274" s="3" t="s">
        <v>74</v>
      </c>
      <c r="G274" s="3"/>
      <c r="H274" s="3" t="s">
        <v>2276</v>
      </c>
      <c r="I274" s="3" t="s">
        <v>2276</v>
      </c>
      <c r="J274" s="3">
        <v>2</v>
      </c>
      <c r="K274" s="4" t="s">
        <v>4840</v>
      </c>
      <c r="L274" s="3" t="s">
        <v>2276</v>
      </c>
      <c r="M274" s="52" t="s">
        <v>2276</v>
      </c>
      <c r="N274" s="3"/>
    </row>
    <row r="275" spans="1:14" ht="32.5" customHeight="1">
      <c r="A275" s="3" t="s">
        <v>4805</v>
      </c>
      <c r="B275" s="3" t="s">
        <v>4822</v>
      </c>
      <c r="C275" s="3" t="s">
        <v>1105</v>
      </c>
      <c r="D275" s="3" t="s">
        <v>1105</v>
      </c>
      <c r="E275" s="4" t="s">
        <v>2649</v>
      </c>
      <c r="F275" s="3" t="s">
        <v>74</v>
      </c>
      <c r="G275" s="3"/>
      <c r="H275" s="3" t="s">
        <v>2276</v>
      </c>
      <c r="I275" s="3" t="s">
        <v>2276</v>
      </c>
      <c r="J275" s="3">
        <v>2</v>
      </c>
      <c r="K275" s="4" t="s">
        <v>4840</v>
      </c>
      <c r="L275" s="3" t="s">
        <v>2276</v>
      </c>
      <c r="M275" s="52" t="s">
        <v>2276</v>
      </c>
      <c r="N275" s="3"/>
    </row>
    <row r="276" spans="1:14" ht="36.5" customHeight="1">
      <c r="A276" s="3" t="s">
        <v>4802</v>
      </c>
      <c r="B276" s="3" t="s">
        <v>4824</v>
      </c>
      <c r="C276" s="3" t="s">
        <v>1105</v>
      </c>
      <c r="D276" s="3" t="s">
        <v>1105</v>
      </c>
      <c r="E276" s="4" t="s">
        <v>45</v>
      </c>
      <c r="F276" s="3" t="s">
        <v>74</v>
      </c>
      <c r="G276" s="3"/>
      <c r="H276" s="3" t="s">
        <v>2276</v>
      </c>
      <c r="I276" s="3" t="s">
        <v>2276</v>
      </c>
      <c r="J276" s="3">
        <v>2</v>
      </c>
      <c r="K276" s="3" t="s">
        <v>4838</v>
      </c>
      <c r="L276" s="3" t="s">
        <v>2276</v>
      </c>
      <c r="M276" s="52" t="s">
        <v>2276</v>
      </c>
      <c r="N276" s="3"/>
    </row>
    <row r="277" spans="1:14" ht="36.5" customHeight="1">
      <c r="A277" s="3" t="s">
        <v>4803</v>
      </c>
      <c r="B277" s="3" t="s">
        <v>4825</v>
      </c>
      <c r="C277" s="3" t="s">
        <v>1105</v>
      </c>
      <c r="D277" s="3" t="s">
        <v>1105</v>
      </c>
      <c r="E277" s="4" t="s">
        <v>45</v>
      </c>
      <c r="F277" s="3" t="s">
        <v>74</v>
      </c>
      <c r="G277" s="3"/>
      <c r="H277" s="3" t="s">
        <v>2276</v>
      </c>
      <c r="I277" s="3" t="s">
        <v>2276</v>
      </c>
      <c r="J277" s="3">
        <v>3</v>
      </c>
      <c r="K277" s="3" t="s">
        <v>4836</v>
      </c>
      <c r="L277" s="3" t="s">
        <v>2276</v>
      </c>
      <c r="M277" s="52" t="s">
        <v>2276</v>
      </c>
      <c r="N277" s="3"/>
    </row>
    <row r="278" spans="1:14" ht="36.5" customHeight="1">
      <c r="A278" s="3" t="s">
        <v>4804</v>
      </c>
      <c r="B278" s="3" t="s">
        <v>4826</v>
      </c>
      <c r="C278" s="3" t="s">
        <v>1105</v>
      </c>
      <c r="D278" s="3" t="s">
        <v>1105</v>
      </c>
      <c r="E278" s="4" t="s">
        <v>45</v>
      </c>
      <c r="F278" s="3" t="s">
        <v>74</v>
      </c>
      <c r="G278" s="3"/>
      <c r="H278" s="3" t="s">
        <v>2276</v>
      </c>
      <c r="I278" s="3" t="s">
        <v>2276</v>
      </c>
      <c r="J278" s="3">
        <v>2</v>
      </c>
      <c r="K278" s="3" t="s">
        <v>4838</v>
      </c>
      <c r="L278" s="3" t="s">
        <v>2276</v>
      </c>
      <c r="M278" s="52" t="s">
        <v>2276</v>
      </c>
      <c r="N278" s="3"/>
    </row>
    <row r="279" spans="1:14" ht="36.5" customHeight="1">
      <c r="A279" s="3" t="s">
        <v>4805</v>
      </c>
      <c r="B279" s="3" t="s">
        <v>4827</v>
      </c>
      <c r="C279" s="3" t="s">
        <v>1105</v>
      </c>
      <c r="D279" s="3" t="s">
        <v>1105</v>
      </c>
      <c r="E279" s="4" t="s">
        <v>45</v>
      </c>
      <c r="F279" s="3" t="s">
        <v>74</v>
      </c>
      <c r="G279" s="3"/>
      <c r="H279" s="3" t="s">
        <v>2276</v>
      </c>
      <c r="I279" s="3" t="s">
        <v>2276</v>
      </c>
      <c r="J279" s="3">
        <v>2</v>
      </c>
      <c r="K279" s="3" t="s">
        <v>4838</v>
      </c>
      <c r="L279" s="3" t="s">
        <v>2276</v>
      </c>
      <c r="M279" s="52" t="s">
        <v>2276</v>
      </c>
      <c r="N279" s="3"/>
    </row>
    <row r="280" spans="1:14" ht="35.5" customHeight="1">
      <c r="A280" s="11" t="s">
        <v>4833</v>
      </c>
      <c r="B280" s="11" t="s">
        <v>4834</v>
      </c>
      <c r="C280" s="3" t="s">
        <v>1105</v>
      </c>
      <c r="D280" s="3" t="s">
        <v>1105</v>
      </c>
      <c r="E280" s="4" t="s">
        <v>45</v>
      </c>
      <c r="F280" s="60" t="s">
        <v>2662</v>
      </c>
      <c r="G280" s="3"/>
      <c r="H280" s="3" t="s">
        <v>2276</v>
      </c>
      <c r="I280" s="3" t="s">
        <v>2276</v>
      </c>
      <c r="J280" s="3">
        <v>2</v>
      </c>
      <c r="K280" s="4" t="s">
        <v>4844</v>
      </c>
      <c r="L280" s="3" t="s">
        <v>2276</v>
      </c>
      <c r="M280" s="52" t="s">
        <v>2276</v>
      </c>
      <c r="N280" s="3"/>
    </row>
    <row r="281" spans="1:14" ht="33.5" customHeight="1">
      <c r="A281" s="11" t="s">
        <v>4833</v>
      </c>
      <c r="B281" s="11" t="s">
        <v>4843</v>
      </c>
      <c r="C281" s="3" t="s">
        <v>1105</v>
      </c>
      <c r="D281" s="3" t="s">
        <v>1105</v>
      </c>
      <c r="E281" s="4" t="s">
        <v>2649</v>
      </c>
      <c r="F281" s="52" t="s">
        <v>74</v>
      </c>
      <c r="G281" s="3"/>
      <c r="H281" s="3" t="s">
        <v>2276</v>
      </c>
      <c r="I281" s="3" t="s">
        <v>2276</v>
      </c>
      <c r="J281" s="3">
        <v>3</v>
      </c>
      <c r="K281" s="3" t="s">
        <v>4845</v>
      </c>
      <c r="L281" s="3" t="s">
        <v>2276</v>
      </c>
      <c r="M281" s="52" t="s">
        <v>2276</v>
      </c>
      <c r="N281" s="3"/>
    </row>
    <row r="282" spans="1:14" ht="67" customHeight="1">
      <c r="A282" s="11" t="s">
        <v>4925</v>
      </c>
      <c r="B282" s="11" t="s">
        <v>4934</v>
      </c>
      <c r="C282" s="3" t="s">
        <v>1105</v>
      </c>
      <c r="D282" s="3" t="s">
        <v>1105</v>
      </c>
      <c r="E282" s="4" t="s">
        <v>45</v>
      </c>
      <c r="F282" s="52" t="s">
        <v>74</v>
      </c>
      <c r="G282" s="3"/>
      <c r="H282" s="3" t="s">
        <v>2276</v>
      </c>
      <c r="I282" s="3" t="s">
        <v>2276</v>
      </c>
      <c r="J282" s="3">
        <v>2</v>
      </c>
      <c r="K282" s="4" t="s">
        <v>4938</v>
      </c>
      <c r="L282" s="3" t="s">
        <v>2276</v>
      </c>
      <c r="M282" s="52" t="s">
        <v>2276</v>
      </c>
      <c r="N282" s="3"/>
    </row>
    <row r="283" spans="1:14" ht="67" customHeight="1">
      <c r="A283" s="11" t="s">
        <v>4925</v>
      </c>
      <c r="B283" s="11" t="s">
        <v>4935</v>
      </c>
      <c r="C283" s="3" t="s">
        <v>1105</v>
      </c>
      <c r="D283" s="3" t="s">
        <v>1105</v>
      </c>
      <c r="E283" s="4" t="s">
        <v>45</v>
      </c>
      <c r="F283" s="52" t="s">
        <v>74</v>
      </c>
      <c r="G283" s="3"/>
      <c r="H283" s="3" t="s">
        <v>2276</v>
      </c>
      <c r="I283" s="3" t="s">
        <v>2276</v>
      </c>
      <c r="J283" s="3">
        <v>2</v>
      </c>
      <c r="K283" s="4" t="s">
        <v>4938</v>
      </c>
      <c r="L283" s="3" t="s">
        <v>2276</v>
      </c>
      <c r="M283" s="52" t="s">
        <v>2276</v>
      </c>
      <c r="N283" s="3"/>
    </row>
    <row r="284" spans="1:14" ht="67" customHeight="1">
      <c r="A284" s="11" t="s">
        <v>4929</v>
      </c>
      <c r="B284" s="11" t="s">
        <v>4936</v>
      </c>
      <c r="C284" s="3" t="s">
        <v>1105</v>
      </c>
      <c r="D284" s="3" t="s">
        <v>1105</v>
      </c>
      <c r="E284" s="4" t="s">
        <v>45</v>
      </c>
      <c r="F284" s="52" t="s">
        <v>74</v>
      </c>
      <c r="G284" s="3"/>
      <c r="H284" s="3" t="s">
        <v>2276</v>
      </c>
      <c r="I284" s="3" t="s">
        <v>2276</v>
      </c>
      <c r="J284" s="3">
        <v>2</v>
      </c>
      <c r="K284" s="4" t="s">
        <v>4938</v>
      </c>
      <c r="L284" s="3" t="s">
        <v>2276</v>
      </c>
      <c r="M284" s="52" t="s">
        <v>2276</v>
      </c>
      <c r="N284" s="3"/>
    </row>
    <row r="285" spans="1:14" ht="67" customHeight="1">
      <c r="A285" s="11" t="s">
        <v>4929</v>
      </c>
      <c r="B285" s="11" t="s">
        <v>4937</v>
      </c>
      <c r="C285" s="3" t="s">
        <v>1105</v>
      </c>
      <c r="D285" s="3" t="s">
        <v>1105</v>
      </c>
      <c r="E285" s="4" t="s">
        <v>45</v>
      </c>
      <c r="F285" s="52" t="s">
        <v>74</v>
      </c>
      <c r="G285" s="3"/>
      <c r="H285" s="3" t="s">
        <v>2276</v>
      </c>
      <c r="I285" s="3" t="s">
        <v>2276</v>
      </c>
      <c r="J285" s="3">
        <v>2</v>
      </c>
      <c r="K285" s="4" t="s">
        <v>4938</v>
      </c>
      <c r="L285" s="3" t="s">
        <v>2276</v>
      </c>
      <c r="M285" s="52" t="s">
        <v>2276</v>
      </c>
      <c r="N285" s="3"/>
    </row>
    <row r="286" spans="1:14" ht="41" customHeight="1">
      <c r="A286" s="11" t="s">
        <v>4939</v>
      </c>
      <c r="B286" s="11" t="s">
        <v>4944</v>
      </c>
      <c r="C286" s="3" t="s">
        <v>1105</v>
      </c>
      <c r="D286" s="3" t="s">
        <v>1105</v>
      </c>
      <c r="E286" s="4" t="s">
        <v>3209</v>
      </c>
      <c r="F286" s="3" t="s">
        <v>2276</v>
      </c>
      <c r="G286" s="3"/>
      <c r="H286" s="3" t="s">
        <v>2276</v>
      </c>
      <c r="I286" s="3" t="s">
        <v>2276</v>
      </c>
      <c r="J286" s="3" t="s">
        <v>2276</v>
      </c>
      <c r="K286" s="3" t="s">
        <v>2276</v>
      </c>
      <c r="L286" s="3">
        <v>3</v>
      </c>
      <c r="M286" s="48" t="s">
        <v>4957</v>
      </c>
      <c r="N286" s="3"/>
    </row>
    <row r="287" spans="1:14" ht="48" customHeight="1">
      <c r="A287" s="11" t="s">
        <v>5128</v>
      </c>
      <c r="B287" s="3" t="s">
        <v>5145</v>
      </c>
      <c r="C287" s="3" t="s">
        <v>24</v>
      </c>
      <c r="D287" s="3" t="s">
        <v>1242</v>
      </c>
      <c r="E287" s="4" t="s">
        <v>137</v>
      </c>
      <c r="F287" s="4" t="s">
        <v>2662</v>
      </c>
      <c r="G287" s="3"/>
      <c r="H287" s="3">
        <v>3</v>
      </c>
      <c r="I287" s="4" t="s">
        <v>5163</v>
      </c>
      <c r="J287" s="3">
        <v>3</v>
      </c>
      <c r="K287" s="4" t="s">
        <v>5155</v>
      </c>
      <c r="L287" s="3" t="s">
        <v>2276</v>
      </c>
      <c r="M287" s="52" t="s">
        <v>2276</v>
      </c>
      <c r="N287" s="3"/>
    </row>
    <row r="288" spans="1:14" ht="48" customHeight="1">
      <c r="A288" s="11" t="s">
        <v>5129</v>
      </c>
      <c r="B288" s="3" t="s">
        <v>5146</v>
      </c>
      <c r="C288" s="3" t="s">
        <v>24</v>
      </c>
      <c r="D288" s="3" t="s">
        <v>1242</v>
      </c>
      <c r="E288" s="4" t="s">
        <v>137</v>
      </c>
      <c r="F288" s="4" t="s">
        <v>2662</v>
      </c>
      <c r="G288" s="3"/>
      <c r="H288" s="3">
        <v>3</v>
      </c>
      <c r="I288" s="4" t="s">
        <v>5163</v>
      </c>
      <c r="J288" s="3">
        <v>3</v>
      </c>
      <c r="K288" s="4" t="s">
        <v>5155</v>
      </c>
      <c r="L288" s="3" t="s">
        <v>2276</v>
      </c>
      <c r="M288" s="52" t="s">
        <v>2276</v>
      </c>
      <c r="N288" s="3"/>
    </row>
    <row r="289" spans="1:14" ht="48" customHeight="1">
      <c r="A289" s="11" t="s">
        <v>5130</v>
      </c>
      <c r="B289" s="3" t="s">
        <v>5147</v>
      </c>
      <c r="C289" s="3" t="s">
        <v>24</v>
      </c>
      <c r="D289" s="3" t="s">
        <v>1242</v>
      </c>
      <c r="E289" s="4" t="s">
        <v>137</v>
      </c>
      <c r="F289" s="4" t="s">
        <v>2662</v>
      </c>
      <c r="G289" s="3"/>
      <c r="H289" s="3">
        <v>3</v>
      </c>
      <c r="I289" s="4" t="s">
        <v>5163</v>
      </c>
      <c r="J289" s="3">
        <v>3</v>
      </c>
      <c r="K289" s="4" t="s">
        <v>5155</v>
      </c>
      <c r="L289" s="3" t="s">
        <v>2276</v>
      </c>
      <c r="M289" s="52" t="s">
        <v>2276</v>
      </c>
      <c r="N289" s="3"/>
    </row>
    <row r="290" spans="1:14" ht="48" customHeight="1">
      <c r="A290" s="11" t="s">
        <v>5131</v>
      </c>
      <c r="B290" s="3" t="s">
        <v>5148</v>
      </c>
      <c r="C290" s="3" t="s">
        <v>24</v>
      </c>
      <c r="D290" s="3" t="s">
        <v>1242</v>
      </c>
      <c r="E290" s="4" t="s">
        <v>137</v>
      </c>
      <c r="F290" s="4" t="s">
        <v>2662</v>
      </c>
      <c r="G290" s="3"/>
      <c r="H290" s="3">
        <v>3</v>
      </c>
      <c r="I290" s="4" t="s">
        <v>5163</v>
      </c>
      <c r="J290" s="3">
        <v>3</v>
      </c>
      <c r="K290" s="4" t="s">
        <v>5155</v>
      </c>
      <c r="L290" s="3" t="s">
        <v>2276</v>
      </c>
      <c r="M290" s="52" t="s">
        <v>2276</v>
      </c>
      <c r="N290" s="3"/>
    </row>
    <row r="291" spans="1:14" ht="48" customHeight="1">
      <c r="A291" s="11" t="s">
        <v>5132</v>
      </c>
      <c r="B291" s="3" t="s">
        <v>5149</v>
      </c>
      <c r="C291" s="3" t="s">
        <v>24</v>
      </c>
      <c r="D291" s="3" t="s">
        <v>1242</v>
      </c>
      <c r="E291" s="4" t="s">
        <v>137</v>
      </c>
      <c r="F291" s="4" t="s">
        <v>2662</v>
      </c>
      <c r="G291" s="3"/>
      <c r="H291" s="3">
        <v>3</v>
      </c>
      <c r="I291" s="4" t="s">
        <v>5163</v>
      </c>
      <c r="J291" s="3">
        <v>3</v>
      </c>
      <c r="K291" s="4" t="s">
        <v>5155</v>
      </c>
      <c r="L291" s="3" t="s">
        <v>2276</v>
      </c>
      <c r="M291" s="52" t="s">
        <v>2276</v>
      </c>
      <c r="N291" s="3"/>
    </row>
    <row r="292" spans="1:14" ht="48" customHeight="1">
      <c r="A292" s="11" t="s">
        <v>5128</v>
      </c>
      <c r="B292" s="3" t="s">
        <v>5150</v>
      </c>
      <c r="C292" s="3" t="s">
        <v>31</v>
      </c>
      <c r="D292" s="3" t="s">
        <v>30</v>
      </c>
      <c r="E292" s="4" t="s">
        <v>137</v>
      </c>
      <c r="F292" s="4" t="s">
        <v>2662</v>
      </c>
      <c r="G292" s="3"/>
      <c r="H292" s="3" t="s">
        <v>2276</v>
      </c>
      <c r="I292" s="3" t="s">
        <v>2276</v>
      </c>
      <c r="J292" s="3">
        <v>3</v>
      </c>
      <c r="K292" s="4" t="s">
        <v>5155</v>
      </c>
      <c r="L292" s="3">
        <v>3</v>
      </c>
      <c r="M292" s="52" t="s">
        <v>5156</v>
      </c>
      <c r="N292" s="3"/>
    </row>
    <row r="293" spans="1:14" ht="48" customHeight="1">
      <c r="A293" s="11" t="s">
        <v>5129</v>
      </c>
      <c r="B293" s="3" t="s">
        <v>5151</v>
      </c>
      <c r="C293" s="3" t="s">
        <v>31</v>
      </c>
      <c r="D293" s="3" t="s">
        <v>30</v>
      </c>
      <c r="E293" s="4" t="s">
        <v>137</v>
      </c>
      <c r="F293" s="4" t="s">
        <v>2662</v>
      </c>
      <c r="G293" s="3"/>
      <c r="H293" s="3" t="s">
        <v>2276</v>
      </c>
      <c r="I293" s="3" t="s">
        <v>2276</v>
      </c>
      <c r="J293" s="3">
        <v>3</v>
      </c>
      <c r="K293" s="4" t="s">
        <v>5155</v>
      </c>
      <c r="L293" s="3">
        <v>3</v>
      </c>
      <c r="M293" s="52" t="s">
        <v>5156</v>
      </c>
      <c r="N293" s="3"/>
    </row>
    <row r="294" spans="1:14" ht="48" customHeight="1">
      <c r="A294" s="11" t="s">
        <v>5130</v>
      </c>
      <c r="B294" s="3" t="s">
        <v>5152</v>
      </c>
      <c r="C294" s="3" t="s">
        <v>31</v>
      </c>
      <c r="D294" s="3" t="s">
        <v>30</v>
      </c>
      <c r="E294" s="4" t="s">
        <v>137</v>
      </c>
      <c r="F294" s="4" t="s">
        <v>2662</v>
      </c>
      <c r="G294" s="3"/>
      <c r="H294" s="3" t="s">
        <v>2276</v>
      </c>
      <c r="I294" s="3" t="s">
        <v>2276</v>
      </c>
      <c r="J294" s="3">
        <v>3</v>
      </c>
      <c r="K294" s="4" t="s">
        <v>5155</v>
      </c>
      <c r="L294" s="3">
        <v>3</v>
      </c>
      <c r="M294" s="52" t="s">
        <v>5156</v>
      </c>
      <c r="N294" s="3"/>
    </row>
    <row r="295" spans="1:14" ht="48" customHeight="1">
      <c r="A295" s="11" t="s">
        <v>5131</v>
      </c>
      <c r="B295" s="3" t="s">
        <v>5153</v>
      </c>
      <c r="C295" s="3" t="s">
        <v>31</v>
      </c>
      <c r="D295" s="3" t="s">
        <v>30</v>
      </c>
      <c r="E295" s="4" t="s">
        <v>137</v>
      </c>
      <c r="F295" s="4" t="s">
        <v>2662</v>
      </c>
      <c r="G295" s="3"/>
      <c r="H295" s="3" t="s">
        <v>2276</v>
      </c>
      <c r="I295" s="3" t="s">
        <v>2276</v>
      </c>
      <c r="J295" s="3">
        <v>3</v>
      </c>
      <c r="K295" s="4" t="s">
        <v>5155</v>
      </c>
      <c r="L295" s="3">
        <v>3</v>
      </c>
      <c r="M295" s="52" t="s">
        <v>5156</v>
      </c>
      <c r="N295" s="3"/>
    </row>
    <row r="296" spans="1:14" ht="48" customHeight="1">
      <c r="A296" s="11" t="s">
        <v>5132</v>
      </c>
      <c r="B296" s="3" t="s">
        <v>5154</v>
      </c>
      <c r="C296" s="3" t="s">
        <v>31</v>
      </c>
      <c r="D296" s="3" t="s">
        <v>30</v>
      </c>
      <c r="E296" s="4" t="s">
        <v>137</v>
      </c>
      <c r="F296" s="4" t="s">
        <v>2662</v>
      </c>
      <c r="G296" s="3"/>
      <c r="H296" s="3" t="s">
        <v>2276</v>
      </c>
      <c r="I296" s="3" t="s">
        <v>2276</v>
      </c>
      <c r="J296" s="3">
        <v>3</v>
      </c>
      <c r="K296" s="4" t="s">
        <v>5155</v>
      </c>
      <c r="L296" s="3">
        <v>3</v>
      </c>
      <c r="M296" s="52" t="s">
        <v>5156</v>
      </c>
      <c r="N296" s="3"/>
    </row>
    <row r="297" spans="1:14" ht="33.5" customHeight="1">
      <c r="A297" s="11" t="s">
        <v>5128</v>
      </c>
      <c r="B297" s="3" t="s">
        <v>5158</v>
      </c>
      <c r="C297" s="3" t="s">
        <v>31</v>
      </c>
      <c r="D297" s="3" t="s">
        <v>30</v>
      </c>
      <c r="E297" s="4" t="s">
        <v>2652</v>
      </c>
      <c r="F297" s="4" t="s">
        <v>2662</v>
      </c>
      <c r="G297" s="3"/>
      <c r="H297" s="3">
        <v>0</v>
      </c>
      <c r="I297" s="3" t="s">
        <v>5157</v>
      </c>
      <c r="J297" s="3" t="s">
        <v>2276</v>
      </c>
      <c r="K297" s="3" t="s">
        <v>2276</v>
      </c>
      <c r="L297" s="3" t="s">
        <v>2276</v>
      </c>
      <c r="M297" s="52" t="s">
        <v>2276</v>
      </c>
      <c r="N297" s="3"/>
    </row>
    <row r="298" spans="1:14" ht="33.5" customHeight="1">
      <c r="A298" s="11" t="s">
        <v>5129</v>
      </c>
      <c r="B298" s="3" t="s">
        <v>5159</v>
      </c>
      <c r="C298" s="3" t="s">
        <v>31</v>
      </c>
      <c r="D298" s="3" t="s">
        <v>30</v>
      </c>
      <c r="E298" s="4" t="s">
        <v>2652</v>
      </c>
      <c r="F298" s="4" t="s">
        <v>2662</v>
      </c>
      <c r="G298" s="3"/>
      <c r="H298" s="3">
        <v>0</v>
      </c>
      <c r="I298" s="3" t="s">
        <v>5157</v>
      </c>
      <c r="J298" s="3" t="s">
        <v>2276</v>
      </c>
      <c r="K298" s="3" t="s">
        <v>2276</v>
      </c>
      <c r="L298" s="3" t="s">
        <v>2276</v>
      </c>
      <c r="M298" s="52" t="s">
        <v>2276</v>
      </c>
      <c r="N298" s="3"/>
    </row>
    <row r="299" spans="1:14" ht="33.5" customHeight="1">
      <c r="A299" s="11" t="s">
        <v>5130</v>
      </c>
      <c r="B299" s="3" t="s">
        <v>5160</v>
      </c>
      <c r="C299" s="3" t="s">
        <v>31</v>
      </c>
      <c r="D299" s="3" t="s">
        <v>30</v>
      </c>
      <c r="E299" s="4" t="s">
        <v>2652</v>
      </c>
      <c r="F299" s="4" t="s">
        <v>2662</v>
      </c>
      <c r="G299" s="3"/>
      <c r="H299" s="3">
        <v>0</v>
      </c>
      <c r="I299" s="3" t="s">
        <v>5157</v>
      </c>
      <c r="J299" s="3" t="s">
        <v>2276</v>
      </c>
      <c r="K299" s="3" t="s">
        <v>2276</v>
      </c>
      <c r="L299" s="3" t="s">
        <v>2276</v>
      </c>
      <c r="M299" s="52" t="s">
        <v>2276</v>
      </c>
      <c r="N299" s="3"/>
    </row>
    <row r="300" spans="1:14" ht="33.5" customHeight="1">
      <c r="A300" s="11" t="s">
        <v>5131</v>
      </c>
      <c r="B300" s="3" t="s">
        <v>5161</v>
      </c>
      <c r="C300" s="3" t="s">
        <v>31</v>
      </c>
      <c r="D300" s="3" t="s">
        <v>30</v>
      </c>
      <c r="E300" s="4" t="s">
        <v>2652</v>
      </c>
      <c r="F300" s="4" t="s">
        <v>2662</v>
      </c>
      <c r="G300" s="3"/>
      <c r="H300" s="3">
        <v>0</v>
      </c>
      <c r="I300" s="3" t="s">
        <v>5157</v>
      </c>
      <c r="J300" s="3" t="s">
        <v>2276</v>
      </c>
      <c r="K300" s="3" t="s">
        <v>2276</v>
      </c>
      <c r="L300" s="3" t="s">
        <v>2276</v>
      </c>
      <c r="M300" s="52" t="s">
        <v>2276</v>
      </c>
      <c r="N300" s="3"/>
    </row>
    <row r="301" spans="1:14" ht="33.5" customHeight="1">
      <c r="A301" s="11" t="s">
        <v>5132</v>
      </c>
      <c r="B301" s="3" t="s">
        <v>5162</v>
      </c>
      <c r="C301" s="3" t="s">
        <v>31</v>
      </c>
      <c r="D301" s="3" t="s">
        <v>30</v>
      </c>
      <c r="E301" s="4" t="s">
        <v>2652</v>
      </c>
      <c r="F301" s="4" t="s">
        <v>2662</v>
      </c>
      <c r="G301" s="3"/>
      <c r="H301" s="3">
        <v>0</v>
      </c>
      <c r="I301" s="3" t="s">
        <v>5157</v>
      </c>
      <c r="J301" s="3" t="s">
        <v>2276</v>
      </c>
      <c r="K301" s="3" t="s">
        <v>2276</v>
      </c>
      <c r="L301" s="3" t="s">
        <v>2276</v>
      </c>
      <c r="M301" s="52" t="s">
        <v>2276</v>
      </c>
      <c r="N301" s="3"/>
    </row>
    <row r="302" spans="1:14" ht="29">
      <c r="A302" s="3" t="s">
        <v>5190</v>
      </c>
      <c r="B302" s="11" t="s">
        <v>5193</v>
      </c>
      <c r="C302" s="4" t="s">
        <v>24</v>
      </c>
      <c r="D302" s="4" t="s">
        <v>396</v>
      </c>
      <c r="E302" s="3" t="s">
        <v>1105</v>
      </c>
      <c r="F302" s="3" t="s">
        <v>74</v>
      </c>
      <c r="G302" s="3">
        <v>2015</v>
      </c>
      <c r="H302" s="3">
        <v>0</v>
      </c>
      <c r="I302" s="4" t="s">
        <v>5207</v>
      </c>
      <c r="J302" s="3" t="s">
        <v>2276</v>
      </c>
      <c r="K302" s="3" t="s">
        <v>2276</v>
      </c>
      <c r="L302" s="3" t="s">
        <v>2276</v>
      </c>
      <c r="M302" s="52" t="s">
        <v>2276</v>
      </c>
      <c r="N302" s="3"/>
    </row>
    <row r="303" spans="1:14" ht="29">
      <c r="A303" s="3" t="s">
        <v>5190</v>
      </c>
      <c r="B303" s="11" t="s">
        <v>5194</v>
      </c>
      <c r="C303" s="4" t="s">
        <v>24</v>
      </c>
      <c r="D303" s="4" t="s">
        <v>130</v>
      </c>
      <c r="E303" s="3" t="s">
        <v>1105</v>
      </c>
      <c r="F303" s="3" t="s">
        <v>74</v>
      </c>
      <c r="G303" s="3">
        <v>2015</v>
      </c>
      <c r="H303" s="3">
        <v>0</v>
      </c>
      <c r="I303" s="4" t="s">
        <v>5207</v>
      </c>
      <c r="J303" s="3" t="s">
        <v>2276</v>
      </c>
      <c r="K303" s="3" t="s">
        <v>2276</v>
      </c>
      <c r="L303" s="3" t="s">
        <v>2276</v>
      </c>
      <c r="M303" s="52" t="s">
        <v>2276</v>
      </c>
      <c r="N303" s="3"/>
    </row>
    <row r="304" spans="1:14" ht="29">
      <c r="A304" s="3" t="s">
        <v>5190</v>
      </c>
      <c r="B304" s="11" t="s">
        <v>5195</v>
      </c>
      <c r="C304" s="4" t="s">
        <v>24</v>
      </c>
      <c r="D304" s="4" t="s">
        <v>863</v>
      </c>
      <c r="E304" s="3" t="s">
        <v>1105</v>
      </c>
      <c r="F304" s="3" t="s">
        <v>74</v>
      </c>
      <c r="G304" s="3">
        <v>2015</v>
      </c>
      <c r="H304" s="3">
        <v>0</v>
      </c>
      <c r="I304" s="4" t="s">
        <v>5207</v>
      </c>
      <c r="J304" s="3" t="s">
        <v>2276</v>
      </c>
      <c r="K304" s="3" t="s">
        <v>2276</v>
      </c>
      <c r="L304" s="3" t="s">
        <v>2276</v>
      </c>
      <c r="M304" s="52" t="s">
        <v>2276</v>
      </c>
      <c r="N304" s="3"/>
    </row>
    <row r="305" spans="1:14" ht="29">
      <c r="A305" s="4" t="s">
        <v>5209</v>
      </c>
      <c r="B305" s="19" t="s">
        <v>5216</v>
      </c>
      <c r="C305" s="4" t="s">
        <v>24</v>
      </c>
      <c r="D305" s="4" t="s">
        <v>144</v>
      </c>
      <c r="E305" s="4" t="s">
        <v>137</v>
      </c>
      <c r="F305" s="4" t="s">
        <v>55</v>
      </c>
      <c r="G305" s="3"/>
      <c r="H305" s="3">
        <v>3</v>
      </c>
      <c r="I305" s="19" t="s">
        <v>5219</v>
      </c>
      <c r="J305" s="3" t="s">
        <v>2276</v>
      </c>
      <c r="K305" s="3" t="s">
        <v>2276</v>
      </c>
      <c r="L305" s="3">
        <v>3</v>
      </c>
      <c r="M305" s="52" t="s">
        <v>5220</v>
      </c>
      <c r="N305" s="3"/>
    </row>
    <row r="306" spans="1:14" ht="35.5" customHeight="1">
      <c r="A306" s="4" t="s">
        <v>5209</v>
      </c>
      <c r="B306" s="19" t="s">
        <v>5217</v>
      </c>
      <c r="C306" s="4" t="s">
        <v>24</v>
      </c>
      <c r="D306" s="4" t="s">
        <v>406</v>
      </c>
      <c r="E306" s="4" t="s">
        <v>137</v>
      </c>
      <c r="F306" s="4" t="s">
        <v>55</v>
      </c>
      <c r="G306" s="3"/>
      <c r="H306" s="3">
        <v>3</v>
      </c>
      <c r="I306" s="19" t="s">
        <v>5219</v>
      </c>
      <c r="J306" s="3" t="s">
        <v>2276</v>
      </c>
      <c r="K306" s="3" t="s">
        <v>2276</v>
      </c>
      <c r="L306" s="3">
        <v>3</v>
      </c>
      <c r="M306" s="52" t="s">
        <v>5220</v>
      </c>
      <c r="N306" s="3"/>
    </row>
    <row r="307" spans="1:14" ht="30" customHeight="1">
      <c r="A307" s="156" t="s">
        <v>5370</v>
      </c>
      <c r="B307" s="156" t="s">
        <v>5374</v>
      </c>
      <c r="C307" s="156" t="s">
        <v>24</v>
      </c>
      <c r="D307" s="156" t="s">
        <v>1242</v>
      </c>
      <c r="E307" s="156" t="s">
        <v>116</v>
      </c>
      <c r="F307" s="156" t="s">
        <v>74</v>
      </c>
      <c r="G307" s="156"/>
      <c r="H307" s="3" t="s">
        <v>2276</v>
      </c>
      <c r="I307" s="3" t="s">
        <v>2276</v>
      </c>
      <c r="J307" s="3">
        <v>2</v>
      </c>
      <c r="K307" s="3" t="s">
        <v>5380</v>
      </c>
      <c r="L307" s="3" t="s">
        <v>2276</v>
      </c>
      <c r="M307" s="52" t="s">
        <v>2276</v>
      </c>
      <c r="N307" s="3"/>
    </row>
    <row r="308" spans="1:14" ht="42" customHeight="1">
      <c r="A308" s="185" t="s">
        <v>5370</v>
      </c>
      <c r="B308" s="185" t="s">
        <v>5375</v>
      </c>
      <c r="C308" s="185" t="s">
        <v>24</v>
      </c>
      <c r="D308" s="185" t="s">
        <v>25</v>
      </c>
      <c r="E308" s="185" t="s">
        <v>45</v>
      </c>
      <c r="F308" s="185" t="s">
        <v>55</v>
      </c>
      <c r="G308" s="185"/>
      <c r="H308" s="38">
        <v>2</v>
      </c>
      <c r="I308" s="151" t="s">
        <v>5379</v>
      </c>
      <c r="J308" s="38" t="s">
        <v>2276</v>
      </c>
      <c r="K308" s="38" t="s">
        <v>2276</v>
      </c>
      <c r="L308" s="38" t="s">
        <v>2276</v>
      </c>
      <c r="M308" s="198" t="s">
        <v>2276</v>
      </c>
      <c r="N308" s="3"/>
    </row>
    <row r="309" spans="1:14" ht="40.5" customHeight="1">
      <c r="A309" s="11" t="s">
        <v>5385</v>
      </c>
      <c r="B309" s="11" t="s">
        <v>5388</v>
      </c>
      <c r="C309" s="3" t="s">
        <v>24</v>
      </c>
      <c r="D309" s="3" t="s">
        <v>1242</v>
      </c>
      <c r="E309" s="4" t="s">
        <v>137</v>
      </c>
      <c r="F309" s="4" t="s">
        <v>2662</v>
      </c>
      <c r="G309" s="152"/>
      <c r="H309" s="3">
        <v>2</v>
      </c>
      <c r="I309" s="4" t="s">
        <v>5394</v>
      </c>
      <c r="J309" s="3" t="s">
        <v>2276</v>
      </c>
      <c r="K309" s="3" t="s">
        <v>5398</v>
      </c>
      <c r="L309" s="3">
        <v>3</v>
      </c>
      <c r="M309" s="52" t="s">
        <v>5399</v>
      </c>
      <c r="N309" s="3"/>
    </row>
    <row r="310" spans="1:14" ht="33.5" customHeight="1">
      <c r="A310" s="11" t="s">
        <v>5385</v>
      </c>
      <c r="B310" s="11" t="s">
        <v>5389</v>
      </c>
      <c r="C310" s="3" t="s">
        <v>24</v>
      </c>
      <c r="D310" s="3" t="s">
        <v>1242</v>
      </c>
      <c r="E310" s="4" t="s">
        <v>116</v>
      </c>
      <c r="F310" s="4" t="s">
        <v>2662</v>
      </c>
      <c r="G310" s="152"/>
      <c r="H310" s="3">
        <v>3</v>
      </c>
      <c r="I310" s="3" t="s">
        <v>5393</v>
      </c>
      <c r="J310" s="3">
        <v>2</v>
      </c>
      <c r="K310" s="3" t="s">
        <v>5395</v>
      </c>
      <c r="L310" s="3">
        <v>3</v>
      </c>
      <c r="M310" s="52" t="s">
        <v>5399</v>
      </c>
      <c r="N310" s="3"/>
    </row>
    <row r="311" spans="1:14" ht="36.5" customHeight="1">
      <c r="A311" s="11" t="s">
        <v>5421</v>
      </c>
      <c r="B311" s="11" t="s">
        <v>5423</v>
      </c>
      <c r="C311" s="3" t="s">
        <v>24</v>
      </c>
      <c r="D311" s="3" t="s">
        <v>1242</v>
      </c>
      <c r="E311" s="4" t="s">
        <v>137</v>
      </c>
      <c r="F311" s="4" t="s">
        <v>2662</v>
      </c>
      <c r="G311" s="152"/>
      <c r="H311" s="3">
        <v>3</v>
      </c>
      <c r="I311" s="4" t="s">
        <v>5425</v>
      </c>
      <c r="J311" s="3" t="s">
        <v>2276</v>
      </c>
      <c r="K311" s="3" t="s">
        <v>2276</v>
      </c>
      <c r="L311" s="3" t="s">
        <v>2276</v>
      </c>
      <c r="M311" s="52" t="s">
        <v>2276</v>
      </c>
      <c r="N311" s="3"/>
    </row>
    <row r="312" spans="1:14" ht="39.5" customHeight="1">
      <c r="A312" s="11" t="s">
        <v>5421</v>
      </c>
      <c r="B312" s="11" t="s">
        <v>5424</v>
      </c>
      <c r="C312" s="3" t="s">
        <v>24</v>
      </c>
      <c r="D312" s="3" t="s">
        <v>1242</v>
      </c>
      <c r="E312" s="4" t="s">
        <v>116</v>
      </c>
      <c r="F312" s="4" t="s">
        <v>2662</v>
      </c>
      <c r="G312" s="3"/>
      <c r="H312" s="3">
        <v>3</v>
      </c>
      <c r="I312" s="4" t="s">
        <v>5425</v>
      </c>
      <c r="J312" s="3" t="s">
        <v>2276</v>
      </c>
      <c r="K312" s="3" t="s">
        <v>2276</v>
      </c>
      <c r="L312" s="3" t="s">
        <v>2276</v>
      </c>
      <c r="M312" s="52" t="s">
        <v>2276</v>
      </c>
      <c r="N312" s="3"/>
    </row>
    <row r="313" spans="1:14" ht="51" customHeight="1">
      <c r="A313" s="11" t="s">
        <v>5440</v>
      </c>
      <c r="B313" s="11" t="s">
        <v>5456</v>
      </c>
      <c r="C313" s="3" t="s">
        <v>24</v>
      </c>
      <c r="D313" s="3" t="s">
        <v>1105</v>
      </c>
      <c r="E313" s="3" t="s">
        <v>130</v>
      </c>
      <c r="F313" s="3" t="s">
        <v>1105</v>
      </c>
      <c r="G313" s="3"/>
      <c r="H313" s="3">
        <v>0</v>
      </c>
      <c r="I313" s="19" t="s">
        <v>5476</v>
      </c>
      <c r="J313" s="3" t="s">
        <v>2276</v>
      </c>
      <c r="K313" s="3" t="s">
        <v>2276</v>
      </c>
      <c r="L313" s="3" t="s">
        <v>2276</v>
      </c>
      <c r="M313" s="52" t="s">
        <v>2276</v>
      </c>
      <c r="N313" s="3"/>
    </row>
    <row r="314" spans="1:14" ht="65.5" customHeight="1">
      <c r="A314" s="11" t="s">
        <v>5440</v>
      </c>
      <c r="B314" s="11" t="s">
        <v>5457</v>
      </c>
      <c r="C314" s="3" t="s">
        <v>24</v>
      </c>
      <c r="D314" s="3" t="s">
        <v>1105</v>
      </c>
      <c r="E314" s="4" t="s">
        <v>396</v>
      </c>
      <c r="F314" s="3" t="s">
        <v>1105</v>
      </c>
      <c r="G314" s="3"/>
      <c r="H314" s="3">
        <v>2</v>
      </c>
      <c r="I314" s="4" t="s">
        <v>5477</v>
      </c>
      <c r="J314" s="3">
        <v>1</v>
      </c>
      <c r="K314" s="3" t="s">
        <v>5478</v>
      </c>
      <c r="L314" s="3">
        <v>1</v>
      </c>
      <c r="M314" s="52" t="s">
        <v>5479</v>
      </c>
      <c r="N314" s="3"/>
    </row>
    <row r="315" spans="1:14" ht="51" customHeight="1">
      <c r="A315" s="11" t="s">
        <v>5443</v>
      </c>
      <c r="B315" s="11" t="s">
        <v>5483</v>
      </c>
      <c r="C315" s="3" t="s">
        <v>24</v>
      </c>
      <c r="D315" s="3" t="s">
        <v>1105</v>
      </c>
      <c r="E315" s="3" t="s">
        <v>130</v>
      </c>
      <c r="F315" s="3" t="s">
        <v>1105</v>
      </c>
      <c r="G315" s="3"/>
      <c r="H315" s="3">
        <v>0</v>
      </c>
      <c r="I315" s="19" t="s">
        <v>5476</v>
      </c>
      <c r="J315" s="3" t="s">
        <v>2276</v>
      </c>
      <c r="K315" s="3" t="s">
        <v>2276</v>
      </c>
      <c r="L315" s="3" t="s">
        <v>2276</v>
      </c>
      <c r="M315" s="52" t="s">
        <v>2276</v>
      </c>
      <c r="N315" s="3"/>
    </row>
    <row r="316" spans="1:14" ht="70" customHeight="1">
      <c r="A316" s="11" t="s">
        <v>5443</v>
      </c>
      <c r="B316" s="11" t="s">
        <v>5484</v>
      </c>
      <c r="C316" s="3" t="s">
        <v>24</v>
      </c>
      <c r="D316" s="3" t="s">
        <v>1105</v>
      </c>
      <c r="E316" s="4" t="s">
        <v>396</v>
      </c>
      <c r="F316" s="3" t="s">
        <v>1105</v>
      </c>
      <c r="G316" s="3"/>
      <c r="H316" s="3">
        <v>2</v>
      </c>
      <c r="I316" s="4" t="s">
        <v>5477</v>
      </c>
      <c r="J316" s="3">
        <v>1</v>
      </c>
      <c r="K316" s="3" t="s">
        <v>5478</v>
      </c>
      <c r="L316" s="3">
        <v>1</v>
      </c>
      <c r="M316" s="52" t="s">
        <v>5479</v>
      </c>
      <c r="N316" s="3"/>
    </row>
    <row r="317" spans="1:14" ht="51.5" customHeight="1">
      <c r="A317" s="11" t="s">
        <v>5444</v>
      </c>
      <c r="B317" s="11" t="s">
        <v>5495</v>
      </c>
      <c r="C317" s="3" t="s">
        <v>24</v>
      </c>
      <c r="D317" s="3" t="s">
        <v>1105</v>
      </c>
      <c r="E317" s="3" t="s">
        <v>130</v>
      </c>
      <c r="F317" s="3" t="s">
        <v>1105</v>
      </c>
      <c r="G317" s="3"/>
      <c r="H317" s="3">
        <v>1</v>
      </c>
      <c r="I317" s="4" t="s">
        <v>5506</v>
      </c>
      <c r="J317" s="3" t="s">
        <v>2276</v>
      </c>
      <c r="K317" s="3" t="s">
        <v>2276</v>
      </c>
      <c r="L317" s="3" t="s">
        <v>2276</v>
      </c>
      <c r="M317" s="52" t="s">
        <v>2276</v>
      </c>
      <c r="N317" s="3"/>
    </row>
    <row r="318" spans="1:14" ht="68.5" customHeight="1">
      <c r="A318" s="11" t="s">
        <v>5444</v>
      </c>
      <c r="B318" s="11" t="s">
        <v>5496</v>
      </c>
      <c r="C318" s="3" t="s">
        <v>24</v>
      </c>
      <c r="D318" s="3" t="s">
        <v>1105</v>
      </c>
      <c r="E318" s="4" t="s">
        <v>396</v>
      </c>
      <c r="F318" s="3" t="s">
        <v>1105</v>
      </c>
      <c r="G318" s="3"/>
      <c r="H318" s="3">
        <v>2</v>
      </c>
      <c r="I318" s="4" t="s">
        <v>5477</v>
      </c>
      <c r="J318" s="3">
        <v>1</v>
      </c>
      <c r="K318" s="3" t="s">
        <v>5478</v>
      </c>
      <c r="L318" s="3">
        <v>1</v>
      </c>
      <c r="M318" s="52" t="s">
        <v>5479</v>
      </c>
      <c r="N318" s="3"/>
    </row>
    <row r="319" spans="1:14" ht="45.5" customHeight="1">
      <c r="A319" s="11" t="s">
        <v>5446</v>
      </c>
      <c r="B319" s="11" t="s">
        <v>5507</v>
      </c>
      <c r="C319" s="3" t="s">
        <v>24</v>
      </c>
      <c r="D319" s="3" t="s">
        <v>1105</v>
      </c>
      <c r="E319" s="3" t="s">
        <v>130</v>
      </c>
      <c r="F319" s="3" t="s">
        <v>1105</v>
      </c>
      <c r="G319" s="3"/>
      <c r="H319" s="3">
        <v>0</v>
      </c>
      <c r="I319" s="19" t="s">
        <v>5476</v>
      </c>
      <c r="J319" s="3" t="s">
        <v>2276</v>
      </c>
      <c r="K319" s="3" t="s">
        <v>2276</v>
      </c>
      <c r="L319" s="3" t="s">
        <v>2276</v>
      </c>
      <c r="M319" s="52" t="s">
        <v>2276</v>
      </c>
      <c r="N319" s="3"/>
    </row>
    <row r="320" spans="1:14" ht="43.5">
      <c r="A320" s="11" t="s">
        <v>5446</v>
      </c>
      <c r="B320" s="11" t="s">
        <v>5508</v>
      </c>
      <c r="C320" s="3" t="s">
        <v>24</v>
      </c>
      <c r="D320" s="3" t="s">
        <v>1105</v>
      </c>
      <c r="E320" s="4" t="s">
        <v>396</v>
      </c>
      <c r="F320" s="3" t="s">
        <v>1105</v>
      </c>
      <c r="G320" s="3"/>
      <c r="H320" s="3">
        <v>2</v>
      </c>
      <c r="I320" s="4" t="s">
        <v>5477</v>
      </c>
      <c r="J320" s="3">
        <v>1</v>
      </c>
      <c r="K320" s="3" t="s">
        <v>5478</v>
      </c>
      <c r="L320" s="3">
        <v>1</v>
      </c>
      <c r="M320" s="52" t="s">
        <v>5479</v>
      </c>
      <c r="N320" s="3"/>
    </row>
    <row r="321" spans="1:14" ht="43.5">
      <c r="A321" s="11" t="s">
        <v>5445</v>
      </c>
      <c r="B321" s="11" t="s">
        <v>5517</v>
      </c>
      <c r="C321" s="3" t="s">
        <v>24</v>
      </c>
      <c r="D321" s="3" t="s">
        <v>1105</v>
      </c>
      <c r="E321" s="3" t="s">
        <v>130</v>
      </c>
      <c r="F321" s="3" t="s">
        <v>1105</v>
      </c>
      <c r="G321" s="3"/>
      <c r="H321" s="3">
        <v>1</v>
      </c>
      <c r="I321" s="4" t="s">
        <v>5506</v>
      </c>
      <c r="J321" s="3" t="s">
        <v>2276</v>
      </c>
      <c r="K321" s="3" t="s">
        <v>2276</v>
      </c>
      <c r="L321" s="3" t="s">
        <v>2276</v>
      </c>
      <c r="M321" s="52" t="s">
        <v>2276</v>
      </c>
      <c r="N321" s="3"/>
    </row>
    <row r="322" spans="1:14" ht="43.5">
      <c r="A322" s="11" t="s">
        <v>5445</v>
      </c>
      <c r="B322" s="11" t="s">
        <v>5518</v>
      </c>
      <c r="C322" s="3" t="s">
        <v>24</v>
      </c>
      <c r="D322" s="3" t="s">
        <v>1105</v>
      </c>
      <c r="E322" s="4" t="s">
        <v>396</v>
      </c>
      <c r="F322" s="3" t="s">
        <v>1105</v>
      </c>
      <c r="G322" s="3"/>
      <c r="H322" s="3">
        <v>2</v>
      </c>
      <c r="I322" s="4" t="s">
        <v>5477</v>
      </c>
      <c r="J322" s="3">
        <v>1</v>
      </c>
      <c r="K322" s="3" t="s">
        <v>5478</v>
      </c>
      <c r="L322" s="3">
        <v>1</v>
      </c>
      <c r="M322" s="52" t="s">
        <v>5479</v>
      </c>
      <c r="N322" s="3"/>
    </row>
    <row r="323" spans="1:14" ht="34.5" customHeight="1">
      <c r="A323" s="11" t="s">
        <v>5578</v>
      </c>
      <c r="B323" s="11" t="s">
        <v>5582</v>
      </c>
      <c r="C323" s="3" t="s">
        <v>1105</v>
      </c>
      <c r="D323" s="3" t="s">
        <v>1105</v>
      </c>
      <c r="E323" s="4" t="s">
        <v>2651</v>
      </c>
      <c r="F323" t="s">
        <v>55</v>
      </c>
      <c r="G323" s="3"/>
      <c r="H323" s="3" t="s">
        <v>2276</v>
      </c>
      <c r="I323" s="3" t="s">
        <v>2276</v>
      </c>
      <c r="J323" s="3">
        <v>2</v>
      </c>
      <c r="K323" s="4" t="s">
        <v>5584</v>
      </c>
      <c r="L323" s="3" t="s">
        <v>2276</v>
      </c>
      <c r="M323" s="52" t="s">
        <v>2276</v>
      </c>
      <c r="N323" s="3"/>
    </row>
    <row r="324" spans="1:14" ht="54.5" customHeight="1">
      <c r="A324" s="11" t="s">
        <v>5578</v>
      </c>
      <c r="B324" s="11" t="s">
        <v>5583</v>
      </c>
      <c r="C324" s="3" t="s">
        <v>1105</v>
      </c>
      <c r="D324" s="3" t="s">
        <v>1105</v>
      </c>
      <c r="E324" s="4" t="s">
        <v>397</v>
      </c>
      <c r="F324" s="3" t="s">
        <v>55</v>
      </c>
      <c r="G324" s="3"/>
      <c r="H324" s="3" t="s">
        <v>2276</v>
      </c>
      <c r="I324" s="3" t="s">
        <v>2276</v>
      </c>
      <c r="J324" s="3">
        <v>2</v>
      </c>
      <c r="K324" s="4" t="s">
        <v>5584</v>
      </c>
      <c r="L324" s="3" t="s">
        <v>2276</v>
      </c>
      <c r="M324" s="52" t="s">
        <v>2276</v>
      </c>
      <c r="N324" s="3"/>
    </row>
    <row r="325" spans="1:14" ht="49.5" customHeight="1">
      <c r="A325" s="11" t="s">
        <v>5599</v>
      </c>
      <c r="B325" s="11" t="s">
        <v>5603</v>
      </c>
      <c r="C325" s="3" t="s">
        <v>24</v>
      </c>
      <c r="D325" s="3" t="s">
        <v>1105</v>
      </c>
      <c r="E325" s="3" t="s">
        <v>130</v>
      </c>
      <c r="F325" s="3" t="s">
        <v>1105</v>
      </c>
      <c r="G325" s="3"/>
      <c r="H325" s="3">
        <v>1</v>
      </c>
      <c r="I325" s="4" t="s">
        <v>5615</v>
      </c>
      <c r="J325" s="3">
        <v>1</v>
      </c>
      <c r="K325" s="4" t="s">
        <v>5617</v>
      </c>
      <c r="L325" s="3">
        <v>1</v>
      </c>
      <c r="M325" s="48" t="s">
        <v>5616</v>
      </c>
      <c r="N325" s="3"/>
    </row>
    <row r="326" spans="1:14" ht="49.5" customHeight="1">
      <c r="A326" s="11" t="s">
        <v>5600</v>
      </c>
      <c r="B326" s="11" t="s">
        <v>5604</v>
      </c>
      <c r="C326" s="3" t="s">
        <v>24</v>
      </c>
      <c r="D326" s="3" t="s">
        <v>1105</v>
      </c>
      <c r="E326" s="3" t="s">
        <v>130</v>
      </c>
      <c r="F326" s="3" t="s">
        <v>1105</v>
      </c>
      <c r="G326" s="3"/>
      <c r="H326" s="3">
        <v>1</v>
      </c>
      <c r="I326" s="4" t="s">
        <v>5615</v>
      </c>
      <c r="J326" s="3">
        <v>1</v>
      </c>
      <c r="K326" s="4" t="s">
        <v>5617</v>
      </c>
      <c r="L326" s="3">
        <v>1</v>
      </c>
      <c r="M326" s="48" t="s">
        <v>5616</v>
      </c>
      <c r="N326" s="3"/>
    </row>
    <row r="327" spans="1:14" ht="49.5" customHeight="1">
      <c r="A327" s="11" t="s">
        <v>5599</v>
      </c>
      <c r="B327" s="11" t="s">
        <v>5605</v>
      </c>
      <c r="C327" s="3" t="s">
        <v>24</v>
      </c>
      <c r="D327" s="3" t="s">
        <v>1105</v>
      </c>
      <c r="E327" s="152" t="s">
        <v>45</v>
      </c>
      <c r="F327" s="3" t="s">
        <v>1105</v>
      </c>
      <c r="G327" s="3"/>
      <c r="H327" s="3">
        <v>1</v>
      </c>
      <c r="I327" s="4" t="s">
        <v>5615</v>
      </c>
      <c r="J327" s="3">
        <v>1</v>
      </c>
      <c r="K327" s="4" t="s">
        <v>5617</v>
      </c>
      <c r="L327" s="3">
        <v>1</v>
      </c>
      <c r="M327" s="48" t="s">
        <v>5616</v>
      </c>
      <c r="N327" s="3"/>
    </row>
    <row r="328" spans="1:14" ht="49.5" customHeight="1">
      <c r="A328" s="11" t="s">
        <v>5600</v>
      </c>
      <c r="B328" s="11" t="s">
        <v>5606</v>
      </c>
      <c r="C328" s="3" t="s">
        <v>24</v>
      </c>
      <c r="D328" s="3" t="s">
        <v>1105</v>
      </c>
      <c r="E328" s="152" t="s">
        <v>45</v>
      </c>
      <c r="F328" s="3" t="s">
        <v>1105</v>
      </c>
      <c r="G328" s="3"/>
      <c r="H328" s="3">
        <v>1</v>
      </c>
      <c r="I328" s="4" t="s">
        <v>5615</v>
      </c>
      <c r="J328" s="3">
        <v>1</v>
      </c>
      <c r="K328" s="4" t="s">
        <v>5617</v>
      </c>
      <c r="L328" s="3">
        <v>1</v>
      </c>
      <c r="M328" s="48" t="s">
        <v>5616</v>
      </c>
      <c r="N328" s="3"/>
    </row>
    <row r="329" spans="1:14" ht="34.5" customHeight="1">
      <c r="A329" s="11" t="s">
        <v>5599</v>
      </c>
      <c r="B329" s="11" t="s">
        <v>5607</v>
      </c>
      <c r="C329" s="3" t="s">
        <v>1105</v>
      </c>
      <c r="D329" s="3" t="s">
        <v>1105</v>
      </c>
      <c r="E329" s="4" t="s">
        <v>3209</v>
      </c>
      <c r="F329" s="3" t="s">
        <v>1105</v>
      </c>
      <c r="G329" s="3"/>
      <c r="H329" s="3" t="s">
        <v>2276</v>
      </c>
      <c r="I329" s="3" t="s">
        <v>2276</v>
      </c>
      <c r="J329" s="3" t="s">
        <v>2276</v>
      </c>
      <c r="K329" s="3" t="s">
        <v>2276</v>
      </c>
      <c r="L329" s="3">
        <v>1</v>
      </c>
      <c r="M329" s="48" t="s">
        <v>5624</v>
      </c>
      <c r="N329" s="3"/>
    </row>
    <row r="330" spans="1:14" ht="34.5" customHeight="1">
      <c r="A330" s="11" t="s">
        <v>5600</v>
      </c>
      <c r="B330" s="11" t="s">
        <v>5608</v>
      </c>
      <c r="C330" s="3" t="s">
        <v>1105</v>
      </c>
      <c r="D330" s="3" t="s">
        <v>1105</v>
      </c>
      <c r="E330" s="4" t="s">
        <v>3209</v>
      </c>
      <c r="F330" s="3" t="s">
        <v>1105</v>
      </c>
      <c r="G330" s="3"/>
      <c r="H330" s="3" t="s">
        <v>2276</v>
      </c>
      <c r="I330" s="3" t="s">
        <v>2276</v>
      </c>
      <c r="J330" s="3">
        <v>2</v>
      </c>
      <c r="K330" s="4" t="s">
        <v>5623</v>
      </c>
      <c r="L330" s="3" t="s">
        <v>2276</v>
      </c>
      <c r="M330" s="52" t="s">
        <v>2276</v>
      </c>
      <c r="N330" s="3"/>
    </row>
    <row r="331" spans="1:14" ht="39" customHeight="1">
      <c r="A331" s="19" t="s">
        <v>5676</v>
      </c>
      <c r="B331" s="19" t="s">
        <v>5679</v>
      </c>
      <c r="C331" s="3" t="s">
        <v>1105</v>
      </c>
      <c r="D331" s="3" t="s">
        <v>1105</v>
      </c>
      <c r="E331" s="4" t="s">
        <v>137</v>
      </c>
      <c r="F331" s="3" t="s">
        <v>74</v>
      </c>
      <c r="G331" s="3"/>
      <c r="H331" s="3" t="s">
        <v>2276</v>
      </c>
      <c r="I331" s="3" t="s">
        <v>2276</v>
      </c>
      <c r="J331" s="3">
        <v>3</v>
      </c>
      <c r="K331" s="4" t="s">
        <v>5682</v>
      </c>
      <c r="L331" s="3" t="s">
        <v>2276</v>
      </c>
      <c r="M331" s="52" t="s">
        <v>2276</v>
      </c>
      <c r="N331" s="3"/>
    </row>
    <row r="332" spans="1:14" ht="32.5" customHeight="1">
      <c r="A332" s="19" t="s">
        <v>5676</v>
      </c>
      <c r="B332" s="19" t="s">
        <v>5680</v>
      </c>
      <c r="C332" s="3" t="s">
        <v>1105</v>
      </c>
      <c r="D332" s="3" t="s">
        <v>1105</v>
      </c>
      <c r="E332" s="4" t="s">
        <v>2649</v>
      </c>
      <c r="F332" s="3" t="s">
        <v>74</v>
      </c>
      <c r="G332" s="3"/>
      <c r="H332" s="3" t="s">
        <v>2276</v>
      </c>
      <c r="I332" s="3" t="s">
        <v>2276</v>
      </c>
      <c r="J332" s="3">
        <v>3</v>
      </c>
      <c r="K332" s="4" t="s">
        <v>5682</v>
      </c>
      <c r="L332" s="3" t="s">
        <v>2276</v>
      </c>
      <c r="M332" s="52" t="s">
        <v>2276</v>
      </c>
      <c r="N332" s="3"/>
    </row>
    <row r="333" spans="1:14" ht="29">
      <c r="A333" s="19" t="s">
        <v>5684</v>
      </c>
      <c r="B333" s="19" t="s">
        <v>5686</v>
      </c>
      <c r="C333" s="3" t="s">
        <v>24</v>
      </c>
      <c r="D333" s="3" t="s">
        <v>406</v>
      </c>
      <c r="E333" s="3" t="s">
        <v>116</v>
      </c>
      <c r="F333" s="4" t="s">
        <v>74</v>
      </c>
      <c r="G333" s="3"/>
      <c r="H333" s="3">
        <v>2</v>
      </c>
      <c r="I333" s="19" t="s">
        <v>5691</v>
      </c>
      <c r="J333" s="3" t="s">
        <v>2276</v>
      </c>
      <c r="K333" s="3" t="s">
        <v>2276</v>
      </c>
      <c r="L333" s="3" t="s">
        <v>2276</v>
      </c>
      <c r="M333" s="52" t="s">
        <v>2276</v>
      </c>
      <c r="N333" s="3"/>
    </row>
    <row r="334" spans="1:14" ht="29">
      <c r="A334" s="19" t="s">
        <v>5684</v>
      </c>
      <c r="B334" s="19" t="s">
        <v>5687</v>
      </c>
      <c r="C334" s="3" t="s">
        <v>24</v>
      </c>
      <c r="D334" s="3" t="s">
        <v>3480</v>
      </c>
      <c r="E334" s="3" t="s">
        <v>116</v>
      </c>
      <c r="F334" s="4" t="s">
        <v>74</v>
      </c>
      <c r="G334" s="3"/>
      <c r="H334" s="3">
        <v>2</v>
      </c>
      <c r="I334" s="19" t="s">
        <v>5691</v>
      </c>
      <c r="J334" s="3" t="s">
        <v>2276</v>
      </c>
      <c r="K334" s="3" t="s">
        <v>2276</v>
      </c>
      <c r="L334" s="3" t="s">
        <v>2276</v>
      </c>
      <c r="M334" s="52" t="s">
        <v>2276</v>
      </c>
      <c r="N334" s="3"/>
    </row>
    <row r="335" spans="1:14" ht="32.5" customHeight="1">
      <c r="A335" s="3" t="s">
        <v>5693</v>
      </c>
      <c r="B335" s="19" t="s">
        <v>5698</v>
      </c>
      <c r="C335" s="3" t="s">
        <v>24</v>
      </c>
      <c r="D335" s="3" t="s">
        <v>27</v>
      </c>
      <c r="E335" s="3" t="s">
        <v>130</v>
      </c>
      <c r="F335" s="4" t="s">
        <v>74</v>
      </c>
      <c r="G335" s="3"/>
      <c r="H335" s="3">
        <v>1</v>
      </c>
      <c r="I335" s="19" t="s">
        <v>5711</v>
      </c>
      <c r="J335" s="3" t="s">
        <v>2276</v>
      </c>
      <c r="K335" s="3" t="s">
        <v>2276</v>
      </c>
      <c r="L335" s="3" t="s">
        <v>2276</v>
      </c>
      <c r="M335" s="52" t="s">
        <v>2276</v>
      </c>
      <c r="N335" s="3"/>
    </row>
    <row r="336" spans="1:14" ht="32.5" customHeight="1">
      <c r="A336" s="3" t="s">
        <v>5693</v>
      </c>
      <c r="B336" s="19" t="s">
        <v>5699</v>
      </c>
      <c r="C336" s="3" t="s">
        <v>24</v>
      </c>
      <c r="D336" s="3" t="s">
        <v>25</v>
      </c>
      <c r="E336" s="3" t="s">
        <v>45</v>
      </c>
      <c r="F336" s="4" t="s">
        <v>55</v>
      </c>
      <c r="G336" s="3"/>
      <c r="H336" s="3">
        <v>1</v>
      </c>
      <c r="I336" s="19" t="s">
        <v>5710</v>
      </c>
      <c r="J336" s="3">
        <v>1</v>
      </c>
      <c r="K336" s="19" t="s">
        <v>5712</v>
      </c>
      <c r="L336" s="3" t="s">
        <v>2276</v>
      </c>
      <c r="M336" s="52" t="s">
        <v>2276</v>
      </c>
      <c r="N336" s="3"/>
    </row>
    <row r="337" spans="1:14" ht="28" customHeight="1">
      <c r="A337" s="19" t="s">
        <v>5739</v>
      </c>
      <c r="B337" s="19" t="s">
        <v>5746</v>
      </c>
      <c r="C337" s="3" t="s">
        <v>24</v>
      </c>
      <c r="D337" s="3" t="s">
        <v>1105</v>
      </c>
      <c r="E337" s="3" t="s">
        <v>45</v>
      </c>
      <c r="F337" s="4" t="s">
        <v>2276</v>
      </c>
      <c r="G337" s="3"/>
      <c r="H337" s="3">
        <v>1</v>
      </c>
      <c r="I337" s="19" t="s">
        <v>5753</v>
      </c>
      <c r="J337" s="3" t="s">
        <v>2276</v>
      </c>
      <c r="K337" s="3" t="s">
        <v>5777</v>
      </c>
      <c r="L337" s="3">
        <v>1</v>
      </c>
      <c r="M337" s="196" t="s">
        <v>5754</v>
      </c>
      <c r="N337" s="3"/>
    </row>
    <row r="338" spans="1:14" ht="28" customHeight="1">
      <c r="A338" s="19" t="s">
        <v>5743</v>
      </c>
      <c r="B338" s="19" t="s">
        <v>5747</v>
      </c>
      <c r="C338" s="3" t="s">
        <v>24</v>
      </c>
      <c r="D338" s="3" t="s">
        <v>1105</v>
      </c>
      <c r="E338" s="3" t="s">
        <v>45</v>
      </c>
      <c r="F338" s="4" t="s">
        <v>2276</v>
      </c>
      <c r="G338" s="3"/>
      <c r="H338" s="3">
        <v>1</v>
      </c>
      <c r="I338" s="19" t="s">
        <v>5753</v>
      </c>
      <c r="J338" s="3" t="s">
        <v>2276</v>
      </c>
      <c r="K338" s="3" t="s">
        <v>5777</v>
      </c>
      <c r="L338" s="3">
        <v>1</v>
      </c>
      <c r="M338" s="196" t="s">
        <v>5754</v>
      </c>
      <c r="N338" s="3"/>
    </row>
    <row r="339" spans="1:14" ht="28" customHeight="1">
      <c r="A339" s="19" t="s">
        <v>5744</v>
      </c>
      <c r="B339" s="19" t="s">
        <v>5748</v>
      </c>
      <c r="C339" s="3" t="s">
        <v>24</v>
      </c>
      <c r="D339" s="3" t="s">
        <v>1105</v>
      </c>
      <c r="E339" s="3" t="s">
        <v>45</v>
      </c>
      <c r="F339" s="4" t="s">
        <v>2276</v>
      </c>
      <c r="G339" s="3"/>
      <c r="H339" s="3">
        <v>1</v>
      </c>
      <c r="I339" s="19" t="s">
        <v>5753</v>
      </c>
      <c r="J339" s="3" t="s">
        <v>2276</v>
      </c>
      <c r="K339" s="3" t="s">
        <v>5777</v>
      </c>
      <c r="L339" s="3">
        <v>1</v>
      </c>
      <c r="M339" s="196" t="s">
        <v>5754</v>
      </c>
      <c r="N339" s="3"/>
    </row>
    <row r="340" spans="1:14" ht="42" customHeight="1">
      <c r="A340" s="19" t="s">
        <v>5739</v>
      </c>
      <c r="B340" s="19" t="s">
        <v>5750</v>
      </c>
      <c r="C340" s="3" t="s">
        <v>24</v>
      </c>
      <c r="D340" s="3" t="s">
        <v>1105</v>
      </c>
      <c r="E340" s="4" t="s">
        <v>397</v>
      </c>
      <c r="F340" s="4" t="s">
        <v>2276</v>
      </c>
      <c r="G340" s="3"/>
      <c r="H340" s="3">
        <v>1</v>
      </c>
      <c r="I340" s="19" t="s">
        <v>5753</v>
      </c>
      <c r="J340" s="3">
        <v>1</v>
      </c>
      <c r="K340" s="3" t="s">
        <v>5759</v>
      </c>
      <c r="L340" s="3">
        <v>1</v>
      </c>
      <c r="M340" s="196" t="s">
        <v>5754</v>
      </c>
      <c r="N340" s="3"/>
    </row>
    <row r="341" spans="1:14" ht="42" customHeight="1">
      <c r="A341" s="19" t="s">
        <v>5743</v>
      </c>
      <c r="B341" s="19" t="s">
        <v>5751</v>
      </c>
      <c r="C341" s="3" t="s">
        <v>24</v>
      </c>
      <c r="D341" s="3" t="s">
        <v>1105</v>
      </c>
      <c r="E341" s="4" t="s">
        <v>397</v>
      </c>
      <c r="F341" s="4" t="s">
        <v>2276</v>
      </c>
      <c r="G341" s="3"/>
      <c r="H341" s="3">
        <v>1</v>
      </c>
      <c r="I341" s="19" t="s">
        <v>5753</v>
      </c>
      <c r="J341" s="3">
        <v>1</v>
      </c>
      <c r="K341" s="3" t="s">
        <v>5759</v>
      </c>
      <c r="L341" s="3">
        <v>1</v>
      </c>
      <c r="M341" s="196" t="s">
        <v>5754</v>
      </c>
      <c r="N341" s="3"/>
    </row>
    <row r="342" spans="1:14" ht="42" customHeight="1">
      <c r="A342" s="19" t="s">
        <v>5744</v>
      </c>
      <c r="B342" s="19" t="s">
        <v>5752</v>
      </c>
      <c r="C342" s="3" t="s">
        <v>24</v>
      </c>
      <c r="D342" s="3" t="s">
        <v>1105</v>
      </c>
      <c r="E342" s="4" t="s">
        <v>397</v>
      </c>
      <c r="F342" s="4" t="s">
        <v>2276</v>
      </c>
      <c r="G342" s="3"/>
      <c r="H342" s="3">
        <v>1</v>
      </c>
      <c r="I342" s="19" t="s">
        <v>5753</v>
      </c>
      <c r="J342" s="3">
        <v>1</v>
      </c>
      <c r="K342" s="3" t="s">
        <v>5759</v>
      </c>
      <c r="L342" s="3">
        <v>1</v>
      </c>
      <c r="M342" s="196" t="s">
        <v>5754</v>
      </c>
      <c r="N342" s="3"/>
    </row>
    <row r="343" spans="1:14" ht="32" customHeight="1">
      <c r="A343" s="19" t="s">
        <v>5739</v>
      </c>
      <c r="B343" s="19" t="s">
        <v>5746</v>
      </c>
      <c r="C343" s="3" t="s">
        <v>1105</v>
      </c>
      <c r="D343" s="3" t="s">
        <v>1105</v>
      </c>
      <c r="E343" s="4" t="s">
        <v>3209</v>
      </c>
      <c r="F343" s="3" t="s">
        <v>74</v>
      </c>
      <c r="G343" s="3">
        <v>1950</v>
      </c>
      <c r="H343" s="3"/>
      <c r="I343" s="3" t="s">
        <v>2276</v>
      </c>
      <c r="J343" s="3" t="s">
        <v>2276</v>
      </c>
      <c r="K343" s="3" t="s">
        <v>2276</v>
      </c>
      <c r="L343" s="3">
        <v>3</v>
      </c>
      <c r="M343" s="49" t="s">
        <v>5791</v>
      </c>
      <c r="N343" s="3"/>
    </row>
    <row r="344" spans="1:14" ht="32" customHeight="1">
      <c r="A344" s="19" t="s">
        <v>5739</v>
      </c>
      <c r="B344" s="19" t="s">
        <v>5750</v>
      </c>
      <c r="C344" s="3" t="s">
        <v>1105</v>
      </c>
      <c r="D344" s="3" t="s">
        <v>1105</v>
      </c>
      <c r="E344" s="4" t="s">
        <v>3209</v>
      </c>
      <c r="F344" s="3" t="s">
        <v>74</v>
      </c>
      <c r="G344" s="3">
        <v>1984</v>
      </c>
      <c r="H344" s="3"/>
      <c r="I344" s="3" t="s">
        <v>2276</v>
      </c>
      <c r="J344" s="3" t="s">
        <v>2276</v>
      </c>
      <c r="K344" s="3" t="s">
        <v>2276</v>
      </c>
      <c r="L344" s="3">
        <v>0</v>
      </c>
      <c r="M344" s="49" t="s">
        <v>5792</v>
      </c>
      <c r="N344" s="3"/>
    </row>
    <row r="345" spans="1:14" ht="38.5" customHeight="1">
      <c r="A345" s="3" t="s">
        <v>5739</v>
      </c>
      <c r="B345" s="19" t="s">
        <v>5755</v>
      </c>
      <c r="C345" s="3" t="s">
        <v>1105</v>
      </c>
      <c r="D345" s="3" t="s">
        <v>1105</v>
      </c>
      <c r="E345" s="4" t="s">
        <v>3209</v>
      </c>
      <c r="F345" s="3" t="s">
        <v>74</v>
      </c>
      <c r="G345" s="3">
        <v>2004</v>
      </c>
      <c r="H345" s="3"/>
      <c r="I345" s="3" t="s">
        <v>2276</v>
      </c>
      <c r="J345" s="3" t="s">
        <v>2276</v>
      </c>
      <c r="K345" s="3" t="s">
        <v>2276</v>
      </c>
      <c r="L345" s="3">
        <v>2</v>
      </c>
      <c r="M345" s="49" t="s">
        <v>5793</v>
      </c>
      <c r="N345" s="3"/>
    </row>
    <row r="346" spans="1:14" ht="33.5" customHeight="1">
      <c r="A346" s="19" t="s">
        <v>5743</v>
      </c>
      <c r="B346" s="19" t="s">
        <v>5747</v>
      </c>
      <c r="C346" s="3" t="s">
        <v>1105</v>
      </c>
      <c r="D346" s="3" t="s">
        <v>1105</v>
      </c>
      <c r="E346" s="4" t="s">
        <v>3209</v>
      </c>
      <c r="F346" s="3" t="s">
        <v>74</v>
      </c>
      <c r="G346" s="3">
        <v>1950</v>
      </c>
      <c r="H346" s="3"/>
      <c r="I346" s="3" t="s">
        <v>2276</v>
      </c>
      <c r="J346" s="3" t="s">
        <v>2276</v>
      </c>
      <c r="K346" s="3" t="s">
        <v>2276</v>
      </c>
      <c r="L346" s="3">
        <v>3</v>
      </c>
      <c r="M346" s="49" t="s">
        <v>5791</v>
      </c>
      <c r="N346" s="3"/>
    </row>
    <row r="347" spans="1:14" ht="33.5" customHeight="1">
      <c r="A347" s="19" t="s">
        <v>5743</v>
      </c>
      <c r="B347" s="19" t="s">
        <v>5751</v>
      </c>
      <c r="C347" s="3" t="s">
        <v>1105</v>
      </c>
      <c r="D347" s="3" t="s">
        <v>1105</v>
      </c>
      <c r="E347" s="4" t="s">
        <v>3209</v>
      </c>
      <c r="F347" s="3" t="s">
        <v>74</v>
      </c>
      <c r="G347" s="3">
        <v>1984</v>
      </c>
      <c r="H347" s="3"/>
      <c r="I347" s="3" t="s">
        <v>2276</v>
      </c>
      <c r="J347" s="3" t="s">
        <v>2276</v>
      </c>
      <c r="K347" s="3" t="s">
        <v>2276</v>
      </c>
      <c r="L347" s="3">
        <v>0</v>
      </c>
      <c r="M347" s="49" t="s">
        <v>5792</v>
      </c>
      <c r="N347" s="3"/>
    </row>
    <row r="348" spans="1:14" ht="33.5" customHeight="1">
      <c r="A348" s="19" t="s">
        <v>5743</v>
      </c>
      <c r="B348" s="19" t="s">
        <v>5756</v>
      </c>
      <c r="C348" s="3" t="s">
        <v>1105</v>
      </c>
      <c r="D348" s="3" t="s">
        <v>1105</v>
      </c>
      <c r="E348" s="4" t="s">
        <v>3209</v>
      </c>
      <c r="F348" s="3" t="s">
        <v>74</v>
      </c>
      <c r="G348" s="3">
        <v>2004</v>
      </c>
      <c r="H348" s="3"/>
      <c r="I348" s="3" t="s">
        <v>2276</v>
      </c>
      <c r="J348" s="3" t="s">
        <v>2276</v>
      </c>
      <c r="K348" s="3" t="s">
        <v>2276</v>
      </c>
      <c r="L348" s="3">
        <v>2</v>
      </c>
      <c r="M348" s="49" t="s">
        <v>5793</v>
      </c>
      <c r="N348" s="3"/>
    </row>
    <row r="349" spans="1:14" ht="31" customHeight="1">
      <c r="A349" s="19" t="s">
        <v>5797</v>
      </c>
      <c r="B349" s="19" t="s">
        <v>5802</v>
      </c>
      <c r="C349" s="3" t="s">
        <v>24</v>
      </c>
      <c r="D349" s="3" t="s">
        <v>1105</v>
      </c>
      <c r="E349" s="4" t="s">
        <v>396</v>
      </c>
      <c r="F349" s="3" t="s">
        <v>2276</v>
      </c>
      <c r="G349" s="3"/>
      <c r="H349" s="3">
        <v>2</v>
      </c>
      <c r="I349" s="19" t="s">
        <v>5810</v>
      </c>
      <c r="J349" s="3">
        <v>2</v>
      </c>
      <c r="K349" s="11" t="s">
        <v>5811</v>
      </c>
      <c r="L349" s="3" t="s">
        <v>2276</v>
      </c>
      <c r="M349" s="52" t="s">
        <v>2276</v>
      </c>
      <c r="N349" s="3"/>
    </row>
    <row r="350" spans="1:14" ht="31.5" customHeight="1">
      <c r="A350" s="19" t="s">
        <v>5797</v>
      </c>
      <c r="B350" s="19" t="s">
        <v>5803</v>
      </c>
      <c r="C350" s="3" t="s">
        <v>2658</v>
      </c>
      <c r="D350" s="3" t="s">
        <v>1105</v>
      </c>
      <c r="E350" s="4" t="s">
        <v>5801</v>
      </c>
      <c r="F350" s="4" t="s">
        <v>2662</v>
      </c>
      <c r="G350" s="3"/>
      <c r="H350" s="3">
        <v>0</v>
      </c>
      <c r="I350" s="11" t="s">
        <v>5812</v>
      </c>
      <c r="J350" s="3">
        <v>0</v>
      </c>
      <c r="K350" s="11" t="s">
        <v>5812</v>
      </c>
      <c r="L350" s="3">
        <v>0</v>
      </c>
      <c r="M350" s="196" t="s">
        <v>5812</v>
      </c>
      <c r="N350" s="3"/>
    </row>
    <row r="351" spans="1:14" ht="33.5" customHeight="1">
      <c r="A351" s="19" t="s">
        <v>5797</v>
      </c>
      <c r="B351" s="19" t="s">
        <v>5804</v>
      </c>
      <c r="C351" s="3" t="s">
        <v>1105</v>
      </c>
      <c r="D351" s="3" t="s">
        <v>1105</v>
      </c>
      <c r="E351" s="4" t="s">
        <v>3209</v>
      </c>
      <c r="F351" s="3" t="s">
        <v>2276</v>
      </c>
      <c r="G351" s="3"/>
      <c r="H351" s="3" t="s">
        <v>2276</v>
      </c>
      <c r="I351" s="3" t="s">
        <v>2276</v>
      </c>
      <c r="J351" s="3" t="s">
        <v>2276</v>
      </c>
      <c r="K351" s="3" t="s">
        <v>2276</v>
      </c>
      <c r="L351" s="3">
        <v>3</v>
      </c>
      <c r="M351" s="49" t="s">
        <v>5813</v>
      </c>
      <c r="N351" s="3"/>
    </row>
    <row r="352" spans="1:14" ht="54.5" customHeight="1">
      <c r="A352" s="19" t="s">
        <v>5862</v>
      </c>
      <c r="B352" s="19" t="s">
        <v>5884</v>
      </c>
      <c r="C352" s="3" t="s">
        <v>24</v>
      </c>
      <c r="D352" s="3" t="s">
        <v>1105</v>
      </c>
      <c r="E352" s="4" t="s">
        <v>45</v>
      </c>
      <c r="F352" s="3" t="s">
        <v>2276</v>
      </c>
      <c r="G352" s="3"/>
      <c r="H352" s="3">
        <v>1</v>
      </c>
      <c r="I352" s="4" t="s">
        <v>5891</v>
      </c>
      <c r="J352" s="3">
        <v>1</v>
      </c>
      <c r="K352" s="4" t="s">
        <v>5892</v>
      </c>
      <c r="L352" s="3" t="s">
        <v>2276</v>
      </c>
      <c r="M352" s="52" t="s">
        <v>2276</v>
      </c>
      <c r="N352" s="3"/>
    </row>
    <row r="353" spans="1:14" ht="54.5" customHeight="1">
      <c r="A353" s="19" t="s">
        <v>5862</v>
      </c>
      <c r="B353" s="19" t="s">
        <v>5885</v>
      </c>
      <c r="C353" s="3" t="s">
        <v>24</v>
      </c>
      <c r="D353" s="3" t="s">
        <v>2994</v>
      </c>
      <c r="E353" s="4" t="s">
        <v>2652</v>
      </c>
      <c r="F353" s="3" t="s">
        <v>2276</v>
      </c>
      <c r="G353" s="3"/>
      <c r="H353" s="3">
        <v>1</v>
      </c>
      <c r="I353" s="4" t="s">
        <v>5891</v>
      </c>
      <c r="J353" s="3">
        <v>1</v>
      </c>
      <c r="K353" s="4" t="s">
        <v>5892</v>
      </c>
      <c r="L353" s="3" t="s">
        <v>2276</v>
      </c>
      <c r="M353" s="52" t="s">
        <v>2276</v>
      </c>
      <c r="N353" s="3"/>
    </row>
    <row r="354" spans="1:14" ht="48" customHeight="1">
      <c r="A354" s="19" t="s">
        <v>5862</v>
      </c>
      <c r="B354" s="19" t="s">
        <v>5886</v>
      </c>
      <c r="C354" s="3" t="s">
        <v>1105</v>
      </c>
      <c r="D354" s="3" t="s">
        <v>1105</v>
      </c>
      <c r="E354" s="4" t="s">
        <v>3209</v>
      </c>
      <c r="F354" s="3" t="s">
        <v>2276</v>
      </c>
      <c r="G354" s="3"/>
      <c r="H354" s="3" t="s">
        <v>2276</v>
      </c>
      <c r="I354" s="3" t="s">
        <v>2276</v>
      </c>
      <c r="J354" s="3" t="s">
        <v>2276</v>
      </c>
      <c r="K354" s="3" t="s">
        <v>2276</v>
      </c>
      <c r="L354" s="3">
        <v>3</v>
      </c>
      <c r="M354" s="49" t="s">
        <v>5894</v>
      </c>
      <c r="N354" s="3"/>
    </row>
    <row r="355" spans="1:14" ht="33" customHeight="1">
      <c r="A355" s="152" t="s">
        <v>5909</v>
      </c>
      <c r="B355" s="152" t="s">
        <v>5912</v>
      </c>
      <c r="C355" s="3" t="s">
        <v>2458</v>
      </c>
      <c r="D355" s="3" t="s">
        <v>1105</v>
      </c>
      <c r="E355" s="4" t="s">
        <v>137</v>
      </c>
      <c r="F355" s="3" t="s">
        <v>2276</v>
      </c>
      <c r="G355" s="3"/>
      <c r="H355" s="3" t="s">
        <v>2276</v>
      </c>
      <c r="I355" s="3" t="s">
        <v>2276</v>
      </c>
      <c r="J355" s="3" t="s">
        <v>2276</v>
      </c>
      <c r="K355" s="3" t="s">
        <v>2276</v>
      </c>
      <c r="L355" s="3">
        <v>2</v>
      </c>
      <c r="M355" s="48" t="s">
        <v>5927</v>
      </c>
      <c r="N355" s="3"/>
    </row>
    <row r="356" spans="1:14" ht="41.5" customHeight="1">
      <c r="A356" s="192" t="s">
        <v>5932</v>
      </c>
      <c r="B356" s="192" t="s">
        <v>5934</v>
      </c>
      <c r="C356" s="3" t="s">
        <v>24</v>
      </c>
      <c r="D356" s="3" t="s">
        <v>1105</v>
      </c>
      <c r="E356" s="4" t="s">
        <v>116</v>
      </c>
      <c r="F356" s="4" t="s">
        <v>2662</v>
      </c>
      <c r="G356" s="3"/>
      <c r="H356" s="3">
        <v>2</v>
      </c>
      <c r="I356" s="19" t="s">
        <v>5943</v>
      </c>
      <c r="J356" s="3">
        <v>2</v>
      </c>
      <c r="K356" s="11" t="s">
        <v>5942</v>
      </c>
      <c r="L356" s="3">
        <v>0</v>
      </c>
      <c r="M356" s="49" t="s">
        <v>5944</v>
      </c>
      <c r="N356" s="3"/>
    </row>
    <row r="357" spans="1:14" ht="34.5" customHeight="1">
      <c r="A357" s="192" t="s">
        <v>5932</v>
      </c>
      <c r="B357" s="192" t="s">
        <v>5935</v>
      </c>
      <c r="C357" s="3" t="s">
        <v>24</v>
      </c>
      <c r="D357" s="3" t="s">
        <v>1105</v>
      </c>
      <c r="E357" s="4" t="s">
        <v>116</v>
      </c>
      <c r="F357" s="4" t="s">
        <v>2662</v>
      </c>
      <c r="G357" s="3"/>
      <c r="H357" s="3">
        <v>2</v>
      </c>
      <c r="I357" s="3" t="s">
        <v>5940</v>
      </c>
      <c r="J357" s="3">
        <v>0</v>
      </c>
      <c r="K357" s="11" t="s">
        <v>5941</v>
      </c>
      <c r="L357" s="3">
        <v>2</v>
      </c>
      <c r="M357" s="52" t="s">
        <v>5939</v>
      </c>
      <c r="N357" s="3"/>
    </row>
    <row r="358" spans="1:14" ht="35.5" customHeight="1">
      <c r="A358" s="3" t="s">
        <v>5956</v>
      </c>
      <c r="B358" s="3" t="s">
        <v>5957</v>
      </c>
      <c r="C358" s="3" t="s">
        <v>24</v>
      </c>
      <c r="D358" s="3" t="s">
        <v>144</v>
      </c>
      <c r="E358" s="4" t="s">
        <v>137</v>
      </c>
      <c r="F358" s="3" t="s">
        <v>74</v>
      </c>
      <c r="G358" s="3"/>
      <c r="H358" s="3">
        <v>3</v>
      </c>
      <c r="I358" s="4" t="s">
        <v>5963</v>
      </c>
      <c r="J358" s="3" t="s">
        <v>2276</v>
      </c>
      <c r="K358" s="3" t="s">
        <v>2276</v>
      </c>
      <c r="L358" s="3" t="s">
        <v>2276</v>
      </c>
      <c r="M358" s="52" t="s">
        <v>2276</v>
      </c>
      <c r="N358" s="3"/>
    </row>
    <row r="359" spans="1:14" ht="35.5" customHeight="1">
      <c r="A359" s="3" t="s">
        <v>5956</v>
      </c>
      <c r="B359" s="3" t="s">
        <v>5960</v>
      </c>
      <c r="C359" s="3" t="s">
        <v>24</v>
      </c>
      <c r="D359" s="3" t="s">
        <v>144</v>
      </c>
      <c r="E359" s="4" t="s">
        <v>116</v>
      </c>
      <c r="F359" s="3" t="s">
        <v>74</v>
      </c>
      <c r="G359" s="3"/>
      <c r="H359" s="3">
        <v>3</v>
      </c>
      <c r="I359" s="4" t="s">
        <v>5963</v>
      </c>
      <c r="J359" s="3" t="s">
        <v>2276</v>
      </c>
      <c r="K359" s="3" t="s">
        <v>2276</v>
      </c>
      <c r="L359" s="3" t="s">
        <v>2276</v>
      </c>
      <c r="M359" s="52" t="s">
        <v>2276</v>
      </c>
      <c r="N359" s="3"/>
    </row>
    <row r="360" spans="1:14" ht="35.5" customHeight="1">
      <c r="A360" s="3" t="s">
        <v>5956</v>
      </c>
      <c r="B360" s="3" t="s">
        <v>5961</v>
      </c>
      <c r="C360" s="3" t="s">
        <v>24</v>
      </c>
      <c r="D360" s="3" t="s">
        <v>3480</v>
      </c>
      <c r="E360" s="4" t="s">
        <v>116</v>
      </c>
      <c r="F360" s="3" t="s">
        <v>74</v>
      </c>
      <c r="G360" s="3"/>
      <c r="H360" s="3">
        <v>3</v>
      </c>
      <c r="I360" s="4" t="s">
        <v>5963</v>
      </c>
      <c r="J360" s="3" t="s">
        <v>2276</v>
      </c>
      <c r="K360" s="3" t="s">
        <v>2276</v>
      </c>
      <c r="L360" s="3" t="s">
        <v>2276</v>
      </c>
      <c r="M360" s="52" t="s">
        <v>2276</v>
      </c>
      <c r="N360" s="3"/>
    </row>
    <row r="361" spans="1:14" ht="41.5" customHeight="1">
      <c r="A361" s="11" t="s">
        <v>5969</v>
      </c>
      <c r="B361" s="11" t="s">
        <v>5971</v>
      </c>
      <c r="C361" s="3" t="s">
        <v>24</v>
      </c>
      <c r="D361" s="3" t="s">
        <v>1105</v>
      </c>
      <c r="E361" s="4" t="s">
        <v>130</v>
      </c>
      <c r="F361" s="3" t="s">
        <v>2276</v>
      </c>
      <c r="G361" s="3"/>
      <c r="H361" s="3" t="s">
        <v>2276</v>
      </c>
      <c r="I361" s="3" t="s">
        <v>2276</v>
      </c>
      <c r="J361" s="3" t="s">
        <v>2276</v>
      </c>
      <c r="K361" s="3" t="s">
        <v>2276</v>
      </c>
      <c r="L361" s="3">
        <v>0</v>
      </c>
      <c r="M361" s="49" t="s">
        <v>5976</v>
      </c>
      <c r="N361" s="3"/>
    </row>
    <row r="362" spans="1:14" ht="57" customHeight="1">
      <c r="A362" s="11" t="s">
        <v>5969</v>
      </c>
      <c r="B362" s="11" t="s">
        <v>5972</v>
      </c>
      <c r="C362" s="3" t="s">
        <v>24</v>
      </c>
      <c r="D362" s="3" t="s">
        <v>1105</v>
      </c>
      <c r="E362" s="4" t="s">
        <v>396</v>
      </c>
      <c r="F362" s="3" t="s">
        <v>2276</v>
      </c>
      <c r="G362" s="3"/>
      <c r="H362" s="3" t="s">
        <v>2276</v>
      </c>
      <c r="I362" s="3" t="s">
        <v>2276</v>
      </c>
      <c r="J362" s="3" t="s">
        <v>2276</v>
      </c>
      <c r="K362" s="3" t="s">
        <v>2276</v>
      </c>
      <c r="L362" s="3">
        <v>0</v>
      </c>
      <c r="M362" s="49" t="s">
        <v>5976</v>
      </c>
      <c r="N362" s="3"/>
    </row>
    <row r="363" spans="1:14" ht="41.5" customHeight="1">
      <c r="A363" s="11" t="s">
        <v>5969</v>
      </c>
      <c r="B363" s="11" t="s">
        <v>5973</v>
      </c>
      <c r="C363" s="3" t="s">
        <v>24</v>
      </c>
      <c r="D363" s="3" t="s">
        <v>1105</v>
      </c>
      <c r="E363" s="4" t="s">
        <v>84</v>
      </c>
      <c r="F363" s="3" t="s">
        <v>74</v>
      </c>
      <c r="G363" s="3"/>
      <c r="H363" s="3" t="s">
        <v>2276</v>
      </c>
      <c r="I363" s="3" t="s">
        <v>2276</v>
      </c>
      <c r="J363" s="3" t="s">
        <v>2276</v>
      </c>
      <c r="K363" s="3" t="s">
        <v>2276</v>
      </c>
      <c r="L363" s="3">
        <v>3</v>
      </c>
      <c r="M363" s="49" t="s">
        <v>5977</v>
      </c>
      <c r="N363" s="3"/>
    </row>
    <row r="364" spans="1:14" ht="41.5" customHeight="1">
      <c r="A364" s="11" t="s">
        <v>5969</v>
      </c>
      <c r="B364" s="11" t="s">
        <v>5974</v>
      </c>
      <c r="C364" s="3" t="s">
        <v>24</v>
      </c>
      <c r="D364" s="3" t="s">
        <v>1105</v>
      </c>
      <c r="E364" s="4" t="s">
        <v>84</v>
      </c>
      <c r="F364" s="3" t="s">
        <v>28</v>
      </c>
      <c r="G364" s="3"/>
      <c r="H364" s="3" t="s">
        <v>2276</v>
      </c>
      <c r="I364" s="3" t="s">
        <v>2276</v>
      </c>
      <c r="J364" s="3" t="s">
        <v>2276</v>
      </c>
      <c r="K364" s="3" t="s">
        <v>2276</v>
      </c>
      <c r="L364" s="3">
        <v>0</v>
      </c>
      <c r="M364" s="49" t="s">
        <v>5977</v>
      </c>
      <c r="N364" s="3"/>
    </row>
    <row r="365" spans="1:14" ht="41.5" customHeight="1">
      <c r="A365" s="11" t="s">
        <v>5982</v>
      </c>
      <c r="B365" s="11" t="s">
        <v>5987</v>
      </c>
      <c r="C365" s="3" t="s">
        <v>24</v>
      </c>
      <c r="D365" s="3" t="s">
        <v>27</v>
      </c>
      <c r="E365" s="4" t="s">
        <v>130</v>
      </c>
      <c r="F365" s="3" t="s">
        <v>160</v>
      </c>
      <c r="G365" s="3"/>
      <c r="H365" s="3">
        <v>2</v>
      </c>
      <c r="I365" s="19" t="s">
        <v>5992</v>
      </c>
      <c r="J365" s="3" t="s">
        <v>2276</v>
      </c>
      <c r="K365" s="3" t="s">
        <v>2276</v>
      </c>
      <c r="L365" s="3" t="s">
        <v>2276</v>
      </c>
      <c r="M365" s="52" t="s">
        <v>2276</v>
      </c>
      <c r="N365" s="3"/>
    </row>
    <row r="366" spans="1:14" ht="117.5" customHeight="1">
      <c r="A366" s="19" t="s">
        <v>5994</v>
      </c>
      <c r="B366" s="19" t="s">
        <v>6001</v>
      </c>
      <c r="C366" s="4" t="s">
        <v>24</v>
      </c>
      <c r="D366" s="4" t="s">
        <v>1242</v>
      </c>
      <c r="E366" s="4" t="s">
        <v>116</v>
      </c>
      <c r="F366" s="4" t="s">
        <v>2662</v>
      </c>
      <c r="G366" s="3"/>
      <c r="H366" s="3">
        <v>2</v>
      </c>
      <c r="I366" s="19" t="s">
        <v>6009</v>
      </c>
      <c r="J366" s="4">
        <v>2</v>
      </c>
      <c r="K366" s="19" t="s">
        <v>6007</v>
      </c>
      <c r="L366" s="3" t="s">
        <v>2276</v>
      </c>
      <c r="M366" s="52" t="s">
        <v>2276</v>
      </c>
      <c r="N366" s="3"/>
    </row>
    <row r="367" spans="1:14" ht="34.5" customHeight="1">
      <c r="A367" s="11" t="s">
        <v>6000</v>
      </c>
      <c r="B367" s="11" t="s">
        <v>6012</v>
      </c>
      <c r="C367" s="3" t="s">
        <v>24</v>
      </c>
      <c r="D367" s="3" t="s">
        <v>27</v>
      </c>
      <c r="E367" s="4" t="s">
        <v>130</v>
      </c>
      <c r="F367" s="3" t="s">
        <v>160</v>
      </c>
      <c r="G367" s="3"/>
      <c r="H367" s="3">
        <v>2</v>
      </c>
      <c r="I367" s="19" t="s">
        <v>6015</v>
      </c>
      <c r="J367" s="3" t="s">
        <v>2276</v>
      </c>
      <c r="K367" s="3" t="s">
        <v>2276</v>
      </c>
      <c r="L367" s="3" t="s">
        <v>2276</v>
      </c>
      <c r="M367" s="52" t="s">
        <v>2276</v>
      </c>
      <c r="N367" s="3"/>
    </row>
    <row r="368" spans="1:14" ht="43.5" customHeight="1">
      <c r="A368" s="3" t="s">
        <v>6000</v>
      </c>
      <c r="B368" s="11" t="s">
        <v>6013</v>
      </c>
      <c r="C368" s="3" t="s">
        <v>24</v>
      </c>
      <c r="D368" s="3" t="s">
        <v>25</v>
      </c>
      <c r="E368" s="4" t="s">
        <v>45</v>
      </c>
      <c r="F368" s="4" t="s">
        <v>2662</v>
      </c>
      <c r="G368" s="3"/>
      <c r="H368" s="3">
        <v>2</v>
      </c>
      <c r="I368" s="19" t="s">
        <v>6015</v>
      </c>
      <c r="J368" s="3" t="s">
        <v>2276</v>
      </c>
      <c r="K368" s="3" t="s">
        <v>2276</v>
      </c>
      <c r="L368" s="3" t="s">
        <v>2276</v>
      </c>
      <c r="M368" s="52" t="s">
        <v>2276</v>
      </c>
      <c r="N368" s="3"/>
    </row>
    <row r="369" spans="1:14" ht="37" customHeight="1">
      <c r="A369" s="3" t="s">
        <v>6000</v>
      </c>
      <c r="B369" s="3" t="s">
        <v>6014</v>
      </c>
      <c r="C369" s="3" t="s">
        <v>24</v>
      </c>
      <c r="D369" s="3" t="s">
        <v>25</v>
      </c>
      <c r="E369" s="4" t="s">
        <v>45</v>
      </c>
      <c r="F369" s="3" t="s">
        <v>29</v>
      </c>
      <c r="G369" s="3"/>
      <c r="H369" s="3">
        <v>2</v>
      </c>
      <c r="I369" s="19" t="s">
        <v>6015</v>
      </c>
      <c r="J369" s="3" t="s">
        <v>2276</v>
      </c>
      <c r="K369" s="3" t="s">
        <v>2276</v>
      </c>
      <c r="L369" s="3" t="s">
        <v>2276</v>
      </c>
      <c r="M369" s="52" t="s">
        <v>2276</v>
      </c>
      <c r="N369" s="3"/>
    </row>
    <row r="370" spans="1:14" ht="44.5" customHeight="1">
      <c r="A370" s="11" t="s">
        <v>6048</v>
      </c>
      <c r="B370" s="11" t="s">
        <v>6052</v>
      </c>
      <c r="C370" s="3" t="s">
        <v>24</v>
      </c>
      <c r="D370" s="3" t="s">
        <v>27</v>
      </c>
      <c r="E370" s="4" t="s">
        <v>130</v>
      </c>
      <c r="F370" s="3" t="s">
        <v>160</v>
      </c>
      <c r="G370" s="3"/>
      <c r="H370" s="3">
        <v>2</v>
      </c>
      <c r="I370" s="19" t="s">
        <v>6054</v>
      </c>
      <c r="J370" s="3" t="s">
        <v>2276</v>
      </c>
      <c r="K370" s="3" t="s">
        <v>2276</v>
      </c>
      <c r="L370" s="3">
        <v>1</v>
      </c>
      <c r="M370" s="52" t="s">
        <v>6055</v>
      </c>
      <c r="N370" s="3"/>
    </row>
    <row r="371" spans="1:14" ht="43" customHeight="1">
      <c r="A371" s="11" t="s">
        <v>6048</v>
      </c>
      <c r="B371" s="11" t="s">
        <v>6053</v>
      </c>
      <c r="C371" s="3" t="s">
        <v>24</v>
      </c>
      <c r="D371" s="3" t="s">
        <v>25</v>
      </c>
      <c r="E371" s="4" t="s">
        <v>45</v>
      </c>
      <c r="F371" s="3" t="s">
        <v>29</v>
      </c>
      <c r="G371" s="3"/>
      <c r="H371" s="3">
        <v>2</v>
      </c>
      <c r="I371" s="19" t="s">
        <v>6054</v>
      </c>
      <c r="J371" s="3" t="s">
        <v>2276</v>
      </c>
      <c r="K371" s="3" t="s">
        <v>2276</v>
      </c>
      <c r="L371" s="3">
        <v>1</v>
      </c>
      <c r="M371" s="52" t="s">
        <v>6055</v>
      </c>
      <c r="N371" s="3"/>
    </row>
    <row r="372" spans="1:14" ht="36" customHeight="1">
      <c r="A372" s="11" t="s">
        <v>6075</v>
      </c>
      <c r="B372" s="11" t="s">
        <v>6078</v>
      </c>
      <c r="C372" s="3" t="s">
        <v>1105</v>
      </c>
      <c r="D372" s="3" t="s">
        <v>1105</v>
      </c>
      <c r="E372" s="4" t="s">
        <v>3209</v>
      </c>
      <c r="F372" s="4" t="s">
        <v>2662</v>
      </c>
      <c r="G372" s="3"/>
      <c r="H372" s="204" t="s">
        <v>2276</v>
      </c>
      <c r="I372" s="204" t="s">
        <v>2276</v>
      </c>
      <c r="J372" s="204" t="s">
        <v>2276</v>
      </c>
      <c r="K372" s="204" t="s">
        <v>2276</v>
      </c>
      <c r="L372" s="3">
        <v>2</v>
      </c>
      <c r="M372" s="49" t="s">
        <v>6082</v>
      </c>
      <c r="N372" s="3"/>
    </row>
    <row r="373" spans="1:14" ht="43.5" customHeight="1">
      <c r="A373" s="11" t="s">
        <v>6083</v>
      </c>
      <c r="B373" s="11" t="s">
        <v>6979</v>
      </c>
      <c r="C373" s="11" t="s">
        <v>1105</v>
      </c>
      <c r="D373" s="11" t="s">
        <v>1105</v>
      </c>
      <c r="E373" s="19" t="s">
        <v>5005</v>
      </c>
      <c r="F373" s="19" t="s">
        <v>2662</v>
      </c>
      <c r="G373" s="11"/>
      <c r="H373" s="204" t="s">
        <v>2276</v>
      </c>
      <c r="I373" s="204" t="s">
        <v>2276</v>
      </c>
      <c r="J373" s="11">
        <v>2</v>
      </c>
      <c r="K373" s="19" t="s">
        <v>6984</v>
      </c>
      <c r="L373" s="204" t="s">
        <v>2276</v>
      </c>
      <c r="M373" s="204" t="s">
        <v>2276</v>
      </c>
      <c r="N373" s="11"/>
    </row>
    <row r="374" spans="1:14" ht="51" customHeight="1">
      <c r="A374" s="11" t="s">
        <v>6084</v>
      </c>
      <c r="B374" s="11" t="s">
        <v>6981</v>
      </c>
      <c r="C374" s="11" t="s">
        <v>1105</v>
      </c>
      <c r="D374" s="11" t="s">
        <v>1105</v>
      </c>
      <c r="E374" s="19" t="s">
        <v>397</v>
      </c>
      <c r="F374" s="19" t="s">
        <v>28</v>
      </c>
      <c r="G374" s="11"/>
      <c r="H374" s="204" t="s">
        <v>2276</v>
      </c>
      <c r="I374" s="204" t="s">
        <v>2276</v>
      </c>
      <c r="J374" s="11">
        <v>2</v>
      </c>
      <c r="K374" s="19" t="s">
        <v>6985</v>
      </c>
      <c r="L374" s="204" t="s">
        <v>2276</v>
      </c>
      <c r="M374" s="204" t="s">
        <v>2276</v>
      </c>
      <c r="N374" s="11"/>
    </row>
    <row r="375" spans="1:14" s="203" customFormat="1" ht="51" customHeight="1">
      <c r="A375" s="11" t="s">
        <v>6083</v>
      </c>
      <c r="B375" s="11" t="s">
        <v>6980</v>
      </c>
      <c r="C375" s="11" t="s">
        <v>1105</v>
      </c>
      <c r="D375" s="11" t="s">
        <v>1105</v>
      </c>
      <c r="E375" s="19" t="s">
        <v>5005</v>
      </c>
      <c r="F375" s="19" t="s">
        <v>2662</v>
      </c>
      <c r="G375" s="11"/>
      <c r="H375" s="204" t="s">
        <v>2276</v>
      </c>
      <c r="I375" s="204" t="s">
        <v>2276</v>
      </c>
      <c r="J375" s="11">
        <v>2</v>
      </c>
      <c r="K375" s="19" t="s">
        <v>6984</v>
      </c>
      <c r="L375" s="204" t="s">
        <v>2276</v>
      </c>
      <c r="M375" s="204" t="s">
        <v>2276</v>
      </c>
      <c r="N375" s="11"/>
    </row>
    <row r="376" spans="1:14" s="203" customFormat="1" ht="51" customHeight="1">
      <c r="A376" s="11" t="s">
        <v>6084</v>
      </c>
      <c r="B376" s="11" t="s">
        <v>6982</v>
      </c>
      <c r="C376" s="11" t="s">
        <v>1105</v>
      </c>
      <c r="D376" s="11" t="s">
        <v>1105</v>
      </c>
      <c r="E376" s="19" t="s">
        <v>397</v>
      </c>
      <c r="F376" s="19" t="s">
        <v>28</v>
      </c>
      <c r="G376" s="11"/>
      <c r="H376" s="204" t="s">
        <v>2276</v>
      </c>
      <c r="I376" s="204" t="s">
        <v>2276</v>
      </c>
      <c r="J376" s="11">
        <v>2</v>
      </c>
      <c r="K376" s="19" t="s">
        <v>6985</v>
      </c>
      <c r="L376" s="204" t="s">
        <v>2276</v>
      </c>
      <c r="M376" s="204" t="s">
        <v>2276</v>
      </c>
      <c r="N376" s="11"/>
    </row>
    <row r="377" spans="1:14" ht="69.5" customHeight="1">
      <c r="A377" s="3" t="s">
        <v>6148</v>
      </c>
      <c r="B377" s="3" t="s">
        <v>6190</v>
      </c>
      <c r="C377" s="3" t="s">
        <v>24</v>
      </c>
      <c r="D377" s="3" t="s">
        <v>1242</v>
      </c>
      <c r="E377" s="4" t="s">
        <v>137</v>
      </c>
      <c r="F377" s="3" t="s">
        <v>74</v>
      </c>
      <c r="G377" s="3"/>
      <c r="H377" s="3">
        <v>2</v>
      </c>
      <c r="I377" s="3" t="s">
        <v>6249</v>
      </c>
      <c r="J377" s="3">
        <v>2</v>
      </c>
      <c r="K377" s="3" t="s">
        <v>6249</v>
      </c>
      <c r="L377" s="204" t="s">
        <v>2276</v>
      </c>
      <c r="M377" s="204" t="s">
        <v>2276</v>
      </c>
      <c r="N377" s="3"/>
    </row>
    <row r="378" spans="1:14" s="203" customFormat="1" ht="69.5" customHeight="1">
      <c r="A378" s="204" t="s">
        <v>6148</v>
      </c>
      <c r="B378" s="204" t="s">
        <v>6191</v>
      </c>
      <c r="C378" s="204" t="s">
        <v>24</v>
      </c>
      <c r="D378" s="204" t="s">
        <v>1242</v>
      </c>
      <c r="E378" s="4" t="s">
        <v>2649</v>
      </c>
      <c r="F378" s="204" t="s">
        <v>74</v>
      </c>
      <c r="G378" s="204"/>
      <c r="H378" s="204">
        <v>2</v>
      </c>
      <c r="I378" s="204" t="s">
        <v>6653</v>
      </c>
      <c r="J378" s="204">
        <v>2</v>
      </c>
      <c r="K378" s="204" t="s">
        <v>6653</v>
      </c>
      <c r="L378" s="204" t="s">
        <v>2276</v>
      </c>
      <c r="M378" s="204" t="s">
        <v>2276</v>
      </c>
      <c r="N378" s="204"/>
    </row>
    <row r="379" spans="1:14" ht="69.5" customHeight="1">
      <c r="A379" s="3" t="s">
        <v>6148</v>
      </c>
      <c r="B379" s="204" t="s">
        <v>6192</v>
      </c>
      <c r="C379" s="3" t="s">
        <v>2656</v>
      </c>
      <c r="D379" s="204" t="s">
        <v>2276</v>
      </c>
      <c r="E379" s="4" t="s">
        <v>137</v>
      </c>
      <c r="F379" s="3" t="s">
        <v>74</v>
      </c>
      <c r="G379" s="3"/>
      <c r="H379" s="3">
        <v>2</v>
      </c>
      <c r="I379" s="204" t="s">
        <v>6652</v>
      </c>
      <c r="J379" s="3">
        <v>2</v>
      </c>
      <c r="K379" s="204" t="s">
        <v>6652</v>
      </c>
      <c r="L379" s="3">
        <v>0</v>
      </c>
      <c r="M379" s="3" t="s">
        <v>6652</v>
      </c>
      <c r="N379" s="3"/>
    </row>
    <row r="380" spans="1:14" s="203" customFormat="1" ht="69.5" customHeight="1">
      <c r="A380" s="204" t="s">
        <v>6148</v>
      </c>
      <c r="B380" s="204" t="s">
        <v>6193</v>
      </c>
      <c r="C380" s="204" t="s">
        <v>2656</v>
      </c>
      <c r="D380" s="204" t="s">
        <v>2276</v>
      </c>
      <c r="E380" s="4" t="s">
        <v>2649</v>
      </c>
      <c r="F380" s="204" t="s">
        <v>74</v>
      </c>
      <c r="G380" s="204"/>
      <c r="H380" s="204">
        <v>2</v>
      </c>
      <c r="I380" s="204" t="s">
        <v>6652</v>
      </c>
      <c r="J380" s="204">
        <v>2</v>
      </c>
      <c r="K380" s="204" t="s">
        <v>6652</v>
      </c>
      <c r="L380" s="204">
        <v>0</v>
      </c>
      <c r="M380" s="204" t="s">
        <v>6652</v>
      </c>
      <c r="N380" s="204"/>
    </row>
    <row r="381" spans="1:14" ht="69.5" customHeight="1">
      <c r="A381" s="3" t="s">
        <v>6149</v>
      </c>
      <c r="B381" s="3" t="s">
        <v>6194</v>
      </c>
      <c r="C381" s="3" t="s">
        <v>24</v>
      </c>
      <c r="D381" s="3" t="s">
        <v>1242</v>
      </c>
      <c r="E381" s="4" t="s">
        <v>137</v>
      </c>
      <c r="F381" s="3" t="s">
        <v>74</v>
      </c>
      <c r="G381" s="3"/>
      <c r="H381" s="3">
        <v>2</v>
      </c>
      <c r="I381" s="3" t="s">
        <v>6249</v>
      </c>
      <c r="J381" s="3">
        <v>2</v>
      </c>
      <c r="K381" s="3" t="s">
        <v>6249</v>
      </c>
      <c r="L381" s="204" t="s">
        <v>2276</v>
      </c>
      <c r="M381" s="204" t="s">
        <v>2276</v>
      </c>
      <c r="N381" s="3"/>
    </row>
    <row r="382" spans="1:14" s="203" customFormat="1" ht="69.5" customHeight="1">
      <c r="A382" s="204" t="s">
        <v>6149</v>
      </c>
      <c r="B382" s="204" t="s">
        <v>6195</v>
      </c>
      <c r="C382" s="204" t="s">
        <v>24</v>
      </c>
      <c r="D382" s="204" t="s">
        <v>1242</v>
      </c>
      <c r="E382" s="4" t="s">
        <v>2649</v>
      </c>
      <c r="F382" s="204" t="s">
        <v>74</v>
      </c>
      <c r="G382" s="204"/>
      <c r="H382" s="204">
        <v>2</v>
      </c>
      <c r="I382" s="204" t="s">
        <v>6653</v>
      </c>
      <c r="J382" s="204">
        <v>2</v>
      </c>
      <c r="K382" s="204" t="s">
        <v>6653</v>
      </c>
      <c r="L382" s="204" t="s">
        <v>2276</v>
      </c>
      <c r="M382" s="204" t="s">
        <v>2276</v>
      </c>
      <c r="N382" s="204"/>
    </row>
    <row r="383" spans="1:14" s="203" customFormat="1" ht="69.5" customHeight="1">
      <c r="A383" s="204" t="s">
        <v>6639</v>
      </c>
      <c r="B383" s="204" t="s">
        <v>6646</v>
      </c>
      <c r="C383" s="204" t="s">
        <v>24</v>
      </c>
      <c r="D383" s="204" t="s">
        <v>1242</v>
      </c>
      <c r="E383" s="4" t="s">
        <v>137</v>
      </c>
      <c r="F383" s="204" t="s">
        <v>74</v>
      </c>
      <c r="G383" s="204"/>
      <c r="H383" s="204">
        <v>2</v>
      </c>
      <c r="I383" s="204" t="s">
        <v>6249</v>
      </c>
      <c r="J383" s="204">
        <v>2</v>
      </c>
      <c r="K383" s="204" t="s">
        <v>6249</v>
      </c>
      <c r="L383" s="204" t="s">
        <v>2276</v>
      </c>
      <c r="M383" s="204" t="s">
        <v>2276</v>
      </c>
      <c r="N383" s="204" t="s">
        <v>6654</v>
      </c>
    </row>
    <row r="384" spans="1:14" s="203" customFormat="1" ht="69.5" customHeight="1">
      <c r="A384" s="204" t="s">
        <v>6639</v>
      </c>
      <c r="B384" s="204" t="s">
        <v>6647</v>
      </c>
      <c r="C384" s="204" t="s">
        <v>24</v>
      </c>
      <c r="D384" s="204" t="s">
        <v>1242</v>
      </c>
      <c r="E384" s="4" t="s">
        <v>2649</v>
      </c>
      <c r="F384" s="204" t="s">
        <v>74</v>
      </c>
      <c r="G384" s="204"/>
      <c r="H384" s="204">
        <v>2</v>
      </c>
      <c r="I384" s="204" t="s">
        <v>6653</v>
      </c>
      <c r="J384" s="204">
        <v>2</v>
      </c>
      <c r="K384" s="204" t="s">
        <v>6653</v>
      </c>
      <c r="L384" s="204" t="s">
        <v>2276</v>
      </c>
      <c r="M384" s="204" t="s">
        <v>2276</v>
      </c>
      <c r="N384" s="204" t="s">
        <v>6655</v>
      </c>
    </row>
    <row r="385" spans="1:14" s="203" customFormat="1" ht="69.5" customHeight="1">
      <c r="A385" s="204" t="s">
        <v>6640</v>
      </c>
      <c r="B385" s="204" t="s">
        <v>6648</v>
      </c>
      <c r="C385" s="204" t="s">
        <v>24</v>
      </c>
      <c r="D385" s="204" t="s">
        <v>1242</v>
      </c>
      <c r="E385" s="4" t="s">
        <v>137</v>
      </c>
      <c r="F385" s="204" t="s">
        <v>74</v>
      </c>
      <c r="G385" s="204"/>
      <c r="H385" s="204">
        <v>2</v>
      </c>
      <c r="I385" s="204" t="s">
        <v>6249</v>
      </c>
      <c r="J385" s="204">
        <v>2</v>
      </c>
      <c r="K385" s="204" t="s">
        <v>6249</v>
      </c>
      <c r="L385" s="204" t="s">
        <v>2276</v>
      </c>
      <c r="M385" s="204" t="s">
        <v>2276</v>
      </c>
      <c r="N385" s="204" t="s">
        <v>6654</v>
      </c>
    </row>
    <row r="386" spans="1:14" s="203" customFormat="1" ht="69.5" customHeight="1">
      <c r="A386" s="204" t="s">
        <v>6640</v>
      </c>
      <c r="B386" s="204" t="s">
        <v>6649</v>
      </c>
      <c r="C386" s="204" t="s">
        <v>24</v>
      </c>
      <c r="D386" s="204" t="s">
        <v>1242</v>
      </c>
      <c r="E386" s="4" t="s">
        <v>2649</v>
      </c>
      <c r="F386" s="204" t="s">
        <v>74</v>
      </c>
      <c r="G386" s="204"/>
      <c r="H386" s="204">
        <v>2</v>
      </c>
      <c r="I386" s="204" t="s">
        <v>6653</v>
      </c>
      <c r="J386" s="204">
        <v>2</v>
      </c>
      <c r="K386" s="204" t="s">
        <v>6653</v>
      </c>
      <c r="L386" s="204" t="s">
        <v>2276</v>
      </c>
      <c r="M386" s="204" t="s">
        <v>2276</v>
      </c>
      <c r="N386" s="204" t="s">
        <v>6655</v>
      </c>
    </row>
    <row r="387" spans="1:14" s="203" customFormat="1" ht="69.5" customHeight="1">
      <c r="A387" s="204" t="s">
        <v>6641</v>
      </c>
      <c r="B387" s="204" t="s">
        <v>6650</v>
      </c>
      <c r="C387" s="204" t="s">
        <v>24</v>
      </c>
      <c r="D387" s="204" t="s">
        <v>1242</v>
      </c>
      <c r="E387" s="4" t="s">
        <v>137</v>
      </c>
      <c r="F387" s="204" t="s">
        <v>74</v>
      </c>
      <c r="G387" s="204"/>
      <c r="H387" s="204">
        <v>2</v>
      </c>
      <c r="I387" s="204" t="s">
        <v>6249</v>
      </c>
      <c r="J387" s="204">
        <v>2</v>
      </c>
      <c r="K387" s="204" t="s">
        <v>6249</v>
      </c>
      <c r="L387" s="204" t="s">
        <v>2276</v>
      </c>
      <c r="M387" s="204" t="s">
        <v>2276</v>
      </c>
      <c r="N387" s="204" t="s">
        <v>6654</v>
      </c>
    </row>
    <row r="388" spans="1:14" s="203" customFormat="1" ht="69.5" customHeight="1">
      <c r="A388" s="204" t="s">
        <v>6641</v>
      </c>
      <c r="B388" s="204" t="s">
        <v>6651</v>
      </c>
      <c r="C388" s="204" t="s">
        <v>24</v>
      </c>
      <c r="D388" s="204" t="s">
        <v>1242</v>
      </c>
      <c r="E388" s="4" t="s">
        <v>2649</v>
      </c>
      <c r="F388" s="204" t="s">
        <v>74</v>
      </c>
      <c r="G388" s="204"/>
      <c r="H388" s="204">
        <v>2</v>
      </c>
      <c r="I388" s="204" t="s">
        <v>6653</v>
      </c>
      <c r="J388" s="204">
        <v>2</v>
      </c>
      <c r="K388" s="204" t="s">
        <v>6653</v>
      </c>
      <c r="L388" s="204" t="s">
        <v>2276</v>
      </c>
      <c r="M388" s="204" t="s">
        <v>2276</v>
      </c>
      <c r="N388" s="204" t="s">
        <v>6655</v>
      </c>
    </row>
    <row r="389" spans="1:14" ht="69.5" customHeight="1">
      <c r="A389" s="3" t="s">
        <v>6150</v>
      </c>
      <c r="B389" s="3" t="s">
        <v>6198</v>
      </c>
      <c r="C389" s="204" t="s">
        <v>1105</v>
      </c>
      <c r="D389" s="204" t="s">
        <v>1105</v>
      </c>
      <c r="E389" s="4" t="s">
        <v>5801</v>
      </c>
      <c r="F389" s="204" t="s">
        <v>160</v>
      </c>
      <c r="G389" s="3"/>
      <c r="H389" s="3" t="s">
        <v>2276</v>
      </c>
      <c r="I389" s="3" t="s">
        <v>2276</v>
      </c>
      <c r="J389" s="3">
        <v>0</v>
      </c>
      <c r="K389" s="3" t="s">
        <v>5215</v>
      </c>
      <c r="L389" s="3" t="s">
        <v>2276</v>
      </c>
      <c r="M389" s="3" t="s">
        <v>2276</v>
      </c>
      <c r="N389" s="3"/>
    </row>
    <row r="390" spans="1:14" ht="130" customHeight="1">
      <c r="A390" s="3" t="s">
        <v>6151</v>
      </c>
      <c r="B390" s="3" t="s">
        <v>6199</v>
      </c>
      <c r="C390" s="204" t="s">
        <v>1105</v>
      </c>
      <c r="D390" s="204" t="s">
        <v>1105</v>
      </c>
      <c r="E390" s="4" t="s">
        <v>3209</v>
      </c>
      <c r="F390" s="204" t="s">
        <v>1105</v>
      </c>
      <c r="G390" s="3">
        <v>2004</v>
      </c>
      <c r="H390" s="204" t="s">
        <v>2276</v>
      </c>
      <c r="I390" s="204" t="s">
        <v>2276</v>
      </c>
      <c r="J390" s="3" t="s">
        <v>2276</v>
      </c>
      <c r="K390" s="3" t="s">
        <v>2276</v>
      </c>
      <c r="L390" s="3">
        <v>3</v>
      </c>
      <c r="M390" s="3" t="s">
        <v>6250</v>
      </c>
      <c r="N390" s="4" t="s">
        <v>6251</v>
      </c>
    </row>
    <row r="391" spans="1:14" s="203" customFormat="1" ht="130" customHeight="1">
      <c r="A391" s="204" t="s">
        <v>6151</v>
      </c>
      <c r="B391" s="204" t="s">
        <v>6200</v>
      </c>
      <c r="C391" s="204" t="s">
        <v>1105</v>
      </c>
      <c r="D391" s="204" t="s">
        <v>1105</v>
      </c>
      <c r="E391" s="4" t="s">
        <v>3209</v>
      </c>
      <c r="F391" s="204" t="s">
        <v>1105</v>
      </c>
      <c r="G391" s="204">
        <v>2003</v>
      </c>
      <c r="H391" s="204" t="s">
        <v>2276</v>
      </c>
      <c r="I391" s="204" t="s">
        <v>2276</v>
      </c>
      <c r="J391" s="204" t="s">
        <v>2276</v>
      </c>
      <c r="K391" s="204" t="s">
        <v>2276</v>
      </c>
      <c r="L391" s="204">
        <v>2</v>
      </c>
      <c r="M391" s="4" t="s">
        <v>6674</v>
      </c>
      <c r="N391" s="4"/>
    </row>
    <row r="392" spans="1:14" ht="59" customHeight="1">
      <c r="A392" s="204" t="s">
        <v>6151</v>
      </c>
      <c r="B392" s="204" t="s">
        <v>6201</v>
      </c>
      <c r="C392" s="204" t="s">
        <v>1105</v>
      </c>
      <c r="D392" s="204" t="s">
        <v>1105</v>
      </c>
      <c r="E392" s="4" t="s">
        <v>5801</v>
      </c>
      <c r="F392" s="204" t="s">
        <v>160</v>
      </c>
      <c r="G392" s="3"/>
      <c r="H392" s="3" t="s">
        <v>2276</v>
      </c>
      <c r="I392" s="3" t="s">
        <v>2276</v>
      </c>
      <c r="J392" s="3">
        <v>0</v>
      </c>
      <c r="K392" s="204" t="s">
        <v>5215</v>
      </c>
      <c r="L392" s="3" t="s">
        <v>2276</v>
      </c>
      <c r="M392" s="3" t="s">
        <v>2276</v>
      </c>
      <c r="N392" s="4"/>
    </row>
    <row r="393" spans="1:14" ht="130" customHeight="1">
      <c r="A393" s="3" t="s">
        <v>6152</v>
      </c>
      <c r="B393" s="3" t="s">
        <v>6202</v>
      </c>
      <c r="C393" s="204" t="s">
        <v>1105</v>
      </c>
      <c r="D393" s="204" t="s">
        <v>1105</v>
      </c>
      <c r="E393" s="4" t="s">
        <v>3209</v>
      </c>
      <c r="F393" s="204" t="s">
        <v>1105</v>
      </c>
      <c r="G393" s="3"/>
      <c r="H393" s="204" t="s">
        <v>2276</v>
      </c>
      <c r="I393" s="204" t="s">
        <v>2276</v>
      </c>
      <c r="J393" s="3" t="s">
        <v>2276</v>
      </c>
      <c r="K393" s="3" t="s">
        <v>2276</v>
      </c>
      <c r="L393" s="3">
        <v>3</v>
      </c>
      <c r="M393" s="3" t="s">
        <v>6250</v>
      </c>
      <c r="N393" s="4" t="s">
        <v>6252</v>
      </c>
    </row>
    <row r="394" spans="1:14" ht="43.5" customHeight="1">
      <c r="A394" s="3" t="s">
        <v>6152</v>
      </c>
      <c r="B394" s="3" t="s">
        <v>6259</v>
      </c>
      <c r="C394" s="204" t="s">
        <v>1105</v>
      </c>
      <c r="D394" s="204" t="s">
        <v>1105</v>
      </c>
      <c r="E394" s="4" t="s">
        <v>5801</v>
      </c>
      <c r="F394" s="204" t="s">
        <v>160</v>
      </c>
      <c r="G394" s="3"/>
      <c r="H394" s="3" t="s">
        <v>2276</v>
      </c>
      <c r="I394" s="3" t="s">
        <v>2276</v>
      </c>
      <c r="J394" s="3">
        <v>0</v>
      </c>
      <c r="K394" s="3" t="s">
        <v>5215</v>
      </c>
      <c r="L394" s="3" t="s">
        <v>2276</v>
      </c>
      <c r="M394" s="3" t="s">
        <v>2276</v>
      </c>
      <c r="N394" s="4"/>
    </row>
    <row r="395" spans="1:14" ht="153.5" customHeight="1">
      <c r="A395" s="204" t="s">
        <v>6153</v>
      </c>
      <c r="B395" s="204" t="s">
        <v>6203</v>
      </c>
      <c r="C395" s="204" t="s">
        <v>1105</v>
      </c>
      <c r="D395" s="204" t="s">
        <v>1105</v>
      </c>
      <c r="E395" s="4" t="s">
        <v>3209</v>
      </c>
      <c r="F395" s="204" t="s">
        <v>1105</v>
      </c>
      <c r="G395" s="3"/>
      <c r="H395" s="204" t="s">
        <v>2276</v>
      </c>
      <c r="I395" s="204" t="s">
        <v>2276</v>
      </c>
      <c r="J395" s="3" t="s">
        <v>2276</v>
      </c>
      <c r="K395" s="3" t="s">
        <v>2276</v>
      </c>
      <c r="L395" s="3">
        <v>3</v>
      </c>
      <c r="M395" s="3" t="s">
        <v>6250</v>
      </c>
      <c r="N395" s="4" t="s">
        <v>6252</v>
      </c>
    </row>
    <row r="396" spans="1:14" ht="65.5" customHeight="1">
      <c r="A396" s="204" t="s">
        <v>6153</v>
      </c>
      <c r="B396" s="204" t="s">
        <v>6260</v>
      </c>
      <c r="C396" s="204" t="s">
        <v>1105</v>
      </c>
      <c r="D396" s="204" t="s">
        <v>1105</v>
      </c>
      <c r="E396" s="4" t="s">
        <v>5801</v>
      </c>
      <c r="F396" s="204" t="s">
        <v>160</v>
      </c>
      <c r="G396" s="3"/>
      <c r="H396" s="3" t="s">
        <v>2276</v>
      </c>
      <c r="I396" s="3" t="s">
        <v>2276</v>
      </c>
      <c r="J396" s="3">
        <v>0</v>
      </c>
      <c r="K396" s="3" t="s">
        <v>5215</v>
      </c>
      <c r="L396" s="3" t="s">
        <v>2276</v>
      </c>
      <c r="M396" s="3" t="s">
        <v>2276</v>
      </c>
      <c r="N396" s="4"/>
    </row>
    <row r="397" spans="1:14" s="203" customFormat="1" ht="142.5" customHeight="1">
      <c r="A397" s="3" t="s">
        <v>6675</v>
      </c>
      <c r="B397" s="3" t="s">
        <v>6676</v>
      </c>
      <c r="C397" s="204" t="s">
        <v>1105</v>
      </c>
      <c r="D397" s="204" t="s">
        <v>1105</v>
      </c>
      <c r="E397" s="4" t="s">
        <v>3209</v>
      </c>
      <c r="F397" s="204" t="s">
        <v>1105</v>
      </c>
      <c r="G397" s="204"/>
      <c r="H397" s="204" t="s">
        <v>2276</v>
      </c>
      <c r="I397" s="204" t="s">
        <v>2276</v>
      </c>
      <c r="J397" s="204" t="s">
        <v>2276</v>
      </c>
      <c r="K397" s="204" t="s">
        <v>2276</v>
      </c>
      <c r="L397" s="204">
        <v>3</v>
      </c>
      <c r="M397" s="204" t="s">
        <v>6250</v>
      </c>
      <c r="N397" s="4" t="s">
        <v>6253</v>
      </c>
    </row>
    <row r="398" spans="1:14" s="203" customFormat="1" ht="46.5" customHeight="1">
      <c r="A398" s="3" t="s">
        <v>6675</v>
      </c>
      <c r="B398" s="204" t="s">
        <v>6678</v>
      </c>
      <c r="C398" s="204" t="s">
        <v>1105</v>
      </c>
      <c r="D398" s="204" t="s">
        <v>1105</v>
      </c>
      <c r="E398" s="4" t="s">
        <v>5801</v>
      </c>
      <c r="F398" s="204" t="s">
        <v>160</v>
      </c>
      <c r="G398" s="204"/>
      <c r="H398" s="204" t="s">
        <v>2276</v>
      </c>
      <c r="I398" s="204" t="s">
        <v>2276</v>
      </c>
      <c r="J398" s="204">
        <v>0</v>
      </c>
      <c r="K398" s="204" t="s">
        <v>5215</v>
      </c>
      <c r="L398" s="204" t="s">
        <v>2276</v>
      </c>
      <c r="M398" s="204" t="s">
        <v>2276</v>
      </c>
      <c r="N398" s="4"/>
    </row>
    <row r="399" spans="1:14" s="203" customFormat="1" ht="46.5" customHeight="1">
      <c r="A399" s="4" t="s">
        <v>6154</v>
      </c>
      <c r="B399" s="4" t="s">
        <v>6204</v>
      </c>
      <c r="C399" s="204" t="s">
        <v>1105</v>
      </c>
      <c r="D399" s="204" t="s">
        <v>1105</v>
      </c>
      <c r="E399" s="4" t="s">
        <v>5801</v>
      </c>
      <c r="F399" s="204" t="s">
        <v>160</v>
      </c>
      <c r="G399" s="204"/>
      <c r="H399" s="204" t="s">
        <v>2276</v>
      </c>
      <c r="I399" s="204" t="s">
        <v>2276</v>
      </c>
      <c r="J399" s="204">
        <v>0</v>
      </c>
      <c r="K399" s="204" t="s">
        <v>5215</v>
      </c>
      <c r="L399" s="204" t="s">
        <v>2276</v>
      </c>
      <c r="M399" s="204" t="s">
        <v>2276</v>
      </c>
      <c r="N399" s="4"/>
    </row>
    <row r="400" spans="1:14" s="203" customFormat="1" ht="46.5" customHeight="1">
      <c r="A400" s="4" t="s">
        <v>6155</v>
      </c>
      <c r="B400" s="4" t="s">
        <v>6205</v>
      </c>
      <c r="C400" s="204" t="s">
        <v>1105</v>
      </c>
      <c r="D400" s="204" t="s">
        <v>1105</v>
      </c>
      <c r="E400" s="4" t="s">
        <v>5801</v>
      </c>
      <c r="F400" s="204" t="s">
        <v>160</v>
      </c>
      <c r="G400" s="204"/>
      <c r="H400" s="204" t="s">
        <v>2276</v>
      </c>
      <c r="I400" s="204" t="s">
        <v>2276</v>
      </c>
      <c r="J400" s="204">
        <v>0</v>
      </c>
      <c r="K400" s="204" t="s">
        <v>5215</v>
      </c>
      <c r="L400" s="204" t="s">
        <v>2276</v>
      </c>
      <c r="M400" s="204" t="s">
        <v>2276</v>
      </c>
      <c r="N400" s="4"/>
    </row>
    <row r="401" spans="1:14" s="203" customFormat="1" ht="46.5" customHeight="1">
      <c r="A401" s="4" t="s">
        <v>6156</v>
      </c>
      <c r="B401" s="4" t="s">
        <v>6206</v>
      </c>
      <c r="C401" s="204" t="s">
        <v>1105</v>
      </c>
      <c r="D401" s="204" t="s">
        <v>1105</v>
      </c>
      <c r="E401" s="4" t="s">
        <v>5801</v>
      </c>
      <c r="F401" s="204" t="s">
        <v>160</v>
      </c>
      <c r="G401" s="204"/>
      <c r="H401" s="204" t="s">
        <v>2276</v>
      </c>
      <c r="I401" s="204" t="s">
        <v>2276</v>
      </c>
      <c r="J401" s="204">
        <v>0</v>
      </c>
      <c r="K401" s="204" t="s">
        <v>5215</v>
      </c>
      <c r="L401" s="204" t="s">
        <v>2276</v>
      </c>
      <c r="M401" s="204" t="s">
        <v>2276</v>
      </c>
      <c r="N401" s="4"/>
    </row>
    <row r="402" spans="1:14" s="203" customFormat="1" ht="46.5" customHeight="1">
      <c r="A402" s="4" t="s">
        <v>6157</v>
      </c>
      <c r="B402" s="4" t="s">
        <v>6207</v>
      </c>
      <c r="C402" s="204" t="s">
        <v>1105</v>
      </c>
      <c r="D402" s="204" t="s">
        <v>1105</v>
      </c>
      <c r="E402" s="4" t="s">
        <v>5801</v>
      </c>
      <c r="F402" s="204" t="s">
        <v>160</v>
      </c>
      <c r="G402" s="204"/>
      <c r="H402" s="204" t="s">
        <v>2276</v>
      </c>
      <c r="I402" s="204" t="s">
        <v>2276</v>
      </c>
      <c r="J402" s="204">
        <v>0</v>
      </c>
      <c r="K402" s="204" t="s">
        <v>5215</v>
      </c>
      <c r="L402" s="204" t="s">
        <v>2276</v>
      </c>
      <c r="M402" s="204" t="s">
        <v>2276</v>
      </c>
      <c r="N402" s="4"/>
    </row>
    <row r="403" spans="1:14" s="203" customFormat="1" ht="46.5" customHeight="1">
      <c r="A403" s="4" t="s">
        <v>6158</v>
      </c>
      <c r="B403" s="4" t="s">
        <v>6208</v>
      </c>
      <c r="C403" s="204" t="s">
        <v>1105</v>
      </c>
      <c r="D403" s="204" t="s">
        <v>1105</v>
      </c>
      <c r="E403" s="4" t="s">
        <v>5801</v>
      </c>
      <c r="F403" s="204" t="s">
        <v>160</v>
      </c>
      <c r="G403" s="204"/>
      <c r="H403" s="204" t="s">
        <v>2276</v>
      </c>
      <c r="I403" s="204" t="s">
        <v>2276</v>
      </c>
      <c r="J403" s="204">
        <v>0</v>
      </c>
      <c r="K403" s="204" t="s">
        <v>5215</v>
      </c>
      <c r="L403" s="204" t="s">
        <v>2276</v>
      </c>
      <c r="M403" s="204" t="s">
        <v>2276</v>
      </c>
      <c r="N403" s="4"/>
    </row>
    <row r="404" spans="1:14" s="203" customFormat="1" ht="46.5" customHeight="1">
      <c r="A404" s="4" t="s">
        <v>6159</v>
      </c>
      <c r="B404" s="4" t="s">
        <v>6209</v>
      </c>
      <c r="C404" s="204" t="s">
        <v>1105</v>
      </c>
      <c r="D404" s="204" t="s">
        <v>1105</v>
      </c>
      <c r="E404" s="4" t="s">
        <v>5801</v>
      </c>
      <c r="F404" s="204" t="s">
        <v>160</v>
      </c>
      <c r="G404" s="204"/>
      <c r="H404" s="204" t="s">
        <v>2276</v>
      </c>
      <c r="I404" s="204" t="s">
        <v>2276</v>
      </c>
      <c r="J404" s="204">
        <v>0</v>
      </c>
      <c r="K404" s="204" t="s">
        <v>5215</v>
      </c>
      <c r="L404" s="204" t="s">
        <v>2276</v>
      </c>
      <c r="M404" s="204" t="s">
        <v>2276</v>
      </c>
      <c r="N404" s="4"/>
    </row>
    <row r="405" spans="1:14" ht="46.5" customHeight="1">
      <c r="A405" s="44" t="s">
        <v>6161</v>
      </c>
      <c r="B405" s="44" t="s">
        <v>6211</v>
      </c>
      <c r="C405" s="44" t="s">
        <v>24</v>
      </c>
      <c r="D405" s="44" t="s">
        <v>2346</v>
      </c>
      <c r="E405" s="58" t="s">
        <v>5801</v>
      </c>
      <c r="F405" s="44" t="s">
        <v>74</v>
      </c>
      <c r="G405" s="3"/>
      <c r="H405" s="3" t="s">
        <v>2276</v>
      </c>
      <c r="I405" s="3" t="s">
        <v>2276</v>
      </c>
      <c r="J405" s="3">
        <v>0</v>
      </c>
      <c r="K405" s="3" t="s">
        <v>5215</v>
      </c>
      <c r="L405" s="3" t="s">
        <v>2276</v>
      </c>
      <c r="M405" s="3" t="s">
        <v>2276</v>
      </c>
      <c r="N405" s="3"/>
    </row>
    <row r="406" spans="1:14" ht="46.5" customHeight="1">
      <c r="A406" s="44" t="s">
        <v>6161</v>
      </c>
      <c r="B406" s="44" t="s">
        <v>6212</v>
      </c>
      <c r="C406" s="44" t="s">
        <v>2656</v>
      </c>
      <c r="D406" s="44" t="s">
        <v>2276</v>
      </c>
      <c r="E406" s="58" t="s">
        <v>5801</v>
      </c>
      <c r="F406" s="44" t="s">
        <v>74</v>
      </c>
      <c r="G406" s="3"/>
      <c r="H406" s="3" t="s">
        <v>2276</v>
      </c>
      <c r="I406" s="3" t="s">
        <v>2276</v>
      </c>
      <c r="J406" s="3">
        <v>0</v>
      </c>
      <c r="K406" s="3" t="s">
        <v>5215</v>
      </c>
      <c r="L406" s="3" t="s">
        <v>2276</v>
      </c>
      <c r="M406" s="3" t="s">
        <v>2276</v>
      </c>
      <c r="N406" s="3"/>
    </row>
    <row r="407" spans="1:14" ht="46.5" customHeight="1">
      <c r="A407" s="44" t="s">
        <v>6161</v>
      </c>
      <c r="B407" s="44" t="s">
        <v>6213</v>
      </c>
      <c r="C407" s="44" t="s">
        <v>2658</v>
      </c>
      <c r="D407" s="44" t="s">
        <v>2276</v>
      </c>
      <c r="E407" s="58" t="s">
        <v>5801</v>
      </c>
      <c r="F407" s="44" t="s">
        <v>74</v>
      </c>
      <c r="G407" s="3"/>
      <c r="H407" s="3" t="s">
        <v>2276</v>
      </c>
      <c r="I407" s="3" t="s">
        <v>2276</v>
      </c>
      <c r="J407" s="3">
        <v>0</v>
      </c>
      <c r="K407" s="3" t="s">
        <v>5215</v>
      </c>
      <c r="L407" s="3" t="s">
        <v>2276</v>
      </c>
      <c r="M407" s="3" t="s">
        <v>2276</v>
      </c>
      <c r="N407" s="3"/>
    </row>
    <row r="408" spans="1:14" ht="46.5" customHeight="1">
      <c r="A408" s="3" t="s">
        <v>6162</v>
      </c>
      <c r="B408" s="3" t="s">
        <v>6214</v>
      </c>
      <c r="C408" s="204" t="s">
        <v>1105</v>
      </c>
      <c r="D408" s="204" t="s">
        <v>1105</v>
      </c>
      <c r="E408" s="4" t="s">
        <v>5801</v>
      </c>
      <c r="F408" s="204" t="s">
        <v>160</v>
      </c>
      <c r="G408" s="3"/>
      <c r="H408" s="3" t="s">
        <v>2276</v>
      </c>
      <c r="I408" s="3" t="s">
        <v>2276</v>
      </c>
      <c r="J408" s="3">
        <v>0</v>
      </c>
      <c r="K408" s="3" t="s">
        <v>5215</v>
      </c>
      <c r="L408" s="204" t="s">
        <v>2276</v>
      </c>
      <c r="M408" s="204" t="s">
        <v>2276</v>
      </c>
      <c r="N408" s="3"/>
    </row>
    <row r="409" spans="1:14" ht="68" customHeight="1">
      <c r="A409" s="204" t="s">
        <v>6162</v>
      </c>
      <c r="B409" s="204" t="s">
        <v>6215</v>
      </c>
      <c r="C409" s="3" t="s">
        <v>1105</v>
      </c>
      <c r="D409" s="3" t="s">
        <v>1105</v>
      </c>
      <c r="E409" s="4" t="s">
        <v>3209</v>
      </c>
      <c r="F409" s="3" t="s">
        <v>74</v>
      </c>
      <c r="G409" s="3"/>
      <c r="H409" s="3">
        <v>2</v>
      </c>
      <c r="I409" s="3" t="s">
        <v>6254</v>
      </c>
      <c r="J409" s="3">
        <v>2</v>
      </c>
      <c r="K409" s="3" t="s">
        <v>6254</v>
      </c>
      <c r="L409" s="204">
        <v>3</v>
      </c>
      <c r="M409" s="204" t="s">
        <v>6696</v>
      </c>
      <c r="N409" s="3"/>
    </row>
    <row r="410" spans="1:14" s="203" customFormat="1" ht="68" customHeight="1">
      <c r="A410" s="204" t="s">
        <v>6163</v>
      </c>
      <c r="B410" s="204" t="s">
        <v>6218</v>
      </c>
      <c r="C410" s="204" t="s">
        <v>1105</v>
      </c>
      <c r="D410" s="204" t="s">
        <v>1105</v>
      </c>
      <c r="E410" s="4" t="s">
        <v>5801</v>
      </c>
      <c r="F410" s="204" t="s">
        <v>160</v>
      </c>
      <c r="G410" s="204"/>
      <c r="H410" s="204" t="s">
        <v>2276</v>
      </c>
      <c r="I410" s="204" t="s">
        <v>2276</v>
      </c>
      <c r="J410" s="204">
        <v>0</v>
      </c>
      <c r="K410" s="204" t="s">
        <v>5215</v>
      </c>
      <c r="L410" s="204" t="s">
        <v>2276</v>
      </c>
      <c r="M410" s="204" t="s">
        <v>2276</v>
      </c>
      <c r="N410" s="204" t="s">
        <v>6713</v>
      </c>
    </row>
    <row r="411" spans="1:14" s="203" customFormat="1" ht="68" customHeight="1">
      <c r="A411" s="204" t="s">
        <v>6164</v>
      </c>
      <c r="B411" s="204" t="s">
        <v>6219</v>
      </c>
      <c r="C411" s="204" t="s">
        <v>1105</v>
      </c>
      <c r="D411" s="204" t="s">
        <v>1105</v>
      </c>
      <c r="E411" s="4" t="s">
        <v>5801</v>
      </c>
      <c r="F411" s="204" t="s">
        <v>160</v>
      </c>
      <c r="G411" s="204"/>
      <c r="H411" s="204" t="s">
        <v>2276</v>
      </c>
      <c r="I411" s="204" t="s">
        <v>2276</v>
      </c>
      <c r="J411" s="204">
        <v>0</v>
      </c>
      <c r="K411" s="204" t="s">
        <v>5215</v>
      </c>
      <c r="L411" s="204" t="s">
        <v>2276</v>
      </c>
      <c r="M411" s="204" t="s">
        <v>2276</v>
      </c>
      <c r="N411" s="204" t="s">
        <v>6713</v>
      </c>
    </row>
    <row r="412" spans="1:14" s="203" customFormat="1" ht="68" customHeight="1">
      <c r="A412" s="204" t="s">
        <v>6165</v>
      </c>
      <c r="B412" s="204" t="s">
        <v>6220</v>
      </c>
      <c r="C412" s="204" t="s">
        <v>1105</v>
      </c>
      <c r="D412" s="204" t="s">
        <v>1105</v>
      </c>
      <c r="E412" s="4" t="s">
        <v>5801</v>
      </c>
      <c r="F412" s="204" t="s">
        <v>160</v>
      </c>
      <c r="G412" s="204"/>
      <c r="H412" s="204" t="s">
        <v>2276</v>
      </c>
      <c r="I412" s="204" t="s">
        <v>2276</v>
      </c>
      <c r="J412" s="204">
        <v>0</v>
      </c>
      <c r="K412" s="204" t="s">
        <v>5215</v>
      </c>
      <c r="L412" s="204" t="s">
        <v>2276</v>
      </c>
      <c r="M412" s="204" t="s">
        <v>2276</v>
      </c>
      <c r="N412" s="204" t="s">
        <v>6713</v>
      </c>
    </row>
    <row r="413" spans="1:14" s="203" customFormat="1" ht="68" customHeight="1">
      <c r="A413" s="204" t="s">
        <v>6164</v>
      </c>
      <c r="B413" s="204" t="s">
        <v>6705</v>
      </c>
      <c r="C413" s="204" t="s">
        <v>1105</v>
      </c>
      <c r="D413" s="204" t="s">
        <v>1105</v>
      </c>
      <c r="E413" s="4" t="s">
        <v>3209</v>
      </c>
      <c r="F413" s="204" t="s">
        <v>1105</v>
      </c>
      <c r="G413" s="204"/>
      <c r="H413" s="204" t="s">
        <v>2276</v>
      </c>
      <c r="I413" s="204" t="s">
        <v>2276</v>
      </c>
      <c r="J413" s="204" t="s">
        <v>2276</v>
      </c>
      <c r="K413" s="204" t="s">
        <v>2276</v>
      </c>
      <c r="L413" s="204">
        <v>3</v>
      </c>
      <c r="M413" s="204" t="s">
        <v>6712</v>
      </c>
      <c r="N413" s="204"/>
    </row>
    <row r="414" spans="1:14" s="203" customFormat="1" ht="68" customHeight="1">
      <c r="A414" s="204" t="s">
        <v>6165</v>
      </c>
      <c r="B414" s="204" t="s">
        <v>6706</v>
      </c>
      <c r="C414" s="204" t="s">
        <v>1105</v>
      </c>
      <c r="D414" s="204" t="s">
        <v>1105</v>
      </c>
      <c r="E414" s="4" t="s">
        <v>3209</v>
      </c>
      <c r="F414" s="204" t="s">
        <v>1105</v>
      </c>
      <c r="G414" s="204"/>
      <c r="H414" s="204" t="s">
        <v>2276</v>
      </c>
      <c r="I414" s="204" t="s">
        <v>2276</v>
      </c>
      <c r="J414" s="204" t="s">
        <v>2276</v>
      </c>
      <c r="K414" s="204" t="s">
        <v>2276</v>
      </c>
      <c r="L414" s="204">
        <v>3</v>
      </c>
      <c r="M414" s="204" t="s">
        <v>6712</v>
      </c>
      <c r="N414" s="204"/>
    </row>
    <row r="415" spans="1:14" s="203" customFormat="1" ht="68" customHeight="1">
      <c r="A415" s="204" t="s">
        <v>6166</v>
      </c>
      <c r="B415" s="204" t="s">
        <v>6221</v>
      </c>
      <c r="C415" s="204" t="s">
        <v>1105</v>
      </c>
      <c r="D415" s="204" t="s">
        <v>1105</v>
      </c>
      <c r="E415" s="4" t="s">
        <v>5801</v>
      </c>
      <c r="F415" s="204" t="s">
        <v>160</v>
      </c>
      <c r="G415" s="204"/>
      <c r="H415" s="204" t="s">
        <v>2276</v>
      </c>
      <c r="I415" s="204" t="s">
        <v>2276</v>
      </c>
      <c r="J415" s="204">
        <v>0</v>
      </c>
      <c r="K415" s="4" t="s">
        <v>6805</v>
      </c>
      <c r="L415" s="204" t="s">
        <v>2276</v>
      </c>
      <c r="M415" s="204" t="s">
        <v>2276</v>
      </c>
      <c r="N415" s="204"/>
    </row>
    <row r="416" spans="1:14" s="203" customFormat="1" ht="68" customHeight="1">
      <c r="A416" s="204" t="s">
        <v>6167</v>
      </c>
      <c r="B416" s="204" t="s">
        <v>6222</v>
      </c>
      <c r="C416" s="204" t="s">
        <v>1105</v>
      </c>
      <c r="D416" s="204" t="s">
        <v>1105</v>
      </c>
      <c r="E416" s="4" t="s">
        <v>5801</v>
      </c>
      <c r="F416" s="204" t="s">
        <v>160</v>
      </c>
      <c r="G416" s="204"/>
      <c r="H416" s="204" t="s">
        <v>2276</v>
      </c>
      <c r="I416" s="204" t="s">
        <v>2276</v>
      </c>
      <c r="J416" s="204">
        <v>0</v>
      </c>
      <c r="K416" s="4" t="s">
        <v>6805</v>
      </c>
      <c r="L416" s="204" t="s">
        <v>2276</v>
      </c>
      <c r="M416" s="204" t="s">
        <v>2276</v>
      </c>
      <c r="N416" s="204"/>
    </row>
    <row r="417" spans="1:14" ht="68" customHeight="1">
      <c r="A417" s="3" t="s">
        <v>6168</v>
      </c>
      <c r="B417" s="3" t="s">
        <v>6223</v>
      </c>
      <c r="C417" s="204" t="s">
        <v>24</v>
      </c>
      <c r="D417" s="204" t="s">
        <v>25</v>
      </c>
      <c r="E417" s="4" t="s">
        <v>3855</v>
      </c>
      <c r="F417" s="204" t="s">
        <v>29</v>
      </c>
      <c r="G417" s="3"/>
      <c r="H417" s="204">
        <v>1</v>
      </c>
      <c r="I417" s="4" t="s">
        <v>6781</v>
      </c>
      <c r="J417" s="204">
        <v>1</v>
      </c>
      <c r="K417" s="4" t="s">
        <v>6782</v>
      </c>
      <c r="L417" s="204" t="s">
        <v>2276</v>
      </c>
      <c r="M417" s="52" t="s">
        <v>2276</v>
      </c>
      <c r="N417" s="204"/>
    </row>
    <row r="418" spans="1:14" ht="68" customHeight="1">
      <c r="A418" s="3" t="s">
        <v>6168</v>
      </c>
      <c r="B418" s="3" t="s">
        <v>6224</v>
      </c>
      <c r="C418" s="204" t="s">
        <v>1105</v>
      </c>
      <c r="D418" s="204" t="s">
        <v>1105</v>
      </c>
      <c r="E418" s="4" t="s">
        <v>5801</v>
      </c>
      <c r="F418" s="204" t="s">
        <v>160</v>
      </c>
      <c r="G418" s="3"/>
      <c r="H418" s="3" t="s">
        <v>2276</v>
      </c>
      <c r="I418" s="3" t="s">
        <v>2276</v>
      </c>
      <c r="J418" s="3">
        <v>0</v>
      </c>
      <c r="K418" s="3" t="s">
        <v>5215</v>
      </c>
      <c r="L418" s="3" t="s">
        <v>2276</v>
      </c>
      <c r="M418" s="3" t="s">
        <v>2276</v>
      </c>
      <c r="N418" s="3"/>
    </row>
    <row r="419" spans="1:14" ht="68" customHeight="1">
      <c r="A419" s="204" t="s">
        <v>6168</v>
      </c>
      <c r="B419" s="204" t="s">
        <v>6225</v>
      </c>
      <c r="C419" s="204" t="s">
        <v>1105</v>
      </c>
      <c r="D419" s="204" t="s">
        <v>1105</v>
      </c>
      <c r="E419" s="4" t="s">
        <v>3209</v>
      </c>
      <c r="F419" s="4" t="s">
        <v>2276</v>
      </c>
      <c r="G419" s="3"/>
      <c r="H419" s="204">
        <v>1</v>
      </c>
      <c r="I419" s="4" t="s">
        <v>6783</v>
      </c>
      <c r="J419" s="204">
        <v>2</v>
      </c>
      <c r="K419" s="4" t="s">
        <v>6784</v>
      </c>
      <c r="L419" s="204">
        <v>3</v>
      </c>
      <c r="M419" s="4" t="s">
        <v>6785</v>
      </c>
      <c r="N419" s="3"/>
    </row>
    <row r="420" spans="1:14" s="203" customFormat="1" ht="68" customHeight="1">
      <c r="A420" s="204" t="s">
        <v>6168</v>
      </c>
      <c r="B420" s="204" t="s">
        <v>6226</v>
      </c>
      <c r="C420" s="204" t="s">
        <v>24</v>
      </c>
      <c r="D420" s="204" t="s">
        <v>2659</v>
      </c>
      <c r="E420" s="4" t="s">
        <v>3855</v>
      </c>
      <c r="F420" s="4" t="s">
        <v>28</v>
      </c>
      <c r="G420" s="204"/>
      <c r="H420" s="204">
        <v>0</v>
      </c>
      <c r="I420" s="4" t="s">
        <v>6788</v>
      </c>
      <c r="J420" s="204" t="s">
        <v>2276</v>
      </c>
      <c r="K420" s="204" t="s">
        <v>2276</v>
      </c>
      <c r="L420" s="204" t="s">
        <v>2276</v>
      </c>
      <c r="M420" s="204" t="s">
        <v>2276</v>
      </c>
      <c r="N420" s="204"/>
    </row>
    <row r="421" spans="1:14" ht="68" customHeight="1">
      <c r="A421" s="204" t="s">
        <v>6169</v>
      </c>
      <c r="B421" s="204" t="s">
        <v>6229</v>
      </c>
      <c r="C421" s="204" t="s">
        <v>24</v>
      </c>
      <c r="D421" s="204" t="s">
        <v>25</v>
      </c>
      <c r="E421" s="4" t="s">
        <v>3855</v>
      </c>
      <c r="F421" s="204" t="s">
        <v>29</v>
      </c>
      <c r="G421" s="204"/>
      <c r="H421" s="204">
        <v>1</v>
      </c>
      <c r="I421" s="4" t="s">
        <v>6781</v>
      </c>
      <c r="J421" s="204">
        <v>1</v>
      </c>
      <c r="K421" s="4" t="s">
        <v>6782</v>
      </c>
      <c r="L421" s="204" t="s">
        <v>2276</v>
      </c>
      <c r="M421" s="52" t="s">
        <v>2276</v>
      </c>
      <c r="N421" s="204"/>
    </row>
    <row r="422" spans="1:14" ht="68" customHeight="1">
      <c r="A422" s="204" t="s">
        <v>6169</v>
      </c>
      <c r="B422" s="204" t="s">
        <v>6715</v>
      </c>
      <c r="C422" s="204" t="s">
        <v>1105</v>
      </c>
      <c r="D422" s="204" t="s">
        <v>1105</v>
      </c>
      <c r="E422" s="4" t="s">
        <v>5801</v>
      </c>
      <c r="F422" s="204" t="s">
        <v>160</v>
      </c>
      <c r="G422" s="204"/>
      <c r="H422" s="204" t="s">
        <v>2276</v>
      </c>
      <c r="I422" s="204" t="s">
        <v>2276</v>
      </c>
      <c r="J422" s="204">
        <v>0</v>
      </c>
      <c r="K422" s="204" t="s">
        <v>5215</v>
      </c>
      <c r="L422" s="204" t="s">
        <v>2276</v>
      </c>
      <c r="M422" s="204" t="s">
        <v>2276</v>
      </c>
      <c r="N422" s="204"/>
    </row>
    <row r="423" spans="1:14" ht="68" customHeight="1">
      <c r="A423" s="204" t="s">
        <v>6169</v>
      </c>
      <c r="B423" s="204" t="s">
        <v>6716</v>
      </c>
      <c r="C423" s="204" t="s">
        <v>1105</v>
      </c>
      <c r="D423" s="204" t="s">
        <v>1105</v>
      </c>
      <c r="E423" s="4" t="s">
        <v>3209</v>
      </c>
      <c r="F423" s="4" t="s">
        <v>2276</v>
      </c>
      <c r="G423" s="204"/>
      <c r="H423" s="204">
        <v>1</v>
      </c>
      <c r="I423" s="4" t="s">
        <v>6783</v>
      </c>
      <c r="J423" s="204">
        <v>2</v>
      </c>
      <c r="K423" s="4" t="s">
        <v>6784</v>
      </c>
      <c r="L423" s="204">
        <v>3</v>
      </c>
      <c r="M423" s="4" t="s">
        <v>6785</v>
      </c>
      <c r="N423" s="204"/>
    </row>
    <row r="424" spans="1:14" s="203" customFormat="1" ht="68" customHeight="1">
      <c r="A424" s="204" t="s">
        <v>6169</v>
      </c>
      <c r="B424" s="204" t="s">
        <v>6717</v>
      </c>
      <c r="C424" s="204" t="s">
        <v>24</v>
      </c>
      <c r="D424" s="204" t="s">
        <v>2659</v>
      </c>
      <c r="E424" s="4" t="s">
        <v>3855</v>
      </c>
      <c r="F424" s="4" t="s">
        <v>28</v>
      </c>
      <c r="G424" s="204"/>
      <c r="H424" s="204">
        <v>0</v>
      </c>
      <c r="I424" s="4" t="s">
        <v>6788</v>
      </c>
      <c r="J424" s="204" t="s">
        <v>2276</v>
      </c>
      <c r="K424" s="204" t="s">
        <v>2276</v>
      </c>
      <c r="L424" s="204" t="s">
        <v>2276</v>
      </c>
      <c r="M424" s="204" t="s">
        <v>2276</v>
      </c>
      <c r="N424" s="204"/>
    </row>
    <row r="425" spans="1:14" ht="68" customHeight="1">
      <c r="A425" s="204" t="s">
        <v>6170</v>
      </c>
      <c r="B425" s="204" t="s">
        <v>6230</v>
      </c>
      <c r="C425" s="204" t="s">
        <v>24</v>
      </c>
      <c r="D425" s="204" t="s">
        <v>25</v>
      </c>
      <c r="E425" s="4" t="s">
        <v>3855</v>
      </c>
      <c r="F425" s="204" t="s">
        <v>29</v>
      </c>
      <c r="G425" s="204"/>
      <c r="H425" s="204">
        <v>1</v>
      </c>
      <c r="I425" s="4" t="s">
        <v>6781</v>
      </c>
      <c r="J425" s="204">
        <v>1</v>
      </c>
      <c r="K425" s="4" t="s">
        <v>6782</v>
      </c>
      <c r="L425" s="204" t="s">
        <v>2276</v>
      </c>
      <c r="M425" s="52" t="s">
        <v>2276</v>
      </c>
      <c r="N425" s="204"/>
    </row>
    <row r="426" spans="1:14" ht="68" customHeight="1">
      <c r="A426" s="204" t="s">
        <v>6170</v>
      </c>
      <c r="B426" s="204" t="s">
        <v>6721</v>
      </c>
      <c r="C426" s="204" t="s">
        <v>1105</v>
      </c>
      <c r="D426" s="204" t="s">
        <v>1105</v>
      </c>
      <c r="E426" s="4" t="s">
        <v>5801</v>
      </c>
      <c r="F426" s="204" t="s">
        <v>160</v>
      </c>
      <c r="G426" s="204"/>
      <c r="H426" s="204" t="s">
        <v>2276</v>
      </c>
      <c r="I426" s="204" t="s">
        <v>2276</v>
      </c>
      <c r="J426" s="204">
        <v>0</v>
      </c>
      <c r="K426" s="204" t="s">
        <v>5215</v>
      </c>
      <c r="L426" s="204" t="s">
        <v>2276</v>
      </c>
      <c r="M426" s="204" t="s">
        <v>2276</v>
      </c>
      <c r="N426" s="204"/>
    </row>
    <row r="427" spans="1:14" ht="68" customHeight="1">
      <c r="A427" s="204" t="s">
        <v>6170</v>
      </c>
      <c r="B427" s="204" t="s">
        <v>6722</v>
      </c>
      <c r="C427" s="204" t="s">
        <v>1105</v>
      </c>
      <c r="D427" s="204" t="s">
        <v>1105</v>
      </c>
      <c r="E427" s="4" t="s">
        <v>3209</v>
      </c>
      <c r="F427" s="4" t="s">
        <v>2276</v>
      </c>
      <c r="G427" s="204"/>
      <c r="H427" s="204">
        <v>1</v>
      </c>
      <c r="I427" s="4" t="s">
        <v>6783</v>
      </c>
      <c r="J427" s="204">
        <v>2</v>
      </c>
      <c r="K427" s="4" t="s">
        <v>6784</v>
      </c>
      <c r="L427" s="204">
        <v>3</v>
      </c>
      <c r="M427" s="4" t="s">
        <v>6785</v>
      </c>
      <c r="N427" s="204"/>
    </row>
    <row r="428" spans="1:14" ht="68" customHeight="1">
      <c r="A428" s="204" t="s">
        <v>6170</v>
      </c>
      <c r="B428" s="204" t="s">
        <v>6723</v>
      </c>
      <c r="C428" s="204" t="s">
        <v>24</v>
      </c>
      <c r="D428" s="204" t="s">
        <v>2659</v>
      </c>
      <c r="E428" s="4" t="s">
        <v>3855</v>
      </c>
      <c r="F428" s="4" t="s">
        <v>28</v>
      </c>
      <c r="G428" s="204"/>
      <c r="H428" s="204">
        <v>0</v>
      </c>
      <c r="I428" s="4" t="s">
        <v>6788</v>
      </c>
      <c r="J428" s="204" t="s">
        <v>2276</v>
      </c>
      <c r="K428" s="204" t="s">
        <v>2276</v>
      </c>
      <c r="L428" s="204" t="s">
        <v>2276</v>
      </c>
      <c r="M428" s="204" t="s">
        <v>2276</v>
      </c>
      <c r="N428" s="204"/>
    </row>
    <row r="429" spans="1:14" ht="68" customHeight="1">
      <c r="A429" s="204" t="s">
        <v>6171</v>
      </c>
      <c r="B429" s="204" t="s">
        <v>6231</v>
      </c>
      <c r="C429" s="204" t="s">
        <v>24</v>
      </c>
      <c r="D429" s="204" t="s">
        <v>25</v>
      </c>
      <c r="E429" s="4" t="s">
        <v>3855</v>
      </c>
      <c r="F429" s="204" t="s">
        <v>29</v>
      </c>
      <c r="G429" s="204"/>
      <c r="H429" s="204">
        <v>1</v>
      </c>
      <c r="I429" s="4" t="s">
        <v>6781</v>
      </c>
      <c r="J429" s="204">
        <v>1</v>
      </c>
      <c r="K429" s="4" t="s">
        <v>6782</v>
      </c>
      <c r="L429" s="204" t="s">
        <v>2276</v>
      </c>
      <c r="M429" s="52" t="s">
        <v>2276</v>
      </c>
      <c r="N429" s="204"/>
    </row>
    <row r="430" spans="1:14" ht="68" customHeight="1">
      <c r="A430" s="204" t="s">
        <v>6171</v>
      </c>
      <c r="B430" s="204" t="s">
        <v>6727</v>
      </c>
      <c r="C430" s="204" t="s">
        <v>1105</v>
      </c>
      <c r="D430" s="204" t="s">
        <v>1105</v>
      </c>
      <c r="E430" s="4" t="s">
        <v>5801</v>
      </c>
      <c r="F430" s="204" t="s">
        <v>160</v>
      </c>
      <c r="G430" s="204"/>
      <c r="H430" s="204" t="s">
        <v>2276</v>
      </c>
      <c r="I430" s="204" t="s">
        <v>2276</v>
      </c>
      <c r="J430" s="204">
        <v>0</v>
      </c>
      <c r="K430" s="204" t="s">
        <v>5215</v>
      </c>
      <c r="L430" s="204" t="s">
        <v>2276</v>
      </c>
      <c r="M430" s="204" t="s">
        <v>2276</v>
      </c>
      <c r="N430" s="204"/>
    </row>
    <row r="431" spans="1:14" ht="68" customHeight="1">
      <c r="A431" s="204" t="s">
        <v>6171</v>
      </c>
      <c r="B431" s="204" t="s">
        <v>6728</v>
      </c>
      <c r="C431" s="204" t="s">
        <v>1105</v>
      </c>
      <c r="D431" s="204" t="s">
        <v>1105</v>
      </c>
      <c r="E431" s="4" t="s">
        <v>3209</v>
      </c>
      <c r="F431" s="4" t="s">
        <v>2276</v>
      </c>
      <c r="G431" s="204"/>
      <c r="H431" s="204">
        <v>1</v>
      </c>
      <c r="I431" s="4" t="s">
        <v>6783</v>
      </c>
      <c r="J431" s="204">
        <v>2</v>
      </c>
      <c r="K431" s="4" t="s">
        <v>6784</v>
      </c>
      <c r="L431" s="204">
        <v>3</v>
      </c>
      <c r="M431" s="4" t="s">
        <v>6785</v>
      </c>
      <c r="N431" s="204"/>
    </row>
    <row r="432" spans="1:14" ht="68" customHeight="1">
      <c r="A432" s="204" t="s">
        <v>6171</v>
      </c>
      <c r="B432" s="204" t="s">
        <v>6729</v>
      </c>
      <c r="C432" s="204" t="s">
        <v>24</v>
      </c>
      <c r="D432" s="204" t="s">
        <v>2659</v>
      </c>
      <c r="E432" s="4" t="s">
        <v>3855</v>
      </c>
      <c r="F432" s="4" t="s">
        <v>28</v>
      </c>
      <c r="G432" s="204"/>
      <c r="H432" s="204">
        <v>0</v>
      </c>
      <c r="I432" s="4" t="s">
        <v>6788</v>
      </c>
      <c r="J432" s="204" t="s">
        <v>2276</v>
      </c>
      <c r="K432" s="204" t="s">
        <v>2276</v>
      </c>
      <c r="L432" s="204" t="s">
        <v>2276</v>
      </c>
      <c r="M432" s="204" t="s">
        <v>2276</v>
      </c>
      <c r="N432" s="204"/>
    </row>
    <row r="433" spans="1:14" ht="68" customHeight="1">
      <c r="A433" s="204" t="s">
        <v>6172</v>
      </c>
      <c r="B433" s="204" t="s">
        <v>6232</v>
      </c>
      <c r="C433" s="204" t="s">
        <v>24</v>
      </c>
      <c r="D433" s="204" t="s">
        <v>25</v>
      </c>
      <c r="E433" s="4" t="s">
        <v>3855</v>
      </c>
      <c r="F433" s="204" t="s">
        <v>29</v>
      </c>
      <c r="G433" s="204"/>
      <c r="H433" s="204">
        <v>1</v>
      </c>
      <c r="I433" s="4" t="s">
        <v>6781</v>
      </c>
      <c r="J433" s="204">
        <v>1</v>
      </c>
      <c r="K433" s="4" t="s">
        <v>6782</v>
      </c>
      <c r="L433" s="204" t="s">
        <v>2276</v>
      </c>
      <c r="M433" s="52" t="s">
        <v>2276</v>
      </c>
      <c r="N433" s="204"/>
    </row>
    <row r="434" spans="1:14" s="203" customFormat="1" ht="68" customHeight="1">
      <c r="A434" s="204" t="s">
        <v>6172</v>
      </c>
      <c r="B434" s="204" t="s">
        <v>6733</v>
      </c>
      <c r="C434" s="204" t="s">
        <v>1105</v>
      </c>
      <c r="D434" s="204" t="s">
        <v>1105</v>
      </c>
      <c r="E434" s="4" t="s">
        <v>5801</v>
      </c>
      <c r="F434" s="204" t="s">
        <v>160</v>
      </c>
      <c r="G434" s="204"/>
      <c r="H434" s="204" t="s">
        <v>2276</v>
      </c>
      <c r="I434" s="204" t="s">
        <v>2276</v>
      </c>
      <c r="J434" s="204">
        <v>0</v>
      </c>
      <c r="K434" s="204" t="s">
        <v>5215</v>
      </c>
      <c r="L434" s="204" t="s">
        <v>2276</v>
      </c>
      <c r="M434" s="204" t="s">
        <v>2276</v>
      </c>
      <c r="N434" s="204"/>
    </row>
    <row r="435" spans="1:14" s="203" customFormat="1" ht="68" customHeight="1">
      <c r="A435" s="204" t="s">
        <v>6172</v>
      </c>
      <c r="B435" s="204" t="s">
        <v>6734</v>
      </c>
      <c r="C435" s="204" t="s">
        <v>1105</v>
      </c>
      <c r="D435" s="204" t="s">
        <v>1105</v>
      </c>
      <c r="E435" s="4" t="s">
        <v>3209</v>
      </c>
      <c r="F435" s="4" t="s">
        <v>2276</v>
      </c>
      <c r="G435" s="204"/>
      <c r="H435" s="204">
        <v>1</v>
      </c>
      <c r="I435" s="4" t="s">
        <v>6783</v>
      </c>
      <c r="J435" s="204">
        <v>2</v>
      </c>
      <c r="K435" s="4" t="s">
        <v>6784</v>
      </c>
      <c r="L435" s="204">
        <v>3</v>
      </c>
      <c r="M435" s="4" t="s">
        <v>6785</v>
      </c>
      <c r="N435" s="204"/>
    </row>
    <row r="436" spans="1:14" s="203" customFormat="1" ht="68" customHeight="1">
      <c r="A436" s="204" t="s">
        <v>6172</v>
      </c>
      <c r="B436" s="204" t="s">
        <v>6735</v>
      </c>
      <c r="C436" s="204" t="s">
        <v>24</v>
      </c>
      <c r="D436" s="204" t="s">
        <v>2659</v>
      </c>
      <c r="E436" s="4" t="s">
        <v>3855</v>
      </c>
      <c r="F436" s="4" t="s">
        <v>28</v>
      </c>
      <c r="G436" s="204"/>
      <c r="H436" s="204">
        <v>0</v>
      </c>
      <c r="I436" s="4" t="s">
        <v>6788</v>
      </c>
      <c r="J436" s="204" t="s">
        <v>2276</v>
      </c>
      <c r="K436" s="204" t="s">
        <v>2276</v>
      </c>
      <c r="L436" s="204" t="s">
        <v>2276</v>
      </c>
      <c r="M436" s="204" t="s">
        <v>2276</v>
      </c>
      <c r="N436" s="204"/>
    </row>
    <row r="437" spans="1:14" s="203" customFormat="1" ht="68" customHeight="1">
      <c r="A437" s="204" t="s">
        <v>6173</v>
      </c>
      <c r="B437" s="204" t="s">
        <v>6233</v>
      </c>
      <c r="C437" s="204" t="s">
        <v>24</v>
      </c>
      <c r="D437" s="204" t="s">
        <v>25</v>
      </c>
      <c r="E437" s="4" t="s">
        <v>3855</v>
      </c>
      <c r="F437" s="204" t="s">
        <v>29</v>
      </c>
      <c r="G437" s="204"/>
      <c r="H437" s="204">
        <v>1</v>
      </c>
      <c r="I437" s="4" t="s">
        <v>6781</v>
      </c>
      <c r="J437" s="204">
        <v>1</v>
      </c>
      <c r="K437" s="4" t="s">
        <v>6782</v>
      </c>
      <c r="L437" s="204" t="s">
        <v>2276</v>
      </c>
      <c r="M437" s="52" t="s">
        <v>2276</v>
      </c>
      <c r="N437" s="204"/>
    </row>
    <row r="438" spans="1:14" s="203" customFormat="1" ht="68" customHeight="1">
      <c r="A438" s="204" t="s">
        <v>6173</v>
      </c>
      <c r="B438" s="204" t="s">
        <v>6739</v>
      </c>
      <c r="C438" s="204" t="s">
        <v>1105</v>
      </c>
      <c r="D438" s="204" t="s">
        <v>1105</v>
      </c>
      <c r="E438" s="4" t="s">
        <v>5801</v>
      </c>
      <c r="F438" s="204" t="s">
        <v>160</v>
      </c>
      <c r="G438" s="204"/>
      <c r="H438" s="204" t="s">
        <v>2276</v>
      </c>
      <c r="I438" s="204" t="s">
        <v>2276</v>
      </c>
      <c r="J438" s="204">
        <v>0</v>
      </c>
      <c r="K438" s="204" t="s">
        <v>5215</v>
      </c>
      <c r="L438" s="204" t="s">
        <v>2276</v>
      </c>
      <c r="M438" s="204" t="s">
        <v>2276</v>
      </c>
      <c r="N438" s="204"/>
    </row>
    <row r="439" spans="1:14" s="203" customFormat="1" ht="68" customHeight="1">
      <c r="A439" s="204" t="s">
        <v>6173</v>
      </c>
      <c r="B439" s="204" t="s">
        <v>6740</v>
      </c>
      <c r="C439" s="204" t="s">
        <v>1105</v>
      </c>
      <c r="D439" s="204" t="s">
        <v>1105</v>
      </c>
      <c r="E439" s="4" t="s">
        <v>3209</v>
      </c>
      <c r="F439" s="4" t="s">
        <v>2276</v>
      </c>
      <c r="G439" s="204"/>
      <c r="H439" s="204">
        <v>1</v>
      </c>
      <c r="I439" s="4" t="s">
        <v>6783</v>
      </c>
      <c r="J439" s="204">
        <v>2</v>
      </c>
      <c r="K439" s="4" t="s">
        <v>6784</v>
      </c>
      <c r="L439" s="204">
        <v>3</v>
      </c>
      <c r="M439" s="4" t="s">
        <v>6785</v>
      </c>
      <c r="N439" s="204"/>
    </row>
    <row r="440" spans="1:14" s="203" customFormat="1" ht="68" customHeight="1">
      <c r="A440" s="204" t="s">
        <v>6173</v>
      </c>
      <c r="B440" s="204" t="s">
        <v>6741</v>
      </c>
      <c r="C440" s="204" t="s">
        <v>24</v>
      </c>
      <c r="D440" s="204" t="s">
        <v>2659</v>
      </c>
      <c r="E440" s="4" t="s">
        <v>3855</v>
      </c>
      <c r="F440" s="4" t="s">
        <v>28</v>
      </c>
      <c r="G440" s="204"/>
      <c r="H440" s="204">
        <v>0</v>
      </c>
      <c r="I440" s="4" t="s">
        <v>6788</v>
      </c>
      <c r="J440" s="204" t="s">
        <v>2276</v>
      </c>
      <c r="K440" s="204" t="s">
        <v>2276</v>
      </c>
      <c r="L440" s="204" t="s">
        <v>2276</v>
      </c>
      <c r="M440" s="204" t="s">
        <v>2276</v>
      </c>
      <c r="N440" s="204"/>
    </row>
    <row r="441" spans="1:14" s="203" customFormat="1" ht="68" customHeight="1">
      <c r="A441" s="204" t="s">
        <v>6174</v>
      </c>
      <c r="B441" s="204" t="s">
        <v>6234</v>
      </c>
      <c r="C441" s="204" t="s">
        <v>24</v>
      </c>
      <c r="D441" s="204" t="s">
        <v>25</v>
      </c>
      <c r="E441" s="4" t="s">
        <v>3855</v>
      </c>
      <c r="F441" s="204" t="s">
        <v>29</v>
      </c>
      <c r="G441" s="204"/>
      <c r="H441" s="204">
        <v>1</v>
      </c>
      <c r="I441" s="4" t="s">
        <v>6781</v>
      </c>
      <c r="J441" s="204">
        <v>1</v>
      </c>
      <c r="K441" s="4" t="s">
        <v>6782</v>
      </c>
      <c r="L441" s="204" t="s">
        <v>2276</v>
      </c>
      <c r="M441" s="52" t="s">
        <v>2276</v>
      </c>
      <c r="N441" s="204"/>
    </row>
    <row r="442" spans="1:14" s="203" customFormat="1" ht="68" customHeight="1">
      <c r="A442" s="204" t="s">
        <v>6174</v>
      </c>
      <c r="B442" s="204" t="s">
        <v>6745</v>
      </c>
      <c r="C442" s="204" t="s">
        <v>1105</v>
      </c>
      <c r="D442" s="204" t="s">
        <v>1105</v>
      </c>
      <c r="E442" s="4" t="s">
        <v>5801</v>
      </c>
      <c r="F442" s="204" t="s">
        <v>160</v>
      </c>
      <c r="G442" s="204"/>
      <c r="H442" s="204" t="s">
        <v>2276</v>
      </c>
      <c r="I442" s="204" t="s">
        <v>2276</v>
      </c>
      <c r="J442" s="204">
        <v>0</v>
      </c>
      <c r="K442" s="204" t="s">
        <v>5215</v>
      </c>
      <c r="L442" s="204" t="s">
        <v>2276</v>
      </c>
      <c r="M442" s="204" t="s">
        <v>2276</v>
      </c>
      <c r="N442" s="204"/>
    </row>
    <row r="443" spans="1:14" s="203" customFormat="1" ht="68" customHeight="1">
      <c r="A443" s="204" t="s">
        <v>6174</v>
      </c>
      <c r="B443" s="204" t="s">
        <v>6746</v>
      </c>
      <c r="C443" s="204" t="s">
        <v>1105</v>
      </c>
      <c r="D443" s="204" t="s">
        <v>1105</v>
      </c>
      <c r="E443" s="4" t="s">
        <v>3209</v>
      </c>
      <c r="F443" s="4" t="s">
        <v>2276</v>
      </c>
      <c r="G443" s="204"/>
      <c r="H443" s="204">
        <v>1</v>
      </c>
      <c r="I443" s="4" t="s">
        <v>6783</v>
      </c>
      <c r="J443" s="204">
        <v>2</v>
      </c>
      <c r="K443" s="4" t="s">
        <v>6784</v>
      </c>
      <c r="L443" s="204">
        <v>3</v>
      </c>
      <c r="M443" s="4" t="s">
        <v>6785</v>
      </c>
      <c r="N443" s="204"/>
    </row>
    <row r="444" spans="1:14" s="203" customFormat="1" ht="68" customHeight="1">
      <c r="A444" s="204" t="s">
        <v>6174</v>
      </c>
      <c r="B444" s="204" t="s">
        <v>6747</v>
      </c>
      <c r="C444" s="204" t="s">
        <v>24</v>
      </c>
      <c r="D444" s="204" t="s">
        <v>2659</v>
      </c>
      <c r="E444" s="4" t="s">
        <v>3855</v>
      </c>
      <c r="F444" s="4" t="s">
        <v>28</v>
      </c>
      <c r="G444" s="204"/>
      <c r="H444" s="204">
        <v>0</v>
      </c>
      <c r="I444" s="4" t="s">
        <v>6788</v>
      </c>
      <c r="J444" s="204" t="s">
        <v>2276</v>
      </c>
      <c r="K444" s="204" t="s">
        <v>2276</v>
      </c>
      <c r="L444" s="204" t="s">
        <v>2276</v>
      </c>
      <c r="M444" s="204" t="s">
        <v>2276</v>
      </c>
      <c r="N444" s="204"/>
    </row>
    <row r="445" spans="1:14" s="203" customFormat="1" ht="68" customHeight="1">
      <c r="A445" s="204" t="s">
        <v>6175</v>
      </c>
      <c r="B445" s="204" t="s">
        <v>6235</v>
      </c>
      <c r="C445" s="204" t="s">
        <v>24</v>
      </c>
      <c r="D445" s="204" t="s">
        <v>25</v>
      </c>
      <c r="E445" s="4" t="s">
        <v>3855</v>
      </c>
      <c r="F445" s="204" t="s">
        <v>29</v>
      </c>
      <c r="G445" s="204"/>
      <c r="H445" s="204">
        <v>1</v>
      </c>
      <c r="I445" s="4" t="s">
        <v>6781</v>
      </c>
      <c r="J445" s="204">
        <v>1</v>
      </c>
      <c r="K445" s="4" t="s">
        <v>6782</v>
      </c>
      <c r="L445" s="204" t="s">
        <v>2276</v>
      </c>
      <c r="M445" s="52" t="s">
        <v>2276</v>
      </c>
      <c r="N445" s="204"/>
    </row>
    <row r="446" spans="1:14" s="203" customFormat="1" ht="68" customHeight="1">
      <c r="A446" s="204" t="s">
        <v>6175</v>
      </c>
      <c r="B446" s="204" t="s">
        <v>6751</v>
      </c>
      <c r="C446" s="204" t="s">
        <v>1105</v>
      </c>
      <c r="D446" s="204" t="s">
        <v>1105</v>
      </c>
      <c r="E446" s="4" t="s">
        <v>5801</v>
      </c>
      <c r="F446" s="204" t="s">
        <v>160</v>
      </c>
      <c r="G446" s="204"/>
      <c r="H446" s="204" t="s">
        <v>2276</v>
      </c>
      <c r="I446" s="204" t="s">
        <v>2276</v>
      </c>
      <c r="J446" s="204">
        <v>0</v>
      </c>
      <c r="K446" s="204" t="s">
        <v>5215</v>
      </c>
      <c r="L446" s="204" t="s">
        <v>2276</v>
      </c>
      <c r="M446" s="204" t="s">
        <v>2276</v>
      </c>
      <c r="N446" s="204"/>
    </row>
    <row r="447" spans="1:14" s="203" customFormat="1" ht="68" customHeight="1">
      <c r="A447" s="204" t="s">
        <v>6175</v>
      </c>
      <c r="B447" s="204" t="s">
        <v>6752</v>
      </c>
      <c r="C447" s="204" t="s">
        <v>1105</v>
      </c>
      <c r="D447" s="204" t="s">
        <v>1105</v>
      </c>
      <c r="E447" s="4" t="s">
        <v>3209</v>
      </c>
      <c r="F447" s="4" t="s">
        <v>2276</v>
      </c>
      <c r="G447" s="204"/>
      <c r="H447" s="204">
        <v>1</v>
      </c>
      <c r="I447" s="4" t="s">
        <v>6783</v>
      </c>
      <c r="J447" s="204">
        <v>2</v>
      </c>
      <c r="K447" s="4" t="s">
        <v>6784</v>
      </c>
      <c r="L447" s="204">
        <v>3</v>
      </c>
      <c r="M447" s="4" t="s">
        <v>6785</v>
      </c>
      <c r="N447" s="204"/>
    </row>
    <row r="448" spans="1:14" s="203" customFormat="1" ht="68" customHeight="1">
      <c r="A448" s="204" t="s">
        <v>6175</v>
      </c>
      <c r="B448" s="204" t="s">
        <v>6753</v>
      </c>
      <c r="C448" s="204" t="s">
        <v>24</v>
      </c>
      <c r="D448" s="204" t="s">
        <v>2659</v>
      </c>
      <c r="E448" s="4" t="s">
        <v>3855</v>
      </c>
      <c r="F448" s="4" t="s">
        <v>28</v>
      </c>
      <c r="G448" s="204"/>
      <c r="H448" s="204">
        <v>0</v>
      </c>
      <c r="I448" s="4" t="s">
        <v>6788</v>
      </c>
      <c r="J448" s="204" t="s">
        <v>2276</v>
      </c>
      <c r="K448" s="204" t="s">
        <v>2276</v>
      </c>
      <c r="L448" s="204" t="s">
        <v>2276</v>
      </c>
      <c r="M448" s="204" t="s">
        <v>2276</v>
      </c>
      <c r="N448" s="204"/>
    </row>
    <row r="449" spans="1:14" s="203" customFormat="1" ht="68" customHeight="1">
      <c r="A449" s="204" t="s">
        <v>6176</v>
      </c>
      <c r="B449" s="204" t="s">
        <v>6236</v>
      </c>
      <c r="C449" s="204" t="s">
        <v>24</v>
      </c>
      <c r="D449" s="204" t="s">
        <v>25</v>
      </c>
      <c r="E449" s="4" t="s">
        <v>3855</v>
      </c>
      <c r="F449" s="204" t="s">
        <v>29</v>
      </c>
      <c r="G449" s="204"/>
      <c r="H449" s="204">
        <v>1</v>
      </c>
      <c r="I449" s="4" t="s">
        <v>6781</v>
      </c>
      <c r="J449" s="204">
        <v>1</v>
      </c>
      <c r="K449" s="4" t="s">
        <v>6782</v>
      </c>
      <c r="L449" s="204" t="s">
        <v>2276</v>
      </c>
      <c r="M449" s="52" t="s">
        <v>2276</v>
      </c>
      <c r="N449" s="204"/>
    </row>
    <row r="450" spans="1:14" s="203" customFormat="1" ht="68" customHeight="1">
      <c r="A450" s="204" t="s">
        <v>6176</v>
      </c>
      <c r="B450" s="204" t="s">
        <v>6757</v>
      </c>
      <c r="C450" s="204" t="s">
        <v>1105</v>
      </c>
      <c r="D450" s="204" t="s">
        <v>1105</v>
      </c>
      <c r="E450" s="4" t="s">
        <v>5801</v>
      </c>
      <c r="F450" s="204" t="s">
        <v>160</v>
      </c>
      <c r="G450" s="204"/>
      <c r="H450" s="204" t="s">
        <v>2276</v>
      </c>
      <c r="I450" s="204" t="s">
        <v>2276</v>
      </c>
      <c r="J450" s="204">
        <v>0</v>
      </c>
      <c r="K450" s="204" t="s">
        <v>5215</v>
      </c>
      <c r="L450" s="204" t="s">
        <v>2276</v>
      </c>
      <c r="M450" s="204" t="s">
        <v>2276</v>
      </c>
      <c r="N450" s="204"/>
    </row>
    <row r="451" spans="1:14" s="203" customFormat="1" ht="68" customHeight="1">
      <c r="A451" s="204" t="s">
        <v>6176</v>
      </c>
      <c r="B451" s="204" t="s">
        <v>6758</v>
      </c>
      <c r="C451" s="204" t="s">
        <v>1105</v>
      </c>
      <c r="D451" s="204" t="s">
        <v>1105</v>
      </c>
      <c r="E451" s="4" t="s">
        <v>3209</v>
      </c>
      <c r="F451" s="4" t="s">
        <v>2276</v>
      </c>
      <c r="G451" s="204"/>
      <c r="H451" s="204">
        <v>1</v>
      </c>
      <c r="I451" s="4" t="s">
        <v>6783</v>
      </c>
      <c r="J451" s="204">
        <v>2</v>
      </c>
      <c r="K451" s="4" t="s">
        <v>6784</v>
      </c>
      <c r="L451" s="204">
        <v>3</v>
      </c>
      <c r="M451" s="4" t="s">
        <v>6785</v>
      </c>
      <c r="N451" s="204"/>
    </row>
    <row r="452" spans="1:14" s="203" customFormat="1" ht="68" customHeight="1">
      <c r="A452" s="204" t="s">
        <v>6176</v>
      </c>
      <c r="B452" s="204" t="s">
        <v>6759</v>
      </c>
      <c r="C452" s="204" t="s">
        <v>24</v>
      </c>
      <c r="D452" s="204" t="s">
        <v>2659</v>
      </c>
      <c r="E452" s="4" t="s">
        <v>3855</v>
      </c>
      <c r="F452" s="4" t="s">
        <v>28</v>
      </c>
      <c r="G452" s="204"/>
      <c r="H452" s="204">
        <v>0</v>
      </c>
      <c r="I452" s="4" t="s">
        <v>6788</v>
      </c>
      <c r="J452" s="204" t="s">
        <v>2276</v>
      </c>
      <c r="K452" s="204" t="s">
        <v>2276</v>
      </c>
      <c r="L452" s="204" t="s">
        <v>2276</v>
      </c>
      <c r="M452" s="204" t="s">
        <v>2276</v>
      </c>
      <c r="N452" s="204"/>
    </row>
    <row r="453" spans="1:14" s="203" customFormat="1" ht="68" customHeight="1">
      <c r="A453" s="204" t="s">
        <v>6177</v>
      </c>
      <c r="B453" s="204" t="s">
        <v>6237</v>
      </c>
      <c r="C453" s="204" t="s">
        <v>24</v>
      </c>
      <c r="D453" s="204" t="s">
        <v>25</v>
      </c>
      <c r="E453" s="4" t="s">
        <v>3855</v>
      </c>
      <c r="F453" s="204" t="s">
        <v>29</v>
      </c>
      <c r="G453" s="204"/>
      <c r="H453" s="204">
        <v>1</v>
      </c>
      <c r="I453" s="4" t="s">
        <v>6781</v>
      </c>
      <c r="J453" s="204">
        <v>1</v>
      </c>
      <c r="K453" s="4" t="s">
        <v>6782</v>
      </c>
      <c r="L453" s="204" t="s">
        <v>2276</v>
      </c>
      <c r="M453" s="52" t="s">
        <v>2276</v>
      </c>
      <c r="N453" s="204"/>
    </row>
    <row r="454" spans="1:14" ht="68" customHeight="1">
      <c r="A454" s="204" t="s">
        <v>6177</v>
      </c>
      <c r="B454" s="204" t="s">
        <v>6763</v>
      </c>
      <c r="C454" s="204" t="s">
        <v>1105</v>
      </c>
      <c r="D454" s="204" t="s">
        <v>1105</v>
      </c>
      <c r="E454" s="4" t="s">
        <v>5801</v>
      </c>
      <c r="F454" s="204" t="s">
        <v>160</v>
      </c>
      <c r="G454" s="204"/>
      <c r="H454" s="204" t="s">
        <v>2276</v>
      </c>
      <c r="I454" s="204" t="s">
        <v>2276</v>
      </c>
      <c r="J454" s="204">
        <v>0</v>
      </c>
      <c r="K454" s="204" t="s">
        <v>5215</v>
      </c>
      <c r="L454" s="204" t="s">
        <v>2276</v>
      </c>
      <c r="M454" s="204" t="s">
        <v>2276</v>
      </c>
      <c r="N454" s="204"/>
    </row>
    <row r="455" spans="1:14" ht="68" customHeight="1">
      <c r="A455" s="204" t="s">
        <v>6177</v>
      </c>
      <c r="B455" s="204" t="s">
        <v>6764</v>
      </c>
      <c r="C455" s="204" t="s">
        <v>1105</v>
      </c>
      <c r="D455" s="204" t="s">
        <v>1105</v>
      </c>
      <c r="E455" s="4" t="s">
        <v>3209</v>
      </c>
      <c r="F455" s="4" t="s">
        <v>2276</v>
      </c>
      <c r="G455" s="204"/>
      <c r="H455" s="204">
        <v>1</v>
      </c>
      <c r="I455" s="4" t="s">
        <v>6783</v>
      </c>
      <c r="J455" s="204">
        <v>2</v>
      </c>
      <c r="K455" s="4" t="s">
        <v>6784</v>
      </c>
      <c r="L455" s="204">
        <v>3</v>
      </c>
      <c r="M455" s="4" t="s">
        <v>6785</v>
      </c>
      <c r="N455" s="204"/>
    </row>
    <row r="456" spans="1:14" ht="68" customHeight="1">
      <c r="A456" s="204" t="s">
        <v>6177</v>
      </c>
      <c r="B456" s="204" t="s">
        <v>6765</v>
      </c>
      <c r="C456" s="204" t="s">
        <v>24</v>
      </c>
      <c r="D456" s="204" t="s">
        <v>2659</v>
      </c>
      <c r="E456" s="4" t="s">
        <v>3855</v>
      </c>
      <c r="F456" s="4" t="s">
        <v>28</v>
      </c>
      <c r="G456" s="204"/>
      <c r="H456" s="204">
        <v>0</v>
      </c>
      <c r="I456" s="4" t="s">
        <v>6788</v>
      </c>
      <c r="J456" s="204" t="s">
        <v>2276</v>
      </c>
      <c r="K456" s="204" t="s">
        <v>2276</v>
      </c>
      <c r="L456" s="204" t="s">
        <v>2276</v>
      </c>
      <c r="M456" s="204" t="s">
        <v>2276</v>
      </c>
      <c r="N456" s="204"/>
    </row>
    <row r="457" spans="1:14" ht="68" customHeight="1">
      <c r="A457" s="204" t="s">
        <v>6178</v>
      </c>
      <c r="B457" s="204" t="s">
        <v>6238</v>
      </c>
      <c r="C457" s="204" t="s">
        <v>24</v>
      </c>
      <c r="D457" s="204" t="s">
        <v>25</v>
      </c>
      <c r="E457" s="4" t="s">
        <v>3855</v>
      </c>
      <c r="F457" s="204" t="s">
        <v>29</v>
      </c>
      <c r="G457" s="204"/>
      <c r="H457" s="204">
        <v>1</v>
      </c>
      <c r="I457" s="4" t="s">
        <v>6781</v>
      </c>
      <c r="J457" s="204">
        <v>1</v>
      </c>
      <c r="K457" s="4" t="s">
        <v>6782</v>
      </c>
      <c r="L457" s="204" t="s">
        <v>2276</v>
      </c>
      <c r="M457" s="52" t="s">
        <v>2276</v>
      </c>
      <c r="N457" s="204"/>
    </row>
    <row r="458" spans="1:14" ht="68" customHeight="1">
      <c r="A458" s="204" t="s">
        <v>6178</v>
      </c>
      <c r="B458" s="204" t="s">
        <v>6769</v>
      </c>
      <c r="C458" s="204" t="s">
        <v>1105</v>
      </c>
      <c r="D458" s="204" t="s">
        <v>1105</v>
      </c>
      <c r="E458" s="4" t="s">
        <v>5801</v>
      </c>
      <c r="F458" s="204" t="s">
        <v>160</v>
      </c>
      <c r="G458" s="204"/>
      <c r="H458" s="204" t="s">
        <v>2276</v>
      </c>
      <c r="I458" s="204" t="s">
        <v>2276</v>
      </c>
      <c r="J458" s="204">
        <v>0</v>
      </c>
      <c r="K458" s="204" t="s">
        <v>5215</v>
      </c>
      <c r="L458" s="204" t="s">
        <v>2276</v>
      </c>
      <c r="M458" s="204" t="s">
        <v>2276</v>
      </c>
      <c r="N458" s="204"/>
    </row>
    <row r="459" spans="1:14" ht="68" customHeight="1">
      <c r="A459" s="204" t="s">
        <v>6178</v>
      </c>
      <c r="B459" s="204" t="s">
        <v>6770</v>
      </c>
      <c r="C459" s="204" t="s">
        <v>1105</v>
      </c>
      <c r="D459" s="204" t="s">
        <v>1105</v>
      </c>
      <c r="E459" s="4" t="s">
        <v>3209</v>
      </c>
      <c r="F459" s="4" t="s">
        <v>2276</v>
      </c>
      <c r="G459" s="204"/>
      <c r="H459" s="204">
        <v>1</v>
      </c>
      <c r="I459" s="4" t="s">
        <v>6783</v>
      </c>
      <c r="J459" s="204">
        <v>2</v>
      </c>
      <c r="K459" s="4" t="s">
        <v>6784</v>
      </c>
      <c r="L459" s="204">
        <v>3</v>
      </c>
      <c r="M459" s="4" t="s">
        <v>6785</v>
      </c>
      <c r="N459" s="204"/>
    </row>
    <row r="460" spans="1:14" ht="66" customHeight="1">
      <c r="A460" s="204" t="s">
        <v>6178</v>
      </c>
      <c r="B460" s="204" t="s">
        <v>6771</v>
      </c>
      <c r="C460" s="204" t="s">
        <v>24</v>
      </c>
      <c r="D460" s="204" t="s">
        <v>2659</v>
      </c>
      <c r="E460" s="4" t="s">
        <v>3855</v>
      </c>
      <c r="F460" s="4" t="s">
        <v>28</v>
      </c>
      <c r="G460" s="204"/>
      <c r="H460" s="204">
        <v>0</v>
      </c>
      <c r="I460" s="4" t="s">
        <v>6788</v>
      </c>
      <c r="J460" s="204" t="s">
        <v>2276</v>
      </c>
      <c r="K460" s="204" t="s">
        <v>2276</v>
      </c>
      <c r="L460" s="204" t="s">
        <v>2276</v>
      </c>
      <c r="M460" s="204" t="s">
        <v>2276</v>
      </c>
      <c r="N460" s="204"/>
    </row>
    <row r="461" spans="1:14" ht="43.5">
      <c r="A461" s="204" t="s">
        <v>6179</v>
      </c>
      <c r="B461" s="204" t="s">
        <v>6239</v>
      </c>
      <c r="C461" s="204" t="s">
        <v>24</v>
      </c>
      <c r="D461" s="204" t="s">
        <v>25</v>
      </c>
      <c r="E461" s="4" t="s">
        <v>3855</v>
      </c>
      <c r="F461" s="204" t="s">
        <v>29</v>
      </c>
      <c r="G461" s="204"/>
      <c r="H461" s="204">
        <v>1</v>
      </c>
      <c r="I461" s="4" t="s">
        <v>6781</v>
      </c>
      <c r="J461" s="204">
        <v>1</v>
      </c>
      <c r="K461" s="4" t="s">
        <v>6782</v>
      </c>
      <c r="L461" s="204" t="s">
        <v>2276</v>
      </c>
      <c r="M461" s="52" t="s">
        <v>2276</v>
      </c>
      <c r="N461" s="204"/>
    </row>
    <row r="462" spans="1:14" ht="35.5" customHeight="1">
      <c r="A462" s="204" t="s">
        <v>6179</v>
      </c>
      <c r="B462" s="204" t="s">
        <v>6775</v>
      </c>
      <c r="C462" s="204" t="s">
        <v>1105</v>
      </c>
      <c r="D462" s="204" t="s">
        <v>1105</v>
      </c>
      <c r="E462" s="4" t="s">
        <v>5801</v>
      </c>
      <c r="F462" s="204" t="s">
        <v>160</v>
      </c>
      <c r="G462" s="204"/>
      <c r="H462" s="204" t="s">
        <v>2276</v>
      </c>
      <c r="I462" s="204" t="s">
        <v>2276</v>
      </c>
      <c r="J462" s="204">
        <v>0</v>
      </c>
      <c r="K462" s="204" t="s">
        <v>5215</v>
      </c>
      <c r="L462" s="204" t="s">
        <v>2276</v>
      </c>
      <c r="M462" s="204" t="s">
        <v>2276</v>
      </c>
      <c r="N462" s="204"/>
    </row>
    <row r="463" spans="1:14" ht="29">
      <c r="A463" s="204" t="s">
        <v>6179</v>
      </c>
      <c r="B463" s="204" t="s">
        <v>6776</v>
      </c>
      <c r="C463" s="204" t="s">
        <v>1105</v>
      </c>
      <c r="D463" s="204" t="s">
        <v>1105</v>
      </c>
      <c r="E463" s="4" t="s">
        <v>3209</v>
      </c>
      <c r="F463" s="4" t="s">
        <v>2276</v>
      </c>
      <c r="G463" s="204"/>
      <c r="H463" s="204">
        <v>1</v>
      </c>
      <c r="I463" s="4" t="s">
        <v>6783</v>
      </c>
      <c r="J463" s="204">
        <v>2</v>
      </c>
      <c r="K463" s="4" t="s">
        <v>6784</v>
      </c>
      <c r="L463" s="204">
        <v>3</v>
      </c>
      <c r="M463" s="4" t="s">
        <v>6785</v>
      </c>
      <c r="N463" s="204"/>
    </row>
    <row r="464" spans="1:14" ht="51" customHeight="1">
      <c r="A464" s="204" t="s">
        <v>6179</v>
      </c>
      <c r="B464" s="204" t="s">
        <v>6777</v>
      </c>
      <c r="C464" s="204" t="s">
        <v>24</v>
      </c>
      <c r="D464" s="204" t="s">
        <v>2659</v>
      </c>
      <c r="E464" s="4" t="s">
        <v>3855</v>
      </c>
      <c r="F464" s="4" t="s">
        <v>28</v>
      </c>
      <c r="G464" s="204"/>
      <c r="H464" s="204">
        <v>0</v>
      </c>
      <c r="I464" s="4" t="s">
        <v>6788</v>
      </c>
      <c r="J464" s="204" t="s">
        <v>2276</v>
      </c>
      <c r="K464" s="204" t="s">
        <v>2276</v>
      </c>
      <c r="L464" s="204" t="s">
        <v>2276</v>
      </c>
      <c r="M464" s="204" t="s">
        <v>2276</v>
      </c>
      <c r="N464" s="204"/>
    </row>
    <row r="465" spans="1:14" s="203" customFormat="1" ht="51" customHeight="1">
      <c r="A465" s="204" t="s">
        <v>6180</v>
      </c>
      <c r="B465" s="204" t="s">
        <v>6240</v>
      </c>
      <c r="C465" s="204" t="s">
        <v>1105</v>
      </c>
      <c r="D465" s="204" t="s">
        <v>1105</v>
      </c>
      <c r="E465" s="4" t="s">
        <v>5801</v>
      </c>
      <c r="F465" s="204" t="s">
        <v>160</v>
      </c>
      <c r="G465" s="204"/>
      <c r="H465" s="204" t="s">
        <v>2276</v>
      </c>
      <c r="I465" s="204" t="s">
        <v>2276</v>
      </c>
      <c r="J465" s="204">
        <v>0</v>
      </c>
      <c r="K465" s="204" t="s">
        <v>5215</v>
      </c>
      <c r="L465" s="204" t="s">
        <v>2276</v>
      </c>
      <c r="M465" s="204" t="s">
        <v>2276</v>
      </c>
      <c r="N465" s="204"/>
    </row>
    <row r="466" spans="1:14" s="203" customFormat="1" ht="51" customHeight="1">
      <c r="A466" s="19" t="s">
        <v>6181</v>
      </c>
      <c r="B466" s="19" t="s">
        <v>6241</v>
      </c>
      <c r="C466" s="204" t="s">
        <v>1105</v>
      </c>
      <c r="D466" s="204" t="s">
        <v>1105</v>
      </c>
      <c r="E466" s="4" t="s">
        <v>5801</v>
      </c>
      <c r="F466" s="204" t="s">
        <v>160</v>
      </c>
      <c r="G466" s="204"/>
      <c r="H466" s="204" t="s">
        <v>2276</v>
      </c>
      <c r="I466" s="204" t="s">
        <v>2276</v>
      </c>
      <c r="J466" s="204">
        <v>0</v>
      </c>
      <c r="K466" s="204" t="s">
        <v>5215</v>
      </c>
      <c r="L466" s="204" t="s">
        <v>2276</v>
      </c>
      <c r="M466" s="204" t="s">
        <v>2276</v>
      </c>
      <c r="N466" s="204"/>
    </row>
    <row r="467" spans="1:14" s="203" customFormat="1" ht="51" customHeight="1">
      <c r="A467" s="19" t="s">
        <v>6811</v>
      </c>
      <c r="B467" s="19" t="s">
        <v>6869</v>
      </c>
      <c r="C467" s="204" t="s">
        <v>1105</v>
      </c>
      <c r="D467" s="204" t="s">
        <v>1105</v>
      </c>
      <c r="E467" s="4" t="s">
        <v>5801</v>
      </c>
      <c r="F467" s="204" t="s">
        <v>160</v>
      </c>
      <c r="G467" s="204"/>
      <c r="H467" s="204" t="s">
        <v>2276</v>
      </c>
      <c r="I467" s="204" t="s">
        <v>2276</v>
      </c>
      <c r="J467" s="204">
        <v>0</v>
      </c>
      <c r="K467" s="204" t="s">
        <v>5215</v>
      </c>
      <c r="L467" s="204" t="s">
        <v>2276</v>
      </c>
      <c r="M467" s="204" t="s">
        <v>2276</v>
      </c>
      <c r="N467" s="204"/>
    </row>
    <row r="468" spans="1:14" s="203" customFormat="1" ht="51" customHeight="1">
      <c r="A468" s="19" t="s">
        <v>6812</v>
      </c>
      <c r="B468" s="19" t="s">
        <v>6870</v>
      </c>
      <c r="C468" s="204" t="s">
        <v>1105</v>
      </c>
      <c r="D468" s="204" t="s">
        <v>1105</v>
      </c>
      <c r="E468" s="4" t="s">
        <v>5801</v>
      </c>
      <c r="F468" s="204" t="s">
        <v>160</v>
      </c>
      <c r="G468" s="204"/>
      <c r="H468" s="204" t="s">
        <v>2276</v>
      </c>
      <c r="I468" s="204" t="s">
        <v>2276</v>
      </c>
      <c r="J468" s="204">
        <v>0</v>
      </c>
      <c r="K468" s="204" t="s">
        <v>5215</v>
      </c>
      <c r="L468" s="204" t="s">
        <v>2276</v>
      </c>
      <c r="M468" s="204" t="s">
        <v>2276</v>
      </c>
      <c r="N468" s="204"/>
    </row>
    <row r="469" spans="1:14" s="203" customFormat="1" ht="51" customHeight="1">
      <c r="A469" s="19" t="s">
        <v>6813</v>
      </c>
      <c r="B469" s="19" t="s">
        <v>6871</v>
      </c>
      <c r="C469" s="204" t="s">
        <v>1105</v>
      </c>
      <c r="D469" s="204" t="s">
        <v>1105</v>
      </c>
      <c r="E469" s="4" t="s">
        <v>5801</v>
      </c>
      <c r="F469" s="204" t="s">
        <v>160</v>
      </c>
      <c r="G469" s="204"/>
      <c r="H469" s="204" t="s">
        <v>2276</v>
      </c>
      <c r="I469" s="204" t="s">
        <v>2276</v>
      </c>
      <c r="J469" s="204">
        <v>0</v>
      </c>
      <c r="K469" s="204" t="s">
        <v>5215</v>
      </c>
      <c r="L469" s="204" t="s">
        <v>2276</v>
      </c>
      <c r="M469" s="204" t="s">
        <v>2276</v>
      </c>
      <c r="N469" s="204"/>
    </row>
    <row r="470" spans="1:14" s="203" customFormat="1" ht="51" customHeight="1">
      <c r="A470" s="19" t="s">
        <v>6814</v>
      </c>
      <c r="B470" s="19" t="s">
        <v>6872</v>
      </c>
      <c r="C470" s="204" t="s">
        <v>1105</v>
      </c>
      <c r="D470" s="204" t="s">
        <v>1105</v>
      </c>
      <c r="E470" s="4" t="s">
        <v>5801</v>
      </c>
      <c r="F470" s="204" t="s">
        <v>160</v>
      </c>
      <c r="G470" s="204"/>
      <c r="H470" s="204" t="s">
        <v>2276</v>
      </c>
      <c r="I470" s="204" t="s">
        <v>2276</v>
      </c>
      <c r="J470" s="204">
        <v>0</v>
      </c>
      <c r="K470" s="204" t="s">
        <v>5215</v>
      </c>
      <c r="L470" s="204" t="s">
        <v>2276</v>
      </c>
      <c r="M470" s="204" t="s">
        <v>2276</v>
      </c>
      <c r="N470" s="204"/>
    </row>
    <row r="471" spans="1:14" s="203" customFormat="1" ht="51" customHeight="1">
      <c r="A471" s="19" t="s">
        <v>6815</v>
      </c>
      <c r="B471" s="19" t="s">
        <v>6873</v>
      </c>
      <c r="C471" s="204" t="s">
        <v>1105</v>
      </c>
      <c r="D471" s="204" t="s">
        <v>1105</v>
      </c>
      <c r="E471" s="4" t="s">
        <v>5801</v>
      </c>
      <c r="F471" s="204" t="s">
        <v>160</v>
      </c>
      <c r="G471" s="204"/>
      <c r="H471" s="204" t="s">
        <v>2276</v>
      </c>
      <c r="I471" s="204" t="s">
        <v>2276</v>
      </c>
      <c r="J471" s="204">
        <v>0</v>
      </c>
      <c r="K471" s="204" t="s">
        <v>5215</v>
      </c>
      <c r="L471" s="204" t="s">
        <v>2276</v>
      </c>
      <c r="M471" s="204" t="s">
        <v>2276</v>
      </c>
      <c r="N471" s="204"/>
    </row>
    <row r="472" spans="1:14" s="203" customFormat="1" ht="51" customHeight="1">
      <c r="A472" s="19" t="s">
        <v>6816</v>
      </c>
      <c r="B472" s="19" t="s">
        <v>6874</v>
      </c>
      <c r="C472" s="204" t="s">
        <v>1105</v>
      </c>
      <c r="D472" s="204" t="s">
        <v>1105</v>
      </c>
      <c r="E472" s="4" t="s">
        <v>5801</v>
      </c>
      <c r="F472" s="204" t="s">
        <v>160</v>
      </c>
      <c r="G472" s="204"/>
      <c r="H472" s="204" t="s">
        <v>2276</v>
      </c>
      <c r="I472" s="204" t="s">
        <v>2276</v>
      </c>
      <c r="J472" s="204">
        <v>0</v>
      </c>
      <c r="K472" s="204" t="s">
        <v>5215</v>
      </c>
      <c r="L472" s="204" t="s">
        <v>2276</v>
      </c>
      <c r="M472" s="204" t="s">
        <v>2276</v>
      </c>
      <c r="N472" s="204"/>
    </row>
    <row r="473" spans="1:14" s="203" customFormat="1" ht="51" customHeight="1">
      <c r="A473" s="19" t="s">
        <v>6817</v>
      </c>
      <c r="B473" s="19" t="s">
        <v>6875</v>
      </c>
      <c r="C473" s="204" t="s">
        <v>1105</v>
      </c>
      <c r="D473" s="204" t="s">
        <v>1105</v>
      </c>
      <c r="E473" s="4" t="s">
        <v>5801</v>
      </c>
      <c r="F473" s="204" t="s">
        <v>160</v>
      </c>
      <c r="G473" s="204"/>
      <c r="H473" s="204" t="s">
        <v>2276</v>
      </c>
      <c r="I473" s="204" t="s">
        <v>2276</v>
      </c>
      <c r="J473" s="204">
        <v>0</v>
      </c>
      <c r="K473" s="204" t="s">
        <v>5215</v>
      </c>
      <c r="L473" s="204" t="s">
        <v>2276</v>
      </c>
      <c r="M473" s="204" t="s">
        <v>2276</v>
      </c>
      <c r="N473" s="204"/>
    </row>
    <row r="474" spans="1:14" s="203" customFormat="1" ht="51" customHeight="1">
      <c r="A474" s="19" t="s">
        <v>6818</v>
      </c>
      <c r="B474" s="19" t="s">
        <v>6876</v>
      </c>
      <c r="C474" s="204" t="s">
        <v>1105</v>
      </c>
      <c r="D474" s="204" t="s">
        <v>1105</v>
      </c>
      <c r="E474" s="4" t="s">
        <v>5801</v>
      </c>
      <c r="F474" s="204" t="s">
        <v>160</v>
      </c>
      <c r="G474" s="204"/>
      <c r="H474" s="204" t="s">
        <v>2276</v>
      </c>
      <c r="I474" s="204" t="s">
        <v>2276</v>
      </c>
      <c r="J474" s="204">
        <v>0</v>
      </c>
      <c r="K474" s="204" t="s">
        <v>5215</v>
      </c>
      <c r="L474" s="204" t="s">
        <v>2276</v>
      </c>
      <c r="M474" s="204" t="s">
        <v>2276</v>
      </c>
      <c r="N474" s="204"/>
    </row>
    <row r="475" spans="1:14" s="203" customFormat="1" ht="51" customHeight="1">
      <c r="A475" s="19" t="s">
        <v>6819</v>
      </c>
      <c r="B475" s="19" t="s">
        <v>6877</v>
      </c>
      <c r="C475" s="204" t="s">
        <v>1105</v>
      </c>
      <c r="D475" s="204" t="s">
        <v>1105</v>
      </c>
      <c r="E475" s="4" t="s">
        <v>5801</v>
      </c>
      <c r="F475" s="204" t="s">
        <v>160</v>
      </c>
      <c r="G475" s="204"/>
      <c r="H475" s="204" t="s">
        <v>2276</v>
      </c>
      <c r="I475" s="204" t="s">
        <v>2276</v>
      </c>
      <c r="J475" s="204">
        <v>0</v>
      </c>
      <c r="K475" s="204" t="s">
        <v>5215</v>
      </c>
      <c r="L475" s="204" t="s">
        <v>2276</v>
      </c>
      <c r="M475" s="204" t="s">
        <v>2276</v>
      </c>
      <c r="N475" s="204"/>
    </row>
    <row r="476" spans="1:14" s="203" customFormat="1" ht="51" customHeight="1">
      <c r="A476" s="19" t="s">
        <v>6820</v>
      </c>
      <c r="B476" s="19" t="s">
        <v>6878</v>
      </c>
      <c r="C476" s="204" t="s">
        <v>1105</v>
      </c>
      <c r="D476" s="204" t="s">
        <v>1105</v>
      </c>
      <c r="E476" s="4" t="s">
        <v>5801</v>
      </c>
      <c r="F476" s="204" t="s">
        <v>160</v>
      </c>
      <c r="G476" s="204"/>
      <c r="H476" s="204" t="s">
        <v>2276</v>
      </c>
      <c r="I476" s="204" t="s">
        <v>2276</v>
      </c>
      <c r="J476" s="204">
        <v>0</v>
      </c>
      <c r="K476" s="204" t="s">
        <v>5215</v>
      </c>
      <c r="L476" s="204" t="s">
        <v>2276</v>
      </c>
      <c r="M476" s="204" t="s">
        <v>2276</v>
      </c>
      <c r="N476" s="204"/>
    </row>
    <row r="477" spans="1:14" s="203" customFormat="1" ht="51" customHeight="1">
      <c r="A477" s="19" t="s">
        <v>6821</v>
      </c>
      <c r="B477" s="19" t="s">
        <v>6879</v>
      </c>
      <c r="C477" s="204" t="s">
        <v>1105</v>
      </c>
      <c r="D477" s="204" t="s">
        <v>1105</v>
      </c>
      <c r="E477" s="4" t="s">
        <v>5801</v>
      </c>
      <c r="F477" s="204" t="s">
        <v>160</v>
      </c>
      <c r="G477" s="204"/>
      <c r="H477" s="204" t="s">
        <v>2276</v>
      </c>
      <c r="I477" s="204" t="s">
        <v>2276</v>
      </c>
      <c r="J477" s="204">
        <v>0</v>
      </c>
      <c r="K477" s="204" t="s">
        <v>5215</v>
      </c>
      <c r="L477" s="204" t="s">
        <v>2276</v>
      </c>
      <c r="M477" s="204" t="s">
        <v>2276</v>
      </c>
      <c r="N477" s="204"/>
    </row>
    <row r="478" spans="1:14" s="203" customFormat="1" ht="51" customHeight="1">
      <c r="A478" s="19" t="s">
        <v>6822</v>
      </c>
      <c r="B478" s="19" t="s">
        <v>6880</v>
      </c>
      <c r="C478" s="204" t="s">
        <v>1105</v>
      </c>
      <c r="D478" s="204" t="s">
        <v>1105</v>
      </c>
      <c r="E478" s="4" t="s">
        <v>5801</v>
      </c>
      <c r="F478" s="204" t="s">
        <v>160</v>
      </c>
      <c r="G478" s="204"/>
      <c r="H478" s="204" t="s">
        <v>2276</v>
      </c>
      <c r="I478" s="204" t="s">
        <v>2276</v>
      </c>
      <c r="J478" s="204">
        <v>0</v>
      </c>
      <c r="K478" s="204" t="s">
        <v>5215</v>
      </c>
      <c r="L478" s="204" t="s">
        <v>2276</v>
      </c>
      <c r="M478" s="204" t="s">
        <v>2276</v>
      </c>
      <c r="N478" s="204"/>
    </row>
    <row r="479" spans="1:14" s="203" customFormat="1" ht="51" customHeight="1">
      <c r="A479" s="19" t="s">
        <v>6823</v>
      </c>
      <c r="B479" s="19" t="s">
        <v>6881</v>
      </c>
      <c r="C479" s="204" t="s">
        <v>1105</v>
      </c>
      <c r="D479" s="204" t="s">
        <v>1105</v>
      </c>
      <c r="E479" s="4" t="s">
        <v>5801</v>
      </c>
      <c r="F479" s="204" t="s">
        <v>160</v>
      </c>
      <c r="G479" s="204"/>
      <c r="H479" s="204" t="s">
        <v>2276</v>
      </c>
      <c r="I479" s="204" t="s">
        <v>2276</v>
      </c>
      <c r="J479" s="204">
        <v>0</v>
      </c>
      <c r="K479" s="204" t="s">
        <v>5215</v>
      </c>
      <c r="L479" s="204" t="s">
        <v>2276</v>
      </c>
      <c r="M479" s="204" t="s">
        <v>2276</v>
      </c>
      <c r="N479" s="204"/>
    </row>
    <row r="480" spans="1:14" s="203" customFormat="1" ht="51" customHeight="1">
      <c r="A480" s="19" t="s">
        <v>6824</v>
      </c>
      <c r="B480" s="19" t="s">
        <v>6882</v>
      </c>
      <c r="C480" s="204" t="s">
        <v>1105</v>
      </c>
      <c r="D480" s="204" t="s">
        <v>1105</v>
      </c>
      <c r="E480" s="4" t="s">
        <v>5801</v>
      </c>
      <c r="F480" s="204" t="s">
        <v>160</v>
      </c>
      <c r="G480" s="204"/>
      <c r="H480" s="204" t="s">
        <v>2276</v>
      </c>
      <c r="I480" s="204" t="s">
        <v>2276</v>
      </c>
      <c r="J480" s="204">
        <v>0</v>
      </c>
      <c r="K480" s="204" t="s">
        <v>5215</v>
      </c>
      <c r="L480" s="204" t="s">
        <v>2276</v>
      </c>
      <c r="M480" s="204" t="s">
        <v>2276</v>
      </c>
      <c r="N480" s="204"/>
    </row>
    <row r="481" spans="1:14" s="203" customFormat="1" ht="51" customHeight="1">
      <c r="A481" s="19" t="s">
        <v>6825</v>
      </c>
      <c r="B481" s="19" t="s">
        <v>6883</v>
      </c>
      <c r="C481" s="204" t="s">
        <v>1105</v>
      </c>
      <c r="D481" s="204" t="s">
        <v>1105</v>
      </c>
      <c r="E481" s="4" t="s">
        <v>5801</v>
      </c>
      <c r="F481" s="204" t="s">
        <v>160</v>
      </c>
      <c r="G481" s="204"/>
      <c r="H481" s="204" t="s">
        <v>2276</v>
      </c>
      <c r="I481" s="204" t="s">
        <v>2276</v>
      </c>
      <c r="J481" s="204">
        <v>0</v>
      </c>
      <c r="K481" s="204" t="s">
        <v>5215</v>
      </c>
      <c r="L481" s="204" t="s">
        <v>2276</v>
      </c>
      <c r="M481" s="204" t="s">
        <v>2276</v>
      </c>
      <c r="N481" s="204"/>
    </row>
    <row r="482" spans="1:14" s="203" customFormat="1" ht="51" customHeight="1">
      <c r="A482" s="19" t="s">
        <v>6826</v>
      </c>
      <c r="B482" s="19" t="s">
        <v>6884</v>
      </c>
      <c r="C482" s="204" t="s">
        <v>1105</v>
      </c>
      <c r="D482" s="204" t="s">
        <v>1105</v>
      </c>
      <c r="E482" s="4" t="s">
        <v>5801</v>
      </c>
      <c r="F482" s="204" t="s">
        <v>160</v>
      </c>
      <c r="G482" s="204"/>
      <c r="H482" s="204" t="s">
        <v>2276</v>
      </c>
      <c r="I482" s="204" t="s">
        <v>2276</v>
      </c>
      <c r="J482" s="204">
        <v>0</v>
      </c>
      <c r="K482" s="204" t="s">
        <v>5215</v>
      </c>
      <c r="L482" s="204" t="s">
        <v>2276</v>
      </c>
      <c r="M482" s="204" t="s">
        <v>2276</v>
      </c>
      <c r="N482" s="204"/>
    </row>
    <row r="483" spans="1:14" s="203" customFormat="1" ht="51" customHeight="1">
      <c r="A483" s="19" t="s">
        <v>6827</v>
      </c>
      <c r="B483" s="19" t="s">
        <v>6885</v>
      </c>
      <c r="C483" s="204" t="s">
        <v>1105</v>
      </c>
      <c r="D483" s="204" t="s">
        <v>1105</v>
      </c>
      <c r="E483" s="4" t="s">
        <v>5801</v>
      </c>
      <c r="F483" s="204" t="s">
        <v>160</v>
      </c>
      <c r="G483" s="204"/>
      <c r="H483" s="204" t="s">
        <v>2276</v>
      </c>
      <c r="I483" s="204" t="s">
        <v>2276</v>
      </c>
      <c r="J483" s="204">
        <v>0</v>
      </c>
      <c r="K483" s="204" t="s">
        <v>5215</v>
      </c>
      <c r="L483" s="204" t="s">
        <v>2276</v>
      </c>
      <c r="M483" s="204" t="s">
        <v>2276</v>
      </c>
      <c r="N483" s="204"/>
    </row>
    <row r="484" spans="1:14" s="203" customFormat="1" ht="51" customHeight="1">
      <c r="A484" s="19" t="s">
        <v>6828</v>
      </c>
      <c r="B484" s="19" t="s">
        <v>6886</v>
      </c>
      <c r="C484" s="204" t="s">
        <v>1105</v>
      </c>
      <c r="D484" s="204" t="s">
        <v>1105</v>
      </c>
      <c r="E484" s="4" t="s">
        <v>5801</v>
      </c>
      <c r="F484" s="204" t="s">
        <v>160</v>
      </c>
      <c r="G484" s="204"/>
      <c r="H484" s="204" t="s">
        <v>2276</v>
      </c>
      <c r="I484" s="204" t="s">
        <v>2276</v>
      </c>
      <c r="J484" s="204">
        <v>0</v>
      </c>
      <c r="K484" s="204" t="s">
        <v>5215</v>
      </c>
      <c r="L484" s="204" t="s">
        <v>2276</v>
      </c>
      <c r="M484" s="204" t="s">
        <v>2276</v>
      </c>
      <c r="N484" s="204"/>
    </row>
    <row r="485" spans="1:14" s="203" customFormat="1" ht="51" customHeight="1">
      <c r="A485" s="19" t="s">
        <v>6829</v>
      </c>
      <c r="B485" s="19" t="s">
        <v>6887</v>
      </c>
      <c r="C485" s="204" t="s">
        <v>1105</v>
      </c>
      <c r="D485" s="204" t="s">
        <v>1105</v>
      </c>
      <c r="E485" s="4" t="s">
        <v>5801</v>
      </c>
      <c r="F485" s="204" t="s">
        <v>160</v>
      </c>
      <c r="G485" s="204"/>
      <c r="H485" s="204" t="s">
        <v>2276</v>
      </c>
      <c r="I485" s="204" t="s">
        <v>2276</v>
      </c>
      <c r="J485" s="204">
        <v>0</v>
      </c>
      <c r="K485" s="204" t="s">
        <v>5215</v>
      </c>
      <c r="L485" s="204" t="s">
        <v>2276</v>
      </c>
      <c r="M485" s="204" t="s">
        <v>2276</v>
      </c>
      <c r="N485" s="204"/>
    </row>
    <row r="486" spans="1:14" s="203" customFormat="1" ht="51" customHeight="1">
      <c r="A486" s="19" t="s">
        <v>6830</v>
      </c>
      <c r="B486" s="19" t="s">
        <v>6888</v>
      </c>
      <c r="C486" s="204" t="s">
        <v>1105</v>
      </c>
      <c r="D486" s="204" t="s">
        <v>1105</v>
      </c>
      <c r="E486" s="4" t="s">
        <v>5801</v>
      </c>
      <c r="F486" s="204" t="s">
        <v>160</v>
      </c>
      <c r="G486" s="204"/>
      <c r="H486" s="204" t="s">
        <v>2276</v>
      </c>
      <c r="I486" s="204" t="s">
        <v>2276</v>
      </c>
      <c r="J486" s="204">
        <v>0</v>
      </c>
      <c r="K486" s="204" t="s">
        <v>5215</v>
      </c>
      <c r="L486" s="204" t="s">
        <v>2276</v>
      </c>
      <c r="M486" s="204" t="s">
        <v>2276</v>
      </c>
      <c r="N486" s="204"/>
    </row>
    <row r="487" spans="1:14" s="203" customFormat="1" ht="51" customHeight="1">
      <c r="A487" s="19" t="s">
        <v>6831</v>
      </c>
      <c r="B487" s="19" t="s">
        <v>6889</v>
      </c>
      <c r="C487" s="204" t="s">
        <v>1105</v>
      </c>
      <c r="D487" s="204" t="s">
        <v>1105</v>
      </c>
      <c r="E487" s="4" t="s">
        <v>5801</v>
      </c>
      <c r="F487" s="204" t="s">
        <v>160</v>
      </c>
      <c r="G487" s="204"/>
      <c r="H487" s="204" t="s">
        <v>2276</v>
      </c>
      <c r="I487" s="204" t="s">
        <v>2276</v>
      </c>
      <c r="J487" s="204">
        <v>0</v>
      </c>
      <c r="K487" s="204" t="s">
        <v>5215</v>
      </c>
      <c r="L487" s="204" t="s">
        <v>2276</v>
      </c>
      <c r="M487" s="204" t="s">
        <v>2276</v>
      </c>
      <c r="N487" s="204"/>
    </row>
    <row r="488" spans="1:14" s="203" customFormat="1" ht="51" customHeight="1">
      <c r="A488" s="19" t="s">
        <v>6832</v>
      </c>
      <c r="B488" s="19" t="s">
        <v>6890</v>
      </c>
      <c r="C488" s="204" t="s">
        <v>1105</v>
      </c>
      <c r="D488" s="204" t="s">
        <v>1105</v>
      </c>
      <c r="E488" s="4" t="s">
        <v>5801</v>
      </c>
      <c r="F488" s="204" t="s">
        <v>160</v>
      </c>
      <c r="G488" s="204"/>
      <c r="H488" s="204" t="s">
        <v>2276</v>
      </c>
      <c r="I488" s="204" t="s">
        <v>2276</v>
      </c>
      <c r="J488" s="204">
        <v>0</v>
      </c>
      <c r="K488" s="204" t="s">
        <v>5215</v>
      </c>
      <c r="L488" s="204" t="s">
        <v>2276</v>
      </c>
      <c r="M488" s="204" t="s">
        <v>2276</v>
      </c>
      <c r="N488" s="204"/>
    </row>
    <row r="489" spans="1:14" s="203" customFormat="1" ht="51" customHeight="1">
      <c r="A489" s="19" t="s">
        <v>6833</v>
      </c>
      <c r="B489" s="19" t="s">
        <v>6891</v>
      </c>
      <c r="C489" s="204" t="s">
        <v>1105</v>
      </c>
      <c r="D489" s="204" t="s">
        <v>1105</v>
      </c>
      <c r="E489" s="4" t="s">
        <v>5801</v>
      </c>
      <c r="F489" s="204" t="s">
        <v>160</v>
      </c>
      <c r="G489" s="204"/>
      <c r="H489" s="204" t="s">
        <v>2276</v>
      </c>
      <c r="I489" s="204" t="s">
        <v>2276</v>
      </c>
      <c r="J489" s="204">
        <v>0</v>
      </c>
      <c r="K489" s="204" t="s">
        <v>5215</v>
      </c>
      <c r="L489" s="204" t="s">
        <v>2276</v>
      </c>
      <c r="M489" s="204" t="s">
        <v>2276</v>
      </c>
      <c r="N489" s="204"/>
    </row>
    <row r="490" spans="1:14" s="203" customFormat="1" ht="51" customHeight="1">
      <c r="A490" s="19" t="s">
        <v>6181</v>
      </c>
      <c r="B490" s="19" t="s">
        <v>6242</v>
      </c>
      <c r="C490" s="204" t="s">
        <v>1105</v>
      </c>
      <c r="D490" s="204" t="s">
        <v>1105</v>
      </c>
      <c r="E490" s="19" t="s">
        <v>3855</v>
      </c>
      <c r="F490" s="204" t="s">
        <v>29</v>
      </c>
      <c r="G490" s="204"/>
      <c r="H490" s="204" t="s">
        <v>2276</v>
      </c>
      <c r="I490" s="204" t="s">
        <v>2276</v>
      </c>
      <c r="J490" s="204">
        <v>2</v>
      </c>
      <c r="K490" s="4" t="s">
        <v>6898</v>
      </c>
      <c r="L490" s="204" t="s">
        <v>2276</v>
      </c>
      <c r="M490" s="204" t="s">
        <v>2276</v>
      </c>
      <c r="N490" s="204"/>
    </row>
    <row r="491" spans="1:14" s="203" customFormat="1" ht="51" customHeight="1">
      <c r="A491" s="19" t="s">
        <v>6811</v>
      </c>
      <c r="B491" s="19" t="s">
        <v>6892</v>
      </c>
      <c r="C491" s="204" t="s">
        <v>1105</v>
      </c>
      <c r="D491" s="204" t="s">
        <v>1105</v>
      </c>
      <c r="E491" s="19" t="s">
        <v>3855</v>
      </c>
      <c r="F491" s="204" t="s">
        <v>29</v>
      </c>
      <c r="G491" s="204"/>
      <c r="H491" s="204" t="s">
        <v>2276</v>
      </c>
      <c r="I491" s="204" t="s">
        <v>2276</v>
      </c>
      <c r="J491" s="204">
        <v>2</v>
      </c>
      <c r="K491" s="4" t="s">
        <v>6898</v>
      </c>
      <c r="L491" s="204" t="s">
        <v>2276</v>
      </c>
      <c r="M491" s="204" t="s">
        <v>2276</v>
      </c>
      <c r="N491" s="204"/>
    </row>
    <row r="492" spans="1:14" s="203" customFormat="1" ht="51" customHeight="1">
      <c r="A492" s="19" t="s">
        <v>6812</v>
      </c>
      <c r="B492" s="19" t="s">
        <v>6893</v>
      </c>
      <c r="C492" s="204" t="s">
        <v>1105</v>
      </c>
      <c r="D492" s="204" t="s">
        <v>1105</v>
      </c>
      <c r="E492" s="19" t="s">
        <v>3855</v>
      </c>
      <c r="F492" s="204" t="s">
        <v>29</v>
      </c>
      <c r="G492" s="204"/>
      <c r="H492" s="204" t="s">
        <v>2276</v>
      </c>
      <c r="I492" s="204" t="s">
        <v>2276</v>
      </c>
      <c r="J492" s="204">
        <v>2</v>
      </c>
      <c r="K492" s="4" t="s">
        <v>6898</v>
      </c>
      <c r="L492" s="204" t="s">
        <v>2276</v>
      </c>
      <c r="M492" s="204" t="s">
        <v>2276</v>
      </c>
      <c r="N492" s="204"/>
    </row>
    <row r="493" spans="1:14" s="203" customFormat="1" ht="51" customHeight="1">
      <c r="A493" s="19" t="s">
        <v>6813</v>
      </c>
      <c r="B493" s="19" t="s">
        <v>6894</v>
      </c>
      <c r="C493" s="204" t="s">
        <v>1105</v>
      </c>
      <c r="D493" s="204" t="s">
        <v>1105</v>
      </c>
      <c r="E493" s="19" t="s">
        <v>3855</v>
      </c>
      <c r="F493" s="204" t="s">
        <v>29</v>
      </c>
      <c r="G493" s="204"/>
      <c r="H493" s="204" t="s">
        <v>2276</v>
      </c>
      <c r="I493" s="204" t="s">
        <v>2276</v>
      </c>
      <c r="J493" s="204">
        <v>2</v>
      </c>
      <c r="K493" s="4" t="s">
        <v>6898</v>
      </c>
      <c r="L493" s="204" t="s">
        <v>2276</v>
      </c>
      <c r="M493" s="204" t="s">
        <v>2276</v>
      </c>
      <c r="N493" s="204"/>
    </row>
    <row r="494" spans="1:14" s="203" customFormat="1" ht="51" customHeight="1">
      <c r="A494" s="19" t="s">
        <v>6814</v>
      </c>
      <c r="B494" s="19" t="s">
        <v>6895</v>
      </c>
      <c r="C494" s="204" t="s">
        <v>1105</v>
      </c>
      <c r="D494" s="204" t="s">
        <v>1105</v>
      </c>
      <c r="E494" s="19" t="s">
        <v>3855</v>
      </c>
      <c r="F494" s="204" t="s">
        <v>29</v>
      </c>
      <c r="G494" s="204"/>
      <c r="H494" s="204" t="s">
        <v>2276</v>
      </c>
      <c r="I494" s="204" t="s">
        <v>2276</v>
      </c>
      <c r="J494" s="204">
        <v>2</v>
      </c>
      <c r="K494" s="4" t="s">
        <v>6898</v>
      </c>
      <c r="L494" s="204" t="s">
        <v>2276</v>
      </c>
      <c r="M494" s="204" t="s">
        <v>2276</v>
      </c>
      <c r="N494" s="204"/>
    </row>
    <row r="495" spans="1:14" s="203" customFormat="1" ht="51" customHeight="1">
      <c r="A495" s="19" t="s">
        <v>6815</v>
      </c>
      <c r="B495" s="19" t="s">
        <v>6896</v>
      </c>
      <c r="C495" s="204" t="s">
        <v>1105</v>
      </c>
      <c r="D495" s="204" t="s">
        <v>1105</v>
      </c>
      <c r="E495" s="19" t="s">
        <v>3855</v>
      </c>
      <c r="F495" s="204" t="s">
        <v>29</v>
      </c>
      <c r="G495" s="204"/>
      <c r="H495" s="204" t="s">
        <v>2276</v>
      </c>
      <c r="I495" s="204" t="s">
        <v>2276</v>
      </c>
      <c r="J495" s="204">
        <v>2</v>
      </c>
      <c r="K495" s="4" t="s">
        <v>6898</v>
      </c>
      <c r="L495" s="204" t="s">
        <v>2276</v>
      </c>
      <c r="M495" s="204" t="s">
        <v>2276</v>
      </c>
      <c r="N495" s="204"/>
    </row>
    <row r="496" spans="1:14" s="203" customFormat="1" ht="51" customHeight="1">
      <c r="A496" s="19" t="s">
        <v>6816</v>
      </c>
      <c r="B496" s="19" t="s">
        <v>6897</v>
      </c>
      <c r="C496" s="204" t="s">
        <v>1105</v>
      </c>
      <c r="D496" s="204" t="s">
        <v>1105</v>
      </c>
      <c r="E496" s="19" t="s">
        <v>3855</v>
      </c>
      <c r="F496" s="204" t="s">
        <v>29</v>
      </c>
      <c r="G496" s="204"/>
      <c r="H496" s="204" t="s">
        <v>2276</v>
      </c>
      <c r="I496" s="204" t="s">
        <v>2276</v>
      </c>
      <c r="J496" s="204">
        <v>2</v>
      </c>
      <c r="K496" s="4" t="s">
        <v>6898</v>
      </c>
      <c r="L496" s="204" t="s">
        <v>2276</v>
      </c>
      <c r="M496" s="204" t="s">
        <v>2276</v>
      </c>
      <c r="N496" s="204"/>
    </row>
    <row r="497" spans="1:14" ht="47" customHeight="1">
      <c r="A497" s="3" t="s">
        <v>6182</v>
      </c>
      <c r="B497" s="3" t="s">
        <v>6243</v>
      </c>
      <c r="C497" s="204" t="s">
        <v>1105</v>
      </c>
      <c r="D497" s="204" t="s">
        <v>1105</v>
      </c>
      <c r="E497" s="4" t="s">
        <v>5801</v>
      </c>
      <c r="F497" s="204" t="s">
        <v>160</v>
      </c>
      <c r="G497" s="3"/>
      <c r="H497" s="3" t="s">
        <v>2276</v>
      </c>
      <c r="I497" s="3" t="s">
        <v>2276</v>
      </c>
      <c r="J497" s="3">
        <v>0</v>
      </c>
      <c r="K497" s="3" t="s">
        <v>5215</v>
      </c>
      <c r="L497" s="3" t="s">
        <v>2276</v>
      </c>
      <c r="M497" s="3" t="s">
        <v>2276</v>
      </c>
      <c r="N497" s="3"/>
    </row>
    <row r="498" spans="1:14" s="203" customFormat="1" ht="47" customHeight="1">
      <c r="A498" s="204" t="s">
        <v>6183</v>
      </c>
      <c r="B498" s="204" t="s">
        <v>6245</v>
      </c>
      <c r="C498" s="204" t="s">
        <v>1105</v>
      </c>
      <c r="D498" s="204" t="s">
        <v>1105</v>
      </c>
      <c r="E498" s="4" t="s">
        <v>2653</v>
      </c>
      <c r="F498" s="204" t="s">
        <v>2276</v>
      </c>
      <c r="G498" s="204"/>
      <c r="H498" s="204" t="s">
        <v>2276</v>
      </c>
      <c r="I498" s="204" t="s">
        <v>2276</v>
      </c>
      <c r="J498" s="204" t="s">
        <v>2276</v>
      </c>
      <c r="K498" s="204" t="s">
        <v>2276</v>
      </c>
      <c r="L498" s="204">
        <v>3</v>
      </c>
      <c r="M498" s="4" t="s">
        <v>6796</v>
      </c>
      <c r="N498" s="204"/>
    </row>
    <row r="499" spans="1:14" s="203" customFormat="1" ht="47" customHeight="1">
      <c r="A499" s="204" t="s">
        <v>6183</v>
      </c>
      <c r="B499" s="204" t="s">
        <v>6793</v>
      </c>
      <c r="C499" s="204" t="s">
        <v>1105</v>
      </c>
      <c r="D499" s="204" t="s">
        <v>1105</v>
      </c>
      <c r="E499" s="4" t="s">
        <v>2652</v>
      </c>
      <c r="F499" s="204" t="s">
        <v>2276</v>
      </c>
      <c r="G499" s="204"/>
      <c r="H499" s="204" t="s">
        <v>2276</v>
      </c>
      <c r="I499" s="204" t="s">
        <v>2276</v>
      </c>
      <c r="J499" s="204">
        <v>0</v>
      </c>
      <c r="K499" s="4" t="s">
        <v>6798</v>
      </c>
      <c r="L499" s="204" t="s">
        <v>2276</v>
      </c>
      <c r="M499" s="204" t="s">
        <v>2276</v>
      </c>
      <c r="N499" s="204"/>
    </row>
    <row r="500" spans="1:14" s="203" customFormat="1" ht="47" customHeight="1">
      <c r="A500" s="204" t="s">
        <v>6183</v>
      </c>
      <c r="B500" s="204" t="s">
        <v>6794</v>
      </c>
      <c r="C500" s="204" t="s">
        <v>24</v>
      </c>
      <c r="D500" s="204" t="s">
        <v>1105</v>
      </c>
      <c r="E500" s="4" t="s">
        <v>3855</v>
      </c>
      <c r="F500" s="204" t="s">
        <v>29</v>
      </c>
      <c r="G500" s="204"/>
      <c r="H500" s="204">
        <v>1</v>
      </c>
      <c r="I500" s="4" t="s">
        <v>6797</v>
      </c>
      <c r="J500" s="204" t="s">
        <v>2276</v>
      </c>
      <c r="K500" s="204" t="s">
        <v>2276</v>
      </c>
      <c r="L500" s="204" t="s">
        <v>2276</v>
      </c>
      <c r="M500" s="204" t="s">
        <v>2276</v>
      </c>
      <c r="N500" s="204"/>
    </row>
    <row r="501" spans="1:14" ht="39.5" customHeight="1">
      <c r="A501" s="4" t="s">
        <v>6401</v>
      </c>
      <c r="B501" s="4" t="s">
        <v>6544</v>
      </c>
      <c r="C501" s="4" t="s">
        <v>24</v>
      </c>
      <c r="D501" s="4" t="s">
        <v>6534</v>
      </c>
      <c r="E501" s="4" t="s">
        <v>137</v>
      </c>
      <c r="F501" s="4" t="s">
        <v>74</v>
      </c>
      <c r="G501" s="4"/>
      <c r="H501" s="204" t="s">
        <v>2276</v>
      </c>
      <c r="I501" s="204" t="s">
        <v>2276</v>
      </c>
      <c r="J501" s="4">
        <v>2</v>
      </c>
      <c r="K501" s="4" t="s">
        <v>6580</v>
      </c>
      <c r="L501" s="204" t="s">
        <v>2276</v>
      </c>
      <c r="M501" s="204" t="s">
        <v>2276</v>
      </c>
      <c r="N501" s="4" t="s">
        <v>7862</v>
      </c>
    </row>
    <row r="502" spans="1:14" ht="39.5" customHeight="1">
      <c r="A502" s="4" t="s">
        <v>6402</v>
      </c>
      <c r="B502" s="4" t="s">
        <v>6546</v>
      </c>
      <c r="C502" s="4" t="s">
        <v>24</v>
      </c>
      <c r="D502" s="4" t="s">
        <v>6534</v>
      </c>
      <c r="E502" s="4" t="s">
        <v>137</v>
      </c>
      <c r="F502" s="4" t="s">
        <v>74</v>
      </c>
      <c r="G502" s="4"/>
      <c r="H502" s="204" t="s">
        <v>2276</v>
      </c>
      <c r="I502" s="204" t="s">
        <v>2276</v>
      </c>
      <c r="J502" s="4">
        <v>2</v>
      </c>
      <c r="K502" s="4" t="s">
        <v>6580</v>
      </c>
      <c r="L502" s="204" t="s">
        <v>2276</v>
      </c>
      <c r="M502" s="204" t="s">
        <v>2276</v>
      </c>
      <c r="N502" s="4" t="s">
        <v>7862</v>
      </c>
    </row>
    <row r="503" spans="1:14" s="203" customFormat="1" ht="39.5" customHeight="1">
      <c r="A503" s="4" t="s">
        <v>6402</v>
      </c>
      <c r="B503" s="4" t="s">
        <v>6547</v>
      </c>
      <c r="C503" s="204" t="s">
        <v>1105</v>
      </c>
      <c r="D503" s="204" t="s">
        <v>1105</v>
      </c>
      <c r="E503" s="4" t="s">
        <v>2653</v>
      </c>
      <c r="F503" s="4" t="s">
        <v>74</v>
      </c>
      <c r="G503" s="204"/>
      <c r="H503" s="204" t="s">
        <v>2276</v>
      </c>
      <c r="I503" s="204" t="s">
        <v>2276</v>
      </c>
      <c r="J503" s="204">
        <v>0</v>
      </c>
      <c r="K503" s="204" t="s">
        <v>7864</v>
      </c>
      <c r="L503" s="204" t="s">
        <v>2276</v>
      </c>
      <c r="M503" s="204" t="s">
        <v>2276</v>
      </c>
      <c r="N503" s="204"/>
    </row>
    <row r="504" spans="1:14" ht="39.5" customHeight="1">
      <c r="A504" s="4" t="s">
        <v>6403</v>
      </c>
      <c r="B504" s="4" t="s">
        <v>6548</v>
      </c>
      <c r="C504" s="4" t="s">
        <v>24</v>
      </c>
      <c r="D504" s="38" t="s">
        <v>2276</v>
      </c>
      <c r="E504" s="4" t="s">
        <v>2653</v>
      </c>
      <c r="F504" s="204" t="s">
        <v>2276</v>
      </c>
      <c r="G504" s="4"/>
      <c r="H504" s="204" t="s">
        <v>2276</v>
      </c>
      <c r="I504" s="204" t="s">
        <v>2276</v>
      </c>
      <c r="J504" s="204" t="s">
        <v>2276</v>
      </c>
      <c r="K504" s="4"/>
      <c r="L504" s="4">
        <v>3</v>
      </c>
      <c r="M504" s="204" t="s">
        <v>2276</v>
      </c>
      <c r="N504" s="4"/>
    </row>
    <row r="505" spans="1:14" ht="39.5" customHeight="1">
      <c r="A505" s="4" t="s">
        <v>6403</v>
      </c>
      <c r="B505" s="4" t="s">
        <v>6549</v>
      </c>
      <c r="C505" s="4" t="s">
        <v>2656</v>
      </c>
      <c r="D505" s="38" t="s">
        <v>2276</v>
      </c>
      <c r="E505" s="24" t="s">
        <v>2653</v>
      </c>
      <c r="F505" s="204" t="s">
        <v>2276</v>
      </c>
      <c r="G505" s="4"/>
      <c r="H505" s="204" t="s">
        <v>2276</v>
      </c>
      <c r="I505" s="204" t="s">
        <v>2276</v>
      </c>
      <c r="J505" s="204" t="s">
        <v>2276</v>
      </c>
      <c r="K505" s="4"/>
      <c r="L505" s="4">
        <v>3</v>
      </c>
      <c r="M505" s="204" t="s">
        <v>2276</v>
      </c>
      <c r="N505" s="4"/>
    </row>
    <row r="506" spans="1:14" ht="39.5" customHeight="1">
      <c r="A506" s="4" t="s">
        <v>6404</v>
      </c>
      <c r="B506" s="4" t="s">
        <v>6550</v>
      </c>
      <c r="C506" s="4" t="s">
        <v>24</v>
      </c>
      <c r="D506" s="38" t="s">
        <v>2276</v>
      </c>
      <c r="E506" s="24" t="s">
        <v>2649</v>
      </c>
      <c r="F506" s="4" t="s">
        <v>74</v>
      </c>
      <c r="G506" s="4"/>
      <c r="H506" s="204" t="s">
        <v>2276</v>
      </c>
      <c r="I506" s="204" t="s">
        <v>2276</v>
      </c>
      <c r="J506" s="204" t="s">
        <v>2276</v>
      </c>
      <c r="K506" s="4"/>
      <c r="L506" s="4">
        <v>2</v>
      </c>
      <c r="M506" s="4" t="s">
        <v>6581</v>
      </c>
      <c r="N506" s="4"/>
    </row>
    <row r="507" spans="1:14" ht="39.5" customHeight="1">
      <c r="A507" s="4" t="s">
        <v>6404</v>
      </c>
      <c r="B507" s="4" t="s">
        <v>6551</v>
      </c>
      <c r="C507" s="4" t="s">
        <v>2656</v>
      </c>
      <c r="D507" s="38" t="s">
        <v>2276</v>
      </c>
      <c r="E507" s="24" t="s">
        <v>2649</v>
      </c>
      <c r="F507" s="4" t="s">
        <v>74</v>
      </c>
      <c r="G507" s="4"/>
      <c r="H507" s="204" t="s">
        <v>2276</v>
      </c>
      <c r="I507" s="204" t="s">
        <v>2276</v>
      </c>
      <c r="J507" s="204" t="s">
        <v>2276</v>
      </c>
      <c r="K507" s="4"/>
      <c r="L507" s="4">
        <v>2</v>
      </c>
      <c r="M507" s="4" t="s">
        <v>6581</v>
      </c>
      <c r="N507" s="4"/>
    </row>
    <row r="508" spans="1:14" ht="39.5" customHeight="1">
      <c r="A508" s="4" t="s">
        <v>6405</v>
      </c>
      <c r="B508" s="4" t="s">
        <v>6596</v>
      </c>
      <c r="C508" s="4" t="s">
        <v>1105</v>
      </c>
      <c r="D508" s="4" t="s">
        <v>1105</v>
      </c>
      <c r="E508" s="24" t="s">
        <v>137</v>
      </c>
      <c r="F508" s="204" t="s">
        <v>2276</v>
      </c>
      <c r="G508" s="4"/>
      <c r="H508" s="204" t="s">
        <v>2276</v>
      </c>
      <c r="I508" s="204" t="s">
        <v>2276</v>
      </c>
      <c r="J508" s="204" t="s">
        <v>2276</v>
      </c>
      <c r="K508" s="4"/>
      <c r="L508" s="204" t="s">
        <v>2276</v>
      </c>
      <c r="M508" s="4"/>
      <c r="N508" s="4"/>
    </row>
    <row r="509" spans="1:14" ht="39.5" customHeight="1">
      <c r="A509" s="4" t="s">
        <v>6406</v>
      </c>
      <c r="B509" s="4" t="s">
        <v>6597</v>
      </c>
      <c r="C509" s="4" t="s">
        <v>1105</v>
      </c>
      <c r="D509" s="4" t="s">
        <v>1105</v>
      </c>
      <c r="E509" s="24" t="s">
        <v>2649</v>
      </c>
      <c r="F509" s="204" t="s">
        <v>2276</v>
      </c>
      <c r="G509" s="4"/>
      <c r="H509" s="204" t="s">
        <v>2276</v>
      </c>
      <c r="I509" s="204" t="s">
        <v>2276</v>
      </c>
      <c r="J509" s="204" t="s">
        <v>2276</v>
      </c>
      <c r="K509" s="4"/>
      <c r="L509" s="204" t="s">
        <v>2276</v>
      </c>
      <c r="M509" s="4"/>
      <c r="N509" s="4"/>
    </row>
    <row r="510" spans="1:14" ht="39.5" customHeight="1">
      <c r="A510" s="4" t="s">
        <v>6407</v>
      </c>
      <c r="B510" s="4" t="s">
        <v>6598</v>
      </c>
      <c r="C510" s="4" t="s">
        <v>1105</v>
      </c>
      <c r="D510" s="4" t="s">
        <v>1105</v>
      </c>
      <c r="E510" s="24" t="s">
        <v>2649</v>
      </c>
      <c r="F510" s="204" t="s">
        <v>2276</v>
      </c>
      <c r="G510" s="4"/>
      <c r="H510" s="204" t="s">
        <v>2276</v>
      </c>
      <c r="I510" s="204" t="s">
        <v>2276</v>
      </c>
      <c r="J510" s="204" t="s">
        <v>2276</v>
      </c>
      <c r="K510" s="4"/>
      <c r="L510" s="204" t="s">
        <v>2276</v>
      </c>
      <c r="M510" s="4"/>
      <c r="N510" s="4"/>
    </row>
    <row r="511" spans="1:14" ht="39.5" customHeight="1">
      <c r="A511" s="4" t="s">
        <v>6408</v>
      </c>
      <c r="B511" s="4" t="s">
        <v>6552</v>
      </c>
      <c r="C511" s="4" t="s">
        <v>1105</v>
      </c>
      <c r="D511" s="4" t="s">
        <v>1105</v>
      </c>
      <c r="E511" s="24" t="s">
        <v>2649</v>
      </c>
      <c r="F511" s="4" t="s">
        <v>74</v>
      </c>
      <c r="G511" s="4"/>
      <c r="H511" s="4">
        <v>3</v>
      </c>
      <c r="I511" s="4"/>
      <c r="J511" s="4">
        <v>3</v>
      </c>
      <c r="K511" s="4" t="s">
        <v>6582</v>
      </c>
      <c r="L511" s="4">
        <v>3</v>
      </c>
      <c r="M511" s="4"/>
      <c r="N511" s="4" t="s">
        <v>6583</v>
      </c>
    </row>
    <row r="512" spans="1:14" ht="39.5" customHeight="1">
      <c r="A512" s="4" t="s">
        <v>6409</v>
      </c>
      <c r="B512" s="4" t="s">
        <v>6554</v>
      </c>
      <c r="C512" s="4" t="s">
        <v>1105</v>
      </c>
      <c r="D512" s="4" t="s">
        <v>1105</v>
      </c>
      <c r="E512" s="24" t="s">
        <v>2649</v>
      </c>
      <c r="F512" s="4" t="s">
        <v>74</v>
      </c>
      <c r="G512" s="4"/>
      <c r="H512" s="4">
        <v>3</v>
      </c>
      <c r="I512" s="4"/>
      <c r="J512" s="4">
        <v>3</v>
      </c>
      <c r="K512" s="4" t="s">
        <v>6582</v>
      </c>
      <c r="L512" s="4">
        <v>3</v>
      </c>
      <c r="M512" s="4"/>
      <c r="N512" s="4" t="s">
        <v>6583</v>
      </c>
    </row>
    <row r="513" spans="1:14" ht="39.5" customHeight="1">
      <c r="A513" s="4" t="s">
        <v>6410</v>
      </c>
      <c r="B513" s="4" t="s">
        <v>6556</v>
      </c>
      <c r="C513" s="4" t="s">
        <v>1105</v>
      </c>
      <c r="D513" s="4" t="s">
        <v>1105</v>
      </c>
      <c r="E513" s="24" t="s">
        <v>2649</v>
      </c>
      <c r="F513" s="4" t="s">
        <v>74</v>
      </c>
      <c r="G513" s="4"/>
      <c r="H513" s="4">
        <v>3</v>
      </c>
      <c r="I513" s="4"/>
      <c r="J513" s="4">
        <v>3</v>
      </c>
      <c r="K513" s="4" t="s">
        <v>6582</v>
      </c>
      <c r="L513" s="4">
        <v>3</v>
      </c>
      <c r="M513" s="4"/>
      <c r="N513" s="4" t="s">
        <v>6583</v>
      </c>
    </row>
    <row r="514" spans="1:14" ht="39.5" customHeight="1">
      <c r="A514" s="4" t="s">
        <v>6411</v>
      </c>
      <c r="B514" s="4" t="s">
        <v>6558</v>
      </c>
      <c r="C514" s="4" t="s">
        <v>1105</v>
      </c>
      <c r="D514" s="4" t="s">
        <v>1105</v>
      </c>
      <c r="E514" s="24" t="s">
        <v>2649</v>
      </c>
      <c r="F514" s="4" t="s">
        <v>74</v>
      </c>
      <c r="G514" s="4"/>
      <c r="H514" s="4">
        <v>3</v>
      </c>
      <c r="I514" s="4"/>
      <c r="J514" s="4">
        <v>3</v>
      </c>
      <c r="K514" s="4" t="s">
        <v>6582</v>
      </c>
      <c r="L514" s="4">
        <v>3</v>
      </c>
      <c r="M514" s="4"/>
      <c r="N514" s="4" t="s">
        <v>6583</v>
      </c>
    </row>
    <row r="515" spans="1:14" ht="39.5" customHeight="1">
      <c r="A515" s="4" t="s">
        <v>6412</v>
      </c>
      <c r="B515" s="4" t="s">
        <v>6560</v>
      </c>
      <c r="C515" s="4" t="s">
        <v>1105</v>
      </c>
      <c r="D515" s="4" t="s">
        <v>1105</v>
      </c>
      <c r="E515" s="24" t="s">
        <v>2649</v>
      </c>
      <c r="F515" s="4" t="s">
        <v>74</v>
      </c>
      <c r="G515" s="4"/>
      <c r="H515" s="204" t="s">
        <v>2276</v>
      </c>
      <c r="I515" s="4"/>
      <c r="J515" s="204" t="s">
        <v>2276</v>
      </c>
      <c r="K515" s="4"/>
      <c r="L515" s="4">
        <v>3</v>
      </c>
      <c r="M515" s="4"/>
      <c r="N515" s="4" t="s">
        <v>6584</v>
      </c>
    </row>
    <row r="516" spans="1:14" ht="39.5" customHeight="1">
      <c r="A516" s="4" t="s">
        <v>6412</v>
      </c>
      <c r="B516" s="4" t="s">
        <v>6638</v>
      </c>
      <c r="C516" s="4" t="s">
        <v>24</v>
      </c>
      <c r="D516" s="4" t="s">
        <v>2659</v>
      </c>
      <c r="E516" s="4" t="s">
        <v>2649</v>
      </c>
      <c r="F516" s="4" t="s">
        <v>74</v>
      </c>
      <c r="G516" s="4"/>
      <c r="H516" s="4">
        <v>2</v>
      </c>
      <c r="I516" s="4" t="s">
        <v>6585</v>
      </c>
      <c r="J516" s="204" t="s">
        <v>2276</v>
      </c>
      <c r="K516" s="4"/>
      <c r="L516" s="204" t="s">
        <v>2276</v>
      </c>
      <c r="M516" s="4"/>
      <c r="N516" s="4" t="s">
        <v>6586</v>
      </c>
    </row>
    <row r="517" spans="1:14" ht="39.5" customHeight="1">
      <c r="A517" s="4" t="s">
        <v>6413</v>
      </c>
      <c r="B517" s="4" t="s">
        <v>6561</v>
      </c>
      <c r="C517" s="4" t="s">
        <v>1105</v>
      </c>
      <c r="D517" s="4" t="s">
        <v>1105</v>
      </c>
      <c r="E517" s="4" t="s">
        <v>2649</v>
      </c>
      <c r="F517" s="4" t="s">
        <v>74</v>
      </c>
      <c r="G517" s="4"/>
      <c r="H517" s="204" t="s">
        <v>2276</v>
      </c>
      <c r="I517" s="4"/>
      <c r="J517" s="204" t="s">
        <v>2276</v>
      </c>
      <c r="K517" s="4"/>
      <c r="L517" s="4">
        <v>3</v>
      </c>
      <c r="M517" s="4"/>
      <c r="N517" s="4" t="s">
        <v>6587</v>
      </c>
    </row>
    <row r="518" spans="1:14" ht="39.5" customHeight="1">
      <c r="A518" s="4" t="s">
        <v>6413</v>
      </c>
      <c r="B518" s="4" t="s">
        <v>6599</v>
      </c>
      <c r="C518" s="4" t="s">
        <v>24</v>
      </c>
      <c r="D518" s="4" t="s">
        <v>2659</v>
      </c>
      <c r="E518" s="4" t="s">
        <v>2649</v>
      </c>
      <c r="F518" s="4" t="s">
        <v>74</v>
      </c>
      <c r="G518" s="4"/>
      <c r="H518" s="4">
        <v>2</v>
      </c>
      <c r="I518" s="4" t="s">
        <v>6585</v>
      </c>
      <c r="J518" s="204" t="s">
        <v>2276</v>
      </c>
      <c r="K518" s="4"/>
      <c r="L518" s="204" t="s">
        <v>2276</v>
      </c>
      <c r="M518" s="4"/>
      <c r="N518" s="4" t="s">
        <v>6586</v>
      </c>
    </row>
    <row r="519" spans="1:14" ht="39.5" customHeight="1">
      <c r="A519" s="4" t="s">
        <v>6414</v>
      </c>
      <c r="B519" s="4" t="s">
        <v>6562</v>
      </c>
      <c r="C519" s="4" t="s">
        <v>1105</v>
      </c>
      <c r="D519" s="4" t="s">
        <v>1105</v>
      </c>
      <c r="E519" s="4" t="s">
        <v>2649</v>
      </c>
      <c r="F519" s="4" t="s">
        <v>74</v>
      </c>
      <c r="G519" s="4"/>
      <c r="H519" s="204" t="s">
        <v>2276</v>
      </c>
      <c r="I519" s="4"/>
      <c r="J519" s="204" t="s">
        <v>2276</v>
      </c>
      <c r="K519" s="4"/>
      <c r="L519" s="4">
        <v>2</v>
      </c>
      <c r="M519" s="4"/>
      <c r="N519" s="4" t="s">
        <v>6588</v>
      </c>
    </row>
    <row r="520" spans="1:14" ht="39.5" customHeight="1">
      <c r="A520" s="4" t="s">
        <v>6414</v>
      </c>
      <c r="B520" s="4" t="s">
        <v>6600</v>
      </c>
      <c r="C520" s="4" t="s">
        <v>24</v>
      </c>
      <c r="D520" s="4" t="s">
        <v>2659</v>
      </c>
      <c r="E520" s="4" t="s">
        <v>2649</v>
      </c>
      <c r="F520" s="4" t="s">
        <v>74</v>
      </c>
      <c r="G520" s="4"/>
      <c r="H520" s="4">
        <v>2</v>
      </c>
      <c r="I520" s="4" t="s">
        <v>6585</v>
      </c>
      <c r="J520" s="204" t="s">
        <v>2276</v>
      </c>
      <c r="K520" s="4"/>
      <c r="L520" s="204" t="s">
        <v>2276</v>
      </c>
      <c r="M520" s="4"/>
      <c r="N520" s="4" t="s">
        <v>6586</v>
      </c>
    </row>
    <row r="521" spans="1:14" ht="39.5" customHeight="1">
      <c r="A521" s="4" t="s">
        <v>6414</v>
      </c>
      <c r="B521" s="4" t="s">
        <v>6601</v>
      </c>
      <c r="C521" s="4" t="s">
        <v>24</v>
      </c>
      <c r="D521" s="4" t="s">
        <v>1242</v>
      </c>
      <c r="E521" s="4" t="s">
        <v>2649</v>
      </c>
      <c r="F521" s="4" t="s">
        <v>74</v>
      </c>
      <c r="G521" s="4"/>
      <c r="H521" s="204" t="s">
        <v>2276</v>
      </c>
      <c r="I521" s="4"/>
      <c r="J521" s="204">
        <v>1</v>
      </c>
      <c r="K521" s="4" t="s">
        <v>7865</v>
      </c>
      <c r="L521" s="204" t="s">
        <v>2276</v>
      </c>
      <c r="M521" s="4"/>
      <c r="N521" s="4" t="s">
        <v>6586</v>
      </c>
    </row>
    <row r="522" spans="1:14" ht="39.5" customHeight="1">
      <c r="A522" s="4" t="s">
        <v>6414</v>
      </c>
      <c r="B522" s="4" t="s">
        <v>6602</v>
      </c>
      <c r="C522" s="4" t="s">
        <v>2656</v>
      </c>
      <c r="D522" s="38" t="s">
        <v>2276</v>
      </c>
      <c r="E522" s="4" t="s">
        <v>2649</v>
      </c>
      <c r="F522" s="4" t="s">
        <v>74</v>
      </c>
      <c r="G522" s="4"/>
      <c r="H522" s="204" t="s">
        <v>2276</v>
      </c>
      <c r="I522" s="4"/>
      <c r="J522" s="204" t="s">
        <v>2276</v>
      </c>
      <c r="K522" s="4"/>
      <c r="L522" s="4">
        <v>2</v>
      </c>
      <c r="M522" s="4"/>
      <c r="N522" s="4" t="s">
        <v>6588</v>
      </c>
    </row>
    <row r="523" spans="1:14" ht="39.5" customHeight="1">
      <c r="A523" s="4" t="s">
        <v>6415</v>
      </c>
      <c r="B523" s="4" t="s">
        <v>6563</v>
      </c>
      <c r="C523" s="4" t="s">
        <v>1105</v>
      </c>
      <c r="D523" s="4" t="s">
        <v>1105</v>
      </c>
      <c r="E523" s="4" t="s">
        <v>2649</v>
      </c>
      <c r="F523" s="4" t="s">
        <v>74</v>
      </c>
      <c r="G523" s="4"/>
      <c r="H523" s="204" t="s">
        <v>2276</v>
      </c>
      <c r="I523" s="4"/>
      <c r="J523" s="204" t="s">
        <v>2276</v>
      </c>
      <c r="K523" s="4"/>
      <c r="L523" s="4">
        <v>2</v>
      </c>
      <c r="M523" s="4"/>
      <c r="N523" s="4" t="s">
        <v>6588</v>
      </c>
    </row>
    <row r="524" spans="1:14" ht="39.5" customHeight="1">
      <c r="A524" s="4" t="s">
        <v>6415</v>
      </c>
      <c r="B524" s="4" t="s">
        <v>6603</v>
      </c>
      <c r="C524" s="4" t="s">
        <v>24</v>
      </c>
      <c r="D524" s="4" t="s">
        <v>2659</v>
      </c>
      <c r="E524" s="4" t="s">
        <v>2649</v>
      </c>
      <c r="F524" s="4" t="s">
        <v>74</v>
      </c>
      <c r="G524" s="4"/>
      <c r="H524" s="4">
        <v>2</v>
      </c>
      <c r="I524" s="4" t="s">
        <v>6585</v>
      </c>
      <c r="J524" s="204" t="s">
        <v>2276</v>
      </c>
      <c r="K524" s="4"/>
      <c r="L524" s="204" t="s">
        <v>2276</v>
      </c>
      <c r="M524" s="4"/>
      <c r="N524" s="4" t="s">
        <v>6586</v>
      </c>
    </row>
    <row r="525" spans="1:14" ht="39.5" customHeight="1">
      <c r="A525" s="4" t="s">
        <v>6415</v>
      </c>
      <c r="B525" s="4" t="s">
        <v>6604</v>
      </c>
      <c r="C525" s="4" t="s">
        <v>24</v>
      </c>
      <c r="D525" s="4" t="s">
        <v>1242</v>
      </c>
      <c r="E525" s="4" t="s">
        <v>2649</v>
      </c>
      <c r="F525" s="4" t="s">
        <v>74</v>
      </c>
      <c r="G525" s="4"/>
      <c r="H525" s="204" t="s">
        <v>2276</v>
      </c>
      <c r="I525" s="4"/>
      <c r="J525" s="4">
        <v>3</v>
      </c>
      <c r="K525" s="4" t="s">
        <v>6589</v>
      </c>
      <c r="L525" s="204" t="s">
        <v>2276</v>
      </c>
      <c r="M525" s="4"/>
      <c r="N525" s="4" t="s">
        <v>6586</v>
      </c>
    </row>
    <row r="526" spans="1:14" ht="39.5" customHeight="1">
      <c r="A526" s="4" t="s">
        <v>6415</v>
      </c>
      <c r="B526" s="4" t="s">
        <v>6605</v>
      </c>
      <c r="C526" s="4" t="s">
        <v>2656</v>
      </c>
      <c r="D526" s="38" t="s">
        <v>2276</v>
      </c>
      <c r="E526" s="4" t="s">
        <v>2649</v>
      </c>
      <c r="F526" s="4" t="s">
        <v>74</v>
      </c>
      <c r="G526" s="4"/>
      <c r="H526" s="204" t="s">
        <v>2276</v>
      </c>
      <c r="I526" s="4"/>
      <c r="J526" s="204" t="s">
        <v>2276</v>
      </c>
      <c r="K526" s="4"/>
      <c r="L526" s="4">
        <v>2</v>
      </c>
      <c r="M526" s="4"/>
      <c r="N526" s="4" t="s">
        <v>6588</v>
      </c>
    </row>
    <row r="527" spans="1:14" ht="39.5" customHeight="1">
      <c r="A527" s="4" t="s">
        <v>6416</v>
      </c>
      <c r="B527" s="210" t="s">
        <v>6564</v>
      </c>
      <c r="C527" s="4" t="s">
        <v>1105</v>
      </c>
      <c r="D527" s="4" t="s">
        <v>1105</v>
      </c>
      <c r="E527" s="4" t="s">
        <v>2649</v>
      </c>
      <c r="F527" s="4" t="s">
        <v>74</v>
      </c>
      <c r="G527" s="4"/>
      <c r="H527" s="204" t="s">
        <v>2276</v>
      </c>
      <c r="I527" s="4"/>
      <c r="J527" s="204" t="s">
        <v>2276</v>
      </c>
      <c r="K527" s="4"/>
      <c r="L527" s="4">
        <v>3</v>
      </c>
      <c r="M527" s="4"/>
      <c r="N527" s="4" t="s">
        <v>6584</v>
      </c>
    </row>
    <row r="528" spans="1:14" ht="39.5" customHeight="1">
      <c r="A528" s="4" t="s">
        <v>6416</v>
      </c>
      <c r="B528" s="210" t="s">
        <v>6606</v>
      </c>
      <c r="C528" s="4" t="s">
        <v>24</v>
      </c>
      <c r="D528" s="4" t="s">
        <v>2659</v>
      </c>
      <c r="E528" s="4" t="s">
        <v>2649</v>
      </c>
      <c r="F528" s="4" t="s">
        <v>74</v>
      </c>
      <c r="G528" s="4"/>
      <c r="H528" s="4">
        <v>1</v>
      </c>
      <c r="I528" s="4" t="s">
        <v>6590</v>
      </c>
      <c r="J528" s="204" t="s">
        <v>2276</v>
      </c>
      <c r="K528" s="4"/>
      <c r="L528" s="204" t="s">
        <v>2276</v>
      </c>
      <c r="M528" s="4"/>
      <c r="N528" s="4" t="s">
        <v>6586</v>
      </c>
    </row>
    <row r="529" spans="1:14" ht="39.5" customHeight="1">
      <c r="A529" s="4" t="s">
        <v>6417</v>
      </c>
      <c r="B529" s="4" t="s">
        <v>6565</v>
      </c>
      <c r="C529" s="4" t="s">
        <v>1105</v>
      </c>
      <c r="D529" s="4" t="s">
        <v>1105</v>
      </c>
      <c r="E529" s="4" t="s">
        <v>2649</v>
      </c>
      <c r="F529" s="4" t="s">
        <v>74</v>
      </c>
      <c r="G529" s="4"/>
      <c r="H529" s="204" t="s">
        <v>2276</v>
      </c>
      <c r="I529" s="4"/>
      <c r="J529" s="204" t="s">
        <v>2276</v>
      </c>
      <c r="K529" s="4"/>
      <c r="L529" s="4">
        <v>3</v>
      </c>
      <c r="M529" s="4"/>
      <c r="N529" s="4" t="s">
        <v>6584</v>
      </c>
    </row>
    <row r="530" spans="1:14" ht="39.5" customHeight="1">
      <c r="A530" s="4" t="s">
        <v>6417</v>
      </c>
      <c r="B530" s="4" t="s">
        <v>6607</v>
      </c>
      <c r="C530" s="4" t="s">
        <v>24</v>
      </c>
      <c r="D530" s="4" t="s">
        <v>2659</v>
      </c>
      <c r="E530" s="4" t="s">
        <v>2649</v>
      </c>
      <c r="F530" s="4" t="s">
        <v>74</v>
      </c>
      <c r="G530" s="4"/>
      <c r="H530" s="4">
        <v>2</v>
      </c>
      <c r="I530" s="4" t="s">
        <v>6585</v>
      </c>
      <c r="J530" s="204" t="s">
        <v>2276</v>
      </c>
      <c r="K530" s="4"/>
      <c r="L530" s="204" t="s">
        <v>2276</v>
      </c>
      <c r="M530" s="4"/>
      <c r="N530" s="4" t="s">
        <v>6586</v>
      </c>
    </row>
    <row r="531" spans="1:14" ht="39.5" customHeight="1">
      <c r="A531" s="4" t="s">
        <v>6566</v>
      </c>
      <c r="B531" s="4" t="s">
        <v>6567</v>
      </c>
      <c r="C531" s="4" t="s">
        <v>1105</v>
      </c>
      <c r="D531" s="4" t="s">
        <v>1105</v>
      </c>
      <c r="E531" s="4" t="s">
        <v>2649</v>
      </c>
      <c r="F531" s="4" t="s">
        <v>74</v>
      </c>
      <c r="G531" s="4"/>
      <c r="H531" s="204" t="s">
        <v>2276</v>
      </c>
      <c r="I531" s="4"/>
      <c r="J531" s="204" t="s">
        <v>2276</v>
      </c>
      <c r="K531" s="4"/>
      <c r="L531" s="4">
        <v>3</v>
      </c>
      <c r="M531" s="4"/>
      <c r="N531" s="4" t="s">
        <v>6584</v>
      </c>
    </row>
    <row r="532" spans="1:14" ht="39.5" customHeight="1">
      <c r="A532" s="4" t="s">
        <v>6566</v>
      </c>
      <c r="B532" s="4" t="s">
        <v>6608</v>
      </c>
      <c r="C532" s="4" t="s">
        <v>24</v>
      </c>
      <c r="D532" s="4" t="s">
        <v>2659</v>
      </c>
      <c r="E532" s="4" t="s">
        <v>2649</v>
      </c>
      <c r="F532" s="4" t="s">
        <v>74</v>
      </c>
      <c r="G532" s="4"/>
      <c r="H532" s="4">
        <v>2</v>
      </c>
      <c r="I532" s="4" t="s">
        <v>6585</v>
      </c>
      <c r="J532" s="204" t="s">
        <v>2276</v>
      </c>
      <c r="K532" s="4"/>
      <c r="L532" s="204" t="s">
        <v>2276</v>
      </c>
      <c r="M532" s="4"/>
      <c r="N532" s="4" t="s">
        <v>6586</v>
      </c>
    </row>
    <row r="533" spans="1:14" ht="39.5" customHeight="1">
      <c r="A533" s="4" t="s">
        <v>6566</v>
      </c>
      <c r="B533" s="4" t="s">
        <v>6609</v>
      </c>
      <c r="C533" s="4" t="s">
        <v>24</v>
      </c>
      <c r="D533" s="4" t="s">
        <v>1242</v>
      </c>
      <c r="E533" s="4" t="s">
        <v>2649</v>
      </c>
      <c r="F533" s="4" t="s">
        <v>74</v>
      </c>
      <c r="G533" s="4"/>
      <c r="H533" s="204" t="s">
        <v>2276</v>
      </c>
      <c r="I533" s="4"/>
      <c r="J533" s="4">
        <v>3</v>
      </c>
      <c r="K533" s="4" t="s">
        <v>6591</v>
      </c>
      <c r="L533" s="204" t="s">
        <v>2276</v>
      </c>
      <c r="M533" s="4"/>
      <c r="N533" s="4" t="s">
        <v>6586</v>
      </c>
    </row>
    <row r="534" spans="1:14" ht="39.5" customHeight="1">
      <c r="A534" s="4" t="s">
        <v>6419</v>
      </c>
      <c r="B534" s="4" t="s">
        <v>6568</v>
      </c>
      <c r="C534" s="4" t="s">
        <v>1105</v>
      </c>
      <c r="D534" s="4" t="s">
        <v>1105</v>
      </c>
      <c r="E534" s="4" t="s">
        <v>2649</v>
      </c>
      <c r="F534" s="4" t="s">
        <v>74</v>
      </c>
      <c r="G534" s="4"/>
      <c r="H534" s="204" t="s">
        <v>2276</v>
      </c>
      <c r="I534" s="4"/>
      <c r="J534" s="204" t="s">
        <v>2276</v>
      </c>
      <c r="K534" s="4"/>
      <c r="L534" s="4">
        <v>3</v>
      </c>
      <c r="M534" s="4"/>
      <c r="N534" s="4" t="s">
        <v>6584</v>
      </c>
    </row>
    <row r="535" spans="1:14" ht="39.5" customHeight="1">
      <c r="A535" s="4" t="s">
        <v>6419</v>
      </c>
      <c r="B535" s="4" t="s">
        <v>6610</v>
      </c>
      <c r="C535" s="4" t="s">
        <v>24</v>
      </c>
      <c r="D535" s="4" t="s">
        <v>2659</v>
      </c>
      <c r="E535" s="4" t="s">
        <v>2649</v>
      </c>
      <c r="F535" s="4" t="s">
        <v>74</v>
      </c>
      <c r="G535" s="4"/>
      <c r="H535" s="4">
        <v>2</v>
      </c>
      <c r="I535" s="4" t="s">
        <v>6585</v>
      </c>
      <c r="J535" s="204" t="s">
        <v>2276</v>
      </c>
      <c r="K535" s="4"/>
      <c r="L535" s="204" t="s">
        <v>2276</v>
      </c>
      <c r="M535" s="4"/>
      <c r="N535" s="4" t="s">
        <v>6586</v>
      </c>
    </row>
    <row r="536" spans="1:14" ht="39.5" customHeight="1">
      <c r="A536" s="4" t="s">
        <v>6420</v>
      </c>
      <c r="B536" s="4" t="s">
        <v>6569</v>
      </c>
      <c r="C536" s="4" t="s">
        <v>1105</v>
      </c>
      <c r="D536" s="4" t="s">
        <v>1105</v>
      </c>
      <c r="E536" s="4" t="s">
        <v>2649</v>
      </c>
      <c r="F536" s="4" t="s">
        <v>74</v>
      </c>
      <c r="G536" s="4"/>
      <c r="H536" s="204" t="s">
        <v>2276</v>
      </c>
      <c r="I536" s="4"/>
      <c r="J536" s="204" t="s">
        <v>2276</v>
      </c>
      <c r="K536" s="4"/>
      <c r="L536" s="4">
        <v>3</v>
      </c>
      <c r="M536" s="4"/>
      <c r="N536" s="4" t="s">
        <v>6586</v>
      </c>
    </row>
    <row r="537" spans="1:14" ht="39.5" customHeight="1">
      <c r="A537" s="4" t="s">
        <v>6420</v>
      </c>
      <c r="B537" s="4" t="s">
        <v>6611</v>
      </c>
      <c r="C537" s="4" t="s">
        <v>24</v>
      </c>
      <c r="D537" s="4" t="s">
        <v>2659</v>
      </c>
      <c r="E537" s="4" t="s">
        <v>2649</v>
      </c>
      <c r="F537" s="4" t="s">
        <v>74</v>
      </c>
      <c r="G537" s="4"/>
      <c r="H537" s="4">
        <v>2</v>
      </c>
      <c r="I537" s="4" t="s">
        <v>6585</v>
      </c>
      <c r="J537" s="204" t="s">
        <v>2276</v>
      </c>
      <c r="K537" s="4"/>
      <c r="L537" s="204" t="s">
        <v>2276</v>
      </c>
      <c r="M537" s="4"/>
      <c r="N537" s="4" t="s">
        <v>6586</v>
      </c>
    </row>
    <row r="538" spans="1:14" ht="39.5" customHeight="1">
      <c r="A538" s="4" t="s">
        <v>6421</v>
      </c>
      <c r="B538" s="4" t="s">
        <v>6570</v>
      </c>
      <c r="C538" s="4" t="s">
        <v>1105</v>
      </c>
      <c r="D538" s="4" t="s">
        <v>1105</v>
      </c>
      <c r="E538" s="4" t="s">
        <v>2649</v>
      </c>
      <c r="F538" s="4" t="s">
        <v>74</v>
      </c>
      <c r="G538" s="4"/>
      <c r="H538" s="204" t="s">
        <v>2276</v>
      </c>
      <c r="I538" s="4"/>
      <c r="J538" s="204" t="s">
        <v>2276</v>
      </c>
      <c r="K538" s="4"/>
      <c r="L538" s="4">
        <v>3</v>
      </c>
      <c r="M538" s="4"/>
      <c r="N538" s="4" t="s">
        <v>6584</v>
      </c>
    </row>
    <row r="539" spans="1:14" ht="39.5" customHeight="1">
      <c r="A539" s="4" t="s">
        <v>6421</v>
      </c>
      <c r="B539" s="4" t="s">
        <v>6612</v>
      </c>
      <c r="C539" s="4" t="s">
        <v>24</v>
      </c>
      <c r="D539" s="4" t="s">
        <v>2659</v>
      </c>
      <c r="E539" s="4" t="s">
        <v>2649</v>
      </c>
      <c r="F539" s="4" t="s">
        <v>74</v>
      </c>
      <c r="G539" s="4"/>
      <c r="H539" s="4">
        <v>2</v>
      </c>
      <c r="I539" s="4" t="s">
        <v>6585</v>
      </c>
      <c r="J539" s="204" t="s">
        <v>2276</v>
      </c>
      <c r="K539" s="4"/>
      <c r="L539" s="204" t="s">
        <v>2276</v>
      </c>
      <c r="M539" s="4"/>
      <c r="N539" s="4" t="s">
        <v>6586</v>
      </c>
    </row>
    <row r="540" spans="1:14" ht="39.5" customHeight="1">
      <c r="A540" s="4" t="s">
        <v>6421</v>
      </c>
      <c r="B540" s="4" t="s">
        <v>6613</v>
      </c>
      <c r="C540" s="4" t="s">
        <v>24</v>
      </c>
      <c r="D540" s="4" t="s">
        <v>1242</v>
      </c>
      <c r="E540" s="4" t="s">
        <v>2649</v>
      </c>
      <c r="F540" s="4" t="s">
        <v>74</v>
      </c>
      <c r="G540" s="4"/>
      <c r="H540" s="204" t="s">
        <v>2276</v>
      </c>
      <c r="I540" s="4"/>
      <c r="J540" s="4">
        <v>2</v>
      </c>
      <c r="K540" s="4" t="s">
        <v>6580</v>
      </c>
      <c r="L540" s="204" t="s">
        <v>2276</v>
      </c>
      <c r="M540" s="4"/>
      <c r="N540" s="4" t="s">
        <v>6586</v>
      </c>
    </row>
    <row r="541" spans="1:14" ht="39.5" customHeight="1">
      <c r="A541" s="4" t="s">
        <v>6422</v>
      </c>
      <c r="B541" s="4" t="s">
        <v>6571</v>
      </c>
      <c r="C541" s="4" t="s">
        <v>1105</v>
      </c>
      <c r="D541" s="4" t="s">
        <v>1105</v>
      </c>
      <c r="E541" s="4" t="s">
        <v>2649</v>
      </c>
      <c r="F541" s="4" t="s">
        <v>74</v>
      </c>
      <c r="G541" s="4"/>
      <c r="H541" s="204" t="s">
        <v>2276</v>
      </c>
      <c r="I541" s="4"/>
      <c r="J541" s="204" t="s">
        <v>2276</v>
      </c>
      <c r="K541" s="4"/>
      <c r="L541" s="4">
        <v>3</v>
      </c>
      <c r="M541" s="4"/>
      <c r="N541" s="4" t="s">
        <v>6584</v>
      </c>
    </row>
    <row r="542" spans="1:14" ht="39.5" customHeight="1">
      <c r="A542" s="4" t="s">
        <v>6422</v>
      </c>
      <c r="B542" s="4" t="s">
        <v>6614</v>
      </c>
      <c r="C542" s="4" t="s">
        <v>24</v>
      </c>
      <c r="D542" s="4" t="s">
        <v>2659</v>
      </c>
      <c r="E542" s="4" t="s">
        <v>2649</v>
      </c>
      <c r="F542" s="4" t="s">
        <v>74</v>
      </c>
      <c r="G542" s="4"/>
      <c r="H542" s="4">
        <v>2</v>
      </c>
      <c r="I542" s="4" t="s">
        <v>6585</v>
      </c>
      <c r="J542" s="204" t="s">
        <v>2276</v>
      </c>
      <c r="K542" s="4"/>
      <c r="L542" s="204" t="s">
        <v>2276</v>
      </c>
      <c r="M542" s="4"/>
      <c r="N542" s="4" t="s">
        <v>6586</v>
      </c>
    </row>
    <row r="543" spans="1:14" ht="39.5" customHeight="1">
      <c r="A543" s="4" t="s">
        <v>6422</v>
      </c>
      <c r="B543" s="4" t="s">
        <v>6615</v>
      </c>
      <c r="C543" s="4" t="s">
        <v>24</v>
      </c>
      <c r="D543" s="4" t="s">
        <v>1242</v>
      </c>
      <c r="E543" s="4" t="s">
        <v>2649</v>
      </c>
      <c r="F543" s="4" t="s">
        <v>74</v>
      </c>
      <c r="G543" s="4"/>
      <c r="H543" s="204" t="s">
        <v>2276</v>
      </c>
      <c r="I543" s="4"/>
      <c r="J543" s="4">
        <v>3</v>
      </c>
      <c r="K543" s="4" t="s">
        <v>6589</v>
      </c>
      <c r="L543" s="204" t="s">
        <v>2276</v>
      </c>
      <c r="M543" s="4"/>
      <c r="N543" s="4" t="s">
        <v>6586</v>
      </c>
    </row>
    <row r="544" spans="1:14" ht="39.5" customHeight="1">
      <c r="A544" s="4" t="s">
        <v>6423</v>
      </c>
      <c r="B544" s="4" t="s">
        <v>6572</v>
      </c>
      <c r="C544" s="4" t="s">
        <v>6540</v>
      </c>
      <c r="D544" s="38" t="s">
        <v>30</v>
      </c>
      <c r="E544" s="4" t="s">
        <v>137</v>
      </c>
      <c r="F544" s="4" t="s">
        <v>74</v>
      </c>
      <c r="G544" s="4"/>
      <c r="H544" s="204" t="s">
        <v>2276</v>
      </c>
      <c r="I544" s="4"/>
      <c r="J544" s="4">
        <v>0</v>
      </c>
      <c r="K544" s="4"/>
      <c r="L544" s="4">
        <v>1</v>
      </c>
      <c r="M544" s="4"/>
      <c r="N544" s="166" t="s">
        <v>7866</v>
      </c>
    </row>
    <row r="545" spans="1:14" ht="39.5" customHeight="1">
      <c r="A545" s="4" t="s">
        <v>6423</v>
      </c>
      <c r="B545" s="4" t="s">
        <v>6573</v>
      </c>
      <c r="C545" s="4" t="s">
        <v>2656</v>
      </c>
      <c r="D545" s="38" t="s">
        <v>2276</v>
      </c>
      <c r="E545" s="4" t="s">
        <v>137</v>
      </c>
      <c r="F545" s="4" t="s">
        <v>74</v>
      </c>
      <c r="G545" s="4"/>
      <c r="H545" s="204" t="s">
        <v>2276</v>
      </c>
      <c r="I545" s="4"/>
      <c r="J545" s="4">
        <v>0</v>
      </c>
      <c r="K545" s="4"/>
      <c r="L545" s="4">
        <v>1</v>
      </c>
      <c r="M545" s="4"/>
      <c r="N545" s="166" t="s">
        <v>7866</v>
      </c>
    </row>
    <row r="546" spans="1:14" ht="39.5" customHeight="1">
      <c r="A546" s="4" t="s">
        <v>6424</v>
      </c>
      <c r="B546" s="4" t="s">
        <v>6616</v>
      </c>
      <c r="C546" s="4" t="s">
        <v>6540</v>
      </c>
      <c r="D546" s="38" t="s">
        <v>30</v>
      </c>
      <c r="E546" s="4" t="s">
        <v>2649</v>
      </c>
      <c r="F546" s="4" t="s">
        <v>74</v>
      </c>
      <c r="G546" s="4"/>
      <c r="H546" s="204" t="s">
        <v>2276</v>
      </c>
      <c r="I546" s="4"/>
      <c r="J546" s="204" t="s">
        <v>2276</v>
      </c>
      <c r="K546" s="4"/>
      <c r="L546" s="4">
        <v>3</v>
      </c>
      <c r="M546" s="4"/>
      <c r="N546" s="166"/>
    </row>
    <row r="547" spans="1:14" ht="39.5" customHeight="1">
      <c r="A547" s="4" t="s">
        <v>6424</v>
      </c>
      <c r="B547" s="4" t="s">
        <v>6617</v>
      </c>
      <c r="C547" s="4" t="s">
        <v>2656</v>
      </c>
      <c r="D547" s="38" t="s">
        <v>2276</v>
      </c>
      <c r="E547" s="4" t="s">
        <v>2649</v>
      </c>
      <c r="F547" s="4" t="s">
        <v>74</v>
      </c>
      <c r="G547" s="4"/>
      <c r="H547" s="204" t="s">
        <v>2276</v>
      </c>
      <c r="I547" s="4"/>
      <c r="J547" s="204" t="s">
        <v>2276</v>
      </c>
      <c r="K547" s="4"/>
      <c r="L547" s="4">
        <v>3</v>
      </c>
      <c r="M547" s="4"/>
      <c r="N547" s="166"/>
    </row>
    <row r="548" spans="1:14" ht="39.5" customHeight="1">
      <c r="A548" s="4" t="s">
        <v>6425</v>
      </c>
      <c r="B548" s="4" t="s">
        <v>6574</v>
      </c>
      <c r="C548" s="4" t="s">
        <v>1105</v>
      </c>
      <c r="D548" s="4" t="s">
        <v>1105</v>
      </c>
      <c r="E548" s="4" t="s">
        <v>2649</v>
      </c>
      <c r="F548" s="4" t="s">
        <v>74</v>
      </c>
      <c r="G548" s="4"/>
      <c r="H548" s="204" t="s">
        <v>2276</v>
      </c>
      <c r="I548" s="4"/>
      <c r="J548" s="4">
        <v>0</v>
      </c>
      <c r="K548" s="4"/>
      <c r="L548" s="4">
        <v>2</v>
      </c>
      <c r="M548" s="4" t="s">
        <v>6592</v>
      </c>
      <c r="N548" s="4" t="s">
        <v>6593</v>
      </c>
    </row>
    <row r="549" spans="1:14" ht="39.5" customHeight="1">
      <c r="A549" s="4" t="s">
        <v>6426</v>
      </c>
      <c r="B549" s="4" t="s">
        <v>6577</v>
      </c>
      <c r="C549" s="4" t="s">
        <v>24</v>
      </c>
      <c r="D549" s="4" t="s">
        <v>1242</v>
      </c>
      <c r="E549" s="4" t="s">
        <v>2649</v>
      </c>
      <c r="F549" s="4" t="s">
        <v>74</v>
      </c>
      <c r="G549" s="4"/>
      <c r="H549" s="4">
        <v>2</v>
      </c>
      <c r="I549" s="4" t="s">
        <v>6594</v>
      </c>
      <c r="J549" s="4">
        <v>2</v>
      </c>
      <c r="K549" s="4" t="s">
        <v>6580</v>
      </c>
      <c r="L549" s="204" t="s">
        <v>2276</v>
      </c>
      <c r="M549" s="4"/>
      <c r="N549" s="4"/>
    </row>
    <row r="550" spans="1:14" ht="39.5" customHeight="1">
      <c r="A550" s="4" t="s">
        <v>6427</v>
      </c>
      <c r="B550" s="4" t="s">
        <v>6578</v>
      </c>
      <c r="C550" s="4" t="s">
        <v>24</v>
      </c>
      <c r="D550" s="4" t="s">
        <v>1242</v>
      </c>
      <c r="E550" s="4" t="s">
        <v>2649</v>
      </c>
      <c r="F550" s="4" t="s">
        <v>74</v>
      </c>
      <c r="G550" s="4"/>
      <c r="H550" s="204" t="s">
        <v>2276</v>
      </c>
      <c r="I550" s="4"/>
      <c r="J550" s="4">
        <v>2</v>
      </c>
      <c r="K550" s="4" t="s">
        <v>6580</v>
      </c>
      <c r="L550" s="204" t="s">
        <v>2276</v>
      </c>
      <c r="M550" s="4"/>
      <c r="N550" s="4" t="s">
        <v>6595</v>
      </c>
    </row>
    <row r="551" spans="1:14" ht="39.5" customHeight="1">
      <c r="A551" s="19" t="s">
        <v>6989</v>
      </c>
      <c r="B551" s="19" t="s">
        <v>6992</v>
      </c>
      <c r="C551" s="204" t="s">
        <v>1105</v>
      </c>
      <c r="D551" s="204" t="s">
        <v>1105</v>
      </c>
      <c r="E551" s="4" t="s">
        <v>45</v>
      </c>
      <c r="F551" s="204" t="s">
        <v>55</v>
      </c>
      <c r="G551" s="204"/>
      <c r="H551" s="204"/>
      <c r="I551" s="204"/>
      <c r="J551" s="204">
        <v>2</v>
      </c>
      <c r="K551" s="204" t="s">
        <v>6994</v>
      </c>
      <c r="L551" s="204"/>
      <c r="M551" s="204"/>
      <c r="N551" s="204"/>
    </row>
    <row r="552" spans="1:14" ht="39.5" customHeight="1">
      <c r="A552" s="19" t="s">
        <v>6989</v>
      </c>
      <c r="B552" s="19" t="s">
        <v>6993</v>
      </c>
      <c r="C552" s="204" t="s">
        <v>1105</v>
      </c>
      <c r="D552" s="204" t="s">
        <v>1105</v>
      </c>
      <c r="E552" s="4" t="s">
        <v>5801</v>
      </c>
      <c r="F552" s="204" t="s">
        <v>55</v>
      </c>
      <c r="G552" s="204"/>
      <c r="H552" s="204"/>
      <c r="I552" s="204"/>
      <c r="J552" s="204">
        <v>0</v>
      </c>
      <c r="K552" s="204" t="s">
        <v>6995</v>
      </c>
      <c r="L552" s="204"/>
      <c r="M552" s="204"/>
      <c r="N552" s="204"/>
    </row>
    <row r="553" spans="1:14" ht="38.5" customHeight="1">
      <c r="A553" s="19" t="s">
        <v>7047</v>
      </c>
      <c r="B553" s="19" t="s">
        <v>7050</v>
      </c>
      <c r="C553" s="204" t="s">
        <v>24</v>
      </c>
      <c r="D553" s="204" t="s">
        <v>1242</v>
      </c>
      <c r="E553" s="4" t="s">
        <v>45</v>
      </c>
      <c r="F553" s="204" t="s">
        <v>28</v>
      </c>
      <c r="G553" s="204"/>
      <c r="H553" s="204"/>
      <c r="I553" s="204"/>
      <c r="J553" s="204">
        <v>1</v>
      </c>
      <c r="K553" s="19" t="s">
        <v>7058</v>
      </c>
      <c r="L553" s="204"/>
      <c r="M553" s="204"/>
      <c r="N553" s="204"/>
    </row>
    <row r="554" spans="1:14" ht="39" customHeight="1">
      <c r="A554" s="19" t="s">
        <v>7060</v>
      </c>
      <c r="B554" s="19" t="s">
        <v>7068</v>
      </c>
      <c r="C554" s="204" t="s">
        <v>1105</v>
      </c>
      <c r="D554" s="204" t="s">
        <v>1105</v>
      </c>
      <c r="E554" s="4" t="s">
        <v>3209</v>
      </c>
      <c r="F554" s="204" t="s">
        <v>2276</v>
      </c>
      <c r="G554" s="204"/>
      <c r="H554" s="204" t="s">
        <v>2276</v>
      </c>
      <c r="I554" s="204" t="s">
        <v>2276</v>
      </c>
      <c r="J554" s="204">
        <v>1</v>
      </c>
      <c r="K554" s="204" t="s">
        <v>7078</v>
      </c>
      <c r="L554" s="4">
        <v>2</v>
      </c>
      <c r="M554" s="204" t="s">
        <v>7077</v>
      </c>
      <c r="N554" s="204"/>
    </row>
    <row r="555" spans="1:14" ht="50.5" customHeight="1">
      <c r="A555" s="19" t="s">
        <v>7060</v>
      </c>
      <c r="B555" s="19" t="s">
        <v>7069</v>
      </c>
      <c r="C555" s="204" t="s">
        <v>24</v>
      </c>
      <c r="D555" s="204" t="s">
        <v>2276</v>
      </c>
      <c r="E555" s="4" t="s">
        <v>45</v>
      </c>
      <c r="F555" s="204" t="s">
        <v>2276</v>
      </c>
      <c r="G555" s="204"/>
      <c r="H555" s="204">
        <v>0</v>
      </c>
      <c r="I555" s="4" t="s">
        <v>7079</v>
      </c>
      <c r="J555" s="204" t="s">
        <v>2276</v>
      </c>
      <c r="K555" s="204" t="s">
        <v>2276</v>
      </c>
      <c r="L555" s="204" t="s">
        <v>2276</v>
      </c>
      <c r="M555" s="204" t="s">
        <v>2276</v>
      </c>
      <c r="N555" s="204"/>
    </row>
    <row r="556" spans="1:14" ht="50.5" customHeight="1">
      <c r="A556" s="19" t="s">
        <v>7060</v>
      </c>
      <c r="B556" s="19" t="s">
        <v>7070</v>
      </c>
      <c r="C556" s="204" t="s">
        <v>24</v>
      </c>
      <c r="D556" s="204" t="s">
        <v>2276</v>
      </c>
      <c r="E556" s="4" t="s">
        <v>130</v>
      </c>
      <c r="F556" s="204" t="s">
        <v>2276</v>
      </c>
      <c r="G556" s="204"/>
      <c r="H556" s="204">
        <v>0</v>
      </c>
      <c r="I556" s="4" t="s">
        <v>7079</v>
      </c>
      <c r="J556" s="204" t="s">
        <v>2276</v>
      </c>
      <c r="K556" s="204" t="s">
        <v>2276</v>
      </c>
      <c r="L556" s="204" t="s">
        <v>2276</v>
      </c>
      <c r="M556" s="204" t="s">
        <v>2276</v>
      </c>
      <c r="N556" s="204"/>
    </row>
    <row r="557" spans="1:14" ht="36.5" customHeight="1">
      <c r="A557" s="19" t="s">
        <v>7080</v>
      </c>
      <c r="B557" s="19" t="s">
        <v>7084</v>
      </c>
      <c r="C557" s="204" t="s">
        <v>24</v>
      </c>
      <c r="D557" s="204" t="s">
        <v>1242</v>
      </c>
      <c r="E557" s="4" t="s">
        <v>3209</v>
      </c>
      <c r="F557" s="4" t="s">
        <v>2662</v>
      </c>
      <c r="G557" s="204"/>
      <c r="H557" s="204">
        <v>3</v>
      </c>
      <c r="I557" s="204" t="s">
        <v>7090</v>
      </c>
      <c r="J557" s="204">
        <v>2</v>
      </c>
      <c r="K557" s="204" t="s">
        <v>7089</v>
      </c>
      <c r="L557" s="204" t="s">
        <v>2276</v>
      </c>
      <c r="M557" s="204" t="s">
        <v>2276</v>
      </c>
      <c r="N557" s="204"/>
    </row>
    <row r="558" spans="1:14" ht="35.5" customHeight="1">
      <c r="A558" s="19" t="s">
        <v>7080</v>
      </c>
      <c r="B558" s="19" t="s">
        <v>7085</v>
      </c>
      <c r="C558" s="204" t="s">
        <v>24</v>
      </c>
      <c r="D558" s="204" t="s">
        <v>1105</v>
      </c>
      <c r="E558" s="4" t="s">
        <v>5801</v>
      </c>
      <c r="F558" s="4" t="s">
        <v>2662</v>
      </c>
      <c r="G558" s="204"/>
      <c r="H558" s="204" t="s">
        <v>2276</v>
      </c>
      <c r="I558" s="204" t="s">
        <v>2276</v>
      </c>
      <c r="J558" s="204">
        <v>0</v>
      </c>
      <c r="K558" s="4" t="s">
        <v>7091</v>
      </c>
      <c r="L558" s="204" t="s">
        <v>2276</v>
      </c>
      <c r="M558" s="204" t="s">
        <v>2276</v>
      </c>
      <c r="N558" s="204"/>
    </row>
    <row r="559" spans="1:14" ht="29">
      <c r="A559" s="19" t="s">
        <v>7080</v>
      </c>
      <c r="B559" s="19" t="s">
        <v>7086</v>
      </c>
      <c r="C559" s="204" t="s">
        <v>24</v>
      </c>
      <c r="D559" s="204" t="s">
        <v>1242</v>
      </c>
      <c r="E559" s="4" t="s">
        <v>3209</v>
      </c>
      <c r="F559" s="4" t="s">
        <v>2662</v>
      </c>
      <c r="G559" s="204"/>
      <c r="H559" s="204">
        <v>3</v>
      </c>
      <c r="I559" s="204" t="s">
        <v>7090</v>
      </c>
      <c r="J559" s="204">
        <v>2</v>
      </c>
      <c r="K559" s="204" t="s">
        <v>7089</v>
      </c>
      <c r="L559" s="204" t="s">
        <v>2276</v>
      </c>
      <c r="M559" s="204" t="s">
        <v>2276</v>
      </c>
      <c r="N559" s="204"/>
    </row>
    <row r="560" spans="1:14" ht="36.5" customHeight="1">
      <c r="A560" s="19" t="s">
        <v>7095</v>
      </c>
      <c r="B560" s="19" t="s">
        <v>7184</v>
      </c>
      <c r="C560" s="204" t="s">
        <v>1105</v>
      </c>
      <c r="D560" s="204" t="s">
        <v>1105</v>
      </c>
      <c r="E560" s="4" t="s">
        <v>45</v>
      </c>
      <c r="F560" s="4" t="s">
        <v>2662</v>
      </c>
      <c r="G560" s="204"/>
      <c r="H560" s="204" t="s">
        <v>2276</v>
      </c>
      <c r="I560" s="204" t="s">
        <v>2276</v>
      </c>
      <c r="J560" s="204">
        <v>2</v>
      </c>
      <c r="K560" s="4" t="s">
        <v>7188</v>
      </c>
      <c r="L560" s="204" t="s">
        <v>2276</v>
      </c>
      <c r="M560" s="204" t="s">
        <v>2276</v>
      </c>
      <c r="N560" s="204"/>
    </row>
    <row r="561" spans="1:14" ht="36.5" customHeight="1">
      <c r="A561" s="19" t="s">
        <v>7095</v>
      </c>
      <c r="B561" s="19" t="s">
        <v>7185</v>
      </c>
      <c r="C561" s="204" t="s">
        <v>1105</v>
      </c>
      <c r="D561" s="204" t="s">
        <v>1105</v>
      </c>
      <c r="E561" s="4" t="s">
        <v>5801</v>
      </c>
      <c r="F561" s="4" t="s">
        <v>2662</v>
      </c>
      <c r="G561" s="204"/>
      <c r="H561" s="204" t="s">
        <v>2276</v>
      </c>
      <c r="I561" s="204" t="s">
        <v>2276</v>
      </c>
      <c r="J561" s="204">
        <v>0</v>
      </c>
      <c r="K561" s="4" t="s">
        <v>7091</v>
      </c>
      <c r="L561" s="204" t="s">
        <v>2276</v>
      </c>
      <c r="M561" s="204" t="s">
        <v>2276</v>
      </c>
      <c r="N561" s="204"/>
    </row>
    <row r="562" spans="1:14" ht="36.5" customHeight="1">
      <c r="A562" s="19" t="s">
        <v>7115</v>
      </c>
      <c r="B562" s="19" t="s">
        <v>7186</v>
      </c>
      <c r="C562" s="204" t="s">
        <v>1105</v>
      </c>
      <c r="D562" s="204" t="s">
        <v>1105</v>
      </c>
      <c r="E562" s="4" t="s">
        <v>5801</v>
      </c>
      <c r="F562" s="4" t="s">
        <v>2662</v>
      </c>
      <c r="G562" s="204"/>
      <c r="H562" s="204" t="s">
        <v>2276</v>
      </c>
      <c r="I562" s="204" t="s">
        <v>2276</v>
      </c>
      <c r="J562" s="204">
        <v>0</v>
      </c>
      <c r="K562" s="4" t="s">
        <v>7091</v>
      </c>
      <c r="L562" s="204" t="s">
        <v>2276</v>
      </c>
      <c r="M562" s="204" t="s">
        <v>2276</v>
      </c>
      <c r="N562" s="204"/>
    </row>
    <row r="563" spans="1:14" ht="36.5" customHeight="1">
      <c r="A563" s="19" t="s">
        <v>7115</v>
      </c>
      <c r="B563" s="19" t="s">
        <v>7187</v>
      </c>
      <c r="C563" s="204" t="s">
        <v>1105</v>
      </c>
      <c r="D563" s="204" t="s">
        <v>1105</v>
      </c>
      <c r="E563" s="4" t="s">
        <v>5801</v>
      </c>
      <c r="F563" s="4" t="s">
        <v>2662</v>
      </c>
      <c r="G563" s="204"/>
      <c r="H563" s="204" t="s">
        <v>2276</v>
      </c>
      <c r="I563" s="204" t="s">
        <v>2276</v>
      </c>
      <c r="J563" s="204">
        <v>0</v>
      </c>
      <c r="K563" s="4" t="s">
        <v>7091</v>
      </c>
      <c r="L563" s="204" t="s">
        <v>2276</v>
      </c>
      <c r="M563" s="204" t="s">
        <v>2276</v>
      </c>
      <c r="N563" s="204"/>
    </row>
    <row r="564" spans="1:14" ht="30" customHeight="1">
      <c r="A564" s="19" t="s">
        <v>7120</v>
      </c>
      <c r="B564" s="19" t="s">
        <v>7189</v>
      </c>
      <c r="C564" s="204" t="s">
        <v>1105</v>
      </c>
      <c r="D564" s="204" t="s">
        <v>1105</v>
      </c>
      <c r="E564" s="4" t="s">
        <v>45</v>
      </c>
      <c r="F564" s="4" t="s">
        <v>2662</v>
      </c>
      <c r="G564" s="204"/>
      <c r="H564" s="204" t="s">
        <v>2276</v>
      </c>
      <c r="I564" s="204" t="s">
        <v>2276</v>
      </c>
      <c r="J564" s="204">
        <v>2</v>
      </c>
      <c r="K564" s="4" t="s">
        <v>7188</v>
      </c>
      <c r="L564" s="204" t="s">
        <v>2276</v>
      </c>
      <c r="M564" s="204" t="s">
        <v>2276</v>
      </c>
      <c r="N564" s="204"/>
    </row>
    <row r="565" spans="1:14" ht="29">
      <c r="A565" s="19" t="s">
        <v>7120</v>
      </c>
      <c r="B565" s="19" t="s">
        <v>7194</v>
      </c>
      <c r="C565" s="204" t="s">
        <v>1105</v>
      </c>
      <c r="D565" s="204" t="s">
        <v>1105</v>
      </c>
      <c r="E565" s="4" t="s">
        <v>5801</v>
      </c>
      <c r="F565" s="4" t="s">
        <v>2662</v>
      </c>
      <c r="G565" s="204"/>
      <c r="H565" s="204" t="s">
        <v>2276</v>
      </c>
      <c r="I565" s="204" t="s">
        <v>2276</v>
      </c>
      <c r="J565" s="204">
        <v>0</v>
      </c>
      <c r="K565" s="4" t="s">
        <v>7091</v>
      </c>
      <c r="L565" s="204" t="s">
        <v>2276</v>
      </c>
      <c r="M565" s="204" t="s">
        <v>2276</v>
      </c>
      <c r="N565" s="204"/>
    </row>
    <row r="566" spans="1:14" ht="29">
      <c r="A566" s="19" t="s">
        <v>7121</v>
      </c>
      <c r="B566" s="19" t="s">
        <v>7190</v>
      </c>
      <c r="C566" s="204" t="s">
        <v>1105</v>
      </c>
      <c r="D566" s="204" t="s">
        <v>1105</v>
      </c>
      <c r="E566" s="4" t="s">
        <v>45</v>
      </c>
      <c r="F566" s="4" t="s">
        <v>2662</v>
      </c>
      <c r="G566" s="204"/>
      <c r="H566" s="204" t="s">
        <v>2276</v>
      </c>
      <c r="I566" s="204" t="s">
        <v>2276</v>
      </c>
      <c r="J566" s="204">
        <v>2</v>
      </c>
      <c r="K566" s="4" t="s">
        <v>7188</v>
      </c>
      <c r="L566" s="204" t="s">
        <v>2276</v>
      </c>
      <c r="M566" s="204" t="s">
        <v>2276</v>
      </c>
      <c r="N566" s="204"/>
    </row>
    <row r="567" spans="1:14" ht="29">
      <c r="A567" s="19" t="s">
        <v>7121</v>
      </c>
      <c r="B567" s="19" t="s">
        <v>7195</v>
      </c>
      <c r="C567" s="204" t="s">
        <v>1105</v>
      </c>
      <c r="D567" s="204" t="s">
        <v>1105</v>
      </c>
      <c r="E567" s="4" t="s">
        <v>5801</v>
      </c>
      <c r="F567" s="4" t="s">
        <v>2662</v>
      </c>
      <c r="G567" s="204"/>
      <c r="H567" s="204" t="s">
        <v>2276</v>
      </c>
      <c r="I567" s="204" t="s">
        <v>2276</v>
      </c>
      <c r="J567" s="204">
        <v>0</v>
      </c>
      <c r="K567" s="4" t="s">
        <v>7091</v>
      </c>
      <c r="L567" s="204" t="s">
        <v>2276</v>
      </c>
      <c r="M567" s="204" t="s">
        <v>2276</v>
      </c>
      <c r="N567" s="204"/>
    </row>
    <row r="568" spans="1:14" ht="29">
      <c r="A568" s="19" t="s">
        <v>7122</v>
      </c>
      <c r="B568" s="19" t="s">
        <v>7191</v>
      </c>
      <c r="C568" s="204" t="s">
        <v>1105</v>
      </c>
      <c r="D568" s="204" t="s">
        <v>1105</v>
      </c>
      <c r="E568" s="4" t="s">
        <v>45</v>
      </c>
      <c r="F568" s="4" t="s">
        <v>2662</v>
      </c>
      <c r="G568" s="204"/>
      <c r="H568" s="204" t="s">
        <v>2276</v>
      </c>
      <c r="I568" s="204" t="s">
        <v>2276</v>
      </c>
      <c r="J568" s="204">
        <v>2</v>
      </c>
      <c r="K568" s="4" t="s">
        <v>7188</v>
      </c>
      <c r="L568" s="204" t="s">
        <v>2276</v>
      </c>
      <c r="M568" s="204" t="s">
        <v>2276</v>
      </c>
      <c r="N568" s="204"/>
    </row>
    <row r="569" spans="1:14" ht="29">
      <c r="A569" s="19" t="s">
        <v>7122</v>
      </c>
      <c r="B569" s="19" t="s">
        <v>7196</v>
      </c>
      <c r="C569" s="204" t="s">
        <v>1105</v>
      </c>
      <c r="D569" s="204" t="s">
        <v>1105</v>
      </c>
      <c r="E569" s="4" t="s">
        <v>5801</v>
      </c>
      <c r="F569" s="4" t="s">
        <v>2662</v>
      </c>
      <c r="G569" s="204"/>
      <c r="H569" s="204" t="s">
        <v>2276</v>
      </c>
      <c r="I569" s="204" t="s">
        <v>2276</v>
      </c>
      <c r="J569" s="204">
        <v>0</v>
      </c>
      <c r="K569" s="4" t="s">
        <v>7091</v>
      </c>
      <c r="L569" s="204" t="s">
        <v>2276</v>
      </c>
      <c r="M569" s="204" t="s">
        <v>2276</v>
      </c>
      <c r="N569" s="204"/>
    </row>
    <row r="570" spans="1:14" ht="29">
      <c r="A570" s="19" t="s">
        <v>7123</v>
      </c>
      <c r="B570" s="19" t="s">
        <v>7192</v>
      </c>
      <c r="C570" s="204" t="s">
        <v>1105</v>
      </c>
      <c r="D570" s="204" t="s">
        <v>1105</v>
      </c>
      <c r="E570" s="4" t="s">
        <v>45</v>
      </c>
      <c r="F570" s="4" t="s">
        <v>2662</v>
      </c>
      <c r="G570" s="204"/>
      <c r="H570" s="204" t="s">
        <v>2276</v>
      </c>
      <c r="I570" s="204" t="s">
        <v>2276</v>
      </c>
      <c r="J570" s="204">
        <v>2</v>
      </c>
      <c r="K570" s="4" t="s">
        <v>7188</v>
      </c>
      <c r="L570" s="204" t="s">
        <v>2276</v>
      </c>
      <c r="M570" s="204" t="s">
        <v>2276</v>
      </c>
      <c r="N570" s="204"/>
    </row>
    <row r="571" spans="1:14" ht="29">
      <c r="A571" s="19" t="s">
        <v>7123</v>
      </c>
      <c r="B571" s="19" t="s">
        <v>7197</v>
      </c>
      <c r="C571" s="204" t="s">
        <v>1105</v>
      </c>
      <c r="D571" s="204" t="s">
        <v>1105</v>
      </c>
      <c r="E571" s="4" t="s">
        <v>5801</v>
      </c>
      <c r="F571" s="4" t="s">
        <v>2662</v>
      </c>
      <c r="G571" s="204"/>
      <c r="H571" s="204" t="s">
        <v>2276</v>
      </c>
      <c r="I571" s="204" t="s">
        <v>2276</v>
      </c>
      <c r="J571" s="204">
        <v>0</v>
      </c>
      <c r="K571" s="4" t="s">
        <v>7091</v>
      </c>
      <c r="L571" s="204" t="s">
        <v>2276</v>
      </c>
      <c r="M571" s="204" t="s">
        <v>2276</v>
      </c>
      <c r="N571" s="204"/>
    </row>
    <row r="572" spans="1:14" ht="29">
      <c r="A572" s="19" t="s">
        <v>7124</v>
      </c>
      <c r="B572" s="19" t="s">
        <v>7193</v>
      </c>
      <c r="C572" s="204" t="s">
        <v>1105</v>
      </c>
      <c r="D572" s="204" t="s">
        <v>1105</v>
      </c>
      <c r="E572" s="4" t="s">
        <v>45</v>
      </c>
      <c r="F572" s="4" t="s">
        <v>2662</v>
      </c>
      <c r="G572" s="204"/>
      <c r="H572" s="204" t="s">
        <v>2276</v>
      </c>
      <c r="I572" s="204" t="s">
        <v>2276</v>
      </c>
      <c r="J572" s="204">
        <v>2</v>
      </c>
      <c r="K572" s="4" t="s">
        <v>7188</v>
      </c>
      <c r="L572" s="204" t="s">
        <v>2276</v>
      </c>
      <c r="M572" s="204" t="s">
        <v>2276</v>
      </c>
      <c r="N572" s="204"/>
    </row>
    <row r="573" spans="1:14" ht="29">
      <c r="A573" s="19" t="s">
        <v>7124</v>
      </c>
      <c r="B573" s="19" t="s">
        <v>7198</v>
      </c>
      <c r="C573" s="204" t="s">
        <v>1105</v>
      </c>
      <c r="D573" s="204" t="s">
        <v>1105</v>
      </c>
      <c r="E573" s="4" t="s">
        <v>5801</v>
      </c>
      <c r="F573" s="4" t="s">
        <v>2662</v>
      </c>
      <c r="G573" s="204"/>
      <c r="H573" s="204" t="s">
        <v>2276</v>
      </c>
      <c r="I573" s="204" t="s">
        <v>2276</v>
      </c>
      <c r="J573" s="204">
        <v>0</v>
      </c>
      <c r="K573" s="4" t="s">
        <v>7091</v>
      </c>
      <c r="L573" s="204" t="s">
        <v>2276</v>
      </c>
      <c r="M573" s="204" t="s">
        <v>2276</v>
      </c>
      <c r="N573" s="204"/>
    </row>
    <row r="574" spans="1:14" ht="47" customHeight="1">
      <c r="A574" s="19" t="s">
        <v>7126</v>
      </c>
      <c r="B574" s="19" t="s">
        <v>7202</v>
      </c>
      <c r="C574" s="204" t="s">
        <v>1105</v>
      </c>
      <c r="D574" s="204" t="s">
        <v>1105</v>
      </c>
      <c r="E574" s="4" t="s">
        <v>3855</v>
      </c>
      <c r="F574" s="204" t="s">
        <v>28</v>
      </c>
      <c r="G574" s="204"/>
      <c r="H574" s="204" t="s">
        <v>2276</v>
      </c>
      <c r="I574" s="204" t="s">
        <v>2276</v>
      </c>
      <c r="J574" s="204">
        <v>1</v>
      </c>
      <c r="K574" s="4" t="s">
        <v>7203</v>
      </c>
      <c r="L574" s="204" t="s">
        <v>2276</v>
      </c>
      <c r="M574" s="204" t="s">
        <v>2276</v>
      </c>
      <c r="N574" s="204"/>
    </row>
    <row r="575" spans="1:14" ht="40.5" customHeight="1">
      <c r="A575" s="19" t="s">
        <v>7130</v>
      </c>
      <c r="B575" s="19" t="s">
        <v>7204</v>
      </c>
      <c r="C575" s="204" t="s">
        <v>1105</v>
      </c>
      <c r="D575" s="204" t="s">
        <v>1105</v>
      </c>
      <c r="E575" s="4" t="s">
        <v>5801</v>
      </c>
      <c r="F575" s="4" t="s">
        <v>2662</v>
      </c>
      <c r="G575" s="204"/>
      <c r="H575" s="204" t="s">
        <v>2276</v>
      </c>
      <c r="I575" s="204" t="s">
        <v>2276</v>
      </c>
      <c r="J575" s="204">
        <v>0</v>
      </c>
      <c r="K575" s="4" t="s">
        <v>7205</v>
      </c>
      <c r="L575" s="204" t="s">
        <v>2276</v>
      </c>
      <c r="M575" s="204" t="s">
        <v>2276</v>
      </c>
      <c r="N575" s="204"/>
    </row>
    <row r="576" spans="1:14" ht="32.5" customHeight="1">
      <c r="A576" s="19" t="s">
        <v>7132</v>
      </c>
      <c r="B576" s="19" t="s">
        <v>7206</v>
      </c>
      <c r="C576" s="204" t="s">
        <v>1105</v>
      </c>
      <c r="D576" s="204" t="s">
        <v>1105</v>
      </c>
      <c r="E576" s="4" t="s">
        <v>5801</v>
      </c>
      <c r="F576" s="4" t="s">
        <v>2662</v>
      </c>
      <c r="G576" s="204"/>
      <c r="H576" s="204" t="s">
        <v>2276</v>
      </c>
      <c r="I576" s="204" t="s">
        <v>2276</v>
      </c>
      <c r="J576" s="204">
        <v>0</v>
      </c>
      <c r="K576" s="4" t="s">
        <v>7207</v>
      </c>
      <c r="L576" s="204" t="s">
        <v>2276</v>
      </c>
      <c r="M576" s="204" t="s">
        <v>2276</v>
      </c>
      <c r="N576" s="204"/>
    </row>
    <row r="577" spans="1:14" ht="32.5" customHeight="1">
      <c r="A577" s="19" t="s">
        <v>7133</v>
      </c>
      <c r="B577" s="19" t="s">
        <v>7208</v>
      </c>
      <c r="C577" s="204" t="s">
        <v>1105</v>
      </c>
      <c r="D577" s="204" t="s">
        <v>1105</v>
      </c>
      <c r="E577" s="4" t="s">
        <v>45</v>
      </c>
      <c r="F577" s="4" t="s">
        <v>2662</v>
      </c>
      <c r="G577" s="204"/>
      <c r="H577" s="204" t="s">
        <v>2276</v>
      </c>
      <c r="I577" s="204" t="s">
        <v>2276</v>
      </c>
      <c r="J577" s="204">
        <v>2</v>
      </c>
      <c r="K577" s="204" t="s">
        <v>7210</v>
      </c>
      <c r="L577" s="204" t="s">
        <v>2276</v>
      </c>
      <c r="M577" s="204" t="s">
        <v>2276</v>
      </c>
      <c r="N577" s="204"/>
    </row>
    <row r="578" spans="1:14" ht="32.5" customHeight="1">
      <c r="A578" s="19" t="s">
        <v>7133</v>
      </c>
      <c r="B578" s="19" t="s">
        <v>7209</v>
      </c>
      <c r="C578" s="204" t="s">
        <v>1105</v>
      </c>
      <c r="D578" s="204" t="s">
        <v>1105</v>
      </c>
      <c r="E578" s="4" t="s">
        <v>5801</v>
      </c>
      <c r="F578" s="4" t="s">
        <v>2662</v>
      </c>
      <c r="G578" s="204"/>
      <c r="H578" s="204" t="s">
        <v>2276</v>
      </c>
      <c r="I578" s="204" t="s">
        <v>2276</v>
      </c>
      <c r="J578" s="204">
        <v>0</v>
      </c>
      <c r="K578" s="204" t="s">
        <v>7211</v>
      </c>
      <c r="L578" s="204" t="s">
        <v>2276</v>
      </c>
      <c r="M578" s="204" t="s">
        <v>2276</v>
      </c>
      <c r="N578" s="204"/>
    </row>
    <row r="579" spans="1:14" ht="32.5" customHeight="1">
      <c r="A579" s="19" t="s">
        <v>7136</v>
      </c>
      <c r="B579" s="19" t="s">
        <v>7212</v>
      </c>
      <c r="C579" s="204" t="s">
        <v>1105</v>
      </c>
      <c r="D579" s="204" t="s">
        <v>1105</v>
      </c>
      <c r="E579" s="4" t="s">
        <v>5801</v>
      </c>
      <c r="F579" s="4" t="s">
        <v>2662</v>
      </c>
      <c r="G579" s="204"/>
      <c r="H579" s="204" t="s">
        <v>2276</v>
      </c>
      <c r="I579" s="204" t="s">
        <v>2276</v>
      </c>
      <c r="J579" s="204">
        <v>0</v>
      </c>
      <c r="K579" s="204" t="s">
        <v>7211</v>
      </c>
      <c r="L579" s="204" t="s">
        <v>2276</v>
      </c>
      <c r="M579" s="204" t="s">
        <v>2276</v>
      </c>
      <c r="N579" s="204"/>
    </row>
    <row r="580" spans="1:14" ht="29">
      <c r="A580" s="19" t="s">
        <v>7136</v>
      </c>
      <c r="B580" s="19" t="s">
        <v>7214</v>
      </c>
      <c r="C580" s="204" t="s">
        <v>1105</v>
      </c>
      <c r="D580" s="204" t="s">
        <v>1105</v>
      </c>
      <c r="E580" s="4" t="s">
        <v>45</v>
      </c>
      <c r="F580" s="4" t="s">
        <v>2662</v>
      </c>
      <c r="G580" s="204"/>
      <c r="H580" s="204" t="s">
        <v>2276</v>
      </c>
      <c r="I580" s="204" t="s">
        <v>2276</v>
      </c>
      <c r="J580" s="204">
        <v>2</v>
      </c>
      <c r="K580" s="4" t="s">
        <v>7213</v>
      </c>
      <c r="L580" s="204" t="s">
        <v>2276</v>
      </c>
      <c r="M580" s="204" t="s">
        <v>2276</v>
      </c>
      <c r="N580" s="204"/>
    </row>
    <row r="581" spans="1:14" ht="43" customHeight="1">
      <c r="A581" s="19" t="s">
        <v>7234</v>
      </c>
      <c r="B581" s="19" t="s">
        <v>7241</v>
      </c>
      <c r="C581" s="204" t="s">
        <v>24</v>
      </c>
      <c r="D581" s="204" t="s">
        <v>1242</v>
      </c>
      <c r="E581" s="4" t="s">
        <v>3209</v>
      </c>
      <c r="F581" s="4" t="s">
        <v>2662</v>
      </c>
      <c r="G581" s="152"/>
      <c r="H581" s="204" t="s">
        <v>2276</v>
      </c>
      <c r="I581" s="204" t="s">
        <v>2276</v>
      </c>
      <c r="J581" s="204">
        <v>1</v>
      </c>
      <c r="K581" s="19" t="s">
        <v>7244</v>
      </c>
      <c r="L581" s="204" t="s">
        <v>2276</v>
      </c>
      <c r="M581" s="204" t="s">
        <v>2276</v>
      </c>
      <c r="N581" s="4" t="s">
        <v>7266</v>
      </c>
    </row>
    <row r="582" spans="1:14" ht="53.5" customHeight="1">
      <c r="A582" s="19" t="s">
        <v>7237</v>
      </c>
      <c r="B582" s="19" t="s">
        <v>7251</v>
      </c>
      <c r="C582" s="204" t="s">
        <v>24</v>
      </c>
      <c r="D582" s="204" t="s">
        <v>2804</v>
      </c>
      <c r="E582" s="4" t="s">
        <v>45</v>
      </c>
      <c r="F582" s="4" t="s">
        <v>2662</v>
      </c>
      <c r="G582" s="204">
        <v>1990</v>
      </c>
      <c r="H582" s="204">
        <v>0</v>
      </c>
      <c r="I582" s="19" t="s">
        <v>7255</v>
      </c>
      <c r="J582" s="204" t="s">
        <v>2276</v>
      </c>
      <c r="K582" s="204" t="s">
        <v>2276</v>
      </c>
      <c r="L582" s="204" t="s">
        <v>2276</v>
      </c>
      <c r="M582" s="204" t="s">
        <v>2276</v>
      </c>
      <c r="N582" s="204"/>
    </row>
    <row r="583" spans="1:14" ht="67.5" customHeight="1">
      <c r="A583" s="19" t="s">
        <v>7237</v>
      </c>
      <c r="B583" s="19" t="s">
        <v>7253</v>
      </c>
      <c r="C583" s="204" t="s">
        <v>24</v>
      </c>
      <c r="D583" s="204" t="s">
        <v>2804</v>
      </c>
      <c r="E583" s="4" t="s">
        <v>45</v>
      </c>
      <c r="F583" s="4" t="s">
        <v>2662</v>
      </c>
      <c r="G583" s="204">
        <v>2000</v>
      </c>
      <c r="H583" s="204">
        <v>2</v>
      </c>
      <c r="I583" s="19" t="s">
        <v>7256</v>
      </c>
      <c r="J583" s="204" t="s">
        <v>2276</v>
      </c>
      <c r="K583" s="204" t="s">
        <v>2276</v>
      </c>
      <c r="L583" s="204" t="s">
        <v>2276</v>
      </c>
      <c r="M583" s="204" t="s">
        <v>2276</v>
      </c>
      <c r="N583" s="178"/>
    </row>
    <row r="584" spans="1:14" ht="32" customHeight="1">
      <c r="A584" s="19" t="s">
        <v>7238</v>
      </c>
      <c r="B584" s="19" t="s">
        <v>7252</v>
      </c>
      <c r="C584" s="204" t="s">
        <v>24</v>
      </c>
      <c r="D584" s="204" t="s">
        <v>2804</v>
      </c>
      <c r="E584" s="4" t="s">
        <v>45</v>
      </c>
      <c r="F584" s="4" t="s">
        <v>2662</v>
      </c>
      <c r="G584" s="204">
        <v>1980</v>
      </c>
      <c r="H584" s="204">
        <v>0</v>
      </c>
      <c r="I584" s="11" t="s">
        <v>7263</v>
      </c>
      <c r="J584" s="204" t="s">
        <v>2276</v>
      </c>
      <c r="K584" s="204" t="s">
        <v>2276</v>
      </c>
      <c r="L584" s="204" t="s">
        <v>2276</v>
      </c>
      <c r="M584" s="204" t="s">
        <v>2276</v>
      </c>
      <c r="N584" s="178"/>
    </row>
    <row r="585" spans="1:14" ht="32" customHeight="1">
      <c r="A585" s="19" t="s">
        <v>7238</v>
      </c>
      <c r="B585" s="19" t="s">
        <v>7259</v>
      </c>
      <c r="C585" s="204" t="s">
        <v>24</v>
      </c>
      <c r="D585" s="204" t="s">
        <v>2804</v>
      </c>
      <c r="E585" s="4" t="s">
        <v>45</v>
      </c>
      <c r="F585" s="4" t="s">
        <v>2662</v>
      </c>
      <c r="G585" s="204">
        <v>1990</v>
      </c>
      <c r="H585" s="204">
        <v>2</v>
      </c>
      <c r="I585" s="11" t="s">
        <v>7264</v>
      </c>
      <c r="J585" s="204" t="s">
        <v>2276</v>
      </c>
      <c r="K585" s="204" t="s">
        <v>2276</v>
      </c>
      <c r="L585" s="204" t="s">
        <v>2276</v>
      </c>
      <c r="M585" s="204" t="s">
        <v>2276</v>
      </c>
      <c r="N585" s="178"/>
    </row>
    <row r="586" spans="1:14" ht="32" customHeight="1">
      <c r="A586" s="19" t="s">
        <v>7238</v>
      </c>
      <c r="B586" s="19" t="s">
        <v>7260</v>
      </c>
      <c r="C586" s="204" t="s">
        <v>24</v>
      </c>
      <c r="D586" s="204" t="s">
        <v>2804</v>
      </c>
      <c r="E586" s="4" t="s">
        <v>3209</v>
      </c>
      <c r="F586" s="4" t="s">
        <v>2662</v>
      </c>
      <c r="G586" s="204"/>
      <c r="H586" s="204">
        <v>3</v>
      </c>
      <c r="I586" s="19" t="s">
        <v>7265</v>
      </c>
      <c r="J586" s="204" t="s">
        <v>2276</v>
      </c>
      <c r="K586" s="204" t="s">
        <v>2276</v>
      </c>
      <c r="L586" s="204" t="s">
        <v>2276</v>
      </c>
      <c r="M586" s="204" t="s">
        <v>2276</v>
      </c>
      <c r="N586" s="178"/>
    </row>
    <row r="587" spans="1:14" ht="29">
      <c r="A587" s="19" t="s">
        <v>7288</v>
      </c>
      <c r="B587" s="19" t="s">
        <v>7303</v>
      </c>
      <c r="C587" s="204" t="s">
        <v>1105</v>
      </c>
      <c r="D587" s="204" t="s">
        <v>1242</v>
      </c>
      <c r="E587" s="4" t="s">
        <v>3209</v>
      </c>
      <c r="F587" s="4" t="s">
        <v>2662</v>
      </c>
      <c r="G587" s="204"/>
      <c r="H587" s="204">
        <v>3</v>
      </c>
      <c r="I587" s="4" t="s">
        <v>7633</v>
      </c>
      <c r="J587" s="204">
        <v>1</v>
      </c>
      <c r="K587" s="11" t="s">
        <v>7631</v>
      </c>
      <c r="L587" s="204" t="s">
        <v>2276</v>
      </c>
      <c r="M587" s="204" t="s">
        <v>2276</v>
      </c>
    </row>
    <row r="588" spans="1:14" ht="29">
      <c r="A588" s="19" t="s">
        <v>7289</v>
      </c>
      <c r="B588" s="19" t="s">
        <v>7304</v>
      </c>
      <c r="C588" s="204" t="s">
        <v>1105</v>
      </c>
      <c r="D588" s="204" t="s">
        <v>1242</v>
      </c>
      <c r="E588" s="4" t="s">
        <v>3209</v>
      </c>
      <c r="F588" s="4" t="s">
        <v>2662</v>
      </c>
      <c r="G588" s="204"/>
      <c r="H588" s="204">
        <v>3</v>
      </c>
      <c r="I588" s="4" t="s">
        <v>7633</v>
      </c>
      <c r="J588" s="204">
        <v>1</v>
      </c>
      <c r="K588" s="11" t="s">
        <v>7631</v>
      </c>
      <c r="L588" s="204" t="s">
        <v>2276</v>
      </c>
      <c r="M588" s="204" t="s">
        <v>2276</v>
      </c>
    </row>
    <row r="589" spans="1:14" ht="29">
      <c r="A589" s="19" t="s">
        <v>7290</v>
      </c>
      <c r="B589" s="19" t="s">
        <v>7305</v>
      </c>
      <c r="C589" s="204" t="s">
        <v>1105</v>
      </c>
      <c r="D589" s="204" t="s">
        <v>1242</v>
      </c>
      <c r="E589" s="4" t="s">
        <v>3209</v>
      </c>
      <c r="F589" s="4" t="s">
        <v>2662</v>
      </c>
      <c r="G589" s="204"/>
      <c r="H589" s="204">
        <v>3</v>
      </c>
      <c r="I589" s="4" t="s">
        <v>7633</v>
      </c>
      <c r="J589" s="204">
        <v>2</v>
      </c>
      <c r="K589" s="11" t="s">
        <v>7632</v>
      </c>
      <c r="L589" s="204" t="s">
        <v>2276</v>
      </c>
      <c r="M589" s="204" t="s">
        <v>2276</v>
      </c>
    </row>
    <row r="590" spans="1:14" ht="29">
      <c r="A590" s="19" t="s">
        <v>7291</v>
      </c>
      <c r="B590" s="19" t="s">
        <v>7306</v>
      </c>
      <c r="C590" s="204" t="s">
        <v>1105</v>
      </c>
      <c r="D590" s="204" t="s">
        <v>1242</v>
      </c>
      <c r="E590" s="4" t="s">
        <v>3209</v>
      </c>
      <c r="F590" s="4" t="s">
        <v>2662</v>
      </c>
      <c r="G590" s="204"/>
      <c r="H590" s="204">
        <v>3</v>
      </c>
      <c r="I590" s="4" t="s">
        <v>7633</v>
      </c>
      <c r="J590" s="204">
        <v>2</v>
      </c>
      <c r="K590" s="11" t="s">
        <v>7632</v>
      </c>
      <c r="L590" s="204" t="s">
        <v>2276</v>
      </c>
      <c r="M590" s="204" t="s">
        <v>2276</v>
      </c>
    </row>
    <row r="591" spans="1:14" ht="29">
      <c r="A591" s="19" t="s">
        <v>7292</v>
      </c>
      <c r="B591" s="19" t="s">
        <v>7307</v>
      </c>
      <c r="C591" s="204" t="s">
        <v>1105</v>
      </c>
      <c r="D591" s="204" t="s">
        <v>1242</v>
      </c>
      <c r="E591" s="4" t="s">
        <v>3209</v>
      </c>
      <c r="F591" s="4" t="s">
        <v>2662</v>
      </c>
      <c r="G591" s="204"/>
      <c r="H591" s="204">
        <v>3</v>
      </c>
      <c r="I591" s="4" t="s">
        <v>7633</v>
      </c>
      <c r="J591" s="204">
        <v>1</v>
      </c>
      <c r="K591" s="11" t="s">
        <v>7631</v>
      </c>
      <c r="L591" s="204" t="s">
        <v>2276</v>
      </c>
      <c r="M591" s="204" t="s">
        <v>2276</v>
      </c>
    </row>
    <row r="592" spans="1:14" ht="29">
      <c r="A592" s="19" t="s">
        <v>7293</v>
      </c>
      <c r="B592" s="19" t="s">
        <v>7413</v>
      </c>
      <c r="C592" s="204" t="s">
        <v>1105</v>
      </c>
      <c r="D592" s="204" t="s">
        <v>1242</v>
      </c>
      <c r="E592" s="4" t="s">
        <v>3209</v>
      </c>
      <c r="F592" s="4" t="s">
        <v>2662</v>
      </c>
      <c r="G592" s="204"/>
      <c r="H592" s="204">
        <v>3</v>
      </c>
      <c r="I592" s="4" t="s">
        <v>7633</v>
      </c>
      <c r="J592" s="204">
        <v>1</v>
      </c>
      <c r="K592" s="11" t="s">
        <v>7631</v>
      </c>
      <c r="L592" s="204" t="s">
        <v>2276</v>
      </c>
      <c r="M592" s="204" t="s">
        <v>2276</v>
      </c>
    </row>
    <row r="593" spans="1:13" ht="29">
      <c r="A593" s="19" t="s">
        <v>7379</v>
      </c>
      <c r="B593" s="19" t="s">
        <v>7414</v>
      </c>
      <c r="C593" s="204" t="s">
        <v>1105</v>
      </c>
      <c r="D593" s="204" t="s">
        <v>1242</v>
      </c>
      <c r="E593" s="4" t="s">
        <v>3209</v>
      </c>
      <c r="F593" s="4" t="s">
        <v>2662</v>
      </c>
      <c r="G593" s="204"/>
      <c r="H593" s="204">
        <v>3</v>
      </c>
      <c r="I593" s="4" t="s">
        <v>7633</v>
      </c>
      <c r="J593" s="204">
        <v>1</v>
      </c>
      <c r="K593" s="11" t="s">
        <v>7631</v>
      </c>
      <c r="L593" s="204" t="s">
        <v>2276</v>
      </c>
      <c r="M593" s="204" t="s">
        <v>2276</v>
      </c>
    </row>
    <row r="594" spans="1:13" ht="29">
      <c r="A594" s="19" t="s">
        <v>7380</v>
      </c>
      <c r="B594" s="19" t="s">
        <v>7415</v>
      </c>
      <c r="C594" s="204" t="s">
        <v>1105</v>
      </c>
      <c r="D594" s="204" t="s">
        <v>1242</v>
      </c>
      <c r="E594" s="4" t="s">
        <v>3209</v>
      </c>
      <c r="F594" s="4" t="s">
        <v>2662</v>
      </c>
      <c r="G594" s="204"/>
      <c r="H594" s="204">
        <v>3</v>
      </c>
      <c r="I594" s="4" t="s">
        <v>7633</v>
      </c>
      <c r="J594" s="204">
        <v>1</v>
      </c>
      <c r="K594" s="11" t="s">
        <v>7631</v>
      </c>
      <c r="L594" s="204" t="s">
        <v>2276</v>
      </c>
      <c r="M594" s="204" t="s">
        <v>2276</v>
      </c>
    </row>
    <row r="595" spans="1:13" ht="29">
      <c r="A595" s="19" t="s">
        <v>7381</v>
      </c>
      <c r="B595" s="19" t="s">
        <v>7416</v>
      </c>
      <c r="C595" s="204" t="s">
        <v>1105</v>
      </c>
      <c r="D595" s="204" t="s">
        <v>1242</v>
      </c>
      <c r="E595" s="4" t="s">
        <v>3209</v>
      </c>
      <c r="F595" s="4" t="s">
        <v>2662</v>
      </c>
      <c r="G595" s="204"/>
      <c r="H595" s="204">
        <v>3</v>
      </c>
      <c r="I595" s="4" t="s">
        <v>7633</v>
      </c>
      <c r="J595" s="204">
        <v>1</v>
      </c>
      <c r="K595" s="11" t="s">
        <v>7631</v>
      </c>
      <c r="L595" s="204" t="s">
        <v>2276</v>
      </c>
      <c r="M595" s="204" t="s">
        <v>2276</v>
      </c>
    </row>
    <row r="596" spans="1:13" ht="29">
      <c r="A596" s="19" t="s">
        <v>7382</v>
      </c>
      <c r="B596" s="19" t="s">
        <v>7417</v>
      </c>
      <c r="C596" s="204" t="s">
        <v>1105</v>
      </c>
      <c r="D596" s="204" t="s">
        <v>1242</v>
      </c>
      <c r="E596" s="4" t="s">
        <v>3209</v>
      </c>
      <c r="F596" s="4" t="s">
        <v>2662</v>
      </c>
      <c r="G596" s="204"/>
      <c r="H596" s="204">
        <v>3</v>
      </c>
      <c r="I596" s="4" t="s">
        <v>7633</v>
      </c>
      <c r="J596" s="204">
        <v>1</v>
      </c>
      <c r="K596" s="11" t="s">
        <v>7631</v>
      </c>
      <c r="L596" s="204" t="s">
        <v>2276</v>
      </c>
      <c r="M596" s="204" t="s">
        <v>2276</v>
      </c>
    </row>
    <row r="597" spans="1:13" ht="29">
      <c r="A597" s="19" t="s">
        <v>7383</v>
      </c>
      <c r="B597" s="19" t="s">
        <v>7418</v>
      </c>
      <c r="C597" s="204" t="s">
        <v>1105</v>
      </c>
      <c r="D597" s="204" t="s">
        <v>1242</v>
      </c>
      <c r="E597" s="4" t="s">
        <v>3209</v>
      </c>
      <c r="F597" s="4" t="s">
        <v>2662</v>
      </c>
      <c r="G597" s="204"/>
      <c r="H597" s="204">
        <v>3</v>
      </c>
      <c r="I597" s="4" t="s">
        <v>7633</v>
      </c>
      <c r="J597" s="204">
        <v>1</v>
      </c>
      <c r="K597" s="11" t="s">
        <v>7631</v>
      </c>
      <c r="L597" s="204" t="s">
        <v>2276</v>
      </c>
      <c r="M597" s="204" t="s">
        <v>2276</v>
      </c>
    </row>
    <row r="598" spans="1:13" ht="29">
      <c r="A598" s="19" t="s">
        <v>7384</v>
      </c>
      <c r="B598" s="19" t="s">
        <v>7419</v>
      </c>
      <c r="C598" s="204" t="s">
        <v>1105</v>
      </c>
      <c r="D598" s="204" t="s">
        <v>1242</v>
      </c>
      <c r="E598" s="4" t="s">
        <v>3209</v>
      </c>
      <c r="F598" s="4" t="s">
        <v>2662</v>
      </c>
      <c r="G598" s="204"/>
      <c r="H598" s="204">
        <v>3</v>
      </c>
      <c r="I598" s="4" t="s">
        <v>7633</v>
      </c>
      <c r="J598" s="204">
        <v>1</v>
      </c>
      <c r="K598" s="11" t="s">
        <v>7631</v>
      </c>
      <c r="L598" s="204" t="s">
        <v>2276</v>
      </c>
      <c r="M598" s="204" t="s">
        <v>2276</v>
      </c>
    </row>
    <row r="599" spans="1:13" ht="29">
      <c r="A599" s="19" t="s">
        <v>7385</v>
      </c>
      <c r="B599" s="19" t="s">
        <v>7420</v>
      </c>
      <c r="C599" s="204" t="s">
        <v>1105</v>
      </c>
      <c r="D599" s="204" t="s">
        <v>1242</v>
      </c>
      <c r="E599" s="4" t="s">
        <v>3209</v>
      </c>
      <c r="F599" s="4" t="s">
        <v>2662</v>
      </c>
      <c r="G599" s="204"/>
      <c r="H599" s="204">
        <v>3</v>
      </c>
      <c r="I599" s="4" t="s">
        <v>7633</v>
      </c>
      <c r="J599" s="204">
        <v>1</v>
      </c>
      <c r="K599" s="11" t="s">
        <v>7631</v>
      </c>
      <c r="L599" s="204" t="s">
        <v>2276</v>
      </c>
      <c r="M599" s="204" t="s">
        <v>2276</v>
      </c>
    </row>
    <row r="600" spans="1:13" ht="29">
      <c r="A600" s="19" t="s">
        <v>7386</v>
      </c>
      <c r="B600" s="19" t="s">
        <v>7421</v>
      </c>
      <c r="C600" s="204" t="s">
        <v>1105</v>
      </c>
      <c r="D600" s="204" t="s">
        <v>1242</v>
      </c>
      <c r="E600" s="4" t="s">
        <v>3209</v>
      </c>
      <c r="F600" s="4" t="s">
        <v>2662</v>
      </c>
      <c r="G600" s="204"/>
      <c r="H600" s="204">
        <v>3</v>
      </c>
      <c r="I600" s="4" t="s">
        <v>7633</v>
      </c>
      <c r="J600" s="204">
        <v>1</v>
      </c>
      <c r="K600" s="11" t="s">
        <v>7631</v>
      </c>
      <c r="L600" s="204" t="s">
        <v>2276</v>
      </c>
      <c r="M600" s="204" t="s">
        <v>2276</v>
      </c>
    </row>
    <row r="601" spans="1:13" ht="29">
      <c r="A601" s="19" t="s">
        <v>7387</v>
      </c>
      <c r="B601" s="19" t="s">
        <v>7422</v>
      </c>
      <c r="C601" s="204" t="s">
        <v>1105</v>
      </c>
      <c r="D601" s="204" t="s">
        <v>1242</v>
      </c>
      <c r="E601" s="4" t="s">
        <v>3209</v>
      </c>
      <c r="F601" s="4" t="s">
        <v>2662</v>
      </c>
      <c r="G601" s="204"/>
      <c r="H601" s="204">
        <v>3</v>
      </c>
      <c r="I601" s="4" t="s">
        <v>7633</v>
      </c>
      <c r="J601" s="204">
        <v>2</v>
      </c>
      <c r="K601" s="11" t="s">
        <v>7632</v>
      </c>
      <c r="L601" s="204" t="s">
        <v>2276</v>
      </c>
      <c r="M601" s="204" t="s">
        <v>2276</v>
      </c>
    </row>
    <row r="602" spans="1:13" ht="29">
      <c r="A602" s="19" t="s">
        <v>7388</v>
      </c>
      <c r="B602" s="19" t="s">
        <v>7423</v>
      </c>
      <c r="C602" s="204" t="s">
        <v>1105</v>
      </c>
      <c r="D602" s="204" t="s">
        <v>1242</v>
      </c>
      <c r="E602" s="4" t="s">
        <v>3209</v>
      </c>
      <c r="F602" s="4" t="s">
        <v>2662</v>
      </c>
      <c r="G602" s="204"/>
      <c r="H602" s="204">
        <v>3</v>
      </c>
      <c r="I602" s="4" t="s">
        <v>7633</v>
      </c>
      <c r="J602" s="204">
        <v>1</v>
      </c>
      <c r="K602" s="11" t="s">
        <v>7631</v>
      </c>
      <c r="L602" s="204" t="s">
        <v>2276</v>
      </c>
      <c r="M602" s="204" t="s">
        <v>2276</v>
      </c>
    </row>
    <row r="603" spans="1:13" ht="29">
      <c r="A603" s="19" t="s">
        <v>7389</v>
      </c>
      <c r="B603" s="19" t="s">
        <v>7424</v>
      </c>
      <c r="C603" s="204" t="s">
        <v>1105</v>
      </c>
      <c r="D603" s="204" t="s">
        <v>1242</v>
      </c>
      <c r="E603" s="4" t="s">
        <v>3209</v>
      </c>
      <c r="F603" s="4" t="s">
        <v>2662</v>
      </c>
      <c r="G603" s="204"/>
      <c r="H603" s="204">
        <v>3</v>
      </c>
      <c r="I603" s="4" t="s">
        <v>7633</v>
      </c>
      <c r="J603" s="204">
        <v>1</v>
      </c>
      <c r="K603" s="11" t="s">
        <v>7631</v>
      </c>
      <c r="L603" s="204" t="s">
        <v>2276</v>
      </c>
      <c r="M603" s="204" t="s">
        <v>2276</v>
      </c>
    </row>
    <row r="604" spans="1:13" ht="29">
      <c r="A604" s="19" t="s">
        <v>7390</v>
      </c>
      <c r="B604" s="19" t="s">
        <v>7425</v>
      </c>
      <c r="C604" s="204" t="s">
        <v>1105</v>
      </c>
      <c r="D604" s="204" t="s">
        <v>1242</v>
      </c>
      <c r="E604" s="4" t="s">
        <v>3209</v>
      </c>
      <c r="F604" s="4" t="s">
        <v>2662</v>
      </c>
      <c r="G604" s="204"/>
      <c r="H604" s="204">
        <v>3</v>
      </c>
      <c r="I604" s="4" t="s">
        <v>7633</v>
      </c>
      <c r="J604" s="204">
        <v>1</v>
      </c>
      <c r="K604" s="11" t="s">
        <v>7631</v>
      </c>
      <c r="L604" s="204" t="s">
        <v>2276</v>
      </c>
      <c r="M604" s="204" t="s">
        <v>2276</v>
      </c>
    </row>
    <row r="605" spans="1:13" ht="29">
      <c r="A605" s="19" t="s">
        <v>7391</v>
      </c>
      <c r="B605" s="19" t="s">
        <v>7426</v>
      </c>
      <c r="C605" s="204" t="s">
        <v>1105</v>
      </c>
      <c r="D605" s="204" t="s">
        <v>1242</v>
      </c>
      <c r="E605" s="4" t="s">
        <v>3209</v>
      </c>
      <c r="F605" s="4" t="s">
        <v>2662</v>
      </c>
      <c r="G605" s="204"/>
      <c r="H605" s="204">
        <v>3</v>
      </c>
      <c r="I605" s="4" t="s">
        <v>7633</v>
      </c>
      <c r="J605" s="204">
        <v>1</v>
      </c>
      <c r="K605" s="11" t="s">
        <v>7631</v>
      </c>
      <c r="L605" s="204" t="s">
        <v>2276</v>
      </c>
      <c r="M605" s="204" t="s">
        <v>2276</v>
      </c>
    </row>
    <row r="606" spans="1:13" ht="29">
      <c r="A606" s="19" t="s">
        <v>7392</v>
      </c>
      <c r="B606" s="19" t="s">
        <v>7427</v>
      </c>
      <c r="C606" s="204" t="s">
        <v>1105</v>
      </c>
      <c r="D606" s="204" t="s">
        <v>1242</v>
      </c>
      <c r="E606" s="4" t="s">
        <v>3209</v>
      </c>
      <c r="F606" s="4" t="s">
        <v>2662</v>
      </c>
      <c r="G606" s="204"/>
      <c r="H606" s="204">
        <v>3</v>
      </c>
      <c r="I606" s="4" t="s">
        <v>7633</v>
      </c>
      <c r="J606" s="204">
        <v>1</v>
      </c>
      <c r="K606" s="11" t="s">
        <v>7631</v>
      </c>
      <c r="L606" s="204" t="s">
        <v>2276</v>
      </c>
      <c r="M606" s="204" t="s">
        <v>2276</v>
      </c>
    </row>
    <row r="607" spans="1:13" ht="29">
      <c r="A607" s="19" t="s">
        <v>7393</v>
      </c>
      <c r="B607" s="19" t="s">
        <v>7428</v>
      </c>
      <c r="C607" s="204" t="s">
        <v>1105</v>
      </c>
      <c r="D607" s="204" t="s">
        <v>1242</v>
      </c>
      <c r="E607" s="4" t="s">
        <v>3209</v>
      </c>
      <c r="F607" s="4" t="s">
        <v>2662</v>
      </c>
      <c r="G607" s="204"/>
      <c r="H607" s="204">
        <v>3</v>
      </c>
      <c r="I607" s="4" t="s">
        <v>7633</v>
      </c>
      <c r="J607" s="204">
        <v>2</v>
      </c>
      <c r="K607" s="11" t="s">
        <v>7632</v>
      </c>
      <c r="L607" s="204" t="s">
        <v>2276</v>
      </c>
      <c r="M607" s="204" t="s">
        <v>2276</v>
      </c>
    </row>
    <row r="608" spans="1:13" ht="29">
      <c r="A608" s="19" t="s">
        <v>7394</v>
      </c>
      <c r="B608" s="19" t="s">
        <v>7429</v>
      </c>
      <c r="C608" s="204" t="s">
        <v>1105</v>
      </c>
      <c r="D608" s="204" t="s">
        <v>1242</v>
      </c>
      <c r="E608" s="4" t="s">
        <v>3209</v>
      </c>
      <c r="F608" s="4" t="s">
        <v>2662</v>
      </c>
      <c r="G608" s="204"/>
      <c r="H608" s="204">
        <v>3</v>
      </c>
      <c r="I608" s="4" t="s">
        <v>7633</v>
      </c>
      <c r="J608" s="204">
        <v>2</v>
      </c>
      <c r="K608" s="11" t="s">
        <v>7632</v>
      </c>
      <c r="L608" s="204" t="s">
        <v>2276</v>
      </c>
      <c r="M608" s="204" t="s">
        <v>2276</v>
      </c>
    </row>
    <row r="609" spans="1:13" ht="29">
      <c r="A609" s="19" t="s">
        <v>7395</v>
      </c>
      <c r="B609" s="19" t="s">
        <v>7430</v>
      </c>
      <c r="C609" s="204" t="s">
        <v>1105</v>
      </c>
      <c r="D609" s="204" t="s">
        <v>1242</v>
      </c>
      <c r="E609" s="4" t="s">
        <v>3209</v>
      </c>
      <c r="F609" s="4" t="s">
        <v>2662</v>
      </c>
      <c r="G609" s="204"/>
      <c r="H609" s="204">
        <v>3</v>
      </c>
      <c r="I609" s="4" t="s">
        <v>7633</v>
      </c>
      <c r="J609" s="204">
        <v>2</v>
      </c>
      <c r="K609" s="11" t="s">
        <v>7632</v>
      </c>
      <c r="L609" s="204" t="s">
        <v>2276</v>
      </c>
      <c r="M609" s="204" t="s">
        <v>2276</v>
      </c>
    </row>
    <row r="610" spans="1:13" ht="29">
      <c r="A610" s="19" t="s">
        <v>7594</v>
      </c>
      <c r="B610" s="19" t="s">
        <v>7595</v>
      </c>
      <c r="C610" s="204" t="s">
        <v>1105</v>
      </c>
      <c r="D610" s="204" t="s">
        <v>1242</v>
      </c>
      <c r="E610" s="4" t="s">
        <v>3209</v>
      </c>
      <c r="F610" s="4" t="s">
        <v>2662</v>
      </c>
      <c r="G610" s="204"/>
      <c r="H610" s="204">
        <v>3</v>
      </c>
      <c r="I610" s="4" t="s">
        <v>7633</v>
      </c>
      <c r="J610" s="204">
        <v>1</v>
      </c>
      <c r="K610" s="11" t="s">
        <v>7631</v>
      </c>
      <c r="L610" s="204" t="s">
        <v>2276</v>
      </c>
      <c r="M610" s="204" t="s">
        <v>2276</v>
      </c>
    </row>
    <row r="611" spans="1:13" ht="29">
      <c r="A611" s="19" t="s">
        <v>7616</v>
      </c>
      <c r="B611" s="19" t="s">
        <v>7617</v>
      </c>
      <c r="C611" s="204" t="s">
        <v>1105</v>
      </c>
      <c r="D611" s="204" t="s">
        <v>1242</v>
      </c>
      <c r="E611" s="4" t="s">
        <v>3209</v>
      </c>
      <c r="F611" s="4" t="s">
        <v>2662</v>
      </c>
      <c r="G611" s="204"/>
      <c r="H611" s="204">
        <v>3</v>
      </c>
      <c r="I611" s="4" t="s">
        <v>7633</v>
      </c>
      <c r="J611" s="204">
        <v>1</v>
      </c>
      <c r="K611" s="11" t="s">
        <v>7631</v>
      </c>
      <c r="L611" s="204" t="s">
        <v>2276</v>
      </c>
      <c r="M611" s="204" t="s">
        <v>2276</v>
      </c>
    </row>
    <row r="612" spans="1:13" ht="31.5" customHeight="1">
      <c r="A612" s="19" t="s">
        <v>7288</v>
      </c>
      <c r="B612" s="19" t="s">
        <v>7309</v>
      </c>
      <c r="C612" s="204" t="s">
        <v>1105</v>
      </c>
      <c r="D612" s="204" t="s">
        <v>1242</v>
      </c>
      <c r="E612" s="4" t="s">
        <v>3209</v>
      </c>
      <c r="F612" s="4" t="s">
        <v>74</v>
      </c>
      <c r="G612" s="204"/>
      <c r="H612" s="204">
        <v>3</v>
      </c>
      <c r="I612" s="4" t="s">
        <v>7633</v>
      </c>
      <c r="J612" s="204">
        <v>1</v>
      </c>
      <c r="K612" s="11" t="s">
        <v>7631</v>
      </c>
      <c r="L612" s="204" t="s">
        <v>2276</v>
      </c>
      <c r="M612" s="204" t="s">
        <v>2276</v>
      </c>
    </row>
    <row r="613" spans="1:13" ht="31.5" customHeight="1">
      <c r="A613" s="19" t="s">
        <v>7289</v>
      </c>
      <c r="B613" s="19" t="s">
        <v>7310</v>
      </c>
      <c r="C613" s="204" t="s">
        <v>1105</v>
      </c>
      <c r="D613" s="204" t="s">
        <v>1242</v>
      </c>
      <c r="E613" s="4" t="s">
        <v>3209</v>
      </c>
      <c r="F613" s="4" t="s">
        <v>74</v>
      </c>
      <c r="G613" s="204"/>
      <c r="H613" s="204">
        <v>3</v>
      </c>
      <c r="I613" s="4" t="s">
        <v>7633</v>
      </c>
      <c r="J613" s="204">
        <v>1</v>
      </c>
      <c r="K613" s="11" t="s">
        <v>7631</v>
      </c>
      <c r="L613" s="204" t="s">
        <v>2276</v>
      </c>
      <c r="M613" s="204" t="s">
        <v>2276</v>
      </c>
    </row>
    <row r="614" spans="1:13" ht="31.5" customHeight="1">
      <c r="A614" s="19" t="s">
        <v>7290</v>
      </c>
      <c r="B614" s="19" t="s">
        <v>7311</v>
      </c>
      <c r="C614" s="204" t="s">
        <v>1105</v>
      </c>
      <c r="D614" s="204" t="s">
        <v>1242</v>
      </c>
      <c r="E614" s="4" t="s">
        <v>3209</v>
      </c>
      <c r="F614" s="4" t="s">
        <v>74</v>
      </c>
      <c r="G614" s="204"/>
      <c r="H614" s="204">
        <v>3</v>
      </c>
      <c r="I614" s="4" t="s">
        <v>7633</v>
      </c>
      <c r="J614" s="204">
        <v>2</v>
      </c>
      <c r="K614" s="11" t="s">
        <v>7632</v>
      </c>
      <c r="L614" s="204" t="s">
        <v>2276</v>
      </c>
      <c r="M614" s="204" t="s">
        <v>2276</v>
      </c>
    </row>
    <row r="615" spans="1:13" ht="31.5" customHeight="1">
      <c r="A615" s="19" t="s">
        <v>7291</v>
      </c>
      <c r="B615" s="19" t="s">
        <v>7312</v>
      </c>
      <c r="C615" s="204" t="s">
        <v>1105</v>
      </c>
      <c r="D615" s="204" t="s">
        <v>1242</v>
      </c>
      <c r="E615" s="4" t="s">
        <v>3209</v>
      </c>
      <c r="F615" s="4" t="s">
        <v>74</v>
      </c>
      <c r="G615" s="204"/>
      <c r="H615" s="204">
        <v>3</v>
      </c>
      <c r="I615" s="4" t="s">
        <v>7633</v>
      </c>
      <c r="J615" s="204">
        <v>2</v>
      </c>
      <c r="K615" s="11" t="s">
        <v>7632</v>
      </c>
      <c r="L615" s="204" t="s">
        <v>2276</v>
      </c>
      <c r="M615" s="204" t="s">
        <v>2276</v>
      </c>
    </row>
    <row r="616" spans="1:13" ht="31.5" customHeight="1">
      <c r="A616" s="19" t="s">
        <v>7292</v>
      </c>
      <c r="B616" s="19" t="s">
        <v>7313</v>
      </c>
      <c r="C616" s="204" t="s">
        <v>1105</v>
      </c>
      <c r="D616" s="204" t="s">
        <v>1242</v>
      </c>
      <c r="E616" s="4" t="s">
        <v>3209</v>
      </c>
      <c r="F616" s="4" t="s">
        <v>74</v>
      </c>
      <c r="G616" s="204"/>
      <c r="H616" s="204">
        <v>3</v>
      </c>
      <c r="I616" s="4" t="s">
        <v>7633</v>
      </c>
      <c r="J616" s="204">
        <v>1</v>
      </c>
      <c r="K616" s="11" t="s">
        <v>7631</v>
      </c>
      <c r="L616" s="204" t="s">
        <v>2276</v>
      </c>
      <c r="M616" s="204" t="s">
        <v>2276</v>
      </c>
    </row>
    <row r="617" spans="1:13" ht="31.5" customHeight="1">
      <c r="A617" s="19" t="s">
        <v>7293</v>
      </c>
      <c r="B617" s="19" t="s">
        <v>7431</v>
      </c>
      <c r="C617" s="204" t="s">
        <v>1105</v>
      </c>
      <c r="D617" s="204" t="s">
        <v>1242</v>
      </c>
      <c r="E617" s="4" t="s">
        <v>3209</v>
      </c>
      <c r="F617" s="4" t="s">
        <v>74</v>
      </c>
      <c r="G617" s="204"/>
      <c r="H617" s="204">
        <v>3</v>
      </c>
      <c r="I617" s="4" t="s">
        <v>7633</v>
      </c>
      <c r="J617" s="204">
        <v>1</v>
      </c>
      <c r="K617" s="11" t="s">
        <v>7631</v>
      </c>
      <c r="L617" s="204" t="s">
        <v>2276</v>
      </c>
      <c r="M617" s="204" t="s">
        <v>2276</v>
      </c>
    </row>
    <row r="618" spans="1:13" ht="31.5" customHeight="1">
      <c r="A618" s="19" t="s">
        <v>7379</v>
      </c>
      <c r="B618" s="19" t="s">
        <v>7432</v>
      </c>
      <c r="C618" s="204" t="s">
        <v>1105</v>
      </c>
      <c r="D618" s="204" t="s">
        <v>1242</v>
      </c>
      <c r="E618" s="4" t="s">
        <v>3209</v>
      </c>
      <c r="F618" s="4" t="s">
        <v>74</v>
      </c>
      <c r="G618" s="204"/>
      <c r="H618" s="204">
        <v>3</v>
      </c>
      <c r="I618" s="4" t="s">
        <v>7633</v>
      </c>
      <c r="J618" s="204">
        <v>1</v>
      </c>
      <c r="K618" s="11" t="s">
        <v>7631</v>
      </c>
      <c r="L618" s="204" t="s">
        <v>2276</v>
      </c>
      <c r="M618" s="204" t="s">
        <v>2276</v>
      </c>
    </row>
    <row r="619" spans="1:13" ht="31.5" customHeight="1">
      <c r="A619" s="19" t="s">
        <v>7380</v>
      </c>
      <c r="B619" s="19" t="s">
        <v>7433</v>
      </c>
      <c r="C619" s="204" t="s">
        <v>1105</v>
      </c>
      <c r="D619" s="204" t="s">
        <v>1242</v>
      </c>
      <c r="E619" s="4" t="s">
        <v>3209</v>
      </c>
      <c r="F619" s="4" t="s">
        <v>74</v>
      </c>
      <c r="G619" s="204"/>
      <c r="H619" s="204">
        <v>3</v>
      </c>
      <c r="I619" s="4" t="s">
        <v>7633</v>
      </c>
      <c r="J619" s="204">
        <v>1</v>
      </c>
      <c r="K619" s="11" t="s">
        <v>7631</v>
      </c>
      <c r="L619" s="204" t="s">
        <v>2276</v>
      </c>
      <c r="M619" s="204" t="s">
        <v>2276</v>
      </c>
    </row>
    <row r="620" spans="1:13" ht="31.5" customHeight="1">
      <c r="A620" s="19" t="s">
        <v>7381</v>
      </c>
      <c r="B620" s="19" t="s">
        <v>7434</v>
      </c>
      <c r="C620" s="204" t="s">
        <v>1105</v>
      </c>
      <c r="D620" s="204" t="s">
        <v>1242</v>
      </c>
      <c r="E620" s="4" t="s">
        <v>3209</v>
      </c>
      <c r="F620" s="4" t="s">
        <v>74</v>
      </c>
      <c r="G620" s="204"/>
      <c r="H620" s="204">
        <v>3</v>
      </c>
      <c r="I620" s="4" t="s">
        <v>7633</v>
      </c>
      <c r="J620" s="204">
        <v>1</v>
      </c>
      <c r="K620" s="11" t="s">
        <v>7631</v>
      </c>
      <c r="L620" s="204" t="s">
        <v>2276</v>
      </c>
      <c r="M620" s="204" t="s">
        <v>2276</v>
      </c>
    </row>
    <row r="621" spans="1:13" ht="31.5" customHeight="1">
      <c r="A621" s="19" t="s">
        <v>7382</v>
      </c>
      <c r="B621" s="19" t="s">
        <v>7435</v>
      </c>
      <c r="C621" s="204" t="s">
        <v>1105</v>
      </c>
      <c r="D621" s="204" t="s">
        <v>1242</v>
      </c>
      <c r="E621" s="4" t="s">
        <v>3209</v>
      </c>
      <c r="F621" s="4" t="s">
        <v>74</v>
      </c>
      <c r="G621" s="204"/>
      <c r="H621" s="204">
        <v>3</v>
      </c>
      <c r="I621" s="4" t="s">
        <v>7633</v>
      </c>
      <c r="J621" s="204">
        <v>1</v>
      </c>
      <c r="K621" s="11" t="s">
        <v>7631</v>
      </c>
      <c r="L621" s="204" t="s">
        <v>2276</v>
      </c>
      <c r="M621" s="204" t="s">
        <v>2276</v>
      </c>
    </row>
    <row r="622" spans="1:13" ht="31.5" customHeight="1">
      <c r="A622" s="19" t="s">
        <v>7383</v>
      </c>
      <c r="B622" s="19" t="s">
        <v>7436</v>
      </c>
      <c r="C622" s="204" t="s">
        <v>1105</v>
      </c>
      <c r="D622" s="204" t="s">
        <v>1242</v>
      </c>
      <c r="E622" s="4" t="s">
        <v>3209</v>
      </c>
      <c r="F622" s="4" t="s">
        <v>74</v>
      </c>
      <c r="G622" s="204"/>
      <c r="H622" s="204">
        <v>3</v>
      </c>
      <c r="I622" s="4" t="s">
        <v>7633</v>
      </c>
      <c r="J622" s="204">
        <v>1</v>
      </c>
      <c r="K622" s="11" t="s">
        <v>7631</v>
      </c>
      <c r="L622" s="204" t="s">
        <v>2276</v>
      </c>
      <c r="M622" s="204" t="s">
        <v>2276</v>
      </c>
    </row>
    <row r="623" spans="1:13" ht="31.5" customHeight="1">
      <c r="A623" s="19" t="s">
        <v>7384</v>
      </c>
      <c r="B623" s="19" t="s">
        <v>7437</v>
      </c>
      <c r="C623" s="204" t="s">
        <v>1105</v>
      </c>
      <c r="D623" s="204" t="s">
        <v>1242</v>
      </c>
      <c r="E623" s="4" t="s">
        <v>3209</v>
      </c>
      <c r="F623" s="4" t="s">
        <v>74</v>
      </c>
      <c r="G623" s="204"/>
      <c r="H623" s="204">
        <v>3</v>
      </c>
      <c r="I623" s="4" t="s">
        <v>7633</v>
      </c>
      <c r="J623" s="204">
        <v>1</v>
      </c>
      <c r="K623" s="11" t="s">
        <v>7631</v>
      </c>
      <c r="L623" s="204" t="s">
        <v>2276</v>
      </c>
      <c r="M623" s="204" t="s">
        <v>2276</v>
      </c>
    </row>
    <row r="624" spans="1:13" ht="31.5" customHeight="1">
      <c r="A624" s="19" t="s">
        <v>7385</v>
      </c>
      <c r="B624" s="19" t="s">
        <v>7438</v>
      </c>
      <c r="C624" s="204" t="s">
        <v>1105</v>
      </c>
      <c r="D624" s="204" t="s">
        <v>1242</v>
      </c>
      <c r="E624" s="4" t="s">
        <v>3209</v>
      </c>
      <c r="F624" s="4" t="s">
        <v>74</v>
      </c>
      <c r="G624" s="204"/>
      <c r="H624" s="204">
        <v>3</v>
      </c>
      <c r="I624" s="4" t="s">
        <v>7633</v>
      </c>
      <c r="J624" s="204">
        <v>1</v>
      </c>
      <c r="K624" s="11" t="s">
        <v>7631</v>
      </c>
      <c r="L624" s="204" t="s">
        <v>2276</v>
      </c>
      <c r="M624" s="204" t="s">
        <v>2276</v>
      </c>
    </row>
    <row r="625" spans="1:14" ht="31.5" customHeight="1">
      <c r="A625" s="19" t="s">
        <v>7386</v>
      </c>
      <c r="B625" s="19" t="s">
        <v>7439</v>
      </c>
      <c r="C625" s="204" t="s">
        <v>1105</v>
      </c>
      <c r="D625" s="204" t="s">
        <v>1242</v>
      </c>
      <c r="E625" s="4" t="s">
        <v>3209</v>
      </c>
      <c r="F625" s="4" t="s">
        <v>74</v>
      </c>
      <c r="G625" s="204"/>
      <c r="H625" s="204">
        <v>3</v>
      </c>
      <c r="I625" s="4" t="s">
        <v>7633</v>
      </c>
      <c r="J625" s="204">
        <v>1</v>
      </c>
      <c r="K625" s="11" t="s">
        <v>7631</v>
      </c>
      <c r="L625" s="204" t="s">
        <v>2276</v>
      </c>
      <c r="M625" s="204" t="s">
        <v>2276</v>
      </c>
    </row>
    <row r="626" spans="1:14" ht="31.5" customHeight="1">
      <c r="A626" s="19" t="s">
        <v>7387</v>
      </c>
      <c r="B626" s="19" t="s">
        <v>7440</v>
      </c>
      <c r="C626" s="204" t="s">
        <v>1105</v>
      </c>
      <c r="D626" s="204" t="s">
        <v>1242</v>
      </c>
      <c r="E626" s="4" t="s">
        <v>3209</v>
      </c>
      <c r="F626" s="4" t="s">
        <v>74</v>
      </c>
      <c r="G626" s="204"/>
      <c r="H626" s="204">
        <v>3</v>
      </c>
      <c r="I626" s="4" t="s">
        <v>7633</v>
      </c>
      <c r="J626" s="204">
        <v>2</v>
      </c>
      <c r="K626" s="11" t="s">
        <v>7632</v>
      </c>
      <c r="L626" s="204" t="s">
        <v>2276</v>
      </c>
      <c r="M626" s="204" t="s">
        <v>2276</v>
      </c>
    </row>
    <row r="627" spans="1:14" ht="31.5" customHeight="1">
      <c r="A627" s="19" t="s">
        <v>7388</v>
      </c>
      <c r="B627" s="19" t="s">
        <v>7441</v>
      </c>
      <c r="C627" s="204" t="s">
        <v>1105</v>
      </c>
      <c r="D627" s="204" t="s">
        <v>1242</v>
      </c>
      <c r="E627" s="4" t="s">
        <v>3209</v>
      </c>
      <c r="F627" s="4" t="s">
        <v>74</v>
      </c>
      <c r="G627" s="204"/>
      <c r="H627" s="204">
        <v>3</v>
      </c>
      <c r="I627" s="4" t="s">
        <v>7633</v>
      </c>
      <c r="J627" s="204">
        <v>1</v>
      </c>
      <c r="K627" s="11" t="s">
        <v>7631</v>
      </c>
      <c r="L627" s="204" t="s">
        <v>2276</v>
      </c>
      <c r="M627" s="204" t="s">
        <v>2276</v>
      </c>
    </row>
    <row r="628" spans="1:14" ht="31.5" customHeight="1">
      <c r="A628" s="19" t="s">
        <v>7389</v>
      </c>
      <c r="B628" s="19" t="s">
        <v>7442</v>
      </c>
      <c r="C628" s="204" t="s">
        <v>1105</v>
      </c>
      <c r="D628" s="204" t="s">
        <v>1242</v>
      </c>
      <c r="E628" s="4" t="s">
        <v>3209</v>
      </c>
      <c r="F628" s="4" t="s">
        <v>74</v>
      </c>
      <c r="G628" s="204"/>
      <c r="H628" s="204">
        <v>3</v>
      </c>
      <c r="I628" s="4" t="s">
        <v>7633</v>
      </c>
      <c r="J628" s="204">
        <v>1</v>
      </c>
      <c r="K628" s="11" t="s">
        <v>7631</v>
      </c>
      <c r="L628" s="204" t="s">
        <v>2276</v>
      </c>
      <c r="M628" s="204" t="s">
        <v>2276</v>
      </c>
    </row>
    <row r="629" spans="1:14" ht="31.5" customHeight="1">
      <c r="A629" s="19" t="s">
        <v>7390</v>
      </c>
      <c r="B629" s="19" t="s">
        <v>7443</v>
      </c>
      <c r="C629" s="204" t="s">
        <v>1105</v>
      </c>
      <c r="D629" s="204" t="s">
        <v>1242</v>
      </c>
      <c r="E629" s="4" t="s">
        <v>3209</v>
      </c>
      <c r="F629" s="4" t="s">
        <v>74</v>
      </c>
      <c r="G629" s="204"/>
      <c r="H629" s="204">
        <v>3</v>
      </c>
      <c r="I629" s="4" t="s">
        <v>7633</v>
      </c>
      <c r="J629" s="204">
        <v>1</v>
      </c>
      <c r="K629" s="11" t="s">
        <v>7631</v>
      </c>
      <c r="L629" s="204" t="s">
        <v>2276</v>
      </c>
      <c r="M629" s="204" t="s">
        <v>2276</v>
      </c>
    </row>
    <row r="630" spans="1:14" ht="31.5" customHeight="1">
      <c r="A630" s="19" t="s">
        <v>7391</v>
      </c>
      <c r="B630" s="19" t="s">
        <v>7444</v>
      </c>
      <c r="C630" s="204" t="s">
        <v>1105</v>
      </c>
      <c r="D630" s="204" t="s">
        <v>1242</v>
      </c>
      <c r="E630" s="4" t="s">
        <v>3209</v>
      </c>
      <c r="F630" s="4" t="s">
        <v>74</v>
      </c>
      <c r="G630" s="204"/>
      <c r="H630" s="204">
        <v>3</v>
      </c>
      <c r="I630" s="4" t="s">
        <v>7633</v>
      </c>
      <c r="J630" s="204">
        <v>1</v>
      </c>
      <c r="K630" s="11" t="s">
        <v>7631</v>
      </c>
      <c r="L630" s="204" t="s">
        <v>2276</v>
      </c>
      <c r="M630" s="204" t="s">
        <v>2276</v>
      </c>
    </row>
    <row r="631" spans="1:14" ht="31.5" customHeight="1">
      <c r="A631" s="19" t="s">
        <v>7392</v>
      </c>
      <c r="B631" s="19" t="s">
        <v>7445</v>
      </c>
      <c r="C631" s="204" t="s">
        <v>1105</v>
      </c>
      <c r="D631" s="204" t="s">
        <v>1242</v>
      </c>
      <c r="E631" s="4" t="s">
        <v>3209</v>
      </c>
      <c r="F631" s="4" t="s">
        <v>74</v>
      </c>
      <c r="G631" s="204"/>
      <c r="H631" s="204">
        <v>3</v>
      </c>
      <c r="I631" s="4" t="s">
        <v>7633</v>
      </c>
      <c r="J631" s="204">
        <v>1</v>
      </c>
      <c r="K631" s="11" t="s">
        <v>7631</v>
      </c>
      <c r="L631" s="204" t="s">
        <v>2276</v>
      </c>
      <c r="M631" s="204" t="s">
        <v>2276</v>
      </c>
    </row>
    <row r="632" spans="1:14" ht="31.5" customHeight="1">
      <c r="A632" s="19" t="s">
        <v>7393</v>
      </c>
      <c r="B632" s="19" t="s">
        <v>7446</v>
      </c>
      <c r="C632" s="204" t="s">
        <v>1105</v>
      </c>
      <c r="D632" s="204" t="s">
        <v>1242</v>
      </c>
      <c r="E632" s="4" t="s">
        <v>3209</v>
      </c>
      <c r="F632" s="4" t="s">
        <v>74</v>
      </c>
      <c r="G632" s="204"/>
      <c r="H632" s="204">
        <v>3</v>
      </c>
      <c r="I632" s="4" t="s">
        <v>7633</v>
      </c>
      <c r="J632" s="204">
        <v>2</v>
      </c>
      <c r="K632" s="11" t="s">
        <v>7632</v>
      </c>
      <c r="L632" s="204" t="s">
        <v>2276</v>
      </c>
      <c r="M632" s="204" t="s">
        <v>2276</v>
      </c>
    </row>
    <row r="633" spans="1:14" ht="31.5" customHeight="1">
      <c r="A633" s="19" t="s">
        <v>7394</v>
      </c>
      <c r="B633" s="19" t="s">
        <v>7447</v>
      </c>
      <c r="C633" s="204" t="s">
        <v>1105</v>
      </c>
      <c r="D633" s="204" t="s">
        <v>1242</v>
      </c>
      <c r="E633" s="4" t="s">
        <v>3209</v>
      </c>
      <c r="F633" s="4" t="s">
        <v>74</v>
      </c>
      <c r="G633" s="204"/>
      <c r="H633" s="204">
        <v>3</v>
      </c>
      <c r="I633" s="4" t="s">
        <v>7633</v>
      </c>
      <c r="J633" s="204">
        <v>2</v>
      </c>
      <c r="K633" s="11" t="s">
        <v>7632</v>
      </c>
      <c r="L633" s="204" t="s">
        <v>2276</v>
      </c>
      <c r="M633" s="204" t="s">
        <v>2276</v>
      </c>
    </row>
    <row r="634" spans="1:14" ht="31.5" customHeight="1">
      <c r="A634" s="19" t="s">
        <v>7395</v>
      </c>
      <c r="B634" s="19" t="s">
        <v>7448</v>
      </c>
      <c r="C634" s="204" t="s">
        <v>1105</v>
      </c>
      <c r="D634" s="204" t="s">
        <v>1242</v>
      </c>
      <c r="E634" s="4" t="s">
        <v>3209</v>
      </c>
      <c r="F634" s="4" t="s">
        <v>74</v>
      </c>
      <c r="G634" s="204"/>
      <c r="H634" s="204">
        <v>3</v>
      </c>
      <c r="I634" s="4" t="s">
        <v>7633</v>
      </c>
      <c r="J634" s="204">
        <v>2</v>
      </c>
      <c r="K634" s="11" t="s">
        <v>7632</v>
      </c>
      <c r="L634" s="204" t="s">
        <v>2276</v>
      </c>
      <c r="M634" s="204" t="s">
        <v>2276</v>
      </c>
    </row>
    <row r="635" spans="1:14" ht="31.5" customHeight="1">
      <c r="A635" s="19" t="s">
        <v>7594</v>
      </c>
      <c r="B635" s="19" t="s">
        <v>7596</v>
      </c>
      <c r="C635" s="204" t="s">
        <v>1105</v>
      </c>
      <c r="D635" s="204" t="s">
        <v>1242</v>
      </c>
      <c r="E635" s="4" t="s">
        <v>3209</v>
      </c>
      <c r="F635" s="4" t="s">
        <v>74</v>
      </c>
      <c r="G635" s="204"/>
      <c r="H635" s="204">
        <v>3</v>
      </c>
      <c r="I635" s="4" t="s">
        <v>7633</v>
      </c>
      <c r="J635" s="204">
        <v>1</v>
      </c>
      <c r="K635" s="11" t="s">
        <v>7631</v>
      </c>
      <c r="L635" s="204" t="s">
        <v>2276</v>
      </c>
      <c r="M635" s="204" t="s">
        <v>2276</v>
      </c>
    </row>
    <row r="636" spans="1:14" ht="31.5" customHeight="1">
      <c r="A636" s="55" t="s">
        <v>7616</v>
      </c>
      <c r="B636" s="55" t="s">
        <v>7630</v>
      </c>
      <c r="C636" s="38" t="s">
        <v>1105</v>
      </c>
      <c r="D636" s="38" t="s">
        <v>1242</v>
      </c>
      <c r="E636" s="168" t="s">
        <v>3209</v>
      </c>
      <c r="F636" s="168" t="s">
        <v>74</v>
      </c>
      <c r="G636" s="38"/>
      <c r="H636" s="38">
        <v>3</v>
      </c>
      <c r="I636" s="168" t="s">
        <v>7633</v>
      </c>
      <c r="J636" s="38">
        <v>1</v>
      </c>
      <c r="K636" s="35" t="s">
        <v>7631</v>
      </c>
      <c r="L636" s="38" t="s">
        <v>2276</v>
      </c>
      <c r="M636" s="38" t="s">
        <v>2276</v>
      </c>
    </row>
    <row r="637" spans="1:14" ht="29">
      <c r="A637" s="19" t="s">
        <v>7644</v>
      </c>
      <c r="B637" s="204" t="s">
        <v>7785</v>
      </c>
      <c r="C637" s="38" t="s">
        <v>1105</v>
      </c>
      <c r="D637" s="38" t="s">
        <v>1242</v>
      </c>
      <c r="E637" s="168" t="s">
        <v>3209</v>
      </c>
      <c r="F637" s="4" t="s">
        <v>2276</v>
      </c>
      <c r="G637" s="204"/>
      <c r="H637" s="4" t="s">
        <v>2276</v>
      </c>
      <c r="I637" s="4" t="s">
        <v>2276</v>
      </c>
      <c r="J637" s="204">
        <v>2</v>
      </c>
      <c r="K637" s="19" t="s">
        <v>7850</v>
      </c>
      <c r="L637" s="204" t="s">
        <v>2276</v>
      </c>
      <c r="M637" s="204" t="s">
        <v>2276</v>
      </c>
      <c r="N637" s="204"/>
    </row>
    <row r="638" spans="1:14" ht="29">
      <c r="A638" s="19" t="s">
        <v>7645</v>
      </c>
      <c r="B638" s="204" t="s">
        <v>7786</v>
      </c>
      <c r="C638" s="38" t="s">
        <v>1105</v>
      </c>
      <c r="D638" s="38" t="s">
        <v>1242</v>
      </c>
      <c r="E638" s="168" t="s">
        <v>3209</v>
      </c>
      <c r="F638" s="4" t="s">
        <v>2276</v>
      </c>
      <c r="G638" s="204"/>
      <c r="H638" s="4" t="s">
        <v>2276</v>
      </c>
      <c r="I638" s="4" t="s">
        <v>2276</v>
      </c>
      <c r="J638" s="204">
        <v>2</v>
      </c>
      <c r="K638" s="19" t="s">
        <v>7850</v>
      </c>
      <c r="L638" s="204" t="s">
        <v>2276</v>
      </c>
      <c r="M638" s="204" t="s">
        <v>2276</v>
      </c>
      <c r="N638" s="204"/>
    </row>
    <row r="639" spans="1:14" ht="29">
      <c r="A639" s="19" t="s">
        <v>7646</v>
      </c>
      <c r="B639" s="204" t="s">
        <v>7787</v>
      </c>
      <c r="C639" s="38" t="s">
        <v>1105</v>
      </c>
      <c r="D639" s="38" t="s">
        <v>1242</v>
      </c>
      <c r="E639" s="168" t="s">
        <v>3209</v>
      </c>
      <c r="F639" s="4" t="s">
        <v>2276</v>
      </c>
      <c r="G639" s="204"/>
      <c r="H639" s="4" t="s">
        <v>2276</v>
      </c>
      <c r="I639" s="4" t="s">
        <v>2276</v>
      </c>
      <c r="J639" s="204">
        <v>2</v>
      </c>
      <c r="K639" s="19" t="s">
        <v>7850</v>
      </c>
      <c r="L639" s="204" t="s">
        <v>2276</v>
      </c>
      <c r="M639" s="204" t="s">
        <v>2276</v>
      </c>
      <c r="N639" s="204"/>
    </row>
    <row r="640" spans="1:14" ht="29">
      <c r="A640" s="19" t="s">
        <v>7647</v>
      </c>
      <c r="B640" s="204" t="s">
        <v>7788</v>
      </c>
      <c r="C640" s="38" t="s">
        <v>1105</v>
      </c>
      <c r="D640" s="38" t="s">
        <v>1242</v>
      </c>
      <c r="E640" s="168" t="s">
        <v>3209</v>
      </c>
      <c r="F640" s="4" t="s">
        <v>2276</v>
      </c>
      <c r="G640" s="204"/>
      <c r="H640" s="4" t="s">
        <v>2276</v>
      </c>
      <c r="I640" s="4" t="s">
        <v>2276</v>
      </c>
      <c r="J640" s="204">
        <v>2</v>
      </c>
      <c r="K640" s="19" t="s">
        <v>7850</v>
      </c>
      <c r="L640" s="204" t="s">
        <v>2276</v>
      </c>
      <c r="M640" s="204" t="s">
        <v>2276</v>
      </c>
      <c r="N640" s="204"/>
    </row>
    <row r="641" spans="1:14" ht="29">
      <c r="A641" s="19" t="s">
        <v>7648</v>
      </c>
      <c r="B641" s="204" t="s">
        <v>7789</v>
      </c>
      <c r="C641" s="38" t="s">
        <v>1105</v>
      </c>
      <c r="D641" s="38" t="s">
        <v>1242</v>
      </c>
      <c r="E641" s="168" t="s">
        <v>3209</v>
      </c>
      <c r="F641" s="4" t="s">
        <v>2276</v>
      </c>
      <c r="G641" s="204"/>
      <c r="H641" s="4" t="s">
        <v>2276</v>
      </c>
      <c r="I641" s="4" t="s">
        <v>2276</v>
      </c>
      <c r="J641" s="204">
        <v>1</v>
      </c>
      <c r="K641" s="19" t="s">
        <v>7850</v>
      </c>
      <c r="L641" s="204" t="s">
        <v>2276</v>
      </c>
      <c r="M641" s="204" t="s">
        <v>2276</v>
      </c>
      <c r="N641" s="204"/>
    </row>
    <row r="642" spans="1:14" ht="29">
      <c r="A642" s="19" t="s">
        <v>7649</v>
      </c>
      <c r="B642" s="204" t="s">
        <v>7790</v>
      </c>
      <c r="C642" s="38" t="s">
        <v>1105</v>
      </c>
      <c r="D642" s="38" t="s">
        <v>1242</v>
      </c>
      <c r="E642" s="168" t="s">
        <v>3209</v>
      </c>
      <c r="F642" s="4" t="s">
        <v>2276</v>
      </c>
      <c r="G642" s="204"/>
      <c r="H642" s="4" t="s">
        <v>2276</v>
      </c>
      <c r="I642" s="4" t="s">
        <v>2276</v>
      </c>
      <c r="J642" s="204">
        <v>3</v>
      </c>
      <c r="K642" s="19" t="s">
        <v>7850</v>
      </c>
      <c r="L642" s="204" t="s">
        <v>2276</v>
      </c>
      <c r="M642" s="204" t="s">
        <v>2276</v>
      </c>
      <c r="N642" s="204"/>
    </row>
    <row r="643" spans="1:14" ht="29">
      <c r="A643" s="19" t="s">
        <v>7650</v>
      </c>
      <c r="B643" s="204" t="s">
        <v>7791</v>
      </c>
      <c r="C643" s="38" t="s">
        <v>1105</v>
      </c>
      <c r="D643" s="38" t="s">
        <v>1242</v>
      </c>
      <c r="E643" s="168" t="s">
        <v>3209</v>
      </c>
      <c r="F643" s="4" t="s">
        <v>2276</v>
      </c>
      <c r="G643" s="204"/>
      <c r="H643" s="4" t="s">
        <v>2276</v>
      </c>
      <c r="I643" s="4" t="s">
        <v>2276</v>
      </c>
      <c r="J643" s="204">
        <v>3</v>
      </c>
      <c r="K643" s="19" t="s">
        <v>7850</v>
      </c>
      <c r="L643" s="204" t="s">
        <v>2276</v>
      </c>
      <c r="M643" s="204" t="s">
        <v>2276</v>
      </c>
      <c r="N643" s="204"/>
    </row>
    <row r="644" spans="1:14" ht="29">
      <c r="A644" s="19" t="s">
        <v>7651</v>
      </c>
      <c r="B644" s="204" t="s">
        <v>7792</v>
      </c>
      <c r="C644" s="38" t="s">
        <v>1105</v>
      </c>
      <c r="D644" s="38" t="s">
        <v>1242</v>
      </c>
      <c r="E644" s="168" t="s">
        <v>3209</v>
      </c>
      <c r="F644" s="4" t="s">
        <v>2276</v>
      </c>
      <c r="G644" s="204"/>
      <c r="H644" s="4" t="s">
        <v>2276</v>
      </c>
      <c r="I644" s="4" t="s">
        <v>2276</v>
      </c>
      <c r="J644" s="204">
        <v>1</v>
      </c>
      <c r="K644" s="19" t="s">
        <v>7850</v>
      </c>
      <c r="L644" s="204" t="s">
        <v>2276</v>
      </c>
      <c r="M644" s="204" t="s">
        <v>2276</v>
      </c>
      <c r="N644" s="204"/>
    </row>
    <row r="645" spans="1:14" ht="29">
      <c r="A645" s="19" t="s">
        <v>7652</v>
      </c>
      <c r="B645" s="204" t="s">
        <v>7793</v>
      </c>
      <c r="C645" s="38" t="s">
        <v>1105</v>
      </c>
      <c r="D645" s="38" t="s">
        <v>1242</v>
      </c>
      <c r="E645" s="168" t="s">
        <v>3209</v>
      </c>
      <c r="F645" s="4" t="s">
        <v>2276</v>
      </c>
      <c r="G645" s="204"/>
      <c r="H645" s="4" t="s">
        <v>2276</v>
      </c>
      <c r="I645" s="4" t="s">
        <v>2276</v>
      </c>
      <c r="J645" s="204">
        <v>3</v>
      </c>
      <c r="K645" s="19" t="s">
        <v>7850</v>
      </c>
      <c r="L645" s="204" t="s">
        <v>2276</v>
      </c>
      <c r="M645" s="204" t="s">
        <v>2276</v>
      </c>
      <c r="N645" s="204"/>
    </row>
    <row r="646" spans="1:14" ht="29">
      <c r="A646" s="19" t="s">
        <v>7653</v>
      </c>
      <c r="B646" s="204" t="s">
        <v>7794</v>
      </c>
      <c r="C646" s="38" t="s">
        <v>1105</v>
      </c>
      <c r="D646" s="38" t="s">
        <v>1242</v>
      </c>
      <c r="E646" s="168" t="s">
        <v>3209</v>
      </c>
      <c r="F646" s="4" t="s">
        <v>2276</v>
      </c>
      <c r="G646" s="204"/>
      <c r="H646" s="4" t="s">
        <v>2276</v>
      </c>
      <c r="I646" s="4" t="s">
        <v>2276</v>
      </c>
      <c r="J646" s="204">
        <v>3</v>
      </c>
      <c r="K646" s="19" t="s">
        <v>7850</v>
      </c>
      <c r="L646" s="204" t="s">
        <v>2276</v>
      </c>
      <c r="M646" s="204" t="s">
        <v>2276</v>
      </c>
      <c r="N646" s="204"/>
    </row>
    <row r="647" spans="1:14" ht="29">
      <c r="A647" s="19" t="s">
        <v>7654</v>
      </c>
      <c r="B647" s="204" t="s">
        <v>7795</v>
      </c>
      <c r="C647" s="38" t="s">
        <v>1105</v>
      </c>
      <c r="D647" s="38" t="s">
        <v>1242</v>
      </c>
      <c r="E647" s="168" t="s">
        <v>3209</v>
      </c>
      <c r="F647" s="4" t="s">
        <v>2276</v>
      </c>
      <c r="G647" s="204"/>
      <c r="H647" s="4" t="s">
        <v>2276</v>
      </c>
      <c r="I647" s="4" t="s">
        <v>2276</v>
      </c>
      <c r="J647" s="204">
        <v>2</v>
      </c>
      <c r="K647" s="19" t="s">
        <v>7850</v>
      </c>
      <c r="L647" s="204" t="s">
        <v>2276</v>
      </c>
      <c r="M647" s="204" t="s">
        <v>2276</v>
      </c>
      <c r="N647" s="204"/>
    </row>
    <row r="648" spans="1:14" ht="29">
      <c r="A648" s="19" t="s">
        <v>7655</v>
      </c>
      <c r="B648" s="204" t="s">
        <v>7796</v>
      </c>
      <c r="C648" s="38" t="s">
        <v>1105</v>
      </c>
      <c r="D648" s="38" t="s">
        <v>1242</v>
      </c>
      <c r="E648" s="168" t="s">
        <v>3209</v>
      </c>
      <c r="F648" s="4" t="s">
        <v>2276</v>
      </c>
      <c r="G648" s="204"/>
      <c r="H648" s="4" t="s">
        <v>2276</v>
      </c>
      <c r="I648" s="4" t="s">
        <v>2276</v>
      </c>
      <c r="J648" s="204">
        <v>1</v>
      </c>
      <c r="K648" s="19" t="s">
        <v>7850</v>
      </c>
      <c r="L648" s="204" t="s">
        <v>2276</v>
      </c>
      <c r="M648" s="204" t="s">
        <v>2276</v>
      </c>
      <c r="N648" s="204"/>
    </row>
    <row r="649" spans="1:14" ht="29">
      <c r="A649" s="19" t="s">
        <v>7656</v>
      </c>
      <c r="B649" s="204" t="s">
        <v>7797</v>
      </c>
      <c r="C649" s="38" t="s">
        <v>1105</v>
      </c>
      <c r="D649" s="38" t="s">
        <v>1242</v>
      </c>
      <c r="E649" s="168" t="s">
        <v>3209</v>
      </c>
      <c r="F649" s="4" t="s">
        <v>2276</v>
      </c>
      <c r="G649" s="204"/>
      <c r="H649" s="4" t="s">
        <v>2276</v>
      </c>
      <c r="I649" s="4" t="s">
        <v>2276</v>
      </c>
      <c r="J649" s="204">
        <v>2</v>
      </c>
      <c r="K649" s="19" t="s">
        <v>7850</v>
      </c>
      <c r="L649" s="204" t="s">
        <v>2276</v>
      </c>
      <c r="M649" s="204" t="s">
        <v>2276</v>
      </c>
      <c r="N649" s="204"/>
    </row>
    <row r="650" spans="1:14" ht="29">
      <c r="A650" s="19" t="s">
        <v>7657</v>
      </c>
      <c r="B650" s="204" t="s">
        <v>7798</v>
      </c>
      <c r="C650" s="38" t="s">
        <v>1105</v>
      </c>
      <c r="D650" s="38" t="s">
        <v>1242</v>
      </c>
      <c r="E650" s="168" t="s">
        <v>3209</v>
      </c>
      <c r="F650" s="4" t="s">
        <v>2276</v>
      </c>
      <c r="G650" s="204"/>
      <c r="H650" s="4" t="s">
        <v>2276</v>
      </c>
      <c r="I650" s="4" t="s">
        <v>2276</v>
      </c>
      <c r="J650" s="204">
        <v>3</v>
      </c>
      <c r="K650" s="19" t="s">
        <v>7850</v>
      </c>
      <c r="L650" s="204" t="s">
        <v>2276</v>
      </c>
      <c r="M650" s="204" t="s">
        <v>2276</v>
      </c>
      <c r="N650" s="204"/>
    </row>
    <row r="651" spans="1:14" ht="29">
      <c r="A651" s="19" t="s">
        <v>7658</v>
      </c>
      <c r="B651" s="204" t="s">
        <v>7799</v>
      </c>
      <c r="C651" s="38" t="s">
        <v>1105</v>
      </c>
      <c r="D651" s="38" t="s">
        <v>1242</v>
      </c>
      <c r="E651" s="168" t="s">
        <v>3209</v>
      </c>
      <c r="F651" s="4" t="s">
        <v>2276</v>
      </c>
      <c r="G651" s="204"/>
      <c r="H651" s="4" t="s">
        <v>2276</v>
      </c>
      <c r="I651" s="4" t="s">
        <v>2276</v>
      </c>
      <c r="J651" s="204">
        <v>2</v>
      </c>
      <c r="K651" s="19" t="s">
        <v>7850</v>
      </c>
      <c r="L651" s="204" t="s">
        <v>2276</v>
      </c>
      <c r="M651" s="204" t="s">
        <v>2276</v>
      </c>
      <c r="N651" s="204"/>
    </row>
    <row r="652" spans="1:14" ht="29">
      <c r="A652" s="19" t="s">
        <v>7659</v>
      </c>
      <c r="B652" s="204" t="s">
        <v>7800</v>
      </c>
      <c r="C652" s="38" t="s">
        <v>1105</v>
      </c>
      <c r="D652" s="38" t="s">
        <v>1242</v>
      </c>
      <c r="E652" s="168" t="s">
        <v>3209</v>
      </c>
      <c r="F652" s="4" t="s">
        <v>2276</v>
      </c>
      <c r="G652" s="204"/>
      <c r="H652" s="4" t="s">
        <v>2276</v>
      </c>
      <c r="I652" s="4" t="s">
        <v>2276</v>
      </c>
      <c r="J652" s="204">
        <v>2</v>
      </c>
      <c r="K652" s="19" t="s">
        <v>7850</v>
      </c>
      <c r="L652" s="204" t="s">
        <v>2276</v>
      </c>
      <c r="M652" s="204" t="s">
        <v>2276</v>
      </c>
      <c r="N652" s="204"/>
    </row>
    <row r="653" spans="1:14" ht="29">
      <c r="A653" s="19" t="s">
        <v>7660</v>
      </c>
      <c r="B653" s="204" t="s">
        <v>7801</v>
      </c>
      <c r="C653" s="38" t="s">
        <v>1105</v>
      </c>
      <c r="D653" s="38" t="s">
        <v>1242</v>
      </c>
      <c r="E653" s="168" t="s">
        <v>3209</v>
      </c>
      <c r="F653" s="4" t="s">
        <v>2276</v>
      </c>
      <c r="G653" s="204"/>
      <c r="H653" s="4" t="s">
        <v>2276</v>
      </c>
      <c r="I653" s="4" t="s">
        <v>2276</v>
      </c>
      <c r="J653" s="204">
        <v>2</v>
      </c>
      <c r="K653" s="19" t="s">
        <v>7850</v>
      </c>
      <c r="L653" s="204" t="s">
        <v>2276</v>
      </c>
      <c r="M653" s="204" t="s">
        <v>2276</v>
      </c>
      <c r="N653" s="204"/>
    </row>
    <row r="654" spans="1:14" ht="29">
      <c r="A654" s="19" t="s">
        <v>7661</v>
      </c>
      <c r="B654" s="204" t="s">
        <v>7802</v>
      </c>
      <c r="C654" s="38" t="s">
        <v>1105</v>
      </c>
      <c r="D654" s="38" t="s">
        <v>1242</v>
      </c>
      <c r="E654" s="168" t="s">
        <v>3209</v>
      </c>
      <c r="F654" s="4" t="s">
        <v>2276</v>
      </c>
      <c r="G654" s="204"/>
      <c r="H654" s="4" t="s">
        <v>2276</v>
      </c>
      <c r="I654" s="4" t="s">
        <v>2276</v>
      </c>
      <c r="J654" s="204">
        <v>2</v>
      </c>
      <c r="K654" s="19" t="s">
        <v>7850</v>
      </c>
      <c r="L654" s="204" t="s">
        <v>2276</v>
      </c>
      <c r="M654" s="204" t="s">
        <v>2276</v>
      </c>
      <c r="N654" s="204"/>
    </row>
    <row r="655" spans="1:14" ht="29">
      <c r="A655" s="19" t="s">
        <v>7662</v>
      </c>
      <c r="B655" s="204" t="s">
        <v>7803</v>
      </c>
      <c r="C655" s="38" t="s">
        <v>1105</v>
      </c>
      <c r="D655" s="38" t="s">
        <v>1242</v>
      </c>
      <c r="E655" s="168" t="s">
        <v>3209</v>
      </c>
      <c r="F655" s="4" t="s">
        <v>2276</v>
      </c>
      <c r="G655" s="204"/>
      <c r="H655" s="4" t="s">
        <v>2276</v>
      </c>
      <c r="I655" s="4" t="s">
        <v>2276</v>
      </c>
      <c r="J655" s="204">
        <v>1</v>
      </c>
      <c r="K655" s="19" t="s">
        <v>7850</v>
      </c>
      <c r="L655" s="204" t="s">
        <v>2276</v>
      </c>
      <c r="M655" s="204" t="s">
        <v>2276</v>
      </c>
      <c r="N655" s="204"/>
    </row>
    <row r="656" spans="1:14" ht="29">
      <c r="A656" s="19" t="s">
        <v>7663</v>
      </c>
      <c r="B656" s="204" t="s">
        <v>7804</v>
      </c>
      <c r="C656" s="38" t="s">
        <v>1105</v>
      </c>
      <c r="D656" s="38" t="s">
        <v>1242</v>
      </c>
      <c r="E656" s="168" t="s">
        <v>3209</v>
      </c>
      <c r="F656" s="4" t="s">
        <v>2276</v>
      </c>
      <c r="G656" s="204"/>
      <c r="H656" s="4" t="s">
        <v>2276</v>
      </c>
      <c r="I656" s="4" t="s">
        <v>2276</v>
      </c>
      <c r="J656" s="204">
        <v>2</v>
      </c>
      <c r="K656" s="19" t="s">
        <v>7850</v>
      </c>
      <c r="L656" s="204" t="s">
        <v>2276</v>
      </c>
      <c r="M656" s="204" t="s">
        <v>2276</v>
      </c>
      <c r="N656" s="204"/>
    </row>
    <row r="657" spans="1:14" ht="29">
      <c r="A657" s="19" t="s">
        <v>7664</v>
      </c>
      <c r="B657" s="204" t="s">
        <v>7805</v>
      </c>
      <c r="C657" s="38" t="s">
        <v>1105</v>
      </c>
      <c r="D657" s="38" t="s">
        <v>1242</v>
      </c>
      <c r="E657" s="168" t="s">
        <v>3209</v>
      </c>
      <c r="F657" s="4" t="s">
        <v>2276</v>
      </c>
      <c r="G657" s="204"/>
      <c r="H657" s="4" t="s">
        <v>2276</v>
      </c>
      <c r="I657" s="4" t="s">
        <v>2276</v>
      </c>
      <c r="J657" s="204">
        <v>2</v>
      </c>
      <c r="K657" s="19" t="s">
        <v>7850</v>
      </c>
      <c r="L657" s="204" t="s">
        <v>2276</v>
      </c>
      <c r="M657" s="204" t="s">
        <v>2276</v>
      </c>
      <c r="N657" s="204"/>
    </row>
    <row r="658" spans="1:14" ht="29">
      <c r="A658" s="19" t="s">
        <v>7665</v>
      </c>
      <c r="B658" s="204" t="s">
        <v>7806</v>
      </c>
      <c r="C658" s="38" t="s">
        <v>1105</v>
      </c>
      <c r="D658" s="38" t="s">
        <v>1242</v>
      </c>
      <c r="E658" s="168" t="s">
        <v>3209</v>
      </c>
      <c r="F658" s="4" t="s">
        <v>2276</v>
      </c>
      <c r="G658" s="204"/>
      <c r="H658" s="4" t="s">
        <v>2276</v>
      </c>
      <c r="I658" s="4" t="s">
        <v>2276</v>
      </c>
      <c r="J658" s="204">
        <v>2</v>
      </c>
      <c r="K658" s="19" t="s">
        <v>7850</v>
      </c>
      <c r="L658" s="204" t="s">
        <v>2276</v>
      </c>
      <c r="M658" s="204" t="s">
        <v>2276</v>
      </c>
      <c r="N658" s="204"/>
    </row>
    <row r="659" spans="1:14" ht="29">
      <c r="A659" s="19" t="s">
        <v>7666</v>
      </c>
      <c r="B659" s="204" t="s">
        <v>7807</v>
      </c>
      <c r="C659" s="38" t="s">
        <v>1105</v>
      </c>
      <c r="D659" s="38" t="s">
        <v>1242</v>
      </c>
      <c r="E659" s="168" t="s">
        <v>3209</v>
      </c>
      <c r="F659" s="4" t="s">
        <v>2276</v>
      </c>
      <c r="G659" s="204"/>
      <c r="H659" s="4" t="s">
        <v>2276</v>
      </c>
      <c r="I659" s="4" t="s">
        <v>2276</v>
      </c>
      <c r="J659" s="204">
        <v>2</v>
      </c>
      <c r="K659" s="19" t="s">
        <v>7850</v>
      </c>
      <c r="L659" s="204" t="s">
        <v>2276</v>
      </c>
      <c r="M659" s="204" t="s">
        <v>2276</v>
      </c>
      <c r="N659" s="204"/>
    </row>
    <row r="660" spans="1:14" ht="29">
      <c r="A660" s="19" t="s">
        <v>7667</v>
      </c>
      <c r="B660" s="204" t="s">
        <v>7808</v>
      </c>
      <c r="C660" s="38" t="s">
        <v>1105</v>
      </c>
      <c r="D660" s="38" t="s">
        <v>1242</v>
      </c>
      <c r="E660" s="168" t="s">
        <v>3209</v>
      </c>
      <c r="F660" s="4" t="s">
        <v>2276</v>
      </c>
      <c r="G660" s="204"/>
      <c r="H660" s="4" t="s">
        <v>2276</v>
      </c>
      <c r="I660" s="4" t="s">
        <v>2276</v>
      </c>
      <c r="J660" s="204">
        <v>2</v>
      </c>
      <c r="K660" s="19" t="s">
        <v>7850</v>
      </c>
      <c r="L660" s="204" t="s">
        <v>2276</v>
      </c>
      <c r="M660" s="204" t="s">
        <v>2276</v>
      </c>
      <c r="N660" s="204"/>
    </row>
    <row r="661" spans="1:14" ht="29">
      <c r="A661" s="19" t="s">
        <v>7668</v>
      </c>
      <c r="B661" s="204" t="s">
        <v>7809</v>
      </c>
      <c r="C661" s="38" t="s">
        <v>1105</v>
      </c>
      <c r="D661" s="38" t="s">
        <v>1242</v>
      </c>
      <c r="E661" s="168" t="s">
        <v>3209</v>
      </c>
      <c r="F661" s="4" t="s">
        <v>2276</v>
      </c>
      <c r="G661" s="204"/>
      <c r="H661" s="4" t="s">
        <v>2276</v>
      </c>
      <c r="I661" s="4" t="s">
        <v>2276</v>
      </c>
      <c r="J661" s="204">
        <v>2</v>
      </c>
      <c r="K661" s="19" t="s">
        <v>7850</v>
      </c>
      <c r="L661" s="204" t="s">
        <v>2276</v>
      </c>
      <c r="M661" s="204" t="s">
        <v>2276</v>
      </c>
      <c r="N661" s="204"/>
    </row>
    <row r="662" spans="1:14" ht="29">
      <c r="A662" s="19" t="s">
        <v>7669</v>
      </c>
      <c r="B662" s="204" t="s">
        <v>7810</v>
      </c>
      <c r="C662" s="38" t="s">
        <v>1105</v>
      </c>
      <c r="D662" s="38" t="s">
        <v>1242</v>
      </c>
      <c r="E662" s="168" t="s">
        <v>3209</v>
      </c>
      <c r="F662" s="4" t="s">
        <v>2276</v>
      </c>
      <c r="G662" s="204"/>
      <c r="H662" s="4" t="s">
        <v>2276</v>
      </c>
      <c r="I662" s="4" t="s">
        <v>2276</v>
      </c>
      <c r="J662" s="204">
        <v>1</v>
      </c>
      <c r="K662" s="19" t="s">
        <v>7850</v>
      </c>
      <c r="L662" s="204" t="s">
        <v>2276</v>
      </c>
      <c r="M662" s="204" t="s">
        <v>2276</v>
      </c>
      <c r="N662" s="204"/>
    </row>
    <row r="663" spans="1:14" ht="29">
      <c r="A663" s="19" t="s">
        <v>7670</v>
      </c>
      <c r="B663" s="204" t="s">
        <v>7811</v>
      </c>
      <c r="C663" s="38" t="s">
        <v>1105</v>
      </c>
      <c r="D663" s="38" t="s">
        <v>1242</v>
      </c>
      <c r="E663" s="168" t="s">
        <v>3209</v>
      </c>
      <c r="F663" s="4" t="s">
        <v>2276</v>
      </c>
      <c r="G663" s="204"/>
      <c r="H663" s="4" t="s">
        <v>2276</v>
      </c>
      <c r="I663" s="4" t="s">
        <v>2276</v>
      </c>
      <c r="J663" s="204">
        <v>2</v>
      </c>
      <c r="K663" s="19" t="s">
        <v>7850</v>
      </c>
      <c r="L663" s="204" t="s">
        <v>2276</v>
      </c>
      <c r="M663" s="204" t="s">
        <v>2276</v>
      </c>
      <c r="N663" s="204"/>
    </row>
    <row r="664" spans="1:14" ht="29">
      <c r="A664" s="19" t="s">
        <v>7671</v>
      </c>
      <c r="B664" s="204" t="s">
        <v>7812</v>
      </c>
      <c r="C664" s="38" t="s">
        <v>1105</v>
      </c>
      <c r="D664" s="38" t="s">
        <v>1242</v>
      </c>
      <c r="E664" s="168" t="s">
        <v>3209</v>
      </c>
      <c r="F664" s="4" t="s">
        <v>2276</v>
      </c>
      <c r="G664" s="204"/>
      <c r="H664" s="4" t="s">
        <v>2276</v>
      </c>
      <c r="I664" s="4" t="s">
        <v>2276</v>
      </c>
      <c r="J664" s="204">
        <v>2</v>
      </c>
      <c r="K664" s="19" t="s">
        <v>7850</v>
      </c>
      <c r="L664" s="204" t="s">
        <v>2276</v>
      </c>
      <c r="M664" s="204" t="s">
        <v>2276</v>
      </c>
      <c r="N664" s="204"/>
    </row>
    <row r="665" spans="1:14" ht="29">
      <c r="A665" s="19" t="s">
        <v>7672</v>
      </c>
      <c r="B665" s="204" t="s">
        <v>7813</v>
      </c>
      <c r="C665" s="38" t="s">
        <v>1105</v>
      </c>
      <c r="D665" s="38" t="s">
        <v>1242</v>
      </c>
      <c r="E665" s="168" t="s">
        <v>3209</v>
      </c>
      <c r="F665" s="4" t="s">
        <v>2276</v>
      </c>
      <c r="G665" s="204"/>
      <c r="H665" s="4" t="s">
        <v>2276</v>
      </c>
      <c r="I665" s="4" t="s">
        <v>2276</v>
      </c>
      <c r="J665" s="204">
        <v>1</v>
      </c>
      <c r="K665" s="19" t="s">
        <v>7850</v>
      </c>
      <c r="L665" s="204" t="s">
        <v>2276</v>
      </c>
      <c r="M665" s="204" t="s">
        <v>2276</v>
      </c>
      <c r="N665" s="204"/>
    </row>
    <row r="666" spans="1:14" ht="29">
      <c r="A666" s="19" t="s">
        <v>7673</v>
      </c>
      <c r="B666" s="204" t="s">
        <v>7814</v>
      </c>
      <c r="C666" s="38" t="s">
        <v>1105</v>
      </c>
      <c r="D666" s="38" t="s">
        <v>1242</v>
      </c>
      <c r="E666" s="168" t="s">
        <v>3209</v>
      </c>
      <c r="F666" s="4" t="s">
        <v>2276</v>
      </c>
      <c r="G666" s="204"/>
      <c r="H666" s="4" t="s">
        <v>2276</v>
      </c>
      <c r="I666" s="4" t="s">
        <v>2276</v>
      </c>
      <c r="J666" s="204">
        <v>1</v>
      </c>
      <c r="K666" s="19" t="s">
        <v>7850</v>
      </c>
      <c r="L666" s="204" t="s">
        <v>2276</v>
      </c>
      <c r="M666" s="204" t="s">
        <v>2276</v>
      </c>
      <c r="N666" s="204"/>
    </row>
    <row r="667" spans="1:14" ht="29">
      <c r="A667" s="19" t="s">
        <v>7593</v>
      </c>
      <c r="B667" s="204" t="s">
        <v>7815</v>
      </c>
      <c r="C667" s="38" t="s">
        <v>1105</v>
      </c>
      <c r="D667" s="38" t="s">
        <v>1242</v>
      </c>
      <c r="E667" s="168" t="s">
        <v>3209</v>
      </c>
      <c r="F667" s="4" t="s">
        <v>2276</v>
      </c>
      <c r="G667" s="204"/>
      <c r="H667" s="4" t="s">
        <v>2276</v>
      </c>
      <c r="I667" s="4" t="s">
        <v>2276</v>
      </c>
      <c r="J667" s="204">
        <v>1</v>
      </c>
      <c r="K667" s="19" t="s">
        <v>7850</v>
      </c>
      <c r="L667" s="204" t="s">
        <v>2276</v>
      </c>
      <c r="M667" s="204" t="s">
        <v>2276</v>
      </c>
      <c r="N667" s="204"/>
    </row>
    <row r="668" spans="1:14" ht="29">
      <c r="A668" s="19" t="s">
        <v>7614</v>
      </c>
      <c r="B668" s="204" t="s">
        <v>7615</v>
      </c>
      <c r="C668" s="38" t="s">
        <v>1105</v>
      </c>
      <c r="D668" s="38" t="s">
        <v>1242</v>
      </c>
      <c r="E668" s="168" t="s">
        <v>3209</v>
      </c>
      <c r="F668" s="4" t="s">
        <v>2276</v>
      </c>
      <c r="G668" s="204"/>
      <c r="H668" s="4" t="s">
        <v>2276</v>
      </c>
      <c r="I668" s="4" t="s">
        <v>2276</v>
      </c>
      <c r="J668" s="204">
        <v>1</v>
      </c>
      <c r="K668" s="19" t="s">
        <v>7850</v>
      </c>
      <c r="L668" s="204" t="s">
        <v>2276</v>
      </c>
      <c r="M668" s="204" t="s">
        <v>2276</v>
      </c>
      <c r="N668" s="204"/>
    </row>
    <row r="669" spans="1:14" ht="29">
      <c r="A669" s="19" t="s">
        <v>7674</v>
      </c>
      <c r="B669" s="204" t="s">
        <v>7816</v>
      </c>
      <c r="C669" s="38" t="s">
        <v>1105</v>
      </c>
      <c r="D669" s="38" t="s">
        <v>1242</v>
      </c>
      <c r="E669" s="168" t="s">
        <v>3209</v>
      </c>
      <c r="F669" s="4" t="s">
        <v>2276</v>
      </c>
      <c r="G669" s="204"/>
      <c r="H669" s="4" t="s">
        <v>2276</v>
      </c>
      <c r="I669" s="4" t="s">
        <v>2276</v>
      </c>
      <c r="J669" s="204">
        <v>1</v>
      </c>
      <c r="K669" s="19" t="s">
        <v>7850</v>
      </c>
      <c r="L669" s="204" t="s">
        <v>2276</v>
      </c>
      <c r="M669" s="204" t="s">
        <v>2276</v>
      </c>
      <c r="N669" s="204"/>
    </row>
    <row r="670" spans="1:14" ht="29">
      <c r="A670" s="19" t="s">
        <v>7675</v>
      </c>
      <c r="B670" s="204" t="s">
        <v>7817</v>
      </c>
      <c r="C670" s="38" t="s">
        <v>1105</v>
      </c>
      <c r="D670" s="38" t="s">
        <v>1242</v>
      </c>
      <c r="E670" s="168" t="s">
        <v>3209</v>
      </c>
      <c r="F670" s="4" t="s">
        <v>2276</v>
      </c>
      <c r="G670" s="204"/>
      <c r="H670" s="4" t="s">
        <v>2276</v>
      </c>
      <c r="I670" s="4" t="s">
        <v>2276</v>
      </c>
      <c r="J670" s="204">
        <v>0</v>
      </c>
      <c r="K670" s="19" t="s">
        <v>7850</v>
      </c>
      <c r="L670" s="204" t="s">
        <v>2276</v>
      </c>
      <c r="M670" s="204" t="s">
        <v>2276</v>
      </c>
      <c r="N670" s="204"/>
    </row>
    <row r="671" spans="1:14" ht="29">
      <c r="A671" s="19" t="s">
        <v>7676</v>
      </c>
      <c r="B671" s="204" t="s">
        <v>7818</v>
      </c>
      <c r="C671" s="38" t="s">
        <v>1105</v>
      </c>
      <c r="D671" s="38" t="s">
        <v>1242</v>
      </c>
      <c r="E671" s="168" t="s">
        <v>3209</v>
      </c>
      <c r="F671" s="4" t="s">
        <v>2276</v>
      </c>
      <c r="G671" s="204"/>
      <c r="H671" s="4" t="s">
        <v>2276</v>
      </c>
      <c r="I671" s="4" t="s">
        <v>2276</v>
      </c>
      <c r="J671" s="204">
        <v>1</v>
      </c>
      <c r="K671" s="19" t="s">
        <v>7850</v>
      </c>
      <c r="L671" s="204" t="s">
        <v>2276</v>
      </c>
      <c r="M671" s="204" t="s">
        <v>2276</v>
      </c>
      <c r="N671" s="204"/>
    </row>
    <row r="672" spans="1:14" ht="29">
      <c r="A672" s="19" t="s">
        <v>7677</v>
      </c>
      <c r="B672" s="204" t="s">
        <v>7819</v>
      </c>
      <c r="C672" s="38" t="s">
        <v>1105</v>
      </c>
      <c r="D672" s="38" t="s">
        <v>1242</v>
      </c>
      <c r="E672" s="168" t="s">
        <v>3209</v>
      </c>
      <c r="F672" s="4" t="s">
        <v>2276</v>
      </c>
      <c r="G672" s="204"/>
      <c r="H672" s="4" t="s">
        <v>2276</v>
      </c>
      <c r="I672" s="4" t="s">
        <v>2276</v>
      </c>
      <c r="J672" s="204">
        <v>3</v>
      </c>
      <c r="K672" s="19" t="s">
        <v>7850</v>
      </c>
      <c r="L672" s="204" t="s">
        <v>2276</v>
      </c>
      <c r="M672" s="204" t="s">
        <v>2276</v>
      </c>
      <c r="N672" s="204"/>
    </row>
    <row r="673" spans="1:14" ht="29">
      <c r="A673" s="19" t="s">
        <v>7678</v>
      </c>
      <c r="B673" s="204" t="s">
        <v>7820</v>
      </c>
      <c r="C673" s="38" t="s">
        <v>1105</v>
      </c>
      <c r="D673" s="38" t="s">
        <v>1242</v>
      </c>
      <c r="E673" s="168" t="s">
        <v>3209</v>
      </c>
      <c r="F673" s="4" t="s">
        <v>2276</v>
      </c>
      <c r="G673" s="204"/>
      <c r="H673" s="4" t="s">
        <v>2276</v>
      </c>
      <c r="I673" s="4" t="s">
        <v>2276</v>
      </c>
      <c r="J673" s="204">
        <v>1</v>
      </c>
      <c r="K673" s="19" t="s">
        <v>7850</v>
      </c>
      <c r="L673" s="204" t="s">
        <v>2276</v>
      </c>
      <c r="M673" s="204" t="s">
        <v>2276</v>
      </c>
      <c r="N673" s="204"/>
    </row>
    <row r="674" spans="1:14" ht="29">
      <c r="A674" s="19" t="s">
        <v>7679</v>
      </c>
      <c r="B674" s="204" t="s">
        <v>7821</v>
      </c>
      <c r="C674" s="38" t="s">
        <v>1105</v>
      </c>
      <c r="D674" s="38" t="s">
        <v>1242</v>
      </c>
      <c r="E674" s="168" t="s">
        <v>3209</v>
      </c>
      <c r="F674" s="4" t="s">
        <v>2276</v>
      </c>
      <c r="G674" s="204"/>
      <c r="H674" s="4" t="s">
        <v>2276</v>
      </c>
      <c r="I674" s="4" t="s">
        <v>2276</v>
      </c>
      <c r="J674" s="204">
        <v>1</v>
      </c>
      <c r="K674" s="19" t="s">
        <v>7850</v>
      </c>
      <c r="L674" s="204" t="s">
        <v>2276</v>
      </c>
      <c r="M674" s="204" t="s">
        <v>2276</v>
      </c>
      <c r="N674" s="204"/>
    </row>
    <row r="675" spans="1:14" ht="29">
      <c r="A675" s="19" t="s">
        <v>7680</v>
      </c>
      <c r="B675" s="204" t="s">
        <v>7822</v>
      </c>
      <c r="C675" s="38" t="s">
        <v>1105</v>
      </c>
      <c r="D675" s="38" t="s">
        <v>1242</v>
      </c>
      <c r="E675" s="168" t="s">
        <v>3209</v>
      </c>
      <c r="F675" s="4" t="s">
        <v>2276</v>
      </c>
      <c r="G675" s="204"/>
      <c r="H675" s="4" t="s">
        <v>2276</v>
      </c>
      <c r="I675" s="4" t="s">
        <v>2276</v>
      </c>
      <c r="J675" s="204">
        <v>2</v>
      </c>
      <c r="K675" s="19" t="s">
        <v>7850</v>
      </c>
      <c r="L675" s="204" t="s">
        <v>2276</v>
      </c>
      <c r="M675" s="204" t="s">
        <v>2276</v>
      </c>
      <c r="N675" s="204"/>
    </row>
    <row r="676" spans="1:14" ht="29">
      <c r="A676" s="19" t="s">
        <v>7681</v>
      </c>
      <c r="B676" s="204" t="s">
        <v>7823</v>
      </c>
      <c r="C676" s="38" t="s">
        <v>1105</v>
      </c>
      <c r="D676" s="38" t="s">
        <v>1242</v>
      </c>
      <c r="E676" s="168" t="s">
        <v>3209</v>
      </c>
      <c r="F676" s="4" t="s">
        <v>2276</v>
      </c>
      <c r="G676" s="204"/>
      <c r="H676" s="4" t="s">
        <v>2276</v>
      </c>
      <c r="I676" s="4" t="s">
        <v>2276</v>
      </c>
      <c r="J676" s="204">
        <v>2</v>
      </c>
      <c r="K676" s="19" t="s">
        <v>7850</v>
      </c>
      <c r="L676" s="204" t="s">
        <v>2276</v>
      </c>
      <c r="M676" s="204" t="s">
        <v>2276</v>
      </c>
      <c r="N676" s="204"/>
    </row>
    <row r="677" spans="1:14" ht="29">
      <c r="A677" s="19" t="s">
        <v>7682</v>
      </c>
      <c r="B677" s="204" t="s">
        <v>7824</v>
      </c>
      <c r="C677" s="38" t="s">
        <v>1105</v>
      </c>
      <c r="D677" s="38" t="s">
        <v>1242</v>
      </c>
      <c r="E677" s="168" t="s">
        <v>3209</v>
      </c>
      <c r="F677" s="4" t="s">
        <v>2276</v>
      </c>
      <c r="G677" s="204"/>
      <c r="H677" s="4" t="s">
        <v>2276</v>
      </c>
      <c r="I677" s="4" t="s">
        <v>2276</v>
      </c>
      <c r="J677" s="204">
        <v>1</v>
      </c>
      <c r="K677" s="19" t="s">
        <v>7850</v>
      </c>
      <c r="L677" s="204" t="s">
        <v>2276</v>
      </c>
      <c r="M677" s="204" t="s">
        <v>2276</v>
      </c>
      <c r="N677" s="204"/>
    </row>
    <row r="678" spans="1:14" ht="29">
      <c r="A678" s="19" t="s">
        <v>7683</v>
      </c>
      <c r="B678" s="204" t="s">
        <v>7825</v>
      </c>
      <c r="C678" s="38" t="s">
        <v>1105</v>
      </c>
      <c r="D678" s="38" t="s">
        <v>1242</v>
      </c>
      <c r="E678" s="168" t="s">
        <v>3209</v>
      </c>
      <c r="F678" s="4" t="s">
        <v>2276</v>
      </c>
      <c r="G678" s="204"/>
      <c r="H678" s="4" t="s">
        <v>2276</v>
      </c>
      <c r="I678" s="4" t="s">
        <v>2276</v>
      </c>
      <c r="J678" s="204">
        <v>1</v>
      </c>
      <c r="K678" s="19" t="s">
        <v>7850</v>
      </c>
      <c r="L678" s="204" t="s">
        <v>2276</v>
      </c>
      <c r="M678" s="204" t="s">
        <v>2276</v>
      </c>
      <c r="N678" s="204"/>
    </row>
    <row r="679" spans="1:14" ht="29">
      <c r="A679" s="19" t="s">
        <v>7684</v>
      </c>
      <c r="B679" s="204" t="s">
        <v>7826</v>
      </c>
      <c r="C679" s="38" t="s">
        <v>1105</v>
      </c>
      <c r="D679" s="38" t="s">
        <v>1242</v>
      </c>
      <c r="E679" s="168" t="s">
        <v>3209</v>
      </c>
      <c r="F679" s="4" t="s">
        <v>2276</v>
      </c>
      <c r="G679" s="204"/>
      <c r="H679" s="4" t="s">
        <v>2276</v>
      </c>
      <c r="I679" s="4" t="s">
        <v>2276</v>
      </c>
      <c r="J679" s="204">
        <v>2</v>
      </c>
      <c r="K679" s="19" t="s">
        <v>7850</v>
      </c>
      <c r="L679" s="204" t="s">
        <v>2276</v>
      </c>
      <c r="M679" s="204" t="s">
        <v>2276</v>
      </c>
      <c r="N679" s="204"/>
    </row>
    <row r="680" spans="1:14" ht="29">
      <c r="A680" s="19" t="s">
        <v>7685</v>
      </c>
      <c r="B680" s="204" t="s">
        <v>7827</v>
      </c>
      <c r="C680" s="38" t="s">
        <v>1105</v>
      </c>
      <c r="D680" s="38" t="s">
        <v>1242</v>
      </c>
      <c r="E680" s="168" t="s">
        <v>3209</v>
      </c>
      <c r="F680" s="4" t="s">
        <v>2276</v>
      </c>
      <c r="G680" s="204"/>
      <c r="H680" s="4" t="s">
        <v>2276</v>
      </c>
      <c r="I680" s="4" t="s">
        <v>2276</v>
      </c>
      <c r="J680" s="204">
        <v>1</v>
      </c>
      <c r="K680" s="19" t="s">
        <v>7850</v>
      </c>
      <c r="L680" s="204" t="s">
        <v>2276</v>
      </c>
      <c r="M680" s="204" t="s">
        <v>2276</v>
      </c>
      <c r="N680" s="204"/>
    </row>
    <row r="681" spans="1:14" ht="29">
      <c r="A681" s="19" t="s">
        <v>7686</v>
      </c>
      <c r="B681" s="204" t="s">
        <v>7828</v>
      </c>
      <c r="C681" s="38" t="s">
        <v>1105</v>
      </c>
      <c r="D681" s="38" t="s">
        <v>1242</v>
      </c>
      <c r="E681" s="168" t="s">
        <v>3209</v>
      </c>
      <c r="F681" s="4" t="s">
        <v>2276</v>
      </c>
      <c r="G681" s="204"/>
      <c r="H681" s="4" t="s">
        <v>2276</v>
      </c>
      <c r="I681" s="4" t="s">
        <v>2276</v>
      </c>
      <c r="J681" s="204">
        <v>1</v>
      </c>
      <c r="K681" s="19" t="s">
        <v>7850</v>
      </c>
      <c r="L681" s="204" t="s">
        <v>2276</v>
      </c>
      <c r="M681" s="204" t="s">
        <v>2276</v>
      </c>
      <c r="N681" s="204"/>
    </row>
    <row r="682" spans="1:14" ht="29">
      <c r="A682" s="19" t="s">
        <v>7687</v>
      </c>
      <c r="B682" s="204" t="s">
        <v>7829</v>
      </c>
      <c r="C682" s="38" t="s">
        <v>1105</v>
      </c>
      <c r="D682" s="38" t="s">
        <v>1242</v>
      </c>
      <c r="E682" s="168" t="s">
        <v>3209</v>
      </c>
      <c r="F682" s="4" t="s">
        <v>2276</v>
      </c>
      <c r="G682" s="204"/>
      <c r="H682" s="4" t="s">
        <v>2276</v>
      </c>
      <c r="I682" s="4" t="s">
        <v>2276</v>
      </c>
      <c r="J682" s="204">
        <v>1</v>
      </c>
      <c r="K682" s="19" t="s">
        <v>7850</v>
      </c>
      <c r="L682" s="204" t="s">
        <v>2276</v>
      </c>
      <c r="M682" s="204" t="s">
        <v>2276</v>
      </c>
      <c r="N682" s="204"/>
    </row>
    <row r="683" spans="1:14" ht="29">
      <c r="A683" s="19" t="s">
        <v>7688</v>
      </c>
      <c r="B683" s="204" t="s">
        <v>7830</v>
      </c>
      <c r="C683" s="38" t="s">
        <v>1105</v>
      </c>
      <c r="D683" s="38" t="s">
        <v>1242</v>
      </c>
      <c r="E683" s="168" t="s">
        <v>3209</v>
      </c>
      <c r="F683" s="4" t="s">
        <v>2276</v>
      </c>
      <c r="G683" s="204"/>
      <c r="H683" s="4" t="s">
        <v>2276</v>
      </c>
      <c r="I683" s="4" t="s">
        <v>2276</v>
      </c>
      <c r="J683" s="204">
        <v>1</v>
      </c>
      <c r="K683" s="19" t="s">
        <v>7850</v>
      </c>
      <c r="L683" s="204" t="s">
        <v>2276</v>
      </c>
      <c r="M683" s="204" t="s">
        <v>2276</v>
      </c>
      <c r="N683" s="204"/>
    </row>
    <row r="684" spans="1:14" ht="29">
      <c r="A684" s="19" t="s">
        <v>7689</v>
      </c>
      <c r="B684" s="204" t="s">
        <v>7831</v>
      </c>
      <c r="C684" s="38" t="s">
        <v>1105</v>
      </c>
      <c r="D684" s="38" t="s">
        <v>1242</v>
      </c>
      <c r="E684" s="168" t="s">
        <v>3209</v>
      </c>
      <c r="F684" s="4" t="s">
        <v>2276</v>
      </c>
      <c r="G684" s="204"/>
      <c r="H684" s="4" t="s">
        <v>2276</v>
      </c>
      <c r="I684" s="4" t="s">
        <v>2276</v>
      </c>
      <c r="J684" s="204">
        <v>1</v>
      </c>
      <c r="K684" s="19" t="s">
        <v>7850</v>
      </c>
      <c r="L684" s="204" t="s">
        <v>2276</v>
      </c>
      <c r="M684" s="204" t="s">
        <v>2276</v>
      </c>
      <c r="N684" s="204"/>
    </row>
    <row r="685" spans="1:14" ht="29">
      <c r="A685" s="19" t="s">
        <v>7690</v>
      </c>
      <c r="B685" s="204" t="s">
        <v>7832</v>
      </c>
      <c r="C685" s="38" t="s">
        <v>1105</v>
      </c>
      <c r="D685" s="38" t="s">
        <v>1242</v>
      </c>
      <c r="E685" s="168" t="s">
        <v>3209</v>
      </c>
      <c r="F685" s="4" t="s">
        <v>2276</v>
      </c>
      <c r="G685" s="204"/>
      <c r="H685" s="4" t="s">
        <v>2276</v>
      </c>
      <c r="I685" s="4" t="s">
        <v>2276</v>
      </c>
      <c r="J685" s="204">
        <v>1</v>
      </c>
      <c r="K685" s="19" t="s">
        <v>7850</v>
      </c>
      <c r="L685" s="204" t="s">
        <v>2276</v>
      </c>
      <c r="M685" s="204" t="s">
        <v>2276</v>
      </c>
      <c r="N685" s="204"/>
    </row>
    <row r="686" spans="1:14" ht="29">
      <c r="A686" s="19" t="s">
        <v>7691</v>
      </c>
      <c r="B686" s="204" t="s">
        <v>7833</v>
      </c>
      <c r="C686" s="38" t="s">
        <v>1105</v>
      </c>
      <c r="D686" s="38" t="s">
        <v>1242</v>
      </c>
      <c r="E686" s="168" t="s">
        <v>3209</v>
      </c>
      <c r="F686" s="4" t="s">
        <v>2276</v>
      </c>
      <c r="G686" s="204"/>
      <c r="H686" s="4" t="s">
        <v>2276</v>
      </c>
      <c r="I686" s="4" t="s">
        <v>2276</v>
      </c>
      <c r="J686" s="204">
        <v>2</v>
      </c>
      <c r="K686" s="19" t="s">
        <v>7850</v>
      </c>
      <c r="L686" s="204" t="s">
        <v>2276</v>
      </c>
      <c r="M686" s="204" t="s">
        <v>2276</v>
      </c>
      <c r="N686" s="204"/>
    </row>
    <row r="687" spans="1:14" ht="29">
      <c r="A687" s="19" t="s">
        <v>7692</v>
      </c>
      <c r="B687" s="204" t="s">
        <v>7834</v>
      </c>
      <c r="C687" s="38" t="s">
        <v>1105</v>
      </c>
      <c r="D687" s="38" t="s">
        <v>1242</v>
      </c>
      <c r="E687" s="168" t="s">
        <v>3209</v>
      </c>
      <c r="F687" s="4" t="s">
        <v>2276</v>
      </c>
      <c r="G687" s="204"/>
      <c r="H687" s="4" t="s">
        <v>2276</v>
      </c>
      <c r="I687" s="4" t="s">
        <v>2276</v>
      </c>
      <c r="J687" s="204">
        <v>0</v>
      </c>
      <c r="K687" s="19" t="s">
        <v>7850</v>
      </c>
      <c r="L687" s="204" t="s">
        <v>2276</v>
      </c>
      <c r="M687" s="204" t="s">
        <v>2276</v>
      </c>
      <c r="N687" s="204"/>
    </row>
    <row r="688" spans="1:14" ht="29">
      <c r="A688" s="19" t="s">
        <v>7760</v>
      </c>
      <c r="B688" s="204" t="s">
        <v>7835</v>
      </c>
      <c r="C688" s="38" t="s">
        <v>1105</v>
      </c>
      <c r="D688" s="38" t="s">
        <v>1242</v>
      </c>
      <c r="E688" s="168" t="s">
        <v>3209</v>
      </c>
      <c r="F688" s="4" t="s">
        <v>2276</v>
      </c>
      <c r="G688" s="204"/>
      <c r="H688" s="4" t="s">
        <v>2276</v>
      </c>
      <c r="I688" s="4" t="s">
        <v>2276</v>
      </c>
      <c r="J688" s="204">
        <v>1</v>
      </c>
      <c r="K688" s="19" t="s">
        <v>7850</v>
      </c>
      <c r="L688" s="204" t="s">
        <v>2276</v>
      </c>
      <c r="M688" s="204" t="s">
        <v>2276</v>
      </c>
      <c r="N688" s="204"/>
    </row>
    <row r="689" spans="1:14" ht="29">
      <c r="A689" s="19" t="s">
        <v>7761</v>
      </c>
      <c r="B689" s="204" t="s">
        <v>7836</v>
      </c>
      <c r="C689" s="38" t="s">
        <v>1105</v>
      </c>
      <c r="D689" s="38" t="s">
        <v>1242</v>
      </c>
      <c r="E689" s="168" t="s">
        <v>3209</v>
      </c>
      <c r="F689" s="4" t="s">
        <v>2276</v>
      </c>
      <c r="G689" s="204"/>
      <c r="H689" s="4" t="s">
        <v>2276</v>
      </c>
      <c r="I689" s="4" t="s">
        <v>2276</v>
      </c>
      <c r="J689" s="204">
        <v>2</v>
      </c>
      <c r="K689" s="19" t="s">
        <v>7850</v>
      </c>
      <c r="L689" s="204" t="s">
        <v>2276</v>
      </c>
      <c r="M689" s="204" t="s">
        <v>2276</v>
      </c>
      <c r="N689" s="204"/>
    </row>
    <row r="690" spans="1:14" ht="29">
      <c r="A690" s="19" t="s">
        <v>7762</v>
      </c>
      <c r="B690" s="204" t="s">
        <v>7837</v>
      </c>
      <c r="C690" s="38" t="s">
        <v>1105</v>
      </c>
      <c r="D690" s="38" t="s">
        <v>1242</v>
      </c>
      <c r="E690" s="168" t="s">
        <v>3209</v>
      </c>
      <c r="F690" s="4" t="s">
        <v>2276</v>
      </c>
      <c r="G690" s="204"/>
      <c r="H690" s="4" t="s">
        <v>2276</v>
      </c>
      <c r="I690" s="4" t="s">
        <v>2276</v>
      </c>
      <c r="J690" s="204">
        <v>3</v>
      </c>
      <c r="K690" s="19" t="s">
        <v>7850</v>
      </c>
      <c r="L690" s="204" t="s">
        <v>2276</v>
      </c>
      <c r="M690" s="204" t="s">
        <v>2276</v>
      </c>
      <c r="N690" s="204"/>
    </row>
    <row r="691" spans="1:14" ht="29">
      <c r="A691" s="19" t="s">
        <v>7763</v>
      </c>
      <c r="B691" s="204" t="s">
        <v>7838</v>
      </c>
      <c r="C691" s="38" t="s">
        <v>1105</v>
      </c>
      <c r="D691" s="38" t="s">
        <v>1242</v>
      </c>
      <c r="E691" s="168" t="s">
        <v>3209</v>
      </c>
      <c r="F691" s="4" t="s">
        <v>2276</v>
      </c>
      <c r="G691" s="204"/>
      <c r="H691" s="4" t="s">
        <v>2276</v>
      </c>
      <c r="I691" s="4" t="s">
        <v>2276</v>
      </c>
      <c r="J691" s="204">
        <v>3</v>
      </c>
      <c r="K691" s="19" t="s">
        <v>7850</v>
      </c>
      <c r="L691" s="204" t="s">
        <v>2276</v>
      </c>
      <c r="M691" s="204" t="s">
        <v>2276</v>
      </c>
      <c r="N691" s="204"/>
    </row>
    <row r="692" spans="1:14" ht="29">
      <c r="A692" s="19" t="s">
        <v>7764</v>
      </c>
      <c r="B692" s="204" t="s">
        <v>7839</v>
      </c>
      <c r="C692" s="38" t="s">
        <v>1105</v>
      </c>
      <c r="D692" s="38" t="s">
        <v>1242</v>
      </c>
      <c r="E692" s="168" t="s">
        <v>3209</v>
      </c>
      <c r="F692" s="4" t="s">
        <v>2276</v>
      </c>
      <c r="G692" s="204"/>
      <c r="H692" s="4" t="s">
        <v>2276</v>
      </c>
      <c r="I692" s="4" t="s">
        <v>2276</v>
      </c>
      <c r="J692" s="204">
        <v>1</v>
      </c>
      <c r="K692" s="19" t="s">
        <v>7850</v>
      </c>
      <c r="L692" s="204" t="s">
        <v>2276</v>
      </c>
      <c r="M692" s="204" t="s">
        <v>2276</v>
      </c>
      <c r="N692" s="204"/>
    </row>
    <row r="693" spans="1:14" ht="29">
      <c r="A693" s="19" t="s">
        <v>7765</v>
      </c>
      <c r="B693" s="204" t="s">
        <v>7840</v>
      </c>
      <c r="C693" s="38" t="s">
        <v>1105</v>
      </c>
      <c r="D693" s="38" t="s">
        <v>1242</v>
      </c>
      <c r="E693" s="168" t="s">
        <v>3209</v>
      </c>
      <c r="F693" s="4" t="s">
        <v>2276</v>
      </c>
      <c r="G693" s="204"/>
      <c r="H693" s="4" t="s">
        <v>2276</v>
      </c>
      <c r="I693" s="4" t="s">
        <v>2276</v>
      </c>
      <c r="J693" s="204">
        <v>2</v>
      </c>
      <c r="K693" s="19" t="s">
        <v>7850</v>
      </c>
      <c r="L693" s="204" t="s">
        <v>2276</v>
      </c>
      <c r="M693" s="204" t="s">
        <v>2276</v>
      </c>
      <c r="N693" s="204"/>
    </row>
    <row r="694" spans="1:14" ht="29">
      <c r="A694" s="19" t="s">
        <v>7766</v>
      </c>
      <c r="B694" s="204" t="s">
        <v>7841</v>
      </c>
      <c r="C694" s="38" t="s">
        <v>1105</v>
      </c>
      <c r="D694" s="38" t="s">
        <v>1242</v>
      </c>
      <c r="E694" s="168" t="s">
        <v>3209</v>
      </c>
      <c r="F694" s="4" t="s">
        <v>2276</v>
      </c>
      <c r="G694" s="204"/>
      <c r="H694" s="4" t="s">
        <v>2276</v>
      </c>
      <c r="I694" s="4" t="s">
        <v>2276</v>
      </c>
      <c r="J694" s="204">
        <v>1</v>
      </c>
      <c r="K694" s="19" t="s">
        <v>7850</v>
      </c>
      <c r="L694" s="204" t="s">
        <v>2276</v>
      </c>
      <c r="M694" s="204" t="s">
        <v>2276</v>
      </c>
      <c r="N694" s="204"/>
    </row>
    <row r="695" spans="1:14" ht="29">
      <c r="A695" s="19" t="s">
        <v>7670</v>
      </c>
      <c r="B695" s="204" t="s">
        <v>7811</v>
      </c>
      <c r="C695" s="38" t="s">
        <v>1105</v>
      </c>
      <c r="D695" s="38" t="s">
        <v>1242</v>
      </c>
      <c r="E695" s="168" t="s">
        <v>3209</v>
      </c>
      <c r="F695" s="4" t="s">
        <v>2276</v>
      </c>
      <c r="G695" s="204"/>
      <c r="H695" s="4" t="s">
        <v>2276</v>
      </c>
      <c r="I695" s="4" t="s">
        <v>2276</v>
      </c>
      <c r="J695" s="204">
        <v>1</v>
      </c>
      <c r="K695" s="19" t="s">
        <v>7850</v>
      </c>
      <c r="L695" s="204" t="s">
        <v>2276</v>
      </c>
      <c r="M695" s="204" t="s">
        <v>2276</v>
      </c>
      <c r="N695" s="204"/>
    </row>
    <row r="696" spans="1:14" ht="29">
      <c r="A696" s="19" t="s">
        <v>7767</v>
      </c>
      <c r="B696" s="204" t="s">
        <v>7842</v>
      </c>
      <c r="C696" s="38" t="s">
        <v>1105</v>
      </c>
      <c r="D696" s="38" t="s">
        <v>1242</v>
      </c>
      <c r="E696" s="168" t="s">
        <v>3209</v>
      </c>
      <c r="F696" s="4" t="s">
        <v>2276</v>
      </c>
      <c r="G696" s="204"/>
      <c r="H696" s="4" t="s">
        <v>2276</v>
      </c>
      <c r="I696" s="4" t="s">
        <v>2276</v>
      </c>
      <c r="J696" s="204">
        <v>1</v>
      </c>
      <c r="K696" s="19" t="s">
        <v>7850</v>
      </c>
      <c r="L696" s="204" t="s">
        <v>2276</v>
      </c>
      <c r="M696" s="204" t="s">
        <v>2276</v>
      </c>
      <c r="N696" s="204"/>
    </row>
    <row r="697" spans="1:14" ht="29">
      <c r="A697" s="19" t="s">
        <v>7768</v>
      </c>
      <c r="B697" s="204" t="s">
        <v>7843</v>
      </c>
      <c r="C697" s="38" t="s">
        <v>1105</v>
      </c>
      <c r="D697" s="38" t="s">
        <v>1242</v>
      </c>
      <c r="E697" s="168" t="s">
        <v>3209</v>
      </c>
      <c r="F697" s="4" t="s">
        <v>2276</v>
      </c>
      <c r="G697" s="204"/>
      <c r="H697" s="4" t="s">
        <v>2276</v>
      </c>
      <c r="I697" s="4" t="s">
        <v>2276</v>
      </c>
      <c r="J697" s="204">
        <v>0</v>
      </c>
      <c r="K697" s="19" t="s">
        <v>7850</v>
      </c>
      <c r="L697" s="204" t="s">
        <v>2276</v>
      </c>
      <c r="M697" s="204" t="s">
        <v>2276</v>
      </c>
      <c r="N697" s="204"/>
    </row>
    <row r="698" spans="1:14" ht="29">
      <c r="A698" s="19" t="s">
        <v>7769</v>
      </c>
      <c r="B698" s="204" t="s">
        <v>7844</v>
      </c>
      <c r="C698" s="38" t="s">
        <v>1105</v>
      </c>
      <c r="D698" s="38" t="s">
        <v>1242</v>
      </c>
      <c r="E698" s="168" t="s">
        <v>3209</v>
      </c>
      <c r="F698" s="4" t="s">
        <v>2276</v>
      </c>
      <c r="G698" s="204"/>
      <c r="H698" s="4" t="s">
        <v>2276</v>
      </c>
      <c r="I698" s="4" t="s">
        <v>2276</v>
      </c>
      <c r="J698" s="204">
        <v>1</v>
      </c>
      <c r="K698" s="19" t="s">
        <v>7850</v>
      </c>
      <c r="L698" s="204" t="s">
        <v>2276</v>
      </c>
      <c r="M698" s="204" t="s">
        <v>2276</v>
      </c>
      <c r="N698" s="204"/>
    </row>
    <row r="699" spans="1:14" ht="29">
      <c r="A699" s="19" t="s">
        <v>7770</v>
      </c>
      <c r="B699" s="204" t="s">
        <v>7845</v>
      </c>
      <c r="C699" s="38" t="s">
        <v>1105</v>
      </c>
      <c r="D699" s="38" t="s">
        <v>1242</v>
      </c>
      <c r="E699" s="168" t="s">
        <v>3209</v>
      </c>
      <c r="F699" s="4" t="s">
        <v>2276</v>
      </c>
      <c r="G699" s="204"/>
      <c r="H699" s="4" t="s">
        <v>2276</v>
      </c>
      <c r="I699" s="4" t="s">
        <v>2276</v>
      </c>
      <c r="J699" s="204">
        <v>1</v>
      </c>
      <c r="K699" s="19" t="s">
        <v>7850</v>
      </c>
      <c r="L699" s="204" t="s">
        <v>2276</v>
      </c>
      <c r="M699" s="204" t="s">
        <v>2276</v>
      </c>
      <c r="N699" s="204"/>
    </row>
    <row r="700" spans="1:14" ht="29">
      <c r="A700" s="19" t="s">
        <v>7771</v>
      </c>
      <c r="B700" s="204" t="s">
        <v>7846</v>
      </c>
      <c r="C700" s="38" t="s">
        <v>1105</v>
      </c>
      <c r="D700" s="38" t="s">
        <v>1242</v>
      </c>
      <c r="E700" s="168" t="s">
        <v>3209</v>
      </c>
      <c r="F700" s="4" t="s">
        <v>2276</v>
      </c>
      <c r="G700" s="204"/>
      <c r="H700" s="4" t="s">
        <v>2276</v>
      </c>
      <c r="I700" s="4" t="s">
        <v>2276</v>
      </c>
      <c r="J700" s="204">
        <v>1</v>
      </c>
      <c r="K700" s="19" t="s">
        <v>7850</v>
      </c>
      <c r="L700" s="204" t="s">
        <v>2276</v>
      </c>
      <c r="M700" s="204" t="s">
        <v>2276</v>
      </c>
      <c r="N700" s="204"/>
    </row>
    <row r="701" spans="1:14" ht="29">
      <c r="A701" s="19" t="s">
        <v>7772</v>
      </c>
      <c r="B701" s="204" t="s">
        <v>7847</v>
      </c>
      <c r="C701" s="204" t="s">
        <v>1105</v>
      </c>
      <c r="D701" s="204" t="s">
        <v>1242</v>
      </c>
      <c r="E701" s="4" t="s">
        <v>3209</v>
      </c>
      <c r="F701" s="4" t="s">
        <v>2276</v>
      </c>
      <c r="G701" s="204"/>
      <c r="H701" s="4" t="s">
        <v>2276</v>
      </c>
      <c r="I701" s="4" t="s">
        <v>2276</v>
      </c>
      <c r="J701" s="204">
        <v>1</v>
      </c>
      <c r="K701" s="19" t="s">
        <v>7850</v>
      </c>
      <c r="L701" s="204" t="s">
        <v>2276</v>
      </c>
      <c r="M701" s="204" t="s">
        <v>2276</v>
      </c>
      <c r="N701" s="204"/>
    </row>
    <row r="702" spans="1:14" ht="29">
      <c r="A702" s="19" t="s">
        <v>7773</v>
      </c>
      <c r="B702" s="204" t="s">
        <v>7848</v>
      </c>
      <c r="C702" s="204" t="s">
        <v>1105</v>
      </c>
      <c r="D702" s="204" t="s">
        <v>1242</v>
      </c>
      <c r="E702" s="4" t="s">
        <v>3209</v>
      </c>
      <c r="F702" s="4" t="s">
        <v>2276</v>
      </c>
      <c r="G702" s="204"/>
      <c r="H702" s="4" t="s">
        <v>2276</v>
      </c>
      <c r="I702" s="4" t="s">
        <v>2276</v>
      </c>
      <c r="J702" s="204">
        <v>0</v>
      </c>
      <c r="K702" s="19" t="s">
        <v>7850</v>
      </c>
      <c r="L702" s="204" t="s">
        <v>2276</v>
      </c>
      <c r="M702" s="204" t="s">
        <v>2276</v>
      </c>
      <c r="N702" s="204"/>
    </row>
    <row r="703" spans="1:14" ht="29">
      <c r="A703" s="19" t="s">
        <v>7774</v>
      </c>
      <c r="B703" s="204" t="s">
        <v>7849</v>
      </c>
      <c r="C703" s="204" t="s">
        <v>1105</v>
      </c>
      <c r="D703" s="204" t="s">
        <v>1242</v>
      </c>
      <c r="E703" s="4" t="s">
        <v>3209</v>
      </c>
      <c r="F703" s="4" t="s">
        <v>2276</v>
      </c>
      <c r="G703" s="204"/>
      <c r="H703" s="4" t="s">
        <v>2276</v>
      </c>
      <c r="I703" s="4" t="s">
        <v>2276</v>
      </c>
      <c r="J703" s="204">
        <v>2</v>
      </c>
      <c r="K703" s="19" t="s">
        <v>7850</v>
      </c>
      <c r="L703" s="204" t="s">
        <v>2276</v>
      </c>
      <c r="M703" s="204" t="s">
        <v>2276</v>
      </c>
      <c r="N703" s="204"/>
    </row>
    <row r="704" spans="1:14" ht="44.5" customHeight="1">
      <c r="A704" s="204" t="s">
        <v>7873</v>
      </c>
      <c r="B704" s="204" t="s">
        <v>7875</v>
      </c>
      <c r="C704" s="204" t="s">
        <v>24</v>
      </c>
      <c r="D704" s="204" t="s">
        <v>143</v>
      </c>
      <c r="E704" s="4" t="s">
        <v>130</v>
      </c>
      <c r="F704" s="204" t="s">
        <v>74</v>
      </c>
      <c r="G704" s="204"/>
      <c r="H704" s="204">
        <v>1</v>
      </c>
      <c r="I704" s="19" t="s">
        <v>7883</v>
      </c>
      <c r="J704" s="204" t="s">
        <v>2276</v>
      </c>
      <c r="K704" s="204" t="s">
        <v>2276</v>
      </c>
      <c r="L704" s="204" t="s">
        <v>2276</v>
      </c>
      <c r="M704" s="204" t="s">
        <v>2276</v>
      </c>
      <c r="N704" s="204"/>
    </row>
    <row r="705" spans="1:14" ht="44.5" customHeight="1">
      <c r="A705" s="204" t="s">
        <v>7873</v>
      </c>
      <c r="B705" s="204" t="s">
        <v>7876</v>
      </c>
      <c r="C705" s="204" t="s">
        <v>24</v>
      </c>
      <c r="D705" s="204" t="s">
        <v>27</v>
      </c>
      <c r="E705" s="4" t="s">
        <v>130</v>
      </c>
      <c r="F705" s="204" t="s">
        <v>160</v>
      </c>
      <c r="G705" s="204"/>
      <c r="H705" s="204">
        <v>1</v>
      </c>
      <c r="I705" s="19" t="s">
        <v>7883</v>
      </c>
      <c r="J705" s="204" t="s">
        <v>2276</v>
      </c>
      <c r="K705" s="204" t="s">
        <v>2276</v>
      </c>
      <c r="L705" s="204" t="s">
        <v>2276</v>
      </c>
      <c r="M705" s="204" t="s">
        <v>2276</v>
      </c>
      <c r="N705" s="204"/>
    </row>
    <row r="706" spans="1:14" ht="44.5" customHeight="1">
      <c r="A706" s="204" t="s">
        <v>7873</v>
      </c>
      <c r="B706" s="204" t="s">
        <v>7877</v>
      </c>
      <c r="C706" s="204" t="s">
        <v>24</v>
      </c>
      <c r="D706" s="204" t="s">
        <v>143</v>
      </c>
      <c r="E706" s="4" t="s">
        <v>3854</v>
      </c>
      <c r="F706" s="204" t="s">
        <v>74</v>
      </c>
      <c r="G706" s="204"/>
      <c r="H706" s="204">
        <v>1</v>
      </c>
      <c r="I706" s="19" t="s">
        <v>7883</v>
      </c>
      <c r="J706" s="204" t="s">
        <v>2276</v>
      </c>
      <c r="K706" s="204" t="s">
        <v>2276</v>
      </c>
      <c r="L706" s="204" t="s">
        <v>2276</v>
      </c>
      <c r="M706" s="204" t="s">
        <v>2276</v>
      </c>
      <c r="N706" s="204"/>
    </row>
    <row r="707" spans="1:14" ht="44.5" customHeight="1">
      <c r="A707" s="204" t="s">
        <v>7873</v>
      </c>
      <c r="B707" s="204" t="s">
        <v>7878</v>
      </c>
      <c r="C707" s="204" t="s">
        <v>24</v>
      </c>
      <c r="D707" s="204" t="s">
        <v>25</v>
      </c>
      <c r="E707" s="4" t="s">
        <v>3854</v>
      </c>
      <c r="F707" s="204" t="s">
        <v>29</v>
      </c>
      <c r="G707" s="204"/>
      <c r="H707" s="204">
        <v>1</v>
      </c>
      <c r="I707" s="19" t="s">
        <v>7883</v>
      </c>
      <c r="J707" s="204" t="s">
        <v>2276</v>
      </c>
      <c r="K707" s="204" t="s">
        <v>2276</v>
      </c>
      <c r="L707" s="204" t="s">
        <v>2276</v>
      </c>
      <c r="M707" s="204" t="s">
        <v>2276</v>
      </c>
      <c r="N707" s="204"/>
    </row>
    <row r="708" spans="1:14" ht="44.5" customHeight="1">
      <c r="A708" s="204" t="s">
        <v>7873</v>
      </c>
      <c r="B708" s="204" t="s">
        <v>7880</v>
      </c>
      <c r="C708" s="204" t="s">
        <v>24</v>
      </c>
      <c r="D708" s="204" t="s">
        <v>143</v>
      </c>
      <c r="E708" s="4" t="s">
        <v>45</v>
      </c>
      <c r="F708" s="204" t="s">
        <v>74</v>
      </c>
      <c r="G708" s="204"/>
      <c r="H708" s="204">
        <v>1</v>
      </c>
      <c r="I708" s="19" t="s">
        <v>7883</v>
      </c>
      <c r="J708" s="204" t="s">
        <v>2276</v>
      </c>
      <c r="K708" s="204" t="s">
        <v>2276</v>
      </c>
      <c r="L708" s="204" t="s">
        <v>2276</v>
      </c>
      <c r="M708" s="204" t="s">
        <v>2276</v>
      </c>
      <c r="N708" s="204"/>
    </row>
    <row r="709" spans="1:14" ht="44.5" customHeight="1">
      <c r="A709" s="204" t="s">
        <v>7873</v>
      </c>
      <c r="B709" s="204" t="s">
        <v>7881</v>
      </c>
      <c r="C709" s="204" t="s">
        <v>24</v>
      </c>
      <c r="D709" s="204" t="s">
        <v>25</v>
      </c>
      <c r="E709" s="4" t="s">
        <v>45</v>
      </c>
      <c r="F709" s="204" t="s">
        <v>29</v>
      </c>
      <c r="G709" s="204"/>
      <c r="H709" s="204">
        <v>1</v>
      </c>
      <c r="I709" s="19" t="s">
        <v>7883</v>
      </c>
      <c r="J709" s="204" t="s">
        <v>2276</v>
      </c>
      <c r="K709" s="204" t="s">
        <v>2276</v>
      </c>
      <c r="L709" s="204" t="s">
        <v>2276</v>
      </c>
      <c r="M709" s="204" t="s">
        <v>2276</v>
      </c>
      <c r="N709" s="204"/>
    </row>
    <row r="710" spans="1:14" ht="36" customHeight="1">
      <c r="A710" s="11" t="s">
        <v>7895</v>
      </c>
      <c r="B710" s="11" t="s">
        <v>7898</v>
      </c>
      <c r="C710" s="204" t="s">
        <v>24</v>
      </c>
      <c r="D710" s="204" t="s">
        <v>2276</v>
      </c>
      <c r="E710" s="4" t="s">
        <v>137</v>
      </c>
      <c r="F710" s="4" t="s">
        <v>2662</v>
      </c>
      <c r="G710" s="204"/>
      <c r="H710" s="204" t="s">
        <v>2276</v>
      </c>
      <c r="I710" s="204" t="s">
        <v>2276</v>
      </c>
      <c r="J710" s="204">
        <v>0</v>
      </c>
      <c r="K710" s="11" t="s">
        <v>7904</v>
      </c>
      <c r="L710" s="204" t="s">
        <v>2276</v>
      </c>
      <c r="M710" s="204" t="s">
        <v>2276</v>
      </c>
      <c r="N710" s="204"/>
    </row>
    <row r="711" spans="1:14" ht="37" customHeight="1">
      <c r="A711" s="11" t="s">
        <v>7907</v>
      </c>
      <c r="B711" s="11" t="s">
        <v>7918</v>
      </c>
      <c r="C711" s="156" t="s">
        <v>24</v>
      </c>
      <c r="D711" s="156" t="s">
        <v>144</v>
      </c>
      <c r="E711" s="156" t="s">
        <v>137</v>
      </c>
      <c r="F711" s="156" t="s">
        <v>2662</v>
      </c>
      <c r="G711" s="204"/>
      <c r="H711" s="204" t="s">
        <v>2276</v>
      </c>
      <c r="I711" s="204" t="s">
        <v>2276</v>
      </c>
      <c r="J711" s="204">
        <v>2</v>
      </c>
      <c r="K711" s="204" t="s">
        <v>7927</v>
      </c>
      <c r="L711" s="204" t="s">
        <v>2276</v>
      </c>
      <c r="M711" s="204" t="s">
        <v>2276</v>
      </c>
      <c r="N711" s="204"/>
    </row>
    <row r="712" spans="1:14" ht="37" customHeight="1">
      <c r="A712" s="204" t="s">
        <v>7910</v>
      </c>
      <c r="B712" s="204" t="s">
        <v>7919</v>
      </c>
      <c r="C712" s="156" t="s">
        <v>24</v>
      </c>
      <c r="D712" s="156" t="s">
        <v>144</v>
      </c>
      <c r="E712" s="156" t="s">
        <v>137</v>
      </c>
      <c r="F712" s="156" t="s">
        <v>2662</v>
      </c>
      <c r="G712" s="204"/>
      <c r="H712" s="204" t="s">
        <v>2276</v>
      </c>
      <c r="I712" s="204" t="s">
        <v>2276</v>
      </c>
      <c r="J712" s="204">
        <v>2</v>
      </c>
      <c r="K712" s="204" t="s">
        <v>7927</v>
      </c>
      <c r="L712" s="204" t="s">
        <v>2276</v>
      </c>
      <c r="M712" s="204" t="s">
        <v>2276</v>
      </c>
      <c r="N712" s="204"/>
    </row>
    <row r="713" spans="1:14" ht="37" customHeight="1">
      <c r="A713" s="204" t="s">
        <v>7911</v>
      </c>
      <c r="B713" s="204" t="s">
        <v>7920</v>
      </c>
      <c r="C713" s="156" t="s">
        <v>24</v>
      </c>
      <c r="D713" s="156" t="s">
        <v>144</v>
      </c>
      <c r="E713" s="156" t="s">
        <v>137</v>
      </c>
      <c r="F713" s="156" t="s">
        <v>2662</v>
      </c>
      <c r="G713" s="204"/>
      <c r="H713" s="204" t="s">
        <v>2276</v>
      </c>
      <c r="I713" s="204" t="s">
        <v>2276</v>
      </c>
      <c r="J713" s="204">
        <v>2</v>
      </c>
      <c r="K713" s="204" t="s">
        <v>7927</v>
      </c>
      <c r="L713" s="204" t="s">
        <v>2276</v>
      </c>
      <c r="M713" s="204" t="s">
        <v>2276</v>
      </c>
      <c r="N713" s="204"/>
    </row>
    <row r="714" spans="1:14" ht="37" customHeight="1">
      <c r="A714" s="204" t="s">
        <v>7912</v>
      </c>
      <c r="B714" s="204" t="s">
        <v>7921</v>
      </c>
      <c r="C714" s="156" t="s">
        <v>24</v>
      </c>
      <c r="D714" s="156" t="s">
        <v>144</v>
      </c>
      <c r="E714" s="156" t="s">
        <v>137</v>
      </c>
      <c r="F714" s="156" t="s">
        <v>2662</v>
      </c>
      <c r="G714" s="204"/>
      <c r="H714" s="204" t="s">
        <v>2276</v>
      </c>
      <c r="I714" s="204" t="s">
        <v>2276</v>
      </c>
      <c r="J714" s="204">
        <v>2</v>
      </c>
      <c r="K714" s="204" t="s">
        <v>7927</v>
      </c>
      <c r="L714" s="204" t="s">
        <v>2276</v>
      </c>
      <c r="M714" s="204" t="s">
        <v>2276</v>
      </c>
      <c r="N714" s="204"/>
    </row>
    <row r="715" spans="1:14" ht="37" customHeight="1">
      <c r="A715" s="204" t="s">
        <v>7913</v>
      </c>
      <c r="B715" s="204" t="s">
        <v>7922</v>
      </c>
      <c r="C715" s="156" t="s">
        <v>24</v>
      </c>
      <c r="D715" s="156" t="s">
        <v>25</v>
      </c>
      <c r="E715" s="156" t="s">
        <v>2647</v>
      </c>
      <c r="F715" s="156" t="s">
        <v>29</v>
      </c>
      <c r="G715" s="204"/>
      <c r="H715" s="204" t="s">
        <v>2276</v>
      </c>
      <c r="I715" s="204" t="s">
        <v>2276</v>
      </c>
      <c r="J715" s="204">
        <v>2</v>
      </c>
      <c r="K715" s="204" t="s">
        <v>7928</v>
      </c>
      <c r="L715" s="204" t="s">
        <v>2276</v>
      </c>
      <c r="M715" s="204" t="s">
        <v>2276</v>
      </c>
      <c r="N715" s="204"/>
    </row>
    <row r="716" spans="1:14" ht="37" customHeight="1">
      <c r="A716" s="204" t="s">
        <v>7914</v>
      </c>
      <c r="B716" s="204" t="s">
        <v>7923</v>
      </c>
      <c r="C716" s="156" t="s">
        <v>24</v>
      </c>
      <c r="D716" s="156" t="s">
        <v>25</v>
      </c>
      <c r="E716" s="156" t="s">
        <v>2647</v>
      </c>
      <c r="F716" s="156" t="s">
        <v>29</v>
      </c>
      <c r="G716" s="204"/>
      <c r="H716" s="204" t="s">
        <v>2276</v>
      </c>
      <c r="I716" s="204" t="s">
        <v>2276</v>
      </c>
      <c r="J716" s="204">
        <v>2</v>
      </c>
      <c r="K716" s="204" t="s">
        <v>7928</v>
      </c>
      <c r="L716" s="204" t="s">
        <v>2276</v>
      </c>
      <c r="M716" s="204" t="s">
        <v>2276</v>
      </c>
      <c r="N716" s="204"/>
    </row>
    <row r="717" spans="1:14" ht="37" customHeight="1">
      <c r="A717" s="204" t="s">
        <v>7915</v>
      </c>
      <c r="B717" s="204" t="s">
        <v>7924</v>
      </c>
      <c r="C717" s="156" t="s">
        <v>24</v>
      </c>
      <c r="D717" s="156" t="s">
        <v>25</v>
      </c>
      <c r="E717" s="156" t="s">
        <v>2647</v>
      </c>
      <c r="F717" s="156" t="s">
        <v>29</v>
      </c>
      <c r="G717" s="204"/>
      <c r="H717" s="204" t="s">
        <v>2276</v>
      </c>
      <c r="I717" s="204" t="s">
        <v>2276</v>
      </c>
      <c r="J717" s="204">
        <v>2</v>
      </c>
      <c r="K717" s="204" t="s">
        <v>7928</v>
      </c>
      <c r="L717" s="204" t="s">
        <v>2276</v>
      </c>
      <c r="M717" s="204" t="s">
        <v>2276</v>
      </c>
      <c r="N717" s="204"/>
    </row>
    <row r="718" spans="1:14" ht="37" customHeight="1">
      <c r="A718" s="204" t="s">
        <v>7916</v>
      </c>
      <c r="B718" s="204" t="s">
        <v>7925</v>
      </c>
      <c r="C718" s="156" t="s">
        <v>24</v>
      </c>
      <c r="D718" s="204" t="s">
        <v>2276</v>
      </c>
      <c r="E718" s="152" t="s">
        <v>5005</v>
      </c>
      <c r="F718" s="152" t="s">
        <v>2662</v>
      </c>
      <c r="G718" s="204"/>
      <c r="H718" s="204" t="s">
        <v>2276</v>
      </c>
      <c r="I718" s="204" t="s">
        <v>2276</v>
      </c>
      <c r="J718" s="204">
        <v>2</v>
      </c>
      <c r="K718" s="204" t="s">
        <v>7929</v>
      </c>
      <c r="L718" s="204" t="s">
        <v>2276</v>
      </c>
      <c r="M718" s="204" t="s">
        <v>2276</v>
      </c>
      <c r="N718" s="204"/>
    </row>
    <row r="719" spans="1:14" ht="32" customHeight="1">
      <c r="A719" s="4" t="s">
        <v>7940</v>
      </c>
      <c r="B719" s="19" t="s">
        <v>7963</v>
      </c>
      <c r="C719" s="4" t="s">
        <v>1105</v>
      </c>
      <c r="D719" s="4" t="s">
        <v>1105</v>
      </c>
      <c r="E719" s="4" t="s">
        <v>5801</v>
      </c>
      <c r="F719" s="4" t="s">
        <v>2662</v>
      </c>
      <c r="G719" s="4"/>
      <c r="H719" s="204" t="s">
        <v>2276</v>
      </c>
      <c r="I719" s="204" t="s">
        <v>2276</v>
      </c>
      <c r="J719" s="204">
        <v>0</v>
      </c>
      <c r="K719" s="11" t="s">
        <v>5801</v>
      </c>
      <c r="L719" s="204" t="s">
        <v>2276</v>
      </c>
      <c r="M719" s="204" t="s">
        <v>2276</v>
      </c>
      <c r="N719" s="204"/>
    </row>
    <row r="720" spans="1:14" ht="32" customHeight="1">
      <c r="A720" s="4" t="s">
        <v>7940</v>
      </c>
      <c r="B720" s="19" t="s">
        <v>7964</v>
      </c>
      <c r="C720" s="4" t="s">
        <v>1105</v>
      </c>
      <c r="D720" s="4" t="s">
        <v>1105</v>
      </c>
      <c r="E720" s="4" t="s">
        <v>5801</v>
      </c>
      <c r="F720" s="4" t="s">
        <v>2662</v>
      </c>
      <c r="G720" s="4"/>
      <c r="H720" s="204" t="s">
        <v>2276</v>
      </c>
      <c r="I720" s="204" t="s">
        <v>2276</v>
      </c>
      <c r="J720" s="204">
        <v>0</v>
      </c>
      <c r="K720" s="11" t="s">
        <v>5801</v>
      </c>
      <c r="L720" s="204" t="s">
        <v>2276</v>
      </c>
      <c r="M720" s="204" t="s">
        <v>2276</v>
      </c>
      <c r="N720" s="204"/>
    </row>
    <row r="721" spans="1:14" ht="32" customHeight="1">
      <c r="A721" s="4" t="s">
        <v>7940</v>
      </c>
      <c r="B721" s="19" t="s">
        <v>7965</v>
      </c>
      <c r="C721" s="4" t="s">
        <v>1105</v>
      </c>
      <c r="D721" s="4" t="s">
        <v>1105</v>
      </c>
      <c r="E721" s="4" t="s">
        <v>5801</v>
      </c>
      <c r="F721" s="4" t="s">
        <v>2662</v>
      </c>
      <c r="G721" s="4"/>
      <c r="H721" s="204" t="s">
        <v>2276</v>
      </c>
      <c r="I721" s="204" t="s">
        <v>2276</v>
      </c>
      <c r="J721" s="204">
        <v>0</v>
      </c>
      <c r="K721" s="11" t="s">
        <v>5801</v>
      </c>
      <c r="L721" s="204" t="s">
        <v>2276</v>
      </c>
      <c r="M721" s="204" t="s">
        <v>2276</v>
      </c>
      <c r="N721" s="204"/>
    </row>
    <row r="722" spans="1:14" ht="32" customHeight="1">
      <c r="A722" s="4" t="s">
        <v>7940</v>
      </c>
      <c r="B722" s="19" t="s">
        <v>7966</v>
      </c>
      <c r="C722" s="4" t="s">
        <v>1105</v>
      </c>
      <c r="D722" s="4" t="s">
        <v>1105</v>
      </c>
      <c r="E722" s="4" t="s">
        <v>5801</v>
      </c>
      <c r="F722" s="4" t="s">
        <v>2662</v>
      </c>
      <c r="G722" s="4"/>
      <c r="H722" s="204" t="s">
        <v>2276</v>
      </c>
      <c r="I722" s="204" t="s">
        <v>2276</v>
      </c>
      <c r="J722" s="204">
        <v>0</v>
      </c>
      <c r="K722" s="11" t="s">
        <v>5801</v>
      </c>
      <c r="L722" s="204" t="s">
        <v>2276</v>
      </c>
      <c r="M722" s="204" t="s">
        <v>2276</v>
      </c>
      <c r="N722" s="204"/>
    </row>
    <row r="723" spans="1:14" ht="32" customHeight="1">
      <c r="A723" s="4" t="s">
        <v>7940</v>
      </c>
      <c r="B723" s="19" t="s">
        <v>7967</v>
      </c>
      <c r="C723" s="4" t="s">
        <v>1105</v>
      </c>
      <c r="D723" s="4" t="s">
        <v>1105</v>
      </c>
      <c r="E723" s="4" t="s">
        <v>5801</v>
      </c>
      <c r="F723" s="4" t="s">
        <v>2662</v>
      </c>
      <c r="G723" s="4"/>
      <c r="H723" s="204" t="s">
        <v>2276</v>
      </c>
      <c r="I723" s="204" t="s">
        <v>2276</v>
      </c>
      <c r="J723" s="204">
        <v>0</v>
      </c>
      <c r="K723" s="11" t="s">
        <v>5801</v>
      </c>
      <c r="L723" s="204" t="s">
        <v>2276</v>
      </c>
      <c r="M723" s="204" t="s">
        <v>2276</v>
      </c>
      <c r="N723" s="204"/>
    </row>
    <row r="724" spans="1:14" ht="28" customHeight="1">
      <c r="A724" s="204" t="s">
        <v>7976</v>
      </c>
      <c r="B724" s="19" t="s">
        <v>7983</v>
      </c>
      <c r="C724" s="204" t="s">
        <v>1105</v>
      </c>
      <c r="D724" s="204" t="s">
        <v>1105</v>
      </c>
      <c r="E724" s="4" t="s">
        <v>5801</v>
      </c>
      <c r="F724" s="204" t="s">
        <v>55</v>
      </c>
      <c r="G724" s="204"/>
      <c r="H724" s="204" t="s">
        <v>2276</v>
      </c>
      <c r="I724" s="204" t="s">
        <v>2276</v>
      </c>
      <c r="J724" s="204">
        <v>2</v>
      </c>
      <c r="K724" s="11" t="s">
        <v>7987</v>
      </c>
      <c r="L724" s="204" t="s">
        <v>2276</v>
      </c>
      <c r="M724" s="204" t="s">
        <v>2276</v>
      </c>
      <c r="N724" s="204"/>
    </row>
    <row r="725" spans="1:14" ht="25.5" customHeight="1">
      <c r="A725" s="19" t="s">
        <v>7977</v>
      </c>
      <c r="B725" s="19" t="s">
        <v>7980</v>
      </c>
      <c r="C725" s="204" t="s">
        <v>1105</v>
      </c>
      <c r="D725" s="204" t="s">
        <v>1105</v>
      </c>
      <c r="E725" s="4" t="s">
        <v>5801</v>
      </c>
      <c r="F725" s="204" t="s">
        <v>55</v>
      </c>
      <c r="G725" s="204"/>
      <c r="H725" s="204" t="s">
        <v>2276</v>
      </c>
      <c r="I725" s="204" t="s">
        <v>2276</v>
      </c>
      <c r="J725" s="204">
        <v>2</v>
      </c>
      <c r="K725" s="11" t="s">
        <v>7987</v>
      </c>
      <c r="L725" s="204" t="s">
        <v>2276</v>
      </c>
      <c r="M725" s="204" t="s">
        <v>2276</v>
      </c>
      <c r="N725" s="204"/>
    </row>
    <row r="726" spans="1:14" ht="29">
      <c r="A726" s="19" t="s">
        <v>7977</v>
      </c>
      <c r="B726" s="19" t="s">
        <v>7981</v>
      </c>
      <c r="C726" s="204" t="s">
        <v>1105</v>
      </c>
      <c r="D726" s="204" t="s">
        <v>1105</v>
      </c>
      <c r="E726" s="4" t="s">
        <v>5801</v>
      </c>
      <c r="F726" s="204" t="s">
        <v>55</v>
      </c>
      <c r="G726" s="204"/>
      <c r="H726" s="204" t="s">
        <v>2276</v>
      </c>
      <c r="I726" s="204" t="s">
        <v>2276</v>
      </c>
      <c r="J726" s="204">
        <v>0</v>
      </c>
      <c r="K726" s="11" t="s">
        <v>5801</v>
      </c>
      <c r="L726" s="204" t="s">
        <v>2276</v>
      </c>
      <c r="M726" s="204" t="s">
        <v>2276</v>
      </c>
      <c r="N726" s="204"/>
    </row>
    <row r="727" spans="1:14" ht="32.5" customHeight="1">
      <c r="A727" s="19" t="s">
        <v>8013</v>
      </c>
      <c r="B727" s="19" t="s">
        <v>8015</v>
      </c>
      <c r="C727" s="204" t="s">
        <v>1105</v>
      </c>
      <c r="D727" s="204" t="s">
        <v>1105</v>
      </c>
      <c r="E727" s="4" t="s">
        <v>5801</v>
      </c>
      <c r="F727" s="4" t="s">
        <v>2662</v>
      </c>
      <c r="G727" s="204"/>
      <c r="H727" s="204" t="s">
        <v>2276</v>
      </c>
      <c r="I727" s="204" t="s">
        <v>2276</v>
      </c>
      <c r="J727" s="204">
        <v>0</v>
      </c>
      <c r="K727" s="11" t="s">
        <v>5801</v>
      </c>
      <c r="L727" s="204" t="s">
        <v>2276</v>
      </c>
      <c r="M727" s="204" t="s">
        <v>2276</v>
      </c>
      <c r="N727" s="204"/>
    </row>
    <row r="728" spans="1:14" ht="30.5" customHeight="1">
      <c r="A728" s="19" t="s">
        <v>8019</v>
      </c>
      <c r="B728" s="19" t="s">
        <v>8023</v>
      </c>
      <c r="C728" s="204" t="s">
        <v>1105</v>
      </c>
      <c r="D728" s="204" t="s">
        <v>1105</v>
      </c>
      <c r="E728" s="4" t="s">
        <v>137</v>
      </c>
      <c r="F728" s="4" t="s">
        <v>2662</v>
      </c>
      <c r="G728" s="204"/>
      <c r="H728" s="204" t="s">
        <v>2276</v>
      </c>
      <c r="I728" s="204" t="s">
        <v>2276</v>
      </c>
      <c r="J728" s="204">
        <v>0</v>
      </c>
      <c r="K728" s="11" t="s">
        <v>8026</v>
      </c>
      <c r="L728" s="204" t="s">
        <v>2276</v>
      </c>
      <c r="M728" s="204" t="s">
        <v>2276</v>
      </c>
      <c r="N728" s="204"/>
    </row>
    <row r="729" spans="1:14" ht="31" customHeight="1">
      <c r="A729" s="19" t="s">
        <v>8020</v>
      </c>
      <c r="B729" s="19" t="s">
        <v>8024</v>
      </c>
      <c r="C729" s="204" t="s">
        <v>1105</v>
      </c>
      <c r="D729" s="204" t="s">
        <v>1105</v>
      </c>
      <c r="E729" s="4" t="s">
        <v>45</v>
      </c>
      <c r="F729" s="4" t="s">
        <v>2662</v>
      </c>
      <c r="G729" s="204"/>
      <c r="H729" s="204" t="s">
        <v>2276</v>
      </c>
      <c r="I729" s="204" t="s">
        <v>2276</v>
      </c>
      <c r="J729" s="204">
        <v>2</v>
      </c>
      <c r="K729" s="204" t="s">
        <v>8025</v>
      </c>
      <c r="L729" s="204" t="s">
        <v>2276</v>
      </c>
      <c r="M729" s="204" t="s">
        <v>2276</v>
      </c>
      <c r="N729" s="204"/>
    </row>
    <row r="730" spans="1:14" ht="33.5" customHeight="1">
      <c r="A730" s="4" t="s">
        <v>8030</v>
      </c>
      <c r="B730" s="4" t="s">
        <v>8033</v>
      </c>
      <c r="C730" s="4" t="s">
        <v>24</v>
      </c>
      <c r="D730" s="4" t="s">
        <v>1245</v>
      </c>
      <c r="E730" s="4" t="s">
        <v>116</v>
      </c>
      <c r="F730" s="4" t="s">
        <v>2662</v>
      </c>
      <c r="G730" s="204"/>
      <c r="H730" s="204">
        <v>2</v>
      </c>
      <c r="I730" s="204" t="s">
        <v>8035</v>
      </c>
      <c r="J730" s="204" t="s">
        <v>2276</v>
      </c>
      <c r="K730" s="204" t="s">
        <v>2276</v>
      </c>
      <c r="L730" s="204" t="s">
        <v>2276</v>
      </c>
      <c r="M730" s="204" t="s">
        <v>2276</v>
      </c>
      <c r="N730" s="204"/>
    </row>
    <row r="731" spans="1:14" ht="29.5" customHeight="1">
      <c r="A731" s="19" t="s">
        <v>8038</v>
      </c>
      <c r="B731" s="19" t="s">
        <v>8041</v>
      </c>
      <c r="C731" s="204" t="s">
        <v>1105</v>
      </c>
      <c r="D731" s="204" t="s">
        <v>1105</v>
      </c>
      <c r="E731" s="4" t="s">
        <v>3209</v>
      </c>
      <c r="F731" s="204" t="s">
        <v>55</v>
      </c>
      <c r="G731" s="204"/>
      <c r="H731" s="204"/>
      <c r="I731" s="204"/>
      <c r="J731" s="204"/>
      <c r="K731" s="204"/>
      <c r="L731" s="204">
        <v>3</v>
      </c>
      <c r="M731" s="204" t="s">
        <v>8046</v>
      </c>
      <c r="N731" s="204"/>
    </row>
    <row r="732" spans="1:14" ht="100" customHeight="1">
      <c r="A732" s="19" t="s">
        <v>8038</v>
      </c>
      <c r="B732" s="19" t="s">
        <v>8044</v>
      </c>
      <c r="C732" s="204" t="s">
        <v>1105</v>
      </c>
      <c r="D732" s="204" t="s">
        <v>1105</v>
      </c>
      <c r="E732" s="4" t="s">
        <v>3209</v>
      </c>
      <c r="F732" s="204" t="s">
        <v>74</v>
      </c>
      <c r="G732" s="204"/>
      <c r="H732" s="204" t="s">
        <v>2276</v>
      </c>
      <c r="I732" s="204" t="s">
        <v>2276</v>
      </c>
      <c r="J732" s="204" t="s">
        <v>2276</v>
      </c>
      <c r="K732" s="204" t="s">
        <v>2276</v>
      </c>
      <c r="L732" s="204">
        <v>1</v>
      </c>
      <c r="M732" s="4" t="s">
        <v>8047</v>
      </c>
      <c r="N732" s="204"/>
    </row>
    <row r="733" spans="1:14" ht="29.5" customHeight="1">
      <c r="A733" s="19" t="s">
        <v>8040</v>
      </c>
      <c r="B733" s="19" t="s">
        <v>8042</v>
      </c>
      <c r="C733" s="204" t="s">
        <v>1105</v>
      </c>
      <c r="D733" s="204" t="s">
        <v>1105</v>
      </c>
      <c r="E733" s="4" t="s">
        <v>3209</v>
      </c>
      <c r="F733" s="204" t="s">
        <v>55</v>
      </c>
      <c r="G733" s="204"/>
      <c r="H733" s="204" t="s">
        <v>2276</v>
      </c>
      <c r="I733" s="204" t="s">
        <v>2276</v>
      </c>
      <c r="J733" s="204" t="s">
        <v>2276</v>
      </c>
      <c r="K733" s="204" t="s">
        <v>2276</v>
      </c>
      <c r="L733" s="204">
        <v>3</v>
      </c>
      <c r="M733" s="204"/>
      <c r="N733" s="204"/>
    </row>
    <row r="734" spans="1:14" ht="93.5" customHeight="1">
      <c r="A734" s="19" t="s">
        <v>8040</v>
      </c>
      <c r="B734" s="19" t="s">
        <v>8045</v>
      </c>
      <c r="C734" s="204" t="s">
        <v>1105</v>
      </c>
      <c r="D734" s="204" t="s">
        <v>1105</v>
      </c>
      <c r="E734" s="4" t="s">
        <v>3209</v>
      </c>
      <c r="F734" s="204" t="s">
        <v>74</v>
      </c>
      <c r="G734" s="204"/>
      <c r="H734" s="204" t="s">
        <v>2276</v>
      </c>
      <c r="I734" s="204" t="s">
        <v>2276</v>
      </c>
      <c r="J734" s="204" t="s">
        <v>2276</v>
      </c>
      <c r="K734" s="204" t="s">
        <v>2276</v>
      </c>
      <c r="L734" s="204">
        <v>1</v>
      </c>
      <c r="M734" s="4" t="s">
        <v>8047</v>
      </c>
      <c r="N734" s="204"/>
    </row>
    <row r="735" spans="1:14" ht="28.5" customHeight="1">
      <c r="A735" s="19" t="s">
        <v>8038</v>
      </c>
      <c r="B735" s="19" t="s">
        <v>8049</v>
      </c>
      <c r="C735" s="204" t="s">
        <v>24</v>
      </c>
      <c r="D735" s="204" t="s">
        <v>2804</v>
      </c>
      <c r="E735" s="4" t="s">
        <v>2647</v>
      </c>
      <c r="F735" s="4" t="s">
        <v>2662</v>
      </c>
      <c r="G735" s="204"/>
      <c r="H735" s="204">
        <v>2</v>
      </c>
      <c r="I735" s="11" t="s">
        <v>8053</v>
      </c>
      <c r="J735" s="204" t="s">
        <v>2276</v>
      </c>
      <c r="K735" s="204" t="s">
        <v>2276</v>
      </c>
      <c r="L735" s="204" t="s">
        <v>2276</v>
      </c>
      <c r="M735" s="204" t="s">
        <v>2276</v>
      </c>
      <c r="N735" s="204"/>
    </row>
    <row r="736" spans="1:14" ht="28.5" customHeight="1">
      <c r="A736" s="19" t="s">
        <v>8040</v>
      </c>
      <c r="B736" s="19" t="s">
        <v>8050</v>
      </c>
      <c r="C736" s="204" t="s">
        <v>24</v>
      </c>
      <c r="D736" s="204" t="s">
        <v>2804</v>
      </c>
      <c r="E736" s="4" t="s">
        <v>2647</v>
      </c>
      <c r="F736" s="4" t="s">
        <v>2662</v>
      </c>
      <c r="G736" s="204"/>
      <c r="H736" s="204">
        <v>2</v>
      </c>
      <c r="I736" s="11" t="s">
        <v>8053</v>
      </c>
      <c r="J736" s="204" t="s">
        <v>2276</v>
      </c>
      <c r="K736" s="204" t="s">
        <v>2276</v>
      </c>
      <c r="L736" s="204" t="s">
        <v>2276</v>
      </c>
      <c r="M736" s="204" t="s">
        <v>2276</v>
      </c>
      <c r="N736" s="204"/>
    </row>
    <row r="737" spans="1:14" ht="28.5" customHeight="1">
      <c r="A737" s="19" t="s">
        <v>8038</v>
      </c>
      <c r="B737" s="19" t="s">
        <v>8051</v>
      </c>
      <c r="C737" s="204" t="s">
        <v>24</v>
      </c>
      <c r="D737" s="204" t="s">
        <v>2804</v>
      </c>
      <c r="E737" s="4" t="s">
        <v>45</v>
      </c>
      <c r="F737" s="4" t="s">
        <v>2662</v>
      </c>
      <c r="G737" s="204"/>
      <c r="H737" s="204">
        <v>2</v>
      </c>
      <c r="I737" s="11" t="s">
        <v>8053</v>
      </c>
      <c r="J737" s="204" t="s">
        <v>2276</v>
      </c>
      <c r="K737" s="204" t="s">
        <v>2276</v>
      </c>
      <c r="L737" s="204" t="s">
        <v>2276</v>
      </c>
      <c r="M737" s="204" t="s">
        <v>2276</v>
      </c>
      <c r="N737" s="204"/>
    </row>
    <row r="738" spans="1:14" ht="28.5" customHeight="1">
      <c r="A738" s="19" t="s">
        <v>8040</v>
      </c>
      <c r="B738" s="19" t="s">
        <v>8052</v>
      </c>
      <c r="C738" s="204" t="s">
        <v>24</v>
      </c>
      <c r="D738" s="204" t="s">
        <v>2804</v>
      </c>
      <c r="E738" s="4" t="s">
        <v>45</v>
      </c>
      <c r="F738" s="4" t="s">
        <v>2662</v>
      </c>
      <c r="G738" s="204"/>
      <c r="H738" s="204">
        <v>2</v>
      </c>
      <c r="I738" s="11" t="s">
        <v>8053</v>
      </c>
      <c r="J738" s="204" t="s">
        <v>2276</v>
      </c>
      <c r="K738" s="204" t="s">
        <v>2276</v>
      </c>
      <c r="L738" s="204" t="s">
        <v>2276</v>
      </c>
      <c r="M738" s="204" t="s">
        <v>2276</v>
      </c>
      <c r="N738" s="204"/>
    </row>
    <row r="739" spans="1:14" ht="33" customHeight="1">
      <c r="A739" s="19" t="s">
        <v>8104</v>
      </c>
      <c r="B739" s="19" t="s">
        <v>8108</v>
      </c>
      <c r="C739" s="204" t="s">
        <v>24</v>
      </c>
      <c r="D739" s="204" t="s">
        <v>2804</v>
      </c>
      <c r="E739" s="4" t="s">
        <v>45</v>
      </c>
      <c r="F739" s="4" t="s">
        <v>2662</v>
      </c>
      <c r="G739" s="204"/>
      <c r="H739" s="204">
        <v>0</v>
      </c>
      <c r="I739" s="4" t="s">
        <v>8111</v>
      </c>
      <c r="J739" s="204" t="s">
        <v>2276</v>
      </c>
      <c r="K739" s="204" t="s">
        <v>2276</v>
      </c>
      <c r="L739" s="204" t="s">
        <v>2276</v>
      </c>
      <c r="M739" s="204" t="s">
        <v>2276</v>
      </c>
      <c r="N739" s="204"/>
    </row>
    <row r="740" spans="1:14" ht="32" customHeight="1">
      <c r="A740" s="55" t="s">
        <v>8158</v>
      </c>
      <c r="B740" s="55" t="s">
        <v>8160</v>
      </c>
      <c r="C740" s="38" t="s">
        <v>24</v>
      </c>
      <c r="D740" s="38" t="s">
        <v>1245</v>
      </c>
      <c r="E740" s="168" t="s">
        <v>116</v>
      </c>
      <c r="F740" s="168" t="s">
        <v>2662</v>
      </c>
      <c r="G740" s="38"/>
      <c r="H740" s="38">
        <v>2</v>
      </c>
      <c r="I740" s="35" t="s">
        <v>8163</v>
      </c>
      <c r="J740" s="38">
        <v>2</v>
      </c>
      <c r="K740" s="35" t="s">
        <v>8164</v>
      </c>
      <c r="L740" s="38" t="s">
        <v>2276</v>
      </c>
      <c r="M740" s="38" t="s">
        <v>2276</v>
      </c>
      <c r="N740" s="204"/>
    </row>
    <row r="741" spans="1:14" ht="37.5" customHeight="1">
      <c r="A741" s="19" t="s">
        <v>8167</v>
      </c>
      <c r="B741" s="19" t="s">
        <v>8171</v>
      </c>
      <c r="C741" s="4" t="s">
        <v>24</v>
      </c>
      <c r="D741" s="4" t="s">
        <v>1242</v>
      </c>
      <c r="E741" s="4" t="s">
        <v>116</v>
      </c>
      <c r="F741" s="4" t="s">
        <v>2662</v>
      </c>
      <c r="G741" s="4"/>
      <c r="H741" s="204" t="s">
        <v>2276</v>
      </c>
      <c r="I741" s="204" t="s">
        <v>2276</v>
      </c>
      <c r="J741" s="204">
        <v>2</v>
      </c>
      <c r="K741" s="11" t="s">
        <v>8164</v>
      </c>
      <c r="L741" s="204" t="s">
        <v>2276</v>
      </c>
      <c r="M741" s="204" t="s">
        <v>2276</v>
      </c>
      <c r="N741" s="204"/>
    </row>
    <row r="742" spans="1:14" ht="37.5" customHeight="1">
      <c r="A742" s="4" t="s">
        <v>8167</v>
      </c>
      <c r="B742" s="4" t="s">
        <v>8172</v>
      </c>
      <c r="C742" s="4" t="s">
        <v>24</v>
      </c>
      <c r="D742" s="4" t="s">
        <v>1242</v>
      </c>
      <c r="E742" s="4" t="s">
        <v>130</v>
      </c>
      <c r="F742" s="4" t="s">
        <v>28</v>
      </c>
      <c r="G742" s="4"/>
      <c r="H742" s="204" t="s">
        <v>2276</v>
      </c>
      <c r="I742" s="204" t="s">
        <v>2276</v>
      </c>
      <c r="J742" s="204">
        <v>1</v>
      </c>
      <c r="K742" s="11" t="s">
        <v>8188</v>
      </c>
      <c r="L742" s="204" t="s">
        <v>2276</v>
      </c>
      <c r="M742" s="204" t="s">
        <v>2276</v>
      </c>
      <c r="N742" s="204"/>
    </row>
    <row r="743" spans="1:14" ht="33.5" customHeight="1">
      <c r="A743" s="19" t="s">
        <v>8191</v>
      </c>
      <c r="B743" s="19" t="s">
        <v>8194</v>
      </c>
      <c r="C743" s="4" t="s">
        <v>24</v>
      </c>
      <c r="D743" s="204" t="s">
        <v>1242</v>
      </c>
      <c r="E743" s="4" t="s">
        <v>137</v>
      </c>
      <c r="F743" s="4" t="s">
        <v>2662</v>
      </c>
      <c r="G743" s="204"/>
      <c r="H743" s="204" t="s">
        <v>2276</v>
      </c>
      <c r="I743" s="204" t="s">
        <v>2276</v>
      </c>
      <c r="J743" s="204">
        <v>2</v>
      </c>
      <c r="K743" s="204" t="s">
        <v>8198</v>
      </c>
      <c r="L743" s="204" t="s">
        <v>2276</v>
      </c>
      <c r="M743" s="204" t="s">
        <v>2276</v>
      </c>
      <c r="N743" s="204"/>
    </row>
    <row r="744" spans="1:14" ht="38" customHeight="1">
      <c r="A744" s="19" t="s">
        <v>8257</v>
      </c>
      <c r="B744" s="19" t="s">
        <v>8259</v>
      </c>
      <c r="C744" s="4" t="s">
        <v>24</v>
      </c>
      <c r="D744" s="204" t="s">
        <v>1242</v>
      </c>
      <c r="E744" s="4" t="s">
        <v>116</v>
      </c>
      <c r="F744" s="4" t="s">
        <v>2662</v>
      </c>
      <c r="G744" s="204"/>
      <c r="H744" s="204">
        <v>2</v>
      </c>
      <c r="I744" s="11" t="s">
        <v>8269</v>
      </c>
      <c r="J744" s="204">
        <v>2</v>
      </c>
      <c r="K744" s="11" t="s">
        <v>8270</v>
      </c>
      <c r="L744" s="204" t="s">
        <v>2276</v>
      </c>
      <c r="M744" s="204" t="s">
        <v>2276</v>
      </c>
      <c r="N744" s="204"/>
    </row>
    <row r="745" spans="1:14" ht="33" customHeight="1">
      <c r="A745" s="19" t="s">
        <v>8271</v>
      </c>
      <c r="B745" s="19" t="s">
        <v>8275</v>
      </c>
      <c r="C745" s="4" t="s">
        <v>24</v>
      </c>
      <c r="D745" s="204" t="s">
        <v>1105</v>
      </c>
      <c r="E745" s="4" t="s">
        <v>116</v>
      </c>
      <c r="F745" s="204" t="s">
        <v>74</v>
      </c>
      <c r="G745" s="204"/>
      <c r="H745" s="204">
        <v>2</v>
      </c>
      <c r="I745" s="4" t="s">
        <v>8279</v>
      </c>
      <c r="J745" s="204" t="s">
        <v>2276</v>
      </c>
      <c r="K745" s="204" t="s">
        <v>2276</v>
      </c>
      <c r="L745" s="204">
        <v>1</v>
      </c>
      <c r="M745" s="4" t="s">
        <v>8278</v>
      </c>
      <c r="N745" s="204"/>
    </row>
    <row r="746" spans="1:14" ht="35.5" customHeight="1">
      <c r="A746" s="19" t="s">
        <v>8271</v>
      </c>
      <c r="B746" s="19" t="s">
        <v>8276</v>
      </c>
      <c r="C746" s="204" t="s">
        <v>1105</v>
      </c>
      <c r="D746" s="204" t="s">
        <v>1105</v>
      </c>
      <c r="E746" s="4" t="s">
        <v>3209</v>
      </c>
      <c r="F746" s="204" t="s">
        <v>74</v>
      </c>
      <c r="G746" s="204"/>
      <c r="H746" s="204" t="s">
        <v>2276</v>
      </c>
      <c r="I746" s="204" t="s">
        <v>2276</v>
      </c>
      <c r="J746" s="204" t="s">
        <v>2276</v>
      </c>
      <c r="K746" s="204" t="s">
        <v>2276</v>
      </c>
      <c r="L746" s="204">
        <v>3</v>
      </c>
      <c r="M746" s="4" t="s">
        <v>8277</v>
      </c>
      <c r="N746" s="204"/>
    </row>
    <row r="747" spans="1:14" ht="34.5" customHeight="1">
      <c r="A747" s="19" t="s">
        <v>8284</v>
      </c>
      <c r="B747" s="19" t="s">
        <v>8288</v>
      </c>
      <c r="C747" s="4" t="s">
        <v>24</v>
      </c>
      <c r="D747" s="204" t="s">
        <v>1242</v>
      </c>
      <c r="E747" s="4" t="s">
        <v>116</v>
      </c>
      <c r="F747" s="4" t="s">
        <v>2662</v>
      </c>
      <c r="G747" s="204"/>
      <c r="H747" s="204" t="s">
        <v>2276</v>
      </c>
      <c r="I747" s="204" t="s">
        <v>2276</v>
      </c>
      <c r="J747" s="204">
        <v>2</v>
      </c>
      <c r="K747" s="4" t="s">
        <v>8295</v>
      </c>
      <c r="L747" s="204" t="s">
        <v>2276</v>
      </c>
      <c r="M747" s="204" t="s">
        <v>2276</v>
      </c>
      <c r="N747" s="204"/>
    </row>
    <row r="748" spans="1:14" ht="34.5" customHeight="1">
      <c r="A748" s="19" t="s">
        <v>8285</v>
      </c>
      <c r="B748" s="19" t="s">
        <v>8289</v>
      </c>
      <c r="C748" s="4" t="s">
        <v>24</v>
      </c>
      <c r="D748" s="204" t="s">
        <v>1242</v>
      </c>
      <c r="E748" s="4" t="s">
        <v>116</v>
      </c>
      <c r="F748" s="4" t="s">
        <v>2662</v>
      </c>
      <c r="G748" s="204"/>
      <c r="H748" s="204" t="s">
        <v>2276</v>
      </c>
      <c r="I748" s="204" t="s">
        <v>2276</v>
      </c>
      <c r="J748" s="204">
        <v>2</v>
      </c>
      <c r="K748" s="4" t="s">
        <v>8295</v>
      </c>
      <c r="L748" s="204" t="s">
        <v>2276</v>
      </c>
      <c r="M748" s="204" t="s">
        <v>2276</v>
      </c>
      <c r="N748" s="204"/>
    </row>
    <row r="749" spans="1:14" ht="34.5" customHeight="1">
      <c r="A749" s="19" t="s">
        <v>8286</v>
      </c>
      <c r="B749" s="19" t="s">
        <v>8290</v>
      </c>
      <c r="C749" s="4" t="s">
        <v>24</v>
      </c>
      <c r="D749" s="204" t="s">
        <v>1242</v>
      </c>
      <c r="E749" s="4" t="s">
        <v>116</v>
      </c>
      <c r="F749" s="4" t="s">
        <v>2662</v>
      </c>
      <c r="G749" s="204"/>
      <c r="H749" s="204" t="s">
        <v>2276</v>
      </c>
      <c r="I749" s="204" t="s">
        <v>2276</v>
      </c>
      <c r="J749" s="204">
        <v>2</v>
      </c>
      <c r="K749" s="4" t="s">
        <v>8295</v>
      </c>
      <c r="L749" s="204" t="s">
        <v>2276</v>
      </c>
      <c r="M749" s="204" t="s">
        <v>2276</v>
      </c>
      <c r="N749" s="204"/>
    </row>
    <row r="750" spans="1:14" ht="29">
      <c r="A750" s="19" t="s">
        <v>8284</v>
      </c>
      <c r="B750" s="19" t="s">
        <v>8293</v>
      </c>
      <c r="C750" s="4" t="s">
        <v>24</v>
      </c>
      <c r="D750" s="204" t="s">
        <v>1242</v>
      </c>
      <c r="E750" s="4" t="s">
        <v>3209</v>
      </c>
      <c r="F750" s="4" t="s">
        <v>2662</v>
      </c>
      <c r="G750" s="204"/>
      <c r="H750" s="204" t="s">
        <v>2276</v>
      </c>
      <c r="I750" s="204" t="s">
        <v>2276</v>
      </c>
      <c r="J750" s="204">
        <v>2</v>
      </c>
      <c r="K750" s="4" t="s">
        <v>8295</v>
      </c>
      <c r="L750" s="204" t="s">
        <v>2276</v>
      </c>
      <c r="M750" s="204" t="s">
        <v>2276</v>
      </c>
      <c r="N750" s="204"/>
    </row>
    <row r="751" spans="1:14" ht="29">
      <c r="A751" s="19" t="s">
        <v>8285</v>
      </c>
      <c r="B751" s="19" t="s">
        <v>8294</v>
      </c>
      <c r="C751" s="4" t="s">
        <v>24</v>
      </c>
      <c r="D751" s="204" t="s">
        <v>1242</v>
      </c>
      <c r="E751" s="4" t="s">
        <v>3209</v>
      </c>
      <c r="F751" s="4" t="s">
        <v>2662</v>
      </c>
      <c r="G751" s="204"/>
      <c r="H751" s="204" t="s">
        <v>2276</v>
      </c>
      <c r="I751" s="204" t="s">
        <v>2276</v>
      </c>
      <c r="J751" s="204">
        <v>2</v>
      </c>
      <c r="K751" s="4" t="s">
        <v>8295</v>
      </c>
      <c r="L751" s="204" t="s">
        <v>2276</v>
      </c>
      <c r="M751" s="204" t="s">
        <v>2276</v>
      </c>
      <c r="N751" s="204"/>
    </row>
    <row r="752" spans="1:14" ht="29">
      <c r="A752" s="19" t="s">
        <v>8286</v>
      </c>
      <c r="B752" s="19" t="s">
        <v>8291</v>
      </c>
      <c r="C752" s="4" t="s">
        <v>24</v>
      </c>
      <c r="D752" s="204" t="s">
        <v>1242</v>
      </c>
      <c r="E752" s="4" t="s">
        <v>3209</v>
      </c>
      <c r="F752" s="4" t="s">
        <v>2662</v>
      </c>
      <c r="G752" s="204"/>
      <c r="H752" s="204">
        <v>3</v>
      </c>
      <c r="I752" s="11" t="s">
        <v>8296</v>
      </c>
      <c r="J752" s="204">
        <v>2</v>
      </c>
      <c r="K752" s="4" t="s">
        <v>8295</v>
      </c>
      <c r="L752" s="204" t="s">
        <v>2276</v>
      </c>
      <c r="M752" s="204" t="s">
        <v>2276</v>
      </c>
      <c r="N752" s="204"/>
    </row>
    <row r="753" spans="1:14" ht="25.5" customHeight="1">
      <c r="A753" s="19" t="s">
        <v>8299</v>
      </c>
      <c r="B753" s="19" t="s">
        <v>8301</v>
      </c>
      <c r="C753" s="204" t="s">
        <v>1105</v>
      </c>
      <c r="D753" s="204" t="s">
        <v>1105</v>
      </c>
      <c r="E753" s="4" t="s">
        <v>116</v>
      </c>
      <c r="F753" s="4" t="s">
        <v>2662</v>
      </c>
      <c r="G753" s="204"/>
      <c r="H753" s="204">
        <v>1</v>
      </c>
      <c r="I753" s="19" t="s">
        <v>8306</v>
      </c>
      <c r="J753" s="204">
        <v>1</v>
      </c>
      <c r="K753" s="4" t="s">
        <v>8307</v>
      </c>
      <c r="L753" s="204" t="s">
        <v>2276</v>
      </c>
      <c r="M753" s="204" t="s">
        <v>2276</v>
      </c>
      <c r="N753" s="204"/>
    </row>
    <row r="754" spans="1:14" ht="25.5" customHeight="1">
      <c r="A754" s="19" t="s">
        <v>8299</v>
      </c>
      <c r="B754" s="19" t="s">
        <v>8302</v>
      </c>
      <c r="C754" s="204" t="s">
        <v>1105</v>
      </c>
      <c r="D754" s="204" t="s">
        <v>1105</v>
      </c>
      <c r="E754" s="4" t="s">
        <v>2653</v>
      </c>
      <c r="F754" s="4" t="s">
        <v>2662</v>
      </c>
      <c r="G754" s="204"/>
      <c r="H754" s="204"/>
      <c r="I754" s="204"/>
      <c r="J754" s="204">
        <v>0</v>
      </c>
      <c r="K754" s="204" t="s">
        <v>8305</v>
      </c>
      <c r="L754" s="204" t="s">
        <v>2276</v>
      </c>
      <c r="M754" s="204" t="s">
        <v>2276</v>
      </c>
      <c r="N754" s="204"/>
    </row>
    <row r="755" spans="1:14" ht="27" customHeight="1">
      <c r="A755" s="19" t="s">
        <v>8299</v>
      </c>
      <c r="B755" s="19" t="s">
        <v>8303</v>
      </c>
      <c r="C755" s="204" t="s">
        <v>1105</v>
      </c>
      <c r="D755" s="204" t="s">
        <v>1105</v>
      </c>
      <c r="E755" s="4" t="s">
        <v>2649</v>
      </c>
      <c r="F755" s="4" t="s">
        <v>2662</v>
      </c>
      <c r="G755" s="204"/>
      <c r="H755" s="204"/>
      <c r="I755" s="204"/>
      <c r="J755" s="204">
        <v>0</v>
      </c>
      <c r="K755" s="204" t="s">
        <v>8305</v>
      </c>
      <c r="L755" s="204" t="s">
        <v>2276</v>
      </c>
      <c r="M755" s="204" t="s">
        <v>2276</v>
      </c>
      <c r="N755" s="204"/>
    </row>
    <row r="756" spans="1:14" ht="44.5" customHeight="1">
      <c r="A756" s="19" t="s">
        <v>8314</v>
      </c>
      <c r="B756" s="19" t="s">
        <v>8325</v>
      </c>
      <c r="C756" s="4" t="s">
        <v>24</v>
      </c>
      <c r="D756" s="204" t="s">
        <v>1105</v>
      </c>
      <c r="E756" s="4" t="s">
        <v>3854</v>
      </c>
      <c r="F756" s="204" t="s">
        <v>2276</v>
      </c>
      <c r="G756" s="204"/>
      <c r="H756" s="204">
        <v>0</v>
      </c>
      <c r="I756" s="4" t="s">
        <v>8352</v>
      </c>
      <c r="J756" s="204" t="s">
        <v>2276</v>
      </c>
      <c r="K756" s="204" t="s">
        <v>2276</v>
      </c>
      <c r="L756" s="204" t="s">
        <v>2276</v>
      </c>
      <c r="M756" s="204" t="s">
        <v>2276</v>
      </c>
      <c r="N756" s="204"/>
    </row>
    <row r="757" spans="1:14" ht="44.5" customHeight="1">
      <c r="A757" s="19" t="s">
        <v>8315</v>
      </c>
      <c r="B757" s="19" t="s">
        <v>8330</v>
      </c>
      <c r="C757" s="4" t="s">
        <v>24</v>
      </c>
      <c r="D757" s="204" t="s">
        <v>1105</v>
      </c>
      <c r="E757" s="4" t="s">
        <v>3854</v>
      </c>
      <c r="F757" s="204" t="s">
        <v>2276</v>
      </c>
      <c r="G757" s="204"/>
      <c r="H757" s="204">
        <v>0</v>
      </c>
      <c r="I757" s="4" t="s">
        <v>8352</v>
      </c>
      <c r="J757" s="204" t="s">
        <v>2276</v>
      </c>
      <c r="K757" s="204" t="s">
        <v>2276</v>
      </c>
      <c r="L757" s="204" t="s">
        <v>2276</v>
      </c>
      <c r="M757" s="204" t="s">
        <v>2276</v>
      </c>
      <c r="N757" s="204"/>
    </row>
    <row r="758" spans="1:14" ht="44.5" customHeight="1">
      <c r="A758" s="19" t="s">
        <v>8318</v>
      </c>
      <c r="B758" s="19" t="s">
        <v>8336</v>
      </c>
      <c r="C758" s="4" t="s">
        <v>24</v>
      </c>
      <c r="D758" s="204" t="s">
        <v>1105</v>
      </c>
      <c r="E758" s="4" t="s">
        <v>3854</v>
      </c>
      <c r="F758" s="204" t="s">
        <v>2276</v>
      </c>
      <c r="G758" s="204"/>
      <c r="H758" s="204">
        <v>0</v>
      </c>
      <c r="I758" s="4" t="s">
        <v>8352</v>
      </c>
      <c r="J758" s="204" t="s">
        <v>2276</v>
      </c>
      <c r="K758" s="204" t="s">
        <v>2276</v>
      </c>
      <c r="L758" s="204" t="s">
        <v>2276</v>
      </c>
      <c r="M758" s="204" t="s">
        <v>2276</v>
      </c>
      <c r="N758" s="204"/>
    </row>
    <row r="759" spans="1:14" ht="44.5" customHeight="1">
      <c r="A759" s="19" t="s">
        <v>8319</v>
      </c>
      <c r="B759" s="19" t="s">
        <v>8345</v>
      </c>
      <c r="C759" s="4" t="s">
        <v>24</v>
      </c>
      <c r="D759" s="204" t="s">
        <v>1105</v>
      </c>
      <c r="E759" s="4" t="s">
        <v>3854</v>
      </c>
      <c r="F759" s="204" t="s">
        <v>2276</v>
      </c>
      <c r="G759" s="204"/>
      <c r="H759" s="204">
        <v>0</v>
      </c>
      <c r="I759" s="4" t="s">
        <v>8352</v>
      </c>
      <c r="J759" s="204" t="s">
        <v>2276</v>
      </c>
      <c r="K759" s="204" t="s">
        <v>2276</v>
      </c>
      <c r="L759" s="204" t="s">
        <v>2276</v>
      </c>
      <c r="M759" s="204" t="s">
        <v>2276</v>
      </c>
      <c r="N759" s="204"/>
    </row>
    <row r="760" spans="1:14" ht="31.5" customHeight="1">
      <c r="A760" s="19" t="s">
        <v>8577</v>
      </c>
      <c r="B760" s="19" t="s">
        <v>8586</v>
      </c>
      <c r="C760" s="204" t="s">
        <v>1105</v>
      </c>
      <c r="D760" s="204" t="s">
        <v>1105</v>
      </c>
      <c r="E760" s="4" t="s">
        <v>45</v>
      </c>
      <c r="F760" s="4" t="s">
        <v>2662</v>
      </c>
      <c r="G760" s="204"/>
      <c r="H760" s="204">
        <v>1</v>
      </c>
      <c r="I760" s="19" t="s">
        <v>8592</v>
      </c>
      <c r="J760" s="204"/>
      <c r="K760" s="204"/>
      <c r="L760" s="204">
        <v>1</v>
      </c>
      <c r="M760" s="11" t="s">
        <v>8594</v>
      </c>
      <c r="N760" s="204"/>
    </row>
    <row r="761" spans="1:14" ht="31.5" customHeight="1">
      <c r="A761" s="19" t="s">
        <v>8584</v>
      </c>
      <c r="B761" s="19" t="s">
        <v>8588</v>
      </c>
      <c r="C761" s="204" t="s">
        <v>1105</v>
      </c>
      <c r="D761" s="204" t="s">
        <v>1105</v>
      </c>
      <c r="E761" s="4" t="s">
        <v>45</v>
      </c>
      <c r="F761" s="4" t="s">
        <v>2662</v>
      </c>
      <c r="G761" s="204"/>
      <c r="H761" s="204">
        <v>1</v>
      </c>
      <c r="I761" s="19" t="s">
        <v>8592</v>
      </c>
      <c r="J761" s="204"/>
      <c r="K761" s="204"/>
      <c r="L761" s="204">
        <v>1</v>
      </c>
      <c r="M761" s="19" t="s">
        <v>8594</v>
      </c>
      <c r="N761" s="204"/>
    </row>
    <row r="762" spans="1:14" ht="31.5" customHeight="1">
      <c r="A762" s="19" t="s">
        <v>8577</v>
      </c>
      <c r="B762" s="19" t="s">
        <v>8590</v>
      </c>
      <c r="C762" s="204" t="s">
        <v>1105</v>
      </c>
      <c r="D762" s="204" t="s">
        <v>1105</v>
      </c>
      <c r="E762" s="4" t="s">
        <v>3209</v>
      </c>
      <c r="F762" s="4" t="s">
        <v>2662</v>
      </c>
      <c r="G762" s="204"/>
      <c r="H762" s="204" t="s">
        <v>2276</v>
      </c>
      <c r="I762" s="204" t="s">
        <v>2276</v>
      </c>
      <c r="J762" s="204" t="s">
        <v>2276</v>
      </c>
      <c r="K762" s="204" t="s">
        <v>2276</v>
      </c>
      <c r="L762" s="204">
        <v>2</v>
      </c>
      <c r="M762" s="4" t="s">
        <v>8593</v>
      </c>
      <c r="N762" s="204"/>
    </row>
    <row r="763" spans="1:14" ht="31.5" customHeight="1">
      <c r="A763" s="19" t="s">
        <v>8584</v>
      </c>
      <c r="B763" s="19" t="s">
        <v>8591</v>
      </c>
      <c r="C763" s="204" t="s">
        <v>1105</v>
      </c>
      <c r="D763" s="204" t="s">
        <v>1105</v>
      </c>
      <c r="E763" s="4" t="s">
        <v>3209</v>
      </c>
      <c r="F763" s="4" t="s">
        <v>2662</v>
      </c>
      <c r="G763" s="204"/>
      <c r="H763" s="204" t="s">
        <v>2276</v>
      </c>
      <c r="I763" s="204" t="s">
        <v>2276</v>
      </c>
      <c r="J763" s="204" t="s">
        <v>2276</v>
      </c>
      <c r="K763" s="204" t="s">
        <v>2276</v>
      </c>
      <c r="L763" s="204">
        <v>2</v>
      </c>
      <c r="M763" s="4" t="s">
        <v>8593</v>
      </c>
      <c r="N763" s="204"/>
    </row>
    <row r="764" spans="1:14" ht="36" customHeight="1">
      <c r="A764" s="19" t="s">
        <v>8655</v>
      </c>
      <c r="B764" s="19" t="s">
        <v>8659</v>
      </c>
      <c r="C764" s="204" t="s">
        <v>24</v>
      </c>
      <c r="D764" s="204" t="s">
        <v>2659</v>
      </c>
      <c r="E764" s="4" t="s">
        <v>396</v>
      </c>
      <c r="F764" s="204" t="s">
        <v>28</v>
      </c>
      <c r="G764" s="204"/>
      <c r="H764" s="204">
        <v>1</v>
      </c>
      <c r="I764" s="19" t="s">
        <v>8667</v>
      </c>
      <c r="J764" s="204" t="s">
        <v>2276</v>
      </c>
      <c r="K764" s="204" t="s">
        <v>2276</v>
      </c>
      <c r="L764" s="204" t="s">
        <v>2276</v>
      </c>
      <c r="M764" s="204" t="s">
        <v>2276</v>
      </c>
      <c r="N764" s="204"/>
    </row>
    <row r="765" spans="1:14" ht="36" customHeight="1">
      <c r="A765" s="19" t="s">
        <v>8656</v>
      </c>
      <c r="B765" s="19" t="s">
        <v>8660</v>
      </c>
      <c r="C765" s="204" t="s">
        <v>24</v>
      </c>
      <c r="D765" s="204" t="s">
        <v>2659</v>
      </c>
      <c r="E765" s="4" t="s">
        <v>396</v>
      </c>
      <c r="F765" s="204" t="s">
        <v>28</v>
      </c>
      <c r="G765" s="204"/>
      <c r="H765" s="204">
        <v>1</v>
      </c>
      <c r="I765" s="19" t="s">
        <v>8667</v>
      </c>
      <c r="J765" s="204" t="s">
        <v>2276</v>
      </c>
      <c r="K765" s="204" t="s">
        <v>2276</v>
      </c>
      <c r="L765" s="204" t="s">
        <v>2276</v>
      </c>
      <c r="M765" s="204" t="s">
        <v>2276</v>
      </c>
      <c r="N765" s="204"/>
    </row>
    <row r="766" spans="1:14" ht="36" customHeight="1">
      <c r="A766" s="19" t="s">
        <v>8717</v>
      </c>
      <c r="B766" s="19" t="s">
        <v>8718</v>
      </c>
      <c r="C766" s="204" t="s">
        <v>24</v>
      </c>
      <c r="D766" s="204" t="s">
        <v>2659</v>
      </c>
      <c r="E766" s="4" t="s">
        <v>397</v>
      </c>
      <c r="F766" s="204" t="s">
        <v>28</v>
      </c>
      <c r="G766" s="204"/>
      <c r="H766" s="204">
        <v>1</v>
      </c>
      <c r="I766" s="19" t="s">
        <v>8667</v>
      </c>
      <c r="J766" s="204" t="s">
        <v>2276</v>
      </c>
      <c r="K766" s="204" t="s">
        <v>2276</v>
      </c>
      <c r="L766" s="204" t="s">
        <v>2276</v>
      </c>
      <c r="M766" s="204" t="s">
        <v>2276</v>
      </c>
      <c r="N766" s="204"/>
    </row>
    <row r="767" spans="1:14" ht="34.5" customHeight="1">
      <c r="A767" s="19" t="s">
        <v>8748</v>
      </c>
      <c r="B767" s="19" t="s">
        <v>8751</v>
      </c>
      <c r="C767" s="204" t="s">
        <v>1105</v>
      </c>
      <c r="D767" s="204" t="s">
        <v>1105</v>
      </c>
      <c r="E767" s="4" t="s">
        <v>5801</v>
      </c>
      <c r="F767" s="4" t="s">
        <v>2662</v>
      </c>
      <c r="G767" s="204"/>
      <c r="H767" s="204" t="s">
        <v>2276</v>
      </c>
      <c r="I767" s="204" t="s">
        <v>2276</v>
      </c>
      <c r="J767" s="204">
        <v>0</v>
      </c>
      <c r="K767" s="11" t="s">
        <v>8768</v>
      </c>
      <c r="L767" s="204" t="s">
        <v>2276</v>
      </c>
      <c r="M767" s="204" t="s">
        <v>2276</v>
      </c>
      <c r="N767" s="204"/>
    </row>
    <row r="768" spans="1:14" ht="44.5" customHeight="1">
      <c r="A768" s="19" t="s">
        <v>8844</v>
      </c>
      <c r="B768" s="19" t="s">
        <v>8846</v>
      </c>
      <c r="C768" s="204" t="s">
        <v>24</v>
      </c>
      <c r="D768" s="204" t="s">
        <v>27</v>
      </c>
      <c r="E768" s="4" t="s">
        <v>130</v>
      </c>
      <c r="F768" s="204" t="s">
        <v>74</v>
      </c>
      <c r="G768" s="204"/>
      <c r="H768" s="204">
        <v>0</v>
      </c>
      <c r="I768" s="19" t="s">
        <v>8851</v>
      </c>
      <c r="J768" s="204" t="s">
        <v>2276</v>
      </c>
      <c r="K768" s="204" t="s">
        <v>2276</v>
      </c>
      <c r="L768" s="204" t="s">
        <v>2276</v>
      </c>
      <c r="M768" s="204" t="s">
        <v>2276</v>
      </c>
      <c r="N768" s="204"/>
    </row>
    <row r="769" spans="1:14" ht="44.5" customHeight="1">
      <c r="A769" s="19" t="s">
        <v>8844</v>
      </c>
      <c r="B769" s="19" t="s">
        <v>8848</v>
      </c>
      <c r="C769" s="204" t="s">
        <v>1105</v>
      </c>
      <c r="D769" s="204" t="s">
        <v>1105</v>
      </c>
      <c r="E769" s="4" t="s">
        <v>84</v>
      </c>
      <c r="F769" s="204" t="s">
        <v>28</v>
      </c>
      <c r="G769" s="204"/>
      <c r="H769" s="204" t="s">
        <v>2276</v>
      </c>
      <c r="I769" s="204" t="s">
        <v>2276</v>
      </c>
      <c r="J769" s="204">
        <v>3</v>
      </c>
      <c r="K769" s="4" t="s">
        <v>8850</v>
      </c>
      <c r="L769" s="4">
        <v>3</v>
      </c>
      <c r="M769" s="4" t="s">
        <v>8850</v>
      </c>
      <c r="N769" s="204"/>
    </row>
    <row r="770" spans="1:14" ht="44.5" customHeight="1">
      <c r="A770" s="19" t="s">
        <v>8844</v>
      </c>
      <c r="B770" s="19" t="s">
        <v>8849</v>
      </c>
      <c r="C770" s="204" t="s">
        <v>1105</v>
      </c>
      <c r="D770" s="204" t="s">
        <v>1105</v>
      </c>
      <c r="E770" s="4" t="s">
        <v>2649</v>
      </c>
      <c r="F770" s="204" t="s">
        <v>2663</v>
      </c>
      <c r="G770" s="204"/>
      <c r="H770" s="204" t="s">
        <v>2276</v>
      </c>
      <c r="I770" s="204" t="s">
        <v>2276</v>
      </c>
      <c r="J770" s="204">
        <v>3</v>
      </c>
      <c r="K770" s="4" t="s">
        <v>8850</v>
      </c>
      <c r="L770" s="4">
        <v>3</v>
      </c>
      <c r="M770" s="4" t="s">
        <v>8850</v>
      </c>
      <c r="N770" s="204"/>
    </row>
    <row r="771" spans="1:14" ht="41" customHeight="1">
      <c r="A771" s="19" t="s">
        <v>8877</v>
      </c>
      <c r="B771" s="19" t="s">
        <v>8880</v>
      </c>
      <c r="C771" s="4" t="s">
        <v>1105</v>
      </c>
      <c r="D771" s="4" t="s">
        <v>1105</v>
      </c>
      <c r="E771" s="4" t="s">
        <v>3209</v>
      </c>
      <c r="F771" s="4" t="s">
        <v>74</v>
      </c>
      <c r="G771" s="4"/>
      <c r="H771" s="4" t="s">
        <v>2276</v>
      </c>
      <c r="I771" s="4" t="s">
        <v>2276</v>
      </c>
      <c r="J771" s="4">
        <v>1</v>
      </c>
      <c r="K771" s="19" t="s">
        <v>8891</v>
      </c>
      <c r="L771" s="4">
        <v>3</v>
      </c>
      <c r="M771" s="19" t="s">
        <v>8892</v>
      </c>
      <c r="N771" s="4"/>
    </row>
    <row r="772" spans="1:14" ht="28.5" customHeight="1">
      <c r="A772" s="19" t="s">
        <v>8894</v>
      </c>
      <c r="B772" s="19" t="s">
        <v>8897</v>
      </c>
      <c r="C772" s="4" t="s">
        <v>24</v>
      </c>
      <c r="D772" s="4" t="s">
        <v>1105</v>
      </c>
      <c r="E772" s="4" t="s">
        <v>130</v>
      </c>
      <c r="F772" s="4" t="s">
        <v>160</v>
      </c>
      <c r="G772" s="4"/>
      <c r="H772" s="4">
        <v>1</v>
      </c>
      <c r="I772" s="19" t="s">
        <v>8918</v>
      </c>
      <c r="J772" s="4" t="s">
        <v>2276</v>
      </c>
      <c r="K772" s="4" t="s">
        <v>2276</v>
      </c>
      <c r="L772" s="4" t="s">
        <v>2276</v>
      </c>
      <c r="M772" s="4" t="s">
        <v>2276</v>
      </c>
      <c r="N772" s="4"/>
    </row>
    <row r="773" spans="1:14" ht="28.5" customHeight="1">
      <c r="A773" s="19" t="s">
        <v>8894</v>
      </c>
      <c r="B773" s="19" t="s">
        <v>8898</v>
      </c>
      <c r="C773" s="4" t="s">
        <v>24</v>
      </c>
      <c r="D773" s="4" t="s">
        <v>1105</v>
      </c>
      <c r="E773" s="4" t="s">
        <v>45</v>
      </c>
      <c r="F773" s="4" t="s">
        <v>29</v>
      </c>
      <c r="G773" s="4"/>
      <c r="H773" s="4">
        <v>1</v>
      </c>
      <c r="I773" s="19" t="s">
        <v>8918</v>
      </c>
      <c r="J773" s="4" t="s">
        <v>2276</v>
      </c>
      <c r="K773" s="4" t="s">
        <v>2276</v>
      </c>
      <c r="L773" s="4" t="s">
        <v>2276</v>
      </c>
      <c r="M773" s="4" t="s">
        <v>2276</v>
      </c>
      <c r="N773" s="4"/>
    </row>
    <row r="774" spans="1:14" ht="28.5" customHeight="1">
      <c r="A774" s="19" t="s">
        <v>8894</v>
      </c>
      <c r="B774" s="19" t="s">
        <v>8899</v>
      </c>
      <c r="C774" s="4" t="s">
        <v>1105</v>
      </c>
      <c r="D774" s="4" t="s">
        <v>1105</v>
      </c>
      <c r="E774" s="4" t="s">
        <v>3855</v>
      </c>
      <c r="F774" s="4" t="s">
        <v>2276</v>
      </c>
      <c r="G774" s="4"/>
      <c r="H774" s="4" t="s">
        <v>2276</v>
      </c>
      <c r="I774" s="4" t="s">
        <v>2276</v>
      </c>
      <c r="J774" s="4" t="s">
        <v>2276</v>
      </c>
      <c r="K774" s="4" t="s">
        <v>2276</v>
      </c>
      <c r="L774" s="4">
        <v>1</v>
      </c>
      <c r="M774" s="19" t="s">
        <v>8920</v>
      </c>
      <c r="N774" s="4"/>
    </row>
    <row r="775" spans="1:14" ht="28.5" customHeight="1">
      <c r="A775" s="19" t="s">
        <v>8894</v>
      </c>
      <c r="B775" s="19" t="s">
        <v>8900</v>
      </c>
      <c r="C775" s="4" t="s">
        <v>1105</v>
      </c>
      <c r="D775" s="4" t="s">
        <v>1105</v>
      </c>
      <c r="E775" s="4" t="s">
        <v>2647</v>
      </c>
      <c r="F775" s="4" t="s">
        <v>29</v>
      </c>
      <c r="G775" s="4"/>
      <c r="H775" s="4" t="s">
        <v>2276</v>
      </c>
      <c r="I775" s="4" t="s">
        <v>2276</v>
      </c>
      <c r="J775" s="4" t="s">
        <v>2276</v>
      </c>
      <c r="K775" s="4" t="s">
        <v>2276</v>
      </c>
      <c r="L775" s="4">
        <v>3</v>
      </c>
      <c r="M775" s="4" t="s">
        <v>8919</v>
      </c>
      <c r="N775" s="4"/>
    </row>
    <row r="776" spans="1:14" ht="28.5" customHeight="1">
      <c r="A776" s="19" t="s">
        <v>8894</v>
      </c>
      <c r="B776" s="19" t="s">
        <v>8901</v>
      </c>
      <c r="C776" s="4" t="s">
        <v>1105</v>
      </c>
      <c r="D776" s="4" t="s">
        <v>1105</v>
      </c>
      <c r="E776" s="4" t="s">
        <v>84</v>
      </c>
      <c r="F776" s="4" t="s">
        <v>28</v>
      </c>
      <c r="G776" s="4"/>
      <c r="H776" s="4" t="s">
        <v>2276</v>
      </c>
      <c r="I776" s="4" t="s">
        <v>2276</v>
      </c>
      <c r="J776" s="4" t="s">
        <v>2276</v>
      </c>
      <c r="K776" s="4" t="s">
        <v>2276</v>
      </c>
      <c r="L776" s="4">
        <v>3</v>
      </c>
      <c r="M776" s="4" t="s">
        <v>8919</v>
      </c>
      <c r="N776" s="4"/>
    </row>
    <row r="777" spans="1:14" ht="47.5" customHeight="1">
      <c r="A777" s="19" t="s">
        <v>8896</v>
      </c>
      <c r="B777" s="19" t="s">
        <v>8909</v>
      </c>
      <c r="C777" s="4" t="s">
        <v>24</v>
      </c>
      <c r="D777" s="4" t="s">
        <v>1105</v>
      </c>
      <c r="E777" s="4" t="s">
        <v>130</v>
      </c>
      <c r="F777" s="4" t="s">
        <v>160</v>
      </c>
      <c r="G777" s="4"/>
      <c r="H777" s="4">
        <v>1</v>
      </c>
      <c r="I777" s="19" t="s">
        <v>8918</v>
      </c>
      <c r="J777" s="4" t="s">
        <v>2276</v>
      </c>
      <c r="K777" s="4" t="s">
        <v>2276</v>
      </c>
      <c r="L777" s="4" t="s">
        <v>2276</v>
      </c>
      <c r="M777" s="4" t="s">
        <v>2276</v>
      </c>
      <c r="N777" s="4"/>
    </row>
    <row r="778" spans="1:14" ht="47.5" customHeight="1">
      <c r="A778" s="19" t="s">
        <v>8896</v>
      </c>
      <c r="B778" s="19" t="s">
        <v>8910</v>
      </c>
      <c r="C778" s="4" t="s">
        <v>24</v>
      </c>
      <c r="D778" s="4" t="s">
        <v>1105</v>
      </c>
      <c r="E778" s="4" t="s">
        <v>45</v>
      </c>
      <c r="F778" s="4" t="s">
        <v>29</v>
      </c>
      <c r="G778" s="4"/>
      <c r="H778" s="4">
        <v>1</v>
      </c>
      <c r="I778" s="19" t="s">
        <v>8918</v>
      </c>
      <c r="J778" s="4" t="s">
        <v>2276</v>
      </c>
      <c r="K778" s="4" t="s">
        <v>2276</v>
      </c>
      <c r="L778" s="4" t="s">
        <v>2276</v>
      </c>
      <c r="M778" s="4" t="s">
        <v>2276</v>
      </c>
      <c r="N778" s="4"/>
    </row>
    <row r="779" spans="1:14" ht="47.5" customHeight="1">
      <c r="A779" s="19" t="s">
        <v>8896</v>
      </c>
      <c r="B779" s="19" t="s">
        <v>8911</v>
      </c>
      <c r="C779" s="4" t="s">
        <v>1105</v>
      </c>
      <c r="D779" s="4" t="s">
        <v>1105</v>
      </c>
      <c r="E779" s="4" t="s">
        <v>3855</v>
      </c>
      <c r="F779" s="4" t="s">
        <v>2276</v>
      </c>
      <c r="G779" s="4"/>
      <c r="H779" s="4" t="s">
        <v>2276</v>
      </c>
      <c r="I779" s="4" t="s">
        <v>2276</v>
      </c>
      <c r="J779" s="4" t="s">
        <v>2276</v>
      </c>
      <c r="K779" s="4" t="s">
        <v>2276</v>
      </c>
      <c r="L779" s="4">
        <v>1</v>
      </c>
      <c r="M779" s="19" t="s">
        <v>8920</v>
      </c>
      <c r="N779" s="4"/>
    </row>
    <row r="780" spans="1:14" ht="47.5" customHeight="1">
      <c r="A780" s="19" t="s">
        <v>8896</v>
      </c>
      <c r="B780" s="19" t="s">
        <v>8912</v>
      </c>
      <c r="C780" s="4" t="s">
        <v>1105</v>
      </c>
      <c r="D780" s="4" t="s">
        <v>1105</v>
      </c>
      <c r="E780" s="4" t="s">
        <v>2647</v>
      </c>
      <c r="F780" s="4" t="s">
        <v>29</v>
      </c>
      <c r="G780" s="4"/>
      <c r="H780" s="4" t="s">
        <v>2276</v>
      </c>
      <c r="I780" s="4" t="s">
        <v>2276</v>
      </c>
      <c r="J780" s="4" t="s">
        <v>2276</v>
      </c>
      <c r="K780" s="4" t="s">
        <v>2276</v>
      </c>
      <c r="L780" s="4">
        <v>3</v>
      </c>
      <c r="M780" s="4" t="s">
        <v>8919</v>
      </c>
      <c r="N780" s="4"/>
    </row>
    <row r="781" spans="1:14" ht="47.5" customHeight="1">
      <c r="A781" s="19" t="s">
        <v>8896</v>
      </c>
      <c r="B781" s="19" t="s">
        <v>8913</v>
      </c>
      <c r="C781" s="4" t="s">
        <v>1105</v>
      </c>
      <c r="D781" s="4" t="s">
        <v>1105</v>
      </c>
      <c r="E781" s="4" t="s">
        <v>84</v>
      </c>
      <c r="F781" s="4" t="s">
        <v>28</v>
      </c>
      <c r="G781" s="4"/>
      <c r="H781" s="4" t="s">
        <v>2276</v>
      </c>
      <c r="I781" s="4" t="s">
        <v>2276</v>
      </c>
      <c r="J781" s="4" t="s">
        <v>2276</v>
      </c>
      <c r="K781" s="4" t="s">
        <v>2276</v>
      </c>
      <c r="L781" s="4">
        <v>3</v>
      </c>
      <c r="M781" s="4" t="s">
        <v>8919</v>
      </c>
      <c r="N781" s="4"/>
    </row>
    <row r="782" spans="1:14" ht="35.5" customHeight="1">
      <c r="A782" s="19" t="s">
        <v>8922</v>
      </c>
      <c r="B782" s="19" t="s">
        <v>8924</v>
      </c>
      <c r="C782" s="204" t="s">
        <v>24</v>
      </c>
      <c r="D782" s="4" t="s">
        <v>143</v>
      </c>
      <c r="E782" s="4" t="s">
        <v>84</v>
      </c>
      <c r="F782" s="204" t="s">
        <v>74</v>
      </c>
      <c r="G782" s="204"/>
      <c r="H782" s="204">
        <v>0</v>
      </c>
      <c r="I782" s="19" t="s">
        <v>8932</v>
      </c>
      <c r="J782" s="4" t="s">
        <v>2276</v>
      </c>
      <c r="K782" s="4" t="s">
        <v>2276</v>
      </c>
      <c r="L782" s="4" t="s">
        <v>2276</v>
      </c>
      <c r="M782" s="4" t="s">
        <v>2276</v>
      </c>
      <c r="N782" s="204"/>
    </row>
    <row r="783" spans="1:14" ht="35.5" customHeight="1">
      <c r="A783" s="19" t="s">
        <v>8922</v>
      </c>
      <c r="B783" s="19" t="s">
        <v>8925</v>
      </c>
      <c r="C783" s="204" t="s">
        <v>24</v>
      </c>
      <c r="D783" s="4" t="s">
        <v>1105</v>
      </c>
      <c r="E783" s="4" t="s">
        <v>116</v>
      </c>
      <c r="F783" s="204" t="s">
        <v>74</v>
      </c>
      <c r="G783" s="204"/>
      <c r="H783" s="204">
        <v>0</v>
      </c>
      <c r="I783" s="19" t="s">
        <v>8932</v>
      </c>
      <c r="J783" s="4" t="s">
        <v>2276</v>
      </c>
      <c r="K783" s="4" t="s">
        <v>2276</v>
      </c>
      <c r="L783" s="4" t="s">
        <v>2276</v>
      </c>
      <c r="M783" s="4" t="s">
        <v>2276</v>
      </c>
      <c r="N783" s="204"/>
    </row>
    <row r="784" spans="1:14" ht="35.5" customHeight="1">
      <c r="A784" s="19" t="s">
        <v>8922</v>
      </c>
      <c r="B784" s="19" t="s">
        <v>8926</v>
      </c>
      <c r="C784" s="204" t="s">
        <v>1105</v>
      </c>
      <c r="D784" s="204" t="s">
        <v>1105</v>
      </c>
      <c r="E784" s="4" t="s">
        <v>863</v>
      </c>
      <c r="F784" s="204" t="s">
        <v>74</v>
      </c>
      <c r="G784" s="204"/>
      <c r="H784" s="4" t="s">
        <v>2276</v>
      </c>
      <c r="I784" s="4" t="s">
        <v>2276</v>
      </c>
      <c r="J784" s="204">
        <v>0</v>
      </c>
      <c r="K784" s="19" t="s">
        <v>8933</v>
      </c>
      <c r="L784" s="4" t="s">
        <v>2276</v>
      </c>
      <c r="M784" s="4" t="s">
        <v>2276</v>
      </c>
      <c r="N784" s="204"/>
    </row>
    <row r="785" spans="1:14" ht="36.5" customHeight="1">
      <c r="A785" s="19" t="s">
        <v>8922</v>
      </c>
      <c r="B785" s="19" t="s">
        <v>8927</v>
      </c>
      <c r="C785" s="204" t="s">
        <v>1105</v>
      </c>
      <c r="D785" s="204" t="s">
        <v>1105</v>
      </c>
      <c r="E785" s="4" t="s">
        <v>3209</v>
      </c>
      <c r="F785" s="204" t="s">
        <v>74</v>
      </c>
      <c r="G785" s="204"/>
      <c r="H785" s="4" t="s">
        <v>2276</v>
      </c>
      <c r="I785" s="4" t="s">
        <v>2276</v>
      </c>
      <c r="J785" s="204">
        <v>1</v>
      </c>
      <c r="K785" s="19" t="s">
        <v>8934</v>
      </c>
      <c r="L785" s="204">
        <v>1</v>
      </c>
      <c r="M785" s="151" t="s">
        <v>8938</v>
      </c>
      <c r="N785" s="204"/>
    </row>
    <row r="786" spans="1:14" ht="44" customHeight="1">
      <c r="A786" s="19" t="s">
        <v>8941</v>
      </c>
      <c r="B786" s="19" t="s">
        <v>8945</v>
      </c>
      <c r="C786" s="204" t="s">
        <v>24</v>
      </c>
      <c r="D786" s="204" t="s">
        <v>1105</v>
      </c>
      <c r="E786" s="4" t="s">
        <v>397</v>
      </c>
      <c r="F786" s="4" t="s">
        <v>2662</v>
      </c>
      <c r="G786" s="204"/>
      <c r="H786" s="204">
        <v>1</v>
      </c>
      <c r="I786" s="19" t="s">
        <v>8959</v>
      </c>
      <c r="J786" s="204">
        <v>1</v>
      </c>
      <c r="K786" s="19" t="s">
        <v>8959</v>
      </c>
      <c r="L786" s="4" t="s">
        <v>2276</v>
      </c>
      <c r="M786" s="4" t="s">
        <v>2276</v>
      </c>
      <c r="N786" s="204"/>
    </row>
    <row r="787" spans="1:14" ht="44" customHeight="1">
      <c r="A787" s="19" t="s">
        <v>8941</v>
      </c>
      <c r="B787" s="19" t="s">
        <v>8946</v>
      </c>
      <c r="C787" s="204" t="s">
        <v>24</v>
      </c>
      <c r="D787" s="204" t="s">
        <v>1105</v>
      </c>
      <c r="E787" s="4" t="s">
        <v>45</v>
      </c>
      <c r="F787" s="4" t="s">
        <v>2662</v>
      </c>
      <c r="G787" s="204"/>
      <c r="H787" s="204">
        <v>1</v>
      </c>
      <c r="I787" s="19" t="s">
        <v>8959</v>
      </c>
      <c r="J787" s="204">
        <v>1</v>
      </c>
      <c r="K787" s="19" t="s">
        <v>8959</v>
      </c>
      <c r="L787" s="4" t="s">
        <v>2276</v>
      </c>
      <c r="M787" s="4" t="s">
        <v>2276</v>
      </c>
      <c r="N787" s="204"/>
    </row>
    <row r="788" spans="1:14" ht="44" customHeight="1">
      <c r="A788" s="19" t="s">
        <v>8941</v>
      </c>
      <c r="B788" s="19" t="s">
        <v>8947</v>
      </c>
      <c r="C788" s="204" t="s">
        <v>1105</v>
      </c>
      <c r="D788" s="204" t="s">
        <v>1105</v>
      </c>
      <c r="E788" s="4" t="s">
        <v>3209</v>
      </c>
      <c r="F788" s="204" t="s">
        <v>2276</v>
      </c>
      <c r="G788" s="204"/>
      <c r="H788" s="4" t="s">
        <v>2276</v>
      </c>
      <c r="I788" s="4" t="s">
        <v>2276</v>
      </c>
      <c r="J788" s="204">
        <v>1</v>
      </c>
      <c r="K788" s="19" t="s">
        <v>8960</v>
      </c>
      <c r="L788" s="4" t="s">
        <v>2276</v>
      </c>
      <c r="M788" s="4" t="s">
        <v>2276</v>
      </c>
      <c r="N788" s="204"/>
    </row>
    <row r="789" spans="1:14" ht="42.5" customHeight="1">
      <c r="A789" s="19" t="s">
        <v>8976</v>
      </c>
      <c r="B789" s="19" t="s">
        <v>8979</v>
      </c>
      <c r="C789" s="204" t="s">
        <v>1105</v>
      </c>
      <c r="D789" s="204" t="s">
        <v>1105</v>
      </c>
      <c r="E789" s="4" t="s">
        <v>45</v>
      </c>
      <c r="F789" s="204" t="s">
        <v>55</v>
      </c>
      <c r="G789" s="204"/>
      <c r="H789" s="4" t="s">
        <v>2276</v>
      </c>
      <c r="I789" s="4" t="s">
        <v>2276</v>
      </c>
      <c r="J789" s="204">
        <v>2</v>
      </c>
      <c r="K789" s="19" t="s">
        <v>8981</v>
      </c>
      <c r="L789" s="4" t="s">
        <v>2276</v>
      </c>
      <c r="M789" s="4" t="s">
        <v>2276</v>
      </c>
      <c r="N789" s="204"/>
    </row>
    <row r="790" spans="1:14" ht="42.5" customHeight="1">
      <c r="A790" s="19" t="s">
        <v>8976</v>
      </c>
      <c r="B790" s="19" t="s">
        <v>8980</v>
      </c>
      <c r="C790" s="204" t="s">
        <v>1105</v>
      </c>
      <c r="D790" s="204" t="s">
        <v>1105</v>
      </c>
      <c r="E790" s="4" t="s">
        <v>5801</v>
      </c>
      <c r="F790" s="204" t="s">
        <v>55</v>
      </c>
      <c r="G790" s="204"/>
      <c r="H790" s="4" t="s">
        <v>2276</v>
      </c>
      <c r="I790" s="4" t="s">
        <v>2276</v>
      </c>
      <c r="J790" s="178">
        <v>0</v>
      </c>
      <c r="K790" s="19" t="s">
        <v>8982</v>
      </c>
      <c r="L790" s="4" t="s">
        <v>2276</v>
      </c>
      <c r="M790" s="4" t="s">
        <v>2276</v>
      </c>
      <c r="N790" s="204"/>
    </row>
    <row r="791" spans="1:14" ht="39" customHeight="1">
      <c r="A791" s="19" t="s">
        <v>8984</v>
      </c>
      <c r="B791" s="19" t="s">
        <v>8989</v>
      </c>
      <c r="C791" s="204" t="s">
        <v>24</v>
      </c>
      <c r="D791" s="204" t="s">
        <v>1245</v>
      </c>
      <c r="E791" s="4" t="s">
        <v>116</v>
      </c>
      <c r="F791" s="4" t="s">
        <v>2662</v>
      </c>
      <c r="G791" s="204"/>
      <c r="H791" s="204">
        <v>2</v>
      </c>
      <c r="I791" s="204" t="s">
        <v>8991</v>
      </c>
      <c r="J791" s="204">
        <v>2</v>
      </c>
      <c r="K791" s="19" t="s">
        <v>8990</v>
      </c>
      <c r="L791" s="4" t="s">
        <v>2276</v>
      </c>
      <c r="M791" s="4" t="s">
        <v>2276</v>
      </c>
      <c r="N791" s="204"/>
    </row>
    <row r="792" spans="1:14" ht="44.5" customHeight="1">
      <c r="A792" s="204" t="s">
        <v>9120</v>
      </c>
      <c r="B792" s="204" t="s">
        <v>9123</v>
      </c>
      <c r="C792" s="204" t="s">
        <v>1105</v>
      </c>
      <c r="D792" s="204" t="s">
        <v>1105</v>
      </c>
      <c r="E792" s="4" t="s">
        <v>2649</v>
      </c>
      <c r="F792" s="204" t="s">
        <v>2663</v>
      </c>
      <c r="G792" s="204"/>
      <c r="H792" s="4" t="s">
        <v>2276</v>
      </c>
      <c r="I792" s="4" t="s">
        <v>2276</v>
      </c>
      <c r="J792" s="204">
        <v>2</v>
      </c>
      <c r="K792" s="19" t="s">
        <v>9131</v>
      </c>
      <c r="L792" s="4" t="s">
        <v>2276</v>
      </c>
      <c r="M792" s="4" t="s">
        <v>2276</v>
      </c>
      <c r="N792" s="204"/>
    </row>
    <row r="793" spans="1:14" ht="50" customHeight="1">
      <c r="A793" s="204" t="s">
        <v>9121</v>
      </c>
      <c r="B793" s="204" t="s">
        <v>9126</v>
      </c>
      <c r="C793" s="204" t="s">
        <v>1105</v>
      </c>
      <c r="D793" s="204" t="s">
        <v>1105</v>
      </c>
      <c r="E793" s="4" t="s">
        <v>2649</v>
      </c>
      <c r="F793" s="204" t="s">
        <v>2663</v>
      </c>
      <c r="G793" s="204"/>
      <c r="H793" s="4" t="s">
        <v>2276</v>
      </c>
      <c r="I793" s="4" t="s">
        <v>2276</v>
      </c>
      <c r="J793" s="204">
        <v>0</v>
      </c>
      <c r="K793" s="19" t="s">
        <v>9132</v>
      </c>
      <c r="L793" s="4" t="s">
        <v>2276</v>
      </c>
      <c r="M793" s="4" t="s">
        <v>2276</v>
      </c>
      <c r="N793" s="204"/>
    </row>
    <row r="794" spans="1:14" ht="51" customHeight="1">
      <c r="A794" s="204" t="s">
        <v>9120</v>
      </c>
      <c r="B794" s="204" t="s">
        <v>9124</v>
      </c>
      <c r="C794" s="204" t="s">
        <v>1105</v>
      </c>
      <c r="D794" s="204" t="s">
        <v>1105</v>
      </c>
      <c r="E794" s="4" t="s">
        <v>5801</v>
      </c>
      <c r="F794" s="204" t="s">
        <v>2663</v>
      </c>
      <c r="G794" s="204"/>
      <c r="H794" s="4" t="s">
        <v>2276</v>
      </c>
      <c r="I794" s="4" t="s">
        <v>2276</v>
      </c>
      <c r="J794" s="204">
        <v>0</v>
      </c>
      <c r="K794" s="19" t="s">
        <v>9133</v>
      </c>
      <c r="L794" s="4" t="s">
        <v>2276</v>
      </c>
      <c r="M794" s="4" t="s">
        <v>2276</v>
      </c>
      <c r="N794" s="204"/>
    </row>
    <row r="795" spans="1:14" ht="39" customHeight="1">
      <c r="A795" s="11" t="s">
        <v>9135</v>
      </c>
      <c r="B795" s="11" t="s">
        <v>9137</v>
      </c>
      <c r="C795" s="204" t="s">
        <v>1105</v>
      </c>
      <c r="D795" s="204" t="s">
        <v>1105</v>
      </c>
      <c r="E795" s="4" t="s">
        <v>2649</v>
      </c>
      <c r="F795" s="204" t="s">
        <v>2663</v>
      </c>
      <c r="G795" s="204"/>
      <c r="H795" s="4" t="s">
        <v>2276</v>
      </c>
      <c r="I795" s="4" t="s">
        <v>2276</v>
      </c>
      <c r="J795" s="204">
        <v>3</v>
      </c>
      <c r="K795" s="19" t="s">
        <v>9146</v>
      </c>
      <c r="L795" s="4" t="s">
        <v>2276</v>
      </c>
      <c r="M795" s="4" t="s">
        <v>2276</v>
      </c>
      <c r="N795" s="204"/>
    </row>
    <row r="796" spans="1:14" ht="42.5" customHeight="1">
      <c r="A796" s="11" t="s">
        <v>9170</v>
      </c>
      <c r="B796" s="11" t="s">
        <v>9210</v>
      </c>
      <c r="C796" s="204" t="s">
        <v>1105</v>
      </c>
      <c r="D796" s="204" t="s">
        <v>2276</v>
      </c>
      <c r="E796" s="4" t="s">
        <v>3209</v>
      </c>
      <c r="F796" s="4" t="s">
        <v>2662</v>
      </c>
      <c r="G796" s="204"/>
      <c r="H796" s="4" t="s">
        <v>2276</v>
      </c>
      <c r="I796" s="4" t="s">
        <v>2276</v>
      </c>
      <c r="J796" s="4" t="s">
        <v>2276</v>
      </c>
      <c r="K796" s="4" t="s">
        <v>2276</v>
      </c>
      <c r="L796" s="204">
        <v>3</v>
      </c>
      <c r="M796" s="19" t="s">
        <v>9251</v>
      </c>
      <c r="N796" s="204"/>
    </row>
    <row r="797" spans="1:14" ht="47" customHeight="1">
      <c r="A797" s="11" t="s">
        <v>9195</v>
      </c>
      <c r="B797" s="11" t="s">
        <v>9225</v>
      </c>
      <c r="C797" s="204" t="s">
        <v>1105</v>
      </c>
      <c r="D797" s="204" t="s">
        <v>2276</v>
      </c>
      <c r="E797" s="4" t="s">
        <v>3209</v>
      </c>
      <c r="F797" s="4" t="s">
        <v>2662</v>
      </c>
      <c r="G797" s="204"/>
      <c r="H797" s="4" t="s">
        <v>2276</v>
      </c>
      <c r="I797" s="4" t="s">
        <v>2276</v>
      </c>
      <c r="J797" s="204">
        <v>2</v>
      </c>
      <c r="K797" s="4" t="s">
        <v>9255</v>
      </c>
      <c r="L797" s="204">
        <v>3</v>
      </c>
      <c r="M797" s="19" t="s">
        <v>9251</v>
      </c>
      <c r="N797" s="204"/>
    </row>
    <row r="798" spans="1:14" ht="49" customHeight="1">
      <c r="A798" s="11" t="s">
        <v>9195</v>
      </c>
      <c r="B798" s="11" t="s">
        <v>9243</v>
      </c>
      <c r="C798" s="204" t="s">
        <v>1105</v>
      </c>
      <c r="D798" s="204" t="s">
        <v>2276</v>
      </c>
      <c r="E798" s="4" t="s">
        <v>2653</v>
      </c>
      <c r="F798" s="204" t="s">
        <v>74</v>
      </c>
      <c r="G798" s="204"/>
      <c r="H798" s="4" t="s">
        <v>2276</v>
      </c>
      <c r="I798" s="4" t="s">
        <v>2276</v>
      </c>
      <c r="J798" s="204">
        <v>0</v>
      </c>
      <c r="K798" s="19" t="s">
        <v>9252</v>
      </c>
      <c r="L798" s="204">
        <v>0</v>
      </c>
      <c r="M798" s="19" t="s">
        <v>9253</v>
      </c>
      <c r="N798" s="204"/>
    </row>
    <row r="799" spans="1:14" ht="44.5" customHeight="1">
      <c r="A799" s="11" t="s">
        <v>9194</v>
      </c>
      <c r="B799" s="11" t="s">
        <v>9224</v>
      </c>
      <c r="C799" s="204" t="s">
        <v>1105</v>
      </c>
      <c r="D799" s="204" t="s">
        <v>2276</v>
      </c>
      <c r="E799" s="4" t="s">
        <v>2653</v>
      </c>
      <c r="F799" s="204" t="s">
        <v>74</v>
      </c>
      <c r="G799" s="204"/>
      <c r="H799" s="4" t="s">
        <v>2276</v>
      </c>
      <c r="I799" s="4" t="s">
        <v>2276</v>
      </c>
      <c r="J799" s="204">
        <v>0</v>
      </c>
      <c r="K799" s="19" t="s">
        <v>9252</v>
      </c>
      <c r="L799" s="204">
        <v>0</v>
      </c>
      <c r="M799" s="19" t="s">
        <v>9253</v>
      </c>
      <c r="N799" s="204"/>
    </row>
    <row r="800" spans="1:14" s="203" customFormat="1" ht="44.5" customHeight="1">
      <c r="A800" s="11" t="s">
        <v>9194</v>
      </c>
      <c r="B800" s="11" t="s">
        <v>9250</v>
      </c>
      <c r="C800" s="204" t="s">
        <v>1105</v>
      </c>
      <c r="D800" s="204" t="s">
        <v>2276</v>
      </c>
      <c r="E800" s="4" t="s">
        <v>3209</v>
      </c>
      <c r="F800" s="4" t="s">
        <v>2662</v>
      </c>
      <c r="G800" s="204"/>
      <c r="H800" s="4" t="s">
        <v>2276</v>
      </c>
      <c r="I800" s="4" t="s">
        <v>2276</v>
      </c>
      <c r="J800" s="204">
        <v>2</v>
      </c>
      <c r="K800" s="4" t="s">
        <v>9255</v>
      </c>
      <c r="L800" s="4" t="s">
        <v>2276</v>
      </c>
      <c r="M800" s="4" t="s">
        <v>2276</v>
      </c>
      <c r="N800" s="204"/>
    </row>
    <row r="801" spans="1:14" ht="37" customHeight="1">
      <c r="A801" s="11" t="s">
        <v>9174</v>
      </c>
      <c r="B801" s="11" t="s">
        <v>9214</v>
      </c>
      <c r="C801" s="204" t="s">
        <v>1105</v>
      </c>
      <c r="D801" s="204" t="s">
        <v>2276</v>
      </c>
      <c r="E801" s="4" t="s">
        <v>2649</v>
      </c>
      <c r="F801" s="204" t="s">
        <v>2663</v>
      </c>
      <c r="G801" s="204"/>
      <c r="H801" s="4" t="s">
        <v>2276</v>
      </c>
      <c r="I801" s="4" t="s">
        <v>2276</v>
      </c>
      <c r="J801" s="204">
        <v>0</v>
      </c>
      <c r="K801" s="19" t="s">
        <v>9254</v>
      </c>
      <c r="L801" s="4" t="s">
        <v>2276</v>
      </c>
      <c r="M801" s="4" t="s">
        <v>2276</v>
      </c>
      <c r="N801" s="204"/>
    </row>
    <row r="802" spans="1:14" ht="37" customHeight="1">
      <c r="A802" s="11" t="s">
        <v>9175</v>
      </c>
      <c r="B802" s="11" t="s">
        <v>9215</v>
      </c>
      <c r="C802" s="204" t="s">
        <v>1105</v>
      </c>
      <c r="D802" s="204" t="s">
        <v>2276</v>
      </c>
      <c r="E802" s="4" t="s">
        <v>2649</v>
      </c>
      <c r="F802" s="204" t="s">
        <v>2663</v>
      </c>
      <c r="G802" s="204"/>
      <c r="H802" s="4" t="s">
        <v>2276</v>
      </c>
      <c r="I802" s="4" t="s">
        <v>2276</v>
      </c>
      <c r="J802" s="204">
        <v>0</v>
      </c>
      <c r="K802" s="19" t="s">
        <v>9254</v>
      </c>
      <c r="L802" s="4" t="s">
        <v>2276</v>
      </c>
      <c r="M802" s="4" t="s">
        <v>2276</v>
      </c>
      <c r="N802" s="204"/>
    </row>
    <row r="803" spans="1:14" ht="37" customHeight="1">
      <c r="A803" s="11" t="s">
        <v>9199</v>
      </c>
      <c r="B803" s="11" t="s">
        <v>9229</v>
      </c>
      <c r="C803" s="204" t="s">
        <v>1105</v>
      </c>
      <c r="D803" s="204" t="s">
        <v>2276</v>
      </c>
      <c r="E803" s="4" t="s">
        <v>2649</v>
      </c>
      <c r="F803" s="204" t="s">
        <v>2663</v>
      </c>
      <c r="G803" s="204"/>
      <c r="H803" s="4" t="s">
        <v>2276</v>
      </c>
      <c r="I803" s="4" t="s">
        <v>2276</v>
      </c>
      <c r="J803" s="204">
        <v>0</v>
      </c>
      <c r="K803" s="19" t="s">
        <v>9254</v>
      </c>
      <c r="L803" s="4" t="s">
        <v>2276</v>
      </c>
      <c r="M803" s="4" t="s">
        <v>2276</v>
      </c>
      <c r="N803" s="204"/>
    </row>
    <row r="804" spans="1:14" ht="37" customHeight="1">
      <c r="A804" s="11" t="s">
        <v>9200</v>
      </c>
      <c r="B804" s="11" t="s">
        <v>9230</v>
      </c>
      <c r="C804" s="204" t="s">
        <v>1105</v>
      </c>
      <c r="D804" s="204" t="s">
        <v>2276</v>
      </c>
      <c r="E804" s="4" t="s">
        <v>2649</v>
      </c>
      <c r="F804" s="204" t="s">
        <v>2663</v>
      </c>
      <c r="G804" s="204"/>
      <c r="H804" s="4" t="s">
        <v>2276</v>
      </c>
      <c r="I804" s="4" t="s">
        <v>2276</v>
      </c>
      <c r="J804" s="204">
        <v>0</v>
      </c>
      <c r="K804" s="19" t="s">
        <v>9254</v>
      </c>
      <c r="L804" s="4" t="s">
        <v>2276</v>
      </c>
      <c r="M804" s="4" t="s">
        <v>2276</v>
      </c>
      <c r="N804" s="204"/>
    </row>
    <row r="805" spans="1:14" ht="42.5" customHeight="1">
      <c r="A805" s="11" t="s">
        <v>9265</v>
      </c>
      <c r="B805" s="11" t="s">
        <v>9269</v>
      </c>
      <c r="C805" s="204" t="s">
        <v>1105</v>
      </c>
      <c r="D805" s="204" t="s">
        <v>2276</v>
      </c>
      <c r="E805" s="4" t="s">
        <v>2649</v>
      </c>
      <c r="F805" s="204" t="s">
        <v>2663</v>
      </c>
      <c r="G805" s="204">
        <v>1976</v>
      </c>
      <c r="H805" s="4" t="s">
        <v>2276</v>
      </c>
      <c r="I805" s="4" t="s">
        <v>2276</v>
      </c>
      <c r="J805" s="204">
        <v>1</v>
      </c>
      <c r="K805" s="19" t="s">
        <v>9272</v>
      </c>
      <c r="L805" s="4" t="s">
        <v>2276</v>
      </c>
      <c r="M805" s="4" t="s">
        <v>2276</v>
      </c>
      <c r="N805" s="204"/>
    </row>
    <row r="806" spans="1:14" ht="44.5" customHeight="1">
      <c r="A806" s="11" t="s">
        <v>9265</v>
      </c>
      <c r="B806" s="11" t="s">
        <v>9271</v>
      </c>
      <c r="C806" s="204" t="s">
        <v>1105</v>
      </c>
      <c r="D806" s="204" t="s">
        <v>2276</v>
      </c>
      <c r="E806" s="4" t="s">
        <v>2649</v>
      </c>
      <c r="F806" s="204" t="s">
        <v>2663</v>
      </c>
      <c r="G806" s="204">
        <v>1984</v>
      </c>
      <c r="H806" s="4">
        <v>3</v>
      </c>
      <c r="I806" s="19" t="s">
        <v>9273</v>
      </c>
      <c r="J806" s="204">
        <v>3</v>
      </c>
      <c r="K806" s="19" t="s">
        <v>9274</v>
      </c>
      <c r="L806" s="4" t="s">
        <v>2276</v>
      </c>
      <c r="M806" s="4" t="s">
        <v>2276</v>
      </c>
      <c r="N806" s="204"/>
    </row>
    <row r="807" spans="1:14" ht="42" customHeight="1">
      <c r="A807" s="11" t="s">
        <v>9279</v>
      </c>
      <c r="B807" s="11" t="s">
        <v>9280</v>
      </c>
      <c r="C807" s="204" t="s">
        <v>1105</v>
      </c>
      <c r="D807" s="204" t="s">
        <v>2276</v>
      </c>
      <c r="E807" s="4" t="s">
        <v>2649</v>
      </c>
      <c r="F807" s="204" t="s">
        <v>2663</v>
      </c>
      <c r="G807" s="204"/>
      <c r="H807" s="4" t="s">
        <v>2276</v>
      </c>
      <c r="I807" s="4" t="s">
        <v>2276</v>
      </c>
      <c r="J807" s="204">
        <v>0</v>
      </c>
      <c r="K807" s="19" t="s">
        <v>9254</v>
      </c>
      <c r="L807" s="4" t="s">
        <v>2276</v>
      </c>
      <c r="M807" s="4" t="s">
        <v>2276</v>
      </c>
      <c r="N807" s="204"/>
    </row>
    <row r="808" spans="1:14" ht="39" customHeight="1">
      <c r="A808" s="11" t="s">
        <v>9288</v>
      </c>
      <c r="B808" s="11" t="s">
        <v>9291</v>
      </c>
      <c r="C808" s="204" t="s">
        <v>1105</v>
      </c>
      <c r="D808" s="204" t="s">
        <v>2276</v>
      </c>
      <c r="E808" s="4" t="s">
        <v>5801</v>
      </c>
      <c r="F808" s="204" t="s">
        <v>160</v>
      </c>
      <c r="G808" s="204"/>
      <c r="H808" s="4" t="s">
        <v>2276</v>
      </c>
      <c r="I808" s="4" t="s">
        <v>2276</v>
      </c>
      <c r="J808" s="204">
        <v>0</v>
      </c>
      <c r="K808" s="19" t="s">
        <v>9290</v>
      </c>
      <c r="L808" s="4" t="s">
        <v>2276</v>
      </c>
      <c r="M808" s="4" t="s">
        <v>2276</v>
      </c>
      <c r="N808" s="204"/>
    </row>
    <row r="809" spans="1:14" ht="51" customHeight="1">
      <c r="A809" s="11" t="s">
        <v>9293</v>
      </c>
      <c r="B809" s="11" t="s">
        <v>9297</v>
      </c>
      <c r="C809" s="204" t="s">
        <v>1105</v>
      </c>
      <c r="D809" s="204" t="s">
        <v>2276</v>
      </c>
      <c r="E809" s="204" t="s">
        <v>1105</v>
      </c>
      <c r="F809" s="204" t="s">
        <v>74</v>
      </c>
      <c r="G809" s="204"/>
      <c r="H809" s="4" t="s">
        <v>2276</v>
      </c>
      <c r="I809" s="4" t="s">
        <v>2276</v>
      </c>
      <c r="J809" s="204">
        <v>1</v>
      </c>
      <c r="K809" s="19" t="s">
        <v>9299</v>
      </c>
      <c r="L809" s="4" t="s">
        <v>2276</v>
      </c>
      <c r="M809" s="4" t="s">
        <v>2276</v>
      </c>
      <c r="N809" s="204"/>
    </row>
    <row r="810" spans="1:14" ht="57.5" customHeight="1">
      <c r="A810" s="204" t="s">
        <v>9302</v>
      </c>
      <c r="B810" s="204" t="s">
        <v>9304</v>
      </c>
      <c r="C810" s="204" t="s">
        <v>24</v>
      </c>
      <c r="D810" s="204" t="s">
        <v>1242</v>
      </c>
      <c r="E810" s="204" t="s">
        <v>2649</v>
      </c>
      <c r="F810" s="204" t="s">
        <v>74</v>
      </c>
      <c r="G810" s="204"/>
      <c r="H810" s="4" t="s">
        <v>2276</v>
      </c>
      <c r="I810" s="4" t="s">
        <v>2276</v>
      </c>
      <c r="J810" s="4">
        <v>3</v>
      </c>
      <c r="K810" s="19" t="s">
        <v>9310</v>
      </c>
      <c r="L810" s="4" t="s">
        <v>2276</v>
      </c>
      <c r="M810" s="4" t="s">
        <v>2276</v>
      </c>
      <c r="N810" s="204"/>
    </row>
    <row r="811" spans="1:14" ht="57.5" customHeight="1">
      <c r="A811" s="204" t="s">
        <v>9302</v>
      </c>
      <c r="B811" s="204" t="s">
        <v>9306</v>
      </c>
      <c r="C811" s="204" t="s">
        <v>24</v>
      </c>
      <c r="D811" s="204" t="s">
        <v>1242</v>
      </c>
      <c r="E811" s="204" t="s">
        <v>3209</v>
      </c>
      <c r="F811" s="204" t="s">
        <v>74</v>
      </c>
      <c r="G811" s="204"/>
      <c r="H811" s="4" t="s">
        <v>2276</v>
      </c>
      <c r="I811" s="4" t="s">
        <v>2276</v>
      </c>
      <c r="J811" s="4">
        <v>3</v>
      </c>
      <c r="K811" s="19" t="s">
        <v>9310</v>
      </c>
      <c r="L811" s="4" t="s">
        <v>2276</v>
      </c>
      <c r="M811" s="4" t="s">
        <v>2276</v>
      </c>
      <c r="N811" s="204"/>
    </row>
    <row r="812" spans="1:14" ht="57.5" customHeight="1">
      <c r="A812" s="204" t="s">
        <v>9303</v>
      </c>
      <c r="B812" s="204" t="s">
        <v>9305</v>
      </c>
      <c r="C812" s="204" t="s">
        <v>24</v>
      </c>
      <c r="D812" s="204" t="s">
        <v>1242</v>
      </c>
      <c r="E812" s="204" t="s">
        <v>2649</v>
      </c>
      <c r="F812" s="204" t="s">
        <v>74</v>
      </c>
      <c r="G812" s="204"/>
      <c r="H812" s="4" t="s">
        <v>2276</v>
      </c>
      <c r="I812" s="4" t="s">
        <v>2276</v>
      </c>
      <c r="J812" s="4">
        <v>3</v>
      </c>
      <c r="K812" s="19" t="s">
        <v>9310</v>
      </c>
      <c r="L812" s="4" t="s">
        <v>2276</v>
      </c>
      <c r="M812" s="4" t="s">
        <v>2276</v>
      </c>
      <c r="N812" s="204"/>
    </row>
    <row r="813" spans="1:14" ht="57.5" customHeight="1">
      <c r="A813" s="204" t="s">
        <v>9303</v>
      </c>
      <c r="B813" s="204" t="s">
        <v>9307</v>
      </c>
      <c r="C813" s="204" t="s">
        <v>24</v>
      </c>
      <c r="D813" s="204" t="s">
        <v>1242</v>
      </c>
      <c r="E813" s="204" t="s">
        <v>3209</v>
      </c>
      <c r="F813" s="204" t="s">
        <v>74</v>
      </c>
      <c r="G813" s="204"/>
      <c r="H813" s="4" t="s">
        <v>2276</v>
      </c>
      <c r="I813" s="4" t="s">
        <v>2276</v>
      </c>
      <c r="J813" s="4">
        <v>3</v>
      </c>
      <c r="K813" s="19" t="s">
        <v>9310</v>
      </c>
      <c r="L813" s="4" t="s">
        <v>2276</v>
      </c>
      <c r="M813" s="4" t="s">
        <v>2276</v>
      </c>
      <c r="N813" s="204"/>
    </row>
    <row r="814" spans="1:14" ht="42.5" customHeight="1">
      <c r="A814" s="204" t="s">
        <v>9302</v>
      </c>
      <c r="B814" s="204" t="s">
        <v>9311</v>
      </c>
      <c r="C814" s="204" t="s">
        <v>1105</v>
      </c>
      <c r="D814" s="204" t="s">
        <v>1105</v>
      </c>
      <c r="E814" s="204" t="s">
        <v>2653</v>
      </c>
      <c r="F814" s="204" t="s">
        <v>74</v>
      </c>
      <c r="G814" s="204"/>
      <c r="H814" s="204"/>
      <c r="I814" s="204"/>
      <c r="J814" s="204">
        <v>1</v>
      </c>
      <c r="K814" s="19" t="s">
        <v>9313</v>
      </c>
      <c r="L814" s="4" t="s">
        <v>2276</v>
      </c>
      <c r="M814" s="4" t="s">
        <v>2276</v>
      </c>
      <c r="N814" s="204"/>
    </row>
    <row r="815" spans="1:14" ht="42.5" customHeight="1">
      <c r="A815" s="204" t="s">
        <v>9303</v>
      </c>
      <c r="B815" s="204" t="s">
        <v>9312</v>
      </c>
      <c r="C815" s="204" t="s">
        <v>1105</v>
      </c>
      <c r="D815" s="204" t="s">
        <v>1105</v>
      </c>
      <c r="E815" s="204" t="s">
        <v>2653</v>
      </c>
      <c r="F815" s="204" t="s">
        <v>74</v>
      </c>
      <c r="G815" s="204"/>
      <c r="H815" s="204"/>
      <c r="I815" s="204"/>
      <c r="J815" s="204">
        <v>1</v>
      </c>
      <c r="K815" s="19" t="s">
        <v>9313</v>
      </c>
      <c r="L815" s="4" t="s">
        <v>2276</v>
      </c>
      <c r="M815" s="4" t="s">
        <v>2276</v>
      </c>
      <c r="N815" s="204"/>
    </row>
    <row r="816" spans="1:14" ht="53" customHeight="1">
      <c r="A816" s="11" t="s">
        <v>9314</v>
      </c>
      <c r="B816" s="11" t="s">
        <v>9316</v>
      </c>
      <c r="C816" s="204" t="s">
        <v>24</v>
      </c>
      <c r="D816" s="204" t="s">
        <v>1242</v>
      </c>
      <c r="E816" s="204" t="s">
        <v>3209</v>
      </c>
      <c r="F816" s="204" t="s">
        <v>74</v>
      </c>
      <c r="G816" s="204"/>
      <c r="H816" s="204"/>
      <c r="I816" s="204"/>
      <c r="J816" s="204">
        <v>2</v>
      </c>
      <c r="K816" s="4" t="s">
        <v>9318</v>
      </c>
      <c r="L816" s="204"/>
      <c r="M816" s="204"/>
      <c r="N816" s="204"/>
    </row>
  </sheetData>
  <autoFilter ref="A1:A703" xr:uid="{D51B2D5E-D687-4BEF-AD8D-C0C0A4AF7AEF}"/>
  <phoneticPr fontId="6" type="noConversion"/>
  <dataValidations xWindow="784" yWindow="581" count="9">
    <dataValidation allowBlank="1" showInputMessage="1" showErrorMessage="1" prompt="The same as Case study ID in Record Info" sqref="B57:B62 A1:A202 B227:B228 A225:A231 B238:B239 B251:B255 B268:B279 A234:A286 A302:A304 F307:G308 G309:G311 B307:C308 B315:B322 A307:A322 B333:B334 B337:B348 B355:B357 A511:A514 A417:A465 B373:B376 B383:B384 A331:A399 G581 A542:A586 D711:D717 C711:C718 E711:F718 B747:B752 B756:B759 B768:B771 B777:B785 B789:B790 B792:B794 B796:B804 B807:B816 A704:A1048576" xr:uid="{08A8CAA4-577B-406F-82E3-C3D7F96EF846}"/>
    <dataValidation allowBlank="1" showInputMessage="1" showErrorMessage="1" prompt="Case study ID +.1, .2 etc for each relevant PCB" sqref="B1:B43 B52:B56 B63:B90 B106:B111 B115:B182 B187:B202 B225:B226 B229:B231 B234:B237 B240:B246 B256:B267 B280:B304 B349:B354 B358:B360 B377:B382 B497 B385:B398 B405:B465 B369:B372 B511:B583 B704:B718 B724:B746 B753:B755 B760:B767 B772:B776 B786:B788 B791 B795 B805:B806 B817:B1048576" xr:uid="{6A6EF5BA-79F7-4B26-8190-9E5956E67713}"/>
    <dataValidation type="whole" allowBlank="1" showInputMessage="1" showErrorMessage="1" prompt="Blank if refers to all study years" sqref="G55:G88 G106:G246 G1:G43 G251:G304 G312:G500 G505:G580 G582:G1048576" xr:uid="{0B1F4EDE-66E7-4446-8200-B4A243E14667}">
      <formula1>1900</formula1>
      <formula2>2020</formula2>
    </dataValidation>
    <dataValidation allowBlank="1" showInputMessage="1" showErrorMessage="1" prompt="Case study ID + .1, .2 etc for each direct fire creation PCB associated with the case study" sqref="B44:B51 B91:B105 B112:B114 B183:B186 B247:B250 B305:B306 B309:B314 B331:B332 B335:B336 B361:B368 B399:B404 B637:B703 B584:B586 B501:B510 B719:B723" xr:uid="{F496CFF5-181F-43FF-997C-098F0760A295}"/>
    <dataValidation type="whole" allowBlank="1" showInputMessage="1" showErrorMessage="1" prompt="Integer: leave blank if all study years" sqref="G44:G54" xr:uid="{BCB47FF6-527D-4027-8D0C-3D7D35C89685}">
      <formula1>1900</formula1>
      <formula2>2020</formula2>
    </dataValidation>
    <dataValidation allowBlank="1" showInputMessage="1" showErrorMessage="1" prompt="Study ID + letter denoting case study: 1a, 1b, 1c etc." sqref="A203:B224 A287:A301 A405:A416 B587:B636 A515:A541 B498:B500 A466:B496 A587:A703 A497:A507" xr:uid="{226A2D18-F06B-43EC-A847-DB002EEFB52E}"/>
    <dataValidation type="decimal" allowBlank="1" showInputMessage="1" showErrorMessage="1" prompt="Float_x000a_" sqref="K462 K418 K458 K454 K392 K389 K394 K450 K410:K412 K396 K398:K408 K422 K426 K430 K434 K438 K442 K446 K499 K415:K416 K465:K497" xr:uid="{82143226-35C6-46BB-BE97-653373F6E902}">
      <formula1>0</formula1>
      <formula2>9999</formula2>
    </dataValidation>
    <dataValidation type="whole" allowBlank="1" showInputMessage="1" showErrorMessage="1" sqref="G501:G502 G504" xr:uid="{2CCE6A99-02B7-46C3-9C1F-DBE23BEB1FEE}">
      <formula1>1900</formula1>
      <formula2>2020</formula2>
    </dataValidation>
    <dataValidation allowBlank="1" showInputMessage="1" showErrorMessage="1" prompt="The same as Case study ID in Record Info_x000a_" sqref="A508:A510 A400 A403" xr:uid="{0E3234CE-F615-4590-BD3C-D411A3B6BF5B}"/>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784" yWindow="581" count="16">
        <x14:dataValidation type="list" allowBlank="1" showInputMessage="1" showErrorMessage="1" xr:uid="{B63E25C7-F911-439D-9F0A-9A77154F1872}">
          <x14:formula1>
            <xm:f>'IGNORE Lookups'!$E$3:$E$9</xm:f>
          </x14:formula1>
          <xm:sqref>C1:C64 C78:C90 C109:C111 C187:C246 C331:C332 C268:C301 C256:C265 C115:C182 D351 C417:C500 C337:C376 F390:F391 F393 F395 F397 C389:D404 C410:D412 F413:F414 D465:D496 D554 D551:D552 C551:C559 C561:D563 C565:D565 C567:D567 C569:D569 C571:D571 C573:D576 C578:D579 C503:D503 C587:C710 D728:D729 C719:C759 C764:C766 C768 D792:D795 E809 D814:D815 C772:C1048576</xm:sqref>
        </x14:dataValidation>
        <x14:dataValidation type="list" allowBlank="1" showInputMessage="1" showErrorMessage="1" xr:uid="{AAF9C4C1-09FE-4569-A9E5-AD024FF08D29}">
          <x14:formula1>
            <xm:f>'IGNORE Lookups'!$G$3:$G$10</xm:f>
          </x14:formula1>
          <xm:sqref>F1:F53 F56:F301 F305:F306 F309:F312 F323:F324 F415:F500 H554:I554 F392 F396 F394 F398:F404 F408 F410:F412 F389 F331:F376 D555:D556 H637:I703 G503 F551:F710 F719:F1048576</xm:sqref>
        </x14:dataValidation>
        <x14:dataValidation type="list" allowBlank="1" showInputMessage="1" showErrorMessage="1" xr:uid="{CAD4F7AB-3283-4D6E-BF4C-3C549601C534}">
          <x14:formula1>
            <xm:f>'IGNORE Lookups'!$L$3:$L$7</xm:f>
          </x14:formula1>
          <xm:sqref>M56 K52:K63 I54:I55 I66 H69:I69 K78 K87:K88 I88 I85 K83:K84 M86 M64:M77 K80:K81 I80 I83 K106:K108 M89:M114 M138:M140 H70:H137 I115 I134:I135 K134:K135 K112:K115 I141:I143 K138:K140 M144:M151 I152:I154 K144:K154 K157:K158 I163:I184 M164:M169 K170:K180 I161 K183:K188 M157:M162 I187:I189 I193:I195 K190 N194:O194 M181:M199 K197 K200:K202 K214:K224 K228 M225:M227 M203:M213 I200:I227 M229:M243 I229:I240 K244:K245 I249:I258 I244:I247 M247:M285 I265:I286 L1:L29 M287:M291 K259:K264 K286 I26:I27 K25:K26 M27:M28 H1:H68 M25 I292:I296 M304 L32:L296 I307 K297:M303 K304:K306 M307:M308 K308 M311:M313 K311:K313 K315 M315 K321:M321 L304:L316 K317:M317 L318:L320 M330:M336 I323:I324 K319 M319 K333:K335 M323:M324 I329:I332 K329 K343:K348 I343:I348 M349 K351 M352:M353 I351 K354:K355 I354:I355 M358:M360 K358:K365 I361:I364 M365:M369 K367:K372 J490:J496 M373:M376 H141:H376 L391 J417 H417 H419:H421 L419 L421:M421 J425 L423 J421 L425:M425 L429:M429 L433:M433 L437:M437 L441:M441 L445:M445 L449:M449 L453:M453 L457:M457 L461:M461 J419 J423 H423:H425 J429 H427:H429 J427 L427 J433 H431:H433 J431 L431 J437 J435 H435:H437 L435 J441 H439:H441 J439 L439 J445 J443 H443:H445 L443 J449 J447 H447:H449 L447 J453 H451:H453 J451 L451 J457 H455:H457 J455 L455 J461 J459 H459:H461 L459 L415:M417 J463 L463 L498 H500 H463:H464 L322:L376 I372:I376 J1:J376 L551:L553 H551:H553 K555:M555 K556 I558 I560:I581 K582:K586 H555:H636 J503 J521 K704:K709 M556:M730 I710:I729 K730 I741:I743 K732:K739 I732:I734 M735:M744 K745:K746 M747:M759 K756:K759 I746:I751 I762:I763 I767 K762:K766 I769:I771 M764:M768 K768 K772:K783 I774:I776 M772:M773 I784:I785 M777:M778 I779:I781 M782:M784 M786:M795 I788:I790 K796 M800:M815 I792:I805 H704:H1048576 J551:J1048576 I807:I813 L556:L1048576</xm:sqref>
        </x14:dataValidation>
        <x14:dataValidation type="list" allowBlank="1" showInputMessage="1" showErrorMessage="1" xr:uid="{5119178B-6B6A-418F-B930-79963A020AC7}">
          <x14:formula1>
            <xm:f>'IGNORE Lookups'!$F$3:$F$23</xm:f>
          </x14:formula1>
          <xm:sqref>F54:F55 C266:C267</xm:sqref>
        </x14:dataValidation>
        <x14:dataValidation type="list" allowBlank="1" showInputMessage="1" showErrorMessage="1" prompt="One of: Human Deliberate, Human Accidental, Human Escaped, Lightning, Other Natural, Unknown" xr:uid="{557F5C1F-2624-47D0-8F29-6AC5200FD076}">
          <x14:formula1>
            <xm:f>'IGNORE Lookups'!$E$3:$E$9</xm:f>
          </x14:formula1>
          <xm:sqref>C65:C77 C91:C108 C112:C114 C183:C186 C333:C336 C302:C306 C309:C322 C325:C328 C247:C255 C581:C586</xm:sqref>
        </x14:dataValidation>
        <x14:dataValidation type="list" allowBlank="1" showInputMessage="1" showErrorMessage="1" xr:uid="{FBF6065A-5775-490C-8521-45C170FDA3E1}">
          <x14:formula1>
            <xm:f>'IGNORE Lookups'!$G$3:$G$11</xm:f>
          </x14:formula1>
          <xm:sqref>G89:G105 G247:G250 G305:G306 F302:F304</xm:sqref>
        </x14:dataValidation>
        <x14:dataValidation type="list" allowBlank="1" showInputMessage="1" showErrorMessage="1" xr:uid="{914B2D36-58A8-4314-BC86-D1B8B0134086}">
          <x14:formula1>
            <xm:f>'IGNORE Lookups'!$F$3:$F$27</xm:f>
          </x14:formula1>
          <xm:sqref>C323:C324 F325:F330 F313:F322 C329:C330 D1:D350 D497:D500 D352:D376 D379:D380 D417:D464 D553 D557:D560 C560 C564:D564 C566:D566 C568:D568 C570:D570 C572:D572 C577:D577 C580:D580 D544:D547 D504:D507 D522 D526 D581:D710 D718:D727 C760:C763 C767 C769:C771 D730:D791 D796:D813 D816:D1048576</xm:sqref>
        </x14:dataValidation>
        <x14:dataValidation type="list" allowBlank="1" showInputMessage="1" showErrorMessage="1" xr:uid="{9FD56368-611F-424A-BF9F-CC9F55131B81}">
          <x14:formula1>
            <xm:f>'IGNORE Lookups'!$C$23:$C$45</xm:f>
          </x14:formula1>
          <xm:sqref>E415:E500 E1:E376 E378 E380 E382 E384 E386 E410:E412 E388:E408 E503 E551:E710 E719:E808 E810:E1048576</xm:sqref>
        </x14:dataValidation>
        <x14:dataValidation type="list" allowBlank="1" showInputMessage="1" showErrorMessage="1" xr:uid="{6EAD37E3-F9F5-4566-BDE5-BC9A212B3C8D}">
          <x14:formula1>
            <xm:f>'C:\Users\Oli\Documents\PhD\Model development\Data\Collaborators\Current Contributor Versions\[Fire Database Ben v2.xlsx]IGNORE Lookups'!#REF!</xm:f>
          </x14:formula1>
          <xm:sqref>D377:D378 M392 M394 M377:M378 M381:M389 E508:F508 E377 E379 E381 E383 E385 E387 L377:L390 I389:I408 C377:C388 D381:D388 F377:F388 M396 F405:F407 E409:F409 C405:D409 M398:M412 H377:H416 J377:J416 H458:J458 L499:M499 K413:K414 E413:E414 I410:I416 H418:J418 L418:M418 L422:M422 H422:J422 L426:M426 H426:J426 L430:M430 H430:J430 L458:M458 H434:J434 L434:M434 H438:J438 L438:M438 H442:J442 L442:M442 H446:J446 L446:M446 H450:J450 L450:M450 H454:J454 L454:M454 H462:J462 L462:M462 J420:M420 J424:M424 J428:M428 J432:M432 J436:M436 J440:M440 J444:M444 J448:M448 J452:M452 J456:M456 J460:M460 L392:L414 I498:K498 J499:J500 I499 K500:M500 C413:D416 J464:M464 J497 E490:E496 H465:H499 I465:I497 J465:J489 L465:M497 E501:E502 L501:M503 M504:M505 F504:F505 F509:F510 H501:I510 H515 H519 H517 H521:H523 H525:H527 H529 H531 H533:H534 H536 H538 H540:H541 H543:H548 H550 J546:J547 J541:J542 J534:J539 J526:J532 J522:J524 J515:J520 J504:J510 L508:L510 L516 L518 L520:L521 L524:L525 L528 L530 L532:L533 L537 L535 L539:L540 L542:L543 L549:L550</xm:sqref>
        </x14:dataValidation>
        <x14:dataValidation type="list" allowBlank="1" showInputMessage="1" showErrorMessage="1" xr:uid="{A14E07CB-97BA-43F1-804D-76ACFEEA22EB}">
          <x14:formula1>
            <xm:f>'C:\Users\Oli\Documents\PhD\Model development\Data\Collaborators\Current Contributor Versions\[AnthroFireDB_IndustrialForestry_2020-07-17.xlsx]IGNORE Lookups'!#REF!</xm:f>
          </x14:formula1>
          <xm:sqref>E509:E550 C506 C515:C543 E504:E507 C548:D550 L554 C504 D527:D543 J511:J514 F511:F550 H549 C501:C502 D516:D521 D523:D525 J525 F506:F507 H511:H514 H518 H516 H520 H524 H528 H530 H532 H535 H537 H539 H542 J548:J550 J543:J545 J540 J533 L506:L507 L511:L515 L517 L519 L522:L523 L526:L527 L529 L531 L536 L534 L538 L541 L544:L548</xm:sqref>
        </x14:dataValidation>
        <x14:dataValidation type="list" allowBlank="1" showInputMessage="1" showErrorMessage="1" prompt="One of: Human Deliberate, Human Accidental, Human Escaped, Lightning, Other Natural, Unknown" xr:uid="{3CCF88E3-C0DC-4137-AAF2-75DF64D0F978}">
          <x14:formula1>
            <xm:f>'C:\Users\Oli\Documents\PhD\Model development\Data\Collaborators\Current Contributor Versions\[AnthroFireDB_IndustrialForestry_2020-07-17.xlsx]IGNORE Lookups'!#REF!</xm:f>
          </x14:formula1>
          <xm:sqref>C545 C547</xm:sqref>
        </x14:dataValidation>
        <x14:dataValidation type="list" allowBlank="1" showInputMessage="1" showErrorMessage="1" prompt="One of: Human Deliberate, Human Accidental, Human Escaped, Lightning, Other Natural, Unknown" xr:uid="{1772FCAB-9D58-4637-A2E6-9CFE4FD69CAF}">
          <x14:formula1>
            <xm:f>'C:\Users\Admin\Documents\[fire db.xlsx]IGNORE Lookups'!#REF!</xm:f>
          </x14:formula1>
          <xm:sqref>C505 C507</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C939CFD0-90BC-4048-A3AE-B2BF6F731B0E}">
          <x14:formula1>
            <xm:f>'C:\Users\Admin\Documents\[fire db.xlsx]IGNORE Lookups'!#REF!</xm:f>
          </x14:formula1>
          <xm:sqref>D501:D502</xm:sqref>
        </x14:dataValidation>
        <x14:dataValidation type="list" allowBlank="1" showInputMessage="1" showErrorMessage="1" xr:uid="{70E3D955-520A-49D5-8784-BB42F3E24536}">
          <x14:formula1>
            <xm:f>'C:\home\james\OneDrive\Research\Projects\GlobalFireUseDatabase\Industrial Forestry\[AnthroFireDB_IndustrialForestry_2020-06-15.xlsx]IGNORE Lookups'!#REF!</xm:f>
          </x14:formula1>
          <xm:sqref>L504:L505 F501:F503 J501:J502 K504</xm:sqref>
        </x14:dataValidation>
        <x14:dataValidation type="list" allowBlank="1" showInputMessage="1" showErrorMessage="1" prompt="One of: pre-industrial, transition, Industrial, post-industrial" xr:uid="{7C202954-CF8B-4DCE-8768-08CC53B5678C}">
          <x14:formula1>
            <xm:f>'C:\home\james\OneDrive\Research\Projects\GlobalFireUseDatabase\Industrial Forestry\[AnthroFireDB_IndustrialForestry_2020-06-15.xlsx]IGNORE Lookups'!#REF!</xm:f>
          </x14:formula1>
          <xm:sqref>C508:C514 D508:D515</xm:sqref>
        </x14:dataValidation>
        <x14:dataValidation type="list" allowBlank="1" showInputMessage="1" showErrorMessage="1" prompt="See AFT table, page 1 of database protocol" xr:uid="{7E57EE22-DA9B-4FBD-8910-35B973A197BC}">
          <x14:formula1>
            <xm:f>'C:\home\james\OneDrive\Research\Projects\GlobalFireUseDatabase\Industrial Forestry\[AnthroFireDB_IndustrialForestry_2020-06-15.xlsx]IGNORE Lookups'!#REF!</xm:f>
          </x14:formula1>
          <xm:sqref>E509:E510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0628E-5222-4624-903F-4BFA8C061723}">
  <dimension ref="A1:W863"/>
  <sheetViews>
    <sheetView zoomScale="55" zoomScaleNormal="55" workbookViewId="0">
      <pane ySplit="1" topLeftCell="A857" activePane="bottomLeft" state="frozen"/>
      <selection pane="bottomLeft" activeCell="W863" sqref="W863"/>
    </sheetView>
  </sheetViews>
  <sheetFormatPr defaultRowHeight="14.5"/>
  <cols>
    <col min="1" max="1" width="20.54296875" customWidth="1"/>
    <col min="2" max="2" width="20.7265625" customWidth="1"/>
    <col min="3" max="3" width="21.453125" customWidth="1"/>
    <col min="4" max="4" width="22.54296875" customWidth="1"/>
    <col min="5" max="5" width="21.453125" customWidth="1"/>
    <col min="6" max="7" width="24.1796875" customWidth="1"/>
    <col min="8" max="8" width="25.36328125" style="60" customWidth="1"/>
    <col min="9" max="12" width="24.1796875" customWidth="1"/>
    <col min="13" max="13" width="23.54296875" customWidth="1"/>
    <col min="14" max="14" width="24.1796875" customWidth="1"/>
    <col min="15" max="15" width="26.453125" customWidth="1"/>
    <col min="16" max="16" width="27.7265625" customWidth="1"/>
    <col min="17" max="17" width="45.81640625" customWidth="1"/>
    <col min="18" max="18" width="23.7265625" customWidth="1"/>
    <col min="19" max="19" width="26" customWidth="1"/>
    <col min="20" max="20" width="26.54296875" customWidth="1"/>
    <col min="21" max="21" width="27.7265625" customWidth="1"/>
    <col min="22" max="22" width="43" customWidth="1"/>
    <col min="23" max="23" width="47.54296875" customWidth="1"/>
  </cols>
  <sheetData>
    <row r="1" spans="1:23" ht="72.5" customHeight="1" thickBot="1">
      <c r="A1" s="83" t="s">
        <v>2264</v>
      </c>
      <c r="B1" s="15" t="s">
        <v>1162</v>
      </c>
      <c r="C1" s="2" t="s">
        <v>7</v>
      </c>
      <c r="D1" s="2" t="s">
        <v>8</v>
      </c>
      <c r="E1" s="2" t="s">
        <v>2285</v>
      </c>
      <c r="F1" s="2" t="s">
        <v>119</v>
      </c>
      <c r="G1" s="2" t="s">
        <v>1086</v>
      </c>
      <c r="H1" s="15" t="s">
        <v>536</v>
      </c>
      <c r="I1" s="2" t="s">
        <v>605</v>
      </c>
      <c r="J1" s="15" t="s">
        <v>606</v>
      </c>
      <c r="K1" s="15" t="s">
        <v>607</v>
      </c>
      <c r="L1" s="15" t="s">
        <v>608</v>
      </c>
      <c r="M1" s="15" t="s">
        <v>525</v>
      </c>
      <c r="N1" s="15" t="s">
        <v>528</v>
      </c>
      <c r="O1" s="15" t="s">
        <v>529</v>
      </c>
      <c r="P1" s="15" t="s">
        <v>530</v>
      </c>
      <c r="Q1" s="15" t="s">
        <v>1252</v>
      </c>
      <c r="R1" s="2" t="s">
        <v>526</v>
      </c>
      <c r="S1" s="2" t="s">
        <v>531</v>
      </c>
      <c r="T1" s="2" t="s">
        <v>532</v>
      </c>
      <c r="U1" s="2" t="s">
        <v>533</v>
      </c>
      <c r="V1" s="15" t="s">
        <v>1251</v>
      </c>
      <c r="W1" s="16" t="s">
        <v>0</v>
      </c>
    </row>
    <row r="2" spans="1:23">
      <c r="A2" s="6" t="s">
        <v>15</v>
      </c>
      <c r="B2" s="6" t="s">
        <v>40</v>
      </c>
      <c r="C2" s="6" t="s">
        <v>24</v>
      </c>
      <c r="D2" s="6" t="s">
        <v>25</v>
      </c>
      <c r="E2" s="66"/>
      <c r="F2" s="6" t="s">
        <v>29</v>
      </c>
      <c r="G2" s="6"/>
      <c r="H2" s="6"/>
      <c r="I2" s="6" t="s">
        <v>2276</v>
      </c>
      <c r="J2" s="6" t="s">
        <v>2276</v>
      </c>
      <c r="K2" s="6" t="s">
        <v>2276</v>
      </c>
      <c r="L2" s="6" t="s">
        <v>2276</v>
      </c>
      <c r="M2" s="182" t="s">
        <v>534</v>
      </c>
      <c r="N2" s="6" t="s">
        <v>2276</v>
      </c>
      <c r="O2" s="6" t="s">
        <v>2276</v>
      </c>
      <c r="P2" s="6" t="s">
        <v>2276</v>
      </c>
      <c r="Q2" s="6">
        <v>2</v>
      </c>
      <c r="R2" s="6" t="s">
        <v>2276</v>
      </c>
      <c r="S2" s="6" t="s">
        <v>2276</v>
      </c>
      <c r="T2" s="6" t="s">
        <v>2276</v>
      </c>
      <c r="U2" s="6" t="s">
        <v>2276</v>
      </c>
      <c r="V2" s="47" t="s">
        <v>2276</v>
      </c>
      <c r="W2" s="5"/>
    </row>
    <row r="3" spans="1:23">
      <c r="A3" s="4" t="s">
        <v>15</v>
      </c>
      <c r="B3" s="4" t="s">
        <v>41</v>
      </c>
      <c r="C3" s="4" t="s">
        <v>24</v>
      </c>
      <c r="D3" s="4" t="s">
        <v>26</v>
      </c>
      <c r="E3" s="58"/>
      <c r="F3" s="4" t="s">
        <v>29</v>
      </c>
      <c r="G3" s="4"/>
      <c r="H3" s="4"/>
      <c r="I3" s="4" t="s">
        <v>2276</v>
      </c>
      <c r="J3" s="4" t="s">
        <v>2276</v>
      </c>
      <c r="K3" s="4" t="s">
        <v>2276</v>
      </c>
      <c r="L3" s="4" t="s">
        <v>2276</v>
      </c>
      <c r="M3" s="4" t="s">
        <v>537</v>
      </c>
      <c r="N3" s="4" t="s">
        <v>2276</v>
      </c>
      <c r="O3" s="4" t="s">
        <v>2276</v>
      </c>
      <c r="P3" s="4" t="s">
        <v>2276</v>
      </c>
      <c r="Q3" s="4">
        <v>1</v>
      </c>
      <c r="R3" s="4" t="s">
        <v>2276</v>
      </c>
      <c r="S3" s="4" t="s">
        <v>2276</v>
      </c>
      <c r="T3" s="4" t="s">
        <v>2276</v>
      </c>
      <c r="U3" s="4" t="s">
        <v>2276</v>
      </c>
      <c r="V3" s="48" t="s">
        <v>2276</v>
      </c>
      <c r="W3" s="3"/>
    </row>
    <row r="4" spans="1:23">
      <c r="A4" s="4" t="s">
        <v>15</v>
      </c>
      <c r="B4" s="4" t="s">
        <v>42</v>
      </c>
      <c r="C4" s="4" t="s">
        <v>24</v>
      </c>
      <c r="D4" s="4" t="s">
        <v>27</v>
      </c>
      <c r="E4" s="58"/>
      <c r="F4" s="4" t="s">
        <v>28</v>
      </c>
      <c r="G4" s="4"/>
      <c r="H4" s="4"/>
      <c r="I4" s="4" t="s">
        <v>2276</v>
      </c>
      <c r="J4" s="4" t="s">
        <v>2276</v>
      </c>
      <c r="K4" s="4" t="s">
        <v>2276</v>
      </c>
      <c r="L4" s="4" t="s">
        <v>2276</v>
      </c>
      <c r="M4" s="4" t="s">
        <v>2276</v>
      </c>
      <c r="N4" s="4" t="s">
        <v>2276</v>
      </c>
      <c r="O4" s="4" t="s">
        <v>2276</v>
      </c>
      <c r="P4" s="4" t="s">
        <v>2276</v>
      </c>
      <c r="Q4" s="4" t="s">
        <v>2276</v>
      </c>
      <c r="R4" s="4" t="s">
        <v>2276</v>
      </c>
      <c r="S4" s="4" t="s">
        <v>2276</v>
      </c>
      <c r="T4" s="4" t="s">
        <v>2276</v>
      </c>
      <c r="U4" s="4" t="s">
        <v>2276</v>
      </c>
      <c r="V4" s="48" t="s">
        <v>2276</v>
      </c>
      <c r="W4" s="3"/>
    </row>
    <row r="5" spans="1:23">
      <c r="A5" s="4" t="s">
        <v>15</v>
      </c>
      <c r="B5" s="4" t="s">
        <v>43</v>
      </c>
      <c r="C5" s="4" t="s">
        <v>31</v>
      </c>
      <c r="D5" s="4" t="s">
        <v>30</v>
      </c>
      <c r="E5" s="58"/>
      <c r="F5" s="4" t="s">
        <v>32</v>
      </c>
      <c r="G5" s="4"/>
      <c r="H5" s="4"/>
      <c r="I5" s="4" t="s">
        <v>2276</v>
      </c>
      <c r="J5" s="4" t="s">
        <v>2276</v>
      </c>
      <c r="K5" s="4" t="s">
        <v>2276</v>
      </c>
      <c r="L5" s="4" t="s">
        <v>2276</v>
      </c>
      <c r="M5" s="4" t="s">
        <v>2276</v>
      </c>
      <c r="N5" s="4" t="s">
        <v>2276</v>
      </c>
      <c r="O5" s="4" t="s">
        <v>2276</v>
      </c>
      <c r="P5" s="4" t="s">
        <v>2276</v>
      </c>
      <c r="Q5" s="4" t="s">
        <v>2276</v>
      </c>
      <c r="R5" s="4" t="s">
        <v>2276</v>
      </c>
      <c r="S5" s="4" t="s">
        <v>2276</v>
      </c>
      <c r="T5" s="4" t="s">
        <v>2276</v>
      </c>
      <c r="U5" s="4" t="s">
        <v>2276</v>
      </c>
      <c r="V5" s="48" t="s">
        <v>2276</v>
      </c>
      <c r="W5" s="3"/>
    </row>
    <row r="6" spans="1:23">
      <c r="A6" s="4" t="s">
        <v>15</v>
      </c>
      <c r="B6" s="4" t="s">
        <v>44</v>
      </c>
      <c r="C6" s="4" t="s">
        <v>24</v>
      </c>
      <c r="D6" s="4" t="s">
        <v>33</v>
      </c>
      <c r="E6" s="58"/>
      <c r="F6" s="4" t="s">
        <v>32</v>
      </c>
      <c r="G6" s="4"/>
      <c r="H6" s="4"/>
      <c r="I6" s="4" t="s">
        <v>2276</v>
      </c>
      <c r="J6" s="4" t="s">
        <v>2276</v>
      </c>
      <c r="K6" s="4" t="s">
        <v>2276</v>
      </c>
      <c r="L6" s="4" t="s">
        <v>2276</v>
      </c>
      <c r="M6" s="4" t="s">
        <v>2276</v>
      </c>
      <c r="N6" s="4" t="s">
        <v>2276</v>
      </c>
      <c r="O6" s="4" t="s">
        <v>2276</v>
      </c>
      <c r="P6" s="4" t="s">
        <v>2276</v>
      </c>
      <c r="Q6" s="4" t="s">
        <v>2276</v>
      </c>
      <c r="R6" s="4" t="s">
        <v>2276</v>
      </c>
      <c r="S6" s="4" t="s">
        <v>2276</v>
      </c>
      <c r="T6" s="4" t="s">
        <v>2276</v>
      </c>
      <c r="U6" s="4" t="s">
        <v>2276</v>
      </c>
      <c r="V6" s="48" t="s">
        <v>2276</v>
      </c>
      <c r="W6" s="3"/>
    </row>
    <row r="7" spans="1:23">
      <c r="A7" s="4" t="s">
        <v>15</v>
      </c>
      <c r="B7" s="4" t="s">
        <v>60</v>
      </c>
      <c r="C7" s="4" t="s">
        <v>24</v>
      </c>
      <c r="D7" s="4" t="s">
        <v>61</v>
      </c>
      <c r="E7" s="58"/>
      <c r="F7" s="4" t="s">
        <v>62</v>
      </c>
      <c r="G7" s="4"/>
      <c r="H7" s="4"/>
      <c r="I7" s="4" t="s">
        <v>2276</v>
      </c>
      <c r="J7" s="4" t="s">
        <v>2276</v>
      </c>
      <c r="K7" s="4" t="s">
        <v>2276</v>
      </c>
      <c r="L7" s="4" t="s">
        <v>2276</v>
      </c>
      <c r="M7" s="4" t="s">
        <v>2276</v>
      </c>
      <c r="N7" s="4" t="s">
        <v>2276</v>
      </c>
      <c r="O7" s="4" t="s">
        <v>2276</v>
      </c>
      <c r="P7" s="4" t="s">
        <v>2276</v>
      </c>
      <c r="Q7" s="4" t="s">
        <v>2276</v>
      </c>
      <c r="R7" s="4" t="s">
        <v>2276</v>
      </c>
      <c r="S7" s="4" t="s">
        <v>2276</v>
      </c>
      <c r="T7" s="4" t="s">
        <v>2276</v>
      </c>
      <c r="U7" s="4" t="s">
        <v>2276</v>
      </c>
      <c r="V7" s="48" t="s">
        <v>2276</v>
      </c>
      <c r="W7" s="3"/>
    </row>
    <row r="8" spans="1:23">
      <c r="A8" s="19" t="s">
        <v>16</v>
      </c>
      <c r="B8" s="19" t="s">
        <v>46</v>
      </c>
      <c r="C8" s="19" t="s">
        <v>24</v>
      </c>
      <c r="D8" s="19" t="s">
        <v>25</v>
      </c>
      <c r="E8" s="58"/>
      <c r="F8" s="19" t="s">
        <v>29</v>
      </c>
      <c r="G8" s="19"/>
      <c r="H8" s="19"/>
      <c r="I8" s="19" t="s">
        <v>2276</v>
      </c>
      <c r="J8" s="19" t="s">
        <v>2276</v>
      </c>
      <c r="K8" s="19" t="s">
        <v>2276</v>
      </c>
      <c r="L8" s="19" t="s">
        <v>2276</v>
      </c>
      <c r="M8" s="19" t="s">
        <v>2276</v>
      </c>
      <c r="N8" s="19" t="s">
        <v>2276</v>
      </c>
      <c r="O8" s="19" t="s">
        <v>2276</v>
      </c>
      <c r="P8" s="19" t="s">
        <v>2276</v>
      </c>
      <c r="Q8" s="19" t="s">
        <v>2276</v>
      </c>
      <c r="R8" s="19" t="s">
        <v>2276</v>
      </c>
      <c r="S8" s="19" t="s">
        <v>2276</v>
      </c>
      <c r="T8" s="19" t="s">
        <v>2276</v>
      </c>
      <c r="U8" s="19" t="s">
        <v>2276</v>
      </c>
      <c r="V8" s="49" t="s">
        <v>2276</v>
      </c>
      <c r="W8" s="3"/>
    </row>
    <row r="9" spans="1:23">
      <c r="A9" s="19" t="s">
        <v>17</v>
      </c>
      <c r="B9" s="19" t="s">
        <v>47</v>
      </c>
      <c r="C9" s="19" t="s">
        <v>24</v>
      </c>
      <c r="D9" s="19" t="s">
        <v>27</v>
      </c>
      <c r="E9" s="58"/>
      <c r="F9" s="19" t="s">
        <v>28</v>
      </c>
      <c r="G9" s="19"/>
      <c r="H9" s="19"/>
      <c r="I9" s="19" t="s">
        <v>2276</v>
      </c>
      <c r="J9" s="19" t="s">
        <v>2276</v>
      </c>
      <c r="K9" s="19" t="s">
        <v>2276</v>
      </c>
      <c r="L9" s="19" t="s">
        <v>2276</v>
      </c>
      <c r="M9" s="19" t="s">
        <v>2276</v>
      </c>
      <c r="N9" s="19" t="s">
        <v>2276</v>
      </c>
      <c r="O9" s="19" t="s">
        <v>2276</v>
      </c>
      <c r="P9" s="19" t="s">
        <v>2276</v>
      </c>
      <c r="Q9" s="19" t="s">
        <v>2276</v>
      </c>
      <c r="R9" s="19" t="s">
        <v>2276</v>
      </c>
      <c r="S9" s="19" t="s">
        <v>2276</v>
      </c>
      <c r="T9" s="19" t="s">
        <v>2276</v>
      </c>
      <c r="U9" s="19" t="s">
        <v>2276</v>
      </c>
      <c r="V9" s="49" t="s">
        <v>2276</v>
      </c>
      <c r="W9" s="3"/>
    </row>
    <row r="10" spans="1:23">
      <c r="A10" s="19" t="s">
        <v>18</v>
      </c>
      <c r="B10" s="19" t="s">
        <v>51</v>
      </c>
      <c r="C10" s="19" t="s">
        <v>24</v>
      </c>
      <c r="D10" s="19" t="s">
        <v>25</v>
      </c>
      <c r="E10" s="58"/>
      <c r="F10" s="19" t="s">
        <v>29</v>
      </c>
      <c r="G10" s="19"/>
      <c r="H10" s="19"/>
      <c r="I10" s="19" t="s">
        <v>2276</v>
      </c>
      <c r="J10" s="19" t="s">
        <v>2276</v>
      </c>
      <c r="K10" s="19" t="s">
        <v>2276</v>
      </c>
      <c r="L10" s="19" t="s">
        <v>2276</v>
      </c>
      <c r="M10" s="19" t="s">
        <v>2276</v>
      </c>
      <c r="N10" s="19" t="s">
        <v>2276</v>
      </c>
      <c r="O10" s="19" t="s">
        <v>2276</v>
      </c>
      <c r="P10" s="19" t="s">
        <v>2276</v>
      </c>
      <c r="Q10" s="19" t="s">
        <v>2276</v>
      </c>
      <c r="R10" s="19" t="s">
        <v>2276</v>
      </c>
      <c r="S10" s="19" t="s">
        <v>2276</v>
      </c>
      <c r="T10" s="19" t="s">
        <v>2276</v>
      </c>
      <c r="U10" s="19" t="s">
        <v>2276</v>
      </c>
      <c r="V10" s="49" t="s">
        <v>2276</v>
      </c>
      <c r="W10" s="3"/>
    </row>
    <row r="11" spans="1:23">
      <c r="A11" s="4" t="s">
        <v>19</v>
      </c>
      <c r="B11" s="4" t="s">
        <v>53</v>
      </c>
      <c r="C11" s="4" t="s">
        <v>24</v>
      </c>
      <c r="D11" s="4" t="s">
        <v>25</v>
      </c>
      <c r="E11" s="58"/>
      <c r="F11" s="4" t="s">
        <v>29</v>
      </c>
      <c r="G11" s="4"/>
      <c r="H11" s="4"/>
      <c r="I11" s="4" t="s">
        <v>2276</v>
      </c>
      <c r="J11" s="4" t="s">
        <v>2276</v>
      </c>
      <c r="K11" s="4" t="s">
        <v>2276</v>
      </c>
      <c r="L11" s="4" t="s">
        <v>2276</v>
      </c>
      <c r="M11" s="4" t="s">
        <v>2276</v>
      </c>
      <c r="N11" s="4" t="s">
        <v>2276</v>
      </c>
      <c r="O11" s="4" t="s">
        <v>2276</v>
      </c>
      <c r="P11" s="4" t="s">
        <v>2276</v>
      </c>
      <c r="Q11" s="4" t="s">
        <v>2276</v>
      </c>
      <c r="R11" s="4" t="s">
        <v>2276</v>
      </c>
      <c r="S11" s="4" t="s">
        <v>2276</v>
      </c>
      <c r="T11" s="4" t="s">
        <v>2276</v>
      </c>
      <c r="U11" s="4" t="s">
        <v>2276</v>
      </c>
      <c r="V11" s="48" t="s">
        <v>2276</v>
      </c>
      <c r="W11" s="3"/>
    </row>
    <row r="12" spans="1:23">
      <c r="A12" s="4" t="s">
        <v>19</v>
      </c>
      <c r="B12" s="4" t="s">
        <v>54</v>
      </c>
      <c r="C12" s="4" t="s">
        <v>24</v>
      </c>
      <c r="D12" s="4" t="s">
        <v>137</v>
      </c>
      <c r="E12" s="58"/>
      <c r="F12" s="4" t="s">
        <v>55</v>
      </c>
      <c r="G12" s="4"/>
      <c r="H12" s="4"/>
      <c r="I12" s="4" t="s">
        <v>2276</v>
      </c>
      <c r="J12" s="4" t="s">
        <v>2276</v>
      </c>
      <c r="K12" s="4" t="s">
        <v>2276</v>
      </c>
      <c r="L12" s="4" t="s">
        <v>2276</v>
      </c>
      <c r="M12" s="4" t="s">
        <v>2276</v>
      </c>
      <c r="N12" s="4" t="s">
        <v>2276</v>
      </c>
      <c r="O12" s="4" t="s">
        <v>2276</v>
      </c>
      <c r="P12" s="4" t="s">
        <v>2276</v>
      </c>
      <c r="Q12" s="4" t="s">
        <v>2276</v>
      </c>
      <c r="R12" s="4" t="s">
        <v>2276</v>
      </c>
      <c r="S12" s="4" t="s">
        <v>2276</v>
      </c>
      <c r="T12" s="4" t="s">
        <v>2276</v>
      </c>
      <c r="U12" s="4" t="s">
        <v>2276</v>
      </c>
      <c r="V12" s="48" t="s">
        <v>2276</v>
      </c>
      <c r="W12" s="3"/>
    </row>
    <row r="13" spans="1:23">
      <c r="A13" s="26" t="s">
        <v>71</v>
      </c>
      <c r="B13" s="26" t="s">
        <v>73</v>
      </c>
      <c r="C13" s="26" t="s">
        <v>24</v>
      </c>
      <c r="D13" s="26" t="s">
        <v>27</v>
      </c>
      <c r="E13" s="67"/>
      <c r="F13" s="26" t="s">
        <v>74</v>
      </c>
      <c r="G13" s="26"/>
      <c r="H13" s="26"/>
      <c r="I13" s="26" t="s">
        <v>2276</v>
      </c>
      <c r="J13" s="26" t="s">
        <v>2276</v>
      </c>
      <c r="K13" s="26" t="s">
        <v>2276</v>
      </c>
      <c r="L13" s="26" t="s">
        <v>2276</v>
      </c>
      <c r="M13" s="26" t="s">
        <v>2276</v>
      </c>
      <c r="N13" s="26" t="s">
        <v>2276</v>
      </c>
      <c r="O13" s="26" t="s">
        <v>2276</v>
      </c>
      <c r="P13" s="26" t="s">
        <v>2276</v>
      </c>
      <c r="Q13" s="26" t="s">
        <v>2276</v>
      </c>
      <c r="R13" s="26" t="s">
        <v>2276</v>
      </c>
      <c r="S13" s="26" t="s">
        <v>2276</v>
      </c>
      <c r="T13" s="26" t="s">
        <v>2276</v>
      </c>
      <c r="U13" s="26" t="s">
        <v>2276</v>
      </c>
      <c r="V13" s="50" t="s">
        <v>2276</v>
      </c>
      <c r="W13" s="3"/>
    </row>
    <row r="14" spans="1:23" ht="43.5">
      <c r="A14" s="3" t="s">
        <v>107</v>
      </c>
      <c r="B14" s="3" t="s">
        <v>110</v>
      </c>
      <c r="C14" s="26" t="s">
        <v>24</v>
      </c>
      <c r="D14" s="3" t="s">
        <v>2434</v>
      </c>
      <c r="E14" s="4" t="s">
        <v>396</v>
      </c>
      <c r="F14" s="3" t="s">
        <v>28</v>
      </c>
      <c r="G14" s="26"/>
      <c r="H14" s="26" t="s">
        <v>541</v>
      </c>
      <c r="I14" s="26" t="s">
        <v>2276</v>
      </c>
      <c r="J14" s="26" t="s">
        <v>2276</v>
      </c>
      <c r="K14" s="26" t="s">
        <v>2276</v>
      </c>
      <c r="L14" s="26" t="s">
        <v>2276</v>
      </c>
      <c r="M14" s="26" t="s">
        <v>2276</v>
      </c>
      <c r="N14" s="26" t="s">
        <v>2276</v>
      </c>
      <c r="O14" s="26" t="s">
        <v>2276</v>
      </c>
      <c r="P14" s="26" t="s">
        <v>2276</v>
      </c>
      <c r="Q14" s="26" t="s">
        <v>2276</v>
      </c>
      <c r="R14" s="26" t="s">
        <v>534</v>
      </c>
      <c r="S14" s="26" t="s">
        <v>2276</v>
      </c>
      <c r="T14" s="26" t="s">
        <v>2276</v>
      </c>
      <c r="U14" s="26" t="s">
        <v>2276</v>
      </c>
      <c r="V14" s="50">
        <v>2</v>
      </c>
      <c r="W14" s="4" t="s">
        <v>2435</v>
      </c>
    </row>
    <row r="15" spans="1:23" ht="43.5">
      <c r="A15" s="3" t="s">
        <v>1317</v>
      </c>
      <c r="B15" s="3" t="s">
        <v>1327</v>
      </c>
      <c r="C15" s="26" t="s">
        <v>24</v>
      </c>
      <c r="D15" s="3" t="s">
        <v>2434</v>
      </c>
      <c r="E15" s="4" t="s">
        <v>396</v>
      </c>
      <c r="F15" s="3" t="s">
        <v>28</v>
      </c>
      <c r="G15" s="26"/>
      <c r="H15" s="26" t="s">
        <v>541</v>
      </c>
      <c r="I15" s="26" t="s">
        <v>2276</v>
      </c>
      <c r="J15" s="26" t="s">
        <v>2276</v>
      </c>
      <c r="K15" s="26" t="s">
        <v>2276</v>
      </c>
      <c r="L15" s="26" t="s">
        <v>2276</v>
      </c>
      <c r="M15" s="26" t="s">
        <v>2276</v>
      </c>
      <c r="N15" s="26" t="s">
        <v>2276</v>
      </c>
      <c r="O15" s="26" t="s">
        <v>2276</v>
      </c>
      <c r="P15" s="26" t="s">
        <v>2276</v>
      </c>
      <c r="Q15" s="26" t="s">
        <v>2276</v>
      </c>
      <c r="R15" s="26" t="s">
        <v>534</v>
      </c>
      <c r="S15" s="26" t="s">
        <v>2276</v>
      </c>
      <c r="T15" s="26" t="s">
        <v>2276</v>
      </c>
      <c r="U15" s="26" t="s">
        <v>2276</v>
      </c>
      <c r="V15" s="50">
        <v>2</v>
      </c>
      <c r="W15" s="4" t="s">
        <v>2435</v>
      </c>
    </row>
    <row r="16" spans="1:23" ht="43.5">
      <c r="A16" s="3" t="s">
        <v>1318</v>
      </c>
      <c r="B16" s="3" t="s">
        <v>1340</v>
      </c>
      <c r="C16" s="26" t="s">
        <v>24</v>
      </c>
      <c r="D16" s="3" t="s">
        <v>2434</v>
      </c>
      <c r="E16" s="4" t="s">
        <v>396</v>
      </c>
      <c r="F16" s="3" t="s">
        <v>28</v>
      </c>
      <c r="G16" s="26"/>
      <c r="H16" s="26" t="s">
        <v>541</v>
      </c>
      <c r="I16" s="26" t="s">
        <v>2276</v>
      </c>
      <c r="J16" s="26" t="s">
        <v>2276</v>
      </c>
      <c r="K16" s="26" t="s">
        <v>2276</v>
      </c>
      <c r="L16" s="26" t="s">
        <v>2276</v>
      </c>
      <c r="M16" s="26" t="s">
        <v>2276</v>
      </c>
      <c r="N16" s="26" t="s">
        <v>2276</v>
      </c>
      <c r="O16" s="26" t="s">
        <v>2276</v>
      </c>
      <c r="P16" s="26" t="s">
        <v>2276</v>
      </c>
      <c r="Q16" s="26" t="s">
        <v>2276</v>
      </c>
      <c r="R16" s="26" t="s">
        <v>534</v>
      </c>
      <c r="S16" s="26" t="s">
        <v>2276</v>
      </c>
      <c r="T16" s="26" t="s">
        <v>2276</v>
      </c>
      <c r="U16" s="26" t="s">
        <v>2276</v>
      </c>
      <c r="V16" s="50">
        <v>2</v>
      </c>
      <c r="W16" s="4" t="s">
        <v>2435</v>
      </c>
    </row>
    <row r="17" spans="1:23" ht="43.5">
      <c r="A17" s="3" t="s">
        <v>1319</v>
      </c>
      <c r="B17" s="3" t="s">
        <v>1342</v>
      </c>
      <c r="C17" s="26" t="s">
        <v>24</v>
      </c>
      <c r="D17" s="3" t="s">
        <v>2434</v>
      </c>
      <c r="E17" s="4" t="s">
        <v>396</v>
      </c>
      <c r="F17" s="3" t="s">
        <v>28</v>
      </c>
      <c r="G17" s="26"/>
      <c r="H17" s="26" t="s">
        <v>541</v>
      </c>
      <c r="I17" s="26" t="s">
        <v>2276</v>
      </c>
      <c r="J17" s="26" t="s">
        <v>2276</v>
      </c>
      <c r="K17" s="26" t="s">
        <v>2276</v>
      </c>
      <c r="L17" s="26" t="s">
        <v>2276</v>
      </c>
      <c r="M17" s="26" t="s">
        <v>2276</v>
      </c>
      <c r="N17" s="26" t="s">
        <v>2276</v>
      </c>
      <c r="O17" s="26" t="s">
        <v>2276</v>
      </c>
      <c r="P17" s="26" t="s">
        <v>2276</v>
      </c>
      <c r="Q17" s="26" t="s">
        <v>2276</v>
      </c>
      <c r="R17" s="26" t="s">
        <v>534</v>
      </c>
      <c r="S17" s="26" t="s">
        <v>2276</v>
      </c>
      <c r="T17" s="26" t="s">
        <v>2276</v>
      </c>
      <c r="U17" s="26" t="s">
        <v>2276</v>
      </c>
      <c r="V17" s="50">
        <v>2</v>
      </c>
      <c r="W17" s="4" t="s">
        <v>2435</v>
      </c>
    </row>
    <row r="18" spans="1:23" ht="43.5">
      <c r="A18" s="3" t="s">
        <v>1320</v>
      </c>
      <c r="B18" s="3" t="s">
        <v>1344</v>
      </c>
      <c r="C18" s="26" t="s">
        <v>24</v>
      </c>
      <c r="D18" s="3" t="s">
        <v>2434</v>
      </c>
      <c r="E18" s="4" t="s">
        <v>396</v>
      </c>
      <c r="F18" s="3" t="s">
        <v>28</v>
      </c>
      <c r="G18" s="26"/>
      <c r="H18" s="26" t="s">
        <v>541</v>
      </c>
      <c r="I18" s="26" t="s">
        <v>2276</v>
      </c>
      <c r="J18" s="26" t="s">
        <v>2276</v>
      </c>
      <c r="K18" s="26" t="s">
        <v>2276</v>
      </c>
      <c r="L18" s="26" t="s">
        <v>2276</v>
      </c>
      <c r="M18" s="26" t="s">
        <v>2276</v>
      </c>
      <c r="N18" s="26" t="s">
        <v>2276</v>
      </c>
      <c r="O18" s="26" t="s">
        <v>2276</v>
      </c>
      <c r="P18" s="26" t="s">
        <v>2276</v>
      </c>
      <c r="Q18" s="26" t="s">
        <v>2276</v>
      </c>
      <c r="R18" s="26" t="s">
        <v>534</v>
      </c>
      <c r="S18" s="26" t="s">
        <v>2276</v>
      </c>
      <c r="T18" s="26" t="s">
        <v>2276</v>
      </c>
      <c r="U18" s="26" t="s">
        <v>2276</v>
      </c>
      <c r="V18" s="50">
        <v>2</v>
      </c>
      <c r="W18" s="4" t="s">
        <v>2435</v>
      </c>
    </row>
    <row r="19" spans="1:23" ht="43.5">
      <c r="A19" s="3" t="s">
        <v>1321</v>
      </c>
      <c r="B19" s="3" t="s">
        <v>1346</v>
      </c>
      <c r="C19" s="26" t="s">
        <v>24</v>
      </c>
      <c r="D19" s="3" t="s">
        <v>2434</v>
      </c>
      <c r="E19" s="4" t="s">
        <v>396</v>
      </c>
      <c r="F19" s="3" t="s">
        <v>28</v>
      </c>
      <c r="G19" s="26"/>
      <c r="H19" s="26" t="s">
        <v>541</v>
      </c>
      <c r="I19" s="26" t="s">
        <v>2276</v>
      </c>
      <c r="J19" s="26" t="s">
        <v>2276</v>
      </c>
      <c r="K19" s="26" t="s">
        <v>2276</v>
      </c>
      <c r="L19" s="26" t="s">
        <v>2276</v>
      </c>
      <c r="M19" s="26" t="s">
        <v>2276</v>
      </c>
      <c r="N19" s="26" t="s">
        <v>2276</v>
      </c>
      <c r="O19" s="26" t="s">
        <v>2276</v>
      </c>
      <c r="P19" s="26" t="s">
        <v>2276</v>
      </c>
      <c r="Q19" s="26" t="s">
        <v>2276</v>
      </c>
      <c r="R19" s="26" t="s">
        <v>534</v>
      </c>
      <c r="S19" s="26" t="s">
        <v>2276</v>
      </c>
      <c r="T19" s="26" t="s">
        <v>2276</v>
      </c>
      <c r="U19" s="26" t="s">
        <v>2276</v>
      </c>
      <c r="V19" s="50">
        <v>2</v>
      </c>
      <c r="W19" s="4" t="s">
        <v>2435</v>
      </c>
    </row>
    <row r="20" spans="1:23" ht="43.5">
      <c r="A20" s="3" t="s">
        <v>1322</v>
      </c>
      <c r="B20" s="3" t="s">
        <v>1348</v>
      </c>
      <c r="C20" s="26" t="s">
        <v>24</v>
      </c>
      <c r="D20" s="3" t="s">
        <v>2434</v>
      </c>
      <c r="E20" s="4" t="s">
        <v>396</v>
      </c>
      <c r="F20" s="3" t="s">
        <v>28</v>
      </c>
      <c r="G20" s="26"/>
      <c r="H20" s="26" t="s">
        <v>541</v>
      </c>
      <c r="I20" s="26" t="s">
        <v>2276</v>
      </c>
      <c r="J20" s="26" t="s">
        <v>2276</v>
      </c>
      <c r="K20" s="26" t="s">
        <v>2276</v>
      </c>
      <c r="L20" s="26" t="s">
        <v>2276</v>
      </c>
      <c r="M20" s="26" t="s">
        <v>2276</v>
      </c>
      <c r="N20" s="26" t="s">
        <v>2276</v>
      </c>
      <c r="O20" s="26" t="s">
        <v>2276</v>
      </c>
      <c r="P20" s="26" t="s">
        <v>2276</v>
      </c>
      <c r="Q20" s="26" t="s">
        <v>2276</v>
      </c>
      <c r="R20" s="26" t="s">
        <v>534</v>
      </c>
      <c r="S20" s="26" t="s">
        <v>2276</v>
      </c>
      <c r="T20" s="26" t="s">
        <v>2276</v>
      </c>
      <c r="U20" s="26" t="s">
        <v>2276</v>
      </c>
      <c r="V20" s="50">
        <v>2</v>
      </c>
      <c r="W20" s="4" t="s">
        <v>2435</v>
      </c>
    </row>
    <row r="21" spans="1:23" ht="43.5">
      <c r="A21" s="3" t="s">
        <v>1323</v>
      </c>
      <c r="B21" s="3" t="s">
        <v>1350</v>
      </c>
      <c r="C21" s="26" t="s">
        <v>24</v>
      </c>
      <c r="D21" s="3" t="s">
        <v>2434</v>
      </c>
      <c r="E21" s="4" t="s">
        <v>396</v>
      </c>
      <c r="F21" s="3" t="s">
        <v>28</v>
      </c>
      <c r="G21" s="26"/>
      <c r="H21" s="26" t="s">
        <v>541</v>
      </c>
      <c r="I21" s="26" t="s">
        <v>2276</v>
      </c>
      <c r="J21" s="26" t="s">
        <v>2276</v>
      </c>
      <c r="K21" s="26" t="s">
        <v>2276</v>
      </c>
      <c r="L21" s="26" t="s">
        <v>2276</v>
      </c>
      <c r="M21" s="26" t="s">
        <v>2276</v>
      </c>
      <c r="N21" s="26" t="s">
        <v>2276</v>
      </c>
      <c r="O21" s="26" t="s">
        <v>2276</v>
      </c>
      <c r="P21" s="26" t="s">
        <v>2276</v>
      </c>
      <c r="Q21" s="26" t="s">
        <v>2276</v>
      </c>
      <c r="R21" s="26" t="s">
        <v>534</v>
      </c>
      <c r="S21" s="26" t="s">
        <v>2276</v>
      </c>
      <c r="T21" s="26" t="s">
        <v>2276</v>
      </c>
      <c r="U21" s="26" t="s">
        <v>2276</v>
      </c>
      <c r="V21" s="50">
        <v>2</v>
      </c>
      <c r="W21" s="4" t="s">
        <v>2435</v>
      </c>
    </row>
    <row r="22" spans="1:23" ht="43.5">
      <c r="A22" s="3" t="s">
        <v>1324</v>
      </c>
      <c r="B22" s="3" t="s">
        <v>1352</v>
      </c>
      <c r="C22" s="26" t="s">
        <v>24</v>
      </c>
      <c r="D22" s="3" t="s">
        <v>2434</v>
      </c>
      <c r="E22" s="4" t="s">
        <v>396</v>
      </c>
      <c r="F22" s="3" t="s">
        <v>28</v>
      </c>
      <c r="G22" s="26"/>
      <c r="H22" s="26" t="s">
        <v>541</v>
      </c>
      <c r="I22" s="26" t="s">
        <v>2276</v>
      </c>
      <c r="J22" s="26" t="s">
        <v>2276</v>
      </c>
      <c r="K22" s="26" t="s">
        <v>2276</v>
      </c>
      <c r="L22" s="26" t="s">
        <v>2276</v>
      </c>
      <c r="M22" s="26" t="s">
        <v>2276</v>
      </c>
      <c r="N22" s="26" t="s">
        <v>2276</v>
      </c>
      <c r="O22" s="26" t="s">
        <v>2276</v>
      </c>
      <c r="P22" s="26" t="s">
        <v>2276</v>
      </c>
      <c r="Q22" s="26" t="s">
        <v>2276</v>
      </c>
      <c r="R22" s="26" t="s">
        <v>534</v>
      </c>
      <c r="S22" s="26" t="s">
        <v>2276</v>
      </c>
      <c r="T22" s="26" t="s">
        <v>2276</v>
      </c>
      <c r="U22" s="26" t="s">
        <v>2276</v>
      </c>
      <c r="V22" s="50">
        <v>2</v>
      </c>
      <c r="W22" s="4" t="s">
        <v>2435</v>
      </c>
    </row>
    <row r="23" spans="1:23" ht="43.5">
      <c r="A23" s="3" t="s">
        <v>1325</v>
      </c>
      <c r="B23" s="3" t="s">
        <v>1354</v>
      </c>
      <c r="C23" s="26" t="s">
        <v>24</v>
      </c>
      <c r="D23" s="3" t="s">
        <v>2434</v>
      </c>
      <c r="E23" s="4" t="s">
        <v>396</v>
      </c>
      <c r="F23" s="3" t="s">
        <v>28</v>
      </c>
      <c r="G23" s="26"/>
      <c r="H23" s="26" t="s">
        <v>541</v>
      </c>
      <c r="I23" s="26" t="s">
        <v>2276</v>
      </c>
      <c r="J23" s="26" t="s">
        <v>2276</v>
      </c>
      <c r="K23" s="26" t="s">
        <v>2276</v>
      </c>
      <c r="L23" s="26" t="s">
        <v>2276</v>
      </c>
      <c r="M23" s="26" t="s">
        <v>2276</v>
      </c>
      <c r="N23" s="26" t="s">
        <v>2276</v>
      </c>
      <c r="O23" s="26" t="s">
        <v>2276</v>
      </c>
      <c r="P23" s="26" t="s">
        <v>2276</v>
      </c>
      <c r="Q23" s="26" t="s">
        <v>2276</v>
      </c>
      <c r="R23" s="26" t="s">
        <v>534</v>
      </c>
      <c r="S23" s="26" t="s">
        <v>2276</v>
      </c>
      <c r="T23" s="26" t="s">
        <v>2276</v>
      </c>
      <c r="U23" s="26" t="s">
        <v>2276</v>
      </c>
      <c r="V23" s="50">
        <v>2</v>
      </c>
      <c r="W23" s="4" t="s">
        <v>2435</v>
      </c>
    </row>
    <row r="24" spans="1:23" ht="43.5">
      <c r="A24" s="3" t="s">
        <v>1326</v>
      </c>
      <c r="B24" s="3" t="s">
        <v>1356</v>
      </c>
      <c r="C24" s="26" t="s">
        <v>24</v>
      </c>
      <c r="D24" s="3" t="s">
        <v>2434</v>
      </c>
      <c r="E24" s="4" t="s">
        <v>396</v>
      </c>
      <c r="F24" s="3" t="s">
        <v>28</v>
      </c>
      <c r="G24" s="26"/>
      <c r="H24" s="26" t="s">
        <v>541</v>
      </c>
      <c r="I24" s="26" t="s">
        <v>2276</v>
      </c>
      <c r="J24" s="26" t="s">
        <v>2276</v>
      </c>
      <c r="K24" s="26" t="s">
        <v>2276</v>
      </c>
      <c r="L24" s="26" t="s">
        <v>2276</v>
      </c>
      <c r="M24" s="26" t="s">
        <v>2276</v>
      </c>
      <c r="N24" s="26" t="s">
        <v>2276</v>
      </c>
      <c r="O24" s="26" t="s">
        <v>2276</v>
      </c>
      <c r="P24" s="26" t="s">
        <v>2276</v>
      </c>
      <c r="Q24" s="26" t="s">
        <v>2276</v>
      </c>
      <c r="R24" s="26" t="s">
        <v>534</v>
      </c>
      <c r="S24" s="26" t="s">
        <v>2276</v>
      </c>
      <c r="T24" s="26" t="s">
        <v>2276</v>
      </c>
      <c r="U24" s="26" t="s">
        <v>2276</v>
      </c>
      <c r="V24" s="50">
        <v>2</v>
      </c>
      <c r="W24" s="4" t="s">
        <v>2435</v>
      </c>
    </row>
    <row r="25" spans="1:23" ht="43.5">
      <c r="A25" s="3" t="s">
        <v>1361</v>
      </c>
      <c r="B25" s="3" t="s">
        <v>1363</v>
      </c>
      <c r="C25" s="26" t="s">
        <v>24</v>
      </c>
      <c r="D25" s="3" t="s">
        <v>2434</v>
      </c>
      <c r="E25" s="3" t="s">
        <v>396</v>
      </c>
      <c r="F25" s="3" t="s">
        <v>28</v>
      </c>
      <c r="G25" s="26"/>
      <c r="H25" s="26" t="s">
        <v>541</v>
      </c>
      <c r="I25" s="26" t="s">
        <v>2276</v>
      </c>
      <c r="J25" s="26" t="s">
        <v>2276</v>
      </c>
      <c r="K25" s="26" t="s">
        <v>2276</v>
      </c>
      <c r="L25" s="26" t="s">
        <v>2276</v>
      </c>
      <c r="M25" s="26" t="s">
        <v>2276</v>
      </c>
      <c r="N25" s="26" t="s">
        <v>2276</v>
      </c>
      <c r="O25" s="26" t="s">
        <v>2276</v>
      </c>
      <c r="P25" s="26" t="s">
        <v>2276</v>
      </c>
      <c r="Q25" s="26" t="s">
        <v>2276</v>
      </c>
      <c r="R25" s="26" t="s">
        <v>534</v>
      </c>
      <c r="S25" s="26" t="s">
        <v>2276</v>
      </c>
      <c r="T25" s="26" t="s">
        <v>2276</v>
      </c>
      <c r="U25" s="26" t="s">
        <v>2276</v>
      </c>
      <c r="V25" s="50">
        <v>2</v>
      </c>
      <c r="W25" s="4" t="s">
        <v>2435</v>
      </c>
    </row>
    <row r="26" spans="1:23" ht="24" customHeight="1">
      <c r="A26" s="23" t="s">
        <v>123</v>
      </c>
      <c r="B26" s="23" t="s">
        <v>124</v>
      </c>
      <c r="C26" s="23" t="s">
        <v>24</v>
      </c>
      <c r="D26" s="23" t="s">
        <v>27</v>
      </c>
      <c r="E26" s="3" t="s">
        <v>130</v>
      </c>
      <c r="F26" s="23" t="s">
        <v>74</v>
      </c>
      <c r="G26" s="23"/>
      <c r="H26" s="26" t="s">
        <v>543</v>
      </c>
      <c r="I26" s="23" t="s">
        <v>2276</v>
      </c>
      <c r="J26" s="23" t="s">
        <v>2276</v>
      </c>
      <c r="K26" s="23" t="s">
        <v>2276</v>
      </c>
      <c r="L26" s="23" t="s">
        <v>2276</v>
      </c>
      <c r="M26" s="23" t="s">
        <v>2728</v>
      </c>
      <c r="N26" s="23" t="s">
        <v>2276</v>
      </c>
      <c r="O26" s="23" t="s">
        <v>534</v>
      </c>
      <c r="P26" s="23" t="s">
        <v>2276</v>
      </c>
      <c r="Q26" s="23">
        <v>2</v>
      </c>
      <c r="R26" s="23" t="s">
        <v>2276</v>
      </c>
      <c r="S26" s="23" t="s">
        <v>2276</v>
      </c>
      <c r="T26" s="23" t="s">
        <v>2276</v>
      </c>
      <c r="U26" s="23" t="s">
        <v>2276</v>
      </c>
      <c r="V26" s="51" t="s">
        <v>2276</v>
      </c>
      <c r="W26" s="3" t="s">
        <v>5029</v>
      </c>
    </row>
    <row r="27" spans="1:23" ht="20.5" customHeight="1">
      <c r="A27" s="23" t="s">
        <v>123</v>
      </c>
      <c r="B27" s="23" t="s">
        <v>125</v>
      </c>
      <c r="C27" s="23" t="s">
        <v>24</v>
      </c>
      <c r="D27" s="23" t="s">
        <v>27</v>
      </c>
      <c r="E27" s="3" t="s">
        <v>130</v>
      </c>
      <c r="F27" s="23" t="s">
        <v>160</v>
      </c>
      <c r="G27" s="23"/>
      <c r="H27" s="26" t="s">
        <v>543</v>
      </c>
      <c r="I27" s="23" t="s">
        <v>2276</v>
      </c>
      <c r="J27" s="23" t="s">
        <v>2276</v>
      </c>
      <c r="K27" s="23" t="s">
        <v>2276</v>
      </c>
      <c r="L27" s="23" t="s">
        <v>2276</v>
      </c>
      <c r="M27" s="23" t="s">
        <v>2728</v>
      </c>
      <c r="N27" s="23" t="s">
        <v>2276</v>
      </c>
      <c r="O27" s="23" t="s">
        <v>534</v>
      </c>
      <c r="P27" s="23" t="s">
        <v>2276</v>
      </c>
      <c r="Q27" s="23">
        <v>2</v>
      </c>
      <c r="R27" s="23" t="s">
        <v>2276</v>
      </c>
      <c r="S27" s="23" t="s">
        <v>2276</v>
      </c>
      <c r="T27" s="23" t="s">
        <v>2276</v>
      </c>
      <c r="U27" s="23" t="s">
        <v>2276</v>
      </c>
      <c r="V27" s="51" t="s">
        <v>2276</v>
      </c>
      <c r="W27" s="3" t="s">
        <v>5029</v>
      </c>
    </row>
    <row r="28" spans="1:23" ht="20.5" customHeight="1">
      <c r="A28" s="23" t="s">
        <v>162</v>
      </c>
      <c r="B28" s="23" t="s">
        <v>167</v>
      </c>
      <c r="C28" s="23" t="s">
        <v>24</v>
      </c>
      <c r="D28" s="23" t="s">
        <v>143</v>
      </c>
      <c r="E28" s="23" t="s">
        <v>84</v>
      </c>
      <c r="F28" s="23" t="s">
        <v>74</v>
      </c>
      <c r="G28" s="23">
        <v>2002</v>
      </c>
      <c r="H28" s="26" t="s">
        <v>541</v>
      </c>
      <c r="I28" s="23" t="s">
        <v>2276</v>
      </c>
      <c r="J28" s="23" t="s">
        <v>2276</v>
      </c>
      <c r="K28" s="23" t="s">
        <v>2276</v>
      </c>
      <c r="L28" s="23" t="s">
        <v>2276</v>
      </c>
      <c r="M28" s="23" t="s">
        <v>2276</v>
      </c>
      <c r="N28" s="23" t="s">
        <v>2276</v>
      </c>
      <c r="O28" s="23" t="s">
        <v>2276</v>
      </c>
      <c r="P28" s="23" t="s">
        <v>2276</v>
      </c>
      <c r="Q28" s="23" t="s">
        <v>2276</v>
      </c>
      <c r="R28" s="23" t="s">
        <v>534</v>
      </c>
      <c r="S28" s="23" t="s">
        <v>2276</v>
      </c>
      <c r="T28" s="23" t="s">
        <v>534</v>
      </c>
      <c r="U28" s="23" t="s">
        <v>2276</v>
      </c>
      <c r="V28" s="23">
        <v>2</v>
      </c>
      <c r="W28" s="3"/>
    </row>
    <row r="29" spans="1:23" ht="20.5" customHeight="1">
      <c r="A29" s="23" t="s">
        <v>162</v>
      </c>
      <c r="B29" s="23" t="s">
        <v>169</v>
      </c>
      <c r="C29" s="23" t="s">
        <v>24</v>
      </c>
      <c r="D29" s="23" t="s">
        <v>143</v>
      </c>
      <c r="E29" s="23" t="s">
        <v>84</v>
      </c>
      <c r="F29" s="23" t="s">
        <v>74</v>
      </c>
      <c r="G29" s="23">
        <v>2003</v>
      </c>
      <c r="H29" s="26" t="s">
        <v>541</v>
      </c>
      <c r="I29" s="23" t="s">
        <v>2276</v>
      </c>
      <c r="J29" s="23" t="s">
        <v>2276</v>
      </c>
      <c r="K29" s="23" t="s">
        <v>2276</v>
      </c>
      <c r="L29" s="23" t="s">
        <v>2276</v>
      </c>
      <c r="M29" s="23" t="s">
        <v>2276</v>
      </c>
      <c r="N29" s="23" t="s">
        <v>2276</v>
      </c>
      <c r="O29" s="23" t="s">
        <v>2276</v>
      </c>
      <c r="P29" s="23" t="s">
        <v>2276</v>
      </c>
      <c r="Q29" s="23" t="s">
        <v>2276</v>
      </c>
      <c r="R29" s="23" t="s">
        <v>534</v>
      </c>
      <c r="S29" s="23" t="s">
        <v>2276</v>
      </c>
      <c r="T29" s="23" t="s">
        <v>534</v>
      </c>
      <c r="U29" s="23" t="s">
        <v>2276</v>
      </c>
      <c r="V29" s="23">
        <v>2</v>
      </c>
      <c r="W29" s="4"/>
    </row>
    <row r="30" spans="1:23" ht="20.5" customHeight="1">
      <c r="A30" s="23" t="s">
        <v>162</v>
      </c>
      <c r="B30" s="23" t="s">
        <v>170</v>
      </c>
      <c r="C30" s="23" t="s">
        <v>24</v>
      </c>
      <c r="D30" s="23" t="s">
        <v>143</v>
      </c>
      <c r="E30" s="23" t="s">
        <v>84</v>
      </c>
      <c r="F30" s="23" t="s">
        <v>74</v>
      </c>
      <c r="G30" s="23">
        <v>2004</v>
      </c>
      <c r="H30" s="26" t="s">
        <v>541</v>
      </c>
      <c r="I30" s="23" t="s">
        <v>2276</v>
      </c>
      <c r="J30" s="23" t="s">
        <v>2276</v>
      </c>
      <c r="K30" s="23" t="s">
        <v>2276</v>
      </c>
      <c r="L30" s="23" t="s">
        <v>2276</v>
      </c>
      <c r="M30" s="23" t="s">
        <v>2276</v>
      </c>
      <c r="N30" s="23" t="s">
        <v>2276</v>
      </c>
      <c r="O30" s="23" t="s">
        <v>2276</v>
      </c>
      <c r="P30" s="23" t="s">
        <v>2276</v>
      </c>
      <c r="Q30" s="23" t="s">
        <v>2276</v>
      </c>
      <c r="R30" s="23" t="s">
        <v>534</v>
      </c>
      <c r="S30" s="23" t="s">
        <v>2276</v>
      </c>
      <c r="T30" s="23" t="s">
        <v>534</v>
      </c>
      <c r="U30" s="23" t="s">
        <v>2276</v>
      </c>
      <c r="V30" s="23">
        <v>2</v>
      </c>
      <c r="W30" s="4"/>
    </row>
    <row r="31" spans="1:23" ht="69.5" customHeight="1">
      <c r="A31" s="23" t="s">
        <v>162</v>
      </c>
      <c r="B31" s="23" t="s">
        <v>1390</v>
      </c>
      <c r="C31" s="23" t="s">
        <v>24</v>
      </c>
      <c r="D31" s="23" t="s">
        <v>143</v>
      </c>
      <c r="E31" s="23" t="s">
        <v>84</v>
      </c>
      <c r="F31" s="23" t="s">
        <v>74</v>
      </c>
      <c r="G31" s="23">
        <v>2005</v>
      </c>
      <c r="H31" s="26" t="s">
        <v>541</v>
      </c>
      <c r="I31" s="23" t="s">
        <v>2276</v>
      </c>
      <c r="J31" s="23" t="s">
        <v>2276</v>
      </c>
      <c r="K31" s="23" t="s">
        <v>2276</v>
      </c>
      <c r="L31" s="23" t="s">
        <v>2276</v>
      </c>
      <c r="M31" s="23" t="s">
        <v>2276</v>
      </c>
      <c r="N31" s="23" t="s">
        <v>2276</v>
      </c>
      <c r="O31" s="23" t="s">
        <v>2276</v>
      </c>
      <c r="P31" s="23" t="s">
        <v>2276</v>
      </c>
      <c r="Q31" s="23" t="s">
        <v>2276</v>
      </c>
      <c r="R31" s="23" t="s">
        <v>534</v>
      </c>
      <c r="S31" s="23" t="s">
        <v>2276</v>
      </c>
      <c r="T31" s="23" t="s">
        <v>534</v>
      </c>
      <c r="U31" s="23" t="s">
        <v>2276</v>
      </c>
      <c r="V31" s="23">
        <v>4</v>
      </c>
      <c r="W31" s="4" t="s">
        <v>1456</v>
      </c>
    </row>
    <row r="32" spans="1:23" ht="54.5" customHeight="1">
      <c r="A32" s="23" t="s">
        <v>162</v>
      </c>
      <c r="B32" s="23" t="s">
        <v>1391</v>
      </c>
      <c r="C32" s="23" t="s">
        <v>24</v>
      </c>
      <c r="D32" s="23" t="s">
        <v>143</v>
      </c>
      <c r="E32" s="23" t="s">
        <v>84</v>
      </c>
      <c r="F32" s="23" t="s">
        <v>74</v>
      </c>
      <c r="G32" s="23">
        <v>2006</v>
      </c>
      <c r="H32" s="26" t="s">
        <v>541</v>
      </c>
      <c r="I32" s="23" t="s">
        <v>2276</v>
      </c>
      <c r="J32" s="23" t="s">
        <v>2276</v>
      </c>
      <c r="K32" s="23" t="s">
        <v>2276</v>
      </c>
      <c r="L32" s="23" t="s">
        <v>2276</v>
      </c>
      <c r="M32" s="23" t="s">
        <v>2276</v>
      </c>
      <c r="N32" s="23" t="s">
        <v>2276</v>
      </c>
      <c r="O32" s="23" t="s">
        <v>2276</v>
      </c>
      <c r="P32" s="23" t="s">
        <v>2276</v>
      </c>
      <c r="Q32" s="23" t="s">
        <v>2276</v>
      </c>
      <c r="R32" s="23" t="s">
        <v>534</v>
      </c>
      <c r="S32" s="23" t="s">
        <v>2276</v>
      </c>
      <c r="T32" s="23" t="s">
        <v>534</v>
      </c>
      <c r="U32" s="23" t="s">
        <v>2276</v>
      </c>
      <c r="V32" s="23">
        <v>4</v>
      </c>
      <c r="W32" s="4" t="s">
        <v>1457</v>
      </c>
    </row>
    <row r="33" spans="1:23" ht="50.5" customHeight="1">
      <c r="A33" s="23" t="s">
        <v>162</v>
      </c>
      <c r="B33" s="23" t="s">
        <v>1392</v>
      </c>
      <c r="C33" s="23" t="s">
        <v>24</v>
      </c>
      <c r="D33" s="23" t="s">
        <v>143</v>
      </c>
      <c r="E33" s="23" t="s">
        <v>84</v>
      </c>
      <c r="F33" s="23" t="s">
        <v>74</v>
      </c>
      <c r="G33" s="23">
        <v>2007</v>
      </c>
      <c r="H33" s="26" t="s">
        <v>541</v>
      </c>
      <c r="I33" s="23" t="s">
        <v>2276</v>
      </c>
      <c r="J33" s="23" t="s">
        <v>2276</v>
      </c>
      <c r="K33" s="23" t="s">
        <v>2276</v>
      </c>
      <c r="L33" s="23" t="s">
        <v>2276</v>
      </c>
      <c r="M33" s="23" t="s">
        <v>2276</v>
      </c>
      <c r="N33" s="23" t="s">
        <v>2276</v>
      </c>
      <c r="O33" s="23" t="s">
        <v>2276</v>
      </c>
      <c r="P33" s="23" t="s">
        <v>2276</v>
      </c>
      <c r="Q33" s="23" t="s">
        <v>2276</v>
      </c>
      <c r="R33" s="23" t="s">
        <v>534</v>
      </c>
      <c r="S33" s="23" t="s">
        <v>2276</v>
      </c>
      <c r="T33" s="23" t="s">
        <v>534</v>
      </c>
      <c r="U33" s="23" t="s">
        <v>2276</v>
      </c>
      <c r="V33" s="23">
        <v>4</v>
      </c>
      <c r="W33" s="4" t="s">
        <v>1457</v>
      </c>
    </row>
    <row r="34" spans="1:23" ht="54.5" customHeight="1">
      <c r="A34" s="23" t="s">
        <v>162</v>
      </c>
      <c r="B34" s="23" t="s">
        <v>1393</v>
      </c>
      <c r="C34" s="23" t="s">
        <v>24</v>
      </c>
      <c r="D34" s="23" t="s">
        <v>143</v>
      </c>
      <c r="E34" s="23" t="s">
        <v>84</v>
      </c>
      <c r="F34" s="23" t="s">
        <v>74</v>
      </c>
      <c r="G34" s="23">
        <v>2008</v>
      </c>
      <c r="H34" s="26" t="s">
        <v>541</v>
      </c>
      <c r="I34" s="23" t="s">
        <v>2276</v>
      </c>
      <c r="J34" s="23" t="s">
        <v>2276</v>
      </c>
      <c r="K34" s="23" t="s">
        <v>2276</v>
      </c>
      <c r="L34" s="23" t="s">
        <v>2276</v>
      </c>
      <c r="M34" s="23" t="s">
        <v>2276</v>
      </c>
      <c r="N34" s="23" t="s">
        <v>2276</v>
      </c>
      <c r="O34" s="23" t="s">
        <v>2276</v>
      </c>
      <c r="P34" s="23" t="s">
        <v>2276</v>
      </c>
      <c r="Q34" s="23" t="s">
        <v>2276</v>
      </c>
      <c r="R34" s="23" t="s">
        <v>534</v>
      </c>
      <c r="S34" s="23" t="s">
        <v>2276</v>
      </c>
      <c r="T34" s="23" t="s">
        <v>534</v>
      </c>
      <c r="U34" s="23" t="s">
        <v>2276</v>
      </c>
      <c r="V34" s="23">
        <v>4</v>
      </c>
      <c r="W34" s="4" t="s">
        <v>1457</v>
      </c>
    </row>
    <row r="35" spans="1:23" ht="59.5" customHeight="1">
      <c r="A35" s="23" t="s">
        <v>162</v>
      </c>
      <c r="B35" s="23" t="s">
        <v>1394</v>
      </c>
      <c r="C35" s="23" t="s">
        <v>24</v>
      </c>
      <c r="D35" s="23" t="s">
        <v>143</v>
      </c>
      <c r="E35" s="23" t="s">
        <v>84</v>
      </c>
      <c r="F35" s="23" t="s">
        <v>74</v>
      </c>
      <c r="G35" s="23">
        <v>2009</v>
      </c>
      <c r="H35" s="26" t="s">
        <v>541</v>
      </c>
      <c r="I35" s="23" t="s">
        <v>2276</v>
      </c>
      <c r="J35" s="23" t="s">
        <v>2276</v>
      </c>
      <c r="K35" s="23" t="s">
        <v>2276</v>
      </c>
      <c r="L35" s="23" t="s">
        <v>2276</v>
      </c>
      <c r="M35" s="23" t="s">
        <v>2276</v>
      </c>
      <c r="N35" s="23" t="s">
        <v>2276</v>
      </c>
      <c r="O35" s="23" t="s">
        <v>2276</v>
      </c>
      <c r="P35" s="23" t="s">
        <v>2276</v>
      </c>
      <c r="Q35" s="23" t="s">
        <v>2276</v>
      </c>
      <c r="R35" s="23" t="s">
        <v>534</v>
      </c>
      <c r="S35" s="23" t="s">
        <v>2276</v>
      </c>
      <c r="T35" s="23" t="s">
        <v>534</v>
      </c>
      <c r="U35" s="23" t="s">
        <v>2276</v>
      </c>
      <c r="V35" s="23">
        <v>4</v>
      </c>
      <c r="W35" s="4" t="s">
        <v>1457</v>
      </c>
    </row>
    <row r="36" spans="1:23" ht="59.5" customHeight="1">
      <c r="A36" s="23" t="s">
        <v>162</v>
      </c>
      <c r="B36" s="23" t="s">
        <v>1395</v>
      </c>
      <c r="C36" s="23" t="s">
        <v>24</v>
      </c>
      <c r="D36" s="23" t="s">
        <v>143</v>
      </c>
      <c r="E36" s="23" t="s">
        <v>84</v>
      </c>
      <c r="F36" s="23" t="s">
        <v>74</v>
      </c>
      <c r="G36" s="23">
        <v>2010</v>
      </c>
      <c r="H36" s="26" t="s">
        <v>541</v>
      </c>
      <c r="I36" s="23" t="s">
        <v>2276</v>
      </c>
      <c r="J36" s="23" t="s">
        <v>2276</v>
      </c>
      <c r="K36" s="23" t="s">
        <v>2276</v>
      </c>
      <c r="L36" s="23" t="s">
        <v>2276</v>
      </c>
      <c r="M36" s="23" t="s">
        <v>2276</v>
      </c>
      <c r="N36" s="23" t="s">
        <v>2276</v>
      </c>
      <c r="O36" s="23" t="s">
        <v>2276</v>
      </c>
      <c r="P36" s="23" t="s">
        <v>2276</v>
      </c>
      <c r="Q36" s="23" t="s">
        <v>2276</v>
      </c>
      <c r="R36" s="23" t="s">
        <v>534</v>
      </c>
      <c r="S36" s="23" t="s">
        <v>2276</v>
      </c>
      <c r="T36" s="23" t="s">
        <v>534</v>
      </c>
      <c r="U36" s="23" t="s">
        <v>2276</v>
      </c>
      <c r="V36" s="23">
        <v>4</v>
      </c>
      <c r="W36" s="4" t="s">
        <v>1457</v>
      </c>
    </row>
    <row r="37" spans="1:23" ht="58.5" customHeight="1">
      <c r="A37" s="23" t="s">
        <v>162</v>
      </c>
      <c r="B37" s="23" t="s">
        <v>1396</v>
      </c>
      <c r="C37" s="23" t="s">
        <v>24</v>
      </c>
      <c r="D37" s="23" t="s">
        <v>143</v>
      </c>
      <c r="E37" s="23" t="s">
        <v>84</v>
      </c>
      <c r="F37" s="23" t="s">
        <v>74</v>
      </c>
      <c r="G37" s="23">
        <v>2011</v>
      </c>
      <c r="H37" s="26" t="s">
        <v>541</v>
      </c>
      <c r="I37" s="23" t="s">
        <v>2276</v>
      </c>
      <c r="J37" s="23" t="s">
        <v>2276</v>
      </c>
      <c r="K37" s="23" t="s">
        <v>2276</v>
      </c>
      <c r="L37" s="23" t="s">
        <v>2276</v>
      </c>
      <c r="M37" s="23" t="s">
        <v>2276</v>
      </c>
      <c r="N37" s="23" t="s">
        <v>2276</v>
      </c>
      <c r="O37" s="23" t="s">
        <v>2276</v>
      </c>
      <c r="P37" s="23" t="s">
        <v>2276</v>
      </c>
      <c r="Q37" s="23" t="s">
        <v>2276</v>
      </c>
      <c r="R37" s="23" t="s">
        <v>534</v>
      </c>
      <c r="S37" s="23" t="s">
        <v>2276</v>
      </c>
      <c r="T37" s="23" t="s">
        <v>534</v>
      </c>
      <c r="U37" s="23" t="s">
        <v>2276</v>
      </c>
      <c r="V37" s="23">
        <v>4</v>
      </c>
      <c r="W37" s="4" t="s">
        <v>1458</v>
      </c>
    </row>
    <row r="38" spans="1:23" ht="52" customHeight="1">
      <c r="A38" s="23" t="s">
        <v>162</v>
      </c>
      <c r="B38" s="23" t="s">
        <v>1397</v>
      </c>
      <c r="C38" s="23" t="s">
        <v>24</v>
      </c>
      <c r="D38" s="23" t="s">
        <v>143</v>
      </c>
      <c r="E38" s="23" t="s">
        <v>84</v>
      </c>
      <c r="F38" s="23" t="s">
        <v>74</v>
      </c>
      <c r="G38" s="23">
        <v>2012</v>
      </c>
      <c r="H38" s="26" t="s">
        <v>541</v>
      </c>
      <c r="I38" s="23" t="s">
        <v>2276</v>
      </c>
      <c r="J38" s="23" t="s">
        <v>2276</v>
      </c>
      <c r="K38" s="23" t="s">
        <v>2276</v>
      </c>
      <c r="L38" s="23" t="s">
        <v>2276</v>
      </c>
      <c r="M38" s="23" t="s">
        <v>2276</v>
      </c>
      <c r="N38" s="23" t="s">
        <v>2276</v>
      </c>
      <c r="O38" s="23" t="s">
        <v>2276</v>
      </c>
      <c r="P38" s="23" t="s">
        <v>2276</v>
      </c>
      <c r="Q38" s="23" t="s">
        <v>2276</v>
      </c>
      <c r="R38" s="23" t="s">
        <v>534</v>
      </c>
      <c r="S38" s="23" t="s">
        <v>2276</v>
      </c>
      <c r="T38" s="23" t="s">
        <v>534</v>
      </c>
      <c r="U38" s="23" t="s">
        <v>2276</v>
      </c>
      <c r="V38" s="23">
        <v>4</v>
      </c>
      <c r="W38" s="4" t="s">
        <v>1458</v>
      </c>
    </row>
    <row r="39" spans="1:23" ht="50.5" customHeight="1">
      <c r="A39" s="23" t="s">
        <v>162</v>
      </c>
      <c r="B39" s="23" t="s">
        <v>1399</v>
      </c>
      <c r="C39" s="23" t="s">
        <v>24</v>
      </c>
      <c r="D39" s="23" t="s">
        <v>143</v>
      </c>
      <c r="E39" s="26" t="s">
        <v>45</v>
      </c>
      <c r="F39" s="23" t="s">
        <v>74</v>
      </c>
      <c r="G39" s="23">
        <v>2002</v>
      </c>
      <c r="H39" s="26" t="s">
        <v>541</v>
      </c>
      <c r="I39" s="23" t="s">
        <v>2276</v>
      </c>
      <c r="J39" s="23" t="s">
        <v>2276</v>
      </c>
      <c r="K39" s="23" t="s">
        <v>2276</v>
      </c>
      <c r="L39" s="23" t="s">
        <v>2276</v>
      </c>
      <c r="M39" s="23" t="s">
        <v>2276</v>
      </c>
      <c r="N39" s="23" t="s">
        <v>2276</v>
      </c>
      <c r="O39" s="23" t="s">
        <v>2276</v>
      </c>
      <c r="P39" s="23" t="s">
        <v>2276</v>
      </c>
      <c r="Q39" s="23" t="s">
        <v>2276</v>
      </c>
      <c r="R39" s="23" t="s">
        <v>534</v>
      </c>
      <c r="S39" s="23" t="s">
        <v>2276</v>
      </c>
      <c r="T39" s="23" t="s">
        <v>534</v>
      </c>
      <c r="U39" s="23" t="s">
        <v>2276</v>
      </c>
      <c r="V39" s="23">
        <v>2</v>
      </c>
      <c r="W39" s="4" t="s">
        <v>1473</v>
      </c>
    </row>
    <row r="40" spans="1:23" ht="50.5" customHeight="1">
      <c r="A40" s="23" t="s">
        <v>162</v>
      </c>
      <c r="B40" s="23" t="s">
        <v>1400</v>
      </c>
      <c r="C40" s="23" t="s">
        <v>24</v>
      </c>
      <c r="D40" s="23" t="s">
        <v>143</v>
      </c>
      <c r="E40" s="26" t="s">
        <v>45</v>
      </c>
      <c r="F40" s="23" t="s">
        <v>74</v>
      </c>
      <c r="G40" s="23">
        <v>2003</v>
      </c>
      <c r="H40" s="26" t="s">
        <v>541</v>
      </c>
      <c r="I40" s="23" t="s">
        <v>2276</v>
      </c>
      <c r="J40" s="23" t="s">
        <v>2276</v>
      </c>
      <c r="K40" s="23" t="s">
        <v>2276</v>
      </c>
      <c r="L40" s="23" t="s">
        <v>2276</v>
      </c>
      <c r="M40" s="23" t="s">
        <v>2276</v>
      </c>
      <c r="N40" s="23" t="s">
        <v>2276</v>
      </c>
      <c r="O40" s="23" t="s">
        <v>2276</v>
      </c>
      <c r="P40" s="23" t="s">
        <v>2276</v>
      </c>
      <c r="Q40" s="23" t="s">
        <v>2276</v>
      </c>
      <c r="R40" s="23" t="s">
        <v>534</v>
      </c>
      <c r="S40" s="23" t="s">
        <v>2276</v>
      </c>
      <c r="T40" s="23" t="s">
        <v>534</v>
      </c>
      <c r="U40" s="23" t="s">
        <v>2276</v>
      </c>
      <c r="V40" s="23">
        <v>2</v>
      </c>
      <c r="W40" s="4" t="s">
        <v>1473</v>
      </c>
    </row>
    <row r="41" spans="1:23" ht="50.5" customHeight="1">
      <c r="A41" s="23" t="s">
        <v>162</v>
      </c>
      <c r="B41" s="23" t="s">
        <v>1401</v>
      </c>
      <c r="C41" s="23" t="s">
        <v>24</v>
      </c>
      <c r="D41" s="23" t="s">
        <v>143</v>
      </c>
      <c r="E41" s="26" t="s">
        <v>45</v>
      </c>
      <c r="F41" s="23" t="s">
        <v>74</v>
      </c>
      <c r="G41" s="23">
        <v>2004</v>
      </c>
      <c r="H41" s="26" t="s">
        <v>541</v>
      </c>
      <c r="I41" s="23" t="s">
        <v>2276</v>
      </c>
      <c r="J41" s="23" t="s">
        <v>2276</v>
      </c>
      <c r="K41" s="23" t="s">
        <v>2276</v>
      </c>
      <c r="L41" s="23" t="s">
        <v>2276</v>
      </c>
      <c r="M41" s="23" t="s">
        <v>2276</v>
      </c>
      <c r="N41" s="23" t="s">
        <v>2276</v>
      </c>
      <c r="O41" s="23" t="s">
        <v>2276</v>
      </c>
      <c r="P41" s="23" t="s">
        <v>2276</v>
      </c>
      <c r="Q41" s="23" t="s">
        <v>2276</v>
      </c>
      <c r="R41" s="23" t="s">
        <v>534</v>
      </c>
      <c r="S41" s="23" t="s">
        <v>2276</v>
      </c>
      <c r="T41" s="23" t="s">
        <v>534</v>
      </c>
      <c r="U41" s="23" t="s">
        <v>2276</v>
      </c>
      <c r="V41" s="23">
        <v>2</v>
      </c>
      <c r="W41" s="4" t="s">
        <v>1473</v>
      </c>
    </row>
    <row r="42" spans="1:23" ht="50.5" customHeight="1">
      <c r="A42" s="23" t="s">
        <v>162</v>
      </c>
      <c r="B42" s="23" t="s">
        <v>1402</v>
      </c>
      <c r="C42" s="23" t="s">
        <v>24</v>
      </c>
      <c r="D42" s="23" t="s">
        <v>143</v>
      </c>
      <c r="E42" s="26" t="s">
        <v>45</v>
      </c>
      <c r="F42" s="23" t="s">
        <v>74</v>
      </c>
      <c r="G42" s="23">
        <v>2005</v>
      </c>
      <c r="H42" s="26" t="s">
        <v>541</v>
      </c>
      <c r="I42" s="23" t="s">
        <v>2276</v>
      </c>
      <c r="J42" s="23" t="s">
        <v>2276</v>
      </c>
      <c r="K42" s="23" t="s">
        <v>2276</v>
      </c>
      <c r="L42" s="23" t="s">
        <v>2276</v>
      </c>
      <c r="M42" s="23" t="s">
        <v>2276</v>
      </c>
      <c r="N42" s="23" t="s">
        <v>2276</v>
      </c>
      <c r="O42" s="23" t="s">
        <v>2276</v>
      </c>
      <c r="P42" s="23" t="s">
        <v>2276</v>
      </c>
      <c r="Q42" s="23" t="s">
        <v>2276</v>
      </c>
      <c r="R42" s="23" t="s">
        <v>534</v>
      </c>
      <c r="S42" s="23" t="s">
        <v>2276</v>
      </c>
      <c r="T42" s="23" t="s">
        <v>534</v>
      </c>
      <c r="U42" s="23" t="s">
        <v>2276</v>
      </c>
      <c r="V42" s="23">
        <v>2</v>
      </c>
      <c r="W42" s="4" t="s">
        <v>1473</v>
      </c>
    </row>
    <row r="43" spans="1:23" ht="50.5" customHeight="1">
      <c r="A43" s="23" t="s">
        <v>162</v>
      </c>
      <c r="B43" s="23" t="s">
        <v>1403</v>
      </c>
      <c r="C43" s="23" t="s">
        <v>24</v>
      </c>
      <c r="D43" s="23" t="s">
        <v>143</v>
      </c>
      <c r="E43" s="26" t="s">
        <v>45</v>
      </c>
      <c r="F43" s="23" t="s">
        <v>74</v>
      </c>
      <c r="G43" s="23">
        <v>2006</v>
      </c>
      <c r="H43" s="26" t="s">
        <v>541</v>
      </c>
      <c r="I43" s="23" t="s">
        <v>2276</v>
      </c>
      <c r="J43" s="23" t="s">
        <v>2276</v>
      </c>
      <c r="K43" s="23" t="s">
        <v>2276</v>
      </c>
      <c r="L43" s="23" t="s">
        <v>2276</v>
      </c>
      <c r="M43" s="23" t="s">
        <v>2276</v>
      </c>
      <c r="N43" s="23" t="s">
        <v>2276</v>
      </c>
      <c r="O43" s="23" t="s">
        <v>2276</v>
      </c>
      <c r="P43" s="23" t="s">
        <v>2276</v>
      </c>
      <c r="Q43" s="23" t="s">
        <v>2276</v>
      </c>
      <c r="R43" s="23" t="s">
        <v>534</v>
      </c>
      <c r="S43" s="23" t="s">
        <v>2276</v>
      </c>
      <c r="T43" s="23" t="s">
        <v>534</v>
      </c>
      <c r="U43" s="23" t="s">
        <v>2276</v>
      </c>
      <c r="V43" s="23">
        <v>2</v>
      </c>
      <c r="W43" s="4" t="s">
        <v>1473</v>
      </c>
    </row>
    <row r="44" spans="1:23" ht="50.5" customHeight="1">
      <c r="A44" s="23" t="s">
        <v>162</v>
      </c>
      <c r="B44" s="23" t="s">
        <v>1404</v>
      </c>
      <c r="C44" s="23" t="s">
        <v>24</v>
      </c>
      <c r="D44" s="23" t="s">
        <v>143</v>
      </c>
      <c r="E44" s="26" t="s">
        <v>45</v>
      </c>
      <c r="F44" s="23" t="s">
        <v>74</v>
      </c>
      <c r="G44" s="23">
        <v>2007</v>
      </c>
      <c r="H44" s="26" t="s">
        <v>541</v>
      </c>
      <c r="I44" s="23" t="s">
        <v>2276</v>
      </c>
      <c r="J44" s="23" t="s">
        <v>2276</v>
      </c>
      <c r="K44" s="23" t="s">
        <v>2276</v>
      </c>
      <c r="L44" s="23" t="s">
        <v>2276</v>
      </c>
      <c r="M44" s="23" t="s">
        <v>2276</v>
      </c>
      <c r="N44" s="23" t="s">
        <v>2276</v>
      </c>
      <c r="O44" s="23" t="s">
        <v>2276</v>
      </c>
      <c r="P44" s="23" t="s">
        <v>2276</v>
      </c>
      <c r="Q44" s="23" t="s">
        <v>2276</v>
      </c>
      <c r="R44" s="23" t="s">
        <v>534</v>
      </c>
      <c r="S44" s="23" t="s">
        <v>2276</v>
      </c>
      <c r="T44" s="23" t="s">
        <v>534</v>
      </c>
      <c r="U44" s="23" t="s">
        <v>2276</v>
      </c>
      <c r="V44" s="23">
        <v>2</v>
      </c>
      <c r="W44" s="4" t="s">
        <v>1473</v>
      </c>
    </row>
    <row r="45" spans="1:23" ht="50.5" customHeight="1">
      <c r="A45" s="23" t="s">
        <v>162</v>
      </c>
      <c r="B45" s="23" t="s">
        <v>1405</v>
      </c>
      <c r="C45" s="23" t="s">
        <v>24</v>
      </c>
      <c r="D45" s="23" t="s">
        <v>143</v>
      </c>
      <c r="E45" s="26" t="s">
        <v>45</v>
      </c>
      <c r="F45" s="23" t="s">
        <v>74</v>
      </c>
      <c r="G45" s="23">
        <v>2008</v>
      </c>
      <c r="H45" s="26" t="s">
        <v>541</v>
      </c>
      <c r="I45" s="23" t="s">
        <v>2276</v>
      </c>
      <c r="J45" s="23" t="s">
        <v>2276</v>
      </c>
      <c r="K45" s="23" t="s">
        <v>2276</v>
      </c>
      <c r="L45" s="23" t="s">
        <v>2276</v>
      </c>
      <c r="M45" s="23" t="s">
        <v>2276</v>
      </c>
      <c r="N45" s="23" t="s">
        <v>2276</v>
      </c>
      <c r="O45" s="23" t="s">
        <v>2276</v>
      </c>
      <c r="P45" s="23" t="s">
        <v>2276</v>
      </c>
      <c r="Q45" s="23" t="s">
        <v>2276</v>
      </c>
      <c r="R45" s="23" t="s">
        <v>534</v>
      </c>
      <c r="S45" s="23" t="s">
        <v>2276</v>
      </c>
      <c r="T45" s="23" t="s">
        <v>534</v>
      </c>
      <c r="U45" s="23" t="s">
        <v>2276</v>
      </c>
      <c r="V45" s="23">
        <v>2</v>
      </c>
      <c r="W45" s="4" t="s">
        <v>1473</v>
      </c>
    </row>
    <row r="46" spans="1:23" ht="50.5" customHeight="1">
      <c r="A46" s="23" t="s">
        <v>162</v>
      </c>
      <c r="B46" s="23" t="s">
        <v>1406</v>
      </c>
      <c r="C46" s="23" t="s">
        <v>24</v>
      </c>
      <c r="D46" s="23" t="s">
        <v>143</v>
      </c>
      <c r="E46" s="26" t="s">
        <v>45</v>
      </c>
      <c r="F46" s="23" t="s">
        <v>74</v>
      </c>
      <c r="G46" s="23">
        <v>2009</v>
      </c>
      <c r="H46" s="26" t="s">
        <v>541</v>
      </c>
      <c r="I46" s="23" t="s">
        <v>2276</v>
      </c>
      <c r="J46" s="23" t="s">
        <v>2276</v>
      </c>
      <c r="K46" s="23" t="s">
        <v>2276</v>
      </c>
      <c r="L46" s="23" t="s">
        <v>2276</v>
      </c>
      <c r="M46" s="23" t="s">
        <v>2276</v>
      </c>
      <c r="N46" s="23" t="s">
        <v>2276</v>
      </c>
      <c r="O46" s="23" t="s">
        <v>2276</v>
      </c>
      <c r="P46" s="23" t="s">
        <v>2276</v>
      </c>
      <c r="Q46" s="23" t="s">
        <v>2276</v>
      </c>
      <c r="R46" s="23" t="s">
        <v>534</v>
      </c>
      <c r="S46" s="23" t="s">
        <v>2276</v>
      </c>
      <c r="T46" s="23" t="s">
        <v>534</v>
      </c>
      <c r="U46" s="23" t="s">
        <v>2276</v>
      </c>
      <c r="V46" s="23">
        <v>2</v>
      </c>
      <c r="W46" s="4" t="s">
        <v>1473</v>
      </c>
    </row>
    <row r="47" spans="1:23" ht="50.5" customHeight="1">
      <c r="A47" s="23" t="s">
        <v>162</v>
      </c>
      <c r="B47" s="23" t="s">
        <v>1407</v>
      </c>
      <c r="C47" s="23" t="s">
        <v>24</v>
      </c>
      <c r="D47" s="23" t="s">
        <v>143</v>
      </c>
      <c r="E47" s="26" t="s">
        <v>45</v>
      </c>
      <c r="F47" s="23" t="s">
        <v>74</v>
      </c>
      <c r="G47" s="23">
        <v>2010</v>
      </c>
      <c r="H47" s="26" t="s">
        <v>541</v>
      </c>
      <c r="I47" s="23" t="s">
        <v>2276</v>
      </c>
      <c r="J47" s="23" t="s">
        <v>2276</v>
      </c>
      <c r="K47" s="23" t="s">
        <v>2276</v>
      </c>
      <c r="L47" s="23" t="s">
        <v>2276</v>
      </c>
      <c r="M47" s="23" t="s">
        <v>2276</v>
      </c>
      <c r="N47" s="23" t="s">
        <v>2276</v>
      </c>
      <c r="O47" s="23" t="s">
        <v>2276</v>
      </c>
      <c r="P47" s="23" t="s">
        <v>2276</v>
      </c>
      <c r="Q47" s="23" t="s">
        <v>2276</v>
      </c>
      <c r="R47" s="23" t="s">
        <v>534</v>
      </c>
      <c r="S47" s="23" t="s">
        <v>2276</v>
      </c>
      <c r="T47" s="23" t="s">
        <v>534</v>
      </c>
      <c r="U47" s="23" t="s">
        <v>2276</v>
      </c>
      <c r="V47" s="23">
        <v>2</v>
      </c>
      <c r="W47" s="4" t="s">
        <v>1473</v>
      </c>
    </row>
    <row r="48" spans="1:23" ht="50.5" customHeight="1">
      <c r="A48" s="23" t="s">
        <v>162</v>
      </c>
      <c r="B48" s="23" t="s">
        <v>1408</v>
      </c>
      <c r="C48" s="23" t="s">
        <v>24</v>
      </c>
      <c r="D48" s="23" t="s">
        <v>143</v>
      </c>
      <c r="E48" s="26" t="s">
        <v>45</v>
      </c>
      <c r="F48" s="23" t="s">
        <v>74</v>
      </c>
      <c r="G48" s="23">
        <v>2011</v>
      </c>
      <c r="H48" s="26" t="s">
        <v>541</v>
      </c>
      <c r="I48" s="23" t="s">
        <v>2276</v>
      </c>
      <c r="J48" s="23" t="s">
        <v>2276</v>
      </c>
      <c r="K48" s="23" t="s">
        <v>2276</v>
      </c>
      <c r="L48" s="23" t="s">
        <v>2276</v>
      </c>
      <c r="M48" s="23" t="s">
        <v>2276</v>
      </c>
      <c r="N48" s="23" t="s">
        <v>2276</v>
      </c>
      <c r="O48" s="23" t="s">
        <v>2276</v>
      </c>
      <c r="P48" s="23" t="s">
        <v>2276</v>
      </c>
      <c r="Q48" s="23" t="s">
        <v>2276</v>
      </c>
      <c r="R48" s="23" t="s">
        <v>534</v>
      </c>
      <c r="S48" s="23" t="s">
        <v>2276</v>
      </c>
      <c r="T48" s="23" t="s">
        <v>534</v>
      </c>
      <c r="U48" s="23" t="s">
        <v>2276</v>
      </c>
      <c r="V48" s="23">
        <v>2</v>
      </c>
      <c r="W48" s="4" t="s">
        <v>1473</v>
      </c>
    </row>
    <row r="49" spans="1:23" ht="50.5" customHeight="1">
      <c r="A49" s="23" t="s">
        <v>162</v>
      </c>
      <c r="B49" s="23" t="s">
        <v>1409</v>
      </c>
      <c r="C49" s="23" t="s">
        <v>24</v>
      </c>
      <c r="D49" s="23" t="s">
        <v>143</v>
      </c>
      <c r="E49" s="26" t="s">
        <v>45</v>
      </c>
      <c r="F49" s="23" t="s">
        <v>74</v>
      </c>
      <c r="G49" s="23">
        <v>2012</v>
      </c>
      <c r="H49" s="26" t="s">
        <v>541</v>
      </c>
      <c r="I49" s="23" t="s">
        <v>2276</v>
      </c>
      <c r="J49" s="23" t="s">
        <v>2276</v>
      </c>
      <c r="K49" s="23" t="s">
        <v>2276</v>
      </c>
      <c r="L49" s="23" t="s">
        <v>2276</v>
      </c>
      <c r="M49" s="23" t="s">
        <v>2276</v>
      </c>
      <c r="N49" s="23" t="s">
        <v>2276</v>
      </c>
      <c r="O49" s="23" t="s">
        <v>2276</v>
      </c>
      <c r="P49" s="23" t="s">
        <v>2276</v>
      </c>
      <c r="Q49" s="23" t="s">
        <v>2276</v>
      </c>
      <c r="R49" s="23" t="s">
        <v>534</v>
      </c>
      <c r="S49" s="23" t="s">
        <v>2276</v>
      </c>
      <c r="T49" s="23" t="s">
        <v>534</v>
      </c>
      <c r="U49" s="23" t="s">
        <v>2276</v>
      </c>
      <c r="V49" s="23">
        <v>2</v>
      </c>
      <c r="W49" s="4" t="s">
        <v>1473</v>
      </c>
    </row>
    <row r="50" spans="1:23" ht="50.5" customHeight="1">
      <c r="A50" s="23" t="s">
        <v>162</v>
      </c>
      <c r="B50" s="23" t="s">
        <v>1423</v>
      </c>
      <c r="C50" s="23" t="s">
        <v>24</v>
      </c>
      <c r="D50" s="23" t="s">
        <v>143</v>
      </c>
      <c r="E50" s="26" t="s">
        <v>396</v>
      </c>
      <c r="F50" s="23" t="s">
        <v>74</v>
      </c>
      <c r="G50" s="23">
        <v>2002</v>
      </c>
      <c r="H50" s="26" t="s">
        <v>541</v>
      </c>
      <c r="I50" s="23" t="s">
        <v>2276</v>
      </c>
      <c r="J50" s="23" t="s">
        <v>2276</v>
      </c>
      <c r="K50" s="23" t="s">
        <v>2276</v>
      </c>
      <c r="L50" s="23" t="s">
        <v>2276</v>
      </c>
      <c r="M50" s="23" t="s">
        <v>2276</v>
      </c>
      <c r="N50" s="23" t="s">
        <v>2276</v>
      </c>
      <c r="O50" s="23" t="s">
        <v>2276</v>
      </c>
      <c r="P50" s="23" t="s">
        <v>2276</v>
      </c>
      <c r="Q50" s="23" t="s">
        <v>2276</v>
      </c>
      <c r="R50" s="23" t="s">
        <v>534</v>
      </c>
      <c r="S50" s="23" t="s">
        <v>2276</v>
      </c>
      <c r="T50" s="23" t="s">
        <v>534</v>
      </c>
      <c r="U50" s="23" t="s">
        <v>2276</v>
      </c>
      <c r="V50" s="23">
        <v>2</v>
      </c>
      <c r="W50" s="4" t="s">
        <v>1473</v>
      </c>
    </row>
    <row r="51" spans="1:23" ht="50.5" customHeight="1">
      <c r="A51" s="23" t="s">
        <v>162</v>
      </c>
      <c r="B51" s="23" t="s">
        <v>1424</v>
      </c>
      <c r="C51" s="23" t="s">
        <v>24</v>
      </c>
      <c r="D51" s="23" t="s">
        <v>143</v>
      </c>
      <c r="E51" s="26" t="s">
        <v>396</v>
      </c>
      <c r="F51" s="23" t="s">
        <v>74</v>
      </c>
      <c r="G51" s="23">
        <v>2003</v>
      </c>
      <c r="H51" s="26" t="s">
        <v>541</v>
      </c>
      <c r="I51" s="23" t="s">
        <v>2276</v>
      </c>
      <c r="J51" s="23" t="s">
        <v>2276</v>
      </c>
      <c r="K51" s="23" t="s">
        <v>2276</v>
      </c>
      <c r="L51" s="23" t="s">
        <v>2276</v>
      </c>
      <c r="M51" s="23" t="s">
        <v>2276</v>
      </c>
      <c r="N51" s="23" t="s">
        <v>2276</v>
      </c>
      <c r="O51" s="23" t="s">
        <v>2276</v>
      </c>
      <c r="P51" s="23" t="s">
        <v>2276</v>
      </c>
      <c r="Q51" s="23" t="s">
        <v>2276</v>
      </c>
      <c r="R51" s="23" t="s">
        <v>534</v>
      </c>
      <c r="S51" s="23" t="s">
        <v>2276</v>
      </c>
      <c r="T51" s="23" t="s">
        <v>534</v>
      </c>
      <c r="U51" s="23" t="s">
        <v>2276</v>
      </c>
      <c r="V51" s="23">
        <v>2</v>
      </c>
      <c r="W51" s="4" t="s">
        <v>1473</v>
      </c>
    </row>
    <row r="52" spans="1:23" ht="50.5" customHeight="1">
      <c r="A52" s="23" t="s">
        <v>162</v>
      </c>
      <c r="B52" s="23" t="s">
        <v>1425</v>
      </c>
      <c r="C52" s="23" t="s">
        <v>24</v>
      </c>
      <c r="D52" s="23" t="s">
        <v>143</v>
      </c>
      <c r="E52" s="26" t="s">
        <v>396</v>
      </c>
      <c r="F52" s="23" t="s">
        <v>74</v>
      </c>
      <c r="G52" s="23">
        <v>2004</v>
      </c>
      <c r="H52" s="26" t="s">
        <v>541</v>
      </c>
      <c r="I52" s="23" t="s">
        <v>2276</v>
      </c>
      <c r="J52" s="23" t="s">
        <v>2276</v>
      </c>
      <c r="K52" s="23" t="s">
        <v>2276</v>
      </c>
      <c r="L52" s="23" t="s">
        <v>2276</v>
      </c>
      <c r="M52" s="23" t="s">
        <v>2276</v>
      </c>
      <c r="N52" s="23" t="s">
        <v>2276</v>
      </c>
      <c r="O52" s="23" t="s">
        <v>2276</v>
      </c>
      <c r="P52" s="23" t="s">
        <v>2276</v>
      </c>
      <c r="Q52" s="23" t="s">
        <v>2276</v>
      </c>
      <c r="R52" s="23" t="s">
        <v>534</v>
      </c>
      <c r="S52" s="23" t="s">
        <v>2276</v>
      </c>
      <c r="T52" s="23" t="s">
        <v>534</v>
      </c>
      <c r="U52" s="23" t="s">
        <v>2276</v>
      </c>
      <c r="V52" s="23">
        <v>2</v>
      </c>
      <c r="W52" s="4" t="s">
        <v>1473</v>
      </c>
    </row>
    <row r="53" spans="1:23" ht="50.5" customHeight="1">
      <c r="A53" s="23" t="s">
        <v>162</v>
      </c>
      <c r="B53" s="23" t="s">
        <v>1426</v>
      </c>
      <c r="C53" s="23" t="s">
        <v>24</v>
      </c>
      <c r="D53" s="23" t="s">
        <v>143</v>
      </c>
      <c r="E53" s="26" t="s">
        <v>396</v>
      </c>
      <c r="F53" s="23" t="s">
        <v>74</v>
      </c>
      <c r="G53" s="23">
        <v>2005</v>
      </c>
      <c r="H53" s="26" t="s">
        <v>541</v>
      </c>
      <c r="I53" s="23" t="s">
        <v>2276</v>
      </c>
      <c r="J53" s="23" t="s">
        <v>2276</v>
      </c>
      <c r="K53" s="23" t="s">
        <v>2276</v>
      </c>
      <c r="L53" s="23" t="s">
        <v>2276</v>
      </c>
      <c r="M53" s="23" t="s">
        <v>2276</v>
      </c>
      <c r="N53" s="23" t="s">
        <v>2276</v>
      </c>
      <c r="O53" s="23" t="s">
        <v>2276</v>
      </c>
      <c r="P53" s="23" t="s">
        <v>2276</v>
      </c>
      <c r="Q53" s="23" t="s">
        <v>2276</v>
      </c>
      <c r="R53" s="23" t="s">
        <v>534</v>
      </c>
      <c r="S53" s="23" t="s">
        <v>2276</v>
      </c>
      <c r="T53" s="23" t="s">
        <v>534</v>
      </c>
      <c r="U53" s="23" t="s">
        <v>2276</v>
      </c>
      <c r="V53" s="23">
        <v>2</v>
      </c>
      <c r="W53" s="4" t="s">
        <v>1473</v>
      </c>
    </row>
    <row r="54" spans="1:23" ht="50.5" customHeight="1">
      <c r="A54" s="23" t="s">
        <v>162</v>
      </c>
      <c r="B54" s="23" t="s">
        <v>1427</v>
      </c>
      <c r="C54" s="23" t="s">
        <v>24</v>
      </c>
      <c r="D54" s="23" t="s">
        <v>143</v>
      </c>
      <c r="E54" s="26" t="s">
        <v>396</v>
      </c>
      <c r="F54" s="23" t="s">
        <v>74</v>
      </c>
      <c r="G54" s="23">
        <v>2006</v>
      </c>
      <c r="H54" s="26" t="s">
        <v>541</v>
      </c>
      <c r="I54" s="23" t="s">
        <v>2276</v>
      </c>
      <c r="J54" s="23" t="s">
        <v>2276</v>
      </c>
      <c r="K54" s="23" t="s">
        <v>2276</v>
      </c>
      <c r="L54" s="23" t="s">
        <v>2276</v>
      </c>
      <c r="M54" s="23" t="s">
        <v>2276</v>
      </c>
      <c r="N54" s="23" t="s">
        <v>2276</v>
      </c>
      <c r="O54" s="23" t="s">
        <v>2276</v>
      </c>
      <c r="P54" s="23" t="s">
        <v>2276</v>
      </c>
      <c r="Q54" s="23" t="s">
        <v>2276</v>
      </c>
      <c r="R54" s="23" t="s">
        <v>534</v>
      </c>
      <c r="S54" s="23" t="s">
        <v>2276</v>
      </c>
      <c r="T54" s="23" t="s">
        <v>534</v>
      </c>
      <c r="U54" s="23" t="s">
        <v>2276</v>
      </c>
      <c r="V54" s="23">
        <v>2</v>
      </c>
      <c r="W54" s="4" t="s">
        <v>1473</v>
      </c>
    </row>
    <row r="55" spans="1:23" ht="50.5" customHeight="1">
      <c r="A55" s="23" t="s">
        <v>162</v>
      </c>
      <c r="B55" s="23" t="s">
        <v>1428</v>
      </c>
      <c r="C55" s="23" t="s">
        <v>24</v>
      </c>
      <c r="D55" s="23" t="s">
        <v>143</v>
      </c>
      <c r="E55" s="26" t="s">
        <v>396</v>
      </c>
      <c r="F55" s="23" t="s">
        <v>74</v>
      </c>
      <c r="G55" s="23">
        <v>2007</v>
      </c>
      <c r="H55" s="26" t="s">
        <v>541</v>
      </c>
      <c r="I55" s="23" t="s">
        <v>2276</v>
      </c>
      <c r="J55" s="23" t="s">
        <v>2276</v>
      </c>
      <c r="K55" s="23" t="s">
        <v>2276</v>
      </c>
      <c r="L55" s="23" t="s">
        <v>2276</v>
      </c>
      <c r="M55" s="23" t="s">
        <v>2276</v>
      </c>
      <c r="N55" s="23" t="s">
        <v>2276</v>
      </c>
      <c r="O55" s="23" t="s">
        <v>2276</v>
      </c>
      <c r="P55" s="23" t="s">
        <v>2276</v>
      </c>
      <c r="Q55" s="23" t="s">
        <v>2276</v>
      </c>
      <c r="R55" s="23" t="s">
        <v>534</v>
      </c>
      <c r="S55" s="23" t="s">
        <v>2276</v>
      </c>
      <c r="T55" s="23" t="s">
        <v>534</v>
      </c>
      <c r="U55" s="23" t="s">
        <v>2276</v>
      </c>
      <c r="V55" s="23">
        <v>2</v>
      </c>
      <c r="W55" s="4" t="s">
        <v>1473</v>
      </c>
    </row>
    <row r="56" spans="1:23" ht="50.5" customHeight="1">
      <c r="A56" s="23" t="s">
        <v>162</v>
      </c>
      <c r="B56" s="23" t="s">
        <v>1429</v>
      </c>
      <c r="C56" s="23" t="s">
        <v>24</v>
      </c>
      <c r="D56" s="23" t="s">
        <v>143</v>
      </c>
      <c r="E56" s="26" t="s">
        <v>396</v>
      </c>
      <c r="F56" s="23" t="s">
        <v>74</v>
      </c>
      <c r="G56" s="23">
        <v>2008</v>
      </c>
      <c r="H56" s="26" t="s">
        <v>541</v>
      </c>
      <c r="I56" s="23" t="s">
        <v>2276</v>
      </c>
      <c r="J56" s="23" t="s">
        <v>2276</v>
      </c>
      <c r="K56" s="23" t="s">
        <v>2276</v>
      </c>
      <c r="L56" s="23" t="s">
        <v>2276</v>
      </c>
      <c r="M56" s="23" t="s">
        <v>2276</v>
      </c>
      <c r="N56" s="23" t="s">
        <v>2276</v>
      </c>
      <c r="O56" s="23" t="s">
        <v>2276</v>
      </c>
      <c r="P56" s="23" t="s">
        <v>2276</v>
      </c>
      <c r="Q56" s="23" t="s">
        <v>2276</v>
      </c>
      <c r="R56" s="23" t="s">
        <v>534</v>
      </c>
      <c r="S56" s="23" t="s">
        <v>2276</v>
      </c>
      <c r="T56" s="23" t="s">
        <v>534</v>
      </c>
      <c r="U56" s="23" t="s">
        <v>2276</v>
      </c>
      <c r="V56" s="23">
        <v>2</v>
      </c>
      <c r="W56" s="4" t="s">
        <v>1473</v>
      </c>
    </row>
    <row r="57" spans="1:23" ht="50.5" customHeight="1">
      <c r="A57" s="23" t="s">
        <v>162</v>
      </c>
      <c r="B57" s="23" t="s">
        <v>1430</v>
      </c>
      <c r="C57" s="23" t="s">
        <v>24</v>
      </c>
      <c r="D57" s="23" t="s">
        <v>143</v>
      </c>
      <c r="E57" s="26" t="s">
        <v>396</v>
      </c>
      <c r="F57" s="23" t="s">
        <v>74</v>
      </c>
      <c r="G57" s="23">
        <v>2009</v>
      </c>
      <c r="H57" s="26" t="s">
        <v>541</v>
      </c>
      <c r="I57" s="23" t="s">
        <v>2276</v>
      </c>
      <c r="J57" s="23" t="s">
        <v>2276</v>
      </c>
      <c r="K57" s="23" t="s">
        <v>2276</v>
      </c>
      <c r="L57" s="23" t="s">
        <v>2276</v>
      </c>
      <c r="M57" s="23" t="s">
        <v>2276</v>
      </c>
      <c r="N57" s="23" t="s">
        <v>2276</v>
      </c>
      <c r="O57" s="23" t="s">
        <v>2276</v>
      </c>
      <c r="P57" s="23" t="s">
        <v>2276</v>
      </c>
      <c r="Q57" s="23" t="s">
        <v>2276</v>
      </c>
      <c r="R57" s="23" t="s">
        <v>534</v>
      </c>
      <c r="S57" s="23" t="s">
        <v>2276</v>
      </c>
      <c r="T57" s="23" t="s">
        <v>534</v>
      </c>
      <c r="U57" s="23" t="s">
        <v>2276</v>
      </c>
      <c r="V57" s="23">
        <v>2</v>
      </c>
      <c r="W57" s="4" t="s">
        <v>1473</v>
      </c>
    </row>
    <row r="58" spans="1:23" ht="50.5" customHeight="1">
      <c r="A58" s="23" t="s">
        <v>162</v>
      </c>
      <c r="B58" s="23" t="s">
        <v>1431</v>
      </c>
      <c r="C58" s="23" t="s">
        <v>24</v>
      </c>
      <c r="D58" s="23" t="s">
        <v>143</v>
      </c>
      <c r="E58" s="26" t="s">
        <v>396</v>
      </c>
      <c r="F58" s="23" t="s">
        <v>74</v>
      </c>
      <c r="G58" s="23">
        <v>2010</v>
      </c>
      <c r="H58" s="26" t="s">
        <v>541</v>
      </c>
      <c r="I58" s="23" t="s">
        <v>2276</v>
      </c>
      <c r="J58" s="23" t="s">
        <v>2276</v>
      </c>
      <c r="K58" s="23" t="s">
        <v>2276</v>
      </c>
      <c r="L58" s="23" t="s">
        <v>2276</v>
      </c>
      <c r="M58" s="23" t="s">
        <v>2276</v>
      </c>
      <c r="N58" s="23" t="s">
        <v>2276</v>
      </c>
      <c r="O58" s="23" t="s">
        <v>2276</v>
      </c>
      <c r="P58" s="23" t="s">
        <v>2276</v>
      </c>
      <c r="Q58" s="23" t="s">
        <v>2276</v>
      </c>
      <c r="R58" s="23" t="s">
        <v>534</v>
      </c>
      <c r="S58" s="23" t="s">
        <v>2276</v>
      </c>
      <c r="T58" s="23" t="s">
        <v>534</v>
      </c>
      <c r="U58" s="23" t="s">
        <v>2276</v>
      </c>
      <c r="V58" s="23">
        <v>2</v>
      </c>
      <c r="W58" s="4" t="s">
        <v>1473</v>
      </c>
    </row>
    <row r="59" spans="1:23" ht="50.5" customHeight="1">
      <c r="A59" s="23" t="s">
        <v>162</v>
      </c>
      <c r="B59" s="23" t="s">
        <v>1432</v>
      </c>
      <c r="C59" s="23" t="s">
        <v>24</v>
      </c>
      <c r="D59" s="23" t="s">
        <v>143</v>
      </c>
      <c r="E59" s="26" t="s">
        <v>396</v>
      </c>
      <c r="F59" s="23" t="s">
        <v>74</v>
      </c>
      <c r="G59" s="23">
        <v>2011</v>
      </c>
      <c r="H59" s="26" t="s">
        <v>541</v>
      </c>
      <c r="I59" s="23" t="s">
        <v>2276</v>
      </c>
      <c r="J59" s="23" t="s">
        <v>2276</v>
      </c>
      <c r="K59" s="23" t="s">
        <v>2276</v>
      </c>
      <c r="L59" s="23" t="s">
        <v>2276</v>
      </c>
      <c r="M59" s="23" t="s">
        <v>2276</v>
      </c>
      <c r="N59" s="23" t="s">
        <v>2276</v>
      </c>
      <c r="O59" s="23" t="s">
        <v>2276</v>
      </c>
      <c r="P59" s="23" t="s">
        <v>2276</v>
      </c>
      <c r="Q59" s="23" t="s">
        <v>2276</v>
      </c>
      <c r="R59" s="23" t="s">
        <v>534</v>
      </c>
      <c r="S59" s="23" t="s">
        <v>2276</v>
      </c>
      <c r="T59" s="23" t="s">
        <v>534</v>
      </c>
      <c r="U59" s="23" t="s">
        <v>2276</v>
      </c>
      <c r="V59" s="23">
        <v>2</v>
      </c>
      <c r="W59" s="4" t="s">
        <v>1473</v>
      </c>
    </row>
    <row r="60" spans="1:23" ht="50.5" customHeight="1">
      <c r="A60" s="23" t="s">
        <v>162</v>
      </c>
      <c r="B60" s="23" t="s">
        <v>1433</v>
      </c>
      <c r="C60" s="23" t="s">
        <v>24</v>
      </c>
      <c r="D60" s="23" t="s">
        <v>143</v>
      </c>
      <c r="E60" s="26" t="s">
        <v>396</v>
      </c>
      <c r="F60" s="23" t="s">
        <v>74</v>
      </c>
      <c r="G60" s="23">
        <v>2012</v>
      </c>
      <c r="H60" s="26" t="s">
        <v>541</v>
      </c>
      <c r="I60" s="23" t="s">
        <v>2276</v>
      </c>
      <c r="J60" s="23" t="s">
        <v>2276</v>
      </c>
      <c r="K60" s="23" t="s">
        <v>2276</v>
      </c>
      <c r="L60" s="23" t="s">
        <v>2276</v>
      </c>
      <c r="M60" s="23" t="s">
        <v>2276</v>
      </c>
      <c r="N60" s="23" t="s">
        <v>2276</v>
      </c>
      <c r="O60" s="23" t="s">
        <v>2276</v>
      </c>
      <c r="P60" s="23" t="s">
        <v>2276</v>
      </c>
      <c r="Q60" s="23" t="s">
        <v>2276</v>
      </c>
      <c r="R60" s="23" t="s">
        <v>534</v>
      </c>
      <c r="S60" s="23" t="s">
        <v>2276</v>
      </c>
      <c r="T60" s="23" t="s">
        <v>534</v>
      </c>
      <c r="U60" s="23" t="s">
        <v>2276</v>
      </c>
      <c r="V60" s="23">
        <v>2</v>
      </c>
      <c r="W60" s="4" t="s">
        <v>1473</v>
      </c>
    </row>
    <row r="61" spans="1:23" ht="20.5" customHeight="1">
      <c r="A61" s="23" t="s">
        <v>163</v>
      </c>
      <c r="B61" s="23" t="s">
        <v>171</v>
      </c>
      <c r="C61" s="23" t="s">
        <v>24</v>
      </c>
      <c r="D61" s="23" t="s">
        <v>143</v>
      </c>
      <c r="E61" s="23" t="s">
        <v>84</v>
      </c>
      <c r="F61" s="23" t="s">
        <v>74</v>
      </c>
      <c r="G61" s="23">
        <v>2002</v>
      </c>
      <c r="H61" s="26" t="s">
        <v>541</v>
      </c>
      <c r="I61" s="23" t="s">
        <v>2276</v>
      </c>
      <c r="J61" s="23" t="s">
        <v>2276</v>
      </c>
      <c r="K61" s="23" t="s">
        <v>2276</v>
      </c>
      <c r="L61" s="23" t="s">
        <v>2276</v>
      </c>
      <c r="M61" s="23" t="s">
        <v>2276</v>
      </c>
      <c r="N61" s="23" t="s">
        <v>2276</v>
      </c>
      <c r="O61" s="23" t="s">
        <v>2276</v>
      </c>
      <c r="P61" s="23" t="s">
        <v>2276</v>
      </c>
      <c r="Q61" s="23" t="s">
        <v>2276</v>
      </c>
      <c r="R61" s="23" t="s">
        <v>534</v>
      </c>
      <c r="S61" s="23" t="s">
        <v>2276</v>
      </c>
      <c r="T61" s="23" t="s">
        <v>534</v>
      </c>
      <c r="U61" s="23" t="s">
        <v>2276</v>
      </c>
      <c r="V61" s="23">
        <v>2</v>
      </c>
      <c r="W61" s="3"/>
    </row>
    <row r="62" spans="1:23" ht="20.5" customHeight="1">
      <c r="A62" s="23" t="s">
        <v>163</v>
      </c>
      <c r="B62" s="23" t="s">
        <v>172</v>
      </c>
      <c r="C62" s="23" t="s">
        <v>24</v>
      </c>
      <c r="D62" s="23" t="s">
        <v>143</v>
      </c>
      <c r="E62" s="23" t="s">
        <v>84</v>
      </c>
      <c r="F62" s="23" t="s">
        <v>74</v>
      </c>
      <c r="G62" s="23">
        <v>2003</v>
      </c>
      <c r="H62" s="26" t="s">
        <v>541</v>
      </c>
      <c r="I62" s="23" t="s">
        <v>2276</v>
      </c>
      <c r="J62" s="23" t="s">
        <v>2276</v>
      </c>
      <c r="K62" s="23" t="s">
        <v>2276</v>
      </c>
      <c r="L62" s="23" t="s">
        <v>2276</v>
      </c>
      <c r="M62" s="23" t="s">
        <v>2276</v>
      </c>
      <c r="N62" s="23" t="s">
        <v>2276</v>
      </c>
      <c r="O62" s="23" t="s">
        <v>2276</v>
      </c>
      <c r="P62" s="23" t="s">
        <v>2276</v>
      </c>
      <c r="Q62" s="23" t="s">
        <v>2276</v>
      </c>
      <c r="R62" s="23" t="s">
        <v>534</v>
      </c>
      <c r="S62" s="23" t="s">
        <v>2276</v>
      </c>
      <c r="T62" s="23" t="s">
        <v>534</v>
      </c>
      <c r="U62" s="23" t="s">
        <v>2276</v>
      </c>
      <c r="V62" s="23">
        <v>2</v>
      </c>
      <c r="W62" s="4"/>
    </row>
    <row r="63" spans="1:23" ht="20.5" customHeight="1">
      <c r="A63" s="23" t="s">
        <v>163</v>
      </c>
      <c r="B63" s="23" t="s">
        <v>173</v>
      </c>
      <c r="C63" s="23" t="s">
        <v>24</v>
      </c>
      <c r="D63" s="23" t="s">
        <v>143</v>
      </c>
      <c r="E63" s="23" t="s">
        <v>84</v>
      </c>
      <c r="F63" s="23" t="s">
        <v>74</v>
      </c>
      <c r="G63" s="23">
        <v>2004</v>
      </c>
      <c r="H63" s="26" t="s">
        <v>541</v>
      </c>
      <c r="I63" s="23" t="s">
        <v>2276</v>
      </c>
      <c r="J63" s="23" t="s">
        <v>2276</v>
      </c>
      <c r="K63" s="23" t="s">
        <v>2276</v>
      </c>
      <c r="L63" s="23" t="s">
        <v>2276</v>
      </c>
      <c r="M63" s="23" t="s">
        <v>2276</v>
      </c>
      <c r="N63" s="23" t="s">
        <v>2276</v>
      </c>
      <c r="O63" s="23" t="s">
        <v>2276</v>
      </c>
      <c r="P63" s="23" t="s">
        <v>2276</v>
      </c>
      <c r="Q63" s="23" t="s">
        <v>2276</v>
      </c>
      <c r="R63" s="23" t="s">
        <v>534</v>
      </c>
      <c r="S63" s="23" t="s">
        <v>2276</v>
      </c>
      <c r="T63" s="23" t="s">
        <v>534</v>
      </c>
      <c r="U63" s="23" t="s">
        <v>2276</v>
      </c>
      <c r="V63" s="23">
        <v>2</v>
      </c>
      <c r="W63" s="4"/>
    </row>
    <row r="64" spans="1:23" ht="56.5" customHeight="1">
      <c r="A64" s="23" t="s">
        <v>163</v>
      </c>
      <c r="B64" s="23" t="s">
        <v>1412</v>
      </c>
      <c r="C64" s="23" t="s">
        <v>24</v>
      </c>
      <c r="D64" s="23" t="s">
        <v>143</v>
      </c>
      <c r="E64" s="23" t="s">
        <v>84</v>
      </c>
      <c r="F64" s="23" t="s">
        <v>74</v>
      </c>
      <c r="G64" s="23">
        <v>2005</v>
      </c>
      <c r="H64" s="26" t="s">
        <v>541</v>
      </c>
      <c r="I64" s="23" t="s">
        <v>2276</v>
      </c>
      <c r="J64" s="23" t="s">
        <v>2276</v>
      </c>
      <c r="K64" s="23" t="s">
        <v>2276</v>
      </c>
      <c r="L64" s="23" t="s">
        <v>2276</v>
      </c>
      <c r="M64" s="23" t="s">
        <v>2276</v>
      </c>
      <c r="N64" s="23" t="s">
        <v>2276</v>
      </c>
      <c r="O64" s="23" t="s">
        <v>2276</v>
      </c>
      <c r="P64" s="23" t="s">
        <v>2276</v>
      </c>
      <c r="Q64" s="23" t="s">
        <v>2276</v>
      </c>
      <c r="R64" s="23" t="s">
        <v>534</v>
      </c>
      <c r="S64" s="23" t="s">
        <v>2276</v>
      </c>
      <c r="T64" s="23" t="s">
        <v>534</v>
      </c>
      <c r="U64" s="23" t="s">
        <v>2276</v>
      </c>
      <c r="V64" s="23">
        <v>4</v>
      </c>
      <c r="W64" s="4" t="s">
        <v>1456</v>
      </c>
    </row>
    <row r="65" spans="1:23" ht="52" customHeight="1">
      <c r="A65" s="23" t="s">
        <v>163</v>
      </c>
      <c r="B65" s="23" t="s">
        <v>1413</v>
      </c>
      <c r="C65" s="23" t="s">
        <v>24</v>
      </c>
      <c r="D65" s="23" t="s">
        <v>143</v>
      </c>
      <c r="E65" s="23" t="s">
        <v>84</v>
      </c>
      <c r="F65" s="23" t="s">
        <v>74</v>
      </c>
      <c r="G65" s="23">
        <v>2006</v>
      </c>
      <c r="H65" s="26" t="s">
        <v>541</v>
      </c>
      <c r="I65" s="23" t="s">
        <v>2276</v>
      </c>
      <c r="J65" s="23" t="s">
        <v>2276</v>
      </c>
      <c r="K65" s="23" t="s">
        <v>2276</v>
      </c>
      <c r="L65" s="23" t="s">
        <v>2276</v>
      </c>
      <c r="M65" s="23" t="s">
        <v>2276</v>
      </c>
      <c r="N65" s="23" t="s">
        <v>2276</v>
      </c>
      <c r="O65" s="23" t="s">
        <v>2276</v>
      </c>
      <c r="P65" s="23" t="s">
        <v>2276</v>
      </c>
      <c r="Q65" s="23" t="s">
        <v>2276</v>
      </c>
      <c r="R65" s="23" t="s">
        <v>534</v>
      </c>
      <c r="S65" s="23" t="s">
        <v>2276</v>
      </c>
      <c r="T65" s="23" t="s">
        <v>534</v>
      </c>
      <c r="U65" s="23" t="s">
        <v>2276</v>
      </c>
      <c r="V65" s="23">
        <v>4</v>
      </c>
      <c r="W65" s="4" t="s">
        <v>1457</v>
      </c>
    </row>
    <row r="66" spans="1:23" ht="52" customHeight="1">
      <c r="A66" s="23" t="s">
        <v>163</v>
      </c>
      <c r="B66" s="23" t="s">
        <v>1414</v>
      </c>
      <c r="C66" s="23" t="s">
        <v>24</v>
      </c>
      <c r="D66" s="23" t="s">
        <v>143</v>
      </c>
      <c r="E66" s="23" t="s">
        <v>84</v>
      </c>
      <c r="F66" s="23" t="s">
        <v>74</v>
      </c>
      <c r="G66" s="23">
        <v>2007</v>
      </c>
      <c r="H66" s="26" t="s">
        <v>541</v>
      </c>
      <c r="I66" s="23" t="s">
        <v>2276</v>
      </c>
      <c r="J66" s="23" t="s">
        <v>2276</v>
      </c>
      <c r="K66" s="23" t="s">
        <v>2276</v>
      </c>
      <c r="L66" s="23" t="s">
        <v>2276</v>
      </c>
      <c r="M66" s="23" t="s">
        <v>2276</v>
      </c>
      <c r="N66" s="23" t="s">
        <v>2276</v>
      </c>
      <c r="O66" s="23" t="s">
        <v>2276</v>
      </c>
      <c r="P66" s="23" t="s">
        <v>2276</v>
      </c>
      <c r="Q66" s="23" t="s">
        <v>2276</v>
      </c>
      <c r="R66" s="23" t="s">
        <v>534</v>
      </c>
      <c r="S66" s="23" t="s">
        <v>2276</v>
      </c>
      <c r="T66" s="23" t="s">
        <v>534</v>
      </c>
      <c r="U66" s="23" t="s">
        <v>2276</v>
      </c>
      <c r="V66" s="23">
        <v>4</v>
      </c>
      <c r="W66" s="4" t="s">
        <v>1457</v>
      </c>
    </row>
    <row r="67" spans="1:23" ht="52" customHeight="1">
      <c r="A67" s="23" t="s">
        <v>163</v>
      </c>
      <c r="B67" s="23" t="s">
        <v>1415</v>
      </c>
      <c r="C67" s="23" t="s">
        <v>24</v>
      </c>
      <c r="D67" s="23" t="s">
        <v>143</v>
      </c>
      <c r="E67" s="23" t="s">
        <v>84</v>
      </c>
      <c r="F67" s="23" t="s">
        <v>74</v>
      </c>
      <c r="G67" s="23">
        <v>2008</v>
      </c>
      <c r="H67" s="26" t="s">
        <v>541</v>
      </c>
      <c r="I67" s="23" t="s">
        <v>2276</v>
      </c>
      <c r="J67" s="23" t="s">
        <v>2276</v>
      </c>
      <c r="K67" s="23" t="s">
        <v>2276</v>
      </c>
      <c r="L67" s="23" t="s">
        <v>2276</v>
      </c>
      <c r="M67" s="23" t="s">
        <v>2276</v>
      </c>
      <c r="N67" s="23" t="s">
        <v>2276</v>
      </c>
      <c r="O67" s="23" t="s">
        <v>2276</v>
      </c>
      <c r="P67" s="23" t="s">
        <v>2276</v>
      </c>
      <c r="Q67" s="23" t="s">
        <v>2276</v>
      </c>
      <c r="R67" s="23" t="s">
        <v>534</v>
      </c>
      <c r="S67" s="23" t="s">
        <v>2276</v>
      </c>
      <c r="T67" s="23" t="s">
        <v>534</v>
      </c>
      <c r="U67" s="23" t="s">
        <v>2276</v>
      </c>
      <c r="V67" s="23">
        <v>4</v>
      </c>
      <c r="W67" s="4" t="s">
        <v>1457</v>
      </c>
    </row>
    <row r="68" spans="1:23" ht="52" customHeight="1">
      <c r="A68" s="23" t="s">
        <v>163</v>
      </c>
      <c r="B68" s="23" t="s">
        <v>1416</v>
      </c>
      <c r="C68" s="23" t="s">
        <v>24</v>
      </c>
      <c r="D68" s="23" t="s">
        <v>143</v>
      </c>
      <c r="E68" s="23" t="s">
        <v>84</v>
      </c>
      <c r="F68" s="23" t="s">
        <v>74</v>
      </c>
      <c r="G68" s="23">
        <v>2009</v>
      </c>
      <c r="H68" s="26" t="s">
        <v>541</v>
      </c>
      <c r="I68" s="23" t="s">
        <v>2276</v>
      </c>
      <c r="J68" s="23" t="s">
        <v>2276</v>
      </c>
      <c r="K68" s="23" t="s">
        <v>2276</v>
      </c>
      <c r="L68" s="23" t="s">
        <v>2276</v>
      </c>
      <c r="M68" s="23" t="s">
        <v>2276</v>
      </c>
      <c r="N68" s="23" t="s">
        <v>2276</v>
      </c>
      <c r="O68" s="23" t="s">
        <v>2276</v>
      </c>
      <c r="P68" s="23" t="s">
        <v>2276</v>
      </c>
      <c r="Q68" s="23" t="s">
        <v>2276</v>
      </c>
      <c r="R68" s="23" t="s">
        <v>534</v>
      </c>
      <c r="S68" s="23" t="s">
        <v>2276</v>
      </c>
      <c r="T68" s="23" t="s">
        <v>534</v>
      </c>
      <c r="U68" s="23" t="s">
        <v>2276</v>
      </c>
      <c r="V68" s="23">
        <v>4</v>
      </c>
      <c r="W68" s="4" t="s">
        <v>1457</v>
      </c>
    </row>
    <row r="69" spans="1:23" ht="52" customHeight="1">
      <c r="A69" s="23" t="s">
        <v>163</v>
      </c>
      <c r="B69" s="23" t="s">
        <v>1417</v>
      </c>
      <c r="C69" s="23" t="s">
        <v>24</v>
      </c>
      <c r="D69" s="23" t="s">
        <v>143</v>
      </c>
      <c r="E69" s="23" t="s">
        <v>84</v>
      </c>
      <c r="F69" s="23" t="s">
        <v>74</v>
      </c>
      <c r="G69" s="23">
        <v>2010</v>
      </c>
      <c r="H69" s="26" t="s">
        <v>541</v>
      </c>
      <c r="I69" s="23" t="s">
        <v>2276</v>
      </c>
      <c r="J69" s="23" t="s">
        <v>2276</v>
      </c>
      <c r="K69" s="23" t="s">
        <v>2276</v>
      </c>
      <c r="L69" s="23" t="s">
        <v>2276</v>
      </c>
      <c r="M69" s="23" t="s">
        <v>2276</v>
      </c>
      <c r="N69" s="23" t="s">
        <v>2276</v>
      </c>
      <c r="O69" s="23" t="s">
        <v>2276</v>
      </c>
      <c r="P69" s="23" t="s">
        <v>2276</v>
      </c>
      <c r="Q69" s="23" t="s">
        <v>2276</v>
      </c>
      <c r="R69" s="23" t="s">
        <v>534</v>
      </c>
      <c r="S69" s="23" t="s">
        <v>2276</v>
      </c>
      <c r="T69" s="23" t="s">
        <v>534</v>
      </c>
      <c r="U69" s="23" t="s">
        <v>2276</v>
      </c>
      <c r="V69" s="23">
        <v>4</v>
      </c>
      <c r="W69" s="4" t="s">
        <v>1457</v>
      </c>
    </row>
    <row r="70" spans="1:23" ht="52" customHeight="1">
      <c r="A70" s="23" t="s">
        <v>163</v>
      </c>
      <c r="B70" s="23" t="s">
        <v>1418</v>
      </c>
      <c r="C70" s="23" t="s">
        <v>24</v>
      </c>
      <c r="D70" s="23" t="s">
        <v>143</v>
      </c>
      <c r="E70" s="23" t="s">
        <v>84</v>
      </c>
      <c r="F70" s="23" t="s">
        <v>74</v>
      </c>
      <c r="G70" s="23">
        <v>2011</v>
      </c>
      <c r="H70" s="26" t="s">
        <v>541</v>
      </c>
      <c r="I70" s="23" t="s">
        <v>2276</v>
      </c>
      <c r="J70" s="23" t="s">
        <v>2276</v>
      </c>
      <c r="K70" s="23" t="s">
        <v>2276</v>
      </c>
      <c r="L70" s="23" t="s">
        <v>2276</v>
      </c>
      <c r="M70" s="23" t="s">
        <v>2276</v>
      </c>
      <c r="N70" s="23" t="s">
        <v>2276</v>
      </c>
      <c r="O70" s="23" t="s">
        <v>2276</v>
      </c>
      <c r="P70" s="23" t="s">
        <v>2276</v>
      </c>
      <c r="Q70" s="23" t="s">
        <v>2276</v>
      </c>
      <c r="R70" s="23" t="s">
        <v>534</v>
      </c>
      <c r="S70" s="23" t="s">
        <v>2276</v>
      </c>
      <c r="T70" s="23" t="s">
        <v>534</v>
      </c>
      <c r="U70" s="23" t="s">
        <v>2276</v>
      </c>
      <c r="V70" s="23">
        <v>4</v>
      </c>
      <c r="W70" s="4" t="s">
        <v>1458</v>
      </c>
    </row>
    <row r="71" spans="1:23" ht="52" customHeight="1">
      <c r="A71" s="23" t="s">
        <v>163</v>
      </c>
      <c r="B71" s="23" t="s">
        <v>1419</v>
      </c>
      <c r="C71" s="23" t="s">
        <v>24</v>
      </c>
      <c r="D71" s="23" t="s">
        <v>143</v>
      </c>
      <c r="E71" s="23" t="s">
        <v>84</v>
      </c>
      <c r="F71" s="23" t="s">
        <v>74</v>
      </c>
      <c r="G71" s="23">
        <v>2012</v>
      </c>
      <c r="H71" s="26" t="s">
        <v>541</v>
      </c>
      <c r="I71" s="23" t="s">
        <v>2276</v>
      </c>
      <c r="J71" s="23" t="s">
        <v>2276</v>
      </c>
      <c r="K71" s="23" t="s">
        <v>2276</v>
      </c>
      <c r="L71" s="23" t="s">
        <v>2276</v>
      </c>
      <c r="M71" s="23" t="s">
        <v>2276</v>
      </c>
      <c r="N71" s="23" t="s">
        <v>2276</v>
      </c>
      <c r="O71" s="23" t="s">
        <v>2276</v>
      </c>
      <c r="P71" s="23" t="s">
        <v>2276</v>
      </c>
      <c r="Q71" s="23" t="s">
        <v>2276</v>
      </c>
      <c r="R71" s="23" t="s">
        <v>534</v>
      </c>
      <c r="S71" s="23" t="s">
        <v>2276</v>
      </c>
      <c r="T71" s="23" t="s">
        <v>534</v>
      </c>
      <c r="U71" s="23" t="s">
        <v>2276</v>
      </c>
      <c r="V71" s="23">
        <v>4</v>
      </c>
      <c r="W71" s="4" t="s">
        <v>1458</v>
      </c>
    </row>
    <row r="72" spans="1:23" ht="52" customHeight="1">
      <c r="A72" s="23" t="s">
        <v>163</v>
      </c>
      <c r="B72" s="23" t="s">
        <v>1420</v>
      </c>
      <c r="C72" s="23" t="s">
        <v>24</v>
      </c>
      <c r="D72" s="23" t="s">
        <v>143</v>
      </c>
      <c r="E72" s="26" t="s">
        <v>45</v>
      </c>
      <c r="F72" s="23" t="s">
        <v>74</v>
      </c>
      <c r="G72" s="23">
        <v>2002</v>
      </c>
      <c r="H72" s="26" t="s">
        <v>541</v>
      </c>
      <c r="I72" s="23" t="s">
        <v>2276</v>
      </c>
      <c r="J72" s="23" t="s">
        <v>2276</v>
      </c>
      <c r="K72" s="23" t="s">
        <v>2276</v>
      </c>
      <c r="L72" s="23" t="s">
        <v>2276</v>
      </c>
      <c r="M72" s="23" t="s">
        <v>2276</v>
      </c>
      <c r="N72" s="23" t="s">
        <v>2276</v>
      </c>
      <c r="O72" s="23" t="s">
        <v>2276</v>
      </c>
      <c r="P72" s="23" t="s">
        <v>2276</v>
      </c>
      <c r="Q72" s="23" t="s">
        <v>2276</v>
      </c>
      <c r="R72" s="23" t="s">
        <v>534</v>
      </c>
      <c r="S72" s="23" t="s">
        <v>2276</v>
      </c>
      <c r="T72" s="23" t="s">
        <v>534</v>
      </c>
      <c r="U72" s="23" t="s">
        <v>2276</v>
      </c>
      <c r="V72" s="23">
        <v>2</v>
      </c>
      <c r="W72" s="4" t="s">
        <v>1473</v>
      </c>
    </row>
    <row r="73" spans="1:23" ht="52" customHeight="1">
      <c r="A73" s="23" t="s">
        <v>163</v>
      </c>
      <c r="B73" s="23" t="s">
        <v>1421</v>
      </c>
      <c r="C73" s="23" t="s">
        <v>24</v>
      </c>
      <c r="D73" s="23" t="s">
        <v>143</v>
      </c>
      <c r="E73" s="26" t="s">
        <v>45</v>
      </c>
      <c r="F73" s="23" t="s">
        <v>74</v>
      </c>
      <c r="G73" s="23">
        <v>2003</v>
      </c>
      <c r="H73" s="26" t="s">
        <v>541</v>
      </c>
      <c r="I73" s="23" t="s">
        <v>2276</v>
      </c>
      <c r="J73" s="23" t="s">
        <v>2276</v>
      </c>
      <c r="K73" s="23" t="s">
        <v>2276</v>
      </c>
      <c r="L73" s="23" t="s">
        <v>2276</v>
      </c>
      <c r="M73" s="23" t="s">
        <v>2276</v>
      </c>
      <c r="N73" s="23" t="s">
        <v>2276</v>
      </c>
      <c r="O73" s="23" t="s">
        <v>2276</v>
      </c>
      <c r="P73" s="23" t="s">
        <v>2276</v>
      </c>
      <c r="Q73" s="23" t="s">
        <v>2276</v>
      </c>
      <c r="R73" s="23" t="s">
        <v>534</v>
      </c>
      <c r="S73" s="23" t="s">
        <v>2276</v>
      </c>
      <c r="T73" s="23" t="s">
        <v>534</v>
      </c>
      <c r="U73" s="23" t="s">
        <v>2276</v>
      </c>
      <c r="V73" s="23">
        <v>2</v>
      </c>
      <c r="W73" s="4" t="s">
        <v>1473</v>
      </c>
    </row>
    <row r="74" spans="1:23" ht="52" customHeight="1">
      <c r="A74" s="23" t="s">
        <v>163</v>
      </c>
      <c r="B74" s="23" t="s">
        <v>1422</v>
      </c>
      <c r="C74" s="23" t="s">
        <v>24</v>
      </c>
      <c r="D74" s="23" t="s">
        <v>143</v>
      </c>
      <c r="E74" s="26" t="s">
        <v>45</v>
      </c>
      <c r="F74" s="23" t="s">
        <v>74</v>
      </c>
      <c r="G74" s="23">
        <v>2004</v>
      </c>
      <c r="H74" s="26" t="s">
        <v>541</v>
      </c>
      <c r="I74" s="23" t="s">
        <v>2276</v>
      </c>
      <c r="J74" s="23" t="s">
        <v>2276</v>
      </c>
      <c r="K74" s="23" t="s">
        <v>2276</v>
      </c>
      <c r="L74" s="23" t="s">
        <v>2276</v>
      </c>
      <c r="M74" s="23" t="s">
        <v>2276</v>
      </c>
      <c r="N74" s="23" t="s">
        <v>2276</v>
      </c>
      <c r="O74" s="23" t="s">
        <v>2276</v>
      </c>
      <c r="P74" s="23" t="s">
        <v>2276</v>
      </c>
      <c r="Q74" s="23" t="s">
        <v>2276</v>
      </c>
      <c r="R74" s="23" t="s">
        <v>534</v>
      </c>
      <c r="S74" s="23" t="s">
        <v>2276</v>
      </c>
      <c r="T74" s="23" t="s">
        <v>534</v>
      </c>
      <c r="U74" s="23" t="s">
        <v>2276</v>
      </c>
      <c r="V74" s="23">
        <v>2</v>
      </c>
      <c r="W74" s="4" t="s">
        <v>1473</v>
      </c>
    </row>
    <row r="75" spans="1:23" ht="52" customHeight="1">
      <c r="A75" s="23" t="s">
        <v>163</v>
      </c>
      <c r="B75" s="23" t="s">
        <v>1434</v>
      </c>
      <c r="C75" s="23" t="s">
        <v>24</v>
      </c>
      <c r="D75" s="23" t="s">
        <v>143</v>
      </c>
      <c r="E75" s="26" t="s">
        <v>45</v>
      </c>
      <c r="F75" s="23" t="s">
        <v>74</v>
      </c>
      <c r="G75" s="23">
        <v>2005</v>
      </c>
      <c r="H75" s="26" t="s">
        <v>541</v>
      </c>
      <c r="I75" s="23" t="s">
        <v>2276</v>
      </c>
      <c r="J75" s="23" t="s">
        <v>2276</v>
      </c>
      <c r="K75" s="23" t="s">
        <v>2276</v>
      </c>
      <c r="L75" s="23" t="s">
        <v>2276</v>
      </c>
      <c r="M75" s="23" t="s">
        <v>2276</v>
      </c>
      <c r="N75" s="23" t="s">
        <v>2276</v>
      </c>
      <c r="O75" s="23" t="s">
        <v>2276</v>
      </c>
      <c r="P75" s="23" t="s">
        <v>2276</v>
      </c>
      <c r="Q75" s="23" t="s">
        <v>2276</v>
      </c>
      <c r="R75" s="23" t="s">
        <v>534</v>
      </c>
      <c r="S75" s="23" t="s">
        <v>2276</v>
      </c>
      <c r="T75" s="23" t="s">
        <v>534</v>
      </c>
      <c r="U75" s="23" t="s">
        <v>2276</v>
      </c>
      <c r="V75" s="23">
        <v>2</v>
      </c>
      <c r="W75" s="4" t="s">
        <v>1473</v>
      </c>
    </row>
    <row r="76" spans="1:23" ht="52" customHeight="1">
      <c r="A76" s="23" t="s">
        <v>163</v>
      </c>
      <c r="B76" s="23" t="s">
        <v>1435</v>
      </c>
      <c r="C76" s="23" t="s">
        <v>24</v>
      </c>
      <c r="D76" s="23" t="s">
        <v>143</v>
      </c>
      <c r="E76" s="26" t="s">
        <v>45</v>
      </c>
      <c r="F76" s="23" t="s">
        <v>74</v>
      </c>
      <c r="G76" s="23">
        <v>2006</v>
      </c>
      <c r="H76" s="26" t="s">
        <v>541</v>
      </c>
      <c r="I76" s="23" t="s">
        <v>2276</v>
      </c>
      <c r="J76" s="23" t="s">
        <v>2276</v>
      </c>
      <c r="K76" s="23" t="s">
        <v>2276</v>
      </c>
      <c r="L76" s="23" t="s">
        <v>2276</v>
      </c>
      <c r="M76" s="23" t="s">
        <v>2276</v>
      </c>
      <c r="N76" s="23" t="s">
        <v>2276</v>
      </c>
      <c r="O76" s="23" t="s">
        <v>2276</v>
      </c>
      <c r="P76" s="23" t="s">
        <v>2276</v>
      </c>
      <c r="Q76" s="23" t="s">
        <v>2276</v>
      </c>
      <c r="R76" s="23" t="s">
        <v>534</v>
      </c>
      <c r="S76" s="23" t="s">
        <v>2276</v>
      </c>
      <c r="T76" s="23" t="s">
        <v>534</v>
      </c>
      <c r="U76" s="23" t="s">
        <v>2276</v>
      </c>
      <c r="V76" s="23">
        <v>2</v>
      </c>
      <c r="W76" s="4" t="s">
        <v>1473</v>
      </c>
    </row>
    <row r="77" spans="1:23" ht="52" customHeight="1">
      <c r="A77" s="23" t="s">
        <v>163</v>
      </c>
      <c r="B77" s="23" t="s">
        <v>1436</v>
      </c>
      <c r="C77" s="23" t="s">
        <v>24</v>
      </c>
      <c r="D77" s="23" t="s">
        <v>143</v>
      </c>
      <c r="E77" s="26" t="s">
        <v>45</v>
      </c>
      <c r="F77" s="23" t="s">
        <v>74</v>
      </c>
      <c r="G77" s="23">
        <v>2007</v>
      </c>
      <c r="H77" s="26" t="s">
        <v>541</v>
      </c>
      <c r="I77" s="23" t="s">
        <v>2276</v>
      </c>
      <c r="J77" s="23" t="s">
        <v>2276</v>
      </c>
      <c r="K77" s="23" t="s">
        <v>2276</v>
      </c>
      <c r="L77" s="23" t="s">
        <v>2276</v>
      </c>
      <c r="M77" s="23" t="s">
        <v>2276</v>
      </c>
      <c r="N77" s="23" t="s">
        <v>2276</v>
      </c>
      <c r="O77" s="23" t="s">
        <v>2276</v>
      </c>
      <c r="P77" s="23" t="s">
        <v>2276</v>
      </c>
      <c r="Q77" s="23" t="s">
        <v>2276</v>
      </c>
      <c r="R77" s="23" t="s">
        <v>534</v>
      </c>
      <c r="S77" s="23" t="s">
        <v>2276</v>
      </c>
      <c r="T77" s="23" t="s">
        <v>534</v>
      </c>
      <c r="U77" s="23" t="s">
        <v>2276</v>
      </c>
      <c r="V77" s="23">
        <v>2</v>
      </c>
      <c r="W77" s="4" t="s">
        <v>1473</v>
      </c>
    </row>
    <row r="78" spans="1:23" ht="52" customHeight="1">
      <c r="A78" s="23" t="s">
        <v>163</v>
      </c>
      <c r="B78" s="23" t="s">
        <v>1437</v>
      </c>
      <c r="C78" s="23" t="s">
        <v>24</v>
      </c>
      <c r="D78" s="23" t="s">
        <v>143</v>
      </c>
      <c r="E78" s="26" t="s">
        <v>45</v>
      </c>
      <c r="F78" s="23" t="s">
        <v>74</v>
      </c>
      <c r="G78" s="23">
        <v>2008</v>
      </c>
      <c r="H78" s="26" t="s">
        <v>541</v>
      </c>
      <c r="I78" s="23" t="s">
        <v>2276</v>
      </c>
      <c r="J78" s="23" t="s">
        <v>2276</v>
      </c>
      <c r="K78" s="23" t="s">
        <v>2276</v>
      </c>
      <c r="L78" s="23" t="s">
        <v>2276</v>
      </c>
      <c r="M78" s="23" t="s">
        <v>2276</v>
      </c>
      <c r="N78" s="23" t="s">
        <v>2276</v>
      </c>
      <c r="O78" s="23" t="s">
        <v>2276</v>
      </c>
      <c r="P78" s="23" t="s">
        <v>2276</v>
      </c>
      <c r="Q78" s="23" t="s">
        <v>2276</v>
      </c>
      <c r="R78" s="23" t="s">
        <v>534</v>
      </c>
      <c r="S78" s="23" t="s">
        <v>2276</v>
      </c>
      <c r="T78" s="23" t="s">
        <v>534</v>
      </c>
      <c r="U78" s="23" t="s">
        <v>2276</v>
      </c>
      <c r="V78" s="23">
        <v>2</v>
      </c>
      <c r="W78" s="4" t="s">
        <v>1473</v>
      </c>
    </row>
    <row r="79" spans="1:23" ht="52" customHeight="1">
      <c r="A79" s="23" t="s">
        <v>163</v>
      </c>
      <c r="B79" s="23" t="s">
        <v>1438</v>
      </c>
      <c r="C79" s="23" t="s">
        <v>24</v>
      </c>
      <c r="D79" s="23" t="s">
        <v>143</v>
      </c>
      <c r="E79" s="26" t="s">
        <v>45</v>
      </c>
      <c r="F79" s="23" t="s">
        <v>74</v>
      </c>
      <c r="G79" s="23">
        <v>2009</v>
      </c>
      <c r="H79" s="26" t="s">
        <v>541</v>
      </c>
      <c r="I79" s="23" t="s">
        <v>2276</v>
      </c>
      <c r="J79" s="23" t="s">
        <v>2276</v>
      </c>
      <c r="K79" s="23" t="s">
        <v>2276</v>
      </c>
      <c r="L79" s="23" t="s">
        <v>2276</v>
      </c>
      <c r="M79" s="23" t="s">
        <v>2276</v>
      </c>
      <c r="N79" s="23" t="s">
        <v>2276</v>
      </c>
      <c r="O79" s="23" t="s">
        <v>2276</v>
      </c>
      <c r="P79" s="23" t="s">
        <v>2276</v>
      </c>
      <c r="Q79" s="23" t="s">
        <v>2276</v>
      </c>
      <c r="R79" s="23" t="s">
        <v>534</v>
      </c>
      <c r="S79" s="23" t="s">
        <v>2276</v>
      </c>
      <c r="T79" s="23" t="s">
        <v>534</v>
      </c>
      <c r="U79" s="23" t="s">
        <v>2276</v>
      </c>
      <c r="V79" s="23">
        <v>2</v>
      </c>
      <c r="W79" s="4" t="s">
        <v>1473</v>
      </c>
    </row>
    <row r="80" spans="1:23" ht="52" customHeight="1">
      <c r="A80" s="23" t="s">
        <v>163</v>
      </c>
      <c r="B80" s="23" t="s">
        <v>1439</v>
      </c>
      <c r="C80" s="23" t="s">
        <v>24</v>
      </c>
      <c r="D80" s="23" t="s">
        <v>143</v>
      </c>
      <c r="E80" s="26" t="s">
        <v>45</v>
      </c>
      <c r="F80" s="23" t="s">
        <v>74</v>
      </c>
      <c r="G80" s="23">
        <v>2010</v>
      </c>
      <c r="H80" s="26" t="s">
        <v>541</v>
      </c>
      <c r="I80" s="23" t="s">
        <v>2276</v>
      </c>
      <c r="J80" s="23" t="s">
        <v>2276</v>
      </c>
      <c r="K80" s="23" t="s">
        <v>2276</v>
      </c>
      <c r="L80" s="23" t="s">
        <v>2276</v>
      </c>
      <c r="M80" s="23" t="s">
        <v>2276</v>
      </c>
      <c r="N80" s="23" t="s">
        <v>2276</v>
      </c>
      <c r="O80" s="23" t="s">
        <v>2276</v>
      </c>
      <c r="P80" s="23" t="s">
        <v>2276</v>
      </c>
      <c r="Q80" s="23" t="s">
        <v>2276</v>
      </c>
      <c r="R80" s="23" t="s">
        <v>534</v>
      </c>
      <c r="S80" s="23" t="s">
        <v>2276</v>
      </c>
      <c r="T80" s="23" t="s">
        <v>534</v>
      </c>
      <c r="U80" s="23" t="s">
        <v>2276</v>
      </c>
      <c r="V80" s="23">
        <v>2</v>
      </c>
      <c r="W80" s="4" t="s">
        <v>1473</v>
      </c>
    </row>
    <row r="81" spans="1:23" ht="52" customHeight="1">
      <c r="A81" s="23" t="s">
        <v>163</v>
      </c>
      <c r="B81" s="23" t="s">
        <v>1440</v>
      </c>
      <c r="C81" s="23" t="s">
        <v>24</v>
      </c>
      <c r="D81" s="23" t="s">
        <v>143</v>
      </c>
      <c r="E81" s="26" t="s">
        <v>45</v>
      </c>
      <c r="F81" s="23" t="s">
        <v>74</v>
      </c>
      <c r="G81" s="23">
        <v>2011</v>
      </c>
      <c r="H81" s="26" t="s">
        <v>541</v>
      </c>
      <c r="I81" s="23" t="s">
        <v>2276</v>
      </c>
      <c r="J81" s="23" t="s">
        <v>2276</v>
      </c>
      <c r="K81" s="23" t="s">
        <v>2276</v>
      </c>
      <c r="L81" s="23" t="s">
        <v>2276</v>
      </c>
      <c r="M81" s="23" t="s">
        <v>2276</v>
      </c>
      <c r="N81" s="23" t="s">
        <v>2276</v>
      </c>
      <c r="O81" s="23" t="s">
        <v>2276</v>
      </c>
      <c r="P81" s="23" t="s">
        <v>2276</v>
      </c>
      <c r="Q81" s="23" t="s">
        <v>2276</v>
      </c>
      <c r="R81" s="23" t="s">
        <v>534</v>
      </c>
      <c r="S81" s="23" t="s">
        <v>2276</v>
      </c>
      <c r="T81" s="23" t="s">
        <v>534</v>
      </c>
      <c r="U81" s="23" t="s">
        <v>2276</v>
      </c>
      <c r="V81" s="23">
        <v>2</v>
      </c>
      <c r="W81" s="4" t="s">
        <v>1473</v>
      </c>
    </row>
    <row r="82" spans="1:23" ht="52" customHeight="1">
      <c r="A82" s="23" t="s">
        <v>163</v>
      </c>
      <c r="B82" s="23" t="s">
        <v>1441</v>
      </c>
      <c r="C82" s="23" t="s">
        <v>24</v>
      </c>
      <c r="D82" s="23" t="s">
        <v>143</v>
      </c>
      <c r="E82" s="26" t="s">
        <v>45</v>
      </c>
      <c r="F82" s="23" t="s">
        <v>74</v>
      </c>
      <c r="G82" s="23">
        <v>2012</v>
      </c>
      <c r="H82" s="26" t="s">
        <v>541</v>
      </c>
      <c r="I82" s="23" t="s">
        <v>2276</v>
      </c>
      <c r="J82" s="23" t="s">
        <v>2276</v>
      </c>
      <c r="K82" s="23" t="s">
        <v>2276</v>
      </c>
      <c r="L82" s="23" t="s">
        <v>2276</v>
      </c>
      <c r="M82" s="23" t="s">
        <v>2276</v>
      </c>
      <c r="N82" s="23" t="s">
        <v>2276</v>
      </c>
      <c r="O82" s="23" t="s">
        <v>2276</v>
      </c>
      <c r="P82" s="23" t="s">
        <v>2276</v>
      </c>
      <c r="Q82" s="23" t="s">
        <v>2276</v>
      </c>
      <c r="R82" s="23" t="s">
        <v>534</v>
      </c>
      <c r="S82" s="23" t="s">
        <v>2276</v>
      </c>
      <c r="T82" s="23" t="s">
        <v>534</v>
      </c>
      <c r="U82" s="23" t="s">
        <v>2276</v>
      </c>
      <c r="V82" s="23">
        <v>2</v>
      </c>
      <c r="W82" s="4" t="s">
        <v>1473</v>
      </c>
    </row>
    <row r="83" spans="1:23" ht="52" customHeight="1">
      <c r="A83" s="23" t="s">
        <v>163</v>
      </c>
      <c r="B83" s="23" t="s">
        <v>1444</v>
      </c>
      <c r="C83" s="23" t="s">
        <v>24</v>
      </c>
      <c r="D83" s="23" t="s">
        <v>143</v>
      </c>
      <c r="E83" s="26" t="s">
        <v>396</v>
      </c>
      <c r="F83" s="23" t="s">
        <v>74</v>
      </c>
      <c r="G83" s="23">
        <v>2002</v>
      </c>
      <c r="H83" s="26" t="s">
        <v>541</v>
      </c>
      <c r="I83" s="23" t="s">
        <v>2276</v>
      </c>
      <c r="J83" s="23" t="s">
        <v>2276</v>
      </c>
      <c r="K83" s="23" t="s">
        <v>2276</v>
      </c>
      <c r="L83" s="23" t="s">
        <v>2276</v>
      </c>
      <c r="M83" s="23" t="s">
        <v>2276</v>
      </c>
      <c r="N83" s="23" t="s">
        <v>2276</v>
      </c>
      <c r="O83" s="23" t="s">
        <v>2276</v>
      </c>
      <c r="P83" s="23" t="s">
        <v>2276</v>
      </c>
      <c r="Q83" s="23" t="s">
        <v>2276</v>
      </c>
      <c r="R83" s="23" t="s">
        <v>534</v>
      </c>
      <c r="S83" s="23" t="s">
        <v>2276</v>
      </c>
      <c r="T83" s="23" t="s">
        <v>534</v>
      </c>
      <c r="U83" s="23" t="s">
        <v>2276</v>
      </c>
      <c r="V83" s="23">
        <v>2</v>
      </c>
      <c r="W83" s="4" t="s">
        <v>1473</v>
      </c>
    </row>
    <row r="84" spans="1:23" ht="52" customHeight="1">
      <c r="A84" s="23" t="s">
        <v>163</v>
      </c>
      <c r="B84" s="23" t="s">
        <v>1445</v>
      </c>
      <c r="C84" s="23" t="s">
        <v>24</v>
      </c>
      <c r="D84" s="23" t="s">
        <v>143</v>
      </c>
      <c r="E84" s="26" t="s">
        <v>396</v>
      </c>
      <c r="F84" s="23" t="s">
        <v>74</v>
      </c>
      <c r="G84" s="23">
        <v>2003</v>
      </c>
      <c r="H84" s="26" t="s">
        <v>541</v>
      </c>
      <c r="I84" s="23" t="s">
        <v>2276</v>
      </c>
      <c r="J84" s="23" t="s">
        <v>2276</v>
      </c>
      <c r="K84" s="23" t="s">
        <v>2276</v>
      </c>
      <c r="L84" s="23" t="s">
        <v>2276</v>
      </c>
      <c r="M84" s="23" t="s">
        <v>2276</v>
      </c>
      <c r="N84" s="23" t="s">
        <v>2276</v>
      </c>
      <c r="O84" s="23" t="s">
        <v>2276</v>
      </c>
      <c r="P84" s="23" t="s">
        <v>2276</v>
      </c>
      <c r="Q84" s="23" t="s">
        <v>2276</v>
      </c>
      <c r="R84" s="23" t="s">
        <v>534</v>
      </c>
      <c r="S84" s="23" t="s">
        <v>2276</v>
      </c>
      <c r="T84" s="23" t="s">
        <v>534</v>
      </c>
      <c r="U84" s="23" t="s">
        <v>2276</v>
      </c>
      <c r="V84" s="23">
        <v>2</v>
      </c>
      <c r="W84" s="4" t="s">
        <v>1473</v>
      </c>
    </row>
    <row r="85" spans="1:23" ht="52" customHeight="1">
      <c r="A85" s="23" t="s">
        <v>163</v>
      </c>
      <c r="B85" s="23" t="s">
        <v>1446</v>
      </c>
      <c r="C85" s="23" t="s">
        <v>24</v>
      </c>
      <c r="D85" s="23" t="s">
        <v>143</v>
      </c>
      <c r="E85" s="26" t="s">
        <v>396</v>
      </c>
      <c r="F85" s="23" t="s">
        <v>74</v>
      </c>
      <c r="G85" s="23">
        <v>2004</v>
      </c>
      <c r="H85" s="26" t="s">
        <v>541</v>
      </c>
      <c r="I85" s="23" t="s">
        <v>2276</v>
      </c>
      <c r="J85" s="23" t="s">
        <v>2276</v>
      </c>
      <c r="K85" s="23" t="s">
        <v>2276</v>
      </c>
      <c r="L85" s="23" t="s">
        <v>2276</v>
      </c>
      <c r="M85" s="23" t="s">
        <v>2276</v>
      </c>
      <c r="N85" s="23" t="s">
        <v>2276</v>
      </c>
      <c r="O85" s="23" t="s">
        <v>2276</v>
      </c>
      <c r="P85" s="23" t="s">
        <v>2276</v>
      </c>
      <c r="Q85" s="23" t="s">
        <v>2276</v>
      </c>
      <c r="R85" s="23" t="s">
        <v>534</v>
      </c>
      <c r="S85" s="23" t="s">
        <v>2276</v>
      </c>
      <c r="T85" s="23" t="s">
        <v>534</v>
      </c>
      <c r="U85" s="23" t="s">
        <v>2276</v>
      </c>
      <c r="V85" s="23">
        <v>2</v>
      </c>
      <c r="W85" s="4" t="s">
        <v>1473</v>
      </c>
    </row>
    <row r="86" spans="1:23" ht="52" customHeight="1">
      <c r="A86" s="23" t="s">
        <v>163</v>
      </c>
      <c r="B86" s="23" t="s">
        <v>1447</v>
      </c>
      <c r="C86" s="23" t="s">
        <v>24</v>
      </c>
      <c r="D86" s="23" t="s">
        <v>143</v>
      </c>
      <c r="E86" s="26" t="s">
        <v>396</v>
      </c>
      <c r="F86" s="23" t="s">
        <v>74</v>
      </c>
      <c r="G86" s="23">
        <v>2005</v>
      </c>
      <c r="H86" s="26" t="s">
        <v>541</v>
      </c>
      <c r="I86" s="23" t="s">
        <v>2276</v>
      </c>
      <c r="J86" s="23" t="s">
        <v>2276</v>
      </c>
      <c r="K86" s="23" t="s">
        <v>2276</v>
      </c>
      <c r="L86" s="23" t="s">
        <v>2276</v>
      </c>
      <c r="M86" s="23" t="s">
        <v>2276</v>
      </c>
      <c r="N86" s="23" t="s">
        <v>2276</v>
      </c>
      <c r="O86" s="23" t="s">
        <v>2276</v>
      </c>
      <c r="P86" s="23" t="s">
        <v>2276</v>
      </c>
      <c r="Q86" s="23" t="s">
        <v>2276</v>
      </c>
      <c r="R86" s="23" t="s">
        <v>534</v>
      </c>
      <c r="S86" s="23" t="s">
        <v>2276</v>
      </c>
      <c r="T86" s="23" t="s">
        <v>534</v>
      </c>
      <c r="U86" s="23" t="s">
        <v>2276</v>
      </c>
      <c r="V86" s="23">
        <v>2</v>
      </c>
      <c r="W86" s="4" t="s">
        <v>1473</v>
      </c>
    </row>
    <row r="87" spans="1:23" ht="52" customHeight="1">
      <c r="A87" s="23" t="s">
        <v>163</v>
      </c>
      <c r="B87" s="23" t="s">
        <v>1448</v>
      </c>
      <c r="C87" s="23" t="s">
        <v>24</v>
      </c>
      <c r="D87" s="23" t="s">
        <v>143</v>
      </c>
      <c r="E87" s="26" t="s">
        <v>396</v>
      </c>
      <c r="F87" s="23" t="s">
        <v>74</v>
      </c>
      <c r="G87" s="23">
        <v>2006</v>
      </c>
      <c r="H87" s="26" t="s">
        <v>541</v>
      </c>
      <c r="I87" s="23" t="s">
        <v>2276</v>
      </c>
      <c r="J87" s="23" t="s">
        <v>2276</v>
      </c>
      <c r="K87" s="23" t="s">
        <v>2276</v>
      </c>
      <c r="L87" s="23" t="s">
        <v>2276</v>
      </c>
      <c r="M87" s="23" t="s">
        <v>2276</v>
      </c>
      <c r="N87" s="23" t="s">
        <v>2276</v>
      </c>
      <c r="O87" s="23" t="s">
        <v>2276</v>
      </c>
      <c r="P87" s="23" t="s">
        <v>2276</v>
      </c>
      <c r="Q87" s="23" t="s">
        <v>2276</v>
      </c>
      <c r="R87" s="23" t="s">
        <v>534</v>
      </c>
      <c r="S87" s="23" t="s">
        <v>2276</v>
      </c>
      <c r="T87" s="23" t="s">
        <v>534</v>
      </c>
      <c r="U87" s="23" t="s">
        <v>2276</v>
      </c>
      <c r="V87" s="23">
        <v>2</v>
      </c>
      <c r="W87" s="4" t="s">
        <v>1473</v>
      </c>
    </row>
    <row r="88" spans="1:23" ht="52" customHeight="1">
      <c r="A88" s="23" t="s">
        <v>163</v>
      </c>
      <c r="B88" s="23" t="s">
        <v>1449</v>
      </c>
      <c r="C88" s="23" t="s">
        <v>24</v>
      </c>
      <c r="D88" s="23" t="s">
        <v>143</v>
      </c>
      <c r="E88" s="26" t="s">
        <v>396</v>
      </c>
      <c r="F88" s="23" t="s">
        <v>74</v>
      </c>
      <c r="G88" s="23">
        <v>2007</v>
      </c>
      <c r="H88" s="26" t="s">
        <v>541</v>
      </c>
      <c r="I88" s="23" t="s">
        <v>2276</v>
      </c>
      <c r="J88" s="23" t="s">
        <v>2276</v>
      </c>
      <c r="K88" s="23" t="s">
        <v>2276</v>
      </c>
      <c r="L88" s="23" t="s">
        <v>2276</v>
      </c>
      <c r="M88" s="23" t="s">
        <v>2276</v>
      </c>
      <c r="N88" s="23" t="s">
        <v>2276</v>
      </c>
      <c r="O88" s="23" t="s">
        <v>2276</v>
      </c>
      <c r="P88" s="23" t="s">
        <v>2276</v>
      </c>
      <c r="Q88" s="23" t="s">
        <v>2276</v>
      </c>
      <c r="R88" s="23" t="s">
        <v>534</v>
      </c>
      <c r="S88" s="23" t="s">
        <v>2276</v>
      </c>
      <c r="T88" s="23" t="s">
        <v>534</v>
      </c>
      <c r="U88" s="23" t="s">
        <v>2276</v>
      </c>
      <c r="V88" s="23">
        <v>2</v>
      </c>
      <c r="W88" s="4" t="s">
        <v>1473</v>
      </c>
    </row>
    <row r="89" spans="1:23" ht="52" customHeight="1">
      <c r="A89" s="23" t="s">
        <v>163</v>
      </c>
      <c r="B89" s="23" t="s">
        <v>1450</v>
      </c>
      <c r="C89" s="23" t="s">
        <v>24</v>
      </c>
      <c r="D89" s="23" t="s">
        <v>143</v>
      </c>
      <c r="E89" s="26" t="s">
        <v>396</v>
      </c>
      <c r="F89" s="23" t="s">
        <v>74</v>
      </c>
      <c r="G89" s="23">
        <v>2008</v>
      </c>
      <c r="H89" s="26" t="s">
        <v>541</v>
      </c>
      <c r="I89" s="23" t="s">
        <v>2276</v>
      </c>
      <c r="J89" s="23" t="s">
        <v>2276</v>
      </c>
      <c r="K89" s="23" t="s">
        <v>2276</v>
      </c>
      <c r="L89" s="23" t="s">
        <v>2276</v>
      </c>
      <c r="M89" s="23" t="s">
        <v>2276</v>
      </c>
      <c r="N89" s="23" t="s">
        <v>2276</v>
      </c>
      <c r="O89" s="23" t="s">
        <v>2276</v>
      </c>
      <c r="P89" s="23" t="s">
        <v>2276</v>
      </c>
      <c r="Q89" s="23" t="s">
        <v>2276</v>
      </c>
      <c r="R89" s="23" t="s">
        <v>534</v>
      </c>
      <c r="S89" s="23" t="s">
        <v>2276</v>
      </c>
      <c r="T89" s="23" t="s">
        <v>534</v>
      </c>
      <c r="U89" s="23" t="s">
        <v>2276</v>
      </c>
      <c r="V89" s="23">
        <v>2</v>
      </c>
      <c r="W89" s="4" t="s">
        <v>1473</v>
      </c>
    </row>
    <row r="90" spans="1:23" ht="52" customHeight="1">
      <c r="A90" s="23" t="s">
        <v>163</v>
      </c>
      <c r="B90" s="23" t="s">
        <v>1451</v>
      </c>
      <c r="C90" s="23" t="s">
        <v>24</v>
      </c>
      <c r="D90" s="23" t="s">
        <v>143</v>
      </c>
      <c r="E90" s="26" t="s">
        <v>396</v>
      </c>
      <c r="F90" s="23" t="s">
        <v>74</v>
      </c>
      <c r="G90" s="23">
        <v>2009</v>
      </c>
      <c r="H90" s="26" t="s">
        <v>541</v>
      </c>
      <c r="I90" s="23" t="s">
        <v>2276</v>
      </c>
      <c r="J90" s="23" t="s">
        <v>2276</v>
      </c>
      <c r="K90" s="23" t="s">
        <v>2276</v>
      </c>
      <c r="L90" s="23" t="s">
        <v>2276</v>
      </c>
      <c r="M90" s="23" t="s">
        <v>2276</v>
      </c>
      <c r="N90" s="23" t="s">
        <v>2276</v>
      </c>
      <c r="O90" s="23" t="s">
        <v>2276</v>
      </c>
      <c r="P90" s="23" t="s">
        <v>2276</v>
      </c>
      <c r="Q90" s="23" t="s">
        <v>2276</v>
      </c>
      <c r="R90" s="23" t="s">
        <v>534</v>
      </c>
      <c r="S90" s="23" t="s">
        <v>2276</v>
      </c>
      <c r="T90" s="23" t="s">
        <v>534</v>
      </c>
      <c r="U90" s="23" t="s">
        <v>2276</v>
      </c>
      <c r="V90" s="23">
        <v>2</v>
      </c>
      <c r="W90" s="4" t="s">
        <v>1473</v>
      </c>
    </row>
    <row r="91" spans="1:23" ht="47" customHeight="1">
      <c r="A91" s="23" t="s">
        <v>163</v>
      </c>
      <c r="B91" s="23" t="s">
        <v>1452</v>
      </c>
      <c r="C91" s="23" t="s">
        <v>24</v>
      </c>
      <c r="D91" s="23" t="s">
        <v>143</v>
      </c>
      <c r="E91" s="26" t="s">
        <v>396</v>
      </c>
      <c r="F91" s="23" t="s">
        <v>74</v>
      </c>
      <c r="G91" s="23">
        <v>2010</v>
      </c>
      <c r="H91" s="26" t="s">
        <v>541</v>
      </c>
      <c r="I91" s="23" t="s">
        <v>2276</v>
      </c>
      <c r="J91" s="23" t="s">
        <v>2276</v>
      </c>
      <c r="K91" s="23" t="s">
        <v>2276</v>
      </c>
      <c r="L91" s="23" t="s">
        <v>2276</v>
      </c>
      <c r="M91" s="23" t="s">
        <v>2276</v>
      </c>
      <c r="N91" s="23" t="s">
        <v>2276</v>
      </c>
      <c r="O91" s="23" t="s">
        <v>2276</v>
      </c>
      <c r="P91" s="23" t="s">
        <v>2276</v>
      </c>
      <c r="Q91" s="23" t="s">
        <v>2276</v>
      </c>
      <c r="R91" s="23" t="s">
        <v>534</v>
      </c>
      <c r="S91" s="23" t="s">
        <v>2276</v>
      </c>
      <c r="T91" s="23" t="s">
        <v>534</v>
      </c>
      <c r="U91" s="23" t="s">
        <v>2276</v>
      </c>
      <c r="V91" s="23">
        <v>2</v>
      </c>
      <c r="W91" s="4" t="s">
        <v>1473</v>
      </c>
    </row>
    <row r="92" spans="1:23" ht="47" customHeight="1">
      <c r="A92" s="23" t="s">
        <v>163</v>
      </c>
      <c r="B92" s="23" t="s">
        <v>1453</v>
      </c>
      <c r="C92" s="23" t="s">
        <v>24</v>
      </c>
      <c r="D92" s="23" t="s">
        <v>143</v>
      </c>
      <c r="E92" s="26" t="s">
        <v>396</v>
      </c>
      <c r="F92" s="23" t="s">
        <v>74</v>
      </c>
      <c r="G92" s="23">
        <v>2011</v>
      </c>
      <c r="H92" s="26" t="s">
        <v>541</v>
      </c>
      <c r="I92" s="23" t="s">
        <v>2276</v>
      </c>
      <c r="J92" s="23" t="s">
        <v>2276</v>
      </c>
      <c r="K92" s="23" t="s">
        <v>2276</v>
      </c>
      <c r="L92" s="23" t="s">
        <v>2276</v>
      </c>
      <c r="M92" s="23" t="s">
        <v>2276</v>
      </c>
      <c r="N92" s="23" t="s">
        <v>2276</v>
      </c>
      <c r="O92" s="23" t="s">
        <v>2276</v>
      </c>
      <c r="P92" s="23" t="s">
        <v>2276</v>
      </c>
      <c r="Q92" s="23" t="s">
        <v>2276</v>
      </c>
      <c r="R92" s="23" t="s">
        <v>534</v>
      </c>
      <c r="S92" s="23" t="s">
        <v>2276</v>
      </c>
      <c r="T92" s="23" t="s">
        <v>534</v>
      </c>
      <c r="U92" s="23" t="s">
        <v>2276</v>
      </c>
      <c r="V92" s="23">
        <v>2</v>
      </c>
      <c r="W92" s="4" t="s">
        <v>1473</v>
      </c>
    </row>
    <row r="93" spans="1:23" ht="47" customHeight="1">
      <c r="A93" s="23" t="s">
        <v>163</v>
      </c>
      <c r="B93" s="23" t="s">
        <v>1454</v>
      </c>
      <c r="C93" s="23" t="s">
        <v>24</v>
      </c>
      <c r="D93" s="23" t="s">
        <v>143</v>
      </c>
      <c r="E93" s="26" t="s">
        <v>396</v>
      </c>
      <c r="F93" s="23" t="s">
        <v>74</v>
      </c>
      <c r="G93" s="23">
        <v>2012</v>
      </c>
      <c r="H93" s="26" t="s">
        <v>541</v>
      </c>
      <c r="I93" s="23" t="s">
        <v>2276</v>
      </c>
      <c r="J93" s="23" t="s">
        <v>2276</v>
      </c>
      <c r="K93" s="23" t="s">
        <v>2276</v>
      </c>
      <c r="L93" s="23" t="s">
        <v>2276</v>
      </c>
      <c r="M93" s="23" t="s">
        <v>2276</v>
      </c>
      <c r="N93" s="23" t="s">
        <v>2276</v>
      </c>
      <c r="O93" s="23" t="s">
        <v>2276</v>
      </c>
      <c r="P93" s="23" t="s">
        <v>2276</v>
      </c>
      <c r="Q93" s="23" t="s">
        <v>2276</v>
      </c>
      <c r="R93" s="23" t="s">
        <v>534</v>
      </c>
      <c r="S93" s="23" t="s">
        <v>2276</v>
      </c>
      <c r="T93" s="23" t="s">
        <v>534</v>
      </c>
      <c r="U93" s="23" t="s">
        <v>2276</v>
      </c>
      <c r="V93" s="23">
        <v>2</v>
      </c>
      <c r="W93" s="4" t="s">
        <v>1473</v>
      </c>
    </row>
    <row r="94" spans="1:23" ht="47" customHeight="1">
      <c r="A94" s="23" t="s">
        <v>382</v>
      </c>
      <c r="B94" s="23" t="s">
        <v>390</v>
      </c>
      <c r="C94" s="46" t="s">
        <v>24</v>
      </c>
      <c r="D94" s="46" t="s">
        <v>143</v>
      </c>
      <c r="E94" s="59" t="s">
        <v>397</v>
      </c>
      <c r="F94" s="46" t="s">
        <v>74</v>
      </c>
      <c r="G94" s="23">
        <v>1995</v>
      </c>
      <c r="H94" s="26" t="s">
        <v>1031</v>
      </c>
      <c r="I94" s="23" t="s">
        <v>2276</v>
      </c>
      <c r="J94" s="23" t="s">
        <v>2276</v>
      </c>
      <c r="K94" s="23" t="s">
        <v>2276</v>
      </c>
      <c r="L94" s="23" t="s">
        <v>2276</v>
      </c>
      <c r="M94" s="23" t="s">
        <v>2728</v>
      </c>
      <c r="N94" s="23" t="s">
        <v>534</v>
      </c>
      <c r="O94" s="23" t="s">
        <v>2276</v>
      </c>
      <c r="P94" s="23" t="s">
        <v>2276</v>
      </c>
      <c r="Q94" s="23">
        <v>2</v>
      </c>
      <c r="R94" s="23" t="s">
        <v>2276</v>
      </c>
      <c r="S94" s="23" t="s">
        <v>2276</v>
      </c>
      <c r="T94" s="23" t="s">
        <v>2276</v>
      </c>
      <c r="U94" s="23" t="s">
        <v>2276</v>
      </c>
      <c r="V94" s="51" t="s">
        <v>2276</v>
      </c>
      <c r="W94" s="4" t="s">
        <v>1472</v>
      </c>
    </row>
    <row r="95" spans="1:23" ht="47" customHeight="1">
      <c r="A95" s="23" t="s">
        <v>382</v>
      </c>
      <c r="B95" s="23" t="s">
        <v>403</v>
      </c>
      <c r="C95" s="23" t="s">
        <v>24</v>
      </c>
      <c r="D95" s="23" t="s">
        <v>27</v>
      </c>
      <c r="E95" s="23" t="s">
        <v>130</v>
      </c>
      <c r="F95" s="23" t="s">
        <v>161</v>
      </c>
      <c r="G95" s="23">
        <v>1995</v>
      </c>
      <c r="H95" s="26" t="s">
        <v>1031</v>
      </c>
      <c r="I95" s="23" t="s">
        <v>2276</v>
      </c>
      <c r="J95" s="23" t="s">
        <v>2276</v>
      </c>
      <c r="K95" s="23" t="s">
        <v>2276</v>
      </c>
      <c r="L95" s="23" t="s">
        <v>2276</v>
      </c>
      <c r="M95" s="23" t="s">
        <v>2728</v>
      </c>
      <c r="N95" s="23" t="s">
        <v>534</v>
      </c>
      <c r="O95" s="23" t="s">
        <v>2276</v>
      </c>
      <c r="P95" s="23" t="s">
        <v>2276</v>
      </c>
      <c r="Q95" s="23">
        <v>2</v>
      </c>
      <c r="R95" s="23" t="s">
        <v>2276</v>
      </c>
      <c r="S95" s="23" t="s">
        <v>2276</v>
      </c>
      <c r="T95" s="23" t="s">
        <v>2276</v>
      </c>
      <c r="U95" s="23" t="s">
        <v>2276</v>
      </c>
      <c r="V95" s="51" t="s">
        <v>2276</v>
      </c>
      <c r="W95" s="4" t="s">
        <v>1472</v>
      </c>
    </row>
    <row r="96" spans="1:23" ht="47" customHeight="1">
      <c r="A96" s="23" t="s">
        <v>383</v>
      </c>
      <c r="B96" s="23" t="s">
        <v>391</v>
      </c>
      <c r="C96" s="23" t="s">
        <v>24</v>
      </c>
      <c r="D96" s="23" t="s">
        <v>143</v>
      </c>
      <c r="E96" s="59" t="s">
        <v>397</v>
      </c>
      <c r="F96" s="23" t="s">
        <v>74</v>
      </c>
      <c r="G96" s="23">
        <v>1995</v>
      </c>
      <c r="H96" s="26" t="s">
        <v>1031</v>
      </c>
      <c r="I96" s="23" t="s">
        <v>2276</v>
      </c>
      <c r="J96" s="23" t="s">
        <v>2276</v>
      </c>
      <c r="K96" s="23" t="s">
        <v>2276</v>
      </c>
      <c r="L96" s="23" t="s">
        <v>2276</v>
      </c>
      <c r="M96" s="23" t="s">
        <v>2728</v>
      </c>
      <c r="N96" s="23" t="s">
        <v>534</v>
      </c>
      <c r="O96" s="23" t="s">
        <v>2276</v>
      </c>
      <c r="P96" s="23" t="s">
        <v>2276</v>
      </c>
      <c r="Q96" s="23">
        <v>2</v>
      </c>
      <c r="R96" s="23" t="s">
        <v>2276</v>
      </c>
      <c r="S96" s="23" t="s">
        <v>2276</v>
      </c>
      <c r="T96" s="23" t="s">
        <v>2276</v>
      </c>
      <c r="U96" s="23" t="s">
        <v>2276</v>
      </c>
      <c r="V96" s="51" t="s">
        <v>2276</v>
      </c>
      <c r="W96" s="4" t="s">
        <v>1472</v>
      </c>
    </row>
    <row r="97" spans="1:23" ht="47" customHeight="1">
      <c r="A97" s="23" t="s">
        <v>383</v>
      </c>
      <c r="B97" s="23" t="s">
        <v>407</v>
      </c>
      <c r="C97" s="23" t="s">
        <v>24</v>
      </c>
      <c r="D97" s="23" t="s">
        <v>27</v>
      </c>
      <c r="E97" s="23" t="s">
        <v>130</v>
      </c>
      <c r="F97" s="23" t="s">
        <v>161</v>
      </c>
      <c r="G97" s="23">
        <v>1995</v>
      </c>
      <c r="H97" s="26" t="s">
        <v>1031</v>
      </c>
      <c r="I97" s="23" t="s">
        <v>2276</v>
      </c>
      <c r="J97" s="23" t="s">
        <v>2276</v>
      </c>
      <c r="K97" s="23" t="s">
        <v>2276</v>
      </c>
      <c r="L97" s="23" t="s">
        <v>2276</v>
      </c>
      <c r="M97" s="23" t="s">
        <v>2728</v>
      </c>
      <c r="N97" s="23" t="s">
        <v>534</v>
      </c>
      <c r="O97" s="23" t="s">
        <v>2276</v>
      </c>
      <c r="P97" s="23" t="s">
        <v>2276</v>
      </c>
      <c r="Q97" s="23">
        <v>2</v>
      </c>
      <c r="R97" s="23" t="s">
        <v>2276</v>
      </c>
      <c r="S97" s="23" t="s">
        <v>2276</v>
      </c>
      <c r="T97" s="23" t="s">
        <v>2276</v>
      </c>
      <c r="U97" s="23" t="s">
        <v>2276</v>
      </c>
      <c r="V97" s="51" t="s">
        <v>2276</v>
      </c>
      <c r="W97" s="4" t="s">
        <v>1472</v>
      </c>
    </row>
    <row r="98" spans="1:23" ht="47" customHeight="1">
      <c r="A98" s="23" t="s">
        <v>388</v>
      </c>
      <c r="B98" s="23" t="s">
        <v>392</v>
      </c>
      <c r="C98" s="23" t="s">
        <v>24</v>
      </c>
      <c r="D98" s="23" t="s">
        <v>143</v>
      </c>
      <c r="E98" s="26" t="s">
        <v>397</v>
      </c>
      <c r="F98" s="23" t="s">
        <v>74</v>
      </c>
      <c r="G98" s="23">
        <v>2012</v>
      </c>
      <c r="H98" s="26" t="s">
        <v>1031</v>
      </c>
      <c r="I98" s="23" t="s">
        <v>2276</v>
      </c>
      <c r="J98" s="23" t="s">
        <v>2276</v>
      </c>
      <c r="K98" s="23" t="s">
        <v>2276</v>
      </c>
      <c r="L98" s="23" t="s">
        <v>2276</v>
      </c>
      <c r="M98" s="23" t="s">
        <v>2728</v>
      </c>
      <c r="N98" s="23" t="s">
        <v>534</v>
      </c>
      <c r="O98" s="23" t="s">
        <v>2276</v>
      </c>
      <c r="P98" s="23" t="s">
        <v>2276</v>
      </c>
      <c r="Q98" s="23">
        <v>2</v>
      </c>
      <c r="R98" s="23" t="s">
        <v>2276</v>
      </c>
      <c r="S98" s="23" t="s">
        <v>2276</v>
      </c>
      <c r="T98" s="23" t="s">
        <v>2276</v>
      </c>
      <c r="U98" s="23" t="s">
        <v>2276</v>
      </c>
      <c r="V98" s="51" t="s">
        <v>2276</v>
      </c>
      <c r="W98" s="4" t="s">
        <v>1472</v>
      </c>
    </row>
    <row r="99" spans="1:23" ht="47" customHeight="1">
      <c r="A99" s="23" t="s">
        <v>388</v>
      </c>
      <c r="B99" s="23" t="s">
        <v>412</v>
      </c>
      <c r="C99" s="23" t="s">
        <v>24</v>
      </c>
      <c r="D99" s="23" t="s">
        <v>27</v>
      </c>
      <c r="E99" s="23" t="s">
        <v>130</v>
      </c>
      <c r="F99" s="23" t="s">
        <v>161</v>
      </c>
      <c r="G99" s="23">
        <v>2012</v>
      </c>
      <c r="H99" s="26" t="s">
        <v>1031</v>
      </c>
      <c r="I99" s="23" t="s">
        <v>2276</v>
      </c>
      <c r="J99" s="23" t="s">
        <v>2276</v>
      </c>
      <c r="K99" s="23" t="s">
        <v>2276</v>
      </c>
      <c r="L99" s="23" t="s">
        <v>2276</v>
      </c>
      <c r="M99" s="23" t="s">
        <v>2728</v>
      </c>
      <c r="N99" s="23" t="s">
        <v>534</v>
      </c>
      <c r="O99" s="23" t="s">
        <v>2276</v>
      </c>
      <c r="P99" s="23" t="s">
        <v>2276</v>
      </c>
      <c r="Q99" s="23">
        <v>2</v>
      </c>
      <c r="R99" s="23" t="s">
        <v>2276</v>
      </c>
      <c r="S99" s="23" t="s">
        <v>2276</v>
      </c>
      <c r="T99" s="23" t="s">
        <v>2276</v>
      </c>
      <c r="U99" s="23" t="s">
        <v>2276</v>
      </c>
      <c r="V99" s="51" t="s">
        <v>2276</v>
      </c>
      <c r="W99" s="4" t="s">
        <v>1472</v>
      </c>
    </row>
    <row r="100" spans="1:23" ht="51.5" customHeight="1">
      <c r="A100" s="23" t="s">
        <v>388</v>
      </c>
      <c r="B100" s="23" t="s">
        <v>1467</v>
      </c>
      <c r="C100" s="23" t="s">
        <v>24</v>
      </c>
      <c r="D100" s="23" t="s">
        <v>143</v>
      </c>
      <c r="E100" s="26" t="s">
        <v>397</v>
      </c>
      <c r="F100" s="23" t="s">
        <v>74</v>
      </c>
      <c r="G100" s="23">
        <v>2012</v>
      </c>
      <c r="H100" s="26" t="s">
        <v>541</v>
      </c>
      <c r="I100" s="23" t="s">
        <v>2276</v>
      </c>
      <c r="J100" s="23" t="s">
        <v>2276</v>
      </c>
      <c r="K100" s="23" t="s">
        <v>2276</v>
      </c>
      <c r="L100" s="23" t="s">
        <v>2276</v>
      </c>
      <c r="M100" s="23" t="s">
        <v>2276</v>
      </c>
      <c r="N100" s="23" t="s">
        <v>2276</v>
      </c>
      <c r="O100" s="23" t="s">
        <v>2276</v>
      </c>
      <c r="P100" s="23" t="s">
        <v>2276</v>
      </c>
      <c r="Q100" s="23" t="s">
        <v>2276</v>
      </c>
      <c r="R100" s="23" t="s">
        <v>534</v>
      </c>
      <c r="S100" s="23" t="s">
        <v>534</v>
      </c>
      <c r="T100" s="23" t="s">
        <v>2276</v>
      </c>
      <c r="U100" s="23" t="s">
        <v>2276</v>
      </c>
      <c r="V100" s="23">
        <v>4</v>
      </c>
      <c r="W100" s="4" t="s">
        <v>1471</v>
      </c>
    </row>
    <row r="101" spans="1:23" ht="47" customHeight="1">
      <c r="A101" s="23" t="s">
        <v>388</v>
      </c>
      <c r="B101" s="23" t="s">
        <v>1468</v>
      </c>
      <c r="C101" s="23" t="s">
        <v>24</v>
      </c>
      <c r="D101" s="23" t="s">
        <v>27</v>
      </c>
      <c r="E101" s="23" t="s">
        <v>130</v>
      </c>
      <c r="F101" s="23" t="s">
        <v>161</v>
      </c>
      <c r="G101" s="23">
        <v>2012</v>
      </c>
      <c r="H101" s="26" t="s">
        <v>541</v>
      </c>
      <c r="I101" s="23" t="s">
        <v>2276</v>
      </c>
      <c r="J101" s="23" t="s">
        <v>2276</v>
      </c>
      <c r="K101" s="23" t="s">
        <v>2276</v>
      </c>
      <c r="L101" s="23" t="s">
        <v>2276</v>
      </c>
      <c r="M101" s="23" t="s">
        <v>2276</v>
      </c>
      <c r="N101" s="23" t="s">
        <v>2276</v>
      </c>
      <c r="O101" s="23" t="s">
        <v>2276</v>
      </c>
      <c r="P101" s="23" t="s">
        <v>2276</v>
      </c>
      <c r="Q101" s="23" t="s">
        <v>2276</v>
      </c>
      <c r="R101" s="23" t="s">
        <v>534</v>
      </c>
      <c r="S101" s="23" t="s">
        <v>534</v>
      </c>
      <c r="T101" s="23" t="s">
        <v>2276</v>
      </c>
      <c r="U101" s="23" t="s">
        <v>2276</v>
      </c>
      <c r="V101" s="23">
        <v>4</v>
      </c>
      <c r="W101" s="4" t="s">
        <v>1471</v>
      </c>
    </row>
    <row r="102" spans="1:23" ht="47" customHeight="1">
      <c r="A102" s="23" t="s">
        <v>389</v>
      </c>
      <c r="B102" s="23" t="s">
        <v>393</v>
      </c>
      <c r="C102" s="23" t="s">
        <v>24</v>
      </c>
      <c r="D102" s="23" t="s">
        <v>143</v>
      </c>
      <c r="E102" s="26" t="s">
        <v>397</v>
      </c>
      <c r="F102" s="23" t="s">
        <v>74</v>
      </c>
      <c r="G102" s="23">
        <v>2012</v>
      </c>
      <c r="H102" s="26" t="s">
        <v>1031</v>
      </c>
      <c r="I102" s="23" t="s">
        <v>2276</v>
      </c>
      <c r="J102" s="23" t="s">
        <v>2276</v>
      </c>
      <c r="K102" s="23" t="s">
        <v>2276</v>
      </c>
      <c r="L102" s="23" t="s">
        <v>2276</v>
      </c>
      <c r="M102" s="23" t="s">
        <v>2728</v>
      </c>
      <c r="N102" s="23" t="s">
        <v>534</v>
      </c>
      <c r="O102" s="23" t="s">
        <v>2276</v>
      </c>
      <c r="P102" s="23" t="s">
        <v>2276</v>
      </c>
      <c r="Q102" s="23">
        <v>2</v>
      </c>
      <c r="R102" s="23" t="s">
        <v>2276</v>
      </c>
      <c r="S102" s="23" t="s">
        <v>2276</v>
      </c>
      <c r="T102" s="23" t="s">
        <v>2276</v>
      </c>
      <c r="U102" s="23" t="s">
        <v>2276</v>
      </c>
      <c r="V102" s="23" t="s">
        <v>2276</v>
      </c>
      <c r="W102" s="4" t="s">
        <v>1472</v>
      </c>
    </row>
    <row r="103" spans="1:23" ht="47" customHeight="1">
      <c r="A103" s="23" t="s">
        <v>389</v>
      </c>
      <c r="B103" s="23" t="s">
        <v>413</v>
      </c>
      <c r="C103" s="23" t="s">
        <v>24</v>
      </c>
      <c r="D103" s="23" t="s">
        <v>27</v>
      </c>
      <c r="E103" s="23" t="s">
        <v>130</v>
      </c>
      <c r="F103" s="23" t="s">
        <v>161</v>
      </c>
      <c r="G103" s="23">
        <v>2012</v>
      </c>
      <c r="H103" s="26" t="s">
        <v>1031</v>
      </c>
      <c r="I103" s="23" t="s">
        <v>2276</v>
      </c>
      <c r="J103" s="23" t="s">
        <v>2276</v>
      </c>
      <c r="K103" s="23" t="s">
        <v>2276</v>
      </c>
      <c r="L103" s="23" t="s">
        <v>2276</v>
      </c>
      <c r="M103" s="23" t="s">
        <v>2728</v>
      </c>
      <c r="N103" s="23" t="s">
        <v>534</v>
      </c>
      <c r="O103" s="23" t="s">
        <v>2276</v>
      </c>
      <c r="P103" s="23" t="s">
        <v>2276</v>
      </c>
      <c r="Q103" s="23">
        <v>2</v>
      </c>
      <c r="R103" s="23" t="s">
        <v>2276</v>
      </c>
      <c r="S103" s="23" t="s">
        <v>2276</v>
      </c>
      <c r="T103" s="23" t="s">
        <v>2276</v>
      </c>
      <c r="U103" s="23" t="s">
        <v>2276</v>
      </c>
      <c r="V103" s="23" t="s">
        <v>2276</v>
      </c>
      <c r="W103" s="4" t="s">
        <v>1472</v>
      </c>
    </row>
    <row r="104" spans="1:23" ht="47" customHeight="1">
      <c r="A104" s="23" t="s">
        <v>389</v>
      </c>
      <c r="B104" s="23" t="s">
        <v>1469</v>
      </c>
      <c r="C104" s="23" t="s">
        <v>24</v>
      </c>
      <c r="D104" s="23" t="s">
        <v>143</v>
      </c>
      <c r="E104" s="59" t="s">
        <v>397</v>
      </c>
      <c r="F104" s="23" t="s">
        <v>74</v>
      </c>
      <c r="G104" s="23">
        <v>2012</v>
      </c>
      <c r="H104" s="26" t="s">
        <v>541</v>
      </c>
      <c r="I104" s="23" t="s">
        <v>2276</v>
      </c>
      <c r="J104" s="23" t="s">
        <v>2276</v>
      </c>
      <c r="K104" s="23" t="s">
        <v>2276</v>
      </c>
      <c r="L104" s="23" t="s">
        <v>2276</v>
      </c>
      <c r="M104" s="23" t="s">
        <v>2276</v>
      </c>
      <c r="N104" s="23" t="s">
        <v>2276</v>
      </c>
      <c r="O104" s="23" t="s">
        <v>2276</v>
      </c>
      <c r="P104" s="23" t="s">
        <v>2276</v>
      </c>
      <c r="Q104" s="23" t="s">
        <v>2276</v>
      </c>
      <c r="R104" s="23" t="s">
        <v>534</v>
      </c>
      <c r="S104" s="23" t="s">
        <v>534</v>
      </c>
      <c r="T104" s="23" t="s">
        <v>2276</v>
      </c>
      <c r="U104" s="23" t="s">
        <v>2276</v>
      </c>
      <c r="V104" s="23">
        <v>4</v>
      </c>
      <c r="W104" s="4" t="s">
        <v>1471</v>
      </c>
    </row>
    <row r="105" spans="1:23" ht="47" customHeight="1">
      <c r="A105" s="23" t="s">
        <v>389</v>
      </c>
      <c r="B105" s="23" t="s">
        <v>1470</v>
      </c>
      <c r="C105" s="23" t="s">
        <v>24</v>
      </c>
      <c r="D105" s="23" t="s">
        <v>27</v>
      </c>
      <c r="E105" s="23" t="s">
        <v>130</v>
      </c>
      <c r="F105" s="23" t="s">
        <v>161</v>
      </c>
      <c r="G105" s="23">
        <v>2012</v>
      </c>
      <c r="H105" s="26" t="s">
        <v>541</v>
      </c>
      <c r="I105" s="23" t="s">
        <v>2276</v>
      </c>
      <c r="J105" s="23" t="s">
        <v>2276</v>
      </c>
      <c r="K105" s="23" t="s">
        <v>2276</v>
      </c>
      <c r="L105" s="23" t="s">
        <v>2276</v>
      </c>
      <c r="M105" s="23" t="s">
        <v>2276</v>
      </c>
      <c r="N105" s="23" t="s">
        <v>2276</v>
      </c>
      <c r="O105" s="23" t="s">
        <v>2276</v>
      </c>
      <c r="P105" s="23" t="s">
        <v>2276</v>
      </c>
      <c r="Q105" s="23" t="s">
        <v>2276</v>
      </c>
      <c r="R105" s="23" t="s">
        <v>534</v>
      </c>
      <c r="S105" s="23" t="s">
        <v>534</v>
      </c>
      <c r="T105" s="23" t="s">
        <v>2276</v>
      </c>
      <c r="U105" s="23" t="s">
        <v>2276</v>
      </c>
      <c r="V105" s="23">
        <v>4</v>
      </c>
      <c r="W105" s="4" t="s">
        <v>1471</v>
      </c>
    </row>
    <row r="106" spans="1:23" ht="48.5" customHeight="1">
      <c r="A106" s="23" t="s">
        <v>420</v>
      </c>
      <c r="B106" s="23" t="s">
        <v>424</v>
      </c>
      <c r="C106" s="23" t="s">
        <v>24</v>
      </c>
      <c r="D106" s="23" t="s">
        <v>27</v>
      </c>
      <c r="E106" s="23" t="s">
        <v>130</v>
      </c>
      <c r="F106" s="23" t="s">
        <v>161</v>
      </c>
      <c r="G106" s="23"/>
      <c r="H106" s="26" t="s">
        <v>543</v>
      </c>
      <c r="I106" s="23" t="s">
        <v>2690</v>
      </c>
      <c r="J106" s="23" t="s">
        <v>534</v>
      </c>
      <c r="K106" s="23" t="s">
        <v>2276</v>
      </c>
      <c r="L106" s="23" t="s">
        <v>2276</v>
      </c>
      <c r="M106" s="23" t="s">
        <v>2276</v>
      </c>
      <c r="N106" s="23" t="s">
        <v>2276</v>
      </c>
      <c r="O106" s="23" t="s">
        <v>2276</v>
      </c>
      <c r="P106" s="23" t="s">
        <v>2276</v>
      </c>
      <c r="Q106" s="23" t="s">
        <v>2276</v>
      </c>
      <c r="R106" s="23" t="s">
        <v>534</v>
      </c>
      <c r="S106" s="23" t="s">
        <v>2276</v>
      </c>
      <c r="T106" s="23" t="s">
        <v>534</v>
      </c>
      <c r="U106" s="23" t="s">
        <v>2276</v>
      </c>
      <c r="V106" s="51" t="s">
        <v>2276</v>
      </c>
      <c r="W106" s="4" t="s">
        <v>873</v>
      </c>
    </row>
    <row r="107" spans="1:23" ht="113.5" customHeight="1">
      <c r="A107" s="23" t="s">
        <v>438</v>
      </c>
      <c r="B107" s="23" t="s">
        <v>442</v>
      </c>
      <c r="C107" s="23" t="s">
        <v>24</v>
      </c>
      <c r="D107" s="23" t="s">
        <v>27</v>
      </c>
      <c r="E107" s="23" t="s">
        <v>130</v>
      </c>
      <c r="F107" s="23" t="s">
        <v>161</v>
      </c>
      <c r="G107" s="23"/>
      <c r="H107" s="26" t="s">
        <v>541</v>
      </c>
      <c r="I107" s="23" t="s">
        <v>534</v>
      </c>
      <c r="J107" s="23" t="s">
        <v>534</v>
      </c>
      <c r="K107" s="23" t="s">
        <v>2276</v>
      </c>
      <c r="L107" s="23" t="s">
        <v>2276</v>
      </c>
      <c r="M107" s="23" t="s">
        <v>2276</v>
      </c>
      <c r="N107" s="23" t="s">
        <v>2276</v>
      </c>
      <c r="O107" s="23" t="s">
        <v>2276</v>
      </c>
      <c r="P107" s="23" t="s">
        <v>2276</v>
      </c>
      <c r="Q107" s="23" t="s">
        <v>2276</v>
      </c>
      <c r="R107" s="23" t="s">
        <v>2276</v>
      </c>
      <c r="S107" s="23" t="s">
        <v>2276</v>
      </c>
      <c r="T107" s="23" t="s">
        <v>2276</v>
      </c>
      <c r="U107" s="23" t="s">
        <v>2276</v>
      </c>
      <c r="V107" s="23" t="s">
        <v>2276</v>
      </c>
      <c r="W107" s="104" t="s">
        <v>1483</v>
      </c>
    </row>
    <row r="108" spans="1:23" ht="113.5" customHeight="1">
      <c r="A108" s="23" t="s">
        <v>446</v>
      </c>
      <c r="B108" s="23" t="s">
        <v>447</v>
      </c>
      <c r="C108" s="23" t="s">
        <v>24</v>
      </c>
      <c r="D108" s="23" t="s">
        <v>27</v>
      </c>
      <c r="E108" s="23" t="s">
        <v>130</v>
      </c>
      <c r="F108" s="23" t="s">
        <v>161</v>
      </c>
      <c r="G108" s="23"/>
      <c r="H108" s="26" t="s">
        <v>541</v>
      </c>
      <c r="I108" s="23" t="s">
        <v>537</v>
      </c>
      <c r="J108" s="23" t="s">
        <v>537</v>
      </c>
      <c r="K108" s="23" t="s">
        <v>537</v>
      </c>
      <c r="L108" s="23" t="s">
        <v>537</v>
      </c>
      <c r="M108" s="23" t="s">
        <v>2276</v>
      </c>
      <c r="N108" s="23" t="s">
        <v>2276</v>
      </c>
      <c r="O108" s="23" t="s">
        <v>2276</v>
      </c>
      <c r="P108" s="23" t="s">
        <v>2276</v>
      </c>
      <c r="Q108" s="23" t="s">
        <v>2276</v>
      </c>
      <c r="R108" s="23" t="s">
        <v>2276</v>
      </c>
      <c r="S108" s="23" t="s">
        <v>2276</v>
      </c>
      <c r="T108" s="23" t="s">
        <v>2276</v>
      </c>
      <c r="U108" s="23" t="s">
        <v>2276</v>
      </c>
      <c r="V108" s="23" t="s">
        <v>2276</v>
      </c>
      <c r="W108" s="4" t="s">
        <v>1493</v>
      </c>
    </row>
    <row r="109" spans="1:23" ht="113.5" customHeight="1">
      <c r="A109" s="23" t="s">
        <v>1489</v>
      </c>
      <c r="B109" s="23" t="s">
        <v>1491</v>
      </c>
      <c r="C109" s="23" t="s">
        <v>24</v>
      </c>
      <c r="D109" s="23" t="s">
        <v>27</v>
      </c>
      <c r="E109" s="23" t="s">
        <v>130</v>
      </c>
      <c r="F109" s="23" t="s">
        <v>161</v>
      </c>
      <c r="G109" s="23"/>
      <c r="H109" s="26" t="s">
        <v>541</v>
      </c>
      <c r="I109" s="23" t="s">
        <v>537</v>
      </c>
      <c r="J109" s="23" t="s">
        <v>537</v>
      </c>
      <c r="K109" s="23" t="s">
        <v>537</v>
      </c>
      <c r="L109" s="23" t="s">
        <v>537</v>
      </c>
      <c r="M109" s="23" t="s">
        <v>2276</v>
      </c>
      <c r="N109" s="23" t="s">
        <v>2276</v>
      </c>
      <c r="O109" s="23" t="s">
        <v>2276</v>
      </c>
      <c r="P109" s="23" t="s">
        <v>2276</v>
      </c>
      <c r="Q109" s="23" t="s">
        <v>2276</v>
      </c>
      <c r="R109" s="23" t="s">
        <v>2276</v>
      </c>
      <c r="S109" s="23" t="s">
        <v>2276</v>
      </c>
      <c r="T109" s="23" t="s">
        <v>2276</v>
      </c>
      <c r="U109" s="23" t="s">
        <v>2276</v>
      </c>
      <c r="V109" s="23" t="s">
        <v>2276</v>
      </c>
      <c r="W109" s="4" t="s">
        <v>1493</v>
      </c>
    </row>
    <row r="110" spans="1:23" ht="113.5" customHeight="1">
      <c r="A110" s="23" t="s">
        <v>1490</v>
      </c>
      <c r="B110" s="23" t="s">
        <v>1492</v>
      </c>
      <c r="C110" s="23" t="s">
        <v>24</v>
      </c>
      <c r="D110" s="23" t="s">
        <v>27</v>
      </c>
      <c r="E110" s="23" t="s">
        <v>130</v>
      </c>
      <c r="F110" s="23" t="s">
        <v>161</v>
      </c>
      <c r="G110" s="23"/>
      <c r="H110" s="26" t="s">
        <v>541</v>
      </c>
      <c r="I110" s="23" t="s">
        <v>537</v>
      </c>
      <c r="J110" s="23" t="s">
        <v>537</v>
      </c>
      <c r="K110" s="23" t="s">
        <v>537</v>
      </c>
      <c r="L110" s="23" t="s">
        <v>537</v>
      </c>
      <c r="M110" s="23" t="s">
        <v>2276</v>
      </c>
      <c r="N110" s="23" t="s">
        <v>2276</v>
      </c>
      <c r="O110" s="23" t="s">
        <v>2276</v>
      </c>
      <c r="P110" s="23" t="s">
        <v>2276</v>
      </c>
      <c r="Q110" s="23" t="s">
        <v>2276</v>
      </c>
      <c r="R110" s="23" t="s">
        <v>2276</v>
      </c>
      <c r="S110" s="23" t="s">
        <v>2276</v>
      </c>
      <c r="T110" s="23" t="s">
        <v>2276</v>
      </c>
      <c r="U110" s="23" t="s">
        <v>2276</v>
      </c>
      <c r="V110" s="23" t="s">
        <v>2276</v>
      </c>
      <c r="W110" s="4" t="s">
        <v>1493</v>
      </c>
    </row>
    <row r="111" spans="1:23" ht="113.5" customHeight="1">
      <c r="A111" s="23" t="s">
        <v>1487</v>
      </c>
      <c r="B111" s="23" t="s">
        <v>1488</v>
      </c>
      <c r="C111" s="23" t="s">
        <v>24</v>
      </c>
      <c r="D111" s="23" t="s">
        <v>27</v>
      </c>
      <c r="E111" s="23" t="s">
        <v>130</v>
      </c>
      <c r="F111" s="23" t="s">
        <v>161</v>
      </c>
      <c r="G111" s="23"/>
      <c r="H111" s="26" t="s">
        <v>541</v>
      </c>
      <c r="I111" s="23" t="s">
        <v>537</v>
      </c>
      <c r="J111" s="23" t="s">
        <v>537</v>
      </c>
      <c r="K111" s="23" t="s">
        <v>537</v>
      </c>
      <c r="L111" s="23" t="s">
        <v>537</v>
      </c>
      <c r="M111" s="23" t="s">
        <v>2276</v>
      </c>
      <c r="N111" s="23" t="s">
        <v>2276</v>
      </c>
      <c r="O111" s="23" t="s">
        <v>2276</v>
      </c>
      <c r="P111" s="23" t="s">
        <v>2276</v>
      </c>
      <c r="Q111" s="23" t="s">
        <v>2276</v>
      </c>
      <c r="R111" s="23" t="s">
        <v>2276</v>
      </c>
      <c r="S111" s="23" t="s">
        <v>2276</v>
      </c>
      <c r="T111" s="23" t="s">
        <v>2276</v>
      </c>
      <c r="U111" s="23" t="s">
        <v>2276</v>
      </c>
      <c r="V111" s="23" t="s">
        <v>2276</v>
      </c>
      <c r="W111" s="4" t="s">
        <v>1493</v>
      </c>
    </row>
    <row r="112" spans="1:23" ht="127" customHeight="1">
      <c r="A112" s="23" t="s">
        <v>510</v>
      </c>
      <c r="B112" s="23" t="s">
        <v>514</v>
      </c>
      <c r="C112" s="23" t="s">
        <v>24</v>
      </c>
      <c r="D112" s="23" t="s">
        <v>27</v>
      </c>
      <c r="E112" s="23" t="s">
        <v>130</v>
      </c>
      <c r="F112" s="23" t="s">
        <v>161</v>
      </c>
      <c r="G112" s="23"/>
      <c r="H112" s="26" t="s">
        <v>541</v>
      </c>
      <c r="I112" s="23" t="s">
        <v>2690</v>
      </c>
      <c r="J112" s="23" t="s">
        <v>534</v>
      </c>
      <c r="K112" s="23" t="s">
        <v>534</v>
      </c>
      <c r="L112" s="23" t="s">
        <v>2276</v>
      </c>
      <c r="M112" s="23" t="s">
        <v>2276</v>
      </c>
      <c r="N112" s="23" t="s">
        <v>2276</v>
      </c>
      <c r="O112" s="23" t="s">
        <v>2276</v>
      </c>
      <c r="P112" s="23" t="s">
        <v>2276</v>
      </c>
      <c r="Q112" s="23" t="s">
        <v>2276</v>
      </c>
      <c r="R112" s="23" t="s">
        <v>2276</v>
      </c>
      <c r="S112" s="23" t="s">
        <v>2276</v>
      </c>
      <c r="T112" s="23" t="s">
        <v>2276</v>
      </c>
      <c r="U112" s="23" t="s">
        <v>2276</v>
      </c>
      <c r="V112" s="51" t="s">
        <v>2276</v>
      </c>
      <c r="W112" s="4" t="s">
        <v>1495</v>
      </c>
    </row>
    <row r="113" spans="1:23" ht="103.5" customHeight="1">
      <c r="A113" s="23" t="s">
        <v>510</v>
      </c>
      <c r="B113" s="23" t="s">
        <v>517</v>
      </c>
      <c r="C113" s="23" t="s">
        <v>24</v>
      </c>
      <c r="D113" s="23" t="s">
        <v>27</v>
      </c>
      <c r="E113" s="23" t="s">
        <v>130</v>
      </c>
      <c r="F113" s="23" t="s">
        <v>161</v>
      </c>
      <c r="G113" s="23"/>
      <c r="H113" s="26" t="s">
        <v>1093</v>
      </c>
      <c r="I113" s="23" t="s">
        <v>2690</v>
      </c>
      <c r="J113" s="23" t="s">
        <v>534</v>
      </c>
      <c r="K113" s="23" t="s">
        <v>534</v>
      </c>
      <c r="L113" s="23" t="s">
        <v>2276</v>
      </c>
      <c r="M113" s="23" t="s">
        <v>2276</v>
      </c>
      <c r="N113" s="23" t="s">
        <v>2276</v>
      </c>
      <c r="O113" s="23" t="s">
        <v>2276</v>
      </c>
      <c r="P113" s="23" t="s">
        <v>2276</v>
      </c>
      <c r="Q113" s="23" t="s">
        <v>2276</v>
      </c>
      <c r="R113" s="23" t="s">
        <v>2276</v>
      </c>
      <c r="S113" s="23" t="s">
        <v>2276</v>
      </c>
      <c r="T113" s="23" t="s">
        <v>2276</v>
      </c>
      <c r="U113" s="23" t="s">
        <v>2276</v>
      </c>
      <c r="V113" s="51" t="s">
        <v>2276</v>
      </c>
      <c r="W113" s="4" t="s">
        <v>1496</v>
      </c>
    </row>
    <row r="114" spans="1:23" ht="103.5" customHeight="1">
      <c r="A114" s="23" t="s">
        <v>510</v>
      </c>
      <c r="B114" s="23" t="s">
        <v>518</v>
      </c>
      <c r="C114" s="23" t="s">
        <v>24</v>
      </c>
      <c r="D114" s="23" t="s">
        <v>27</v>
      </c>
      <c r="E114" s="23" t="s">
        <v>130</v>
      </c>
      <c r="F114" s="23" t="s">
        <v>161</v>
      </c>
      <c r="G114" s="23"/>
      <c r="H114" s="26" t="s">
        <v>541</v>
      </c>
      <c r="I114" s="23" t="s">
        <v>2276</v>
      </c>
      <c r="J114" s="23" t="s">
        <v>2276</v>
      </c>
      <c r="K114" s="23" t="s">
        <v>2276</v>
      </c>
      <c r="L114" s="23" t="s">
        <v>2276</v>
      </c>
      <c r="M114" s="23" t="s">
        <v>2671</v>
      </c>
      <c r="N114" s="23" t="s">
        <v>534</v>
      </c>
      <c r="O114" s="23" t="s">
        <v>534</v>
      </c>
      <c r="P114" s="23" t="s">
        <v>2276</v>
      </c>
      <c r="Q114" s="23">
        <v>3</v>
      </c>
      <c r="R114" s="23" t="s">
        <v>2276</v>
      </c>
      <c r="S114" s="23" t="s">
        <v>2276</v>
      </c>
      <c r="T114" s="23" t="s">
        <v>2276</v>
      </c>
      <c r="U114" s="23" t="s">
        <v>2276</v>
      </c>
      <c r="V114" s="51" t="s">
        <v>2276</v>
      </c>
      <c r="W114" s="4" t="s">
        <v>1497</v>
      </c>
    </row>
    <row r="115" spans="1:23" ht="47.5" customHeight="1">
      <c r="A115" s="19" t="s">
        <v>520</v>
      </c>
      <c r="B115" s="19" t="s">
        <v>538</v>
      </c>
      <c r="C115" s="23" t="s">
        <v>24</v>
      </c>
      <c r="D115" s="3" t="s">
        <v>143</v>
      </c>
      <c r="E115" s="23" t="s">
        <v>130</v>
      </c>
      <c r="F115" s="3" t="s">
        <v>74</v>
      </c>
      <c r="G115" s="3"/>
      <c r="H115" s="4" t="s">
        <v>541</v>
      </c>
      <c r="I115" s="3" t="s">
        <v>2276</v>
      </c>
      <c r="J115" s="3" t="s">
        <v>2276</v>
      </c>
      <c r="K115" s="3" t="s">
        <v>2276</v>
      </c>
      <c r="L115" s="3" t="s">
        <v>2276</v>
      </c>
      <c r="M115" s="3" t="s">
        <v>2276</v>
      </c>
      <c r="N115" s="3" t="s">
        <v>2276</v>
      </c>
      <c r="O115" s="3" t="s">
        <v>2276</v>
      </c>
      <c r="P115" s="3" t="s">
        <v>2276</v>
      </c>
      <c r="Q115" s="3" t="s">
        <v>2276</v>
      </c>
      <c r="R115" s="23" t="s">
        <v>534</v>
      </c>
      <c r="S115" s="23" t="s">
        <v>2276</v>
      </c>
      <c r="T115" s="23" t="s">
        <v>534</v>
      </c>
      <c r="U115" s="3" t="s">
        <v>2276</v>
      </c>
      <c r="V115" s="52">
        <v>3</v>
      </c>
      <c r="W115" s="3"/>
    </row>
    <row r="116" spans="1:23" ht="67.5" customHeight="1">
      <c r="A116" s="19" t="s">
        <v>520</v>
      </c>
      <c r="B116" s="19" t="s">
        <v>539</v>
      </c>
      <c r="C116" s="23" t="s">
        <v>24</v>
      </c>
      <c r="D116" s="3" t="s">
        <v>143</v>
      </c>
      <c r="E116" s="23" t="s">
        <v>130</v>
      </c>
      <c r="F116" s="3" t="s">
        <v>74</v>
      </c>
      <c r="G116" s="3"/>
      <c r="H116" s="4"/>
      <c r="I116" s="3" t="s">
        <v>2276</v>
      </c>
      <c r="J116" s="3" t="s">
        <v>2276</v>
      </c>
      <c r="K116" s="3" t="s">
        <v>2276</v>
      </c>
      <c r="L116" s="3" t="s">
        <v>2276</v>
      </c>
      <c r="M116" s="3" t="s">
        <v>2276</v>
      </c>
      <c r="N116" s="3" t="s">
        <v>2276</v>
      </c>
      <c r="O116" s="3" t="s">
        <v>2276</v>
      </c>
      <c r="P116" s="3" t="s">
        <v>2276</v>
      </c>
      <c r="Q116" s="3" t="s">
        <v>2276</v>
      </c>
      <c r="R116" s="23" t="s">
        <v>534</v>
      </c>
      <c r="S116" s="23" t="s">
        <v>2276</v>
      </c>
      <c r="T116" s="23" t="s">
        <v>534</v>
      </c>
      <c r="U116" s="3" t="s">
        <v>2276</v>
      </c>
      <c r="V116" s="52">
        <v>5</v>
      </c>
      <c r="W116" s="4" t="s">
        <v>1501</v>
      </c>
    </row>
    <row r="117" spans="1:23" ht="42" customHeight="1">
      <c r="A117" s="11" t="s">
        <v>588</v>
      </c>
      <c r="B117" s="11" t="s">
        <v>591</v>
      </c>
      <c r="C117" s="23" t="s">
        <v>24</v>
      </c>
      <c r="D117" s="23" t="s">
        <v>27</v>
      </c>
      <c r="E117" s="23" t="s">
        <v>130</v>
      </c>
      <c r="F117" s="19" t="s">
        <v>161</v>
      </c>
      <c r="G117" s="19"/>
      <c r="H117" s="4" t="s">
        <v>541</v>
      </c>
      <c r="I117" s="19" t="s">
        <v>537</v>
      </c>
      <c r="J117" s="3" t="s">
        <v>2276</v>
      </c>
      <c r="K117" s="3" t="s">
        <v>2276</v>
      </c>
      <c r="L117" s="3" t="s">
        <v>2276</v>
      </c>
      <c r="M117" s="3" t="s">
        <v>534</v>
      </c>
      <c r="N117" s="3" t="s">
        <v>534</v>
      </c>
      <c r="O117" s="3" t="s">
        <v>534</v>
      </c>
      <c r="P117" s="3" t="s">
        <v>2276</v>
      </c>
      <c r="Q117" s="3">
        <v>1</v>
      </c>
      <c r="R117" s="3" t="s">
        <v>2276</v>
      </c>
      <c r="S117" s="3" t="s">
        <v>2276</v>
      </c>
      <c r="T117" s="3" t="s">
        <v>2276</v>
      </c>
      <c r="U117" s="3" t="s">
        <v>2276</v>
      </c>
      <c r="V117" s="52" t="s">
        <v>2276</v>
      </c>
      <c r="W117" s="3"/>
    </row>
    <row r="118" spans="1:23" ht="27" customHeight="1">
      <c r="A118" s="11" t="s">
        <v>588</v>
      </c>
      <c r="B118" s="11" t="s">
        <v>593</v>
      </c>
      <c r="C118" s="23" t="s">
        <v>24</v>
      </c>
      <c r="D118" s="23" t="s">
        <v>143</v>
      </c>
      <c r="E118" s="23" t="s">
        <v>130</v>
      </c>
      <c r="F118" s="19" t="s">
        <v>74</v>
      </c>
      <c r="G118" s="19"/>
      <c r="H118" s="4" t="s">
        <v>541</v>
      </c>
      <c r="I118" s="19" t="s">
        <v>537</v>
      </c>
      <c r="J118" s="3" t="s">
        <v>2276</v>
      </c>
      <c r="K118" s="3" t="s">
        <v>2276</v>
      </c>
      <c r="L118" s="3" t="s">
        <v>2276</v>
      </c>
      <c r="M118" s="3" t="s">
        <v>534</v>
      </c>
      <c r="N118" s="3" t="s">
        <v>534</v>
      </c>
      <c r="O118" s="3" t="s">
        <v>534</v>
      </c>
      <c r="P118" s="3" t="s">
        <v>2276</v>
      </c>
      <c r="Q118" s="3">
        <v>2</v>
      </c>
      <c r="R118" s="3" t="s">
        <v>534</v>
      </c>
      <c r="S118" s="3" t="s">
        <v>534</v>
      </c>
      <c r="T118" s="3" t="s">
        <v>534</v>
      </c>
      <c r="U118" s="3" t="s">
        <v>2276</v>
      </c>
      <c r="V118" s="52">
        <v>2</v>
      </c>
      <c r="W118" s="3"/>
    </row>
    <row r="119" spans="1:23">
      <c r="A119" s="11" t="s">
        <v>592</v>
      </c>
      <c r="B119" s="11" t="s">
        <v>598</v>
      </c>
      <c r="C119" s="23" t="s">
        <v>24</v>
      </c>
      <c r="D119" s="23" t="s">
        <v>27</v>
      </c>
      <c r="E119" s="23" t="s">
        <v>130</v>
      </c>
      <c r="F119" s="19" t="s">
        <v>161</v>
      </c>
      <c r="G119" s="19"/>
      <c r="H119" s="4" t="s">
        <v>541</v>
      </c>
      <c r="I119" s="19" t="s">
        <v>537</v>
      </c>
      <c r="J119" s="3" t="s">
        <v>2276</v>
      </c>
      <c r="K119" s="3" t="s">
        <v>2276</v>
      </c>
      <c r="L119" s="3" t="s">
        <v>2276</v>
      </c>
      <c r="M119" s="3" t="s">
        <v>534</v>
      </c>
      <c r="N119" s="3" t="s">
        <v>534</v>
      </c>
      <c r="O119" s="3" t="s">
        <v>534</v>
      </c>
      <c r="P119" s="3" t="s">
        <v>2276</v>
      </c>
      <c r="Q119" s="3">
        <v>1</v>
      </c>
      <c r="R119" s="3" t="s">
        <v>2276</v>
      </c>
      <c r="S119" s="3" t="s">
        <v>2276</v>
      </c>
      <c r="T119" s="3" t="s">
        <v>2276</v>
      </c>
      <c r="U119" s="3" t="s">
        <v>2276</v>
      </c>
      <c r="V119" s="52" t="s">
        <v>2276</v>
      </c>
      <c r="W119" s="3"/>
    </row>
    <row r="120" spans="1:23">
      <c r="A120" s="11" t="s">
        <v>592</v>
      </c>
      <c r="B120" s="11" t="s">
        <v>618</v>
      </c>
      <c r="C120" s="23" t="s">
        <v>24</v>
      </c>
      <c r="D120" s="23" t="s">
        <v>143</v>
      </c>
      <c r="E120" s="23" t="s">
        <v>130</v>
      </c>
      <c r="F120" s="19" t="s">
        <v>74</v>
      </c>
      <c r="G120" s="19"/>
      <c r="H120" s="4" t="s">
        <v>541</v>
      </c>
      <c r="I120" s="19" t="s">
        <v>537</v>
      </c>
      <c r="J120" s="3" t="s">
        <v>2276</v>
      </c>
      <c r="K120" s="3" t="s">
        <v>2276</v>
      </c>
      <c r="L120" s="3" t="s">
        <v>2276</v>
      </c>
      <c r="M120" s="3" t="s">
        <v>534</v>
      </c>
      <c r="N120" s="3" t="s">
        <v>534</v>
      </c>
      <c r="O120" s="3" t="s">
        <v>534</v>
      </c>
      <c r="P120" s="3" t="s">
        <v>2276</v>
      </c>
      <c r="Q120" s="3">
        <v>2</v>
      </c>
      <c r="R120" s="3" t="s">
        <v>534</v>
      </c>
      <c r="S120" s="3" t="s">
        <v>534</v>
      </c>
      <c r="T120" s="3" t="s">
        <v>534</v>
      </c>
      <c r="U120" s="3" t="s">
        <v>2276</v>
      </c>
      <c r="V120" s="52">
        <v>2</v>
      </c>
      <c r="W120" s="3"/>
    </row>
    <row r="121" spans="1:23">
      <c r="A121" s="11" t="s">
        <v>594</v>
      </c>
      <c r="B121" s="11" t="s">
        <v>596</v>
      </c>
      <c r="C121" s="23" t="s">
        <v>24</v>
      </c>
      <c r="D121" s="23" t="s">
        <v>27</v>
      </c>
      <c r="E121" s="23" t="s">
        <v>130</v>
      </c>
      <c r="F121" s="19" t="s">
        <v>161</v>
      </c>
      <c r="G121" s="19"/>
      <c r="H121" s="4" t="s">
        <v>541</v>
      </c>
      <c r="I121" s="19" t="s">
        <v>537</v>
      </c>
      <c r="J121" s="3" t="s">
        <v>2276</v>
      </c>
      <c r="K121" s="3" t="s">
        <v>2276</v>
      </c>
      <c r="L121" s="3" t="s">
        <v>2276</v>
      </c>
      <c r="M121" s="3" t="s">
        <v>534</v>
      </c>
      <c r="N121" s="3" t="s">
        <v>534</v>
      </c>
      <c r="O121" s="3" t="s">
        <v>534</v>
      </c>
      <c r="P121" s="3" t="s">
        <v>2276</v>
      </c>
      <c r="Q121" s="3">
        <v>1</v>
      </c>
      <c r="R121" s="3" t="s">
        <v>2276</v>
      </c>
      <c r="S121" s="3" t="s">
        <v>2276</v>
      </c>
      <c r="T121" s="3" t="s">
        <v>2276</v>
      </c>
      <c r="U121" s="3" t="s">
        <v>2276</v>
      </c>
      <c r="V121" s="52" t="s">
        <v>2276</v>
      </c>
      <c r="W121" s="3"/>
    </row>
    <row r="122" spans="1:23">
      <c r="A122" s="11" t="s">
        <v>594</v>
      </c>
      <c r="B122" s="11" t="s">
        <v>619</v>
      </c>
      <c r="C122" s="23" t="s">
        <v>24</v>
      </c>
      <c r="D122" s="23" t="s">
        <v>143</v>
      </c>
      <c r="E122" s="23" t="s">
        <v>130</v>
      </c>
      <c r="F122" s="19" t="s">
        <v>74</v>
      </c>
      <c r="G122" s="19"/>
      <c r="H122" s="4" t="s">
        <v>541</v>
      </c>
      <c r="I122" s="19" t="s">
        <v>537</v>
      </c>
      <c r="J122" s="3" t="s">
        <v>2276</v>
      </c>
      <c r="K122" s="3" t="s">
        <v>2276</v>
      </c>
      <c r="L122" s="3" t="s">
        <v>2276</v>
      </c>
      <c r="M122" s="3" t="s">
        <v>534</v>
      </c>
      <c r="N122" s="3" t="s">
        <v>534</v>
      </c>
      <c r="O122" s="3" t="s">
        <v>534</v>
      </c>
      <c r="P122" s="3" t="s">
        <v>2276</v>
      </c>
      <c r="Q122" s="3">
        <v>2</v>
      </c>
      <c r="R122" s="3" t="s">
        <v>534</v>
      </c>
      <c r="S122" s="3" t="s">
        <v>534</v>
      </c>
      <c r="T122" s="3" t="s">
        <v>534</v>
      </c>
      <c r="U122" s="3" t="s">
        <v>2276</v>
      </c>
      <c r="V122" s="52">
        <v>2</v>
      </c>
      <c r="W122" s="3"/>
    </row>
    <row r="123" spans="1:23">
      <c r="A123" s="11" t="s">
        <v>597</v>
      </c>
      <c r="B123" s="11" t="s">
        <v>599</v>
      </c>
      <c r="C123" s="23" t="s">
        <v>24</v>
      </c>
      <c r="D123" s="23" t="s">
        <v>27</v>
      </c>
      <c r="E123" s="23" t="s">
        <v>130</v>
      </c>
      <c r="F123" s="19" t="s">
        <v>161</v>
      </c>
      <c r="G123" s="19"/>
      <c r="H123" s="4" t="s">
        <v>541</v>
      </c>
      <c r="I123" s="19" t="s">
        <v>537</v>
      </c>
      <c r="J123" s="3" t="s">
        <v>2276</v>
      </c>
      <c r="K123" s="3" t="s">
        <v>2276</v>
      </c>
      <c r="L123" s="3" t="s">
        <v>2276</v>
      </c>
      <c r="M123" s="3" t="s">
        <v>534</v>
      </c>
      <c r="N123" s="3" t="s">
        <v>534</v>
      </c>
      <c r="O123" s="3" t="s">
        <v>534</v>
      </c>
      <c r="P123" s="3" t="s">
        <v>2276</v>
      </c>
      <c r="Q123" s="3">
        <v>1</v>
      </c>
      <c r="R123" s="3" t="s">
        <v>2276</v>
      </c>
      <c r="S123" s="3" t="s">
        <v>2276</v>
      </c>
      <c r="T123" s="3" t="s">
        <v>2276</v>
      </c>
      <c r="U123" s="3" t="s">
        <v>2276</v>
      </c>
      <c r="V123" s="52" t="s">
        <v>2276</v>
      </c>
      <c r="W123" s="3"/>
    </row>
    <row r="124" spans="1:23">
      <c r="A124" s="11" t="s">
        <v>597</v>
      </c>
      <c r="B124" s="11" t="s">
        <v>620</v>
      </c>
      <c r="C124" s="23" t="s">
        <v>24</v>
      </c>
      <c r="D124" s="23" t="s">
        <v>143</v>
      </c>
      <c r="E124" s="23" t="s">
        <v>130</v>
      </c>
      <c r="F124" s="19" t="s">
        <v>74</v>
      </c>
      <c r="G124" s="19"/>
      <c r="H124" s="4" t="s">
        <v>541</v>
      </c>
      <c r="I124" s="19" t="s">
        <v>537</v>
      </c>
      <c r="J124" s="3" t="s">
        <v>2276</v>
      </c>
      <c r="K124" s="3" t="s">
        <v>2276</v>
      </c>
      <c r="L124" s="3" t="s">
        <v>2276</v>
      </c>
      <c r="M124" s="3" t="s">
        <v>534</v>
      </c>
      <c r="N124" s="3" t="s">
        <v>534</v>
      </c>
      <c r="O124" s="3" t="s">
        <v>534</v>
      </c>
      <c r="P124" s="3" t="s">
        <v>2276</v>
      </c>
      <c r="Q124" s="3">
        <v>2</v>
      </c>
      <c r="R124" s="3" t="s">
        <v>534</v>
      </c>
      <c r="S124" s="3" t="s">
        <v>534</v>
      </c>
      <c r="T124" s="3" t="s">
        <v>534</v>
      </c>
      <c r="U124" s="3" t="s">
        <v>2276</v>
      </c>
      <c r="V124" s="52">
        <v>2</v>
      </c>
      <c r="W124" s="3"/>
    </row>
    <row r="125" spans="1:23">
      <c r="A125" s="11" t="s">
        <v>600</v>
      </c>
      <c r="B125" s="11" t="s">
        <v>601</v>
      </c>
      <c r="C125" s="23" t="s">
        <v>24</v>
      </c>
      <c r="D125" s="23" t="s">
        <v>27</v>
      </c>
      <c r="E125" s="23" t="s">
        <v>130</v>
      </c>
      <c r="F125" s="19" t="s">
        <v>161</v>
      </c>
      <c r="G125" s="19"/>
      <c r="H125" s="4" t="s">
        <v>541</v>
      </c>
      <c r="I125" s="19" t="s">
        <v>537</v>
      </c>
      <c r="J125" s="3" t="s">
        <v>2276</v>
      </c>
      <c r="K125" s="3" t="s">
        <v>2276</v>
      </c>
      <c r="L125" s="3" t="s">
        <v>2276</v>
      </c>
      <c r="M125" s="3" t="s">
        <v>534</v>
      </c>
      <c r="N125" s="3" t="s">
        <v>534</v>
      </c>
      <c r="O125" s="3" t="s">
        <v>534</v>
      </c>
      <c r="P125" s="3" t="s">
        <v>2276</v>
      </c>
      <c r="Q125" s="3">
        <v>1</v>
      </c>
      <c r="R125" s="3" t="s">
        <v>2276</v>
      </c>
      <c r="S125" s="3" t="s">
        <v>2276</v>
      </c>
      <c r="T125" s="3" t="s">
        <v>2276</v>
      </c>
      <c r="U125" s="3" t="s">
        <v>2276</v>
      </c>
      <c r="V125" s="52" t="s">
        <v>2276</v>
      </c>
      <c r="W125" s="3"/>
    </row>
    <row r="126" spans="1:23">
      <c r="A126" s="11" t="s">
        <v>600</v>
      </c>
      <c r="B126" s="11" t="s">
        <v>621</v>
      </c>
      <c r="C126" s="23" t="s">
        <v>24</v>
      </c>
      <c r="D126" s="23" t="s">
        <v>143</v>
      </c>
      <c r="E126" s="23" t="s">
        <v>130</v>
      </c>
      <c r="F126" s="19" t="s">
        <v>74</v>
      </c>
      <c r="G126" s="19"/>
      <c r="H126" s="4" t="s">
        <v>541</v>
      </c>
      <c r="I126" s="19" t="s">
        <v>537</v>
      </c>
      <c r="J126" s="3" t="s">
        <v>2276</v>
      </c>
      <c r="K126" s="3" t="s">
        <v>2276</v>
      </c>
      <c r="L126" s="3" t="s">
        <v>2276</v>
      </c>
      <c r="M126" s="3" t="s">
        <v>534</v>
      </c>
      <c r="N126" s="3" t="s">
        <v>534</v>
      </c>
      <c r="O126" s="3" t="s">
        <v>534</v>
      </c>
      <c r="P126" s="3" t="s">
        <v>2276</v>
      </c>
      <c r="Q126" s="3">
        <v>2</v>
      </c>
      <c r="R126" s="3" t="s">
        <v>534</v>
      </c>
      <c r="S126" s="3" t="s">
        <v>534</v>
      </c>
      <c r="T126" s="3" t="s">
        <v>534</v>
      </c>
      <c r="U126" s="3" t="s">
        <v>2276</v>
      </c>
      <c r="V126" s="52">
        <v>2</v>
      </c>
      <c r="W126" s="3"/>
    </row>
    <row r="127" spans="1:23" ht="27" customHeight="1">
      <c r="A127" s="11" t="s">
        <v>661</v>
      </c>
      <c r="B127" s="11" t="s">
        <v>665</v>
      </c>
      <c r="C127" s="23" t="s">
        <v>24</v>
      </c>
      <c r="D127" s="23" t="s">
        <v>27</v>
      </c>
      <c r="E127" s="23" t="s">
        <v>130</v>
      </c>
      <c r="F127" s="19" t="s">
        <v>161</v>
      </c>
      <c r="G127" s="19"/>
      <c r="H127" s="4" t="s">
        <v>541</v>
      </c>
      <c r="I127" s="3" t="s">
        <v>2276</v>
      </c>
      <c r="J127" s="3" t="s">
        <v>2276</v>
      </c>
      <c r="K127" s="3" t="s">
        <v>2276</v>
      </c>
      <c r="L127" s="3" t="s">
        <v>2276</v>
      </c>
      <c r="M127" s="3" t="s">
        <v>537</v>
      </c>
      <c r="N127" s="3" t="s">
        <v>2276</v>
      </c>
      <c r="O127" s="3" t="s">
        <v>2276</v>
      </c>
      <c r="P127" s="3" t="s">
        <v>2276</v>
      </c>
      <c r="Q127" s="3" t="s">
        <v>2276</v>
      </c>
      <c r="R127" s="3" t="s">
        <v>537</v>
      </c>
      <c r="S127" s="3" t="s">
        <v>2276</v>
      </c>
      <c r="T127" s="3" t="s">
        <v>2276</v>
      </c>
      <c r="U127" s="3" t="s">
        <v>2276</v>
      </c>
      <c r="V127" s="52" t="s">
        <v>2276</v>
      </c>
      <c r="W127" s="3"/>
    </row>
    <row r="128" spans="1:23" ht="32.5" customHeight="1">
      <c r="A128" s="11" t="s">
        <v>661</v>
      </c>
      <c r="B128" s="11" t="s">
        <v>664</v>
      </c>
      <c r="C128" s="23" t="s">
        <v>24</v>
      </c>
      <c r="D128" s="23" t="s">
        <v>27</v>
      </c>
      <c r="E128" s="23" t="s">
        <v>130</v>
      </c>
      <c r="F128" s="19" t="s">
        <v>74</v>
      </c>
      <c r="G128" s="19"/>
      <c r="H128" s="4" t="s">
        <v>541</v>
      </c>
      <c r="I128" s="3" t="s">
        <v>2276</v>
      </c>
      <c r="J128" s="3" t="s">
        <v>2276</v>
      </c>
      <c r="K128" s="3" t="s">
        <v>2276</v>
      </c>
      <c r="L128" s="3" t="s">
        <v>2276</v>
      </c>
      <c r="M128" s="3" t="s">
        <v>2276</v>
      </c>
      <c r="N128" s="3" t="s">
        <v>2276</v>
      </c>
      <c r="O128" s="3" t="s">
        <v>2276</v>
      </c>
      <c r="P128" s="3" t="s">
        <v>2276</v>
      </c>
      <c r="Q128" s="3" t="s">
        <v>2276</v>
      </c>
      <c r="R128" s="3" t="s">
        <v>534</v>
      </c>
      <c r="S128" s="3" t="s">
        <v>2276</v>
      </c>
      <c r="T128" s="3" t="s">
        <v>534</v>
      </c>
      <c r="U128" s="3" t="s">
        <v>2276</v>
      </c>
      <c r="V128" s="52" t="s">
        <v>2276</v>
      </c>
      <c r="W128" s="3"/>
    </row>
    <row r="129" spans="1:23" ht="84" customHeight="1">
      <c r="A129" s="11" t="s">
        <v>677</v>
      </c>
      <c r="B129" s="11" t="s">
        <v>683</v>
      </c>
      <c r="C129" s="23" t="s">
        <v>24</v>
      </c>
      <c r="D129" s="23" t="s">
        <v>27</v>
      </c>
      <c r="E129" s="93" t="s">
        <v>130</v>
      </c>
      <c r="F129" s="19" t="s">
        <v>74</v>
      </c>
      <c r="G129" s="19"/>
      <c r="H129" s="4" t="s">
        <v>541</v>
      </c>
      <c r="I129" s="3" t="s">
        <v>2276</v>
      </c>
      <c r="J129" s="3" t="s">
        <v>2276</v>
      </c>
      <c r="K129" s="3" t="s">
        <v>2276</v>
      </c>
      <c r="L129" s="3" t="s">
        <v>2276</v>
      </c>
      <c r="M129" s="3" t="s">
        <v>2276</v>
      </c>
      <c r="N129" s="3" t="s">
        <v>2276</v>
      </c>
      <c r="O129" s="3" t="s">
        <v>2276</v>
      </c>
      <c r="P129" s="3" t="s">
        <v>2276</v>
      </c>
      <c r="Q129" s="3" t="s">
        <v>2276</v>
      </c>
      <c r="R129" s="3" t="s">
        <v>534</v>
      </c>
      <c r="S129" s="3" t="s">
        <v>534</v>
      </c>
      <c r="T129" s="3" t="s">
        <v>534</v>
      </c>
      <c r="U129" s="3" t="s">
        <v>2276</v>
      </c>
      <c r="V129" s="52">
        <v>4</v>
      </c>
      <c r="W129" s="4" t="s">
        <v>2028</v>
      </c>
    </row>
    <row r="130" spans="1:23" ht="21" customHeight="1">
      <c r="A130" s="3" t="s">
        <v>698</v>
      </c>
      <c r="B130" s="11" t="s">
        <v>719</v>
      </c>
      <c r="C130" s="23" t="s">
        <v>24</v>
      </c>
      <c r="D130" s="23" t="s">
        <v>143</v>
      </c>
      <c r="E130" s="93" t="s">
        <v>130</v>
      </c>
      <c r="F130" s="19" t="s">
        <v>74</v>
      </c>
      <c r="G130" s="19"/>
      <c r="H130" s="4" t="s">
        <v>541</v>
      </c>
      <c r="I130" s="3" t="s">
        <v>2276</v>
      </c>
      <c r="J130" s="3" t="s">
        <v>2276</v>
      </c>
      <c r="K130" s="3" t="s">
        <v>2276</v>
      </c>
      <c r="L130" s="3" t="s">
        <v>2276</v>
      </c>
      <c r="M130" s="3" t="s">
        <v>2276</v>
      </c>
      <c r="N130" s="3" t="s">
        <v>2276</v>
      </c>
      <c r="O130" s="3" t="s">
        <v>2276</v>
      </c>
      <c r="P130" s="3" t="s">
        <v>2276</v>
      </c>
      <c r="Q130" s="3" t="s">
        <v>2276</v>
      </c>
      <c r="R130" s="3" t="s">
        <v>534</v>
      </c>
      <c r="S130" s="3" t="s">
        <v>534</v>
      </c>
      <c r="T130" s="3" t="s">
        <v>534</v>
      </c>
      <c r="U130" s="3" t="s">
        <v>2276</v>
      </c>
      <c r="V130" s="52" t="s">
        <v>2</v>
      </c>
      <c r="W130" s="3"/>
    </row>
    <row r="131" spans="1:23" ht="25.5" customHeight="1">
      <c r="A131" s="3" t="s">
        <v>698</v>
      </c>
      <c r="B131" s="11" t="s">
        <v>722</v>
      </c>
      <c r="C131" s="23" t="s">
        <v>24</v>
      </c>
      <c r="D131" s="23" t="s">
        <v>27</v>
      </c>
      <c r="E131" s="93" t="s">
        <v>130</v>
      </c>
      <c r="F131" s="19" t="s">
        <v>74</v>
      </c>
      <c r="G131" s="19"/>
      <c r="H131" s="4" t="s">
        <v>541</v>
      </c>
      <c r="I131" s="3" t="s">
        <v>2276</v>
      </c>
      <c r="J131" s="3" t="s">
        <v>2276</v>
      </c>
      <c r="K131" s="3" t="s">
        <v>2276</v>
      </c>
      <c r="L131" s="3" t="s">
        <v>2276</v>
      </c>
      <c r="M131" s="3" t="s">
        <v>2276</v>
      </c>
      <c r="N131" s="3" t="s">
        <v>2276</v>
      </c>
      <c r="O131" s="3" t="s">
        <v>2276</v>
      </c>
      <c r="P131" s="3" t="s">
        <v>2276</v>
      </c>
      <c r="Q131" s="3" t="s">
        <v>2276</v>
      </c>
      <c r="R131" s="3" t="s">
        <v>534</v>
      </c>
      <c r="S131" s="3" t="s">
        <v>534</v>
      </c>
      <c r="T131" s="3" t="s">
        <v>534</v>
      </c>
      <c r="U131" s="3" t="s">
        <v>2276</v>
      </c>
      <c r="V131" s="52" t="s">
        <v>2</v>
      </c>
      <c r="W131" s="3"/>
    </row>
    <row r="132" spans="1:23">
      <c r="A132" s="3" t="s">
        <v>699</v>
      </c>
      <c r="B132" s="11" t="s">
        <v>720</v>
      </c>
      <c r="C132" s="23" t="s">
        <v>24</v>
      </c>
      <c r="D132" s="23" t="s">
        <v>143</v>
      </c>
      <c r="E132" s="93" t="s">
        <v>130</v>
      </c>
      <c r="F132" s="19" t="s">
        <v>74</v>
      </c>
      <c r="G132" s="19"/>
      <c r="H132" s="4" t="s">
        <v>541</v>
      </c>
      <c r="I132" s="3" t="s">
        <v>2276</v>
      </c>
      <c r="J132" s="3" t="s">
        <v>2276</v>
      </c>
      <c r="K132" s="3" t="s">
        <v>2276</v>
      </c>
      <c r="L132" s="3" t="s">
        <v>2276</v>
      </c>
      <c r="M132" s="3" t="s">
        <v>2276</v>
      </c>
      <c r="N132" s="3" t="s">
        <v>2276</v>
      </c>
      <c r="O132" s="3" t="s">
        <v>2276</v>
      </c>
      <c r="P132" s="3" t="s">
        <v>2276</v>
      </c>
      <c r="Q132" s="3" t="s">
        <v>2276</v>
      </c>
      <c r="R132" s="3" t="s">
        <v>534</v>
      </c>
      <c r="S132" s="3" t="s">
        <v>534</v>
      </c>
      <c r="T132" s="3" t="s">
        <v>534</v>
      </c>
      <c r="U132" s="3" t="s">
        <v>2276</v>
      </c>
      <c r="V132" s="52" t="s">
        <v>2</v>
      </c>
      <c r="W132" s="3"/>
    </row>
    <row r="133" spans="1:23">
      <c r="A133" s="3" t="s">
        <v>699</v>
      </c>
      <c r="B133" s="11" t="s">
        <v>723</v>
      </c>
      <c r="C133" s="23" t="s">
        <v>24</v>
      </c>
      <c r="D133" s="23" t="s">
        <v>27</v>
      </c>
      <c r="E133" s="93" t="s">
        <v>130</v>
      </c>
      <c r="F133" s="19" t="s">
        <v>74</v>
      </c>
      <c r="G133" s="19"/>
      <c r="H133" s="4" t="s">
        <v>541</v>
      </c>
      <c r="I133" s="3" t="s">
        <v>2276</v>
      </c>
      <c r="J133" s="3" t="s">
        <v>2276</v>
      </c>
      <c r="K133" s="3" t="s">
        <v>2276</v>
      </c>
      <c r="L133" s="3" t="s">
        <v>2276</v>
      </c>
      <c r="M133" s="3" t="s">
        <v>2276</v>
      </c>
      <c r="N133" s="3" t="s">
        <v>2276</v>
      </c>
      <c r="O133" s="3" t="s">
        <v>2276</v>
      </c>
      <c r="P133" s="3" t="s">
        <v>2276</v>
      </c>
      <c r="Q133" s="3" t="s">
        <v>2276</v>
      </c>
      <c r="R133" s="3" t="s">
        <v>534</v>
      </c>
      <c r="S133" s="3" t="s">
        <v>534</v>
      </c>
      <c r="T133" s="3" t="s">
        <v>534</v>
      </c>
      <c r="U133" s="3" t="s">
        <v>2276</v>
      </c>
      <c r="V133" s="52" t="s">
        <v>2</v>
      </c>
      <c r="W133" s="3"/>
    </row>
    <row r="134" spans="1:23">
      <c r="A134" s="3" t="s">
        <v>700</v>
      </c>
      <c r="B134" s="11" t="s">
        <v>721</v>
      </c>
      <c r="C134" s="23" t="s">
        <v>24</v>
      </c>
      <c r="D134" s="23" t="s">
        <v>143</v>
      </c>
      <c r="E134" s="93" t="s">
        <v>130</v>
      </c>
      <c r="F134" s="19" t="s">
        <v>74</v>
      </c>
      <c r="G134" s="19"/>
      <c r="H134" s="4" t="s">
        <v>541</v>
      </c>
      <c r="I134" s="3" t="s">
        <v>2276</v>
      </c>
      <c r="J134" s="3" t="s">
        <v>2276</v>
      </c>
      <c r="K134" s="3" t="s">
        <v>2276</v>
      </c>
      <c r="L134" s="3" t="s">
        <v>2276</v>
      </c>
      <c r="M134" s="3" t="s">
        <v>2276</v>
      </c>
      <c r="N134" s="3" t="s">
        <v>2276</v>
      </c>
      <c r="O134" s="3" t="s">
        <v>2276</v>
      </c>
      <c r="P134" s="3" t="s">
        <v>2276</v>
      </c>
      <c r="Q134" s="3" t="s">
        <v>2276</v>
      </c>
      <c r="R134" s="3" t="s">
        <v>534</v>
      </c>
      <c r="S134" s="3" t="s">
        <v>534</v>
      </c>
      <c r="T134" s="3" t="s">
        <v>534</v>
      </c>
      <c r="U134" s="3" t="s">
        <v>2276</v>
      </c>
      <c r="V134" s="52" t="s">
        <v>2</v>
      </c>
      <c r="W134" s="3"/>
    </row>
    <row r="135" spans="1:23">
      <c r="A135" s="11" t="s">
        <v>700</v>
      </c>
      <c r="B135" s="11" t="s">
        <v>724</v>
      </c>
      <c r="C135" s="23" t="s">
        <v>24</v>
      </c>
      <c r="D135" s="23" t="s">
        <v>27</v>
      </c>
      <c r="E135" s="23" t="s">
        <v>130</v>
      </c>
      <c r="F135" s="19" t="s">
        <v>74</v>
      </c>
      <c r="G135" s="19"/>
      <c r="H135" s="4" t="s">
        <v>541</v>
      </c>
      <c r="I135" s="3" t="s">
        <v>2276</v>
      </c>
      <c r="J135" s="3" t="s">
        <v>2276</v>
      </c>
      <c r="K135" s="3" t="s">
        <v>2276</v>
      </c>
      <c r="L135" s="3" t="s">
        <v>2276</v>
      </c>
      <c r="M135" s="3" t="s">
        <v>2276</v>
      </c>
      <c r="N135" s="3" t="s">
        <v>2276</v>
      </c>
      <c r="O135" s="3" t="s">
        <v>2276</v>
      </c>
      <c r="P135" s="3" t="s">
        <v>2276</v>
      </c>
      <c r="Q135" s="3" t="s">
        <v>2276</v>
      </c>
      <c r="R135" s="3" t="s">
        <v>534</v>
      </c>
      <c r="S135" s="3" t="s">
        <v>534</v>
      </c>
      <c r="T135" s="3" t="s">
        <v>534</v>
      </c>
      <c r="U135" s="3" t="s">
        <v>2276</v>
      </c>
      <c r="V135" s="52" t="s">
        <v>2</v>
      </c>
      <c r="W135" s="3"/>
    </row>
    <row r="136" spans="1:23" ht="22" customHeight="1">
      <c r="A136" s="11" t="s">
        <v>753</v>
      </c>
      <c r="B136" s="11" t="s">
        <v>763</v>
      </c>
      <c r="C136" s="23" t="s">
        <v>24</v>
      </c>
      <c r="D136" s="23" t="s">
        <v>27</v>
      </c>
      <c r="E136" s="23" t="s">
        <v>130</v>
      </c>
      <c r="F136" s="19" t="s">
        <v>74</v>
      </c>
      <c r="G136" s="19"/>
      <c r="H136" s="4" t="s">
        <v>541</v>
      </c>
      <c r="I136" s="3" t="s">
        <v>2276</v>
      </c>
      <c r="J136" s="3" t="s">
        <v>2276</v>
      </c>
      <c r="K136" s="3" t="s">
        <v>2276</v>
      </c>
      <c r="L136" s="3" t="s">
        <v>2276</v>
      </c>
      <c r="M136" s="3" t="s">
        <v>2276</v>
      </c>
      <c r="N136" s="3" t="s">
        <v>2276</v>
      </c>
      <c r="O136" s="3" t="s">
        <v>2276</v>
      </c>
      <c r="P136" s="3" t="s">
        <v>2276</v>
      </c>
      <c r="Q136" s="3" t="s">
        <v>2276</v>
      </c>
      <c r="R136" s="3" t="s">
        <v>534</v>
      </c>
      <c r="S136" s="3" t="s">
        <v>534</v>
      </c>
      <c r="T136" s="3" t="s">
        <v>534</v>
      </c>
      <c r="U136" s="3" t="s">
        <v>2276</v>
      </c>
      <c r="V136" s="52" t="s">
        <v>2</v>
      </c>
      <c r="W136" s="3"/>
    </row>
    <row r="137" spans="1:23" ht="22.5" customHeight="1">
      <c r="A137" s="11" t="s">
        <v>756</v>
      </c>
      <c r="B137" s="11" t="s">
        <v>764</v>
      </c>
      <c r="C137" s="23" t="s">
        <v>24</v>
      </c>
      <c r="D137" s="23" t="s">
        <v>27</v>
      </c>
      <c r="E137" s="23" t="s">
        <v>130</v>
      </c>
      <c r="F137" s="19" t="s">
        <v>74</v>
      </c>
      <c r="G137" s="19"/>
      <c r="H137" s="4" t="s">
        <v>541</v>
      </c>
      <c r="I137" s="3" t="s">
        <v>2276</v>
      </c>
      <c r="J137" s="3" t="s">
        <v>2276</v>
      </c>
      <c r="K137" s="3" t="s">
        <v>2276</v>
      </c>
      <c r="L137" s="3" t="s">
        <v>2276</v>
      </c>
      <c r="M137" s="3" t="s">
        <v>2276</v>
      </c>
      <c r="N137" s="3" t="s">
        <v>2276</v>
      </c>
      <c r="O137" s="3" t="s">
        <v>2276</v>
      </c>
      <c r="P137" s="3" t="s">
        <v>2276</v>
      </c>
      <c r="Q137" s="3" t="s">
        <v>2276</v>
      </c>
      <c r="R137" s="3" t="s">
        <v>534</v>
      </c>
      <c r="S137" s="3" t="s">
        <v>534</v>
      </c>
      <c r="T137" s="3" t="s">
        <v>534</v>
      </c>
      <c r="U137" s="3" t="s">
        <v>2276</v>
      </c>
      <c r="V137" s="52" t="s">
        <v>2</v>
      </c>
      <c r="W137" s="3"/>
    </row>
    <row r="138" spans="1:23" ht="23.5" customHeight="1">
      <c r="A138" s="11" t="s">
        <v>757</v>
      </c>
      <c r="B138" s="11" t="s">
        <v>765</v>
      </c>
      <c r="C138" s="23" t="s">
        <v>24</v>
      </c>
      <c r="D138" s="23" t="s">
        <v>27</v>
      </c>
      <c r="E138" s="23" t="s">
        <v>130</v>
      </c>
      <c r="F138" s="19" t="s">
        <v>74</v>
      </c>
      <c r="G138" s="19"/>
      <c r="H138" s="4" t="s">
        <v>541</v>
      </c>
      <c r="I138" s="3" t="s">
        <v>2276</v>
      </c>
      <c r="J138" s="3" t="s">
        <v>2276</v>
      </c>
      <c r="K138" s="3" t="s">
        <v>2276</v>
      </c>
      <c r="L138" s="3" t="s">
        <v>2276</v>
      </c>
      <c r="M138" s="3" t="s">
        <v>2276</v>
      </c>
      <c r="N138" s="3" t="s">
        <v>2276</v>
      </c>
      <c r="O138" s="3" t="s">
        <v>2276</v>
      </c>
      <c r="P138" s="3" t="s">
        <v>2276</v>
      </c>
      <c r="Q138" s="3" t="s">
        <v>2276</v>
      </c>
      <c r="R138" s="3" t="s">
        <v>534</v>
      </c>
      <c r="S138" s="3" t="s">
        <v>534</v>
      </c>
      <c r="T138" s="3" t="s">
        <v>534</v>
      </c>
      <c r="U138" s="3" t="s">
        <v>2276</v>
      </c>
      <c r="V138" s="52" t="s">
        <v>2</v>
      </c>
      <c r="W138" s="3"/>
    </row>
    <row r="139" spans="1:23" ht="64" customHeight="1">
      <c r="A139" s="11" t="s">
        <v>797</v>
      </c>
      <c r="B139" s="11" t="s">
        <v>810</v>
      </c>
      <c r="C139" s="23" t="s">
        <v>24</v>
      </c>
      <c r="D139" s="23" t="s">
        <v>27</v>
      </c>
      <c r="E139" s="23" t="s">
        <v>130</v>
      </c>
      <c r="F139" s="19" t="s">
        <v>161</v>
      </c>
      <c r="G139" s="19"/>
      <c r="H139" s="4" t="s">
        <v>541</v>
      </c>
      <c r="I139" s="3" t="s">
        <v>2690</v>
      </c>
      <c r="J139" s="3" t="s">
        <v>534</v>
      </c>
      <c r="K139" s="3" t="s">
        <v>2276</v>
      </c>
      <c r="L139" s="3" t="s">
        <v>2276</v>
      </c>
      <c r="M139" s="3" t="s">
        <v>2276</v>
      </c>
      <c r="N139" s="3" t="s">
        <v>2276</v>
      </c>
      <c r="O139" s="3" t="s">
        <v>2276</v>
      </c>
      <c r="P139" s="3" t="s">
        <v>2276</v>
      </c>
      <c r="Q139" s="3" t="s">
        <v>2276</v>
      </c>
      <c r="R139" s="3" t="s">
        <v>2276</v>
      </c>
      <c r="S139" s="3" t="s">
        <v>2276</v>
      </c>
      <c r="T139" s="3" t="s">
        <v>2276</v>
      </c>
      <c r="U139" s="3" t="s">
        <v>2276</v>
      </c>
      <c r="V139" s="52" t="s">
        <v>2276</v>
      </c>
      <c r="W139" s="4" t="s">
        <v>2059</v>
      </c>
    </row>
    <row r="140" spans="1:23" ht="59" customHeight="1">
      <c r="A140" s="11" t="s">
        <v>798</v>
      </c>
      <c r="B140" s="11" t="s">
        <v>811</v>
      </c>
      <c r="C140" s="23" t="s">
        <v>24</v>
      </c>
      <c r="D140" s="23" t="s">
        <v>27</v>
      </c>
      <c r="E140" s="23" t="s">
        <v>130</v>
      </c>
      <c r="F140" s="19" t="s">
        <v>161</v>
      </c>
      <c r="G140" s="19"/>
      <c r="H140" s="4" t="s">
        <v>541</v>
      </c>
      <c r="I140" s="3" t="s">
        <v>2690</v>
      </c>
      <c r="J140" s="3" t="s">
        <v>534</v>
      </c>
      <c r="K140" s="3" t="s">
        <v>2276</v>
      </c>
      <c r="L140" s="3" t="s">
        <v>2276</v>
      </c>
      <c r="M140" s="3" t="s">
        <v>2276</v>
      </c>
      <c r="N140" s="3" t="s">
        <v>2276</v>
      </c>
      <c r="O140" s="3" t="s">
        <v>2276</v>
      </c>
      <c r="P140" s="3" t="s">
        <v>2276</v>
      </c>
      <c r="Q140" s="3" t="s">
        <v>2276</v>
      </c>
      <c r="R140" s="3" t="s">
        <v>2276</v>
      </c>
      <c r="S140" s="3" t="s">
        <v>2276</v>
      </c>
      <c r="T140" s="3" t="s">
        <v>2276</v>
      </c>
      <c r="U140" s="3" t="s">
        <v>2276</v>
      </c>
      <c r="V140" s="52" t="s">
        <v>2276</v>
      </c>
      <c r="W140" s="4" t="s">
        <v>2059</v>
      </c>
    </row>
    <row r="141" spans="1:23" ht="64.5" customHeight="1">
      <c r="A141" s="11" t="s">
        <v>799</v>
      </c>
      <c r="B141" s="11" t="s">
        <v>812</v>
      </c>
      <c r="C141" s="23" t="s">
        <v>24</v>
      </c>
      <c r="D141" s="23" t="s">
        <v>27</v>
      </c>
      <c r="E141" s="23" t="s">
        <v>130</v>
      </c>
      <c r="F141" s="19" t="s">
        <v>161</v>
      </c>
      <c r="G141" s="19"/>
      <c r="H141" s="4" t="s">
        <v>541</v>
      </c>
      <c r="I141" s="3" t="s">
        <v>2690</v>
      </c>
      <c r="J141" s="3" t="s">
        <v>534</v>
      </c>
      <c r="K141" s="3" t="s">
        <v>2276</v>
      </c>
      <c r="L141" s="3" t="s">
        <v>2276</v>
      </c>
      <c r="M141" s="3" t="s">
        <v>2276</v>
      </c>
      <c r="N141" s="3" t="s">
        <v>2276</v>
      </c>
      <c r="O141" s="3" t="s">
        <v>2276</v>
      </c>
      <c r="P141" s="3" t="s">
        <v>2276</v>
      </c>
      <c r="Q141" s="3" t="s">
        <v>2276</v>
      </c>
      <c r="R141" s="3" t="s">
        <v>2276</v>
      </c>
      <c r="S141" s="3" t="s">
        <v>2276</v>
      </c>
      <c r="T141" s="3" t="s">
        <v>2276</v>
      </c>
      <c r="U141" s="3" t="s">
        <v>2276</v>
      </c>
      <c r="V141" s="52" t="s">
        <v>2276</v>
      </c>
      <c r="W141" s="4" t="s">
        <v>2059</v>
      </c>
    </row>
    <row r="142" spans="1:23" ht="64.5" customHeight="1">
      <c r="A142" s="11" t="s">
        <v>800</v>
      </c>
      <c r="B142" s="11" t="s">
        <v>813</v>
      </c>
      <c r="C142" s="23" t="s">
        <v>24</v>
      </c>
      <c r="D142" s="23" t="s">
        <v>27</v>
      </c>
      <c r="E142" s="23" t="s">
        <v>130</v>
      </c>
      <c r="F142" s="19" t="s">
        <v>161</v>
      </c>
      <c r="G142" s="19"/>
      <c r="H142" s="4" t="s">
        <v>541</v>
      </c>
      <c r="I142" s="3" t="s">
        <v>2690</v>
      </c>
      <c r="J142" s="3" t="s">
        <v>534</v>
      </c>
      <c r="K142" s="3" t="s">
        <v>2276</v>
      </c>
      <c r="L142" s="3" t="s">
        <v>2276</v>
      </c>
      <c r="M142" s="3" t="s">
        <v>2276</v>
      </c>
      <c r="N142" s="3" t="s">
        <v>2276</v>
      </c>
      <c r="O142" s="3" t="s">
        <v>2276</v>
      </c>
      <c r="P142" s="3" t="s">
        <v>2276</v>
      </c>
      <c r="Q142" s="3" t="s">
        <v>2276</v>
      </c>
      <c r="R142" s="3" t="s">
        <v>2276</v>
      </c>
      <c r="S142" s="3" t="s">
        <v>2276</v>
      </c>
      <c r="T142" s="3" t="s">
        <v>2276</v>
      </c>
      <c r="U142" s="3" t="s">
        <v>2276</v>
      </c>
      <c r="V142" s="52" t="s">
        <v>2276</v>
      </c>
      <c r="W142" s="4" t="s">
        <v>2059</v>
      </c>
    </row>
    <row r="143" spans="1:23" ht="65" customHeight="1">
      <c r="A143" s="11" t="s">
        <v>801</v>
      </c>
      <c r="B143" s="11" t="s">
        <v>814</v>
      </c>
      <c r="C143" s="23" t="s">
        <v>24</v>
      </c>
      <c r="D143" s="23" t="s">
        <v>27</v>
      </c>
      <c r="E143" s="23" t="s">
        <v>130</v>
      </c>
      <c r="F143" s="19" t="s">
        <v>161</v>
      </c>
      <c r="G143" s="19"/>
      <c r="H143" s="4" t="s">
        <v>541</v>
      </c>
      <c r="I143" s="3" t="s">
        <v>2690</v>
      </c>
      <c r="J143" s="3" t="s">
        <v>534</v>
      </c>
      <c r="K143" s="3" t="s">
        <v>2276</v>
      </c>
      <c r="L143" s="3" t="s">
        <v>2276</v>
      </c>
      <c r="M143" s="3" t="s">
        <v>2276</v>
      </c>
      <c r="N143" s="3" t="s">
        <v>2276</v>
      </c>
      <c r="O143" s="3" t="s">
        <v>2276</v>
      </c>
      <c r="P143" s="3" t="s">
        <v>2276</v>
      </c>
      <c r="Q143" s="3" t="s">
        <v>2276</v>
      </c>
      <c r="R143" s="3" t="s">
        <v>2276</v>
      </c>
      <c r="S143" s="3" t="s">
        <v>2276</v>
      </c>
      <c r="T143" s="3" t="s">
        <v>2276</v>
      </c>
      <c r="U143" s="3" t="s">
        <v>2276</v>
      </c>
      <c r="V143" s="52" t="s">
        <v>2276</v>
      </c>
      <c r="W143" s="4" t="s">
        <v>2059</v>
      </c>
    </row>
    <row r="144" spans="1:23" ht="65" customHeight="1">
      <c r="A144" s="11" t="s">
        <v>802</v>
      </c>
      <c r="B144" s="11" t="s">
        <v>815</v>
      </c>
      <c r="C144" s="23" t="s">
        <v>24</v>
      </c>
      <c r="D144" s="23" t="s">
        <v>27</v>
      </c>
      <c r="E144" s="23" t="s">
        <v>130</v>
      </c>
      <c r="F144" s="19" t="s">
        <v>161</v>
      </c>
      <c r="G144" s="19"/>
      <c r="H144" s="4" t="s">
        <v>541</v>
      </c>
      <c r="I144" s="3" t="s">
        <v>2690</v>
      </c>
      <c r="J144" s="3" t="s">
        <v>534</v>
      </c>
      <c r="K144" s="3" t="s">
        <v>2276</v>
      </c>
      <c r="L144" s="3" t="s">
        <v>2276</v>
      </c>
      <c r="M144" s="3" t="s">
        <v>2276</v>
      </c>
      <c r="N144" s="3" t="s">
        <v>2276</v>
      </c>
      <c r="O144" s="3" t="s">
        <v>2276</v>
      </c>
      <c r="P144" s="3" t="s">
        <v>2276</v>
      </c>
      <c r="Q144" s="3" t="s">
        <v>2276</v>
      </c>
      <c r="R144" s="3" t="s">
        <v>2276</v>
      </c>
      <c r="S144" s="3" t="s">
        <v>2276</v>
      </c>
      <c r="T144" s="3" t="s">
        <v>2276</v>
      </c>
      <c r="U144" s="3" t="s">
        <v>2276</v>
      </c>
      <c r="V144" s="52" t="s">
        <v>2276</v>
      </c>
      <c r="W144" s="4" t="s">
        <v>2059</v>
      </c>
    </row>
    <row r="145" spans="1:23" ht="23.5" customHeight="1">
      <c r="A145" s="11" t="s">
        <v>824</v>
      </c>
      <c r="B145" s="11" t="s">
        <v>825</v>
      </c>
      <c r="C145" s="23" t="s">
        <v>24</v>
      </c>
      <c r="D145" s="23" t="s">
        <v>27</v>
      </c>
      <c r="E145" s="23" t="s">
        <v>130</v>
      </c>
      <c r="F145" s="19" t="s">
        <v>74</v>
      </c>
      <c r="G145" s="19"/>
      <c r="H145" s="4" t="s">
        <v>541</v>
      </c>
      <c r="I145" s="3" t="s">
        <v>2276</v>
      </c>
      <c r="J145" s="3" t="s">
        <v>2276</v>
      </c>
      <c r="K145" s="3" t="s">
        <v>2276</v>
      </c>
      <c r="L145" s="3" t="s">
        <v>2276</v>
      </c>
      <c r="M145" s="3" t="s">
        <v>2276</v>
      </c>
      <c r="N145" s="3" t="s">
        <v>2276</v>
      </c>
      <c r="O145" s="3" t="s">
        <v>2276</v>
      </c>
      <c r="P145" s="3" t="s">
        <v>2276</v>
      </c>
      <c r="Q145" s="3" t="s">
        <v>2276</v>
      </c>
      <c r="R145" s="3" t="s">
        <v>534</v>
      </c>
      <c r="S145" s="3" t="s">
        <v>2276</v>
      </c>
      <c r="T145" s="3" t="s">
        <v>534</v>
      </c>
      <c r="U145" s="3" t="s">
        <v>2276</v>
      </c>
      <c r="V145" s="52" t="s">
        <v>2276</v>
      </c>
      <c r="W145" s="3"/>
    </row>
    <row r="146" spans="1:23" ht="28" customHeight="1">
      <c r="A146" s="11" t="s">
        <v>824</v>
      </c>
      <c r="B146" s="11" t="s">
        <v>826</v>
      </c>
      <c r="C146" s="23" t="s">
        <v>24</v>
      </c>
      <c r="D146" s="23" t="s">
        <v>27</v>
      </c>
      <c r="E146" s="23" t="s">
        <v>130</v>
      </c>
      <c r="F146" s="19" t="s">
        <v>74</v>
      </c>
      <c r="G146" s="19"/>
      <c r="H146" s="4" t="s">
        <v>541</v>
      </c>
      <c r="I146" s="3" t="s">
        <v>2276</v>
      </c>
      <c r="J146" s="3" t="s">
        <v>2276</v>
      </c>
      <c r="K146" s="3" t="s">
        <v>2276</v>
      </c>
      <c r="L146" s="3" t="s">
        <v>2276</v>
      </c>
      <c r="M146" s="3" t="s">
        <v>2276</v>
      </c>
      <c r="N146" s="3" t="s">
        <v>2276</v>
      </c>
      <c r="O146" s="3" t="s">
        <v>2276</v>
      </c>
      <c r="P146" s="3" t="s">
        <v>2276</v>
      </c>
      <c r="Q146" s="3" t="s">
        <v>2276</v>
      </c>
      <c r="R146" s="3" t="s">
        <v>534</v>
      </c>
      <c r="S146" s="3" t="s">
        <v>2276</v>
      </c>
      <c r="T146" s="3" t="s">
        <v>534</v>
      </c>
      <c r="U146" s="3" t="s">
        <v>2276</v>
      </c>
      <c r="V146" s="52" t="s">
        <v>2276</v>
      </c>
      <c r="W146" s="3"/>
    </row>
    <row r="147" spans="1:23" ht="45" customHeight="1">
      <c r="A147" s="11" t="s">
        <v>828</v>
      </c>
      <c r="B147" s="11" t="s">
        <v>832</v>
      </c>
      <c r="C147" s="23" t="s">
        <v>24</v>
      </c>
      <c r="D147" s="23" t="s">
        <v>27</v>
      </c>
      <c r="E147" s="23" t="s">
        <v>130</v>
      </c>
      <c r="F147" s="19" t="s">
        <v>161</v>
      </c>
      <c r="G147" s="19"/>
      <c r="H147" s="4" t="s">
        <v>541</v>
      </c>
      <c r="I147" s="11" t="s">
        <v>2690</v>
      </c>
      <c r="J147" s="11" t="s">
        <v>534</v>
      </c>
      <c r="K147" s="3" t="s">
        <v>2276</v>
      </c>
      <c r="L147" s="3" t="s">
        <v>2276</v>
      </c>
      <c r="M147" s="3" t="s">
        <v>2276</v>
      </c>
      <c r="N147" s="3" t="s">
        <v>2276</v>
      </c>
      <c r="O147" s="3" t="s">
        <v>2276</v>
      </c>
      <c r="P147" s="3" t="s">
        <v>2276</v>
      </c>
      <c r="Q147" s="3" t="s">
        <v>2276</v>
      </c>
      <c r="R147" s="3" t="s">
        <v>2276</v>
      </c>
      <c r="S147" s="3" t="s">
        <v>2276</v>
      </c>
      <c r="T147" s="3" t="s">
        <v>2276</v>
      </c>
      <c r="U147" s="3" t="s">
        <v>2276</v>
      </c>
      <c r="V147" s="3" t="s">
        <v>2276</v>
      </c>
      <c r="W147" s="4" t="s">
        <v>835</v>
      </c>
    </row>
    <row r="148" spans="1:23" ht="29">
      <c r="A148" s="11" t="s">
        <v>843</v>
      </c>
      <c r="B148" s="11" t="s">
        <v>852</v>
      </c>
      <c r="C148" s="23" t="s">
        <v>24</v>
      </c>
      <c r="D148" s="23" t="s">
        <v>27</v>
      </c>
      <c r="E148" s="23" t="s">
        <v>130</v>
      </c>
      <c r="F148" s="19" t="s">
        <v>161</v>
      </c>
      <c r="G148" s="19"/>
      <c r="H148" s="4" t="s">
        <v>541</v>
      </c>
      <c r="I148" s="11" t="s">
        <v>2690</v>
      </c>
      <c r="J148" s="11" t="s">
        <v>534</v>
      </c>
      <c r="K148" s="3" t="s">
        <v>2276</v>
      </c>
      <c r="L148" s="3" t="s">
        <v>2276</v>
      </c>
      <c r="M148" s="3" t="s">
        <v>2276</v>
      </c>
      <c r="N148" s="3" t="s">
        <v>2276</v>
      </c>
      <c r="O148" s="3" t="s">
        <v>2276</v>
      </c>
      <c r="P148" s="3" t="s">
        <v>2276</v>
      </c>
      <c r="Q148" s="3" t="s">
        <v>2276</v>
      </c>
      <c r="R148" s="3" t="s">
        <v>2276</v>
      </c>
      <c r="S148" s="3" t="s">
        <v>2276</v>
      </c>
      <c r="T148" s="3" t="s">
        <v>2276</v>
      </c>
      <c r="U148" s="3" t="s">
        <v>2276</v>
      </c>
      <c r="V148" s="3" t="s">
        <v>2276</v>
      </c>
      <c r="W148" s="4" t="s">
        <v>835</v>
      </c>
    </row>
    <row r="149" spans="1:23" ht="34.5" customHeight="1">
      <c r="A149" s="11" t="s">
        <v>843</v>
      </c>
      <c r="B149" s="11" t="s">
        <v>855</v>
      </c>
      <c r="C149" s="23" t="s">
        <v>24</v>
      </c>
      <c r="D149" s="23" t="s">
        <v>143</v>
      </c>
      <c r="E149" s="23" t="s">
        <v>130</v>
      </c>
      <c r="F149" s="19" t="s">
        <v>74</v>
      </c>
      <c r="G149" s="19"/>
      <c r="H149" s="4" t="s">
        <v>541</v>
      </c>
      <c r="I149" s="11" t="s">
        <v>2690</v>
      </c>
      <c r="J149" s="11" t="s">
        <v>534</v>
      </c>
      <c r="K149" s="3" t="s">
        <v>2276</v>
      </c>
      <c r="L149" s="3" t="s">
        <v>2276</v>
      </c>
      <c r="M149" s="3" t="s">
        <v>2276</v>
      </c>
      <c r="N149" s="3" t="s">
        <v>2276</v>
      </c>
      <c r="O149" s="3" t="s">
        <v>2276</v>
      </c>
      <c r="P149" s="3" t="s">
        <v>2276</v>
      </c>
      <c r="Q149" s="3" t="s">
        <v>2276</v>
      </c>
      <c r="R149" s="3" t="s">
        <v>534</v>
      </c>
      <c r="S149" s="3" t="s">
        <v>534</v>
      </c>
      <c r="T149" s="3" t="s">
        <v>534</v>
      </c>
      <c r="U149" s="3" t="s">
        <v>2276</v>
      </c>
      <c r="V149" s="3" t="s">
        <v>2276</v>
      </c>
      <c r="W149" s="4" t="s">
        <v>854</v>
      </c>
    </row>
    <row r="150" spans="1:23" ht="29">
      <c r="A150" s="11" t="s">
        <v>845</v>
      </c>
      <c r="B150" s="11" t="s">
        <v>850</v>
      </c>
      <c r="C150" s="23" t="s">
        <v>24</v>
      </c>
      <c r="D150" s="23" t="s">
        <v>27</v>
      </c>
      <c r="E150" s="23" t="s">
        <v>130</v>
      </c>
      <c r="F150" s="19" t="s">
        <v>161</v>
      </c>
      <c r="G150" s="19"/>
      <c r="H150" s="4" t="s">
        <v>541</v>
      </c>
      <c r="I150" s="11" t="s">
        <v>2690</v>
      </c>
      <c r="J150" s="11" t="s">
        <v>534</v>
      </c>
      <c r="K150" s="3" t="s">
        <v>2276</v>
      </c>
      <c r="L150" s="3" t="s">
        <v>2276</v>
      </c>
      <c r="M150" s="3" t="s">
        <v>2276</v>
      </c>
      <c r="N150" s="3" t="s">
        <v>2276</v>
      </c>
      <c r="O150" s="3" t="s">
        <v>2276</v>
      </c>
      <c r="P150" s="3" t="s">
        <v>2276</v>
      </c>
      <c r="Q150" s="3" t="s">
        <v>2276</v>
      </c>
      <c r="R150" s="3" t="s">
        <v>2276</v>
      </c>
      <c r="S150" s="3" t="s">
        <v>2276</v>
      </c>
      <c r="T150" s="3" t="s">
        <v>2276</v>
      </c>
      <c r="U150" s="3" t="s">
        <v>2276</v>
      </c>
      <c r="V150" s="3" t="s">
        <v>2276</v>
      </c>
      <c r="W150" s="4" t="s">
        <v>835</v>
      </c>
    </row>
    <row r="151" spans="1:23" ht="35.5" customHeight="1">
      <c r="A151" s="11" t="s">
        <v>845</v>
      </c>
      <c r="B151" s="11" t="s">
        <v>857</v>
      </c>
      <c r="C151" s="23" t="s">
        <v>24</v>
      </c>
      <c r="D151" s="23" t="s">
        <v>143</v>
      </c>
      <c r="E151" s="23" t="s">
        <v>130</v>
      </c>
      <c r="F151" s="19" t="s">
        <v>74</v>
      </c>
      <c r="G151" s="19"/>
      <c r="H151" s="4" t="s">
        <v>541</v>
      </c>
      <c r="I151" s="11" t="s">
        <v>2690</v>
      </c>
      <c r="J151" s="11" t="s">
        <v>534</v>
      </c>
      <c r="K151" s="3" t="s">
        <v>2276</v>
      </c>
      <c r="L151" s="3" t="s">
        <v>2276</v>
      </c>
      <c r="M151" s="3" t="s">
        <v>2276</v>
      </c>
      <c r="N151" s="3" t="s">
        <v>2276</v>
      </c>
      <c r="O151" s="3" t="s">
        <v>2276</v>
      </c>
      <c r="P151" s="3" t="s">
        <v>2276</v>
      </c>
      <c r="Q151" s="3" t="s">
        <v>2276</v>
      </c>
      <c r="R151" s="3" t="s">
        <v>534</v>
      </c>
      <c r="S151" s="3" t="s">
        <v>534</v>
      </c>
      <c r="T151" s="3" t="s">
        <v>534</v>
      </c>
      <c r="U151" s="3" t="s">
        <v>2276</v>
      </c>
      <c r="V151" s="3" t="s">
        <v>2276</v>
      </c>
      <c r="W151" s="4" t="s">
        <v>854</v>
      </c>
    </row>
    <row r="152" spans="1:23" ht="56.5" customHeight="1">
      <c r="A152" s="11" t="s">
        <v>847</v>
      </c>
      <c r="B152" s="11" t="s">
        <v>851</v>
      </c>
      <c r="C152" s="23" t="s">
        <v>24</v>
      </c>
      <c r="D152" s="23" t="s">
        <v>27</v>
      </c>
      <c r="E152" s="23" t="s">
        <v>130</v>
      </c>
      <c r="F152" s="19" t="s">
        <v>161</v>
      </c>
      <c r="G152" s="19"/>
      <c r="H152" s="4" t="s">
        <v>541</v>
      </c>
      <c r="I152" s="11" t="s">
        <v>2690</v>
      </c>
      <c r="J152" s="11" t="s">
        <v>534</v>
      </c>
      <c r="K152" s="3" t="s">
        <v>2276</v>
      </c>
      <c r="L152" s="3" t="s">
        <v>2276</v>
      </c>
      <c r="M152" s="3" t="s">
        <v>2276</v>
      </c>
      <c r="N152" s="3" t="s">
        <v>2276</v>
      </c>
      <c r="O152" s="3" t="s">
        <v>2276</v>
      </c>
      <c r="P152" s="3" t="s">
        <v>2276</v>
      </c>
      <c r="Q152" s="3" t="s">
        <v>2276</v>
      </c>
      <c r="R152" s="3" t="s">
        <v>2276</v>
      </c>
      <c r="S152" s="3" t="s">
        <v>2276</v>
      </c>
      <c r="T152" s="3" t="s">
        <v>2276</v>
      </c>
      <c r="U152" s="3" t="s">
        <v>2276</v>
      </c>
      <c r="V152" s="3" t="s">
        <v>2276</v>
      </c>
      <c r="W152" s="4" t="s">
        <v>835</v>
      </c>
    </row>
    <row r="153" spans="1:23" ht="39" customHeight="1">
      <c r="A153" s="11" t="s">
        <v>847</v>
      </c>
      <c r="B153" s="11" t="s">
        <v>856</v>
      </c>
      <c r="C153" s="23" t="s">
        <v>24</v>
      </c>
      <c r="D153" s="23" t="s">
        <v>143</v>
      </c>
      <c r="E153" s="65"/>
      <c r="F153" s="19" t="s">
        <v>74</v>
      </c>
      <c r="G153" s="19"/>
      <c r="H153" s="4" t="s">
        <v>541</v>
      </c>
      <c r="I153" s="11" t="s">
        <v>2690</v>
      </c>
      <c r="J153" s="11" t="s">
        <v>534</v>
      </c>
      <c r="K153" s="3" t="s">
        <v>2276</v>
      </c>
      <c r="L153" s="3" t="s">
        <v>2276</v>
      </c>
      <c r="M153" s="3" t="s">
        <v>2276</v>
      </c>
      <c r="N153" s="3" t="s">
        <v>2276</v>
      </c>
      <c r="O153" s="3" t="s">
        <v>2276</v>
      </c>
      <c r="P153" s="3" t="s">
        <v>2276</v>
      </c>
      <c r="Q153" s="3" t="s">
        <v>2276</v>
      </c>
      <c r="R153" s="3" t="s">
        <v>534</v>
      </c>
      <c r="S153" s="3" t="s">
        <v>534</v>
      </c>
      <c r="T153" s="3" t="s">
        <v>534</v>
      </c>
      <c r="U153" s="3" t="s">
        <v>2276</v>
      </c>
      <c r="V153" s="3" t="s">
        <v>2276</v>
      </c>
      <c r="W153" s="4" t="s">
        <v>854</v>
      </c>
    </row>
    <row r="154" spans="1:23" ht="52" customHeight="1">
      <c r="A154" s="11" t="s">
        <v>869</v>
      </c>
      <c r="B154" s="11" t="s">
        <v>874</v>
      </c>
      <c r="C154" s="23" t="s">
        <v>24</v>
      </c>
      <c r="D154" s="23" t="s">
        <v>143</v>
      </c>
      <c r="E154" s="23" t="s">
        <v>130</v>
      </c>
      <c r="F154" s="19" t="s">
        <v>74</v>
      </c>
      <c r="G154" s="19"/>
      <c r="H154" s="4" t="s">
        <v>541</v>
      </c>
      <c r="I154" s="3" t="s">
        <v>537</v>
      </c>
      <c r="J154" s="3" t="s">
        <v>537</v>
      </c>
      <c r="K154" s="3" t="s">
        <v>537</v>
      </c>
      <c r="L154" s="3" t="s">
        <v>2276</v>
      </c>
      <c r="M154" s="3" t="s">
        <v>2276</v>
      </c>
      <c r="N154" s="3" t="s">
        <v>2276</v>
      </c>
      <c r="O154" s="3" t="s">
        <v>2276</v>
      </c>
      <c r="P154" s="3" t="s">
        <v>2276</v>
      </c>
      <c r="Q154" s="3" t="s">
        <v>2276</v>
      </c>
      <c r="R154" s="3" t="s">
        <v>534</v>
      </c>
      <c r="S154" s="3" t="s">
        <v>534</v>
      </c>
      <c r="T154" s="3" t="s">
        <v>534</v>
      </c>
      <c r="U154" s="3" t="s">
        <v>2276</v>
      </c>
      <c r="V154" s="3" t="s">
        <v>2276</v>
      </c>
      <c r="W154" s="4" t="s">
        <v>875</v>
      </c>
    </row>
    <row r="155" spans="1:23" ht="52" customHeight="1">
      <c r="A155" s="11" t="s">
        <v>2072</v>
      </c>
      <c r="B155" s="11" t="s">
        <v>2126</v>
      </c>
      <c r="C155" s="23" t="s">
        <v>24</v>
      </c>
      <c r="D155" s="23" t="s">
        <v>143</v>
      </c>
      <c r="E155" s="23" t="s">
        <v>130</v>
      </c>
      <c r="F155" s="19" t="s">
        <v>74</v>
      </c>
      <c r="G155" s="19"/>
      <c r="H155" s="4" t="s">
        <v>541</v>
      </c>
      <c r="I155" s="3" t="s">
        <v>537</v>
      </c>
      <c r="J155" s="3" t="s">
        <v>537</v>
      </c>
      <c r="K155" s="3" t="s">
        <v>537</v>
      </c>
      <c r="L155" s="3" t="s">
        <v>2276</v>
      </c>
      <c r="M155" s="3" t="s">
        <v>2276</v>
      </c>
      <c r="N155" s="3" t="s">
        <v>2276</v>
      </c>
      <c r="O155" s="3" t="s">
        <v>2276</v>
      </c>
      <c r="P155" s="3" t="s">
        <v>2276</v>
      </c>
      <c r="Q155" s="3" t="s">
        <v>2276</v>
      </c>
      <c r="R155" s="3" t="s">
        <v>534</v>
      </c>
      <c r="S155" s="3" t="s">
        <v>534</v>
      </c>
      <c r="T155" s="3" t="s">
        <v>534</v>
      </c>
      <c r="U155" s="3" t="s">
        <v>2276</v>
      </c>
      <c r="V155" s="3" t="s">
        <v>2276</v>
      </c>
      <c r="W155" s="4" t="s">
        <v>875</v>
      </c>
    </row>
    <row r="156" spans="1:23" ht="52" customHeight="1">
      <c r="A156" s="11" t="s">
        <v>2073</v>
      </c>
      <c r="B156" s="11" t="s">
        <v>2127</v>
      </c>
      <c r="C156" s="23" t="s">
        <v>24</v>
      </c>
      <c r="D156" s="23" t="s">
        <v>143</v>
      </c>
      <c r="E156" s="23" t="s">
        <v>130</v>
      </c>
      <c r="F156" s="19" t="s">
        <v>74</v>
      </c>
      <c r="G156" s="19"/>
      <c r="H156" s="4" t="s">
        <v>541</v>
      </c>
      <c r="I156" s="3" t="s">
        <v>537</v>
      </c>
      <c r="J156" s="3" t="s">
        <v>537</v>
      </c>
      <c r="K156" s="3" t="s">
        <v>537</v>
      </c>
      <c r="L156" s="3" t="s">
        <v>2276</v>
      </c>
      <c r="M156" s="3" t="s">
        <v>2276</v>
      </c>
      <c r="N156" s="3" t="s">
        <v>2276</v>
      </c>
      <c r="O156" s="3" t="s">
        <v>2276</v>
      </c>
      <c r="P156" s="3" t="s">
        <v>2276</v>
      </c>
      <c r="Q156" s="3" t="s">
        <v>2276</v>
      </c>
      <c r="R156" s="3" t="s">
        <v>534</v>
      </c>
      <c r="S156" s="3" t="s">
        <v>534</v>
      </c>
      <c r="T156" s="3" t="s">
        <v>534</v>
      </c>
      <c r="U156" s="3" t="s">
        <v>2276</v>
      </c>
      <c r="V156" s="3" t="s">
        <v>2276</v>
      </c>
      <c r="W156" s="4" t="s">
        <v>875</v>
      </c>
    </row>
    <row r="157" spans="1:23" ht="52" customHeight="1">
      <c r="A157" s="11" t="s">
        <v>2074</v>
      </c>
      <c r="B157" s="11" t="s">
        <v>2128</v>
      </c>
      <c r="C157" s="23" t="s">
        <v>24</v>
      </c>
      <c r="D157" s="23" t="s">
        <v>143</v>
      </c>
      <c r="E157" s="23" t="s">
        <v>130</v>
      </c>
      <c r="F157" s="19" t="s">
        <v>74</v>
      </c>
      <c r="G157" s="19"/>
      <c r="H157" s="4" t="s">
        <v>541</v>
      </c>
      <c r="I157" s="3" t="s">
        <v>537</v>
      </c>
      <c r="J157" s="3" t="s">
        <v>537</v>
      </c>
      <c r="K157" s="3" t="s">
        <v>537</v>
      </c>
      <c r="L157" s="3" t="s">
        <v>2276</v>
      </c>
      <c r="M157" s="3" t="s">
        <v>2276</v>
      </c>
      <c r="N157" s="3" t="s">
        <v>2276</v>
      </c>
      <c r="O157" s="3" t="s">
        <v>2276</v>
      </c>
      <c r="P157" s="3" t="s">
        <v>2276</v>
      </c>
      <c r="Q157" s="3" t="s">
        <v>2276</v>
      </c>
      <c r="R157" s="3" t="s">
        <v>534</v>
      </c>
      <c r="S157" s="3" t="s">
        <v>534</v>
      </c>
      <c r="T157" s="3" t="s">
        <v>534</v>
      </c>
      <c r="U157" s="3" t="s">
        <v>2276</v>
      </c>
      <c r="V157" s="3" t="s">
        <v>2276</v>
      </c>
      <c r="W157" s="4" t="s">
        <v>875</v>
      </c>
    </row>
    <row r="158" spans="1:23" ht="52" customHeight="1">
      <c r="A158" s="11" t="s">
        <v>2075</v>
      </c>
      <c r="B158" s="11" t="s">
        <v>2129</v>
      </c>
      <c r="C158" s="23" t="s">
        <v>24</v>
      </c>
      <c r="D158" s="23" t="s">
        <v>143</v>
      </c>
      <c r="E158" s="23" t="s">
        <v>130</v>
      </c>
      <c r="F158" s="19" t="s">
        <v>74</v>
      </c>
      <c r="G158" s="19"/>
      <c r="H158" s="4" t="s">
        <v>541</v>
      </c>
      <c r="I158" s="3" t="s">
        <v>537</v>
      </c>
      <c r="J158" s="3" t="s">
        <v>537</v>
      </c>
      <c r="K158" s="3" t="s">
        <v>537</v>
      </c>
      <c r="L158" s="3" t="s">
        <v>2276</v>
      </c>
      <c r="M158" s="3" t="s">
        <v>2276</v>
      </c>
      <c r="N158" s="3" t="s">
        <v>2276</v>
      </c>
      <c r="O158" s="3" t="s">
        <v>2276</v>
      </c>
      <c r="P158" s="3" t="s">
        <v>2276</v>
      </c>
      <c r="Q158" s="3" t="s">
        <v>2276</v>
      </c>
      <c r="R158" s="3" t="s">
        <v>534</v>
      </c>
      <c r="S158" s="3" t="s">
        <v>534</v>
      </c>
      <c r="T158" s="3" t="s">
        <v>534</v>
      </c>
      <c r="U158" s="3" t="s">
        <v>2276</v>
      </c>
      <c r="V158" s="3" t="s">
        <v>2276</v>
      </c>
      <c r="W158" s="4" t="s">
        <v>875</v>
      </c>
    </row>
    <row r="159" spans="1:23" ht="52" customHeight="1">
      <c r="A159" s="11" t="s">
        <v>2076</v>
      </c>
      <c r="B159" s="11" t="s">
        <v>2130</v>
      </c>
      <c r="C159" s="23" t="s">
        <v>24</v>
      </c>
      <c r="D159" s="23" t="s">
        <v>143</v>
      </c>
      <c r="E159" s="23" t="s">
        <v>130</v>
      </c>
      <c r="F159" s="19" t="s">
        <v>74</v>
      </c>
      <c r="G159" s="19"/>
      <c r="H159" s="4" t="s">
        <v>541</v>
      </c>
      <c r="I159" s="3" t="s">
        <v>537</v>
      </c>
      <c r="J159" s="3" t="s">
        <v>537</v>
      </c>
      <c r="K159" s="3" t="s">
        <v>537</v>
      </c>
      <c r="L159" s="3" t="s">
        <v>2276</v>
      </c>
      <c r="M159" s="3" t="s">
        <v>2276</v>
      </c>
      <c r="N159" s="3" t="s">
        <v>2276</v>
      </c>
      <c r="O159" s="3" t="s">
        <v>2276</v>
      </c>
      <c r="P159" s="3" t="s">
        <v>2276</v>
      </c>
      <c r="Q159" s="3" t="s">
        <v>2276</v>
      </c>
      <c r="R159" s="3" t="s">
        <v>534</v>
      </c>
      <c r="S159" s="3" t="s">
        <v>534</v>
      </c>
      <c r="T159" s="3" t="s">
        <v>534</v>
      </c>
      <c r="U159" s="3" t="s">
        <v>2276</v>
      </c>
      <c r="V159" s="3" t="s">
        <v>2276</v>
      </c>
      <c r="W159" s="4" t="s">
        <v>875</v>
      </c>
    </row>
    <row r="160" spans="1:23" ht="52" customHeight="1">
      <c r="A160" s="11" t="s">
        <v>2077</v>
      </c>
      <c r="B160" s="11" t="s">
        <v>2131</v>
      </c>
      <c r="C160" s="23" t="s">
        <v>24</v>
      </c>
      <c r="D160" s="23" t="s">
        <v>143</v>
      </c>
      <c r="E160" s="23" t="s">
        <v>130</v>
      </c>
      <c r="F160" s="19" t="s">
        <v>74</v>
      </c>
      <c r="G160" s="19"/>
      <c r="H160" s="4" t="s">
        <v>541</v>
      </c>
      <c r="I160" s="3" t="s">
        <v>537</v>
      </c>
      <c r="J160" s="3" t="s">
        <v>537</v>
      </c>
      <c r="K160" s="3" t="s">
        <v>537</v>
      </c>
      <c r="L160" s="3" t="s">
        <v>2276</v>
      </c>
      <c r="M160" s="3" t="s">
        <v>2276</v>
      </c>
      <c r="N160" s="3" t="s">
        <v>2276</v>
      </c>
      <c r="O160" s="3" t="s">
        <v>2276</v>
      </c>
      <c r="P160" s="3" t="s">
        <v>2276</v>
      </c>
      <c r="Q160" s="3" t="s">
        <v>2276</v>
      </c>
      <c r="R160" s="3" t="s">
        <v>534</v>
      </c>
      <c r="S160" s="3" t="s">
        <v>534</v>
      </c>
      <c r="T160" s="3" t="s">
        <v>534</v>
      </c>
      <c r="U160" s="3" t="s">
        <v>2276</v>
      </c>
      <c r="V160" s="3" t="s">
        <v>2276</v>
      </c>
      <c r="W160" s="4" t="s">
        <v>875</v>
      </c>
    </row>
    <row r="161" spans="1:23" ht="52" customHeight="1">
      <c r="A161" s="11" t="s">
        <v>2078</v>
      </c>
      <c r="B161" s="11" t="s">
        <v>2132</v>
      </c>
      <c r="C161" s="23" t="s">
        <v>24</v>
      </c>
      <c r="D161" s="23" t="s">
        <v>143</v>
      </c>
      <c r="E161" s="23" t="s">
        <v>130</v>
      </c>
      <c r="F161" s="19" t="s">
        <v>74</v>
      </c>
      <c r="G161" s="19"/>
      <c r="H161" s="4" t="s">
        <v>541</v>
      </c>
      <c r="I161" s="3" t="s">
        <v>537</v>
      </c>
      <c r="J161" s="3" t="s">
        <v>537</v>
      </c>
      <c r="K161" s="3" t="s">
        <v>537</v>
      </c>
      <c r="L161" s="3" t="s">
        <v>2276</v>
      </c>
      <c r="M161" s="3" t="s">
        <v>2276</v>
      </c>
      <c r="N161" s="3" t="s">
        <v>2276</v>
      </c>
      <c r="O161" s="3" t="s">
        <v>2276</v>
      </c>
      <c r="P161" s="3" t="s">
        <v>2276</v>
      </c>
      <c r="Q161" s="3" t="s">
        <v>2276</v>
      </c>
      <c r="R161" s="3" t="s">
        <v>534</v>
      </c>
      <c r="S161" s="3" t="s">
        <v>534</v>
      </c>
      <c r="T161" s="3" t="s">
        <v>534</v>
      </c>
      <c r="U161" s="3" t="s">
        <v>2276</v>
      </c>
      <c r="V161" s="3" t="s">
        <v>2276</v>
      </c>
      <c r="W161" s="4" t="s">
        <v>875</v>
      </c>
    </row>
    <row r="162" spans="1:23" ht="52" customHeight="1">
      <c r="A162" s="11" t="s">
        <v>2079</v>
      </c>
      <c r="B162" s="11" t="s">
        <v>2133</v>
      </c>
      <c r="C162" s="23" t="s">
        <v>24</v>
      </c>
      <c r="D162" s="23" t="s">
        <v>143</v>
      </c>
      <c r="E162" s="23" t="s">
        <v>130</v>
      </c>
      <c r="F162" s="19" t="s">
        <v>74</v>
      </c>
      <c r="G162" s="19"/>
      <c r="H162" s="4" t="s">
        <v>541</v>
      </c>
      <c r="I162" s="3" t="s">
        <v>537</v>
      </c>
      <c r="J162" s="3" t="s">
        <v>537</v>
      </c>
      <c r="K162" s="3" t="s">
        <v>537</v>
      </c>
      <c r="L162" s="3" t="s">
        <v>2276</v>
      </c>
      <c r="M162" s="3" t="s">
        <v>2276</v>
      </c>
      <c r="N162" s="3" t="s">
        <v>2276</v>
      </c>
      <c r="O162" s="3" t="s">
        <v>2276</v>
      </c>
      <c r="P162" s="3" t="s">
        <v>2276</v>
      </c>
      <c r="Q162" s="3" t="s">
        <v>2276</v>
      </c>
      <c r="R162" s="3" t="s">
        <v>534</v>
      </c>
      <c r="S162" s="3" t="s">
        <v>534</v>
      </c>
      <c r="T162" s="3" t="s">
        <v>534</v>
      </c>
      <c r="U162" s="3" t="s">
        <v>2276</v>
      </c>
      <c r="V162" s="3" t="s">
        <v>2276</v>
      </c>
      <c r="W162" s="4" t="s">
        <v>875</v>
      </c>
    </row>
    <row r="163" spans="1:23" ht="52" customHeight="1">
      <c r="A163" s="11" t="s">
        <v>2080</v>
      </c>
      <c r="B163" s="11" t="s">
        <v>2134</v>
      </c>
      <c r="C163" s="23" t="s">
        <v>24</v>
      </c>
      <c r="D163" s="23" t="s">
        <v>143</v>
      </c>
      <c r="E163" s="23" t="s">
        <v>130</v>
      </c>
      <c r="F163" s="19" t="s">
        <v>74</v>
      </c>
      <c r="G163" s="19"/>
      <c r="H163" s="4" t="s">
        <v>541</v>
      </c>
      <c r="I163" s="3" t="s">
        <v>537</v>
      </c>
      <c r="J163" s="3" t="s">
        <v>537</v>
      </c>
      <c r="K163" s="3" t="s">
        <v>537</v>
      </c>
      <c r="L163" s="3" t="s">
        <v>2276</v>
      </c>
      <c r="M163" s="3" t="s">
        <v>2276</v>
      </c>
      <c r="N163" s="3" t="s">
        <v>2276</v>
      </c>
      <c r="O163" s="3" t="s">
        <v>2276</v>
      </c>
      <c r="P163" s="3" t="s">
        <v>2276</v>
      </c>
      <c r="Q163" s="3" t="s">
        <v>2276</v>
      </c>
      <c r="R163" s="3" t="s">
        <v>534</v>
      </c>
      <c r="S163" s="3" t="s">
        <v>534</v>
      </c>
      <c r="T163" s="3" t="s">
        <v>534</v>
      </c>
      <c r="U163" s="3" t="s">
        <v>2276</v>
      </c>
      <c r="V163" s="3" t="s">
        <v>2276</v>
      </c>
      <c r="W163" s="4" t="s">
        <v>875</v>
      </c>
    </row>
    <row r="164" spans="1:23" ht="52" customHeight="1">
      <c r="A164" s="11" t="s">
        <v>2081</v>
      </c>
      <c r="B164" s="11" t="s">
        <v>2135</v>
      </c>
      <c r="C164" s="23" t="s">
        <v>24</v>
      </c>
      <c r="D164" s="23" t="s">
        <v>143</v>
      </c>
      <c r="E164" s="23" t="s">
        <v>130</v>
      </c>
      <c r="F164" s="19" t="s">
        <v>74</v>
      </c>
      <c r="G164" s="19"/>
      <c r="H164" s="4" t="s">
        <v>541</v>
      </c>
      <c r="I164" s="3" t="s">
        <v>537</v>
      </c>
      <c r="J164" s="3" t="s">
        <v>537</v>
      </c>
      <c r="K164" s="3" t="s">
        <v>537</v>
      </c>
      <c r="L164" s="3" t="s">
        <v>2276</v>
      </c>
      <c r="M164" s="3" t="s">
        <v>2276</v>
      </c>
      <c r="N164" s="3" t="s">
        <v>2276</v>
      </c>
      <c r="O164" s="3" t="s">
        <v>2276</v>
      </c>
      <c r="P164" s="3" t="s">
        <v>2276</v>
      </c>
      <c r="Q164" s="3" t="s">
        <v>2276</v>
      </c>
      <c r="R164" s="3" t="s">
        <v>534</v>
      </c>
      <c r="S164" s="3" t="s">
        <v>534</v>
      </c>
      <c r="T164" s="3" t="s">
        <v>534</v>
      </c>
      <c r="U164" s="3" t="s">
        <v>2276</v>
      </c>
      <c r="V164" s="3" t="s">
        <v>2276</v>
      </c>
      <c r="W164" s="4" t="s">
        <v>875</v>
      </c>
    </row>
    <row r="165" spans="1:23" ht="52" customHeight="1">
      <c r="A165" s="11" t="s">
        <v>2082</v>
      </c>
      <c r="B165" s="11" t="s">
        <v>2136</v>
      </c>
      <c r="C165" s="23" t="s">
        <v>24</v>
      </c>
      <c r="D165" s="23" t="s">
        <v>143</v>
      </c>
      <c r="E165" s="23" t="s">
        <v>130</v>
      </c>
      <c r="F165" s="19" t="s">
        <v>74</v>
      </c>
      <c r="G165" s="19"/>
      <c r="H165" s="4" t="s">
        <v>541</v>
      </c>
      <c r="I165" s="3" t="s">
        <v>537</v>
      </c>
      <c r="J165" s="3" t="s">
        <v>537</v>
      </c>
      <c r="K165" s="3" t="s">
        <v>537</v>
      </c>
      <c r="L165" s="3" t="s">
        <v>2276</v>
      </c>
      <c r="M165" s="3" t="s">
        <v>2276</v>
      </c>
      <c r="N165" s="3" t="s">
        <v>2276</v>
      </c>
      <c r="O165" s="3" t="s">
        <v>2276</v>
      </c>
      <c r="P165" s="3" t="s">
        <v>2276</v>
      </c>
      <c r="Q165" s="3" t="s">
        <v>2276</v>
      </c>
      <c r="R165" s="3" t="s">
        <v>534</v>
      </c>
      <c r="S165" s="3" t="s">
        <v>534</v>
      </c>
      <c r="T165" s="3" t="s">
        <v>534</v>
      </c>
      <c r="U165" s="3" t="s">
        <v>2276</v>
      </c>
      <c r="V165" s="3" t="s">
        <v>2276</v>
      </c>
      <c r="W165" s="4" t="s">
        <v>875</v>
      </c>
    </row>
    <row r="166" spans="1:23" ht="52" customHeight="1">
      <c r="A166" s="11" t="s">
        <v>2083</v>
      </c>
      <c r="B166" s="11" t="s">
        <v>2137</v>
      </c>
      <c r="C166" s="23" t="s">
        <v>24</v>
      </c>
      <c r="D166" s="23" t="s">
        <v>143</v>
      </c>
      <c r="E166" s="23" t="s">
        <v>130</v>
      </c>
      <c r="F166" s="19" t="s">
        <v>74</v>
      </c>
      <c r="G166" s="19"/>
      <c r="H166" s="4" t="s">
        <v>541</v>
      </c>
      <c r="I166" s="3" t="s">
        <v>537</v>
      </c>
      <c r="J166" s="3" t="s">
        <v>537</v>
      </c>
      <c r="K166" s="3" t="s">
        <v>537</v>
      </c>
      <c r="L166" s="3" t="s">
        <v>2276</v>
      </c>
      <c r="M166" s="3" t="s">
        <v>2276</v>
      </c>
      <c r="N166" s="3" t="s">
        <v>2276</v>
      </c>
      <c r="O166" s="3" t="s">
        <v>2276</v>
      </c>
      <c r="P166" s="3" t="s">
        <v>2276</v>
      </c>
      <c r="Q166" s="3" t="s">
        <v>2276</v>
      </c>
      <c r="R166" s="3" t="s">
        <v>534</v>
      </c>
      <c r="S166" s="3" t="s">
        <v>534</v>
      </c>
      <c r="T166" s="3" t="s">
        <v>534</v>
      </c>
      <c r="U166" s="3" t="s">
        <v>2276</v>
      </c>
      <c r="V166" s="3" t="s">
        <v>2276</v>
      </c>
      <c r="W166" s="4" t="s">
        <v>875</v>
      </c>
    </row>
    <row r="167" spans="1:23" ht="52" customHeight="1">
      <c r="A167" s="11" t="s">
        <v>2084</v>
      </c>
      <c r="B167" s="11" t="s">
        <v>2138</v>
      </c>
      <c r="C167" s="23" t="s">
        <v>24</v>
      </c>
      <c r="D167" s="23" t="s">
        <v>143</v>
      </c>
      <c r="E167" s="23" t="s">
        <v>130</v>
      </c>
      <c r="F167" s="19" t="s">
        <v>74</v>
      </c>
      <c r="G167" s="19"/>
      <c r="H167" s="4" t="s">
        <v>541</v>
      </c>
      <c r="I167" s="3" t="s">
        <v>537</v>
      </c>
      <c r="J167" s="3" t="s">
        <v>537</v>
      </c>
      <c r="K167" s="3" t="s">
        <v>537</v>
      </c>
      <c r="L167" s="3" t="s">
        <v>2276</v>
      </c>
      <c r="M167" s="3" t="s">
        <v>2276</v>
      </c>
      <c r="N167" s="3" t="s">
        <v>2276</v>
      </c>
      <c r="O167" s="3" t="s">
        <v>2276</v>
      </c>
      <c r="P167" s="3" t="s">
        <v>2276</v>
      </c>
      <c r="Q167" s="3" t="s">
        <v>2276</v>
      </c>
      <c r="R167" s="3" t="s">
        <v>534</v>
      </c>
      <c r="S167" s="3" t="s">
        <v>534</v>
      </c>
      <c r="T167" s="3" t="s">
        <v>534</v>
      </c>
      <c r="U167" s="3" t="s">
        <v>2276</v>
      </c>
      <c r="V167" s="3" t="s">
        <v>2276</v>
      </c>
      <c r="W167" s="4" t="s">
        <v>875</v>
      </c>
    </row>
    <row r="168" spans="1:23" ht="52" customHeight="1">
      <c r="A168" s="11" t="s">
        <v>2085</v>
      </c>
      <c r="B168" s="11" t="s">
        <v>2139</v>
      </c>
      <c r="C168" s="23" t="s">
        <v>24</v>
      </c>
      <c r="D168" s="23" t="s">
        <v>143</v>
      </c>
      <c r="E168" s="23" t="s">
        <v>130</v>
      </c>
      <c r="F168" s="19" t="s">
        <v>74</v>
      </c>
      <c r="G168" s="19"/>
      <c r="H168" s="4" t="s">
        <v>541</v>
      </c>
      <c r="I168" s="3" t="s">
        <v>537</v>
      </c>
      <c r="J168" s="3" t="s">
        <v>537</v>
      </c>
      <c r="K168" s="3" t="s">
        <v>537</v>
      </c>
      <c r="L168" s="3" t="s">
        <v>2276</v>
      </c>
      <c r="M168" s="3" t="s">
        <v>2276</v>
      </c>
      <c r="N168" s="3" t="s">
        <v>2276</v>
      </c>
      <c r="O168" s="3" t="s">
        <v>2276</v>
      </c>
      <c r="P168" s="3" t="s">
        <v>2276</v>
      </c>
      <c r="Q168" s="3" t="s">
        <v>2276</v>
      </c>
      <c r="R168" s="3" t="s">
        <v>534</v>
      </c>
      <c r="S168" s="3" t="s">
        <v>534</v>
      </c>
      <c r="T168" s="3" t="s">
        <v>534</v>
      </c>
      <c r="U168" s="3" t="s">
        <v>2276</v>
      </c>
      <c r="V168" s="3" t="s">
        <v>2276</v>
      </c>
      <c r="W168" s="4" t="s">
        <v>875</v>
      </c>
    </row>
    <row r="169" spans="1:23" ht="52" customHeight="1">
      <c r="A169" s="11" t="s">
        <v>2086</v>
      </c>
      <c r="B169" s="11" t="s">
        <v>2140</v>
      </c>
      <c r="C169" s="23" t="s">
        <v>24</v>
      </c>
      <c r="D169" s="23" t="s">
        <v>143</v>
      </c>
      <c r="E169" s="23" t="s">
        <v>130</v>
      </c>
      <c r="F169" s="19" t="s">
        <v>74</v>
      </c>
      <c r="G169" s="19"/>
      <c r="H169" s="4" t="s">
        <v>541</v>
      </c>
      <c r="I169" s="3" t="s">
        <v>537</v>
      </c>
      <c r="J169" s="3" t="s">
        <v>537</v>
      </c>
      <c r="K169" s="3" t="s">
        <v>537</v>
      </c>
      <c r="L169" s="3" t="s">
        <v>2276</v>
      </c>
      <c r="M169" s="3" t="s">
        <v>2276</v>
      </c>
      <c r="N169" s="3" t="s">
        <v>2276</v>
      </c>
      <c r="O169" s="3" t="s">
        <v>2276</v>
      </c>
      <c r="P169" s="3" t="s">
        <v>2276</v>
      </c>
      <c r="Q169" s="3" t="s">
        <v>2276</v>
      </c>
      <c r="R169" s="3" t="s">
        <v>534</v>
      </c>
      <c r="S169" s="3" t="s">
        <v>534</v>
      </c>
      <c r="T169" s="3" t="s">
        <v>534</v>
      </c>
      <c r="U169" s="3" t="s">
        <v>2276</v>
      </c>
      <c r="V169" s="3" t="s">
        <v>2276</v>
      </c>
      <c r="W169" s="4" t="s">
        <v>875</v>
      </c>
    </row>
    <row r="170" spans="1:23" ht="52" customHeight="1">
      <c r="A170" s="11" t="s">
        <v>2087</v>
      </c>
      <c r="B170" s="11" t="s">
        <v>2141</v>
      </c>
      <c r="C170" s="23" t="s">
        <v>24</v>
      </c>
      <c r="D170" s="23" t="s">
        <v>143</v>
      </c>
      <c r="E170" s="23" t="s">
        <v>130</v>
      </c>
      <c r="F170" s="19" t="s">
        <v>74</v>
      </c>
      <c r="G170" s="19"/>
      <c r="H170" s="4" t="s">
        <v>541</v>
      </c>
      <c r="I170" s="3" t="s">
        <v>537</v>
      </c>
      <c r="J170" s="3" t="s">
        <v>537</v>
      </c>
      <c r="K170" s="3" t="s">
        <v>537</v>
      </c>
      <c r="L170" s="3" t="s">
        <v>2276</v>
      </c>
      <c r="M170" s="3" t="s">
        <v>2276</v>
      </c>
      <c r="N170" s="3" t="s">
        <v>2276</v>
      </c>
      <c r="O170" s="3" t="s">
        <v>2276</v>
      </c>
      <c r="P170" s="3" t="s">
        <v>2276</v>
      </c>
      <c r="Q170" s="3" t="s">
        <v>2276</v>
      </c>
      <c r="R170" s="3" t="s">
        <v>534</v>
      </c>
      <c r="S170" s="3" t="s">
        <v>534</v>
      </c>
      <c r="T170" s="3" t="s">
        <v>534</v>
      </c>
      <c r="U170" s="3" t="s">
        <v>2276</v>
      </c>
      <c r="V170" s="3" t="s">
        <v>2276</v>
      </c>
      <c r="W170" s="4" t="s">
        <v>875</v>
      </c>
    </row>
    <row r="171" spans="1:23" ht="52" customHeight="1">
      <c r="A171" s="11" t="s">
        <v>2088</v>
      </c>
      <c r="B171" s="11" t="s">
        <v>2142</v>
      </c>
      <c r="C171" s="23" t="s">
        <v>24</v>
      </c>
      <c r="D171" s="23" t="s">
        <v>143</v>
      </c>
      <c r="E171" s="23" t="s">
        <v>130</v>
      </c>
      <c r="F171" s="19" t="s">
        <v>74</v>
      </c>
      <c r="G171" s="19"/>
      <c r="H171" s="4" t="s">
        <v>541</v>
      </c>
      <c r="I171" s="3" t="s">
        <v>537</v>
      </c>
      <c r="J171" s="3" t="s">
        <v>537</v>
      </c>
      <c r="K171" s="3" t="s">
        <v>537</v>
      </c>
      <c r="L171" s="3" t="s">
        <v>2276</v>
      </c>
      <c r="M171" s="3" t="s">
        <v>2276</v>
      </c>
      <c r="N171" s="3" t="s">
        <v>2276</v>
      </c>
      <c r="O171" s="3" t="s">
        <v>2276</v>
      </c>
      <c r="P171" s="3" t="s">
        <v>2276</v>
      </c>
      <c r="Q171" s="3" t="s">
        <v>2276</v>
      </c>
      <c r="R171" s="3" t="s">
        <v>534</v>
      </c>
      <c r="S171" s="3" t="s">
        <v>534</v>
      </c>
      <c r="T171" s="3" t="s">
        <v>534</v>
      </c>
      <c r="U171" s="3" t="s">
        <v>2276</v>
      </c>
      <c r="V171" s="3" t="s">
        <v>2276</v>
      </c>
      <c r="W171" s="4" t="s">
        <v>875</v>
      </c>
    </row>
    <row r="172" spans="1:23" ht="52" customHeight="1">
      <c r="A172" s="11" t="s">
        <v>2089</v>
      </c>
      <c r="B172" s="11" t="s">
        <v>2143</v>
      </c>
      <c r="C172" s="23" t="s">
        <v>24</v>
      </c>
      <c r="D172" s="23" t="s">
        <v>143</v>
      </c>
      <c r="E172" s="23" t="s">
        <v>130</v>
      </c>
      <c r="F172" s="19" t="s">
        <v>74</v>
      </c>
      <c r="G172" s="19"/>
      <c r="H172" s="4" t="s">
        <v>541</v>
      </c>
      <c r="I172" s="3" t="s">
        <v>537</v>
      </c>
      <c r="J172" s="3" t="s">
        <v>537</v>
      </c>
      <c r="K172" s="3" t="s">
        <v>537</v>
      </c>
      <c r="L172" s="3" t="s">
        <v>2276</v>
      </c>
      <c r="M172" s="3" t="s">
        <v>2276</v>
      </c>
      <c r="N172" s="3" t="s">
        <v>2276</v>
      </c>
      <c r="O172" s="3" t="s">
        <v>2276</v>
      </c>
      <c r="P172" s="3" t="s">
        <v>2276</v>
      </c>
      <c r="Q172" s="3" t="s">
        <v>2276</v>
      </c>
      <c r="R172" s="3" t="s">
        <v>534</v>
      </c>
      <c r="S172" s="3" t="s">
        <v>534</v>
      </c>
      <c r="T172" s="3" t="s">
        <v>534</v>
      </c>
      <c r="U172" s="3" t="s">
        <v>2276</v>
      </c>
      <c r="V172" s="3" t="s">
        <v>2276</v>
      </c>
      <c r="W172" s="4" t="s">
        <v>875</v>
      </c>
    </row>
    <row r="173" spans="1:23" ht="52" customHeight="1">
      <c r="A173" s="11" t="s">
        <v>2090</v>
      </c>
      <c r="B173" s="11" t="s">
        <v>2144</v>
      </c>
      <c r="C173" s="23" t="s">
        <v>24</v>
      </c>
      <c r="D173" s="23" t="s">
        <v>143</v>
      </c>
      <c r="E173" s="23" t="s">
        <v>130</v>
      </c>
      <c r="F173" s="19" t="s">
        <v>74</v>
      </c>
      <c r="G173" s="19"/>
      <c r="H173" s="4" t="s">
        <v>541</v>
      </c>
      <c r="I173" s="3" t="s">
        <v>537</v>
      </c>
      <c r="J173" s="3" t="s">
        <v>537</v>
      </c>
      <c r="K173" s="3" t="s">
        <v>537</v>
      </c>
      <c r="L173" s="3" t="s">
        <v>2276</v>
      </c>
      <c r="M173" s="3" t="s">
        <v>2276</v>
      </c>
      <c r="N173" s="3" t="s">
        <v>2276</v>
      </c>
      <c r="O173" s="3" t="s">
        <v>2276</v>
      </c>
      <c r="P173" s="3" t="s">
        <v>2276</v>
      </c>
      <c r="Q173" s="3" t="s">
        <v>2276</v>
      </c>
      <c r="R173" s="3" t="s">
        <v>534</v>
      </c>
      <c r="S173" s="3" t="s">
        <v>534</v>
      </c>
      <c r="T173" s="3" t="s">
        <v>534</v>
      </c>
      <c r="U173" s="3" t="s">
        <v>2276</v>
      </c>
      <c r="V173" s="3" t="s">
        <v>2276</v>
      </c>
      <c r="W173" s="4" t="s">
        <v>875</v>
      </c>
    </row>
    <row r="174" spans="1:23" ht="52" customHeight="1">
      <c r="A174" s="11" t="s">
        <v>2091</v>
      </c>
      <c r="B174" s="11" t="s">
        <v>2145</v>
      </c>
      <c r="C174" s="23" t="s">
        <v>24</v>
      </c>
      <c r="D174" s="23" t="s">
        <v>143</v>
      </c>
      <c r="E174" s="23" t="s">
        <v>130</v>
      </c>
      <c r="F174" s="19" t="s">
        <v>74</v>
      </c>
      <c r="G174" s="19"/>
      <c r="H174" s="4" t="s">
        <v>541</v>
      </c>
      <c r="I174" s="3" t="s">
        <v>537</v>
      </c>
      <c r="J174" s="3" t="s">
        <v>537</v>
      </c>
      <c r="K174" s="3" t="s">
        <v>537</v>
      </c>
      <c r="L174" s="3" t="s">
        <v>2276</v>
      </c>
      <c r="M174" s="3" t="s">
        <v>2276</v>
      </c>
      <c r="N174" s="3" t="s">
        <v>2276</v>
      </c>
      <c r="O174" s="3" t="s">
        <v>2276</v>
      </c>
      <c r="P174" s="3" t="s">
        <v>2276</v>
      </c>
      <c r="Q174" s="3" t="s">
        <v>2276</v>
      </c>
      <c r="R174" s="3" t="s">
        <v>534</v>
      </c>
      <c r="S174" s="3" t="s">
        <v>534</v>
      </c>
      <c r="T174" s="3" t="s">
        <v>534</v>
      </c>
      <c r="U174" s="3" t="s">
        <v>2276</v>
      </c>
      <c r="V174" s="3" t="s">
        <v>2276</v>
      </c>
      <c r="W174" s="4" t="s">
        <v>875</v>
      </c>
    </row>
    <row r="175" spans="1:23" ht="52" customHeight="1">
      <c r="A175" s="11" t="s">
        <v>2092</v>
      </c>
      <c r="B175" s="11" t="s">
        <v>2146</v>
      </c>
      <c r="C175" s="23" t="s">
        <v>24</v>
      </c>
      <c r="D175" s="23" t="s">
        <v>143</v>
      </c>
      <c r="E175" s="23" t="s">
        <v>130</v>
      </c>
      <c r="F175" s="19" t="s">
        <v>74</v>
      </c>
      <c r="G175" s="19"/>
      <c r="H175" s="4" t="s">
        <v>541</v>
      </c>
      <c r="I175" s="3" t="s">
        <v>537</v>
      </c>
      <c r="J175" s="3" t="s">
        <v>537</v>
      </c>
      <c r="K175" s="3" t="s">
        <v>537</v>
      </c>
      <c r="L175" s="3" t="s">
        <v>2276</v>
      </c>
      <c r="M175" s="3" t="s">
        <v>2276</v>
      </c>
      <c r="N175" s="3" t="s">
        <v>2276</v>
      </c>
      <c r="O175" s="3" t="s">
        <v>2276</v>
      </c>
      <c r="P175" s="3" t="s">
        <v>2276</v>
      </c>
      <c r="Q175" s="3" t="s">
        <v>2276</v>
      </c>
      <c r="R175" s="3" t="s">
        <v>534</v>
      </c>
      <c r="S175" s="3" t="s">
        <v>534</v>
      </c>
      <c r="T175" s="3" t="s">
        <v>534</v>
      </c>
      <c r="U175" s="3" t="s">
        <v>2276</v>
      </c>
      <c r="V175" s="3" t="s">
        <v>2276</v>
      </c>
      <c r="W175" s="4" t="s">
        <v>875</v>
      </c>
    </row>
    <row r="176" spans="1:23" ht="52" customHeight="1">
      <c r="A176" s="11" t="s">
        <v>2093</v>
      </c>
      <c r="B176" s="11" t="s">
        <v>2147</v>
      </c>
      <c r="C176" s="23" t="s">
        <v>24</v>
      </c>
      <c r="D176" s="23" t="s">
        <v>143</v>
      </c>
      <c r="E176" s="23" t="s">
        <v>130</v>
      </c>
      <c r="F176" s="19" t="s">
        <v>74</v>
      </c>
      <c r="G176" s="19"/>
      <c r="H176" s="4" t="s">
        <v>541</v>
      </c>
      <c r="I176" s="3" t="s">
        <v>537</v>
      </c>
      <c r="J176" s="3" t="s">
        <v>537</v>
      </c>
      <c r="K176" s="3" t="s">
        <v>537</v>
      </c>
      <c r="L176" s="3" t="s">
        <v>2276</v>
      </c>
      <c r="M176" s="3" t="s">
        <v>2276</v>
      </c>
      <c r="N176" s="3" t="s">
        <v>2276</v>
      </c>
      <c r="O176" s="3" t="s">
        <v>2276</v>
      </c>
      <c r="P176" s="3" t="s">
        <v>2276</v>
      </c>
      <c r="Q176" s="3" t="s">
        <v>2276</v>
      </c>
      <c r="R176" s="3" t="s">
        <v>534</v>
      </c>
      <c r="S176" s="3" t="s">
        <v>534</v>
      </c>
      <c r="T176" s="3" t="s">
        <v>534</v>
      </c>
      <c r="U176" s="3" t="s">
        <v>2276</v>
      </c>
      <c r="V176" s="3" t="s">
        <v>2276</v>
      </c>
      <c r="W176" s="4" t="s">
        <v>875</v>
      </c>
    </row>
    <row r="177" spans="1:23" ht="52" customHeight="1">
      <c r="A177" s="11" t="s">
        <v>2094</v>
      </c>
      <c r="B177" s="11" t="s">
        <v>2148</v>
      </c>
      <c r="C177" s="23" t="s">
        <v>24</v>
      </c>
      <c r="D177" s="23" t="s">
        <v>143</v>
      </c>
      <c r="E177" s="23" t="s">
        <v>130</v>
      </c>
      <c r="F177" s="19" t="s">
        <v>74</v>
      </c>
      <c r="G177" s="19"/>
      <c r="H177" s="4" t="s">
        <v>541</v>
      </c>
      <c r="I177" s="3" t="s">
        <v>537</v>
      </c>
      <c r="J177" s="3" t="s">
        <v>537</v>
      </c>
      <c r="K177" s="3" t="s">
        <v>537</v>
      </c>
      <c r="L177" s="3" t="s">
        <v>2276</v>
      </c>
      <c r="M177" s="3" t="s">
        <v>2276</v>
      </c>
      <c r="N177" s="3" t="s">
        <v>2276</v>
      </c>
      <c r="O177" s="3" t="s">
        <v>2276</v>
      </c>
      <c r="P177" s="3" t="s">
        <v>2276</v>
      </c>
      <c r="Q177" s="3" t="s">
        <v>2276</v>
      </c>
      <c r="R177" s="3" t="s">
        <v>534</v>
      </c>
      <c r="S177" s="3" t="s">
        <v>534</v>
      </c>
      <c r="T177" s="3" t="s">
        <v>534</v>
      </c>
      <c r="U177" s="3" t="s">
        <v>2276</v>
      </c>
      <c r="V177" s="3" t="s">
        <v>2276</v>
      </c>
      <c r="W177" s="4" t="s">
        <v>875</v>
      </c>
    </row>
    <row r="178" spans="1:23" ht="52" customHeight="1">
      <c r="A178" s="11" t="s">
        <v>2095</v>
      </c>
      <c r="B178" s="11" t="s">
        <v>2149</v>
      </c>
      <c r="C178" s="23" t="s">
        <v>24</v>
      </c>
      <c r="D178" s="23" t="s">
        <v>143</v>
      </c>
      <c r="E178" s="23" t="s">
        <v>130</v>
      </c>
      <c r="F178" s="19" t="s">
        <v>74</v>
      </c>
      <c r="G178" s="19"/>
      <c r="H178" s="4" t="s">
        <v>541</v>
      </c>
      <c r="I178" s="3" t="s">
        <v>537</v>
      </c>
      <c r="J178" s="3" t="s">
        <v>537</v>
      </c>
      <c r="K178" s="3" t="s">
        <v>537</v>
      </c>
      <c r="L178" s="3" t="s">
        <v>2276</v>
      </c>
      <c r="M178" s="3" t="s">
        <v>2276</v>
      </c>
      <c r="N178" s="3" t="s">
        <v>2276</v>
      </c>
      <c r="O178" s="3" t="s">
        <v>2276</v>
      </c>
      <c r="P178" s="3" t="s">
        <v>2276</v>
      </c>
      <c r="Q178" s="3" t="s">
        <v>2276</v>
      </c>
      <c r="R178" s="3" t="s">
        <v>534</v>
      </c>
      <c r="S178" s="3" t="s">
        <v>534</v>
      </c>
      <c r="T178" s="3" t="s">
        <v>534</v>
      </c>
      <c r="U178" s="3" t="s">
        <v>2276</v>
      </c>
      <c r="V178" s="3" t="s">
        <v>2276</v>
      </c>
      <c r="W178" s="4" t="s">
        <v>875</v>
      </c>
    </row>
    <row r="179" spans="1:23" ht="52" customHeight="1">
      <c r="A179" s="11" t="s">
        <v>2096</v>
      </c>
      <c r="B179" s="11" t="s">
        <v>2150</v>
      </c>
      <c r="C179" s="23" t="s">
        <v>24</v>
      </c>
      <c r="D179" s="23" t="s">
        <v>143</v>
      </c>
      <c r="E179" s="23" t="s">
        <v>130</v>
      </c>
      <c r="F179" s="19" t="s">
        <v>74</v>
      </c>
      <c r="G179" s="19"/>
      <c r="H179" s="4" t="s">
        <v>541</v>
      </c>
      <c r="I179" s="3" t="s">
        <v>537</v>
      </c>
      <c r="J179" s="3" t="s">
        <v>537</v>
      </c>
      <c r="K179" s="3" t="s">
        <v>537</v>
      </c>
      <c r="L179" s="3" t="s">
        <v>2276</v>
      </c>
      <c r="M179" s="3" t="s">
        <v>2276</v>
      </c>
      <c r="N179" s="3" t="s">
        <v>2276</v>
      </c>
      <c r="O179" s="3" t="s">
        <v>2276</v>
      </c>
      <c r="P179" s="3" t="s">
        <v>2276</v>
      </c>
      <c r="Q179" s="3" t="s">
        <v>2276</v>
      </c>
      <c r="R179" s="3" t="s">
        <v>534</v>
      </c>
      <c r="S179" s="3" t="s">
        <v>534</v>
      </c>
      <c r="T179" s="3" t="s">
        <v>534</v>
      </c>
      <c r="U179" s="3" t="s">
        <v>2276</v>
      </c>
      <c r="V179" s="3" t="s">
        <v>2276</v>
      </c>
      <c r="W179" s="4" t="s">
        <v>875</v>
      </c>
    </row>
    <row r="180" spans="1:23" ht="67" customHeight="1">
      <c r="A180" s="11" t="s">
        <v>2097</v>
      </c>
      <c r="B180" s="11" t="s">
        <v>2151</v>
      </c>
      <c r="C180" s="23" t="s">
        <v>24</v>
      </c>
      <c r="D180" s="23" t="s">
        <v>143</v>
      </c>
      <c r="E180" s="23" t="s">
        <v>130</v>
      </c>
      <c r="F180" s="19" t="s">
        <v>74</v>
      </c>
      <c r="G180" s="19"/>
      <c r="H180" s="4" t="s">
        <v>541</v>
      </c>
      <c r="I180" s="3" t="s">
        <v>2690</v>
      </c>
      <c r="J180" s="3" t="s">
        <v>534</v>
      </c>
      <c r="K180" s="3" t="s">
        <v>2276</v>
      </c>
      <c r="L180" s="3" t="s">
        <v>2276</v>
      </c>
      <c r="M180" s="3" t="s">
        <v>2276</v>
      </c>
      <c r="N180" s="3" t="s">
        <v>2276</v>
      </c>
      <c r="O180" s="3" t="s">
        <v>2276</v>
      </c>
      <c r="P180" s="3" t="s">
        <v>2276</v>
      </c>
      <c r="Q180" s="3" t="s">
        <v>2276</v>
      </c>
      <c r="R180" s="3" t="s">
        <v>534</v>
      </c>
      <c r="S180" s="3" t="s">
        <v>534</v>
      </c>
      <c r="T180" s="3" t="s">
        <v>534</v>
      </c>
      <c r="U180" s="3" t="s">
        <v>2276</v>
      </c>
      <c r="V180" s="3" t="s">
        <v>2276</v>
      </c>
      <c r="W180" s="4" t="s">
        <v>2178</v>
      </c>
    </row>
    <row r="181" spans="1:23" ht="74.5" customHeight="1">
      <c r="A181" s="11" t="s">
        <v>2097</v>
      </c>
      <c r="B181" s="11" t="s">
        <v>2177</v>
      </c>
      <c r="C181" s="23" t="s">
        <v>24</v>
      </c>
      <c r="D181" s="23" t="s">
        <v>27</v>
      </c>
      <c r="E181" s="23" t="s">
        <v>130</v>
      </c>
      <c r="F181" s="19" t="s">
        <v>161</v>
      </c>
      <c r="G181" s="19"/>
      <c r="H181" s="4" t="s">
        <v>541</v>
      </c>
      <c r="I181" s="3" t="s">
        <v>2690</v>
      </c>
      <c r="J181" s="3" t="s">
        <v>534</v>
      </c>
      <c r="K181" s="3" t="s">
        <v>2276</v>
      </c>
      <c r="L181" s="3" t="s">
        <v>2276</v>
      </c>
      <c r="M181" s="3" t="s">
        <v>2276</v>
      </c>
      <c r="N181" s="3" t="s">
        <v>2276</v>
      </c>
      <c r="O181" s="3" t="s">
        <v>2276</v>
      </c>
      <c r="P181" s="3" t="s">
        <v>2276</v>
      </c>
      <c r="Q181" s="3" t="s">
        <v>2276</v>
      </c>
      <c r="R181" s="3" t="s">
        <v>2276</v>
      </c>
      <c r="S181" s="3" t="s">
        <v>2276</v>
      </c>
      <c r="T181" s="3" t="s">
        <v>2276</v>
      </c>
      <c r="U181" s="3" t="s">
        <v>2276</v>
      </c>
      <c r="V181" s="3" t="s">
        <v>2276</v>
      </c>
      <c r="W181" s="4" t="s">
        <v>2178</v>
      </c>
    </row>
    <row r="182" spans="1:23" ht="52" customHeight="1">
      <c r="A182" s="11" t="s">
        <v>2098</v>
      </c>
      <c r="B182" s="11" t="s">
        <v>2152</v>
      </c>
      <c r="C182" s="23" t="s">
        <v>24</v>
      </c>
      <c r="D182" s="23" t="s">
        <v>143</v>
      </c>
      <c r="E182" s="23" t="s">
        <v>130</v>
      </c>
      <c r="F182" s="19" t="s">
        <v>74</v>
      </c>
      <c r="G182" s="19"/>
      <c r="H182" s="4" t="s">
        <v>541</v>
      </c>
      <c r="I182" s="3" t="s">
        <v>2690</v>
      </c>
      <c r="J182" s="3" t="s">
        <v>534</v>
      </c>
      <c r="K182" s="3" t="s">
        <v>2276</v>
      </c>
      <c r="L182" s="3" t="s">
        <v>2276</v>
      </c>
      <c r="M182" s="3" t="s">
        <v>2276</v>
      </c>
      <c r="N182" s="3" t="s">
        <v>2276</v>
      </c>
      <c r="O182" s="3" t="s">
        <v>2276</v>
      </c>
      <c r="P182" s="3" t="s">
        <v>2276</v>
      </c>
      <c r="Q182" s="3" t="s">
        <v>2276</v>
      </c>
      <c r="R182" s="3" t="s">
        <v>534</v>
      </c>
      <c r="S182" s="3" t="s">
        <v>534</v>
      </c>
      <c r="T182" s="3" t="s">
        <v>534</v>
      </c>
      <c r="U182" s="3" t="s">
        <v>2276</v>
      </c>
      <c r="V182" s="3" t="s">
        <v>2276</v>
      </c>
      <c r="W182" s="4" t="s">
        <v>2178</v>
      </c>
    </row>
    <row r="183" spans="1:23" ht="52" customHeight="1">
      <c r="A183" s="11" t="s">
        <v>2098</v>
      </c>
      <c r="B183" s="11" t="s">
        <v>2179</v>
      </c>
      <c r="C183" s="23" t="s">
        <v>24</v>
      </c>
      <c r="D183" s="23" t="s">
        <v>27</v>
      </c>
      <c r="E183" s="23" t="s">
        <v>130</v>
      </c>
      <c r="F183" s="19" t="s">
        <v>161</v>
      </c>
      <c r="G183" s="19"/>
      <c r="H183" s="4" t="s">
        <v>541</v>
      </c>
      <c r="I183" s="3" t="s">
        <v>2690</v>
      </c>
      <c r="J183" s="3" t="s">
        <v>534</v>
      </c>
      <c r="K183" s="3" t="s">
        <v>2276</v>
      </c>
      <c r="L183" s="3" t="s">
        <v>2276</v>
      </c>
      <c r="M183" s="3" t="s">
        <v>2276</v>
      </c>
      <c r="N183" s="3" t="s">
        <v>2276</v>
      </c>
      <c r="O183" s="3" t="s">
        <v>2276</v>
      </c>
      <c r="P183" s="3" t="s">
        <v>2276</v>
      </c>
      <c r="Q183" s="3" t="s">
        <v>2276</v>
      </c>
      <c r="R183" s="3" t="s">
        <v>2276</v>
      </c>
      <c r="S183" s="3" t="s">
        <v>2276</v>
      </c>
      <c r="T183" s="3" t="s">
        <v>2276</v>
      </c>
      <c r="U183" s="3" t="s">
        <v>2276</v>
      </c>
      <c r="V183" s="3" t="s">
        <v>2276</v>
      </c>
      <c r="W183" s="4" t="s">
        <v>2178</v>
      </c>
    </row>
    <row r="184" spans="1:23" ht="52" customHeight="1">
      <c r="A184" s="11" t="s">
        <v>2099</v>
      </c>
      <c r="B184" s="11" t="s">
        <v>2153</v>
      </c>
      <c r="C184" s="23" t="s">
        <v>24</v>
      </c>
      <c r="D184" s="23" t="s">
        <v>143</v>
      </c>
      <c r="E184" s="23" t="s">
        <v>130</v>
      </c>
      <c r="F184" s="19" t="s">
        <v>74</v>
      </c>
      <c r="G184" s="19"/>
      <c r="H184" s="4" t="s">
        <v>541</v>
      </c>
      <c r="I184" s="3" t="s">
        <v>2690</v>
      </c>
      <c r="J184" s="3" t="s">
        <v>534</v>
      </c>
      <c r="K184" s="3" t="s">
        <v>2276</v>
      </c>
      <c r="L184" s="3" t="s">
        <v>2276</v>
      </c>
      <c r="M184" s="3" t="s">
        <v>2276</v>
      </c>
      <c r="N184" s="3" t="s">
        <v>2276</v>
      </c>
      <c r="O184" s="3" t="s">
        <v>2276</v>
      </c>
      <c r="P184" s="3" t="s">
        <v>2276</v>
      </c>
      <c r="Q184" s="3" t="s">
        <v>2276</v>
      </c>
      <c r="R184" s="3" t="s">
        <v>534</v>
      </c>
      <c r="S184" s="3" t="s">
        <v>534</v>
      </c>
      <c r="T184" s="3" t="s">
        <v>534</v>
      </c>
      <c r="U184" s="3" t="s">
        <v>2276</v>
      </c>
      <c r="V184" s="3" t="s">
        <v>2276</v>
      </c>
      <c r="W184" s="4" t="s">
        <v>2178</v>
      </c>
    </row>
    <row r="185" spans="1:23" ht="52" customHeight="1">
      <c r="A185" s="11" t="s">
        <v>2099</v>
      </c>
      <c r="B185" s="11" t="s">
        <v>2180</v>
      </c>
      <c r="C185" s="23" t="s">
        <v>24</v>
      </c>
      <c r="D185" s="23" t="s">
        <v>27</v>
      </c>
      <c r="E185" s="23" t="s">
        <v>130</v>
      </c>
      <c r="F185" s="19" t="s">
        <v>161</v>
      </c>
      <c r="G185" s="19"/>
      <c r="H185" s="4" t="s">
        <v>541</v>
      </c>
      <c r="I185" s="3" t="s">
        <v>2690</v>
      </c>
      <c r="J185" s="3" t="s">
        <v>534</v>
      </c>
      <c r="K185" s="3" t="s">
        <v>2276</v>
      </c>
      <c r="L185" s="3" t="s">
        <v>2276</v>
      </c>
      <c r="M185" s="3" t="s">
        <v>2276</v>
      </c>
      <c r="N185" s="3" t="s">
        <v>2276</v>
      </c>
      <c r="O185" s="3" t="s">
        <v>2276</v>
      </c>
      <c r="P185" s="3" t="s">
        <v>2276</v>
      </c>
      <c r="Q185" s="3" t="s">
        <v>2276</v>
      </c>
      <c r="R185" s="3" t="s">
        <v>2276</v>
      </c>
      <c r="S185" s="3" t="s">
        <v>2276</v>
      </c>
      <c r="T185" s="3" t="s">
        <v>2276</v>
      </c>
      <c r="U185" s="3" t="s">
        <v>2276</v>
      </c>
      <c r="V185" s="3" t="s">
        <v>2276</v>
      </c>
      <c r="W185" s="4" t="s">
        <v>2178</v>
      </c>
    </row>
    <row r="186" spans="1:23" ht="52" customHeight="1">
      <c r="A186" s="11" t="s">
        <v>2100</v>
      </c>
      <c r="B186" s="11" t="s">
        <v>2154</v>
      </c>
      <c r="C186" s="23" t="s">
        <v>24</v>
      </c>
      <c r="D186" s="23" t="s">
        <v>143</v>
      </c>
      <c r="E186" s="23" t="s">
        <v>130</v>
      </c>
      <c r="F186" s="19" t="s">
        <v>74</v>
      </c>
      <c r="G186" s="19"/>
      <c r="H186" s="4" t="s">
        <v>541</v>
      </c>
      <c r="I186" s="3" t="s">
        <v>2690</v>
      </c>
      <c r="J186" s="3" t="s">
        <v>534</v>
      </c>
      <c r="K186" s="3" t="s">
        <v>2276</v>
      </c>
      <c r="L186" s="3" t="s">
        <v>2276</v>
      </c>
      <c r="M186" s="3" t="s">
        <v>2276</v>
      </c>
      <c r="N186" s="3" t="s">
        <v>2276</v>
      </c>
      <c r="O186" s="3" t="s">
        <v>2276</v>
      </c>
      <c r="P186" s="3" t="s">
        <v>2276</v>
      </c>
      <c r="Q186" s="3" t="s">
        <v>2276</v>
      </c>
      <c r="R186" s="3" t="s">
        <v>534</v>
      </c>
      <c r="S186" s="3" t="s">
        <v>534</v>
      </c>
      <c r="T186" s="3" t="s">
        <v>534</v>
      </c>
      <c r="U186" s="3" t="s">
        <v>2276</v>
      </c>
      <c r="V186" s="3" t="s">
        <v>2276</v>
      </c>
      <c r="W186" s="4" t="s">
        <v>2178</v>
      </c>
    </row>
    <row r="187" spans="1:23" ht="52" customHeight="1">
      <c r="A187" s="11" t="s">
        <v>2100</v>
      </c>
      <c r="B187" s="11" t="s">
        <v>2181</v>
      </c>
      <c r="C187" s="23" t="s">
        <v>24</v>
      </c>
      <c r="D187" s="23" t="s">
        <v>27</v>
      </c>
      <c r="E187" s="23" t="s">
        <v>130</v>
      </c>
      <c r="F187" s="19" t="s">
        <v>161</v>
      </c>
      <c r="G187" s="19"/>
      <c r="H187" s="4" t="s">
        <v>541</v>
      </c>
      <c r="I187" s="3" t="s">
        <v>2690</v>
      </c>
      <c r="J187" s="3" t="s">
        <v>534</v>
      </c>
      <c r="K187" s="3" t="s">
        <v>2276</v>
      </c>
      <c r="L187" s="3" t="s">
        <v>2276</v>
      </c>
      <c r="M187" s="3" t="s">
        <v>2276</v>
      </c>
      <c r="N187" s="3" t="s">
        <v>2276</v>
      </c>
      <c r="O187" s="3" t="s">
        <v>2276</v>
      </c>
      <c r="P187" s="3" t="s">
        <v>2276</v>
      </c>
      <c r="Q187" s="3" t="s">
        <v>2276</v>
      </c>
      <c r="R187" s="3" t="s">
        <v>2276</v>
      </c>
      <c r="S187" s="3" t="s">
        <v>2276</v>
      </c>
      <c r="T187" s="3" t="s">
        <v>2276</v>
      </c>
      <c r="U187" s="3" t="s">
        <v>2276</v>
      </c>
      <c r="V187" s="3" t="s">
        <v>2276</v>
      </c>
      <c r="W187" s="4" t="s">
        <v>2178</v>
      </c>
    </row>
    <row r="188" spans="1:23" ht="52" customHeight="1">
      <c r="A188" s="11" t="s">
        <v>2101</v>
      </c>
      <c r="B188" s="11" t="s">
        <v>2155</v>
      </c>
      <c r="C188" s="23" t="s">
        <v>24</v>
      </c>
      <c r="D188" s="23" t="s">
        <v>143</v>
      </c>
      <c r="E188" s="23" t="s">
        <v>130</v>
      </c>
      <c r="F188" s="19" t="s">
        <v>74</v>
      </c>
      <c r="G188" s="19"/>
      <c r="H188" s="4" t="s">
        <v>541</v>
      </c>
      <c r="I188" s="3" t="s">
        <v>2690</v>
      </c>
      <c r="J188" s="3" t="s">
        <v>534</v>
      </c>
      <c r="K188" s="3" t="s">
        <v>2276</v>
      </c>
      <c r="L188" s="3" t="s">
        <v>2276</v>
      </c>
      <c r="M188" s="3" t="s">
        <v>2276</v>
      </c>
      <c r="N188" s="3" t="s">
        <v>2276</v>
      </c>
      <c r="O188" s="3" t="s">
        <v>2276</v>
      </c>
      <c r="P188" s="3" t="s">
        <v>2276</v>
      </c>
      <c r="Q188" s="3" t="s">
        <v>2276</v>
      </c>
      <c r="R188" s="3" t="s">
        <v>534</v>
      </c>
      <c r="S188" s="3" t="s">
        <v>534</v>
      </c>
      <c r="T188" s="3" t="s">
        <v>534</v>
      </c>
      <c r="U188" s="3" t="s">
        <v>2276</v>
      </c>
      <c r="V188" s="3" t="s">
        <v>2276</v>
      </c>
      <c r="W188" s="4" t="s">
        <v>2178</v>
      </c>
    </row>
    <row r="189" spans="1:23" ht="52" customHeight="1">
      <c r="A189" s="11" t="s">
        <v>2101</v>
      </c>
      <c r="B189" s="11" t="s">
        <v>2182</v>
      </c>
      <c r="C189" s="23" t="s">
        <v>24</v>
      </c>
      <c r="D189" s="23" t="s">
        <v>27</v>
      </c>
      <c r="E189" s="23" t="s">
        <v>130</v>
      </c>
      <c r="F189" s="19" t="s">
        <v>161</v>
      </c>
      <c r="G189" s="19"/>
      <c r="H189" s="4" t="s">
        <v>541</v>
      </c>
      <c r="I189" s="3" t="s">
        <v>2690</v>
      </c>
      <c r="J189" s="3" t="s">
        <v>534</v>
      </c>
      <c r="K189" s="3" t="s">
        <v>2276</v>
      </c>
      <c r="L189" s="3" t="s">
        <v>2276</v>
      </c>
      <c r="M189" s="3" t="s">
        <v>2276</v>
      </c>
      <c r="N189" s="3" t="s">
        <v>2276</v>
      </c>
      <c r="O189" s="3" t="s">
        <v>2276</v>
      </c>
      <c r="P189" s="3" t="s">
        <v>2276</v>
      </c>
      <c r="Q189" s="3" t="s">
        <v>2276</v>
      </c>
      <c r="R189" s="3" t="s">
        <v>2276</v>
      </c>
      <c r="S189" s="3" t="s">
        <v>2276</v>
      </c>
      <c r="T189" s="3" t="s">
        <v>2276</v>
      </c>
      <c r="U189" s="3" t="s">
        <v>2276</v>
      </c>
      <c r="V189" s="3" t="s">
        <v>2276</v>
      </c>
      <c r="W189" s="4" t="s">
        <v>2178</v>
      </c>
    </row>
    <row r="190" spans="1:23" ht="52" customHeight="1">
      <c r="A190" s="11" t="s">
        <v>2102</v>
      </c>
      <c r="B190" s="11" t="s">
        <v>2156</v>
      </c>
      <c r="C190" s="23" t="s">
        <v>24</v>
      </c>
      <c r="D190" s="23" t="s">
        <v>143</v>
      </c>
      <c r="E190" s="23" t="s">
        <v>130</v>
      </c>
      <c r="F190" s="19" t="s">
        <v>74</v>
      </c>
      <c r="G190" s="19"/>
      <c r="H190" s="4" t="s">
        <v>541</v>
      </c>
      <c r="I190" s="3" t="s">
        <v>2690</v>
      </c>
      <c r="J190" s="3" t="s">
        <v>534</v>
      </c>
      <c r="K190" s="3" t="s">
        <v>2276</v>
      </c>
      <c r="L190" s="3" t="s">
        <v>2276</v>
      </c>
      <c r="M190" s="3" t="s">
        <v>2276</v>
      </c>
      <c r="N190" s="3" t="s">
        <v>2276</v>
      </c>
      <c r="O190" s="3" t="s">
        <v>2276</v>
      </c>
      <c r="P190" s="3" t="s">
        <v>2276</v>
      </c>
      <c r="Q190" s="3" t="s">
        <v>2276</v>
      </c>
      <c r="R190" s="3" t="s">
        <v>534</v>
      </c>
      <c r="S190" s="3" t="s">
        <v>534</v>
      </c>
      <c r="T190" s="3" t="s">
        <v>534</v>
      </c>
      <c r="U190" s="3" t="s">
        <v>2276</v>
      </c>
      <c r="V190" s="3" t="s">
        <v>2276</v>
      </c>
      <c r="W190" s="4" t="s">
        <v>2178</v>
      </c>
    </row>
    <row r="191" spans="1:23" ht="52" customHeight="1">
      <c r="A191" s="11" t="s">
        <v>2102</v>
      </c>
      <c r="B191" s="11" t="s">
        <v>2183</v>
      </c>
      <c r="C191" s="23" t="s">
        <v>24</v>
      </c>
      <c r="D191" s="23" t="s">
        <v>27</v>
      </c>
      <c r="E191" s="23" t="s">
        <v>130</v>
      </c>
      <c r="F191" s="19" t="s">
        <v>161</v>
      </c>
      <c r="G191" s="19"/>
      <c r="H191" s="4" t="s">
        <v>541</v>
      </c>
      <c r="I191" s="3" t="s">
        <v>2690</v>
      </c>
      <c r="J191" s="3" t="s">
        <v>534</v>
      </c>
      <c r="K191" s="3" t="s">
        <v>2276</v>
      </c>
      <c r="L191" s="3" t="s">
        <v>2276</v>
      </c>
      <c r="M191" s="3" t="s">
        <v>2276</v>
      </c>
      <c r="N191" s="3" t="s">
        <v>2276</v>
      </c>
      <c r="O191" s="3" t="s">
        <v>2276</v>
      </c>
      <c r="P191" s="3" t="s">
        <v>2276</v>
      </c>
      <c r="Q191" s="3" t="s">
        <v>2276</v>
      </c>
      <c r="R191" s="3" t="s">
        <v>2276</v>
      </c>
      <c r="S191" s="3" t="s">
        <v>2276</v>
      </c>
      <c r="T191" s="3" t="s">
        <v>2276</v>
      </c>
      <c r="U191" s="3" t="s">
        <v>2276</v>
      </c>
      <c r="V191" s="3" t="s">
        <v>2276</v>
      </c>
      <c r="W191" s="4" t="s">
        <v>2178</v>
      </c>
    </row>
    <row r="192" spans="1:23" ht="52" customHeight="1">
      <c r="A192" s="11" t="s">
        <v>2103</v>
      </c>
      <c r="B192" s="11" t="s">
        <v>2157</v>
      </c>
      <c r="C192" s="23" t="s">
        <v>24</v>
      </c>
      <c r="D192" s="23" t="s">
        <v>143</v>
      </c>
      <c r="E192" s="23" t="s">
        <v>130</v>
      </c>
      <c r="F192" s="19" t="s">
        <v>74</v>
      </c>
      <c r="G192" s="19"/>
      <c r="H192" s="4" t="s">
        <v>541</v>
      </c>
      <c r="I192" s="3" t="s">
        <v>2690</v>
      </c>
      <c r="J192" s="3" t="s">
        <v>534</v>
      </c>
      <c r="K192" s="3" t="s">
        <v>2276</v>
      </c>
      <c r="L192" s="3" t="s">
        <v>2276</v>
      </c>
      <c r="M192" s="3" t="s">
        <v>2276</v>
      </c>
      <c r="N192" s="3" t="s">
        <v>2276</v>
      </c>
      <c r="O192" s="3" t="s">
        <v>2276</v>
      </c>
      <c r="P192" s="3" t="s">
        <v>2276</v>
      </c>
      <c r="Q192" s="3" t="s">
        <v>2276</v>
      </c>
      <c r="R192" s="3" t="s">
        <v>534</v>
      </c>
      <c r="S192" s="3" t="s">
        <v>534</v>
      </c>
      <c r="T192" s="3" t="s">
        <v>534</v>
      </c>
      <c r="U192" s="3" t="s">
        <v>2276</v>
      </c>
      <c r="V192" s="3" t="s">
        <v>2276</v>
      </c>
      <c r="W192" s="4" t="s">
        <v>2178</v>
      </c>
    </row>
    <row r="193" spans="1:23" ht="52" customHeight="1">
      <c r="A193" s="11" t="s">
        <v>2103</v>
      </c>
      <c r="B193" s="11" t="s">
        <v>2184</v>
      </c>
      <c r="C193" s="23" t="s">
        <v>24</v>
      </c>
      <c r="D193" s="23" t="s">
        <v>27</v>
      </c>
      <c r="E193" s="23" t="s">
        <v>130</v>
      </c>
      <c r="F193" s="19" t="s">
        <v>161</v>
      </c>
      <c r="G193" s="19"/>
      <c r="H193" s="4" t="s">
        <v>541</v>
      </c>
      <c r="I193" s="3" t="s">
        <v>2690</v>
      </c>
      <c r="J193" s="3" t="s">
        <v>534</v>
      </c>
      <c r="K193" s="3" t="s">
        <v>2276</v>
      </c>
      <c r="L193" s="3" t="s">
        <v>2276</v>
      </c>
      <c r="M193" s="3" t="s">
        <v>2276</v>
      </c>
      <c r="N193" s="3" t="s">
        <v>2276</v>
      </c>
      <c r="O193" s="3" t="s">
        <v>2276</v>
      </c>
      <c r="P193" s="3" t="s">
        <v>2276</v>
      </c>
      <c r="Q193" s="3" t="s">
        <v>2276</v>
      </c>
      <c r="R193" s="3" t="s">
        <v>2276</v>
      </c>
      <c r="S193" s="3" t="s">
        <v>2276</v>
      </c>
      <c r="T193" s="3" t="s">
        <v>2276</v>
      </c>
      <c r="U193" s="3" t="s">
        <v>2276</v>
      </c>
      <c r="V193" s="3" t="s">
        <v>2276</v>
      </c>
      <c r="W193" s="4" t="s">
        <v>2178</v>
      </c>
    </row>
    <row r="194" spans="1:23" ht="52" customHeight="1">
      <c r="A194" s="11" t="s">
        <v>2104</v>
      </c>
      <c r="B194" s="11" t="s">
        <v>2158</v>
      </c>
      <c r="C194" s="23" t="s">
        <v>24</v>
      </c>
      <c r="D194" s="23" t="s">
        <v>143</v>
      </c>
      <c r="E194" s="23" t="s">
        <v>130</v>
      </c>
      <c r="F194" s="19" t="s">
        <v>74</v>
      </c>
      <c r="G194" s="19"/>
      <c r="H194" s="4" t="s">
        <v>541</v>
      </c>
      <c r="I194" s="3" t="s">
        <v>2690</v>
      </c>
      <c r="J194" s="3" t="s">
        <v>534</v>
      </c>
      <c r="K194" s="3" t="s">
        <v>2276</v>
      </c>
      <c r="L194" s="3" t="s">
        <v>2276</v>
      </c>
      <c r="M194" s="3" t="s">
        <v>2276</v>
      </c>
      <c r="N194" s="3" t="s">
        <v>2276</v>
      </c>
      <c r="O194" s="3" t="s">
        <v>2276</v>
      </c>
      <c r="P194" s="3" t="s">
        <v>2276</v>
      </c>
      <c r="Q194" s="3" t="s">
        <v>2276</v>
      </c>
      <c r="R194" s="3" t="s">
        <v>534</v>
      </c>
      <c r="S194" s="3" t="s">
        <v>534</v>
      </c>
      <c r="T194" s="3" t="s">
        <v>534</v>
      </c>
      <c r="U194" s="3" t="s">
        <v>2276</v>
      </c>
      <c r="V194" s="3" t="s">
        <v>2276</v>
      </c>
      <c r="W194" s="4" t="s">
        <v>2178</v>
      </c>
    </row>
    <row r="195" spans="1:23" ht="52" customHeight="1">
      <c r="A195" s="11" t="s">
        <v>2104</v>
      </c>
      <c r="B195" s="11" t="s">
        <v>2185</v>
      </c>
      <c r="C195" s="23" t="s">
        <v>24</v>
      </c>
      <c r="D195" s="23" t="s">
        <v>27</v>
      </c>
      <c r="E195" s="23" t="s">
        <v>130</v>
      </c>
      <c r="F195" s="19" t="s">
        <v>161</v>
      </c>
      <c r="G195" s="19"/>
      <c r="H195" s="4" t="s">
        <v>541</v>
      </c>
      <c r="I195" s="3" t="s">
        <v>2690</v>
      </c>
      <c r="J195" s="3" t="s">
        <v>534</v>
      </c>
      <c r="K195" s="3" t="s">
        <v>2276</v>
      </c>
      <c r="L195" s="3" t="s">
        <v>2276</v>
      </c>
      <c r="M195" s="3" t="s">
        <v>2276</v>
      </c>
      <c r="N195" s="3" t="s">
        <v>2276</v>
      </c>
      <c r="O195" s="3" t="s">
        <v>2276</v>
      </c>
      <c r="P195" s="3" t="s">
        <v>2276</v>
      </c>
      <c r="Q195" s="3" t="s">
        <v>2276</v>
      </c>
      <c r="R195" s="3" t="s">
        <v>2276</v>
      </c>
      <c r="S195" s="3" t="s">
        <v>2276</v>
      </c>
      <c r="T195" s="3" t="s">
        <v>2276</v>
      </c>
      <c r="U195" s="3" t="s">
        <v>2276</v>
      </c>
      <c r="V195" s="3" t="s">
        <v>2276</v>
      </c>
      <c r="W195" s="4" t="s">
        <v>2178</v>
      </c>
    </row>
    <row r="196" spans="1:23" ht="52" customHeight="1">
      <c r="A196" s="11" t="s">
        <v>2105</v>
      </c>
      <c r="B196" s="11" t="s">
        <v>2159</v>
      </c>
      <c r="C196" s="23" t="s">
        <v>24</v>
      </c>
      <c r="D196" s="23" t="s">
        <v>143</v>
      </c>
      <c r="E196" s="23" t="s">
        <v>130</v>
      </c>
      <c r="F196" s="19" t="s">
        <v>74</v>
      </c>
      <c r="G196" s="19"/>
      <c r="H196" s="4" t="s">
        <v>541</v>
      </c>
      <c r="I196" s="3" t="s">
        <v>2690</v>
      </c>
      <c r="J196" s="3" t="s">
        <v>534</v>
      </c>
      <c r="K196" s="3" t="s">
        <v>2276</v>
      </c>
      <c r="L196" s="3" t="s">
        <v>2276</v>
      </c>
      <c r="M196" s="3" t="s">
        <v>2276</v>
      </c>
      <c r="N196" s="3" t="s">
        <v>2276</v>
      </c>
      <c r="O196" s="3" t="s">
        <v>2276</v>
      </c>
      <c r="P196" s="3" t="s">
        <v>2276</v>
      </c>
      <c r="Q196" s="3" t="s">
        <v>2276</v>
      </c>
      <c r="R196" s="3" t="s">
        <v>534</v>
      </c>
      <c r="S196" s="3" t="s">
        <v>534</v>
      </c>
      <c r="T196" s="3" t="s">
        <v>534</v>
      </c>
      <c r="U196" s="3" t="s">
        <v>2276</v>
      </c>
      <c r="V196" s="3" t="s">
        <v>2276</v>
      </c>
      <c r="W196" s="4" t="s">
        <v>2178</v>
      </c>
    </row>
    <row r="197" spans="1:23" ht="52" customHeight="1">
      <c r="A197" s="11" t="s">
        <v>2105</v>
      </c>
      <c r="B197" s="11" t="s">
        <v>2186</v>
      </c>
      <c r="C197" s="23" t="s">
        <v>24</v>
      </c>
      <c r="D197" s="23" t="s">
        <v>27</v>
      </c>
      <c r="E197" s="23" t="s">
        <v>130</v>
      </c>
      <c r="F197" s="19" t="s">
        <v>161</v>
      </c>
      <c r="G197" s="19"/>
      <c r="H197" s="4" t="s">
        <v>541</v>
      </c>
      <c r="I197" s="3" t="s">
        <v>2690</v>
      </c>
      <c r="J197" s="3" t="s">
        <v>534</v>
      </c>
      <c r="K197" s="3" t="s">
        <v>2276</v>
      </c>
      <c r="L197" s="3" t="s">
        <v>2276</v>
      </c>
      <c r="M197" s="3" t="s">
        <v>2276</v>
      </c>
      <c r="N197" s="3" t="s">
        <v>2276</v>
      </c>
      <c r="O197" s="3" t="s">
        <v>2276</v>
      </c>
      <c r="P197" s="3" t="s">
        <v>2276</v>
      </c>
      <c r="Q197" s="3" t="s">
        <v>2276</v>
      </c>
      <c r="R197" s="3" t="s">
        <v>2276</v>
      </c>
      <c r="S197" s="3" t="s">
        <v>2276</v>
      </c>
      <c r="T197" s="3" t="s">
        <v>2276</v>
      </c>
      <c r="U197" s="3" t="s">
        <v>2276</v>
      </c>
      <c r="V197" s="3" t="s">
        <v>2276</v>
      </c>
      <c r="W197" s="4" t="s">
        <v>2178</v>
      </c>
    </row>
    <row r="198" spans="1:23" ht="52" customHeight="1">
      <c r="A198" s="11" t="s">
        <v>2106</v>
      </c>
      <c r="B198" s="11" t="s">
        <v>2160</v>
      </c>
      <c r="C198" s="23" t="s">
        <v>24</v>
      </c>
      <c r="D198" s="23" t="s">
        <v>143</v>
      </c>
      <c r="E198" s="23" t="s">
        <v>130</v>
      </c>
      <c r="F198" s="19" t="s">
        <v>74</v>
      </c>
      <c r="G198" s="19"/>
      <c r="H198" s="4" t="s">
        <v>541</v>
      </c>
      <c r="I198" s="3" t="s">
        <v>2690</v>
      </c>
      <c r="J198" s="3" t="s">
        <v>534</v>
      </c>
      <c r="K198" s="3" t="s">
        <v>2276</v>
      </c>
      <c r="L198" s="3" t="s">
        <v>2276</v>
      </c>
      <c r="M198" s="3" t="s">
        <v>2276</v>
      </c>
      <c r="N198" s="3" t="s">
        <v>2276</v>
      </c>
      <c r="O198" s="3" t="s">
        <v>2276</v>
      </c>
      <c r="P198" s="3" t="s">
        <v>2276</v>
      </c>
      <c r="Q198" s="3" t="s">
        <v>2276</v>
      </c>
      <c r="R198" s="3" t="s">
        <v>534</v>
      </c>
      <c r="S198" s="3" t="s">
        <v>534</v>
      </c>
      <c r="T198" s="3" t="s">
        <v>534</v>
      </c>
      <c r="U198" s="3" t="s">
        <v>2276</v>
      </c>
      <c r="V198" s="3" t="s">
        <v>2276</v>
      </c>
      <c r="W198" s="4" t="s">
        <v>2178</v>
      </c>
    </row>
    <row r="199" spans="1:23" ht="52" customHeight="1">
      <c r="A199" s="11" t="s">
        <v>2106</v>
      </c>
      <c r="B199" s="11" t="s">
        <v>2187</v>
      </c>
      <c r="C199" s="23" t="s">
        <v>24</v>
      </c>
      <c r="D199" s="23" t="s">
        <v>27</v>
      </c>
      <c r="E199" s="23" t="s">
        <v>130</v>
      </c>
      <c r="F199" s="19" t="s">
        <v>161</v>
      </c>
      <c r="G199" s="19"/>
      <c r="H199" s="4" t="s">
        <v>541</v>
      </c>
      <c r="I199" s="3" t="s">
        <v>2690</v>
      </c>
      <c r="J199" s="3" t="s">
        <v>534</v>
      </c>
      <c r="K199" s="3" t="s">
        <v>2276</v>
      </c>
      <c r="L199" s="3" t="s">
        <v>2276</v>
      </c>
      <c r="M199" s="3" t="s">
        <v>2276</v>
      </c>
      <c r="N199" s="3" t="s">
        <v>2276</v>
      </c>
      <c r="O199" s="3" t="s">
        <v>2276</v>
      </c>
      <c r="P199" s="3" t="s">
        <v>2276</v>
      </c>
      <c r="Q199" s="3" t="s">
        <v>2276</v>
      </c>
      <c r="R199" s="3" t="s">
        <v>2276</v>
      </c>
      <c r="S199" s="3" t="s">
        <v>2276</v>
      </c>
      <c r="T199" s="3" t="s">
        <v>2276</v>
      </c>
      <c r="U199" s="3" t="s">
        <v>2276</v>
      </c>
      <c r="V199" s="3" t="s">
        <v>2276</v>
      </c>
      <c r="W199" s="4" t="s">
        <v>2178</v>
      </c>
    </row>
    <row r="200" spans="1:23" ht="52" customHeight="1">
      <c r="A200" s="11" t="s">
        <v>2107</v>
      </c>
      <c r="B200" s="11" t="s">
        <v>2161</v>
      </c>
      <c r="C200" s="23" t="s">
        <v>24</v>
      </c>
      <c r="D200" s="23" t="s">
        <v>143</v>
      </c>
      <c r="E200" s="23" t="s">
        <v>130</v>
      </c>
      <c r="F200" s="19" t="s">
        <v>74</v>
      </c>
      <c r="G200" s="19"/>
      <c r="H200" s="4" t="s">
        <v>541</v>
      </c>
      <c r="I200" s="3" t="s">
        <v>2690</v>
      </c>
      <c r="J200" s="3" t="s">
        <v>534</v>
      </c>
      <c r="K200" s="3" t="s">
        <v>2276</v>
      </c>
      <c r="L200" s="3" t="s">
        <v>2276</v>
      </c>
      <c r="M200" s="3" t="s">
        <v>2276</v>
      </c>
      <c r="N200" s="3" t="s">
        <v>2276</v>
      </c>
      <c r="O200" s="3" t="s">
        <v>2276</v>
      </c>
      <c r="P200" s="3" t="s">
        <v>2276</v>
      </c>
      <c r="Q200" s="3" t="s">
        <v>2276</v>
      </c>
      <c r="R200" s="3" t="s">
        <v>534</v>
      </c>
      <c r="S200" s="3" t="s">
        <v>534</v>
      </c>
      <c r="T200" s="3" t="s">
        <v>534</v>
      </c>
      <c r="U200" s="3" t="s">
        <v>2276</v>
      </c>
      <c r="V200" s="3" t="s">
        <v>2276</v>
      </c>
      <c r="W200" s="4" t="s">
        <v>2178</v>
      </c>
    </row>
    <row r="201" spans="1:23" ht="52" customHeight="1">
      <c r="A201" s="11" t="s">
        <v>2107</v>
      </c>
      <c r="B201" s="11" t="s">
        <v>2188</v>
      </c>
      <c r="C201" s="23" t="s">
        <v>24</v>
      </c>
      <c r="D201" s="23" t="s">
        <v>27</v>
      </c>
      <c r="E201" s="23" t="s">
        <v>130</v>
      </c>
      <c r="F201" s="19" t="s">
        <v>161</v>
      </c>
      <c r="G201" s="19"/>
      <c r="H201" s="4" t="s">
        <v>541</v>
      </c>
      <c r="I201" s="3" t="s">
        <v>2690</v>
      </c>
      <c r="J201" s="3" t="s">
        <v>534</v>
      </c>
      <c r="K201" s="3" t="s">
        <v>2276</v>
      </c>
      <c r="L201" s="3" t="s">
        <v>2276</v>
      </c>
      <c r="M201" s="3" t="s">
        <v>2276</v>
      </c>
      <c r="N201" s="3" t="s">
        <v>2276</v>
      </c>
      <c r="O201" s="3" t="s">
        <v>2276</v>
      </c>
      <c r="P201" s="3" t="s">
        <v>2276</v>
      </c>
      <c r="Q201" s="3" t="s">
        <v>2276</v>
      </c>
      <c r="R201" s="3" t="s">
        <v>2276</v>
      </c>
      <c r="S201" s="3" t="s">
        <v>2276</v>
      </c>
      <c r="T201" s="3" t="s">
        <v>2276</v>
      </c>
      <c r="U201" s="3" t="s">
        <v>2276</v>
      </c>
      <c r="V201" s="3" t="s">
        <v>2276</v>
      </c>
      <c r="W201" s="4" t="s">
        <v>2178</v>
      </c>
    </row>
    <row r="202" spans="1:23" ht="52" customHeight="1">
      <c r="A202" s="11" t="s">
        <v>2108</v>
      </c>
      <c r="B202" s="11" t="s">
        <v>2162</v>
      </c>
      <c r="C202" s="23" t="s">
        <v>24</v>
      </c>
      <c r="D202" s="23" t="s">
        <v>143</v>
      </c>
      <c r="E202" s="23" t="s">
        <v>130</v>
      </c>
      <c r="F202" s="19" t="s">
        <v>74</v>
      </c>
      <c r="G202" s="19"/>
      <c r="H202" s="4" t="s">
        <v>541</v>
      </c>
      <c r="I202" s="3" t="s">
        <v>2690</v>
      </c>
      <c r="J202" s="3" t="s">
        <v>534</v>
      </c>
      <c r="K202" s="3" t="s">
        <v>2276</v>
      </c>
      <c r="L202" s="3" t="s">
        <v>2276</v>
      </c>
      <c r="M202" s="3" t="s">
        <v>2276</v>
      </c>
      <c r="N202" s="3" t="s">
        <v>2276</v>
      </c>
      <c r="O202" s="3" t="s">
        <v>2276</v>
      </c>
      <c r="P202" s="3" t="s">
        <v>2276</v>
      </c>
      <c r="Q202" s="3" t="s">
        <v>2276</v>
      </c>
      <c r="R202" s="3" t="s">
        <v>534</v>
      </c>
      <c r="S202" s="3" t="s">
        <v>534</v>
      </c>
      <c r="T202" s="3" t="s">
        <v>534</v>
      </c>
      <c r="U202" s="3" t="s">
        <v>2276</v>
      </c>
      <c r="V202" s="3" t="s">
        <v>2276</v>
      </c>
      <c r="W202" s="4" t="s">
        <v>2178</v>
      </c>
    </row>
    <row r="203" spans="1:23" ht="52" customHeight="1">
      <c r="A203" s="11" t="s">
        <v>2108</v>
      </c>
      <c r="B203" s="11" t="s">
        <v>2189</v>
      </c>
      <c r="C203" s="23" t="s">
        <v>24</v>
      </c>
      <c r="D203" s="23" t="s">
        <v>27</v>
      </c>
      <c r="E203" s="23" t="s">
        <v>130</v>
      </c>
      <c r="F203" s="19" t="s">
        <v>161</v>
      </c>
      <c r="G203" s="19"/>
      <c r="H203" s="4" t="s">
        <v>541</v>
      </c>
      <c r="I203" s="3" t="s">
        <v>2690</v>
      </c>
      <c r="J203" s="3" t="s">
        <v>534</v>
      </c>
      <c r="K203" s="3" t="s">
        <v>2276</v>
      </c>
      <c r="L203" s="3" t="s">
        <v>2276</v>
      </c>
      <c r="M203" s="3" t="s">
        <v>2276</v>
      </c>
      <c r="N203" s="3" t="s">
        <v>2276</v>
      </c>
      <c r="O203" s="3" t="s">
        <v>2276</v>
      </c>
      <c r="P203" s="3" t="s">
        <v>2276</v>
      </c>
      <c r="Q203" s="3" t="s">
        <v>2276</v>
      </c>
      <c r="R203" s="3" t="s">
        <v>2276</v>
      </c>
      <c r="S203" s="3" t="s">
        <v>2276</v>
      </c>
      <c r="T203" s="3" t="s">
        <v>2276</v>
      </c>
      <c r="U203" s="3" t="s">
        <v>2276</v>
      </c>
      <c r="V203" s="3" t="s">
        <v>2276</v>
      </c>
      <c r="W203" s="4" t="s">
        <v>2178</v>
      </c>
    </row>
    <row r="204" spans="1:23" ht="52" customHeight="1">
      <c r="A204" s="11" t="s">
        <v>2109</v>
      </c>
      <c r="B204" s="11" t="s">
        <v>2163</v>
      </c>
      <c r="C204" s="23" t="s">
        <v>24</v>
      </c>
      <c r="D204" s="23" t="s">
        <v>143</v>
      </c>
      <c r="E204" s="23" t="s">
        <v>130</v>
      </c>
      <c r="F204" s="19" t="s">
        <v>74</v>
      </c>
      <c r="G204" s="19"/>
      <c r="H204" s="4" t="s">
        <v>541</v>
      </c>
      <c r="I204" s="3" t="s">
        <v>2690</v>
      </c>
      <c r="J204" s="3" t="s">
        <v>534</v>
      </c>
      <c r="K204" s="3" t="s">
        <v>2276</v>
      </c>
      <c r="L204" s="3" t="s">
        <v>2276</v>
      </c>
      <c r="M204" s="3" t="s">
        <v>2276</v>
      </c>
      <c r="N204" s="3" t="s">
        <v>2276</v>
      </c>
      <c r="O204" s="3" t="s">
        <v>2276</v>
      </c>
      <c r="P204" s="3" t="s">
        <v>2276</v>
      </c>
      <c r="Q204" s="3" t="s">
        <v>2276</v>
      </c>
      <c r="R204" s="3" t="s">
        <v>534</v>
      </c>
      <c r="S204" s="3" t="s">
        <v>534</v>
      </c>
      <c r="T204" s="3" t="s">
        <v>534</v>
      </c>
      <c r="U204" s="3" t="s">
        <v>2276</v>
      </c>
      <c r="V204" s="3" t="s">
        <v>2276</v>
      </c>
      <c r="W204" s="4" t="s">
        <v>2178</v>
      </c>
    </row>
    <row r="205" spans="1:23" ht="52" customHeight="1">
      <c r="A205" s="11" t="s">
        <v>2109</v>
      </c>
      <c r="B205" s="11" t="s">
        <v>2190</v>
      </c>
      <c r="C205" s="23" t="s">
        <v>24</v>
      </c>
      <c r="D205" s="23" t="s">
        <v>27</v>
      </c>
      <c r="E205" s="23" t="s">
        <v>130</v>
      </c>
      <c r="F205" s="19" t="s">
        <v>161</v>
      </c>
      <c r="G205" s="19"/>
      <c r="H205" s="4" t="s">
        <v>541</v>
      </c>
      <c r="I205" s="3" t="s">
        <v>2690</v>
      </c>
      <c r="J205" s="3" t="s">
        <v>534</v>
      </c>
      <c r="K205" s="3" t="s">
        <v>2276</v>
      </c>
      <c r="L205" s="3" t="s">
        <v>2276</v>
      </c>
      <c r="M205" s="3" t="s">
        <v>2276</v>
      </c>
      <c r="N205" s="3" t="s">
        <v>2276</v>
      </c>
      <c r="O205" s="3" t="s">
        <v>2276</v>
      </c>
      <c r="P205" s="3" t="s">
        <v>2276</v>
      </c>
      <c r="Q205" s="3" t="s">
        <v>2276</v>
      </c>
      <c r="R205" s="3" t="s">
        <v>2276</v>
      </c>
      <c r="S205" s="3" t="s">
        <v>2276</v>
      </c>
      <c r="T205" s="3" t="s">
        <v>2276</v>
      </c>
      <c r="U205" s="3" t="s">
        <v>2276</v>
      </c>
      <c r="V205" s="3" t="s">
        <v>2276</v>
      </c>
      <c r="W205" s="4" t="s">
        <v>2178</v>
      </c>
    </row>
    <row r="206" spans="1:23" ht="52" customHeight="1">
      <c r="A206" s="11" t="s">
        <v>2110</v>
      </c>
      <c r="B206" s="11" t="s">
        <v>2164</v>
      </c>
      <c r="C206" s="23" t="s">
        <v>24</v>
      </c>
      <c r="D206" s="23" t="s">
        <v>143</v>
      </c>
      <c r="E206" s="23" t="s">
        <v>130</v>
      </c>
      <c r="F206" s="19" t="s">
        <v>74</v>
      </c>
      <c r="G206" s="19"/>
      <c r="H206" s="4" t="s">
        <v>541</v>
      </c>
      <c r="I206" s="3" t="s">
        <v>2690</v>
      </c>
      <c r="J206" s="3" t="s">
        <v>534</v>
      </c>
      <c r="K206" s="3" t="s">
        <v>2276</v>
      </c>
      <c r="L206" s="3" t="s">
        <v>2276</v>
      </c>
      <c r="M206" s="3" t="s">
        <v>2276</v>
      </c>
      <c r="N206" s="3" t="s">
        <v>2276</v>
      </c>
      <c r="O206" s="3" t="s">
        <v>2276</v>
      </c>
      <c r="P206" s="3" t="s">
        <v>2276</v>
      </c>
      <c r="Q206" s="3" t="s">
        <v>2276</v>
      </c>
      <c r="R206" s="3" t="s">
        <v>534</v>
      </c>
      <c r="S206" s="3" t="s">
        <v>534</v>
      </c>
      <c r="T206" s="3" t="s">
        <v>534</v>
      </c>
      <c r="U206" s="3" t="s">
        <v>2276</v>
      </c>
      <c r="V206" s="3" t="s">
        <v>2276</v>
      </c>
      <c r="W206" s="4" t="s">
        <v>2178</v>
      </c>
    </row>
    <row r="207" spans="1:23" ht="52" customHeight="1">
      <c r="A207" s="11" t="s">
        <v>2110</v>
      </c>
      <c r="B207" s="11" t="s">
        <v>2191</v>
      </c>
      <c r="C207" s="23" t="s">
        <v>24</v>
      </c>
      <c r="D207" s="23" t="s">
        <v>27</v>
      </c>
      <c r="E207" s="23" t="s">
        <v>130</v>
      </c>
      <c r="F207" s="19" t="s">
        <v>161</v>
      </c>
      <c r="G207" s="19"/>
      <c r="H207" s="4" t="s">
        <v>541</v>
      </c>
      <c r="I207" s="3" t="s">
        <v>2690</v>
      </c>
      <c r="J207" s="3" t="s">
        <v>534</v>
      </c>
      <c r="K207" s="3" t="s">
        <v>2276</v>
      </c>
      <c r="L207" s="3" t="s">
        <v>2276</v>
      </c>
      <c r="M207" s="3" t="s">
        <v>2276</v>
      </c>
      <c r="N207" s="3" t="s">
        <v>2276</v>
      </c>
      <c r="O207" s="3" t="s">
        <v>2276</v>
      </c>
      <c r="P207" s="3" t="s">
        <v>2276</v>
      </c>
      <c r="Q207" s="3" t="s">
        <v>2276</v>
      </c>
      <c r="R207" s="3" t="s">
        <v>2276</v>
      </c>
      <c r="S207" s="3" t="s">
        <v>2276</v>
      </c>
      <c r="T207" s="3" t="s">
        <v>2276</v>
      </c>
      <c r="U207" s="3" t="s">
        <v>2276</v>
      </c>
      <c r="V207" s="3" t="s">
        <v>2276</v>
      </c>
      <c r="W207" s="4" t="s">
        <v>2178</v>
      </c>
    </row>
    <row r="208" spans="1:23" ht="52" customHeight="1">
      <c r="A208" s="11" t="s">
        <v>2111</v>
      </c>
      <c r="B208" s="11" t="s">
        <v>2165</v>
      </c>
      <c r="C208" s="23" t="s">
        <v>24</v>
      </c>
      <c r="D208" s="23" t="s">
        <v>143</v>
      </c>
      <c r="E208" s="23" t="s">
        <v>130</v>
      </c>
      <c r="F208" s="19" t="s">
        <v>74</v>
      </c>
      <c r="G208" s="19"/>
      <c r="H208" s="4" t="s">
        <v>541</v>
      </c>
      <c r="I208" s="3" t="s">
        <v>2690</v>
      </c>
      <c r="J208" s="3" t="s">
        <v>534</v>
      </c>
      <c r="K208" s="3" t="s">
        <v>2276</v>
      </c>
      <c r="L208" s="3" t="s">
        <v>2276</v>
      </c>
      <c r="M208" s="3" t="s">
        <v>2276</v>
      </c>
      <c r="N208" s="3" t="s">
        <v>2276</v>
      </c>
      <c r="O208" s="3" t="s">
        <v>2276</v>
      </c>
      <c r="P208" s="3" t="s">
        <v>2276</v>
      </c>
      <c r="Q208" s="3" t="s">
        <v>2276</v>
      </c>
      <c r="R208" s="3" t="s">
        <v>534</v>
      </c>
      <c r="S208" s="3" t="s">
        <v>534</v>
      </c>
      <c r="T208" s="3" t="s">
        <v>534</v>
      </c>
      <c r="U208" s="3" t="s">
        <v>2276</v>
      </c>
      <c r="V208" s="3" t="s">
        <v>2276</v>
      </c>
      <c r="W208" s="4" t="s">
        <v>2178</v>
      </c>
    </row>
    <row r="209" spans="1:23" ht="52" customHeight="1">
      <c r="A209" s="11" t="s">
        <v>2111</v>
      </c>
      <c r="B209" s="11" t="s">
        <v>2192</v>
      </c>
      <c r="C209" s="23" t="s">
        <v>24</v>
      </c>
      <c r="D209" s="23" t="s">
        <v>27</v>
      </c>
      <c r="E209" s="23" t="s">
        <v>130</v>
      </c>
      <c r="F209" s="19" t="s">
        <v>161</v>
      </c>
      <c r="G209" s="19"/>
      <c r="H209" s="4" t="s">
        <v>541</v>
      </c>
      <c r="I209" s="3" t="s">
        <v>2690</v>
      </c>
      <c r="J209" s="3" t="s">
        <v>534</v>
      </c>
      <c r="K209" s="3" t="s">
        <v>2276</v>
      </c>
      <c r="L209" s="3" t="s">
        <v>2276</v>
      </c>
      <c r="M209" s="3" t="s">
        <v>2276</v>
      </c>
      <c r="N209" s="3" t="s">
        <v>2276</v>
      </c>
      <c r="O209" s="3" t="s">
        <v>2276</v>
      </c>
      <c r="P209" s="3" t="s">
        <v>2276</v>
      </c>
      <c r="Q209" s="3" t="s">
        <v>2276</v>
      </c>
      <c r="R209" s="3" t="s">
        <v>2276</v>
      </c>
      <c r="S209" s="3" t="s">
        <v>2276</v>
      </c>
      <c r="T209" s="3" t="s">
        <v>2276</v>
      </c>
      <c r="U209" s="3" t="s">
        <v>2276</v>
      </c>
      <c r="V209" s="3" t="s">
        <v>2276</v>
      </c>
      <c r="W209" s="4" t="s">
        <v>2178</v>
      </c>
    </row>
    <row r="210" spans="1:23" ht="52" customHeight="1">
      <c r="A210" s="11" t="s">
        <v>2112</v>
      </c>
      <c r="B210" s="11" t="s">
        <v>2166</v>
      </c>
      <c r="C210" s="23" t="s">
        <v>24</v>
      </c>
      <c r="D210" s="23" t="s">
        <v>143</v>
      </c>
      <c r="E210" s="23" t="s">
        <v>130</v>
      </c>
      <c r="F210" s="19" t="s">
        <v>74</v>
      </c>
      <c r="G210" s="19"/>
      <c r="H210" s="4" t="s">
        <v>541</v>
      </c>
      <c r="I210" s="3" t="s">
        <v>2690</v>
      </c>
      <c r="J210" s="3" t="s">
        <v>534</v>
      </c>
      <c r="K210" s="3" t="s">
        <v>2276</v>
      </c>
      <c r="L210" s="3" t="s">
        <v>2276</v>
      </c>
      <c r="M210" s="3" t="s">
        <v>2276</v>
      </c>
      <c r="N210" s="3" t="s">
        <v>2276</v>
      </c>
      <c r="O210" s="3" t="s">
        <v>2276</v>
      </c>
      <c r="P210" s="3" t="s">
        <v>2276</v>
      </c>
      <c r="Q210" s="3" t="s">
        <v>2276</v>
      </c>
      <c r="R210" s="3" t="s">
        <v>534</v>
      </c>
      <c r="S210" s="3" t="s">
        <v>534</v>
      </c>
      <c r="T210" s="3" t="s">
        <v>534</v>
      </c>
      <c r="U210" s="3" t="s">
        <v>2276</v>
      </c>
      <c r="V210" s="3" t="s">
        <v>2276</v>
      </c>
      <c r="W210" s="4" t="s">
        <v>2178</v>
      </c>
    </row>
    <row r="211" spans="1:23" ht="52" customHeight="1">
      <c r="A211" s="11" t="s">
        <v>2112</v>
      </c>
      <c r="B211" s="11" t="s">
        <v>2193</v>
      </c>
      <c r="C211" s="23" t="s">
        <v>24</v>
      </c>
      <c r="D211" s="23" t="s">
        <v>27</v>
      </c>
      <c r="E211" s="23" t="s">
        <v>130</v>
      </c>
      <c r="F211" s="19" t="s">
        <v>161</v>
      </c>
      <c r="G211" s="19"/>
      <c r="H211" s="4" t="s">
        <v>541</v>
      </c>
      <c r="I211" s="3" t="s">
        <v>2690</v>
      </c>
      <c r="J211" s="3" t="s">
        <v>534</v>
      </c>
      <c r="K211" s="3" t="s">
        <v>2276</v>
      </c>
      <c r="L211" s="3" t="s">
        <v>2276</v>
      </c>
      <c r="M211" s="3" t="s">
        <v>2276</v>
      </c>
      <c r="N211" s="3" t="s">
        <v>2276</v>
      </c>
      <c r="O211" s="3" t="s">
        <v>2276</v>
      </c>
      <c r="P211" s="3" t="s">
        <v>2276</v>
      </c>
      <c r="Q211" s="3" t="s">
        <v>2276</v>
      </c>
      <c r="R211" s="3" t="s">
        <v>2276</v>
      </c>
      <c r="S211" s="3" t="s">
        <v>2276</v>
      </c>
      <c r="T211" s="3" t="s">
        <v>2276</v>
      </c>
      <c r="U211" s="3" t="s">
        <v>2276</v>
      </c>
      <c r="V211" s="3" t="s">
        <v>2276</v>
      </c>
      <c r="W211" s="4" t="s">
        <v>2178</v>
      </c>
    </row>
    <row r="212" spans="1:23" ht="52" customHeight="1">
      <c r="A212" s="11" t="s">
        <v>2113</v>
      </c>
      <c r="B212" s="11" t="s">
        <v>2167</v>
      </c>
      <c r="C212" s="23" t="s">
        <v>24</v>
      </c>
      <c r="D212" s="23" t="s">
        <v>143</v>
      </c>
      <c r="E212" s="23" t="s">
        <v>130</v>
      </c>
      <c r="F212" s="19" t="s">
        <v>74</v>
      </c>
      <c r="G212" s="19"/>
      <c r="H212" s="4" t="s">
        <v>541</v>
      </c>
      <c r="I212" s="3" t="s">
        <v>2690</v>
      </c>
      <c r="J212" s="3" t="s">
        <v>534</v>
      </c>
      <c r="K212" s="3" t="s">
        <v>2276</v>
      </c>
      <c r="L212" s="3" t="s">
        <v>2276</v>
      </c>
      <c r="M212" s="3" t="s">
        <v>2276</v>
      </c>
      <c r="N212" s="3" t="s">
        <v>2276</v>
      </c>
      <c r="O212" s="3" t="s">
        <v>2276</v>
      </c>
      <c r="P212" s="3" t="s">
        <v>2276</v>
      </c>
      <c r="Q212" s="3" t="s">
        <v>2276</v>
      </c>
      <c r="R212" s="3" t="s">
        <v>534</v>
      </c>
      <c r="S212" s="3" t="s">
        <v>534</v>
      </c>
      <c r="T212" s="3" t="s">
        <v>534</v>
      </c>
      <c r="U212" s="3" t="s">
        <v>2276</v>
      </c>
      <c r="V212" s="3" t="s">
        <v>2276</v>
      </c>
      <c r="W212" s="4" t="s">
        <v>2178</v>
      </c>
    </row>
    <row r="213" spans="1:23" ht="52" customHeight="1">
      <c r="A213" s="11" t="s">
        <v>2113</v>
      </c>
      <c r="B213" s="11" t="s">
        <v>2194</v>
      </c>
      <c r="C213" s="23" t="s">
        <v>24</v>
      </c>
      <c r="D213" s="23" t="s">
        <v>27</v>
      </c>
      <c r="E213" s="23" t="s">
        <v>130</v>
      </c>
      <c r="F213" s="19" t="s">
        <v>161</v>
      </c>
      <c r="G213" s="19"/>
      <c r="H213" s="4" t="s">
        <v>541</v>
      </c>
      <c r="I213" s="3" t="s">
        <v>2690</v>
      </c>
      <c r="J213" s="3" t="s">
        <v>534</v>
      </c>
      <c r="K213" s="3" t="s">
        <v>2276</v>
      </c>
      <c r="L213" s="3" t="s">
        <v>2276</v>
      </c>
      <c r="M213" s="3" t="s">
        <v>2276</v>
      </c>
      <c r="N213" s="3" t="s">
        <v>2276</v>
      </c>
      <c r="O213" s="3" t="s">
        <v>2276</v>
      </c>
      <c r="P213" s="3" t="s">
        <v>2276</v>
      </c>
      <c r="Q213" s="3" t="s">
        <v>2276</v>
      </c>
      <c r="R213" s="3" t="s">
        <v>2276</v>
      </c>
      <c r="S213" s="3" t="s">
        <v>2276</v>
      </c>
      <c r="T213" s="3" t="s">
        <v>2276</v>
      </c>
      <c r="U213" s="3" t="s">
        <v>2276</v>
      </c>
      <c r="V213" s="3" t="s">
        <v>2276</v>
      </c>
      <c r="W213" s="4" t="s">
        <v>2178</v>
      </c>
    </row>
    <row r="214" spans="1:23" ht="52" customHeight="1">
      <c r="A214" s="11" t="s">
        <v>2114</v>
      </c>
      <c r="B214" s="11" t="s">
        <v>2168</v>
      </c>
      <c r="C214" s="23" t="s">
        <v>24</v>
      </c>
      <c r="D214" s="23" t="s">
        <v>143</v>
      </c>
      <c r="E214" s="23" t="s">
        <v>130</v>
      </c>
      <c r="F214" s="19" t="s">
        <v>74</v>
      </c>
      <c r="G214" s="19"/>
      <c r="H214" s="4" t="s">
        <v>541</v>
      </c>
      <c r="I214" s="3" t="s">
        <v>2690</v>
      </c>
      <c r="J214" s="3" t="s">
        <v>534</v>
      </c>
      <c r="K214" s="3" t="s">
        <v>2276</v>
      </c>
      <c r="L214" s="3" t="s">
        <v>2276</v>
      </c>
      <c r="M214" s="3" t="s">
        <v>2276</v>
      </c>
      <c r="N214" s="3" t="s">
        <v>2276</v>
      </c>
      <c r="O214" s="3" t="s">
        <v>2276</v>
      </c>
      <c r="P214" s="3" t="s">
        <v>2276</v>
      </c>
      <c r="Q214" s="3" t="s">
        <v>2276</v>
      </c>
      <c r="R214" s="3" t="s">
        <v>534</v>
      </c>
      <c r="S214" s="3" t="s">
        <v>534</v>
      </c>
      <c r="T214" s="3" t="s">
        <v>534</v>
      </c>
      <c r="U214" s="3" t="s">
        <v>2276</v>
      </c>
      <c r="V214" s="3" t="s">
        <v>2276</v>
      </c>
      <c r="W214" s="4" t="s">
        <v>2178</v>
      </c>
    </row>
    <row r="215" spans="1:23" ht="52" customHeight="1">
      <c r="A215" s="11" t="s">
        <v>2114</v>
      </c>
      <c r="B215" s="11" t="s">
        <v>2195</v>
      </c>
      <c r="C215" s="23" t="s">
        <v>24</v>
      </c>
      <c r="D215" s="23" t="s">
        <v>27</v>
      </c>
      <c r="E215" s="23" t="s">
        <v>130</v>
      </c>
      <c r="F215" s="19" t="s">
        <v>161</v>
      </c>
      <c r="G215" s="19"/>
      <c r="H215" s="4" t="s">
        <v>541</v>
      </c>
      <c r="I215" s="3" t="s">
        <v>2690</v>
      </c>
      <c r="J215" s="3" t="s">
        <v>534</v>
      </c>
      <c r="K215" s="3" t="s">
        <v>2276</v>
      </c>
      <c r="L215" s="3" t="s">
        <v>2276</v>
      </c>
      <c r="M215" s="3" t="s">
        <v>2276</v>
      </c>
      <c r="N215" s="3" t="s">
        <v>2276</v>
      </c>
      <c r="O215" s="3" t="s">
        <v>2276</v>
      </c>
      <c r="P215" s="3" t="s">
        <v>2276</v>
      </c>
      <c r="Q215" s="3" t="s">
        <v>2276</v>
      </c>
      <c r="R215" s="3" t="s">
        <v>2276</v>
      </c>
      <c r="S215" s="3" t="s">
        <v>2276</v>
      </c>
      <c r="T215" s="3" t="s">
        <v>2276</v>
      </c>
      <c r="U215" s="3" t="s">
        <v>2276</v>
      </c>
      <c r="V215" s="3" t="s">
        <v>2276</v>
      </c>
      <c r="W215" s="4" t="s">
        <v>2178</v>
      </c>
    </row>
    <row r="216" spans="1:23" ht="52" customHeight="1">
      <c r="A216" s="11" t="s">
        <v>2115</v>
      </c>
      <c r="B216" s="11" t="s">
        <v>2169</v>
      </c>
      <c r="C216" s="23" t="s">
        <v>24</v>
      </c>
      <c r="D216" s="23" t="s">
        <v>143</v>
      </c>
      <c r="E216" s="23" t="s">
        <v>130</v>
      </c>
      <c r="F216" s="19" t="s">
        <v>74</v>
      </c>
      <c r="G216" s="19"/>
      <c r="H216" s="4" t="s">
        <v>541</v>
      </c>
      <c r="I216" s="3" t="s">
        <v>2690</v>
      </c>
      <c r="J216" s="3" t="s">
        <v>534</v>
      </c>
      <c r="K216" s="3" t="s">
        <v>2276</v>
      </c>
      <c r="L216" s="3" t="s">
        <v>2276</v>
      </c>
      <c r="M216" s="3" t="s">
        <v>2276</v>
      </c>
      <c r="N216" s="3" t="s">
        <v>2276</v>
      </c>
      <c r="O216" s="3" t="s">
        <v>2276</v>
      </c>
      <c r="P216" s="3" t="s">
        <v>2276</v>
      </c>
      <c r="Q216" s="3" t="s">
        <v>2276</v>
      </c>
      <c r="R216" s="3" t="s">
        <v>534</v>
      </c>
      <c r="S216" s="3" t="s">
        <v>534</v>
      </c>
      <c r="T216" s="3" t="s">
        <v>534</v>
      </c>
      <c r="U216" s="3" t="s">
        <v>2276</v>
      </c>
      <c r="V216" s="3" t="s">
        <v>2276</v>
      </c>
      <c r="W216" s="4" t="s">
        <v>2178</v>
      </c>
    </row>
    <row r="217" spans="1:23" ht="52" customHeight="1">
      <c r="A217" s="11" t="s">
        <v>2115</v>
      </c>
      <c r="B217" s="11" t="s">
        <v>2196</v>
      </c>
      <c r="C217" s="23" t="s">
        <v>24</v>
      </c>
      <c r="D217" s="23" t="s">
        <v>27</v>
      </c>
      <c r="E217" s="23" t="s">
        <v>130</v>
      </c>
      <c r="F217" s="19" t="s">
        <v>161</v>
      </c>
      <c r="G217" s="19"/>
      <c r="H217" s="4" t="s">
        <v>541</v>
      </c>
      <c r="I217" s="3" t="s">
        <v>2690</v>
      </c>
      <c r="J217" s="3" t="s">
        <v>534</v>
      </c>
      <c r="K217" s="3" t="s">
        <v>2276</v>
      </c>
      <c r="L217" s="3" t="s">
        <v>2276</v>
      </c>
      <c r="M217" s="3" t="s">
        <v>2276</v>
      </c>
      <c r="N217" s="3" t="s">
        <v>2276</v>
      </c>
      <c r="O217" s="3" t="s">
        <v>2276</v>
      </c>
      <c r="P217" s="3" t="s">
        <v>2276</v>
      </c>
      <c r="Q217" s="3" t="s">
        <v>2276</v>
      </c>
      <c r="R217" s="3" t="s">
        <v>2276</v>
      </c>
      <c r="S217" s="3" t="s">
        <v>2276</v>
      </c>
      <c r="T217" s="3" t="s">
        <v>2276</v>
      </c>
      <c r="U217" s="3" t="s">
        <v>2276</v>
      </c>
      <c r="V217" s="3" t="s">
        <v>2276</v>
      </c>
      <c r="W217" s="4" t="s">
        <v>2178</v>
      </c>
    </row>
    <row r="218" spans="1:23" ht="52" customHeight="1">
      <c r="A218" s="11" t="s">
        <v>2116</v>
      </c>
      <c r="B218" s="11" t="s">
        <v>2170</v>
      </c>
      <c r="C218" s="23" t="s">
        <v>24</v>
      </c>
      <c r="D218" s="23" t="s">
        <v>143</v>
      </c>
      <c r="E218" s="23" t="s">
        <v>130</v>
      </c>
      <c r="F218" s="19" t="s">
        <v>74</v>
      </c>
      <c r="G218" s="19"/>
      <c r="H218" s="4" t="s">
        <v>541</v>
      </c>
      <c r="I218" s="3" t="s">
        <v>2690</v>
      </c>
      <c r="J218" s="3" t="s">
        <v>534</v>
      </c>
      <c r="K218" s="3" t="s">
        <v>2276</v>
      </c>
      <c r="L218" s="3" t="s">
        <v>2276</v>
      </c>
      <c r="M218" s="3" t="s">
        <v>2276</v>
      </c>
      <c r="N218" s="3" t="s">
        <v>2276</v>
      </c>
      <c r="O218" s="3" t="s">
        <v>2276</v>
      </c>
      <c r="P218" s="3" t="s">
        <v>2276</v>
      </c>
      <c r="Q218" s="3" t="s">
        <v>2276</v>
      </c>
      <c r="R218" s="3" t="s">
        <v>534</v>
      </c>
      <c r="S218" s="3" t="s">
        <v>534</v>
      </c>
      <c r="T218" s="3" t="s">
        <v>534</v>
      </c>
      <c r="U218" s="3" t="s">
        <v>2276</v>
      </c>
      <c r="V218" s="3" t="s">
        <v>2276</v>
      </c>
      <c r="W218" s="4" t="s">
        <v>2178</v>
      </c>
    </row>
    <row r="219" spans="1:23" ht="52" customHeight="1">
      <c r="A219" s="11" t="s">
        <v>2116</v>
      </c>
      <c r="B219" s="11" t="s">
        <v>2197</v>
      </c>
      <c r="C219" s="23" t="s">
        <v>24</v>
      </c>
      <c r="D219" s="23" t="s">
        <v>27</v>
      </c>
      <c r="E219" s="23" t="s">
        <v>130</v>
      </c>
      <c r="F219" s="19" t="s">
        <v>161</v>
      </c>
      <c r="G219" s="19"/>
      <c r="H219" s="4" t="s">
        <v>541</v>
      </c>
      <c r="I219" s="3" t="s">
        <v>2690</v>
      </c>
      <c r="J219" s="3" t="s">
        <v>534</v>
      </c>
      <c r="K219" s="3" t="s">
        <v>2276</v>
      </c>
      <c r="L219" s="3" t="s">
        <v>2276</v>
      </c>
      <c r="M219" s="3" t="s">
        <v>2276</v>
      </c>
      <c r="N219" s="3" t="s">
        <v>2276</v>
      </c>
      <c r="O219" s="3" t="s">
        <v>2276</v>
      </c>
      <c r="P219" s="3" t="s">
        <v>2276</v>
      </c>
      <c r="Q219" s="3" t="s">
        <v>2276</v>
      </c>
      <c r="R219" s="3" t="s">
        <v>2276</v>
      </c>
      <c r="S219" s="3" t="s">
        <v>2276</v>
      </c>
      <c r="T219" s="3" t="s">
        <v>2276</v>
      </c>
      <c r="U219" s="3" t="s">
        <v>2276</v>
      </c>
      <c r="V219" s="3" t="s">
        <v>2276</v>
      </c>
      <c r="W219" s="4" t="s">
        <v>2178</v>
      </c>
    </row>
    <row r="220" spans="1:23" ht="52" customHeight="1">
      <c r="A220" s="11" t="s">
        <v>2117</v>
      </c>
      <c r="B220" s="11" t="s">
        <v>2171</v>
      </c>
      <c r="C220" s="23" t="s">
        <v>24</v>
      </c>
      <c r="D220" s="23" t="s">
        <v>143</v>
      </c>
      <c r="E220" s="23" t="s">
        <v>130</v>
      </c>
      <c r="F220" s="19" t="s">
        <v>74</v>
      </c>
      <c r="G220" s="19"/>
      <c r="H220" s="4" t="s">
        <v>541</v>
      </c>
      <c r="I220" s="3" t="s">
        <v>2690</v>
      </c>
      <c r="J220" s="3" t="s">
        <v>534</v>
      </c>
      <c r="K220" s="3" t="s">
        <v>2276</v>
      </c>
      <c r="L220" s="3" t="s">
        <v>2276</v>
      </c>
      <c r="M220" s="3" t="s">
        <v>2276</v>
      </c>
      <c r="N220" s="3" t="s">
        <v>2276</v>
      </c>
      <c r="O220" s="3" t="s">
        <v>2276</v>
      </c>
      <c r="P220" s="3" t="s">
        <v>2276</v>
      </c>
      <c r="Q220" s="3" t="s">
        <v>2276</v>
      </c>
      <c r="R220" s="3" t="s">
        <v>534</v>
      </c>
      <c r="S220" s="3" t="s">
        <v>534</v>
      </c>
      <c r="T220" s="3" t="s">
        <v>534</v>
      </c>
      <c r="U220" s="3" t="s">
        <v>2276</v>
      </c>
      <c r="V220" s="3" t="s">
        <v>2276</v>
      </c>
      <c r="W220" s="4" t="s">
        <v>2178</v>
      </c>
    </row>
    <row r="221" spans="1:23" ht="52" customHeight="1">
      <c r="A221" s="11" t="s">
        <v>2117</v>
      </c>
      <c r="B221" s="11" t="s">
        <v>2198</v>
      </c>
      <c r="C221" s="23" t="s">
        <v>24</v>
      </c>
      <c r="D221" s="23" t="s">
        <v>27</v>
      </c>
      <c r="E221" s="23" t="s">
        <v>130</v>
      </c>
      <c r="F221" s="19" t="s">
        <v>161</v>
      </c>
      <c r="G221" s="19"/>
      <c r="H221" s="4" t="s">
        <v>541</v>
      </c>
      <c r="I221" s="3" t="s">
        <v>2690</v>
      </c>
      <c r="J221" s="3" t="s">
        <v>534</v>
      </c>
      <c r="K221" s="3" t="s">
        <v>2276</v>
      </c>
      <c r="L221" s="3" t="s">
        <v>2276</v>
      </c>
      <c r="M221" s="3" t="s">
        <v>2276</v>
      </c>
      <c r="N221" s="3" t="s">
        <v>2276</v>
      </c>
      <c r="O221" s="3" t="s">
        <v>2276</v>
      </c>
      <c r="P221" s="3" t="s">
        <v>2276</v>
      </c>
      <c r="Q221" s="3" t="s">
        <v>2276</v>
      </c>
      <c r="R221" s="3" t="s">
        <v>2276</v>
      </c>
      <c r="S221" s="3" t="s">
        <v>2276</v>
      </c>
      <c r="T221" s="3" t="s">
        <v>2276</v>
      </c>
      <c r="U221" s="3" t="s">
        <v>2276</v>
      </c>
      <c r="V221" s="3" t="s">
        <v>2276</v>
      </c>
      <c r="W221" s="4" t="s">
        <v>2178</v>
      </c>
    </row>
    <row r="222" spans="1:23" ht="52" customHeight="1">
      <c r="A222" s="11" t="s">
        <v>2118</v>
      </c>
      <c r="B222" s="11" t="s">
        <v>2172</v>
      </c>
      <c r="C222" s="23" t="s">
        <v>24</v>
      </c>
      <c r="D222" s="23" t="s">
        <v>143</v>
      </c>
      <c r="E222" s="23" t="s">
        <v>130</v>
      </c>
      <c r="F222" s="19" t="s">
        <v>74</v>
      </c>
      <c r="G222" s="19"/>
      <c r="H222" s="4" t="s">
        <v>541</v>
      </c>
      <c r="I222" s="3" t="s">
        <v>2690</v>
      </c>
      <c r="J222" s="3" t="s">
        <v>534</v>
      </c>
      <c r="K222" s="3" t="s">
        <v>2276</v>
      </c>
      <c r="L222" s="3" t="s">
        <v>2276</v>
      </c>
      <c r="M222" s="3" t="s">
        <v>2276</v>
      </c>
      <c r="N222" s="3" t="s">
        <v>2276</v>
      </c>
      <c r="O222" s="3" t="s">
        <v>2276</v>
      </c>
      <c r="P222" s="3" t="s">
        <v>2276</v>
      </c>
      <c r="Q222" s="3" t="s">
        <v>2276</v>
      </c>
      <c r="R222" s="3" t="s">
        <v>534</v>
      </c>
      <c r="S222" s="3" t="s">
        <v>534</v>
      </c>
      <c r="T222" s="3" t="s">
        <v>534</v>
      </c>
      <c r="U222" s="3" t="s">
        <v>2276</v>
      </c>
      <c r="V222" s="3" t="s">
        <v>2276</v>
      </c>
      <c r="W222" s="4" t="s">
        <v>2178</v>
      </c>
    </row>
    <row r="223" spans="1:23" ht="52" customHeight="1">
      <c r="A223" s="11" t="s">
        <v>2118</v>
      </c>
      <c r="B223" s="11" t="s">
        <v>2199</v>
      </c>
      <c r="C223" s="23" t="s">
        <v>24</v>
      </c>
      <c r="D223" s="23" t="s">
        <v>27</v>
      </c>
      <c r="E223" s="23" t="s">
        <v>130</v>
      </c>
      <c r="F223" s="19" t="s">
        <v>161</v>
      </c>
      <c r="G223" s="19"/>
      <c r="H223" s="4" t="s">
        <v>541</v>
      </c>
      <c r="I223" s="3" t="s">
        <v>2690</v>
      </c>
      <c r="J223" s="3" t="s">
        <v>534</v>
      </c>
      <c r="K223" s="3" t="s">
        <v>2276</v>
      </c>
      <c r="L223" s="3" t="s">
        <v>2276</v>
      </c>
      <c r="M223" s="3" t="s">
        <v>2276</v>
      </c>
      <c r="N223" s="3" t="s">
        <v>2276</v>
      </c>
      <c r="O223" s="3" t="s">
        <v>2276</v>
      </c>
      <c r="P223" s="3" t="s">
        <v>2276</v>
      </c>
      <c r="Q223" s="3" t="s">
        <v>2276</v>
      </c>
      <c r="R223" s="3" t="s">
        <v>2276</v>
      </c>
      <c r="S223" s="3" t="s">
        <v>2276</v>
      </c>
      <c r="T223" s="3" t="s">
        <v>2276</v>
      </c>
      <c r="U223" s="3" t="s">
        <v>2276</v>
      </c>
      <c r="V223" s="3" t="s">
        <v>2276</v>
      </c>
      <c r="W223" s="4" t="s">
        <v>2178</v>
      </c>
    </row>
    <row r="224" spans="1:23" ht="52" customHeight="1">
      <c r="A224" s="11" t="s">
        <v>2119</v>
      </c>
      <c r="B224" s="11" t="s">
        <v>2173</v>
      </c>
      <c r="C224" s="23" t="s">
        <v>24</v>
      </c>
      <c r="D224" s="23" t="s">
        <v>143</v>
      </c>
      <c r="E224" s="23" t="s">
        <v>130</v>
      </c>
      <c r="F224" s="19" t="s">
        <v>74</v>
      </c>
      <c r="G224" s="19"/>
      <c r="H224" s="4" t="s">
        <v>541</v>
      </c>
      <c r="I224" s="3" t="s">
        <v>2690</v>
      </c>
      <c r="J224" s="3" t="s">
        <v>534</v>
      </c>
      <c r="K224" s="3" t="s">
        <v>2276</v>
      </c>
      <c r="L224" s="3" t="s">
        <v>2276</v>
      </c>
      <c r="M224" s="3" t="s">
        <v>2276</v>
      </c>
      <c r="N224" s="3" t="s">
        <v>2276</v>
      </c>
      <c r="O224" s="3" t="s">
        <v>2276</v>
      </c>
      <c r="P224" s="3" t="s">
        <v>2276</v>
      </c>
      <c r="Q224" s="3" t="s">
        <v>2276</v>
      </c>
      <c r="R224" s="3" t="s">
        <v>534</v>
      </c>
      <c r="S224" s="3" t="s">
        <v>534</v>
      </c>
      <c r="T224" s="3" t="s">
        <v>534</v>
      </c>
      <c r="U224" s="3" t="s">
        <v>2276</v>
      </c>
      <c r="V224" s="3" t="s">
        <v>2276</v>
      </c>
      <c r="W224" s="4" t="s">
        <v>2178</v>
      </c>
    </row>
    <row r="225" spans="1:23" ht="52" customHeight="1">
      <c r="A225" s="11" t="s">
        <v>2119</v>
      </c>
      <c r="B225" s="11" t="s">
        <v>2200</v>
      </c>
      <c r="C225" s="23" t="s">
        <v>24</v>
      </c>
      <c r="D225" s="23" t="s">
        <v>27</v>
      </c>
      <c r="E225" s="23" t="s">
        <v>130</v>
      </c>
      <c r="F225" s="19" t="s">
        <v>161</v>
      </c>
      <c r="G225" s="19"/>
      <c r="H225" s="4" t="s">
        <v>541</v>
      </c>
      <c r="I225" s="3" t="s">
        <v>2690</v>
      </c>
      <c r="J225" s="3" t="s">
        <v>534</v>
      </c>
      <c r="K225" s="3" t="s">
        <v>2276</v>
      </c>
      <c r="L225" s="3" t="s">
        <v>2276</v>
      </c>
      <c r="M225" s="3" t="s">
        <v>2276</v>
      </c>
      <c r="N225" s="3" t="s">
        <v>2276</v>
      </c>
      <c r="O225" s="3" t="s">
        <v>2276</v>
      </c>
      <c r="P225" s="3" t="s">
        <v>2276</v>
      </c>
      <c r="Q225" s="3" t="s">
        <v>2276</v>
      </c>
      <c r="R225" s="3" t="s">
        <v>2276</v>
      </c>
      <c r="S225" s="3" t="s">
        <v>2276</v>
      </c>
      <c r="T225" s="3" t="s">
        <v>2276</v>
      </c>
      <c r="U225" s="3" t="s">
        <v>2276</v>
      </c>
      <c r="V225" s="3" t="s">
        <v>2276</v>
      </c>
      <c r="W225" s="4" t="s">
        <v>2178</v>
      </c>
    </row>
    <row r="226" spans="1:23" ht="52" customHeight="1">
      <c r="A226" s="11" t="s">
        <v>2120</v>
      </c>
      <c r="B226" s="11" t="s">
        <v>2174</v>
      </c>
      <c r="C226" s="23" t="s">
        <v>24</v>
      </c>
      <c r="D226" s="23" t="s">
        <v>143</v>
      </c>
      <c r="E226" s="23" t="s">
        <v>130</v>
      </c>
      <c r="F226" s="19" t="s">
        <v>74</v>
      </c>
      <c r="G226" s="19"/>
      <c r="H226" s="4" t="s">
        <v>541</v>
      </c>
      <c r="I226" s="3" t="s">
        <v>2690</v>
      </c>
      <c r="J226" s="3" t="s">
        <v>534</v>
      </c>
      <c r="K226" s="3" t="s">
        <v>2276</v>
      </c>
      <c r="L226" s="3" t="s">
        <v>2276</v>
      </c>
      <c r="M226" s="3" t="s">
        <v>2276</v>
      </c>
      <c r="N226" s="3" t="s">
        <v>2276</v>
      </c>
      <c r="O226" s="3" t="s">
        <v>2276</v>
      </c>
      <c r="P226" s="3" t="s">
        <v>2276</v>
      </c>
      <c r="Q226" s="3" t="s">
        <v>2276</v>
      </c>
      <c r="R226" s="3" t="s">
        <v>534</v>
      </c>
      <c r="S226" s="3" t="s">
        <v>534</v>
      </c>
      <c r="T226" s="3" t="s">
        <v>534</v>
      </c>
      <c r="U226" s="3" t="s">
        <v>2276</v>
      </c>
      <c r="V226" s="3" t="s">
        <v>2276</v>
      </c>
      <c r="W226" s="4" t="s">
        <v>2178</v>
      </c>
    </row>
    <row r="227" spans="1:23" ht="52" customHeight="1">
      <c r="A227" s="11" t="s">
        <v>2120</v>
      </c>
      <c r="B227" s="11" t="s">
        <v>2201</v>
      </c>
      <c r="C227" s="23" t="s">
        <v>24</v>
      </c>
      <c r="D227" s="23" t="s">
        <v>27</v>
      </c>
      <c r="E227" s="23" t="s">
        <v>130</v>
      </c>
      <c r="F227" s="19" t="s">
        <v>161</v>
      </c>
      <c r="G227" s="19"/>
      <c r="H227" s="4" t="s">
        <v>541</v>
      </c>
      <c r="I227" s="3" t="s">
        <v>2690</v>
      </c>
      <c r="J227" s="3" t="s">
        <v>534</v>
      </c>
      <c r="K227" s="3" t="s">
        <v>2276</v>
      </c>
      <c r="L227" s="3" t="s">
        <v>2276</v>
      </c>
      <c r="M227" s="3" t="s">
        <v>2276</v>
      </c>
      <c r="N227" s="3" t="s">
        <v>2276</v>
      </c>
      <c r="O227" s="3" t="s">
        <v>2276</v>
      </c>
      <c r="P227" s="3" t="s">
        <v>2276</v>
      </c>
      <c r="Q227" s="3" t="s">
        <v>2276</v>
      </c>
      <c r="R227" s="3" t="s">
        <v>2276</v>
      </c>
      <c r="S227" s="3" t="s">
        <v>2276</v>
      </c>
      <c r="T227" s="3" t="s">
        <v>2276</v>
      </c>
      <c r="U227" s="3" t="s">
        <v>2276</v>
      </c>
      <c r="V227" s="3" t="s">
        <v>2276</v>
      </c>
      <c r="W227" s="4" t="s">
        <v>2178</v>
      </c>
    </row>
    <row r="228" spans="1:23" ht="52" customHeight="1">
      <c r="A228" s="11" t="s">
        <v>2121</v>
      </c>
      <c r="B228" s="11" t="s">
        <v>2175</v>
      </c>
      <c r="C228" s="23" t="s">
        <v>24</v>
      </c>
      <c r="D228" s="23" t="s">
        <v>143</v>
      </c>
      <c r="E228" s="23" t="s">
        <v>130</v>
      </c>
      <c r="F228" s="19" t="s">
        <v>74</v>
      </c>
      <c r="G228" s="19"/>
      <c r="H228" s="4" t="s">
        <v>541</v>
      </c>
      <c r="I228" s="3" t="s">
        <v>2690</v>
      </c>
      <c r="J228" s="3" t="s">
        <v>534</v>
      </c>
      <c r="K228" s="3" t="s">
        <v>2276</v>
      </c>
      <c r="L228" s="3" t="s">
        <v>2276</v>
      </c>
      <c r="M228" s="3" t="s">
        <v>2276</v>
      </c>
      <c r="N228" s="3" t="s">
        <v>2276</v>
      </c>
      <c r="O228" s="3" t="s">
        <v>2276</v>
      </c>
      <c r="P228" s="3" t="s">
        <v>2276</v>
      </c>
      <c r="Q228" s="3" t="s">
        <v>2276</v>
      </c>
      <c r="R228" s="3" t="s">
        <v>534</v>
      </c>
      <c r="S228" s="3" t="s">
        <v>534</v>
      </c>
      <c r="T228" s="3" t="s">
        <v>534</v>
      </c>
      <c r="U228" s="3" t="s">
        <v>2276</v>
      </c>
      <c r="V228" s="3" t="s">
        <v>2276</v>
      </c>
      <c r="W228" s="4" t="s">
        <v>2178</v>
      </c>
    </row>
    <row r="229" spans="1:23" ht="52" customHeight="1">
      <c r="A229" s="11" t="s">
        <v>2121</v>
      </c>
      <c r="B229" s="11" t="s">
        <v>2202</v>
      </c>
      <c r="C229" s="23" t="s">
        <v>24</v>
      </c>
      <c r="D229" s="23" t="s">
        <v>27</v>
      </c>
      <c r="E229" s="23" t="s">
        <v>130</v>
      </c>
      <c r="F229" s="19" t="s">
        <v>161</v>
      </c>
      <c r="G229" s="19"/>
      <c r="H229" s="4" t="s">
        <v>541</v>
      </c>
      <c r="I229" s="3" t="s">
        <v>2690</v>
      </c>
      <c r="J229" s="3" t="s">
        <v>534</v>
      </c>
      <c r="K229" s="3" t="s">
        <v>2276</v>
      </c>
      <c r="L229" s="3" t="s">
        <v>2276</v>
      </c>
      <c r="M229" s="3" t="s">
        <v>2276</v>
      </c>
      <c r="N229" s="3" t="s">
        <v>2276</v>
      </c>
      <c r="O229" s="3" t="s">
        <v>2276</v>
      </c>
      <c r="P229" s="3" t="s">
        <v>2276</v>
      </c>
      <c r="Q229" s="3" t="s">
        <v>2276</v>
      </c>
      <c r="R229" s="3" t="s">
        <v>2276</v>
      </c>
      <c r="S229" s="3" t="s">
        <v>2276</v>
      </c>
      <c r="T229" s="3" t="s">
        <v>2276</v>
      </c>
      <c r="U229" s="3" t="s">
        <v>2276</v>
      </c>
      <c r="V229" s="3" t="s">
        <v>2276</v>
      </c>
      <c r="W229" s="4" t="s">
        <v>2178</v>
      </c>
    </row>
    <row r="230" spans="1:23" ht="64.5" customHeight="1">
      <c r="A230" s="11" t="s">
        <v>2122</v>
      </c>
      <c r="B230" s="11" t="s">
        <v>2176</v>
      </c>
      <c r="C230" s="23" t="s">
        <v>24</v>
      </c>
      <c r="D230" s="23" t="s">
        <v>143</v>
      </c>
      <c r="E230" s="23" t="s">
        <v>130</v>
      </c>
      <c r="F230" s="19" t="s">
        <v>74</v>
      </c>
      <c r="G230" s="19"/>
      <c r="H230" s="4" t="s">
        <v>541</v>
      </c>
      <c r="I230" s="3" t="s">
        <v>2690</v>
      </c>
      <c r="J230" s="3" t="s">
        <v>534</v>
      </c>
      <c r="K230" s="3" t="s">
        <v>2276</v>
      </c>
      <c r="L230" s="3" t="s">
        <v>2276</v>
      </c>
      <c r="M230" s="3" t="s">
        <v>2276</v>
      </c>
      <c r="N230" s="3" t="s">
        <v>2276</v>
      </c>
      <c r="O230" s="3" t="s">
        <v>2276</v>
      </c>
      <c r="P230" s="3" t="s">
        <v>2276</v>
      </c>
      <c r="Q230" s="3" t="s">
        <v>2276</v>
      </c>
      <c r="R230" s="3" t="s">
        <v>534</v>
      </c>
      <c r="S230" s="3" t="s">
        <v>534</v>
      </c>
      <c r="T230" s="3" t="s">
        <v>534</v>
      </c>
      <c r="U230" s="3" t="s">
        <v>2276</v>
      </c>
      <c r="V230" s="3" t="s">
        <v>2276</v>
      </c>
      <c r="W230" s="4" t="s">
        <v>2178</v>
      </c>
    </row>
    <row r="231" spans="1:23" ht="66" customHeight="1">
      <c r="A231" s="11" t="s">
        <v>2122</v>
      </c>
      <c r="B231" s="11" t="s">
        <v>2203</v>
      </c>
      <c r="C231" s="23" t="s">
        <v>24</v>
      </c>
      <c r="D231" s="23" t="s">
        <v>27</v>
      </c>
      <c r="E231" s="23" t="s">
        <v>130</v>
      </c>
      <c r="F231" s="19" t="s">
        <v>161</v>
      </c>
      <c r="G231" s="19"/>
      <c r="H231" s="4" t="s">
        <v>541</v>
      </c>
      <c r="I231" s="3" t="s">
        <v>2690</v>
      </c>
      <c r="J231" s="3" t="s">
        <v>534</v>
      </c>
      <c r="K231" s="3" t="s">
        <v>2276</v>
      </c>
      <c r="L231" s="3" t="s">
        <v>2276</v>
      </c>
      <c r="M231" s="3" t="s">
        <v>2276</v>
      </c>
      <c r="N231" s="3" t="s">
        <v>2276</v>
      </c>
      <c r="O231" s="3" t="s">
        <v>2276</v>
      </c>
      <c r="P231" s="3" t="s">
        <v>2276</v>
      </c>
      <c r="Q231" s="3" t="s">
        <v>2276</v>
      </c>
      <c r="R231" s="3" t="s">
        <v>2276</v>
      </c>
      <c r="S231" s="3" t="s">
        <v>2276</v>
      </c>
      <c r="T231" s="3" t="s">
        <v>2276</v>
      </c>
      <c r="U231" s="3" t="s">
        <v>2276</v>
      </c>
      <c r="V231" s="3" t="s">
        <v>2276</v>
      </c>
      <c r="W231" s="4" t="s">
        <v>2178</v>
      </c>
    </row>
    <row r="232" spans="1:23" ht="66" customHeight="1">
      <c r="A232" s="11" t="s">
        <v>933</v>
      </c>
      <c r="B232" s="11" t="s">
        <v>5060</v>
      </c>
      <c r="C232" s="23" t="s">
        <v>1105</v>
      </c>
      <c r="D232" s="26" t="s">
        <v>1105</v>
      </c>
      <c r="E232" s="23" t="s">
        <v>1105</v>
      </c>
      <c r="F232" s="26" t="s">
        <v>2662</v>
      </c>
      <c r="G232" s="19">
        <v>2013</v>
      </c>
      <c r="H232" s="4" t="s">
        <v>541</v>
      </c>
      <c r="I232" s="3" t="s">
        <v>2276</v>
      </c>
      <c r="J232" s="3" t="s">
        <v>2276</v>
      </c>
      <c r="K232" s="3" t="s">
        <v>2276</v>
      </c>
      <c r="L232" s="3" t="s">
        <v>2276</v>
      </c>
      <c r="M232" s="3" t="s">
        <v>2276</v>
      </c>
      <c r="N232" s="3" t="s">
        <v>2276</v>
      </c>
      <c r="O232" s="3" t="s">
        <v>2276</v>
      </c>
      <c r="P232" s="3" t="s">
        <v>2276</v>
      </c>
      <c r="Q232" s="3" t="s">
        <v>2276</v>
      </c>
      <c r="R232" s="3" t="s">
        <v>534</v>
      </c>
      <c r="S232" s="3" t="s">
        <v>2276</v>
      </c>
      <c r="T232" s="3" t="s">
        <v>2276</v>
      </c>
      <c r="U232" s="3" t="s">
        <v>2276</v>
      </c>
      <c r="V232" s="3">
        <v>4</v>
      </c>
      <c r="W232" s="4" t="s">
        <v>5084</v>
      </c>
    </row>
    <row r="233" spans="1:23" ht="66" customHeight="1">
      <c r="A233" s="11" t="s">
        <v>5059</v>
      </c>
      <c r="B233" s="11" t="s">
        <v>5068</v>
      </c>
      <c r="C233" s="23" t="s">
        <v>1105</v>
      </c>
      <c r="D233" s="26" t="s">
        <v>1105</v>
      </c>
      <c r="E233" s="23" t="s">
        <v>1105</v>
      </c>
      <c r="F233" s="26" t="s">
        <v>2662</v>
      </c>
      <c r="G233" s="19">
        <v>2013</v>
      </c>
      <c r="H233" s="4" t="s">
        <v>541</v>
      </c>
      <c r="I233" s="3" t="s">
        <v>2276</v>
      </c>
      <c r="J233" s="3" t="s">
        <v>2276</v>
      </c>
      <c r="K233" s="3" t="s">
        <v>2276</v>
      </c>
      <c r="L233" s="3" t="s">
        <v>2276</v>
      </c>
      <c r="M233" s="3" t="s">
        <v>2276</v>
      </c>
      <c r="N233" s="3" t="s">
        <v>2276</v>
      </c>
      <c r="O233" s="3" t="s">
        <v>2276</v>
      </c>
      <c r="P233" s="3" t="s">
        <v>2276</v>
      </c>
      <c r="Q233" s="3" t="s">
        <v>2276</v>
      </c>
      <c r="R233" s="3" t="s">
        <v>534</v>
      </c>
      <c r="S233" s="3" t="s">
        <v>2276</v>
      </c>
      <c r="T233" s="3" t="s">
        <v>2276</v>
      </c>
      <c r="U233" s="3" t="s">
        <v>2276</v>
      </c>
      <c r="V233" s="3">
        <v>2</v>
      </c>
      <c r="W233" s="4" t="s">
        <v>5085</v>
      </c>
    </row>
    <row r="234" spans="1:23" ht="66" customHeight="1">
      <c r="A234" s="11" t="s">
        <v>933</v>
      </c>
      <c r="B234" s="11" t="s">
        <v>5061</v>
      </c>
      <c r="C234" s="23" t="s">
        <v>1105</v>
      </c>
      <c r="D234" s="26" t="s">
        <v>1105</v>
      </c>
      <c r="E234" s="23" t="s">
        <v>1105</v>
      </c>
      <c r="F234" s="26" t="s">
        <v>2662</v>
      </c>
      <c r="G234" s="19">
        <v>2013</v>
      </c>
      <c r="H234" s="4" t="s">
        <v>2723</v>
      </c>
      <c r="I234" s="3" t="s">
        <v>2690</v>
      </c>
      <c r="J234" s="3" t="s">
        <v>2276</v>
      </c>
      <c r="K234" s="11" t="s">
        <v>534</v>
      </c>
      <c r="L234" s="3" t="s">
        <v>2276</v>
      </c>
      <c r="M234" s="3" t="s">
        <v>2276</v>
      </c>
      <c r="N234" s="3" t="s">
        <v>2276</v>
      </c>
      <c r="O234" s="3" t="s">
        <v>2276</v>
      </c>
      <c r="P234" s="3" t="s">
        <v>2276</v>
      </c>
      <c r="Q234" s="3" t="s">
        <v>2276</v>
      </c>
      <c r="R234" s="3" t="s">
        <v>2276</v>
      </c>
      <c r="S234" s="3" t="s">
        <v>2276</v>
      </c>
      <c r="T234" s="3" t="s">
        <v>2276</v>
      </c>
      <c r="U234" s="3" t="s">
        <v>2276</v>
      </c>
      <c r="V234" s="3" t="s">
        <v>2276</v>
      </c>
      <c r="W234" s="4" t="s">
        <v>5086</v>
      </c>
    </row>
    <row r="235" spans="1:23" ht="66" customHeight="1">
      <c r="A235" s="11" t="s">
        <v>5059</v>
      </c>
      <c r="B235" s="11" t="s">
        <v>5070</v>
      </c>
      <c r="C235" s="23" t="s">
        <v>1105</v>
      </c>
      <c r="D235" s="26" t="s">
        <v>1105</v>
      </c>
      <c r="E235" s="23" t="s">
        <v>1105</v>
      </c>
      <c r="F235" s="26" t="s">
        <v>2662</v>
      </c>
      <c r="G235" s="19">
        <v>2013</v>
      </c>
      <c r="H235" s="4" t="s">
        <v>2723</v>
      </c>
      <c r="I235" s="3" t="s">
        <v>2690</v>
      </c>
      <c r="J235" s="3" t="s">
        <v>2276</v>
      </c>
      <c r="K235" s="11" t="s">
        <v>534</v>
      </c>
      <c r="L235" s="3" t="s">
        <v>2276</v>
      </c>
      <c r="M235" s="3" t="s">
        <v>2276</v>
      </c>
      <c r="N235" s="3" t="s">
        <v>2276</v>
      </c>
      <c r="O235" s="3" t="s">
        <v>2276</v>
      </c>
      <c r="P235" s="3" t="s">
        <v>2276</v>
      </c>
      <c r="Q235" s="3" t="s">
        <v>2276</v>
      </c>
      <c r="R235" s="3" t="s">
        <v>2276</v>
      </c>
      <c r="S235" s="3" t="s">
        <v>2276</v>
      </c>
      <c r="T235" s="3" t="s">
        <v>2276</v>
      </c>
      <c r="U235" s="3" t="s">
        <v>2276</v>
      </c>
      <c r="V235" s="3" t="s">
        <v>2276</v>
      </c>
      <c r="W235" s="4" t="s">
        <v>5086</v>
      </c>
    </row>
    <row r="236" spans="1:23" ht="50.5" customHeight="1">
      <c r="A236" s="11" t="s">
        <v>927</v>
      </c>
      <c r="B236" s="11" t="s">
        <v>934</v>
      </c>
      <c r="C236" s="23" t="s">
        <v>24</v>
      </c>
      <c r="D236" s="23" t="s">
        <v>27</v>
      </c>
      <c r="E236" s="23" t="s">
        <v>130</v>
      </c>
      <c r="F236" s="19" t="s">
        <v>161</v>
      </c>
      <c r="G236" s="19"/>
      <c r="H236" s="4" t="s">
        <v>541</v>
      </c>
      <c r="I236" s="3" t="s">
        <v>2690</v>
      </c>
      <c r="J236" s="11" t="s">
        <v>534</v>
      </c>
      <c r="K236" s="3" t="s">
        <v>2276</v>
      </c>
      <c r="L236" s="3" t="s">
        <v>2276</v>
      </c>
      <c r="M236" s="3" t="s">
        <v>2276</v>
      </c>
      <c r="N236" s="3" t="s">
        <v>2276</v>
      </c>
      <c r="O236" s="3" t="s">
        <v>2276</v>
      </c>
      <c r="P236" s="3" t="s">
        <v>2276</v>
      </c>
      <c r="Q236" s="3" t="s">
        <v>2276</v>
      </c>
      <c r="R236" s="3" t="s">
        <v>2276</v>
      </c>
      <c r="S236" s="3" t="s">
        <v>2276</v>
      </c>
      <c r="T236" s="3" t="s">
        <v>2276</v>
      </c>
      <c r="U236" s="3" t="s">
        <v>2276</v>
      </c>
      <c r="V236" s="3" t="s">
        <v>2276</v>
      </c>
      <c r="W236" s="4" t="s">
        <v>2212</v>
      </c>
    </row>
    <row r="237" spans="1:23" ht="42" customHeight="1">
      <c r="A237" s="11" t="s">
        <v>932</v>
      </c>
      <c r="B237" s="11" t="s">
        <v>935</v>
      </c>
      <c r="C237" s="23" t="s">
        <v>24</v>
      </c>
      <c r="D237" s="23" t="s">
        <v>27</v>
      </c>
      <c r="E237" s="23" t="s">
        <v>130</v>
      </c>
      <c r="F237" s="19" t="s">
        <v>161</v>
      </c>
      <c r="G237" s="19"/>
      <c r="H237" s="4" t="s">
        <v>541</v>
      </c>
      <c r="I237" s="11" t="s">
        <v>537</v>
      </c>
      <c r="J237" s="11" t="s">
        <v>537</v>
      </c>
      <c r="K237" s="3" t="s">
        <v>2276</v>
      </c>
      <c r="L237" s="3" t="s">
        <v>2276</v>
      </c>
      <c r="M237" s="3" t="s">
        <v>2276</v>
      </c>
      <c r="N237" s="3" t="s">
        <v>2276</v>
      </c>
      <c r="O237" s="3" t="s">
        <v>2276</v>
      </c>
      <c r="P237" s="3" t="s">
        <v>2276</v>
      </c>
      <c r="Q237" s="3" t="s">
        <v>2276</v>
      </c>
      <c r="R237" s="3" t="s">
        <v>2276</v>
      </c>
      <c r="S237" s="3" t="s">
        <v>2276</v>
      </c>
      <c r="T237" s="3" t="s">
        <v>2276</v>
      </c>
      <c r="U237" s="3" t="s">
        <v>2276</v>
      </c>
      <c r="V237" s="3" t="s">
        <v>2276</v>
      </c>
      <c r="W237" s="4" t="s">
        <v>936</v>
      </c>
    </row>
    <row r="238" spans="1:23" ht="40.5" customHeight="1">
      <c r="A238" s="11" t="s">
        <v>938</v>
      </c>
      <c r="B238" s="11" t="s">
        <v>942</v>
      </c>
      <c r="C238" s="23" t="s">
        <v>24</v>
      </c>
      <c r="D238" s="23" t="s">
        <v>27</v>
      </c>
      <c r="E238" s="23" t="s">
        <v>130</v>
      </c>
      <c r="F238" s="19" t="s">
        <v>161</v>
      </c>
      <c r="G238" s="19"/>
      <c r="H238" s="4" t="s">
        <v>541</v>
      </c>
      <c r="I238" s="3" t="s">
        <v>2690</v>
      </c>
      <c r="J238" s="11" t="s">
        <v>534</v>
      </c>
      <c r="K238" s="3" t="s">
        <v>2276</v>
      </c>
      <c r="L238" s="3" t="s">
        <v>2276</v>
      </c>
      <c r="M238" s="3" t="s">
        <v>2276</v>
      </c>
      <c r="N238" s="3" t="s">
        <v>2276</v>
      </c>
      <c r="O238" s="3" t="s">
        <v>2276</v>
      </c>
      <c r="P238" s="3" t="s">
        <v>2276</v>
      </c>
      <c r="Q238" s="3" t="s">
        <v>2276</v>
      </c>
      <c r="R238" s="3" t="s">
        <v>2276</v>
      </c>
      <c r="S238" s="3" t="s">
        <v>2276</v>
      </c>
      <c r="T238" s="3" t="s">
        <v>2276</v>
      </c>
      <c r="U238" s="3" t="s">
        <v>2276</v>
      </c>
      <c r="V238" s="3" t="s">
        <v>2276</v>
      </c>
      <c r="W238" s="4" t="s">
        <v>943</v>
      </c>
    </row>
    <row r="239" spans="1:23" ht="66.5" customHeight="1">
      <c r="A239" s="11" t="s">
        <v>944</v>
      </c>
      <c r="B239" s="11" t="s">
        <v>948</v>
      </c>
      <c r="C239" s="23" t="s">
        <v>24</v>
      </c>
      <c r="D239" s="23" t="s">
        <v>27</v>
      </c>
      <c r="E239" s="23" t="s">
        <v>130</v>
      </c>
      <c r="F239" s="19" t="s">
        <v>161</v>
      </c>
      <c r="G239" s="19"/>
      <c r="H239" s="4" t="s">
        <v>541</v>
      </c>
      <c r="I239" s="11" t="s">
        <v>537</v>
      </c>
      <c r="J239" s="11" t="s">
        <v>537</v>
      </c>
      <c r="K239" s="3" t="s">
        <v>2276</v>
      </c>
      <c r="L239" s="3" t="s">
        <v>2276</v>
      </c>
      <c r="M239" s="3" t="s">
        <v>2276</v>
      </c>
      <c r="N239" s="3" t="s">
        <v>2276</v>
      </c>
      <c r="O239" s="3" t="s">
        <v>2276</v>
      </c>
      <c r="P239" s="3" t="s">
        <v>2276</v>
      </c>
      <c r="Q239" s="3" t="s">
        <v>2276</v>
      </c>
      <c r="R239" s="3" t="s">
        <v>2276</v>
      </c>
      <c r="S239" s="3" t="s">
        <v>2276</v>
      </c>
      <c r="T239" s="3" t="s">
        <v>2276</v>
      </c>
      <c r="U239" s="3" t="s">
        <v>2276</v>
      </c>
      <c r="V239" s="3" t="s">
        <v>2276</v>
      </c>
      <c r="W239" s="19" t="s">
        <v>952</v>
      </c>
    </row>
    <row r="240" spans="1:23" ht="66.5" customHeight="1">
      <c r="A240" s="11" t="s">
        <v>946</v>
      </c>
      <c r="B240" s="11" t="s">
        <v>949</v>
      </c>
      <c r="C240" s="23" t="s">
        <v>24</v>
      </c>
      <c r="D240" s="23" t="s">
        <v>27</v>
      </c>
      <c r="E240" s="23" t="s">
        <v>130</v>
      </c>
      <c r="F240" s="19" t="s">
        <v>161</v>
      </c>
      <c r="G240" s="19"/>
      <c r="H240" s="4" t="s">
        <v>541</v>
      </c>
      <c r="I240" s="11" t="s">
        <v>537</v>
      </c>
      <c r="J240" s="11" t="s">
        <v>537</v>
      </c>
      <c r="K240" s="3" t="s">
        <v>2276</v>
      </c>
      <c r="L240" s="3" t="s">
        <v>2276</v>
      </c>
      <c r="M240" s="3" t="s">
        <v>2276</v>
      </c>
      <c r="N240" s="3" t="s">
        <v>2276</v>
      </c>
      <c r="O240" s="3" t="s">
        <v>2276</v>
      </c>
      <c r="P240" s="3" t="s">
        <v>2276</v>
      </c>
      <c r="Q240" s="3" t="s">
        <v>2276</v>
      </c>
      <c r="R240" s="3" t="s">
        <v>2276</v>
      </c>
      <c r="S240" s="3" t="s">
        <v>2276</v>
      </c>
      <c r="T240" s="3" t="s">
        <v>2276</v>
      </c>
      <c r="U240" s="3" t="s">
        <v>2276</v>
      </c>
      <c r="V240" s="3" t="s">
        <v>2276</v>
      </c>
      <c r="W240" s="19" t="s">
        <v>952</v>
      </c>
    </row>
    <row r="241" spans="1:23" ht="86" customHeight="1">
      <c r="A241" s="11" t="s">
        <v>959</v>
      </c>
      <c r="B241" s="11" t="s">
        <v>964</v>
      </c>
      <c r="C241" s="23" t="s">
        <v>24</v>
      </c>
      <c r="D241" s="23" t="s">
        <v>27</v>
      </c>
      <c r="E241" s="23" t="s">
        <v>130</v>
      </c>
      <c r="F241" s="19" t="s">
        <v>161</v>
      </c>
      <c r="G241" s="19"/>
      <c r="H241" s="4" t="s">
        <v>541</v>
      </c>
      <c r="I241" s="3" t="s">
        <v>2690</v>
      </c>
      <c r="J241" s="3" t="s">
        <v>534</v>
      </c>
      <c r="K241" s="3" t="s">
        <v>2276</v>
      </c>
      <c r="L241" s="3" t="s">
        <v>2276</v>
      </c>
      <c r="M241" s="3" t="s">
        <v>534</v>
      </c>
      <c r="N241" s="3" t="s">
        <v>534</v>
      </c>
      <c r="O241" s="3" t="s">
        <v>2276</v>
      </c>
      <c r="P241" s="3" t="s">
        <v>2276</v>
      </c>
      <c r="Q241" s="3">
        <v>4</v>
      </c>
      <c r="R241" s="3" t="s">
        <v>534</v>
      </c>
      <c r="S241" s="3" t="s">
        <v>534</v>
      </c>
      <c r="T241" s="3" t="s">
        <v>2276</v>
      </c>
      <c r="U241" s="3" t="s">
        <v>2276</v>
      </c>
      <c r="V241" s="3" t="s">
        <v>2276</v>
      </c>
      <c r="W241" s="4" t="s">
        <v>2221</v>
      </c>
    </row>
    <row r="242" spans="1:23" ht="82.5" customHeight="1">
      <c r="A242" s="11" t="s">
        <v>965</v>
      </c>
      <c r="B242" s="11" t="s">
        <v>969</v>
      </c>
      <c r="C242" s="23" t="s">
        <v>24</v>
      </c>
      <c r="D242" s="23" t="s">
        <v>27</v>
      </c>
      <c r="E242" s="23" t="s">
        <v>130</v>
      </c>
      <c r="F242" s="19" t="s">
        <v>161</v>
      </c>
      <c r="G242" s="19"/>
      <c r="H242" s="4" t="s">
        <v>541</v>
      </c>
      <c r="I242" s="3" t="s">
        <v>2690</v>
      </c>
      <c r="J242" s="3" t="s">
        <v>534</v>
      </c>
      <c r="K242" s="3" t="s">
        <v>2276</v>
      </c>
      <c r="L242" s="3" t="s">
        <v>2276</v>
      </c>
      <c r="M242" s="3" t="s">
        <v>534</v>
      </c>
      <c r="N242" s="3" t="s">
        <v>534</v>
      </c>
      <c r="O242" s="3" t="s">
        <v>2276</v>
      </c>
      <c r="P242" s="3" t="s">
        <v>2276</v>
      </c>
      <c r="Q242" s="3">
        <v>4</v>
      </c>
      <c r="R242" s="3" t="s">
        <v>534</v>
      </c>
      <c r="S242" s="3" t="s">
        <v>534</v>
      </c>
      <c r="T242" s="3" t="s">
        <v>2276</v>
      </c>
      <c r="U242" s="3" t="s">
        <v>2276</v>
      </c>
      <c r="V242" s="3" t="s">
        <v>2276</v>
      </c>
      <c r="W242" s="4" t="s">
        <v>2221</v>
      </c>
    </row>
    <row r="243" spans="1:23" ht="87.5" customHeight="1">
      <c r="A243" s="11" t="s">
        <v>966</v>
      </c>
      <c r="B243" s="11" t="s">
        <v>970</v>
      </c>
      <c r="C243" s="23" t="s">
        <v>24</v>
      </c>
      <c r="D243" s="23" t="s">
        <v>27</v>
      </c>
      <c r="E243" s="23" t="s">
        <v>130</v>
      </c>
      <c r="F243" s="19" t="s">
        <v>161</v>
      </c>
      <c r="G243" s="19"/>
      <c r="H243" s="4" t="s">
        <v>541</v>
      </c>
      <c r="I243" s="3" t="s">
        <v>2690</v>
      </c>
      <c r="J243" s="3" t="s">
        <v>534</v>
      </c>
      <c r="K243" s="3" t="s">
        <v>2276</v>
      </c>
      <c r="L243" s="3" t="s">
        <v>2276</v>
      </c>
      <c r="M243" s="3" t="s">
        <v>534</v>
      </c>
      <c r="N243" s="3" t="s">
        <v>534</v>
      </c>
      <c r="O243" s="3" t="s">
        <v>2276</v>
      </c>
      <c r="P243" s="3" t="s">
        <v>2276</v>
      </c>
      <c r="Q243" s="3">
        <v>4</v>
      </c>
      <c r="R243" s="3" t="s">
        <v>534</v>
      </c>
      <c r="S243" s="3" t="s">
        <v>534</v>
      </c>
      <c r="T243" s="3" t="s">
        <v>2276</v>
      </c>
      <c r="U243" s="3" t="s">
        <v>2276</v>
      </c>
      <c r="V243" s="3" t="s">
        <v>2276</v>
      </c>
      <c r="W243" s="4" t="s">
        <v>2221</v>
      </c>
    </row>
    <row r="244" spans="1:23" ht="83" customHeight="1">
      <c r="A244" s="11" t="s">
        <v>1016</v>
      </c>
      <c r="B244" s="11" t="s">
        <v>1021</v>
      </c>
      <c r="C244" s="23" t="s">
        <v>24</v>
      </c>
      <c r="D244" s="23" t="s">
        <v>27</v>
      </c>
      <c r="E244" s="23" t="s">
        <v>130</v>
      </c>
      <c r="F244" s="19" t="s">
        <v>161</v>
      </c>
      <c r="G244" s="19"/>
      <c r="H244" s="4" t="s">
        <v>541</v>
      </c>
      <c r="I244" s="3" t="s">
        <v>2276</v>
      </c>
      <c r="J244" s="3" t="s">
        <v>2276</v>
      </c>
      <c r="K244" s="3" t="s">
        <v>2276</v>
      </c>
      <c r="L244" s="3" t="s">
        <v>2276</v>
      </c>
      <c r="M244" s="3" t="s">
        <v>2276</v>
      </c>
      <c r="N244" s="3" t="s">
        <v>2276</v>
      </c>
      <c r="O244" s="3" t="s">
        <v>2276</v>
      </c>
      <c r="P244" s="3" t="s">
        <v>2276</v>
      </c>
      <c r="Q244" s="3" t="s">
        <v>2276</v>
      </c>
      <c r="R244" s="3" t="s">
        <v>534</v>
      </c>
      <c r="S244" s="3" t="s">
        <v>534</v>
      </c>
      <c r="T244" s="3" t="s">
        <v>534</v>
      </c>
      <c r="U244" s="3" t="s">
        <v>2276</v>
      </c>
      <c r="V244" s="3" t="s">
        <v>2276</v>
      </c>
      <c r="W244" s="4" t="s">
        <v>2245</v>
      </c>
    </row>
    <row r="245" spans="1:23" ht="83" customHeight="1">
      <c r="A245" s="11" t="s">
        <v>1019</v>
      </c>
      <c r="B245" s="11" t="s">
        <v>1022</v>
      </c>
      <c r="C245" s="23" t="s">
        <v>24</v>
      </c>
      <c r="D245" s="23" t="s">
        <v>27</v>
      </c>
      <c r="E245" s="23" t="s">
        <v>130</v>
      </c>
      <c r="F245" s="19" t="s">
        <v>161</v>
      </c>
      <c r="G245" s="19"/>
      <c r="H245" s="4" t="s">
        <v>541</v>
      </c>
      <c r="I245" s="3" t="s">
        <v>2276</v>
      </c>
      <c r="J245" s="3" t="s">
        <v>2276</v>
      </c>
      <c r="K245" s="3" t="s">
        <v>2276</v>
      </c>
      <c r="L245" s="3" t="s">
        <v>2276</v>
      </c>
      <c r="M245" s="3" t="s">
        <v>2276</v>
      </c>
      <c r="N245" s="3" t="s">
        <v>2276</v>
      </c>
      <c r="O245" s="3" t="s">
        <v>2276</v>
      </c>
      <c r="P245" s="3" t="s">
        <v>2276</v>
      </c>
      <c r="Q245" s="3" t="s">
        <v>2276</v>
      </c>
      <c r="R245" s="3" t="s">
        <v>534</v>
      </c>
      <c r="S245" s="3" t="s">
        <v>534</v>
      </c>
      <c r="T245" s="3" t="s">
        <v>534</v>
      </c>
      <c r="U245" s="3" t="s">
        <v>2276</v>
      </c>
      <c r="V245" t="s">
        <v>2276</v>
      </c>
      <c r="W245" s="4" t="s">
        <v>2245</v>
      </c>
    </row>
    <row r="246" spans="1:23" ht="69" customHeight="1">
      <c r="A246" s="11" t="s">
        <v>1023</v>
      </c>
      <c r="B246" s="11" t="s">
        <v>1028</v>
      </c>
      <c r="C246" s="23" t="s">
        <v>24</v>
      </c>
      <c r="D246" s="23" t="s">
        <v>27</v>
      </c>
      <c r="E246" s="23" t="s">
        <v>130</v>
      </c>
      <c r="F246" s="19" t="s">
        <v>161</v>
      </c>
      <c r="G246" s="19"/>
      <c r="H246" s="4" t="s">
        <v>1031</v>
      </c>
      <c r="I246" s="3" t="s">
        <v>2276</v>
      </c>
      <c r="J246" s="3" t="s">
        <v>2276</v>
      </c>
      <c r="K246" s="3" t="s">
        <v>2276</v>
      </c>
      <c r="L246" s="3" t="s">
        <v>2276</v>
      </c>
      <c r="M246" s="3" t="s">
        <v>534</v>
      </c>
      <c r="N246" s="3" t="s">
        <v>534</v>
      </c>
      <c r="O246" s="3" t="s">
        <v>534</v>
      </c>
      <c r="P246" s="3" t="s">
        <v>534</v>
      </c>
      <c r="Q246" s="3">
        <v>5</v>
      </c>
      <c r="R246" s="3" t="s">
        <v>2276</v>
      </c>
      <c r="S246" s="3" t="s">
        <v>2276</v>
      </c>
      <c r="T246" s="3" t="s">
        <v>2276</v>
      </c>
      <c r="U246" s="3" t="s">
        <v>2276</v>
      </c>
      <c r="V246" s="3" t="s">
        <v>2276</v>
      </c>
      <c r="W246" s="4" t="s">
        <v>1038</v>
      </c>
    </row>
    <row r="247" spans="1:23" ht="68.5" customHeight="1">
      <c r="A247" s="11" t="s">
        <v>1023</v>
      </c>
      <c r="B247" s="11" t="s">
        <v>1032</v>
      </c>
      <c r="C247" s="23" t="s">
        <v>24</v>
      </c>
      <c r="D247" s="23" t="s">
        <v>27</v>
      </c>
      <c r="E247" s="23" t="s">
        <v>130</v>
      </c>
      <c r="F247" s="19" t="s">
        <v>74</v>
      </c>
      <c r="G247" s="19"/>
      <c r="H247" s="4" t="s">
        <v>1031</v>
      </c>
      <c r="I247" s="3" t="s">
        <v>2276</v>
      </c>
      <c r="J247" s="3" t="s">
        <v>2276</v>
      </c>
      <c r="K247" s="3" t="s">
        <v>2276</v>
      </c>
      <c r="L247" s="3" t="s">
        <v>2276</v>
      </c>
      <c r="M247" s="3" t="s">
        <v>534</v>
      </c>
      <c r="N247" s="3" t="s">
        <v>534</v>
      </c>
      <c r="O247" s="3" t="s">
        <v>534</v>
      </c>
      <c r="P247" s="3" t="s">
        <v>534</v>
      </c>
      <c r="Q247" s="3">
        <v>5</v>
      </c>
      <c r="R247" s="3" t="s">
        <v>2276</v>
      </c>
      <c r="S247" s="3" t="s">
        <v>2276</v>
      </c>
      <c r="T247" s="3" t="s">
        <v>2276</v>
      </c>
      <c r="U247" s="3" t="s">
        <v>2276</v>
      </c>
      <c r="V247" s="3" t="s">
        <v>2276</v>
      </c>
      <c r="W247" s="4" t="s">
        <v>1039</v>
      </c>
    </row>
    <row r="248" spans="1:23" ht="68.5" customHeight="1">
      <c r="A248" s="11" t="s">
        <v>1023</v>
      </c>
      <c r="B248" s="11" t="s">
        <v>1034</v>
      </c>
      <c r="C248" s="23" t="s">
        <v>24</v>
      </c>
      <c r="D248" s="23" t="s">
        <v>27</v>
      </c>
      <c r="E248" s="23" t="s">
        <v>130</v>
      </c>
      <c r="F248" s="19" t="s">
        <v>161</v>
      </c>
      <c r="G248" s="19"/>
      <c r="H248" s="4" t="s">
        <v>541</v>
      </c>
      <c r="I248" s="3" t="s">
        <v>2276</v>
      </c>
      <c r="J248" s="3" t="s">
        <v>2276</v>
      </c>
      <c r="K248" s="3" t="s">
        <v>2276</v>
      </c>
      <c r="L248" s="3" t="s">
        <v>2276</v>
      </c>
      <c r="M248" s="3" t="s">
        <v>534</v>
      </c>
      <c r="N248" s="3" t="s">
        <v>534</v>
      </c>
      <c r="O248" s="3" t="s">
        <v>534</v>
      </c>
      <c r="P248" s="3" t="s">
        <v>2276</v>
      </c>
      <c r="Q248" s="3">
        <v>3</v>
      </c>
      <c r="R248" s="3" t="s">
        <v>2276</v>
      </c>
      <c r="S248" s="3" t="s">
        <v>2276</v>
      </c>
      <c r="T248" s="3" t="s">
        <v>2276</v>
      </c>
      <c r="U248" s="3" t="s">
        <v>2276</v>
      </c>
      <c r="V248" s="3" t="s">
        <v>2276</v>
      </c>
      <c r="W248" s="4" t="s">
        <v>1040</v>
      </c>
    </row>
    <row r="249" spans="1:23" ht="68.5" customHeight="1">
      <c r="A249" s="11" t="s">
        <v>1023</v>
      </c>
      <c r="B249" s="11" t="s">
        <v>1035</v>
      </c>
      <c r="C249" s="23" t="s">
        <v>24</v>
      </c>
      <c r="D249" s="23" t="s">
        <v>27</v>
      </c>
      <c r="E249" s="23" t="s">
        <v>130</v>
      </c>
      <c r="F249" s="19" t="s">
        <v>74</v>
      </c>
      <c r="G249" s="19"/>
      <c r="H249" s="4" t="s">
        <v>541</v>
      </c>
      <c r="I249" s="3" t="s">
        <v>2276</v>
      </c>
      <c r="J249" s="3" t="s">
        <v>2276</v>
      </c>
      <c r="K249" s="3" t="s">
        <v>2276</v>
      </c>
      <c r="L249" s="3" t="s">
        <v>2276</v>
      </c>
      <c r="M249" s="3" t="s">
        <v>534</v>
      </c>
      <c r="N249" s="3" t="s">
        <v>534</v>
      </c>
      <c r="O249" s="3" t="s">
        <v>534</v>
      </c>
      <c r="P249" s="3" t="s">
        <v>2276</v>
      </c>
      <c r="Q249" s="3">
        <v>3</v>
      </c>
      <c r="R249" s="3" t="s">
        <v>2276</v>
      </c>
      <c r="S249" s="3" t="s">
        <v>2276</v>
      </c>
      <c r="T249" s="3" t="s">
        <v>2276</v>
      </c>
      <c r="U249" s="3" t="s">
        <v>2276</v>
      </c>
      <c r="V249" s="3" t="s">
        <v>2276</v>
      </c>
      <c r="W249" s="4" t="s">
        <v>1040</v>
      </c>
    </row>
    <row r="250" spans="1:23" ht="61" customHeight="1">
      <c r="A250" s="11" t="s">
        <v>1024</v>
      </c>
      <c r="B250" s="11" t="s">
        <v>1029</v>
      </c>
      <c r="C250" s="23" t="s">
        <v>24</v>
      </c>
      <c r="D250" s="23" t="s">
        <v>27</v>
      </c>
      <c r="E250" s="23" t="s">
        <v>130</v>
      </c>
      <c r="F250" s="19" t="s">
        <v>161</v>
      </c>
      <c r="G250" s="19"/>
      <c r="H250" s="4" t="s">
        <v>1031</v>
      </c>
      <c r="I250" s="3" t="s">
        <v>2276</v>
      </c>
      <c r="J250" s="3" t="s">
        <v>2276</v>
      </c>
      <c r="K250" s="3" t="s">
        <v>2276</v>
      </c>
      <c r="L250" s="3" t="s">
        <v>2276</v>
      </c>
      <c r="M250" s="3" t="s">
        <v>534</v>
      </c>
      <c r="N250" s="3" t="s">
        <v>534</v>
      </c>
      <c r="O250" s="3" t="s">
        <v>534</v>
      </c>
      <c r="P250" s="3" t="s">
        <v>2276</v>
      </c>
      <c r="Q250" s="3">
        <v>5</v>
      </c>
      <c r="R250" s="3" t="s">
        <v>2276</v>
      </c>
      <c r="S250" s="3" t="s">
        <v>2276</v>
      </c>
      <c r="T250" s="3" t="s">
        <v>2276</v>
      </c>
      <c r="U250" s="3" t="s">
        <v>2276</v>
      </c>
      <c r="V250" s="3" t="s">
        <v>2276</v>
      </c>
      <c r="W250" s="4" t="s">
        <v>1038</v>
      </c>
    </row>
    <row r="251" spans="1:23" ht="62" customHeight="1">
      <c r="A251" s="11" t="s">
        <v>1024</v>
      </c>
      <c r="B251" s="11" t="s">
        <v>1033</v>
      </c>
      <c r="C251" s="23" t="s">
        <v>24</v>
      </c>
      <c r="D251" s="23" t="s">
        <v>27</v>
      </c>
      <c r="E251" s="23" t="s">
        <v>130</v>
      </c>
      <c r="F251" s="19" t="s">
        <v>74</v>
      </c>
      <c r="G251" s="19"/>
      <c r="H251" s="4" t="s">
        <v>1031</v>
      </c>
      <c r="I251" s="3" t="s">
        <v>2276</v>
      </c>
      <c r="J251" s="3" t="s">
        <v>2276</v>
      </c>
      <c r="K251" s="3" t="s">
        <v>2276</v>
      </c>
      <c r="L251" s="3" t="s">
        <v>2276</v>
      </c>
      <c r="M251" s="3" t="s">
        <v>534</v>
      </c>
      <c r="N251" s="3" t="s">
        <v>534</v>
      </c>
      <c r="O251" s="3" t="s">
        <v>534</v>
      </c>
      <c r="P251" s="3" t="s">
        <v>2276</v>
      </c>
      <c r="Q251" s="3">
        <v>5</v>
      </c>
      <c r="R251" s="3" t="s">
        <v>2276</v>
      </c>
      <c r="S251" s="3" t="s">
        <v>2276</v>
      </c>
      <c r="T251" s="3" t="s">
        <v>2276</v>
      </c>
      <c r="U251" s="3" t="s">
        <v>2276</v>
      </c>
      <c r="V251" s="3" t="s">
        <v>2276</v>
      </c>
      <c r="W251" s="4" t="s">
        <v>1039</v>
      </c>
    </row>
    <row r="252" spans="1:23" ht="74.5" customHeight="1">
      <c r="A252" s="11" t="s">
        <v>1024</v>
      </c>
      <c r="B252" s="11" t="s">
        <v>1036</v>
      </c>
      <c r="C252" s="23" t="s">
        <v>24</v>
      </c>
      <c r="D252" s="23" t="s">
        <v>27</v>
      </c>
      <c r="E252" s="23" t="s">
        <v>130</v>
      </c>
      <c r="F252" s="19" t="s">
        <v>161</v>
      </c>
      <c r="G252" s="19"/>
      <c r="H252" s="4" t="s">
        <v>541</v>
      </c>
      <c r="I252" s="3" t="s">
        <v>2276</v>
      </c>
      <c r="J252" s="3" t="s">
        <v>2276</v>
      </c>
      <c r="K252" s="3" t="s">
        <v>2276</v>
      </c>
      <c r="L252" s="3" t="s">
        <v>2276</v>
      </c>
      <c r="M252" s="3" t="s">
        <v>534</v>
      </c>
      <c r="N252" s="3" t="s">
        <v>534</v>
      </c>
      <c r="O252" s="3" t="s">
        <v>534</v>
      </c>
      <c r="P252" s="3" t="s">
        <v>2276</v>
      </c>
      <c r="Q252" s="3">
        <v>3</v>
      </c>
      <c r="R252" s="3" t="s">
        <v>2276</v>
      </c>
      <c r="S252" s="3" t="s">
        <v>2276</v>
      </c>
      <c r="T252" s="3" t="s">
        <v>2276</v>
      </c>
      <c r="U252" s="3" t="s">
        <v>2276</v>
      </c>
      <c r="V252" s="3" t="s">
        <v>2276</v>
      </c>
      <c r="W252" s="4" t="s">
        <v>1040</v>
      </c>
    </row>
    <row r="253" spans="1:23" ht="67" customHeight="1">
      <c r="A253" s="11" t="s">
        <v>1024</v>
      </c>
      <c r="B253" s="11" t="s">
        <v>1037</v>
      </c>
      <c r="C253" s="23" t="s">
        <v>24</v>
      </c>
      <c r="D253" s="23" t="s">
        <v>27</v>
      </c>
      <c r="E253" s="23" t="s">
        <v>130</v>
      </c>
      <c r="F253" s="19" t="s">
        <v>74</v>
      </c>
      <c r="G253" s="19"/>
      <c r="H253" s="4" t="s">
        <v>541</v>
      </c>
      <c r="I253" s="3" t="s">
        <v>2276</v>
      </c>
      <c r="J253" s="3" t="s">
        <v>2276</v>
      </c>
      <c r="K253" s="3" t="s">
        <v>2276</v>
      </c>
      <c r="L253" s="3" t="s">
        <v>2276</v>
      </c>
      <c r="M253" s="3" t="s">
        <v>534</v>
      </c>
      <c r="N253" s="3" t="s">
        <v>534</v>
      </c>
      <c r="O253" s="3" t="s">
        <v>534</v>
      </c>
      <c r="P253" s="3" t="s">
        <v>2276</v>
      </c>
      <c r="Q253" s="3">
        <v>3</v>
      </c>
      <c r="R253" s="3" t="s">
        <v>2276</v>
      </c>
      <c r="S253" s="3" t="s">
        <v>2276</v>
      </c>
      <c r="T253" s="3" t="s">
        <v>2276</v>
      </c>
      <c r="U253" s="3" t="s">
        <v>2276</v>
      </c>
      <c r="V253" s="3" t="s">
        <v>2276</v>
      </c>
      <c r="W253" s="4" t="s">
        <v>1040</v>
      </c>
    </row>
    <row r="254" spans="1:23" ht="73" customHeight="1">
      <c r="A254" s="3" t="s">
        <v>1041</v>
      </c>
      <c r="B254" s="3" t="s">
        <v>1058</v>
      </c>
      <c r="C254" s="23" t="s">
        <v>24</v>
      </c>
      <c r="D254" s="23" t="s">
        <v>27</v>
      </c>
      <c r="E254" s="23" t="s">
        <v>130</v>
      </c>
      <c r="F254" s="19" t="s">
        <v>161</v>
      </c>
      <c r="G254" s="19"/>
      <c r="H254" s="4" t="s">
        <v>541</v>
      </c>
      <c r="I254" s="3" t="s">
        <v>2690</v>
      </c>
      <c r="J254" s="3" t="s">
        <v>2276</v>
      </c>
      <c r="K254" s="3" t="s">
        <v>534</v>
      </c>
      <c r="L254" s="3" t="s">
        <v>2276</v>
      </c>
      <c r="M254" s="3" t="s">
        <v>2276</v>
      </c>
      <c r="N254" s="3" t="s">
        <v>2276</v>
      </c>
      <c r="O254" s="3" t="s">
        <v>2276</v>
      </c>
      <c r="P254" s="3" t="s">
        <v>2276</v>
      </c>
      <c r="Q254" s="3" t="s">
        <v>2276</v>
      </c>
      <c r="R254" s="3" t="s">
        <v>2276</v>
      </c>
      <c r="S254" s="3" t="s">
        <v>2276</v>
      </c>
      <c r="T254" s="3" t="s">
        <v>2276</v>
      </c>
      <c r="U254" s="3" t="s">
        <v>2276</v>
      </c>
      <c r="V254" s="3" t="s">
        <v>2276</v>
      </c>
      <c r="W254" s="4" t="s">
        <v>1066</v>
      </c>
    </row>
    <row r="255" spans="1:23" ht="95.5" customHeight="1">
      <c r="A255" s="3" t="s">
        <v>1044</v>
      </c>
      <c r="B255" s="3" t="s">
        <v>1059</v>
      </c>
      <c r="C255" s="23" t="s">
        <v>24</v>
      </c>
      <c r="D255" s="23" t="s">
        <v>27</v>
      </c>
      <c r="E255" s="23" t="s">
        <v>130</v>
      </c>
      <c r="F255" s="19" t="s">
        <v>161</v>
      </c>
      <c r="G255" s="19">
        <v>2005</v>
      </c>
      <c r="H255" s="4" t="s">
        <v>541</v>
      </c>
      <c r="I255" s="3" t="s">
        <v>2690</v>
      </c>
      <c r="J255" s="3" t="s">
        <v>534</v>
      </c>
      <c r="K255" s="3" t="s">
        <v>2276</v>
      </c>
      <c r="L255" s="3" t="s">
        <v>2276</v>
      </c>
      <c r="M255" s="3" t="s">
        <v>2276</v>
      </c>
      <c r="N255" s="3" t="s">
        <v>2276</v>
      </c>
      <c r="O255" s="3" t="s">
        <v>2276</v>
      </c>
      <c r="P255" s="3" t="s">
        <v>2276</v>
      </c>
      <c r="Q255" s="3" t="s">
        <v>2276</v>
      </c>
      <c r="R255" s="3" t="s">
        <v>534</v>
      </c>
      <c r="S255" s="3" t="s">
        <v>534</v>
      </c>
      <c r="T255" s="3" t="s">
        <v>534</v>
      </c>
      <c r="U255" s="3" t="s">
        <v>534</v>
      </c>
      <c r="V255" s="3">
        <v>5</v>
      </c>
      <c r="W255" s="4" t="s">
        <v>1067</v>
      </c>
    </row>
    <row r="256" spans="1:23" ht="95.5" customHeight="1">
      <c r="A256" s="3" t="s">
        <v>1044</v>
      </c>
      <c r="B256" s="3" t="s">
        <v>2247</v>
      </c>
      <c r="C256" s="23" t="s">
        <v>24</v>
      </c>
      <c r="D256" s="23" t="s">
        <v>27</v>
      </c>
      <c r="E256" s="23" t="s">
        <v>130</v>
      </c>
      <c r="F256" s="19" t="s">
        <v>161</v>
      </c>
      <c r="G256" s="19">
        <v>1990</v>
      </c>
      <c r="H256" s="4" t="s">
        <v>541</v>
      </c>
      <c r="I256" s="3" t="s">
        <v>2276</v>
      </c>
      <c r="J256" s="3" t="s">
        <v>2276</v>
      </c>
      <c r="K256" s="3" t="s">
        <v>2276</v>
      </c>
      <c r="L256" s="3" t="s">
        <v>2276</v>
      </c>
      <c r="M256" s="3" t="s">
        <v>534</v>
      </c>
      <c r="N256" s="3" t="s">
        <v>534</v>
      </c>
      <c r="O256" s="3" t="s">
        <v>534</v>
      </c>
      <c r="P256" s="3" t="s">
        <v>2276</v>
      </c>
      <c r="Q256" s="3" t="s">
        <v>2276</v>
      </c>
      <c r="R256" s="3" t="s">
        <v>2276</v>
      </c>
      <c r="S256" s="3" t="s">
        <v>2276</v>
      </c>
      <c r="T256" s="3" t="s">
        <v>2276</v>
      </c>
      <c r="U256" s="3" t="s">
        <v>2276</v>
      </c>
      <c r="V256" s="3" t="s">
        <v>2276</v>
      </c>
      <c r="W256" s="4" t="s">
        <v>2248</v>
      </c>
    </row>
    <row r="257" spans="1:23" ht="95.5" customHeight="1">
      <c r="A257" s="3" t="s">
        <v>1044</v>
      </c>
      <c r="B257" s="3" t="s">
        <v>2249</v>
      </c>
      <c r="C257" s="23" t="s">
        <v>24</v>
      </c>
      <c r="D257" s="23" t="s">
        <v>27</v>
      </c>
      <c r="E257" s="23" t="s">
        <v>130</v>
      </c>
      <c r="F257" s="19" t="s">
        <v>161</v>
      </c>
      <c r="G257" s="19">
        <v>1991</v>
      </c>
      <c r="H257" s="4" t="s">
        <v>541</v>
      </c>
      <c r="I257" s="3" t="s">
        <v>2276</v>
      </c>
      <c r="J257" s="3" t="s">
        <v>2276</v>
      </c>
      <c r="K257" s="3" t="s">
        <v>2276</v>
      </c>
      <c r="L257" s="3" t="s">
        <v>2276</v>
      </c>
      <c r="M257" s="3" t="s">
        <v>534</v>
      </c>
      <c r="N257" s="3" t="s">
        <v>534</v>
      </c>
      <c r="O257" s="3" t="s">
        <v>534</v>
      </c>
      <c r="P257" s="3" t="s">
        <v>2276</v>
      </c>
      <c r="Q257" s="3" t="s">
        <v>2276</v>
      </c>
      <c r="R257" s="3" t="s">
        <v>2276</v>
      </c>
      <c r="S257" s="3" t="s">
        <v>2276</v>
      </c>
      <c r="T257" s="3" t="s">
        <v>2276</v>
      </c>
      <c r="U257" s="3" t="s">
        <v>2276</v>
      </c>
      <c r="V257" s="3" t="s">
        <v>2276</v>
      </c>
      <c r="W257" s="4" t="s">
        <v>2248</v>
      </c>
    </row>
    <row r="258" spans="1:23" ht="95.5" customHeight="1">
      <c r="A258" s="3" t="s">
        <v>1044</v>
      </c>
      <c r="B258" s="3" t="s">
        <v>2250</v>
      </c>
      <c r="C258" s="23" t="s">
        <v>24</v>
      </c>
      <c r="D258" s="23" t="s">
        <v>27</v>
      </c>
      <c r="E258" s="23" t="s">
        <v>130</v>
      </c>
      <c r="F258" s="19" t="s">
        <v>161</v>
      </c>
      <c r="G258" s="19">
        <v>1992</v>
      </c>
      <c r="H258" s="4" t="s">
        <v>541</v>
      </c>
      <c r="I258" s="3" t="s">
        <v>2276</v>
      </c>
      <c r="J258" s="3" t="s">
        <v>2276</v>
      </c>
      <c r="K258" s="3" t="s">
        <v>2276</v>
      </c>
      <c r="L258" s="3" t="s">
        <v>2276</v>
      </c>
      <c r="M258" s="3" t="s">
        <v>534</v>
      </c>
      <c r="N258" s="3" t="s">
        <v>534</v>
      </c>
      <c r="O258" s="3" t="s">
        <v>534</v>
      </c>
      <c r="P258" s="3" t="s">
        <v>2276</v>
      </c>
      <c r="Q258" s="3" t="s">
        <v>2276</v>
      </c>
      <c r="R258" s="3" t="s">
        <v>2276</v>
      </c>
      <c r="S258" s="3" t="s">
        <v>2276</v>
      </c>
      <c r="T258" s="3" t="s">
        <v>2276</v>
      </c>
      <c r="U258" s="3" t="s">
        <v>2276</v>
      </c>
      <c r="V258" s="3" t="s">
        <v>2276</v>
      </c>
      <c r="W258" s="4" t="s">
        <v>2248</v>
      </c>
    </row>
    <row r="259" spans="1:23" ht="95.5" customHeight="1">
      <c r="A259" s="3" t="s">
        <v>1044</v>
      </c>
      <c r="B259" s="3" t="s">
        <v>2251</v>
      </c>
      <c r="C259" s="23" t="s">
        <v>24</v>
      </c>
      <c r="D259" s="23" t="s">
        <v>27</v>
      </c>
      <c r="E259" s="23" t="s">
        <v>130</v>
      </c>
      <c r="F259" s="19" t="s">
        <v>161</v>
      </c>
      <c r="G259" s="19">
        <v>1993</v>
      </c>
      <c r="H259" s="4" t="s">
        <v>541</v>
      </c>
      <c r="I259" s="3" t="s">
        <v>2276</v>
      </c>
      <c r="J259" s="3" t="s">
        <v>2276</v>
      </c>
      <c r="K259" s="3" t="s">
        <v>2276</v>
      </c>
      <c r="L259" s="3" t="s">
        <v>2276</v>
      </c>
      <c r="M259" s="3" t="s">
        <v>534</v>
      </c>
      <c r="N259" s="3" t="s">
        <v>534</v>
      </c>
      <c r="O259" s="3" t="s">
        <v>534</v>
      </c>
      <c r="P259" s="3" t="s">
        <v>2276</v>
      </c>
      <c r="Q259" s="3" t="s">
        <v>2276</v>
      </c>
      <c r="R259" s="3" t="s">
        <v>2276</v>
      </c>
      <c r="S259" s="3" t="s">
        <v>2276</v>
      </c>
      <c r="T259" s="3" t="s">
        <v>2276</v>
      </c>
      <c r="U259" s="3" t="s">
        <v>2276</v>
      </c>
      <c r="V259" s="3" t="s">
        <v>2276</v>
      </c>
      <c r="W259" s="4" t="s">
        <v>2248</v>
      </c>
    </row>
    <row r="260" spans="1:23" ht="95.5" customHeight="1">
      <c r="A260" s="3" t="s">
        <v>1044</v>
      </c>
      <c r="B260" s="3" t="s">
        <v>2252</v>
      </c>
      <c r="C260" s="23" t="s">
        <v>24</v>
      </c>
      <c r="D260" s="23" t="s">
        <v>27</v>
      </c>
      <c r="E260" s="23" t="s">
        <v>130</v>
      </c>
      <c r="F260" s="19" t="s">
        <v>161</v>
      </c>
      <c r="G260" s="19">
        <v>1994</v>
      </c>
      <c r="H260" s="4" t="s">
        <v>541</v>
      </c>
      <c r="I260" s="3" t="s">
        <v>2276</v>
      </c>
      <c r="J260" s="3" t="s">
        <v>2276</v>
      </c>
      <c r="K260" s="3" t="s">
        <v>2276</v>
      </c>
      <c r="L260" s="3" t="s">
        <v>2276</v>
      </c>
      <c r="M260" s="3" t="s">
        <v>534</v>
      </c>
      <c r="N260" s="3" t="s">
        <v>534</v>
      </c>
      <c r="O260" s="3" t="s">
        <v>534</v>
      </c>
      <c r="P260" s="3" t="s">
        <v>2276</v>
      </c>
      <c r="Q260" s="3" t="s">
        <v>2276</v>
      </c>
      <c r="R260" s="3" t="s">
        <v>2276</v>
      </c>
      <c r="S260" s="3" t="s">
        <v>2276</v>
      </c>
      <c r="T260" s="3" t="s">
        <v>2276</v>
      </c>
      <c r="U260" s="3" t="s">
        <v>2276</v>
      </c>
      <c r="V260" s="3" t="s">
        <v>2276</v>
      </c>
      <c r="W260" s="4" t="s">
        <v>2248</v>
      </c>
    </row>
    <row r="261" spans="1:23" ht="95.5" customHeight="1">
      <c r="A261" s="3" t="s">
        <v>1044</v>
      </c>
      <c r="B261" s="3" t="s">
        <v>2253</v>
      </c>
      <c r="C261" s="23" t="s">
        <v>24</v>
      </c>
      <c r="D261" s="23" t="s">
        <v>27</v>
      </c>
      <c r="E261" s="23" t="s">
        <v>130</v>
      </c>
      <c r="F261" s="19" t="s">
        <v>161</v>
      </c>
      <c r="G261" s="19">
        <v>1995</v>
      </c>
      <c r="H261" s="4" t="s">
        <v>541</v>
      </c>
      <c r="I261" s="3" t="s">
        <v>2276</v>
      </c>
      <c r="J261" s="3" t="s">
        <v>2276</v>
      </c>
      <c r="K261" s="3" t="s">
        <v>2276</v>
      </c>
      <c r="L261" s="3" t="s">
        <v>2276</v>
      </c>
      <c r="M261" s="3" t="s">
        <v>534</v>
      </c>
      <c r="N261" s="3" t="s">
        <v>534</v>
      </c>
      <c r="O261" s="3" t="s">
        <v>534</v>
      </c>
      <c r="P261" s="3" t="s">
        <v>2276</v>
      </c>
      <c r="Q261" s="3" t="s">
        <v>2276</v>
      </c>
      <c r="R261" s="3" t="s">
        <v>2276</v>
      </c>
      <c r="S261" s="3" t="s">
        <v>2276</v>
      </c>
      <c r="T261" s="3" t="s">
        <v>2276</v>
      </c>
      <c r="U261" s="3" t="s">
        <v>2276</v>
      </c>
      <c r="V261" s="3" t="s">
        <v>2276</v>
      </c>
      <c r="W261" s="4" t="s">
        <v>2248</v>
      </c>
    </row>
    <row r="262" spans="1:23" ht="95.5" customHeight="1">
      <c r="A262" s="3" t="s">
        <v>1044</v>
      </c>
      <c r="B262" s="3" t="s">
        <v>2254</v>
      </c>
      <c r="C262" s="23" t="s">
        <v>24</v>
      </c>
      <c r="D262" s="23" t="s">
        <v>27</v>
      </c>
      <c r="E262" s="23" t="s">
        <v>130</v>
      </c>
      <c r="F262" s="19" t="s">
        <v>161</v>
      </c>
      <c r="G262" s="19">
        <v>1996</v>
      </c>
      <c r="H262" s="4" t="s">
        <v>541</v>
      </c>
      <c r="I262" s="3" t="s">
        <v>2276</v>
      </c>
      <c r="J262" s="3" t="s">
        <v>2276</v>
      </c>
      <c r="K262" s="3" t="s">
        <v>2276</v>
      </c>
      <c r="L262" s="3" t="s">
        <v>2276</v>
      </c>
      <c r="M262" s="3" t="s">
        <v>534</v>
      </c>
      <c r="N262" s="3" t="s">
        <v>534</v>
      </c>
      <c r="O262" s="3" t="s">
        <v>534</v>
      </c>
      <c r="P262" s="3" t="s">
        <v>2276</v>
      </c>
      <c r="Q262" s="3" t="s">
        <v>2276</v>
      </c>
      <c r="R262" s="3" t="s">
        <v>2276</v>
      </c>
      <c r="S262" s="3" t="s">
        <v>2276</v>
      </c>
      <c r="T262" s="3" t="s">
        <v>2276</v>
      </c>
      <c r="U262" s="3" t="s">
        <v>2276</v>
      </c>
      <c r="V262" s="3" t="s">
        <v>2276</v>
      </c>
      <c r="W262" s="4" t="s">
        <v>2248</v>
      </c>
    </row>
    <row r="263" spans="1:23" ht="95.5" customHeight="1">
      <c r="A263" s="3" t="s">
        <v>1044</v>
      </c>
      <c r="B263" s="3" t="s">
        <v>2255</v>
      </c>
      <c r="C263" s="23" t="s">
        <v>24</v>
      </c>
      <c r="D263" s="23" t="s">
        <v>27</v>
      </c>
      <c r="E263" s="23" t="s">
        <v>130</v>
      </c>
      <c r="F263" s="19" t="s">
        <v>161</v>
      </c>
      <c r="G263" s="19">
        <v>1997</v>
      </c>
      <c r="H263" s="4" t="s">
        <v>541</v>
      </c>
      <c r="I263" s="3" t="s">
        <v>2276</v>
      </c>
      <c r="J263" s="3" t="s">
        <v>2276</v>
      </c>
      <c r="K263" s="3" t="s">
        <v>2276</v>
      </c>
      <c r="L263" s="3" t="s">
        <v>2276</v>
      </c>
      <c r="M263" s="3" t="s">
        <v>534</v>
      </c>
      <c r="N263" s="3" t="s">
        <v>534</v>
      </c>
      <c r="O263" s="3" t="s">
        <v>534</v>
      </c>
      <c r="P263" s="3" t="s">
        <v>2276</v>
      </c>
      <c r="Q263" s="3" t="s">
        <v>2276</v>
      </c>
      <c r="R263" s="3" t="s">
        <v>2276</v>
      </c>
      <c r="S263" s="3" t="s">
        <v>2276</v>
      </c>
      <c r="T263" s="3" t="s">
        <v>2276</v>
      </c>
      <c r="U263" s="3" t="s">
        <v>2276</v>
      </c>
      <c r="V263" s="3" t="s">
        <v>2276</v>
      </c>
      <c r="W263" s="4" t="s">
        <v>2248</v>
      </c>
    </row>
    <row r="264" spans="1:23" ht="95.5" customHeight="1">
      <c r="A264" s="3" t="s">
        <v>1044</v>
      </c>
      <c r="B264" s="3" t="s">
        <v>2256</v>
      </c>
      <c r="C264" s="23" t="s">
        <v>24</v>
      </c>
      <c r="D264" s="23" t="s">
        <v>27</v>
      </c>
      <c r="E264" s="23" t="s">
        <v>130</v>
      </c>
      <c r="F264" s="19" t="s">
        <v>161</v>
      </c>
      <c r="G264" s="19">
        <v>1998</v>
      </c>
      <c r="H264" s="4" t="s">
        <v>541</v>
      </c>
      <c r="I264" s="3" t="s">
        <v>2276</v>
      </c>
      <c r="J264" s="3" t="s">
        <v>2276</v>
      </c>
      <c r="K264" s="3" t="s">
        <v>2276</v>
      </c>
      <c r="L264" s="3" t="s">
        <v>2276</v>
      </c>
      <c r="M264" s="3" t="s">
        <v>534</v>
      </c>
      <c r="N264" s="3" t="s">
        <v>534</v>
      </c>
      <c r="O264" s="3" t="s">
        <v>534</v>
      </c>
      <c r="P264" s="3" t="s">
        <v>2276</v>
      </c>
      <c r="Q264" s="3" t="s">
        <v>2276</v>
      </c>
      <c r="R264" s="3" t="s">
        <v>2276</v>
      </c>
      <c r="S264" s="3" t="s">
        <v>2276</v>
      </c>
      <c r="T264" s="3" t="s">
        <v>2276</v>
      </c>
      <c r="U264" s="3" t="s">
        <v>2276</v>
      </c>
      <c r="V264" s="3" t="s">
        <v>2276</v>
      </c>
      <c r="W264" s="4" t="s">
        <v>2248</v>
      </c>
    </row>
    <row r="265" spans="1:23" ht="95.5" customHeight="1">
      <c r="A265" s="3" t="s">
        <v>1044</v>
      </c>
      <c r="B265" s="3" t="s">
        <v>2257</v>
      </c>
      <c r="C265" s="23" t="s">
        <v>24</v>
      </c>
      <c r="D265" s="23" t="s">
        <v>27</v>
      </c>
      <c r="E265" s="23" t="s">
        <v>130</v>
      </c>
      <c r="F265" s="19" t="s">
        <v>161</v>
      </c>
      <c r="G265" s="19">
        <v>1999</v>
      </c>
      <c r="H265" s="4" t="s">
        <v>541</v>
      </c>
      <c r="I265" s="3" t="s">
        <v>2276</v>
      </c>
      <c r="J265" s="3" t="s">
        <v>2276</v>
      </c>
      <c r="K265" s="3" t="s">
        <v>2276</v>
      </c>
      <c r="L265" s="3" t="s">
        <v>2276</v>
      </c>
      <c r="M265" s="3" t="s">
        <v>534</v>
      </c>
      <c r="N265" s="3" t="s">
        <v>534</v>
      </c>
      <c r="O265" s="3" t="s">
        <v>534</v>
      </c>
      <c r="P265" s="3" t="s">
        <v>2276</v>
      </c>
      <c r="Q265" s="3" t="s">
        <v>2276</v>
      </c>
      <c r="R265" s="3" t="s">
        <v>2276</v>
      </c>
      <c r="S265" s="3" t="s">
        <v>2276</v>
      </c>
      <c r="T265" s="3" t="s">
        <v>2276</v>
      </c>
      <c r="U265" s="3" t="s">
        <v>2276</v>
      </c>
      <c r="V265" s="3" t="s">
        <v>2276</v>
      </c>
      <c r="W265" s="4" t="s">
        <v>2248</v>
      </c>
    </row>
    <row r="266" spans="1:23" ht="152.5" customHeight="1">
      <c r="A266" s="3" t="s">
        <v>1045</v>
      </c>
      <c r="B266" s="3" t="s">
        <v>1060</v>
      </c>
      <c r="C266" s="23" t="s">
        <v>24</v>
      </c>
      <c r="D266" s="23" t="s">
        <v>27</v>
      </c>
      <c r="E266" s="23" t="s">
        <v>130</v>
      </c>
      <c r="F266" s="19" t="s">
        <v>161</v>
      </c>
      <c r="G266" s="19"/>
      <c r="H266" s="4" t="s">
        <v>541</v>
      </c>
      <c r="I266" s="3" t="s">
        <v>2276</v>
      </c>
      <c r="J266" s="3" t="s">
        <v>2276</v>
      </c>
      <c r="K266" s="3" t="s">
        <v>2276</v>
      </c>
      <c r="L266" s="3" t="s">
        <v>2276</v>
      </c>
      <c r="M266" s="3" t="s">
        <v>2276</v>
      </c>
      <c r="N266" s="3" t="s">
        <v>2276</v>
      </c>
      <c r="O266" s="3" t="s">
        <v>2276</v>
      </c>
      <c r="P266" s="3" t="s">
        <v>2276</v>
      </c>
      <c r="Q266" s="3" t="s">
        <v>2276</v>
      </c>
      <c r="R266" s="3" t="s">
        <v>534</v>
      </c>
      <c r="S266" s="3" t="s">
        <v>534</v>
      </c>
      <c r="T266" s="3" t="s">
        <v>534</v>
      </c>
      <c r="U266" s="3" t="s">
        <v>2276</v>
      </c>
      <c r="V266" s="3">
        <v>1</v>
      </c>
      <c r="W266" s="4" t="s">
        <v>1068</v>
      </c>
    </row>
    <row r="267" spans="1:23" ht="112.5" customHeight="1">
      <c r="A267" s="3" t="s">
        <v>1046</v>
      </c>
      <c r="B267" s="3" t="s">
        <v>1061</v>
      </c>
      <c r="C267" s="23" t="s">
        <v>24</v>
      </c>
      <c r="D267" s="23" t="s">
        <v>27</v>
      </c>
      <c r="E267" s="23" t="s">
        <v>130</v>
      </c>
      <c r="F267" s="19" t="s">
        <v>161</v>
      </c>
      <c r="G267" s="19"/>
      <c r="H267" s="4" t="s">
        <v>1069</v>
      </c>
      <c r="I267" s="3" t="s">
        <v>534</v>
      </c>
      <c r="J267" s="3" t="s">
        <v>534</v>
      </c>
      <c r="K267" s="3" t="s">
        <v>2276</v>
      </c>
      <c r="L267" s="3" t="s">
        <v>2276</v>
      </c>
      <c r="M267" s="3" t="s">
        <v>2276</v>
      </c>
      <c r="N267" s="3" t="s">
        <v>2276</v>
      </c>
      <c r="O267" s="3" t="s">
        <v>2276</v>
      </c>
      <c r="P267" s="3" t="s">
        <v>2276</v>
      </c>
      <c r="Q267" s="3" t="s">
        <v>2276</v>
      </c>
      <c r="R267" s="3" t="s">
        <v>2276</v>
      </c>
      <c r="S267" s="3" t="s">
        <v>2276</v>
      </c>
      <c r="T267" s="3" t="s">
        <v>2276</v>
      </c>
      <c r="U267" s="3" t="s">
        <v>2276</v>
      </c>
      <c r="V267" s="3" t="s">
        <v>2276</v>
      </c>
      <c r="W267" s="4" t="s">
        <v>1070</v>
      </c>
    </row>
    <row r="268" spans="1:23" ht="126" customHeight="1">
      <c r="A268" s="3" t="s">
        <v>1047</v>
      </c>
      <c r="B268" s="3" t="s">
        <v>1062</v>
      </c>
      <c r="C268" s="23" t="s">
        <v>24</v>
      </c>
      <c r="D268" s="23" t="s">
        <v>27</v>
      </c>
      <c r="E268" s="23" t="s">
        <v>130</v>
      </c>
      <c r="F268" s="19" t="s">
        <v>161</v>
      </c>
      <c r="G268" s="19">
        <v>1990</v>
      </c>
      <c r="H268" s="4" t="s">
        <v>1069</v>
      </c>
      <c r="I268" s="3" t="s">
        <v>534</v>
      </c>
      <c r="J268" s="3" t="s">
        <v>534</v>
      </c>
      <c r="K268" s="3" t="s">
        <v>2276</v>
      </c>
      <c r="L268" s="3" t="s">
        <v>2276</v>
      </c>
      <c r="M268" s="3" t="s">
        <v>2276</v>
      </c>
      <c r="N268" s="3" t="s">
        <v>2276</v>
      </c>
      <c r="O268" s="3" t="s">
        <v>2276</v>
      </c>
      <c r="P268" s="3" t="s">
        <v>2276</v>
      </c>
      <c r="Q268" s="3" t="s">
        <v>2276</v>
      </c>
      <c r="R268" s="3" t="s">
        <v>2276</v>
      </c>
      <c r="S268" s="3" t="s">
        <v>2276</v>
      </c>
      <c r="T268" s="3" t="s">
        <v>2276</v>
      </c>
      <c r="U268" s="3" t="s">
        <v>2276</v>
      </c>
      <c r="V268" s="3" t="s">
        <v>2276</v>
      </c>
      <c r="W268" s="4" t="s">
        <v>2259</v>
      </c>
    </row>
    <row r="269" spans="1:23" ht="126" customHeight="1">
      <c r="A269" s="3" t="s">
        <v>1047</v>
      </c>
      <c r="B269" s="3" t="s">
        <v>1064</v>
      </c>
      <c r="C269" s="23" t="s">
        <v>24</v>
      </c>
      <c r="D269" s="23" t="s">
        <v>27</v>
      </c>
      <c r="E269" s="23" t="s">
        <v>130</v>
      </c>
      <c r="F269" s="19" t="s">
        <v>161</v>
      </c>
      <c r="G269" s="19">
        <v>2004</v>
      </c>
      <c r="H269" s="4" t="s">
        <v>1069</v>
      </c>
      <c r="I269" s="3" t="s">
        <v>537</v>
      </c>
      <c r="J269" s="3" t="s">
        <v>537</v>
      </c>
      <c r="K269" s="3" t="s">
        <v>2276</v>
      </c>
      <c r="L269" s="3" t="s">
        <v>2276</v>
      </c>
      <c r="M269" s="3" t="s">
        <v>2276</v>
      </c>
      <c r="N269" s="3" t="s">
        <v>2276</v>
      </c>
      <c r="O269" s="3" t="s">
        <v>2276</v>
      </c>
      <c r="P269" s="3" t="s">
        <v>2276</v>
      </c>
      <c r="Q269" s="3" t="s">
        <v>2276</v>
      </c>
      <c r="R269" s="3" t="s">
        <v>2276</v>
      </c>
      <c r="S269" s="3" t="s">
        <v>2276</v>
      </c>
      <c r="T269" s="3" t="s">
        <v>2276</v>
      </c>
      <c r="U269" s="3" t="s">
        <v>2276</v>
      </c>
      <c r="V269" s="3" t="s">
        <v>2276</v>
      </c>
      <c r="W269" s="4" t="s">
        <v>2260</v>
      </c>
    </row>
    <row r="270" spans="1:23" ht="74.5" customHeight="1">
      <c r="A270" s="3" t="s">
        <v>1047</v>
      </c>
      <c r="B270" s="3" t="s">
        <v>1064</v>
      </c>
      <c r="C270" s="23" t="s">
        <v>24</v>
      </c>
      <c r="D270" s="23" t="s">
        <v>27</v>
      </c>
      <c r="E270" s="23" t="s">
        <v>130</v>
      </c>
      <c r="F270" s="23" t="s">
        <v>74</v>
      </c>
      <c r="G270" s="23"/>
      <c r="H270" s="4" t="s">
        <v>541</v>
      </c>
      <c r="I270" s="3" t="s">
        <v>2276</v>
      </c>
      <c r="J270" s="3" t="s">
        <v>2276</v>
      </c>
      <c r="K270" s="3" t="s">
        <v>2276</v>
      </c>
      <c r="L270" s="3" t="s">
        <v>2276</v>
      </c>
      <c r="M270" s="3" t="s">
        <v>534</v>
      </c>
      <c r="N270" s="3" t="s">
        <v>534</v>
      </c>
      <c r="O270" s="3" t="s">
        <v>2276</v>
      </c>
      <c r="P270" s="3" t="s">
        <v>2276</v>
      </c>
      <c r="Q270" s="3">
        <v>2</v>
      </c>
      <c r="R270" s="3" t="s">
        <v>2276</v>
      </c>
      <c r="S270" s="3" t="s">
        <v>2276</v>
      </c>
      <c r="T270" s="3" t="s">
        <v>2276</v>
      </c>
      <c r="U270" s="3" t="s">
        <v>2276</v>
      </c>
      <c r="V270" s="3" t="s">
        <v>2276</v>
      </c>
      <c r="W270" s="4" t="s">
        <v>1065</v>
      </c>
    </row>
    <row r="271" spans="1:23" ht="265" customHeight="1">
      <c r="A271" s="11" t="s">
        <v>1054</v>
      </c>
      <c r="B271" s="3" t="s">
        <v>1063</v>
      </c>
      <c r="C271" s="23" t="s">
        <v>24</v>
      </c>
      <c r="D271" s="23" t="s">
        <v>143</v>
      </c>
      <c r="E271" s="26" t="s">
        <v>396</v>
      </c>
      <c r="F271" s="23" t="s">
        <v>74</v>
      </c>
      <c r="G271" s="23"/>
      <c r="H271" s="4" t="s">
        <v>541</v>
      </c>
      <c r="I271" s="3" t="s">
        <v>2691</v>
      </c>
      <c r="J271" s="3" t="s">
        <v>534</v>
      </c>
      <c r="K271" s="3" t="s">
        <v>2276</v>
      </c>
      <c r="L271" s="3" t="s">
        <v>2276</v>
      </c>
      <c r="M271" s="3" t="s">
        <v>2276</v>
      </c>
      <c r="N271" s="3" t="s">
        <v>2276</v>
      </c>
      <c r="O271" s="3" t="s">
        <v>2276</v>
      </c>
      <c r="P271" s="3" t="s">
        <v>2276</v>
      </c>
      <c r="Q271" s="3" t="s">
        <v>2276</v>
      </c>
      <c r="R271" s="3" t="s">
        <v>2276</v>
      </c>
      <c r="S271" s="3" t="s">
        <v>2276</v>
      </c>
      <c r="T271" s="3" t="s">
        <v>2276</v>
      </c>
      <c r="U271" s="3" t="s">
        <v>2276</v>
      </c>
      <c r="V271" s="3" t="s">
        <v>2276</v>
      </c>
      <c r="W271" s="4" t="s">
        <v>2289</v>
      </c>
    </row>
    <row r="272" spans="1:23" ht="247.5" customHeight="1">
      <c r="A272" s="11" t="s">
        <v>1054</v>
      </c>
      <c r="B272" s="3" t="s">
        <v>5008</v>
      </c>
      <c r="C272" s="23" t="s">
        <v>24</v>
      </c>
      <c r="D272" s="23" t="s">
        <v>143</v>
      </c>
      <c r="E272" s="26" t="s">
        <v>2647</v>
      </c>
      <c r="F272" s="23" t="s">
        <v>74</v>
      </c>
      <c r="G272" s="23"/>
      <c r="H272" s="4" t="s">
        <v>541</v>
      </c>
      <c r="I272" s="3" t="s">
        <v>2691</v>
      </c>
      <c r="J272" s="3" t="s">
        <v>534</v>
      </c>
      <c r="K272" s="3" t="s">
        <v>2276</v>
      </c>
      <c r="L272" s="3" t="s">
        <v>2276</v>
      </c>
      <c r="M272" s="3" t="s">
        <v>2276</v>
      </c>
      <c r="N272" s="3" t="s">
        <v>2276</v>
      </c>
      <c r="O272" s="3" t="s">
        <v>2276</v>
      </c>
      <c r="P272" s="3" t="s">
        <v>2276</v>
      </c>
      <c r="Q272" s="3" t="s">
        <v>2276</v>
      </c>
      <c r="R272" s="3" t="s">
        <v>2276</v>
      </c>
      <c r="S272" s="3" t="s">
        <v>2276</v>
      </c>
      <c r="T272" s="3" t="s">
        <v>2276</v>
      </c>
      <c r="U272" s="3" t="s">
        <v>2276</v>
      </c>
      <c r="V272" s="3" t="s">
        <v>2276</v>
      </c>
      <c r="W272" s="4" t="s">
        <v>2289</v>
      </c>
    </row>
    <row r="273" spans="1:23" ht="53.5" customHeight="1">
      <c r="A273" s="11" t="s">
        <v>1071</v>
      </c>
      <c r="B273" s="11" t="s">
        <v>1076</v>
      </c>
      <c r="C273" s="23" t="s">
        <v>24</v>
      </c>
      <c r="D273" s="23" t="s">
        <v>27</v>
      </c>
      <c r="E273" s="93" t="s">
        <v>1105</v>
      </c>
      <c r="F273" s="23" t="s">
        <v>74</v>
      </c>
      <c r="G273" s="23"/>
      <c r="H273" s="4" t="s">
        <v>541</v>
      </c>
      <c r="I273" s="3" t="s">
        <v>2690</v>
      </c>
      <c r="J273" s="3" t="s">
        <v>2276</v>
      </c>
      <c r="K273" s="3" t="s">
        <v>534</v>
      </c>
      <c r="L273" s="3" t="s">
        <v>2276</v>
      </c>
      <c r="M273" s="3" t="s">
        <v>2276</v>
      </c>
      <c r="N273" s="3" t="s">
        <v>2276</v>
      </c>
      <c r="O273" s="3" t="s">
        <v>2276</v>
      </c>
      <c r="P273" s="3" t="s">
        <v>2276</v>
      </c>
      <c r="Q273" s="3" t="s">
        <v>2276</v>
      </c>
      <c r="R273" s="3" t="s">
        <v>534</v>
      </c>
      <c r="S273" s="3" t="s">
        <v>2276</v>
      </c>
      <c r="T273" s="3" t="s">
        <v>534</v>
      </c>
      <c r="U273" s="3" t="s">
        <v>534</v>
      </c>
      <c r="V273" s="3">
        <v>4</v>
      </c>
      <c r="W273" s="4" t="s">
        <v>1222</v>
      </c>
    </row>
    <row r="274" spans="1:23" ht="50" customHeight="1">
      <c r="A274" s="11" t="s">
        <v>1071</v>
      </c>
      <c r="B274" s="11" t="s">
        <v>1078</v>
      </c>
      <c r="C274" s="23" t="s">
        <v>24</v>
      </c>
      <c r="D274" s="23" t="s">
        <v>27</v>
      </c>
      <c r="E274" s="93" t="s">
        <v>130</v>
      </c>
      <c r="F274" s="23" t="s">
        <v>161</v>
      </c>
      <c r="G274" s="23"/>
      <c r="H274" s="4" t="s">
        <v>541</v>
      </c>
      <c r="I274" s="3" t="s">
        <v>2690</v>
      </c>
      <c r="J274" s="3" t="s">
        <v>534</v>
      </c>
      <c r="K274" s="3" t="s">
        <v>534</v>
      </c>
      <c r="L274" s="3" t="s">
        <v>2276</v>
      </c>
      <c r="M274" s="3" t="s">
        <v>2276</v>
      </c>
      <c r="N274" s="3" t="s">
        <v>2276</v>
      </c>
      <c r="O274" s="3" t="s">
        <v>2276</v>
      </c>
      <c r="P274" s="3" t="s">
        <v>2276</v>
      </c>
      <c r="Q274" s="3" t="s">
        <v>2276</v>
      </c>
      <c r="R274" s="3" t="s">
        <v>534</v>
      </c>
      <c r="S274" s="3" t="s">
        <v>2276</v>
      </c>
      <c r="T274" s="3" t="s">
        <v>534</v>
      </c>
      <c r="U274" s="3" t="s">
        <v>534</v>
      </c>
      <c r="V274" s="3">
        <v>4</v>
      </c>
      <c r="W274" s="4" t="s">
        <v>2291</v>
      </c>
    </row>
    <row r="275" spans="1:23" ht="56.5" customHeight="1">
      <c r="A275" s="11" t="s">
        <v>1071</v>
      </c>
      <c r="B275" s="11" t="s">
        <v>1080</v>
      </c>
      <c r="C275" s="23" t="s">
        <v>24</v>
      </c>
      <c r="D275" s="23" t="s">
        <v>143</v>
      </c>
      <c r="E275" s="93" t="s">
        <v>1105</v>
      </c>
      <c r="F275" s="23" t="s">
        <v>74</v>
      </c>
      <c r="G275" s="23"/>
      <c r="H275" s="4" t="s">
        <v>541</v>
      </c>
      <c r="I275" s="3" t="s">
        <v>2690</v>
      </c>
      <c r="J275" s="3" t="s">
        <v>2276</v>
      </c>
      <c r="K275" s="3" t="s">
        <v>534</v>
      </c>
      <c r="L275" s="3" t="s">
        <v>2276</v>
      </c>
      <c r="M275" s="3" t="s">
        <v>2276</v>
      </c>
      <c r="N275" s="3" t="s">
        <v>2276</v>
      </c>
      <c r="O275" s="3" t="s">
        <v>2276</v>
      </c>
      <c r="P275" s="3" t="s">
        <v>2276</v>
      </c>
      <c r="Q275" s="3" t="s">
        <v>2276</v>
      </c>
      <c r="R275" s="3" t="s">
        <v>534</v>
      </c>
      <c r="S275" s="3" t="s">
        <v>2276</v>
      </c>
      <c r="T275" s="3" t="s">
        <v>534</v>
      </c>
      <c r="U275" s="3" t="s">
        <v>534</v>
      </c>
      <c r="V275" s="3">
        <v>4</v>
      </c>
      <c r="W275" s="4" t="s">
        <v>1222</v>
      </c>
    </row>
    <row r="276" spans="1:23" ht="53.5" customHeight="1">
      <c r="A276" s="11" t="s">
        <v>1075</v>
      </c>
      <c r="B276" s="11" t="s">
        <v>1077</v>
      </c>
      <c r="C276" s="23" t="s">
        <v>24</v>
      </c>
      <c r="D276" s="23" t="s">
        <v>27</v>
      </c>
      <c r="E276" s="93" t="s">
        <v>130</v>
      </c>
      <c r="F276" s="23" t="s">
        <v>161</v>
      </c>
      <c r="G276" s="23"/>
      <c r="H276" s="4" t="s">
        <v>541</v>
      </c>
      <c r="I276" s="3" t="s">
        <v>2690</v>
      </c>
      <c r="J276" s="3" t="s">
        <v>534</v>
      </c>
      <c r="K276" s="3" t="s">
        <v>2276</v>
      </c>
      <c r="L276" s="3" t="s">
        <v>2276</v>
      </c>
      <c r="M276" s="3" t="s">
        <v>2276</v>
      </c>
      <c r="N276" s="3" t="s">
        <v>2276</v>
      </c>
      <c r="O276" s="3" t="s">
        <v>2276</v>
      </c>
      <c r="P276" s="3" t="s">
        <v>2276</v>
      </c>
      <c r="Q276" s="3" t="s">
        <v>2276</v>
      </c>
      <c r="R276" s="3" t="s">
        <v>2276</v>
      </c>
      <c r="S276" s="3" t="s">
        <v>2276</v>
      </c>
      <c r="T276" s="3" t="s">
        <v>2276</v>
      </c>
      <c r="U276" s="3" t="s">
        <v>2276</v>
      </c>
      <c r="V276" s="3" t="s">
        <v>2276</v>
      </c>
      <c r="W276" s="4" t="s">
        <v>2291</v>
      </c>
    </row>
    <row r="277" spans="1:23" ht="39.5" customHeight="1">
      <c r="A277" s="11" t="s">
        <v>1085</v>
      </c>
      <c r="B277" s="11" t="s">
        <v>1087</v>
      </c>
      <c r="C277" s="23" t="s">
        <v>24</v>
      </c>
      <c r="D277" s="23" t="s">
        <v>27</v>
      </c>
      <c r="E277" s="93" t="s">
        <v>130</v>
      </c>
      <c r="F277" s="23" t="s">
        <v>161</v>
      </c>
      <c r="G277" s="3">
        <v>1975</v>
      </c>
      <c r="H277" s="19" t="s">
        <v>541</v>
      </c>
      <c r="I277" s="3" t="s">
        <v>2276</v>
      </c>
      <c r="J277" s="3" t="s">
        <v>2276</v>
      </c>
      <c r="K277" s="3" t="s">
        <v>2276</v>
      </c>
      <c r="L277" s="3" t="s">
        <v>2276</v>
      </c>
      <c r="M277" s="3" t="s">
        <v>2276</v>
      </c>
      <c r="N277" s="3" t="s">
        <v>2276</v>
      </c>
      <c r="O277" s="3" t="s">
        <v>2276</v>
      </c>
      <c r="P277" s="3" t="s">
        <v>2276</v>
      </c>
      <c r="Q277" s="3" t="s">
        <v>2276</v>
      </c>
      <c r="R277" s="11" t="s">
        <v>534</v>
      </c>
      <c r="S277" s="3" t="s">
        <v>534</v>
      </c>
      <c r="T277" s="3" t="s">
        <v>2276</v>
      </c>
      <c r="U277" s="3" t="s">
        <v>2276</v>
      </c>
      <c r="V277" s="11">
        <v>3</v>
      </c>
      <c r="W277" s="4" t="s">
        <v>1096</v>
      </c>
    </row>
    <row r="278" spans="1:23" ht="48" customHeight="1">
      <c r="A278" s="11" t="s">
        <v>1085</v>
      </c>
      <c r="B278" s="11" t="s">
        <v>1088</v>
      </c>
      <c r="C278" s="23" t="s">
        <v>24</v>
      </c>
      <c r="D278" s="23" t="s">
        <v>27</v>
      </c>
      <c r="E278" s="93" t="s">
        <v>130</v>
      </c>
      <c r="F278" s="23" t="s">
        <v>74</v>
      </c>
      <c r="G278" s="3">
        <v>1975</v>
      </c>
      <c r="H278" s="19" t="s">
        <v>541</v>
      </c>
      <c r="I278" s="3" t="s">
        <v>2276</v>
      </c>
      <c r="J278" s="3" t="s">
        <v>2276</v>
      </c>
      <c r="K278" s="3" t="s">
        <v>2276</v>
      </c>
      <c r="L278" s="3" t="s">
        <v>2276</v>
      </c>
      <c r="M278" s="3" t="s">
        <v>2276</v>
      </c>
      <c r="N278" s="3" t="s">
        <v>2276</v>
      </c>
      <c r="O278" s="3" t="s">
        <v>2276</v>
      </c>
      <c r="P278" s="3" t="s">
        <v>2276</v>
      </c>
      <c r="Q278" s="3" t="s">
        <v>2276</v>
      </c>
      <c r="R278" s="11" t="s">
        <v>534</v>
      </c>
      <c r="S278" s="3" t="s">
        <v>534</v>
      </c>
      <c r="T278" s="3" t="s">
        <v>2276</v>
      </c>
      <c r="U278" s="3" t="s">
        <v>2276</v>
      </c>
      <c r="V278" s="11">
        <v>3</v>
      </c>
      <c r="W278" s="4" t="s">
        <v>1096</v>
      </c>
    </row>
    <row r="279" spans="1:23" ht="36.5" customHeight="1">
      <c r="A279" s="11" t="s">
        <v>1085</v>
      </c>
      <c r="B279" s="11" t="s">
        <v>1089</v>
      </c>
      <c r="C279" s="23" t="s">
        <v>24</v>
      </c>
      <c r="D279" s="23" t="s">
        <v>27</v>
      </c>
      <c r="E279" s="93" t="s">
        <v>130</v>
      </c>
      <c r="F279" s="23" t="s">
        <v>161</v>
      </c>
      <c r="G279" s="3">
        <v>2006</v>
      </c>
      <c r="H279" s="19" t="s">
        <v>541</v>
      </c>
      <c r="I279" s="3" t="s">
        <v>2276</v>
      </c>
      <c r="J279" s="3" t="s">
        <v>2276</v>
      </c>
      <c r="K279" s="3" t="s">
        <v>2276</v>
      </c>
      <c r="L279" s="3" t="s">
        <v>2276</v>
      </c>
      <c r="M279" s="3" t="s">
        <v>2276</v>
      </c>
      <c r="N279" s="3" t="s">
        <v>2276</v>
      </c>
      <c r="O279" s="3" t="s">
        <v>2276</v>
      </c>
      <c r="P279" s="3" t="s">
        <v>2276</v>
      </c>
      <c r="Q279" s="3" t="s">
        <v>2276</v>
      </c>
      <c r="R279" s="11" t="s">
        <v>534</v>
      </c>
      <c r="S279" s="3" t="s">
        <v>534</v>
      </c>
      <c r="T279" s="3" t="s">
        <v>2276</v>
      </c>
      <c r="U279" s="3" t="s">
        <v>2276</v>
      </c>
      <c r="V279" s="11">
        <v>3</v>
      </c>
      <c r="W279" s="4" t="s">
        <v>1096</v>
      </c>
    </row>
    <row r="280" spans="1:23" ht="55.5" customHeight="1">
      <c r="A280" s="11" t="s">
        <v>1085</v>
      </c>
      <c r="B280" s="11" t="s">
        <v>1090</v>
      </c>
      <c r="C280" s="23" t="s">
        <v>24</v>
      </c>
      <c r="D280" s="23" t="s">
        <v>27</v>
      </c>
      <c r="E280" s="93" t="s">
        <v>130</v>
      </c>
      <c r="F280" s="23" t="s">
        <v>161</v>
      </c>
      <c r="G280" s="3">
        <v>2006</v>
      </c>
      <c r="H280" s="19" t="s">
        <v>1031</v>
      </c>
      <c r="I280" s="3" t="s">
        <v>2276</v>
      </c>
      <c r="J280" s="3" t="s">
        <v>2276</v>
      </c>
      <c r="K280" s="3" t="s">
        <v>2276</v>
      </c>
      <c r="L280" s="3" t="s">
        <v>2276</v>
      </c>
      <c r="M280" s="3" t="s">
        <v>2276</v>
      </c>
      <c r="N280" s="3" t="s">
        <v>2276</v>
      </c>
      <c r="O280" s="3" t="s">
        <v>2276</v>
      </c>
      <c r="P280" s="3" t="s">
        <v>2276</v>
      </c>
      <c r="Q280" s="3" t="s">
        <v>2276</v>
      </c>
      <c r="R280" s="11" t="s">
        <v>534</v>
      </c>
      <c r="S280" s="3" t="s">
        <v>534</v>
      </c>
      <c r="T280" s="3" t="s">
        <v>2276</v>
      </c>
      <c r="U280" s="3" t="s">
        <v>2276</v>
      </c>
      <c r="V280" s="11">
        <v>1</v>
      </c>
      <c r="W280" s="4" t="s">
        <v>1097</v>
      </c>
    </row>
    <row r="281" spans="1:23" ht="53.5" customHeight="1">
      <c r="A281" s="11" t="s">
        <v>1085</v>
      </c>
      <c r="B281" s="11" t="s">
        <v>1091</v>
      </c>
      <c r="C281" s="23" t="s">
        <v>24</v>
      </c>
      <c r="D281" s="23" t="s">
        <v>27</v>
      </c>
      <c r="E281" s="93" t="s">
        <v>130</v>
      </c>
      <c r="F281" s="23" t="s">
        <v>161</v>
      </c>
      <c r="G281" s="3">
        <v>2006</v>
      </c>
      <c r="H281" s="19" t="s">
        <v>1093</v>
      </c>
      <c r="I281" s="3" t="s">
        <v>2276</v>
      </c>
      <c r="J281" s="3" t="s">
        <v>2276</v>
      </c>
      <c r="K281" s="3" t="s">
        <v>2276</v>
      </c>
      <c r="L281" s="3" t="s">
        <v>2276</v>
      </c>
      <c r="M281" s="3" t="s">
        <v>2276</v>
      </c>
      <c r="N281" s="3" t="s">
        <v>2276</v>
      </c>
      <c r="O281" s="3" t="s">
        <v>2276</v>
      </c>
      <c r="P281" s="3" t="s">
        <v>2276</v>
      </c>
      <c r="Q281" s="3" t="s">
        <v>2276</v>
      </c>
      <c r="R281" s="11" t="s">
        <v>534</v>
      </c>
      <c r="S281" s="3" t="s">
        <v>534</v>
      </c>
      <c r="T281" s="3" t="s">
        <v>2276</v>
      </c>
      <c r="U281" s="3" t="s">
        <v>2276</v>
      </c>
      <c r="V281" s="11">
        <v>1</v>
      </c>
      <c r="W281" s="4" t="s">
        <v>1097</v>
      </c>
    </row>
    <row r="282" spans="1:23" ht="43.5" customHeight="1">
      <c r="A282" s="11" t="s">
        <v>1085</v>
      </c>
      <c r="B282" s="11" t="s">
        <v>1092</v>
      </c>
      <c r="C282" s="23" t="s">
        <v>24</v>
      </c>
      <c r="D282" s="23" t="s">
        <v>27</v>
      </c>
      <c r="E282" s="93" t="s">
        <v>130</v>
      </c>
      <c r="F282" s="23" t="s">
        <v>74</v>
      </c>
      <c r="G282" s="3">
        <v>2006</v>
      </c>
      <c r="H282" s="19" t="s">
        <v>541</v>
      </c>
      <c r="I282" s="3" t="s">
        <v>2276</v>
      </c>
      <c r="J282" s="3" t="s">
        <v>2276</v>
      </c>
      <c r="K282" s="3" t="s">
        <v>2276</v>
      </c>
      <c r="L282" s="3" t="s">
        <v>2276</v>
      </c>
      <c r="M282" s="3" t="s">
        <v>2276</v>
      </c>
      <c r="N282" s="3" t="s">
        <v>2276</v>
      </c>
      <c r="O282" s="3" t="s">
        <v>2276</v>
      </c>
      <c r="P282" s="3" t="s">
        <v>2276</v>
      </c>
      <c r="Q282" s="3" t="s">
        <v>2276</v>
      </c>
      <c r="R282" s="11" t="s">
        <v>534</v>
      </c>
      <c r="S282" s="3" t="s">
        <v>534</v>
      </c>
      <c r="T282" s="3" t="s">
        <v>2276</v>
      </c>
      <c r="U282" s="3" t="s">
        <v>2276</v>
      </c>
      <c r="V282" s="11">
        <v>1</v>
      </c>
      <c r="W282" s="4" t="s">
        <v>1097</v>
      </c>
    </row>
    <row r="283" spans="1:23" ht="46.5" customHeight="1">
      <c r="A283" s="11" t="s">
        <v>1085</v>
      </c>
      <c r="B283" s="11" t="s">
        <v>1094</v>
      </c>
      <c r="C283" s="23" t="s">
        <v>24</v>
      </c>
      <c r="D283" s="23" t="s">
        <v>27</v>
      </c>
      <c r="E283" s="93" t="s">
        <v>130</v>
      </c>
      <c r="F283" s="23" t="s">
        <v>74</v>
      </c>
      <c r="G283" s="3">
        <v>2006</v>
      </c>
      <c r="H283" s="19" t="s">
        <v>1031</v>
      </c>
      <c r="I283" s="3" t="s">
        <v>2276</v>
      </c>
      <c r="J283" s="3" t="s">
        <v>2276</v>
      </c>
      <c r="K283" s="3" t="s">
        <v>2276</v>
      </c>
      <c r="L283" s="3" t="s">
        <v>2276</v>
      </c>
      <c r="M283" s="3" t="s">
        <v>2276</v>
      </c>
      <c r="N283" s="3" t="s">
        <v>2276</v>
      </c>
      <c r="O283" s="3" t="s">
        <v>2276</v>
      </c>
      <c r="P283" s="3" t="s">
        <v>2276</v>
      </c>
      <c r="Q283" s="3" t="s">
        <v>2276</v>
      </c>
      <c r="R283" s="11" t="s">
        <v>534</v>
      </c>
      <c r="S283" s="3" t="s">
        <v>534</v>
      </c>
      <c r="T283" s="3" t="s">
        <v>2276</v>
      </c>
      <c r="U283" s="3" t="s">
        <v>2276</v>
      </c>
      <c r="V283" s="11">
        <v>1</v>
      </c>
      <c r="W283" s="4" t="s">
        <v>1097</v>
      </c>
    </row>
    <row r="284" spans="1:23" ht="49" customHeight="1">
      <c r="A284" s="11" t="s">
        <v>1085</v>
      </c>
      <c r="B284" s="11" t="s">
        <v>1095</v>
      </c>
      <c r="C284" s="23" t="s">
        <v>24</v>
      </c>
      <c r="D284" s="23" t="s">
        <v>27</v>
      </c>
      <c r="E284" s="93" t="s">
        <v>130</v>
      </c>
      <c r="F284" s="23" t="s">
        <v>74</v>
      </c>
      <c r="G284" s="3">
        <v>2006</v>
      </c>
      <c r="H284" s="19" t="s">
        <v>1093</v>
      </c>
      <c r="I284" s="3" t="s">
        <v>2276</v>
      </c>
      <c r="J284" s="3" t="s">
        <v>2276</v>
      </c>
      <c r="K284" s="3" t="s">
        <v>2276</v>
      </c>
      <c r="L284" s="3" t="s">
        <v>2276</v>
      </c>
      <c r="M284" s="3" t="s">
        <v>2276</v>
      </c>
      <c r="N284" s="3" t="s">
        <v>2276</v>
      </c>
      <c r="O284" s="3" t="s">
        <v>2276</v>
      </c>
      <c r="P284" s="3" t="s">
        <v>2276</v>
      </c>
      <c r="Q284" s="3" t="s">
        <v>2276</v>
      </c>
      <c r="R284" s="11" t="s">
        <v>534</v>
      </c>
      <c r="S284" s="3" t="s">
        <v>534</v>
      </c>
      <c r="T284" s="3" t="s">
        <v>2276</v>
      </c>
      <c r="U284" s="3" t="s">
        <v>2276</v>
      </c>
      <c r="V284" s="11">
        <v>1</v>
      </c>
      <c r="W284" s="4" t="s">
        <v>1097</v>
      </c>
    </row>
    <row r="285" spans="1:23" ht="49" customHeight="1">
      <c r="A285" s="11" t="s">
        <v>1117</v>
      </c>
      <c r="B285" s="11" t="s">
        <v>2331</v>
      </c>
      <c r="C285" s="23" t="s">
        <v>24</v>
      </c>
      <c r="D285" s="19" t="s">
        <v>1105</v>
      </c>
      <c r="E285" s="19" t="s">
        <v>1105</v>
      </c>
      <c r="F285" s="19" t="s">
        <v>1105</v>
      </c>
      <c r="G285" s="3"/>
      <c r="H285" s="19" t="s">
        <v>541</v>
      </c>
      <c r="I285" s="3" t="s">
        <v>537</v>
      </c>
      <c r="J285" s="3" t="s">
        <v>537</v>
      </c>
      <c r="K285" s="3" t="s">
        <v>537</v>
      </c>
      <c r="L285" s="3" t="s">
        <v>537</v>
      </c>
      <c r="M285" s="3" t="s">
        <v>537</v>
      </c>
      <c r="N285" s="3" t="s">
        <v>537</v>
      </c>
      <c r="O285" s="3" t="s">
        <v>537</v>
      </c>
      <c r="P285" s="3" t="s">
        <v>537</v>
      </c>
      <c r="Q285" s="3" t="s">
        <v>2276</v>
      </c>
      <c r="R285" s="3" t="s">
        <v>537</v>
      </c>
      <c r="S285" s="3" t="s">
        <v>537</v>
      </c>
      <c r="T285" s="3" t="s">
        <v>537</v>
      </c>
      <c r="U285" s="3" t="s">
        <v>537</v>
      </c>
      <c r="V285" s="3" t="s">
        <v>2276</v>
      </c>
      <c r="W285" s="4" t="s">
        <v>2351</v>
      </c>
    </row>
    <row r="286" spans="1:23" ht="49" customHeight="1">
      <c r="A286" s="11" t="s">
        <v>1118</v>
      </c>
      <c r="B286" s="11" t="s">
        <v>2333</v>
      </c>
      <c r="C286" s="23" t="s">
        <v>24</v>
      </c>
      <c r="D286" s="19" t="s">
        <v>1105</v>
      </c>
      <c r="E286" s="19" t="s">
        <v>1105</v>
      </c>
      <c r="F286" s="19" t="s">
        <v>1105</v>
      </c>
      <c r="G286" s="3"/>
      <c r="H286" s="19" t="s">
        <v>541</v>
      </c>
      <c r="I286" s="3" t="s">
        <v>537</v>
      </c>
      <c r="J286" s="3" t="s">
        <v>537</v>
      </c>
      <c r="K286" s="3" t="s">
        <v>537</v>
      </c>
      <c r="L286" s="3" t="s">
        <v>537</v>
      </c>
      <c r="M286" s="3" t="s">
        <v>537</v>
      </c>
      <c r="N286" s="3" t="s">
        <v>537</v>
      </c>
      <c r="O286" s="3" t="s">
        <v>537</v>
      </c>
      <c r="P286" s="3" t="s">
        <v>537</v>
      </c>
      <c r="Q286" s="3" t="s">
        <v>2276</v>
      </c>
      <c r="R286" s="3" t="s">
        <v>537</v>
      </c>
      <c r="S286" s="3" t="s">
        <v>537</v>
      </c>
      <c r="T286" s="3" t="s">
        <v>537</v>
      </c>
      <c r="U286" s="3" t="s">
        <v>537</v>
      </c>
      <c r="V286" s="3" t="s">
        <v>2276</v>
      </c>
      <c r="W286" s="4" t="s">
        <v>2351</v>
      </c>
    </row>
    <row r="287" spans="1:23" ht="49" customHeight="1">
      <c r="A287" s="11" t="s">
        <v>1125</v>
      </c>
      <c r="B287" s="11" t="s">
        <v>1127</v>
      </c>
      <c r="C287" s="23" t="s">
        <v>24</v>
      </c>
      <c r="D287" s="23" t="s">
        <v>143</v>
      </c>
      <c r="E287" s="93" t="s">
        <v>130</v>
      </c>
      <c r="F287" s="3" t="s">
        <v>74</v>
      </c>
      <c r="G287" s="3">
        <v>1980</v>
      </c>
      <c r="H287" s="4" t="s">
        <v>541</v>
      </c>
      <c r="I287" s="3" t="s">
        <v>2691</v>
      </c>
      <c r="J287" s="3" t="s">
        <v>534</v>
      </c>
      <c r="K287" s="3" t="s">
        <v>2276</v>
      </c>
      <c r="L287" s="3" t="s">
        <v>2276</v>
      </c>
      <c r="M287" s="3" t="s">
        <v>537</v>
      </c>
      <c r="N287" s="3" t="s">
        <v>2276</v>
      </c>
      <c r="O287" s="3" t="s">
        <v>2276</v>
      </c>
      <c r="P287" s="3" t="s">
        <v>2276</v>
      </c>
      <c r="Q287" s="3" t="s">
        <v>2276</v>
      </c>
      <c r="R287" s="3" t="s">
        <v>537</v>
      </c>
      <c r="S287" s="3" t="s">
        <v>2276</v>
      </c>
      <c r="T287" s="3" t="s">
        <v>2276</v>
      </c>
      <c r="U287" s="3" t="s">
        <v>2276</v>
      </c>
      <c r="V287" s="3" t="s">
        <v>2276</v>
      </c>
      <c r="W287" s="4" t="s">
        <v>1138</v>
      </c>
    </row>
    <row r="288" spans="1:23" ht="110" customHeight="1">
      <c r="A288" s="11" t="s">
        <v>1125</v>
      </c>
      <c r="B288" s="11" t="s">
        <v>1129</v>
      </c>
      <c r="C288" s="23" t="s">
        <v>24</v>
      </c>
      <c r="D288" s="23" t="s">
        <v>143</v>
      </c>
      <c r="E288" s="93" t="s">
        <v>130</v>
      </c>
      <c r="F288" s="3" t="s">
        <v>74</v>
      </c>
      <c r="G288" s="3">
        <v>1990</v>
      </c>
      <c r="H288" s="4" t="s">
        <v>541</v>
      </c>
      <c r="I288" s="3" t="s">
        <v>537</v>
      </c>
      <c r="J288" s="3" t="s">
        <v>537</v>
      </c>
      <c r="K288" s="3" t="s">
        <v>2276</v>
      </c>
      <c r="L288" s="3" t="s">
        <v>2276</v>
      </c>
      <c r="M288" s="3" t="s">
        <v>537</v>
      </c>
      <c r="N288" s="3" t="s">
        <v>2276</v>
      </c>
      <c r="O288" s="3" t="s">
        <v>2276</v>
      </c>
      <c r="P288" s="3" t="s">
        <v>2276</v>
      </c>
      <c r="Q288" s="3" t="s">
        <v>2276</v>
      </c>
      <c r="R288" s="3" t="s">
        <v>537</v>
      </c>
      <c r="S288" s="3" t="s">
        <v>2276</v>
      </c>
      <c r="T288" s="3" t="s">
        <v>2276</v>
      </c>
      <c r="U288" s="3" t="s">
        <v>2276</v>
      </c>
      <c r="V288" s="3" t="s">
        <v>2276</v>
      </c>
      <c r="W288" s="4" t="s">
        <v>1139</v>
      </c>
    </row>
    <row r="289" spans="1:23" ht="75" customHeight="1">
      <c r="A289" s="11" t="s">
        <v>1142</v>
      </c>
      <c r="B289" s="11" t="s">
        <v>1147</v>
      </c>
      <c r="C289" s="23" t="s">
        <v>24</v>
      </c>
      <c r="D289" s="23" t="s">
        <v>143</v>
      </c>
      <c r="E289" s="93" t="s">
        <v>130</v>
      </c>
      <c r="F289" s="3" t="s">
        <v>74</v>
      </c>
      <c r="G289" s="3">
        <v>1985</v>
      </c>
      <c r="H289" s="4" t="s">
        <v>541</v>
      </c>
      <c r="I289" s="3" t="s">
        <v>537</v>
      </c>
      <c r="J289" s="3" t="s">
        <v>537</v>
      </c>
      <c r="K289" s="3" t="s">
        <v>537</v>
      </c>
      <c r="L289" s="3" t="s">
        <v>2276</v>
      </c>
      <c r="M289" s="3" t="s">
        <v>2276</v>
      </c>
      <c r="N289" s="3" t="s">
        <v>2276</v>
      </c>
      <c r="O289" s="3" t="s">
        <v>2276</v>
      </c>
      <c r="P289" s="3" t="s">
        <v>2276</v>
      </c>
      <c r="Q289" s="3" t="s">
        <v>2276</v>
      </c>
      <c r="R289" s="3" t="s">
        <v>2276</v>
      </c>
      <c r="S289" s="3" t="s">
        <v>2276</v>
      </c>
      <c r="T289" s="3" t="s">
        <v>2276</v>
      </c>
      <c r="U289" s="3" t="s">
        <v>2276</v>
      </c>
      <c r="V289" s="3" t="s">
        <v>2276</v>
      </c>
      <c r="W289" s="4" t="s">
        <v>1163</v>
      </c>
    </row>
    <row r="290" spans="1:23" ht="82.5" customHeight="1">
      <c r="A290" s="11" t="s">
        <v>1142</v>
      </c>
      <c r="B290" s="11" t="s">
        <v>1149</v>
      </c>
      <c r="C290" s="23" t="s">
        <v>24</v>
      </c>
      <c r="D290" s="23" t="s">
        <v>143</v>
      </c>
      <c r="E290" s="93" t="s">
        <v>130</v>
      </c>
      <c r="F290" s="3" t="s">
        <v>74</v>
      </c>
      <c r="G290" s="3">
        <v>1990</v>
      </c>
      <c r="H290" s="4" t="s">
        <v>1151</v>
      </c>
      <c r="I290" s="3" t="s">
        <v>2690</v>
      </c>
      <c r="J290" s="3" t="s">
        <v>534</v>
      </c>
      <c r="K290" s="3" t="s">
        <v>534</v>
      </c>
      <c r="L290" s="3" t="s">
        <v>2276</v>
      </c>
      <c r="M290" s="3" t="s">
        <v>2276</v>
      </c>
      <c r="N290" s="3" t="s">
        <v>2276</v>
      </c>
      <c r="O290" s="3" t="s">
        <v>2276</v>
      </c>
      <c r="P290" s="3" t="s">
        <v>2276</v>
      </c>
      <c r="Q290" s="3" t="s">
        <v>2276</v>
      </c>
      <c r="R290" s="3" t="s">
        <v>2276</v>
      </c>
      <c r="S290" s="3" t="s">
        <v>2276</v>
      </c>
      <c r="T290" s="3" t="s">
        <v>2276</v>
      </c>
      <c r="U290" s="3" t="s">
        <v>2276</v>
      </c>
      <c r="V290" s="3" t="s">
        <v>2276</v>
      </c>
      <c r="W290" s="4" t="s">
        <v>1152</v>
      </c>
    </row>
    <row r="291" spans="1:23" ht="51.5" customHeight="1">
      <c r="A291" s="11" t="s">
        <v>1155</v>
      </c>
      <c r="B291" s="11" t="s">
        <v>1156</v>
      </c>
      <c r="C291" s="23" t="s">
        <v>24</v>
      </c>
      <c r="D291" s="23" t="s">
        <v>143</v>
      </c>
      <c r="E291" s="23" t="s">
        <v>1105</v>
      </c>
      <c r="F291" s="3" t="s">
        <v>74</v>
      </c>
      <c r="G291" s="3"/>
      <c r="H291" s="4" t="s">
        <v>541</v>
      </c>
      <c r="I291" s="3" t="s">
        <v>537</v>
      </c>
      <c r="J291" s="3" t="s">
        <v>537</v>
      </c>
      <c r="K291" s="3" t="s">
        <v>537</v>
      </c>
      <c r="L291" s="3" t="s">
        <v>2276</v>
      </c>
      <c r="M291" s="3" t="s">
        <v>537</v>
      </c>
      <c r="N291" s="3" t="s">
        <v>2276</v>
      </c>
      <c r="O291" s="3" t="s">
        <v>2276</v>
      </c>
      <c r="P291" s="3" t="s">
        <v>2276</v>
      </c>
      <c r="Q291" s="3" t="s">
        <v>2276</v>
      </c>
      <c r="R291" s="3" t="s">
        <v>537</v>
      </c>
      <c r="S291" s="3" t="s">
        <v>2276</v>
      </c>
      <c r="T291" s="3" t="s">
        <v>2276</v>
      </c>
      <c r="U291" s="3" t="s">
        <v>2276</v>
      </c>
      <c r="V291" s="3" t="s">
        <v>2276</v>
      </c>
      <c r="W291" s="4"/>
    </row>
    <row r="292" spans="1:23" ht="67" customHeight="1">
      <c r="A292" s="44" t="s">
        <v>1159</v>
      </c>
      <c r="B292" s="44" t="s">
        <v>1161</v>
      </c>
      <c r="C292" s="65" t="s">
        <v>24</v>
      </c>
      <c r="D292" s="65" t="s">
        <v>143</v>
      </c>
      <c r="E292" s="65" t="s">
        <v>1105</v>
      </c>
      <c r="F292" s="44" t="s">
        <v>74</v>
      </c>
      <c r="G292" s="44"/>
      <c r="H292" s="58"/>
      <c r="I292" s="44" t="s">
        <v>2276</v>
      </c>
      <c r="J292" s="44" t="s">
        <v>2276</v>
      </c>
      <c r="K292" s="44" t="s">
        <v>2276</v>
      </c>
      <c r="L292" s="44" t="s">
        <v>2276</v>
      </c>
      <c r="M292" s="44" t="s">
        <v>2276</v>
      </c>
      <c r="N292" s="44" t="s">
        <v>2276</v>
      </c>
      <c r="O292" s="44" t="s">
        <v>2276</v>
      </c>
      <c r="P292" s="44" t="s">
        <v>2276</v>
      </c>
      <c r="Q292" s="44" t="s">
        <v>2276</v>
      </c>
      <c r="R292" s="44" t="s">
        <v>2276</v>
      </c>
      <c r="S292" s="44" t="s">
        <v>2276</v>
      </c>
      <c r="T292" s="44" t="s">
        <v>2276</v>
      </c>
      <c r="U292" s="44" t="s">
        <v>2276</v>
      </c>
      <c r="V292" s="44" t="s">
        <v>2276</v>
      </c>
      <c r="W292" s="58"/>
    </row>
    <row r="293" spans="1:23" ht="55.5" customHeight="1">
      <c r="A293" s="19" t="s">
        <v>1144</v>
      </c>
      <c r="B293" s="19" t="s">
        <v>1148</v>
      </c>
      <c r="C293" s="23" t="s">
        <v>24</v>
      </c>
      <c r="D293" s="3"/>
      <c r="E293" s="3" t="s">
        <v>1105</v>
      </c>
      <c r="F293" s="3" t="s">
        <v>74</v>
      </c>
      <c r="G293" s="3"/>
      <c r="H293" s="4" t="s">
        <v>541</v>
      </c>
      <c r="I293" s="3" t="s">
        <v>2276</v>
      </c>
      <c r="J293" s="3" t="s">
        <v>2276</v>
      </c>
      <c r="K293" s="3" t="s">
        <v>2276</v>
      </c>
      <c r="L293" s="3" t="s">
        <v>2276</v>
      </c>
      <c r="M293" s="3" t="s">
        <v>534</v>
      </c>
      <c r="N293" s="3" t="s">
        <v>534</v>
      </c>
      <c r="O293" s="3" t="s">
        <v>534</v>
      </c>
      <c r="P293" s="3" t="s">
        <v>2276</v>
      </c>
      <c r="Q293" s="3">
        <v>1</v>
      </c>
      <c r="R293" s="3" t="s">
        <v>2276</v>
      </c>
      <c r="S293" s="3" t="s">
        <v>2276</v>
      </c>
      <c r="T293" s="3" t="s">
        <v>2276</v>
      </c>
      <c r="U293" s="3" t="s">
        <v>2276</v>
      </c>
      <c r="V293" s="3" t="s">
        <v>2276</v>
      </c>
      <c r="W293" s="4" t="s">
        <v>1164</v>
      </c>
    </row>
    <row r="294" spans="1:23" ht="45.5" customHeight="1">
      <c r="A294" s="19" t="s">
        <v>1153</v>
      </c>
      <c r="B294" s="19" t="s">
        <v>1157</v>
      </c>
      <c r="C294" s="23" t="s">
        <v>24</v>
      </c>
      <c r="D294" s="23" t="s">
        <v>143</v>
      </c>
      <c r="E294" s="3" t="s">
        <v>1105</v>
      </c>
      <c r="F294" s="3" t="s">
        <v>74</v>
      </c>
      <c r="G294" s="3"/>
      <c r="H294" s="4" t="s">
        <v>541</v>
      </c>
      <c r="I294" s="3" t="s">
        <v>2276</v>
      </c>
      <c r="J294" s="3" t="s">
        <v>2276</v>
      </c>
      <c r="K294" s="3" t="s">
        <v>2276</v>
      </c>
      <c r="L294" s="3" t="s">
        <v>2276</v>
      </c>
      <c r="M294" s="3" t="s">
        <v>2276</v>
      </c>
      <c r="N294" s="3" t="s">
        <v>2276</v>
      </c>
      <c r="O294" s="3" t="s">
        <v>2276</v>
      </c>
      <c r="P294" s="3" t="s">
        <v>2276</v>
      </c>
      <c r="Q294" s="3" t="s">
        <v>2276</v>
      </c>
      <c r="R294" s="3" t="s">
        <v>534</v>
      </c>
      <c r="S294" s="3" t="s">
        <v>2276</v>
      </c>
      <c r="T294" s="3" t="s">
        <v>534</v>
      </c>
      <c r="U294" s="3" t="s">
        <v>2276</v>
      </c>
      <c r="V294" s="3">
        <v>1</v>
      </c>
      <c r="W294" s="3"/>
    </row>
    <row r="295" spans="1:23" ht="40" customHeight="1">
      <c r="A295" s="19" t="s">
        <v>1169</v>
      </c>
      <c r="B295" s="19" t="s">
        <v>1175</v>
      </c>
      <c r="C295" s="23" t="s">
        <v>24</v>
      </c>
      <c r="D295" s="23" t="s">
        <v>143</v>
      </c>
      <c r="E295" s="3" t="s">
        <v>1105</v>
      </c>
      <c r="F295" s="3" t="s">
        <v>74</v>
      </c>
      <c r="G295" s="3"/>
      <c r="H295" s="4" t="s">
        <v>541</v>
      </c>
      <c r="I295" s="3" t="s">
        <v>2276</v>
      </c>
      <c r="J295" s="3" t="s">
        <v>2276</v>
      </c>
      <c r="K295" s="3" t="s">
        <v>2276</v>
      </c>
      <c r="L295" s="3" t="s">
        <v>2276</v>
      </c>
      <c r="M295" s="3" t="s">
        <v>2276</v>
      </c>
      <c r="N295" s="3" t="s">
        <v>2276</v>
      </c>
      <c r="O295" s="3" t="s">
        <v>2276</v>
      </c>
      <c r="P295" s="3" t="s">
        <v>2276</v>
      </c>
      <c r="Q295" s="3" t="s">
        <v>2276</v>
      </c>
      <c r="R295" s="3" t="s">
        <v>534</v>
      </c>
      <c r="S295" s="3" t="s">
        <v>2276</v>
      </c>
      <c r="T295" s="3" t="s">
        <v>534</v>
      </c>
      <c r="U295" s="3" t="s">
        <v>2276</v>
      </c>
      <c r="V295" s="3">
        <v>1</v>
      </c>
      <c r="W295" s="3"/>
    </row>
    <row r="296" spans="1:23" ht="42" customHeight="1">
      <c r="A296" s="3" t="s">
        <v>1171</v>
      </c>
      <c r="B296" s="19" t="s">
        <v>1177</v>
      </c>
      <c r="C296" s="23" t="s">
        <v>24</v>
      </c>
      <c r="D296" s="23" t="s">
        <v>143</v>
      </c>
      <c r="E296" s="3" t="s">
        <v>1105</v>
      </c>
      <c r="F296" s="3" t="s">
        <v>74</v>
      </c>
      <c r="G296" s="3"/>
      <c r="H296" s="4" t="s">
        <v>541</v>
      </c>
      <c r="I296" s="3" t="s">
        <v>2276</v>
      </c>
      <c r="J296" s="3" t="s">
        <v>2276</v>
      </c>
      <c r="K296" s="3" t="s">
        <v>2276</v>
      </c>
      <c r="L296" s="3" t="s">
        <v>2276</v>
      </c>
      <c r="M296" s="3" t="s">
        <v>2276</v>
      </c>
      <c r="N296" s="3" t="s">
        <v>2276</v>
      </c>
      <c r="O296" s="3" t="s">
        <v>2276</v>
      </c>
      <c r="P296" s="3" t="s">
        <v>2276</v>
      </c>
      <c r="Q296" s="3" t="s">
        <v>2276</v>
      </c>
      <c r="R296" s="3" t="s">
        <v>534</v>
      </c>
      <c r="S296" s="3" t="s">
        <v>2276</v>
      </c>
      <c r="T296" s="3" t="s">
        <v>534</v>
      </c>
      <c r="U296" s="3" t="s">
        <v>2276</v>
      </c>
      <c r="V296" s="3">
        <v>1</v>
      </c>
      <c r="W296" s="3"/>
    </row>
    <row r="297" spans="1:23" ht="36.5" customHeight="1">
      <c r="A297" s="19" t="s">
        <v>1191</v>
      </c>
      <c r="B297" s="19" t="s">
        <v>1199</v>
      </c>
      <c r="C297" s="23" t="s">
        <v>24</v>
      </c>
      <c r="D297" s="3" t="s">
        <v>27</v>
      </c>
      <c r="E297" s="3" t="s">
        <v>130</v>
      </c>
      <c r="F297" s="3" t="s">
        <v>74</v>
      </c>
      <c r="G297" s="3">
        <v>1988</v>
      </c>
      <c r="H297" s="4" t="s">
        <v>541</v>
      </c>
      <c r="I297" s="8" t="s">
        <v>2690</v>
      </c>
      <c r="J297" s="3" t="s">
        <v>534</v>
      </c>
      <c r="K297" s="3" t="s">
        <v>2276</v>
      </c>
      <c r="L297" s="3" t="s">
        <v>2276</v>
      </c>
      <c r="M297" s="3" t="s">
        <v>537</v>
      </c>
      <c r="N297" s="3" t="s">
        <v>2276</v>
      </c>
      <c r="O297" s="3" t="s">
        <v>2276</v>
      </c>
      <c r="P297" s="3" t="s">
        <v>2276</v>
      </c>
      <c r="Q297" s="3" t="s">
        <v>2276</v>
      </c>
      <c r="R297" s="3" t="s">
        <v>537</v>
      </c>
      <c r="S297" s="3" t="s">
        <v>2276</v>
      </c>
      <c r="T297" s="3" t="s">
        <v>2276</v>
      </c>
      <c r="U297" s="3" t="s">
        <v>2276</v>
      </c>
      <c r="V297" s="3" t="s">
        <v>2276</v>
      </c>
      <c r="W297" s="3"/>
    </row>
    <row r="298" spans="1:23" ht="35.5" customHeight="1">
      <c r="A298" s="19" t="s">
        <v>1195</v>
      </c>
      <c r="B298" s="19" t="s">
        <v>1200</v>
      </c>
      <c r="C298" s="23" t="s">
        <v>24</v>
      </c>
      <c r="D298" s="3" t="s">
        <v>27</v>
      </c>
      <c r="E298" s="3" t="s">
        <v>130</v>
      </c>
      <c r="F298" s="3" t="s">
        <v>74</v>
      </c>
      <c r="G298" s="3">
        <v>1995</v>
      </c>
      <c r="H298" s="4" t="s">
        <v>541</v>
      </c>
      <c r="I298" s="8" t="s">
        <v>2690</v>
      </c>
      <c r="J298" s="3" t="s">
        <v>534</v>
      </c>
      <c r="K298" s="3" t="s">
        <v>2276</v>
      </c>
      <c r="L298" s="3" t="s">
        <v>2276</v>
      </c>
      <c r="M298" s="3" t="s">
        <v>534</v>
      </c>
      <c r="N298" s="3" t="s">
        <v>534</v>
      </c>
      <c r="O298" s="3" t="s">
        <v>534</v>
      </c>
      <c r="P298" s="3" t="s">
        <v>2276</v>
      </c>
      <c r="Q298" s="3">
        <v>3</v>
      </c>
      <c r="R298" s="3" t="s">
        <v>534</v>
      </c>
      <c r="S298" s="3" t="s">
        <v>534</v>
      </c>
      <c r="T298" s="3" t="s">
        <v>534</v>
      </c>
      <c r="U298" s="3" t="s">
        <v>2276</v>
      </c>
      <c r="V298" s="3">
        <v>3</v>
      </c>
      <c r="W298" s="3"/>
    </row>
    <row r="299" spans="1:23" ht="41.5" customHeight="1">
      <c r="A299" s="19" t="s">
        <v>1196</v>
      </c>
      <c r="B299" s="19" t="s">
        <v>1201</v>
      </c>
      <c r="C299" s="23" t="s">
        <v>24</v>
      </c>
      <c r="D299" s="3" t="s">
        <v>27</v>
      </c>
      <c r="E299" s="3" t="s">
        <v>130</v>
      </c>
      <c r="F299" s="3" t="s">
        <v>74</v>
      </c>
      <c r="G299" s="3">
        <v>2000</v>
      </c>
      <c r="H299" s="4" t="s">
        <v>541</v>
      </c>
      <c r="I299" s="8" t="s">
        <v>2690</v>
      </c>
      <c r="J299" s="3" t="s">
        <v>534</v>
      </c>
      <c r="K299" s="3" t="s">
        <v>2276</v>
      </c>
      <c r="L299" s="3" t="s">
        <v>2276</v>
      </c>
      <c r="M299" s="3" t="s">
        <v>534</v>
      </c>
      <c r="N299" s="3" t="s">
        <v>534</v>
      </c>
      <c r="O299" s="3" t="s">
        <v>534</v>
      </c>
      <c r="P299" s="3" t="s">
        <v>2276</v>
      </c>
      <c r="Q299" s="3">
        <v>3</v>
      </c>
      <c r="R299" s="3" t="s">
        <v>534</v>
      </c>
      <c r="S299" s="3" t="s">
        <v>534</v>
      </c>
      <c r="T299" s="3" t="s">
        <v>534</v>
      </c>
      <c r="U299" s="3" t="s">
        <v>2276</v>
      </c>
      <c r="V299" s="3">
        <v>3</v>
      </c>
      <c r="W299" s="3"/>
    </row>
    <row r="300" spans="1:23" ht="57.5" customHeight="1">
      <c r="A300" s="19" t="s">
        <v>1206</v>
      </c>
      <c r="B300" s="19" t="s">
        <v>1210</v>
      </c>
      <c r="C300" s="23" t="s">
        <v>24</v>
      </c>
      <c r="D300" s="3" t="s">
        <v>27</v>
      </c>
      <c r="E300" s="3" t="s">
        <v>130</v>
      </c>
      <c r="F300" s="3" t="s">
        <v>1105</v>
      </c>
      <c r="G300" s="3"/>
      <c r="H300" s="4" t="s">
        <v>541</v>
      </c>
      <c r="I300" s="3" t="s">
        <v>2690</v>
      </c>
      <c r="J300" s="3" t="s">
        <v>2276</v>
      </c>
      <c r="K300" s="3" t="s">
        <v>534</v>
      </c>
      <c r="L300" s="3" t="s">
        <v>534</v>
      </c>
      <c r="M300" s="3" t="s">
        <v>2276</v>
      </c>
      <c r="N300" s="3" t="s">
        <v>2276</v>
      </c>
      <c r="O300" s="3" t="s">
        <v>2276</v>
      </c>
      <c r="P300" s="3" t="s">
        <v>2276</v>
      </c>
      <c r="Q300" s="3" t="s">
        <v>2276</v>
      </c>
      <c r="R300" s="3" t="s">
        <v>2276</v>
      </c>
      <c r="S300" s="3" t="s">
        <v>2276</v>
      </c>
      <c r="T300" s="3" t="s">
        <v>2276</v>
      </c>
      <c r="U300" s="3" t="s">
        <v>2276</v>
      </c>
      <c r="V300" s="3" t="s">
        <v>2276</v>
      </c>
      <c r="W300" s="4" t="s">
        <v>1222</v>
      </c>
    </row>
    <row r="301" spans="1:23" ht="65.5" customHeight="1">
      <c r="A301" s="19" t="s">
        <v>1208</v>
      </c>
      <c r="B301" s="19" t="s">
        <v>1220</v>
      </c>
      <c r="C301" s="23" t="s">
        <v>24</v>
      </c>
      <c r="D301" s="3" t="s">
        <v>27</v>
      </c>
      <c r="E301" s="3" t="s">
        <v>130</v>
      </c>
      <c r="F301" s="3" t="s">
        <v>1105</v>
      </c>
      <c r="G301" s="3"/>
      <c r="H301" s="4" t="s">
        <v>541</v>
      </c>
      <c r="I301" s="3" t="s">
        <v>2690</v>
      </c>
      <c r="J301" s="3" t="s">
        <v>2276</v>
      </c>
      <c r="K301" s="3" t="s">
        <v>534</v>
      </c>
      <c r="L301" s="3" t="s">
        <v>534</v>
      </c>
      <c r="M301" s="3" t="s">
        <v>2276</v>
      </c>
      <c r="N301" s="3" t="s">
        <v>2276</v>
      </c>
      <c r="O301" s="3" t="s">
        <v>2276</v>
      </c>
      <c r="P301" s="3" t="s">
        <v>2276</v>
      </c>
      <c r="Q301" s="3" t="s">
        <v>2276</v>
      </c>
      <c r="R301" s="3" t="s">
        <v>2276</v>
      </c>
      <c r="S301" s="3" t="s">
        <v>2276</v>
      </c>
      <c r="T301" s="3" t="s">
        <v>2276</v>
      </c>
      <c r="U301" s="3" t="s">
        <v>2276</v>
      </c>
      <c r="V301" s="3" t="s">
        <v>2276</v>
      </c>
      <c r="W301" s="4" t="s">
        <v>1222</v>
      </c>
    </row>
    <row r="302" spans="1:23" ht="58.5" customHeight="1">
      <c r="A302" s="3" t="s">
        <v>2446</v>
      </c>
      <c r="B302" s="3" t="s">
        <v>2453</v>
      </c>
      <c r="C302" s="23" t="s">
        <v>24</v>
      </c>
      <c r="D302" s="3" t="s">
        <v>27</v>
      </c>
      <c r="E302" s="3" t="s">
        <v>130</v>
      </c>
      <c r="F302" s="3" t="s">
        <v>1105</v>
      </c>
      <c r="G302" s="3"/>
      <c r="H302" s="4" t="s">
        <v>543</v>
      </c>
      <c r="I302" s="3" t="s">
        <v>537</v>
      </c>
      <c r="J302" s="3" t="s">
        <v>537</v>
      </c>
      <c r="K302" s="3" t="s">
        <v>2276</v>
      </c>
      <c r="L302" s="3" t="s">
        <v>2276</v>
      </c>
      <c r="M302" s="3" t="s">
        <v>2276</v>
      </c>
      <c r="N302" s="3" t="s">
        <v>2276</v>
      </c>
      <c r="O302" s="3" t="s">
        <v>2276</v>
      </c>
      <c r="P302" s="3" t="s">
        <v>2276</v>
      </c>
      <c r="Q302" s="3" t="s">
        <v>2276</v>
      </c>
      <c r="R302" s="3" t="s">
        <v>2276</v>
      </c>
      <c r="S302" s="3" t="s">
        <v>2276</v>
      </c>
      <c r="T302" s="3" t="s">
        <v>2276</v>
      </c>
      <c r="U302" s="3" t="s">
        <v>2276</v>
      </c>
      <c r="V302" s="3" t="s">
        <v>2276</v>
      </c>
      <c r="W302" s="4" t="s">
        <v>2461</v>
      </c>
    </row>
    <row r="303" spans="1:23" ht="60" customHeight="1">
      <c r="A303" s="3" t="s">
        <v>2449</v>
      </c>
      <c r="B303" s="3" t="s">
        <v>2460</v>
      </c>
      <c r="C303" s="23" t="s">
        <v>24</v>
      </c>
      <c r="D303" s="3" t="s">
        <v>27</v>
      </c>
      <c r="E303" s="3" t="s">
        <v>130</v>
      </c>
      <c r="F303" s="3" t="s">
        <v>1105</v>
      </c>
      <c r="G303" s="3"/>
      <c r="H303" s="4" t="s">
        <v>543</v>
      </c>
      <c r="I303" s="3" t="s">
        <v>537</v>
      </c>
      <c r="J303" s="3" t="s">
        <v>537</v>
      </c>
      <c r="K303" s="3" t="s">
        <v>2276</v>
      </c>
      <c r="L303" s="3" t="s">
        <v>2276</v>
      </c>
      <c r="M303" s="3" t="s">
        <v>2276</v>
      </c>
      <c r="N303" s="3" t="s">
        <v>2276</v>
      </c>
      <c r="O303" s="3" t="s">
        <v>2276</v>
      </c>
      <c r="P303" s="3" t="s">
        <v>2276</v>
      </c>
      <c r="Q303" s="3" t="s">
        <v>2276</v>
      </c>
      <c r="R303" s="3" t="s">
        <v>2276</v>
      </c>
      <c r="S303" s="3" t="s">
        <v>2276</v>
      </c>
      <c r="T303" s="3" t="s">
        <v>2276</v>
      </c>
      <c r="U303" s="3" t="s">
        <v>2276</v>
      </c>
      <c r="V303" s="3" t="s">
        <v>2276</v>
      </c>
      <c r="W303" s="4" t="s">
        <v>2461</v>
      </c>
    </row>
    <row r="304" spans="1:23" ht="73" customHeight="1">
      <c r="A304" s="19" t="s">
        <v>2624</v>
      </c>
      <c r="B304" s="19" t="s">
        <v>2630</v>
      </c>
      <c r="C304" s="23" t="s">
        <v>24</v>
      </c>
      <c r="D304" s="3" t="s">
        <v>27</v>
      </c>
      <c r="E304" s="3" t="s">
        <v>130</v>
      </c>
      <c r="F304" s="11" t="s">
        <v>74</v>
      </c>
      <c r="G304" s="3"/>
      <c r="H304" s="4" t="s">
        <v>541</v>
      </c>
      <c r="I304" s="3" t="s">
        <v>2690</v>
      </c>
      <c r="J304" s="3" t="s">
        <v>534</v>
      </c>
      <c r="K304" s="3" t="s">
        <v>2276</v>
      </c>
      <c r="L304" s="3" t="s">
        <v>2276</v>
      </c>
      <c r="M304" s="3" t="s">
        <v>2276</v>
      </c>
      <c r="N304" s="3" t="s">
        <v>2276</v>
      </c>
      <c r="O304" s="3" t="s">
        <v>2276</v>
      </c>
      <c r="P304" s="3" t="s">
        <v>2276</v>
      </c>
      <c r="Q304" s="3" t="s">
        <v>2276</v>
      </c>
      <c r="R304" s="3" t="s">
        <v>534</v>
      </c>
      <c r="S304" s="3" t="s">
        <v>534</v>
      </c>
      <c r="T304" s="3" t="s">
        <v>2276</v>
      </c>
      <c r="U304" s="3" t="s">
        <v>2276</v>
      </c>
      <c r="V304" s="3" t="s">
        <v>2276</v>
      </c>
      <c r="W304" s="4" t="s">
        <v>2697</v>
      </c>
    </row>
    <row r="305" spans="1:23" ht="43.5" customHeight="1">
      <c r="A305" s="19" t="s">
        <v>2624</v>
      </c>
      <c r="B305" s="19" t="s">
        <v>2631</v>
      </c>
      <c r="C305" s="23" t="s">
        <v>24</v>
      </c>
      <c r="D305" s="3" t="s">
        <v>27</v>
      </c>
      <c r="E305" s="3" t="s">
        <v>130</v>
      </c>
      <c r="F305" s="11" t="s">
        <v>74</v>
      </c>
      <c r="G305" s="3"/>
      <c r="H305" s="4" t="s">
        <v>2632</v>
      </c>
      <c r="I305" s="3" t="s">
        <v>2690</v>
      </c>
      <c r="J305" s="3" t="s">
        <v>537</v>
      </c>
      <c r="K305" s="3" t="s">
        <v>534</v>
      </c>
      <c r="L305" s="3" t="s">
        <v>2276</v>
      </c>
      <c r="M305" s="3" t="s">
        <v>2276</v>
      </c>
      <c r="N305" s="3" t="s">
        <v>2276</v>
      </c>
      <c r="O305" s="3" t="s">
        <v>2276</v>
      </c>
      <c r="P305" s="3" t="s">
        <v>2276</v>
      </c>
      <c r="Q305" s="3" t="s">
        <v>2276</v>
      </c>
      <c r="R305" s="3" t="s">
        <v>2276</v>
      </c>
      <c r="S305" s="3" t="s">
        <v>2276</v>
      </c>
      <c r="T305" s="3" t="s">
        <v>2276</v>
      </c>
      <c r="U305" s="3" t="s">
        <v>2276</v>
      </c>
      <c r="V305" s="3" t="s">
        <v>2276</v>
      </c>
      <c r="W305" s="4" t="s">
        <v>2686</v>
      </c>
    </row>
    <row r="306" spans="1:23" ht="127" customHeight="1">
      <c r="A306" s="19" t="s">
        <v>2624</v>
      </c>
      <c r="B306" s="19" t="s">
        <v>2689</v>
      </c>
      <c r="C306" s="23" t="s">
        <v>24</v>
      </c>
      <c r="D306" s="3" t="s">
        <v>27</v>
      </c>
      <c r="E306" s="3" t="s">
        <v>130</v>
      </c>
      <c r="F306" s="11" t="s">
        <v>74</v>
      </c>
      <c r="G306" s="3"/>
      <c r="H306" s="4" t="s">
        <v>541</v>
      </c>
      <c r="I306" s="3" t="s">
        <v>2691</v>
      </c>
      <c r="J306" s="3" t="s">
        <v>534</v>
      </c>
      <c r="K306" s="3" t="s">
        <v>2276</v>
      </c>
      <c r="L306" s="3" t="s">
        <v>537</v>
      </c>
      <c r="M306" s="3" t="s">
        <v>2276</v>
      </c>
      <c r="N306" s="3" t="s">
        <v>2276</v>
      </c>
      <c r="O306" s="3" t="s">
        <v>2276</v>
      </c>
      <c r="P306" s="3" t="s">
        <v>2276</v>
      </c>
      <c r="Q306" s="3" t="s">
        <v>2276</v>
      </c>
      <c r="R306" s="3" t="s">
        <v>534</v>
      </c>
      <c r="S306" s="3" t="s">
        <v>534</v>
      </c>
      <c r="T306" s="3" t="s">
        <v>2276</v>
      </c>
      <c r="U306" s="3" t="s">
        <v>2276</v>
      </c>
      <c r="V306" s="3" t="s">
        <v>2276</v>
      </c>
      <c r="W306" s="4" t="s">
        <v>2696</v>
      </c>
    </row>
    <row r="307" spans="1:23" ht="88" customHeight="1">
      <c r="A307" s="19" t="s">
        <v>2624</v>
      </c>
      <c r="B307" s="19" t="s">
        <v>2698</v>
      </c>
      <c r="C307" s="23" t="s">
        <v>24</v>
      </c>
      <c r="D307" s="3" t="s">
        <v>143</v>
      </c>
      <c r="E307" s="3" t="s">
        <v>84</v>
      </c>
      <c r="F307" s="11" t="s">
        <v>74</v>
      </c>
      <c r="G307" s="3"/>
      <c r="H307" s="4" t="s">
        <v>541</v>
      </c>
      <c r="I307" s="3" t="s">
        <v>2276</v>
      </c>
      <c r="J307" s="3" t="s">
        <v>2276</v>
      </c>
      <c r="K307" s="3" t="s">
        <v>2276</v>
      </c>
      <c r="L307" s="3" t="s">
        <v>2276</v>
      </c>
      <c r="M307" s="3" t="s">
        <v>2669</v>
      </c>
      <c r="N307" s="3" t="s">
        <v>2276</v>
      </c>
      <c r="O307" s="3" t="s">
        <v>534</v>
      </c>
      <c r="P307" s="3" t="s">
        <v>2276</v>
      </c>
      <c r="Q307" s="3" t="s">
        <v>2276</v>
      </c>
      <c r="R307" s="3" t="s">
        <v>537</v>
      </c>
      <c r="S307" s="3" t="s">
        <v>537</v>
      </c>
      <c r="T307" s="3" t="s">
        <v>537</v>
      </c>
      <c r="U307" s="3" t="s">
        <v>537</v>
      </c>
      <c r="V307" s="3" t="s">
        <v>2276</v>
      </c>
      <c r="W307" s="4" t="s">
        <v>2699</v>
      </c>
    </row>
    <row r="308" spans="1:23" ht="81" customHeight="1">
      <c r="A308" s="19" t="s">
        <v>2625</v>
      </c>
      <c r="B308" s="19" t="s">
        <v>2629</v>
      </c>
      <c r="C308" s="23" t="s">
        <v>24</v>
      </c>
      <c r="D308" s="3" t="s">
        <v>27</v>
      </c>
      <c r="E308" s="3" t="s">
        <v>130</v>
      </c>
      <c r="F308" s="11" t="s">
        <v>74</v>
      </c>
      <c r="G308" s="3"/>
      <c r="H308" s="4" t="s">
        <v>541</v>
      </c>
      <c r="I308" s="3" t="s">
        <v>2690</v>
      </c>
      <c r="J308" s="3" t="s">
        <v>534</v>
      </c>
      <c r="K308" s="3" t="s">
        <v>2276</v>
      </c>
      <c r="L308" s="3" t="s">
        <v>2276</v>
      </c>
      <c r="M308" s="3" t="s">
        <v>2276</v>
      </c>
      <c r="N308" s="3" t="s">
        <v>2276</v>
      </c>
      <c r="O308" s="3" t="s">
        <v>2276</v>
      </c>
      <c r="P308" s="3" t="s">
        <v>2276</v>
      </c>
      <c r="Q308" s="3" t="s">
        <v>2276</v>
      </c>
      <c r="R308" s="3" t="s">
        <v>534</v>
      </c>
      <c r="S308" s="3" t="s">
        <v>534</v>
      </c>
      <c r="T308" s="3" t="s">
        <v>2276</v>
      </c>
      <c r="U308" s="3" t="s">
        <v>2276</v>
      </c>
      <c r="V308" s="3" t="s">
        <v>2276</v>
      </c>
      <c r="W308" s="4" t="s">
        <v>2697</v>
      </c>
    </row>
    <row r="309" spans="1:23" ht="101" customHeight="1">
      <c r="A309" s="19" t="s">
        <v>2625</v>
      </c>
      <c r="B309" s="19" t="s">
        <v>2687</v>
      </c>
      <c r="C309" s="23" t="s">
        <v>24</v>
      </c>
      <c r="D309" s="3" t="s">
        <v>27</v>
      </c>
      <c r="E309" s="3" t="s">
        <v>130</v>
      </c>
      <c r="F309" s="11" t="s">
        <v>74</v>
      </c>
      <c r="G309" s="3"/>
      <c r="H309" s="4" t="s">
        <v>2632</v>
      </c>
      <c r="I309" s="3" t="s">
        <v>2690</v>
      </c>
      <c r="J309" s="3" t="s">
        <v>537</v>
      </c>
      <c r="K309" s="3" t="s">
        <v>534</v>
      </c>
      <c r="L309" s="3" t="s">
        <v>2276</v>
      </c>
      <c r="M309" s="3" t="s">
        <v>2669</v>
      </c>
      <c r="N309" s="3" t="s">
        <v>2276</v>
      </c>
      <c r="O309" s="3" t="s">
        <v>534</v>
      </c>
      <c r="P309" s="3" t="s">
        <v>2276</v>
      </c>
      <c r="Q309" s="3" t="s">
        <v>2276</v>
      </c>
      <c r="R309" s="3" t="s">
        <v>2276</v>
      </c>
      <c r="S309" s="3" t="s">
        <v>2276</v>
      </c>
      <c r="T309" s="3" t="s">
        <v>2276</v>
      </c>
      <c r="U309" s="3" t="s">
        <v>2276</v>
      </c>
      <c r="V309" s="3" t="s">
        <v>2276</v>
      </c>
      <c r="W309" s="4" t="s">
        <v>2704</v>
      </c>
    </row>
    <row r="310" spans="1:23" ht="124" customHeight="1">
      <c r="A310" s="19" t="s">
        <v>2625</v>
      </c>
      <c r="B310" s="19" t="s">
        <v>2694</v>
      </c>
      <c r="C310" s="23" t="s">
        <v>24</v>
      </c>
      <c r="D310" s="3" t="s">
        <v>27</v>
      </c>
      <c r="E310" s="3" t="s">
        <v>130</v>
      </c>
      <c r="F310" s="11" t="s">
        <v>74</v>
      </c>
      <c r="G310" s="3"/>
      <c r="H310" s="4" t="s">
        <v>541</v>
      </c>
      <c r="I310" s="3" t="s">
        <v>2691</v>
      </c>
      <c r="J310" s="3" t="s">
        <v>534</v>
      </c>
      <c r="K310" s="3" t="s">
        <v>2276</v>
      </c>
      <c r="L310" s="3" t="s">
        <v>537</v>
      </c>
      <c r="M310" s="3" t="s">
        <v>2276</v>
      </c>
      <c r="N310" s="3" t="s">
        <v>2276</v>
      </c>
      <c r="O310" s="3" t="s">
        <v>2276</v>
      </c>
      <c r="P310" s="3" t="s">
        <v>2276</v>
      </c>
      <c r="Q310" s="3" t="s">
        <v>2276</v>
      </c>
      <c r="R310" s="3" t="s">
        <v>534</v>
      </c>
      <c r="S310" s="3" t="s">
        <v>534</v>
      </c>
      <c r="T310" s="3" t="s">
        <v>2276</v>
      </c>
      <c r="U310" s="3" t="s">
        <v>2276</v>
      </c>
      <c r="V310" s="3" t="s">
        <v>2276</v>
      </c>
      <c r="W310" s="4" t="s">
        <v>2696</v>
      </c>
    </row>
    <row r="311" spans="1:23" ht="72" customHeight="1">
      <c r="A311" s="19" t="s">
        <v>2625</v>
      </c>
      <c r="B311" s="19" t="s">
        <v>2700</v>
      </c>
      <c r="C311" s="23" t="s">
        <v>24</v>
      </c>
      <c r="D311" s="3" t="s">
        <v>143</v>
      </c>
      <c r="E311" s="3" t="s">
        <v>84</v>
      </c>
      <c r="F311" s="11" t="s">
        <v>74</v>
      </c>
      <c r="G311" s="3"/>
      <c r="H311" s="4" t="s">
        <v>541</v>
      </c>
      <c r="I311" s="3" t="s">
        <v>2276</v>
      </c>
      <c r="J311" s="3" t="s">
        <v>2276</v>
      </c>
      <c r="K311" s="3" t="s">
        <v>2276</v>
      </c>
      <c r="L311" s="3" t="s">
        <v>2276</v>
      </c>
      <c r="M311" s="3" t="s">
        <v>2669</v>
      </c>
      <c r="N311" s="3" t="s">
        <v>2276</v>
      </c>
      <c r="O311" s="3" t="s">
        <v>534</v>
      </c>
      <c r="P311" s="3" t="s">
        <v>2276</v>
      </c>
      <c r="Q311" s="3" t="s">
        <v>2276</v>
      </c>
      <c r="R311" s="3" t="s">
        <v>537</v>
      </c>
      <c r="S311" s="3" t="s">
        <v>537</v>
      </c>
      <c r="T311" s="3" t="s">
        <v>537</v>
      </c>
      <c r="U311" s="3" t="s">
        <v>537</v>
      </c>
      <c r="V311" s="3" t="s">
        <v>2276</v>
      </c>
      <c r="W311" s="4" t="s">
        <v>2699</v>
      </c>
    </row>
    <row r="312" spans="1:23" ht="59" customHeight="1">
      <c r="A312" s="19" t="s">
        <v>2678</v>
      </c>
      <c r="B312" s="19" t="s">
        <v>2681</v>
      </c>
      <c r="C312" s="23" t="s">
        <v>24</v>
      </c>
      <c r="D312" s="3" t="s">
        <v>143</v>
      </c>
      <c r="E312" s="3" t="s">
        <v>84</v>
      </c>
      <c r="F312" s="11" t="s">
        <v>74</v>
      </c>
      <c r="G312" s="3"/>
      <c r="H312" s="4" t="s">
        <v>541</v>
      </c>
      <c r="I312" s="3" t="s">
        <v>2276</v>
      </c>
      <c r="J312" s="3" t="s">
        <v>2276</v>
      </c>
      <c r="K312" s="3" t="s">
        <v>2276</v>
      </c>
      <c r="L312" s="3" t="s">
        <v>2276</v>
      </c>
      <c r="M312" s="3" t="s">
        <v>2669</v>
      </c>
      <c r="N312" s="3" t="s">
        <v>2276</v>
      </c>
      <c r="O312" s="3" t="s">
        <v>534</v>
      </c>
      <c r="P312" s="3" t="s">
        <v>2276</v>
      </c>
      <c r="Q312" s="3" t="s">
        <v>2276</v>
      </c>
      <c r="R312" s="3" t="s">
        <v>537</v>
      </c>
      <c r="S312" s="3" t="s">
        <v>537</v>
      </c>
      <c r="T312" s="3" t="s">
        <v>537</v>
      </c>
      <c r="U312" s="3" t="s">
        <v>537</v>
      </c>
      <c r="V312" s="3" t="s">
        <v>2276</v>
      </c>
      <c r="W312" s="4" t="s">
        <v>2699</v>
      </c>
    </row>
    <row r="313" spans="1:23" ht="60" customHeight="1">
      <c r="A313" s="19" t="s">
        <v>2678</v>
      </c>
      <c r="B313" s="19" t="s">
        <v>2701</v>
      </c>
      <c r="C313" s="23" t="s">
        <v>24</v>
      </c>
      <c r="D313" s="3" t="s">
        <v>27</v>
      </c>
      <c r="E313" s="3" t="s">
        <v>130</v>
      </c>
      <c r="F313" s="11" t="s">
        <v>74</v>
      </c>
      <c r="G313" s="3"/>
      <c r="H313" s="4" t="s">
        <v>541</v>
      </c>
      <c r="I313" s="3" t="s">
        <v>2276</v>
      </c>
      <c r="J313" s="3" t="s">
        <v>2276</v>
      </c>
      <c r="K313" s="3" t="s">
        <v>2276</v>
      </c>
      <c r="L313" s="3" t="s">
        <v>2276</v>
      </c>
      <c r="M313" s="3" t="s">
        <v>2276</v>
      </c>
      <c r="N313" s="3" t="s">
        <v>2276</v>
      </c>
      <c r="O313" s="3" t="s">
        <v>2276</v>
      </c>
      <c r="P313" s="3" t="s">
        <v>2276</v>
      </c>
      <c r="Q313" s="3" t="s">
        <v>2276</v>
      </c>
      <c r="R313" s="3" t="s">
        <v>534</v>
      </c>
      <c r="S313" s="3" t="s">
        <v>534</v>
      </c>
      <c r="T313" s="3" t="s">
        <v>2276</v>
      </c>
      <c r="U313" s="3" t="s">
        <v>2276</v>
      </c>
      <c r="V313" s="3" t="s">
        <v>2276</v>
      </c>
      <c r="W313" s="4" t="s">
        <v>2702</v>
      </c>
    </row>
    <row r="314" spans="1:23" ht="55.5" customHeight="1">
      <c r="A314" s="19" t="s">
        <v>2682</v>
      </c>
      <c r="B314" s="19" t="s">
        <v>2685</v>
      </c>
      <c r="C314" s="23" t="s">
        <v>24</v>
      </c>
      <c r="D314" s="3" t="s">
        <v>143</v>
      </c>
      <c r="E314" s="3" t="s">
        <v>84</v>
      </c>
      <c r="F314" s="11" t="s">
        <v>74</v>
      </c>
      <c r="G314" s="3"/>
      <c r="H314" s="4" t="s">
        <v>541</v>
      </c>
      <c r="I314" s="3" t="s">
        <v>2276</v>
      </c>
      <c r="J314" s="3" t="s">
        <v>2276</v>
      </c>
      <c r="K314" s="3" t="s">
        <v>2276</v>
      </c>
      <c r="L314" s="3" t="s">
        <v>2276</v>
      </c>
      <c r="M314" s="3" t="s">
        <v>2669</v>
      </c>
      <c r="N314" s="3" t="s">
        <v>2276</v>
      </c>
      <c r="O314" s="3" t="s">
        <v>534</v>
      </c>
      <c r="P314" s="3" t="s">
        <v>2276</v>
      </c>
      <c r="Q314" s="3" t="s">
        <v>2276</v>
      </c>
      <c r="R314" s="3" t="s">
        <v>537</v>
      </c>
      <c r="S314" s="3" t="s">
        <v>537</v>
      </c>
      <c r="T314" s="3" t="s">
        <v>537</v>
      </c>
      <c r="U314" s="3" t="s">
        <v>537</v>
      </c>
      <c r="V314" s="3" t="s">
        <v>2276</v>
      </c>
      <c r="W314" s="4" t="s">
        <v>2699</v>
      </c>
    </row>
    <row r="315" spans="1:23" ht="54.5" customHeight="1">
      <c r="A315" s="19" t="s">
        <v>2682</v>
      </c>
      <c r="B315" s="19" t="s">
        <v>2703</v>
      </c>
      <c r="C315" s="23" t="s">
        <v>24</v>
      </c>
      <c r="D315" s="3" t="s">
        <v>27</v>
      </c>
      <c r="E315" s="3" t="s">
        <v>130</v>
      </c>
      <c r="F315" s="11" t="s">
        <v>74</v>
      </c>
      <c r="G315" s="3"/>
      <c r="H315" s="4" t="s">
        <v>541</v>
      </c>
      <c r="I315" s="3" t="s">
        <v>2276</v>
      </c>
      <c r="J315" s="3" t="s">
        <v>2276</v>
      </c>
      <c r="K315" s="3" t="s">
        <v>2276</v>
      </c>
      <c r="L315" s="3" t="s">
        <v>2276</v>
      </c>
      <c r="M315" s="3" t="s">
        <v>2276</v>
      </c>
      <c r="N315" s="3" t="s">
        <v>2276</v>
      </c>
      <c r="O315" s="3" t="s">
        <v>2276</v>
      </c>
      <c r="P315" s="3" t="s">
        <v>2276</v>
      </c>
      <c r="Q315" s="3" t="s">
        <v>2276</v>
      </c>
      <c r="R315" s="3" t="s">
        <v>534</v>
      </c>
      <c r="S315" s="3" t="s">
        <v>534</v>
      </c>
      <c r="T315" s="3" t="s">
        <v>2276</v>
      </c>
      <c r="U315" s="3" t="s">
        <v>2276</v>
      </c>
      <c r="V315" s="3" t="s">
        <v>2276</v>
      </c>
      <c r="W315" s="4" t="s">
        <v>2702</v>
      </c>
    </row>
    <row r="316" spans="1:23" ht="49.5" customHeight="1">
      <c r="A316" s="3" t="s">
        <v>2707</v>
      </c>
      <c r="B316" s="3" t="s">
        <v>2721</v>
      </c>
      <c r="C316" s="3" t="s">
        <v>24</v>
      </c>
      <c r="D316" s="3" t="s">
        <v>1105</v>
      </c>
      <c r="E316" s="3" t="s">
        <v>1105</v>
      </c>
      <c r="F316" s="11" t="s">
        <v>74</v>
      </c>
      <c r="G316" s="3"/>
      <c r="H316" s="4" t="s">
        <v>541</v>
      </c>
      <c r="I316" s="3" t="s">
        <v>2276</v>
      </c>
      <c r="J316" s="3" t="s">
        <v>2276</v>
      </c>
      <c r="K316" s="3" t="s">
        <v>2276</v>
      </c>
      <c r="L316" s="3" t="s">
        <v>2276</v>
      </c>
      <c r="M316" s="3" t="s">
        <v>2728</v>
      </c>
      <c r="N316" s="3" t="s">
        <v>2276</v>
      </c>
      <c r="O316" s="3" t="s">
        <v>2276</v>
      </c>
      <c r="P316" s="3" t="s">
        <v>2276</v>
      </c>
      <c r="Q316" s="3">
        <v>4</v>
      </c>
      <c r="R316" s="3" t="s">
        <v>2276</v>
      </c>
      <c r="S316" s="3" t="s">
        <v>2276</v>
      </c>
      <c r="T316" s="3" t="s">
        <v>2276</v>
      </c>
      <c r="U316" s="3" t="s">
        <v>2276</v>
      </c>
      <c r="V316" s="3" t="s">
        <v>2276</v>
      </c>
      <c r="W316" s="4" t="s">
        <v>2741</v>
      </c>
    </row>
    <row r="317" spans="1:23" ht="49.5" customHeight="1">
      <c r="A317" s="3" t="s">
        <v>2707</v>
      </c>
      <c r="B317" s="3" t="s">
        <v>2722</v>
      </c>
      <c r="C317" s="3" t="s">
        <v>24</v>
      </c>
      <c r="D317" s="3" t="s">
        <v>27</v>
      </c>
      <c r="E317" s="3" t="s">
        <v>130</v>
      </c>
      <c r="F317" s="11" t="s">
        <v>74</v>
      </c>
      <c r="G317" s="3"/>
      <c r="H317" s="4" t="s">
        <v>2723</v>
      </c>
      <c r="I317" s="3" t="s">
        <v>534</v>
      </c>
      <c r="J317" s="3" t="s">
        <v>2276</v>
      </c>
      <c r="K317" s="3" t="s">
        <v>534</v>
      </c>
      <c r="L317" s="3" t="s">
        <v>2276</v>
      </c>
      <c r="M317" s="3" t="s">
        <v>2276</v>
      </c>
      <c r="N317" s="3" t="s">
        <v>2276</v>
      </c>
      <c r="O317" s="3" t="s">
        <v>2276</v>
      </c>
      <c r="P317" s="3" t="s">
        <v>2276</v>
      </c>
      <c r="Q317" s="3" t="s">
        <v>2276</v>
      </c>
      <c r="R317" s="3" t="s">
        <v>2276</v>
      </c>
      <c r="S317" s="3" t="s">
        <v>2276</v>
      </c>
      <c r="T317" s="3" t="s">
        <v>2276</v>
      </c>
      <c r="U317" s="3" t="s">
        <v>2276</v>
      </c>
      <c r="V317" s="3" t="s">
        <v>2276</v>
      </c>
      <c r="W317" s="4" t="s">
        <v>2726</v>
      </c>
    </row>
    <row r="318" spans="1:23" ht="91" customHeight="1">
      <c r="A318" s="19" t="s">
        <v>2708</v>
      </c>
      <c r="B318" s="19" t="s">
        <v>2720</v>
      </c>
      <c r="C318" s="3" t="s">
        <v>24</v>
      </c>
      <c r="D318" s="3" t="s">
        <v>1105</v>
      </c>
      <c r="E318" s="3" t="s">
        <v>1105</v>
      </c>
      <c r="F318" s="11" t="s">
        <v>74</v>
      </c>
      <c r="G318" s="3"/>
      <c r="H318" s="4" t="s">
        <v>541</v>
      </c>
      <c r="I318" s="3" t="s">
        <v>2690</v>
      </c>
      <c r="J318" s="3" t="s">
        <v>534</v>
      </c>
      <c r="K318" s="3" t="s">
        <v>534</v>
      </c>
      <c r="L318" s="3" t="s">
        <v>2276</v>
      </c>
      <c r="M318" s="3" t="s">
        <v>2728</v>
      </c>
      <c r="N318" s="3" t="s">
        <v>2276</v>
      </c>
      <c r="O318" s="3" t="s">
        <v>2276</v>
      </c>
      <c r="P318" s="3" t="s">
        <v>2276</v>
      </c>
      <c r="Q318" s="3">
        <v>4</v>
      </c>
      <c r="R318" s="3" t="s">
        <v>2276</v>
      </c>
      <c r="S318" s="3" t="s">
        <v>2276</v>
      </c>
      <c r="T318" s="3" t="s">
        <v>2276</v>
      </c>
      <c r="U318" s="3" t="s">
        <v>2276</v>
      </c>
      <c r="V318" s="3" t="s">
        <v>2276</v>
      </c>
      <c r="W318" s="4" t="s">
        <v>2742</v>
      </c>
    </row>
    <row r="319" spans="1:23" ht="79" customHeight="1">
      <c r="A319" s="19" t="s">
        <v>2708</v>
      </c>
      <c r="B319" s="19" t="s">
        <v>2727</v>
      </c>
      <c r="C319" s="3" t="s">
        <v>24</v>
      </c>
      <c r="D319" s="3" t="s">
        <v>27</v>
      </c>
      <c r="E319" s="3" t="s">
        <v>130</v>
      </c>
      <c r="F319" s="11" t="s">
        <v>74</v>
      </c>
      <c r="G319" s="3"/>
      <c r="H319" s="4" t="s">
        <v>2673</v>
      </c>
      <c r="I319" s="3" t="s">
        <v>2690</v>
      </c>
      <c r="J319" s="3" t="s">
        <v>2276</v>
      </c>
      <c r="K319" s="3" t="s">
        <v>534</v>
      </c>
      <c r="L319" s="3" t="s">
        <v>2276</v>
      </c>
      <c r="M319" s="3" t="s">
        <v>2728</v>
      </c>
      <c r="N319" s="3" t="s">
        <v>2276</v>
      </c>
      <c r="O319" s="3" t="s">
        <v>2276</v>
      </c>
      <c r="P319" s="3" t="s">
        <v>2276</v>
      </c>
      <c r="Q319" s="3" t="s">
        <v>2276</v>
      </c>
      <c r="R319" s="3" t="s">
        <v>2276</v>
      </c>
      <c r="S319" s="3" t="s">
        <v>2276</v>
      </c>
      <c r="T319" s="3" t="s">
        <v>2276</v>
      </c>
      <c r="U319" s="3" t="s">
        <v>2276</v>
      </c>
      <c r="V319" s="3" t="s">
        <v>2276</v>
      </c>
      <c r="W319" s="4" t="s">
        <v>2729</v>
      </c>
    </row>
    <row r="320" spans="1:23" ht="65" customHeight="1">
      <c r="A320" s="3" t="s">
        <v>2709</v>
      </c>
      <c r="B320" s="3" t="s">
        <v>2716</v>
      </c>
      <c r="C320" s="3" t="s">
        <v>24</v>
      </c>
      <c r="D320" s="3" t="s">
        <v>1105</v>
      </c>
      <c r="E320" s="3" t="s">
        <v>1105</v>
      </c>
      <c r="F320" s="11" t="s">
        <v>74</v>
      </c>
      <c r="G320" s="3"/>
      <c r="H320" s="4" t="s">
        <v>541</v>
      </c>
      <c r="I320" s="3" t="s">
        <v>2276</v>
      </c>
      <c r="J320" s="3" t="s">
        <v>2276</v>
      </c>
      <c r="K320" s="3" t="s">
        <v>2276</v>
      </c>
      <c r="L320" s="3" t="s">
        <v>2276</v>
      </c>
      <c r="M320" s="3" t="s">
        <v>2728</v>
      </c>
      <c r="N320" s="3" t="s">
        <v>2276</v>
      </c>
      <c r="O320" s="3" t="s">
        <v>2276</v>
      </c>
      <c r="P320" s="3" t="s">
        <v>2276</v>
      </c>
      <c r="Q320" s="3">
        <v>4</v>
      </c>
      <c r="R320" s="3" t="s">
        <v>2276</v>
      </c>
      <c r="S320" s="3" t="s">
        <v>2276</v>
      </c>
      <c r="T320" s="3" t="s">
        <v>2276</v>
      </c>
      <c r="U320" s="3" t="s">
        <v>2276</v>
      </c>
      <c r="V320" s="3" t="s">
        <v>2276</v>
      </c>
      <c r="W320" s="4" t="s">
        <v>2741</v>
      </c>
    </row>
    <row r="321" spans="1:23" ht="56" customHeight="1">
      <c r="A321" s="3" t="s">
        <v>2709</v>
      </c>
      <c r="B321" s="3" t="s">
        <v>2730</v>
      </c>
      <c r="C321" s="3" t="s">
        <v>24</v>
      </c>
      <c r="D321" s="3" t="s">
        <v>1105</v>
      </c>
      <c r="E321" s="4" t="s">
        <v>84</v>
      </c>
      <c r="F321" s="11" t="s">
        <v>1105</v>
      </c>
      <c r="G321" s="3"/>
      <c r="H321" s="4" t="s">
        <v>2673</v>
      </c>
      <c r="I321" s="3" t="s">
        <v>2276</v>
      </c>
      <c r="J321" s="3" t="s">
        <v>2276</v>
      </c>
      <c r="K321" s="3" t="s">
        <v>2276</v>
      </c>
      <c r="L321" s="3" t="s">
        <v>2276</v>
      </c>
      <c r="M321" s="3" t="s">
        <v>2276</v>
      </c>
      <c r="N321" s="3" t="s">
        <v>2276</v>
      </c>
      <c r="O321" s="3" t="s">
        <v>2276</v>
      </c>
      <c r="P321" s="3" t="s">
        <v>2276</v>
      </c>
      <c r="Q321" s="3" t="s">
        <v>2276</v>
      </c>
      <c r="R321" s="3" t="s">
        <v>534</v>
      </c>
      <c r="S321" s="3" t="s">
        <v>2276</v>
      </c>
      <c r="T321" s="3" t="s">
        <v>534</v>
      </c>
      <c r="U321" s="3" t="s">
        <v>2276</v>
      </c>
      <c r="V321" s="3">
        <v>4</v>
      </c>
      <c r="W321" s="4" t="s">
        <v>2739</v>
      </c>
    </row>
    <row r="322" spans="1:23" ht="56" customHeight="1">
      <c r="A322" s="3" t="s">
        <v>2709</v>
      </c>
      <c r="B322" s="3" t="s">
        <v>2735</v>
      </c>
      <c r="C322" s="3" t="s">
        <v>24</v>
      </c>
      <c r="D322" s="3" t="s">
        <v>27</v>
      </c>
      <c r="E322" s="4" t="s">
        <v>84</v>
      </c>
      <c r="F322" s="11" t="s">
        <v>28</v>
      </c>
      <c r="G322" s="3"/>
      <c r="H322" s="4" t="s">
        <v>2673</v>
      </c>
      <c r="I322" s="3" t="s">
        <v>2690</v>
      </c>
      <c r="J322" s="3" t="s">
        <v>534</v>
      </c>
      <c r="K322" s="3" t="s">
        <v>2276</v>
      </c>
      <c r="L322" s="3" t="s">
        <v>2276</v>
      </c>
      <c r="M322" s="3" t="s">
        <v>2276</v>
      </c>
      <c r="N322" s="3" t="s">
        <v>2276</v>
      </c>
      <c r="O322" s="3" t="s">
        <v>2276</v>
      </c>
      <c r="P322" s="3" t="s">
        <v>2276</v>
      </c>
      <c r="Q322" s="3" t="s">
        <v>2276</v>
      </c>
      <c r="R322" s="3" t="s">
        <v>2276</v>
      </c>
      <c r="S322" s="3" t="s">
        <v>2276</v>
      </c>
      <c r="T322" s="3" t="s">
        <v>2276</v>
      </c>
      <c r="U322" s="3" t="s">
        <v>2276</v>
      </c>
      <c r="V322" s="3" t="s">
        <v>2276</v>
      </c>
      <c r="W322" s="4" t="s">
        <v>2738</v>
      </c>
    </row>
    <row r="323" spans="1:23" ht="47" customHeight="1">
      <c r="A323" s="3" t="s">
        <v>2709</v>
      </c>
      <c r="B323" s="3" t="s">
        <v>2737</v>
      </c>
      <c r="C323" s="3" t="s">
        <v>24</v>
      </c>
      <c r="D323" s="3" t="s">
        <v>27</v>
      </c>
      <c r="E323" s="3" t="s">
        <v>130</v>
      </c>
      <c r="F323" s="11" t="s">
        <v>1105</v>
      </c>
      <c r="G323" s="3"/>
      <c r="H323" s="4" t="s">
        <v>2673</v>
      </c>
      <c r="I323" s="3" t="s">
        <v>2276</v>
      </c>
      <c r="J323" s="3" t="s">
        <v>2276</v>
      </c>
      <c r="K323" s="3" t="s">
        <v>2276</v>
      </c>
      <c r="L323" s="3" t="s">
        <v>2276</v>
      </c>
      <c r="M323" s="3" t="s">
        <v>2276</v>
      </c>
      <c r="N323" s="3" t="s">
        <v>2276</v>
      </c>
      <c r="O323" s="3" t="s">
        <v>2276</v>
      </c>
      <c r="P323" s="3" t="s">
        <v>2276</v>
      </c>
      <c r="Q323" s="3" t="s">
        <v>2276</v>
      </c>
      <c r="R323" s="3" t="s">
        <v>534</v>
      </c>
      <c r="S323" s="3" t="s">
        <v>2276</v>
      </c>
      <c r="T323" s="3" t="s">
        <v>534</v>
      </c>
      <c r="U323" s="3" t="s">
        <v>2276</v>
      </c>
      <c r="V323" s="3">
        <v>1</v>
      </c>
      <c r="W323" s="4" t="s">
        <v>2736</v>
      </c>
    </row>
    <row r="324" spans="1:23" ht="136" customHeight="1">
      <c r="A324" s="3" t="s">
        <v>2769</v>
      </c>
      <c r="B324" s="11" t="s">
        <v>2770</v>
      </c>
      <c r="C324" s="11" t="s">
        <v>24</v>
      </c>
      <c r="D324" s="3" t="s">
        <v>27</v>
      </c>
      <c r="E324" s="3" t="s">
        <v>130</v>
      </c>
      <c r="F324" s="3" t="s">
        <v>74</v>
      </c>
      <c r="G324" s="3"/>
      <c r="H324" s="4" t="s">
        <v>541</v>
      </c>
      <c r="I324" s="3" t="s">
        <v>2690</v>
      </c>
      <c r="J324" s="3" t="s">
        <v>534</v>
      </c>
      <c r="K324" s="3" t="s">
        <v>534</v>
      </c>
      <c r="L324" s="3" t="s">
        <v>2276</v>
      </c>
      <c r="M324" s="3" t="s">
        <v>2669</v>
      </c>
      <c r="N324" s="3" t="s">
        <v>2276</v>
      </c>
      <c r="O324" s="3" t="s">
        <v>534</v>
      </c>
      <c r="P324" s="3" t="s">
        <v>2276</v>
      </c>
      <c r="Q324" s="3" t="s">
        <v>2276</v>
      </c>
      <c r="R324" s="3" t="s">
        <v>534</v>
      </c>
      <c r="S324" s="3" t="s">
        <v>534</v>
      </c>
      <c r="T324" s="3" t="s">
        <v>534</v>
      </c>
      <c r="U324" s="3"/>
      <c r="V324" s="3">
        <v>1</v>
      </c>
      <c r="W324" s="19" t="s">
        <v>2788</v>
      </c>
    </row>
    <row r="325" spans="1:23" ht="63" customHeight="1">
      <c r="A325" s="3" t="s">
        <v>2769</v>
      </c>
      <c r="B325" s="11" t="s">
        <v>2771</v>
      </c>
      <c r="C325" s="11" t="s">
        <v>24</v>
      </c>
      <c r="D325" s="3" t="s">
        <v>27</v>
      </c>
      <c r="E325" s="3" t="s">
        <v>130</v>
      </c>
      <c r="F325" s="3" t="s">
        <v>74</v>
      </c>
      <c r="G325" s="3"/>
      <c r="H325" s="4" t="s">
        <v>2673</v>
      </c>
      <c r="I325" s="3" t="s">
        <v>2276</v>
      </c>
      <c r="J325" s="3" t="s">
        <v>2276</v>
      </c>
      <c r="K325" s="3" t="s">
        <v>2276</v>
      </c>
      <c r="L325" s="3" t="s">
        <v>2276</v>
      </c>
      <c r="M325" s="3" t="s">
        <v>537</v>
      </c>
      <c r="N325" s="3" t="s">
        <v>537</v>
      </c>
      <c r="O325" s="3" t="s">
        <v>537</v>
      </c>
      <c r="P325" s="3" t="s">
        <v>537</v>
      </c>
      <c r="Q325" s="3" t="s">
        <v>537</v>
      </c>
      <c r="R325" s="3" t="s">
        <v>537</v>
      </c>
      <c r="S325" s="3" t="s">
        <v>537</v>
      </c>
      <c r="T325" s="3" t="s">
        <v>537</v>
      </c>
      <c r="U325" s="3" t="s">
        <v>537</v>
      </c>
      <c r="V325" s="3">
        <v>2</v>
      </c>
      <c r="W325" s="19" t="s">
        <v>2772</v>
      </c>
    </row>
    <row r="326" spans="1:23" ht="101.5">
      <c r="A326" s="3" t="s">
        <v>2773</v>
      </c>
      <c r="B326" s="11" t="s">
        <v>2783</v>
      </c>
      <c r="C326" s="11" t="s">
        <v>24</v>
      </c>
      <c r="D326" s="3" t="s">
        <v>27</v>
      </c>
      <c r="E326" s="3" t="s">
        <v>130</v>
      </c>
      <c r="F326" s="3" t="s">
        <v>74</v>
      </c>
      <c r="G326" s="3"/>
      <c r="H326" s="4" t="s">
        <v>541</v>
      </c>
      <c r="I326" s="3" t="s">
        <v>2690</v>
      </c>
      <c r="J326" s="3" t="s">
        <v>534</v>
      </c>
      <c r="K326" s="3" t="s">
        <v>534</v>
      </c>
      <c r="L326" s="3" t="s">
        <v>2276</v>
      </c>
      <c r="M326" s="3" t="s">
        <v>2669</v>
      </c>
      <c r="N326" s="3" t="s">
        <v>2276</v>
      </c>
      <c r="O326" s="3" t="s">
        <v>534</v>
      </c>
      <c r="P326" s="3" t="s">
        <v>2276</v>
      </c>
      <c r="Q326" s="3" t="s">
        <v>2276</v>
      </c>
      <c r="R326" s="3" t="s">
        <v>534</v>
      </c>
      <c r="S326" s="3" t="s">
        <v>534</v>
      </c>
      <c r="T326" s="3" t="s">
        <v>534</v>
      </c>
      <c r="U326" s="3"/>
      <c r="V326" s="3">
        <v>1</v>
      </c>
      <c r="W326" s="19" t="s">
        <v>2788</v>
      </c>
    </row>
    <row r="327" spans="1:23" ht="43.5" customHeight="1">
      <c r="A327" s="3" t="s">
        <v>2773</v>
      </c>
      <c r="B327" s="11" t="s">
        <v>2791</v>
      </c>
      <c r="C327" s="11" t="s">
        <v>24</v>
      </c>
      <c r="D327" s="3" t="s">
        <v>27</v>
      </c>
      <c r="E327" s="3" t="s">
        <v>130</v>
      </c>
      <c r="F327" s="3" t="s">
        <v>74</v>
      </c>
      <c r="G327" s="3"/>
      <c r="H327" s="4" t="s">
        <v>2673</v>
      </c>
      <c r="I327" s="3" t="s">
        <v>2276</v>
      </c>
      <c r="J327" s="3" t="s">
        <v>2276</v>
      </c>
      <c r="K327" s="3" t="s">
        <v>2276</v>
      </c>
      <c r="L327" s="3" t="s">
        <v>2276</v>
      </c>
      <c r="M327" s="3" t="s">
        <v>537</v>
      </c>
      <c r="N327" s="3" t="s">
        <v>537</v>
      </c>
      <c r="O327" s="3" t="s">
        <v>537</v>
      </c>
      <c r="P327" s="3" t="s">
        <v>537</v>
      </c>
      <c r="Q327" s="3" t="s">
        <v>537</v>
      </c>
      <c r="R327" s="3" t="s">
        <v>537</v>
      </c>
      <c r="S327" s="3" t="s">
        <v>537</v>
      </c>
      <c r="T327" s="3" t="s">
        <v>537</v>
      </c>
      <c r="U327" s="3" t="s">
        <v>537</v>
      </c>
      <c r="V327" s="3">
        <v>2</v>
      </c>
      <c r="W327" s="19" t="s">
        <v>2772</v>
      </c>
    </row>
    <row r="328" spans="1:23" ht="101.5">
      <c r="A328" s="3" t="s">
        <v>2774</v>
      </c>
      <c r="B328" s="11" t="s">
        <v>2784</v>
      </c>
      <c r="C328" s="11" t="s">
        <v>24</v>
      </c>
      <c r="D328" s="3" t="s">
        <v>27</v>
      </c>
      <c r="E328" s="3" t="s">
        <v>130</v>
      </c>
      <c r="F328" s="3" t="s">
        <v>74</v>
      </c>
      <c r="G328" s="3"/>
      <c r="H328" s="4" t="s">
        <v>541</v>
      </c>
      <c r="I328" s="3" t="s">
        <v>2690</v>
      </c>
      <c r="J328" s="3" t="s">
        <v>534</v>
      </c>
      <c r="K328" s="3" t="s">
        <v>534</v>
      </c>
      <c r="L328" s="3" t="s">
        <v>2276</v>
      </c>
      <c r="M328" s="3" t="s">
        <v>2669</v>
      </c>
      <c r="N328" s="3" t="s">
        <v>2276</v>
      </c>
      <c r="O328" s="3" t="s">
        <v>534</v>
      </c>
      <c r="P328" s="3" t="s">
        <v>2276</v>
      </c>
      <c r="Q328" s="3" t="s">
        <v>2276</v>
      </c>
      <c r="R328" s="3" t="s">
        <v>534</v>
      </c>
      <c r="S328" s="3" t="s">
        <v>534</v>
      </c>
      <c r="T328" s="3" t="s">
        <v>534</v>
      </c>
      <c r="U328" s="3" t="s">
        <v>2276</v>
      </c>
      <c r="V328" s="3">
        <v>1</v>
      </c>
      <c r="W328" s="19" t="s">
        <v>2788</v>
      </c>
    </row>
    <row r="329" spans="1:23" ht="53.5" customHeight="1">
      <c r="A329" s="3" t="s">
        <v>2774</v>
      </c>
      <c r="B329" s="11" t="s">
        <v>2792</v>
      </c>
      <c r="C329" s="11" t="s">
        <v>24</v>
      </c>
      <c r="D329" s="3" t="s">
        <v>27</v>
      </c>
      <c r="E329" s="3" t="s">
        <v>130</v>
      </c>
      <c r="F329" s="3" t="s">
        <v>74</v>
      </c>
      <c r="G329" s="3"/>
      <c r="H329" s="4" t="s">
        <v>2673</v>
      </c>
      <c r="I329" s="3" t="s">
        <v>2276</v>
      </c>
      <c r="J329" s="3" t="s">
        <v>2276</v>
      </c>
      <c r="K329" s="3" t="s">
        <v>2276</v>
      </c>
      <c r="L329" s="3" t="s">
        <v>2276</v>
      </c>
      <c r="M329" s="3" t="s">
        <v>537</v>
      </c>
      <c r="N329" s="3" t="s">
        <v>537</v>
      </c>
      <c r="O329" s="3" t="s">
        <v>537</v>
      </c>
      <c r="P329" s="3" t="s">
        <v>537</v>
      </c>
      <c r="Q329" s="3" t="s">
        <v>537</v>
      </c>
      <c r="R329" s="3" t="s">
        <v>537</v>
      </c>
      <c r="S329" s="3" t="s">
        <v>537</v>
      </c>
      <c r="T329" s="3" t="s">
        <v>537</v>
      </c>
      <c r="U329" s="3" t="s">
        <v>537</v>
      </c>
      <c r="V329" s="3">
        <v>2</v>
      </c>
      <c r="W329" s="19" t="s">
        <v>2772</v>
      </c>
    </row>
    <row r="330" spans="1:23" ht="145" customHeight="1">
      <c r="A330" s="3" t="s">
        <v>2775</v>
      </c>
      <c r="B330" s="3" t="s">
        <v>2785</v>
      </c>
      <c r="C330" s="11" t="s">
        <v>24</v>
      </c>
      <c r="D330" s="3" t="s">
        <v>27</v>
      </c>
      <c r="E330" s="3" t="s">
        <v>130</v>
      </c>
      <c r="F330" s="3" t="s">
        <v>74</v>
      </c>
      <c r="G330" s="3"/>
      <c r="H330" s="4" t="s">
        <v>541</v>
      </c>
      <c r="I330" s="3" t="s">
        <v>2690</v>
      </c>
      <c r="J330" s="3" t="s">
        <v>534</v>
      </c>
      <c r="K330" s="3" t="s">
        <v>534</v>
      </c>
      <c r="L330" s="3" t="s">
        <v>2276</v>
      </c>
      <c r="M330" s="3" t="s">
        <v>2669</v>
      </c>
      <c r="N330" s="3" t="s">
        <v>2276</v>
      </c>
      <c r="O330" s="3" t="s">
        <v>534</v>
      </c>
      <c r="P330" s="3" t="s">
        <v>2276</v>
      </c>
      <c r="Q330" s="3" t="s">
        <v>2276</v>
      </c>
      <c r="R330" s="3" t="s">
        <v>534</v>
      </c>
      <c r="S330" s="3" t="s">
        <v>534</v>
      </c>
      <c r="T330" s="3" t="s">
        <v>534</v>
      </c>
      <c r="U330" s="3" t="s">
        <v>2276</v>
      </c>
      <c r="V330" s="3">
        <v>1</v>
      </c>
      <c r="W330" s="19" t="s">
        <v>2788</v>
      </c>
    </row>
    <row r="331" spans="1:23" ht="56.5" customHeight="1">
      <c r="A331" s="3" t="s">
        <v>2775</v>
      </c>
      <c r="B331" s="11" t="s">
        <v>2793</v>
      </c>
      <c r="C331" s="11" t="s">
        <v>24</v>
      </c>
      <c r="D331" s="3" t="s">
        <v>27</v>
      </c>
      <c r="E331" s="3" t="s">
        <v>130</v>
      </c>
      <c r="F331" s="3" t="s">
        <v>74</v>
      </c>
      <c r="G331" s="3"/>
      <c r="H331" s="4" t="s">
        <v>2673</v>
      </c>
      <c r="I331" s="3" t="s">
        <v>2276</v>
      </c>
      <c r="J331" s="3" t="s">
        <v>2276</v>
      </c>
      <c r="K331" s="3" t="s">
        <v>2276</v>
      </c>
      <c r="L331" s="3" t="s">
        <v>2276</v>
      </c>
      <c r="M331" s="3" t="s">
        <v>537</v>
      </c>
      <c r="N331" s="3" t="s">
        <v>537</v>
      </c>
      <c r="O331" s="3" t="s">
        <v>537</v>
      </c>
      <c r="P331" s="3" t="s">
        <v>537</v>
      </c>
      <c r="Q331" s="3" t="s">
        <v>537</v>
      </c>
      <c r="R331" s="3" t="s">
        <v>537</v>
      </c>
      <c r="S331" s="3" t="s">
        <v>537</v>
      </c>
      <c r="T331" s="3" t="s">
        <v>537</v>
      </c>
      <c r="U331" s="3" t="s">
        <v>537</v>
      </c>
      <c r="V331" s="3">
        <v>2</v>
      </c>
      <c r="W331" s="19" t="s">
        <v>2772</v>
      </c>
    </row>
    <row r="332" spans="1:23" ht="101.5">
      <c r="A332" s="3" t="s">
        <v>2776</v>
      </c>
      <c r="B332" s="11" t="s">
        <v>2786</v>
      </c>
      <c r="C332" s="11" t="s">
        <v>24</v>
      </c>
      <c r="D332" s="3" t="s">
        <v>27</v>
      </c>
      <c r="E332" s="3" t="s">
        <v>130</v>
      </c>
      <c r="F332" s="3" t="s">
        <v>74</v>
      </c>
      <c r="G332" s="3"/>
      <c r="H332" s="4" t="s">
        <v>541</v>
      </c>
      <c r="I332" s="3" t="s">
        <v>2690</v>
      </c>
      <c r="J332" s="3" t="s">
        <v>534</v>
      </c>
      <c r="K332" s="3" t="s">
        <v>534</v>
      </c>
      <c r="L332" s="3" t="s">
        <v>2276</v>
      </c>
      <c r="M332" s="3" t="s">
        <v>2669</v>
      </c>
      <c r="N332" s="3" t="s">
        <v>2276</v>
      </c>
      <c r="O332" s="3" t="s">
        <v>534</v>
      </c>
      <c r="P332" s="3" t="s">
        <v>2276</v>
      </c>
      <c r="Q332" s="3" t="s">
        <v>2276</v>
      </c>
      <c r="R332" s="3" t="s">
        <v>534</v>
      </c>
      <c r="S332" s="3" t="s">
        <v>534</v>
      </c>
      <c r="T332" s="3" t="s">
        <v>534</v>
      </c>
      <c r="U332" s="3"/>
      <c r="V332" s="3">
        <v>1</v>
      </c>
      <c r="W332" s="19" t="s">
        <v>2788</v>
      </c>
    </row>
    <row r="333" spans="1:23" ht="50" customHeight="1">
      <c r="A333" s="3" t="s">
        <v>2776</v>
      </c>
      <c r="B333" s="11" t="s">
        <v>2794</v>
      </c>
      <c r="C333" s="11" t="s">
        <v>24</v>
      </c>
      <c r="D333" s="3" t="s">
        <v>27</v>
      </c>
      <c r="E333" s="3" t="s">
        <v>130</v>
      </c>
      <c r="F333" s="3" t="s">
        <v>74</v>
      </c>
      <c r="G333" s="3"/>
      <c r="H333" s="4" t="s">
        <v>2673</v>
      </c>
      <c r="I333" s="3" t="s">
        <v>2276</v>
      </c>
      <c r="J333" s="3" t="s">
        <v>2276</v>
      </c>
      <c r="K333" s="3" t="s">
        <v>2276</v>
      </c>
      <c r="L333" s="3" t="s">
        <v>2276</v>
      </c>
      <c r="M333" s="3" t="s">
        <v>537</v>
      </c>
      <c r="N333" s="3" t="s">
        <v>537</v>
      </c>
      <c r="O333" s="3" t="s">
        <v>537</v>
      </c>
      <c r="P333" s="3" t="s">
        <v>537</v>
      </c>
      <c r="Q333" s="3" t="s">
        <v>537</v>
      </c>
      <c r="R333" s="3" t="s">
        <v>537</v>
      </c>
      <c r="S333" s="3" t="s">
        <v>537</v>
      </c>
      <c r="T333" s="3" t="s">
        <v>537</v>
      </c>
      <c r="U333" s="3" t="s">
        <v>537</v>
      </c>
      <c r="V333" s="3">
        <v>2</v>
      </c>
      <c r="W333" s="19" t="s">
        <v>2772</v>
      </c>
    </row>
    <row r="334" spans="1:23" ht="64.5" customHeight="1">
      <c r="A334" s="11" t="s">
        <v>2796</v>
      </c>
      <c r="B334" s="11" t="s">
        <v>2801</v>
      </c>
      <c r="C334" s="11" t="s">
        <v>24</v>
      </c>
      <c r="D334" s="3" t="s">
        <v>1105</v>
      </c>
      <c r="E334" s="3" t="s">
        <v>5005</v>
      </c>
      <c r="F334" s="4" t="s">
        <v>55</v>
      </c>
      <c r="G334" s="3"/>
      <c r="H334" s="4" t="s">
        <v>541</v>
      </c>
      <c r="I334" s="3" t="s">
        <v>2690</v>
      </c>
      <c r="J334" s="3" t="s">
        <v>534</v>
      </c>
      <c r="K334" s="3" t="s">
        <v>2276</v>
      </c>
      <c r="L334" s="3" t="s">
        <v>2276</v>
      </c>
      <c r="M334" s="3" t="s">
        <v>2276</v>
      </c>
      <c r="N334" s="3" t="s">
        <v>2276</v>
      </c>
      <c r="O334" s="3" t="s">
        <v>2276</v>
      </c>
      <c r="P334" s="3" t="s">
        <v>2276</v>
      </c>
      <c r="Q334" s="3" t="s">
        <v>2276</v>
      </c>
      <c r="R334" s="3" t="s">
        <v>534</v>
      </c>
      <c r="S334" s="3" t="s">
        <v>534</v>
      </c>
      <c r="T334" s="3" t="s">
        <v>2276</v>
      </c>
      <c r="U334" s="3" t="s">
        <v>2276</v>
      </c>
      <c r="V334" s="3">
        <v>5</v>
      </c>
      <c r="W334" s="4" t="s">
        <v>2808</v>
      </c>
    </row>
    <row r="335" spans="1:23" ht="94" customHeight="1">
      <c r="A335" s="11" t="s">
        <v>2796</v>
      </c>
      <c r="B335" s="11" t="s">
        <v>2807</v>
      </c>
      <c r="C335" s="11" t="s">
        <v>24</v>
      </c>
      <c r="D335" s="3" t="s">
        <v>1105</v>
      </c>
      <c r="E335" s="3" t="s">
        <v>5005</v>
      </c>
      <c r="F335" s="4" t="s">
        <v>2662</v>
      </c>
      <c r="G335" s="3"/>
      <c r="H335" s="4" t="s">
        <v>541</v>
      </c>
      <c r="I335" s="3" t="s">
        <v>2690</v>
      </c>
      <c r="J335" s="3" t="s">
        <v>534</v>
      </c>
      <c r="K335" s="3" t="s">
        <v>2276</v>
      </c>
      <c r="L335" s="3" t="s">
        <v>2276</v>
      </c>
      <c r="M335" s="3" t="s">
        <v>2276</v>
      </c>
      <c r="N335" s="3" t="s">
        <v>2276</v>
      </c>
      <c r="O335" s="3" t="s">
        <v>2276</v>
      </c>
      <c r="P335" s="3" t="s">
        <v>2276</v>
      </c>
      <c r="Q335" s="3" t="s">
        <v>2276</v>
      </c>
      <c r="R335" s="3" t="s">
        <v>534</v>
      </c>
      <c r="S335" s="3" t="s">
        <v>534</v>
      </c>
      <c r="T335" s="3" t="s">
        <v>2276</v>
      </c>
      <c r="U335" s="3" t="s">
        <v>2276</v>
      </c>
      <c r="V335" s="3">
        <v>5</v>
      </c>
      <c r="W335" s="4" t="s">
        <v>2809</v>
      </c>
    </row>
    <row r="336" spans="1:23" ht="97.5" customHeight="1">
      <c r="A336" s="11" t="s">
        <v>2799</v>
      </c>
      <c r="B336" s="11" t="s">
        <v>2802</v>
      </c>
      <c r="C336" s="11" t="s">
        <v>24</v>
      </c>
      <c r="D336" s="3" t="s">
        <v>1105</v>
      </c>
      <c r="E336" s="3" t="s">
        <v>5005</v>
      </c>
      <c r="F336" s="4" t="s">
        <v>55</v>
      </c>
      <c r="G336" s="3"/>
      <c r="H336" s="4" t="s">
        <v>541</v>
      </c>
      <c r="I336" s="3" t="s">
        <v>2690</v>
      </c>
      <c r="J336" s="3" t="s">
        <v>534</v>
      </c>
      <c r="K336" s="3" t="s">
        <v>2276</v>
      </c>
      <c r="L336" s="3" t="s">
        <v>2276</v>
      </c>
      <c r="M336" s="3" t="s">
        <v>2276</v>
      </c>
      <c r="N336" s="3" t="s">
        <v>2276</v>
      </c>
      <c r="O336" s="3" t="s">
        <v>2276</v>
      </c>
      <c r="P336" s="3" t="s">
        <v>2276</v>
      </c>
      <c r="Q336" s="3" t="s">
        <v>2276</v>
      </c>
      <c r="R336" s="3" t="s">
        <v>534</v>
      </c>
      <c r="S336" s="3" t="s">
        <v>534</v>
      </c>
      <c r="T336" s="3" t="s">
        <v>2276</v>
      </c>
      <c r="U336" s="3" t="s">
        <v>2276</v>
      </c>
      <c r="V336" s="3">
        <v>5</v>
      </c>
      <c r="W336" s="4" t="s">
        <v>2809</v>
      </c>
    </row>
    <row r="337" spans="1:23" ht="92.5" customHeight="1">
      <c r="A337" s="11" t="s">
        <v>2799</v>
      </c>
      <c r="B337" s="11" t="s">
        <v>2806</v>
      </c>
      <c r="C337" s="11" t="s">
        <v>24</v>
      </c>
      <c r="D337" s="3" t="s">
        <v>1105</v>
      </c>
      <c r="E337" s="3" t="s">
        <v>5005</v>
      </c>
      <c r="F337" s="4" t="s">
        <v>2662</v>
      </c>
      <c r="G337" s="3"/>
      <c r="H337" s="4" t="s">
        <v>541</v>
      </c>
      <c r="I337" s="3" t="s">
        <v>2690</v>
      </c>
      <c r="J337" s="3" t="s">
        <v>534</v>
      </c>
      <c r="K337" s="3" t="s">
        <v>2276</v>
      </c>
      <c r="L337" s="3" t="s">
        <v>2276</v>
      </c>
      <c r="M337" s="3" t="s">
        <v>2276</v>
      </c>
      <c r="N337" s="3" t="s">
        <v>2276</v>
      </c>
      <c r="O337" s="3" t="s">
        <v>2276</v>
      </c>
      <c r="P337" s="3" t="s">
        <v>2276</v>
      </c>
      <c r="Q337" s="3" t="s">
        <v>2276</v>
      </c>
      <c r="R337" s="3" t="s">
        <v>534</v>
      </c>
      <c r="S337" s="3" t="s">
        <v>534</v>
      </c>
      <c r="T337" s="3" t="s">
        <v>2276</v>
      </c>
      <c r="U337" s="3" t="s">
        <v>2276</v>
      </c>
      <c r="V337" s="3">
        <v>5</v>
      </c>
      <c r="W337" s="4" t="s">
        <v>2809</v>
      </c>
    </row>
    <row r="338" spans="1:23" ht="92.5" customHeight="1">
      <c r="A338" s="11" t="s">
        <v>2800</v>
      </c>
      <c r="B338" s="11" t="s">
        <v>2803</v>
      </c>
      <c r="C338" s="11" t="s">
        <v>24</v>
      </c>
      <c r="D338" s="3" t="s">
        <v>1105</v>
      </c>
      <c r="E338" s="3" t="s">
        <v>5005</v>
      </c>
      <c r="F338" s="4" t="s">
        <v>55</v>
      </c>
      <c r="G338" s="3"/>
      <c r="H338" s="4" t="s">
        <v>541</v>
      </c>
      <c r="I338" s="3" t="s">
        <v>2690</v>
      </c>
      <c r="J338" s="3" t="s">
        <v>534</v>
      </c>
      <c r="K338" s="3" t="s">
        <v>2276</v>
      </c>
      <c r="L338" s="3" t="s">
        <v>2276</v>
      </c>
      <c r="M338" s="3" t="s">
        <v>2276</v>
      </c>
      <c r="N338" s="3" t="s">
        <v>2276</v>
      </c>
      <c r="O338" s="3" t="s">
        <v>2276</v>
      </c>
      <c r="P338" s="3" t="s">
        <v>2276</v>
      </c>
      <c r="Q338" s="3" t="s">
        <v>2276</v>
      </c>
      <c r="R338" s="3" t="s">
        <v>534</v>
      </c>
      <c r="S338" s="3" t="s">
        <v>534</v>
      </c>
      <c r="T338" s="3" t="s">
        <v>2276</v>
      </c>
      <c r="U338" s="3" t="s">
        <v>2276</v>
      </c>
      <c r="V338" s="3">
        <v>5</v>
      </c>
      <c r="W338" s="4" t="s">
        <v>2809</v>
      </c>
    </row>
    <row r="339" spans="1:23" ht="96.5" customHeight="1">
      <c r="A339" s="11" t="s">
        <v>2800</v>
      </c>
      <c r="B339" s="11" t="s">
        <v>2805</v>
      </c>
      <c r="C339" s="11" t="s">
        <v>24</v>
      </c>
      <c r="D339" s="3" t="s">
        <v>1105</v>
      </c>
      <c r="E339" s="3" t="s">
        <v>5005</v>
      </c>
      <c r="F339" s="4" t="s">
        <v>2662</v>
      </c>
      <c r="G339" s="3"/>
      <c r="H339" s="4" t="s">
        <v>541</v>
      </c>
      <c r="I339" s="3" t="s">
        <v>2690</v>
      </c>
      <c r="J339" s="3" t="s">
        <v>534</v>
      </c>
      <c r="K339" s="3" t="s">
        <v>2276</v>
      </c>
      <c r="L339" s="3" t="s">
        <v>2276</v>
      </c>
      <c r="M339" s="3" t="s">
        <v>2276</v>
      </c>
      <c r="N339" s="3" t="s">
        <v>2276</v>
      </c>
      <c r="O339" s="3" t="s">
        <v>2276</v>
      </c>
      <c r="P339" s="3" t="s">
        <v>2276</v>
      </c>
      <c r="Q339" s="3" t="s">
        <v>2276</v>
      </c>
      <c r="R339" s="3" t="s">
        <v>534</v>
      </c>
      <c r="S339" s="3" t="s">
        <v>534</v>
      </c>
      <c r="T339" s="3" t="s">
        <v>2276</v>
      </c>
      <c r="U339" s="3" t="s">
        <v>2276</v>
      </c>
      <c r="V339" s="3">
        <v>5</v>
      </c>
      <c r="W339" s="4" t="s">
        <v>2809</v>
      </c>
    </row>
    <row r="340" spans="1:23" ht="50" customHeight="1">
      <c r="A340" s="11" t="s">
        <v>2810</v>
      </c>
      <c r="B340" s="11" t="s">
        <v>2823</v>
      </c>
      <c r="C340" s="11" t="s">
        <v>24</v>
      </c>
      <c r="D340" s="3" t="s">
        <v>1105</v>
      </c>
      <c r="E340" s="3" t="s">
        <v>5005</v>
      </c>
      <c r="F340" s="4" t="s">
        <v>55</v>
      </c>
      <c r="G340" s="3"/>
      <c r="H340" s="4" t="s">
        <v>541</v>
      </c>
      <c r="I340" s="3" t="s">
        <v>2276</v>
      </c>
      <c r="J340" s="3" t="s">
        <v>2276</v>
      </c>
      <c r="K340" s="3" t="s">
        <v>2276</v>
      </c>
      <c r="L340" s="3" t="s">
        <v>2276</v>
      </c>
      <c r="M340" s="3" t="s">
        <v>2276</v>
      </c>
      <c r="N340" s="3" t="s">
        <v>2276</v>
      </c>
      <c r="O340" s="3" t="s">
        <v>2276</v>
      </c>
      <c r="P340" s="3" t="s">
        <v>2276</v>
      </c>
      <c r="Q340" s="3" t="s">
        <v>2276</v>
      </c>
      <c r="R340" s="3" t="s">
        <v>534</v>
      </c>
      <c r="S340" s="3" t="s">
        <v>534</v>
      </c>
      <c r="T340" s="3" t="s">
        <v>2276</v>
      </c>
      <c r="U340" s="3" t="s">
        <v>2276</v>
      </c>
      <c r="V340" s="3">
        <v>5</v>
      </c>
      <c r="W340" s="19" t="s">
        <v>2835</v>
      </c>
    </row>
    <row r="341" spans="1:23" ht="52.5" customHeight="1">
      <c r="A341" s="11" t="s">
        <v>2810</v>
      </c>
      <c r="B341" s="11" t="s">
        <v>2824</v>
      </c>
      <c r="C341" s="11" t="s">
        <v>24</v>
      </c>
      <c r="D341" s="3" t="s">
        <v>1105</v>
      </c>
      <c r="E341" s="3" t="s">
        <v>5005</v>
      </c>
      <c r="F341" s="4" t="s">
        <v>2662</v>
      </c>
      <c r="G341" s="3"/>
      <c r="H341" s="4" t="s">
        <v>541</v>
      </c>
      <c r="I341" s="3" t="s">
        <v>2276</v>
      </c>
      <c r="J341" s="3" t="s">
        <v>2276</v>
      </c>
      <c r="K341" s="3" t="s">
        <v>2276</v>
      </c>
      <c r="L341" s="3" t="s">
        <v>2276</v>
      </c>
      <c r="M341" s="3" t="s">
        <v>2276</v>
      </c>
      <c r="N341" s="3" t="s">
        <v>2276</v>
      </c>
      <c r="O341" s="3" t="s">
        <v>2276</v>
      </c>
      <c r="P341" s="3" t="s">
        <v>2276</v>
      </c>
      <c r="Q341" s="3" t="s">
        <v>2276</v>
      </c>
      <c r="R341" s="3" t="s">
        <v>534</v>
      </c>
      <c r="S341" s="3" t="s">
        <v>534</v>
      </c>
      <c r="T341" s="3" t="s">
        <v>2276</v>
      </c>
      <c r="U341" s="3" t="s">
        <v>2276</v>
      </c>
      <c r="V341" s="3">
        <v>5</v>
      </c>
      <c r="W341" s="19" t="s">
        <v>2835</v>
      </c>
    </row>
    <row r="342" spans="1:23" ht="52.5" customHeight="1">
      <c r="A342" s="11" t="s">
        <v>2811</v>
      </c>
      <c r="B342" s="11" t="s">
        <v>2825</v>
      </c>
      <c r="C342" s="11" t="s">
        <v>24</v>
      </c>
      <c r="D342" s="3" t="s">
        <v>1105</v>
      </c>
      <c r="E342" s="3" t="s">
        <v>5005</v>
      </c>
      <c r="F342" s="4" t="s">
        <v>55</v>
      </c>
      <c r="G342" s="3"/>
      <c r="H342" s="4" t="s">
        <v>541</v>
      </c>
      <c r="I342" s="3" t="s">
        <v>2276</v>
      </c>
      <c r="J342" s="3" t="s">
        <v>2276</v>
      </c>
      <c r="K342" s="3" t="s">
        <v>2276</v>
      </c>
      <c r="L342" s="3" t="s">
        <v>2276</v>
      </c>
      <c r="M342" s="3" t="s">
        <v>2276</v>
      </c>
      <c r="N342" s="3" t="s">
        <v>2276</v>
      </c>
      <c r="O342" s="3" t="s">
        <v>2276</v>
      </c>
      <c r="P342" s="3" t="s">
        <v>2276</v>
      </c>
      <c r="Q342" s="3" t="s">
        <v>2276</v>
      </c>
      <c r="R342" s="3" t="s">
        <v>534</v>
      </c>
      <c r="S342" s="3" t="s">
        <v>534</v>
      </c>
      <c r="T342" s="3" t="s">
        <v>2276</v>
      </c>
      <c r="U342" s="3" t="s">
        <v>2276</v>
      </c>
      <c r="V342" s="3">
        <v>5</v>
      </c>
      <c r="W342" s="19" t="s">
        <v>2835</v>
      </c>
    </row>
    <row r="343" spans="1:23" ht="52.5" customHeight="1">
      <c r="A343" s="11" t="s">
        <v>2811</v>
      </c>
      <c r="B343" s="11" t="s">
        <v>2826</v>
      </c>
      <c r="C343" s="11" t="s">
        <v>24</v>
      </c>
      <c r="D343" s="3" t="s">
        <v>1105</v>
      </c>
      <c r="E343" s="3" t="s">
        <v>5005</v>
      </c>
      <c r="F343" s="4" t="s">
        <v>2662</v>
      </c>
      <c r="G343" s="3"/>
      <c r="H343" s="4" t="s">
        <v>541</v>
      </c>
      <c r="I343" s="3" t="s">
        <v>2276</v>
      </c>
      <c r="J343" s="3" t="s">
        <v>2276</v>
      </c>
      <c r="K343" s="3" t="s">
        <v>2276</v>
      </c>
      <c r="L343" s="3" t="s">
        <v>2276</v>
      </c>
      <c r="M343" s="3" t="s">
        <v>2276</v>
      </c>
      <c r="N343" s="3" t="s">
        <v>2276</v>
      </c>
      <c r="O343" s="3" t="s">
        <v>2276</v>
      </c>
      <c r="P343" s="3" t="s">
        <v>2276</v>
      </c>
      <c r="Q343" s="3" t="s">
        <v>2276</v>
      </c>
      <c r="R343" s="3" t="s">
        <v>534</v>
      </c>
      <c r="S343" s="3" t="s">
        <v>534</v>
      </c>
      <c r="T343" s="3" t="s">
        <v>2276</v>
      </c>
      <c r="U343" s="3" t="s">
        <v>2276</v>
      </c>
      <c r="V343" s="3">
        <v>5</v>
      </c>
      <c r="W343" s="19" t="s">
        <v>2835</v>
      </c>
    </row>
    <row r="344" spans="1:23" ht="52.5" customHeight="1">
      <c r="A344" s="11" t="s">
        <v>2812</v>
      </c>
      <c r="B344" s="11" t="s">
        <v>2827</v>
      </c>
      <c r="C344" s="11" t="s">
        <v>24</v>
      </c>
      <c r="D344" s="3" t="s">
        <v>1105</v>
      </c>
      <c r="E344" s="3" t="s">
        <v>5005</v>
      </c>
      <c r="F344" s="4" t="s">
        <v>55</v>
      </c>
      <c r="G344" s="3"/>
      <c r="H344" s="4" t="s">
        <v>541</v>
      </c>
      <c r="I344" s="3" t="s">
        <v>2276</v>
      </c>
      <c r="J344" s="3" t="s">
        <v>2276</v>
      </c>
      <c r="K344" s="3" t="s">
        <v>2276</v>
      </c>
      <c r="L344" s="3" t="s">
        <v>2276</v>
      </c>
      <c r="M344" s="3" t="s">
        <v>2276</v>
      </c>
      <c r="N344" s="3" t="s">
        <v>2276</v>
      </c>
      <c r="O344" s="3" t="s">
        <v>2276</v>
      </c>
      <c r="P344" s="3" t="s">
        <v>2276</v>
      </c>
      <c r="Q344" s="3" t="s">
        <v>2276</v>
      </c>
      <c r="R344" s="3" t="s">
        <v>534</v>
      </c>
      <c r="S344" s="3" t="s">
        <v>534</v>
      </c>
      <c r="T344" s="3" t="s">
        <v>2276</v>
      </c>
      <c r="U344" s="3" t="s">
        <v>2276</v>
      </c>
      <c r="V344" s="3">
        <v>5</v>
      </c>
      <c r="W344" s="19" t="s">
        <v>2835</v>
      </c>
    </row>
    <row r="345" spans="1:23" ht="52.5" customHeight="1">
      <c r="A345" s="11" t="s">
        <v>2812</v>
      </c>
      <c r="B345" s="11" t="s">
        <v>2828</v>
      </c>
      <c r="C345" s="11" t="s">
        <v>24</v>
      </c>
      <c r="D345" s="3" t="s">
        <v>1105</v>
      </c>
      <c r="E345" s="3" t="s">
        <v>5005</v>
      </c>
      <c r="F345" s="4" t="s">
        <v>2662</v>
      </c>
      <c r="G345" s="3"/>
      <c r="H345" s="4" t="s">
        <v>541</v>
      </c>
      <c r="I345" s="3" t="s">
        <v>2276</v>
      </c>
      <c r="J345" s="3" t="s">
        <v>2276</v>
      </c>
      <c r="K345" s="3" t="s">
        <v>2276</v>
      </c>
      <c r="L345" s="3" t="s">
        <v>2276</v>
      </c>
      <c r="M345" s="3" t="s">
        <v>2276</v>
      </c>
      <c r="N345" s="3" t="s">
        <v>2276</v>
      </c>
      <c r="O345" s="3" t="s">
        <v>2276</v>
      </c>
      <c r="P345" s="3" t="s">
        <v>2276</v>
      </c>
      <c r="Q345" s="3" t="s">
        <v>2276</v>
      </c>
      <c r="R345" s="3" t="s">
        <v>534</v>
      </c>
      <c r="S345" s="3" t="s">
        <v>534</v>
      </c>
      <c r="T345" s="3" t="s">
        <v>2276</v>
      </c>
      <c r="U345" s="3" t="s">
        <v>2276</v>
      </c>
      <c r="V345" s="3">
        <v>5</v>
      </c>
      <c r="W345" s="19" t="s">
        <v>2835</v>
      </c>
    </row>
    <row r="346" spans="1:23" ht="52.5" customHeight="1">
      <c r="A346" s="11" t="s">
        <v>2813</v>
      </c>
      <c r="B346" s="11" t="s">
        <v>2829</v>
      </c>
      <c r="C346" s="11" t="s">
        <v>24</v>
      </c>
      <c r="D346" s="3" t="s">
        <v>1105</v>
      </c>
      <c r="E346" s="3" t="s">
        <v>5005</v>
      </c>
      <c r="F346" s="4" t="s">
        <v>55</v>
      </c>
      <c r="G346" s="3"/>
      <c r="H346" s="4" t="s">
        <v>541</v>
      </c>
      <c r="I346" s="3" t="s">
        <v>2276</v>
      </c>
      <c r="J346" s="3" t="s">
        <v>2276</v>
      </c>
      <c r="K346" s="3" t="s">
        <v>2276</v>
      </c>
      <c r="L346" s="3" t="s">
        <v>2276</v>
      </c>
      <c r="M346" s="3" t="s">
        <v>2276</v>
      </c>
      <c r="N346" s="3" t="s">
        <v>2276</v>
      </c>
      <c r="O346" s="3" t="s">
        <v>2276</v>
      </c>
      <c r="P346" s="3" t="s">
        <v>2276</v>
      </c>
      <c r="Q346" s="3" t="s">
        <v>2276</v>
      </c>
      <c r="R346" s="3" t="s">
        <v>534</v>
      </c>
      <c r="S346" s="3" t="s">
        <v>534</v>
      </c>
      <c r="T346" s="3" t="s">
        <v>2276</v>
      </c>
      <c r="U346" s="3" t="s">
        <v>2276</v>
      </c>
      <c r="V346" s="3">
        <v>5</v>
      </c>
      <c r="W346" s="19" t="s">
        <v>2835</v>
      </c>
    </row>
    <row r="347" spans="1:23" ht="52.5" customHeight="1">
      <c r="A347" s="11" t="s">
        <v>2813</v>
      </c>
      <c r="B347" s="11" t="s">
        <v>2830</v>
      </c>
      <c r="C347" s="11" t="s">
        <v>24</v>
      </c>
      <c r="D347" s="3" t="s">
        <v>1105</v>
      </c>
      <c r="E347" s="3" t="s">
        <v>5005</v>
      </c>
      <c r="F347" s="4" t="s">
        <v>2662</v>
      </c>
      <c r="G347" s="3"/>
      <c r="H347" s="4" t="s">
        <v>541</v>
      </c>
      <c r="I347" s="3" t="s">
        <v>2276</v>
      </c>
      <c r="J347" s="3" t="s">
        <v>2276</v>
      </c>
      <c r="K347" s="3" t="s">
        <v>2276</v>
      </c>
      <c r="L347" s="3" t="s">
        <v>2276</v>
      </c>
      <c r="M347" s="3" t="s">
        <v>2276</v>
      </c>
      <c r="N347" s="3" t="s">
        <v>2276</v>
      </c>
      <c r="O347" s="3" t="s">
        <v>2276</v>
      </c>
      <c r="P347" s="3" t="s">
        <v>2276</v>
      </c>
      <c r="Q347" s="3" t="s">
        <v>2276</v>
      </c>
      <c r="R347" s="3" t="s">
        <v>534</v>
      </c>
      <c r="S347" s="3" t="s">
        <v>534</v>
      </c>
      <c r="T347" s="3" t="s">
        <v>2276</v>
      </c>
      <c r="U347" s="3" t="s">
        <v>2276</v>
      </c>
      <c r="V347" s="3">
        <v>5</v>
      </c>
      <c r="W347" s="19" t="s">
        <v>2835</v>
      </c>
    </row>
    <row r="348" spans="1:23" ht="52.5" customHeight="1">
      <c r="A348" s="11" t="s">
        <v>2814</v>
      </c>
      <c r="B348" s="11" t="s">
        <v>2831</v>
      </c>
      <c r="C348" s="11" t="s">
        <v>24</v>
      </c>
      <c r="D348" s="3" t="s">
        <v>1105</v>
      </c>
      <c r="E348" s="3" t="s">
        <v>5005</v>
      </c>
      <c r="F348" s="4" t="s">
        <v>55</v>
      </c>
      <c r="G348" s="3"/>
      <c r="H348" s="4" t="s">
        <v>541</v>
      </c>
      <c r="I348" s="3" t="s">
        <v>2276</v>
      </c>
      <c r="J348" s="3" t="s">
        <v>2276</v>
      </c>
      <c r="K348" s="3" t="s">
        <v>2276</v>
      </c>
      <c r="L348" s="3" t="s">
        <v>2276</v>
      </c>
      <c r="M348" s="3" t="s">
        <v>2276</v>
      </c>
      <c r="N348" s="3" t="s">
        <v>2276</v>
      </c>
      <c r="O348" s="3" t="s">
        <v>2276</v>
      </c>
      <c r="P348" s="3" t="s">
        <v>2276</v>
      </c>
      <c r="Q348" s="3" t="s">
        <v>2276</v>
      </c>
      <c r="R348" s="3" t="s">
        <v>534</v>
      </c>
      <c r="S348" s="3" t="s">
        <v>534</v>
      </c>
      <c r="T348" s="3" t="s">
        <v>2276</v>
      </c>
      <c r="U348" s="3" t="s">
        <v>2276</v>
      </c>
      <c r="V348" s="3">
        <v>5</v>
      </c>
      <c r="W348" s="19" t="s">
        <v>2835</v>
      </c>
    </row>
    <row r="349" spans="1:23" ht="52.5" customHeight="1">
      <c r="A349" s="11" t="s">
        <v>2814</v>
      </c>
      <c r="B349" s="11" t="s">
        <v>2832</v>
      </c>
      <c r="C349" s="11" t="s">
        <v>24</v>
      </c>
      <c r="D349" s="3" t="s">
        <v>1105</v>
      </c>
      <c r="E349" s="3" t="s">
        <v>5005</v>
      </c>
      <c r="F349" s="4" t="s">
        <v>2662</v>
      </c>
      <c r="G349" s="3"/>
      <c r="H349" s="4" t="s">
        <v>541</v>
      </c>
      <c r="I349" s="3" t="s">
        <v>2276</v>
      </c>
      <c r="J349" s="3" t="s">
        <v>2276</v>
      </c>
      <c r="K349" s="3" t="s">
        <v>2276</v>
      </c>
      <c r="L349" s="3" t="s">
        <v>2276</v>
      </c>
      <c r="M349" s="3" t="s">
        <v>2276</v>
      </c>
      <c r="N349" s="3" t="s">
        <v>2276</v>
      </c>
      <c r="O349" s="3" t="s">
        <v>2276</v>
      </c>
      <c r="P349" s="3" t="s">
        <v>2276</v>
      </c>
      <c r="Q349" s="3" t="s">
        <v>2276</v>
      </c>
      <c r="R349" s="3" t="s">
        <v>534</v>
      </c>
      <c r="S349" s="3" t="s">
        <v>534</v>
      </c>
      <c r="T349" s="3" t="s">
        <v>2276</v>
      </c>
      <c r="U349" s="3" t="s">
        <v>2276</v>
      </c>
      <c r="V349" s="3">
        <v>5</v>
      </c>
      <c r="W349" s="19" t="s">
        <v>2835</v>
      </c>
    </row>
    <row r="350" spans="1:23" ht="31.5" customHeight="1">
      <c r="A350" s="11" t="s">
        <v>2821</v>
      </c>
      <c r="B350" s="11" t="s">
        <v>2833</v>
      </c>
      <c r="C350" s="11" t="s">
        <v>24</v>
      </c>
      <c r="D350" s="3" t="s">
        <v>1105</v>
      </c>
      <c r="E350" s="3" t="s">
        <v>5005</v>
      </c>
      <c r="F350" s="4" t="s">
        <v>55</v>
      </c>
      <c r="G350" s="3"/>
      <c r="H350" s="4" t="s">
        <v>541</v>
      </c>
      <c r="I350" s="3" t="s">
        <v>2276</v>
      </c>
      <c r="J350" s="3" t="s">
        <v>2276</v>
      </c>
      <c r="K350" s="3" t="s">
        <v>2276</v>
      </c>
      <c r="L350" s="3" t="s">
        <v>2276</v>
      </c>
      <c r="M350" s="3" t="s">
        <v>2276</v>
      </c>
      <c r="N350" s="3" t="s">
        <v>2276</v>
      </c>
      <c r="O350" s="3" t="s">
        <v>2276</v>
      </c>
      <c r="P350" s="3" t="s">
        <v>2276</v>
      </c>
      <c r="Q350" s="3" t="s">
        <v>2276</v>
      </c>
      <c r="R350" s="3" t="s">
        <v>537</v>
      </c>
      <c r="S350" s="3" t="s">
        <v>537</v>
      </c>
      <c r="T350" s="3" t="s">
        <v>2276</v>
      </c>
      <c r="U350" s="3" t="s">
        <v>2276</v>
      </c>
      <c r="V350" s="3" t="s">
        <v>2276</v>
      </c>
      <c r="W350" s="19" t="s">
        <v>2836</v>
      </c>
    </row>
    <row r="351" spans="1:23" ht="34.5" customHeight="1">
      <c r="A351" s="11" t="s">
        <v>2821</v>
      </c>
      <c r="B351" s="11" t="s">
        <v>2834</v>
      </c>
      <c r="C351" s="11" t="s">
        <v>24</v>
      </c>
      <c r="D351" s="3" t="s">
        <v>1105</v>
      </c>
      <c r="E351" s="3" t="s">
        <v>5005</v>
      </c>
      <c r="F351" s="4" t="s">
        <v>2662</v>
      </c>
      <c r="G351" s="3"/>
      <c r="H351" s="4" t="s">
        <v>541</v>
      </c>
      <c r="I351" s="3" t="s">
        <v>2276</v>
      </c>
      <c r="J351" s="3" t="s">
        <v>2276</v>
      </c>
      <c r="K351" s="3" t="s">
        <v>2276</v>
      </c>
      <c r="L351" s="3" t="s">
        <v>2276</v>
      </c>
      <c r="M351" s="3" t="s">
        <v>2276</v>
      </c>
      <c r="N351" s="3" t="s">
        <v>2276</v>
      </c>
      <c r="O351" s="3" t="s">
        <v>2276</v>
      </c>
      <c r="P351" s="3" t="s">
        <v>2276</v>
      </c>
      <c r="Q351" s="3" t="s">
        <v>2276</v>
      </c>
      <c r="R351" s="3" t="s">
        <v>537</v>
      </c>
      <c r="S351" s="3" t="s">
        <v>537</v>
      </c>
      <c r="T351" s="3" t="s">
        <v>2276</v>
      </c>
      <c r="U351" s="3" t="s">
        <v>2276</v>
      </c>
      <c r="V351" s="3" t="s">
        <v>2276</v>
      </c>
      <c r="W351" s="19" t="s">
        <v>2836</v>
      </c>
    </row>
    <row r="352" spans="1:23" ht="47.5" customHeight="1">
      <c r="A352" s="11" t="s">
        <v>2863</v>
      </c>
      <c r="B352" s="11" t="s">
        <v>2866</v>
      </c>
      <c r="C352" s="11" t="s">
        <v>24</v>
      </c>
      <c r="D352" s="3" t="s">
        <v>27</v>
      </c>
      <c r="E352" s="3" t="s">
        <v>130</v>
      </c>
      <c r="F352" s="3" t="s">
        <v>74</v>
      </c>
      <c r="G352" s="3"/>
      <c r="H352" s="4" t="s">
        <v>541</v>
      </c>
      <c r="I352" s="3" t="s">
        <v>2690</v>
      </c>
      <c r="J352" s="3" t="s">
        <v>534</v>
      </c>
      <c r="K352" s="3" t="s">
        <v>2276</v>
      </c>
      <c r="L352" s="3" t="s">
        <v>2276</v>
      </c>
      <c r="M352" s="3" t="s">
        <v>2276</v>
      </c>
      <c r="N352" s="3" t="s">
        <v>2276</v>
      </c>
      <c r="O352" s="3" t="s">
        <v>2276</v>
      </c>
      <c r="P352" s="3" t="s">
        <v>2276</v>
      </c>
      <c r="Q352" s="3" t="s">
        <v>2276</v>
      </c>
      <c r="R352" s="3" t="s">
        <v>2276</v>
      </c>
      <c r="S352" s="3" t="s">
        <v>2276</v>
      </c>
      <c r="T352" s="3" t="s">
        <v>2276</v>
      </c>
      <c r="U352" s="3" t="s">
        <v>2276</v>
      </c>
      <c r="V352" s="3" t="s">
        <v>2276</v>
      </c>
      <c r="W352" s="4" t="s">
        <v>2868</v>
      </c>
    </row>
    <row r="353" spans="1:23" ht="52.5" customHeight="1">
      <c r="A353" s="11" t="s">
        <v>2863</v>
      </c>
      <c r="B353" s="11" t="s">
        <v>2867</v>
      </c>
      <c r="C353" s="11" t="s">
        <v>24</v>
      </c>
      <c r="D353" s="3" t="s">
        <v>27</v>
      </c>
      <c r="E353" s="3" t="s">
        <v>130</v>
      </c>
      <c r="F353" s="3" t="s">
        <v>160</v>
      </c>
      <c r="G353" s="3"/>
      <c r="H353" s="4" t="s">
        <v>541</v>
      </c>
      <c r="I353" s="3" t="s">
        <v>2690</v>
      </c>
      <c r="J353" s="3" t="s">
        <v>534</v>
      </c>
      <c r="K353" s="3" t="s">
        <v>2276</v>
      </c>
      <c r="L353" s="3" t="s">
        <v>2276</v>
      </c>
      <c r="M353" s="3" t="s">
        <v>2276</v>
      </c>
      <c r="N353" s="3" t="s">
        <v>2276</v>
      </c>
      <c r="O353" s="3" t="s">
        <v>2276</v>
      </c>
      <c r="P353" s="3" t="s">
        <v>2276</v>
      </c>
      <c r="Q353" s="3" t="s">
        <v>2276</v>
      </c>
      <c r="R353" s="3" t="s">
        <v>2276</v>
      </c>
      <c r="S353" s="3" t="s">
        <v>2276</v>
      </c>
      <c r="T353" s="3" t="s">
        <v>2276</v>
      </c>
      <c r="U353" s="3" t="s">
        <v>2276</v>
      </c>
      <c r="V353" s="3" t="s">
        <v>2276</v>
      </c>
      <c r="W353" s="4" t="s">
        <v>2868</v>
      </c>
    </row>
    <row r="354" spans="1:23" ht="38" customHeight="1">
      <c r="A354" s="11" t="s">
        <v>2870</v>
      </c>
      <c r="B354" s="11" t="s">
        <v>2873</v>
      </c>
      <c r="C354" s="11" t="s">
        <v>24</v>
      </c>
      <c r="D354" s="3" t="s">
        <v>2661</v>
      </c>
      <c r="E354" s="3" t="s">
        <v>396</v>
      </c>
      <c r="F354" s="3" t="s">
        <v>74</v>
      </c>
      <c r="G354" s="3"/>
      <c r="H354" s="4" t="s">
        <v>541</v>
      </c>
      <c r="I354" s="3" t="s">
        <v>2276</v>
      </c>
      <c r="J354" s="3" t="s">
        <v>2276</v>
      </c>
      <c r="K354" s="3" t="s">
        <v>2276</v>
      </c>
      <c r="L354" s="3" t="s">
        <v>2276</v>
      </c>
      <c r="M354" s="3" t="s">
        <v>537</v>
      </c>
      <c r="N354" s="3" t="s">
        <v>2276</v>
      </c>
      <c r="O354" s="3" t="s">
        <v>2276</v>
      </c>
      <c r="P354" s="3" t="s">
        <v>2276</v>
      </c>
      <c r="Q354" s="3" t="s">
        <v>2276</v>
      </c>
      <c r="R354" s="3" t="s">
        <v>537</v>
      </c>
      <c r="S354" s="3" t="s">
        <v>2276</v>
      </c>
      <c r="T354" s="3" t="s">
        <v>2276</v>
      </c>
      <c r="U354" s="3" t="s">
        <v>2276</v>
      </c>
      <c r="V354" s="3" t="s">
        <v>2276</v>
      </c>
      <c r="W354" s="4" t="s">
        <v>2879</v>
      </c>
    </row>
    <row r="355" spans="1:23" ht="116" customHeight="1">
      <c r="A355" s="11" t="s">
        <v>2886</v>
      </c>
      <c r="B355" s="11" t="s">
        <v>2894</v>
      </c>
      <c r="C355" s="3" t="s">
        <v>24</v>
      </c>
      <c r="D355" s="3" t="s">
        <v>27</v>
      </c>
      <c r="E355" s="3" t="s">
        <v>130</v>
      </c>
      <c r="F355" s="4" t="s">
        <v>160</v>
      </c>
      <c r="G355" s="3"/>
      <c r="H355" s="4" t="s">
        <v>541</v>
      </c>
      <c r="I355" s="3" t="s">
        <v>2690</v>
      </c>
      <c r="J355" s="3" t="s">
        <v>534</v>
      </c>
      <c r="K355" s="3" t="s">
        <v>534</v>
      </c>
      <c r="L355" s="3" t="s">
        <v>2276</v>
      </c>
      <c r="M355" s="3" t="s">
        <v>2728</v>
      </c>
      <c r="N355" s="3" t="s">
        <v>2276</v>
      </c>
      <c r="O355" s="3" t="s">
        <v>534</v>
      </c>
      <c r="P355" s="3" t="s">
        <v>2276</v>
      </c>
      <c r="Q355" s="3">
        <v>1</v>
      </c>
      <c r="R355" s="3" t="s">
        <v>2276</v>
      </c>
      <c r="S355" s="3" t="s">
        <v>2276</v>
      </c>
      <c r="T355" s="3" t="s">
        <v>2276</v>
      </c>
      <c r="U355" s="3" t="s">
        <v>2276</v>
      </c>
      <c r="V355" s="3" t="s">
        <v>2276</v>
      </c>
      <c r="W355" s="4" t="s">
        <v>2923</v>
      </c>
    </row>
    <row r="356" spans="1:23" ht="52" customHeight="1">
      <c r="A356" s="11" t="s">
        <v>2886</v>
      </c>
      <c r="B356" s="11" t="s">
        <v>2897</v>
      </c>
      <c r="C356" s="3" t="s">
        <v>24</v>
      </c>
      <c r="D356" s="3" t="s">
        <v>27</v>
      </c>
      <c r="E356" s="3" t="s">
        <v>130</v>
      </c>
      <c r="F356" s="4" t="s">
        <v>160</v>
      </c>
      <c r="G356" s="3"/>
      <c r="H356" s="4" t="s">
        <v>1093</v>
      </c>
      <c r="I356" s="3" t="s">
        <v>2690</v>
      </c>
      <c r="J356" s="3" t="s">
        <v>534</v>
      </c>
      <c r="K356" s="3" t="s">
        <v>534</v>
      </c>
      <c r="L356" s="3" t="s">
        <v>2276</v>
      </c>
      <c r="M356" s="3" t="s">
        <v>2276</v>
      </c>
      <c r="N356" s="3" t="s">
        <v>2276</v>
      </c>
      <c r="O356" s="3" t="s">
        <v>2276</v>
      </c>
      <c r="P356" s="3" t="s">
        <v>2276</v>
      </c>
      <c r="Q356" s="3" t="s">
        <v>2276</v>
      </c>
      <c r="R356" s="3" t="s">
        <v>2276</v>
      </c>
      <c r="S356" s="3" t="s">
        <v>2276</v>
      </c>
      <c r="T356" s="3" t="s">
        <v>2276</v>
      </c>
      <c r="U356" s="3" t="s">
        <v>2276</v>
      </c>
      <c r="V356" s="3" t="s">
        <v>2276</v>
      </c>
      <c r="W356" s="4" t="s">
        <v>2922</v>
      </c>
    </row>
    <row r="357" spans="1:23" ht="109.5" customHeight="1">
      <c r="A357" s="11" t="s">
        <v>2887</v>
      </c>
      <c r="B357" s="11" t="s">
        <v>2895</v>
      </c>
      <c r="C357" s="3" t="s">
        <v>24</v>
      </c>
      <c r="D357" s="3" t="s">
        <v>27</v>
      </c>
      <c r="E357" s="3" t="s">
        <v>130</v>
      </c>
      <c r="F357" s="4" t="s">
        <v>160</v>
      </c>
      <c r="G357" s="3"/>
      <c r="H357" s="4" t="s">
        <v>541</v>
      </c>
      <c r="I357" s="3" t="s">
        <v>2690</v>
      </c>
      <c r="J357" s="3" t="s">
        <v>534</v>
      </c>
      <c r="K357" s="3" t="s">
        <v>534</v>
      </c>
      <c r="L357" s="3" t="s">
        <v>2276</v>
      </c>
      <c r="M357" s="3" t="s">
        <v>2728</v>
      </c>
      <c r="N357" s="3" t="s">
        <v>2276</v>
      </c>
      <c r="O357" s="3" t="s">
        <v>534</v>
      </c>
      <c r="P357" s="3" t="s">
        <v>2276</v>
      </c>
      <c r="Q357" s="3">
        <v>1</v>
      </c>
      <c r="R357" s="3" t="s">
        <v>2276</v>
      </c>
      <c r="S357" s="3" t="s">
        <v>2276</v>
      </c>
      <c r="T357" s="3" t="s">
        <v>2276</v>
      </c>
      <c r="U357" s="3" t="s">
        <v>2276</v>
      </c>
      <c r="V357" s="3" t="s">
        <v>2276</v>
      </c>
      <c r="W357" s="4" t="s">
        <v>2923</v>
      </c>
    </row>
    <row r="358" spans="1:23" ht="84.5" customHeight="1">
      <c r="A358" s="11" t="s">
        <v>2887</v>
      </c>
      <c r="B358" s="11" t="s">
        <v>2907</v>
      </c>
      <c r="C358" s="3" t="s">
        <v>24</v>
      </c>
      <c r="D358" s="3" t="s">
        <v>27</v>
      </c>
      <c r="E358" s="3" t="s">
        <v>130</v>
      </c>
      <c r="F358" s="4" t="s">
        <v>160</v>
      </c>
      <c r="G358" s="3"/>
      <c r="H358" s="4" t="s">
        <v>1093</v>
      </c>
      <c r="I358" s="3" t="s">
        <v>2690</v>
      </c>
      <c r="J358" s="3" t="s">
        <v>534</v>
      </c>
      <c r="K358" s="3" t="s">
        <v>534</v>
      </c>
      <c r="L358" s="3" t="s">
        <v>2276</v>
      </c>
      <c r="M358" s="3" t="s">
        <v>2276</v>
      </c>
      <c r="N358" s="3" t="s">
        <v>2276</v>
      </c>
      <c r="O358" s="3" t="s">
        <v>2276</v>
      </c>
      <c r="P358" s="3" t="s">
        <v>2276</v>
      </c>
      <c r="Q358" s="3" t="s">
        <v>2276</v>
      </c>
      <c r="R358" s="3" t="s">
        <v>2276</v>
      </c>
      <c r="S358" s="3" t="s">
        <v>2276</v>
      </c>
      <c r="T358" s="3" t="s">
        <v>2276</v>
      </c>
      <c r="U358" s="3" t="s">
        <v>2276</v>
      </c>
      <c r="V358" s="3" t="s">
        <v>2276</v>
      </c>
      <c r="W358" s="4" t="s">
        <v>2922</v>
      </c>
    </row>
    <row r="359" spans="1:23" ht="115.5" customHeight="1">
      <c r="A359" s="11" t="s">
        <v>2888</v>
      </c>
      <c r="B359" s="11" t="s">
        <v>2896</v>
      </c>
      <c r="C359" s="3" t="s">
        <v>24</v>
      </c>
      <c r="D359" s="3" t="s">
        <v>27</v>
      </c>
      <c r="E359" s="3" t="s">
        <v>130</v>
      </c>
      <c r="F359" s="4" t="s">
        <v>160</v>
      </c>
      <c r="G359" s="3"/>
      <c r="H359" s="4" t="s">
        <v>541</v>
      </c>
      <c r="I359" s="3" t="s">
        <v>2690</v>
      </c>
      <c r="J359" s="3" t="s">
        <v>534</v>
      </c>
      <c r="K359" s="3" t="s">
        <v>534</v>
      </c>
      <c r="L359" s="3" t="s">
        <v>2276</v>
      </c>
      <c r="M359" s="3" t="s">
        <v>2728</v>
      </c>
      <c r="N359" s="3" t="s">
        <v>2276</v>
      </c>
      <c r="O359" s="3" t="s">
        <v>534</v>
      </c>
      <c r="P359" s="3" t="s">
        <v>2276</v>
      </c>
      <c r="Q359" s="3">
        <v>1</v>
      </c>
      <c r="R359" s="3" t="s">
        <v>2276</v>
      </c>
      <c r="S359" s="3" t="s">
        <v>2276</v>
      </c>
      <c r="T359" s="3" t="s">
        <v>2276</v>
      </c>
      <c r="U359" s="3" t="s">
        <v>2276</v>
      </c>
      <c r="V359" s="3" t="s">
        <v>2276</v>
      </c>
      <c r="W359" s="4" t="s">
        <v>2923</v>
      </c>
    </row>
    <row r="360" spans="1:23" ht="79.5" customHeight="1">
      <c r="A360" s="11" t="s">
        <v>2888</v>
      </c>
      <c r="B360" s="11" t="s">
        <v>2913</v>
      </c>
      <c r="C360" s="3" t="s">
        <v>24</v>
      </c>
      <c r="D360" s="3" t="s">
        <v>27</v>
      </c>
      <c r="E360" s="3" t="s">
        <v>130</v>
      </c>
      <c r="F360" s="4" t="s">
        <v>160</v>
      </c>
      <c r="G360" s="3"/>
      <c r="H360" s="4" t="s">
        <v>1093</v>
      </c>
      <c r="I360" s="3" t="s">
        <v>2690</v>
      </c>
      <c r="J360" s="3" t="s">
        <v>534</v>
      </c>
      <c r="K360" s="3" t="s">
        <v>534</v>
      </c>
      <c r="L360" s="3" t="s">
        <v>2276</v>
      </c>
      <c r="M360" s="3" t="s">
        <v>2276</v>
      </c>
      <c r="N360" s="3" t="s">
        <v>2276</v>
      </c>
      <c r="O360" s="3" t="s">
        <v>2276</v>
      </c>
      <c r="P360" s="3" t="s">
        <v>2276</v>
      </c>
      <c r="Q360" s="3" t="s">
        <v>2276</v>
      </c>
      <c r="R360" s="3" t="s">
        <v>2276</v>
      </c>
      <c r="S360" s="3" t="s">
        <v>2276</v>
      </c>
      <c r="T360" s="3" t="s">
        <v>2276</v>
      </c>
      <c r="U360" s="3" t="s">
        <v>2276</v>
      </c>
      <c r="V360" s="3" t="s">
        <v>2276</v>
      </c>
      <c r="W360" s="4" t="s">
        <v>2922</v>
      </c>
    </row>
    <row r="361" spans="1:23" ht="65.5" customHeight="1">
      <c r="A361" s="19" t="s">
        <v>2924</v>
      </c>
      <c r="B361" s="19" t="s">
        <v>2928</v>
      </c>
      <c r="C361" s="4" t="s">
        <v>24</v>
      </c>
      <c r="D361" s="4" t="s">
        <v>144</v>
      </c>
      <c r="E361" s="4" t="s">
        <v>137</v>
      </c>
      <c r="F361" s="4" t="s">
        <v>2662</v>
      </c>
      <c r="G361" s="4"/>
      <c r="H361" s="4" t="s">
        <v>1093</v>
      </c>
      <c r="I361" s="4" t="s">
        <v>2691</v>
      </c>
      <c r="J361" s="4" t="s">
        <v>2276</v>
      </c>
      <c r="K361" s="4" t="s">
        <v>534</v>
      </c>
      <c r="L361" s="4" t="s">
        <v>2276</v>
      </c>
      <c r="M361" s="4" t="s">
        <v>2276</v>
      </c>
      <c r="N361" s="4" t="s">
        <v>2276</v>
      </c>
      <c r="O361" s="4" t="s">
        <v>2276</v>
      </c>
      <c r="P361" s="4" t="s">
        <v>2276</v>
      </c>
      <c r="Q361" s="4" t="s">
        <v>2276</v>
      </c>
      <c r="R361" s="4" t="s">
        <v>2276</v>
      </c>
      <c r="S361" s="4" t="s">
        <v>2276</v>
      </c>
      <c r="T361" s="4" t="s">
        <v>2276</v>
      </c>
      <c r="U361" s="4" t="s">
        <v>2276</v>
      </c>
      <c r="V361" s="4" t="s">
        <v>2276</v>
      </c>
      <c r="W361" s="4" t="s">
        <v>2932</v>
      </c>
    </row>
    <row r="362" spans="1:23" ht="35" customHeight="1">
      <c r="A362" s="11" t="s">
        <v>2988</v>
      </c>
      <c r="B362" s="11" t="s">
        <v>2989</v>
      </c>
      <c r="C362" s="3" t="s">
        <v>1105</v>
      </c>
      <c r="D362" s="3" t="s">
        <v>1105</v>
      </c>
      <c r="E362" s="4" t="s">
        <v>5005</v>
      </c>
      <c r="F362" s="4" t="s">
        <v>2662</v>
      </c>
      <c r="G362" s="3"/>
      <c r="H362" s="4" t="s">
        <v>541</v>
      </c>
      <c r="I362" s="4" t="s">
        <v>2276</v>
      </c>
      <c r="J362" s="4" t="s">
        <v>2276</v>
      </c>
      <c r="K362" s="4" t="s">
        <v>2276</v>
      </c>
      <c r="L362" s="4" t="s">
        <v>2276</v>
      </c>
      <c r="M362" s="4" t="s">
        <v>2276</v>
      </c>
      <c r="N362" s="4" t="s">
        <v>2276</v>
      </c>
      <c r="O362" s="4" t="s">
        <v>2276</v>
      </c>
      <c r="P362" s="4" t="s">
        <v>2276</v>
      </c>
      <c r="Q362" s="4" t="s">
        <v>2276</v>
      </c>
      <c r="R362" s="3" t="s">
        <v>534</v>
      </c>
      <c r="S362" s="4" t="s">
        <v>2276</v>
      </c>
      <c r="T362" s="4" t="s">
        <v>2276</v>
      </c>
      <c r="U362" s="4" t="s">
        <v>2276</v>
      </c>
      <c r="V362" s="3">
        <v>1</v>
      </c>
      <c r="W362" s="4" t="s">
        <v>2992</v>
      </c>
    </row>
    <row r="363" spans="1:23" ht="46.5" customHeight="1">
      <c r="A363" s="11" t="s">
        <v>2988</v>
      </c>
      <c r="B363" s="11" t="s">
        <v>2990</v>
      </c>
      <c r="C363" s="3" t="s">
        <v>1105</v>
      </c>
      <c r="D363" s="3" t="s">
        <v>1105</v>
      </c>
      <c r="E363" s="4" t="s">
        <v>116</v>
      </c>
      <c r="F363" s="4" t="s">
        <v>2662</v>
      </c>
      <c r="G363" s="3"/>
      <c r="H363" s="4" t="s">
        <v>541</v>
      </c>
      <c r="I363" s="4" t="s">
        <v>2276</v>
      </c>
      <c r="J363" s="4" t="s">
        <v>2276</v>
      </c>
      <c r="K363" s="4" t="s">
        <v>2276</v>
      </c>
      <c r="L363" s="4" t="s">
        <v>2276</v>
      </c>
      <c r="M363" s="4" t="s">
        <v>2276</v>
      </c>
      <c r="N363" s="4" t="s">
        <v>2276</v>
      </c>
      <c r="O363" s="4" t="s">
        <v>2276</v>
      </c>
      <c r="P363" s="4" t="s">
        <v>2276</v>
      </c>
      <c r="Q363" s="4" t="s">
        <v>2276</v>
      </c>
      <c r="R363" s="3" t="s">
        <v>534</v>
      </c>
      <c r="S363" s="4" t="s">
        <v>2276</v>
      </c>
      <c r="T363" s="4" t="s">
        <v>2276</v>
      </c>
      <c r="U363" s="4" t="s">
        <v>2276</v>
      </c>
      <c r="V363" s="3">
        <v>1</v>
      </c>
      <c r="W363" s="4" t="s">
        <v>2992</v>
      </c>
    </row>
    <row r="364" spans="1:23" ht="43.5" customHeight="1">
      <c r="A364" s="11" t="s">
        <v>2988</v>
      </c>
      <c r="B364" s="11" t="s">
        <v>2991</v>
      </c>
      <c r="C364" s="3" t="s">
        <v>1105</v>
      </c>
      <c r="D364" s="3" t="s">
        <v>1105</v>
      </c>
      <c r="E364" s="4" t="s">
        <v>130</v>
      </c>
      <c r="F364" s="4" t="s">
        <v>2662</v>
      </c>
      <c r="G364" s="3"/>
      <c r="H364" s="4" t="s">
        <v>541</v>
      </c>
      <c r="I364" s="4" t="s">
        <v>2276</v>
      </c>
      <c r="J364" s="4" t="s">
        <v>2276</v>
      </c>
      <c r="K364" s="4" t="s">
        <v>2276</v>
      </c>
      <c r="L364" s="4" t="s">
        <v>2276</v>
      </c>
      <c r="M364" s="4" t="s">
        <v>2276</v>
      </c>
      <c r="N364" s="4" t="s">
        <v>2276</v>
      </c>
      <c r="O364" s="4" t="s">
        <v>2276</v>
      </c>
      <c r="P364" s="4" t="s">
        <v>2276</v>
      </c>
      <c r="Q364" s="4" t="s">
        <v>2276</v>
      </c>
      <c r="R364" s="3" t="s">
        <v>534</v>
      </c>
      <c r="S364" s="4" t="s">
        <v>2276</v>
      </c>
      <c r="T364" s="4" t="s">
        <v>2276</v>
      </c>
      <c r="U364" s="4" t="s">
        <v>2276</v>
      </c>
      <c r="V364" s="3">
        <v>1</v>
      </c>
      <c r="W364" s="4" t="s">
        <v>2992</v>
      </c>
    </row>
    <row r="365" spans="1:23" ht="79.5" customHeight="1">
      <c r="A365" s="11" t="s">
        <v>2995</v>
      </c>
      <c r="B365" s="11" t="s">
        <v>2996</v>
      </c>
      <c r="C365" s="3" t="s">
        <v>24</v>
      </c>
      <c r="D365" s="3" t="s">
        <v>2660</v>
      </c>
      <c r="E365" s="3" t="s">
        <v>45</v>
      </c>
      <c r="F365" s="3" t="s">
        <v>29</v>
      </c>
      <c r="G365" s="3"/>
      <c r="H365" s="4" t="s">
        <v>541</v>
      </c>
      <c r="I365" s="4" t="s">
        <v>2276</v>
      </c>
      <c r="J365" s="4" t="s">
        <v>2276</v>
      </c>
      <c r="K365" s="4" t="s">
        <v>2276</v>
      </c>
      <c r="L365" s="4" t="s">
        <v>2276</v>
      </c>
      <c r="M365" s="3" t="s">
        <v>2671</v>
      </c>
      <c r="N365" s="4" t="s">
        <v>2276</v>
      </c>
      <c r="O365" s="4" t="s">
        <v>534</v>
      </c>
      <c r="P365" s="4" t="s">
        <v>2276</v>
      </c>
      <c r="Q365" s="3">
        <v>1</v>
      </c>
      <c r="R365" s="4" t="s">
        <v>2276</v>
      </c>
      <c r="S365" s="4" t="s">
        <v>2276</v>
      </c>
      <c r="T365" s="4" t="s">
        <v>2276</v>
      </c>
      <c r="U365" s="4" t="s">
        <v>2276</v>
      </c>
      <c r="V365" s="4" t="s">
        <v>2276</v>
      </c>
      <c r="W365" s="4" t="s">
        <v>3036</v>
      </c>
    </row>
    <row r="366" spans="1:23" ht="74.5" customHeight="1">
      <c r="A366" s="11" t="s">
        <v>2995</v>
      </c>
      <c r="B366" s="11" t="s">
        <v>3021</v>
      </c>
      <c r="C366" s="3" t="s">
        <v>24</v>
      </c>
      <c r="D366" s="3" t="s">
        <v>27</v>
      </c>
      <c r="E366" s="3" t="s">
        <v>130</v>
      </c>
      <c r="F366" s="3" t="s">
        <v>160</v>
      </c>
      <c r="G366" s="3"/>
      <c r="H366" s="4" t="s">
        <v>541</v>
      </c>
      <c r="I366" s="4" t="s">
        <v>2276</v>
      </c>
      <c r="J366" s="4" t="s">
        <v>2276</v>
      </c>
      <c r="K366" s="4" t="s">
        <v>2276</v>
      </c>
      <c r="L366" s="4" t="s">
        <v>2276</v>
      </c>
      <c r="M366" s="3" t="s">
        <v>2671</v>
      </c>
      <c r="N366" s="4" t="s">
        <v>2276</v>
      </c>
      <c r="O366" s="4" t="s">
        <v>534</v>
      </c>
      <c r="P366" s="4" t="s">
        <v>2276</v>
      </c>
      <c r="Q366" s="3">
        <v>1</v>
      </c>
      <c r="R366" s="4" t="s">
        <v>2276</v>
      </c>
      <c r="S366" s="4" t="s">
        <v>2276</v>
      </c>
      <c r="T366" s="4" t="s">
        <v>2276</v>
      </c>
      <c r="U366" s="4" t="s">
        <v>2276</v>
      </c>
      <c r="V366" s="4" t="s">
        <v>2276</v>
      </c>
      <c r="W366" s="4" t="s">
        <v>3036</v>
      </c>
    </row>
    <row r="367" spans="1:23" ht="38" customHeight="1">
      <c r="A367" s="11" t="s">
        <v>2995</v>
      </c>
      <c r="B367" s="11" t="s">
        <v>3022</v>
      </c>
      <c r="C367" s="3" t="s">
        <v>24</v>
      </c>
      <c r="D367" s="3" t="s">
        <v>2231</v>
      </c>
      <c r="E367" s="3" t="s">
        <v>1105</v>
      </c>
      <c r="F367" s="4" t="s">
        <v>2662</v>
      </c>
      <c r="G367" s="3"/>
      <c r="H367" s="4" t="s">
        <v>541</v>
      </c>
      <c r="I367" s="4" t="s">
        <v>2276</v>
      </c>
      <c r="J367" s="4" t="s">
        <v>2276</v>
      </c>
      <c r="K367" s="4" t="s">
        <v>2276</v>
      </c>
      <c r="L367" s="4" t="s">
        <v>2276</v>
      </c>
      <c r="M367" s="4" t="s">
        <v>2276</v>
      </c>
      <c r="N367" s="4" t="s">
        <v>2276</v>
      </c>
      <c r="O367" s="4" t="s">
        <v>2276</v>
      </c>
      <c r="P367" s="4" t="s">
        <v>2276</v>
      </c>
      <c r="Q367" s="4" t="s">
        <v>2276</v>
      </c>
      <c r="R367" s="3" t="s">
        <v>534</v>
      </c>
      <c r="S367" s="4" t="s">
        <v>2276</v>
      </c>
      <c r="T367" s="3" t="s">
        <v>534</v>
      </c>
      <c r="U367" s="4" t="s">
        <v>2276</v>
      </c>
      <c r="V367" s="3">
        <v>3</v>
      </c>
      <c r="W367" s="4" t="s">
        <v>3035</v>
      </c>
    </row>
    <row r="368" spans="1:23" ht="52.5" customHeight="1">
      <c r="A368" s="11" t="s">
        <v>3129</v>
      </c>
      <c r="B368" s="11" t="s">
        <v>3138</v>
      </c>
      <c r="C368" s="3" t="s">
        <v>24</v>
      </c>
      <c r="D368" s="3" t="s">
        <v>1105</v>
      </c>
      <c r="E368" s="3" t="s">
        <v>1105</v>
      </c>
      <c r="F368" s="3" t="s">
        <v>1105</v>
      </c>
      <c r="G368" s="3"/>
      <c r="H368" s="4" t="s">
        <v>541</v>
      </c>
      <c r="I368" s="4" t="s">
        <v>2276</v>
      </c>
      <c r="J368" s="4" t="s">
        <v>2276</v>
      </c>
      <c r="K368" s="4" t="s">
        <v>2276</v>
      </c>
      <c r="L368" s="4" t="s">
        <v>2276</v>
      </c>
      <c r="M368" s="4" t="s">
        <v>2276</v>
      </c>
      <c r="N368" s="4" t="s">
        <v>2276</v>
      </c>
      <c r="O368" s="4" t="s">
        <v>2276</v>
      </c>
      <c r="P368" s="4" t="s">
        <v>2276</v>
      </c>
      <c r="Q368" s="4" t="s">
        <v>2276</v>
      </c>
      <c r="R368" s="3" t="s">
        <v>534</v>
      </c>
      <c r="S368" s="4" t="s">
        <v>2276</v>
      </c>
      <c r="T368" s="3" t="s">
        <v>534</v>
      </c>
      <c r="U368" s="4" t="s">
        <v>2276</v>
      </c>
      <c r="V368" s="3"/>
      <c r="W368" s="4" t="s">
        <v>3142</v>
      </c>
    </row>
    <row r="369" spans="1:23" ht="57" customHeight="1">
      <c r="A369" s="11" t="s">
        <v>3130</v>
      </c>
      <c r="B369" s="11" t="s">
        <v>3139</v>
      </c>
      <c r="C369" s="3" t="s">
        <v>24</v>
      </c>
      <c r="D369" s="3" t="s">
        <v>1105</v>
      </c>
      <c r="E369" s="3" t="s">
        <v>1105</v>
      </c>
      <c r="F369" s="3" t="s">
        <v>1105</v>
      </c>
      <c r="G369" s="3"/>
      <c r="H369" s="4" t="s">
        <v>541</v>
      </c>
      <c r="I369" s="4" t="s">
        <v>2276</v>
      </c>
      <c r="J369" s="4" t="s">
        <v>2276</v>
      </c>
      <c r="K369" s="4" t="s">
        <v>2276</v>
      </c>
      <c r="L369" s="4" t="s">
        <v>2276</v>
      </c>
      <c r="M369" s="4" t="s">
        <v>2276</v>
      </c>
      <c r="N369" s="4" t="s">
        <v>2276</v>
      </c>
      <c r="O369" s="4" t="s">
        <v>2276</v>
      </c>
      <c r="P369" s="4" t="s">
        <v>2276</v>
      </c>
      <c r="Q369" s="4" t="s">
        <v>2276</v>
      </c>
      <c r="R369" s="3" t="s">
        <v>534</v>
      </c>
      <c r="S369" s="4" t="s">
        <v>2276</v>
      </c>
      <c r="T369" s="3" t="s">
        <v>534</v>
      </c>
      <c r="U369" s="4" t="s">
        <v>2276</v>
      </c>
      <c r="V369" s="3"/>
      <c r="W369" s="4" t="s">
        <v>3142</v>
      </c>
    </row>
    <row r="370" spans="1:23" ht="53.5" customHeight="1">
      <c r="A370" s="11" t="s">
        <v>3131</v>
      </c>
      <c r="B370" s="11" t="s">
        <v>3140</v>
      </c>
      <c r="C370" s="3" t="s">
        <v>24</v>
      </c>
      <c r="D370" s="3" t="s">
        <v>1105</v>
      </c>
      <c r="E370" s="3" t="s">
        <v>130</v>
      </c>
      <c r="F370" s="3" t="s">
        <v>1105</v>
      </c>
      <c r="G370" s="3"/>
      <c r="H370" s="4" t="s">
        <v>541</v>
      </c>
      <c r="I370" s="4" t="s">
        <v>2276</v>
      </c>
      <c r="J370" s="4" t="s">
        <v>2276</v>
      </c>
      <c r="K370" s="4" t="s">
        <v>2276</v>
      </c>
      <c r="L370" s="4" t="s">
        <v>2276</v>
      </c>
      <c r="M370" s="4" t="s">
        <v>2276</v>
      </c>
      <c r="N370" s="4" t="s">
        <v>2276</v>
      </c>
      <c r="O370" s="4" t="s">
        <v>2276</v>
      </c>
      <c r="P370" s="4" t="s">
        <v>2276</v>
      </c>
      <c r="Q370" s="4" t="s">
        <v>2276</v>
      </c>
      <c r="R370" s="3" t="s">
        <v>534</v>
      </c>
      <c r="S370" s="4" t="s">
        <v>2276</v>
      </c>
      <c r="T370" s="3" t="s">
        <v>534</v>
      </c>
      <c r="U370" s="4" t="s">
        <v>2276</v>
      </c>
      <c r="V370" s="3"/>
      <c r="W370" s="4" t="s">
        <v>3142</v>
      </c>
    </row>
    <row r="371" spans="1:23" ht="53.5" customHeight="1">
      <c r="A371" s="11" t="s">
        <v>3131</v>
      </c>
      <c r="B371" s="11" t="s">
        <v>3143</v>
      </c>
      <c r="C371" s="3" t="s">
        <v>24</v>
      </c>
      <c r="D371" s="3" t="s">
        <v>1105</v>
      </c>
      <c r="E371" s="4" t="s">
        <v>137</v>
      </c>
      <c r="F371" s="3" t="s">
        <v>1105</v>
      </c>
      <c r="G371" s="3"/>
      <c r="H371" s="4" t="s">
        <v>541</v>
      </c>
      <c r="I371" s="4" t="s">
        <v>2276</v>
      </c>
      <c r="J371" s="4" t="s">
        <v>2276</v>
      </c>
      <c r="K371" s="4" t="s">
        <v>2276</v>
      </c>
      <c r="L371" s="4" t="s">
        <v>2276</v>
      </c>
      <c r="M371" s="3" t="s">
        <v>2669</v>
      </c>
      <c r="N371" s="4" t="s">
        <v>2276</v>
      </c>
      <c r="O371" s="3" t="s">
        <v>534</v>
      </c>
      <c r="P371" s="4" t="s">
        <v>2276</v>
      </c>
      <c r="Q371" s="4" t="s">
        <v>2276</v>
      </c>
      <c r="R371" s="3" t="s">
        <v>537</v>
      </c>
      <c r="S371" s="4" t="s">
        <v>2276</v>
      </c>
      <c r="T371" s="3" t="s">
        <v>537</v>
      </c>
      <c r="U371" s="4" t="s">
        <v>2276</v>
      </c>
      <c r="V371" s="4" t="s">
        <v>2276</v>
      </c>
      <c r="W371" s="4" t="s">
        <v>3144</v>
      </c>
    </row>
    <row r="372" spans="1:23" ht="54.5" customHeight="1">
      <c r="A372" s="11" t="s">
        <v>3132</v>
      </c>
      <c r="B372" s="11" t="s">
        <v>3141</v>
      </c>
      <c r="C372" s="3" t="s">
        <v>24</v>
      </c>
      <c r="D372" s="3" t="s">
        <v>1105</v>
      </c>
      <c r="E372" s="3" t="s">
        <v>1105</v>
      </c>
      <c r="F372" s="3" t="s">
        <v>1105</v>
      </c>
      <c r="G372" s="3"/>
      <c r="H372" s="4" t="s">
        <v>541</v>
      </c>
      <c r="I372" s="4" t="s">
        <v>2276</v>
      </c>
      <c r="J372" s="4" t="s">
        <v>2276</v>
      </c>
      <c r="K372" s="4" t="s">
        <v>2276</v>
      </c>
      <c r="L372" s="4" t="s">
        <v>2276</v>
      </c>
      <c r="M372" s="4" t="s">
        <v>2276</v>
      </c>
      <c r="N372" s="4" t="s">
        <v>2276</v>
      </c>
      <c r="O372" s="4" t="s">
        <v>2276</v>
      </c>
      <c r="P372" s="4" t="s">
        <v>2276</v>
      </c>
      <c r="Q372" s="4" t="s">
        <v>2276</v>
      </c>
      <c r="R372" s="3" t="s">
        <v>534</v>
      </c>
      <c r="S372" s="4" t="s">
        <v>2276</v>
      </c>
      <c r="T372" s="3" t="s">
        <v>534</v>
      </c>
      <c r="U372" s="4" t="s">
        <v>2276</v>
      </c>
      <c r="V372" s="3"/>
      <c r="W372" s="4" t="s">
        <v>3142</v>
      </c>
    </row>
    <row r="373" spans="1:23" ht="71" customHeight="1">
      <c r="A373" s="23" t="s">
        <v>3297</v>
      </c>
      <c r="B373" s="23" t="s">
        <v>3308</v>
      </c>
      <c r="C373" s="3" t="s">
        <v>24</v>
      </c>
      <c r="D373" s="3" t="s">
        <v>2660</v>
      </c>
      <c r="E373" s="3" t="s">
        <v>5005</v>
      </c>
      <c r="F373" s="3" t="s">
        <v>55</v>
      </c>
      <c r="G373" s="3"/>
      <c r="H373" s="4" t="s">
        <v>541</v>
      </c>
      <c r="I373" s="3" t="s">
        <v>2276</v>
      </c>
      <c r="J373" s="3" t="s">
        <v>2276</v>
      </c>
      <c r="K373" s="3" t="s">
        <v>2276</v>
      </c>
      <c r="L373" s="3" t="s">
        <v>2276</v>
      </c>
      <c r="M373" s="3" t="s">
        <v>2669</v>
      </c>
      <c r="N373" s="3" t="s">
        <v>2669</v>
      </c>
      <c r="O373" s="3" t="s">
        <v>2669</v>
      </c>
      <c r="P373" s="3" t="s">
        <v>2276</v>
      </c>
      <c r="Q373" s="3" t="s">
        <v>2276</v>
      </c>
      <c r="R373" s="3" t="s">
        <v>2276</v>
      </c>
      <c r="S373" s="3" t="s">
        <v>2276</v>
      </c>
      <c r="T373" s="3" t="s">
        <v>2276</v>
      </c>
      <c r="U373" s="3" t="s">
        <v>2276</v>
      </c>
      <c r="V373" s="3" t="s">
        <v>2276</v>
      </c>
      <c r="W373" s="4" t="s">
        <v>3334</v>
      </c>
    </row>
    <row r="374" spans="1:23" ht="71" customHeight="1">
      <c r="A374" s="23" t="s">
        <v>3297</v>
      </c>
      <c r="B374" s="23" t="s">
        <v>3309</v>
      </c>
      <c r="C374" s="3" t="s">
        <v>24</v>
      </c>
      <c r="D374" s="3" t="s">
        <v>2660</v>
      </c>
      <c r="E374" s="3" t="s">
        <v>5005</v>
      </c>
      <c r="F374" s="4" t="s">
        <v>2662</v>
      </c>
      <c r="G374" s="3"/>
      <c r="H374" s="4" t="s">
        <v>541</v>
      </c>
      <c r="I374" s="3" t="s">
        <v>2276</v>
      </c>
      <c r="J374" s="3" t="s">
        <v>2276</v>
      </c>
      <c r="K374" s="3" t="s">
        <v>2276</v>
      </c>
      <c r="L374" s="3" t="s">
        <v>2276</v>
      </c>
      <c r="M374" s="3" t="s">
        <v>2669</v>
      </c>
      <c r="N374" s="3" t="s">
        <v>2669</v>
      </c>
      <c r="O374" s="3" t="s">
        <v>2669</v>
      </c>
      <c r="P374" s="3" t="s">
        <v>2276</v>
      </c>
      <c r="Q374" s="3" t="s">
        <v>2276</v>
      </c>
      <c r="R374" s="3" t="s">
        <v>2276</v>
      </c>
      <c r="S374" s="3" t="s">
        <v>2276</v>
      </c>
      <c r="T374" s="3" t="s">
        <v>2276</v>
      </c>
      <c r="U374" s="3" t="s">
        <v>2276</v>
      </c>
      <c r="V374" s="3" t="s">
        <v>2276</v>
      </c>
      <c r="W374" s="4" t="s">
        <v>3334</v>
      </c>
    </row>
    <row r="375" spans="1:23" ht="71" customHeight="1">
      <c r="A375" s="23" t="s">
        <v>3302</v>
      </c>
      <c r="B375" s="23" t="s">
        <v>3311</v>
      </c>
      <c r="C375" s="3" t="s">
        <v>24</v>
      </c>
      <c r="D375" s="3" t="s">
        <v>2660</v>
      </c>
      <c r="E375" s="3" t="s">
        <v>5005</v>
      </c>
      <c r="F375" s="3" t="s">
        <v>55</v>
      </c>
      <c r="G375" s="3"/>
      <c r="H375" s="4" t="s">
        <v>541</v>
      </c>
      <c r="I375" s="3" t="s">
        <v>2276</v>
      </c>
      <c r="J375" s="3" t="s">
        <v>2276</v>
      </c>
      <c r="K375" s="3" t="s">
        <v>2276</v>
      </c>
      <c r="L375" s="3" t="s">
        <v>2276</v>
      </c>
      <c r="M375" s="3" t="s">
        <v>2669</v>
      </c>
      <c r="N375" s="3" t="s">
        <v>2669</v>
      </c>
      <c r="O375" s="3" t="s">
        <v>2669</v>
      </c>
      <c r="P375" s="3" t="s">
        <v>2276</v>
      </c>
      <c r="Q375" s="3" t="s">
        <v>2276</v>
      </c>
      <c r="R375" s="3" t="s">
        <v>2276</v>
      </c>
      <c r="S375" s="3" t="s">
        <v>2276</v>
      </c>
      <c r="T375" s="3" t="s">
        <v>2276</v>
      </c>
      <c r="U375" s="3" t="s">
        <v>2276</v>
      </c>
      <c r="V375" s="3" t="s">
        <v>2276</v>
      </c>
      <c r="W375" s="4" t="s">
        <v>3334</v>
      </c>
    </row>
    <row r="376" spans="1:23" ht="71" customHeight="1">
      <c r="A376" s="23" t="s">
        <v>3302</v>
      </c>
      <c r="B376" s="23" t="s">
        <v>3312</v>
      </c>
      <c r="C376" s="3" t="s">
        <v>24</v>
      </c>
      <c r="D376" s="3" t="s">
        <v>2660</v>
      </c>
      <c r="E376" s="3" t="s">
        <v>5005</v>
      </c>
      <c r="F376" s="4" t="s">
        <v>2662</v>
      </c>
      <c r="G376" s="3"/>
      <c r="H376" s="4" t="s">
        <v>541</v>
      </c>
      <c r="I376" s="3" t="s">
        <v>2276</v>
      </c>
      <c r="J376" s="3" t="s">
        <v>2276</v>
      </c>
      <c r="K376" s="3" t="s">
        <v>2276</v>
      </c>
      <c r="L376" s="3" t="s">
        <v>2276</v>
      </c>
      <c r="M376" s="3" t="s">
        <v>2669</v>
      </c>
      <c r="N376" s="3" t="s">
        <v>2669</v>
      </c>
      <c r="O376" s="3" t="s">
        <v>2669</v>
      </c>
      <c r="P376" s="3" t="s">
        <v>2276</v>
      </c>
      <c r="Q376" s="3" t="s">
        <v>2276</v>
      </c>
      <c r="R376" s="3" t="s">
        <v>2276</v>
      </c>
      <c r="S376" s="3" t="s">
        <v>2276</v>
      </c>
      <c r="T376" s="3" t="s">
        <v>2276</v>
      </c>
      <c r="U376" s="3" t="s">
        <v>2276</v>
      </c>
      <c r="V376" s="3" t="s">
        <v>2276</v>
      </c>
      <c r="W376" s="4" t="s">
        <v>3334</v>
      </c>
    </row>
    <row r="377" spans="1:23" ht="71" customHeight="1">
      <c r="A377" s="23" t="s">
        <v>3303</v>
      </c>
      <c r="B377" s="23" t="s">
        <v>3313</v>
      </c>
      <c r="C377" s="3" t="s">
        <v>24</v>
      </c>
      <c r="D377" s="3" t="s">
        <v>2660</v>
      </c>
      <c r="E377" s="3" t="s">
        <v>5005</v>
      </c>
      <c r="F377" s="3" t="s">
        <v>55</v>
      </c>
      <c r="G377" s="3"/>
      <c r="H377" s="4" t="s">
        <v>541</v>
      </c>
      <c r="I377" s="3" t="s">
        <v>2276</v>
      </c>
      <c r="J377" s="3" t="s">
        <v>2276</v>
      </c>
      <c r="K377" s="3" t="s">
        <v>2276</v>
      </c>
      <c r="L377" s="3" t="s">
        <v>2276</v>
      </c>
      <c r="M377" s="3" t="s">
        <v>2669</v>
      </c>
      <c r="N377" s="3" t="s">
        <v>2669</v>
      </c>
      <c r="O377" s="3" t="s">
        <v>2669</v>
      </c>
      <c r="P377" s="3" t="s">
        <v>2276</v>
      </c>
      <c r="Q377" s="3" t="s">
        <v>2276</v>
      </c>
      <c r="R377" s="3" t="s">
        <v>2276</v>
      </c>
      <c r="S377" s="3" t="s">
        <v>2276</v>
      </c>
      <c r="T377" s="3" t="s">
        <v>2276</v>
      </c>
      <c r="U377" s="3" t="s">
        <v>2276</v>
      </c>
      <c r="V377" s="3" t="s">
        <v>2276</v>
      </c>
      <c r="W377" s="4" t="s">
        <v>3334</v>
      </c>
    </row>
    <row r="378" spans="1:23" ht="71" customHeight="1">
      <c r="A378" s="23" t="s">
        <v>3303</v>
      </c>
      <c r="B378" s="23" t="s">
        <v>3314</v>
      </c>
      <c r="C378" s="3" t="s">
        <v>24</v>
      </c>
      <c r="D378" s="3" t="s">
        <v>2660</v>
      </c>
      <c r="E378" s="3" t="s">
        <v>5005</v>
      </c>
      <c r="F378" s="4" t="s">
        <v>2662</v>
      </c>
      <c r="G378" s="3"/>
      <c r="H378" s="4" t="s">
        <v>541</v>
      </c>
      <c r="I378" s="3" t="s">
        <v>2276</v>
      </c>
      <c r="J378" s="3" t="s">
        <v>2276</v>
      </c>
      <c r="K378" s="3" t="s">
        <v>2276</v>
      </c>
      <c r="L378" s="3" t="s">
        <v>2276</v>
      </c>
      <c r="M378" s="3" t="s">
        <v>2669</v>
      </c>
      <c r="N378" s="3" t="s">
        <v>2669</v>
      </c>
      <c r="O378" s="3" t="s">
        <v>2669</v>
      </c>
      <c r="P378" s="3" t="s">
        <v>2276</v>
      </c>
      <c r="Q378" s="3" t="s">
        <v>2276</v>
      </c>
      <c r="R378" s="3" t="s">
        <v>2276</v>
      </c>
      <c r="S378" s="3" t="s">
        <v>2276</v>
      </c>
      <c r="T378" s="3" t="s">
        <v>2276</v>
      </c>
      <c r="U378" s="3" t="s">
        <v>2276</v>
      </c>
      <c r="V378" s="3" t="s">
        <v>2276</v>
      </c>
      <c r="W378" s="4" t="s">
        <v>3334</v>
      </c>
    </row>
    <row r="379" spans="1:23" ht="37.5" customHeight="1">
      <c r="A379" s="23" t="s">
        <v>3305</v>
      </c>
      <c r="B379" s="23" t="s">
        <v>3317</v>
      </c>
      <c r="C379" s="3" t="s">
        <v>24</v>
      </c>
      <c r="D379" s="3" t="s">
        <v>2660</v>
      </c>
      <c r="E379" s="4" t="s">
        <v>5005</v>
      </c>
      <c r="F379" s="3" t="s">
        <v>55</v>
      </c>
      <c r="G379" s="3"/>
      <c r="H379" s="4" t="s">
        <v>541</v>
      </c>
      <c r="I379" s="3" t="s">
        <v>2276</v>
      </c>
      <c r="J379" s="3" t="s">
        <v>2276</v>
      </c>
      <c r="K379" s="3" t="s">
        <v>2276</v>
      </c>
      <c r="L379" s="3" t="s">
        <v>2276</v>
      </c>
      <c r="M379" s="3" t="s">
        <v>537</v>
      </c>
      <c r="N379" s="3" t="s">
        <v>537</v>
      </c>
      <c r="O379" s="3" t="s">
        <v>537</v>
      </c>
      <c r="P379" s="3" t="s">
        <v>2276</v>
      </c>
      <c r="Q379" s="3" t="s">
        <v>2276</v>
      </c>
      <c r="R379" s="3" t="s">
        <v>2276</v>
      </c>
      <c r="S379" s="3" t="s">
        <v>2276</v>
      </c>
      <c r="T379" s="3" t="s">
        <v>2276</v>
      </c>
      <c r="U379" s="3" t="s">
        <v>2276</v>
      </c>
      <c r="V379" s="3" t="s">
        <v>2276</v>
      </c>
      <c r="W379" s="4" t="s">
        <v>3335</v>
      </c>
    </row>
    <row r="380" spans="1:23" ht="37.5" customHeight="1">
      <c r="A380" s="23" t="s">
        <v>3306</v>
      </c>
      <c r="B380" s="23" t="s">
        <v>3320</v>
      </c>
      <c r="C380" s="3" t="s">
        <v>24</v>
      </c>
      <c r="D380" s="3" t="s">
        <v>2660</v>
      </c>
      <c r="E380" s="4" t="s">
        <v>5005</v>
      </c>
      <c r="F380" s="3" t="s">
        <v>55</v>
      </c>
      <c r="G380" s="3"/>
      <c r="H380" s="4" t="s">
        <v>541</v>
      </c>
      <c r="I380" s="3" t="s">
        <v>2276</v>
      </c>
      <c r="J380" s="3" t="s">
        <v>2276</v>
      </c>
      <c r="K380" s="3" t="s">
        <v>2276</v>
      </c>
      <c r="L380" s="3" t="s">
        <v>2276</v>
      </c>
      <c r="M380" s="3" t="s">
        <v>537</v>
      </c>
      <c r="N380" s="3" t="s">
        <v>537</v>
      </c>
      <c r="O380" s="3" t="s">
        <v>537</v>
      </c>
      <c r="P380" s="3" t="s">
        <v>2276</v>
      </c>
      <c r="Q380" s="3" t="s">
        <v>2276</v>
      </c>
      <c r="R380" s="3" t="s">
        <v>2276</v>
      </c>
      <c r="S380" s="3" t="s">
        <v>2276</v>
      </c>
      <c r="T380" s="3" t="s">
        <v>2276</v>
      </c>
      <c r="U380" s="3" t="s">
        <v>2276</v>
      </c>
      <c r="V380" s="3" t="s">
        <v>2276</v>
      </c>
      <c r="W380" s="4" t="s">
        <v>3335</v>
      </c>
    </row>
    <row r="381" spans="1:23" ht="37.5" customHeight="1">
      <c r="A381" s="23" t="s">
        <v>3307</v>
      </c>
      <c r="B381" s="23" t="s">
        <v>3321</v>
      </c>
      <c r="C381" s="3" t="s">
        <v>24</v>
      </c>
      <c r="D381" s="3" t="s">
        <v>2660</v>
      </c>
      <c r="E381" s="4" t="s">
        <v>5005</v>
      </c>
      <c r="F381" s="3" t="s">
        <v>55</v>
      </c>
      <c r="G381" s="3"/>
      <c r="H381" s="4" t="s">
        <v>541</v>
      </c>
      <c r="I381" s="3" t="s">
        <v>2276</v>
      </c>
      <c r="J381" s="3" t="s">
        <v>2276</v>
      </c>
      <c r="K381" s="3" t="s">
        <v>2276</v>
      </c>
      <c r="L381" s="3" t="s">
        <v>2276</v>
      </c>
      <c r="M381" s="3" t="s">
        <v>537</v>
      </c>
      <c r="N381" s="3" t="s">
        <v>537</v>
      </c>
      <c r="O381" s="3" t="s">
        <v>537</v>
      </c>
      <c r="P381" s="3" t="s">
        <v>2276</v>
      </c>
      <c r="Q381" s="3" t="s">
        <v>2276</v>
      </c>
      <c r="R381" s="3" t="s">
        <v>2276</v>
      </c>
      <c r="S381" s="3" t="s">
        <v>2276</v>
      </c>
      <c r="T381" s="3" t="s">
        <v>2276</v>
      </c>
      <c r="U381" s="3" t="s">
        <v>2276</v>
      </c>
      <c r="V381" s="3" t="s">
        <v>2276</v>
      </c>
      <c r="W381" s="4" t="s">
        <v>3335</v>
      </c>
    </row>
    <row r="382" spans="1:23" ht="47.5" customHeight="1">
      <c r="A382" s="23" t="s">
        <v>3352</v>
      </c>
      <c r="B382" s="23" t="s">
        <v>3355</v>
      </c>
      <c r="C382" s="3" t="s">
        <v>24</v>
      </c>
      <c r="D382" s="3" t="s">
        <v>2305</v>
      </c>
      <c r="E382" s="3" t="s">
        <v>116</v>
      </c>
      <c r="F382" s="3" t="s">
        <v>55</v>
      </c>
      <c r="G382" s="3">
        <v>2000</v>
      </c>
      <c r="H382" s="4" t="s">
        <v>541</v>
      </c>
      <c r="I382" s="3" t="s">
        <v>2276</v>
      </c>
      <c r="J382" s="3" t="s">
        <v>2276</v>
      </c>
      <c r="K382" s="3" t="s">
        <v>2276</v>
      </c>
      <c r="L382" s="3" t="s">
        <v>2276</v>
      </c>
      <c r="M382" s="3" t="s">
        <v>2670</v>
      </c>
      <c r="N382" s="3" t="s">
        <v>2276</v>
      </c>
      <c r="O382" s="3" t="s">
        <v>534</v>
      </c>
      <c r="P382" s="3" t="s">
        <v>2276</v>
      </c>
      <c r="Q382" s="3">
        <v>1</v>
      </c>
      <c r="R382" s="3" t="s">
        <v>2276</v>
      </c>
      <c r="S382" s="3" t="s">
        <v>2276</v>
      </c>
      <c r="T382" s="3" t="s">
        <v>2276</v>
      </c>
      <c r="U382" s="3" t="s">
        <v>2276</v>
      </c>
      <c r="V382" s="3" t="s">
        <v>2276</v>
      </c>
      <c r="W382" s="4" t="s">
        <v>3360</v>
      </c>
    </row>
    <row r="383" spans="1:23" ht="47" customHeight="1">
      <c r="A383" s="23" t="s">
        <v>3352</v>
      </c>
      <c r="B383" s="23" t="s">
        <v>3356</v>
      </c>
      <c r="C383" s="3" t="s">
        <v>24</v>
      </c>
      <c r="D383" s="3" t="s">
        <v>2305</v>
      </c>
      <c r="E383" s="3" t="s">
        <v>116</v>
      </c>
      <c r="F383" s="3" t="s">
        <v>55</v>
      </c>
      <c r="G383" s="3">
        <v>2001</v>
      </c>
      <c r="H383" s="4" t="s">
        <v>541</v>
      </c>
      <c r="I383" s="3" t="s">
        <v>2276</v>
      </c>
      <c r="J383" s="3" t="s">
        <v>2276</v>
      </c>
      <c r="K383" s="3" t="s">
        <v>2276</v>
      </c>
      <c r="L383" s="3" t="s">
        <v>2276</v>
      </c>
      <c r="M383" s="3" t="s">
        <v>2670</v>
      </c>
      <c r="N383" s="3" t="s">
        <v>2276</v>
      </c>
      <c r="O383" s="3" t="s">
        <v>534</v>
      </c>
      <c r="P383" s="3" t="s">
        <v>2276</v>
      </c>
      <c r="Q383" s="3">
        <v>4</v>
      </c>
      <c r="R383" s="3" t="s">
        <v>2276</v>
      </c>
      <c r="S383" s="3" t="s">
        <v>2276</v>
      </c>
      <c r="T383" s="3" t="s">
        <v>2276</v>
      </c>
      <c r="U383" s="3" t="s">
        <v>2276</v>
      </c>
      <c r="V383" s="3" t="s">
        <v>2276</v>
      </c>
      <c r="W383" s="4" t="s">
        <v>3360</v>
      </c>
    </row>
    <row r="384" spans="1:23" ht="48.5" customHeight="1">
      <c r="A384" s="23" t="s">
        <v>3352</v>
      </c>
      <c r="B384" s="23" t="s">
        <v>3357</v>
      </c>
      <c r="C384" s="3" t="s">
        <v>24</v>
      </c>
      <c r="D384" s="3" t="s">
        <v>2305</v>
      </c>
      <c r="E384" s="3" t="s">
        <v>116</v>
      </c>
      <c r="F384" s="3" t="s">
        <v>55</v>
      </c>
      <c r="G384" s="3">
        <v>2002</v>
      </c>
      <c r="H384" s="4" t="s">
        <v>541</v>
      </c>
      <c r="I384" s="3" t="s">
        <v>2276</v>
      </c>
      <c r="J384" s="3" t="s">
        <v>2276</v>
      </c>
      <c r="K384" s="3" t="s">
        <v>2276</v>
      </c>
      <c r="L384" s="3" t="s">
        <v>2276</v>
      </c>
      <c r="M384" s="3" t="s">
        <v>2670</v>
      </c>
      <c r="N384" s="3" t="s">
        <v>2276</v>
      </c>
      <c r="O384" s="3" t="s">
        <v>534</v>
      </c>
      <c r="P384" s="3" t="s">
        <v>2276</v>
      </c>
      <c r="Q384" s="3">
        <v>4</v>
      </c>
      <c r="R384" s="3" t="s">
        <v>2276</v>
      </c>
      <c r="S384" s="3" t="s">
        <v>2276</v>
      </c>
      <c r="T384" s="3" t="s">
        <v>2276</v>
      </c>
      <c r="U384" s="3" t="s">
        <v>2276</v>
      </c>
      <c r="V384" s="3" t="s">
        <v>2276</v>
      </c>
      <c r="W384" s="4" t="s">
        <v>3360</v>
      </c>
    </row>
    <row r="385" spans="1:23" ht="44" customHeight="1">
      <c r="A385" s="23" t="s">
        <v>3352</v>
      </c>
      <c r="B385" s="23" t="s">
        <v>3358</v>
      </c>
      <c r="C385" s="3" t="s">
        <v>24</v>
      </c>
      <c r="D385" s="3" t="s">
        <v>2305</v>
      </c>
      <c r="E385" s="3" t="s">
        <v>116</v>
      </c>
      <c r="F385" s="3" t="s">
        <v>55</v>
      </c>
      <c r="G385" s="3">
        <v>2003</v>
      </c>
      <c r="H385" s="4" t="s">
        <v>541</v>
      </c>
      <c r="I385" s="3" t="s">
        <v>2276</v>
      </c>
      <c r="J385" s="3" t="s">
        <v>2276</v>
      </c>
      <c r="K385" s="3" t="s">
        <v>2276</v>
      </c>
      <c r="L385" s="3" t="s">
        <v>2276</v>
      </c>
      <c r="M385" s="3" t="s">
        <v>2670</v>
      </c>
      <c r="N385" s="3" t="s">
        <v>2276</v>
      </c>
      <c r="O385" s="3" t="s">
        <v>534</v>
      </c>
      <c r="P385" s="3" t="s">
        <v>2276</v>
      </c>
      <c r="Q385" s="3">
        <v>4</v>
      </c>
      <c r="R385" s="3" t="s">
        <v>2276</v>
      </c>
      <c r="S385" s="3" t="s">
        <v>2276</v>
      </c>
      <c r="T385" s="3" t="s">
        <v>2276</v>
      </c>
      <c r="U385" s="3" t="s">
        <v>2276</v>
      </c>
      <c r="V385" s="3" t="s">
        <v>2276</v>
      </c>
      <c r="W385" s="4" t="s">
        <v>3360</v>
      </c>
    </row>
    <row r="386" spans="1:23" ht="42" customHeight="1">
      <c r="A386" s="23" t="s">
        <v>3352</v>
      </c>
      <c r="B386" s="23" t="s">
        <v>6089</v>
      </c>
      <c r="C386" s="3" t="s">
        <v>24</v>
      </c>
      <c r="D386" s="3" t="s">
        <v>2305</v>
      </c>
      <c r="E386" s="3" t="s">
        <v>116</v>
      </c>
      <c r="F386" s="3" t="s">
        <v>55</v>
      </c>
      <c r="G386" s="3">
        <v>2000</v>
      </c>
      <c r="H386" s="4" t="s">
        <v>541</v>
      </c>
      <c r="I386" s="3" t="s">
        <v>2276</v>
      </c>
      <c r="J386" s="3" t="s">
        <v>2276</v>
      </c>
      <c r="K386" s="3" t="s">
        <v>2276</v>
      </c>
      <c r="L386" s="3" t="s">
        <v>2276</v>
      </c>
      <c r="M386" s="3" t="s">
        <v>2276</v>
      </c>
      <c r="N386" s="3" t="s">
        <v>2276</v>
      </c>
      <c r="O386" s="3" t="s">
        <v>2276</v>
      </c>
      <c r="P386" s="3" t="s">
        <v>2276</v>
      </c>
      <c r="Q386" s="3" t="s">
        <v>2276</v>
      </c>
      <c r="R386" s="3" t="s">
        <v>537</v>
      </c>
      <c r="S386" s="3" t="s">
        <v>2276</v>
      </c>
      <c r="T386" s="3" t="s">
        <v>537</v>
      </c>
      <c r="U386" s="3" t="s">
        <v>2276</v>
      </c>
      <c r="V386" s="3" t="s">
        <v>2276</v>
      </c>
      <c r="W386" s="4" t="s">
        <v>3362</v>
      </c>
    </row>
    <row r="387" spans="1:23" ht="43.5">
      <c r="A387" s="23" t="s">
        <v>3352</v>
      </c>
      <c r="B387" s="23" t="s">
        <v>6090</v>
      </c>
      <c r="C387" s="3" t="s">
        <v>24</v>
      </c>
      <c r="D387" s="3" t="s">
        <v>2305</v>
      </c>
      <c r="E387" s="3" t="s">
        <v>116</v>
      </c>
      <c r="F387" s="3" t="s">
        <v>55</v>
      </c>
      <c r="G387" s="3">
        <v>2001</v>
      </c>
      <c r="H387" s="4" t="s">
        <v>541</v>
      </c>
      <c r="I387" s="3" t="s">
        <v>2276</v>
      </c>
      <c r="J387" s="3" t="s">
        <v>2276</v>
      </c>
      <c r="K387" s="3" t="s">
        <v>2276</v>
      </c>
      <c r="L387" s="3" t="s">
        <v>2276</v>
      </c>
      <c r="M387" s="3" t="s">
        <v>2276</v>
      </c>
      <c r="N387" s="3" t="s">
        <v>2276</v>
      </c>
      <c r="O387" s="3" t="s">
        <v>2276</v>
      </c>
      <c r="P387" s="3" t="s">
        <v>2276</v>
      </c>
      <c r="Q387" s="3" t="s">
        <v>2276</v>
      </c>
      <c r="R387" s="3" t="s">
        <v>534</v>
      </c>
      <c r="S387" s="3" t="s">
        <v>2276</v>
      </c>
      <c r="T387" s="3" t="s">
        <v>534</v>
      </c>
      <c r="U387" s="3" t="s">
        <v>2276</v>
      </c>
      <c r="V387" s="3">
        <v>4</v>
      </c>
      <c r="W387" s="4" t="s">
        <v>3361</v>
      </c>
    </row>
    <row r="388" spans="1:23" ht="43.5">
      <c r="A388" s="23" t="s">
        <v>3352</v>
      </c>
      <c r="B388" s="23" t="s">
        <v>6091</v>
      </c>
      <c r="C388" s="3" t="s">
        <v>24</v>
      </c>
      <c r="D388" s="3" t="s">
        <v>2305</v>
      </c>
      <c r="E388" s="3" t="s">
        <v>116</v>
      </c>
      <c r="F388" s="3" t="s">
        <v>55</v>
      </c>
      <c r="G388" s="3">
        <v>2002</v>
      </c>
      <c r="H388" s="4" t="s">
        <v>541</v>
      </c>
      <c r="I388" s="3" t="s">
        <v>2276</v>
      </c>
      <c r="J388" s="3" t="s">
        <v>2276</v>
      </c>
      <c r="K388" s="3" t="s">
        <v>2276</v>
      </c>
      <c r="L388" s="3" t="s">
        <v>2276</v>
      </c>
      <c r="M388" s="3" t="s">
        <v>2276</v>
      </c>
      <c r="N388" s="3" t="s">
        <v>2276</v>
      </c>
      <c r="O388" s="3" t="s">
        <v>2276</v>
      </c>
      <c r="P388" s="3" t="s">
        <v>2276</v>
      </c>
      <c r="Q388" s="3" t="s">
        <v>2276</v>
      </c>
      <c r="R388" s="3" t="s">
        <v>534</v>
      </c>
      <c r="S388" s="3" t="s">
        <v>2276</v>
      </c>
      <c r="T388" s="3" t="s">
        <v>534</v>
      </c>
      <c r="U388" s="3" t="s">
        <v>2276</v>
      </c>
      <c r="V388" s="3">
        <v>4</v>
      </c>
      <c r="W388" s="4" t="s">
        <v>3361</v>
      </c>
    </row>
    <row r="389" spans="1:23" ht="43.5">
      <c r="A389" s="23" t="s">
        <v>3352</v>
      </c>
      <c r="B389" s="23" t="s">
        <v>6092</v>
      </c>
      <c r="C389" s="3" t="s">
        <v>24</v>
      </c>
      <c r="D389" s="3" t="s">
        <v>2305</v>
      </c>
      <c r="E389" s="3" t="s">
        <v>116</v>
      </c>
      <c r="F389" s="3" t="s">
        <v>55</v>
      </c>
      <c r="G389" s="3">
        <v>2003</v>
      </c>
      <c r="H389" s="4" t="s">
        <v>541</v>
      </c>
      <c r="I389" s="3" t="s">
        <v>2276</v>
      </c>
      <c r="J389" s="3" t="s">
        <v>2276</v>
      </c>
      <c r="K389" s="3" t="s">
        <v>2276</v>
      </c>
      <c r="L389" s="3" t="s">
        <v>2276</v>
      </c>
      <c r="M389" s="3" t="s">
        <v>2276</v>
      </c>
      <c r="N389" s="3" t="s">
        <v>2276</v>
      </c>
      <c r="O389" s="3" t="s">
        <v>2276</v>
      </c>
      <c r="P389" s="3" t="s">
        <v>2276</v>
      </c>
      <c r="Q389" s="3" t="s">
        <v>2276</v>
      </c>
      <c r="R389" s="3" t="s">
        <v>534</v>
      </c>
      <c r="S389" s="3" t="s">
        <v>2276</v>
      </c>
      <c r="T389" s="3" t="s">
        <v>534</v>
      </c>
      <c r="U389" s="3" t="s">
        <v>2276</v>
      </c>
      <c r="V389" s="3">
        <v>4</v>
      </c>
      <c r="W389" s="4" t="s">
        <v>3361</v>
      </c>
    </row>
    <row r="390" spans="1:23" ht="52" customHeight="1">
      <c r="A390" s="23" t="s">
        <v>3370</v>
      </c>
      <c r="B390" s="23" t="s">
        <v>3374</v>
      </c>
      <c r="C390" s="3" t="s">
        <v>24</v>
      </c>
      <c r="D390" s="3" t="s">
        <v>1105</v>
      </c>
      <c r="E390" s="3" t="s">
        <v>5005</v>
      </c>
      <c r="F390" s="4" t="s">
        <v>2662</v>
      </c>
      <c r="G390" s="3"/>
      <c r="H390" s="4" t="s">
        <v>541</v>
      </c>
      <c r="I390" s="3" t="s">
        <v>2276</v>
      </c>
      <c r="J390" s="3" t="s">
        <v>2276</v>
      </c>
      <c r="K390" s="3" t="s">
        <v>2276</v>
      </c>
      <c r="L390" s="3" t="s">
        <v>2276</v>
      </c>
      <c r="M390" s="3" t="s">
        <v>2276</v>
      </c>
      <c r="N390" s="3" t="s">
        <v>2276</v>
      </c>
      <c r="O390" s="3" t="s">
        <v>2276</v>
      </c>
      <c r="P390" s="3" t="s">
        <v>2276</v>
      </c>
      <c r="Q390" s="3" t="s">
        <v>2276</v>
      </c>
      <c r="R390" s="3" t="s">
        <v>534</v>
      </c>
      <c r="S390" s="3" t="s">
        <v>2276</v>
      </c>
      <c r="T390" s="3" t="s">
        <v>2276</v>
      </c>
      <c r="U390" s="3" t="s">
        <v>2276</v>
      </c>
      <c r="V390" s="3" t="s">
        <v>2276</v>
      </c>
      <c r="W390" s="3"/>
    </row>
    <row r="391" spans="1:23" ht="52" customHeight="1">
      <c r="A391" s="23" t="s">
        <v>3371</v>
      </c>
      <c r="B391" s="23" t="s">
        <v>3375</v>
      </c>
      <c r="C391" s="3" t="s">
        <v>24</v>
      </c>
      <c r="D391" s="3" t="s">
        <v>1105</v>
      </c>
      <c r="E391" s="3" t="s">
        <v>5005</v>
      </c>
      <c r="F391" s="4" t="s">
        <v>2662</v>
      </c>
      <c r="G391" s="3"/>
      <c r="H391" s="4" t="s">
        <v>541</v>
      </c>
      <c r="I391" s="3" t="s">
        <v>2276</v>
      </c>
      <c r="J391" s="3" t="s">
        <v>2276</v>
      </c>
      <c r="K391" s="3" t="s">
        <v>2276</v>
      </c>
      <c r="L391" s="3" t="s">
        <v>2276</v>
      </c>
      <c r="M391" s="3" t="s">
        <v>2276</v>
      </c>
      <c r="N391" s="3" t="s">
        <v>2276</v>
      </c>
      <c r="O391" s="3" t="s">
        <v>2276</v>
      </c>
      <c r="P391" s="3" t="s">
        <v>2276</v>
      </c>
      <c r="Q391" s="3" t="s">
        <v>2276</v>
      </c>
      <c r="R391" s="3" t="s">
        <v>534</v>
      </c>
      <c r="S391" s="3" t="s">
        <v>2276</v>
      </c>
      <c r="T391" s="3" t="s">
        <v>2276</v>
      </c>
      <c r="U391" s="3" t="s">
        <v>2276</v>
      </c>
      <c r="V391" s="3" t="s">
        <v>2276</v>
      </c>
      <c r="W391" s="3"/>
    </row>
    <row r="392" spans="1:23" ht="61" customHeight="1">
      <c r="A392" s="23" t="s">
        <v>3378</v>
      </c>
      <c r="B392" s="23" t="s">
        <v>3389</v>
      </c>
      <c r="C392" s="3" t="s">
        <v>24</v>
      </c>
      <c r="D392" s="3" t="s">
        <v>1105</v>
      </c>
      <c r="E392" s="3" t="s">
        <v>5005</v>
      </c>
      <c r="F392" s="4" t="s">
        <v>2662</v>
      </c>
      <c r="G392" s="3">
        <v>1968</v>
      </c>
      <c r="H392" s="4" t="s">
        <v>541</v>
      </c>
      <c r="I392" s="3" t="s">
        <v>2276</v>
      </c>
      <c r="J392" s="3" t="s">
        <v>2276</v>
      </c>
      <c r="K392" s="3" t="s">
        <v>2276</v>
      </c>
      <c r="L392" s="3" t="s">
        <v>2276</v>
      </c>
      <c r="M392" s="3" t="s">
        <v>2276</v>
      </c>
      <c r="N392" s="3" t="s">
        <v>2276</v>
      </c>
      <c r="O392" s="3" t="s">
        <v>2276</v>
      </c>
      <c r="P392" s="3" t="s">
        <v>2276</v>
      </c>
      <c r="Q392" s="3" t="s">
        <v>2276</v>
      </c>
      <c r="R392" s="3" t="s">
        <v>537</v>
      </c>
      <c r="S392" s="3" t="s">
        <v>2276</v>
      </c>
      <c r="T392" s="3" t="s">
        <v>537</v>
      </c>
      <c r="U392" s="3" t="s">
        <v>2276</v>
      </c>
      <c r="V392" s="3" t="s">
        <v>2276</v>
      </c>
      <c r="W392" s="4" t="s">
        <v>3401</v>
      </c>
    </row>
    <row r="393" spans="1:23" ht="64" customHeight="1">
      <c r="A393" s="23" t="s">
        <v>3379</v>
      </c>
      <c r="B393" s="23" t="s">
        <v>3390</v>
      </c>
      <c r="C393" s="3" t="s">
        <v>24</v>
      </c>
      <c r="D393" s="3" t="s">
        <v>1105</v>
      </c>
      <c r="E393" s="3" t="s">
        <v>5005</v>
      </c>
      <c r="F393" s="4" t="s">
        <v>2662</v>
      </c>
      <c r="G393" s="3">
        <v>1968</v>
      </c>
      <c r="H393" s="4" t="s">
        <v>541</v>
      </c>
      <c r="I393" s="3" t="s">
        <v>2276</v>
      </c>
      <c r="J393" s="3" t="s">
        <v>2276</v>
      </c>
      <c r="K393" s="3" t="s">
        <v>2276</v>
      </c>
      <c r="L393" s="3" t="s">
        <v>2276</v>
      </c>
      <c r="M393" s="3" t="s">
        <v>2276</v>
      </c>
      <c r="N393" s="3" t="s">
        <v>2276</v>
      </c>
      <c r="O393" s="3" t="s">
        <v>2276</v>
      </c>
      <c r="P393" s="3" t="s">
        <v>2276</v>
      </c>
      <c r="Q393" s="3" t="s">
        <v>2276</v>
      </c>
      <c r="R393" s="3" t="s">
        <v>537</v>
      </c>
      <c r="S393" s="3" t="s">
        <v>2276</v>
      </c>
      <c r="T393" s="3" t="s">
        <v>537</v>
      </c>
      <c r="U393" s="3" t="s">
        <v>2276</v>
      </c>
      <c r="V393" s="3" t="s">
        <v>2276</v>
      </c>
      <c r="W393" s="4" t="s">
        <v>3401</v>
      </c>
    </row>
    <row r="394" spans="1:23" ht="57.5" customHeight="1">
      <c r="A394" s="23" t="s">
        <v>3383</v>
      </c>
      <c r="B394" s="23" t="s">
        <v>3391</v>
      </c>
      <c r="C394" s="3" t="s">
        <v>24</v>
      </c>
      <c r="D394" s="3" t="s">
        <v>1105</v>
      </c>
      <c r="E394" s="3" t="s">
        <v>5005</v>
      </c>
      <c r="F394" s="4" t="s">
        <v>2662</v>
      </c>
      <c r="G394" s="3">
        <v>1968</v>
      </c>
      <c r="H394" s="4" t="s">
        <v>541</v>
      </c>
      <c r="I394" s="3" t="s">
        <v>2276</v>
      </c>
      <c r="J394" s="3" t="s">
        <v>2276</v>
      </c>
      <c r="K394" s="3" t="s">
        <v>2276</v>
      </c>
      <c r="L394" s="3" t="s">
        <v>2276</v>
      </c>
      <c r="M394" s="3" t="s">
        <v>2276</v>
      </c>
      <c r="N394" s="3" t="s">
        <v>2276</v>
      </c>
      <c r="O394" s="3" t="s">
        <v>2276</v>
      </c>
      <c r="P394" s="3" t="s">
        <v>2276</v>
      </c>
      <c r="Q394" s="3" t="s">
        <v>2276</v>
      </c>
      <c r="R394" s="3" t="s">
        <v>537</v>
      </c>
      <c r="S394" s="3" t="s">
        <v>2276</v>
      </c>
      <c r="T394" s="3" t="s">
        <v>537</v>
      </c>
      <c r="U394" s="3" t="s">
        <v>2276</v>
      </c>
      <c r="V394" s="3" t="s">
        <v>2276</v>
      </c>
      <c r="W394" s="4" t="s">
        <v>3401</v>
      </c>
    </row>
    <row r="395" spans="1:23" ht="53.5" customHeight="1">
      <c r="A395" s="23" t="s">
        <v>3378</v>
      </c>
      <c r="B395" s="23" t="s">
        <v>3392</v>
      </c>
      <c r="C395" s="3" t="s">
        <v>24</v>
      </c>
      <c r="D395" s="3" t="s">
        <v>1105</v>
      </c>
      <c r="E395" s="3" t="s">
        <v>5005</v>
      </c>
      <c r="F395" s="4" t="s">
        <v>2662</v>
      </c>
      <c r="G395" s="3">
        <v>2003</v>
      </c>
      <c r="H395" s="4" t="s">
        <v>541</v>
      </c>
      <c r="I395" s="3" t="s">
        <v>2690</v>
      </c>
      <c r="J395" s="3" t="s">
        <v>2690</v>
      </c>
      <c r="K395" s="3" t="s">
        <v>2276</v>
      </c>
      <c r="L395" s="3" t="s">
        <v>2276</v>
      </c>
      <c r="M395" s="3" t="s">
        <v>2276</v>
      </c>
      <c r="N395" s="3" t="s">
        <v>2276</v>
      </c>
      <c r="O395" s="3" t="s">
        <v>2276</v>
      </c>
      <c r="P395" s="3" t="s">
        <v>2276</v>
      </c>
      <c r="Q395" s="3" t="s">
        <v>2276</v>
      </c>
      <c r="R395" s="3" t="s">
        <v>534</v>
      </c>
      <c r="S395" s="3" t="s">
        <v>2276</v>
      </c>
      <c r="T395" s="3" t="s">
        <v>534</v>
      </c>
      <c r="U395" s="3" t="s">
        <v>2276</v>
      </c>
      <c r="V395" s="3" t="s">
        <v>2276</v>
      </c>
      <c r="W395" s="4" t="s">
        <v>3402</v>
      </c>
    </row>
    <row r="396" spans="1:23" ht="57" customHeight="1">
      <c r="A396" s="23" t="s">
        <v>3379</v>
      </c>
      <c r="B396" s="23" t="s">
        <v>3393</v>
      </c>
      <c r="C396" s="3" t="s">
        <v>24</v>
      </c>
      <c r="D396" s="3" t="s">
        <v>1105</v>
      </c>
      <c r="E396" s="3" t="s">
        <v>5005</v>
      </c>
      <c r="F396" s="4" t="s">
        <v>2662</v>
      </c>
      <c r="G396" s="3">
        <v>2003</v>
      </c>
      <c r="H396" s="4" t="s">
        <v>541</v>
      </c>
      <c r="I396" s="3" t="s">
        <v>2690</v>
      </c>
      <c r="J396" s="3" t="s">
        <v>2690</v>
      </c>
      <c r="K396" s="3" t="s">
        <v>2276</v>
      </c>
      <c r="L396" s="3" t="s">
        <v>2276</v>
      </c>
      <c r="M396" s="3" t="s">
        <v>2276</v>
      </c>
      <c r="N396" s="3" t="s">
        <v>2276</v>
      </c>
      <c r="O396" s="3" t="s">
        <v>2276</v>
      </c>
      <c r="P396" s="3" t="s">
        <v>2276</v>
      </c>
      <c r="Q396" s="3" t="s">
        <v>2276</v>
      </c>
      <c r="R396" s="3" t="s">
        <v>534</v>
      </c>
      <c r="S396" s="3" t="s">
        <v>2276</v>
      </c>
      <c r="T396" s="3" t="s">
        <v>534</v>
      </c>
      <c r="U396" s="3" t="s">
        <v>2276</v>
      </c>
      <c r="V396" s="3" t="s">
        <v>2276</v>
      </c>
      <c r="W396" s="4" t="s">
        <v>3402</v>
      </c>
    </row>
    <row r="397" spans="1:23" ht="58" customHeight="1">
      <c r="A397" s="23" t="s">
        <v>3383</v>
      </c>
      <c r="B397" s="23" t="s">
        <v>3394</v>
      </c>
      <c r="C397" s="3" t="s">
        <v>24</v>
      </c>
      <c r="D397" s="3" t="s">
        <v>1105</v>
      </c>
      <c r="E397" s="3" t="s">
        <v>5005</v>
      </c>
      <c r="F397" s="4" t="s">
        <v>2662</v>
      </c>
      <c r="G397" s="3">
        <v>2003</v>
      </c>
      <c r="H397" s="4" t="s">
        <v>541</v>
      </c>
      <c r="I397" s="3" t="s">
        <v>2690</v>
      </c>
      <c r="J397" s="3" t="s">
        <v>2690</v>
      </c>
      <c r="K397" s="3" t="s">
        <v>2276</v>
      </c>
      <c r="L397" s="3" t="s">
        <v>2276</v>
      </c>
      <c r="M397" s="3" t="s">
        <v>2276</v>
      </c>
      <c r="N397" s="3" t="s">
        <v>2276</v>
      </c>
      <c r="O397" s="3" t="s">
        <v>2276</v>
      </c>
      <c r="P397" s="3" t="s">
        <v>2276</v>
      </c>
      <c r="Q397" s="3" t="s">
        <v>2276</v>
      </c>
      <c r="R397" s="3" t="s">
        <v>534</v>
      </c>
      <c r="S397" s="3" t="s">
        <v>2276</v>
      </c>
      <c r="T397" s="3" t="s">
        <v>534</v>
      </c>
      <c r="U397" s="3" t="s">
        <v>2276</v>
      </c>
      <c r="V397" s="3" t="s">
        <v>2276</v>
      </c>
      <c r="W397" s="4" t="s">
        <v>3402</v>
      </c>
    </row>
    <row r="398" spans="1:23" ht="34.5" customHeight="1">
      <c r="A398" s="23" t="s">
        <v>3386</v>
      </c>
      <c r="B398" s="23" t="s">
        <v>3407</v>
      </c>
      <c r="C398" s="3" t="s">
        <v>24</v>
      </c>
      <c r="D398" s="3" t="s">
        <v>1105</v>
      </c>
      <c r="E398" s="3" t="s">
        <v>5005</v>
      </c>
      <c r="F398" s="4" t="s">
        <v>2662</v>
      </c>
      <c r="G398" s="3"/>
      <c r="H398" s="4" t="s">
        <v>541</v>
      </c>
      <c r="I398" s="3" t="s">
        <v>2276</v>
      </c>
      <c r="J398" s="3" t="s">
        <v>2276</v>
      </c>
      <c r="K398" s="3" t="s">
        <v>2276</v>
      </c>
      <c r="L398" s="3" t="s">
        <v>2276</v>
      </c>
      <c r="M398" s="3" t="s">
        <v>2276</v>
      </c>
      <c r="N398" s="3" t="s">
        <v>2276</v>
      </c>
      <c r="O398" s="3" t="s">
        <v>2276</v>
      </c>
      <c r="P398" s="3" t="s">
        <v>2276</v>
      </c>
      <c r="Q398" s="3" t="s">
        <v>2276</v>
      </c>
      <c r="R398" s="3" t="s">
        <v>537</v>
      </c>
      <c r="S398" s="3" t="s">
        <v>2276</v>
      </c>
      <c r="T398" s="3" t="s">
        <v>2276</v>
      </c>
      <c r="U398" s="3" t="s">
        <v>2276</v>
      </c>
      <c r="V398" s="3" t="s">
        <v>2276</v>
      </c>
      <c r="W398" s="4"/>
    </row>
    <row r="399" spans="1:23" ht="40.5" customHeight="1">
      <c r="A399" s="23" t="s">
        <v>3387</v>
      </c>
      <c r="B399" s="23" t="s">
        <v>3408</v>
      </c>
      <c r="C399" s="3" t="s">
        <v>24</v>
      </c>
      <c r="D399" s="3" t="s">
        <v>1105</v>
      </c>
      <c r="E399" s="3" t="s">
        <v>5005</v>
      </c>
      <c r="F399" s="4" t="s">
        <v>2662</v>
      </c>
      <c r="G399" s="3"/>
      <c r="H399" s="4" t="s">
        <v>541</v>
      </c>
      <c r="I399" s="3" t="s">
        <v>2276</v>
      </c>
      <c r="J399" s="3" t="s">
        <v>2276</v>
      </c>
      <c r="K399" s="3" t="s">
        <v>2276</v>
      </c>
      <c r="L399" s="3" t="s">
        <v>2276</v>
      </c>
      <c r="M399" s="3" t="s">
        <v>2276</v>
      </c>
      <c r="N399" s="3" t="s">
        <v>2276</v>
      </c>
      <c r="O399" s="3" t="s">
        <v>2276</v>
      </c>
      <c r="P399" s="3" t="s">
        <v>2276</v>
      </c>
      <c r="Q399" s="3" t="s">
        <v>2276</v>
      </c>
      <c r="R399" s="3" t="s">
        <v>534</v>
      </c>
      <c r="S399" s="3" t="s">
        <v>2276</v>
      </c>
      <c r="T399" s="3" t="s">
        <v>2276</v>
      </c>
      <c r="U399" s="3" t="s">
        <v>2276</v>
      </c>
      <c r="V399" s="3" t="s">
        <v>2276</v>
      </c>
      <c r="W399" s="4"/>
    </row>
    <row r="400" spans="1:23" ht="39" customHeight="1">
      <c r="A400" s="23" t="s">
        <v>3388</v>
      </c>
      <c r="B400" s="23" t="s">
        <v>3409</v>
      </c>
      <c r="C400" s="3" t="s">
        <v>24</v>
      </c>
      <c r="D400" s="3" t="s">
        <v>1105</v>
      </c>
      <c r="E400" s="3" t="s">
        <v>5005</v>
      </c>
      <c r="F400" s="4" t="s">
        <v>2662</v>
      </c>
      <c r="G400" s="3"/>
      <c r="H400" s="4" t="s">
        <v>541</v>
      </c>
      <c r="I400" s="3" t="s">
        <v>2276</v>
      </c>
      <c r="J400" s="3" t="s">
        <v>2276</v>
      </c>
      <c r="K400" s="3" t="s">
        <v>2276</v>
      </c>
      <c r="L400" s="3" t="s">
        <v>2276</v>
      </c>
      <c r="M400" s="3" t="s">
        <v>2276</v>
      </c>
      <c r="N400" s="3" t="s">
        <v>2276</v>
      </c>
      <c r="O400" s="3" t="s">
        <v>2276</v>
      </c>
      <c r="P400" s="3" t="s">
        <v>2276</v>
      </c>
      <c r="Q400" s="3" t="s">
        <v>2276</v>
      </c>
      <c r="R400" s="3" t="s">
        <v>534</v>
      </c>
      <c r="S400" s="3" t="s">
        <v>2276</v>
      </c>
      <c r="T400" s="3" t="s">
        <v>2276</v>
      </c>
      <c r="U400" s="3" t="s">
        <v>2276</v>
      </c>
      <c r="V400" s="3" t="s">
        <v>2276</v>
      </c>
      <c r="W400" s="4"/>
    </row>
    <row r="401" spans="1:23" ht="41" customHeight="1">
      <c r="A401" s="23" t="s">
        <v>3460</v>
      </c>
      <c r="B401" s="23" t="s">
        <v>3465</v>
      </c>
      <c r="C401" s="3" t="s">
        <v>1105</v>
      </c>
      <c r="D401" s="3" t="s">
        <v>1105</v>
      </c>
      <c r="E401" s="3" t="s">
        <v>1105</v>
      </c>
      <c r="F401" s="3" t="s">
        <v>1105</v>
      </c>
      <c r="G401" s="3"/>
      <c r="H401" s="4" t="s">
        <v>541</v>
      </c>
      <c r="I401" s="3" t="s">
        <v>2276</v>
      </c>
      <c r="J401" s="3" t="s">
        <v>2276</v>
      </c>
      <c r="K401" s="3" t="s">
        <v>2276</v>
      </c>
      <c r="L401" s="3" t="s">
        <v>2276</v>
      </c>
      <c r="M401" s="3" t="s">
        <v>2276</v>
      </c>
      <c r="N401" s="3" t="s">
        <v>2276</v>
      </c>
      <c r="O401" s="3" t="s">
        <v>2276</v>
      </c>
      <c r="P401" s="3" t="s">
        <v>2276</v>
      </c>
      <c r="Q401" s="3" t="s">
        <v>2276</v>
      </c>
      <c r="R401" s="3" t="s">
        <v>534</v>
      </c>
      <c r="S401" s="3" t="s">
        <v>2276</v>
      </c>
      <c r="T401" s="3" t="s">
        <v>2276</v>
      </c>
      <c r="U401" s="3" t="s">
        <v>2276</v>
      </c>
      <c r="V401" s="3" t="s">
        <v>2276</v>
      </c>
      <c r="W401" s="19" t="s">
        <v>3485</v>
      </c>
    </row>
    <row r="402" spans="1:23" ht="143.5" customHeight="1">
      <c r="A402" s="23" t="s">
        <v>3491</v>
      </c>
      <c r="B402" s="23" t="s">
        <v>3497</v>
      </c>
      <c r="C402" s="3" t="s">
        <v>1105</v>
      </c>
      <c r="D402" s="3" t="s">
        <v>1105</v>
      </c>
      <c r="E402" s="3" t="s">
        <v>1105</v>
      </c>
      <c r="F402" s="3" t="s">
        <v>1105</v>
      </c>
      <c r="G402" s="3"/>
      <c r="H402" s="4" t="s">
        <v>541</v>
      </c>
      <c r="I402" s="3" t="s">
        <v>2690</v>
      </c>
      <c r="J402" s="3" t="s">
        <v>2690</v>
      </c>
      <c r="K402" s="3" t="s">
        <v>2276</v>
      </c>
      <c r="L402" s="3" t="s">
        <v>2276</v>
      </c>
      <c r="M402" s="3" t="s">
        <v>2276</v>
      </c>
      <c r="N402" s="3" t="s">
        <v>2276</v>
      </c>
      <c r="O402" s="3" t="s">
        <v>2276</v>
      </c>
      <c r="P402" s="3" t="s">
        <v>2276</v>
      </c>
      <c r="Q402" s="3" t="s">
        <v>2276</v>
      </c>
      <c r="R402" s="3" t="s">
        <v>534</v>
      </c>
      <c r="S402" s="3" t="s">
        <v>2276</v>
      </c>
      <c r="T402" s="3" t="s">
        <v>2276</v>
      </c>
      <c r="U402" s="3" t="s">
        <v>2276</v>
      </c>
      <c r="V402" s="3">
        <v>1</v>
      </c>
      <c r="W402" s="4" t="s">
        <v>3527</v>
      </c>
    </row>
    <row r="403" spans="1:23" ht="39" customHeight="1">
      <c r="A403" s="23" t="s">
        <v>3530</v>
      </c>
      <c r="B403" s="23" t="s">
        <v>3533</v>
      </c>
      <c r="C403" s="3" t="s">
        <v>1105</v>
      </c>
      <c r="D403" s="3" t="s">
        <v>1105</v>
      </c>
      <c r="E403" s="3" t="s">
        <v>1105</v>
      </c>
      <c r="F403" s="3" t="s">
        <v>1105</v>
      </c>
      <c r="G403" s="3"/>
      <c r="H403" s="4" t="s">
        <v>541</v>
      </c>
      <c r="I403" s="3" t="s">
        <v>2276</v>
      </c>
      <c r="J403" s="3" t="s">
        <v>2276</v>
      </c>
      <c r="K403" s="3" t="s">
        <v>2276</v>
      </c>
      <c r="L403" s="3" t="s">
        <v>2276</v>
      </c>
      <c r="M403" s="3" t="s">
        <v>2276</v>
      </c>
      <c r="N403" s="3" t="s">
        <v>2276</v>
      </c>
      <c r="O403" s="3" t="s">
        <v>2276</v>
      </c>
      <c r="P403" s="3" t="s">
        <v>2276</v>
      </c>
      <c r="Q403" s="3" t="s">
        <v>2276</v>
      </c>
      <c r="R403" s="3" t="s">
        <v>537</v>
      </c>
      <c r="S403" s="3" t="s">
        <v>2276</v>
      </c>
      <c r="T403" s="3" t="s">
        <v>2276</v>
      </c>
      <c r="U403" s="3" t="s">
        <v>2276</v>
      </c>
      <c r="V403" s="3" t="s">
        <v>2276</v>
      </c>
      <c r="W403" s="3"/>
    </row>
    <row r="404" spans="1:23" ht="68" customHeight="1">
      <c r="A404" s="23" t="s">
        <v>3532</v>
      </c>
      <c r="B404" s="23" t="s">
        <v>3573</v>
      </c>
      <c r="C404" s="3" t="s">
        <v>1105</v>
      </c>
      <c r="D404" s="3" t="s">
        <v>1105</v>
      </c>
      <c r="E404" s="3" t="s">
        <v>1105</v>
      </c>
      <c r="F404" s="3" t="s">
        <v>1105</v>
      </c>
      <c r="G404" s="3"/>
      <c r="H404" s="4" t="s">
        <v>541</v>
      </c>
      <c r="I404" s="3" t="s">
        <v>2276</v>
      </c>
      <c r="J404" s="3" t="s">
        <v>2276</v>
      </c>
      <c r="K404" s="3" t="s">
        <v>2276</v>
      </c>
      <c r="L404" s="3" t="s">
        <v>2276</v>
      </c>
      <c r="M404" s="3" t="s">
        <v>2276</v>
      </c>
      <c r="N404" s="3" t="s">
        <v>2276</v>
      </c>
      <c r="O404" s="3" t="s">
        <v>2276</v>
      </c>
      <c r="P404" s="3" t="s">
        <v>2276</v>
      </c>
      <c r="Q404" s="3" t="s">
        <v>2276</v>
      </c>
      <c r="R404" s="3" t="s">
        <v>534</v>
      </c>
      <c r="S404" s="3" t="s">
        <v>534</v>
      </c>
      <c r="T404" s="3" t="s">
        <v>2276</v>
      </c>
      <c r="U404" s="3" t="s">
        <v>2276</v>
      </c>
      <c r="V404" s="3">
        <v>4</v>
      </c>
      <c r="W404" s="4" t="s">
        <v>3574</v>
      </c>
    </row>
    <row r="405" spans="1:23" ht="67" customHeight="1">
      <c r="A405" s="26" t="s">
        <v>3577</v>
      </c>
      <c r="B405" s="26" t="s">
        <v>3580</v>
      </c>
      <c r="C405" s="4" t="s">
        <v>1105</v>
      </c>
      <c r="D405" s="3" t="s">
        <v>1105</v>
      </c>
      <c r="E405" s="4" t="s">
        <v>5005</v>
      </c>
      <c r="F405" s="3" t="s">
        <v>1105</v>
      </c>
      <c r="G405" s="3"/>
      <c r="H405" s="4" t="s">
        <v>541</v>
      </c>
      <c r="I405" s="3" t="s">
        <v>2276</v>
      </c>
      <c r="J405" s="3" t="s">
        <v>2276</v>
      </c>
      <c r="K405" s="3" t="s">
        <v>2276</v>
      </c>
      <c r="L405" s="3" t="s">
        <v>2276</v>
      </c>
      <c r="M405" s="3" t="s">
        <v>2276</v>
      </c>
      <c r="N405" s="3" t="s">
        <v>2276</v>
      </c>
      <c r="O405" s="3" t="s">
        <v>2276</v>
      </c>
      <c r="P405" s="3" t="s">
        <v>2276</v>
      </c>
      <c r="Q405" s="3" t="s">
        <v>2276</v>
      </c>
      <c r="R405" s="3" t="s">
        <v>534</v>
      </c>
      <c r="S405" s="3" t="s">
        <v>534</v>
      </c>
      <c r="T405" s="3" t="s">
        <v>534</v>
      </c>
      <c r="U405" s="3" t="s">
        <v>2276</v>
      </c>
      <c r="V405" s="3" t="s">
        <v>2276</v>
      </c>
      <c r="W405" s="4" t="s">
        <v>3583</v>
      </c>
    </row>
    <row r="406" spans="1:23" ht="44.5" customHeight="1">
      <c r="A406" s="26" t="s">
        <v>3577</v>
      </c>
      <c r="B406" s="26" t="s">
        <v>3581</v>
      </c>
      <c r="C406" s="4" t="s">
        <v>1105</v>
      </c>
      <c r="D406" s="3" t="s">
        <v>1105</v>
      </c>
      <c r="E406" s="4" t="s">
        <v>137</v>
      </c>
      <c r="F406" s="3" t="s">
        <v>1105</v>
      </c>
      <c r="G406" s="3"/>
      <c r="H406" s="4" t="s">
        <v>541</v>
      </c>
      <c r="I406" s="3" t="s">
        <v>2276</v>
      </c>
      <c r="J406" s="3" t="s">
        <v>2276</v>
      </c>
      <c r="K406" s="3" t="s">
        <v>2276</v>
      </c>
      <c r="L406" s="3" t="s">
        <v>2276</v>
      </c>
      <c r="M406" s="3" t="s">
        <v>2276</v>
      </c>
      <c r="N406" s="3" t="s">
        <v>2276</v>
      </c>
      <c r="O406" s="3" t="s">
        <v>2276</v>
      </c>
      <c r="P406" s="3" t="s">
        <v>2276</v>
      </c>
      <c r="Q406" s="3" t="s">
        <v>2276</v>
      </c>
      <c r="R406" s="3" t="s">
        <v>537</v>
      </c>
      <c r="S406" s="3" t="s">
        <v>2276</v>
      </c>
      <c r="T406" s="3" t="s">
        <v>2276</v>
      </c>
      <c r="U406" s="3" t="s">
        <v>2276</v>
      </c>
      <c r="V406" s="3" t="s">
        <v>2276</v>
      </c>
      <c r="W406" s="4" t="s">
        <v>3582</v>
      </c>
    </row>
    <row r="407" spans="1:23" ht="51.5" customHeight="1">
      <c r="A407" s="23" t="s">
        <v>3625</v>
      </c>
      <c r="B407" s="23" t="s">
        <v>3635</v>
      </c>
      <c r="C407" s="3" t="s">
        <v>24</v>
      </c>
      <c r="D407" s="3" t="s">
        <v>144</v>
      </c>
      <c r="E407" s="4" t="s">
        <v>137</v>
      </c>
      <c r="F407" s="4" t="s">
        <v>2662</v>
      </c>
      <c r="G407" s="3"/>
      <c r="H407" s="4" t="s">
        <v>541</v>
      </c>
      <c r="I407" s="3" t="s">
        <v>2276</v>
      </c>
      <c r="J407" s="3" t="s">
        <v>2276</v>
      </c>
      <c r="K407" s="3" t="s">
        <v>2276</v>
      </c>
      <c r="L407" s="3" t="s">
        <v>2276</v>
      </c>
      <c r="M407" s="3" t="s">
        <v>2276</v>
      </c>
      <c r="N407" s="3" t="s">
        <v>2276</v>
      </c>
      <c r="O407" s="3" t="s">
        <v>2276</v>
      </c>
      <c r="P407" s="3" t="s">
        <v>2276</v>
      </c>
      <c r="Q407" s="3" t="s">
        <v>2276</v>
      </c>
      <c r="R407" s="3" t="s">
        <v>2276</v>
      </c>
      <c r="S407" s="3" t="s">
        <v>2276</v>
      </c>
      <c r="T407" s="3" t="s">
        <v>2276</v>
      </c>
      <c r="U407" s="3" t="s">
        <v>2276</v>
      </c>
      <c r="V407" s="3" t="s">
        <v>2276</v>
      </c>
      <c r="W407" s="4" t="s">
        <v>3643</v>
      </c>
    </row>
    <row r="408" spans="1:23" ht="51.5" customHeight="1">
      <c r="A408" s="23" t="s">
        <v>3626</v>
      </c>
      <c r="B408" s="23" t="s">
        <v>3636</v>
      </c>
      <c r="C408" s="3" t="s">
        <v>24</v>
      </c>
      <c r="D408" s="3" t="s">
        <v>144</v>
      </c>
      <c r="E408" s="4" t="s">
        <v>137</v>
      </c>
      <c r="F408" s="4" t="s">
        <v>2662</v>
      </c>
      <c r="G408" s="3"/>
      <c r="H408" s="4" t="s">
        <v>541</v>
      </c>
      <c r="I408" s="3" t="s">
        <v>2276</v>
      </c>
      <c r="J408" s="3" t="s">
        <v>2276</v>
      </c>
      <c r="K408" s="3" t="s">
        <v>2276</v>
      </c>
      <c r="L408" s="3" t="s">
        <v>2276</v>
      </c>
      <c r="M408" s="3" t="s">
        <v>2276</v>
      </c>
      <c r="N408" s="3" t="s">
        <v>2276</v>
      </c>
      <c r="O408" s="3" t="s">
        <v>2276</v>
      </c>
      <c r="P408" s="3" t="s">
        <v>2276</v>
      </c>
      <c r="Q408" s="3" t="s">
        <v>2276</v>
      </c>
      <c r="R408" s="3" t="s">
        <v>2276</v>
      </c>
      <c r="S408" s="3" t="s">
        <v>2276</v>
      </c>
      <c r="T408" s="3" t="s">
        <v>2276</v>
      </c>
      <c r="U408" s="3" t="s">
        <v>2276</v>
      </c>
      <c r="V408" s="3" t="s">
        <v>2276</v>
      </c>
      <c r="W408" s="4" t="s">
        <v>3643</v>
      </c>
    </row>
    <row r="409" spans="1:23" ht="54.5" customHeight="1">
      <c r="A409" s="23" t="s">
        <v>3629</v>
      </c>
      <c r="B409" s="23" t="s">
        <v>3637</v>
      </c>
      <c r="C409" s="3" t="s">
        <v>24</v>
      </c>
      <c r="D409" s="3" t="s">
        <v>144</v>
      </c>
      <c r="E409" s="4" t="s">
        <v>137</v>
      </c>
      <c r="F409" s="4" t="s">
        <v>2662</v>
      </c>
      <c r="G409" s="3"/>
      <c r="H409" s="4" t="s">
        <v>541</v>
      </c>
      <c r="I409" s="3" t="s">
        <v>2276</v>
      </c>
      <c r="J409" s="3" t="s">
        <v>2276</v>
      </c>
      <c r="K409" s="3" t="s">
        <v>2276</v>
      </c>
      <c r="L409" s="3" t="s">
        <v>2276</v>
      </c>
      <c r="M409" s="3" t="s">
        <v>2276</v>
      </c>
      <c r="N409" s="3" t="s">
        <v>2276</v>
      </c>
      <c r="O409" s="3" t="s">
        <v>2276</v>
      </c>
      <c r="P409" s="3" t="s">
        <v>2276</v>
      </c>
      <c r="Q409" s="3" t="s">
        <v>2276</v>
      </c>
      <c r="R409" s="3" t="s">
        <v>2276</v>
      </c>
      <c r="S409" s="3" t="s">
        <v>2276</v>
      </c>
      <c r="T409" s="3" t="s">
        <v>2276</v>
      </c>
      <c r="U409" s="3" t="s">
        <v>2276</v>
      </c>
      <c r="V409" s="3" t="s">
        <v>2276</v>
      </c>
      <c r="W409" s="4" t="s">
        <v>3643</v>
      </c>
    </row>
    <row r="410" spans="1:23" ht="56" customHeight="1">
      <c r="A410" s="23" t="s">
        <v>3625</v>
      </c>
      <c r="B410" s="23" t="s">
        <v>3639</v>
      </c>
      <c r="C410" s="3" t="s">
        <v>24</v>
      </c>
      <c r="D410" s="3" t="s">
        <v>144</v>
      </c>
      <c r="E410" s="4" t="s">
        <v>137</v>
      </c>
      <c r="F410" s="4" t="s">
        <v>55</v>
      </c>
      <c r="G410" s="3"/>
      <c r="H410" s="4" t="s">
        <v>541</v>
      </c>
      <c r="I410" s="3" t="s">
        <v>2276</v>
      </c>
      <c r="J410" s="3" t="s">
        <v>2276</v>
      </c>
      <c r="K410" s="3" t="s">
        <v>2276</v>
      </c>
      <c r="L410" s="3" t="s">
        <v>2276</v>
      </c>
      <c r="M410" s="3" t="s">
        <v>2276</v>
      </c>
      <c r="N410" s="3" t="s">
        <v>2276</v>
      </c>
      <c r="O410" s="3" t="s">
        <v>2276</v>
      </c>
      <c r="P410" s="3" t="s">
        <v>2276</v>
      </c>
      <c r="Q410" s="3" t="s">
        <v>2276</v>
      </c>
      <c r="R410" s="3" t="s">
        <v>537</v>
      </c>
      <c r="S410" s="3" t="s">
        <v>2276</v>
      </c>
      <c r="T410" s="3" t="s">
        <v>2276</v>
      </c>
      <c r="U410" s="3" t="s">
        <v>2276</v>
      </c>
      <c r="V410" s="3" t="s">
        <v>2276</v>
      </c>
      <c r="W410" s="4" t="s">
        <v>3643</v>
      </c>
    </row>
    <row r="411" spans="1:23" ht="51.5" customHeight="1">
      <c r="A411" s="23" t="s">
        <v>3626</v>
      </c>
      <c r="B411" s="23" t="s">
        <v>3640</v>
      </c>
      <c r="C411" s="3" t="s">
        <v>24</v>
      </c>
      <c r="D411" s="3" t="s">
        <v>144</v>
      </c>
      <c r="E411" s="4" t="s">
        <v>137</v>
      </c>
      <c r="F411" s="4" t="s">
        <v>55</v>
      </c>
      <c r="G411" s="3"/>
      <c r="H411" s="4" t="s">
        <v>541</v>
      </c>
      <c r="I411" s="3" t="s">
        <v>2276</v>
      </c>
      <c r="J411" s="3" t="s">
        <v>2276</v>
      </c>
      <c r="K411" s="3" t="s">
        <v>2276</v>
      </c>
      <c r="L411" s="3" t="s">
        <v>2276</v>
      </c>
      <c r="M411" s="3" t="s">
        <v>2276</v>
      </c>
      <c r="N411" s="3" t="s">
        <v>2276</v>
      </c>
      <c r="O411" s="3" t="s">
        <v>2276</v>
      </c>
      <c r="P411" s="3" t="s">
        <v>2276</v>
      </c>
      <c r="Q411" s="3" t="s">
        <v>2276</v>
      </c>
      <c r="R411" s="3" t="s">
        <v>537</v>
      </c>
      <c r="S411" s="3" t="s">
        <v>2276</v>
      </c>
      <c r="T411" s="3" t="s">
        <v>2276</v>
      </c>
      <c r="U411" s="3" t="s">
        <v>2276</v>
      </c>
      <c r="V411" s="3" t="s">
        <v>2276</v>
      </c>
      <c r="W411" s="4" t="s">
        <v>3643</v>
      </c>
    </row>
    <row r="412" spans="1:23" ht="60" customHeight="1">
      <c r="A412" s="23" t="s">
        <v>3629</v>
      </c>
      <c r="B412" s="23" t="s">
        <v>3641</v>
      </c>
      <c r="C412" s="3" t="s">
        <v>24</v>
      </c>
      <c r="D412" s="3" t="s">
        <v>144</v>
      </c>
      <c r="E412" s="4" t="s">
        <v>137</v>
      </c>
      <c r="F412" s="4" t="s">
        <v>55</v>
      </c>
      <c r="G412" s="3"/>
      <c r="H412" s="4" t="s">
        <v>541</v>
      </c>
      <c r="I412" s="3" t="s">
        <v>2276</v>
      </c>
      <c r="J412" s="3" t="s">
        <v>2276</v>
      </c>
      <c r="K412" s="3" t="s">
        <v>2276</v>
      </c>
      <c r="L412" s="3" t="s">
        <v>2276</v>
      </c>
      <c r="M412" s="3" t="s">
        <v>2276</v>
      </c>
      <c r="N412" s="3" t="s">
        <v>2276</v>
      </c>
      <c r="O412" s="3" t="s">
        <v>2276</v>
      </c>
      <c r="P412" s="3" t="s">
        <v>2276</v>
      </c>
      <c r="Q412" s="3" t="s">
        <v>2276</v>
      </c>
      <c r="R412" s="3" t="s">
        <v>537</v>
      </c>
      <c r="S412" s="3" t="s">
        <v>2276</v>
      </c>
      <c r="T412" s="3" t="s">
        <v>2276</v>
      </c>
      <c r="U412" s="3" t="s">
        <v>2276</v>
      </c>
      <c r="V412" s="3" t="s">
        <v>2276</v>
      </c>
      <c r="W412" s="4" t="s">
        <v>3643</v>
      </c>
    </row>
    <row r="413" spans="1:23" ht="80.5" customHeight="1">
      <c r="A413" s="23" t="s">
        <v>3625</v>
      </c>
      <c r="B413" s="23" t="s">
        <v>3644</v>
      </c>
      <c r="C413" s="3" t="s">
        <v>24</v>
      </c>
      <c r="D413" s="3" t="s">
        <v>1242</v>
      </c>
      <c r="E413" s="4" t="s">
        <v>1105</v>
      </c>
      <c r="F413" s="4" t="s">
        <v>2662</v>
      </c>
      <c r="G413" s="3"/>
      <c r="H413" s="4" t="s">
        <v>541</v>
      </c>
      <c r="I413" s="3" t="s">
        <v>2690</v>
      </c>
      <c r="J413" s="3" t="s">
        <v>2276</v>
      </c>
      <c r="K413" s="3" t="s">
        <v>2276</v>
      </c>
      <c r="L413" s="3" t="s">
        <v>2276</v>
      </c>
      <c r="M413" s="3" t="s">
        <v>2276</v>
      </c>
      <c r="N413" s="3" t="s">
        <v>2276</v>
      </c>
      <c r="O413" s="3" t="s">
        <v>2276</v>
      </c>
      <c r="P413" s="3" t="s">
        <v>2276</v>
      </c>
      <c r="Q413" s="3" t="s">
        <v>2276</v>
      </c>
      <c r="R413" s="3" t="s">
        <v>537</v>
      </c>
      <c r="S413" s="3" t="s">
        <v>2276</v>
      </c>
      <c r="T413" s="3" t="s">
        <v>2276</v>
      </c>
      <c r="U413" s="3" t="s">
        <v>2276</v>
      </c>
      <c r="V413" s="3" t="s">
        <v>2276</v>
      </c>
      <c r="W413" s="4" t="s">
        <v>3652</v>
      </c>
    </row>
    <row r="414" spans="1:23" ht="80.5" customHeight="1">
      <c r="A414" s="23" t="s">
        <v>3626</v>
      </c>
      <c r="B414" s="23" t="s">
        <v>3645</v>
      </c>
      <c r="C414" s="3" t="s">
        <v>24</v>
      </c>
      <c r="D414" s="3" t="s">
        <v>1242</v>
      </c>
      <c r="E414" s="4" t="s">
        <v>1105</v>
      </c>
      <c r="F414" s="4" t="s">
        <v>2662</v>
      </c>
      <c r="G414" s="3"/>
      <c r="H414" s="4" t="s">
        <v>541</v>
      </c>
      <c r="I414" s="3" t="s">
        <v>2690</v>
      </c>
      <c r="J414" s="3" t="s">
        <v>2276</v>
      </c>
      <c r="K414" s="3" t="s">
        <v>2276</v>
      </c>
      <c r="L414" s="3" t="s">
        <v>2276</v>
      </c>
      <c r="M414" s="3" t="s">
        <v>2276</v>
      </c>
      <c r="N414" s="3" t="s">
        <v>2276</v>
      </c>
      <c r="O414" s="3" t="s">
        <v>2276</v>
      </c>
      <c r="P414" s="3" t="s">
        <v>2276</v>
      </c>
      <c r="Q414" s="3" t="s">
        <v>2276</v>
      </c>
      <c r="R414" s="3" t="s">
        <v>537</v>
      </c>
      <c r="S414" s="3" t="s">
        <v>2276</v>
      </c>
      <c r="T414" s="3" t="s">
        <v>2276</v>
      </c>
      <c r="U414" s="3" t="s">
        <v>2276</v>
      </c>
      <c r="V414" s="3" t="s">
        <v>2276</v>
      </c>
      <c r="W414" s="4" t="s">
        <v>3652</v>
      </c>
    </row>
    <row r="415" spans="1:23" ht="80.5" customHeight="1">
      <c r="A415" s="23" t="s">
        <v>3629</v>
      </c>
      <c r="B415" s="23" t="s">
        <v>3646</v>
      </c>
      <c r="C415" s="3" t="s">
        <v>24</v>
      </c>
      <c r="D415" s="3" t="s">
        <v>1242</v>
      </c>
      <c r="E415" s="4" t="s">
        <v>1105</v>
      </c>
      <c r="F415" s="4" t="s">
        <v>2662</v>
      </c>
      <c r="G415" s="3"/>
      <c r="H415" s="4" t="s">
        <v>541</v>
      </c>
      <c r="I415" s="3" t="s">
        <v>2690</v>
      </c>
      <c r="J415" s="3" t="s">
        <v>2276</v>
      </c>
      <c r="K415" s="3" t="s">
        <v>2276</v>
      </c>
      <c r="L415" s="3" t="s">
        <v>2276</v>
      </c>
      <c r="M415" s="3" t="s">
        <v>2276</v>
      </c>
      <c r="N415" s="3" t="s">
        <v>2276</v>
      </c>
      <c r="O415" s="3" t="s">
        <v>2276</v>
      </c>
      <c r="P415" s="3" t="s">
        <v>2276</v>
      </c>
      <c r="Q415" s="3" t="s">
        <v>2276</v>
      </c>
      <c r="R415" s="3" t="s">
        <v>537</v>
      </c>
      <c r="S415" s="3" t="s">
        <v>2276</v>
      </c>
      <c r="T415" s="3" t="s">
        <v>2276</v>
      </c>
      <c r="U415" s="3" t="s">
        <v>2276</v>
      </c>
      <c r="V415" s="3" t="s">
        <v>2276</v>
      </c>
      <c r="W415" s="4" t="s">
        <v>3652</v>
      </c>
    </row>
    <row r="416" spans="1:23" ht="80.5" customHeight="1">
      <c r="A416" s="23" t="s">
        <v>3625</v>
      </c>
      <c r="B416" s="23" t="s">
        <v>3648</v>
      </c>
      <c r="C416" s="3" t="s">
        <v>24</v>
      </c>
      <c r="D416" s="3" t="s">
        <v>1242</v>
      </c>
      <c r="E416" s="4" t="s">
        <v>1105</v>
      </c>
      <c r="F416" s="4" t="s">
        <v>55</v>
      </c>
      <c r="G416" s="3"/>
      <c r="H416" s="4" t="s">
        <v>541</v>
      </c>
      <c r="I416" s="3" t="s">
        <v>2690</v>
      </c>
      <c r="J416" s="3" t="s">
        <v>2276</v>
      </c>
      <c r="K416" s="3" t="s">
        <v>2276</v>
      </c>
      <c r="L416" s="3" t="s">
        <v>2276</v>
      </c>
      <c r="M416" s="3" t="s">
        <v>2276</v>
      </c>
      <c r="N416" s="3" t="s">
        <v>2276</v>
      </c>
      <c r="O416" s="3" t="s">
        <v>2276</v>
      </c>
      <c r="P416" s="3" t="s">
        <v>2276</v>
      </c>
      <c r="Q416" s="3" t="s">
        <v>2276</v>
      </c>
      <c r="R416" s="3" t="s">
        <v>537</v>
      </c>
      <c r="S416" s="3" t="s">
        <v>2276</v>
      </c>
      <c r="T416" s="3" t="s">
        <v>2276</v>
      </c>
      <c r="U416" s="3" t="s">
        <v>2276</v>
      </c>
      <c r="V416" s="3" t="s">
        <v>2276</v>
      </c>
      <c r="W416" s="4" t="s">
        <v>3652</v>
      </c>
    </row>
    <row r="417" spans="1:23" ht="80.5" customHeight="1">
      <c r="A417" s="23" t="s">
        <v>3626</v>
      </c>
      <c r="B417" s="23" t="s">
        <v>3649</v>
      </c>
      <c r="C417" s="3" t="s">
        <v>24</v>
      </c>
      <c r="D417" s="3" t="s">
        <v>1242</v>
      </c>
      <c r="E417" s="4" t="s">
        <v>1105</v>
      </c>
      <c r="F417" s="4" t="s">
        <v>55</v>
      </c>
      <c r="G417" s="3"/>
      <c r="H417" s="4" t="s">
        <v>541</v>
      </c>
      <c r="I417" s="3" t="s">
        <v>2690</v>
      </c>
      <c r="J417" s="3" t="s">
        <v>2276</v>
      </c>
      <c r="K417" s="3" t="s">
        <v>2276</v>
      </c>
      <c r="L417" s="3" t="s">
        <v>2276</v>
      </c>
      <c r="M417" s="3" t="s">
        <v>2276</v>
      </c>
      <c r="N417" s="3" t="s">
        <v>2276</v>
      </c>
      <c r="O417" s="3" t="s">
        <v>2276</v>
      </c>
      <c r="P417" s="3" t="s">
        <v>2276</v>
      </c>
      <c r="Q417" s="3" t="s">
        <v>2276</v>
      </c>
      <c r="R417" s="3" t="s">
        <v>537</v>
      </c>
      <c r="S417" s="3" t="s">
        <v>2276</v>
      </c>
      <c r="T417" s="3" t="s">
        <v>2276</v>
      </c>
      <c r="U417" s="3" t="s">
        <v>2276</v>
      </c>
      <c r="V417" s="3" t="s">
        <v>2276</v>
      </c>
      <c r="W417" s="4" t="s">
        <v>3652</v>
      </c>
    </row>
    <row r="418" spans="1:23" ht="80.5" customHeight="1">
      <c r="A418" s="23" t="s">
        <v>3629</v>
      </c>
      <c r="B418" s="23" t="s">
        <v>3650</v>
      </c>
      <c r="C418" s="3" t="s">
        <v>24</v>
      </c>
      <c r="D418" s="3" t="s">
        <v>1242</v>
      </c>
      <c r="E418" s="4" t="s">
        <v>1105</v>
      </c>
      <c r="F418" s="4" t="s">
        <v>55</v>
      </c>
      <c r="G418" s="3"/>
      <c r="H418" s="4" t="s">
        <v>541</v>
      </c>
      <c r="I418" s="3" t="s">
        <v>2690</v>
      </c>
      <c r="J418" s="3" t="s">
        <v>2276</v>
      </c>
      <c r="K418" s="3" t="s">
        <v>2276</v>
      </c>
      <c r="L418" s="3" t="s">
        <v>2276</v>
      </c>
      <c r="M418" s="3" t="s">
        <v>2276</v>
      </c>
      <c r="N418" s="3" t="s">
        <v>2276</v>
      </c>
      <c r="O418" s="3" t="s">
        <v>2276</v>
      </c>
      <c r="P418" s="3" t="s">
        <v>2276</v>
      </c>
      <c r="Q418" s="3" t="s">
        <v>2276</v>
      </c>
      <c r="R418" s="3" t="s">
        <v>537</v>
      </c>
      <c r="S418" s="3" t="s">
        <v>2276</v>
      </c>
      <c r="T418" s="3" t="s">
        <v>2276</v>
      </c>
      <c r="U418" s="3" t="s">
        <v>2276</v>
      </c>
      <c r="V418" s="3" t="s">
        <v>2276</v>
      </c>
      <c r="W418" s="4" t="s">
        <v>3652</v>
      </c>
    </row>
    <row r="419" spans="1:23" ht="80.5" customHeight="1">
      <c r="A419" s="23" t="s">
        <v>3625</v>
      </c>
      <c r="B419" s="23" t="s">
        <v>3654</v>
      </c>
      <c r="C419" s="3" t="s">
        <v>24</v>
      </c>
      <c r="D419" s="3" t="s">
        <v>27</v>
      </c>
      <c r="E419" s="4" t="s">
        <v>130</v>
      </c>
      <c r="F419" s="4" t="s">
        <v>2662</v>
      </c>
      <c r="G419" s="3"/>
      <c r="H419" s="4" t="s">
        <v>541</v>
      </c>
      <c r="I419" s="3" t="s">
        <v>2690</v>
      </c>
      <c r="J419" s="3" t="s">
        <v>2276</v>
      </c>
      <c r="K419" s="3" t="s">
        <v>2276</v>
      </c>
      <c r="L419" s="3" t="s">
        <v>2276</v>
      </c>
      <c r="M419" s="3" t="s">
        <v>2276</v>
      </c>
      <c r="N419" s="3" t="s">
        <v>2276</v>
      </c>
      <c r="O419" s="3" t="s">
        <v>2276</v>
      </c>
      <c r="P419" s="3" t="s">
        <v>2276</v>
      </c>
      <c r="Q419" s="3" t="s">
        <v>2276</v>
      </c>
      <c r="R419" s="3" t="s">
        <v>537</v>
      </c>
      <c r="S419" s="3" t="s">
        <v>2276</v>
      </c>
      <c r="T419" s="3" t="s">
        <v>2276</v>
      </c>
      <c r="U419" s="3" t="s">
        <v>2276</v>
      </c>
      <c r="V419" s="3" t="s">
        <v>2276</v>
      </c>
      <c r="W419" s="4" t="s">
        <v>3652</v>
      </c>
    </row>
    <row r="420" spans="1:23" ht="80.5" customHeight="1">
      <c r="A420" s="23" t="s">
        <v>3626</v>
      </c>
      <c r="B420" s="23" t="s">
        <v>3655</v>
      </c>
      <c r="C420" s="3" t="s">
        <v>24</v>
      </c>
      <c r="D420" s="3" t="s">
        <v>27</v>
      </c>
      <c r="E420" s="4" t="s">
        <v>130</v>
      </c>
      <c r="F420" s="4" t="s">
        <v>2662</v>
      </c>
      <c r="G420" s="3"/>
      <c r="H420" s="4" t="s">
        <v>541</v>
      </c>
      <c r="I420" s="3" t="s">
        <v>2690</v>
      </c>
      <c r="J420" s="3" t="s">
        <v>2276</v>
      </c>
      <c r="K420" s="3" t="s">
        <v>2276</v>
      </c>
      <c r="L420" s="3" t="s">
        <v>2276</v>
      </c>
      <c r="M420" s="3" t="s">
        <v>2276</v>
      </c>
      <c r="N420" s="3" t="s">
        <v>2276</v>
      </c>
      <c r="O420" s="3" t="s">
        <v>2276</v>
      </c>
      <c r="P420" s="3" t="s">
        <v>2276</v>
      </c>
      <c r="Q420" s="3" t="s">
        <v>2276</v>
      </c>
      <c r="R420" s="3" t="s">
        <v>537</v>
      </c>
      <c r="S420" s="3" t="s">
        <v>2276</v>
      </c>
      <c r="T420" s="3" t="s">
        <v>2276</v>
      </c>
      <c r="U420" s="3" t="s">
        <v>2276</v>
      </c>
      <c r="V420" s="3" t="s">
        <v>2276</v>
      </c>
      <c r="W420" s="4" t="s">
        <v>3652</v>
      </c>
    </row>
    <row r="421" spans="1:23" ht="80.5" customHeight="1">
      <c r="A421" s="23" t="s">
        <v>3629</v>
      </c>
      <c r="B421" s="23" t="s">
        <v>3656</v>
      </c>
      <c r="C421" s="3" t="s">
        <v>24</v>
      </c>
      <c r="D421" s="3" t="s">
        <v>27</v>
      </c>
      <c r="E421" s="4" t="s">
        <v>130</v>
      </c>
      <c r="F421" s="4" t="s">
        <v>2662</v>
      </c>
      <c r="G421" s="3"/>
      <c r="H421" s="4" t="s">
        <v>541</v>
      </c>
      <c r="I421" s="3" t="s">
        <v>2690</v>
      </c>
      <c r="J421" s="3" t="s">
        <v>2276</v>
      </c>
      <c r="K421" s="3" t="s">
        <v>2276</v>
      </c>
      <c r="L421" s="3" t="s">
        <v>2276</v>
      </c>
      <c r="M421" s="3" t="s">
        <v>2276</v>
      </c>
      <c r="N421" s="3" t="s">
        <v>2276</v>
      </c>
      <c r="O421" s="3" t="s">
        <v>2276</v>
      </c>
      <c r="P421" s="3" t="s">
        <v>2276</v>
      </c>
      <c r="Q421" s="3" t="s">
        <v>2276</v>
      </c>
      <c r="R421" s="3" t="s">
        <v>537</v>
      </c>
      <c r="S421" s="3" t="s">
        <v>2276</v>
      </c>
      <c r="T421" s="3" t="s">
        <v>2276</v>
      </c>
      <c r="U421" s="3" t="s">
        <v>2276</v>
      </c>
      <c r="V421" s="3" t="s">
        <v>2276</v>
      </c>
      <c r="W421" s="4" t="s">
        <v>3652</v>
      </c>
    </row>
    <row r="422" spans="1:23" ht="80.5" customHeight="1">
      <c r="A422" s="23" t="s">
        <v>3625</v>
      </c>
      <c r="B422" s="23" t="s">
        <v>3657</v>
      </c>
      <c r="C422" s="3" t="s">
        <v>24</v>
      </c>
      <c r="D422" s="3" t="s">
        <v>27</v>
      </c>
      <c r="E422" s="4" t="s">
        <v>130</v>
      </c>
      <c r="F422" s="4" t="s">
        <v>55</v>
      </c>
      <c r="G422" s="3"/>
      <c r="H422" s="4" t="s">
        <v>541</v>
      </c>
      <c r="I422" s="3" t="s">
        <v>2690</v>
      </c>
      <c r="J422" s="3" t="s">
        <v>2276</v>
      </c>
      <c r="K422" s="3" t="s">
        <v>2276</v>
      </c>
      <c r="L422" s="3" t="s">
        <v>2276</v>
      </c>
      <c r="M422" s="3" t="s">
        <v>2276</v>
      </c>
      <c r="N422" s="3" t="s">
        <v>2276</v>
      </c>
      <c r="O422" s="3" t="s">
        <v>2276</v>
      </c>
      <c r="P422" s="3" t="s">
        <v>2276</v>
      </c>
      <c r="Q422" s="3" t="s">
        <v>2276</v>
      </c>
      <c r="R422" s="3" t="s">
        <v>537</v>
      </c>
      <c r="S422" s="3" t="s">
        <v>2276</v>
      </c>
      <c r="T422" s="3" t="s">
        <v>2276</v>
      </c>
      <c r="U422" s="3" t="s">
        <v>2276</v>
      </c>
      <c r="V422" s="3" t="s">
        <v>2276</v>
      </c>
      <c r="W422" s="4" t="s">
        <v>3652</v>
      </c>
    </row>
    <row r="423" spans="1:23" ht="80.5" customHeight="1">
      <c r="A423" s="23" t="s">
        <v>3626</v>
      </c>
      <c r="B423" s="23" t="s">
        <v>3658</v>
      </c>
      <c r="C423" s="3" t="s">
        <v>24</v>
      </c>
      <c r="D423" s="3" t="s">
        <v>27</v>
      </c>
      <c r="E423" s="4" t="s">
        <v>130</v>
      </c>
      <c r="F423" s="4" t="s">
        <v>55</v>
      </c>
      <c r="G423" s="3"/>
      <c r="H423" s="4" t="s">
        <v>541</v>
      </c>
      <c r="I423" s="3" t="s">
        <v>2690</v>
      </c>
      <c r="J423" s="3" t="s">
        <v>2276</v>
      </c>
      <c r="K423" s="3" t="s">
        <v>2276</v>
      </c>
      <c r="L423" s="3" t="s">
        <v>2276</v>
      </c>
      <c r="M423" s="3" t="s">
        <v>2276</v>
      </c>
      <c r="N423" s="3" t="s">
        <v>2276</v>
      </c>
      <c r="O423" s="3" t="s">
        <v>2276</v>
      </c>
      <c r="P423" s="3" t="s">
        <v>2276</v>
      </c>
      <c r="Q423" s="3" t="s">
        <v>2276</v>
      </c>
      <c r="R423" s="3" t="s">
        <v>537</v>
      </c>
      <c r="S423" s="3" t="s">
        <v>2276</v>
      </c>
      <c r="T423" s="3" t="s">
        <v>2276</v>
      </c>
      <c r="U423" s="3" t="s">
        <v>2276</v>
      </c>
      <c r="V423" s="3" t="s">
        <v>2276</v>
      </c>
      <c r="W423" s="4" t="s">
        <v>3652</v>
      </c>
    </row>
    <row r="424" spans="1:23" ht="80.5" customHeight="1">
      <c r="A424" s="23" t="s">
        <v>3629</v>
      </c>
      <c r="B424" s="23" t="s">
        <v>3659</v>
      </c>
      <c r="C424" s="3" t="s">
        <v>24</v>
      </c>
      <c r="D424" s="3" t="s">
        <v>27</v>
      </c>
      <c r="E424" s="4" t="s">
        <v>130</v>
      </c>
      <c r="F424" s="4" t="s">
        <v>55</v>
      </c>
      <c r="G424" s="3"/>
      <c r="H424" s="4" t="s">
        <v>541</v>
      </c>
      <c r="I424" s="3" t="s">
        <v>2690</v>
      </c>
      <c r="J424" s="3" t="s">
        <v>2276</v>
      </c>
      <c r="K424" s="3" t="s">
        <v>2276</v>
      </c>
      <c r="L424" s="3" t="s">
        <v>2276</v>
      </c>
      <c r="M424" s="3" t="s">
        <v>2276</v>
      </c>
      <c r="N424" s="3" t="s">
        <v>2276</v>
      </c>
      <c r="O424" s="3" t="s">
        <v>2276</v>
      </c>
      <c r="P424" s="3" t="s">
        <v>2276</v>
      </c>
      <c r="Q424" s="3" t="s">
        <v>2276</v>
      </c>
      <c r="R424" s="3" t="s">
        <v>537</v>
      </c>
      <c r="S424" s="3" t="s">
        <v>2276</v>
      </c>
      <c r="T424" s="3" t="s">
        <v>2276</v>
      </c>
      <c r="U424" s="3" t="s">
        <v>2276</v>
      </c>
      <c r="V424" s="3" t="s">
        <v>2276</v>
      </c>
      <c r="W424" s="4" t="s">
        <v>3652</v>
      </c>
    </row>
    <row r="425" spans="1:23" ht="42" customHeight="1">
      <c r="A425" s="23" t="s">
        <v>3630</v>
      </c>
      <c r="B425" s="23" t="s">
        <v>3638</v>
      </c>
      <c r="C425" s="3" t="s">
        <v>24</v>
      </c>
      <c r="D425" s="3" t="s">
        <v>1105</v>
      </c>
      <c r="E425" s="3" t="s">
        <v>1105</v>
      </c>
      <c r="F425" s="3" t="s">
        <v>1105</v>
      </c>
      <c r="G425" s="3">
        <v>1998</v>
      </c>
      <c r="H425" s="4" t="s">
        <v>541</v>
      </c>
      <c r="I425" s="3" t="s">
        <v>537</v>
      </c>
      <c r="J425" s="3" t="s">
        <v>2276</v>
      </c>
      <c r="K425" s="3" t="s">
        <v>2276</v>
      </c>
      <c r="L425" s="3" t="s">
        <v>2276</v>
      </c>
      <c r="M425" s="3" t="s">
        <v>2276</v>
      </c>
      <c r="N425" s="3" t="s">
        <v>2276</v>
      </c>
      <c r="O425" s="3" t="s">
        <v>2276</v>
      </c>
      <c r="P425" s="3" t="s">
        <v>2276</v>
      </c>
      <c r="Q425" s="3" t="s">
        <v>2276</v>
      </c>
      <c r="R425" s="3" t="s">
        <v>534</v>
      </c>
      <c r="S425" s="3" t="s">
        <v>2276</v>
      </c>
      <c r="T425" s="3" t="s">
        <v>2276</v>
      </c>
      <c r="U425" s="3" t="s">
        <v>2276</v>
      </c>
      <c r="V425" s="3" t="s">
        <v>2276</v>
      </c>
      <c r="W425" s="3" t="s">
        <v>3074</v>
      </c>
    </row>
    <row r="426" spans="1:23" ht="41.5" customHeight="1">
      <c r="A426" s="23" t="s">
        <v>3630</v>
      </c>
      <c r="B426" s="23" t="s">
        <v>3642</v>
      </c>
      <c r="C426" s="3" t="s">
        <v>24</v>
      </c>
      <c r="D426" s="3" t="s">
        <v>1105</v>
      </c>
      <c r="E426" s="3" t="s">
        <v>1105</v>
      </c>
      <c r="F426" s="3" t="s">
        <v>1105</v>
      </c>
      <c r="G426" s="3">
        <v>1998</v>
      </c>
      <c r="H426" s="4" t="s">
        <v>541</v>
      </c>
      <c r="I426" s="3" t="s">
        <v>537</v>
      </c>
      <c r="J426" s="3" t="s">
        <v>2276</v>
      </c>
      <c r="K426" s="3" t="s">
        <v>2276</v>
      </c>
      <c r="L426" s="3" t="s">
        <v>2276</v>
      </c>
      <c r="M426" s="3" t="s">
        <v>2276</v>
      </c>
      <c r="N426" s="3" t="s">
        <v>2276</v>
      </c>
      <c r="O426" s="3" t="s">
        <v>2276</v>
      </c>
      <c r="P426" s="3" t="s">
        <v>2276</v>
      </c>
      <c r="Q426" s="3" t="s">
        <v>2276</v>
      </c>
      <c r="R426" s="3" t="s">
        <v>534</v>
      </c>
      <c r="S426" s="3" t="s">
        <v>2276</v>
      </c>
      <c r="T426" s="3" t="s">
        <v>2276</v>
      </c>
      <c r="U426" s="3" t="s">
        <v>2276</v>
      </c>
      <c r="V426" s="3" t="s">
        <v>2276</v>
      </c>
      <c r="W426" s="3" t="s">
        <v>3074</v>
      </c>
    </row>
    <row r="427" spans="1:23" ht="49" customHeight="1">
      <c r="A427" s="23" t="s">
        <v>3630</v>
      </c>
      <c r="B427" s="23" t="s">
        <v>3647</v>
      </c>
      <c r="C427" s="3" t="s">
        <v>24</v>
      </c>
      <c r="D427" s="3" t="s">
        <v>1242</v>
      </c>
      <c r="E427" s="3" t="s">
        <v>1105</v>
      </c>
      <c r="F427" s="3" t="s">
        <v>1105</v>
      </c>
      <c r="G427" s="3">
        <v>2017</v>
      </c>
      <c r="H427" s="4" t="s">
        <v>541</v>
      </c>
      <c r="I427" s="3" t="s">
        <v>537</v>
      </c>
      <c r="J427" s="3" t="s">
        <v>2276</v>
      </c>
      <c r="K427" s="3" t="s">
        <v>2276</v>
      </c>
      <c r="L427" s="3" t="s">
        <v>2276</v>
      </c>
      <c r="M427" s="3" t="s">
        <v>2276</v>
      </c>
      <c r="N427" s="3" t="s">
        <v>2276</v>
      </c>
      <c r="O427" s="3" t="s">
        <v>2276</v>
      </c>
      <c r="P427" s="3" t="s">
        <v>2276</v>
      </c>
      <c r="Q427" s="3" t="s">
        <v>2276</v>
      </c>
      <c r="R427" s="3" t="s">
        <v>537</v>
      </c>
      <c r="S427" s="3" t="s">
        <v>2276</v>
      </c>
      <c r="T427" s="3" t="s">
        <v>2276</v>
      </c>
      <c r="U427" s="3" t="s">
        <v>2276</v>
      </c>
      <c r="V427" s="3" t="s">
        <v>2276</v>
      </c>
      <c r="W427" s="4" t="s">
        <v>3653</v>
      </c>
    </row>
    <row r="428" spans="1:23" ht="46" customHeight="1">
      <c r="A428" s="23" t="s">
        <v>3630</v>
      </c>
      <c r="B428" s="23" t="s">
        <v>3651</v>
      </c>
      <c r="C428" s="3" t="s">
        <v>24</v>
      </c>
      <c r="D428" s="3" t="s">
        <v>1242</v>
      </c>
      <c r="E428" s="3" t="s">
        <v>1105</v>
      </c>
      <c r="F428" s="3" t="s">
        <v>1105</v>
      </c>
      <c r="G428" s="3">
        <v>2017</v>
      </c>
      <c r="H428" s="4" t="s">
        <v>541</v>
      </c>
      <c r="I428" s="3" t="s">
        <v>537</v>
      </c>
      <c r="J428" s="3" t="s">
        <v>2276</v>
      </c>
      <c r="K428" s="3" t="s">
        <v>2276</v>
      </c>
      <c r="L428" s="3" t="s">
        <v>2276</v>
      </c>
      <c r="M428" s="3" t="s">
        <v>2276</v>
      </c>
      <c r="N428" s="3" t="s">
        <v>2276</v>
      </c>
      <c r="O428" s="3" t="s">
        <v>2276</v>
      </c>
      <c r="P428" s="3" t="s">
        <v>2276</v>
      </c>
      <c r="Q428" s="3" t="s">
        <v>2276</v>
      </c>
      <c r="R428" s="3" t="s">
        <v>537</v>
      </c>
      <c r="S428" s="3" t="s">
        <v>2276</v>
      </c>
      <c r="T428" s="3" t="s">
        <v>2276</v>
      </c>
      <c r="U428" s="3" t="s">
        <v>2276</v>
      </c>
      <c r="V428" s="3" t="s">
        <v>2276</v>
      </c>
      <c r="W428" s="4" t="s">
        <v>3653</v>
      </c>
    </row>
    <row r="429" spans="1:23" ht="72" customHeight="1">
      <c r="A429" s="23" t="s">
        <v>3664</v>
      </c>
      <c r="B429" s="23" t="s">
        <v>3669</v>
      </c>
      <c r="C429" s="3" t="s">
        <v>24</v>
      </c>
      <c r="D429" s="3" t="s">
        <v>1105</v>
      </c>
      <c r="E429" s="4" t="s">
        <v>397</v>
      </c>
      <c r="F429" s="3" t="s">
        <v>1105</v>
      </c>
      <c r="G429" s="3">
        <v>2009</v>
      </c>
      <c r="H429" s="4" t="s">
        <v>541</v>
      </c>
      <c r="I429" s="3" t="s">
        <v>2276</v>
      </c>
      <c r="J429" s="3" t="s">
        <v>2276</v>
      </c>
      <c r="K429" s="3" t="s">
        <v>2276</v>
      </c>
      <c r="L429" s="3" t="s">
        <v>2276</v>
      </c>
      <c r="M429" s="3" t="s">
        <v>2728</v>
      </c>
      <c r="N429" s="3" t="s">
        <v>2276</v>
      </c>
      <c r="O429" s="3" t="s">
        <v>2276</v>
      </c>
      <c r="P429" s="3" t="s">
        <v>2276</v>
      </c>
      <c r="Q429" s="3">
        <v>1</v>
      </c>
      <c r="R429" s="3" t="s">
        <v>537</v>
      </c>
      <c r="S429" s="3" t="s">
        <v>537</v>
      </c>
      <c r="T429" s="3" t="s">
        <v>537</v>
      </c>
      <c r="U429" s="3" t="s">
        <v>537</v>
      </c>
      <c r="V429" s="3" t="s">
        <v>2276</v>
      </c>
      <c r="W429" s="4" t="s">
        <v>3694</v>
      </c>
    </row>
    <row r="430" spans="1:23" ht="68.5" customHeight="1">
      <c r="A430" s="23" t="s">
        <v>3664</v>
      </c>
      <c r="B430" s="23" t="s">
        <v>3670</v>
      </c>
      <c r="C430" s="3" t="s">
        <v>24</v>
      </c>
      <c r="D430" s="3" t="s">
        <v>1105</v>
      </c>
      <c r="E430" s="4" t="s">
        <v>396</v>
      </c>
      <c r="F430" s="3" t="s">
        <v>1105</v>
      </c>
      <c r="G430" s="3">
        <v>2009</v>
      </c>
      <c r="H430" s="4" t="s">
        <v>541</v>
      </c>
      <c r="I430" s="3" t="s">
        <v>2276</v>
      </c>
      <c r="J430" s="3" t="s">
        <v>2276</v>
      </c>
      <c r="K430" s="3" t="s">
        <v>2276</v>
      </c>
      <c r="L430" s="3" t="s">
        <v>2276</v>
      </c>
      <c r="M430" s="3" t="s">
        <v>2728</v>
      </c>
      <c r="N430" s="3" t="s">
        <v>2276</v>
      </c>
      <c r="O430" s="3" t="s">
        <v>2276</v>
      </c>
      <c r="P430" s="3" t="s">
        <v>2276</v>
      </c>
      <c r="Q430" s="3">
        <v>1</v>
      </c>
      <c r="R430" s="3" t="s">
        <v>537</v>
      </c>
      <c r="S430" s="3" t="s">
        <v>537</v>
      </c>
      <c r="T430" s="3" t="s">
        <v>537</v>
      </c>
      <c r="U430" s="3" t="s">
        <v>537</v>
      </c>
      <c r="V430" s="3" t="s">
        <v>2276</v>
      </c>
      <c r="W430" s="4" t="s">
        <v>3694</v>
      </c>
    </row>
    <row r="431" spans="1:23" ht="65.5" customHeight="1">
      <c r="A431" s="23" t="s">
        <v>3664</v>
      </c>
      <c r="B431" s="23" t="s">
        <v>3671</v>
      </c>
      <c r="C431" s="3" t="s">
        <v>24</v>
      </c>
      <c r="D431" s="3" t="s">
        <v>1105</v>
      </c>
      <c r="E431" s="4" t="s">
        <v>397</v>
      </c>
      <c r="F431" s="3" t="s">
        <v>1105</v>
      </c>
      <c r="G431" s="3">
        <v>2010</v>
      </c>
      <c r="H431" s="4" t="s">
        <v>541</v>
      </c>
      <c r="I431" s="3" t="s">
        <v>2276</v>
      </c>
      <c r="J431" s="3" t="s">
        <v>2276</v>
      </c>
      <c r="K431" s="3" t="s">
        <v>2276</v>
      </c>
      <c r="L431" s="3" t="s">
        <v>2276</v>
      </c>
      <c r="M431" s="3" t="s">
        <v>2728</v>
      </c>
      <c r="N431" s="3" t="s">
        <v>2276</v>
      </c>
      <c r="O431" s="3" t="s">
        <v>2276</v>
      </c>
      <c r="P431" s="3" t="s">
        <v>2276</v>
      </c>
      <c r="Q431" s="3">
        <v>1</v>
      </c>
      <c r="R431" s="3" t="s">
        <v>537</v>
      </c>
      <c r="S431" s="3" t="s">
        <v>537</v>
      </c>
      <c r="T431" s="3" t="s">
        <v>537</v>
      </c>
      <c r="U431" s="3" t="s">
        <v>537</v>
      </c>
      <c r="V431" s="3" t="s">
        <v>2276</v>
      </c>
      <c r="W431" s="4" t="s">
        <v>3695</v>
      </c>
    </row>
    <row r="432" spans="1:23" ht="69" customHeight="1">
      <c r="A432" s="23" t="s">
        <v>3664</v>
      </c>
      <c r="B432" s="23" t="s">
        <v>3672</v>
      </c>
      <c r="C432" s="3" t="s">
        <v>24</v>
      </c>
      <c r="D432" s="3" t="s">
        <v>1105</v>
      </c>
      <c r="E432" s="4" t="s">
        <v>396</v>
      </c>
      <c r="F432" s="3" t="s">
        <v>1105</v>
      </c>
      <c r="G432" s="3">
        <v>2010</v>
      </c>
      <c r="H432" s="4" t="s">
        <v>541</v>
      </c>
      <c r="I432" s="3" t="s">
        <v>2276</v>
      </c>
      <c r="J432" s="3" t="s">
        <v>2276</v>
      </c>
      <c r="K432" s="3" t="s">
        <v>2276</v>
      </c>
      <c r="L432" s="3" t="s">
        <v>2276</v>
      </c>
      <c r="M432" s="3" t="s">
        <v>2728</v>
      </c>
      <c r="N432" s="3" t="s">
        <v>2276</v>
      </c>
      <c r="O432" s="3" t="s">
        <v>2276</v>
      </c>
      <c r="P432" s="3" t="s">
        <v>2276</v>
      </c>
      <c r="Q432" s="3">
        <v>1</v>
      </c>
      <c r="R432" s="3" t="s">
        <v>537</v>
      </c>
      <c r="S432" s="3" t="s">
        <v>537</v>
      </c>
      <c r="T432" s="3" t="s">
        <v>537</v>
      </c>
      <c r="U432" s="3" t="s">
        <v>537</v>
      </c>
      <c r="V432" s="3" t="s">
        <v>2276</v>
      </c>
      <c r="W432" s="4" t="s">
        <v>3695</v>
      </c>
    </row>
    <row r="433" spans="1:23" ht="69" customHeight="1">
      <c r="A433" s="23" t="s">
        <v>3664</v>
      </c>
      <c r="B433" s="23" t="s">
        <v>3674</v>
      </c>
      <c r="C433" s="3" t="s">
        <v>24</v>
      </c>
      <c r="D433" s="3" t="s">
        <v>1105</v>
      </c>
      <c r="E433" s="4" t="s">
        <v>397</v>
      </c>
      <c r="F433" s="3" t="s">
        <v>1105</v>
      </c>
      <c r="G433" s="3">
        <v>2011</v>
      </c>
      <c r="H433" s="4" t="s">
        <v>541</v>
      </c>
      <c r="I433" s="3" t="s">
        <v>2276</v>
      </c>
      <c r="J433" s="3" t="s">
        <v>2276</v>
      </c>
      <c r="K433" s="3" t="s">
        <v>2276</v>
      </c>
      <c r="L433" s="3" t="s">
        <v>2276</v>
      </c>
      <c r="M433" s="3" t="s">
        <v>2728</v>
      </c>
      <c r="N433" s="3" t="s">
        <v>2276</v>
      </c>
      <c r="O433" s="3" t="s">
        <v>2276</v>
      </c>
      <c r="P433" s="3" t="s">
        <v>2276</v>
      </c>
      <c r="Q433" s="3">
        <v>2</v>
      </c>
      <c r="R433" s="3" t="s">
        <v>537</v>
      </c>
      <c r="S433" s="3" t="s">
        <v>537</v>
      </c>
      <c r="T433" s="3" t="s">
        <v>537</v>
      </c>
      <c r="U433" s="3" t="s">
        <v>537</v>
      </c>
      <c r="V433" s="3" t="s">
        <v>2276</v>
      </c>
      <c r="W433" s="4" t="s">
        <v>3696</v>
      </c>
    </row>
    <row r="434" spans="1:23" ht="69" customHeight="1">
      <c r="A434" s="23" t="s">
        <v>3664</v>
      </c>
      <c r="B434" s="23" t="s">
        <v>3676</v>
      </c>
      <c r="C434" s="3" t="s">
        <v>24</v>
      </c>
      <c r="D434" s="3" t="s">
        <v>1105</v>
      </c>
      <c r="E434" s="4" t="s">
        <v>396</v>
      </c>
      <c r="F434" s="3" t="s">
        <v>1105</v>
      </c>
      <c r="G434" s="3">
        <v>2011</v>
      </c>
      <c r="H434" s="4" t="s">
        <v>541</v>
      </c>
      <c r="I434" s="3" t="s">
        <v>2276</v>
      </c>
      <c r="J434" s="3" t="s">
        <v>2276</v>
      </c>
      <c r="K434" s="3" t="s">
        <v>2276</v>
      </c>
      <c r="L434" s="3" t="s">
        <v>2276</v>
      </c>
      <c r="M434" s="3" t="s">
        <v>2728</v>
      </c>
      <c r="N434" s="3" t="s">
        <v>2276</v>
      </c>
      <c r="O434" s="3" t="s">
        <v>2276</v>
      </c>
      <c r="P434" s="3" t="s">
        <v>2276</v>
      </c>
      <c r="Q434" s="3">
        <v>2</v>
      </c>
      <c r="R434" s="3" t="s">
        <v>537</v>
      </c>
      <c r="S434" s="3" t="s">
        <v>537</v>
      </c>
      <c r="T434" s="3" t="s">
        <v>537</v>
      </c>
      <c r="U434" s="3" t="s">
        <v>537</v>
      </c>
      <c r="V434" s="3" t="s">
        <v>2276</v>
      </c>
      <c r="W434" s="4" t="s">
        <v>3696</v>
      </c>
    </row>
    <row r="435" spans="1:23" ht="69" customHeight="1">
      <c r="A435" s="23" t="s">
        <v>3664</v>
      </c>
      <c r="B435" s="23" t="s">
        <v>3677</v>
      </c>
      <c r="C435" s="3" t="s">
        <v>24</v>
      </c>
      <c r="D435" s="3" t="s">
        <v>1105</v>
      </c>
      <c r="E435" s="4" t="s">
        <v>397</v>
      </c>
      <c r="F435" s="3" t="s">
        <v>1105</v>
      </c>
      <c r="G435" s="3">
        <v>2012</v>
      </c>
      <c r="H435" s="4" t="s">
        <v>541</v>
      </c>
      <c r="I435" s="3" t="s">
        <v>2276</v>
      </c>
      <c r="J435" s="3" t="s">
        <v>2276</v>
      </c>
      <c r="K435" s="3" t="s">
        <v>2276</v>
      </c>
      <c r="L435" s="3" t="s">
        <v>2276</v>
      </c>
      <c r="M435" s="3" t="s">
        <v>2728</v>
      </c>
      <c r="N435" s="3" t="s">
        <v>2276</v>
      </c>
      <c r="O435" s="3" t="s">
        <v>2276</v>
      </c>
      <c r="P435" s="3" t="s">
        <v>2276</v>
      </c>
      <c r="Q435" s="3">
        <v>2</v>
      </c>
      <c r="R435" s="3" t="s">
        <v>537</v>
      </c>
      <c r="S435" s="3" t="s">
        <v>537</v>
      </c>
      <c r="T435" s="3" t="s">
        <v>537</v>
      </c>
      <c r="U435" s="3" t="s">
        <v>537</v>
      </c>
      <c r="V435" s="3" t="s">
        <v>2276</v>
      </c>
      <c r="W435" s="4" t="s">
        <v>3697</v>
      </c>
    </row>
    <row r="436" spans="1:23" ht="69" customHeight="1">
      <c r="A436" s="23" t="s">
        <v>3664</v>
      </c>
      <c r="B436" s="23" t="s">
        <v>3678</v>
      </c>
      <c r="C436" s="3" t="s">
        <v>24</v>
      </c>
      <c r="D436" s="3" t="s">
        <v>1105</v>
      </c>
      <c r="E436" s="4" t="s">
        <v>396</v>
      </c>
      <c r="F436" s="3" t="s">
        <v>1105</v>
      </c>
      <c r="G436" s="3">
        <v>2012</v>
      </c>
      <c r="H436" s="4" t="s">
        <v>541</v>
      </c>
      <c r="I436" s="3" t="s">
        <v>2276</v>
      </c>
      <c r="J436" s="3" t="s">
        <v>2276</v>
      </c>
      <c r="K436" s="3" t="s">
        <v>2276</v>
      </c>
      <c r="L436" s="3" t="s">
        <v>2276</v>
      </c>
      <c r="M436" s="3" t="s">
        <v>2728</v>
      </c>
      <c r="N436" s="3" t="s">
        <v>2276</v>
      </c>
      <c r="O436" s="3" t="s">
        <v>2276</v>
      </c>
      <c r="P436" s="3" t="s">
        <v>2276</v>
      </c>
      <c r="Q436" s="3">
        <v>2</v>
      </c>
      <c r="R436" s="3" t="s">
        <v>537</v>
      </c>
      <c r="S436" s="3" t="s">
        <v>537</v>
      </c>
      <c r="T436" s="3" t="s">
        <v>537</v>
      </c>
      <c r="U436" s="3" t="s">
        <v>537</v>
      </c>
      <c r="V436" s="3" t="s">
        <v>2276</v>
      </c>
      <c r="W436" s="4" t="s">
        <v>3697</v>
      </c>
    </row>
    <row r="437" spans="1:23" ht="49" customHeight="1">
      <c r="A437" s="3" t="s">
        <v>3716</v>
      </c>
      <c r="B437" s="3" t="s">
        <v>3720</v>
      </c>
      <c r="C437" s="3" t="s">
        <v>1105</v>
      </c>
      <c r="D437" s="3" t="s">
        <v>1105</v>
      </c>
      <c r="E437" s="3" t="s">
        <v>1105</v>
      </c>
      <c r="F437" s="3" t="s">
        <v>1105</v>
      </c>
      <c r="G437" s="3">
        <v>2000</v>
      </c>
      <c r="H437" s="4" t="s">
        <v>541</v>
      </c>
      <c r="I437" s="3" t="s">
        <v>2276</v>
      </c>
      <c r="J437" s="3" t="s">
        <v>2276</v>
      </c>
      <c r="K437" s="3" t="s">
        <v>2276</v>
      </c>
      <c r="L437" s="3" t="s">
        <v>2276</v>
      </c>
      <c r="M437" s="3" t="s">
        <v>2276</v>
      </c>
      <c r="N437" s="3" t="s">
        <v>2276</v>
      </c>
      <c r="O437" s="3" t="s">
        <v>2276</v>
      </c>
      <c r="P437" s="3" t="s">
        <v>2276</v>
      </c>
      <c r="Q437" s="3" t="s">
        <v>2276</v>
      </c>
      <c r="R437" s="3" t="s">
        <v>534</v>
      </c>
      <c r="S437" s="3" t="s">
        <v>2276</v>
      </c>
      <c r="T437" s="3" t="s">
        <v>2276</v>
      </c>
      <c r="U437" s="3" t="s">
        <v>2276</v>
      </c>
      <c r="V437">
        <v>2</v>
      </c>
      <c r="W437" s="4" t="s">
        <v>3730</v>
      </c>
    </row>
    <row r="438" spans="1:23" ht="42" customHeight="1">
      <c r="A438" s="3" t="s">
        <v>3716</v>
      </c>
      <c r="B438" s="3" t="s">
        <v>3721</v>
      </c>
      <c r="C438" s="3" t="s">
        <v>1105</v>
      </c>
      <c r="D438" s="3" t="s">
        <v>1105</v>
      </c>
      <c r="E438" s="3" t="s">
        <v>1105</v>
      </c>
      <c r="F438" s="3" t="s">
        <v>1105</v>
      </c>
      <c r="G438" s="3">
        <v>2006</v>
      </c>
      <c r="H438" s="4" t="s">
        <v>541</v>
      </c>
      <c r="I438" s="3" t="s">
        <v>2276</v>
      </c>
      <c r="J438" s="3" t="s">
        <v>2276</v>
      </c>
      <c r="K438" s="3" t="s">
        <v>2276</v>
      </c>
      <c r="L438" s="3" t="s">
        <v>2276</v>
      </c>
      <c r="M438" s="3" t="s">
        <v>2276</v>
      </c>
      <c r="N438" s="3" t="s">
        <v>2276</v>
      </c>
      <c r="O438" s="3" t="s">
        <v>2276</v>
      </c>
      <c r="P438" s="3" t="s">
        <v>2276</v>
      </c>
      <c r="Q438" s="3" t="s">
        <v>2276</v>
      </c>
      <c r="R438" s="3" t="s">
        <v>537</v>
      </c>
      <c r="S438" s="3" t="s">
        <v>2276</v>
      </c>
      <c r="T438" s="3" t="s">
        <v>2276</v>
      </c>
      <c r="U438" s="3" t="s">
        <v>2276</v>
      </c>
      <c r="V438" s="3" t="s">
        <v>2276</v>
      </c>
      <c r="W438" s="4" t="s">
        <v>3729</v>
      </c>
    </row>
    <row r="439" spans="1:23" ht="60.5" customHeight="1">
      <c r="A439" s="11" t="s">
        <v>3737</v>
      </c>
      <c r="B439" s="11" t="s">
        <v>3740</v>
      </c>
      <c r="C439" s="3" t="s">
        <v>24</v>
      </c>
      <c r="D439" s="3" t="s">
        <v>1105</v>
      </c>
      <c r="E439" s="4" t="s">
        <v>5005</v>
      </c>
      <c r="F439" s="3" t="s">
        <v>1105</v>
      </c>
      <c r="G439" s="3"/>
      <c r="H439" s="4" t="s">
        <v>541</v>
      </c>
      <c r="I439" s="3" t="s">
        <v>2276</v>
      </c>
      <c r="J439" s="3" t="s">
        <v>2276</v>
      </c>
      <c r="K439" s="3" t="s">
        <v>2276</v>
      </c>
      <c r="L439" s="3" t="s">
        <v>2276</v>
      </c>
      <c r="M439" s="3" t="s">
        <v>2276</v>
      </c>
      <c r="N439" s="3" t="s">
        <v>2276</v>
      </c>
      <c r="O439" s="3" t="s">
        <v>2276</v>
      </c>
      <c r="P439" s="3" t="s">
        <v>2276</v>
      </c>
      <c r="Q439" s="3" t="s">
        <v>2276</v>
      </c>
      <c r="R439" s="3" t="s">
        <v>534</v>
      </c>
      <c r="S439" s="3" t="s">
        <v>2276</v>
      </c>
      <c r="T439" s="3" t="s">
        <v>2276</v>
      </c>
      <c r="U439" s="3" t="s">
        <v>2276</v>
      </c>
      <c r="V439" s="3">
        <v>1</v>
      </c>
      <c r="W439" s="4" t="s">
        <v>3750</v>
      </c>
    </row>
    <row r="440" spans="1:23" ht="52" customHeight="1">
      <c r="A440" s="11" t="s">
        <v>3797</v>
      </c>
      <c r="B440" s="11" t="s">
        <v>3801</v>
      </c>
      <c r="C440" s="3" t="s">
        <v>24</v>
      </c>
      <c r="D440" s="3" t="s">
        <v>1105</v>
      </c>
      <c r="E440" s="3" t="s">
        <v>1105</v>
      </c>
      <c r="F440" s="3" t="s">
        <v>1105</v>
      </c>
      <c r="G440" s="3"/>
      <c r="H440" s="4" t="s">
        <v>541</v>
      </c>
      <c r="I440" s="3" t="s">
        <v>2276</v>
      </c>
      <c r="J440" s="3" t="s">
        <v>2276</v>
      </c>
      <c r="K440" s="3" t="s">
        <v>2276</v>
      </c>
      <c r="L440" s="3" t="s">
        <v>2276</v>
      </c>
      <c r="M440" s="3" t="s">
        <v>2276</v>
      </c>
      <c r="N440" s="3" t="s">
        <v>2276</v>
      </c>
      <c r="O440" s="3" t="s">
        <v>2276</v>
      </c>
      <c r="P440" s="3" t="s">
        <v>2276</v>
      </c>
      <c r="Q440" s="3" t="s">
        <v>2276</v>
      </c>
      <c r="R440" s="3" t="s">
        <v>534</v>
      </c>
      <c r="S440" s="3" t="s">
        <v>2276</v>
      </c>
      <c r="T440" s="3" t="s">
        <v>2276</v>
      </c>
      <c r="U440" s="3" t="s">
        <v>2276</v>
      </c>
      <c r="V440" s="3">
        <v>2</v>
      </c>
      <c r="W440" s="4" t="s">
        <v>3812</v>
      </c>
    </row>
    <row r="441" spans="1:23" ht="50" customHeight="1">
      <c r="A441" s="11" t="s">
        <v>3832</v>
      </c>
      <c r="B441" s="11" t="s">
        <v>3838</v>
      </c>
      <c r="C441" s="3" t="s">
        <v>24</v>
      </c>
      <c r="D441" s="4" t="s">
        <v>2804</v>
      </c>
      <c r="E441" s="4" t="s">
        <v>5005</v>
      </c>
      <c r="F441" s="4" t="s">
        <v>2662</v>
      </c>
      <c r="G441" s="3"/>
      <c r="H441" s="4" t="s">
        <v>541</v>
      </c>
      <c r="I441" s="3" t="s">
        <v>2690</v>
      </c>
      <c r="J441" s="3" t="s">
        <v>2276</v>
      </c>
      <c r="K441" s="3" t="s">
        <v>2276</v>
      </c>
      <c r="L441" s="3" t="s">
        <v>2276</v>
      </c>
      <c r="M441" s="3" t="s">
        <v>2276</v>
      </c>
      <c r="N441" s="3" t="s">
        <v>2276</v>
      </c>
      <c r="O441" s="3" t="s">
        <v>2276</v>
      </c>
      <c r="P441" s="3" t="s">
        <v>2276</v>
      </c>
      <c r="Q441" s="3" t="s">
        <v>2276</v>
      </c>
      <c r="R441" s="3" t="s">
        <v>2276</v>
      </c>
      <c r="S441" s="3" t="s">
        <v>2276</v>
      </c>
      <c r="T441" s="3" t="s">
        <v>2276</v>
      </c>
      <c r="U441" s="3" t="s">
        <v>2276</v>
      </c>
      <c r="V441" s="3" t="s">
        <v>2276</v>
      </c>
      <c r="W441" s="4" t="s">
        <v>3839</v>
      </c>
    </row>
    <row r="442" spans="1:23" ht="50" customHeight="1">
      <c r="A442" s="11" t="s">
        <v>3850</v>
      </c>
      <c r="B442" s="11" t="s">
        <v>3857</v>
      </c>
      <c r="C442" s="3" t="s">
        <v>24</v>
      </c>
      <c r="D442" s="3" t="s">
        <v>2660</v>
      </c>
      <c r="E442" s="3" t="s">
        <v>1105</v>
      </c>
      <c r="F442" s="4" t="s">
        <v>55</v>
      </c>
      <c r="G442" s="3"/>
      <c r="H442" s="4" t="s">
        <v>2673</v>
      </c>
      <c r="I442" s="3" t="s">
        <v>2276</v>
      </c>
      <c r="J442" s="3" t="s">
        <v>2276</v>
      </c>
      <c r="K442" s="3" t="s">
        <v>2276</v>
      </c>
      <c r="L442" s="3" t="s">
        <v>2276</v>
      </c>
      <c r="M442" s="3" t="s">
        <v>2276</v>
      </c>
      <c r="N442" s="3" t="s">
        <v>2276</v>
      </c>
      <c r="O442" s="3" t="s">
        <v>2276</v>
      </c>
      <c r="P442" s="3" t="s">
        <v>2276</v>
      </c>
      <c r="Q442" s="3" t="s">
        <v>2276</v>
      </c>
      <c r="R442" s="3" t="s">
        <v>534</v>
      </c>
      <c r="S442" s="3" t="s">
        <v>2276</v>
      </c>
      <c r="T442" s="3" t="s">
        <v>534</v>
      </c>
      <c r="U442" s="3" t="s">
        <v>2276</v>
      </c>
      <c r="V442" s="3">
        <v>4</v>
      </c>
      <c r="W442" s="4" t="s">
        <v>4127</v>
      </c>
    </row>
    <row r="443" spans="1:23" ht="82" customHeight="1">
      <c r="A443" s="11" t="s">
        <v>3930</v>
      </c>
      <c r="B443" s="3" t="s">
        <v>3947</v>
      </c>
      <c r="C443" s="3" t="s">
        <v>24</v>
      </c>
      <c r="D443" s="3" t="s">
        <v>1105</v>
      </c>
      <c r="E443" s="4" t="s">
        <v>5005</v>
      </c>
      <c r="F443" s="3" t="s">
        <v>1105</v>
      </c>
      <c r="G443" s="3"/>
      <c r="H443" s="4" t="s">
        <v>541</v>
      </c>
      <c r="I443" s="3" t="s">
        <v>2690</v>
      </c>
      <c r="J443" s="3" t="s">
        <v>534</v>
      </c>
      <c r="K443" s="3" t="s">
        <v>2276</v>
      </c>
      <c r="L443" s="3" t="s">
        <v>2276</v>
      </c>
      <c r="M443" s="3" t="s">
        <v>2276</v>
      </c>
      <c r="N443" s="3" t="s">
        <v>2276</v>
      </c>
      <c r="O443" s="3" t="s">
        <v>2276</v>
      </c>
      <c r="P443" s="3" t="s">
        <v>2276</v>
      </c>
      <c r="Q443" s="3" t="s">
        <v>2276</v>
      </c>
      <c r="R443" s="3" t="s">
        <v>2276</v>
      </c>
      <c r="S443" s="3" t="s">
        <v>2276</v>
      </c>
      <c r="T443" s="3" t="s">
        <v>2276</v>
      </c>
      <c r="U443" s="3" t="s">
        <v>2276</v>
      </c>
      <c r="V443" s="3" t="s">
        <v>2276</v>
      </c>
      <c r="W443" s="4" t="s">
        <v>3953</v>
      </c>
    </row>
    <row r="444" spans="1:23" ht="86" customHeight="1">
      <c r="A444" s="11" t="s">
        <v>3931</v>
      </c>
      <c r="B444" s="3" t="s">
        <v>3948</v>
      </c>
      <c r="C444" s="3" t="s">
        <v>24</v>
      </c>
      <c r="D444" s="3" t="s">
        <v>1105</v>
      </c>
      <c r="E444" s="4" t="s">
        <v>5005</v>
      </c>
      <c r="F444" s="3" t="s">
        <v>1105</v>
      </c>
      <c r="G444" s="3"/>
      <c r="H444" s="4" t="s">
        <v>541</v>
      </c>
      <c r="I444" s="3" t="s">
        <v>2690</v>
      </c>
      <c r="J444" s="3" t="s">
        <v>534</v>
      </c>
      <c r="K444" s="3" t="s">
        <v>2276</v>
      </c>
      <c r="L444" s="3" t="s">
        <v>2276</v>
      </c>
      <c r="M444" s="3" t="s">
        <v>2276</v>
      </c>
      <c r="N444" s="3" t="s">
        <v>2276</v>
      </c>
      <c r="O444" s="3" t="s">
        <v>2276</v>
      </c>
      <c r="P444" s="3" t="s">
        <v>2276</v>
      </c>
      <c r="Q444" s="3" t="s">
        <v>2276</v>
      </c>
      <c r="R444" s="3" t="s">
        <v>2276</v>
      </c>
      <c r="S444" s="3" t="s">
        <v>2276</v>
      </c>
      <c r="T444" s="3" t="s">
        <v>2276</v>
      </c>
      <c r="U444" s="3" t="s">
        <v>2276</v>
      </c>
      <c r="V444" s="3" t="s">
        <v>2276</v>
      </c>
      <c r="W444" s="4" t="s">
        <v>3953</v>
      </c>
    </row>
    <row r="445" spans="1:23" ht="79" customHeight="1">
      <c r="A445" s="11" t="s">
        <v>3932</v>
      </c>
      <c r="B445" s="3" t="s">
        <v>3949</v>
      </c>
      <c r="C445" s="3" t="s">
        <v>24</v>
      </c>
      <c r="D445" s="3" t="s">
        <v>1105</v>
      </c>
      <c r="E445" s="4" t="s">
        <v>5005</v>
      </c>
      <c r="F445" s="3" t="s">
        <v>1105</v>
      </c>
      <c r="G445" s="3"/>
      <c r="H445" s="4" t="s">
        <v>541</v>
      </c>
      <c r="I445" s="3" t="s">
        <v>2690</v>
      </c>
      <c r="J445" s="3" t="s">
        <v>534</v>
      </c>
      <c r="K445" s="3" t="s">
        <v>2276</v>
      </c>
      <c r="L445" s="3" t="s">
        <v>2276</v>
      </c>
      <c r="M445" s="3" t="s">
        <v>2276</v>
      </c>
      <c r="N445" s="3" t="s">
        <v>2276</v>
      </c>
      <c r="O445" s="3" t="s">
        <v>2276</v>
      </c>
      <c r="P445" s="3" t="s">
        <v>2276</v>
      </c>
      <c r="Q445" s="3" t="s">
        <v>2276</v>
      </c>
      <c r="R445" s="3" t="s">
        <v>2276</v>
      </c>
      <c r="S445" s="3" t="s">
        <v>2276</v>
      </c>
      <c r="T445" s="3" t="s">
        <v>2276</v>
      </c>
      <c r="U445" s="3" t="s">
        <v>2276</v>
      </c>
      <c r="V445" s="3" t="s">
        <v>2276</v>
      </c>
      <c r="W445" s="4" t="s">
        <v>3953</v>
      </c>
    </row>
    <row r="446" spans="1:23" ht="75.5" customHeight="1">
      <c r="A446" s="11" t="s">
        <v>3930</v>
      </c>
      <c r="B446" s="3" t="s">
        <v>3950</v>
      </c>
      <c r="C446" s="3" t="s">
        <v>24</v>
      </c>
      <c r="D446" s="3" t="s">
        <v>1105</v>
      </c>
      <c r="E446" s="4" t="s">
        <v>5005</v>
      </c>
      <c r="F446" s="3" t="s">
        <v>1105</v>
      </c>
      <c r="G446" s="3"/>
      <c r="H446" s="4" t="s">
        <v>541</v>
      </c>
      <c r="I446" s="3" t="s">
        <v>2691</v>
      </c>
      <c r="J446" s="3" t="s">
        <v>534</v>
      </c>
      <c r="K446" s="3" t="s">
        <v>2276</v>
      </c>
      <c r="L446" s="3" t="s">
        <v>2276</v>
      </c>
      <c r="M446" s="3" t="s">
        <v>2276</v>
      </c>
      <c r="N446" s="3" t="s">
        <v>2276</v>
      </c>
      <c r="O446" s="3" t="s">
        <v>2276</v>
      </c>
      <c r="P446" s="3" t="s">
        <v>2276</v>
      </c>
      <c r="Q446" s="3" t="s">
        <v>2276</v>
      </c>
      <c r="R446" s="3" t="s">
        <v>2276</v>
      </c>
      <c r="S446" s="3" t="s">
        <v>2276</v>
      </c>
      <c r="T446" s="3" t="s">
        <v>2276</v>
      </c>
      <c r="U446" s="3" t="s">
        <v>2276</v>
      </c>
      <c r="V446" s="3" t="s">
        <v>2276</v>
      </c>
      <c r="W446" s="4" t="s">
        <v>3953</v>
      </c>
    </row>
    <row r="447" spans="1:23" ht="84.5" customHeight="1">
      <c r="A447" s="11" t="s">
        <v>3931</v>
      </c>
      <c r="B447" s="3" t="s">
        <v>3951</v>
      </c>
      <c r="C447" s="3" t="s">
        <v>24</v>
      </c>
      <c r="D447" s="3" t="s">
        <v>1105</v>
      </c>
      <c r="E447" s="4" t="s">
        <v>5005</v>
      </c>
      <c r="F447" s="3" t="s">
        <v>1105</v>
      </c>
      <c r="G447" s="3"/>
      <c r="H447" s="4" t="s">
        <v>541</v>
      </c>
      <c r="I447" s="3" t="s">
        <v>2691</v>
      </c>
      <c r="J447" s="3" t="s">
        <v>534</v>
      </c>
      <c r="K447" s="3" t="s">
        <v>2276</v>
      </c>
      <c r="L447" s="3" t="s">
        <v>2276</v>
      </c>
      <c r="M447" s="3" t="s">
        <v>2276</v>
      </c>
      <c r="N447" s="3" t="s">
        <v>2276</v>
      </c>
      <c r="O447" s="3" t="s">
        <v>2276</v>
      </c>
      <c r="P447" s="3" t="s">
        <v>2276</v>
      </c>
      <c r="Q447" s="3" t="s">
        <v>2276</v>
      </c>
      <c r="R447" s="3" t="s">
        <v>2276</v>
      </c>
      <c r="S447" s="3" t="s">
        <v>2276</v>
      </c>
      <c r="T447" s="3" t="s">
        <v>2276</v>
      </c>
      <c r="U447" s="3" t="s">
        <v>2276</v>
      </c>
      <c r="V447" s="3" t="s">
        <v>2276</v>
      </c>
      <c r="W447" s="4" t="s">
        <v>3953</v>
      </c>
    </row>
    <row r="448" spans="1:23" ht="84" customHeight="1">
      <c r="A448" s="11" t="s">
        <v>3932</v>
      </c>
      <c r="B448" s="3" t="s">
        <v>3952</v>
      </c>
      <c r="C448" s="3" t="s">
        <v>24</v>
      </c>
      <c r="D448" s="3" t="s">
        <v>1105</v>
      </c>
      <c r="E448" s="4" t="s">
        <v>5005</v>
      </c>
      <c r="F448" s="3" t="s">
        <v>1105</v>
      </c>
      <c r="G448" s="3"/>
      <c r="H448" s="4" t="s">
        <v>541</v>
      </c>
      <c r="I448" s="3" t="s">
        <v>2691</v>
      </c>
      <c r="J448" s="3" t="s">
        <v>534</v>
      </c>
      <c r="K448" s="3" t="s">
        <v>2276</v>
      </c>
      <c r="L448" s="3" t="s">
        <v>2276</v>
      </c>
      <c r="M448" s="3" t="s">
        <v>2276</v>
      </c>
      <c r="N448" s="3" t="s">
        <v>2276</v>
      </c>
      <c r="O448" s="3" t="s">
        <v>2276</v>
      </c>
      <c r="P448" s="3" t="s">
        <v>2276</v>
      </c>
      <c r="Q448" s="3" t="s">
        <v>2276</v>
      </c>
      <c r="R448" s="3" t="s">
        <v>2276</v>
      </c>
      <c r="S448" s="3" t="s">
        <v>2276</v>
      </c>
      <c r="T448" s="3" t="s">
        <v>2276</v>
      </c>
      <c r="U448" s="3" t="s">
        <v>2276</v>
      </c>
      <c r="V448" s="3" t="s">
        <v>2276</v>
      </c>
      <c r="W448" s="4" t="s">
        <v>3953</v>
      </c>
    </row>
    <row r="449" spans="1:23" ht="69.5" customHeight="1">
      <c r="A449" s="11" t="s">
        <v>3972</v>
      </c>
      <c r="B449" s="11" t="s">
        <v>3976</v>
      </c>
      <c r="C449" s="3" t="s">
        <v>24</v>
      </c>
      <c r="D449" s="3" t="s">
        <v>3476</v>
      </c>
      <c r="E449" s="3" t="s">
        <v>116</v>
      </c>
      <c r="F449" s="3" t="s">
        <v>74</v>
      </c>
      <c r="G449" s="3"/>
      <c r="H449" s="4" t="s">
        <v>2673</v>
      </c>
      <c r="I449" s="3" t="s">
        <v>2276</v>
      </c>
      <c r="J449" s="3" t="s">
        <v>2276</v>
      </c>
      <c r="K449" s="3" t="s">
        <v>2276</v>
      </c>
      <c r="L449" s="3" t="s">
        <v>2276</v>
      </c>
      <c r="M449" s="3" t="s">
        <v>2276</v>
      </c>
      <c r="N449" s="3" t="s">
        <v>2276</v>
      </c>
      <c r="O449" s="3" t="s">
        <v>2276</v>
      </c>
      <c r="P449" s="3" t="s">
        <v>2276</v>
      </c>
      <c r="Q449" s="3" t="s">
        <v>2276</v>
      </c>
      <c r="R449" s="3" t="s">
        <v>534</v>
      </c>
      <c r="S449" s="3" t="s">
        <v>534</v>
      </c>
      <c r="T449" s="3" t="s">
        <v>534</v>
      </c>
      <c r="U449" s="3" t="s">
        <v>2276</v>
      </c>
      <c r="V449" s="3" t="s">
        <v>2276</v>
      </c>
      <c r="W449" s="4" t="s">
        <v>3986</v>
      </c>
    </row>
    <row r="450" spans="1:23" ht="98" customHeight="1">
      <c r="A450" s="11" t="s">
        <v>3972</v>
      </c>
      <c r="B450" s="11" t="s">
        <v>3978</v>
      </c>
      <c r="C450" s="3" t="s">
        <v>24</v>
      </c>
      <c r="D450" s="3" t="s">
        <v>3476</v>
      </c>
      <c r="E450" s="3" t="s">
        <v>116</v>
      </c>
      <c r="F450" s="4" t="s">
        <v>2662</v>
      </c>
      <c r="G450" s="3"/>
      <c r="H450" s="4" t="s">
        <v>2673</v>
      </c>
      <c r="I450" s="3" t="s">
        <v>2276</v>
      </c>
      <c r="J450" s="3" t="s">
        <v>2276</v>
      </c>
      <c r="K450" s="3" t="s">
        <v>2276</v>
      </c>
      <c r="L450" s="3" t="s">
        <v>2276</v>
      </c>
      <c r="M450" s="3" t="s">
        <v>2669</v>
      </c>
      <c r="N450" s="3" t="s">
        <v>534</v>
      </c>
      <c r="O450" s="3" t="s">
        <v>534</v>
      </c>
      <c r="P450" s="3" t="s">
        <v>2276</v>
      </c>
      <c r="Q450" s="3" t="s">
        <v>2276</v>
      </c>
      <c r="R450" s="3" t="s">
        <v>537</v>
      </c>
      <c r="S450" s="3" t="s">
        <v>2276</v>
      </c>
      <c r="T450" s="3" t="s">
        <v>2276</v>
      </c>
      <c r="U450" s="3" t="s">
        <v>2276</v>
      </c>
      <c r="V450" s="3" t="s">
        <v>2276</v>
      </c>
      <c r="W450" s="4" t="s">
        <v>3987</v>
      </c>
    </row>
    <row r="451" spans="1:23" ht="67.5" customHeight="1">
      <c r="A451" s="11" t="s">
        <v>3972</v>
      </c>
      <c r="B451" s="11" t="s">
        <v>3983</v>
      </c>
      <c r="C451" s="3" t="s">
        <v>24</v>
      </c>
      <c r="D451" s="3" t="s">
        <v>26</v>
      </c>
      <c r="E451" s="3" t="s">
        <v>5005</v>
      </c>
      <c r="F451" s="4" t="s">
        <v>1105</v>
      </c>
      <c r="G451" s="3"/>
      <c r="H451" s="4" t="s">
        <v>2673</v>
      </c>
      <c r="I451" s="3" t="s">
        <v>2276</v>
      </c>
      <c r="J451" s="3" t="s">
        <v>2276</v>
      </c>
      <c r="K451" s="3" t="s">
        <v>2276</v>
      </c>
      <c r="L451" s="3" t="s">
        <v>2276</v>
      </c>
      <c r="M451" s="3" t="s">
        <v>2276</v>
      </c>
      <c r="N451" s="3" t="s">
        <v>2276</v>
      </c>
      <c r="O451" s="3" t="s">
        <v>2276</v>
      </c>
      <c r="P451" s="3" t="s">
        <v>2276</v>
      </c>
      <c r="Q451" s="3" t="s">
        <v>2276</v>
      </c>
      <c r="R451" s="3" t="s">
        <v>2276</v>
      </c>
      <c r="S451" s="3" t="s">
        <v>2276</v>
      </c>
      <c r="T451" s="3" t="s">
        <v>2276</v>
      </c>
      <c r="U451" s="3" t="s">
        <v>2276</v>
      </c>
      <c r="V451" s="3" t="s">
        <v>2276</v>
      </c>
      <c r="W451" s="4" t="s">
        <v>3986</v>
      </c>
    </row>
    <row r="452" spans="1:23" ht="67.5" customHeight="1">
      <c r="A452" s="11" t="s">
        <v>3972</v>
      </c>
      <c r="B452" s="11" t="s">
        <v>3984</v>
      </c>
      <c r="C452" s="3" t="s">
        <v>24</v>
      </c>
      <c r="D452" s="3" t="s">
        <v>26</v>
      </c>
      <c r="E452" s="3" t="s">
        <v>45</v>
      </c>
      <c r="F452" s="4" t="s">
        <v>1105</v>
      </c>
      <c r="G452" s="3"/>
      <c r="H452" s="4" t="s">
        <v>2673</v>
      </c>
      <c r="I452" s="3" t="s">
        <v>2276</v>
      </c>
      <c r="J452" s="3" t="s">
        <v>2276</v>
      </c>
      <c r="K452" s="3" t="s">
        <v>2276</v>
      </c>
      <c r="L452" s="3" t="s">
        <v>2276</v>
      </c>
      <c r="M452" s="3" t="s">
        <v>2276</v>
      </c>
      <c r="N452" s="3" t="s">
        <v>2276</v>
      </c>
      <c r="O452" s="3" t="s">
        <v>2276</v>
      </c>
      <c r="P452" s="3" t="s">
        <v>2276</v>
      </c>
      <c r="Q452" s="3" t="s">
        <v>2276</v>
      </c>
      <c r="R452" s="3" t="s">
        <v>534</v>
      </c>
      <c r="S452" s="3" t="s">
        <v>2276</v>
      </c>
      <c r="T452" s="3" t="s">
        <v>2276</v>
      </c>
      <c r="U452" s="3" t="s">
        <v>2276</v>
      </c>
      <c r="V452" s="3" t="s">
        <v>2276</v>
      </c>
      <c r="W452" s="4" t="s">
        <v>3986</v>
      </c>
    </row>
    <row r="453" spans="1:23" ht="40" customHeight="1">
      <c r="A453" s="11" t="s">
        <v>3989</v>
      </c>
      <c r="B453" s="11" t="s">
        <v>3997</v>
      </c>
      <c r="C453" s="3" t="s">
        <v>24</v>
      </c>
      <c r="D453" s="3" t="s">
        <v>1105</v>
      </c>
      <c r="E453" s="3" t="s">
        <v>5005</v>
      </c>
      <c r="F453" s="3" t="s">
        <v>1105</v>
      </c>
      <c r="G453" s="3"/>
      <c r="H453" s="4" t="s">
        <v>541</v>
      </c>
      <c r="I453" s="3" t="s">
        <v>2690</v>
      </c>
      <c r="J453" s="3" t="s">
        <v>2276</v>
      </c>
      <c r="K453" s="3" t="s">
        <v>2276</v>
      </c>
      <c r="L453" s="3" t="s">
        <v>2276</v>
      </c>
      <c r="M453" s="3" t="s">
        <v>2276</v>
      </c>
      <c r="N453" s="3" t="s">
        <v>2276</v>
      </c>
      <c r="O453" s="3" t="s">
        <v>2276</v>
      </c>
      <c r="P453" s="3" t="s">
        <v>2276</v>
      </c>
      <c r="Q453" s="3" t="s">
        <v>2276</v>
      </c>
      <c r="R453" s="3" t="s">
        <v>534</v>
      </c>
      <c r="S453" s="3" t="s">
        <v>2276</v>
      </c>
      <c r="T453" s="3" t="s">
        <v>2276</v>
      </c>
      <c r="U453" s="3" t="s">
        <v>2276</v>
      </c>
      <c r="V453" s="3" t="s">
        <v>2276</v>
      </c>
      <c r="W453" s="4" t="s">
        <v>4000</v>
      </c>
    </row>
    <row r="454" spans="1:23" ht="40" customHeight="1">
      <c r="A454" s="11" t="s">
        <v>3990</v>
      </c>
      <c r="B454" s="11" t="s">
        <v>3998</v>
      </c>
      <c r="C454" s="3" t="s">
        <v>24</v>
      </c>
      <c r="D454" s="3" t="s">
        <v>1105</v>
      </c>
      <c r="E454" s="3" t="s">
        <v>5005</v>
      </c>
      <c r="F454" s="3" t="s">
        <v>1105</v>
      </c>
      <c r="G454" s="3"/>
      <c r="H454" s="4" t="s">
        <v>541</v>
      </c>
      <c r="I454" s="3" t="s">
        <v>2690</v>
      </c>
      <c r="J454" s="3" t="s">
        <v>2276</v>
      </c>
      <c r="K454" s="3" t="s">
        <v>2276</v>
      </c>
      <c r="L454" s="3" t="s">
        <v>2276</v>
      </c>
      <c r="M454" s="3" t="s">
        <v>2276</v>
      </c>
      <c r="N454" s="3" t="s">
        <v>2276</v>
      </c>
      <c r="O454" s="3" t="s">
        <v>2276</v>
      </c>
      <c r="P454" s="3" t="s">
        <v>2276</v>
      </c>
      <c r="Q454" s="3" t="s">
        <v>2276</v>
      </c>
      <c r="R454" s="3" t="s">
        <v>534</v>
      </c>
      <c r="S454" s="3" t="s">
        <v>2276</v>
      </c>
      <c r="T454" s="3" t="s">
        <v>2276</v>
      </c>
      <c r="U454" s="3" t="s">
        <v>2276</v>
      </c>
      <c r="V454" s="3" t="s">
        <v>2276</v>
      </c>
      <c r="W454" s="4" t="s">
        <v>4000</v>
      </c>
    </row>
    <row r="455" spans="1:23" ht="40" customHeight="1">
      <c r="A455" s="11" t="s">
        <v>3995</v>
      </c>
      <c r="B455" s="11" t="s">
        <v>3999</v>
      </c>
      <c r="C455" s="3" t="s">
        <v>24</v>
      </c>
      <c r="D455" s="3" t="s">
        <v>1105</v>
      </c>
      <c r="E455" s="3" t="s">
        <v>5005</v>
      </c>
      <c r="F455" s="3" t="s">
        <v>1105</v>
      </c>
      <c r="G455" s="3"/>
      <c r="H455" s="4" t="s">
        <v>541</v>
      </c>
      <c r="I455" s="3" t="s">
        <v>2690</v>
      </c>
      <c r="J455" s="3" t="s">
        <v>2276</v>
      </c>
      <c r="K455" s="3" t="s">
        <v>2276</v>
      </c>
      <c r="L455" s="3" t="s">
        <v>2276</v>
      </c>
      <c r="M455" s="3" t="s">
        <v>2276</v>
      </c>
      <c r="N455" s="3" t="s">
        <v>2276</v>
      </c>
      <c r="O455" s="3" t="s">
        <v>2276</v>
      </c>
      <c r="P455" s="3" t="s">
        <v>2276</v>
      </c>
      <c r="Q455" s="3" t="s">
        <v>2276</v>
      </c>
      <c r="R455" s="3" t="s">
        <v>534</v>
      </c>
      <c r="S455" s="3" t="s">
        <v>2276</v>
      </c>
      <c r="T455" s="3" t="s">
        <v>2276</v>
      </c>
      <c r="U455" s="3" t="s">
        <v>2276</v>
      </c>
      <c r="V455" s="3" t="s">
        <v>2276</v>
      </c>
      <c r="W455" s="4" t="s">
        <v>4000</v>
      </c>
    </row>
    <row r="456" spans="1:23" ht="83" customHeight="1">
      <c r="A456" s="23" t="s">
        <v>4048</v>
      </c>
      <c r="B456" s="11" t="s">
        <v>4049</v>
      </c>
      <c r="C456" s="3" t="s">
        <v>1105</v>
      </c>
      <c r="D456" s="3" t="s">
        <v>2276</v>
      </c>
      <c r="E456" s="3" t="s">
        <v>2276</v>
      </c>
      <c r="F456" s="4" t="s">
        <v>2662</v>
      </c>
      <c r="G456" s="3">
        <v>1992</v>
      </c>
      <c r="H456" s="4" t="s">
        <v>4077</v>
      </c>
      <c r="I456" s="3" t="s">
        <v>2691</v>
      </c>
      <c r="J456" s="3" t="s">
        <v>534</v>
      </c>
      <c r="K456" s="3" t="s">
        <v>2276</v>
      </c>
      <c r="L456" s="3" t="s">
        <v>2276</v>
      </c>
      <c r="M456" s="3" t="s">
        <v>2276</v>
      </c>
      <c r="N456" s="3" t="s">
        <v>2276</v>
      </c>
      <c r="O456" s="3" t="s">
        <v>2276</v>
      </c>
      <c r="P456" s="3" t="s">
        <v>2276</v>
      </c>
      <c r="Q456" s="3" t="s">
        <v>2276</v>
      </c>
      <c r="R456" s="3" t="s">
        <v>2276</v>
      </c>
      <c r="S456" s="3" t="s">
        <v>2276</v>
      </c>
      <c r="T456" s="3" t="s">
        <v>2276</v>
      </c>
      <c r="U456" s="3" t="s">
        <v>2276</v>
      </c>
      <c r="V456" s="3" t="s">
        <v>2276</v>
      </c>
      <c r="W456" s="4" t="s">
        <v>4078</v>
      </c>
    </row>
    <row r="457" spans="1:23" ht="83" customHeight="1">
      <c r="A457" s="23" t="s">
        <v>4059</v>
      </c>
      <c r="B457" s="11" t="s">
        <v>4072</v>
      </c>
      <c r="C457" s="3" t="s">
        <v>1105</v>
      </c>
      <c r="D457" s="3" t="s">
        <v>2276</v>
      </c>
      <c r="E457" s="3" t="s">
        <v>2276</v>
      </c>
      <c r="F457" s="4" t="s">
        <v>2662</v>
      </c>
      <c r="G457" s="3">
        <v>1992</v>
      </c>
      <c r="H457" s="4" t="s">
        <v>4077</v>
      </c>
      <c r="I457" s="3" t="s">
        <v>2691</v>
      </c>
      <c r="J457" s="3" t="s">
        <v>534</v>
      </c>
      <c r="K457" s="3" t="s">
        <v>2276</v>
      </c>
      <c r="L457" s="3" t="s">
        <v>2276</v>
      </c>
      <c r="M457" s="3" t="s">
        <v>2276</v>
      </c>
      <c r="N457" s="3" t="s">
        <v>2276</v>
      </c>
      <c r="O457" s="3" t="s">
        <v>2276</v>
      </c>
      <c r="P457" s="3" t="s">
        <v>2276</v>
      </c>
      <c r="Q457" s="3" t="s">
        <v>2276</v>
      </c>
      <c r="R457" s="3" t="s">
        <v>2276</v>
      </c>
      <c r="S457" s="3" t="s">
        <v>2276</v>
      </c>
      <c r="T457" s="3" t="s">
        <v>2276</v>
      </c>
      <c r="U457" s="3" t="s">
        <v>2276</v>
      </c>
      <c r="V457" s="3" t="s">
        <v>2276</v>
      </c>
      <c r="W457" s="4" t="s">
        <v>4078</v>
      </c>
    </row>
    <row r="458" spans="1:23" ht="83" customHeight="1">
      <c r="A458" s="23" t="s">
        <v>4060</v>
      </c>
      <c r="B458" s="11" t="s">
        <v>4073</v>
      </c>
      <c r="C458" s="3" t="s">
        <v>1105</v>
      </c>
      <c r="D458" s="3" t="s">
        <v>2276</v>
      </c>
      <c r="E458" s="3" t="s">
        <v>2276</v>
      </c>
      <c r="F458" s="4" t="s">
        <v>2662</v>
      </c>
      <c r="G458" s="3">
        <v>1992</v>
      </c>
      <c r="H458" s="4" t="s">
        <v>4077</v>
      </c>
      <c r="I458" s="3" t="s">
        <v>2691</v>
      </c>
      <c r="J458" s="3" t="s">
        <v>534</v>
      </c>
      <c r="K458" s="3" t="s">
        <v>2276</v>
      </c>
      <c r="L458" s="3" t="s">
        <v>2276</v>
      </c>
      <c r="M458" s="3" t="s">
        <v>2276</v>
      </c>
      <c r="N458" s="3" t="s">
        <v>2276</v>
      </c>
      <c r="O458" s="3" t="s">
        <v>2276</v>
      </c>
      <c r="P458" s="3" t="s">
        <v>2276</v>
      </c>
      <c r="Q458" s="3" t="s">
        <v>2276</v>
      </c>
      <c r="R458" s="3" t="s">
        <v>2276</v>
      </c>
      <c r="S458" s="3" t="s">
        <v>2276</v>
      </c>
      <c r="T458" s="3" t="s">
        <v>2276</v>
      </c>
      <c r="U458" s="3" t="s">
        <v>2276</v>
      </c>
      <c r="V458" s="3" t="s">
        <v>2276</v>
      </c>
      <c r="W458" s="4" t="s">
        <v>4078</v>
      </c>
    </row>
    <row r="459" spans="1:23" ht="83" customHeight="1">
      <c r="A459" s="23" t="s">
        <v>4061</v>
      </c>
      <c r="B459" s="11" t="s">
        <v>4074</v>
      </c>
      <c r="C459" s="3" t="s">
        <v>1105</v>
      </c>
      <c r="D459" s="3" t="s">
        <v>2276</v>
      </c>
      <c r="E459" s="3" t="s">
        <v>2276</v>
      </c>
      <c r="F459" s="4" t="s">
        <v>2662</v>
      </c>
      <c r="G459" s="3">
        <v>1992</v>
      </c>
      <c r="H459" s="4" t="s">
        <v>4077</v>
      </c>
      <c r="I459" s="3" t="s">
        <v>2691</v>
      </c>
      <c r="J459" s="3" t="s">
        <v>534</v>
      </c>
      <c r="K459" s="3" t="s">
        <v>2276</v>
      </c>
      <c r="L459" s="3" t="s">
        <v>2276</v>
      </c>
      <c r="M459" s="3" t="s">
        <v>2276</v>
      </c>
      <c r="N459" s="3" t="s">
        <v>2276</v>
      </c>
      <c r="O459" s="3" t="s">
        <v>2276</v>
      </c>
      <c r="P459" s="3" t="s">
        <v>2276</v>
      </c>
      <c r="Q459" s="3" t="s">
        <v>2276</v>
      </c>
      <c r="R459" s="3" t="s">
        <v>2276</v>
      </c>
      <c r="S459" s="3" t="s">
        <v>2276</v>
      </c>
      <c r="T459" s="3" t="s">
        <v>2276</v>
      </c>
      <c r="U459" s="3" t="s">
        <v>2276</v>
      </c>
      <c r="V459" s="3" t="s">
        <v>2276</v>
      </c>
      <c r="W459" s="4" t="s">
        <v>4078</v>
      </c>
    </row>
    <row r="460" spans="1:23" ht="83" customHeight="1">
      <c r="A460" s="23" t="s">
        <v>4062</v>
      </c>
      <c r="B460" s="11" t="s">
        <v>4075</v>
      </c>
      <c r="C460" s="3" t="s">
        <v>1105</v>
      </c>
      <c r="D460" s="3" t="s">
        <v>2276</v>
      </c>
      <c r="E460" s="3" t="s">
        <v>2276</v>
      </c>
      <c r="F460" s="4" t="s">
        <v>2662</v>
      </c>
      <c r="G460" s="3">
        <v>1992</v>
      </c>
      <c r="H460" s="4" t="s">
        <v>4077</v>
      </c>
      <c r="I460" s="3" t="s">
        <v>2691</v>
      </c>
      <c r="J460" s="3" t="s">
        <v>534</v>
      </c>
      <c r="K460" s="3" t="s">
        <v>2276</v>
      </c>
      <c r="L460" s="3" t="s">
        <v>2276</v>
      </c>
      <c r="M460" s="3" t="s">
        <v>2276</v>
      </c>
      <c r="N460" s="3" t="s">
        <v>2276</v>
      </c>
      <c r="O460" s="3" t="s">
        <v>2276</v>
      </c>
      <c r="P460" s="3" t="s">
        <v>2276</v>
      </c>
      <c r="Q460" s="3" t="s">
        <v>2276</v>
      </c>
      <c r="R460" s="3" t="s">
        <v>2276</v>
      </c>
      <c r="S460" s="3" t="s">
        <v>2276</v>
      </c>
      <c r="T460" s="3" t="s">
        <v>2276</v>
      </c>
      <c r="U460" s="3" t="s">
        <v>2276</v>
      </c>
      <c r="V460" s="3" t="s">
        <v>2276</v>
      </c>
      <c r="W460" s="4" t="s">
        <v>4078</v>
      </c>
    </row>
    <row r="461" spans="1:23" ht="83" customHeight="1">
      <c r="A461" s="23" t="s">
        <v>4063</v>
      </c>
      <c r="B461" s="11" t="s">
        <v>4066</v>
      </c>
      <c r="C461" s="3" t="s">
        <v>1105</v>
      </c>
      <c r="D461" s="3" t="s">
        <v>2276</v>
      </c>
      <c r="E461" s="3" t="s">
        <v>2276</v>
      </c>
      <c r="F461" s="4" t="s">
        <v>2662</v>
      </c>
      <c r="G461" s="3">
        <v>1992</v>
      </c>
      <c r="H461" s="4" t="s">
        <v>4077</v>
      </c>
      <c r="I461" s="3" t="s">
        <v>2691</v>
      </c>
      <c r="J461" s="3" t="s">
        <v>534</v>
      </c>
      <c r="K461" s="3" t="s">
        <v>2276</v>
      </c>
      <c r="L461" s="3" t="s">
        <v>2276</v>
      </c>
      <c r="M461" s="3" t="s">
        <v>2276</v>
      </c>
      <c r="N461" s="3" t="s">
        <v>2276</v>
      </c>
      <c r="O461" s="3" t="s">
        <v>2276</v>
      </c>
      <c r="P461" s="3" t="s">
        <v>2276</v>
      </c>
      <c r="Q461" s="3" t="s">
        <v>2276</v>
      </c>
      <c r="R461" s="3" t="s">
        <v>2276</v>
      </c>
      <c r="S461" s="3" t="s">
        <v>2276</v>
      </c>
      <c r="T461" s="3" t="s">
        <v>2276</v>
      </c>
      <c r="U461" s="3" t="s">
        <v>2276</v>
      </c>
      <c r="V461" s="3" t="s">
        <v>2276</v>
      </c>
      <c r="W461" s="4" t="s">
        <v>4078</v>
      </c>
    </row>
    <row r="462" spans="1:23" ht="44.5" customHeight="1">
      <c r="A462" s="23" t="s">
        <v>4048</v>
      </c>
      <c r="B462" s="11" t="s">
        <v>4067</v>
      </c>
      <c r="C462" s="3" t="s">
        <v>1105</v>
      </c>
      <c r="D462" s="3" t="s">
        <v>2276</v>
      </c>
      <c r="E462" s="3" t="s">
        <v>2276</v>
      </c>
      <c r="F462" s="4" t="s">
        <v>2662</v>
      </c>
      <c r="G462" s="11">
        <v>2005</v>
      </c>
      <c r="H462" s="4" t="s">
        <v>4077</v>
      </c>
      <c r="I462" s="3" t="s">
        <v>2690</v>
      </c>
      <c r="J462" s="3" t="s">
        <v>534</v>
      </c>
      <c r="K462" s="3" t="s">
        <v>2276</v>
      </c>
      <c r="L462" s="3" t="s">
        <v>2276</v>
      </c>
      <c r="M462" s="3" t="s">
        <v>2276</v>
      </c>
      <c r="N462" s="3" t="s">
        <v>2276</v>
      </c>
      <c r="O462" s="3" t="s">
        <v>2276</v>
      </c>
      <c r="P462" s="3" t="s">
        <v>2276</v>
      </c>
      <c r="Q462" s="3" t="s">
        <v>2276</v>
      </c>
      <c r="R462" s="3" t="s">
        <v>2276</v>
      </c>
      <c r="S462" s="3" t="s">
        <v>2276</v>
      </c>
      <c r="T462" s="3" t="s">
        <v>2276</v>
      </c>
      <c r="U462" s="3" t="s">
        <v>2276</v>
      </c>
      <c r="V462" s="3" t="s">
        <v>2276</v>
      </c>
      <c r="W462" s="4" t="s">
        <v>4084</v>
      </c>
    </row>
    <row r="463" spans="1:23" ht="44.5" customHeight="1">
      <c r="A463" s="23" t="s">
        <v>4059</v>
      </c>
      <c r="B463" s="11" t="s">
        <v>4079</v>
      </c>
      <c r="C463" s="3" t="s">
        <v>1105</v>
      </c>
      <c r="D463" s="3" t="s">
        <v>2276</v>
      </c>
      <c r="E463" s="3" t="s">
        <v>2276</v>
      </c>
      <c r="F463" s="4" t="s">
        <v>2662</v>
      </c>
      <c r="G463" s="11">
        <v>2005</v>
      </c>
      <c r="H463" s="4" t="s">
        <v>4077</v>
      </c>
      <c r="I463" s="3" t="s">
        <v>2690</v>
      </c>
      <c r="J463" s="3" t="s">
        <v>534</v>
      </c>
      <c r="K463" s="3" t="s">
        <v>2276</v>
      </c>
      <c r="L463" s="3" t="s">
        <v>2276</v>
      </c>
      <c r="M463" s="3" t="s">
        <v>2276</v>
      </c>
      <c r="N463" s="3" t="s">
        <v>2276</v>
      </c>
      <c r="O463" s="3" t="s">
        <v>2276</v>
      </c>
      <c r="P463" s="3" t="s">
        <v>2276</v>
      </c>
      <c r="Q463" s="3" t="s">
        <v>2276</v>
      </c>
      <c r="R463" s="3" t="s">
        <v>2276</v>
      </c>
      <c r="S463" s="3" t="s">
        <v>2276</v>
      </c>
      <c r="T463" s="3" t="s">
        <v>2276</v>
      </c>
      <c r="U463" s="3" t="s">
        <v>2276</v>
      </c>
      <c r="V463" s="3" t="s">
        <v>2276</v>
      </c>
      <c r="W463" s="4" t="s">
        <v>4084</v>
      </c>
    </row>
    <row r="464" spans="1:23" ht="44.5" customHeight="1">
      <c r="A464" s="23" t="s">
        <v>4060</v>
      </c>
      <c r="B464" s="11" t="s">
        <v>4080</v>
      </c>
      <c r="C464" s="3" t="s">
        <v>1105</v>
      </c>
      <c r="D464" s="3" t="s">
        <v>2276</v>
      </c>
      <c r="E464" s="3" t="s">
        <v>2276</v>
      </c>
      <c r="F464" s="4" t="s">
        <v>2662</v>
      </c>
      <c r="G464" s="11">
        <v>2005</v>
      </c>
      <c r="H464" s="4" t="s">
        <v>4077</v>
      </c>
      <c r="I464" s="3" t="s">
        <v>2690</v>
      </c>
      <c r="J464" s="3" t="s">
        <v>534</v>
      </c>
      <c r="K464" s="3" t="s">
        <v>2276</v>
      </c>
      <c r="L464" s="3" t="s">
        <v>2276</v>
      </c>
      <c r="M464" s="3" t="s">
        <v>2276</v>
      </c>
      <c r="N464" s="3" t="s">
        <v>2276</v>
      </c>
      <c r="O464" s="3" t="s">
        <v>2276</v>
      </c>
      <c r="P464" s="3" t="s">
        <v>2276</v>
      </c>
      <c r="Q464" s="3" t="s">
        <v>2276</v>
      </c>
      <c r="R464" s="3" t="s">
        <v>2276</v>
      </c>
      <c r="S464" s="3" t="s">
        <v>2276</v>
      </c>
      <c r="T464" s="3" t="s">
        <v>2276</v>
      </c>
      <c r="U464" s="3" t="s">
        <v>2276</v>
      </c>
      <c r="V464" s="3" t="s">
        <v>2276</v>
      </c>
      <c r="W464" s="4" t="s">
        <v>4084</v>
      </c>
    </row>
    <row r="465" spans="1:23" ht="44.5" customHeight="1">
      <c r="A465" s="23" t="s">
        <v>4061</v>
      </c>
      <c r="B465" s="11" t="s">
        <v>4081</v>
      </c>
      <c r="C465" s="3" t="s">
        <v>1105</v>
      </c>
      <c r="D465" s="3" t="s">
        <v>2276</v>
      </c>
      <c r="E465" s="3" t="s">
        <v>2276</v>
      </c>
      <c r="F465" s="4" t="s">
        <v>2662</v>
      </c>
      <c r="G465" s="11">
        <v>2005</v>
      </c>
      <c r="H465" s="4" t="s">
        <v>4077</v>
      </c>
      <c r="I465" s="3" t="s">
        <v>2690</v>
      </c>
      <c r="J465" s="3" t="s">
        <v>534</v>
      </c>
      <c r="K465" s="3" t="s">
        <v>2276</v>
      </c>
      <c r="L465" s="3" t="s">
        <v>2276</v>
      </c>
      <c r="M465" s="3" t="s">
        <v>2276</v>
      </c>
      <c r="N465" s="3" t="s">
        <v>2276</v>
      </c>
      <c r="O465" s="3" t="s">
        <v>2276</v>
      </c>
      <c r="P465" s="3" t="s">
        <v>2276</v>
      </c>
      <c r="Q465" s="3" t="s">
        <v>2276</v>
      </c>
      <c r="R465" s="3" t="s">
        <v>2276</v>
      </c>
      <c r="S465" s="3" t="s">
        <v>2276</v>
      </c>
      <c r="T465" s="3" t="s">
        <v>2276</v>
      </c>
      <c r="U465" s="3" t="s">
        <v>2276</v>
      </c>
      <c r="V465" s="3" t="s">
        <v>2276</v>
      </c>
      <c r="W465" s="4" t="s">
        <v>4084</v>
      </c>
    </row>
    <row r="466" spans="1:23" ht="44.5" customHeight="1">
      <c r="A466" s="23" t="s">
        <v>4062</v>
      </c>
      <c r="B466" s="11" t="s">
        <v>4082</v>
      </c>
      <c r="C466" s="3" t="s">
        <v>1105</v>
      </c>
      <c r="D466" s="3" t="s">
        <v>2276</v>
      </c>
      <c r="E466" s="3" t="s">
        <v>2276</v>
      </c>
      <c r="F466" s="4" t="s">
        <v>2662</v>
      </c>
      <c r="G466" s="11">
        <v>2005</v>
      </c>
      <c r="H466" s="4" t="s">
        <v>4077</v>
      </c>
      <c r="I466" s="3" t="s">
        <v>2690</v>
      </c>
      <c r="J466" s="3" t="s">
        <v>534</v>
      </c>
      <c r="K466" s="3" t="s">
        <v>2276</v>
      </c>
      <c r="L466" s="3" t="s">
        <v>2276</v>
      </c>
      <c r="M466" s="3" t="s">
        <v>2276</v>
      </c>
      <c r="N466" s="3" t="s">
        <v>2276</v>
      </c>
      <c r="O466" s="3" t="s">
        <v>2276</v>
      </c>
      <c r="P466" s="3" t="s">
        <v>2276</v>
      </c>
      <c r="Q466" s="3" t="s">
        <v>2276</v>
      </c>
      <c r="R466" s="3" t="s">
        <v>2276</v>
      </c>
      <c r="S466" s="3" t="s">
        <v>2276</v>
      </c>
      <c r="T466" s="3" t="s">
        <v>2276</v>
      </c>
      <c r="U466" s="3" t="s">
        <v>2276</v>
      </c>
      <c r="V466" s="3" t="s">
        <v>2276</v>
      </c>
      <c r="W466" s="4" t="s">
        <v>4084</v>
      </c>
    </row>
    <row r="467" spans="1:23" ht="44.5" customHeight="1">
      <c r="A467" s="23" t="s">
        <v>4063</v>
      </c>
      <c r="B467" s="11" t="s">
        <v>4068</v>
      </c>
      <c r="C467" s="3" t="s">
        <v>1105</v>
      </c>
      <c r="D467" s="3" t="s">
        <v>2276</v>
      </c>
      <c r="E467" s="3" t="s">
        <v>2276</v>
      </c>
      <c r="F467" s="4" t="s">
        <v>2662</v>
      </c>
      <c r="G467" s="11">
        <v>2005</v>
      </c>
      <c r="H467" s="4" t="s">
        <v>4077</v>
      </c>
      <c r="I467" s="3" t="s">
        <v>2690</v>
      </c>
      <c r="J467" s="3" t="s">
        <v>534</v>
      </c>
      <c r="K467" s="3" t="s">
        <v>2276</v>
      </c>
      <c r="L467" s="3" t="s">
        <v>2276</v>
      </c>
      <c r="M467" s="3" t="s">
        <v>2276</v>
      </c>
      <c r="N467" s="3" t="s">
        <v>2276</v>
      </c>
      <c r="O467" s="3" t="s">
        <v>2276</v>
      </c>
      <c r="P467" s="3" t="s">
        <v>2276</v>
      </c>
      <c r="Q467" s="3" t="s">
        <v>2276</v>
      </c>
      <c r="R467" s="3" t="s">
        <v>2276</v>
      </c>
      <c r="S467" s="3" t="s">
        <v>2276</v>
      </c>
      <c r="T467" s="3" t="s">
        <v>2276</v>
      </c>
      <c r="U467" s="3" t="s">
        <v>2276</v>
      </c>
      <c r="V467" s="3" t="s">
        <v>2276</v>
      </c>
      <c r="W467" s="4" t="s">
        <v>4084</v>
      </c>
    </row>
    <row r="468" spans="1:23" ht="40" customHeight="1">
      <c r="A468" s="11" t="s">
        <v>4108</v>
      </c>
      <c r="B468" s="3" t="s">
        <v>4118</v>
      </c>
      <c r="C468" s="3" t="s">
        <v>24</v>
      </c>
      <c r="D468" s="3" t="s">
        <v>2660</v>
      </c>
      <c r="E468" s="4" t="s">
        <v>5005</v>
      </c>
      <c r="F468" s="3" t="s">
        <v>55</v>
      </c>
      <c r="G468" s="3"/>
      <c r="H468" s="4" t="s">
        <v>2673</v>
      </c>
      <c r="I468" s="3" t="s">
        <v>2276</v>
      </c>
      <c r="J468" s="3" t="s">
        <v>2276</v>
      </c>
      <c r="K468" s="3" t="s">
        <v>2276</v>
      </c>
      <c r="L468" s="3" t="s">
        <v>2276</v>
      </c>
      <c r="M468" s="3" t="s">
        <v>2669</v>
      </c>
      <c r="N468" s="3" t="s">
        <v>2276</v>
      </c>
      <c r="O468" s="3" t="s">
        <v>2276</v>
      </c>
      <c r="P468" s="3" t="s">
        <v>2276</v>
      </c>
      <c r="Q468" s="3" t="s">
        <v>2276</v>
      </c>
      <c r="R468" s="3" t="s">
        <v>2276</v>
      </c>
      <c r="S468" s="3" t="s">
        <v>2276</v>
      </c>
      <c r="T468" s="3" t="s">
        <v>2276</v>
      </c>
      <c r="U468" s="3" t="s">
        <v>2276</v>
      </c>
      <c r="V468" s="3" t="s">
        <v>2276</v>
      </c>
      <c r="W468" s="4" t="s">
        <v>4126</v>
      </c>
    </row>
    <row r="469" spans="1:23" ht="40" customHeight="1">
      <c r="A469" s="11" t="s">
        <v>4108</v>
      </c>
      <c r="B469" s="3" t="s">
        <v>4119</v>
      </c>
      <c r="C469" s="3" t="s">
        <v>24</v>
      </c>
      <c r="D469" s="3" t="s">
        <v>2660</v>
      </c>
      <c r="E469" s="4" t="s">
        <v>45</v>
      </c>
      <c r="F469" s="3" t="s">
        <v>55</v>
      </c>
      <c r="G469" s="3"/>
      <c r="H469" s="4" t="s">
        <v>2673</v>
      </c>
      <c r="I469" s="3" t="s">
        <v>2276</v>
      </c>
      <c r="J469" s="3" t="s">
        <v>2276</v>
      </c>
      <c r="K469" s="3" t="s">
        <v>2276</v>
      </c>
      <c r="L469" s="3" t="s">
        <v>2276</v>
      </c>
      <c r="M469" s="3" t="s">
        <v>2669</v>
      </c>
      <c r="N469" s="3" t="s">
        <v>2276</v>
      </c>
      <c r="O469" s="3" t="s">
        <v>2276</v>
      </c>
      <c r="P469" s="3" t="s">
        <v>2276</v>
      </c>
      <c r="Q469" s="3" t="s">
        <v>2276</v>
      </c>
      <c r="R469" s="3" t="s">
        <v>2276</v>
      </c>
      <c r="S469" s="3" t="s">
        <v>2276</v>
      </c>
      <c r="T469" s="3" t="s">
        <v>2276</v>
      </c>
      <c r="U469" s="3" t="s">
        <v>2276</v>
      </c>
      <c r="V469" s="3" t="s">
        <v>2276</v>
      </c>
      <c r="W469" s="4" t="s">
        <v>4126</v>
      </c>
    </row>
    <row r="470" spans="1:23" ht="40" customHeight="1">
      <c r="A470" s="11" t="s">
        <v>4109</v>
      </c>
      <c r="B470" s="3" t="s">
        <v>4120</v>
      </c>
      <c r="C470" s="3" t="s">
        <v>24</v>
      </c>
      <c r="D470" s="3" t="s">
        <v>2660</v>
      </c>
      <c r="E470" s="4" t="s">
        <v>5005</v>
      </c>
      <c r="F470" s="3" t="s">
        <v>55</v>
      </c>
      <c r="G470" s="3">
        <v>1989</v>
      </c>
      <c r="H470" s="4" t="s">
        <v>2673</v>
      </c>
      <c r="I470" s="3" t="s">
        <v>2276</v>
      </c>
      <c r="J470" s="3" t="s">
        <v>2276</v>
      </c>
      <c r="K470" s="3" t="s">
        <v>2276</v>
      </c>
      <c r="L470" s="3" t="s">
        <v>2276</v>
      </c>
      <c r="M470" s="3" t="s">
        <v>2728</v>
      </c>
      <c r="N470" s="3" t="s">
        <v>2276</v>
      </c>
      <c r="O470" s="3" t="s">
        <v>2276</v>
      </c>
      <c r="P470" s="3" t="s">
        <v>2276</v>
      </c>
      <c r="Q470" s="3" t="s">
        <v>2276</v>
      </c>
      <c r="R470" s="3" t="s">
        <v>2276</v>
      </c>
      <c r="S470" s="3" t="s">
        <v>2276</v>
      </c>
      <c r="T470" s="3" t="s">
        <v>2276</v>
      </c>
      <c r="U470" s="3" t="s">
        <v>2276</v>
      </c>
      <c r="V470" s="3" t="s">
        <v>2276</v>
      </c>
      <c r="W470" s="3" t="s">
        <v>4125</v>
      </c>
    </row>
    <row r="471" spans="1:23" ht="40" customHeight="1">
      <c r="A471" s="11" t="s">
        <v>4109</v>
      </c>
      <c r="B471" s="3" t="s">
        <v>4121</v>
      </c>
      <c r="C471" s="3" t="s">
        <v>24</v>
      </c>
      <c r="D471" s="3" t="s">
        <v>2660</v>
      </c>
      <c r="E471" s="4" t="s">
        <v>45</v>
      </c>
      <c r="F471" s="3" t="s">
        <v>55</v>
      </c>
      <c r="G471" s="3">
        <v>1989</v>
      </c>
      <c r="H471" s="4" t="s">
        <v>2673</v>
      </c>
      <c r="I471" s="3" t="s">
        <v>2276</v>
      </c>
      <c r="J471" s="3" t="s">
        <v>2276</v>
      </c>
      <c r="K471" s="3" t="s">
        <v>2276</v>
      </c>
      <c r="L471" s="3" t="s">
        <v>2276</v>
      </c>
      <c r="M471" s="3" t="s">
        <v>2728</v>
      </c>
      <c r="N471" s="3" t="s">
        <v>2276</v>
      </c>
      <c r="O471" s="3" t="s">
        <v>2276</v>
      </c>
      <c r="P471" s="3" t="s">
        <v>2276</v>
      </c>
      <c r="Q471" s="3" t="s">
        <v>2276</v>
      </c>
      <c r="R471" s="3" t="s">
        <v>2276</v>
      </c>
      <c r="S471" s="3" t="s">
        <v>2276</v>
      </c>
      <c r="T471" s="3" t="s">
        <v>2276</v>
      </c>
      <c r="U471" s="3" t="s">
        <v>2276</v>
      </c>
      <c r="V471" s="3" t="s">
        <v>2276</v>
      </c>
      <c r="W471" s="3" t="s">
        <v>4125</v>
      </c>
    </row>
    <row r="472" spans="1:23" ht="64" customHeight="1">
      <c r="A472" s="11" t="s">
        <v>4129</v>
      </c>
      <c r="B472" s="11" t="s">
        <v>4133</v>
      </c>
      <c r="C472" s="3" t="s">
        <v>24</v>
      </c>
      <c r="D472" s="3" t="s">
        <v>2660</v>
      </c>
      <c r="E472" s="4" t="s">
        <v>5005</v>
      </c>
      <c r="F472" s="4" t="s">
        <v>2662</v>
      </c>
      <c r="G472" s="3"/>
      <c r="H472" s="4" t="s">
        <v>541</v>
      </c>
      <c r="I472" s="3" t="s">
        <v>2276</v>
      </c>
      <c r="J472" s="3" t="s">
        <v>2276</v>
      </c>
      <c r="K472" s="3" t="s">
        <v>2276</v>
      </c>
      <c r="L472" s="3" t="s">
        <v>2276</v>
      </c>
      <c r="M472" s="3" t="s">
        <v>2669</v>
      </c>
      <c r="N472" s="3" t="s">
        <v>2276</v>
      </c>
      <c r="O472" s="3" t="s">
        <v>2276</v>
      </c>
      <c r="P472" s="3" t="s">
        <v>2276</v>
      </c>
      <c r="Q472" s="3">
        <v>4</v>
      </c>
      <c r="R472" s="3" t="s">
        <v>2276</v>
      </c>
      <c r="S472" s="3" t="s">
        <v>2276</v>
      </c>
      <c r="T472" s="3" t="s">
        <v>2276</v>
      </c>
      <c r="U472" s="3" t="s">
        <v>2276</v>
      </c>
      <c r="V472" s="3" t="s">
        <v>2276</v>
      </c>
      <c r="W472" s="4" t="s">
        <v>4136</v>
      </c>
    </row>
    <row r="473" spans="1:23" ht="75.5" customHeight="1">
      <c r="A473" s="11" t="s">
        <v>4129</v>
      </c>
      <c r="B473" s="11" t="s">
        <v>4134</v>
      </c>
      <c r="C473" s="3" t="s">
        <v>24</v>
      </c>
      <c r="D473" s="3" t="s">
        <v>2660</v>
      </c>
      <c r="E473" s="4" t="s">
        <v>45</v>
      </c>
      <c r="F473" s="4" t="s">
        <v>2662</v>
      </c>
      <c r="G473" s="3"/>
      <c r="H473" s="4" t="s">
        <v>541</v>
      </c>
      <c r="I473" s="3" t="s">
        <v>2276</v>
      </c>
      <c r="J473" s="3" t="s">
        <v>2276</v>
      </c>
      <c r="K473" s="3" t="s">
        <v>2276</v>
      </c>
      <c r="L473" s="3" t="s">
        <v>2276</v>
      </c>
      <c r="M473" s="3" t="s">
        <v>2669</v>
      </c>
      <c r="N473" s="3" t="s">
        <v>2276</v>
      </c>
      <c r="O473" s="3" t="s">
        <v>2276</v>
      </c>
      <c r="P473" s="3" t="s">
        <v>2276</v>
      </c>
      <c r="Q473" s="3">
        <v>4</v>
      </c>
      <c r="R473" s="3" t="s">
        <v>2276</v>
      </c>
      <c r="S473" s="3" t="s">
        <v>2276</v>
      </c>
      <c r="T473" s="3" t="s">
        <v>2276</v>
      </c>
      <c r="U473" s="3" t="s">
        <v>2276</v>
      </c>
      <c r="V473" s="3" t="s">
        <v>2276</v>
      </c>
      <c r="W473" s="4" t="s">
        <v>4136</v>
      </c>
    </row>
    <row r="474" spans="1:23" ht="52" customHeight="1">
      <c r="A474" s="11" t="s">
        <v>4146</v>
      </c>
      <c r="B474" s="3" t="s">
        <v>4154</v>
      </c>
      <c r="C474" s="3" t="s">
        <v>24</v>
      </c>
      <c r="D474" s="3" t="s">
        <v>1105</v>
      </c>
      <c r="E474" s="4" t="s">
        <v>3854</v>
      </c>
      <c r="F474" s="3" t="s">
        <v>2276</v>
      </c>
      <c r="G474" s="3"/>
      <c r="H474" s="4" t="s">
        <v>541</v>
      </c>
      <c r="I474" s="3" t="s">
        <v>2276</v>
      </c>
      <c r="J474" s="3" t="s">
        <v>2276</v>
      </c>
      <c r="K474" s="3" t="s">
        <v>2276</v>
      </c>
      <c r="L474" s="3" t="s">
        <v>2276</v>
      </c>
      <c r="M474" s="3" t="s">
        <v>2276</v>
      </c>
      <c r="N474" s="3" t="s">
        <v>2276</v>
      </c>
      <c r="O474" s="3" t="s">
        <v>2276</v>
      </c>
      <c r="P474" s="3" t="s">
        <v>2276</v>
      </c>
      <c r="Q474" s="3" t="s">
        <v>2276</v>
      </c>
      <c r="R474" s="3" t="s">
        <v>534</v>
      </c>
      <c r="S474" s="3" t="s">
        <v>534</v>
      </c>
      <c r="T474" s="3" t="s">
        <v>534</v>
      </c>
      <c r="U474" s="3" t="s">
        <v>2276</v>
      </c>
      <c r="V474" s="3">
        <v>3</v>
      </c>
      <c r="W474" s="4" t="s">
        <v>4178</v>
      </c>
    </row>
    <row r="475" spans="1:23" ht="57.5" customHeight="1">
      <c r="A475" s="11" t="s">
        <v>4146</v>
      </c>
      <c r="B475" s="3" t="s">
        <v>4155</v>
      </c>
      <c r="C475" s="3" t="s">
        <v>24</v>
      </c>
      <c r="D475" s="3" t="s">
        <v>1105</v>
      </c>
      <c r="E475" s="4" t="s">
        <v>863</v>
      </c>
      <c r="F475" s="3" t="s">
        <v>2276</v>
      </c>
      <c r="G475" s="3"/>
      <c r="H475" s="4" t="s">
        <v>541</v>
      </c>
      <c r="I475" s="3" t="s">
        <v>2276</v>
      </c>
      <c r="J475" s="3" t="s">
        <v>2276</v>
      </c>
      <c r="K475" s="3" t="s">
        <v>2276</v>
      </c>
      <c r="L475" s="3" t="s">
        <v>2276</v>
      </c>
      <c r="M475" s="3" t="s">
        <v>2276</v>
      </c>
      <c r="N475" s="3" t="s">
        <v>2276</v>
      </c>
      <c r="O475" s="3" t="s">
        <v>2276</v>
      </c>
      <c r="P475" s="3" t="s">
        <v>2276</v>
      </c>
      <c r="Q475" s="3" t="s">
        <v>2276</v>
      </c>
      <c r="R475" s="3" t="s">
        <v>534</v>
      </c>
      <c r="S475" s="3" t="s">
        <v>534</v>
      </c>
      <c r="T475" s="3" t="s">
        <v>534</v>
      </c>
      <c r="U475" s="3" t="s">
        <v>2276</v>
      </c>
      <c r="V475" s="3">
        <v>3</v>
      </c>
      <c r="W475" s="4" t="s">
        <v>4178</v>
      </c>
    </row>
    <row r="476" spans="1:23" ht="53" customHeight="1">
      <c r="A476" s="11" t="s">
        <v>4147</v>
      </c>
      <c r="B476" s="3" t="s">
        <v>4164</v>
      </c>
      <c r="C476" s="3" t="s">
        <v>24</v>
      </c>
      <c r="D476" s="3" t="s">
        <v>1105</v>
      </c>
      <c r="E476" s="4" t="s">
        <v>5005</v>
      </c>
      <c r="F476" s="3" t="s">
        <v>2276</v>
      </c>
      <c r="G476" s="3"/>
      <c r="H476" s="4" t="s">
        <v>541</v>
      </c>
      <c r="I476" s="3" t="s">
        <v>2276</v>
      </c>
      <c r="J476" s="3" t="s">
        <v>2276</v>
      </c>
      <c r="K476" s="3" t="s">
        <v>2276</v>
      </c>
      <c r="L476" s="3" t="s">
        <v>2276</v>
      </c>
      <c r="M476" s="3" t="s">
        <v>2276</v>
      </c>
      <c r="N476" s="3" t="s">
        <v>2276</v>
      </c>
      <c r="O476" s="3" t="s">
        <v>2276</v>
      </c>
      <c r="P476" s="3" t="s">
        <v>2276</v>
      </c>
      <c r="Q476" s="3" t="s">
        <v>2276</v>
      </c>
      <c r="R476" s="3" t="s">
        <v>534</v>
      </c>
      <c r="S476" s="3" t="s">
        <v>534</v>
      </c>
      <c r="T476" s="3" t="s">
        <v>534</v>
      </c>
      <c r="U476" s="3" t="s">
        <v>2276</v>
      </c>
      <c r="V476" s="3">
        <v>3</v>
      </c>
      <c r="W476" s="4" t="s">
        <v>4178</v>
      </c>
    </row>
    <row r="477" spans="1:23" ht="52" customHeight="1">
      <c r="A477" s="11" t="s">
        <v>4147</v>
      </c>
      <c r="B477" s="3" t="s">
        <v>4165</v>
      </c>
      <c r="C477" s="3" t="s">
        <v>24</v>
      </c>
      <c r="D477" s="3" t="s">
        <v>1105</v>
      </c>
      <c r="E477" s="4" t="s">
        <v>45</v>
      </c>
      <c r="F477" s="3" t="s">
        <v>2276</v>
      </c>
      <c r="G477" s="3"/>
      <c r="H477" s="4" t="s">
        <v>541</v>
      </c>
      <c r="I477" s="3" t="s">
        <v>2276</v>
      </c>
      <c r="J477" s="3" t="s">
        <v>2276</v>
      </c>
      <c r="K477" s="3" t="s">
        <v>2276</v>
      </c>
      <c r="L477" s="3" t="s">
        <v>2276</v>
      </c>
      <c r="M477" s="3" t="s">
        <v>2276</v>
      </c>
      <c r="N477" s="3" t="s">
        <v>2276</v>
      </c>
      <c r="O477" s="3" t="s">
        <v>2276</v>
      </c>
      <c r="P477" s="3" t="s">
        <v>2276</v>
      </c>
      <c r="Q477" s="3" t="s">
        <v>2276</v>
      </c>
      <c r="R477" s="3" t="s">
        <v>534</v>
      </c>
      <c r="S477" s="3" t="s">
        <v>534</v>
      </c>
      <c r="T477" s="3" t="s">
        <v>534</v>
      </c>
      <c r="U477" s="3" t="s">
        <v>2276</v>
      </c>
      <c r="V477" s="3">
        <v>3</v>
      </c>
      <c r="W477" s="4" t="s">
        <v>4178</v>
      </c>
    </row>
    <row r="478" spans="1:23" ht="49" customHeight="1">
      <c r="A478" s="11" t="s">
        <v>4210</v>
      </c>
      <c r="B478" s="11" t="s">
        <v>4214</v>
      </c>
      <c r="C478" s="3" t="s">
        <v>24</v>
      </c>
      <c r="D478" s="3" t="s">
        <v>1105</v>
      </c>
      <c r="E478" s="3" t="s">
        <v>1105</v>
      </c>
      <c r="F478" s="3" t="s">
        <v>1105</v>
      </c>
      <c r="G478" s="3"/>
      <c r="H478" s="4" t="s">
        <v>541</v>
      </c>
      <c r="I478" s="3" t="s">
        <v>2276</v>
      </c>
      <c r="J478" s="3" t="s">
        <v>2276</v>
      </c>
      <c r="K478" s="3" t="s">
        <v>2276</v>
      </c>
      <c r="L478" s="3" t="s">
        <v>2276</v>
      </c>
      <c r="M478" s="3" t="s">
        <v>2276</v>
      </c>
      <c r="N478" s="3" t="s">
        <v>2276</v>
      </c>
      <c r="O478" s="3" t="s">
        <v>2276</v>
      </c>
      <c r="P478" s="3" t="s">
        <v>2276</v>
      </c>
      <c r="Q478" s="3" t="s">
        <v>2276</v>
      </c>
      <c r="R478" s="3" t="s">
        <v>537</v>
      </c>
      <c r="S478" s="3" t="s">
        <v>537</v>
      </c>
      <c r="T478" s="3" t="s">
        <v>537</v>
      </c>
      <c r="U478" s="3" t="s">
        <v>537</v>
      </c>
      <c r="V478" s="3" t="s">
        <v>2276</v>
      </c>
      <c r="W478" s="4" t="s">
        <v>4216</v>
      </c>
    </row>
    <row r="479" spans="1:23" ht="52.5" customHeight="1">
      <c r="A479" s="11" t="s">
        <v>4210</v>
      </c>
      <c r="B479" s="11" t="s">
        <v>4217</v>
      </c>
      <c r="C479" s="3" t="s">
        <v>24</v>
      </c>
      <c r="D479" s="3" t="s">
        <v>1105</v>
      </c>
      <c r="E479" s="3" t="s">
        <v>1105</v>
      </c>
      <c r="F479" s="3" t="s">
        <v>1105</v>
      </c>
      <c r="G479" s="3">
        <v>1974</v>
      </c>
      <c r="H479" s="4" t="s">
        <v>541</v>
      </c>
      <c r="I479" s="3" t="s">
        <v>2276</v>
      </c>
      <c r="J479" s="3" t="s">
        <v>2276</v>
      </c>
      <c r="K479" s="3" t="s">
        <v>2276</v>
      </c>
      <c r="L479" s="3" t="s">
        <v>2276</v>
      </c>
      <c r="M479" s="3" t="s">
        <v>2276</v>
      </c>
      <c r="N479" s="3" t="s">
        <v>2276</v>
      </c>
      <c r="O479" s="3" t="s">
        <v>2276</v>
      </c>
      <c r="P479" s="3" t="s">
        <v>2276</v>
      </c>
      <c r="Q479" s="3" t="s">
        <v>2276</v>
      </c>
      <c r="R479" s="3" t="s">
        <v>534</v>
      </c>
      <c r="S479" s="3" t="s">
        <v>537</v>
      </c>
      <c r="T479" s="3" t="s">
        <v>537</v>
      </c>
      <c r="U479" s="3" t="s">
        <v>537</v>
      </c>
      <c r="V479" s="3" t="s">
        <v>2276</v>
      </c>
      <c r="W479" s="4" t="s">
        <v>4218</v>
      </c>
    </row>
    <row r="480" spans="1:23" ht="67.5" customHeight="1">
      <c r="A480" s="11" t="s">
        <v>4220</v>
      </c>
      <c r="B480" s="11" t="s">
        <v>4224</v>
      </c>
      <c r="C480" s="3" t="s">
        <v>24</v>
      </c>
      <c r="D480" s="3" t="s">
        <v>1105</v>
      </c>
      <c r="E480" s="3" t="s">
        <v>1105</v>
      </c>
      <c r="F480" s="3" t="s">
        <v>1105</v>
      </c>
      <c r="G480" s="3"/>
      <c r="H480" s="4" t="s">
        <v>541</v>
      </c>
      <c r="I480" s="3" t="s">
        <v>2276</v>
      </c>
      <c r="J480" s="3" t="s">
        <v>2276</v>
      </c>
      <c r="K480" s="3" t="s">
        <v>2276</v>
      </c>
      <c r="L480" s="3" t="s">
        <v>2276</v>
      </c>
      <c r="M480" s="3" t="s">
        <v>2670</v>
      </c>
      <c r="N480" s="3" t="s">
        <v>534</v>
      </c>
      <c r="O480" s="3" t="s">
        <v>534</v>
      </c>
      <c r="P480" s="3" t="s">
        <v>2276</v>
      </c>
      <c r="Q480" s="3" t="s">
        <v>2276</v>
      </c>
      <c r="R480" s="3" t="s">
        <v>2276</v>
      </c>
      <c r="S480" s="3" t="s">
        <v>2276</v>
      </c>
      <c r="T480" s="3" t="s">
        <v>2276</v>
      </c>
      <c r="U480" s="3" t="s">
        <v>2276</v>
      </c>
      <c r="V480" s="3" t="s">
        <v>2276</v>
      </c>
      <c r="W480" s="19" t="s">
        <v>4254</v>
      </c>
    </row>
    <row r="481" spans="1:23" ht="92.5" customHeight="1">
      <c r="A481" s="11" t="s">
        <v>4221</v>
      </c>
      <c r="B481" s="11" t="s">
        <v>4232</v>
      </c>
      <c r="C481" s="3" t="s">
        <v>24</v>
      </c>
      <c r="D481" s="3" t="s">
        <v>1105</v>
      </c>
      <c r="E481" s="3" t="s">
        <v>1105</v>
      </c>
      <c r="F481" s="3" t="s">
        <v>1105</v>
      </c>
      <c r="G481" s="3"/>
      <c r="H481" s="4" t="s">
        <v>541</v>
      </c>
      <c r="I481" s="3" t="s">
        <v>2276</v>
      </c>
      <c r="J481" s="3" t="s">
        <v>2276</v>
      </c>
      <c r="K481" s="3" t="s">
        <v>2276</v>
      </c>
      <c r="L481" s="3" t="s">
        <v>2276</v>
      </c>
      <c r="M481" s="3" t="s">
        <v>2671</v>
      </c>
      <c r="N481" s="3" t="s">
        <v>534</v>
      </c>
      <c r="O481" s="3" t="s">
        <v>534</v>
      </c>
      <c r="P481" s="3" t="s">
        <v>2276</v>
      </c>
      <c r="Q481" s="3">
        <v>1</v>
      </c>
      <c r="R481" s="3" t="s">
        <v>2276</v>
      </c>
      <c r="S481" s="3" t="s">
        <v>2276</v>
      </c>
      <c r="T481" s="3" t="s">
        <v>2276</v>
      </c>
      <c r="U481" s="3" t="s">
        <v>2276</v>
      </c>
      <c r="V481" s="3" t="s">
        <v>2276</v>
      </c>
      <c r="W481" s="19" t="s">
        <v>4253</v>
      </c>
    </row>
    <row r="482" spans="1:23" ht="82" customHeight="1">
      <c r="A482" s="11" t="s">
        <v>4313</v>
      </c>
      <c r="B482" s="11" t="s">
        <v>4332</v>
      </c>
      <c r="C482" s="3" t="s">
        <v>24</v>
      </c>
      <c r="D482" s="3" t="s">
        <v>1105</v>
      </c>
      <c r="E482" s="3" t="s">
        <v>45</v>
      </c>
      <c r="F482" s="3" t="s">
        <v>74</v>
      </c>
      <c r="G482" s="3">
        <v>2007</v>
      </c>
      <c r="H482" s="4" t="s">
        <v>541</v>
      </c>
      <c r="I482" s="3" t="s">
        <v>2690</v>
      </c>
      <c r="J482" s="3" t="s">
        <v>534</v>
      </c>
      <c r="K482" s="3" t="s">
        <v>534</v>
      </c>
      <c r="L482" s="3" t="s">
        <v>2276</v>
      </c>
      <c r="M482" s="3" t="s">
        <v>2276</v>
      </c>
      <c r="N482" s="3" t="s">
        <v>2276</v>
      </c>
      <c r="O482" s="3" t="s">
        <v>2276</v>
      </c>
      <c r="P482" s="3" t="s">
        <v>2276</v>
      </c>
      <c r="Q482" s="3" t="s">
        <v>2276</v>
      </c>
      <c r="R482" s="3" t="s">
        <v>2276</v>
      </c>
      <c r="S482" s="3" t="s">
        <v>2276</v>
      </c>
      <c r="T482" s="3" t="s">
        <v>2276</v>
      </c>
      <c r="U482" s="3" t="s">
        <v>2276</v>
      </c>
      <c r="V482" s="3" t="s">
        <v>2276</v>
      </c>
      <c r="W482" s="4" t="s">
        <v>4357</v>
      </c>
    </row>
    <row r="483" spans="1:23" ht="82" customHeight="1">
      <c r="A483" s="11" t="s">
        <v>4317</v>
      </c>
      <c r="B483" s="11" t="s">
        <v>4333</v>
      </c>
      <c r="C483" s="3" t="s">
        <v>24</v>
      </c>
      <c r="D483" s="3" t="s">
        <v>1105</v>
      </c>
      <c r="E483" s="3" t="s">
        <v>45</v>
      </c>
      <c r="F483" s="3" t="s">
        <v>74</v>
      </c>
      <c r="G483" s="3">
        <v>2007</v>
      </c>
      <c r="H483" s="4" t="s">
        <v>541</v>
      </c>
      <c r="I483" s="3" t="s">
        <v>2690</v>
      </c>
      <c r="J483" s="3" t="s">
        <v>534</v>
      </c>
      <c r="K483" s="3" t="s">
        <v>534</v>
      </c>
      <c r="L483" s="3" t="s">
        <v>2276</v>
      </c>
      <c r="M483" s="3" t="s">
        <v>2276</v>
      </c>
      <c r="N483" s="3" t="s">
        <v>2276</v>
      </c>
      <c r="O483" s="3" t="s">
        <v>2276</v>
      </c>
      <c r="P483" s="3" t="s">
        <v>2276</v>
      </c>
      <c r="Q483" s="3" t="s">
        <v>2276</v>
      </c>
      <c r="R483" s="3" t="s">
        <v>2276</v>
      </c>
      <c r="S483" s="3" t="s">
        <v>2276</v>
      </c>
      <c r="T483" s="3" t="s">
        <v>2276</v>
      </c>
      <c r="U483" s="3" t="s">
        <v>2276</v>
      </c>
      <c r="V483" s="3" t="s">
        <v>2276</v>
      </c>
      <c r="W483" s="4" t="s">
        <v>4357</v>
      </c>
    </row>
    <row r="484" spans="1:23" ht="82" customHeight="1">
      <c r="A484" s="11" t="s">
        <v>4318</v>
      </c>
      <c r="B484" s="11" t="s">
        <v>4334</v>
      </c>
      <c r="C484" s="3" t="s">
        <v>24</v>
      </c>
      <c r="D484" s="3" t="s">
        <v>1105</v>
      </c>
      <c r="E484" s="3" t="s">
        <v>45</v>
      </c>
      <c r="F484" s="3" t="s">
        <v>74</v>
      </c>
      <c r="G484" s="3">
        <v>2007</v>
      </c>
      <c r="H484" s="4" t="s">
        <v>541</v>
      </c>
      <c r="I484" s="3" t="s">
        <v>2690</v>
      </c>
      <c r="J484" s="3" t="s">
        <v>534</v>
      </c>
      <c r="K484" s="3" t="s">
        <v>534</v>
      </c>
      <c r="L484" s="3" t="s">
        <v>2276</v>
      </c>
      <c r="M484" s="3" t="s">
        <v>2276</v>
      </c>
      <c r="N484" s="3" t="s">
        <v>2276</v>
      </c>
      <c r="O484" s="3" t="s">
        <v>2276</v>
      </c>
      <c r="P484" s="3" t="s">
        <v>2276</v>
      </c>
      <c r="Q484" s="3" t="s">
        <v>2276</v>
      </c>
      <c r="R484" s="3" t="s">
        <v>2276</v>
      </c>
      <c r="S484" s="3" t="s">
        <v>2276</v>
      </c>
      <c r="T484" s="3" t="s">
        <v>2276</v>
      </c>
      <c r="U484" s="3" t="s">
        <v>2276</v>
      </c>
      <c r="V484" s="3" t="s">
        <v>2276</v>
      </c>
      <c r="W484" s="4" t="s">
        <v>4357</v>
      </c>
    </row>
    <row r="485" spans="1:23" ht="82" customHeight="1">
      <c r="A485" s="11" t="s">
        <v>4319</v>
      </c>
      <c r="B485" s="11" t="s">
        <v>4335</v>
      </c>
      <c r="C485" s="3" t="s">
        <v>24</v>
      </c>
      <c r="D485" s="3" t="s">
        <v>1105</v>
      </c>
      <c r="E485" s="3" t="s">
        <v>45</v>
      </c>
      <c r="F485" s="3" t="s">
        <v>74</v>
      </c>
      <c r="G485" s="3">
        <v>2007</v>
      </c>
      <c r="H485" s="4" t="s">
        <v>541</v>
      </c>
      <c r="I485" s="3" t="s">
        <v>2690</v>
      </c>
      <c r="J485" s="3" t="s">
        <v>534</v>
      </c>
      <c r="K485" s="3" t="s">
        <v>534</v>
      </c>
      <c r="L485" s="3" t="s">
        <v>2276</v>
      </c>
      <c r="M485" s="3" t="s">
        <v>2276</v>
      </c>
      <c r="N485" s="3" t="s">
        <v>2276</v>
      </c>
      <c r="O485" s="3" t="s">
        <v>2276</v>
      </c>
      <c r="P485" s="3" t="s">
        <v>2276</v>
      </c>
      <c r="Q485" s="3" t="s">
        <v>2276</v>
      </c>
      <c r="R485" s="3" t="s">
        <v>2276</v>
      </c>
      <c r="S485" s="3" t="s">
        <v>2276</v>
      </c>
      <c r="T485" s="3" t="s">
        <v>2276</v>
      </c>
      <c r="U485" s="3" t="s">
        <v>2276</v>
      </c>
      <c r="V485" s="3" t="s">
        <v>2276</v>
      </c>
      <c r="W485" s="4" t="s">
        <v>4357</v>
      </c>
    </row>
    <row r="486" spans="1:23" ht="82" customHeight="1">
      <c r="A486" s="11" t="s">
        <v>4320</v>
      </c>
      <c r="B486" s="11" t="s">
        <v>4336</v>
      </c>
      <c r="C486" s="3" t="s">
        <v>24</v>
      </c>
      <c r="D486" s="3" t="s">
        <v>1105</v>
      </c>
      <c r="E486" s="3" t="s">
        <v>45</v>
      </c>
      <c r="F486" s="3" t="s">
        <v>74</v>
      </c>
      <c r="G486" s="3">
        <v>2007</v>
      </c>
      <c r="H486" s="4" t="s">
        <v>541</v>
      </c>
      <c r="I486" s="3" t="s">
        <v>2690</v>
      </c>
      <c r="J486" s="3" t="s">
        <v>534</v>
      </c>
      <c r="K486" s="3" t="s">
        <v>534</v>
      </c>
      <c r="L486" s="3" t="s">
        <v>2276</v>
      </c>
      <c r="M486" s="3" t="s">
        <v>2276</v>
      </c>
      <c r="N486" s="3" t="s">
        <v>2276</v>
      </c>
      <c r="O486" s="3" t="s">
        <v>2276</v>
      </c>
      <c r="P486" s="3" t="s">
        <v>2276</v>
      </c>
      <c r="Q486" s="3" t="s">
        <v>2276</v>
      </c>
      <c r="R486" s="3" t="s">
        <v>2276</v>
      </c>
      <c r="S486" s="3" t="s">
        <v>2276</v>
      </c>
      <c r="T486" s="3" t="s">
        <v>2276</v>
      </c>
      <c r="U486" s="3" t="s">
        <v>2276</v>
      </c>
      <c r="V486" s="3" t="s">
        <v>2276</v>
      </c>
      <c r="W486" s="4" t="s">
        <v>4357</v>
      </c>
    </row>
    <row r="487" spans="1:23" ht="82" customHeight="1">
      <c r="A487" s="11" t="s">
        <v>4321</v>
      </c>
      <c r="B487" s="11" t="s">
        <v>4337</v>
      </c>
      <c r="C487" s="3" t="s">
        <v>24</v>
      </c>
      <c r="D487" s="3" t="s">
        <v>1105</v>
      </c>
      <c r="E487" s="3" t="s">
        <v>45</v>
      </c>
      <c r="F487" s="3" t="s">
        <v>74</v>
      </c>
      <c r="G487" s="3">
        <v>2007</v>
      </c>
      <c r="H487" s="4" t="s">
        <v>541</v>
      </c>
      <c r="I487" s="3" t="s">
        <v>2690</v>
      </c>
      <c r="J487" s="3" t="s">
        <v>534</v>
      </c>
      <c r="K487" s="3" t="s">
        <v>534</v>
      </c>
      <c r="L487" s="3" t="s">
        <v>2276</v>
      </c>
      <c r="M487" s="3" t="s">
        <v>2276</v>
      </c>
      <c r="N487" s="3" t="s">
        <v>2276</v>
      </c>
      <c r="O487" s="3" t="s">
        <v>2276</v>
      </c>
      <c r="P487" s="3" t="s">
        <v>2276</v>
      </c>
      <c r="Q487" s="3" t="s">
        <v>2276</v>
      </c>
      <c r="R487" s="3" t="s">
        <v>2276</v>
      </c>
      <c r="S487" s="3" t="s">
        <v>2276</v>
      </c>
      <c r="T487" s="3" t="s">
        <v>2276</v>
      </c>
      <c r="U487" s="3" t="s">
        <v>2276</v>
      </c>
      <c r="V487" s="3" t="s">
        <v>2276</v>
      </c>
      <c r="W487" s="4" t="s">
        <v>4357</v>
      </c>
    </row>
    <row r="488" spans="1:23" ht="82" customHeight="1">
      <c r="A488" s="11" t="s">
        <v>4322</v>
      </c>
      <c r="B488" s="11" t="s">
        <v>4338</v>
      </c>
      <c r="C488" s="3" t="s">
        <v>24</v>
      </c>
      <c r="D488" s="3" t="s">
        <v>1105</v>
      </c>
      <c r="E488" s="3" t="s">
        <v>45</v>
      </c>
      <c r="F488" s="3" t="s">
        <v>74</v>
      </c>
      <c r="G488" s="3">
        <v>2007</v>
      </c>
      <c r="H488" s="4" t="s">
        <v>541</v>
      </c>
      <c r="I488" s="3" t="s">
        <v>2690</v>
      </c>
      <c r="J488" s="3" t="s">
        <v>534</v>
      </c>
      <c r="K488" s="3" t="s">
        <v>534</v>
      </c>
      <c r="L488" s="3" t="s">
        <v>2276</v>
      </c>
      <c r="M488" s="3" t="s">
        <v>2276</v>
      </c>
      <c r="N488" s="3" t="s">
        <v>2276</v>
      </c>
      <c r="O488" s="3" t="s">
        <v>2276</v>
      </c>
      <c r="P488" s="3" t="s">
        <v>2276</v>
      </c>
      <c r="Q488" s="3" t="s">
        <v>2276</v>
      </c>
      <c r="R488" s="3" t="s">
        <v>2276</v>
      </c>
      <c r="S488" s="3" t="s">
        <v>2276</v>
      </c>
      <c r="T488" s="3" t="s">
        <v>2276</v>
      </c>
      <c r="U488" s="3" t="s">
        <v>2276</v>
      </c>
      <c r="V488" s="3" t="s">
        <v>2276</v>
      </c>
      <c r="W488" s="4" t="s">
        <v>4357</v>
      </c>
    </row>
    <row r="489" spans="1:23" ht="82" customHeight="1">
      <c r="A489" s="11" t="s">
        <v>4323</v>
      </c>
      <c r="B489" s="11" t="s">
        <v>4339</v>
      </c>
      <c r="C489" s="3" t="s">
        <v>24</v>
      </c>
      <c r="D489" s="3" t="s">
        <v>1105</v>
      </c>
      <c r="E489" s="3" t="s">
        <v>45</v>
      </c>
      <c r="F489" s="3" t="s">
        <v>74</v>
      </c>
      <c r="G489" s="3">
        <v>2007</v>
      </c>
      <c r="H489" s="4" t="s">
        <v>541</v>
      </c>
      <c r="I489" s="3" t="s">
        <v>2690</v>
      </c>
      <c r="J489" s="3" t="s">
        <v>534</v>
      </c>
      <c r="K489" s="3" t="s">
        <v>534</v>
      </c>
      <c r="L489" s="3" t="s">
        <v>2276</v>
      </c>
      <c r="M489" s="3" t="s">
        <v>2276</v>
      </c>
      <c r="N489" s="3" t="s">
        <v>2276</v>
      </c>
      <c r="O489" s="3" t="s">
        <v>2276</v>
      </c>
      <c r="P489" s="3" t="s">
        <v>2276</v>
      </c>
      <c r="Q489" s="3" t="s">
        <v>2276</v>
      </c>
      <c r="R489" s="3" t="s">
        <v>2276</v>
      </c>
      <c r="S489" s="3" t="s">
        <v>2276</v>
      </c>
      <c r="T489" s="3" t="s">
        <v>2276</v>
      </c>
      <c r="U489" s="3" t="s">
        <v>2276</v>
      </c>
      <c r="V489" s="3" t="s">
        <v>2276</v>
      </c>
      <c r="W489" s="4" t="s">
        <v>4357</v>
      </c>
    </row>
    <row r="490" spans="1:23" ht="82" customHeight="1">
      <c r="A490" s="11" t="s">
        <v>4324</v>
      </c>
      <c r="B490" s="11" t="s">
        <v>4340</v>
      </c>
      <c r="C490" s="3" t="s">
        <v>24</v>
      </c>
      <c r="D490" s="3" t="s">
        <v>1105</v>
      </c>
      <c r="E490" s="3" t="s">
        <v>45</v>
      </c>
      <c r="F490" s="3" t="s">
        <v>74</v>
      </c>
      <c r="G490" s="3">
        <v>2007</v>
      </c>
      <c r="H490" s="4" t="s">
        <v>541</v>
      </c>
      <c r="I490" s="3" t="s">
        <v>2690</v>
      </c>
      <c r="J490" s="3" t="s">
        <v>534</v>
      </c>
      <c r="K490" s="3" t="s">
        <v>534</v>
      </c>
      <c r="L490" s="3" t="s">
        <v>2276</v>
      </c>
      <c r="M490" s="3" t="s">
        <v>2276</v>
      </c>
      <c r="N490" s="3" t="s">
        <v>2276</v>
      </c>
      <c r="O490" s="3" t="s">
        <v>2276</v>
      </c>
      <c r="P490" s="3" t="s">
        <v>2276</v>
      </c>
      <c r="Q490" s="3" t="s">
        <v>2276</v>
      </c>
      <c r="R490" s="3" t="s">
        <v>2276</v>
      </c>
      <c r="S490" s="3" t="s">
        <v>2276</v>
      </c>
      <c r="T490" s="3" t="s">
        <v>2276</v>
      </c>
      <c r="U490" s="3" t="s">
        <v>2276</v>
      </c>
      <c r="V490" s="3" t="s">
        <v>2276</v>
      </c>
      <c r="W490" s="4" t="s">
        <v>4357</v>
      </c>
    </row>
    <row r="491" spans="1:23" ht="82" customHeight="1">
      <c r="A491" s="11" t="s">
        <v>4325</v>
      </c>
      <c r="B491" s="11" t="s">
        <v>4341</v>
      </c>
      <c r="C491" s="3" t="s">
        <v>24</v>
      </c>
      <c r="D491" s="3" t="s">
        <v>1105</v>
      </c>
      <c r="E491" s="3" t="s">
        <v>45</v>
      </c>
      <c r="F491" s="3" t="s">
        <v>74</v>
      </c>
      <c r="G491" s="3">
        <v>2007</v>
      </c>
      <c r="H491" s="4" t="s">
        <v>541</v>
      </c>
      <c r="I491" s="3" t="s">
        <v>2690</v>
      </c>
      <c r="J491" s="3" t="s">
        <v>534</v>
      </c>
      <c r="K491" s="3" t="s">
        <v>534</v>
      </c>
      <c r="L491" s="3" t="s">
        <v>2276</v>
      </c>
      <c r="M491" s="3" t="s">
        <v>2276</v>
      </c>
      <c r="N491" s="3" t="s">
        <v>2276</v>
      </c>
      <c r="O491" s="3" t="s">
        <v>2276</v>
      </c>
      <c r="P491" s="3" t="s">
        <v>2276</v>
      </c>
      <c r="Q491" s="3" t="s">
        <v>2276</v>
      </c>
      <c r="R491" s="3" t="s">
        <v>2276</v>
      </c>
      <c r="S491" s="3" t="s">
        <v>2276</v>
      </c>
      <c r="T491" s="3" t="s">
        <v>2276</v>
      </c>
      <c r="U491" s="3" t="s">
        <v>2276</v>
      </c>
      <c r="V491" s="3" t="s">
        <v>2276</v>
      </c>
      <c r="W491" s="4" t="s">
        <v>4357</v>
      </c>
    </row>
    <row r="492" spans="1:23" ht="82" customHeight="1">
      <c r="A492" s="11" t="s">
        <v>4326</v>
      </c>
      <c r="B492" s="11" t="s">
        <v>4342</v>
      </c>
      <c r="C492" s="3" t="s">
        <v>24</v>
      </c>
      <c r="D492" s="3" t="s">
        <v>1105</v>
      </c>
      <c r="E492" s="3" t="s">
        <v>45</v>
      </c>
      <c r="F492" s="3" t="s">
        <v>74</v>
      </c>
      <c r="G492" s="3">
        <v>2007</v>
      </c>
      <c r="H492" s="4" t="s">
        <v>541</v>
      </c>
      <c r="I492" s="3" t="s">
        <v>2690</v>
      </c>
      <c r="J492" s="3" t="s">
        <v>534</v>
      </c>
      <c r="K492" s="3" t="s">
        <v>534</v>
      </c>
      <c r="L492" s="3" t="s">
        <v>2276</v>
      </c>
      <c r="M492" s="3" t="s">
        <v>2276</v>
      </c>
      <c r="N492" s="3" t="s">
        <v>2276</v>
      </c>
      <c r="O492" s="3" t="s">
        <v>2276</v>
      </c>
      <c r="P492" s="3" t="s">
        <v>2276</v>
      </c>
      <c r="Q492" s="3" t="s">
        <v>2276</v>
      </c>
      <c r="R492" s="3" t="s">
        <v>2276</v>
      </c>
      <c r="S492" s="3" t="s">
        <v>2276</v>
      </c>
      <c r="T492" s="3" t="s">
        <v>2276</v>
      </c>
      <c r="U492" s="3" t="s">
        <v>2276</v>
      </c>
      <c r="V492" s="3" t="s">
        <v>2276</v>
      </c>
      <c r="W492" s="4" t="s">
        <v>4357</v>
      </c>
    </row>
    <row r="493" spans="1:23" ht="82" customHeight="1">
      <c r="A493" s="11" t="s">
        <v>4313</v>
      </c>
      <c r="B493" s="11" t="s">
        <v>4345</v>
      </c>
      <c r="C493" s="3" t="s">
        <v>24</v>
      </c>
      <c r="D493" s="3" t="s">
        <v>1105</v>
      </c>
      <c r="E493" s="3" t="s">
        <v>45</v>
      </c>
      <c r="F493" s="4" t="s">
        <v>2662</v>
      </c>
      <c r="G493" s="3">
        <v>2007</v>
      </c>
      <c r="H493" s="4" t="s">
        <v>541</v>
      </c>
      <c r="I493" s="3" t="s">
        <v>2690</v>
      </c>
      <c r="J493" s="3" t="s">
        <v>534</v>
      </c>
      <c r="K493" s="3" t="s">
        <v>534</v>
      </c>
      <c r="L493" s="3" t="s">
        <v>2276</v>
      </c>
      <c r="M493" s="3" t="s">
        <v>2276</v>
      </c>
      <c r="N493" s="3" t="s">
        <v>2276</v>
      </c>
      <c r="O493" s="3" t="s">
        <v>2276</v>
      </c>
      <c r="P493" s="3" t="s">
        <v>2276</v>
      </c>
      <c r="Q493" s="3" t="s">
        <v>2276</v>
      </c>
      <c r="R493" s="3" t="s">
        <v>2276</v>
      </c>
      <c r="S493" s="3" t="s">
        <v>2276</v>
      </c>
      <c r="T493" s="3" t="s">
        <v>2276</v>
      </c>
      <c r="U493" s="3" t="s">
        <v>2276</v>
      </c>
      <c r="V493" s="3" t="s">
        <v>2276</v>
      </c>
      <c r="W493" s="4" t="s">
        <v>4357</v>
      </c>
    </row>
    <row r="494" spans="1:23" ht="82" customHeight="1">
      <c r="A494" s="11" t="s">
        <v>4317</v>
      </c>
      <c r="B494" s="11" t="s">
        <v>4346</v>
      </c>
      <c r="C494" s="3" t="s">
        <v>24</v>
      </c>
      <c r="D494" s="3" t="s">
        <v>1105</v>
      </c>
      <c r="E494" s="3" t="s">
        <v>45</v>
      </c>
      <c r="F494" s="4" t="s">
        <v>2662</v>
      </c>
      <c r="G494" s="3">
        <v>2007</v>
      </c>
      <c r="H494" s="4" t="s">
        <v>541</v>
      </c>
      <c r="I494" s="3" t="s">
        <v>2690</v>
      </c>
      <c r="J494" s="3" t="s">
        <v>534</v>
      </c>
      <c r="K494" s="3" t="s">
        <v>534</v>
      </c>
      <c r="L494" s="3" t="s">
        <v>2276</v>
      </c>
      <c r="M494" s="3" t="s">
        <v>2276</v>
      </c>
      <c r="N494" s="3" t="s">
        <v>2276</v>
      </c>
      <c r="O494" s="3" t="s">
        <v>2276</v>
      </c>
      <c r="P494" s="3" t="s">
        <v>2276</v>
      </c>
      <c r="Q494" s="3" t="s">
        <v>2276</v>
      </c>
      <c r="R494" s="3" t="s">
        <v>2276</v>
      </c>
      <c r="S494" s="3" t="s">
        <v>2276</v>
      </c>
      <c r="T494" s="3" t="s">
        <v>2276</v>
      </c>
      <c r="U494" s="3" t="s">
        <v>2276</v>
      </c>
      <c r="V494" s="3" t="s">
        <v>2276</v>
      </c>
      <c r="W494" s="4" t="s">
        <v>4357</v>
      </c>
    </row>
    <row r="495" spans="1:23" ht="82" customHeight="1">
      <c r="A495" s="11" t="s">
        <v>4318</v>
      </c>
      <c r="B495" s="11" t="s">
        <v>4347</v>
      </c>
      <c r="C495" s="3" t="s">
        <v>24</v>
      </c>
      <c r="D495" s="3" t="s">
        <v>1105</v>
      </c>
      <c r="E495" s="3" t="s">
        <v>45</v>
      </c>
      <c r="F495" s="4" t="s">
        <v>2662</v>
      </c>
      <c r="G495" s="3">
        <v>2007</v>
      </c>
      <c r="H495" s="4" t="s">
        <v>541</v>
      </c>
      <c r="I495" s="3" t="s">
        <v>2690</v>
      </c>
      <c r="J495" s="3" t="s">
        <v>534</v>
      </c>
      <c r="K495" s="3" t="s">
        <v>534</v>
      </c>
      <c r="L495" s="3" t="s">
        <v>2276</v>
      </c>
      <c r="M495" s="3" t="s">
        <v>2276</v>
      </c>
      <c r="N495" s="3" t="s">
        <v>2276</v>
      </c>
      <c r="O495" s="3" t="s">
        <v>2276</v>
      </c>
      <c r="P495" s="3" t="s">
        <v>2276</v>
      </c>
      <c r="Q495" s="3" t="s">
        <v>2276</v>
      </c>
      <c r="R495" s="3" t="s">
        <v>2276</v>
      </c>
      <c r="S495" s="3" t="s">
        <v>2276</v>
      </c>
      <c r="T495" s="3" t="s">
        <v>2276</v>
      </c>
      <c r="U495" s="3" t="s">
        <v>2276</v>
      </c>
      <c r="V495" s="3" t="s">
        <v>2276</v>
      </c>
      <c r="W495" s="4" t="s">
        <v>4357</v>
      </c>
    </row>
    <row r="496" spans="1:23" ht="82" customHeight="1">
      <c r="A496" s="11" t="s">
        <v>4319</v>
      </c>
      <c r="B496" s="11" t="s">
        <v>4348</v>
      </c>
      <c r="C496" s="3" t="s">
        <v>24</v>
      </c>
      <c r="D496" s="3" t="s">
        <v>1105</v>
      </c>
      <c r="E496" s="3" t="s">
        <v>45</v>
      </c>
      <c r="F496" s="4" t="s">
        <v>2662</v>
      </c>
      <c r="G496" s="3">
        <v>2007</v>
      </c>
      <c r="H496" s="4" t="s">
        <v>541</v>
      </c>
      <c r="I496" s="3" t="s">
        <v>2690</v>
      </c>
      <c r="J496" s="3" t="s">
        <v>534</v>
      </c>
      <c r="K496" s="3" t="s">
        <v>534</v>
      </c>
      <c r="L496" s="3" t="s">
        <v>2276</v>
      </c>
      <c r="M496" s="3" t="s">
        <v>2276</v>
      </c>
      <c r="N496" s="3" t="s">
        <v>2276</v>
      </c>
      <c r="O496" s="3" t="s">
        <v>2276</v>
      </c>
      <c r="P496" s="3" t="s">
        <v>2276</v>
      </c>
      <c r="Q496" s="3" t="s">
        <v>2276</v>
      </c>
      <c r="R496" s="3" t="s">
        <v>2276</v>
      </c>
      <c r="S496" s="3" t="s">
        <v>2276</v>
      </c>
      <c r="T496" s="3" t="s">
        <v>2276</v>
      </c>
      <c r="U496" s="3" t="s">
        <v>2276</v>
      </c>
      <c r="V496" s="3" t="s">
        <v>2276</v>
      </c>
      <c r="W496" s="4" t="s">
        <v>4357</v>
      </c>
    </row>
    <row r="497" spans="1:23" ht="82" customHeight="1">
      <c r="A497" s="11" t="s">
        <v>4320</v>
      </c>
      <c r="B497" s="11" t="s">
        <v>4349</v>
      </c>
      <c r="C497" s="3" t="s">
        <v>24</v>
      </c>
      <c r="D497" s="3" t="s">
        <v>1105</v>
      </c>
      <c r="E497" s="3" t="s">
        <v>45</v>
      </c>
      <c r="F497" s="4" t="s">
        <v>2662</v>
      </c>
      <c r="G497" s="3">
        <v>2007</v>
      </c>
      <c r="H497" s="4" t="s">
        <v>541</v>
      </c>
      <c r="I497" s="3" t="s">
        <v>2690</v>
      </c>
      <c r="J497" s="3" t="s">
        <v>534</v>
      </c>
      <c r="K497" s="3" t="s">
        <v>534</v>
      </c>
      <c r="L497" s="3" t="s">
        <v>2276</v>
      </c>
      <c r="M497" s="3" t="s">
        <v>2276</v>
      </c>
      <c r="N497" s="3" t="s">
        <v>2276</v>
      </c>
      <c r="O497" s="3" t="s">
        <v>2276</v>
      </c>
      <c r="P497" s="3" t="s">
        <v>2276</v>
      </c>
      <c r="Q497" s="3" t="s">
        <v>2276</v>
      </c>
      <c r="R497" s="3" t="s">
        <v>2276</v>
      </c>
      <c r="S497" s="3" t="s">
        <v>2276</v>
      </c>
      <c r="T497" s="3" t="s">
        <v>2276</v>
      </c>
      <c r="U497" s="3" t="s">
        <v>2276</v>
      </c>
      <c r="V497" s="3" t="s">
        <v>2276</v>
      </c>
      <c r="W497" s="4" t="s">
        <v>4357</v>
      </c>
    </row>
    <row r="498" spans="1:23" ht="82" customHeight="1">
      <c r="A498" s="11" t="s">
        <v>4321</v>
      </c>
      <c r="B498" s="11" t="s">
        <v>4350</v>
      </c>
      <c r="C498" s="3" t="s">
        <v>24</v>
      </c>
      <c r="D498" s="3" t="s">
        <v>1105</v>
      </c>
      <c r="E498" s="3" t="s">
        <v>45</v>
      </c>
      <c r="F498" s="4" t="s">
        <v>2662</v>
      </c>
      <c r="G498" s="3">
        <v>2007</v>
      </c>
      <c r="H498" s="4" t="s">
        <v>541</v>
      </c>
      <c r="I498" s="3" t="s">
        <v>2690</v>
      </c>
      <c r="J498" s="3" t="s">
        <v>534</v>
      </c>
      <c r="K498" s="3" t="s">
        <v>534</v>
      </c>
      <c r="L498" s="3" t="s">
        <v>2276</v>
      </c>
      <c r="M498" s="3" t="s">
        <v>2276</v>
      </c>
      <c r="N498" s="3" t="s">
        <v>2276</v>
      </c>
      <c r="O498" s="3" t="s">
        <v>2276</v>
      </c>
      <c r="P498" s="3" t="s">
        <v>2276</v>
      </c>
      <c r="Q498" s="3" t="s">
        <v>2276</v>
      </c>
      <c r="R498" s="3" t="s">
        <v>2276</v>
      </c>
      <c r="S498" s="3" t="s">
        <v>2276</v>
      </c>
      <c r="T498" s="3" t="s">
        <v>2276</v>
      </c>
      <c r="U498" s="3" t="s">
        <v>2276</v>
      </c>
      <c r="V498" s="3" t="s">
        <v>2276</v>
      </c>
      <c r="W498" s="4" t="s">
        <v>4357</v>
      </c>
    </row>
    <row r="499" spans="1:23" ht="82" customHeight="1">
      <c r="A499" s="11" t="s">
        <v>4322</v>
      </c>
      <c r="B499" s="11" t="s">
        <v>4351</v>
      </c>
      <c r="C499" s="3" t="s">
        <v>24</v>
      </c>
      <c r="D499" s="3" t="s">
        <v>1105</v>
      </c>
      <c r="E499" s="3" t="s">
        <v>45</v>
      </c>
      <c r="F499" s="4" t="s">
        <v>2662</v>
      </c>
      <c r="G499" s="3">
        <v>2007</v>
      </c>
      <c r="H499" s="4" t="s">
        <v>541</v>
      </c>
      <c r="I499" s="3" t="s">
        <v>2690</v>
      </c>
      <c r="J499" s="3" t="s">
        <v>534</v>
      </c>
      <c r="K499" s="3" t="s">
        <v>534</v>
      </c>
      <c r="L499" s="3" t="s">
        <v>2276</v>
      </c>
      <c r="M499" s="3" t="s">
        <v>2276</v>
      </c>
      <c r="N499" s="3" t="s">
        <v>2276</v>
      </c>
      <c r="O499" s="3" t="s">
        <v>2276</v>
      </c>
      <c r="P499" s="3" t="s">
        <v>2276</v>
      </c>
      <c r="Q499" s="3" t="s">
        <v>2276</v>
      </c>
      <c r="R499" s="3" t="s">
        <v>2276</v>
      </c>
      <c r="S499" s="3" t="s">
        <v>2276</v>
      </c>
      <c r="T499" s="3" t="s">
        <v>2276</v>
      </c>
      <c r="U499" s="3" t="s">
        <v>2276</v>
      </c>
      <c r="V499" s="3" t="s">
        <v>2276</v>
      </c>
      <c r="W499" s="4" t="s">
        <v>4357</v>
      </c>
    </row>
    <row r="500" spans="1:23" ht="82" customHeight="1">
      <c r="A500" s="11" t="s">
        <v>4323</v>
      </c>
      <c r="B500" s="11" t="s">
        <v>4352</v>
      </c>
      <c r="C500" s="3" t="s">
        <v>24</v>
      </c>
      <c r="D500" s="3" t="s">
        <v>1105</v>
      </c>
      <c r="E500" s="3" t="s">
        <v>45</v>
      </c>
      <c r="F500" s="4" t="s">
        <v>2662</v>
      </c>
      <c r="G500" s="3">
        <v>2007</v>
      </c>
      <c r="H500" s="4" t="s">
        <v>541</v>
      </c>
      <c r="I500" s="3" t="s">
        <v>2690</v>
      </c>
      <c r="J500" s="3" t="s">
        <v>534</v>
      </c>
      <c r="K500" s="3" t="s">
        <v>534</v>
      </c>
      <c r="L500" s="3" t="s">
        <v>2276</v>
      </c>
      <c r="M500" s="3" t="s">
        <v>2276</v>
      </c>
      <c r="N500" s="3" t="s">
        <v>2276</v>
      </c>
      <c r="O500" s="3" t="s">
        <v>2276</v>
      </c>
      <c r="P500" s="3" t="s">
        <v>2276</v>
      </c>
      <c r="Q500" s="3" t="s">
        <v>2276</v>
      </c>
      <c r="R500" s="3" t="s">
        <v>2276</v>
      </c>
      <c r="S500" s="3" t="s">
        <v>2276</v>
      </c>
      <c r="T500" s="3" t="s">
        <v>2276</v>
      </c>
      <c r="U500" s="3" t="s">
        <v>2276</v>
      </c>
      <c r="V500" s="3" t="s">
        <v>2276</v>
      </c>
      <c r="W500" s="4" t="s">
        <v>4357</v>
      </c>
    </row>
    <row r="501" spans="1:23" ht="82" customHeight="1">
      <c r="A501" s="11" t="s">
        <v>4324</v>
      </c>
      <c r="B501" s="11" t="s">
        <v>4353</v>
      </c>
      <c r="C501" s="3" t="s">
        <v>24</v>
      </c>
      <c r="D501" s="3" t="s">
        <v>1105</v>
      </c>
      <c r="E501" s="3" t="s">
        <v>45</v>
      </c>
      <c r="F501" s="4" t="s">
        <v>2662</v>
      </c>
      <c r="G501" s="3">
        <v>2007</v>
      </c>
      <c r="H501" s="4" t="s">
        <v>541</v>
      </c>
      <c r="I501" s="3" t="s">
        <v>2690</v>
      </c>
      <c r="J501" s="3" t="s">
        <v>534</v>
      </c>
      <c r="K501" s="3" t="s">
        <v>534</v>
      </c>
      <c r="L501" s="3" t="s">
        <v>2276</v>
      </c>
      <c r="M501" s="3" t="s">
        <v>2276</v>
      </c>
      <c r="N501" s="3" t="s">
        <v>2276</v>
      </c>
      <c r="O501" s="3" t="s">
        <v>2276</v>
      </c>
      <c r="P501" s="3" t="s">
        <v>2276</v>
      </c>
      <c r="Q501" s="3" t="s">
        <v>2276</v>
      </c>
      <c r="R501" s="3" t="s">
        <v>2276</v>
      </c>
      <c r="S501" s="3" t="s">
        <v>2276</v>
      </c>
      <c r="T501" s="3" t="s">
        <v>2276</v>
      </c>
      <c r="U501" s="3" t="s">
        <v>2276</v>
      </c>
      <c r="V501" s="3" t="s">
        <v>2276</v>
      </c>
      <c r="W501" s="4" t="s">
        <v>4357</v>
      </c>
    </row>
    <row r="502" spans="1:23" ht="82" customHeight="1">
      <c r="A502" s="11" t="s">
        <v>4325</v>
      </c>
      <c r="B502" s="11" t="s">
        <v>4354</v>
      </c>
      <c r="C502" s="3" t="s">
        <v>24</v>
      </c>
      <c r="D502" s="3" t="s">
        <v>1105</v>
      </c>
      <c r="E502" s="3" t="s">
        <v>45</v>
      </c>
      <c r="F502" s="4" t="s">
        <v>2662</v>
      </c>
      <c r="G502" s="3">
        <v>2007</v>
      </c>
      <c r="H502" s="4" t="s">
        <v>541</v>
      </c>
      <c r="I502" s="3" t="s">
        <v>2690</v>
      </c>
      <c r="J502" s="3" t="s">
        <v>534</v>
      </c>
      <c r="K502" s="3" t="s">
        <v>534</v>
      </c>
      <c r="L502" s="3" t="s">
        <v>2276</v>
      </c>
      <c r="M502" s="3" t="s">
        <v>2276</v>
      </c>
      <c r="N502" s="3" t="s">
        <v>2276</v>
      </c>
      <c r="O502" s="3" t="s">
        <v>2276</v>
      </c>
      <c r="P502" s="3" t="s">
        <v>2276</v>
      </c>
      <c r="Q502" s="3" t="s">
        <v>2276</v>
      </c>
      <c r="R502" s="3" t="s">
        <v>2276</v>
      </c>
      <c r="S502" s="3" t="s">
        <v>2276</v>
      </c>
      <c r="T502" s="3" t="s">
        <v>2276</v>
      </c>
      <c r="U502" s="3" t="s">
        <v>2276</v>
      </c>
      <c r="V502" s="3" t="s">
        <v>2276</v>
      </c>
      <c r="W502" s="4" t="s">
        <v>4357</v>
      </c>
    </row>
    <row r="503" spans="1:23" ht="82" customHeight="1">
      <c r="A503" s="11" t="s">
        <v>4326</v>
      </c>
      <c r="B503" s="11" t="s">
        <v>4355</v>
      </c>
      <c r="C503" s="3" t="s">
        <v>24</v>
      </c>
      <c r="D503" s="3" t="s">
        <v>1105</v>
      </c>
      <c r="E503" s="3" t="s">
        <v>45</v>
      </c>
      <c r="F503" s="4" t="s">
        <v>2662</v>
      </c>
      <c r="G503" s="3">
        <v>2007</v>
      </c>
      <c r="H503" s="4" t="s">
        <v>541</v>
      </c>
      <c r="I503" s="3" t="s">
        <v>2690</v>
      </c>
      <c r="J503" s="3" t="s">
        <v>534</v>
      </c>
      <c r="K503" s="3" t="s">
        <v>534</v>
      </c>
      <c r="L503" s="3" t="s">
        <v>2276</v>
      </c>
      <c r="M503" s="3" t="s">
        <v>2276</v>
      </c>
      <c r="N503" s="3" t="s">
        <v>2276</v>
      </c>
      <c r="O503" s="3" t="s">
        <v>2276</v>
      </c>
      <c r="P503" s="3" t="s">
        <v>2276</v>
      </c>
      <c r="Q503" s="3" t="s">
        <v>2276</v>
      </c>
      <c r="R503" s="3" t="s">
        <v>2276</v>
      </c>
      <c r="S503" s="3" t="s">
        <v>2276</v>
      </c>
      <c r="T503" s="3" t="s">
        <v>2276</v>
      </c>
      <c r="U503" s="3" t="s">
        <v>2276</v>
      </c>
      <c r="V503" s="3" t="s">
        <v>2276</v>
      </c>
      <c r="W503" s="4" t="s">
        <v>4357</v>
      </c>
    </row>
    <row r="504" spans="1:23" ht="53.5" customHeight="1">
      <c r="A504" s="3" t="s">
        <v>4360</v>
      </c>
      <c r="B504" s="11" t="s">
        <v>4363</v>
      </c>
      <c r="C504" s="3" t="s">
        <v>24</v>
      </c>
      <c r="D504" s="3" t="s">
        <v>1105</v>
      </c>
      <c r="E504" s="3" t="s">
        <v>1105</v>
      </c>
      <c r="F504" s="3" t="s">
        <v>2276</v>
      </c>
      <c r="G504" s="3"/>
      <c r="H504" s="4" t="s">
        <v>541</v>
      </c>
      <c r="I504" s="3" t="s">
        <v>2276</v>
      </c>
      <c r="J504" s="3" t="s">
        <v>2276</v>
      </c>
      <c r="K504" s="3" t="s">
        <v>2276</v>
      </c>
      <c r="L504" s="3" t="s">
        <v>2276</v>
      </c>
      <c r="M504" s="3" t="s">
        <v>537</v>
      </c>
      <c r="N504" s="3" t="s">
        <v>537</v>
      </c>
      <c r="O504" s="3" t="s">
        <v>537</v>
      </c>
      <c r="P504" s="3" t="s">
        <v>537</v>
      </c>
      <c r="Q504" s="3" t="s">
        <v>2276</v>
      </c>
      <c r="R504" s="3" t="s">
        <v>537</v>
      </c>
      <c r="S504" s="3" t="s">
        <v>537</v>
      </c>
      <c r="T504" s="3" t="s">
        <v>537</v>
      </c>
      <c r="U504" s="3" t="s">
        <v>537</v>
      </c>
      <c r="V504" s="3" t="s">
        <v>2276</v>
      </c>
      <c r="W504" s="19" t="s">
        <v>4379</v>
      </c>
    </row>
    <row r="505" spans="1:23" ht="115.5" customHeight="1">
      <c r="A505" s="3" t="s">
        <v>4362</v>
      </c>
      <c r="B505" s="11" t="s">
        <v>4366</v>
      </c>
      <c r="C505" s="3" t="s">
        <v>24</v>
      </c>
      <c r="D505" s="3" t="s">
        <v>1105</v>
      </c>
      <c r="E505" s="3" t="s">
        <v>45</v>
      </c>
      <c r="F505" s="3" t="s">
        <v>2276</v>
      </c>
      <c r="G505" s="3"/>
      <c r="H505" s="4" t="s">
        <v>541</v>
      </c>
      <c r="I505" s="3" t="s">
        <v>2276</v>
      </c>
      <c r="J505" s="3" t="s">
        <v>2276</v>
      </c>
      <c r="K505" s="3" t="s">
        <v>2276</v>
      </c>
      <c r="L505" s="3" t="s">
        <v>2276</v>
      </c>
      <c r="M505" s="3" t="s">
        <v>2728</v>
      </c>
      <c r="N505" s="3" t="s">
        <v>2276</v>
      </c>
      <c r="O505" s="3" t="s">
        <v>534</v>
      </c>
      <c r="P505" s="3" t="s">
        <v>2276</v>
      </c>
      <c r="Q505" s="3">
        <v>4</v>
      </c>
      <c r="R505" s="3" t="s">
        <v>2276</v>
      </c>
      <c r="S505" s="3" t="s">
        <v>2276</v>
      </c>
      <c r="T505" s="3" t="s">
        <v>2276</v>
      </c>
      <c r="U505" s="3" t="s">
        <v>2276</v>
      </c>
      <c r="V505" s="3" t="s">
        <v>2276</v>
      </c>
      <c r="W505" s="4" t="s">
        <v>4380</v>
      </c>
    </row>
    <row r="506" spans="1:23" ht="86.5" customHeight="1">
      <c r="A506" s="3" t="s">
        <v>4362</v>
      </c>
      <c r="B506" s="11" t="s">
        <v>4367</v>
      </c>
      <c r="C506" s="3" t="s">
        <v>24</v>
      </c>
      <c r="D506" s="3" t="s">
        <v>1105</v>
      </c>
      <c r="E506" s="3" t="s">
        <v>2276</v>
      </c>
      <c r="F506" s="3" t="s">
        <v>2276</v>
      </c>
      <c r="G506" s="3"/>
      <c r="H506" s="4" t="s">
        <v>541</v>
      </c>
      <c r="I506" s="3" t="s">
        <v>2276</v>
      </c>
      <c r="J506" s="3" t="s">
        <v>2276</v>
      </c>
      <c r="K506" s="3" t="s">
        <v>2276</v>
      </c>
      <c r="L506" s="3" t="s">
        <v>2276</v>
      </c>
      <c r="M506" s="3" t="s">
        <v>2276</v>
      </c>
      <c r="N506" s="3" t="s">
        <v>2276</v>
      </c>
      <c r="O506" s="3" t="s">
        <v>2276</v>
      </c>
      <c r="P506" s="3" t="s">
        <v>2276</v>
      </c>
      <c r="Q506" s="3" t="s">
        <v>2276</v>
      </c>
      <c r="R506" s="3" t="s">
        <v>534</v>
      </c>
      <c r="S506" s="3" t="s">
        <v>2276</v>
      </c>
      <c r="T506" s="3" t="s">
        <v>534</v>
      </c>
      <c r="U506" s="3" t="s">
        <v>2276</v>
      </c>
      <c r="V506" s="3">
        <v>4</v>
      </c>
      <c r="W506" s="3"/>
    </row>
    <row r="507" spans="1:23" ht="103" customHeight="1">
      <c r="A507" s="3" t="s">
        <v>4620</v>
      </c>
      <c r="B507" s="11" t="s">
        <v>4629</v>
      </c>
      <c r="C507" s="3" t="s">
        <v>24</v>
      </c>
      <c r="D507" s="4" t="s">
        <v>2804</v>
      </c>
      <c r="E507" s="3" t="s">
        <v>1105</v>
      </c>
      <c r="F507" s="4" t="s">
        <v>2662</v>
      </c>
      <c r="G507" s="3">
        <v>1980</v>
      </c>
      <c r="H507" s="4" t="s">
        <v>541</v>
      </c>
      <c r="I507" s="3" t="s">
        <v>2276</v>
      </c>
      <c r="J507" s="3" t="s">
        <v>2276</v>
      </c>
      <c r="K507" s="3" t="s">
        <v>2276</v>
      </c>
      <c r="L507" s="3" t="s">
        <v>2276</v>
      </c>
      <c r="M507" s="3" t="s">
        <v>2276</v>
      </c>
      <c r="N507" s="3" t="s">
        <v>2276</v>
      </c>
      <c r="O507" s="3" t="s">
        <v>2276</v>
      </c>
      <c r="P507" s="3" t="s">
        <v>2276</v>
      </c>
      <c r="Q507" s="3" t="s">
        <v>2276</v>
      </c>
      <c r="R507" s="3" t="s">
        <v>534</v>
      </c>
      <c r="S507" s="3" t="s">
        <v>2276</v>
      </c>
      <c r="T507" s="3" t="s">
        <v>2276</v>
      </c>
      <c r="U507" s="3" t="s">
        <v>2276</v>
      </c>
      <c r="V507" s="3">
        <v>2</v>
      </c>
      <c r="W507" s="4" t="s">
        <v>4635</v>
      </c>
    </row>
    <row r="508" spans="1:23" ht="103" customHeight="1">
      <c r="A508" s="3" t="s">
        <v>4621</v>
      </c>
      <c r="B508" s="11" t="s">
        <v>4630</v>
      </c>
      <c r="C508" s="3" t="s">
        <v>24</v>
      </c>
      <c r="D508" s="4" t="s">
        <v>2804</v>
      </c>
      <c r="E508" s="3" t="s">
        <v>1105</v>
      </c>
      <c r="F508" s="4" t="s">
        <v>2662</v>
      </c>
      <c r="G508" s="3">
        <v>1980</v>
      </c>
      <c r="H508" s="4" t="s">
        <v>541</v>
      </c>
      <c r="I508" s="3" t="s">
        <v>2276</v>
      </c>
      <c r="J508" s="3" t="s">
        <v>2276</v>
      </c>
      <c r="K508" s="3" t="s">
        <v>2276</v>
      </c>
      <c r="L508" s="3" t="s">
        <v>2276</v>
      </c>
      <c r="M508" s="3" t="s">
        <v>2276</v>
      </c>
      <c r="N508" s="3" t="s">
        <v>2276</v>
      </c>
      <c r="O508" s="3" t="s">
        <v>2276</v>
      </c>
      <c r="P508" s="3" t="s">
        <v>2276</v>
      </c>
      <c r="Q508" s="3" t="s">
        <v>2276</v>
      </c>
      <c r="R508" s="3" t="s">
        <v>534</v>
      </c>
      <c r="S508" s="3" t="s">
        <v>2276</v>
      </c>
      <c r="T508" s="3" t="s">
        <v>2276</v>
      </c>
      <c r="U508" s="3" t="s">
        <v>2276</v>
      </c>
      <c r="V508" s="3">
        <v>2</v>
      </c>
      <c r="W508" s="4" t="s">
        <v>4635</v>
      </c>
    </row>
    <row r="509" spans="1:23" ht="103" customHeight="1">
      <c r="A509" s="3" t="s">
        <v>4622</v>
      </c>
      <c r="B509" s="11" t="s">
        <v>4631</v>
      </c>
      <c r="C509" s="3" t="s">
        <v>24</v>
      </c>
      <c r="D509" s="4" t="s">
        <v>2804</v>
      </c>
      <c r="E509" s="3" t="s">
        <v>1105</v>
      </c>
      <c r="F509" s="4" t="s">
        <v>2662</v>
      </c>
      <c r="G509" s="3">
        <v>1980</v>
      </c>
      <c r="H509" s="4" t="s">
        <v>541</v>
      </c>
      <c r="I509" s="3" t="s">
        <v>2276</v>
      </c>
      <c r="J509" s="3" t="s">
        <v>2276</v>
      </c>
      <c r="K509" s="3" t="s">
        <v>2276</v>
      </c>
      <c r="L509" s="3" t="s">
        <v>2276</v>
      </c>
      <c r="M509" s="3" t="s">
        <v>2276</v>
      </c>
      <c r="N509" s="3" t="s">
        <v>2276</v>
      </c>
      <c r="O509" s="3" t="s">
        <v>2276</v>
      </c>
      <c r="P509" s="3" t="s">
        <v>2276</v>
      </c>
      <c r="Q509" s="3" t="s">
        <v>2276</v>
      </c>
      <c r="R509" s="3" t="s">
        <v>534</v>
      </c>
      <c r="S509" s="3" t="s">
        <v>2276</v>
      </c>
      <c r="T509" s="3" t="s">
        <v>2276</v>
      </c>
      <c r="U509" s="3" t="s">
        <v>2276</v>
      </c>
      <c r="V509" s="3">
        <v>2</v>
      </c>
      <c r="W509" s="4" t="s">
        <v>4635</v>
      </c>
    </row>
    <row r="510" spans="1:23" ht="103" customHeight="1">
      <c r="A510" s="3" t="s">
        <v>4620</v>
      </c>
      <c r="B510" s="11" t="s">
        <v>4632</v>
      </c>
      <c r="C510" s="3" t="s">
        <v>24</v>
      </c>
      <c r="D510" s="176" t="s">
        <v>2660</v>
      </c>
      <c r="E510" s="3" t="s">
        <v>1105</v>
      </c>
      <c r="F510" s="4" t="s">
        <v>2662</v>
      </c>
      <c r="G510" s="3">
        <v>1980</v>
      </c>
      <c r="H510" s="4" t="s">
        <v>541</v>
      </c>
      <c r="I510" s="3" t="s">
        <v>2276</v>
      </c>
      <c r="J510" s="3" t="s">
        <v>2276</v>
      </c>
      <c r="K510" s="3" t="s">
        <v>2276</v>
      </c>
      <c r="L510" s="3" t="s">
        <v>2276</v>
      </c>
      <c r="M510" s="3" t="s">
        <v>2276</v>
      </c>
      <c r="N510" s="3" t="s">
        <v>2276</v>
      </c>
      <c r="O510" s="3" t="s">
        <v>2276</v>
      </c>
      <c r="P510" s="3" t="s">
        <v>2276</v>
      </c>
      <c r="Q510" s="3" t="s">
        <v>2276</v>
      </c>
      <c r="R510" s="3" t="s">
        <v>534</v>
      </c>
      <c r="S510" s="3" t="s">
        <v>2276</v>
      </c>
      <c r="T510" s="3" t="s">
        <v>2276</v>
      </c>
      <c r="U510" s="3" t="s">
        <v>2276</v>
      </c>
      <c r="V510" s="3">
        <v>2</v>
      </c>
      <c r="W510" s="4" t="s">
        <v>4635</v>
      </c>
    </row>
    <row r="511" spans="1:23" ht="103" customHeight="1">
      <c r="A511" s="3" t="s">
        <v>4621</v>
      </c>
      <c r="B511" s="11" t="s">
        <v>4633</v>
      </c>
      <c r="C511" s="3" t="s">
        <v>24</v>
      </c>
      <c r="D511" s="176" t="s">
        <v>2660</v>
      </c>
      <c r="E511" s="3" t="s">
        <v>1105</v>
      </c>
      <c r="F511" s="4" t="s">
        <v>2662</v>
      </c>
      <c r="G511" s="3">
        <v>1980</v>
      </c>
      <c r="H511" s="4" t="s">
        <v>541</v>
      </c>
      <c r="I511" s="3" t="s">
        <v>2276</v>
      </c>
      <c r="J511" s="3" t="s">
        <v>2276</v>
      </c>
      <c r="K511" s="3" t="s">
        <v>2276</v>
      </c>
      <c r="L511" s="3" t="s">
        <v>2276</v>
      </c>
      <c r="M511" s="3" t="s">
        <v>2276</v>
      </c>
      <c r="N511" s="3" t="s">
        <v>2276</v>
      </c>
      <c r="O511" s="3" t="s">
        <v>2276</v>
      </c>
      <c r="P511" s="3" t="s">
        <v>2276</v>
      </c>
      <c r="Q511" s="3" t="s">
        <v>2276</v>
      </c>
      <c r="R511" s="3" t="s">
        <v>534</v>
      </c>
      <c r="S511" s="3" t="s">
        <v>2276</v>
      </c>
      <c r="T511" s="3" t="s">
        <v>2276</v>
      </c>
      <c r="U511" s="3" t="s">
        <v>2276</v>
      </c>
      <c r="V511" s="3">
        <v>2</v>
      </c>
      <c r="W511" s="4" t="s">
        <v>4635</v>
      </c>
    </row>
    <row r="512" spans="1:23" ht="103" customHeight="1">
      <c r="A512" s="3" t="s">
        <v>4622</v>
      </c>
      <c r="B512" s="11" t="s">
        <v>4634</v>
      </c>
      <c r="C512" s="3" t="s">
        <v>24</v>
      </c>
      <c r="D512" s="176" t="s">
        <v>2660</v>
      </c>
      <c r="E512" s="3" t="s">
        <v>1105</v>
      </c>
      <c r="F512" s="4" t="s">
        <v>2662</v>
      </c>
      <c r="G512" s="3">
        <v>1980</v>
      </c>
      <c r="H512" s="4" t="s">
        <v>541</v>
      </c>
      <c r="I512" s="3" t="s">
        <v>2276</v>
      </c>
      <c r="J512" s="3" t="s">
        <v>2276</v>
      </c>
      <c r="K512" s="3" t="s">
        <v>2276</v>
      </c>
      <c r="L512" s="3" t="s">
        <v>2276</v>
      </c>
      <c r="M512" s="3" t="s">
        <v>2276</v>
      </c>
      <c r="N512" s="3" t="s">
        <v>2276</v>
      </c>
      <c r="O512" s="3" t="s">
        <v>2276</v>
      </c>
      <c r="P512" s="3" t="s">
        <v>2276</v>
      </c>
      <c r="Q512" s="3" t="s">
        <v>2276</v>
      </c>
      <c r="R512" s="3" t="s">
        <v>534</v>
      </c>
      <c r="S512" s="3" t="s">
        <v>2276</v>
      </c>
      <c r="T512" s="3" t="s">
        <v>2276</v>
      </c>
      <c r="U512" s="3" t="s">
        <v>2276</v>
      </c>
      <c r="V512" s="3">
        <v>2</v>
      </c>
      <c r="W512" s="4" t="s">
        <v>4635</v>
      </c>
    </row>
    <row r="513" spans="1:23" ht="51" customHeight="1">
      <c r="A513" s="11" t="s">
        <v>4643</v>
      </c>
      <c r="B513" s="11" t="s">
        <v>4650</v>
      </c>
      <c r="C513" s="3" t="s">
        <v>1105</v>
      </c>
      <c r="D513" s="3" t="s">
        <v>1105</v>
      </c>
      <c r="E513" s="3" t="s">
        <v>5005</v>
      </c>
      <c r="F513" s="3" t="s">
        <v>74</v>
      </c>
      <c r="G513" s="3"/>
      <c r="H513" s="4" t="s">
        <v>1093</v>
      </c>
      <c r="I513" s="3" t="s">
        <v>2690</v>
      </c>
      <c r="J513" s="3" t="s">
        <v>2276</v>
      </c>
      <c r="K513" s="3" t="s">
        <v>2276</v>
      </c>
      <c r="L513" s="3" t="s">
        <v>2276</v>
      </c>
      <c r="M513" s="3" t="s">
        <v>2276</v>
      </c>
      <c r="N513" s="3" t="s">
        <v>2276</v>
      </c>
      <c r="O513" s="3" t="s">
        <v>2276</v>
      </c>
      <c r="P513" s="3" t="s">
        <v>2276</v>
      </c>
      <c r="Q513" s="3" t="s">
        <v>2276</v>
      </c>
      <c r="R513" s="3" t="s">
        <v>2276</v>
      </c>
      <c r="S513" s="3" t="s">
        <v>2276</v>
      </c>
      <c r="T513" s="3" t="s">
        <v>2276</v>
      </c>
      <c r="U513" s="3" t="s">
        <v>2276</v>
      </c>
      <c r="V513" s="3" t="s">
        <v>2276</v>
      </c>
      <c r="W513" s="4" t="s">
        <v>4659</v>
      </c>
    </row>
    <row r="514" spans="1:23" ht="52" customHeight="1">
      <c r="A514" s="3" t="s">
        <v>4644</v>
      </c>
      <c r="B514" s="11" t="s">
        <v>4653</v>
      </c>
      <c r="C514" s="3" t="s">
        <v>1105</v>
      </c>
      <c r="D514" s="3" t="s">
        <v>1105</v>
      </c>
      <c r="E514" s="3" t="s">
        <v>5005</v>
      </c>
      <c r="F514" s="3" t="s">
        <v>74</v>
      </c>
      <c r="G514" s="3"/>
      <c r="H514" s="4" t="s">
        <v>1093</v>
      </c>
      <c r="I514" s="3" t="s">
        <v>2690</v>
      </c>
      <c r="J514" s="3" t="s">
        <v>2276</v>
      </c>
      <c r="K514" s="3" t="s">
        <v>2276</v>
      </c>
      <c r="L514" s="3" t="s">
        <v>2276</v>
      </c>
      <c r="M514" s="3" t="s">
        <v>2276</v>
      </c>
      <c r="N514" s="3" t="s">
        <v>2276</v>
      </c>
      <c r="O514" s="3" t="s">
        <v>2276</v>
      </c>
      <c r="P514" s="3" t="s">
        <v>2276</v>
      </c>
      <c r="Q514" s="3" t="s">
        <v>2276</v>
      </c>
      <c r="R514" s="3" t="s">
        <v>2276</v>
      </c>
      <c r="S514" s="3" t="s">
        <v>2276</v>
      </c>
      <c r="T514" s="3" t="s">
        <v>2276</v>
      </c>
      <c r="U514" s="3" t="s">
        <v>2276</v>
      </c>
      <c r="V514" s="3" t="s">
        <v>2276</v>
      </c>
      <c r="W514" s="4" t="s">
        <v>4659</v>
      </c>
    </row>
    <row r="515" spans="1:23" ht="55.5" customHeight="1">
      <c r="A515" s="3" t="s">
        <v>4734</v>
      </c>
      <c r="B515" s="11" t="s">
        <v>4738</v>
      </c>
      <c r="C515" s="3" t="s">
        <v>1105</v>
      </c>
      <c r="D515" s="3" t="s">
        <v>1105</v>
      </c>
      <c r="E515" s="3" t="s">
        <v>1105</v>
      </c>
      <c r="F515" s="3" t="s">
        <v>74</v>
      </c>
      <c r="G515" s="3"/>
      <c r="H515" s="4" t="s">
        <v>541</v>
      </c>
      <c r="I515" s="3" t="s">
        <v>2691</v>
      </c>
      <c r="J515" s="3" t="s">
        <v>2276</v>
      </c>
      <c r="K515" s="3" t="s">
        <v>2276</v>
      </c>
      <c r="L515" s="3" t="s">
        <v>2276</v>
      </c>
      <c r="M515" s="3" t="s">
        <v>2276</v>
      </c>
      <c r="N515" s="3" t="s">
        <v>2276</v>
      </c>
      <c r="O515" s="3" t="s">
        <v>2276</v>
      </c>
      <c r="P515" s="3" t="s">
        <v>2276</v>
      </c>
      <c r="Q515" s="3" t="s">
        <v>2276</v>
      </c>
      <c r="R515" s="3" t="s">
        <v>2276</v>
      </c>
      <c r="S515" s="3" t="s">
        <v>2276</v>
      </c>
      <c r="T515" s="3" t="s">
        <v>2276</v>
      </c>
      <c r="U515" s="3" t="s">
        <v>2276</v>
      </c>
      <c r="V515" s="3" t="s">
        <v>2276</v>
      </c>
      <c r="W515" s="4" t="s">
        <v>4741</v>
      </c>
    </row>
    <row r="516" spans="1:23" ht="55.5" customHeight="1">
      <c r="A516" s="11" t="s">
        <v>4735</v>
      </c>
      <c r="B516" s="11" t="s">
        <v>4739</v>
      </c>
      <c r="C516" s="3" t="s">
        <v>1105</v>
      </c>
      <c r="D516" s="3" t="s">
        <v>1105</v>
      </c>
      <c r="E516" s="3" t="s">
        <v>1105</v>
      </c>
      <c r="F516" s="3" t="s">
        <v>74</v>
      </c>
      <c r="G516" s="3"/>
      <c r="H516" s="4" t="s">
        <v>541</v>
      </c>
      <c r="I516" s="3" t="s">
        <v>2691</v>
      </c>
      <c r="J516" s="3" t="s">
        <v>2276</v>
      </c>
      <c r="K516" s="3" t="s">
        <v>2276</v>
      </c>
      <c r="L516" s="3" t="s">
        <v>2276</v>
      </c>
      <c r="M516" s="3" t="s">
        <v>2276</v>
      </c>
      <c r="N516" s="3" t="s">
        <v>2276</v>
      </c>
      <c r="O516" s="3" t="s">
        <v>2276</v>
      </c>
      <c r="P516" s="3" t="s">
        <v>2276</v>
      </c>
      <c r="Q516" s="3" t="s">
        <v>2276</v>
      </c>
      <c r="R516" s="3" t="s">
        <v>2276</v>
      </c>
      <c r="S516" s="3" t="s">
        <v>2276</v>
      </c>
      <c r="T516" s="3" t="s">
        <v>2276</v>
      </c>
      <c r="U516" s="3" t="s">
        <v>2276</v>
      </c>
      <c r="V516" s="3" t="s">
        <v>2276</v>
      </c>
      <c r="W516" s="4" t="s">
        <v>4741</v>
      </c>
    </row>
    <row r="517" spans="1:23" ht="35" customHeight="1">
      <c r="A517" s="11" t="s">
        <v>4777</v>
      </c>
      <c r="B517" s="11" t="s">
        <v>4783</v>
      </c>
      <c r="C517" s="3" t="s">
        <v>1105</v>
      </c>
      <c r="D517" s="3" t="s">
        <v>1105</v>
      </c>
      <c r="E517" s="3" t="s">
        <v>5005</v>
      </c>
      <c r="F517" s="4" t="s">
        <v>2662</v>
      </c>
      <c r="G517" s="3">
        <v>1968</v>
      </c>
      <c r="H517" s="4" t="s">
        <v>541</v>
      </c>
      <c r="I517" s="3" t="s">
        <v>2276</v>
      </c>
      <c r="J517" s="3" t="s">
        <v>2276</v>
      </c>
      <c r="K517" s="3" t="s">
        <v>2276</v>
      </c>
      <c r="L517" s="3" t="s">
        <v>2276</v>
      </c>
      <c r="M517" s="3" t="s">
        <v>2276</v>
      </c>
      <c r="N517" s="3" t="s">
        <v>2276</v>
      </c>
      <c r="O517" s="3" t="s">
        <v>2276</v>
      </c>
      <c r="P517" s="3" t="s">
        <v>2276</v>
      </c>
      <c r="Q517" s="3" t="s">
        <v>2276</v>
      </c>
      <c r="R517" s="3" t="s">
        <v>534</v>
      </c>
      <c r="S517" s="3" t="s">
        <v>2276</v>
      </c>
      <c r="T517" s="3" t="s">
        <v>2276</v>
      </c>
      <c r="U517" s="3" t="s">
        <v>2276</v>
      </c>
      <c r="V517" s="3" t="s">
        <v>2276</v>
      </c>
      <c r="W517" s="3"/>
    </row>
    <row r="518" spans="1:23" ht="35" customHeight="1">
      <c r="A518" s="11" t="s">
        <v>4781</v>
      </c>
      <c r="B518" s="11" t="s">
        <v>4784</v>
      </c>
      <c r="C518" s="3" t="s">
        <v>1105</v>
      </c>
      <c r="D518" s="3" t="s">
        <v>1105</v>
      </c>
      <c r="E518" s="3" t="s">
        <v>5005</v>
      </c>
      <c r="F518" s="4" t="s">
        <v>2662</v>
      </c>
      <c r="G518" s="3">
        <v>1968</v>
      </c>
      <c r="H518" s="4" t="s">
        <v>541</v>
      </c>
      <c r="I518" s="3" t="s">
        <v>2276</v>
      </c>
      <c r="J518" s="3" t="s">
        <v>2276</v>
      </c>
      <c r="K518" s="3" t="s">
        <v>2276</v>
      </c>
      <c r="L518" s="3" t="s">
        <v>2276</v>
      </c>
      <c r="M518" s="3" t="s">
        <v>2276</v>
      </c>
      <c r="N518" s="3" t="s">
        <v>2276</v>
      </c>
      <c r="O518" s="3" t="s">
        <v>2276</v>
      </c>
      <c r="P518" s="3" t="s">
        <v>2276</v>
      </c>
      <c r="Q518" s="3" t="s">
        <v>2276</v>
      </c>
      <c r="R518" s="3" t="s">
        <v>534</v>
      </c>
      <c r="S518" s="3" t="s">
        <v>2276</v>
      </c>
      <c r="T518" s="3" t="s">
        <v>2276</v>
      </c>
      <c r="U518" s="3" t="s">
        <v>2276</v>
      </c>
      <c r="V518" s="3" t="s">
        <v>2276</v>
      </c>
      <c r="W518" s="3"/>
    </row>
    <row r="519" spans="1:23" ht="37" customHeight="1">
      <c r="A519" s="11" t="s">
        <v>4777</v>
      </c>
      <c r="B519" s="11" t="s">
        <v>4787</v>
      </c>
      <c r="C519" s="3" t="s">
        <v>1105</v>
      </c>
      <c r="D519" s="3" t="s">
        <v>1105</v>
      </c>
      <c r="E519" s="3" t="s">
        <v>5005</v>
      </c>
      <c r="F519" s="4" t="s">
        <v>55</v>
      </c>
      <c r="G519" s="3">
        <v>1968</v>
      </c>
      <c r="H519" s="4" t="s">
        <v>541</v>
      </c>
      <c r="I519" s="3" t="s">
        <v>2276</v>
      </c>
      <c r="J519" s="3" t="s">
        <v>2276</v>
      </c>
      <c r="K519" s="3" t="s">
        <v>2276</v>
      </c>
      <c r="L519" s="3" t="s">
        <v>2276</v>
      </c>
      <c r="M519" s="3" t="s">
        <v>2276</v>
      </c>
      <c r="N519" s="3" t="s">
        <v>2276</v>
      </c>
      <c r="O519" s="3" t="s">
        <v>2276</v>
      </c>
      <c r="P519" s="3" t="s">
        <v>2276</v>
      </c>
      <c r="Q519" s="3" t="s">
        <v>2276</v>
      </c>
      <c r="R519" s="3" t="s">
        <v>534</v>
      </c>
      <c r="S519" s="3" t="s">
        <v>2276</v>
      </c>
      <c r="T519" s="3" t="s">
        <v>2276</v>
      </c>
      <c r="U519" s="3" t="s">
        <v>2276</v>
      </c>
      <c r="V519" s="3" t="s">
        <v>2276</v>
      </c>
      <c r="W519" s="3"/>
    </row>
    <row r="520" spans="1:23" ht="37" customHeight="1">
      <c r="A520" s="11" t="s">
        <v>4781</v>
      </c>
      <c r="B520" s="11" t="s">
        <v>4788</v>
      </c>
      <c r="C520" s="3" t="s">
        <v>1105</v>
      </c>
      <c r="D520" s="3" t="s">
        <v>1105</v>
      </c>
      <c r="E520" s="3" t="s">
        <v>5005</v>
      </c>
      <c r="F520" s="4" t="s">
        <v>55</v>
      </c>
      <c r="G520" s="3">
        <v>1968</v>
      </c>
      <c r="H520" s="4" t="s">
        <v>541</v>
      </c>
      <c r="I520" s="3" t="s">
        <v>2276</v>
      </c>
      <c r="J520" s="3" t="s">
        <v>2276</v>
      </c>
      <c r="K520" s="3" t="s">
        <v>2276</v>
      </c>
      <c r="L520" s="3" t="s">
        <v>2276</v>
      </c>
      <c r="M520" s="3" t="s">
        <v>2276</v>
      </c>
      <c r="N520" s="3" t="s">
        <v>2276</v>
      </c>
      <c r="O520" s="3" t="s">
        <v>2276</v>
      </c>
      <c r="P520" s="3" t="s">
        <v>2276</v>
      </c>
      <c r="Q520" s="3" t="s">
        <v>2276</v>
      </c>
      <c r="R520" s="3" t="s">
        <v>534</v>
      </c>
      <c r="S520" s="3" t="s">
        <v>2276</v>
      </c>
      <c r="T520" s="3" t="s">
        <v>2276</v>
      </c>
      <c r="U520" s="3" t="s">
        <v>2276</v>
      </c>
      <c r="V520" s="3" t="s">
        <v>2276</v>
      </c>
      <c r="W520" s="3"/>
    </row>
    <row r="521" spans="1:23" ht="61" customHeight="1">
      <c r="A521" s="11" t="s">
        <v>4833</v>
      </c>
      <c r="B521" s="11" t="s">
        <v>4834</v>
      </c>
      <c r="C521" s="3" t="s">
        <v>1105</v>
      </c>
      <c r="D521" s="3" t="s">
        <v>1105</v>
      </c>
      <c r="E521" s="3" t="s">
        <v>5005</v>
      </c>
      <c r="F521" s="4" t="s">
        <v>2662</v>
      </c>
      <c r="G521" s="3"/>
      <c r="H521" s="4" t="s">
        <v>541</v>
      </c>
      <c r="I521" s="3" t="s">
        <v>2690</v>
      </c>
      <c r="J521" s="3" t="s">
        <v>534</v>
      </c>
      <c r="K521" s="3" t="s">
        <v>534</v>
      </c>
      <c r="L521" s="3" t="s">
        <v>2276</v>
      </c>
      <c r="M521" s="3" t="s">
        <v>2276</v>
      </c>
      <c r="N521" s="3" t="s">
        <v>2276</v>
      </c>
      <c r="O521" s="3" t="s">
        <v>2276</v>
      </c>
      <c r="P521" s="3" t="s">
        <v>2276</v>
      </c>
      <c r="Q521" s="3" t="s">
        <v>2276</v>
      </c>
      <c r="R521" s="3" t="s">
        <v>2276</v>
      </c>
      <c r="S521" s="3" t="s">
        <v>2276</v>
      </c>
      <c r="T521" s="3" t="s">
        <v>2276</v>
      </c>
      <c r="U521" s="3" t="s">
        <v>2276</v>
      </c>
      <c r="V521" s="3" t="s">
        <v>2276</v>
      </c>
      <c r="W521" s="19" t="s">
        <v>4846</v>
      </c>
    </row>
    <row r="522" spans="1:23" ht="49" customHeight="1">
      <c r="A522" s="19" t="s">
        <v>4850</v>
      </c>
      <c r="B522" s="19" t="s">
        <v>4900</v>
      </c>
      <c r="C522" s="4" t="s">
        <v>24</v>
      </c>
      <c r="D522" s="4" t="s">
        <v>1105</v>
      </c>
      <c r="E522" s="3" t="s">
        <v>5005</v>
      </c>
      <c r="F522" s="4" t="s">
        <v>2662</v>
      </c>
      <c r="G522" s="3">
        <v>1974</v>
      </c>
      <c r="H522" s="4" t="s">
        <v>541</v>
      </c>
      <c r="I522" s="3" t="s">
        <v>2690</v>
      </c>
      <c r="J522" s="3" t="s">
        <v>534</v>
      </c>
      <c r="K522" s="3" t="s">
        <v>2276</v>
      </c>
      <c r="L522" s="3" t="s">
        <v>2276</v>
      </c>
      <c r="M522" s="3" t="s">
        <v>2276</v>
      </c>
      <c r="N522" s="3" t="s">
        <v>2276</v>
      </c>
      <c r="O522" s="3" t="s">
        <v>2276</v>
      </c>
      <c r="P522" s="3" t="s">
        <v>2276</v>
      </c>
      <c r="Q522" s="3" t="s">
        <v>2276</v>
      </c>
      <c r="R522" s="3" t="s">
        <v>534</v>
      </c>
      <c r="S522" s="3" t="s">
        <v>2276</v>
      </c>
      <c r="T522" s="3" t="s">
        <v>2276</v>
      </c>
      <c r="U522" s="3" t="s">
        <v>2276</v>
      </c>
      <c r="V522" s="3" t="s">
        <v>2276</v>
      </c>
      <c r="W522" s="4" t="s">
        <v>4968</v>
      </c>
    </row>
    <row r="523" spans="1:23" ht="38" customHeight="1">
      <c r="A523" s="11" t="s">
        <v>4977</v>
      </c>
      <c r="B523" s="11" t="s">
        <v>4983</v>
      </c>
      <c r="C523" s="4" t="s">
        <v>24</v>
      </c>
      <c r="D523" s="3" t="s">
        <v>1105</v>
      </c>
      <c r="E523" s="3" t="s">
        <v>5005</v>
      </c>
      <c r="F523" s="4" t="s">
        <v>2662</v>
      </c>
      <c r="G523" s="3">
        <v>1976</v>
      </c>
      <c r="H523" s="4" t="s">
        <v>541</v>
      </c>
      <c r="I523" s="3" t="s">
        <v>2276</v>
      </c>
      <c r="J523" s="3" t="s">
        <v>2276</v>
      </c>
      <c r="K523" s="3" t="s">
        <v>2276</v>
      </c>
      <c r="L523" s="3" t="s">
        <v>2276</v>
      </c>
      <c r="M523" s="3" t="s">
        <v>2276</v>
      </c>
      <c r="N523" s="3" t="s">
        <v>2276</v>
      </c>
      <c r="O523" s="3" t="s">
        <v>2276</v>
      </c>
      <c r="P523" s="3" t="s">
        <v>2276</v>
      </c>
      <c r="Q523" s="3" t="s">
        <v>2276</v>
      </c>
      <c r="R523" s="3" t="s">
        <v>537</v>
      </c>
      <c r="S523" s="3" t="s">
        <v>2276</v>
      </c>
      <c r="T523" s="3" t="s">
        <v>2276</v>
      </c>
      <c r="U523" s="3" t="s">
        <v>2276</v>
      </c>
      <c r="V523" s="3" t="s">
        <v>2276</v>
      </c>
      <c r="W523" s="3"/>
    </row>
    <row r="524" spans="1:23" ht="38" customHeight="1">
      <c r="A524" s="11" t="s">
        <v>4977</v>
      </c>
      <c r="B524" s="11" t="s">
        <v>4984</v>
      </c>
      <c r="C524" s="4" t="s">
        <v>24</v>
      </c>
      <c r="D524" s="3" t="s">
        <v>1105</v>
      </c>
      <c r="E524" s="3" t="s">
        <v>116</v>
      </c>
      <c r="F524" s="4" t="s">
        <v>2662</v>
      </c>
      <c r="G524" s="3">
        <v>1976</v>
      </c>
      <c r="H524" s="4" t="s">
        <v>541</v>
      </c>
      <c r="I524" s="3" t="s">
        <v>2276</v>
      </c>
      <c r="J524" s="3" t="s">
        <v>2276</v>
      </c>
      <c r="K524" s="3" t="s">
        <v>2276</v>
      </c>
      <c r="L524" s="3" t="s">
        <v>2276</v>
      </c>
      <c r="M524" s="3" t="s">
        <v>2276</v>
      </c>
      <c r="N524" s="3" t="s">
        <v>2276</v>
      </c>
      <c r="O524" s="3" t="s">
        <v>2276</v>
      </c>
      <c r="P524" s="3" t="s">
        <v>2276</v>
      </c>
      <c r="Q524" s="3" t="s">
        <v>2276</v>
      </c>
      <c r="R524" s="3" t="s">
        <v>537</v>
      </c>
      <c r="S524" s="3" t="s">
        <v>2276</v>
      </c>
      <c r="T524" s="3" t="s">
        <v>2276</v>
      </c>
      <c r="U524" s="3" t="s">
        <v>2276</v>
      </c>
      <c r="V524" s="3" t="s">
        <v>2276</v>
      </c>
      <c r="W524" s="3"/>
    </row>
    <row r="525" spans="1:23" ht="69" customHeight="1">
      <c r="A525" s="11" t="s">
        <v>4977</v>
      </c>
      <c r="B525" s="11" t="s">
        <v>4985</v>
      </c>
      <c r="C525" s="4" t="s">
        <v>24</v>
      </c>
      <c r="D525" s="3" t="s">
        <v>1105</v>
      </c>
      <c r="E525" s="3" t="s">
        <v>5005</v>
      </c>
      <c r="F525" s="4" t="s">
        <v>2662</v>
      </c>
      <c r="G525" s="3">
        <v>1977</v>
      </c>
      <c r="H525" s="4" t="s">
        <v>541</v>
      </c>
      <c r="I525" s="3" t="s">
        <v>2276</v>
      </c>
      <c r="J525" s="3" t="s">
        <v>2276</v>
      </c>
      <c r="K525" s="3" t="s">
        <v>2276</v>
      </c>
      <c r="L525" s="3" t="s">
        <v>2276</v>
      </c>
      <c r="M525" s="3" t="s">
        <v>2276</v>
      </c>
      <c r="N525" s="3" t="s">
        <v>2276</v>
      </c>
      <c r="O525" s="3" t="s">
        <v>2276</v>
      </c>
      <c r="P525" s="3" t="s">
        <v>2276</v>
      </c>
      <c r="Q525" s="3" t="s">
        <v>2276</v>
      </c>
      <c r="R525" s="3" t="s">
        <v>534</v>
      </c>
      <c r="S525" s="3" t="s">
        <v>2276</v>
      </c>
      <c r="T525" s="3" t="s">
        <v>2276</v>
      </c>
      <c r="U525" s="3" t="s">
        <v>2276</v>
      </c>
      <c r="V525" s="3">
        <v>3</v>
      </c>
      <c r="W525" s="4" t="s">
        <v>4992</v>
      </c>
    </row>
    <row r="526" spans="1:23" ht="64.5" customHeight="1">
      <c r="A526" s="11" t="s">
        <v>4977</v>
      </c>
      <c r="B526" s="11" t="s">
        <v>4986</v>
      </c>
      <c r="C526" s="4" t="s">
        <v>24</v>
      </c>
      <c r="D526" s="3" t="s">
        <v>1105</v>
      </c>
      <c r="E526" s="3" t="s">
        <v>116</v>
      </c>
      <c r="F526" s="4" t="s">
        <v>2662</v>
      </c>
      <c r="G526" s="3">
        <v>1977</v>
      </c>
      <c r="H526" s="4" t="s">
        <v>541</v>
      </c>
      <c r="I526" s="3" t="s">
        <v>2276</v>
      </c>
      <c r="J526" s="3" t="s">
        <v>2276</v>
      </c>
      <c r="K526" s="3" t="s">
        <v>2276</v>
      </c>
      <c r="L526" s="3" t="s">
        <v>2276</v>
      </c>
      <c r="M526" s="3" t="s">
        <v>2276</v>
      </c>
      <c r="N526" s="3" t="s">
        <v>2276</v>
      </c>
      <c r="O526" s="3" t="s">
        <v>2276</v>
      </c>
      <c r="P526" s="3" t="s">
        <v>2276</v>
      </c>
      <c r="Q526" s="3" t="s">
        <v>2276</v>
      </c>
      <c r="R526" s="3" t="s">
        <v>534</v>
      </c>
      <c r="S526" s="3" t="s">
        <v>2276</v>
      </c>
      <c r="T526" s="3" t="s">
        <v>2276</v>
      </c>
      <c r="U526" s="3" t="s">
        <v>2276</v>
      </c>
      <c r="V526" s="3">
        <v>3</v>
      </c>
      <c r="W526" s="4" t="s">
        <v>4992</v>
      </c>
    </row>
    <row r="527" spans="1:23" ht="33.5" customHeight="1">
      <c r="A527" s="11" t="s">
        <v>4994</v>
      </c>
      <c r="B527" s="11" t="s">
        <v>4998</v>
      </c>
      <c r="C527" s="3" t="s">
        <v>24</v>
      </c>
      <c r="D527" s="3" t="s">
        <v>2660</v>
      </c>
      <c r="E527" s="3" t="s">
        <v>5005</v>
      </c>
      <c r="F527" s="4" t="s">
        <v>2662</v>
      </c>
      <c r="G527" s="3"/>
      <c r="H527" s="4" t="s">
        <v>541</v>
      </c>
      <c r="I527" s="3" t="s">
        <v>2276</v>
      </c>
      <c r="J527" s="3" t="s">
        <v>2276</v>
      </c>
      <c r="K527" s="3" t="s">
        <v>2276</v>
      </c>
      <c r="L527" s="3" t="s">
        <v>2276</v>
      </c>
      <c r="M527" s="3" t="s">
        <v>2276</v>
      </c>
      <c r="N527" s="3" t="s">
        <v>2276</v>
      </c>
      <c r="O527" s="3" t="s">
        <v>2276</v>
      </c>
      <c r="P527" s="3" t="s">
        <v>2276</v>
      </c>
      <c r="Q527" s="3" t="s">
        <v>2276</v>
      </c>
      <c r="R527" s="3" t="s">
        <v>537</v>
      </c>
      <c r="S527" s="3" t="s">
        <v>2276</v>
      </c>
      <c r="T527" s="3" t="s">
        <v>2276</v>
      </c>
      <c r="U527" s="3" t="s">
        <v>2276</v>
      </c>
      <c r="V527" s="3" t="s">
        <v>2276</v>
      </c>
      <c r="W527" s="3"/>
    </row>
    <row r="528" spans="1:23" ht="29">
      <c r="A528" s="11" t="s">
        <v>4994</v>
      </c>
      <c r="B528" s="11" t="s">
        <v>4999</v>
      </c>
      <c r="C528" s="3" t="s">
        <v>24</v>
      </c>
      <c r="D528" s="3" t="s">
        <v>1245</v>
      </c>
      <c r="E528" s="3" t="s">
        <v>116</v>
      </c>
      <c r="F528" s="4" t="s">
        <v>2662</v>
      </c>
      <c r="G528" s="3"/>
      <c r="H528" s="4" t="s">
        <v>541</v>
      </c>
      <c r="I528" s="3" t="s">
        <v>2276</v>
      </c>
      <c r="J528" s="3" t="s">
        <v>2276</v>
      </c>
      <c r="K528" s="3" t="s">
        <v>2276</v>
      </c>
      <c r="L528" s="3" t="s">
        <v>2276</v>
      </c>
      <c r="M528" s="3" t="s">
        <v>2276</v>
      </c>
      <c r="N528" s="3" t="s">
        <v>2276</v>
      </c>
      <c r="O528" s="3" t="s">
        <v>2276</v>
      </c>
      <c r="P528" s="3" t="s">
        <v>2276</v>
      </c>
      <c r="Q528" s="3" t="s">
        <v>2276</v>
      </c>
      <c r="R528" s="3" t="s">
        <v>537</v>
      </c>
      <c r="S528" s="3" t="s">
        <v>2276</v>
      </c>
      <c r="T528" s="3" t="s">
        <v>2276</v>
      </c>
      <c r="U528" s="3" t="s">
        <v>2276</v>
      </c>
      <c r="V528" s="3" t="s">
        <v>2276</v>
      </c>
      <c r="W528" s="3"/>
    </row>
    <row r="529" spans="1:23" ht="29">
      <c r="A529" s="11" t="s">
        <v>4994</v>
      </c>
      <c r="B529" s="11" t="s">
        <v>5000</v>
      </c>
      <c r="C529" s="3" t="s">
        <v>24</v>
      </c>
      <c r="D529" s="3" t="s">
        <v>1131</v>
      </c>
      <c r="E529" s="3" t="s">
        <v>5005</v>
      </c>
      <c r="F529" s="4" t="s">
        <v>2662</v>
      </c>
      <c r="G529" s="3"/>
      <c r="H529" s="4" t="s">
        <v>541</v>
      </c>
      <c r="I529" s="3" t="s">
        <v>2276</v>
      </c>
      <c r="J529" s="3" t="s">
        <v>2276</v>
      </c>
      <c r="K529" s="3" t="s">
        <v>2276</v>
      </c>
      <c r="L529" s="3" t="s">
        <v>2276</v>
      </c>
      <c r="M529" s="3" t="s">
        <v>2276</v>
      </c>
      <c r="N529" s="3" t="s">
        <v>2276</v>
      </c>
      <c r="O529" s="3" t="s">
        <v>2276</v>
      </c>
      <c r="P529" s="3" t="s">
        <v>2276</v>
      </c>
      <c r="Q529" s="3" t="s">
        <v>2276</v>
      </c>
      <c r="R529" s="3" t="s">
        <v>537</v>
      </c>
      <c r="S529" s="3" t="s">
        <v>2276</v>
      </c>
      <c r="T529" s="3" t="s">
        <v>2276</v>
      </c>
      <c r="U529" s="3" t="s">
        <v>2276</v>
      </c>
      <c r="V529" s="3" t="s">
        <v>2276</v>
      </c>
      <c r="W529" s="3"/>
    </row>
    <row r="530" spans="1:23" ht="29">
      <c r="A530" s="11" t="s">
        <v>4994</v>
      </c>
      <c r="B530" s="11" t="s">
        <v>5001</v>
      </c>
      <c r="C530" s="3" t="s">
        <v>24</v>
      </c>
      <c r="D530" s="3" t="s">
        <v>1131</v>
      </c>
      <c r="E530" s="3" t="s">
        <v>116</v>
      </c>
      <c r="F530" s="4" t="s">
        <v>2662</v>
      </c>
      <c r="G530" s="3"/>
      <c r="H530" s="4" t="s">
        <v>541</v>
      </c>
      <c r="I530" s="3" t="s">
        <v>2276</v>
      </c>
      <c r="J530" s="3" t="s">
        <v>2276</v>
      </c>
      <c r="K530" s="3" t="s">
        <v>2276</v>
      </c>
      <c r="L530" s="3" t="s">
        <v>2276</v>
      </c>
      <c r="M530" s="3" t="s">
        <v>2276</v>
      </c>
      <c r="N530" s="3" t="s">
        <v>2276</v>
      </c>
      <c r="O530" s="3" t="s">
        <v>2276</v>
      </c>
      <c r="P530" s="3" t="s">
        <v>2276</v>
      </c>
      <c r="Q530" s="3" t="s">
        <v>2276</v>
      </c>
      <c r="R530" s="3" t="s">
        <v>537</v>
      </c>
      <c r="S530" s="3" t="s">
        <v>2276</v>
      </c>
      <c r="T530" s="3" t="s">
        <v>2276</v>
      </c>
      <c r="U530" s="3" t="s">
        <v>2276</v>
      </c>
      <c r="V530" s="3" t="s">
        <v>2276</v>
      </c>
      <c r="W530" s="3"/>
    </row>
    <row r="531" spans="1:23" ht="36.5" customHeight="1">
      <c r="A531" s="19" t="s">
        <v>5109</v>
      </c>
      <c r="B531" s="19" t="s">
        <v>5111</v>
      </c>
      <c r="C531" s="4" t="s">
        <v>24</v>
      </c>
      <c r="D531" s="4" t="s">
        <v>1105</v>
      </c>
      <c r="E531" s="4" t="s">
        <v>1105</v>
      </c>
      <c r="F531" s="4" t="s">
        <v>2662</v>
      </c>
      <c r="G531" s="4"/>
      <c r="H531" s="4" t="s">
        <v>541</v>
      </c>
      <c r="I531" s="3" t="s">
        <v>2276</v>
      </c>
      <c r="J531" s="3" t="s">
        <v>2276</v>
      </c>
      <c r="K531" s="3" t="s">
        <v>2276</v>
      </c>
      <c r="L531" s="3" t="s">
        <v>2276</v>
      </c>
      <c r="M531" s="3" t="s">
        <v>2276</v>
      </c>
      <c r="N531" s="3" t="s">
        <v>2276</v>
      </c>
      <c r="O531" s="3" t="s">
        <v>2276</v>
      </c>
      <c r="P531" s="3" t="s">
        <v>2276</v>
      </c>
      <c r="Q531" s="3" t="s">
        <v>2276</v>
      </c>
      <c r="R531" s="4" t="s">
        <v>534</v>
      </c>
      <c r="S531" s="3" t="s">
        <v>2276</v>
      </c>
      <c r="T531" s="3" t="s">
        <v>2276</v>
      </c>
      <c r="U531" s="3" t="s">
        <v>2276</v>
      </c>
      <c r="V531" s="4">
        <v>1</v>
      </c>
      <c r="W531" s="4" t="s">
        <v>5115</v>
      </c>
    </row>
    <row r="532" spans="1:23" ht="43.5" customHeight="1">
      <c r="A532" s="11" t="s">
        <v>5123</v>
      </c>
      <c r="B532" s="3" t="s">
        <v>5140</v>
      </c>
      <c r="C532" s="4" t="s">
        <v>24</v>
      </c>
      <c r="D532" s="3" t="s">
        <v>1242</v>
      </c>
      <c r="E532" s="4" t="s">
        <v>137</v>
      </c>
      <c r="F532" s="4" t="s">
        <v>2662</v>
      </c>
      <c r="G532" s="3"/>
      <c r="H532" s="4" t="s">
        <v>541</v>
      </c>
      <c r="I532" s="3" t="s">
        <v>537</v>
      </c>
      <c r="J532" s="3" t="s">
        <v>537</v>
      </c>
      <c r="K532" s="3" t="s">
        <v>537</v>
      </c>
      <c r="L532" s="3" t="s">
        <v>537</v>
      </c>
      <c r="M532" s="3" t="s">
        <v>2276</v>
      </c>
      <c r="N532" s="3" t="s">
        <v>2276</v>
      </c>
      <c r="O532" s="3" t="s">
        <v>2276</v>
      </c>
      <c r="P532" s="3" t="s">
        <v>2276</v>
      </c>
      <c r="Q532" s="3" t="s">
        <v>2276</v>
      </c>
      <c r="R532" s="3" t="s">
        <v>2276</v>
      </c>
      <c r="S532" s="3" t="s">
        <v>2276</v>
      </c>
      <c r="T532" s="3" t="s">
        <v>2276</v>
      </c>
      <c r="U532" s="3" t="s">
        <v>2276</v>
      </c>
      <c r="V532" s="3" t="s">
        <v>2276</v>
      </c>
      <c r="W532" s="3"/>
    </row>
    <row r="533" spans="1:23" ht="43.5" customHeight="1">
      <c r="A533" s="11" t="s">
        <v>5124</v>
      </c>
      <c r="B533" s="3" t="s">
        <v>5141</v>
      </c>
      <c r="C533" s="4" t="s">
        <v>24</v>
      </c>
      <c r="D533" s="3" t="s">
        <v>1242</v>
      </c>
      <c r="E533" s="4" t="s">
        <v>137</v>
      </c>
      <c r="F533" s="4" t="s">
        <v>2662</v>
      </c>
      <c r="G533" s="3"/>
      <c r="H533" s="4" t="s">
        <v>541</v>
      </c>
      <c r="I533" s="3" t="s">
        <v>537</v>
      </c>
      <c r="J533" s="3" t="s">
        <v>537</v>
      </c>
      <c r="K533" s="3" t="s">
        <v>537</v>
      </c>
      <c r="L533" s="3" t="s">
        <v>537</v>
      </c>
      <c r="M533" s="3" t="s">
        <v>2276</v>
      </c>
      <c r="N533" s="3" t="s">
        <v>2276</v>
      </c>
      <c r="O533" s="3" t="s">
        <v>2276</v>
      </c>
      <c r="P533" s="3" t="s">
        <v>2276</v>
      </c>
      <c r="Q533" s="3" t="s">
        <v>2276</v>
      </c>
      <c r="R533" s="3" t="s">
        <v>2276</v>
      </c>
      <c r="S533" s="3" t="s">
        <v>2276</v>
      </c>
      <c r="T533" s="3" t="s">
        <v>2276</v>
      </c>
      <c r="U533" s="3" t="s">
        <v>2276</v>
      </c>
      <c r="V533" s="3" t="s">
        <v>2276</v>
      </c>
      <c r="W533" s="3"/>
    </row>
    <row r="534" spans="1:23" ht="43.5" customHeight="1">
      <c r="A534" s="11" t="s">
        <v>5125</v>
      </c>
      <c r="B534" s="3" t="s">
        <v>5142</v>
      </c>
      <c r="C534" s="4" t="s">
        <v>24</v>
      </c>
      <c r="D534" s="3" t="s">
        <v>1242</v>
      </c>
      <c r="E534" s="4" t="s">
        <v>137</v>
      </c>
      <c r="F534" s="4" t="s">
        <v>2662</v>
      </c>
      <c r="G534" s="3"/>
      <c r="H534" s="4" t="s">
        <v>541</v>
      </c>
      <c r="I534" s="3" t="s">
        <v>537</v>
      </c>
      <c r="J534" s="3" t="s">
        <v>537</v>
      </c>
      <c r="K534" s="3" t="s">
        <v>537</v>
      </c>
      <c r="L534" s="3" t="s">
        <v>537</v>
      </c>
      <c r="M534" s="3" t="s">
        <v>2276</v>
      </c>
      <c r="N534" s="3" t="s">
        <v>2276</v>
      </c>
      <c r="O534" s="3" t="s">
        <v>2276</v>
      </c>
      <c r="P534" s="3" t="s">
        <v>2276</v>
      </c>
      <c r="Q534" s="3" t="s">
        <v>2276</v>
      </c>
      <c r="R534" s="3" t="s">
        <v>2276</v>
      </c>
      <c r="S534" s="3" t="s">
        <v>2276</v>
      </c>
      <c r="T534" s="3" t="s">
        <v>2276</v>
      </c>
      <c r="U534" s="3" t="s">
        <v>2276</v>
      </c>
      <c r="V534" s="3" t="s">
        <v>2276</v>
      </c>
      <c r="W534" s="3"/>
    </row>
    <row r="535" spans="1:23" ht="43.5" customHeight="1">
      <c r="A535" s="11" t="s">
        <v>5126</v>
      </c>
      <c r="B535" s="3" t="s">
        <v>5143</v>
      </c>
      <c r="C535" s="4" t="s">
        <v>24</v>
      </c>
      <c r="D535" s="3" t="s">
        <v>1242</v>
      </c>
      <c r="E535" s="4" t="s">
        <v>137</v>
      </c>
      <c r="F535" s="4" t="s">
        <v>2662</v>
      </c>
      <c r="G535" s="3"/>
      <c r="H535" s="4" t="s">
        <v>541</v>
      </c>
      <c r="I535" s="3" t="s">
        <v>537</v>
      </c>
      <c r="J535" s="3" t="s">
        <v>537</v>
      </c>
      <c r="K535" s="3" t="s">
        <v>537</v>
      </c>
      <c r="L535" s="3" t="s">
        <v>537</v>
      </c>
      <c r="M535" s="3" t="s">
        <v>2276</v>
      </c>
      <c r="N535" s="3" t="s">
        <v>2276</v>
      </c>
      <c r="O535" s="3" t="s">
        <v>2276</v>
      </c>
      <c r="P535" s="3" t="s">
        <v>2276</v>
      </c>
      <c r="Q535" s="3" t="s">
        <v>2276</v>
      </c>
      <c r="R535" s="3" t="s">
        <v>2276</v>
      </c>
      <c r="S535" s="3" t="s">
        <v>2276</v>
      </c>
      <c r="T535" s="3" t="s">
        <v>2276</v>
      </c>
      <c r="U535" s="3" t="s">
        <v>2276</v>
      </c>
      <c r="V535" s="3" t="s">
        <v>2276</v>
      </c>
      <c r="W535" s="3"/>
    </row>
    <row r="536" spans="1:23" ht="43.5" customHeight="1">
      <c r="A536" s="11" t="s">
        <v>5127</v>
      </c>
      <c r="B536" s="3" t="s">
        <v>5144</v>
      </c>
      <c r="C536" s="4" t="s">
        <v>24</v>
      </c>
      <c r="D536" s="3" t="s">
        <v>1242</v>
      </c>
      <c r="E536" s="4" t="s">
        <v>137</v>
      </c>
      <c r="F536" s="4" t="s">
        <v>2662</v>
      </c>
      <c r="G536" s="3"/>
      <c r="H536" s="4" t="s">
        <v>541</v>
      </c>
      <c r="I536" s="3" t="s">
        <v>537</v>
      </c>
      <c r="J536" s="3" t="s">
        <v>537</v>
      </c>
      <c r="K536" s="3" t="s">
        <v>537</v>
      </c>
      <c r="L536" s="3" t="s">
        <v>537</v>
      </c>
      <c r="M536" s="3" t="s">
        <v>2276</v>
      </c>
      <c r="N536" s="3" t="s">
        <v>2276</v>
      </c>
      <c r="O536" s="3" t="s">
        <v>2276</v>
      </c>
      <c r="P536" s="3" t="s">
        <v>2276</v>
      </c>
      <c r="Q536" s="3" t="s">
        <v>2276</v>
      </c>
      <c r="R536" s="3" t="s">
        <v>2276</v>
      </c>
      <c r="S536" s="3" t="s">
        <v>2276</v>
      </c>
      <c r="T536" s="3" t="s">
        <v>2276</v>
      </c>
      <c r="U536" s="3" t="s">
        <v>2276</v>
      </c>
      <c r="V536" s="3" t="s">
        <v>2276</v>
      </c>
      <c r="W536" s="3"/>
    </row>
    <row r="537" spans="1:23" ht="43.5" customHeight="1">
      <c r="A537" s="11" t="s">
        <v>5128</v>
      </c>
      <c r="B537" s="3" t="s">
        <v>5145</v>
      </c>
      <c r="C537" s="4" t="s">
        <v>24</v>
      </c>
      <c r="D537" s="3" t="s">
        <v>1242</v>
      </c>
      <c r="E537" s="4" t="s">
        <v>137</v>
      </c>
      <c r="F537" s="4" t="s">
        <v>2662</v>
      </c>
      <c r="G537" s="3"/>
      <c r="H537" s="4" t="s">
        <v>541</v>
      </c>
      <c r="I537" s="3" t="s">
        <v>2691</v>
      </c>
      <c r="J537" s="3" t="s">
        <v>2276</v>
      </c>
      <c r="K537" s="3" t="s">
        <v>534</v>
      </c>
      <c r="L537" s="3" t="s">
        <v>2276</v>
      </c>
      <c r="M537" s="3" t="s">
        <v>2276</v>
      </c>
      <c r="N537" s="3" t="s">
        <v>2276</v>
      </c>
      <c r="O537" s="3" t="s">
        <v>2276</v>
      </c>
      <c r="P537" s="3" t="s">
        <v>2276</v>
      </c>
      <c r="Q537" s="3" t="s">
        <v>2276</v>
      </c>
      <c r="R537" s="3" t="s">
        <v>537</v>
      </c>
      <c r="S537" s="3" t="s">
        <v>537</v>
      </c>
      <c r="T537" s="3" t="s">
        <v>537</v>
      </c>
      <c r="U537" s="3" t="s">
        <v>537</v>
      </c>
      <c r="V537" s="3" t="s">
        <v>2276</v>
      </c>
      <c r="W537" s="4" t="s">
        <v>5164</v>
      </c>
    </row>
    <row r="538" spans="1:23" ht="43.5" customHeight="1">
      <c r="A538" s="11" t="s">
        <v>5129</v>
      </c>
      <c r="B538" s="3" t="s">
        <v>5146</v>
      </c>
      <c r="C538" s="4" t="s">
        <v>24</v>
      </c>
      <c r="D538" s="3" t="s">
        <v>1242</v>
      </c>
      <c r="E538" s="4" t="s">
        <v>137</v>
      </c>
      <c r="F538" s="4" t="s">
        <v>2662</v>
      </c>
      <c r="G538" s="3"/>
      <c r="H538" s="4" t="s">
        <v>541</v>
      </c>
      <c r="I538" s="3" t="s">
        <v>2691</v>
      </c>
      <c r="J538" s="3" t="s">
        <v>2276</v>
      </c>
      <c r="K538" s="3" t="s">
        <v>534</v>
      </c>
      <c r="L538" s="3" t="s">
        <v>2276</v>
      </c>
      <c r="M538" s="3" t="s">
        <v>2276</v>
      </c>
      <c r="N538" s="3" t="s">
        <v>2276</v>
      </c>
      <c r="O538" s="3" t="s">
        <v>2276</v>
      </c>
      <c r="P538" s="3" t="s">
        <v>2276</v>
      </c>
      <c r="Q538" s="3" t="s">
        <v>2276</v>
      </c>
      <c r="R538" s="3" t="s">
        <v>537</v>
      </c>
      <c r="S538" s="3" t="s">
        <v>537</v>
      </c>
      <c r="T538" s="3" t="s">
        <v>537</v>
      </c>
      <c r="U538" s="3" t="s">
        <v>537</v>
      </c>
      <c r="V538" s="3" t="s">
        <v>2276</v>
      </c>
      <c r="W538" s="4" t="s">
        <v>5164</v>
      </c>
    </row>
    <row r="539" spans="1:23" ht="43.5" customHeight="1">
      <c r="A539" s="11" t="s">
        <v>5130</v>
      </c>
      <c r="B539" s="3" t="s">
        <v>5147</v>
      </c>
      <c r="C539" s="4" t="s">
        <v>24</v>
      </c>
      <c r="D539" s="3" t="s">
        <v>1242</v>
      </c>
      <c r="E539" s="4" t="s">
        <v>137</v>
      </c>
      <c r="F539" s="4" t="s">
        <v>2662</v>
      </c>
      <c r="G539" s="3"/>
      <c r="H539" s="4" t="s">
        <v>541</v>
      </c>
      <c r="I539" s="3" t="s">
        <v>2691</v>
      </c>
      <c r="J539" s="3" t="s">
        <v>2276</v>
      </c>
      <c r="K539" s="3" t="s">
        <v>534</v>
      </c>
      <c r="L539" s="3" t="s">
        <v>2276</v>
      </c>
      <c r="M539" s="3" t="s">
        <v>2276</v>
      </c>
      <c r="N539" s="3" t="s">
        <v>2276</v>
      </c>
      <c r="O539" s="3" t="s">
        <v>2276</v>
      </c>
      <c r="P539" s="3" t="s">
        <v>2276</v>
      </c>
      <c r="Q539" s="3" t="s">
        <v>2276</v>
      </c>
      <c r="R539" s="3" t="s">
        <v>537</v>
      </c>
      <c r="S539" s="3" t="s">
        <v>537</v>
      </c>
      <c r="T539" s="3" t="s">
        <v>537</v>
      </c>
      <c r="U539" s="3" t="s">
        <v>537</v>
      </c>
      <c r="V539" s="3" t="s">
        <v>2276</v>
      </c>
      <c r="W539" s="4" t="s">
        <v>5164</v>
      </c>
    </row>
    <row r="540" spans="1:23" ht="43.5" customHeight="1">
      <c r="A540" s="11" t="s">
        <v>5131</v>
      </c>
      <c r="B540" s="3" t="s">
        <v>5148</v>
      </c>
      <c r="C540" s="4" t="s">
        <v>24</v>
      </c>
      <c r="D540" s="3" t="s">
        <v>1242</v>
      </c>
      <c r="E540" s="4" t="s">
        <v>137</v>
      </c>
      <c r="F540" s="4" t="s">
        <v>2662</v>
      </c>
      <c r="G540" s="3"/>
      <c r="H540" s="4" t="s">
        <v>541</v>
      </c>
      <c r="I540" s="3" t="s">
        <v>2691</v>
      </c>
      <c r="J540" s="3" t="s">
        <v>2276</v>
      </c>
      <c r="K540" s="3" t="s">
        <v>534</v>
      </c>
      <c r="L540" s="3" t="s">
        <v>2276</v>
      </c>
      <c r="M540" s="3" t="s">
        <v>2276</v>
      </c>
      <c r="N540" s="3" t="s">
        <v>2276</v>
      </c>
      <c r="O540" s="3" t="s">
        <v>2276</v>
      </c>
      <c r="P540" s="3" t="s">
        <v>2276</v>
      </c>
      <c r="Q540" s="3" t="s">
        <v>2276</v>
      </c>
      <c r="R540" s="3" t="s">
        <v>537</v>
      </c>
      <c r="S540" s="3" t="s">
        <v>537</v>
      </c>
      <c r="T540" s="3" t="s">
        <v>537</v>
      </c>
      <c r="U540" s="3" t="s">
        <v>537</v>
      </c>
      <c r="V540" s="3" t="s">
        <v>2276</v>
      </c>
      <c r="W540" s="4" t="s">
        <v>5164</v>
      </c>
    </row>
    <row r="541" spans="1:23" ht="43.5" customHeight="1">
      <c r="A541" s="11" t="s">
        <v>5132</v>
      </c>
      <c r="B541" s="3" t="s">
        <v>5149</v>
      </c>
      <c r="C541" s="4" t="s">
        <v>24</v>
      </c>
      <c r="D541" s="3" t="s">
        <v>1242</v>
      </c>
      <c r="E541" s="4" t="s">
        <v>137</v>
      </c>
      <c r="F541" s="4" t="s">
        <v>2662</v>
      </c>
      <c r="G541" s="3"/>
      <c r="H541" s="4" t="s">
        <v>541</v>
      </c>
      <c r="I541" s="3" t="s">
        <v>2691</v>
      </c>
      <c r="J541" s="3" t="s">
        <v>2276</v>
      </c>
      <c r="K541" s="3" t="s">
        <v>534</v>
      </c>
      <c r="L541" s="3" t="s">
        <v>2276</v>
      </c>
      <c r="M541" s="3" t="s">
        <v>2276</v>
      </c>
      <c r="N541" s="3" t="s">
        <v>2276</v>
      </c>
      <c r="O541" s="3" t="s">
        <v>2276</v>
      </c>
      <c r="P541" s="3" t="s">
        <v>2276</v>
      </c>
      <c r="Q541" s="3" t="s">
        <v>2276</v>
      </c>
      <c r="R541" s="3" t="s">
        <v>537</v>
      </c>
      <c r="S541" s="3" t="s">
        <v>537</v>
      </c>
      <c r="T541" s="3" t="s">
        <v>537</v>
      </c>
      <c r="U541" s="3" t="s">
        <v>537</v>
      </c>
      <c r="V541" s="3" t="s">
        <v>2276</v>
      </c>
      <c r="W541" s="4" t="s">
        <v>5164</v>
      </c>
    </row>
    <row r="542" spans="1:23" ht="42.5" customHeight="1">
      <c r="A542" s="3" t="s">
        <v>5190</v>
      </c>
      <c r="B542" s="11" t="s">
        <v>5193</v>
      </c>
      <c r="C542" s="4" t="s">
        <v>24</v>
      </c>
      <c r="D542" s="3" t="s">
        <v>1105</v>
      </c>
      <c r="E542" s="3" t="s">
        <v>396</v>
      </c>
      <c r="F542" s="3" t="s">
        <v>74</v>
      </c>
      <c r="G542" s="3">
        <v>2015</v>
      </c>
      <c r="H542" s="4" t="s">
        <v>541</v>
      </c>
      <c r="I542" s="3" t="s">
        <v>2276</v>
      </c>
      <c r="J542" s="3" t="s">
        <v>2276</v>
      </c>
      <c r="K542" s="3" t="s">
        <v>2276</v>
      </c>
      <c r="L542" s="3" t="s">
        <v>2276</v>
      </c>
      <c r="M542" s="3" t="s">
        <v>2276</v>
      </c>
      <c r="N542" s="3" t="s">
        <v>2276</v>
      </c>
      <c r="O542" s="3" t="s">
        <v>2276</v>
      </c>
      <c r="P542" s="3" t="s">
        <v>2276</v>
      </c>
      <c r="Q542" s="3" t="s">
        <v>2276</v>
      </c>
      <c r="R542" s="3" t="s">
        <v>534</v>
      </c>
      <c r="S542" s="3" t="s">
        <v>2276</v>
      </c>
      <c r="T542" s="3" t="s">
        <v>2276</v>
      </c>
      <c r="U542" s="3" t="s">
        <v>2276</v>
      </c>
      <c r="V542" s="3">
        <v>3</v>
      </c>
      <c r="W542" s="19" t="s">
        <v>5206</v>
      </c>
    </row>
    <row r="543" spans="1:23" ht="43.5">
      <c r="A543" s="3" t="s">
        <v>5190</v>
      </c>
      <c r="B543" s="11" t="s">
        <v>5194</v>
      </c>
      <c r="C543" s="4" t="s">
        <v>24</v>
      </c>
      <c r="D543" s="3" t="s">
        <v>1105</v>
      </c>
      <c r="E543" s="3" t="s">
        <v>130</v>
      </c>
      <c r="F543" s="3" t="s">
        <v>74</v>
      </c>
      <c r="G543" s="3">
        <v>2015</v>
      </c>
      <c r="H543" s="4" t="s">
        <v>541</v>
      </c>
      <c r="I543" s="3" t="s">
        <v>2276</v>
      </c>
      <c r="J543" s="3" t="s">
        <v>2276</v>
      </c>
      <c r="K543" s="3" t="s">
        <v>2276</v>
      </c>
      <c r="L543" s="3" t="s">
        <v>2276</v>
      </c>
      <c r="M543" s="3" t="s">
        <v>2276</v>
      </c>
      <c r="N543" s="3" t="s">
        <v>2276</v>
      </c>
      <c r="O543" s="3" t="s">
        <v>2276</v>
      </c>
      <c r="P543" s="3" t="s">
        <v>2276</v>
      </c>
      <c r="Q543" s="3" t="s">
        <v>2276</v>
      </c>
      <c r="R543" s="3" t="s">
        <v>534</v>
      </c>
      <c r="S543" s="3" t="s">
        <v>2276</v>
      </c>
      <c r="T543" s="3" t="s">
        <v>2276</v>
      </c>
      <c r="U543" s="3" t="s">
        <v>2276</v>
      </c>
      <c r="V543" s="3">
        <v>3</v>
      </c>
      <c r="W543" s="19" t="s">
        <v>5206</v>
      </c>
    </row>
    <row r="544" spans="1:23" ht="43.5">
      <c r="A544" s="3" t="s">
        <v>5190</v>
      </c>
      <c r="B544" s="11" t="s">
        <v>5195</v>
      </c>
      <c r="C544" s="4" t="s">
        <v>24</v>
      </c>
      <c r="D544" s="3" t="s">
        <v>1105</v>
      </c>
      <c r="E544" s="3" t="s">
        <v>863</v>
      </c>
      <c r="F544" s="3" t="s">
        <v>74</v>
      </c>
      <c r="G544" s="3">
        <v>2015</v>
      </c>
      <c r="H544" s="4" t="s">
        <v>541</v>
      </c>
      <c r="I544" s="3" t="s">
        <v>2276</v>
      </c>
      <c r="J544" s="3" t="s">
        <v>2276</v>
      </c>
      <c r="K544" s="3" t="s">
        <v>2276</v>
      </c>
      <c r="L544" s="3" t="s">
        <v>2276</v>
      </c>
      <c r="M544" s="3" t="s">
        <v>2276</v>
      </c>
      <c r="N544" s="3" t="s">
        <v>2276</v>
      </c>
      <c r="O544" s="3" t="s">
        <v>2276</v>
      </c>
      <c r="P544" s="3" t="s">
        <v>2276</v>
      </c>
      <c r="Q544" s="3" t="s">
        <v>2276</v>
      </c>
      <c r="R544" s="3" t="s">
        <v>534</v>
      </c>
      <c r="S544" s="3" t="s">
        <v>2276</v>
      </c>
      <c r="T544" s="3" t="s">
        <v>2276</v>
      </c>
      <c r="U544" s="3" t="s">
        <v>2276</v>
      </c>
      <c r="V544" s="3">
        <v>3</v>
      </c>
      <c r="W544" s="19" t="s">
        <v>5206</v>
      </c>
    </row>
    <row r="545" spans="1:23" ht="62" customHeight="1">
      <c r="A545" s="4" t="s">
        <v>5209</v>
      </c>
      <c r="B545" s="19" t="s">
        <v>5216</v>
      </c>
      <c r="C545" s="4" t="s">
        <v>24</v>
      </c>
      <c r="D545" s="4" t="s">
        <v>137</v>
      </c>
      <c r="E545" s="4" t="s">
        <v>144</v>
      </c>
      <c r="F545" s="4" t="s">
        <v>55</v>
      </c>
      <c r="G545" s="3"/>
      <c r="H545" s="4" t="s">
        <v>541</v>
      </c>
      <c r="I545" s="3" t="s">
        <v>2691</v>
      </c>
      <c r="J545" s="3" t="s">
        <v>2276</v>
      </c>
      <c r="K545" s="3" t="s">
        <v>534</v>
      </c>
      <c r="L545" s="3" t="s">
        <v>2276</v>
      </c>
      <c r="M545" s="3" t="s">
        <v>2728</v>
      </c>
      <c r="N545" s="3" t="s">
        <v>2276</v>
      </c>
      <c r="O545" s="3" t="s">
        <v>2276</v>
      </c>
      <c r="P545" s="3" t="s">
        <v>2276</v>
      </c>
      <c r="Q545" s="3" t="s">
        <v>2276</v>
      </c>
      <c r="R545" s="3" t="s">
        <v>537</v>
      </c>
      <c r="S545" s="3" t="s">
        <v>537</v>
      </c>
      <c r="T545" s="3" t="s">
        <v>537</v>
      </c>
      <c r="U545" s="3" t="s">
        <v>537</v>
      </c>
      <c r="V545" s="3" t="s">
        <v>2276</v>
      </c>
      <c r="W545" s="4" t="s">
        <v>5221</v>
      </c>
    </row>
    <row r="546" spans="1:23" ht="67.5" customHeight="1">
      <c r="A546" s="4" t="s">
        <v>5209</v>
      </c>
      <c r="B546" s="19" t="s">
        <v>5217</v>
      </c>
      <c r="C546" s="4" t="s">
        <v>24</v>
      </c>
      <c r="D546" s="4" t="s">
        <v>406</v>
      </c>
      <c r="E546" s="4" t="s">
        <v>137</v>
      </c>
      <c r="F546" s="4" t="s">
        <v>55</v>
      </c>
      <c r="G546" s="3"/>
      <c r="H546" s="4" t="s">
        <v>541</v>
      </c>
      <c r="I546" s="3" t="s">
        <v>2691</v>
      </c>
      <c r="J546" s="3" t="s">
        <v>2276</v>
      </c>
      <c r="K546" s="3" t="s">
        <v>534</v>
      </c>
      <c r="L546" s="3" t="s">
        <v>2276</v>
      </c>
      <c r="M546" s="3" t="s">
        <v>2728</v>
      </c>
      <c r="N546" s="3" t="s">
        <v>2276</v>
      </c>
      <c r="O546" s="3" t="s">
        <v>2276</v>
      </c>
      <c r="P546" s="3" t="s">
        <v>2276</v>
      </c>
      <c r="Q546" s="3" t="s">
        <v>2276</v>
      </c>
      <c r="R546" s="3" t="s">
        <v>537</v>
      </c>
      <c r="S546" s="3" t="s">
        <v>537</v>
      </c>
      <c r="T546" s="3" t="s">
        <v>537</v>
      </c>
      <c r="U546" s="3" t="s">
        <v>537</v>
      </c>
      <c r="V546" s="3" t="s">
        <v>2276</v>
      </c>
      <c r="W546" s="4" t="s">
        <v>5221</v>
      </c>
    </row>
    <row r="547" spans="1:23" ht="61" customHeight="1">
      <c r="A547" s="3" t="s">
        <v>5223</v>
      </c>
      <c r="B547" s="11" t="s">
        <v>5227</v>
      </c>
      <c r="C547" s="4" t="s">
        <v>24</v>
      </c>
      <c r="D547" s="3" t="s">
        <v>1105</v>
      </c>
      <c r="E547" s="3" t="s">
        <v>1105</v>
      </c>
      <c r="F547" s="3" t="s">
        <v>1105</v>
      </c>
      <c r="G547" s="3"/>
      <c r="H547" s="4" t="s">
        <v>541</v>
      </c>
      <c r="I547" s="3" t="s">
        <v>2276</v>
      </c>
      <c r="J547" s="3" t="s">
        <v>2276</v>
      </c>
      <c r="K547" s="3" t="s">
        <v>2276</v>
      </c>
      <c r="L547" s="3" t="s">
        <v>2276</v>
      </c>
      <c r="M547" s="3" t="s">
        <v>2728</v>
      </c>
      <c r="N547" s="3" t="s">
        <v>2276</v>
      </c>
      <c r="O547" s="3" t="s">
        <v>2276</v>
      </c>
      <c r="P547" s="3" t="s">
        <v>2276</v>
      </c>
      <c r="Q547" s="3">
        <v>1</v>
      </c>
      <c r="R547" s="3" t="s">
        <v>2276</v>
      </c>
      <c r="S547" s="3" t="s">
        <v>2276</v>
      </c>
      <c r="T547" s="3" t="s">
        <v>2276</v>
      </c>
      <c r="U547" s="3" t="s">
        <v>2276</v>
      </c>
      <c r="V547" s="3" t="s">
        <v>2276</v>
      </c>
      <c r="W547" s="19" t="s">
        <v>5232</v>
      </c>
    </row>
    <row r="548" spans="1:23" ht="41.5" customHeight="1">
      <c r="A548" s="3" t="s">
        <v>5337</v>
      </c>
      <c r="B548" s="11" t="s">
        <v>5346</v>
      </c>
      <c r="C548" s="4" t="s">
        <v>24</v>
      </c>
      <c r="D548" s="3" t="s">
        <v>1105</v>
      </c>
      <c r="E548" s="3" t="s">
        <v>1105</v>
      </c>
      <c r="F548" s="3" t="s">
        <v>74</v>
      </c>
      <c r="G548" s="3"/>
      <c r="H548" s="4" t="s">
        <v>541</v>
      </c>
      <c r="I548" s="3" t="s">
        <v>537</v>
      </c>
      <c r="J548" s="3" t="s">
        <v>537</v>
      </c>
      <c r="K548" s="3" t="s">
        <v>537</v>
      </c>
      <c r="L548" s="3" t="s">
        <v>537</v>
      </c>
      <c r="M548" s="3" t="s">
        <v>2276</v>
      </c>
      <c r="N548" s="3" t="s">
        <v>2276</v>
      </c>
      <c r="O548" s="3" t="s">
        <v>2276</v>
      </c>
      <c r="P548" s="3" t="s">
        <v>2276</v>
      </c>
      <c r="Q548" s="3" t="s">
        <v>2276</v>
      </c>
      <c r="R548" s="3" t="s">
        <v>2276</v>
      </c>
      <c r="S548" s="3" t="s">
        <v>2276</v>
      </c>
      <c r="T548" s="3" t="s">
        <v>2276</v>
      </c>
      <c r="U548" s="3" t="s">
        <v>2276</v>
      </c>
      <c r="V548" s="3" t="s">
        <v>2276</v>
      </c>
      <c r="W548" s="3"/>
    </row>
    <row r="549" spans="1:23" ht="67" customHeight="1">
      <c r="A549" s="3" t="s">
        <v>5338</v>
      </c>
      <c r="B549" s="11" t="s">
        <v>5349</v>
      </c>
      <c r="C549" s="4" t="s">
        <v>24</v>
      </c>
      <c r="D549" s="3" t="s">
        <v>1105</v>
      </c>
      <c r="E549" s="3" t="s">
        <v>84</v>
      </c>
      <c r="F549" s="3" t="s">
        <v>74</v>
      </c>
      <c r="G549" s="3"/>
      <c r="H549" s="4" t="s">
        <v>541</v>
      </c>
      <c r="I549" s="3" t="s">
        <v>537</v>
      </c>
      <c r="J549" s="3" t="s">
        <v>537</v>
      </c>
      <c r="K549" s="3" t="s">
        <v>537</v>
      </c>
      <c r="L549" s="3" t="s">
        <v>537</v>
      </c>
      <c r="M549" s="3" t="s">
        <v>2276</v>
      </c>
      <c r="N549" s="3" t="s">
        <v>2276</v>
      </c>
      <c r="O549" s="3" t="s">
        <v>2276</v>
      </c>
      <c r="P549" s="3" t="s">
        <v>2276</v>
      </c>
      <c r="Q549" s="3" t="s">
        <v>2276</v>
      </c>
      <c r="R549" s="3" t="s">
        <v>534</v>
      </c>
      <c r="S549" s="3" t="s">
        <v>2276</v>
      </c>
      <c r="T549" s="3" t="s">
        <v>2276</v>
      </c>
      <c r="U549" s="3" t="s">
        <v>534</v>
      </c>
      <c r="V549" s="3">
        <v>4</v>
      </c>
      <c r="W549" s="4" t="s">
        <v>5358</v>
      </c>
    </row>
    <row r="550" spans="1:23" ht="67" customHeight="1">
      <c r="A550" s="3" t="s">
        <v>5338</v>
      </c>
      <c r="B550" s="11" t="s">
        <v>5350</v>
      </c>
      <c r="C550" s="4" t="s">
        <v>24</v>
      </c>
      <c r="D550" s="3" t="s">
        <v>1105</v>
      </c>
      <c r="E550" s="3" t="s">
        <v>130</v>
      </c>
      <c r="F550" s="3" t="s">
        <v>74</v>
      </c>
      <c r="G550" s="3"/>
      <c r="H550" s="4" t="s">
        <v>541</v>
      </c>
      <c r="I550" s="3" t="s">
        <v>537</v>
      </c>
      <c r="J550" s="3" t="s">
        <v>537</v>
      </c>
      <c r="K550" s="3" t="s">
        <v>537</v>
      </c>
      <c r="L550" s="3" t="s">
        <v>537</v>
      </c>
      <c r="M550" s="3" t="s">
        <v>2276</v>
      </c>
      <c r="N550" s="3" t="s">
        <v>2276</v>
      </c>
      <c r="O550" s="3" t="s">
        <v>2276</v>
      </c>
      <c r="P550" s="3" t="s">
        <v>2276</v>
      </c>
      <c r="Q550" s="3" t="s">
        <v>2276</v>
      </c>
      <c r="R550" s="3" t="s">
        <v>534</v>
      </c>
      <c r="S550" s="3" t="s">
        <v>2276</v>
      </c>
      <c r="T550" s="3" t="s">
        <v>2276</v>
      </c>
      <c r="U550" s="3" t="s">
        <v>534</v>
      </c>
      <c r="V550" s="3">
        <v>2</v>
      </c>
      <c r="W550" s="4" t="s">
        <v>5358</v>
      </c>
    </row>
    <row r="551" spans="1:23" ht="67" customHeight="1">
      <c r="A551" s="3" t="s">
        <v>5338</v>
      </c>
      <c r="B551" s="11" t="s">
        <v>5351</v>
      </c>
      <c r="C551" s="4" t="s">
        <v>24</v>
      </c>
      <c r="D551" s="3" t="s">
        <v>1105</v>
      </c>
      <c r="E551" s="3" t="s">
        <v>130</v>
      </c>
      <c r="F551" s="3" t="s">
        <v>74</v>
      </c>
      <c r="G551" s="3"/>
      <c r="H551" s="4" t="s">
        <v>2674</v>
      </c>
      <c r="I551" s="3" t="s">
        <v>2690</v>
      </c>
      <c r="J551" s="3" t="s">
        <v>2276</v>
      </c>
      <c r="K551" s="3" t="s">
        <v>2276</v>
      </c>
      <c r="L551" s="3" t="s">
        <v>534</v>
      </c>
      <c r="M551" s="3" t="s">
        <v>2276</v>
      </c>
      <c r="N551" s="3" t="s">
        <v>2276</v>
      </c>
      <c r="O551" s="3" t="s">
        <v>2276</v>
      </c>
      <c r="P551" s="3" t="s">
        <v>2276</v>
      </c>
      <c r="Q551" s="3" t="s">
        <v>2276</v>
      </c>
      <c r="R551" s="3" t="s">
        <v>2276</v>
      </c>
      <c r="S551" s="3" t="s">
        <v>2276</v>
      </c>
      <c r="T551" s="3" t="s">
        <v>2276</v>
      </c>
      <c r="U551" s="3" t="s">
        <v>2276</v>
      </c>
      <c r="V551" s="3" t="s">
        <v>2276</v>
      </c>
      <c r="W551" s="19" t="s">
        <v>5360</v>
      </c>
    </row>
    <row r="552" spans="1:23" ht="67" customHeight="1">
      <c r="A552" s="3" t="s">
        <v>5338</v>
      </c>
      <c r="B552" s="11" t="s">
        <v>5359</v>
      </c>
      <c r="C552" s="4" t="s">
        <v>24</v>
      </c>
      <c r="D552" s="3" t="s">
        <v>1105</v>
      </c>
      <c r="E552" s="4" t="s">
        <v>116</v>
      </c>
      <c r="F552" s="3" t="s">
        <v>74</v>
      </c>
      <c r="G552" s="3"/>
      <c r="H552" s="4" t="s">
        <v>2674</v>
      </c>
      <c r="I552" s="3" t="s">
        <v>2690</v>
      </c>
      <c r="J552" s="3" t="s">
        <v>2276</v>
      </c>
      <c r="K552" s="3" t="s">
        <v>2276</v>
      </c>
      <c r="L552" s="3" t="s">
        <v>534</v>
      </c>
      <c r="M552" s="3" t="s">
        <v>2276</v>
      </c>
      <c r="N552" s="3" t="s">
        <v>2276</v>
      </c>
      <c r="O552" s="3" t="s">
        <v>2276</v>
      </c>
      <c r="P552" s="3" t="s">
        <v>2276</v>
      </c>
      <c r="Q552" s="3" t="s">
        <v>2276</v>
      </c>
      <c r="R552" s="3" t="s">
        <v>2276</v>
      </c>
      <c r="S552" s="3" t="s">
        <v>2276</v>
      </c>
      <c r="T552" s="3" t="s">
        <v>2276</v>
      </c>
      <c r="U552" s="3" t="s">
        <v>2276</v>
      </c>
      <c r="V552" s="3" t="s">
        <v>2276</v>
      </c>
      <c r="W552" s="19" t="s">
        <v>5360</v>
      </c>
    </row>
    <row r="553" spans="1:23" ht="67" customHeight="1">
      <c r="A553" s="3" t="s">
        <v>5339</v>
      </c>
      <c r="B553" s="11" t="s">
        <v>5353</v>
      </c>
      <c r="C553" s="4" t="s">
        <v>24</v>
      </c>
      <c r="D553" s="3" t="s">
        <v>1105</v>
      </c>
      <c r="E553" s="3" t="s">
        <v>1105</v>
      </c>
      <c r="F553" s="3" t="s">
        <v>74</v>
      </c>
      <c r="G553" s="3"/>
      <c r="H553" s="4" t="s">
        <v>541</v>
      </c>
      <c r="I553" s="3" t="s">
        <v>537</v>
      </c>
      <c r="J553" s="3" t="s">
        <v>537</v>
      </c>
      <c r="K553" s="3" t="s">
        <v>537</v>
      </c>
      <c r="L553" s="3" t="s">
        <v>537</v>
      </c>
      <c r="M553" s="3" t="s">
        <v>2276</v>
      </c>
      <c r="N553" s="3" t="s">
        <v>2276</v>
      </c>
      <c r="O553" s="3" t="s">
        <v>2276</v>
      </c>
      <c r="P553" s="3" t="s">
        <v>2276</v>
      </c>
      <c r="Q553" s="3" t="s">
        <v>2276</v>
      </c>
      <c r="R553" s="3" t="s">
        <v>2276</v>
      </c>
      <c r="S553" s="3" t="s">
        <v>2276</v>
      </c>
      <c r="T553" s="3" t="s">
        <v>2276</v>
      </c>
      <c r="U553" s="3" t="s">
        <v>2276</v>
      </c>
      <c r="V553" s="3" t="s">
        <v>2276</v>
      </c>
      <c r="W553" s="3"/>
    </row>
    <row r="554" spans="1:23" ht="67" customHeight="1">
      <c r="A554" s="3" t="s">
        <v>5340</v>
      </c>
      <c r="B554" s="11" t="s">
        <v>5356</v>
      </c>
      <c r="C554" s="4" t="s">
        <v>24</v>
      </c>
      <c r="D554" s="3" t="s">
        <v>1105</v>
      </c>
      <c r="E554" s="3" t="s">
        <v>84</v>
      </c>
      <c r="F554" s="3" t="s">
        <v>74</v>
      </c>
      <c r="G554" s="3"/>
      <c r="H554" s="4" t="s">
        <v>541</v>
      </c>
      <c r="I554" s="3" t="s">
        <v>537</v>
      </c>
      <c r="J554" s="3" t="s">
        <v>537</v>
      </c>
      <c r="K554" s="3" t="s">
        <v>537</v>
      </c>
      <c r="L554" s="3" t="s">
        <v>537</v>
      </c>
      <c r="M554" s="3" t="s">
        <v>2276</v>
      </c>
      <c r="N554" s="3" t="s">
        <v>2276</v>
      </c>
      <c r="O554" s="3" t="s">
        <v>2276</v>
      </c>
      <c r="P554" s="3" t="s">
        <v>2276</v>
      </c>
      <c r="Q554" s="3" t="s">
        <v>2276</v>
      </c>
      <c r="R554" s="3" t="s">
        <v>534</v>
      </c>
      <c r="S554" s="3" t="s">
        <v>2276</v>
      </c>
      <c r="T554" s="3" t="s">
        <v>2276</v>
      </c>
      <c r="U554" s="3" t="s">
        <v>534</v>
      </c>
      <c r="V554" s="3">
        <v>4</v>
      </c>
      <c r="W554" s="4" t="s">
        <v>5358</v>
      </c>
    </row>
    <row r="555" spans="1:23" ht="67" customHeight="1">
      <c r="A555" s="3" t="s">
        <v>5340</v>
      </c>
      <c r="B555" s="11" t="s">
        <v>5357</v>
      </c>
      <c r="C555" s="4" t="s">
        <v>24</v>
      </c>
      <c r="D555" s="3" t="s">
        <v>1105</v>
      </c>
      <c r="E555" s="3" t="s">
        <v>130</v>
      </c>
      <c r="F555" s="3" t="s">
        <v>74</v>
      </c>
      <c r="G555" s="3"/>
      <c r="H555" s="4" t="s">
        <v>541</v>
      </c>
      <c r="I555" s="3" t="s">
        <v>537</v>
      </c>
      <c r="J555" s="3" t="s">
        <v>537</v>
      </c>
      <c r="K555" s="3" t="s">
        <v>537</v>
      </c>
      <c r="L555" s="3" t="s">
        <v>537</v>
      </c>
      <c r="M555" s="3" t="s">
        <v>2276</v>
      </c>
      <c r="N555" s="3" t="s">
        <v>2276</v>
      </c>
      <c r="O555" s="3" t="s">
        <v>2276</v>
      </c>
      <c r="P555" s="3" t="s">
        <v>2276</v>
      </c>
      <c r="Q555" s="3" t="s">
        <v>2276</v>
      </c>
      <c r="R555" s="3" t="s">
        <v>534</v>
      </c>
      <c r="S555" s="3" t="s">
        <v>2276</v>
      </c>
      <c r="T555" s="3" t="s">
        <v>2276</v>
      </c>
      <c r="U555" s="3" t="s">
        <v>534</v>
      </c>
      <c r="V555" s="3">
        <v>2</v>
      </c>
      <c r="W555" s="4" t="s">
        <v>5358</v>
      </c>
    </row>
    <row r="556" spans="1:23" ht="79" customHeight="1">
      <c r="A556" s="152" t="s">
        <v>5370</v>
      </c>
      <c r="B556" s="152" t="s">
        <v>5374</v>
      </c>
      <c r="C556" s="152" t="s">
        <v>24</v>
      </c>
      <c r="D556" s="3" t="s">
        <v>1105</v>
      </c>
      <c r="E556" s="3" t="s">
        <v>1105</v>
      </c>
      <c r="F556" s="3" t="s">
        <v>74</v>
      </c>
      <c r="G556" s="3"/>
      <c r="H556" s="4" t="s">
        <v>541</v>
      </c>
      <c r="I556" s="3" t="s">
        <v>2276</v>
      </c>
      <c r="J556" s="3" t="s">
        <v>2276</v>
      </c>
      <c r="K556" s="3" t="s">
        <v>2276</v>
      </c>
      <c r="L556" s="3" t="s">
        <v>2276</v>
      </c>
      <c r="M556" s="3" t="s">
        <v>2670</v>
      </c>
      <c r="N556" s="3" t="s">
        <v>2276</v>
      </c>
      <c r="O556" s="3" t="s">
        <v>2276</v>
      </c>
      <c r="P556" s="3" t="s">
        <v>2276</v>
      </c>
      <c r="Q556" s="3">
        <v>4</v>
      </c>
      <c r="R556" s="3" t="s">
        <v>537</v>
      </c>
      <c r="S556" s="3" t="s">
        <v>2276</v>
      </c>
      <c r="T556" s="3" t="s">
        <v>2276</v>
      </c>
      <c r="U556" s="3" t="s">
        <v>2276</v>
      </c>
      <c r="V556" s="3" t="s">
        <v>2276</v>
      </c>
      <c r="W556" s="4" t="s">
        <v>5381</v>
      </c>
    </row>
    <row r="557" spans="1:23" ht="54.5" customHeight="1">
      <c r="A557" s="11" t="s">
        <v>5385</v>
      </c>
      <c r="B557" s="11" t="s">
        <v>5388</v>
      </c>
      <c r="C557" s="3" t="s">
        <v>24</v>
      </c>
      <c r="D557" s="3" t="s">
        <v>1242</v>
      </c>
      <c r="E557" s="4" t="s">
        <v>137</v>
      </c>
      <c r="F557" s="4" t="s">
        <v>2662</v>
      </c>
      <c r="G557" s="3"/>
      <c r="H557" s="4" t="s">
        <v>541</v>
      </c>
      <c r="I557" t="s">
        <v>2691</v>
      </c>
      <c r="J557" s="3" t="s">
        <v>2276</v>
      </c>
      <c r="K557" s="3" t="s">
        <v>2276</v>
      </c>
      <c r="L557" s="3" t="s">
        <v>2276</v>
      </c>
      <c r="M557" s="3" t="s">
        <v>2276</v>
      </c>
      <c r="N557" s="3" t="s">
        <v>2276</v>
      </c>
      <c r="O557" s="3" t="s">
        <v>2276</v>
      </c>
      <c r="P557" s="3" t="s">
        <v>2276</v>
      </c>
      <c r="Q557" s="3" t="s">
        <v>2276</v>
      </c>
      <c r="R557" s="3" t="s">
        <v>537</v>
      </c>
      <c r="S557" s="3" t="s">
        <v>537</v>
      </c>
      <c r="T557" s="3" t="s">
        <v>537</v>
      </c>
      <c r="U557" s="3" t="s">
        <v>537</v>
      </c>
      <c r="V557" s="3" t="s">
        <v>2276</v>
      </c>
      <c r="W557" s="19" t="s">
        <v>5400</v>
      </c>
    </row>
    <row r="558" spans="1:23" ht="47" customHeight="1">
      <c r="A558" s="35" t="s">
        <v>5385</v>
      </c>
      <c r="B558" s="35" t="s">
        <v>5389</v>
      </c>
      <c r="C558" s="38" t="s">
        <v>24</v>
      </c>
      <c r="D558" s="38" t="s">
        <v>1242</v>
      </c>
      <c r="E558" s="38" t="s">
        <v>116</v>
      </c>
      <c r="F558" s="168" t="s">
        <v>2662</v>
      </c>
      <c r="G558" s="38"/>
      <c r="H558" s="168" t="s">
        <v>541</v>
      </c>
      <c r="I558" t="s">
        <v>2691</v>
      </c>
      <c r="J558" s="38" t="s">
        <v>2276</v>
      </c>
      <c r="K558" s="38" t="s">
        <v>2276</v>
      </c>
      <c r="L558" s="38" t="s">
        <v>2276</v>
      </c>
      <c r="M558" s="38" t="s">
        <v>2276</v>
      </c>
      <c r="N558" s="38" t="s">
        <v>2276</v>
      </c>
      <c r="O558" s="38" t="s">
        <v>2276</v>
      </c>
      <c r="P558" s="38" t="s">
        <v>2276</v>
      </c>
      <c r="Q558" s="38" t="s">
        <v>2276</v>
      </c>
      <c r="R558" s="38" t="s">
        <v>537</v>
      </c>
      <c r="S558" s="38" t="s">
        <v>537</v>
      </c>
      <c r="T558" s="38" t="s">
        <v>537</v>
      </c>
      <c r="U558" s="38" t="s">
        <v>537</v>
      </c>
      <c r="V558" s="38" t="s">
        <v>2276</v>
      </c>
      <c r="W558" s="55" t="s">
        <v>5401</v>
      </c>
    </row>
    <row r="559" spans="1:23" ht="80" customHeight="1">
      <c r="A559" s="11" t="s">
        <v>5421</v>
      </c>
      <c r="B559" s="11" t="s">
        <v>5423</v>
      </c>
      <c r="C559" s="3" t="s">
        <v>24</v>
      </c>
      <c r="D559" s="3" t="s">
        <v>1242</v>
      </c>
      <c r="E559" s="4" t="s">
        <v>137</v>
      </c>
      <c r="F559" s="4" t="s">
        <v>2662</v>
      </c>
      <c r="G559" s="3"/>
      <c r="H559" s="4" t="s">
        <v>541</v>
      </c>
      <c r="I559" s="3" t="s">
        <v>2691</v>
      </c>
      <c r="J559" s="3" t="s">
        <v>2276</v>
      </c>
      <c r="K559" s="3" t="s">
        <v>534</v>
      </c>
      <c r="L559" s="3" t="s">
        <v>2276</v>
      </c>
      <c r="M559" s="3" t="s">
        <v>2276</v>
      </c>
      <c r="N559" s="3" t="s">
        <v>2276</v>
      </c>
      <c r="O559" s="3" t="s">
        <v>2276</v>
      </c>
      <c r="P559" s="3" t="s">
        <v>2276</v>
      </c>
      <c r="Q559" s="3" t="s">
        <v>2276</v>
      </c>
      <c r="R559" s="3" t="s">
        <v>537</v>
      </c>
      <c r="S559" s="3" t="s">
        <v>537</v>
      </c>
      <c r="T559" s="3" t="s">
        <v>537</v>
      </c>
      <c r="U559" s="3" t="s">
        <v>537</v>
      </c>
      <c r="V559" s="3" t="s">
        <v>2276</v>
      </c>
      <c r="W559" s="4" t="s">
        <v>5426</v>
      </c>
    </row>
    <row r="560" spans="1:23" ht="80" customHeight="1">
      <c r="A560" s="11" t="s">
        <v>5421</v>
      </c>
      <c r="B560" s="11" t="s">
        <v>5424</v>
      </c>
      <c r="C560" s="3" t="s">
        <v>24</v>
      </c>
      <c r="D560" s="3" t="s">
        <v>1242</v>
      </c>
      <c r="E560" s="4" t="s">
        <v>116</v>
      </c>
      <c r="F560" s="4" t="s">
        <v>2662</v>
      </c>
      <c r="G560" s="3"/>
      <c r="H560" s="4" t="s">
        <v>541</v>
      </c>
      <c r="I560" s="3" t="s">
        <v>2691</v>
      </c>
      <c r="J560" s="3" t="s">
        <v>2276</v>
      </c>
      <c r="K560" s="3" t="s">
        <v>534</v>
      </c>
      <c r="L560" s="3" t="s">
        <v>2276</v>
      </c>
      <c r="M560" s="3" t="s">
        <v>2276</v>
      </c>
      <c r="N560" s="3" t="s">
        <v>2276</v>
      </c>
      <c r="O560" s="3" t="s">
        <v>2276</v>
      </c>
      <c r="P560" s="3" t="s">
        <v>2276</v>
      </c>
      <c r="Q560" s="3" t="s">
        <v>2276</v>
      </c>
      <c r="R560" s="3" t="s">
        <v>537</v>
      </c>
      <c r="S560" s="3" t="s">
        <v>537</v>
      </c>
      <c r="T560" s="3" t="s">
        <v>537</v>
      </c>
      <c r="U560" s="3" t="s">
        <v>537</v>
      </c>
      <c r="V560" s="3" t="s">
        <v>2276</v>
      </c>
      <c r="W560" s="4" t="s">
        <v>5426</v>
      </c>
    </row>
    <row r="561" spans="1:23" ht="43" customHeight="1">
      <c r="A561" s="11" t="s">
        <v>5427</v>
      </c>
      <c r="B561" s="11" t="s">
        <v>5430</v>
      </c>
      <c r="C561" s="3" t="s">
        <v>24</v>
      </c>
      <c r="D561" s="3" t="s">
        <v>1105</v>
      </c>
      <c r="E561" s="3" t="s">
        <v>1105</v>
      </c>
      <c r="F561" s="3" t="s">
        <v>74</v>
      </c>
      <c r="G561" s="3">
        <v>2005</v>
      </c>
      <c r="H561" s="4" t="s">
        <v>541</v>
      </c>
      <c r="I561" s="3" t="s">
        <v>2276</v>
      </c>
      <c r="J561" s="3" t="s">
        <v>2276</v>
      </c>
      <c r="K561" s="3" t="s">
        <v>2276</v>
      </c>
      <c r="L561" s="3" t="s">
        <v>2276</v>
      </c>
      <c r="M561" s="3" t="s">
        <v>2276</v>
      </c>
      <c r="N561" s="3" t="s">
        <v>2276</v>
      </c>
      <c r="O561" s="3" t="s">
        <v>2276</v>
      </c>
      <c r="P561" s="3" t="s">
        <v>2276</v>
      </c>
      <c r="Q561" s="3" t="s">
        <v>2276</v>
      </c>
      <c r="R561" s="3" t="s">
        <v>534</v>
      </c>
      <c r="S561" s="3" t="s">
        <v>2276</v>
      </c>
      <c r="T561" s="3" t="s">
        <v>2276</v>
      </c>
      <c r="U561" s="3" t="s">
        <v>2276</v>
      </c>
      <c r="V561" s="3">
        <v>4</v>
      </c>
      <c r="W561" s="4" t="s">
        <v>5437</v>
      </c>
    </row>
    <row r="562" spans="1:23" ht="30.5" customHeight="1">
      <c r="A562" s="11" t="s">
        <v>5440</v>
      </c>
      <c r="B562" s="11" t="s">
        <v>5456</v>
      </c>
      <c r="C562" s="3" t="s">
        <v>24</v>
      </c>
      <c r="D562" s="3" t="s">
        <v>1105</v>
      </c>
      <c r="E562" s="3" t="s">
        <v>1105</v>
      </c>
      <c r="F562" s="3" t="s">
        <v>1105</v>
      </c>
      <c r="G562" s="3"/>
      <c r="H562" s="4" t="s">
        <v>541</v>
      </c>
      <c r="I562" s="3" t="s">
        <v>2276</v>
      </c>
      <c r="J562" s="3" t="s">
        <v>2276</v>
      </c>
      <c r="K562" s="3" t="s">
        <v>2276</v>
      </c>
      <c r="L562" s="3" t="s">
        <v>2276</v>
      </c>
      <c r="M562" s="3" t="s">
        <v>2276</v>
      </c>
      <c r="N562" s="3" t="s">
        <v>2276</v>
      </c>
      <c r="O562" s="3" t="s">
        <v>2276</v>
      </c>
      <c r="P562" s="3" t="s">
        <v>2276</v>
      </c>
      <c r="Q562" s="3" t="s">
        <v>2276</v>
      </c>
      <c r="R562" s="3" t="s">
        <v>534</v>
      </c>
      <c r="S562" s="3" t="s">
        <v>2276</v>
      </c>
      <c r="T562" s="3" t="s">
        <v>2276</v>
      </c>
      <c r="U562" s="3" t="s">
        <v>2276</v>
      </c>
      <c r="V562" s="3">
        <v>1</v>
      </c>
      <c r="W562" s="19" t="s">
        <v>5526</v>
      </c>
    </row>
    <row r="563" spans="1:23" ht="30.5" customHeight="1">
      <c r="A563" s="11" t="s">
        <v>5443</v>
      </c>
      <c r="B563" s="11" t="s">
        <v>5483</v>
      </c>
      <c r="C563" s="3" t="s">
        <v>24</v>
      </c>
      <c r="D563" s="3" t="s">
        <v>1105</v>
      </c>
      <c r="E563" s="3" t="s">
        <v>1105</v>
      </c>
      <c r="F563" s="3" t="s">
        <v>1105</v>
      </c>
      <c r="G563" s="3"/>
      <c r="H563" s="4" t="s">
        <v>541</v>
      </c>
      <c r="I563" s="3" t="s">
        <v>2276</v>
      </c>
      <c r="J563" s="3" t="s">
        <v>2276</v>
      </c>
      <c r="K563" s="3" t="s">
        <v>2276</v>
      </c>
      <c r="L563" s="3" t="s">
        <v>2276</v>
      </c>
      <c r="M563" s="3" t="s">
        <v>2276</v>
      </c>
      <c r="N563" s="3" t="s">
        <v>2276</v>
      </c>
      <c r="O563" s="3" t="s">
        <v>2276</v>
      </c>
      <c r="P563" s="3" t="s">
        <v>2276</v>
      </c>
      <c r="Q563" s="3" t="s">
        <v>2276</v>
      </c>
      <c r="R563" s="3" t="s">
        <v>534</v>
      </c>
      <c r="S563" s="3" t="s">
        <v>2276</v>
      </c>
      <c r="T563" s="3" t="s">
        <v>2276</v>
      </c>
      <c r="U563" s="3" t="s">
        <v>2276</v>
      </c>
      <c r="V563" s="3">
        <v>1</v>
      </c>
      <c r="W563" s="19" t="s">
        <v>5526</v>
      </c>
    </row>
    <row r="564" spans="1:23" ht="30.5" customHeight="1">
      <c r="A564" s="11" t="s">
        <v>5444</v>
      </c>
      <c r="B564" s="11" t="s">
        <v>5495</v>
      </c>
      <c r="C564" s="3" t="s">
        <v>24</v>
      </c>
      <c r="D564" s="3" t="s">
        <v>1105</v>
      </c>
      <c r="E564" s="3" t="s">
        <v>1105</v>
      </c>
      <c r="F564" s="3" t="s">
        <v>1105</v>
      </c>
      <c r="G564" s="3"/>
      <c r="H564" s="4" t="s">
        <v>541</v>
      </c>
      <c r="I564" s="3" t="s">
        <v>2276</v>
      </c>
      <c r="J564" s="3" t="s">
        <v>2276</v>
      </c>
      <c r="K564" s="3" t="s">
        <v>2276</v>
      </c>
      <c r="L564" s="3" t="s">
        <v>2276</v>
      </c>
      <c r="M564" s="3" t="s">
        <v>2276</v>
      </c>
      <c r="N564" s="3" t="s">
        <v>2276</v>
      </c>
      <c r="O564" s="3" t="s">
        <v>2276</v>
      </c>
      <c r="P564" s="3" t="s">
        <v>2276</v>
      </c>
      <c r="Q564" s="3" t="s">
        <v>2276</v>
      </c>
      <c r="R564" s="3" t="s">
        <v>534</v>
      </c>
      <c r="S564" s="3" t="s">
        <v>2276</v>
      </c>
      <c r="T564" s="3" t="s">
        <v>2276</v>
      </c>
      <c r="U564" s="3" t="s">
        <v>2276</v>
      </c>
      <c r="V564" s="3">
        <v>1</v>
      </c>
      <c r="W564" s="19" t="s">
        <v>5526</v>
      </c>
    </row>
    <row r="565" spans="1:23" ht="30.5" customHeight="1">
      <c r="A565" s="11" t="s">
        <v>5446</v>
      </c>
      <c r="B565" s="11" t="s">
        <v>5507</v>
      </c>
      <c r="C565" s="3" t="s">
        <v>24</v>
      </c>
      <c r="D565" s="3" t="s">
        <v>1105</v>
      </c>
      <c r="E565" s="3" t="s">
        <v>1105</v>
      </c>
      <c r="F565" s="3" t="s">
        <v>1105</v>
      </c>
      <c r="G565" s="3"/>
      <c r="H565" s="4" t="s">
        <v>541</v>
      </c>
      <c r="I565" s="3" t="s">
        <v>2276</v>
      </c>
      <c r="J565" s="3" t="s">
        <v>2276</v>
      </c>
      <c r="K565" s="3" t="s">
        <v>2276</v>
      </c>
      <c r="L565" s="3" t="s">
        <v>2276</v>
      </c>
      <c r="M565" s="3" t="s">
        <v>2276</v>
      </c>
      <c r="N565" s="3" t="s">
        <v>2276</v>
      </c>
      <c r="O565" s="3" t="s">
        <v>2276</v>
      </c>
      <c r="P565" s="3" t="s">
        <v>2276</v>
      </c>
      <c r="Q565" s="3" t="s">
        <v>2276</v>
      </c>
      <c r="R565" s="3" t="s">
        <v>534</v>
      </c>
      <c r="S565" s="3" t="s">
        <v>2276</v>
      </c>
      <c r="T565" s="3" t="s">
        <v>2276</v>
      </c>
      <c r="U565" s="3" t="s">
        <v>2276</v>
      </c>
      <c r="V565" s="3">
        <v>1</v>
      </c>
      <c r="W565" s="19" t="s">
        <v>5526</v>
      </c>
    </row>
    <row r="566" spans="1:23" ht="30.5" customHeight="1">
      <c r="A566" s="11" t="s">
        <v>5445</v>
      </c>
      <c r="B566" s="11" t="s">
        <v>5517</v>
      </c>
      <c r="C566" s="3" t="s">
        <v>24</v>
      </c>
      <c r="D566" s="3" t="s">
        <v>1105</v>
      </c>
      <c r="E566" s="3" t="s">
        <v>1105</v>
      </c>
      <c r="F566" s="3" t="s">
        <v>1105</v>
      </c>
      <c r="G566" s="3"/>
      <c r="H566" s="4" t="s">
        <v>541</v>
      </c>
      <c r="I566" s="3" t="s">
        <v>2276</v>
      </c>
      <c r="J566" s="3" t="s">
        <v>2276</v>
      </c>
      <c r="K566" s="3" t="s">
        <v>2276</v>
      </c>
      <c r="L566" s="3" t="s">
        <v>2276</v>
      </c>
      <c r="M566" s="3" t="s">
        <v>2276</v>
      </c>
      <c r="N566" s="3" t="s">
        <v>2276</v>
      </c>
      <c r="O566" s="3" t="s">
        <v>2276</v>
      </c>
      <c r="P566" s="3" t="s">
        <v>2276</v>
      </c>
      <c r="Q566" s="3" t="s">
        <v>2276</v>
      </c>
      <c r="R566" s="3" t="s">
        <v>534</v>
      </c>
      <c r="S566" s="3" t="s">
        <v>2276</v>
      </c>
      <c r="T566" s="3" t="s">
        <v>2276</v>
      </c>
      <c r="U566" s="3" t="s">
        <v>2276</v>
      </c>
      <c r="V566" s="3">
        <v>1</v>
      </c>
      <c r="W566" s="19" t="s">
        <v>5526</v>
      </c>
    </row>
    <row r="567" spans="1:23" ht="32" customHeight="1">
      <c r="A567" s="11" t="s">
        <v>5527</v>
      </c>
      <c r="B567" s="11" t="s">
        <v>5551</v>
      </c>
      <c r="C567" s="3" t="s">
        <v>24</v>
      </c>
      <c r="D567" s="3" t="s">
        <v>27</v>
      </c>
      <c r="E567" s="3" t="s">
        <v>1105</v>
      </c>
      <c r="F567" s="4" t="s">
        <v>160</v>
      </c>
      <c r="G567" s="3"/>
      <c r="H567" s="4" t="s">
        <v>541</v>
      </c>
      <c r="I567" s="3" t="s">
        <v>2690</v>
      </c>
      <c r="J567" s="3" t="s">
        <v>534</v>
      </c>
      <c r="K567" s="3" t="s">
        <v>2276</v>
      </c>
      <c r="L567" s="3" t="s">
        <v>2276</v>
      </c>
      <c r="M567" s="3" t="s">
        <v>2276</v>
      </c>
      <c r="N567" s="3" t="s">
        <v>2276</v>
      </c>
      <c r="O567" s="3" t="s">
        <v>2276</v>
      </c>
      <c r="P567" s="3" t="s">
        <v>2276</v>
      </c>
      <c r="Q567" s="3" t="s">
        <v>2276</v>
      </c>
      <c r="R567" s="3" t="s">
        <v>2276</v>
      </c>
      <c r="S567" s="3" t="s">
        <v>2276</v>
      </c>
      <c r="T567" s="3" t="s">
        <v>2276</v>
      </c>
      <c r="U567" s="3" t="s">
        <v>2276</v>
      </c>
      <c r="V567" s="3" t="s">
        <v>2276</v>
      </c>
      <c r="W567" s="151" t="s">
        <v>5576</v>
      </c>
    </row>
    <row r="568" spans="1:23" ht="32" customHeight="1">
      <c r="A568" s="11" t="s">
        <v>5539</v>
      </c>
      <c r="B568" s="11" t="s">
        <v>5552</v>
      </c>
      <c r="C568" s="3" t="s">
        <v>24</v>
      </c>
      <c r="D568" s="3" t="s">
        <v>27</v>
      </c>
      <c r="E568" s="3" t="s">
        <v>1105</v>
      </c>
      <c r="F568" s="4" t="s">
        <v>160</v>
      </c>
      <c r="G568" s="3"/>
      <c r="H568" s="4" t="s">
        <v>541</v>
      </c>
      <c r="I568" s="3" t="s">
        <v>2690</v>
      </c>
      <c r="J568" s="3" t="s">
        <v>534</v>
      </c>
      <c r="K568" s="3" t="s">
        <v>2276</v>
      </c>
      <c r="L568" s="3" t="s">
        <v>2276</v>
      </c>
      <c r="M568" s="3" t="s">
        <v>2276</v>
      </c>
      <c r="N568" s="3" t="s">
        <v>2276</v>
      </c>
      <c r="O568" s="3" t="s">
        <v>2276</v>
      </c>
      <c r="P568" s="3" t="s">
        <v>2276</v>
      </c>
      <c r="Q568" s="3" t="s">
        <v>2276</v>
      </c>
      <c r="R568" s="3" t="s">
        <v>2276</v>
      </c>
      <c r="S568" s="3" t="s">
        <v>2276</v>
      </c>
      <c r="T568" s="3" t="s">
        <v>2276</v>
      </c>
      <c r="U568" s="3" t="s">
        <v>2276</v>
      </c>
      <c r="V568" s="3" t="s">
        <v>2276</v>
      </c>
      <c r="W568" s="151" t="s">
        <v>5576</v>
      </c>
    </row>
    <row r="569" spans="1:23" ht="32" customHeight="1">
      <c r="A569" s="11" t="s">
        <v>5540</v>
      </c>
      <c r="B569" s="11" t="s">
        <v>5553</v>
      </c>
      <c r="C569" s="3" t="s">
        <v>24</v>
      </c>
      <c r="D569" s="3" t="s">
        <v>27</v>
      </c>
      <c r="E569" s="3" t="s">
        <v>1105</v>
      </c>
      <c r="F569" s="4" t="s">
        <v>160</v>
      </c>
      <c r="G569" s="3"/>
      <c r="H569" s="4" t="s">
        <v>541</v>
      </c>
      <c r="I569" s="3" t="s">
        <v>2690</v>
      </c>
      <c r="J569" s="3" t="s">
        <v>534</v>
      </c>
      <c r="K569" s="3" t="s">
        <v>2276</v>
      </c>
      <c r="L569" s="3" t="s">
        <v>2276</v>
      </c>
      <c r="M569" s="3" t="s">
        <v>2276</v>
      </c>
      <c r="N569" s="3" t="s">
        <v>2276</v>
      </c>
      <c r="O569" s="3" t="s">
        <v>2276</v>
      </c>
      <c r="P569" s="3" t="s">
        <v>2276</v>
      </c>
      <c r="Q569" s="3" t="s">
        <v>2276</v>
      </c>
      <c r="R569" s="3" t="s">
        <v>2276</v>
      </c>
      <c r="S569" s="3" t="s">
        <v>2276</v>
      </c>
      <c r="T569" s="3" t="s">
        <v>2276</v>
      </c>
      <c r="U569" s="3" t="s">
        <v>2276</v>
      </c>
      <c r="V569" s="3" t="s">
        <v>2276</v>
      </c>
      <c r="W569" s="151" t="s">
        <v>5576</v>
      </c>
    </row>
    <row r="570" spans="1:23" ht="32" customHeight="1">
      <c r="A570" s="11" t="s">
        <v>5541</v>
      </c>
      <c r="B570" s="11" t="s">
        <v>5554</v>
      </c>
      <c r="C570" s="3" t="s">
        <v>24</v>
      </c>
      <c r="D570" s="3" t="s">
        <v>27</v>
      </c>
      <c r="E570" s="3" t="s">
        <v>1105</v>
      </c>
      <c r="F570" s="4" t="s">
        <v>160</v>
      </c>
      <c r="G570" s="3"/>
      <c r="H570" s="4" t="s">
        <v>541</v>
      </c>
      <c r="I570" s="3" t="s">
        <v>2690</v>
      </c>
      <c r="J570" s="3" t="s">
        <v>534</v>
      </c>
      <c r="K570" s="3" t="s">
        <v>2276</v>
      </c>
      <c r="L570" s="3" t="s">
        <v>2276</v>
      </c>
      <c r="M570" s="3" t="s">
        <v>2276</v>
      </c>
      <c r="N570" s="3" t="s">
        <v>2276</v>
      </c>
      <c r="O570" s="3" t="s">
        <v>2276</v>
      </c>
      <c r="P570" s="3" t="s">
        <v>2276</v>
      </c>
      <c r="Q570" s="3" t="s">
        <v>2276</v>
      </c>
      <c r="R570" s="3" t="s">
        <v>2276</v>
      </c>
      <c r="S570" s="3" t="s">
        <v>2276</v>
      </c>
      <c r="T570" s="3" t="s">
        <v>2276</v>
      </c>
      <c r="U570" s="3" t="s">
        <v>2276</v>
      </c>
      <c r="V570" s="3" t="s">
        <v>2276</v>
      </c>
      <c r="W570" s="151" t="s">
        <v>5576</v>
      </c>
    </row>
    <row r="571" spans="1:23" ht="32" customHeight="1">
      <c r="A571" s="11" t="s">
        <v>5542</v>
      </c>
      <c r="B571" s="11" t="s">
        <v>5555</v>
      </c>
      <c r="C571" s="3" t="s">
        <v>24</v>
      </c>
      <c r="D571" s="3" t="s">
        <v>27</v>
      </c>
      <c r="E571" s="3" t="s">
        <v>1105</v>
      </c>
      <c r="F571" s="4" t="s">
        <v>160</v>
      </c>
      <c r="G571" s="3"/>
      <c r="H571" s="4" t="s">
        <v>541</v>
      </c>
      <c r="I571" s="3" t="s">
        <v>2690</v>
      </c>
      <c r="J571" s="3" t="s">
        <v>534</v>
      </c>
      <c r="K571" s="3" t="s">
        <v>2276</v>
      </c>
      <c r="L571" s="3" t="s">
        <v>2276</v>
      </c>
      <c r="M571" s="3" t="s">
        <v>2276</v>
      </c>
      <c r="N571" s="3" t="s">
        <v>2276</v>
      </c>
      <c r="O571" s="3" t="s">
        <v>2276</v>
      </c>
      <c r="P571" s="3" t="s">
        <v>2276</v>
      </c>
      <c r="Q571" s="3" t="s">
        <v>2276</v>
      </c>
      <c r="R571" s="3" t="s">
        <v>2276</v>
      </c>
      <c r="S571" s="3" t="s">
        <v>2276</v>
      </c>
      <c r="T571" s="3" t="s">
        <v>2276</v>
      </c>
      <c r="U571" s="3" t="s">
        <v>2276</v>
      </c>
      <c r="V571" s="3" t="s">
        <v>2276</v>
      </c>
      <c r="W571" s="151" t="s">
        <v>5576</v>
      </c>
    </row>
    <row r="572" spans="1:23" ht="32" customHeight="1">
      <c r="A572" s="11" t="s">
        <v>5543</v>
      </c>
      <c r="B572" s="11" t="s">
        <v>5556</v>
      </c>
      <c r="C572" s="3" t="s">
        <v>24</v>
      </c>
      <c r="D572" s="3" t="s">
        <v>27</v>
      </c>
      <c r="E572" s="3" t="s">
        <v>1105</v>
      </c>
      <c r="F572" s="4" t="s">
        <v>160</v>
      </c>
      <c r="G572" s="3"/>
      <c r="H572" s="4" t="s">
        <v>541</v>
      </c>
      <c r="I572" s="3" t="s">
        <v>2690</v>
      </c>
      <c r="J572" s="3" t="s">
        <v>534</v>
      </c>
      <c r="K572" s="3" t="s">
        <v>2276</v>
      </c>
      <c r="L572" s="3" t="s">
        <v>2276</v>
      </c>
      <c r="M572" s="3" t="s">
        <v>2276</v>
      </c>
      <c r="N572" s="3" t="s">
        <v>2276</v>
      </c>
      <c r="O572" s="3" t="s">
        <v>2276</v>
      </c>
      <c r="P572" s="3" t="s">
        <v>2276</v>
      </c>
      <c r="Q572" s="3" t="s">
        <v>2276</v>
      </c>
      <c r="R572" s="3" t="s">
        <v>2276</v>
      </c>
      <c r="S572" s="3" t="s">
        <v>2276</v>
      </c>
      <c r="T572" s="3" t="s">
        <v>2276</v>
      </c>
      <c r="U572" s="3" t="s">
        <v>2276</v>
      </c>
      <c r="V572" s="3" t="s">
        <v>2276</v>
      </c>
      <c r="W572" s="151" t="s">
        <v>5576</v>
      </c>
    </row>
    <row r="573" spans="1:23" ht="32" customHeight="1">
      <c r="A573" s="11" t="s">
        <v>5547</v>
      </c>
      <c r="B573" s="11" t="s">
        <v>5557</v>
      </c>
      <c r="C573" s="3" t="s">
        <v>24</v>
      </c>
      <c r="D573" s="3" t="s">
        <v>27</v>
      </c>
      <c r="E573" s="3" t="s">
        <v>1105</v>
      </c>
      <c r="F573" s="4" t="s">
        <v>160</v>
      </c>
      <c r="G573" s="3"/>
      <c r="H573" s="4" t="s">
        <v>541</v>
      </c>
      <c r="I573" s="3" t="s">
        <v>2690</v>
      </c>
      <c r="J573" s="3" t="s">
        <v>534</v>
      </c>
      <c r="K573" s="3" t="s">
        <v>2276</v>
      </c>
      <c r="L573" s="3" t="s">
        <v>2276</v>
      </c>
      <c r="M573" s="3" t="s">
        <v>2276</v>
      </c>
      <c r="N573" s="3" t="s">
        <v>2276</v>
      </c>
      <c r="O573" s="3" t="s">
        <v>2276</v>
      </c>
      <c r="P573" s="3" t="s">
        <v>2276</v>
      </c>
      <c r="Q573" s="3" t="s">
        <v>2276</v>
      </c>
      <c r="R573" s="3" t="s">
        <v>2276</v>
      </c>
      <c r="S573" s="3" t="s">
        <v>2276</v>
      </c>
      <c r="T573" s="3" t="s">
        <v>2276</v>
      </c>
      <c r="U573" s="3" t="s">
        <v>2276</v>
      </c>
      <c r="V573" s="3" t="s">
        <v>2276</v>
      </c>
      <c r="W573" s="151" t="s">
        <v>5576</v>
      </c>
    </row>
    <row r="574" spans="1:23" ht="32" customHeight="1">
      <c r="A574" s="35" t="s">
        <v>5548</v>
      </c>
      <c r="B574" s="35" t="s">
        <v>5558</v>
      </c>
      <c r="C574" s="38" t="s">
        <v>24</v>
      </c>
      <c r="D574" s="38" t="s">
        <v>27</v>
      </c>
      <c r="E574" s="38" t="s">
        <v>1105</v>
      </c>
      <c r="F574" s="168" t="s">
        <v>160</v>
      </c>
      <c r="G574" s="38"/>
      <c r="H574" s="168" t="s">
        <v>541</v>
      </c>
      <c r="I574" s="38" t="s">
        <v>2690</v>
      </c>
      <c r="J574" s="38" t="s">
        <v>534</v>
      </c>
      <c r="K574" s="38" t="s">
        <v>2276</v>
      </c>
      <c r="L574" s="38" t="s">
        <v>2276</v>
      </c>
      <c r="M574" s="38" t="s">
        <v>2276</v>
      </c>
      <c r="N574" s="38" t="s">
        <v>2276</v>
      </c>
      <c r="O574" s="38" t="s">
        <v>2276</v>
      </c>
      <c r="P574" s="38" t="s">
        <v>2276</v>
      </c>
      <c r="Q574" s="38" t="s">
        <v>2276</v>
      </c>
      <c r="R574" s="38" t="s">
        <v>2276</v>
      </c>
      <c r="S574" s="38" t="s">
        <v>2276</v>
      </c>
      <c r="T574" s="38" t="s">
        <v>2276</v>
      </c>
      <c r="U574" s="38" t="s">
        <v>2276</v>
      </c>
      <c r="V574" s="38" t="s">
        <v>2276</v>
      </c>
      <c r="W574" s="151" t="s">
        <v>5576</v>
      </c>
    </row>
    <row r="575" spans="1:23" ht="45.5" customHeight="1">
      <c r="A575" s="3" t="s">
        <v>5578</v>
      </c>
      <c r="B575" s="11" t="s">
        <v>5582</v>
      </c>
      <c r="C575" s="3" t="s">
        <v>24</v>
      </c>
      <c r="D575" s="3" t="s">
        <v>1242</v>
      </c>
      <c r="E575" s="4" t="s">
        <v>397</v>
      </c>
      <c r="F575" s="3" t="s">
        <v>2276</v>
      </c>
      <c r="G575" s="3"/>
      <c r="H575" s="4" t="s">
        <v>541</v>
      </c>
      <c r="I575" s="3" t="s">
        <v>2691</v>
      </c>
      <c r="J575" s="3" t="s">
        <v>2276</v>
      </c>
      <c r="K575" s="3" t="s">
        <v>534</v>
      </c>
      <c r="L575" s="3" t="s">
        <v>2276</v>
      </c>
      <c r="M575" s="3" t="s">
        <v>2276</v>
      </c>
      <c r="N575" s="3" t="s">
        <v>2276</v>
      </c>
      <c r="O575" s="3" t="s">
        <v>2276</v>
      </c>
      <c r="P575" s="3" t="s">
        <v>2276</v>
      </c>
      <c r="Q575" s="3" t="s">
        <v>2276</v>
      </c>
      <c r="R575" s="3" t="s">
        <v>2276</v>
      </c>
      <c r="S575" s="3" t="s">
        <v>2276</v>
      </c>
      <c r="T575" s="3" t="s">
        <v>2276</v>
      </c>
      <c r="U575" s="3" t="s">
        <v>2276</v>
      </c>
      <c r="V575" s="3" t="s">
        <v>2276</v>
      </c>
      <c r="W575" s="19" t="s">
        <v>5585</v>
      </c>
    </row>
    <row r="576" spans="1:23" ht="36.5" customHeight="1">
      <c r="A576" s="3" t="s">
        <v>5578</v>
      </c>
      <c r="B576" s="11" t="s">
        <v>5583</v>
      </c>
      <c r="C576" s="3" t="s">
        <v>24</v>
      </c>
      <c r="D576" s="3" t="s">
        <v>1242</v>
      </c>
      <c r="E576" s="4" t="s">
        <v>2651</v>
      </c>
      <c r="F576" s="3" t="s">
        <v>2276</v>
      </c>
      <c r="G576" s="3"/>
      <c r="H576" s="4" t="s">
        <v>541</v>
      </c>
      <c r="I576" s="3" t="s">
        <v>2691</v>
      </c>
      <c r="J576" s="3" t="s">
        <v>2276</v>
      </c>
      <c r="K576" s="3" t="s">
        <v>534</v>
      </c>
      <c r="L576" s="3" t="s">
        <v>2276</v>
      </c>
      <c r="M576" s="3" t="s">
        <v>2276</v>
      </c>
      <c r="N576" s="3" t="s">
        <v>2276</v>
      </c>
      <c r="O576" s="3" t="s">
        <v>2276</v>
      </c>
      <c r="P576" s="3" t="s">
        <v>2276</v>
      </c>
      <c r="Q576" s="3" t="s">
        <v>2276</v>
      </c>
      <c r="R576" s="3" t="s">
        <v>2276</v>
      </c>
      <c r="S576" s="3" t="s">
        <v>2276</v>
      </c>
      <c r="T576" s="3" t="s">
        <v>2276</v>
      </c>
      <c r="U576" s="3" t="s">
        <v>2276</v>
      </c>
      <c r="V576" s="3" t="s">
        <v>2276</v>
      </c>
      <c r="W576" s="19" t="s">
        <v>5585</v>
      </c>
    </row>
    <row r="577" spans="1:23" ht="29">
      <c r="A577" s="3" t="s">
        <v>5578</v>
      </c>
      <c r="B577" s="11" t="s">
        <v>5586</v>
      </c>
      <c r="C577" s="3" t="s">
        <v>1105</v>
      </c>
      <c r="D577" s="3" t="s">
        <v>1105</v>
      </c>
      <c r="E577" s="4" t="s">
        <v>397</v>
      </c>
      <c r="F577" s="3" t="s">
        <v>2276</v>
      </c>
      <c r="G577" s="3"/>
      <c r="H577" s="4" t="s">
        <v>541</v>
      </c>
      <c r="I577" s="3" t="s">
        <v>2690</v>
      </c>
      <c r="J577" s="3" t="s">
        <v>2276</v>
      </c>
      <c r="K577" s="3" t="s">
        <v>534</v>
      </c>
      <c r="L577" s="3" t="s">
        <v>2276</v>
      </c>
      <c r="M577" s="3" t="s">
        <v>2276</v>
      </c>
      <c r="N577" s="3" t="s">
        <v>2276</v>
      </c>
      <c r="O577" s="3" t="s">
        <v>2276</v>
      </c>
      <c r="P577" s="3" t="s">
        <v>2276</v>
      </c>
      <c r="Q577" s="3" t="s">
        <v>2276</v>
      </c>
      <c r="R577" s="3" t="s">
        <v>2276</v>
      </c>
      <c r="S577" s="3" t="s">
        <v>2276</v>
      </c>
      <c r="T577" s="3" t="s">
        <v>2276</v>
      </c>
      <c r="U577" s="3" t="s">
        <v>2276</v>
      </c>
      <c r="V577" s="3" t="s">
        <v>2276</v>
      </c>
      <c r="W577" s="4" t="s">
        <v>5588</v>
      </c>
    </row>
    <row r="578" spans="1:23" ht="29">
      <c r="A578" s="3" t="s">
        <v>5578</v>
      </c>
      <c r="B578" s="11" t="s">
        <v>5587</v>
      </c>
      <c r="C578" s="3" t="s">
        <v>1105</v>
      </c>
      <c r="D578" s="3" t="s">
        <v>1105</v>
      </c>
      <c r="E578" s="4" t="s">
        <v>2651</v>
      </c>
      <c r="F578" s="3" t="s">
        <v>2276</v>
      </c>
      <c r="G578" s="3"/>
      <c r="H578" s="4" t="s">
        <v>541</v>
      </c>
      <c r="I578" s="3" t="s">
        <v>2690</v>
      </c>
      <c r="J578" s="3" t="s">
        <v>2276</v>
      </c>
      <c r="K578" s="3" t="s">
        <v>534</v>
      </c>
      <c r="L578" s="3" t="s">
        <v>2276</v>
      </c>
      <c r="M578" s="3" t="s">
        <v>2276</v>
      </c>
      <c r="N578" s="3" t="s">
        <v>2276</v>
      </c>
      <c r="O578" s="3" t="s">
        <v>2276</v>
      </c>
      <c r="P578" s="3" t="s">
        <v>2276</v>
      </c>
      <c r="Q578" s="3" t="s">
        <v>2276</v>
      </c>
      <c r="R578" s="3" t="s">
        <v>2276</v>
      </c>
      <c r="S578" s="3" t="s">
        <v>2276</v>
      </c>
      <c r="T578" s="3" t="s">
        <v>2276</v>
      </c>
      <c r="U578" s="3" t="s">
        <v>2276</v>
      </c>
      <c r="V578" s="3" t="s">
        <v>2276</v>
      </c>
      <c r="W578" s="4" t="s">
        <v>5588</v>
      </c>
    </row>
    <row r="579" spans="1:23" ht="35.5" customHeight="1">
      <c r="A579" s="11" t="s">
        <v>5590</v>
      </c>
      <c r="B579" s="11" t="s">
        <v>5593</v>
      </c>
      <c r="C579" s="3" t="s">
        <v>24</v>
      </c>
      <c r="D579" s="3" t="s">
        <v>1105</v>
      </c>
      <c r="E579" s="3" t="s">
        <v>1105</v>
      </c>
      <c r="F579" s="4" t="s">
        <v>74</v>
      </c>
      <c r="G579" s="3"/>
      <c r="H579" s="4" t="s">
        <v>541</v>
      </c>
      <c r="I579" s="3" t="s">
        <v>2276</v>
      </c>
      <c r="J579" s="3" t="s">
        <v>2276</v>
      </c>
      <c r="K579" s="3" t="s">
        <v>2276</v>
      </c>
      <c r="L579" s="3" t="s">
        <v>2276</v>
      </c>
      <c r="M579" s="3" t="s">
        <v>2276</v>
      </c>
      <c r="N579" s="3" t="s">
        <v>2276</v>
      </c>
      <c r="O579" s="3" t="s">
        <v>2276</v>
      </c>
      <c r="P579" s="3" t="s">
        <v>2276</v>
      </c>
      <c r="Q579" s="3" t="s">
        <v>2276</v>
      </c>
      <c r="R579" s="3" t="s">
        <v>534</v>
      </c>
      <c r="S579" s="3" t="s">
        <v>2276</v>
      </c>
      <c r="T579" s="3" t="s">
        <v>2276</v>
      </c>
      <c r="U579" s="3" t="s">
        <v>534</v>
      </c>
      <c r="V579" s="3">
        <v>3</v>
      </c>
      <c r="W579" s="4" t="s">
        <v>5596</v>
      </c>
    </row>
    <row r="580" spans="1:23" ht="51" customHeight="1">
      <c r="A580" s="11" t="s">
        <v>5590</v>
      </c>
      <c r="B580" s="11" t="s">
        <v>5594</v>
      </c>
      <c r="C580" s="3" t="s">
        <v>24</v>
      </c>
      <c r="D580" s="3" t="s">
        <v>27</v>
      </c>
      <c r="E580" s="3" t="s">
        <v>130</v>
      </c>
      <c r="F580" s="4" t="s">
        <v>74</v>
      </c>
      <c r="G580" s="3"/>
      <c r="H580" s="4" t="s">
        <v>2673</v>
      </c>
      <c r="I580" s="3" t="s">
        <v>2276</v>
      </c>
      <c r="J580" s="3" t="s">
        <v>2276</v>
      </c>
      <c r="K580" s="3" t="s">
        <v>2276</v>
      </c>
      <c r="L580" s="3" t="s">
        <v>2276</v>
      </c>
      <c r="M580" s="3" t="s">
        <v>2276</v>
      </c>
      <c r="N580" s="3" t="s">
        <v>2276</v>
      </c>
      <c r="O580" s="3" t="s">
        <v>2276</v>
      </c>
      <c r="P580" s="3" t="s">
        <v>2276</v>
      </c>
      <c r="Q580" s="3" t="s">
        <v>2276</v>
      </c>
      <c r="R580" s="3" t="s">
        <v>537</v>
      </c>
      <c r="S580" s="3" t="s">
        <v>2276</v>
      </c>
      <c r="T580" s="3" t="s">
        <v>2276</v>
      </c>
      <c r="U580" s="3" t="s">
        <v>537</v>
      </c>
      <c r="V580" s="3" t="s">
        <v>2276</v>
      </c>
      <c r="W580" s="4" t="s">
        <v>5597</v>
      </c>
    </row>
    <row r="581" spans="1:23" ht="33.5" customHeight="1">
      <c r="A581" s="11" t="s">
        <v>5599</v>
      </c>
      <c r="B581" s="11" t="s">
        <v>5603</v>
      </c>
      <c r="C581" s="3" t="s">
        <v>24</v>
      </c>
      <c r="D581" s="3" t="s">
        <v>1105</v>
      </c>
      <c r="E581" s="3" t="s">
        <v>1105</v>
      </c>
      <c r="F581" s="3" t="s">
        <v>1105</v>
      </c>
      <c r="G581" s="3"/>
      <c r="H581" s="4" t="s">
        <v>541</v>
      </c>
      <c r="I581" s="3" t="s">
        <v>537</v>
      </c>
      <c r="J581" s="3" t="s">
        <v>537</v>
      </c>
      <c r="K581" s="3" t="s">
        <v>537</v>
      </c>
      <c r="L581" s="3" t="s">
        <v>537</v>
      </c>
      <c r="M581" s="3" t="s">
        <v>2728</v>
      </c>
      <c r="N581" s="3" t="s">
        <v>2276</v>
      </c>
      <c r="O581" s="3" t="s">
        <v>2276</v>
      </c>
      <c r="P581" s="3" t="s">
        <v>2276</v>
      </c>
      <c r="Q581" s="3">
        <v>1</v>
      </c>
      <c r="R581" s="3" t="s">
        <v>2276</v>
      </c>
      <c r="S581" s="3" t="s">
        <v>2276</v>
      </c>
      <c r="T581" s="3" t="s">
        <v>2276</v>
      </c>
      <c r="U581" s="3" t="s">
        <v>2276</v>
      </c>
      <c r="V581" s="3" t="s">
        <v>2276</v>
      </c>
      <c r="W581" s="3" t="s">
        <v>5621</v>
      </c>
    </row>
    <row r="582" spans="1:23" ht="33.5" customHeight="1">
      <c r="A582" s="11" t="s">
        <v>5600</v>
      </c>
      <c r="B582" s="11" t="s">
        <v>5604</v>
      </c>
      <c r="C582" s="3" t="s">
        <v>24</v>
      </c>
      <c r="D582" s="3" t="s">
        <v>1105</v>
      </c>
      <c r="E582" s="3" t="s">
        <v>1105</v>
      </c>
      <c r="F582" s="3" t="s">
        <v>1105</v>
      </c>
      <c r="G582" s="3"/>
      <c r="H582" s="4" t="s">
        <v>541</v>
      </c>
      <c r="I582" s="3" t="s">
        <v>537</v>
      </c>
      <c r="J582" s="3" t="s">
        <v>537</v>
      </c>
      <c r="K582" s="3" t="s">
        <v>537</v>
      </c>
      <c r="L582" s="3" t="s">
        <v>537</v>
      </c>
      <c r="M582" s="3" t="s">
        <v>2728</v>
      </c>
      <c r="N582" s="3" t="s">
        <v>2276</v>
      </c>
      <c r="O582" s="3" t="s">
        <v>2276</v>
      </c>
      <c r="P582" s="3" t="s">
        <v>2276</v>
      </c>
      <c r="Q582" s="3">
        <v>1</v>
      </c>
      <c r="R582" s="3" t="s">
        <v>2276</v>
      </c>
      <c r="S582" s="3" t="s">
        <v>2276</v>
      </c>
      <c r="T582" s="3" t="s">
        <v>2276</v>
      </c>
      <c r="U582" s="3" t="s">
        <v>2276</v>
      </c>
      <c r="V582" s="3" t="s">
        <v>2276</v>
      </c>
      <c r="W582" s="3" t="s">
        <v>5621</v>
      </c>
    </row>
    <row r="583" spans="1:23" ht="33.5" customHeight="1">
      <c r="A583" s="11" t="s">
        <v>5599</v>
      </c>
      <c r="B583" s="11" t="s">
        <v>5605</v>
      </c>
      <c r="C583" s="3" t="s">
        <v>24</v>
      </c>
      <c r="D583" s="3" t="s">
        <v>1105</v>
      </c>
      <c r="E583" s="3" t="s">
        <v>1105</v>
      </c>
      <c r="F583" s="3" t="s">
        <v>1105</v>
      </c>
      <c r="G583" s="3"/>
      <c r="H583" s="4" t="s">
        <v>2673</v>
      </c>
      <c r="I583" s="3" t="s">
        <v>537</v>
      </c>
      <c r="J583" s="3" t="s">
        <v>537</v>
      </c>
      <c r="K583" s="3" t="s">
        <v>537</v>
      </c>
      <c r="L583" s="3" t="s">
        <v>537</v>
      </c>
      <c r="M583" s="3" t="s">
        <v>2276</v>
      </c>
      <c r="N583" s="3" t="s">
        <v>2276</v>
      </c>
      <c r="O583" s="3" t="s">
        <v>2276</v>
      </c>
      <c r="P583" s="3" t="s">
        <v>2276</v>
      </c>
      <c r="Q583" s="3">
        <v>1</v>
      </c>
      <c r="R583" s="3" t="s">
        <v>534</v>
      </c>
      <c r="S583" s="3" t="s">
        <v>2276</v>
      </c>
      <c r="T583" s="3" t="s">
        <v>2276</v>
      </c>
      <c r="U583" s="3" t="s">
        <v>2276</v>
      </c>
      <c r="V583" s="3">
        <v>1</v>
      </c>
      <c r="W583" s="3" t="s">
        <v>5621</v>
      </c>
    </row>
    <row r="584" spans="1:23" ht="48" customHeight="1">
      <c r="A584" s="11" t="s">
        <v>5600</v>
      </c>
      <c r="B584" s="11" t="s">
        <v>5606</v>
      </c>
      <c r="C584" s="3" t="s">
        <v>24</v>
      </c>
      <c r="D584" s="3" t="s">
        <v>1105</v>
      </c>
      <c r="E584" s="3" t="s">
        <v>1105</v>
      </c>
      <c r="F584" s="3" t="s">
        <v>1105</v>
      </c>
      <c r="G584" s="3"/>
      <c r="H584" s="4" t="s">
        <v>2673</v>
      </c>
      <c r="I584" s="3" t="s">
        <v>537</v>
      </c>
      <c r="J584" s="3" t="s">
        <v>537</v>
      </c>
      <c r="K584" s="3" t="s">
        <v>537</v>
      </c>
      <c r="L584" s="3" t="s">
        <v>537</v>
      </c>
      <c r="M584" s="3" t="s">
        <v>2728</v>
      </c>
      <c r="N584" s="3" t="s">
        <v>2276</v>
      </c>
      <c r="O584" s="3" t="s">
        <v>2276</v>
      </c>
      <c r="P584" s="3" t="s">
        <v>2276</v>
      </c>
      <c r="Q584" s="3">
        <v>2</v>
      </c>
      <c r="R584" s="3" t="s">
        <v>537</v>
      </c>
      <c r="S584" s="3" t="s">
        <v>2276</v>
      </c>
      <c r="T584" s="3" t="s">
        <v>2276</v>
      </c>
      <c r="U584" s="3" t="s">
        <v>2276</v>
      </c>
      <c r="V584" s="3" t="s">
        <v>2276</v>
      </c>
      <c r="W584" s="4" t="s">
        <v>5622</v>
      </c>
    </row>
    <row r="585" spans="1:23" ht="64.5" customHeight="1">
      <c r="A585" s="11" t="s">
        <v>5649</v>
      </c>
      <c r="B585" s="11" t="s">
        <v>5652</v>
      </c>
      <c r="C585" s="3" t="s">
        <v>24</v>
      </c>
      <c r="D585" s="3" t="s">
        <v>1105</v>
      </c>
      <c r="E585" s="3" t="s">
        <v>84</v>
      </c>
      <c r="F585" s="3" t="s">
        <v>74</v>
      </c>
      <c r="G585" s="3">
        <v>2002</v>
      </c>
      <c r="H585" s="4" t="s">
        <v>541</v>
      </c>
      <c r="I585" s="3" t="s">
        <v>2276</v>
      </c>
      <c r="J585" s="3" t="s">
        <v>2276</v>
      </c>
      <c r="K585" s="3" t="s">
        <v>2276</v>
      </c>
      <c r="L585" s="3" t="s">
        <v>2276</v>
      </c>
      <c r="M585" s="3" t="s">
        <v>2728</v>
      </c>
      <c r="N585" s="3" t="s">
        <v>2276</v>
      </c>
      <c r="O585" s="3" t="s">
        <v>2276</v>
      </c>
      <c r="P585" s="3" t="s">
        <v>534</v>
      </c>
      <c r="Q585" s="3">
        <v>3</v>
      </c>
      <c r="R585" s="3" t="s">
        <v>2276</v>
      </c>
      <c r="S585" s="3" t="s">
        <v>2276</v>
      </c>
      <c r="T585" s="3" t="s">
        <v>2276</v>
      </c>
      <c r="U585" s="3" t="s">
        <v>2276</v>
      </c>
      <c r="V585" s="3" t="s">
        <v>2276</v>
      </c>
      <c r="W585" s="4" t="s">
        <v>5657</v>
      </c>
    </row>
    <row r="586" spans="1:23" ht="53.5" customHeight="1">
      <c r="A586" s="11" t="s">
        <v>5649</v>
      </c>
      <c r="B586" s="11" t="s">
        <v>5653</v>
      </c>
      <c r="C586" s="3" t="s">
        <v>24</v>
      </c>
      <c r="D586" s="3" t="s">
        <v>1105</v>
      </c>
      <c r="E586" s="3" t="s">
        <v>84</v>
      </c>
      <c r="F586" s="3" t="s">
        <v>74</v>
      </c>
      <c r="G586" s="3">
        <v>2015</v>
      </c>
      <c r="H586" s="4" t="s">
        <v>541</v>
      </c>
      <c r="I586" s="3" t="s">
        <v>2276</v>
      </c>
      <c r="J586" s="3" t="s">
        <v>2276</v>
      </c>
      <c r="K586" s="3" t="s">
        <v>2276</v>
      </c>
      <c r="L586" s="3" t="s">
        <v>2276</v>
      </c>
      <c r="M586" s="3" t="s">
        <v>2728</v>
      </c>
      <c r="N586" s="3" t="s">
        <v>2276</v>
      </c>
      <c r="O586" s="3" t="s">
        <v>2276</v>
      </c>
      <c r="P586" s="3" t="s">
        <v>534</v>
      </c>
      <c r="Q586" s="3">
        <v>3</v>
      </c>
      <c r="R586" s="3" t="s">
        <v>534</v>
      </c>
      <c r="S586" s="3" t="s">
        <v>2276</v>
      </c>
      <c r="T586" s="3" t="s">
        <v>2276</v>
      </c>
      <c r="U586" s="3" t="s">
        <v>534</v>
      </c>
      <c r="V586" s="3">
        <v>4</v>
      </c>
      <c r="W586" s="4" t="s">
        <v>5658</v>
      </c>
    </row>
    <row r="587" spans="1:23" ht="43.5" customHeight="1">
      <c r="A587" s="11" t="s">
        <v>5649</v>
      </c>
      <c r="B587" s="11" t="s">
        <v>5654</v>
      </c>
      <c r="C587" s="3" t="s">
        <v>24</v>
      </c>
      <c r="D587" s="3" t="s">
        <v>1105</v>
      </c>
      <c r="E587" s="4" t="s">
        <v>130</v>
      </c>
      <c r="F587" s="3" t="s">
        <v>74</v>
      </c>
      <c r="G587" s="3">
        <v>2015</v>
      </c>
      <c r="H587" s="4" t="s">
        <v>541</v>
      </c>
      <c r="I587" s="3" t="s">
        <v>2276</v>
      </c>
      <c r="J587" s="3" t="s">
        <v>2276</v>
      </c>
      <c r="K587" s="3" t="s">
        <v>2276</v>
      </c>
      <c r="L587" s="3" t="s">
        <v>2276</v>
      </c>
      <c r="M587" s="3" t="s">
        <v>2276</v>
      </c>
      <c r="N587" s="3" t="s">
        <v>2276</v>
      </c>
      <c r="O587" s="3" t="s">
        <v>2276</v>
      </c>
      <c r="P587" s="3" t="s">
        <v>2276</v>
      </c>
      <c r="Q587" s="3" t="s">
        <v>2276</v>
      </c>
      <c r="R587" s="3" t="s">
        <v>534</v>
      </c>
      <c r="S587" s="3" t="s">
        <v>2276</v>
      </c>
      <c r="T587" s="3" t="s">
        <v>2276</v>
      </c>
      <c r="U587" s="3" t="s">
        <v>534</v>
      </c>
      <c r="V587" s="3">
        <v>2</v>
      </c>
      <c r="W587" s="19" t="s">
        <v>5659</v>
      </c>
    </row>
    <row r="588" spans="1:23" ht="60.5" customHeight="1">
      <c r="A588" s="11" t="s">
        <v>5649</v>
      </c>
      <c r="B588" s="11" t="s">
        <v>5655</v>
      </c>
      <c r="C588" s="3" t="s">
        <v>24</v>
      </c>
      <c r="D588" s="3" t="s">
        <v>1105</v>
      </c>
      <c r="E588" s="4" t="s">
        <v>396</v>
      </c>
      <c r="F588" s="3" t="s">
        <v>74</v>
      </c>
      <c r="G588" s="3">
        <v>2015</v>
      </c>
      <c r="H588" s="4" t="s">
        <v>541</v>
      </c>
      <c r="I588" s="3" t="s">
        <v>2276</v>
      </c>
      <c r="J588" s="3" t="s">
        <v>2276</v>
      </c>
      <c r="K588" s="3" t="s">
        <v>2276</v>
      </c>
      <c r="L588" s="3" t="s">
        <v>2276</v>
      </c>
      <c r="M588" s="3" t="s">
        <v>2276</v>
      </c>
      <c r="N588" s="3" t="s">
        <v>2276</v>
      </c>
      <c r="O588" s="3" t="s">
        <v>2276</v>
      </c>
      <c r="P588" s="3" t="s">
        <v>2276</v>
      </c>
      <c r="Q588" s="3" t="s">
        <v>2276</v>
      </c>
      <c r="R588" s="3" t="s">
        <v>534</v>
      </c>
      <c r="S588" s="3" t="s">
        <v>2276</v>
      </c>
      <c r="T588" s="3" t="s">
        <v>2276</v>
      </c>
      <c r="U588" s="3" t="s">
        <v>534</v>
      </c>
      <c r="V588" s="3">
        <v>2</v>
      </c>
      <c r="W588" s="19" t="s">
        <v>5659</v>
      </c>
    </row>
    <row r="589" spans="1:23" ht="43.5">
      <c r="A589" s="19" t="s">
        <v>5661</v>
      </c>
      <c r="B589" s="19" t="s">
        <v>5664</v>
      </c>
      <c r="C589" s="3" t="s">
        <v>24</v>
      </c>
      <c r="D589" s="3" t="s">
        <v>1105</v>
      </c>
      <c r="E589" s="3" t="s">
        <v>137</v>
      </c>
      <c r="F589" s="4" t="s">
        <v>2662</v>
      </c>
      <c r="G589" s="11">
        <v>2016</v>
      </c>
      <c r="H589" s="4" t="s">
        <v>2673</v>
      </c>
      <c r="I589" s="3" t="s">
        <v>537</v>
      </c>
      <c r="J589" s="3" t="s">
        <v>537</v>
      </c>
      <c r="K589" s="3" t="s">
        <v>537</v>
      </c>
      <c r="L589" s="3" t="s">
        <v>537</v>
      </c>
      <c r="M589" s="3" t="s">
        <v>2276</v>
      </c>
      <c r="N589" s="3" t="s">
        <v>2276</v>
      </c>
      <c r="O589" s="3" t="s">
        <v>2276</v>
      </c>
      <c r="P589" s="3" t="s">
        <v>2276</v>
      </c>
      <c r="Q589" s="3" t="s">
        <v>2276</v>
      </c>
      <c r="R589" s="3" t="s">
        <v>534</v>
      </c>
      <c r="S589" s="3" t="s">
        <v>2276</v>
      </c>
      <c r="T589" s="3" t="s">
        <v>2276</v>
      </c>
      <c r="U589" s="3" t="s">
        <v>2276</v>
      </c>
      <c r="V589" s="3" t="s">
        <v>2276</v>
      </c>
      <c r="W589" s="4" t="s">
        <v>5674</v>
      </c>
    </row>
    <row r="590" spans="1:23" ht="43.5">
      <c r="A590" s="19" t="s">
        <v>5661</v>
      </c>
      <c r="B590" s="19" t="s">
        <v>5665</v>
      </c>
      <c r="C590" s="3" t="s">
        <v>24</v>
      </c>
      <c r="D590" s="3" t="s">
        <v>1105</v>
      </c>
      <c r="E590" s="3" t="s">
        <v>137</v>
      </c>
      <c r="F590" s="4" t="s">
        <v>2662</v>
      </c>
      <c r="G590" s="11">
        <v>2016</v>
      </c>
      <c r="H590" s="4" t="s">
        <v>2673</v>
      </c>
      <c r="I590" s="3" t="s">
        <v>537</v>
      </c>
      <c r="J590" s="3" t="s">
        <v>537</v>
      </c>
      <c r="K590" s="3" t="s">
        <v>537</v>
      </c>
      <c r="L590" s="3" t="s">
        <v>537</v>
      </c>
      <c r="M590" s="3" t="s">
        <v>2276</v>
      </c>
      <c r="N590" s="3" t="s">
        <v>2276</v>
      </c>
      <c r="O590" s="3" t="s">
        <v>2276</v>
      </c>
      <c r="P590" s="3" t="s">
        <v>2276</v>
      </c>
      <c r="Q590" s="3" t="s">
        <v>2276</v>
      </c>
      <c r="R590" s="3" t="s">
        <v>534</v>
      </c>
      <c r="S590" s="3" t="s">
        <v>2276</v>
      </c>
      <c r="T590" s="3" t="s">
        <v>2276</v>
      </c>
      <c r="U590" s="3" t="s">
        <v>2276</v>
      </c>
      <c r="V590" s="3" t="s">
        <v>2276</v>
      </c>
      <c r="W590" s="4" t="s">
        <v>5674</v>
      </c>
    </row>
    <row r="591" spans="1:23" ht="43.5">
      <c r="A591" s="19" t="s">
        <v>5661</v>
      </c>
      <c r="B591" s="19" t="s">
        <v>5666</v>
      </c>
      <c r="C591" s="3" t="s">
        <v>24</v>
      </c>
      <c r="D591" s="3" t="s">
        <v>1105</v>
      </c>
      <c r="E591" s="3" t="s">
        <v>116</v>
      </c>
      <c r="F591" s="4" t="s">
        <v>2662</v>
      </c>
      <c r="G591" s="11">
        <v>2017</v>
      </c>
      <c r="H591" s="4" t="s">
        <v>2673</v>
      </c>
      <c r="I591" s="3" t="s">
        <v>2691</v>
      </c>
      <c r="J591" s="3" t="s">
        <v>2276</v>
      </c>
      <c r="K591" s="3" t="s">
        <v>2276</v>
      </c>
      <c r="L591" s="3" t="s">
        <v>2276</v>
      </c>
      <c r="M591" s="3" t="s">
        <v>2276</v>
      </c>
      <c r="N591" s="3" t="s">
        <v>2276</v>
      </c>
      <c r="O591" s="3" t="s">
        <v>2276</v>
      </c>
      <c r="P591" s="3" t="s">
        <v>2276</v>
      </c>
      <c r="Q591" s="3" t="s">
        <v>2276</v>
      </c>
      <c r="R591" s="3" t="s">
        <v>537</v>
      </c>
      <c r="S591" s="3" t="s">
        <v>537</v>
      </c>
      <c r="T591" s="3" t="s">
        <v>537</v>
      </c>
      <c r="U591" s="3" t="s">
        <v>537</v>
      </c>
      <c r="V591" s="3" t="s">
        <v>2276</v>
      </c>
      <c r="W591" s="4" t="s">
        <v>5674</v>
      </c>
    </row>
    <row r="592" spans="1:23" ht="43.5">
      <c r="A592" s="19" t="s">
        <v>5661</v>
      </c>
      <c r="B592" s="19" t="s">
        <v>5667</v>
      </c>
      <c r="C592" s="3" t="s">
        <v>24</v>
      </c>
      <c r="D592" s="3" t="s">
        <v>1105</v>
      </c>
      <c r="E592" s="3" t="s">
        <v>116</v>
      </c>
      <c r="F592" s="4" t="s">
        <v>2662</v>
      </c>
      <c r="G592" s="11">
        <v>2017</v>
      </c>
      <c r="H592" s="4" t="s">
        <v>2673</v>
      </c>
      <c r="I592" s="3" t="s">
        <v>2691</v>
      </c>
      <c r="J592" s="3" t="s">
        <v>2276</v>
      </c>
      <c r="K592" s="3" t="s">
        <v>2276</v>
      </c>
      <c r="L592" s="3" t="s">
        <v>2276</v>
      </c>
      <c r="M592" s="3" t="s">
        <v>2276</v>
      </c>
      <c r="N592" s="3" t="s">
        <v>2276</v>
      </c>
      <c r="O592" s="3" t="s">
        <v>2276</v>
      </c>
      <c r="P592" s="3" t="s">
        <v>2276</v>
      </c>
      <c r="Q592" s="3" t="s">
        <v>2276</v>
      </c>
      <c r="R592" s="3" t="s">
        <v>537</v>
      </c>
      <c r="S592" s="3" t="s">
        <v>537</v>
      </c>
      <c r="T592" s="3" t="s">
        <v>537</v>
      </c>
      <c r="U592" s="3" t="s">
        <v>537</v>
      </c>
      <c r="V592" s="3" t="s">
        <v>2276</v>
      </c>
      <c r="W592" s="4" t="s">
        <v>5674</v>
      </c>
    </row>
    <row r="593" spans="1:23" ht="50" customHeight="1">
      <c r="A593" s="19" t="s">
        <v>5684</v>
      </c>
      <c r="B593" s="19" t="s">
        <v>5686</v>
      </c>
      <c r="C593" s="3" t="s">
        <v>24</v>
      </c>
      <c r="D593" s="3" t="s">
        <v>1242</v>
      </c>
      <c r="E593" s="3" t="s">
        <v>137</v>
      </c>
      <c r="F593" s="4" t="s">
        <v>74</v>
      </c>
      <c r="G593" s="3"/>
      <c r="H593" s="4" t="s">
        <v>2673</v>
      </c>
      <c r="I593" s="3" t="s">
        <v>2276</v>
      </c>
      <c r="J593" s="3" t="s">
        <v>2276</v>
      </c>
      <c r="K593" s="3" t="s">
        <v>2276</v>
      </c>
      <c r="L593" s="3" t="s">
        <v>2276</v>
      </c>
      <c r="M593" s="3" t="s">
        <v>2276</v>
      </c>
      <c r="N593" s="3" t="s">
        <v>2276</v>
      </c>
      <c r="O593" s="3" t="s">
        <v>2276</v>
      </c>
      <c r="P593" s="3" t="s">
        <v>2276</v>
      </c>
      <c r="Q593" s="3" t="s">
        <v>2276</v>
      </c>
      <c r="R593" s="3" t="s">
        <v>537</v>
      </c>
      <c r="S593" s="3" t="s">
        <v>2276</v>
      </c>
      <c r="T593" s="3" t="s">
        <v>2276</v>
      </c>
      <c r="U593" s="3" t="s">
        <v>2276</v>
      </c>
      <c r="V593" s="3" t="s">
        <v>2276</v>
      </c>
      <c r="W593" s="3" t="s">
        <v>5690</v>
      </c>
    </row>
    <row r="594" spans="1:23" ht="50" customHeight="1">
      <c r="A594" s="19" t="s">
        <v>5684</v>
      </c>
      <c r="B594" s="19" t="s">
        <v>5687</v>
      </c>
      <c r="C594" s="3" t="s">
        <v>24</v>
      </c>
      <c r="D594" s="3" t="s">
        <v>406</v>
      </c>
      <c r="E594" s="3" t="s">
        <v>116</v>
      </c>
      <c r="F594" s="4" t="s">
        <v>74</v>
      </c>
      <c r="G594" s="3"/>
      <c r="H594" s="4" t="s">
        <v>2673</v>
      </c>
      <c r="I594" s="3" t="s">
        <v>2276</v>
      </c>
      <c r="J594" s="3" t="s">
        <v>2276</v>
      </c>
      <c r="K594" s="3" t="s">
        <v>2276</v>
      </c>
      <c r="L594" s="3" t="s">
        <v>2276</v>
      </c>
      <c r="M594" s="3" t="s">
        <v>2276</v>
      </c>
      <c r="N594" s="3" t="s">
        <v>2276</v>
      </c>
      <c r="O594" s="3" t="s">
        <v>2276</v>
      </c>
      <c r="P594" s="3" t="s">
        <v>2276</v>
      </c>
      <c r="Q594" s="3" t="s">
        <v>2276</v>
      </c>
      <c r="R594" s="3" t="s">
        <v>537</v>
      </c>
      <c r="S594" s="3" t="s">
        <v>2276</v>
      </c>
      <c r="T594" s="3" t="s">
        <v>2276</v>
      </c>
      <c r="U594" s="3" t="s">
        <v>2276</v>
      </c>
      <c r="V594" s="3" t="s">
        <v>2276</v>
      </c>
      <c r="W594" s="4" t="s">
        <v>5689</v>
      </c>
    </row>
    <row r="595" spans="1:23" ht="51" customHeight="1">
      <c r="A595" s="19" t="s">
        <v>5684</v>
      </c>
      <c r="B595" s="19" t="s">
        <v>5688</v>
      </c>
      <c r="C595" s="3" t="s">
        <v>24</v>
      </c>
      <c r="D595" s="3" t="s">
        <v>3480</v>
      </c>
      <c r="E595" s="3" t="s">
        <v>116</v>
      </c>
      <c r="F595" s="4" t="s">
        <v>74</v>
      </c>
      <c r="G595" s="3"/>
      <c r="H595" s="4" t="s">
        <v>2673</v>
      </c>
      <c r="I595" s="3" t="s">
        <v>2276</v>
      </c>
      <c r="J595" s="3" t="s">
        <v>2276</v>
      </c>
      <c r="K595" s="3" t="s">
        <v>2276</v>
      </c>
      <c r="L595" s="3" t="s">
        <v>2276</v>
      </c>
      <c r="M595" s="3" t="s">
        <v>2276</v>
      </c>
      <c r="N595" s="3" t="s">
        <v>2276</v>
      </c>
      <c r="O595" s="3" t="s">
        <v>2276</v>
      </c>
      <c r="P595" s="3" t="s">
        <v>2276</v>
      </c>
      <c r="Q595" s="3" t="s">
        <v>2276</v>
      </c>
      <c r="R595" s="3" t="s">
        <v>537</v>
      </c>
      <c r="S595" s="3" t="s">
        <v>2276</v>
      </c>
      <c r="T595" s="3" t="s">
        <v>2276</v>
      </c>
      <c r="U595" s="3" t="s">
        <v>2276</v>
      </c>
      <c r="V595" s="3" t="s">
        <v>2276</v>
      </c>
      <c r="W595" s="4" t="s">
        <v>5689</v>
      </c>
    </row>
    <row r="596" spans="1:23" ht="41" customHeight="1">
      <c r="A596" s="19" t="s">
        <v>5693</v>
      </c>
      <c r="B596" s="19" t="s">
        <v>5698</v>
      </c>
      <c r="C596" s="3" t="s">
        <v>24</v>
      </c>
      <c r="D596" s="3" t="s">
        <v>27</v>
      </c>
      <c r="E596" s="4" t="s">
        <v>130</v>
      </c>
      <c r="F596" s="3" t="s">
        <v>74</v>
      </c>
      <c r="G596" s="3"/>
      <c r="H596" s="4" t="s">
        <v>541</v>
      </c>
      <c r="I596" s="3" t="s">
        <v>2276</v>
      </c>
      <c r="J596" s="3" t="s">
        <v>2276</v>
      </c>
      <c r="K596" s="3" t="s">
        <v>2276</v>
      </c>
      <c r="L596" s="3" t="s">
        <v>2276</v>
      </c>
      <c r="M596" s="3" t="s">
        <v>2728</v>
      </c>
      <c r="N596" s="3" t="s">
        <v>2276</v>
      </c>
      <c r="O596" s="3" t="s">
        <v>2276</v>
      </c>
      <c r="P596" s="3" t="s">
        <v>2276</v>
      </c>
      <c r="Q596" s="3" t="s">
        <v>2276</v>
      </c>
      <c r="R596" s="3" t="s">
        <v>2276</v>
      </c>
      <c r="S596" s="3" t="s">
        <v>2276</v>
      </c>
      <c r="T596" s="3" t="s">
        <v>2276</v>
      </c>
      <c r="U596" s="3" t="s">
        <v>2276</v>
      </c>
      <c r="V596" s="3" t="s">
        <v>2276</v>
      </c>
      <c r="W596" s="19" t="s">
        <v>5705</v>
      </c>
    </row>
    <row r="597" spans="1:23" ht="35.5" customHeight="1">
      <c r="A597" s="19" t="s">
        <v>5693</v>
      </c>
      <c r="B597" s="19" t="s">
        <v>5699</v>
      </c>
      <c r="C597" s="3" t="s">
        <v>2458</v>
      </c>
      <c r="D597" s="3" t="s">
        <v>2276</v>
      </c>
      <c r="E597" s="3" t="s">
        <v>2276</v>
      </c>
      <c r="F597" s="3" t="s">
        <v>74</v>
      </c>
      <c r="G597" s="3"/>
      <c r="H597" s="4" t="s">
        <v>1093</v>
      </c>
      <c r="I597" s="3" t="s">
        <v>2690</v>
      </c>
      <c r="J597" s="3" t="s">
        <v>2276</v>
      </c>
      <c r="K597" s="3" t="s">
        <v>2276</v>
      </c>
      <c r="L597" s="3" t="s">
        <v>2276</v>
      </c>
      <c r="M597" s="3" t="s">
        <v>2276</v>
      </c>
      <c r="N597" s="3" t="s">
        <v>2276</v>
      </c>
      <c r="O597" s="3" t="s">
        <v>2276</v>
      </c>
      <c r="P597" s="3" t="s">
        <v>2276</v>
      </c>
      <c r="Q597" s="3" t="s">
        <v>2276</v>
      </c>
      <c r="R597" s="3" t="s">
        <v>2276</v>
      </c>
      <c r="S597" s="3" t="s">
        <v>2276</v>
      </c>
      <c r="T597" s="3" t="s">
        <v>2276</v>
      </c>
      <c r="U597" s="3" t="s">
        <v>2276</v>
      </c>
      <c r="V597" s="3" t="s">
        <v>2276</v>
      </c>
      <c r="W597" s="19" t="s">
        <v>5713</v>
      </c>
    </row>
    <row r="598" spans="1:23" ht="36" customHeight="1">
      <c r="A598" s="19" t="s">
        <v>5693</v>
      </c>
      <c r="B598" s="19" t="s">
        <v>5700</v>
      </c>
      <c r="C598" s="3" t="s">
        <v>31</v>
      </c>
      <c r="D598" s="3" t="s">
        <v>2276</v>
      </c>
      <c r="E598" s="3" t="s">
        <v>2276</v>
      </c>
      <c r="F598" s="3" t="s">
        <v>74</v>
      </c>
      <c r="G598" s="3"/>
      <c r="H598" s="4" t="s">
        <v>1093</v>
      </c>
      <c r="I598" s="3" t="s">
        <v>2690</v>
      </c>
      <c r="J598" s="3" t="s">
        <v>2276</v>
      </c>
      <c r="K598" s="3" t="s">
        <v>2276</v>
      </c>
      <c r="L598" s="3" t="s">
        <v>2276</v>
      </c>
      <c r="M598" s="3" t="s">
        <v>2276</v>
      </c>
      <c r="N598" s="3" t="s">
        <v>2276</v>
      </c>
      <c r="O598" s="3" t="s">
        <v>2276</v>
      </c>
      <c r="P598" s="3" t="s">
        <v>2276</v>
      </c>
      <c r="Q598" s="3" t="s">
        <v>2276</v>
      </c>
      <c r="R598" s="3" t="s">
        <v>2276</v>
      </c>
      <c r="S598" s="3" t="s">
        <v>2276</v>
      </c>
      <c r="T598" s="3" t="s">
        <v>2276</v>
      </c>
      <c r="U598" s="3" t="s">
        <v>2276</v>
      </c>
      <c r="V598" s="3" t="s">
        <v>2276</v>
      </c>
      <c r="W598" s="19" t="s">
        <v>5713</v>
      </c>
    </row>
    <row r="599" spans="1:23" ht="29">
      <c r="A599" s="11" t="s">
        <v>5715</v>
      </c>
      <c r="B599" s="11" t="s">
        <v>5717</v>
      </c>
      <c r="C599" s="3" t="s">
        <v>24</v>
      </c>
      <c r="D599" s="3" t="s">
        <v>27</v>
      </c>
      <c r="E599" s="3" t="s">
        <v>130</v>
      </c>
      <c r="F599" s="4" t="s">
        <v>74</v>
      </c>
      <c r="G599" s="3"/>
      <c r="H599" s="4" t="s">
        <v>541</v>
      </c>
      <c r="I599" s="3" t="s">
        <v>2276</v>
      </c>
      <c r="J599" s="3" t="s">
        <v>2276</v>
      </c>
      <c r="K599" s="3" t="s">
        <v>2276</v>
      </c>
      <c r="L599" s="3" t="s">
        <v>2276</v>
      </c>
      <c r="M599" s="3" t="s">
        <v>2276</v>
      </c>
      <c r="N599" s="3" t="s">
        <v>2276</v>
      </c>
      <c r="O599" s="3" t="s">
        <v>2276</v>
      </c>
      <c r="P599" s="3" t="s">
        <v>2276</v>
      </c>
      <c r="Q599" s="3" t="s">
        <v>2276</v>
      </c>
      <c r="R599" s="3" t="s">
        <v>534</v>
      </c>
      <c r="S599" s="3" t="s">
        <v>534</v>
      </c>
      <c r="T599" s="3" t="s">
        <v>534</v>
      </c>
      <c r="U599" s="3" t="s">
        <v>2276</v>
      </c>
      <c r="V599" s="3">
        <v>5</v>
      </c>
      <c r="W599" s="19" t="s">
        <v>5720</v>
      </c>
    </row>
    <row r="600" spans="1:23" ht="29">
      <c r="A600" s="11" t="s">
        <v>5715</v>
      </c>
      <c r="B600" s="11" t="s">
        <v>5718</v>
      </c>
      <c r="C600" s="3" t="s">
        <v>24</v>
      </c>
      <c r="D600" s="3" t="s">
        <v>25</v>
      </c>
      <c r="E600" s="3" t="s">
        <v>45</v>
      </c>
      <c r="F600" s="4" t="s">
        <v>74</v>
      </c>
      <c r="G600" s="3"/>
      <c r="H600" s="4" t="s">
        <v>541</v>
      </c>
      <c r="I600" s="3" t="s">
        <v>2276</v>
      </c>
      <c r="J600" s="3" t="s">
        <v>2276</v>
      </c>
      <c r="K600" s="3" t="s">
        <v>2276</v>
      </c>
      <c r="L600" s="3" t="s">
        <v>2276</v>
      </c>
      <c r="M600" s="3" t="s">
        <v>2276</v>
      </c>
      <c r="N600" s="3" t="s">
        <v>2276</v>
      </c>
      <c r="O600" s="3" t="s">
        <v>2276</v>
      </c>
      <c r="P600" s="3" t="s">
        <v>2276</v>
      </c>
      <c r="Q600" s="3" t="s">
        <v>2276</v>
      </c>
      <c r="R600" s="3" t="s">
        <v>534</v>
      </c>
      <c r="S600" s="3" t="s">
        <v>534</v>
      </c>
      <c r="T600" s="3" t="s">
        <v>534</v>
      </c>
      <c r="U600" s="3" t="s">
        <v>2276</v>
      </c>
      <c r="V600" s="3">
        <v>5</v>
      </c>
      <c r="W600" s="19" t="s">
        <v>5720</v>
      </c>
    </row>
    <row r="601" spans="1:23" ht="29">
      <c r="A601" s="11" t="s">
        <v>5715</v>
      </c>
      <c r="B601" s="11" t="s">
        <v>5719</v>
      </c>
      <c r="C601" s="3" t="s">
        <v>24</v>
      </c>
      <c r="D601" s="3" t="s">
        <v>3480</v>
      </c>
      <c r="E601" s="3" t="s">
        <v>116</v>
      </c>
      <c r="F601" s="4" t="s">
        <v>74</v>
      </c>
      <c r="G601" s="3"/>
      <c r="H601" s="4" t="s">
        <v>541</v>
      </c>
      <c r="I601" s="3" t="s">
        <v>2276</v>
      </c>
      <c r="J601" s="3" t="s">
        <v>2276</v>
      </c>
      <c r="K601" s="3" t="s">
        <v>2276</v>
      </c>
      <c r="L601" s="3" t="s">
        <v>2276</v>
      </c>
      <c r="M601" s="3" t="s">
        <v>2276</v>
      </c>
      <c r="N601" s="3" t="s">
        <v>2276</v>
      </c>
      <c r="O601" s="3" t="s">
        <v>2276</v>
      </c>
      <c r="P601" s="3" t="s">
        <v>2276</v>
      </c>
      <c r="Q601" s="3" t="s">
        <v>2276</v>
      </c>
      <c r="R601" s="3" t="s">
        <v>534</v>
      </c>
      <c r="S601" s="3" t="s">
        <v>534</v>
      </c>
      <c r="T601" s="3" t="s">
        <v>534</v>
      </c>
      <c r="U601" s="3" t="s">
        <v>2276</v>
      </c>
      <c r="V601" s="3">
        <v>5</v>
      </c>
      <c r="W601" s="19" t="s">
        <v>5720</v>
      </c>
    </row>
    <row r="602" spans="1:23" ht="43.5" customHeight="1">
      <c r="A602" s="11" t="s">
        <v>5723</v>
      </c>
      <c r="B602" s="11" t="s">
        <v>5732</v>
      </c>
      <c r="C602" s="3" t="s">
        <v>24</v>
      </c>
      <c r="D602" s="3" t="s">
        <v>26</v>
      </c>
      <c r="E602" s="4" t="s">
        <v>396</v>
      </c>
      <c r="F602" s="4" t="s">
        <v>28</v>
      </c>
      <c r="G602" s="3"/>
      <c r="H602" s="4" t="s">
        <v>541</v>
      </c>
      <c r="I602" s="3" t="s">
        <v>537</v>
      </c>
      <c r="J602" s="3" t="s">
        <v>537</v>
      </c>
      <c r="K602" s="3" t="s">
        <v>537</v>
      </c>
      <c r="L602" s="3" t="s">
        <v>537</v>
      </c>
      <c r="M602" s="3" t="s">
        <v>2276</v>
      </c>
      <c r="N602" s="3" t="s">
        <v>2276</v>
      </c>
      <c r="O602" s="3" t="s">
        <v>2276</v>
      </c>
      <c r="P602" s="3" t="s">
        <v>2276</v>
      </c>
      <c r="Q602" s="3" t="s">
        <v>2276</v>
      </c>
      <c r="R602" s="3" t="s">
        <v>2276</v>
      </c>
      <c r="S602" s="3" t="s">
        <v>2276</v>
      </c>
      <c r="T602" s="3" t="s">
        <v>2276</v>
      </c>
      <c r="U602" s="3" t="s">
        <v>2276</v>
      </c>
      <c r="V602" s="3" t="s">
        <v>2276</v>
      </c>
      <c r="W602" s="151" t="s">
        <v>5734</v>
      </c>
    </row>
    <row r="603" spans="1:23" ht="29">
      <c r="A603" s="19" t="s">
        <v>5726</v>
      </c>
      <c r="B603" s="11" t="s">
        <v>5735</v>
      </c>
      <c r="C603" s="3" t="s">
        <v>24</v>
      </c>
      <c r="D603" s="3" t="s">
        <v>26</v>
      </c>
      <c r="E603" s="4" t="s">
        <v>396</v>
      </c>
      <c r="F603" s="4" t="s">
        <v>28</v>
      </c>
      <c r="G603" s="3"/>
      <c r="H603" s="4" t="s">
        <v>541</v>
      </c>
      <c r="I603" s="3" t="s">
        <v>537</v>
      </c>
      <c r="J603" s="3" t="s">
        <v>537</v>
      </c>
      <c r="K603" s="3" t="s">
        <v>537</v>
      </c>
      <c r="L603" s="3" t="s">
        <v>537</v>
      </c>
      <c r="M603" s="3" t="s">
        <v>2276</v>
      </c>
      <c r="N603" s="3" t="s">
        <v>2276</v>
      </c>
      <c r="O603" s="3" t="s">
        <v>2276</v>
      </c>
      <c r="P603" s="3" t="s">
        <v>2276</v>
      </c>
      <c r="Q603" s="3" t="s">
        <v>2276</v>
      </c>
      <c r="R603" s="3" t="s">
        <v>2276</v>
      </c>
      <c r="S603" s="3" t="s">
        <v>2276</v>
      </c>
      <c r="T603" s="3" t="s">
        <v>2276</v>
      </c>
      <c r="U603" s="3" t="s">
        <v>2276</v>
      </c>
      <c r="V603" s="3" t="s">
        <v>2276</v>
      </c>
      <c r="W603" s="151" t="s">
        <v>5734</v>
      </c>
    </row>
    <row r="604" spans="1:23" ht="29">
      <c r="A604" s="19" t="s">
        <v>5727</v>
      </c>
      <c r="B604" s="11" t="s">
        <v>5736</v>
      </c>
      <c r="C604" s="3" t="s">
        <v>24</v>
      </c>
      <c r="D604" s="3" t="s">
        <v>26</v>
      </c>
      <c r="E604" s="4" t="s">
        <v>396</v>
      </c>
      <c r="F604" s="4" t="s">
        <v>28</v>
      </c>
      <c r="G604" s="3"/>
      <c r="H604" s="4" t="s">
        <v>541</v>
      </c>
      <c r="I604" s="3" t="s">
        <v>537</v>
      </c>
      <c r="J604" s="3" t="s">
        <v>537</v>
      </c>
      <c r="K604" s="3" t="s">
        <v>537</v>
      </c>
      <c r="L604" s="3" t="s">
        <v>537</v>
      </c>
      <c r="M604" s="3" t="s">
        <v>2276</v>
      </c>
      <c r="N604" s="3" t="s">
        <v>2276</v>
      </c>
      <c r="O604" s="3" t="s">
        <v>2276</v>
      </c>
      <c r="P604" s="3" t="s">
        <v>2276</v>
      </c>
      <c r="Q604" s="3" t="s">
        <v>2276</v>
      </c>
      <c r="R604" s="3" t="s">
        <v>2276</v>
      </c>
      <c r="S604" s="3" t="s">
        <v>2276</v>
      </c>
      <c r="T604" s="3" t="s">
        <v>2276</v>
      </c>
      <c r="U604" s="3" t="s">
        <v>2276</v>
      </c>
      <c r="V604" s="3" t="s">
        <v>2276</v>
      </c>
      <c r="W604" s="151" t="s">
        <v>5734</v>
      </c>
    </row>
    <row r="605" spans="1:23" ht="29">
      <c r="A605" s="19" t="s">
        <v>5728</v>
      </c>
      <c r="B605" s="11" t="s">
        <v>5737</v>
      </c>
      <c r="C605" s="3" t="s">
        <v>24</v>
      </c>
      <c r="D605" s="3" t="s">
        <v>26</v>
      </c>
      <c r="E605" s="4" t="s">
        <v>396</v>
      </c>
      <c r="F605" s="4" t="s">
        <v>28</v>
      </c>
      <c r="G605" s="3"/>
      <c r="H605" s="4" t="s">
        <v>541</v>
      </c>
      <c r="I605" s="3" t="s">
        <v>537</v>
      </c>
      <c r="J605" s="3" t="s">
        <v>537</v>
      </c>
      <c r="K605" s="3" t="s">
        <v>537</v>
      </c>
      <c r="L605" s="3" t="s">
        <v>537</v>
      </c>
      <c r="M605" s="3" t="s">
        <v>2276</v>
      </c>
      <c r="N605" s="3" t="s">
        <v>2276</v>
      </c>
      <c r="O605" s="3" t="s">
        <v>2276</v>
      </c>
      <c r="P605" s="3" t="s">
        <v>2276</v>
      </c>
      <c r="Q605" s="3" t="s">
        <v>2276</v>
      </c>
      <c r="R605" s="38" t="s">
        <v>2276</v>
      </c>
      <c r="S605" s="38" t="s">
        <v>2276</v>
      </c>
      <c r="T605" s="38" t="s">
        <v>2276</v>
      </c>
      <c r="U605" s="38" t="s">
        <v>2276</v>
      </c>
      <c r="V605" s="38" t="s">
        <v>2276</v>
      </c>
      <c r="W605" s="151" t="s">
        <v>5734</v>
      </c>
    </row>
    <row r="606" spans="1:23" ht="28" customHeight="1">
      <c r="A606" s="19" t="s">
        <v>5739</v>
      </c>
      <c r="B606" s="19" t="s">
        <v>5746</v>
      </c>
      <c r="C606" s="3" t="s">
        <v>24</v>
      </c>
      <c r="D606" s="3" t="s">
        <v>1105</v>
      </c>
      <c r="E606" s="3" t="s">
        <v>1105</v>
      </c>
      <c r="F606" s="4" t="s">
        <v>74</v>
      </c>
      <c r="G606" s="3">
        <v>1950</v>
      </c>
      <c r="H606" s="4" t="s">
        <v>541</v>
      </c>
      <c r="I606" s="3" t="s">
        <v>2276</v>
      </c>
      <c r="J606" s="3" t="s">
        <v>2276</v>
      </c>
      <c r="K606" s="3" t="s">
        <v>2276</v>
      </c>
      <c r="L606" s="3" t="s">
        <v>2276</v>
      </c>
      <c r="M606" s="3" t="s">
        <v>2276</v>
      </c>
      <c r="N606" s="3" t="s">
        <v>2276</v>
      </c>
      <c r="O606" s="3" t="s">
        <v>2276</v>
      </c>
      <c r="P606" s="3" t="s">
        <v>2276</v>
      </c>
      <c r="Q606" s="3" t="s">
        <v>2276</v>
      </c>
      <c r="R606" s="3" t="s">
        <v>534</v>
      </c>
      <c r="S606" s="38" t="s">
        <v>2276</v>
      </c>
      <c r="T606" s="38" t="s">
        <v>2276</v>
      </c>
      <c r="U606" s="38" t="s">
        <v>2276</v>
      </c>
      <c r="V606" s="3">
        <v>4</v>
      </c>
      <c r="W606" s="19" t="s">
        <v>5794</v>
      </c>
    </row>
    <row r="607" spans="1:23" ht="28" customHeight="1">
      <c r="A607" s="19" t="s">
        <v>5739</v>
      </c>
      <c r="B607" s="19" t="s">
        <v>5750</v>
      </c>
      <c r="C607" s="3" t="s">
        <v>24</v>
      </c>
      <c r="D607" s="3" t="s">
        <v>1105</v>
      </c>
      <c r="E607" s="3" t="s">
        <v>1105</v>
      </c>
      <c r="F607" s="4" t="s">
        <v>74</v>
      </c>
      <c r="G607" s="3">
        <v>1984</v>
      </c>
      <c r="H607" s="4" t="s">
        <v>541</v>
      </c>
      <c r="I607" s="3" t="s">
        <v>2276</v>
      </c>
      <c r="J607" s="3" t="s">
        <v>2276</v>
      </c>
      <c r="K607" s="3" t="s">
        <v>2276</v>
      </c>
      <c r="L607" s="3" t="s">
        <v>2276</v>
      </c>
      <c r="M607" s="3" t="s">
        <v>2276</v>
      </c>
      <c r="N607" s="3" t="s">
        <v>2276</v>
      </c>
      <c r="O607" s="3" t="s">
        <v>2276</v>
      </c>
      <c r="P607" s="3" t="s">
        <v>2276</v>
      </c>
      <c r="Q607" s="3" t="s">
        <v>2276</v>
      </c>
      <c r="R607" s="3" t="s">
        <v>2276</v>
      </c>
      <c r="S607" s="38" t="s">
        <v>2276</v>
      </c>
      <c r="T607" s="38" t="s">
        <v>2276</v>
      </c>
      <c r="U607" s="38" t="s">
        <v>2276</v>
      </c>
      <c r="V607" s="3" t="s">
        <v>2276</v>
      </c>
      <c r="W607" s="3" t="s">
        <v>2276</v>
      </c>
    </row>
    <row r="608" spans="1:23" ht="28" customHeight="1">
      <c r="A608" s="3" t="s">
        <v>5739</v>
      </c>
      <c r="B608" s="19" t="s">
        <v>5755</v>
      </c>
      <c r="C608" s="3" t="s">
        <v>24</v>
      </c>
      <c r="D608" s="3" t="s">
        <v>1105</v>
      </c>
      <c r="E608" s="3" t="s">
        <v>1105</v>
      </c>
      <c r="F608" s="4" t="s">
        <v>74</v>
      </c>
      <c r="G608" s="3">
        <v>2004</v>
      </c>
      <c r="H608" s="4" t="s">
        <v>541</v>
      </c>
      <c r="I608" s="3" t="s">
        <v>2276</v>
      </c>
      <c r="J608" s="3" t="s">
        <v>2276</v>
      </c>
      <c r="K608" s="3" t="s">
        <v>2276</v>
      </c>
      <c r="L608" s="3" t="s">
        <v>2276</v>
      </c>
      <c r="M608" s="3" t="s">
        <v>2276</v>
      </c>
      <c r="N608" s="3" t="s">
        <v>2276</v>
      </c>
      <c r="O608" s="3" t="s">
        <v>2276</v>
      </c>
      <c r="P608" s="3" t="s">
        <v>2276</v>
      </c>
      <c r="Q608" s="3" t="s">
        <v>2276</v>
      </c>
      <c r="R608" s="3" t="s">
        <v>2276</v>
      </c>
      <c r="S608" s="38" t="s">
        <v>2276</v>
      </c>
      <c r="T608" s="38" t="s">
        <v>2276</v>
      </c>
      <c r="U608" s="38" t="s">
        <v>2276</v>
      </c>
      <c r="V608" s="3" t="s">
        <v>2276</v>
      </c>
      <c r="W608" s="3" t="s">
        <v>2276</v>
      </c>
    </row>
    <row r="609" spans="1:23" ht="28" customHeight="1">
      <c r="A609" s="19" t="s">
        <v>5743</v>
      </c>
      <c r="B609" s="19" t="s">
        <v>5747</v>
      </c>
      <c r="C609" s="3" t="s">
        <v>24</v>
      </c>
      <c r="D609" s="3" t="s">
        <v>1105</v>
      </c>
      <c r="E609" s="3" t="s">
        <v>1105</v>
      </c>
      <c r="F609" s="4" t="s">
        <v>74</v>
      </c>
      <c r="G609" s="3">
        <v>1950</v>
      </c>
      <c r="H609" s="4" t="s">
        <v>541</v>
      </c>
      <c r="I609" s="3" t="s">
        <v>2276</v>
      </c>
      <c r="J609" s="3" t="s">
        <v>2276</v>
      </c>
      <c r="K609" s="3" t="s">
        <v>2276</v>
      </c>
      <c r="L609" s="3" t="s">
        <v>2276</v>
      </c>
      <c r="M609" s="3" t="s">
        <v>2276</v>
      </c>
      <c r="N609" s="3" t="s">
        <v>2276</v>
      </c>
      <c r="O609" s="3" t="s">
        <v>2276</v>
      </c>
      <c r="P609" s="3" t="s">
        <v>2276</v>
      </c>
      <c r="Q609" s="3" t="s">
        <v>2276</v>
      </c>
      <c r="R609" s="3" t="s">
        <v>534</v>
      </c>
      <c r="S609" s="38" t="s">
        <v>2276</v>
      </c>
      <c r="T609" s="38" t="s">
        <v>2276</v>
      </c>
      <c r="U609" s="38" t="s">
        <v>2276</v>
      </c>
      <c r="V609" s="3">
        <v>4</v>
      </c>
      <c r="W609" s="19" t="s">
        <v>5794</v>
      </c>
    </row>
    <row r="610" spans="1:23" ht="28" customHeight="1">
      <c r="A610" s="19" t="s">
        <v>5743</v>
      </c>
      <c r="B610" s="19" t="s">
        <v>5751</v>
      </c>
      <c r="C610" s="3" t="s">
        <v>24</v>
      </c>
      <c r="D610" s="3" t="s">
        <v>1105</v>
      </c>
      <c r="E610" s="3" t="s">
        <v>1105</v>
      </c>
      <c r="F610" s="4" t="s">
        <v>74</v>
      </c>
      <c r="G610" s="3">
        <v>1984</v>
      </c>
      <c r="H610" s="4" t="s">
        <v>541</v>
      </c>
      <c r="I610" s="3" t="s">
        <v>2276</v>
      </c>
      <c r="J610" s="3" t="s">
        <v>2276</v>
      </c>
      <c r="K610" s="3" t="s">
        <v>2276</v>
      </c>
      <c r="L610" s="3" t="s">
        <v>2276</v>
      </c>
      <c r="M610" s="3" t="s">
        <v>2276</v>
      </c>
      <c r="N610" s="3" t="s">
        <v>2276</v>
      </c>
      <c r="O610" s="3" t="s">
        <v>2276</v>
      </c>
      <c r="P610" s="3" t="s">
        <v>2276</v>
      </c>
      <c r="Q610" s="3" t="s">
        <v>2276</v>
      </c>
      <c r="R610" s="3" t="s">
        <v>2276</v>
      </c>
      <c r="S610" s="38" t="s">
        <v>2276</v>
      </c>
      <c r="T610" s="38" t="s">
        <v>2276</v>
      </c>
      <c r="U610" s="38" t="s">
        <v>2276</v>
      </c>
      <c r="V610" s="3" t="s">
        <v>2276</v>
      </c>
      <c r="W610" s="3" t="s">
        <v>2276</v>
      </c>
    </row>
    <row r="611" spans="1:23" ht="28" customHeight="1">
      <c r="A611" s="19" t="s">
        <v>5743</v>
      </c>
      <c r="B611" s="19" t="s">
        <v>5756</v>
      </c>
      <c r="C611" s="3" t="s">
        <v>24</v>
      </c>
      <c r="D611" s="3" t="s">
        <v>1105</v>
      </c>
      <c r="E611" s="3" t="s">
        <v>1105</v>
      </c>
      <c r="F611" s="4" t="s">
        <v>74</v>
      </c>
      <c r="G611" s="3">
        <v>2004</v>
      </c>
      <c r="H611" s="4" t="s">
        <v>541</v>
      </c>
      <c r="I611" s="3" t="s">
        <v>2276</v>
      </c>
      <c r="J611" s="3" t="s">
        <v>2276</v>
      </c>
      <c r="K611" s="3" t="s">
        <v>2276</v>
      </c>
      <c r="L611" s="3" t="s">
        <v>2276</v>
      </c>
      <c r="M611" s="3" t="s">
        <v>2276</v>
      </c>
      <c r="N611" s="3" t="s">
        <v>2276</v>
      </c>
      <c r="O611" s="3" t="s">
        <v>2276</v>
      </c>
      <c r="P611" s="3" t="s">
        <v>2276</v>
      </c>
      <c r="Q611" s="3" t="s">
        <v>2276</v>
      </c>
      <c r="R611" s="3" t="s">
        <v>2276</v>
      </c>
      <c r="S611" s="38" t="s">
        <v>2276</v>
      </c>
      <c r="T611" s="38" t="s">
        <v>2276</v>
      </c>
      <c r="U611" s="38" t="s">
        <v>2276</v>
      </c>
      <c r="V611" s="3" t="s">
        <v>2276</v>
      </c>
      <c r="W611" s="3" t="s">
        <v>2276</v>
      </c>
    </row>
    <row r="612" spans="1:23" ht="43.5">
      <c r="A612" s="19" t="s">
        <v>5797</v>
      </c>
      <c r="B612" s="19" t="s">
        <v>5802</v>
      </c>
      <c r="C612" s="3" t="s">
        <v>24</v>
      </c>
      <c r="D612" s="3" t="s">
        <v>2659</v>
      </c>
      <c r="E612" s="4" t="s">
        <v>396</v>
      </c>
      <c r="F612" s="4" t="s">
        <v>28</v>
      </c>
      <c r="G612" s="3"/>
      <c r="H612" s="4"/>
      <c r="I612" s="3" t="s">
        <v>2276</v>
      </c>
      <c r="J612" s="3" t="s">
        <v>2276</v>
      </c>
      <c r="K612" s="3" t="s">
        <v>2276</v>
      </c>
      <c r="L612" s="3" t="s">
        <v>2276</v>
      </c>
      <c r="M612" s="3" t="s">
        <v>2670</v>
      </c>
      <c r="N612" s="3" t="s">
        <v>2276</v>
      </c>
      <c r="O612" s="3" t="s">
        <v>2276</v>
      </c>
      <c r="P612" s="3" t="s">
        <v>534</v>
      </c>
      <c r="Q612" s="3">
        <v>4</v>
      </c>
      <c r="R612" s="3" t="s">
        <v>2276</v>
      </c>
      <c r="S612" s="3" t="s">
        <v>2276</v>
      </c>
      <c r="T612" s="3" t="s">
        <v>2276</v>
      </c>
      <c r="U612" s="3" t="s">
        <v>2276</v>
      </c>
      <c r="V612" s="3" t="s">
        <v>2276</v>
      </c>
      <c r="W612" s="19" t="s">
        <v>5814</v>
      </c>
    </row>
    <row r="613" spans="1:23" ht="43.5">
      <c r="A613" s="19" t="s">
        <v>5797</v>
      </c>
      <c r="B613" s="19" t="s">
        <v>5803</v>
      </c>
      <c r="C613" s="3" t="s">
        <v>24</v>
      </c>
      <c r="D613" s="3" t="s">
        <v>2994</v>
      </c>
      <c r="E613" s="4" t="s">
        <v>396</v>
      </c>
      <c r="F613" s="4" t="s">
        <v>2276</v>
      </c>
      <c r="G613" s="3"/>
      <c r="H613" s="4"/>
      <c r="I613" s="3" t="s">
        <v>2276</v>
      </c>
      <c r="J613" s="3" t="s">
        <v>2276</v>
      </c>
      <c r="K613" s="3" t="s">
        <v>2276</v>
      </c>
      <c r="L613" s="3" t="s">
        <v>2276</v>
      </c>
      <c r="M613" s="3" t="s">
        <v>2670</v>
      </c>
      <c r="N613" s="3" t="s">
        <v>2276</v>
      </c>
      <c r="O613" s="3" t="s">
        <v>2276</v>
      </c>
      <c r="P613" s="3" t="s">
        <v>534</v>
      </c>
      <c r="Q613" s="3">
        <v>4</v>
      </c>
      <c r="R613" s="3" t="s">
        <v>2276</v>
      </c>
      <c r="S613" s="3" t="s">
        <v>2276</v>
      </c>
      <c r="T613" s="3" t="s">
        <v>2276</v>
      </c>
      <c r="U613" s="3" t="s">
        <v>2276</v>
      </c>
      <c r="V613" s="3" t="s">
        <v>2276</v>
      </c>
      <c r="W613" s="19" t="s">
        <v>5814</v>
      </c>
    </row>
    <row r="614" spans="1:23" ht="82" customHeight="1">
      <c r="A614" s="19" t="s">
        <v>5816</v>
      </c>
      <c r="B614" s="19" t="s">
        <v>5820</v>
      </c>
      <c r="C614" s="3" t="s">
        <v>24</v>
      </c>
      <c r="D614" s="3" t="s">
        <v>27</v>
      </c>
      <c r="E614" s="3" t="s">
        <v>130</v>
      </c>
      <c r="F614" s="3" t="s">
        <v>160</v>
      </c>
      <c r="G614" s="3"/>
      <c r="H614" s="4" t="s">
        <v>541</v>
      </c>
      <c r="I614" s="3" t="s">
        <v>2690</v>
      </c>
      <c r="J614" s="3" t="s">
        <v>534</v>
      </c>
      <c r="K614" s="3" t="s">
        <v>2276</v>
      </c>
      <c r="L614" s="3" t="s">
        <v>2276</v>
      </c>
      <c r="M614" s="3" t="s">
        <v>2669</v>
      </c>
      <c r="N614" s="3" t="s">
        <v>534</v>
      </c>
      <c r="O614" s="3" t="s">
        <v>2276</v>
      </c>
      <c r="P614" s="3" t="s">
        <v>2276</v>
      </c>
      <c r="Q614" s="3" t="s">
        <v>2276</v>
      </c>
      <c r="R614" s="3" t="s">
        <v>537</v>
      </c>
      <c r="S614" s="3" t="s">
        <v>537</v>
      </c>
      <c r="T614" s="3" t="s">
        <v>537</v>
      </c>
      <c r="U614" s="3" t="s">
        <v>537</v>
      </c>
      <c r="V614" s="3" t="s">
        <v>2276</v>
      </c>
      <c r="W614" s="4" t="s">
        <v>5826</v>
      </c>
    </row>
    <row r="615" spans="1:23" ht="82" customHeight="1">
      <c r="A615" s="19" t="s">
        <v>5817</v>
      </c>
      <c r="B615" s="19" t="s">
        <v>5823</v>
      </c>
      <c r="C615" s="3" t="s">
        <v>24</v>
      </c>
      <c r="D615" s="3" t="s">
        <v>27</v>
      </c>
      <c r="E615" s="3" t="s">
        <v>130</v>
      </c>
      <c r="F615" s="3" t="s">
        <v>160</v>
      </c>
      <c r="G615" s="3"/>
      <c r="H615" s="4" t="s">
        <v>541</v>
      </c>
      <c r="I615" s="3" t="s">
        <v>2690</v>
      </c>
      <c r="J615" s="3" t="s">
        <v>534</v>
      </c>
      <c r="K615" s="3" t="s">
        <v>2276</v>
      </c>
      <c r="L615" s="3" t="s">
        <v>2276</v>
      </c>
      <c r="M615" s="3" t="s">
        <v>2669</v>
      </c>
      <c r="N615" s="3" t="s">
        <v>534</v>
      </c>
      <c r="O615" s="3" t="s">
        <v>2276</v>
      </c>
      <c r="P615" s="3" t="s">
        <v>2276</v>
      </c>
      <c r="Q615" s="3" t="s">
        <v>2276</v>
      </c>
      <c r="R615" s="3" t="s">
        <v>537</v>
      </c>
      <c r="S615" s="3" t="s">
        <v>537</v>
      </c>
      <c r="T615" s="3" t="s">
        <v>537</v>
      </c>
      <c r="U615" s="3" t="s">
        <v>537</v>
      </c>
      <c r="V615" s="3" t="s">
        <v>2276</v>
      </c>
      <c r="W615" s="4" t="s">
        <v>5826</v>
      </c>
    </row>
    <row r="616" spans="1:23" ht="64.5" customHeight="1">
      <c r="A616" s="3" t="s">
        <v>5862</v>
      </c>
      <c r="B616" s="3" t="s">
        <v>5884</v>
      </c>
      <c r="C616" s="3" t="s">
        <v>24</v>
      </c>
      <c r="D616" s="3" t="s">
        <v>1105</v>
      </c>
      <c r="E616" s="3" t="s">
        <v>1105</v>
      </c>
      <c r="F616" s="3" t="s">
        <v>1105</v>
      </c>
      <c r="G616" s="3"/>
      <c r="H616" s="4" t="s">
        <v>541</v>
      </c>
      <c r="I616" s="3" t="s">
        <v>2276</v>
      </c>
      <c r="J616" s="3" t="s">
        <v>2276</v>
      </c>
      <c r="K616" s="3" t="s">
        <v>2276</v>
      </c>
      <c r="L616" s="3" t="s">
        <v>2276</v>
      </c>
      <c r="M616" s="3" t="s">
        <v>2670</v>
      </c>
      <c r="N616" s="3" t="s">
        <v>2276</v>
      </c>
      <c r="O616" s="3" t="s">
        <v>2276</v>
      </c>
      <c r="P616" s="3" t="s">
        <v>534</v>
      </c>
      <c r="Q616" s="3">
        <v>2</v>
      </c>
      <c r="R616" s="3" t="s">
        <v>537</v>
      </c>
      <c r="S616" s="3" t="s">
        <v>537</v>
      </c>
      <c r="T616" s="3" t="s">
        <v>537</v>
      </c>
      <c r="U616" s="3" t="s">
        <v>537</v>
      </c>
      <c r="V616" s="3" t="s">
        <v>2276</v>
      </c>
      <c r="W616" s="19" t="s">
        <v>5893</v>
      </c>
    </row>
    <row r="617" spans="1:23" ht="51.5" customHeight="1">
      <c r="A617" s="19" t="s">
        <v>5875</v>
      </c>
      <c r="B617" s="19" t="s">
        <v>5900</v>
      </c>
      <c r="C617" s="3" t="s">
        <v>24</v>
      </c>
      <c r="D617" s="3" t="s">
        <v>144</v>
      </c>
      <c r="E617" s="3" t="s">
        <v>1105</v>
      </c>
      <c r="F617" s="3" t="s">
        <v>55</v>
      </c>
      <c r="G617" s="3"/>
      <c r="H617" s="4" t="s">
        <v>541</v>
      </c>
      <c r="I617" s="3" t="s">
        <v>2276</v>
      </c>
      <c r="J617" s="3" t="s">
        <v>2276</v>
      </c>
      <c r="K617" s="3" t="s">
        <v>2276</v>
      </c>
      <c r="L617" s="3" t="s">
        <v>2276</v>
      </c>
      <c r="M617" s="3" t="s">
        <v>2276</v>
      </c>
      <c r="N617" s="3" t="s">
        <v>2276</v>
      </c>
      <c r="O617" s="3" t="s">
        <v>2276</v>
      </c>
      <c r="P617" s="3" t="s">
        <v>2276</v>
      </c>
      <c r="Q617" s="3" t="s">
        <v>2276</v>
      </c>
      <c r="R617" s="3" t="s">
        <v>537</v>
      </c>
      <c r="S617" s="3" t="s">
        <v>537</v>
      </c>
      <c r="T617" s="3" t="s">
        <v>537</v>
      </c>
      <c r="U617" s="3" t="s">
        <v>537</v>
      </c>
      <c r="V617" s="3" t="s">
        <v>2276</v>
      </c>
      <c r="W617" s="3"/>
    </row>
    <row r="618" spans="1:23" ht="34.5" customHeight="1">
      <c r="A618" s="19" t="s">
        <v>5909</v>
      </c>
      <c r="B618" s="19" t="s">
        <v>5912</v>
      </c>
      <c r="C618" s="3" t="s">
        <v>24</v>
      </c>
      <c r="D618" s="3" t="s">
        <v>1245</v>
      </c>
      <c r="E618" s="3" t="s">
        <v>116</v>
      </c>
      <c r="F618" s="3" t="s">
        <v>2276</v>
      </c>
      <c r="G618" s="3"/>
      <c r="H618" s="4" t="s">
        <v>541</v>
      </c>
      <c r="I618" s="3" t="s">
        <v>2276</v>
      </c>
      <c r="J618" s="3" t="s">
        <v>2276</v>
      </c>
      <c r="K618" s="3" t="s">
        <v>2276</v>
      </c>
      <c r="L618" s="3" t="s">
        <v>2276</v>
      </c>
      <c r="M618" s="3" t="s">
        <v>2276</v>
      </c>
      <c r="N618" s="3" t="s">
        <v>2276</v>
      </c>
      <c r="O618" s="3" t="s">
        <v>2276</v>
      </c>
      <c r="P618" s="3" t="s">
        <v>2276</v>
      </c>
      <c r="Q618" s="3"/>
      <c r="R618" s="3" t="s">
        <v>534</v>
      </c>
      <c r="S618" s="3" t="s">
        <v>2276</v>
      </c>
      <c r="T618" s="3" t="s">
        <v>2276</v>
      </c>
      <c r="U618" s="3" t="s">
        <v>2276</v>
      </c>
      <c r="V618" s="3" t="s">
        <v>2276</v>
      </c>
      <c r="W618" s="19" t="s">
        <v>5928</v>
      </c>
    </row>
    <row r="619" spans="1:23" ht="36" customHeight="1">
      <c r="A619" s="19" t="s">
        <v>5909</v>
      </c>
      <c r="B619" s="19" t="s">
        <v>5913</v>
      </c>
      <c r="C619" s="3" t="s">
        <v>24</v>
      </c>
      <c r="D619" s="3" t="s">
        <v>25</v>
      </c>
      <c r="E619" s="3" t="s">
        <v>5005</v>
      </c>
      <c r="F619" s="3" t="s">
        <v>2276</v>
      </c>
      <c r="G619" s="3"/>
      <c r="H619" s="4" t="s">
        <v>541</v>
      </c>
      <c r="I619" s="3" t="s">
        <v>2276</v>
      </c>
      <c r="J619" s="3" t="s">
        <v>2276</v>
      </c>
      <c r="K619" s="3" t="s">
        <v>2276</v>
      </c>
      <c r="L619" s="3" t="s">
        <v>2276</v>
      </c>
      <c r="M619" s="3" t="s">
        <v>2669</v>
      </c>
      <c r="N619" s="3" t="s">
        <v>2276</v>
      </c>
      <c r="O619" s="3" t="s">
        <v>2276</v>
      </c>
      <c r="P619" s="3" t="s">
        <v>2276</v>
      </c>
      <c r="Q619" s="3">
        <v>1</v>
      </c>
      <c r="R619" s="3" t="s">
        <v>537</v>
      </c>
      <c r="S619" s="3" t="s">
        <v>537</v>
      </c>
      <c r="T619" s="3" t="s">
        <v>537</v>
      </c>
      <c r="U619" s="3" t="s">
        <v>537</v>
      </c>
      <c r="V619" s="3" t="s">
        <v>2276</v>
      </c>
      <c r="W619" s="19" t="s">
        <v>5929</v>
      </c>
    </row>
    <row r="620" spans="1:23" ht="36" customHeight="1">
      <c r="A620" s="19" t="s">
        <v>5909</v>
      </c>
      <c r="B620" s="19" t="s">
        <v>5914</v>
      </c>
      <c r="C620" s="3" t="s">
        <v>24</v>
      </c>
      <c r="D620" s="3" t="s">
        <v>27</v>
      </c>
      <c r="E620" s="3" t="s">
        <v>130</v>
      </c>
      <c r="F620" s="3" t="s">
        <v>2276</v>
      </c>
      <c r="G620" s="3"/>
      <c r="H620" s="4" t="s">
        <v>541</v>
      </c>
      <c r="I620" s="3" t="s">
        <v>2276</v>
      </c>
      <c r="J620" s="3" t="s">
        <v>2276</v>
      </c>
      <c r="K620" s="3" t="s">
        <v>2276</v>
      </c>
      <c r="L620" s="3" t="s">
        <v>2276</v>
      </c>
      <c r="M620" s="3" t="s">
        <v>2669</v>
      </c>
      <c r="N620" s="3" t="s">
        <v>2276</v>
      </c>
      <c r="O620" s="3" t="s">
        <v>2276</v>
      </c>
      <c r="P620" s="3" t="s">
        <v>2276</v>
      </c>
      <c r="Q620" s="3">
        <v>1</v>
      </c>
      <c r="R620" s="3" t="s">
        <v>537</v>
      </c>
      <c r="S620" s="3" t="s">
        <v>537</v>
      </c>
      <c r="T620" s="3" t="s">
        <v>537</v>
      </c>
      <c r="U620" s="3" t="s">
        <v>537</v>
      </c>
      <c r="V620" s="3" t="s">
        <v>2276</v>
      </c>
      <c r="W620" s="19" t="s">
        <v>5929</v>
      </c>
    </row>
    <row r="621" spans="1:23" ht="36" customHeight="1">
      <c r="A621" s="19" t="s">
        <v>5909</v>
      </c>
      <c r="B621" s="19" t="s">
        <v>5915</v>
      </c>
      <c r="C621" s="3" t="s">
        <v>24</v>
      </c>
      <c r="D621" s="3" t="s">
        <v>3476</v>
      </c>
      <c r="E621" s="3" t="s">
        <v>863</v>
      </c>
      <c r="F621" s="3" t="s">
        <v>2276</v>
      </c>
      <c r="G621" s="3"/>
      <c r="H621" s="4" t="s">
        <v>541</v>
      </c>
      <c r="I621" s="3" t="s">
        <v>2276</v>
      </c>
      <c r="J621" s="3" t="s">
        <v>2276</v>
      </c>
      <c r="K621" s="3" t="s">
        <v>2276</v>
      </c>
      <c r="L621" s="3" t="s">
        <v>2276</v>
      </c>
      <c r="M621" s="3" t="s">
        <v>2669</v>
      </c>
      <c r="N621" s="3" t="s">
        <v>2276</v>
      </c>
      <c r="O621" s="3" t="s">
        <v>2276</v>
      </c>
      <c r="P621" s="3" t="s">
        <v>2276</v>
      </c>
      <c r="Q621" s="3">
        <v>1</v>
      </c>
      <c r="R621" s="3" t="s">
        <v>537</v>
      </c>
      <c r="S621" s="3" t="s">
        <v>537</v>
      </c>
      <c r="T621" s="3" t="s">
        <v>537</v>
      </c>
      <c r="U621" s="3" t="s">
        <v>537</v>
      </c>
      <c r="V621" s="3" t="s">
        <v>2276</v>
      </c>
      <c r="W621" s="19" t="s">
        <v>5929</v>
      </c>
    </row>
    <row r="622" spans="1:23" ht="48.5" customHeight="1">
      <c r="A622" s="19" t="s">
        <v>5909</v>
      </c>
      <c r="B622" s="19" t="s">
        <v>5916</v>
      </c>
      <c r="C622" s="3" t="s">
        <v>24</v>
      </c>
      <c r="D622" s="3" t="s">
        <v>1242</v>
      </c>
      <c r="E622" s="4" t="s">
        <v>137</v>
      </c>
      <c r="F622" s="3" t="s">
        <v>2276</v>
      </c>
      <c r="G622" s="3"/>
      <c r="H622" s="4" t="s">
        <v>541</v>
      </c>
      <c r="I622" s="3" t="s">
        <v>2276</v>
      </c>
      <c r="J622" s="3" t="s">
        <v>2276</v>
      </c>
      <c r="K622" s="3" t="s">
        <v>2276</v>
      </c>
      <c r="L622" s="3" t="s">
        <v>2276</v>
      </c>
      <c r="M622" s="3" t="s">
        <v>2276</v>
      </c>
      <c r="N622" s="3" t="s">
        <v>2276</v>
      </c>
      <c r="O622" s="3" t="s">
        <v>2276</v>
      </c>
      <c r="P622" s="3" t="s">
        <v>2276</v>
      </c>
      <c r="Q622" s="3" t="s">
        <v>2276</v>
      </c>
      <c r="R622" s="3" t="s">
        <v>537</v>
      </c>
      <c r="S622" s="3" t="s">
        <v>537</v>
      </c>
      <c r="T622" s="3" t="s">
        <v>537</v>
      </c>
      <c r="U622" s="3" t="s">
        <v>537</v>
      </c>
      <c r="V622" s="3" t="s">
        <v>2276</v>
      </c>
      <c r="W622" s="19" t="s">
        <v>5930</v>
      </c>
    </row>
    <row r="623" spans="1:23" ht="47.5" customHeight="1">
      <c r="A623" s="19" t="s">
        <v>5909</v>
      </c>
      <c r="B623" s="19" t="s">
        <v>5917</v>
      </c>
      <c r="C623" s="3" t="s">
        <v>24</v>
      </c>
      <c r="D623" s="3" t="s">
        <v>144</v>
      </c>
      <c r="E623" s="4" t="s">
        <v>137</v>
      </c>
      <c r="F623" s="3" t="s">
        <v>2276</v>
      </c>
      <c r="G623" s="3"/>
      <c r="H623" s="4" t="s">
        <v>541</v>
      </c>
      <c r="I623" s="3" t="s">
        <v>2276</v>
      </c>
      <c r="J623" s="3" t="s">
        <v>2276</v>
      </c>
      <c r="K623" s="3" t="s">
        <v>2276</v>
      </c>
      <c r="L623" s="3" t="s">
        <v>2276</v>
      </c>
      <c r="M623" s="3" t="s">
        <v>2276</v>
      </c>
      <c r="N623" s="3" t="s">
        <v>2276</v>
      </c>
      <c r="O623" s="3" t="s">
        <v>2276</v>
      </c>
      <c r="P623" s="3" t="s">
        <v>2276</v>
      </c>
      <c r="Q623" s="3" t="s">
        <v>2276</v>
      </c>
      <c r="R623" s="3" t="s">
        <v>537</v>
      </c>
      <c r="S623" s="3" t="s">
        <v>537</v>
      </c>
      <c r="T623" s="3" t="s">
        <v>537</v>
      </c>
      <c r="U623" s="3" t="s">
        <v>537</v>
      </c>
      <c r="V623" s="3" t="s">
        <v>2276</v>
      </c>
      <c r="W623" s="19" t="s">
        <v>5930</v>
      </c>
    </row>
    <row r="624" spans="1:23" ht="53" customHeight="1">
      <c r="A624" s="19" t="s">
        <v>5932</v>
      </c>
      <c r="B624" s="19" t="s">
        <v>5934</v>
      </c>
      <c r="C624" s="3" t="s">
        <v>24</v>
      </c>
      <c r="D624" s="3" t="s">
        <v>1105</v>
      </c>
      <c r="E624" s="3" t="s">
        <v>116</v>
      </c>
      <c r="F624" s="4" t="s">
        <v>2662</v>
      </c>
      <c r="G624" s="3"/>
      <c r="H624" s="4" t="s">
        <v>541</v>
      </c>
      <c r="I624" s="3" t="s">
        <v>2276</v>
      </c>
      <c r="J624" s="3" t="s">
        <v>2276</v>
      </c>
      <c r="K624" s="3" t="s">
        <v>2276</v>
      </c>
      <c r="L624" s="3" t="s">
        <v>2276</v>
      </c>
      <c r="M624" s="3" t="s">
        <v>2728</v>
      </c>
      <c r="N624" s="3" t="s">
        <v>2276</v>
      </c>
      <c r="O624" s="3" t="s">
        <v>534</v>
      </c>
      <c r="P624" s="3" t="s">
        <v>2276</v>
      </c>
      <c r="Q624" s="3" t="s">
        <v>2276</v>
      </c>
      <c r="R624" s="3" t="s">
        <v>2276</v>
      </c>
      <c r="S624" s="3" t="s">
        <v>2276</v>
      </c>
      <c r="T624" s="3" t="s">
        <v>2276</v>
      </c>
      <c r="U624" s="3" t="s">
        <v>2276</v>
      </c>
      <c r="V624" s="3" t="s">
        <v>2276</v>
      </c>
      <c r="W624" s="19" t="s">
        <v>5945</v>
      </c>
    </row>
    <row r="625" spans="1:23" ht="43.5" customHeight="1">
      <c r="A625" s="3" t="s">
        <v>5956</v>
      </c>
      <c r="B625" s="3" t="s">
        <v>5957</v>
      </c>
      <c r="C625" s="3" t="s">
        <v>24</v>
      </c>
      <c r="D625" s="3" t="s">
        <v>144</v>
      </c>
      <c r="E625" s="4" t="s">
        <v>137</v>
      </c>
      <c r="F625" s="3" t="s">
        <v>74</v>
      </c>
      <c r="G625" s="3"/>
      <c r="H625" s="4" t="s">
        <v>2673</v>
      </c>
      <c r="I625" s="3" t="s">
        <v>2276</v>
      </c>
      <c r="J625" s="3" t="s">
        <v>2276</v>
      </c>
      <c r="K625" s="3" t="s">
        <v>2276</v>
      </c>
      <c r="L625" s="3" t="s">
        <v>2276</v>
      </c>
      <c r="M625" s="3" t="s">
        <v>2728</v>
      </c>
      <c r="N625" s="3" t="s">
        <v>2276</v>
      </c>
      <c r="O625" s="3" t="s">
        <v>2276</v>
      </c>
      <c r="P625" s="3" t="s">
        <v>534</v>
      </c>
      <c r="Q625" s="3">
        <v>4</v>
      </c>
      <c r="R625" s="3" t="s">
        <v>2276</v>
      </c>
      <c r="S625" s="3" t="s">
        <v>2276</v>
      </c>
      <c r="T625" s="3" t="s">
        <v>2276</v>
      </c>
      <c r="U625" s="3" t="s">
        <v>2276</v>
      </c>
      <c r="V625" s="3" t="s">
        <v>2276</v>
      </c>
      <c r="W625" s="4" t="s">
        <v>5966</v>
      </c>
    </row>
    <row r="626" spans="1:23" ht="43.5" customHeight="1">
      <c r="A626" s="3" t="s">
        <v>5956</v>
      </c>
      <c r="B626" s="3" t="s">
        <v>5960</v>
      </c>
      <c r="C626" s="3" t="s">
        <v>24</v>
      </c>
      <c r="D626" s="3" t="s">
        <v>144</v>
      </c>
      <c r="E626" s="4" t="s">
        <v>116</v>
      </c>
      <c r="F626" s="3" t="s">
        <v>74</v>
      </c>
      <c r="G626" s="3"/>
      <c r="H626" s="4" t="s">
        <v>2673</v>
      </c>
      <c r="I626" s="3" t="s">
        <v>2276</v>
      </c>
      <c r="J626" s="3" t="s">
        <v>2276</v>
      </c>
      <c r="K626" s="3" t="s">
        <v>2276</v>
      </c>
      <c r="L626" s="3" t="s">
        <v>2276</v>
      </c>
      <c r="M626" s="3" t="s">
        <v>2728</v>
      </c>
      <c r="N626" s="3" t="s">
        <v>2276</v>
      </c>
      <c r="O626" s="3" t="s">
        <v>2276</v>
      </c>
      <c r="P626" s="3" t="s">
        <v>534</v>
      </c>
      <c r="Q626" s="3">
        <v>4</v>
      </c>
      <c r="R626" s="3" t="s">
        <v>2276</v>
      </c>
      <c r="S626" s="3" t="s">
        <v>2276</v>
      </c>
      <c r="T626" s="3" t="s">
        <v>2276</v>
      </c>
      <c r="U626" s="3" t="s">
        <v>2276</v>
      </c>
      <c r="V626" s="3" t="s">
        <v>2276</v>
      </c>
      <c r="W626" s="4" t="s">
        <v>5966</v>
      </c>
    </row>
    <row r="627" spans="1:23" ht="43.5" customHeight="1">
      <c r="A627" s="3" t="s">
        <v>5956</v>
      </c>
      <c r="B627" s="3" t="s">
        <v>5961</v>
      </c>
      <c r="C627" s="3" t="s">
        <v>24</v>
      </c>
      <c r="D627" s="3" t="s">
        <v>3480</v>
      </c>
      <c r="E627" s="4" t="s">
        <v>116</v>
      </c>
      <c r="F627" s="3" t="s">
        <v>74</v>
      </c>
      <c r="G627" s="3"/>
      <c r="H627" s="4" t="s">
        <v>2673</v>
      </c>
      <c r="I627" s="3" t="s">
        <v>2276</v>
      </c>
      <c r="J627" s="3" t="s">
        <v>2276</v>
      </c>
      <c r="K627" s="3" t="s">
        <v>2276</v>
      </c>
      <c r="L627" s="3" t="s">
        <v>2276</v>
      </c>
      <c r="M627" s="3" t="s">
        <v>2728</v>
      </c>
      <c r="N627" s="3" t="s">
        <v>2276</v>
      </c>
      <c r="O627" s="3" t="s">
        <v>2276</v>
      </c>
      <c r="P627" s="3" t="s">
        <v>534</v>
      </c>
      <c r="Q627" s="3">
        <v>4</v>
      </c>
      <c r="R627" s="3" t="s">
        <v>2276</v>
      </c>
      <c r="S627" s="3" t="s">
        <v>2276</v>
      </c>
      <c r="T627" s="3" t="s">
        <v>2276</v>
      </c>
      <c r="U627" s="3" t="s">
        <v>2276</v>
      </c>
      <c r="V627" s="3" t="s">
        <v>2276</v>
      </c>
      <c r="W627" s="4" t="s">
        <v>5966</v>
      </c>
    </row>
    <row r="628" spans="1:23" ht="47.5" customHeight="1">
      <c r="A628" s="3" t="s">
        <v>5956</v>
      </c>
      <c r="B628" s="3" t="s">
        <v>5964</v>
      </c>
      <c r="C628" s="3" t="s">
        <v>24</v>
      </c>
      <c r="D628" s="3" t="s">
        <v>144</v>
      </c>
      <c r="E628" s="4" t="s">
        <v>116</v>
      </c>
      <c r="F628" s="3" t="s">
        <v>74</v>
      </c>
      <c r="G628" s="3"/>
      <c r="H628" s="4" t="s">
        <v>541</v>
      </c>
      <c r="I628" s="3" t="s">
        <v>2691</v>
      </c>
      <c r="J628" s="3" t="s">
        <v>2276</v>
      </c>
      <c r="K628" s="3" t="s">
        <v>534</v>
      </c>
      <c r="L628" s="3" t="s">
        <v>2276</v>
      </c>
      <c r="M628" s="3" t="s">
        <v>2276</v>
      </c>
      <c r="N628" s="3" t="s">
        <v>2276</v>
      </c>
      <c r="O628" s="3" t="s">
        <v>2276</v>
      </c>
      <c r="P628" s="3" t="s">
        <v>2276</v>
      </c>
      <c r="Q628" s="3" t="s">
        <v>2276</v>
      </c>
      <c r="R628" s="3" t="s">
        <v>2276</v>
      </c>
      <c r="S628" s="3" t="s">
        <v>2276</v>
      </c>
      <c r="T628" s="3" t="s">
        <v>2276</v>
      </c>
      <c r="U628" s="3" t="s">
        <v>2276</v>
      </c>
      <c r="V628" s="3" t="s">
        <v>2276</v>
      </c>
      <c r="W628" s="4" t="s">
        <v>5967</v>
      </c>
    </row>
    <row r="629" spans="1:23" ht="47.5" customHeight="1">
      <c r="A629" s="3" t="s">
        <v>5956</v>
      </c>
      <c r="B629" s="3" t="s">
        <v>5965</v>
      </c>
      <c r="C629" s="3" t="s">
        <v>24</v>
      </c>
      <c r="D629" s="3" t="s">
        <v>3480</v>
      </c>
      <c r="E629" s="4" t="s">
        <v>116</v>
      </c>
      <c r="F629" s="3" t="s">
        <v>74</v>
      </c>
      <c r="G629" s="3"/>
      <c r="H629" s="4" t="s">
        <v>541</v>
      </c>
      <c r="I629" s="3" t="s">
        <v>2691</v>
      </c>
      <c r="J629" s="3" t="s">
        <v>2276</v>
      </c>
      <c r="K629" s="3" t="s">
        <v>534</v>
      </c>
      <c r="L629" s="3" t="s">
        <v>2276</v>
      </c>
      <c r="M629" s="3" t="s">
        <v>2276</v>
      </c>
      <c r="N629" s="3" t="s">
        <v>2276</v>
      </c>
      <c r="O629" s="3" t="s">
        <v>2276</v>
      </c>
      <c r="P629" s="3" t="s">
        <v>2276</v>
      </c>
      <c r="Q629" s="3" t="s">
        <v>2276</v>
      </c>
      <c r="R629" s="3" t="s">
        <v>2276</v>
      </c>
      <c r="S629" s="3" t="s">
        <v>2276</v>
      </c>
      <c r="T629" s="3" t="s">
        <v>2276</v>
      </c>
      <c r="U629" s="3" t="s">
        <v>2276</v>
      </c>
      <c r="V629" s="3" t="s">
        <v>2276</v>
      </c>
      <c r="W629" s="4" t="s">
        <v>5967</v>
      </c>
    </row>
    <row r="630" spans="1:23" ht="47.5" customHeight="1">
      <c r="A630" s="11" t="s">
        <v>5969</v>
      </c>
      <c r="B630" s="11" t="s">
        <v>5971</v>
      </c>
      <c r="C630" s="3" t="s">
        <v>24</v>
      </c>
      <c r="D630" s="3" t="s">
        <v>143</v>
      </c>
      <c r="E630" s="3" t="s">
        <v>1105</v>
      </c>
      <c r="F630" s="3" t="s">
        <v>74</v>
      </c>
      <c r="G630" s="3"/>
      <c r="H630" s="4" t="s">
        <v>541</v>
      </c>
      <c r="I630" s="3" t="s">
        <v>2276</v>
      </c>
      <c r="J630" s="3" t="s">
        <v>2276</v>
      </c>
      <c r="K630" s="3" t="s">
        <v>2276</v>
      </c>
      <c r="L630" s="3" t="s">
        <v>2276</v>
      </c>
      <c r="M630" s="3" t="s">
        <v>2276</v>
      </c>
      <c r="N630" s="3" t="s">
        <v>2276</v>
      </c>
      <c r="O630" s="3" t="s">
        <v>2276</v>
      </c>
      <c r="P630" s="3" t="s">
        <v>2276</v>
      </c>
      <c r="Q630" s="3" t="s">
        <v>2276</v>
      </c>
      <c r="R630" s="3" t="s">
        <v>534</v>
      </c>
      <c r="S630" s="3" t="s">
        <v>2276</v>
      </c>
      <c r="T630" s="3" t="s">
        <v>2276</v>
      </c>
      <c r="U630" s="3" t="s">
        <v>534</v>
      </c>
      <c r="V630" s="3">
        <v>1</v>
      </c>
      <c r="W630" s="19" t="s">
        <v>5980</v>
      </c>
    </row>
    <row r="631" spans="1:23" ht="71.5" customHeight="1">
      <c r="A631" s="11" t="s">
        <v>5982</v>
      </c>
      <c r="B631" s="11" t="s">
        <v>5987</v>
      </c>
      <c r="C631" s="3" t="s">
        <v>24</v>
      </c>
      <c r="D631" s="4" t="s">
        <v>27</v>
      </c>
      <c r="E631" s="3" t="s">
        <v>130</v>
      </c>
      <c r="F631" s="3" t="s">
        <v>160</v>
      </c>
      <c r="G631" s="3"/>
      <c r="H631" s="4" t="s">
        <v>541</v>
      </c>
      <c r="I631" s="3" t="s">
        <v>2276</v>
      </c>
      <c r="J631" s="3" t="s">
        <v>2276</v>
      </c>
      <c r="K631" s="3" t="s">
        <v>2276</v>
      </c>
      <c r="L631" s="3" t="s">
        <v>2276</v>
      </c>
      <c r="M631" s="3" t="s">
        <v>2669</v>
      </c>
      <c r="N631" s="3" t="s">
        <v>2276</v>
      </c>
      <c r="O631" s="3" t="s">
        <v>2276</v>
      </c>
      <c r="P631" s="3" t="s">
        <v>2276</v>
      </c>
      <c r="Q631" s="3" t="s">
        <v>2276</v>
      </c>
      <c r="R631" s="3" t="s">
        <v>2276</v>
      </c>
      <c r="S631" s="3" t="s">
        <v>2276</v>
      </c>
      <c r="T631" s="3" t="s">
        <v>2276</v>
      </c>
      <c r="U631" s="3" t="s">
        <v>2276</v>
      </c>
      <c r="V631" s="3" t="s">
        <v>2276</v>
      </c>
      <c r="W631" s="4" t="s">
        <v>5993</v>
      </c>
    </row>
    <row r="632" spans="1:23" ht="44" customHeight="1">
      <c r="A632" s="11" t="s">
        <v>6048</v>
      </c>
      <c r="B632" s="11" t="s">
        <v>6052</v>
      </c>
      <c r="C632" s="3" t="s">
        <v>24</v>
      </c>
      <c r="D632" s="3" t="s">
        <v>27</v>
      </c>
      <c r="E632" s="3" t="s">
        <v>130</v>
      </c>
      <c r="F632" s="4" t="s">
        <v>160</v>
      </c>
      <c r="G632" s="3"/>
      <c r="H632" s="4" t="s">
        <v>541</v>
      </c>
      <c r="I632" s="3" t="s">
        <v>2276</v>
      </c>
      <c r="J632" s="3" t="s">
        <v>2276</v>
      </c>
      <c r="K632" s="3" t="s">
        <v>2276</v>
      </c>
      <c r="L632" s="3" t="s">
        <v>2276</v>
      </c>
      <c r="M632" s="3" t="s">
        <v>2728</v>
      </c>
      <c r="N632" s="3" t="s">
        <v>2276</v>
      </c>
      <c r="O632" s="3" t="s">
        <v>2276</v>
      </c>
      <c r="P632" s="3" t="s">
        <v>2276</v>
      </c>
      <c r="Q632" s="3" t="s">
        <v>2276</v>
      </c>
      <c r="R632" s="3" t="s">
        <v>2276</v>
      </c>
      <c r="S632" s="3" t="s">
        <v>2276</v>
      </c>
      <c r="T632" s="3" t="s">
        <v>2276</v>
      </c>
      <c r="U632" s="3" t="s">
        <v>2276</v>
      </c>
      <c r="V632" s="3"/>
      <c r="W632" s="19" t="s">
        <v>6059</v>
      </c>
    </row>
    <row r="633" spans="1:23" ht="44" customHeight="1">
      <c r="A633" s="11" t="s">
        <v>6048</v>
      </c>
      <c r="B633" s="11" t="s">
        <v>6053</v>
      </c>
      <c r="C633" s="3" t="s">
        <v>24</v>
      </c>
      <c r="D633" s="3" t="s">
        <v>25</v>
      </c>
      <c r="E633" s="3" t="s">
        <v>45</v>
      </c>
      <c r="F633" s="4" t="s">
        <v>29</v>
      </c>
      <c r="G633" s="3"/>
      <c r="H633" s="4" t="s">
        <v>541</v>
      </c>
      <c r="I633" s="3" t="s">
        <v>2276</v>
      </c>
      <c r="J633" s="3" t="s">
        <v>2276</v>
      </c>
      <c r="K633" s="3" t="s">
        <v>2276</v>
      </c>
      <c r="L633" s="3" t="s">
        <v>2276</v>
      </c>
      <c r="M633" s="3" t="s">
        <v>2728</v>
      </c>
      <c r="N633" s="3" t="s">
        <v>2276</v>
      </c>
      <c r="O633" s="3" t="s">
        <v>2276</v>
      </c>
      <c r="P633" s="3" t="s">
        <v>2276</v>
      </c>
      <c r="Q633" s="3" t="s">
        <v>2276</v>
      </c>
      <c r="R633" s="3" t="s">
        <v>2276</v>
      </c>
      <c r="S633" s="3" t="s">
        <v>2276</v>
      </c>
      <c r="T633" s="3" t="s">
        <v>2276</v>
      </c>
      <c r="U633" s="3" t="s">
        <v>2276</v>
      </c>
      <c r="V633" s="3"/>
      <c r="W633" s="19" t="s">
        <v>6059</v>
      </c>
    </row>
    <row r="634" spans="1:23" ht="41.5" customHeight="1">
      <c r="A634" s="4" t="s">
        <v>6148</v>
      </c>
      <c r="B634" s="4" t="s">
        <v>6190</v>
      </c>
      <c r="C634" s="4" t="s">
        <v>2656</v>
      </c>
      <c r="D634" s="4" t="s">
        <v>137</v>
      </c>
      <c r="E634" s="4" t="s">
        <v>30</v>
      </c>
      <c r="F634" s="4" t="s">
        <v>74</v>
      </c>
      <c r="G634" s="4"/>
      <c r="H634" s="4" t="s">
        <v>2673</v>
      </c>
      <c r="I634" s="4" t="s">
        <v>537</v>
      </c>
      <c r="J634" s="4" t="s">
        <v>537</v>
      </c>
      <c r="K634" s="4" t="s">
        <v>537</v>
      </c>
      <c r="L634" s="4" t="s">
        <v>537</v>
      </c>
      <c r="M634" s="4" t="s">
        <v>2671</v>
      </c>
      <c r="N634" s="4" t="s">
        <v>537</v>
      </c>
      <c r="O634" s="4" t="s">
        <v>534</v>
      </c>
      <c r="P634" s="4" t="s">
        <v>534</v>
      </c>
      <c r="Q634" s="4">
        <v>1</v>
      </c>
      <c r="R634" s="4" t="s">
        <v>537</v>
      </c>
      <c r="S634" s="4" t="s">
        <v>537</v>
      </c>
      <c r="T634" s="4" t="s">
        <v>537</v>
      </c>
      <c r="U634" s="4" t="s">
        <v>537</v>
      </c>
      <c r="V634" s="4" t="s">
        <v>2276</v>
      </c>
      <c r="W634" s="4" t="s">
        <v>6256</v>
      </c>
    </row>
    <row r="635" spans="1:23" ht="41.5" customHeight="1">
      <c r="A635" s="4" t="s">
        <v>6149</v>
      </c>
      <c r="B635" s="4" t="s">
        <v>6194</v>
      </c>
      <c r="C635" s="4" t="s">
        <v>31</v>
      </c>
      <c r="D635" s="4" t="s">
        <v>2653</v>
      </c>
      <c r="E635" s="4" t="s">
        <v>30</v>
      </c>
      <c r="F635" s="4" t="s">
        <v>74</v>
      </c>
      <c r="G635" s="4">
        <v>2018</v>
      </c>
      <c r="H635" s="4" t="s">
        <v>2673</v>
      </c>
      <c r="I635" s="4" t="s">
        <v>537</v>
      </c>
      <c r="J635" s="4" t="s">
        <v>537</v>
      </c>
      <c r="K635" s="4" t="s">
        <v>537</v>
      </c>
      <c r="L635" s="4" t="s">
        <v>537</v>
      </c>
      <c r="M635" s="4" t="s">
        <v>537</v>
      </c>
      <c r="N635" s="4" t="s">
        <v>534</v>
      </c>
      <c r="O635" s="4" t="s">
        <v>534</v>
      </c>
      <c r="P635" s="4" t="s">
        <v>534</v>
      </c>
      <c r="Q635" s="4">
        <v>2</v>
      </c>
      <c r="R635" s="4" t="s">
        <v>534</v>
      </c>
      <c r="S635" s="4" t="s">
        <v>534</v>
      </c>
      <c r="T635" s="4" t="s">
        <v>534</v>
      </c>
      <c r="U635" s="4" t="s">
        <v>534</v>
      </c>
      <c r="V635" s="4">
        <v>2</v>
      </c>
      <c r="W635" s="4" t="s">
        <v>6257</v>
      </c>
    </row>
    <row r="636" spans="1:23" s="203" customFormat="1" ht="41.5" customHeight="1">
      <c r="A636" s="204" t="s">
        <v>6639</v>
      </c>
      <c r="B636" s="204" t="s">
        <v>6646</v>
      </c>
      <c r="C636" s="204" t="s">
        <v>24</v>
      </c>
      <c r="D636" s="204" t="s">
        <v>1242</v>
      </c>
      <c r="E636" s="4" t="s">
        <v>137</v>
      </c>
      <c r="F636" s="204" t="s">
        <v>74</v>
      </c>
      <c r="G636" s="4"/>
      <c r="H636" s="4" t="s">
        <v>2673</v>
      </c>
      <c r="I636" s="4" t="s">
        <v>2276</v>
      </c>
      <c r="J636" s="4" t="s">
        <v>2276</v>
      </c>
      <c r="K636" s="4" t="s">
        <v>2276</v>
      </c>
      <c r="L636" s="4" t="s">
        <v>2276</v>
      </c>
      <c r="M636" s="4" t="s">
        <v>2728</v>
      </c>
      <c r="N636" s="204" t="s">
        <v>2276</v>
      </c>
      <c r="O636" s="204" t="s">
        <v>2276</v>
      </c>
      <c r="P636" s="4" t="s">
        <v>534</v>
      </c>
      <c r="Q636" s="4">
        <v>4</v>
      </c>
      <c r="R636" s="4" t="s">
        <v>537</v>
      </c>
      <c r="S636" s="204" t="s">
        <v>2276</v>
      </c>
      <c r="T636" s="204" t="s">
        <v>2276</v>
      </c>
      <c r="U636" s="4" t="s">
        <v>537</v>
      </c>
      <c r="V636" s="204" t="s">
        <v>2276</v>
      </c>
      <c r="W636" s="4" t="s">
        <v>6656</v>
      </c>
    </row>
    <row r="637" spans="1:23" s="203" customFormat="1" ht="41.5" customHeight="1">
      <c r="A637" s="204" t="s">
        <v>6639</v>
      </c>
      <c r="B637" s="204" t="s">
        <v>6647</v>
      </c>
      <c r="C637" s="204" t="s">
        <v>24</v>
      </c>
      <c r="D637" s="204" t="s">
        <v>1242</v>
      </c>
      <c r="E637" s="4" t="s">
        <v>2649</v>
      </c>
      <c r="F637" s="204" t="s">
        <v>74</v>
      </c>
      <c r="G637" s="4"/>
      <c r="H637" s="4" t="s">
        <v>2673</v>
      </c>
      <c r="I637" s="4" t="s">
        <v>2276</v>
      </c>
      <c r="J637" s="4" t="s">
        <v>2276</v>
      </c>
      <c r="K637" s="4" t="s">
        <v>2276</v>
      </c>
      <c r="L637" s="4" t="s">
        <v>2276</v>
      </c>
      <c r="M637" s="4" t="s">
        <v>2728</v>
      </c>
      <c r="N637" s="204" t="s">
        <v>2276</v>
      </c>
      <c r="O637" s="204" t="s">
        <v>2276</v>
      </c>
      <c r="P637" s="4" t="s">
        <v>534</v>
      </c>
      <c r="Q637" s="4">
        <v>4</v>
      </c>
      <c r="R637" s="4" t="s">
        <v>537</v>
      </c>
      <c r="S637" s="204" t="s">
        <v>2276</v>
      </c>
      <c r="T637" s="204" t="s">
        <v>2276</v>
      </c>
      <c r="U637" s="4" t="s">
        <v>537</v>
      </c>
      <c r="V637" s="204" t="s">
        <v>2276</v>
      </c>
      <c r="W637" s="4" t="s">
        <v>6656</v>
      </c>
    </row>
    <row r="638" spans="1:23" s="203" customFormat="1" ht="41.5" customHeight="1">
      <c r="A638" s="204" t="s">
        <v>6640</v>
      </c>
      <c r="B638" s="204" t="s">
        <v>6648</v>
      </c>
      <c r="C638" s="204" t="s">
        <v>24</v>
      </c>
      <c r="D638" s="204" t="s">
        <v>1242</v>
      </c>
      <c r="E638" s="4" t="s">
        <v>137</v>
      </c>
      <c r="F638" s="204" t="s">
        <v>74</v>
      </c>
      <c r="G638" s="4"/>
      <c r="H638" s="4" t="s">
        <v>2673</v>
      </c>
      <c r="I638" s="4" t="s">
        <v>2276</v>
      </c>
      <c r="J638" s="4" t="s">
        <v>2276</v>
      </c>
      <c r="K638" s="4" t="s">
        <v>2276</v>
      </c>
      <c r="L638" s="4" t="s">
        <v>2276</v>
      </c>
      <c r="M638" s="4" t="s">
        <v>2728</v>
      </c>
      <c r="N638" s="204" t="s">
        <v>2276</v>
      </c>
      <c r="O638" s="204" t="s">
        <v>2276</v>
      </c>
      <c r="P638" s="4" t="s">
        <v>534</v>
      </c>
      <c r="Q638" s="4">
        <v>4</v>
      </c>
      <c r="R638" s="4" t="s">
        <v>537</v>
      </c>
      <c r="S638" s="204" t="s">
        <v>2276</v>
      </c>
      <c r="T638" s="204" t="s">
        <v>2276</v>
      </c>
      <c r="U638" s="4" t="s">
        <v>537</v>
      </c>
      <c r="V638" s="204" t="s">
        <v>2276</v>
      </c>
      <c r="W638" s="4" t="s">
        <v>6656</v>
      </c>
    </row>
    <row r="639" spans="1:23" s="203" customFormat="1" ht="41.5" customHeight="1">
      <c r="A639" s="204" t="s">
        <v>6640</v>
      </c>
      <c r="B639" s="204" t="s">
        <v>6649</v>
      </c>
      <c r="C639" s="204" t="s">
        <v>24</v>
      </c>
      <c r="D639" s="204" t="s">
        <v>1242</v>
      </c>
      <c r="E639" s="4" t="s">
        <v>2649</v>
      </c>
      <c r="F639" s="204" t="s">
        <v>74</v>
      </c>
      <c r="G639" s="4"/>
      <c r="H639" s="4" t="s">
        <v>2673</v>
      </c>
      <c r="I639" s="4" t="s">
        <v>2276</v>
      </c>
      <c r="J639" s="4" t="s">
        <v>2276</v>
      </c>
      <c r="K639" s="4" t="s">
        <v>2276</v>
      </c>
      <c r="L639" s="4" t="s">
        <v>2276</v>
      </c>
      <c r="M639" s="4" t="s">
        <v>2728</v>
      </c>
      <c r="N639" s="204" t="s">
        <v>2276</v>
      </c>
      <c r="O639" s="204" t="s">
        <v>2276</v>
      </c>
      <c r="P639" s="4" t="s">
        <v>534</v>
      </c>
      <c r="Q639" s="4">
        <v>4</v>
      </c>
      <c r="R639" s="4" t="s">
        <v>537</v>
      </c>
      <c r="S639" s="204" t="s">
        <v>2276</v>
      </c>
      <c r="T639" s="204" t="s">
        <v>2276</v>
      </c>
      <c r="U639" s="4" t="s">
        <v>537</v>
      </c>
      <c r="V639" s="204" t="s">
        <v>2276</v>
      </c>
      <c r="W639" s="4" t="s">
        <v>6656</v>
      </c>
    </row>
    <row r="640" spans="1:23" s="203" customFormat="1" ht="41.5" customHeight="1">
      <c r="A640" s="204" t="s">
        <v>6641</v>
      </c>
      <c r="B640" s="204" t="s">
        <v>6650</v>
      </c>
      <c r="C640" s="204" t="s">
        <v>24</v>
      </c>
      <c r="D640" s="204" t="s">
        <v>1242</v>
      </c>
      <c r="E640" s="4" t="s">
        <v>137</v>
      </c>
      <c r="F640" s="204" t="s">
        <v>74</v>
      </c>
      <c r="G640" s="4"/>
      <c r="H640" s="4" t="s">
        <v>2673</v>
      </c>
      <c r="I640" s="4" t="s">
        <v>2276</v>
      </c>
      <c r="J640" s="4" t="s">
        <v>2276</v>
      </c>
      <c r="K640" s="4" t="s">
        <v>2276</v>
      </c>
      <c r="L640" s="4" t="s">
        <v>2276</v>
      </c>
      <c r="M640" s="4" t="s">
        <v>2728</v>
      </c>
      <c r="N640" s="204" t="s">
        <v>2276</v>
      </c>
      <c r="O640" s="204" t="s">
        <v>2276</v>
      </c>
      <c r="P640" s="4" t="s">
        <v>534</v>
      </c>
      <c r="Q640" s="4">
        <v>4</v>
      </c>
      <c r="R640" s="4" t="s">
        <v>537</v>
      </c>
      <c r="S640" s="204" t="s">
        <v>2276</v>
      </c>
      <c r="T640" s="204" t="s">
        <v>2276</v>
      </c>
      <c r="U640" s="4" t="s">
        <v>537</v>
      </c>
      <c r="V640" s="204" t="s">
        <v>2276</v>
      </c>
      <c r="W640" s="4" t="s">
        <v>6656</v>
      </c>
    </row>
    <row r="641" spans="1:23" s="203" customFormat="1" ht="41.5" customHeight="1">
      <c r="A641" s="204" t="s">
        <v>6641</v>
      </c>
      <c r="B641" s="204" t="s">
        <v>6651</v>
      </c>
      <c r="C641" s="204" t="s">
        <v>24</v>
      </c>
      <c r="D641" s="204" t="s">
        <v>1242</v>
      </c>
      <c r="E641" s="4" t="s">
        <v>2649</v>
      </c>
      <c r="F641" s="204" t="s">
        <v>74</v>
      </c>
      <c r="G641" s="4"/>
      <c r="H641" s="4" t="s">
        <v>2673</v>
      </c>
      <c r="I641" s="4" t="s">
        <v>2276</v>
      </c>
      <c r="J641" s="4" t="s">
        <v>2276</v>
      </c>
      <c r="K641" s="4" t="s">
        <v>2276</v>
      </c>
      <c r="L641" s="4" t="s">
        <v>2276</v>
      </c>
      <c r="M641" s="4" t="s">
        <v>2728</v>
      </c>
      <c r="N641" s="204" t="s">
        <v>2276</v>
      </c>
      <c r="O641" s="204" t="s">
        <v>2276</v>
      </c>
      <c r="P641" s="4" t="s">
        <v>534</v>
      </c>
      <c r="Q641" s="4">
        <v>4</v>
      </c>
      <c r="R641" s="4" t="s">
        <v>537</v>
      </c>
      <c r="S641" s="204" t="s">
        <v>2276</v>
      </c>
      <c r="T641" s="204" t="s">
        <v>2276</v>
      </c>
      <c r="U641" s="4" t="s">
        <v>537</v>
      </c>
      <c r="V641" s="204" t="s">
        <v>2276</v>
      </c>
      <c r="W641" s="4" t="s">
        <v>6656</v>
      </c>
    </row>
    <row r="642" spans="1:23" ht="41.5" customHeight="1">
      <c r="A642" s="4" t="s">
        <v>6162</v>
      </c>
      <c r="B642" s="4" t="s">
        <v>6214</v>
      </c>
      <c r="C642" s="4" t="s">
        <v>1105</v>
      </c>
      <c r="D642" s="4" t="s">
        <v>1105</v>
      </c>
      <c r="E642" s="4" t="s">
        <v>1105</v>
      </c>
      <c r="F642" s="4" t="s">
        <v>74</v>
      </c>
      <c r="G642" s="4"/>
      <c r="H642" s="4" t="s">
        <v>2673</v>
      </c>
      <c r="I642" s="4" t="s">
        <v>537</v>
      </c>
      <c r="J642" s="4" t="s">
        <v>537</v>
      </c>
      <c r="K642" s="4" t="s">
        <v>537</v>
      </c>
      <c r="L642" s="4" t="s">
        <v>537</v>
      </c>
      <c r="M642" s="4" t="s">
        <v>2728</v>
      </c>
      <c r="N642" s="4" t="s">
        <v>534</v>
      </c>
      <c r="O642" s="4" t="s">
        <v>537</v>
      </c>
      <c r="P642" s="4" t="s">
        <v>537</v>
      </c>
      <c r="Q642" s="4">
        <v>2</v>
      </c>
      <c r="R642" s="4" t="s">
        <v>537</v>
      </c>
      <c r="S642" s="4" t="s">
        <v>537</v>
      </c>
      <c r="T642" s="4" t="s">
        <v>537</v>
      </c>
      <c r="U642" s="4" t="s">
        <v>537</v>
      </c>
      <c r="V642" s="4" t="s">
        <v>2276</v>
      </c>
      <c r="W642" s="4" t="s">
        <v>6258</v>
      </c>
    </row>
    <row r="643" spans="1:23" ht="41.5" customHeight="1">
      <c r="A643" s="4" t="s">
        <v>6168</v>
      </c>
      <c r="B643" s="4" t="s">
        <v>6223</v>
      </c>
      <c r="C643" s="204" t="s">
        <v>24</v>
      </c>
      <c r="D643" s="204" t="s">
        <v>25</v>
      </c>
      <c r="E643" s="4" t="s">
        <v>3855</v>
      </c>
      <c r="F643" s="204" t="s">
        <v>29</v>
      </c>
      <c r="G643" s="4"/>
      <c r="H643" s="4" t="s">
        <v>541</v>
      </c>
      <c r="I643" s="4" t="s">
        <v>2276</v>
      </c>
      <c r="J643" s="4" t="s">
        <v>2276</v>
      </c>
      <c r="K643" s="4" t="s">
        <v>2276</v>
      </c>
      <c r="L643" s="4" t="s">
        <v>2276</v>
      </c>
      <c r="M643" s="4" t="s">
        <v>2671</v>
      </c>
      <c r="N643" s="204" t="s">
        <v>2276</v>
      </c>
      <c r="O643" s="4" t="s">
        <v>534</v>
      </c>
      <c r="P643" s="204" t="s">
        <v>2276</v>
      </c>
      <c r="Q643" s="4">
        <v>2</v>
      </c>
      <c r="R643" s="4" t="s">
        <v>537</v>
      </c>
      <c r="S643" s="4" t="s">
        <v>537</v>
      </c>
      <c r="T643" s="4" t="s">
        <v>537</v>
      </c>
      <c r="U643" s="4" t="s">
        <v>537</v>
      </c>
      <c r="V643" s="4" t="s">
        <v>2276</v>
      </c>
      <c r="W643" s="4" t="s">
        <v>6786</v>
      </c>
    </row>
    <row r="644" spans="1:23" ht="50.5" customHeight="1">
      <c r="A644" s="4" t="s">
        <v>6168</v>
      </c>
      <c r="B644" s="4" t="s">
        <v>6224</v>
      </c>
      <c r="C644" s="204" t="s">
        <v>24</v>
      </c>
      <c r="D644" s="204" t="s">
        <v>2659</v>
      </c>
      <c r="E644" s="4" t="s">
        <v>3855</v>
      </c>
      <c r="F644" s="204" t="s">
        <v>28</v>
      </c>
      <c r="G644" s="4"/>
      <c r="H644" s="4" t="s">
        <v>541</v>
      </c>
      <c r="I644" s="4" t="s">
        <v>2276</v>
      </c>
      <c r="J644" s="4" t="s">
        <v>2276</v>
      </c>
      <c r="K644" s="4" t="s">
        <v>2276</v>
      </c>
      <c r="L644" s="4" t="s">
        <v>2276</v>
      </c>
      <c r="M644" s="4" t="s">
        <v>2671</v>
      </c>
      <c r="N644" s="204" t="s">
        <v>2276</v>
      </c>
      <c r="O644" s="4" t="s">
        <v>534</v>
      </c>
      <c r="P644" s="204" t="s">
        <v>2276</v>
      </c>
      <c r="Q644" s="4">
        <v>2</v>
      </c>
      <c r="R644" s="4" t="s">
        <v>537</v>
      </c>
      <c r="S644" s="4" t="s">
        <v>537</v>
      </c>
      <c r="T644" s="4" t="s">
        <v>537</v>
      </c>
      <c r="U644" s="4" t="s">
        <v>537</v>
      </c>
      <c r="V644" s="4" t="s">
        <v>2276</v>
      </c>
      <c r="W644" s="4" t="s">
        <v>6786</v>
      </c>
    </row>
    <row r="645" spans="1:23" ht="49" customHeight="1">
      <c r="A645" s="4" t="s">
        <v>6168</v>
      </c>
      <c r="B645" s="4" t="s">
        <v>6225</v>
      </c>
      <c r="C645" s="204" t="s">
        <v>24</v>
      </c>
      <c r="D645" s="204" t="s">
        <v>2659</v>
      </c>
      <c r="E645" s="4" t="s">
        <v>3855</v>
      </c>
      <c r="F645" s="204" t="s">
        <v>28</v>
      </c>
      <c r="G645" s="4"/>
      <c r="H645" s="4" t="s">
        <v>4077</v>
      </c>
      <c r="I645" s="4" t="s">
        <v>2690</v>
      </c>
      <c r="J645" s="4" t="s">
        <v>537</v>
      </c>
      <c r="K645" s="4" t="s">
        <v>534</v>
      </c>
      <c r="L645" s="4" t="s">
        <v>537</v>
      </c>
      <c r="M645" s="4" t="s">
        <v>537</v>
      </c>
      <c r="N645" s="4" t="s">
        <v>537</v>
      </c>
      <c r="O645" s="4" t="s">
        <v>537</v>
      </c>
      <c r="P645" s="4" t="s">
        <v>537</v>
      </c>
      <c r="Q645" s="204" t="s">
        <v>2276</v>
      </c>
      <c r="R645" s="204" t="s">
        <v>2276</v>
      </c>
      <c r="S645" s="204" t="s">
        <v>2276</v>
      </c>
      <c r="T645" s="204" t="s">
        <v>2276</v>
      </c>
      <c r="U645" s="204" t="s">
        <v>2276</v>
      </c>
      <c r="V645" s="204" t="s">
        <v>2276</v>
      </c>
      <c r="W645" s="4" t="s">
        <v>6787</v>
      </c>
    </row>
    <row r="646" spans="1:23" s="203" customFormat="1" ht="49" customHeight="1">
      <c r="A646" s="4" t="s">
        <v>6169</v>
      </c>
      <c r="B646" s="4" t="s">
        <v>6229</v>
      </c>
      <c r="C646" s="204" t="s">
        <v>24</v>
      </c>
      <c r="D646" s="204" t="s">
        <v>25</v>
      </c>
      <c r="E646" s="4" t="s">
        <v>3855</v>
      </c>
      <c r="F646" s="204" t="s">
        <v>29</v>
      </c>
      <c r="G646" s="4"/>
      <c r="H646" s="4" t="s">
        <v>541</v>
      </c>
      <c r="I646" s="4" t="s">
        <v>2276</v>
      </c>
      <c r="J646" s="4" t="s">
        <v>2276</v>
      </c>
      <c r="K646" s="4" t="s">
        <v>2276</v>
      </c>
      <c r="L646" s="4" t="s">
        <v>2276</v>
      </c>
      <c r="M646" s="4" t="s">
        <v>2671</v>
      </c>
      <c r="N646" s="204" t="s">
        <v>2276</v>
      </c>
      <c r="O646" s="4" t="s">
        <v>534</v>
      </c>
      <c r="P646" s="204" t="s">
        <v>2276</v>
      </c>
      <c r="Q646" s="4">
        <v>2</v>
      </c>
      <c r="R646" s="4" t="s">
        <v>537</v>
      </c>
      <c r="S646" s="4" t="s">
        <v>537</v>
      </c>
      <c r="T646" s="4" t="s">
        <v>537</v>
      </c>
      <c r="U646" s="4" t="s">
        <v>537</v>
      </c>
      <c r="V646" s="4" t="s">
        <v>2276</v>
      </c>
      <c r="W646" s="4" t="s">
        <v>6786</v>
      </c>
    </row>
    <row r="647" spans="1:23" s="203" customFormat="1" ht="49" customHeight="1">
      <c r="A647" s="4" t="s">
        <v>6169</v>
      </c>
      <c r="B647" s="4" t="s">
        <v>6715</v>
      </c>
      <c r="C647" s="204" t="s">
        <v>24</v>
      </c>
      <c r="D647" s="204" t="s">
        <v>2659</v>
      </c>
      <c r="E647" s="4" t="s">
        <v>3855</v>
      </c>
      <c r="F647" s="204" t="s">
        <v>28</v>
      </c>
      <c r="G647" s="4"/>
      <c r="H647" s="4" t="s">
        <v>541</v>
      </c>
      <c r="I647" s="4" t="s">
        <v>2276</v>
      </c>
      <c r="J647" s="4" t="s">
        <v>2276</v>
      </c>
      <c r="K647" s="4" t="s">
        <v>2276</v>
      </c>
      <c r="L647" s="4" t="s">
        <v>2276</v>
      </c>
      <c r="M647" s="4" t="s">
        <v>2671</v>
      </c>
      <c r="N647" s="204" t="s">
        <v>2276</v>
      </c>
      <c r="O647" s="4" t="s">
        <v>534</v>
      </c>
      <c r="P647" s="204" t="s">
        <v>2276</v>
      </c>
      <c r="Q647" s="4">
        <v>2</v>
      </c>
      <c r="R647" s="4" t="s">
        <v>537</v>
      </c>
      <c r="S647" s="4" t="s">
        <v>537</v>
      </c>
      <c r="T647" s="4" t="s">
        <v>537</v>
      </c>
      <c r="U647" s="4" t="s">
        <v>537</v>
      </c>
      <c r="V647" s="4" t="s">
        <v>2276</v>
      </c>
      <c r="W647" s="4" t="s">
        <v>6786</v>
      </c>
    </row>
    <row r="648" spans="1:23" s="203" customFormat="1" ht="49" customHeight="1">
      <c r="A648" s="4" t="s">
        <v>6169</v>
      </c>
      <c r="B648" s="4" t="s">
        <v>6716</v>
      </c>
      <c r="C648" s="204" t="s">
        <v>24</v>
      </c>
      <c r="D648" s="204" t="s">
        <v>2659</v>
      </c>
      <c r="E648" s="4" t="s">
        <v>3855</v>
      </c>
      <c r="F648" s="204" t="s">
        <v>28</v>
      </c>
      <c r="G648" s="4"/>
      <c r="H648" s="4" t="s">
        <v>4077</v>
      </c>
      <c r="I648" s="4" t="s">
        <v>2690</v>
      </c>
      <c r="J648" s="4" t="s">
        <v>537</v>
      </c>
      <c r="K648" s="4" t="s">
        <v>534</v>
      </c>
      <c r="L648" s="4" t="s">
        <v>537</v>
      </c>
      <c r="M648" s="4" t="s">
        <v>537</v>
      </c>
      <c r="N648" s="4" t="s">
        <v>537</v>
      </c>
      <c r="O648" s="4" t="s">
        <v>537</v>
      </c>
      <c r="P648" s="4" t="s">
        <v>537</v>
      </c>
      <c r="Q648" s="204" t="s">
        <v>2276</v>
      </c>
      <c r="R648" s="204" t="s">
        <v>2276</v>
      </c>
      <c r="S648" s="204" t="s">
        <v>2276</v>
      </c>
      <c r="T648" s="204" t="s">
        <v>2276</v>
      </c>
      <c r="U648" s="204" t="s">
        <v>2276</v>
      </c>
      <c r="V648" s="204" t="s">
        <v>2276</v>
      </c>
      <c r="W648" s="4" t="s">
        <v>6787</v>
      </c>
    </row>
    <row r="649" spans="1:23" s="203" customFormat="1" ht="49" customHeight="1">
      <c r="A649" s="4" t="s">
        <v>6170</v>
      </c>
      <c r="B649" s="4" t="s">
        <v>6230</v>
      </c>
      <c r="C649" s="204" t="s">
        <v>24</v>
      </c>
      <c r="D649" s="204" t="s">
        <v>25</v>
      </c>
      <c r="E649" s="4" t="s">
        <v>3855</v>
      </c>
      <c r="F649" s="204" t="s">
        <v>29</v>
      </c>
      <c r="G649" s="4"/>
      <c r="H649" s="4" t="s">
        <v>541</v>
      </c>
      <c r="I649" s="4" t="s">
        <v>2276</v>
      </c>
      <c r="J649" s="4" t="s">
        <v>2276</v>
      </c>
      <c r="K649" s="4" t="s">
        <v>2276</v>
      </c>
      <c r="L649" s="4" t="s">
        <v>2276</v>
      </c>
      <c r="M649" s="4" t="s">
        <v>2671</v>
      </c>
      <c r="N649" s="204" t="s">
        <v>2276</v>
      </c>
      <c r="O649" s="4" t="s">
        <v>534</v>
      </c>
      <c r="P649" s="204" t="s">
        <v>2276</v>
      </c>
      <c r="Q649" s="4">
        <v>2</v>
      </c>
      <c r="R649" s="4" t="s">
        <v>537</v>
      </c>
      <c r="S649" s="4" t="s">
        <v>537</v>
      </c>
      <c r="T649" s="4" t="s">
        <v>537</v>
      </c>
      <c r="U649" s="4" t="s">
        <v>537</v>
      </c>
      <c r="V649" s="4" t="s">
        <v>2276</v>
      </c>
      <c r="W649" s="4" t="s">
        <v>6786</v>
      </c>
    </row>
    <row r="650" spans="1:23" s="203" customFormat="1" ht="49" customHeight="1">
      <c r="A650" s="4" t="s">
        <v>6170</v>
      </c>
      <c r="B650" s="4" t="s">
        <v>6721</v>
      </c>
      <c r="C650" s="204" t="s">
        <v>24</v>
      </c>
      <c r="D650" s="204" t="s">
        <v>2659</v>
      </c>
      <c r="E650" s="4" t="s">
        <v>3855</v>
      </c>
      <c r="F650" s="204" t="s">
        <v>28</v>
      </c>
      <c r="G650" s="4"/>
      <c r="H650" s="4" t="s">
        <v>541</v>
      </c>
      <c r="I650" s="4" t="s">
        <v>2276</v>
      </c>
      <c r="J650" s="4" t="s">
        <v>2276</v>
      </c>
      <c r="K650" s="4" t="s">
        <v>2276</v>
      </c>
      <c r="L650" s="4" t="s">
        <v>2276</v>
      </c>
      <c r="M650" s="4" t="s">
        <v>2671</v>
      </c>
      <c r="N650" s="204" t="s">
        <v>2276</v>
      </c>
      <c r="O650" s="4" t="s">
        <v>534</v>
      </c>
      <c r="P650" s="204" t="s">
        <v>2276</v>
      </c>
      <c r="Q650" s="4">
        <v>2</v>
      </c>
      <c r="R650" s="4" t="s">
        <v>537</v>
      </c>
      <c r="S650" s="4" t="s">
        <v>537</v>
      </c>
      <c r="T650" s="4" t="s">
        <v>537</v>
      </c>
      <c r="U650" s="4" t="s">
        <v>537</v>
      </c>
      <c r="V650" s="4" t="s">
        <v>2276</v>
      </c>
      <c r="W650" s="4" t="s">
        <v>6786</v>
      </c>
    </row>
    <row r="651" spans="1:23" s="203" customFormat="1" ht="49" customHeight="1">
      <c r="A651" s="4" t="s">
        <v>6170</v>
      </c>
      <c r="B651" s="4" t="s">
        <v>6722</v>
      </c>
      <c r="C651" s="204" t="s">
        <v>24</v>
      </c>
      <c r="D651" s="204" t="s">
        <v>2659</v>
      </c>
      <c r="E651" s="4" t="s">
        <v>3855</v>
      </c>
      <c r="F651" s="204" t="s">
        <v>28</v>
      </c>
      <c r="G651" s="4"/>
      <c r="H651" s="4" t="s">
        <v>4077</v>
      </c>
      <c r="I651" s="4" t="s">
        <v>2690</v>
      </c>
      <c r="J651" s="4" t="s">
        <v>537</v>
      </c>
      <c r="K651" s="4" t="s">
        <v>534</v>
      </c>
      <c r="L651" s="4" t="s">
        <v>537</v>
      </c>
      <c r="M651" s="4" t="s">
        <v>537</v>
      </c>
      <c r="N651" s="4" t="s">
        <v>537</v>
      </c>
      <c r="O651" s="4" t="s">
        <v>537</v>
      </c>
      <c r="P651" s="4" t="s">
        <v>537</v>
      </c>
      <c r="Q651" s="204" t="s">
        <v>2276</v>
      </c>
      <c r="R651" s="204" t="s">
        <v>2276</v>
      </c>
      <c r="S651" s="204" t="s">
        <v>2276</v>
      </c>
      <c r="T651" s="204" t="s">
        <v>2276</v>
      </c>
      <c r="U651" s="204" t="s">
        <v>2276</v>
      </c>
      <c r="V651" s="204" t="s">
        <v>2276</v>
      </c>
      <c r="W651" s="4" t="s">
        <v>6787</v>
      </c>
    </row>
    <row r="652" spans="1:23" s="203" customFormat="1" ht="49" customHeight="1">
      <c r="A652" s="4" t="s">
        <v>6171</v>
      </c>
      <c r="B652" s="4" t="s">
        <v>6231</v>
      </c>
      <c r="C652" s="204" t="s">
        <v>24</v>
      </c>
      <c r="D652" s="204" t="s">
        <v>25</v>
      </c>
      <c r="E652" s="4" t="s">
        <v>3855</v>
      </c>
      <c r="F652" s="204" t="s">
        <v>29</v>
      </c>
      <c r="G652" s="4"/>
      <c r="H652" s="4" t="s">
        <v>541</v>
      </c>
      <c r="I652" s="4" t="s">
        <v>2276</v>
      </c>
      <c r="J652" s="4" t="s">
        <v>2276</v>
      </c>
      <c r="K652" s="4" t="s">
        <v>2276</v>
      </c>
      <c r="L652" s="4" t="s">
        <v>2276</v>
      </c>
      <c r="M652" s="4" t="s">
        <v>2671</v>
      </c>
      <c r="N652" s="204" t="s">
        <v>2276</v>
      </c>
      <c r="O652" s="4" t="s">
        <v>534</v>
      </c>
      <c r="P652" s="204" t="s">
        <v>2276</v>
      </c>
      <c r="Q652" s="4">
        <v>2</v>
      </c>
      <c r="R652" s="4" t="s">
        <v>537</v>
      </c>
      <c r="S652" s="4" t="s">
        <v>537</v>
      </c>
      <c r="T652" s="4" t="s">
        <v>537</v>
      </c>
      <c r="U652" s="4" t="s">
        <v>537</v>
      </c>
      <c r="V652" s="4" t="s">
        <v>2276</v>
      </c>
      <c r="W652" s="4" t="s">
        <v>6786</v>
      </c>
    </row>
    <row r="653" spans="1:23" s="203" customFormat="1" ht="49" customHeight="1">
      <c r="A653" s="4" t="s">
        <v>6171</v>
      </c>
      <c r="B653" s="4" t="s">
        <v>6727</v>
      </c>
      <c r="C653" s="204" t="s">
        <v>24</v>
      </c>
      <c r="D653" s="204" t="s">
        <v>2659</v>
      </c>
      <c r="E653" s="4" t="s">
        <v>3855</v>
      </c>
      <c r="F653" s="204" t="s">
        <v>28</v>
      </c>
      <c r="G653" s="4"/>
      <c r="H653" s="4" t="s">
        <v>541</v>
      </c>
      <c r="I653" s="4" t="s">
        <v>2276</v>
      </c>
      <c r="J653" s="4" t="s">
        <v>2276</v>
      </c>
      <c r="K653" s="4" t="s">
        <v>2276</v>
      </c>
      <c r="L653" s="4" t="s">
        <v>2276</v>
      </c>
      <c r="M653" s="4" t="s">
        <v>2671</v>
      </c>
      <c r="N653" s="204" t="s">
        <v>2276</v>
      </c>
      <c r="O653" s="4" t="s">
        <v>534</v>
      </c>
      <c r="P653" s="204" t="s">
        <v>2276</v>
      </c>
      <c r="Q653" s="4">
        <v>2</v>
      </c>
      <c r="R653" s="4" t="s">
        <v>537</v>
      </c>
      <c r="S653" s="4" t="s">
        <v>537</v>
      </c>
      <c r="T653" s="4" t="s">
        <v>537</v>
      </c>
      <c r="U653" s="4" t="s">
        <v>537</v>
      </c>
      <c r="V653" s="4" t="s">
        <v>2276</v>
      </c>
      <c r="W653" s="4" t="s">
        <v>6786</v>
      </c>
    </row>
    <row r="654" spans="1:23" s="203" customFormat="1" ht="49" customHeight="1">
      <c r="A654" s="4" t="s">
        <v>6171</v>
      </c>
      <c r="B654" s="4" t="s">
        <v>6728</v>
      </c>
      <c r="C654" s="204" t="s">
        <v>24</v>
      </c>
      <c r="D654" s="204" t="s">
        <v>2659</v>
      </c>
      <c r="E654" s="4" t="s">
        <v>3855</v>
      </c>
      <c r="F654" s="204" t="s">
        <v>28</v>
      </c>
      <c r="G654" s="4"/>
      <c r="H654" s="4" t="s">
        <v>4077</v>
      </c>
      <c r="I654" s="4" t="s">
        <v>2690</v>
      </c>
      <c r="J654" s="4" t="s">
        <v>537</v>
      </c>
      <c r="K654" s="4" t="s">
        <v>534</v>
      </c>
      <c r="L654" s="4" t="s">
        <v>537</v>
      </c>
      <c r="M654" s="4" t="s">
        <v>537</v>
      </c>
      <c r="N654" s="4" t="s">
        <v>537</v>
      </c>
      <c r="O654" s="4" t="s">
        <v>537</v>
      </c>
      <c r="P654" s="4" t="s">
        <v>537</v>
      </c>
      <c r="Q654" s="204" t="s">
        <v>2276</v>
      </c>
      <c r="R654" s="204" t="s">
        <v>2276</v>
      </c>
      <c r="S654" s="204" t="s">
        <v>2276</v>
      </c>
      <c r="T654" s="204" t="s">
        <v>2276</v>
      </c>
      <c r="U654" s="204" t="s">
        <v>2276</v>
      </c>
      <c r="V654" s="204" t="s">
        <v>2276</v>
      </c>
      <c r="W654" s="4" t="s">
        <v>6787</v>
      </c>
    </row>
    <row r="655" spans="1:23" s="203" customFormat="1" ht="49" customHeight="1">
      <c r="A655" s="4" t="s">
        <v>6172</v>
      </c>
      <c r="B655" s="4" t="s">
        <v>6232</v>
      </c>
      <c r="C655" s="204" t="s">
        <v>24</v>
      </c>
      <c r="D655" s="204" t="s">
        <v>25</v>
      </c>
      <c r="E655" s="4" t="s">
        <v>3855</v>
      </c>
      <c r="F655" s="204" t="s">
        <v>29</v>
      </c>
      <c r="G655" s="4"/>
      <c r="H655" s="4" t="s">
        <v>541</v>
      </c>
      <c r="I655" s="4" t="s">
        <v>2276</v>
      </c>
      <c r="J655" s="4" t="s">
        <v>2276</v>
      </c>
      <c r="K655" s="4" t="s">
        <v>2276</v>
      </c>
      <c r="L655" s="4" t="s">
        <v>2276</v>
      </c>
      <c r="M655" s="4" t="s">
        <v>2671</v>
      </c>
      <c r="N655" s="204" t="s">
        <v>2276</v>
      </c>
      <c r="O655" s="4" t="s">
        <v>534</v>
      </c>
      <c r="P655" s="204" t="s">
        <v>2276</v>
      </c>
      <c r="Q655" s="4">
        <v>2</v>
      </c>
      <c r="R655" s="4" t="s">
        <v>537</v>
      </c>
      <c r="S655" s="4" t="s">
        <v>537</v>
      </c>
      <c r="T655" s="4" t="s">
        <v>537</v>
      </c>
      <c r="U655" s="4" t="s">
        <v>537</v>
      </c>
      <c r="V655" s="4" t="s">
        <v>2276</v>
      </c>
      <c r="W655" s="4" t="s">
        <v>6786</v>
      </c>
    </row>
    <row r="656" spans="1:23" s="203" customFormat="1" ht="49" customHeight="1">
      <c r="A656" s="4" t="s">
        <v>6172</v>
      </c>
      <c r="B656" s="4" t="s">
        <v>6733</v>
      </c>
      <c r="C656" s="204" t="s">
        <v>24</v>
      </c>
      <c r="D656" s="204" t="s">
        <v>2659</v>
      </c>
      <c r="E656" s="4" t="s">
        <v>3855</v>
      </c>
      <c r="F656" s="204" t="s">
        <v>28</v>
      </c>
      <c r="G656" s="4"/>
      <c r="H656" s="4" t="s">
        <v>541</v>
      </c>
      <c r="I656" s="4" t="s">
        <v>2276</v>
      </c>
      <c r="J656" s="4" t="s">
        <v>2276</v>
      </c>
      <c r="K656" s="4" t="s">
        <v>2276</v>
      </c>
      <c r="L656" s="4" t="s">
        <v>2276</v>
      </c>
      <c r="M656" s="4" t="s">
        <v>2671</v>
      </c>
      <c r="N656" s="204" t="s">
        <v>2276</v>
      </c>
      <c r="O656" s="4" t="s">
        <v>534</v>
      </c>
      <c r="P656" s="204" t="s">
        <v>2276</v>
      </c>
      <c r="Q656" s="4">
        <v>2</v>
      </c>
      <c r="R656" s="4" t="s">
        <v>537</v>
      </c>
      <c r="S656" s="4" t="s">
        <v>537</v>
      </c>
      <c r="T656" s="4" t="s">
        <v>537</v>
      </c>
      <c r="U656" s="4" t="s">
        <v>537</v>
      </c>
      <c r="V656" s="4" t="s">
        <v>2276</v>
      </c>
      <c r="W656" s="4" t="s">
        <v>6786</v>
      </c>
    </row>
    <row r="657" spans="1:23" s="203" customFormat="1" ht="49" customHeight="1">
      <c r="A657" s="4" t="s">
        <v>6172</v>
      </c>
      <c r="B657" s="4" t="s">
        <v>6734</v>
      </c>
      <c r="C657" s="204" t="s">
        <v>24</v>
      </c>
      <c r="D657" s="204" t="s">
        <v>2659</v>
      </c>
      <c r="E657" s="4" t="s">
        <v>3855</v>
      </c>
      <c r="F657" s="204" t="s">
        <v>28</v>
      </c>
      <c r="G657" s="4"/>
      <c r="H657" s="4" t="s">
        <v>4077</v>
      </c>
      <c r="I657" s="4" t="s">
        <v>2690</v>
      </c>
      <c r="J657" s="4" t="s">
        <v>537</v>
      </c>
      <c r="K657" s="4" t="s">
        <v>534</v>
      </c>
      <c r="L657" s="4" t="s">
        <v>537</v>
      </c>
      <c r="M657" s="4" t="s">
        <v>537</v>
      </c>
      <c r="N657" s="4" t="s">
        <v>537</v>
      </c>
      <c r="O657" s="4" t="s">
        <v>537</v>
      </c>
      <c r="P657" s="4" t="s">
        <v>537</v>
      </c>
      <c r="Q657" s="204" t="s">
        <v>2276</v>
      </c>
      <c r="R657" s="204" t="s">
        <v>2276</v>
      </c>
      <c r="S657" s="204" t="s">
        <v>2276</v>
      </c>
      <c r="T657" s="204" t="s">
        <v>2276</v>
      </c>
      <c r="U657" s="204" t="s">
        <v>2276</v>
      </c>
      <c r="V657" s="204" t="s">
        <v>2276</v>
      </c>
      <c r="W657" s="4" t="s">
        <v>6787</v>
      </c>
    </row>
    <row r="658" spans="1:23" s="203" customFormat="1" ht="49" customHeight="1">
      <c r="A658" s="4" t="s">
        <v>6173</v>
      </c>
      <c r="B658" s="4" t="s">
        <v>6233</v>
      </c>
      <c r="C658" s="204" t="s">
        <v>24</v>
      </c>
      <c r="D658" s="204" t="s">
        <v>25</v>
      </c>
      <c r="E658" s="4" t="s">
        <v>3855</v>
      </c>
      <c r="F658" s="204" t="s">
        <v>29</v>
      </c>
      <c r="G658" s="4"/>
      <c r="H658" s="4" t="s">
        <v>541</v>
      </c>
      <c r="I658" s="4" t="s">
        <v>2276</v>
      </c>
      <c r="J658" s="4" t="s">
        <v>2276</v>
      </c>
      <c r="K658" s="4" t="s">
        <v>2276</v>
      </c>
      <c r="L658" s="4" t="s">
        <v>2276</v>
      </c>
      <c r="M658" s="4" t="s">
        <v>2671</v>
      </c>
      <c r="N658" s="204" t="s">
        <v>2276</v>
      </c>
      <c r="O658" s="4" t="s">
        <v>534</v>
      </c>
      <c r="P658" s="204" t="s">
        <v>2276</v>
      </c>
      <c r="Q658" s="4">
        <v>2</v>
      </c>
      <c r="R658" s="4" t="s">
        <v>537</v>
      </c>
      <c r="S658" s="4" t="s">
        <v>537</v>
      </c>
      <c r="T658" s="4" t="s">
        <v>537</v>
      </c>
      <c r="U658" s="4" t="s">
        <v>537</v>
      </c>
      <c r="V658" s="4" t="s">
        <v>2276</v>
      </c>
      <c r="W658" s="4" t="s">
        <v>6786</v>
      </c>
    </row>
    <row r="659" spans="1:23" s="203" customFormat="1" ht="49" customHeight="1">
      <c r="A659" s="4" t="s">
        <v>6173</v>
      </c>
      <c r="B659" s="4" t="s">
        <v>6739</v>
      </c>
      <c r="C659" s="204" t="s">
        <v>24</v>
      </c>
      <c r="D659" s="204" t="s">
        <v>2659</v>
      </c>
      <c r="E659" s="4" t="s">
        <v>3855</v>
      </c>
      <c r="F659" s="204" t="s">
        <v>28</v>
      </c>
      <c r="G659" s="4"/>
      <c r="H659" s="4" t="s">
        <v>541</v>
      </c>
      <c r="I659" s="4" t="s">
        <v>2276</v>
      </c>
      <c r="J659" s="4" t="s">
        <v>2276</v>
      </c>
      <c r="K659" s="4" t="s">
        <v>2276</v>
      </c>
      <c r="L659" s="4" t="s">
        <v>2276</v>
      </c>
      <c r="M659" s="4" t="s">
        <v>2671</v>
      </c>
      <c r="N659" s="204" t="s">
        <v>2276</v>
      </c>
      <c r="O659" s="4" t="s">
        <v>534</v>
      </c>
      <c r="P659" s="204" t="s">
        <v>2276</v>
      </c>
      <c r="Q659" s="4">
        <v>2</v>
      </c>
      <c r="R659" s="4" t="s">
        <v>537</v>
      </c>
      <c r="S659" s="4" t="s">
        <v>537</v>
      </c>
      <c r="T659" s="4" t="s">
        <v>537</v>
      </c>
      <c r="U659" s="4" t="s">
        <v>537</v>
      </c>
      <c r="V659" s="4" t="s">
        <v>2276</v>
      </c>
      <c r="W659" s="4" t="s">
        <v>6786</v>
      </c>
    </row>
    <row r="660" spans="1:23" s="203" customFormat="1" ht="49" customHeight="1">
      <c r="A660" s="4" t="s">
        <v>6173</v>
      </c>
      <c r="B660" s="4" t="s">
        <v>6740</v>
      </c>
      <c r="C660" s="204" t="s">
        <v>24</v>
      </c>
      <c r="D660" s="204" t="s">
        <v>2659</v>
      </c>
      <c r="E660" s="4" t="s">
        <v>3855</v>
      </c>
      <c r="F660" s="204" t="s">
        <v>28</v>
      </c>
      <c r="G660" s="4"/>
      <c r="H660" s="4" t="s">
        <v>4077</v>
      </c>
      <c r="I660" s="4" t="s">
        <v>2690</v>
      </c>
      <c r="J660" s="4" t="s">
        <v>537</v>
      </c>
      <c r="K660" s="4" t="s">
        <v>534</v>
      </c>
      <c r="L660" s="4" t="s">
        <v>537</v>
      </c>
      <c r="M660" s="4" t="s">
        <v>537</v>
      </c>
      <c r="N660" s="4" t="s">
        <v>537</v>
      </c>
      <c r="O660" s="4" t="s">
        <v>537</v>
      </c>
      <c r="P660" s="4" t="s">
        <v>537</v>
      </c>
      <c r="Q660" s="204" t="s">
        <v>2276</v>
      </c>
      <c r="R660" s="204" t="s">
        <v>2276</v>
      </c>
      <c r="S660" s="204" t="s">
        <v>2276</v>
      </c>
      <c r="T660" s="204" t="s">
        <v>2276</v>
      </c>
      <c r="U660" s="204" t="s">
        <v>2276</v>
      </c>
      <c r="V660" s="204" t="s">
        <v>2276</v>
      </c>
      <c r="W660" s="4" t="s">
        <v>6787</v>
      </c>
    </row>
    <row r="661" spans="1:23" s="203" customFormat="1" ht="49" customHeight="1">
      <c r="A661" s="4" t="s">
        <v>6174</v>
      </c>
      <c r="B661" s="4" t="s">
        <v>6234</v>
      </c>
      <c r="C661" s="204" t="s">
        <v>24</v>
      </c>
      <c r="D661" s="204" t="s">
        <v>25</v>
      </c>
      <c r="E661" s="4" t="s">
        <v>3855</v>
      </c>
      <c r="F661" s="204" t="s">
        <v>29</v>
      </c>
      <c r="G661" s="4"/>
      <c r="H661" s="4" t="s">
        <v>541</v>
      </c>
      <c r="I661" s="4" t="s">
        <v>2276</v>
      </c>
      <c r="J661" s="4" t="s">
        <v>2276</v>
      </c>
      <c r="K661" s="4" t="s">
        <v>2276</v>
      </c>
      <c r="L661" s="4" t="s">
        <v>2276</v>
      </c>
      <c r="M661" s="4" t="s">
        <v>2671</v>
      </c>
      <c r="N661" s="204" t="s">
        <v>2276</v>
      </c>
      <c r="O661" s="4" t="s">
        <v>534</v>
      </c>
      <c r="P661" s="204" t="s">
        <v>2276</v>
      </c>
      <c r="Q661" s="4">
        <v>2</v>
      </c>
      <c r="R661" s="4" t="s">
        <v>537</v>
      </c>
      <c r="S661" s="4" t="s">
        <v>537</v>
      </c>
      <c r="T661" s="4" t="s">
        <v>537</v>
      </c>
      <c r="U661" s="4" t="s">
        <v>537</v>
      </c>
      <c r="V661" s="4" t="s">
        <v>2276</v>
      </c>
      <c r="W661" s="4" t="s">
        <v>6786</v>
      </c>
    </row>
    <row r="662" spans="1:23" s="203" customFormat="1" ht="49" customHeight="1">
      <c r="A662" s="4" t="s">
        <v>6174</v>
      </c>
      <c r="B662" s="4" t="s">
        <v>6745</v>
      </c>
      <c r="C662" s="204" t="s">
        <v>24</v>
      </c>
      <c r="D662" s="204" t="s">
        <v>2659</v>
      </c>
      <c r="E662" s="4" t="s">
        <v>3855</v>
      </c>
      <c r="F662" s="204" t="s">
        <v>28</v>
      </c>
      <c r="G662" s="4"/>
      <c r="H662" s="4" t="s">
        <v>541</v>
      </c>
      <c r="I662" s="4" t="s">
        <v>2276</v>
      </c>
      <c r="J662" s="4" t="s">
        <v>2276</v>
      </c>
      <c r="K662" s="4" t="s">
        <v>2276</v>
      </c>
      <c r="L662" s="4" t="s">
        <v>2276</v>
      </c>
      <c r="M662" s="4" t="s">
        <v>2671</v>
      </c>
      <c r="N662" s="204" t="s">
        <v>2276</v>
      </c>
      <c r="O662" s="4" t="s">
        <v>534</v>
      </c>
      <c r="P662" s="204" t="s">
        <v>2276</v>
      </c>
      <c r="Q662" s="4">
        <v>2</v>
      </c>
      <c r="R662" s="4" t="s">
        <v>537</v>
      </c>
      <c r="S662" s="4" t="s">
        <v>537</v>
      </c>
      <c r="T662" s="4" t="s">
        <v>537</v>
      </c>
      <c r="U662" s="4" t="s">
        <v>537</v>
      </c>
      <c r="V662" s="4" t="s">
        <v>2276</v>
      </c>
      <c r="W662" s="4" t="s">
        <v>6786</v>
      </c>
    </row>
    <row r="663" spans="1:23" s="203" customFormat="1" ht="49" customHeight="1">
      <c r="A663" s="4" t="s">
        <v>6174</v>
      </c>
      <c r="B663" s="4" t="s">
        <v>6746</v>
      </c>
      <c r="C663" s="204" t="s">
        <v>24</v>
      </c>
      <c r="D663" s="204" t="s">
        <v>2659</v>
      </c>
      <c r="E663" s="4" t="s">
        <v>3855</v>
      </c>
      <c r="F663" s="204" t="s">
        <v>28</v>
      </c>
      <c r="G663" s="4"/>
      <c r="H663" s="4" t="s">
        <v>4077</v>
      </c>
      <c r="I663" s="4" t="s">
        <v>2690</v>
      </c>
      <c r="J663" s="4" t="s">
        <v>537</v>
      </c>
      <c r="K663" s="4" t="s">
        <v>534</v>
      </c>
      <c r="L663" s="4" t="s">
        <v>537</v>
      </c>
      <c r="M663" s="4" t="s">
        <v>537</v>
      </c>
      <c r="N663" s="4" t="s">
        <v>537</v>
      </c>
      <c r="O663" s="4" t="s">
        <v>537</v>
      </c>
      <c r="P663" s="4" t="s">
        <v>537</v>
      </c>
      <c r="Q663" s="204" t="s">
        <v>2276</v>
      </c>
      <c r="R663" s="204" t="s">
        <v>2276</v>
      </c>
      <c r="S663" s="204" t="s">
        <v>2276</v>
      </c>
      <c r="T663" s="204" t="s">
        <v>2276</v>
      </c>
      <c r="U663" s="204" t="s">
        <v>2276</v>
      </c>
      <c r="V663" s="204" t="s">
        <v>2276</v>
      </c>
      <c r="W663" s="4" t="s">
        <v>6787</v>
      </c>
    </row>
    <row r="664" spans="1:23" s="203" customFormat="1" ht="49" customHeight="1">
      <c r="A664" s="4" t="s">
        <v>6175</v>
      </c>
      <c r="B664" s="4" t="s">
        <v>6235</v>
      </c>
      <c r="C664" s="204" t="s">
        <v>24</v>
      </c>
      <c r="D664" s="204" t="s">
        <v>25</v>
      </c>
      <c r="E664" s="4" t="s">
        <v>3855</v>
      </c>
      <c r="F664" s="204" t="s">
        <v>29</v>
      </c>
      <c r="G664" s="4"/>
      <c r="H664" s="4" t="s">
        <v>541</v>
      </c>
      <c r="I664" s="4" t="s">
        <v>2276</v>
      </c>
      <c r="J664" s="4" t="s">
        <v>2276</v>
      </c>
      <c r="K664" s="4" t="s">
        <v>2276</v>
      </c>
      <c r="L664" s="4" t="s">
        <v>2276</v>
      </c>
      <c r="M664" s="4" t="s">
        <v>2671</v>
      </c>
      <c r="N664" s="204" t="s">
        <v>2276</v>
      </c>
      <c r="O664" s="4" t="s">
        <v>534</v>
      </c>
      <c r="P664" s="204" t="s">
        <v>2276</v>
      </c>
      <c r="Q664" s="4">
        <v>2</v>
      </c>
      <c r="R664" s="4" t="s">
        <v>537</v>
      </c>
      <c r="S664" s="4" t="s">
        <v>537</v>
      </c>
      <c r="T664" s="4" t="s">
        <v>537</v>
      </c>
      <c r="U664" s="4" t="s">
        <v>537</v>
      </c>
      <c r="V664" s="4" t="s">
        <v>2276</v>
      </c>
      <c r="W664" s="4" t="s">
        <v>6786</v>
      </c>
    </row>
    <row r="665" spans="1:23" s="203" customFormat="1" ht="49" customHeight="1">
      <c r="A665" s="4" t="s">
        <v>6175</v>
      </c>
      <c r="B665" s="4" t="s">
        <v>6751</v>
      </c>
      <c r="C665" s="204" t="s">
        <v>24</v>
      </c>
      <c r="D665" s="204" t="s">
        <v>2659</v>
      </c>
      <c r="E665" s="4" t="s">
        <v>3855</v>
      </c>
      <c r="F665" s="204" t="s">
        <v>28</v>
      </c>
      <c r="G665" s="4"/>
      <c r="H665" s="4" t="s">
        <v>541</v>
      </c>
      <c r="I665" s="4" t="s">
        <v>2276</v>
      </c>
      <c r="J665" s="4" t="s">
        <v>2276</v>
      </c>
      <c r="K665" s="4" t="s">
        <v>2276</v>
      </c>
      <c r="L665" s="4" t="s">
        <v>2276</v>
      </c>
      <c r="M665" s="4" t="s">
        <v>2671</v>
      </c>
      <c r="N665" s="204" t="s">
        <v>2276</v>
      </c>
      <c r="O665" s="4" t="s">
        <v>534</v>
      </c>
      <c r="P665" s="204" t="s">
        <v>2276</v>
      </c>
      <c r="Q665" s="4">
        <v>2</v>
      </c>
      <c r="R665" s="4" t="s">
        <v>537</v>
      </c>
      <c r="S665" s="4" t="s">
        <v>537</v>
      </c>
      <c r="T665" s="4" t="s">
        <v>537</v>
      </c>
      <c r="U665" s="4" t="s">
        <v>537</v>
      </c>
      <c r="V665" s="4" t="s">
        <v>2276</v>
      </c>
      <c r="W665" s="4" t="s">
        <v>6786</v>
      </c>
    </row>
    <row r="666" spans="1:23" s="203" customFormat="1" ht="49" customHeight="1">
      <c r="A666" s="4" t="s">
        <v>6175</v>
      </c>
      <c r="B666" s="4" t="s">
        <v>6752</v>
      </c>
      <c r="C666" s="204" t="s">
        <v>24</v>
      </c>
      <c r="D666" s="204" t="s">
        <v>2659</v>
      </c>
      <c r="E666" s="4" t="s">
        <v>3855</v>
      </c>
      <c r="F666" s="204" t="s">
        <v>28</v>
      </c>
      <c r="G666" s="4"/>
      <c r="H666" s="4" t="s">
        <v>4077</v>
      </c>
      <c r="I666" s="4" t="s">
        <v>2690</v>
      </c>
      <c r="J666" s="4" t="s">
        <v>537</v>
      </c>
      <c r="K666" s="4" t="s">
        <v>534</v>
      </c>
      <c r="L666" s="4" t="s">
        <v>537</v>
      </c>
      <c r="M666" s="4" t="s">
        <v>537</v>
      </c>
      <c r="N666" s="4" t="s">
        <v>537</v>
      </c>
      <c r="O666" s="4" t="s">
        <v>537</v>
      </c>
      <c r="P666" s="4" t="s">
        <v>537</v>
      </c>
      <c r="Q666" s="204" t="s">
        <v>2276</v>
      </c>
      <c r="R666" s="204" t="s">
        <v>2276</v>
      </c>
      <c r="S666" s="204" t="s">
        <v>2276</v>
      </c>
      <c r="T666" s="204" t="s">
        <v>2276</v>
      </c>
      <c r="U666" s="204" t="s">
        <v>2276</v>
      </c>
      <c r="V666" s="204" t="s">
        <v>2276</v>
      </c>
      <c r="W666" s="4" t="s">
        <v>6787</v>
      </c>
    </row>
    <row r="667" spans="1:23" s="203" customFormat="1" ht="49" customHeight="1">
      <c r="A667" s="4" t="s">
        <v>6176</v>
      </c>
      <c r="B667" s="4" t="s">
        <v>6236</v>
      </c>
      <c r="C667" s="204" t="s">
        <v>24</v>
      </c>
      <c r="D667" s="204" t="s">
        <v>25</v>
      </c>
      <c r="E667" s="4" t="s">
        <v>3855</v>
      </c>
      <c r="F667" s="204" t="s">
        <v>29</v>
      </c>
      <c r="G667" s="4"/>
      <c r="H667" s="4" t="s">
        <v>541</v>
      </c>
      <c r="I667" s="4" t="s">
        <v>2276</v>
      </c>
      <c r="J667" s="4" t="s">
        <v>2276</v>
      </c>
      <c r="K667" s="4" t="s">
        <v>2276</v>
      </c>
      <c r="L667" s="4" t="s">
        <v>2276</v>
      </c>
      <c r="M667" s="4" t="s">
        <v>2671</v>
      </c>
      <c r="N667" s="204" t="s">
        <v>2276</v>
      </c>
      <c r="O667" s="4" t="s">
        <v>534</v>
      </c>
      <c r="P667" s="204" t="s">
        <v>2276</v>
      </c>
      <c r="Q667" s="4">
        <v>2</v>
      </c>
      <c r="R667" s="4" t="s">
        <v>537</v>
      </c>
      <c r="S667" s="4" t="s">
        <v>537</v>
      </c>
      <c r="T667" s="4" t="s">
        <v>537</v>
      </c>
      <c r="U667" s="4" t="s">
        <v>537</v>
      </c>
      <c r="V667" s="4" t="s">
        <v>2276</v>
      </c>
      <c r="W667" s="4" t="s">
        <v>6786</v>
      </c>
    </row>
    <row r="668" spans="1:23" s="203" customFormat="1" ht="49" customHeight="1">
      <c r="A668" s="4" t="s">
        <v>6176</v>
      </c>
      <c r="B668" s="4" t="s">
        <v>6757</v>
      </c>
      <c r="C668" s="204" t="s">
        <v>24</v>
      </c>
      <c r="D668" s="204" t="s">
        <v>2659</v>
      </c>
      <c r="E668" s="4" t="s">
        <v>3855</v>
      </c>
      <c r="F668" s="204" t="s">
        <v>28</v>
      </c>
      <c r="G668" s="4"/>
      <c r="H668" s="4" t="s">
        <v>541</v>
      </c>
      <c r="I668" s="4" t="s">
        <v>2276</v>
      </c>
      <c r="J668" s="4" t="s">
        <v>2276</v>
      </c>
      <c r="K668" s="4" t="s">
        <v>2276</v>
      </c>
      <c r="L668" s="4" t="s">
        <v>2276</v>
      </c>
      <c r="M668" s="4" t="s">
        <v>2671</v>
      </c>
      <c r="N668" s="204" t="s">
        <v>2276</v>
      </c>
      <c r="O668" s="4" t="s">
        <v>534</v>
      </c>
      <c r="P668" s="204" t="s">
        <v>2276</v>
      </c>
      <c r="Q668" s="4">
        <v>2</v>
      </c>
      <c r="R668" s="4" t="s">
        <v>537</v>
      </c>
      <c r="S668" s="4" t="s">
        <v>537</v>
      </c>
      <c r="T668" s="4" t="s">
        <v>537</v>
      </c>
      <c r="U668" s="4" t="s">
        <v>537</v>
      </c>
      <c r="V668" s="4" t="s">
        <v>2276</v>
      </c>
      <c r="W668" s="4" t="s">
        <v>6786</v>
      </c>
    </row>
    <row r="669" spans="1:23" s="203" customFormat="1" ht="49" customHeight="1">
      <c r="A669" s="4" t="s">
        <v>6176</v>
      </c>
      <c r="B669" s="4" t="s">
        <v>6758</v>
      </c>
      <c r="C669" s="204" t="s">
        <v>24</v>
      </c>
      <c r="D669" s="204" t="s">
        <v>2659</v>
      </c>
      <c r="E669" s="4" t="s">
        <v>3855</v>
      </c>
      <c r="F669" s="204" t="s">
        <v>28</v>
      </c>
      <c r="G669" s="4"/>
      <c r="H669" s="4" t="s">
        <v>4077</v>
      </c>
      <c r="I669" s="4" t="s">
        <v>2690</v>
      </c>
      <c r="J669" s="4" t="s">
        <v>537</v>
      </c>
      <c r="K669" s="4" t="s">
        <v>534</v>
      </c>
      <c r="L669" s="4" t="s">
        <v>537</v>
      </c>
      <c r="M669" s="4" t="s">
        <v>537</v>
      </c>
      <c r="N669" s="4" t="s">
        <v>537</v>
      </c>
      <c r="O669" s="4" t="s">
        <v>537</v>
      </c>
      <c r="P669" s="4" t="s">
        <v>537</v>
      </c>
      <c r="Q669" s="204" t="s">
        <v>2276</v>
      </c>
      <c r="R669" s="204" t="s">
        <v>2276</v>
      </c>
      <c r="S669" s="204" t="s">
        <v>2276</v>
      </c>
      <c r="T669" s="204" t="s">
        <v>2276</v>
      </c>
      <c r="U669" s="204" t="s">
        <v>2276</v>
      </c>
      <c r="V669" s="204" t="s">
        <v>2276</v>
      </c>
      <c r="W669" s="4" t="s">
        <v>6787</v>
      </c>
    </row>
    <row r="670" spans="1:23" s="203" customFormat="1" ht="49" customHeight="1">
      <c r="A670" s="4" t="s">
        <v>6177</v>
      </c>
      <c r="B670" s="4" t="s">
        <v>6237</v>
      </c>
      <c r="C670" s="204" t="s">
        <v>24</v>
      </c>
      <c r="D670" s="204" t="s">
        <v>25</v>
      </c>
      <c r="E670" s="4" t="s">
        <v>3855</v>
      </c>
      <c r="F670" s="204" t="s">
        <v>29</v>
      </c>
      <c r="G670" s="4"/>
      <c r="H670" s="4" t="s">
        <v>541</v>
      </c>
      <c r="I670" s="4" t="s">
        <v>2276</v>
      </c>
      <c r="J670" s="4" t="s">
        <v>2276</v>
      </c>
      <c r="K670" s="4" t="s">
        <v>2276</v>
      </c>
      <c r="L670" s="4" t="s">
        <v>2276</v>
      </c>
      <c r="M670" s="4" t="s">
        <v>2671</v>
      </c>
      <c r="N670" s="204" t="s">
        <v>2276</v>
      </c>
      <c r="O670" s="4" t="s">
        <v>534</v>
      </c>
      <c r="P670" s="204" t="s">
        <v>2276</v>
      </c>
      <c r="Q670" s="4">
        <v>2</v>
      </c>
      <c r="R670" s="4" t="s">
        <v>537</v>
      </c>
      <c r="S670" s="4" t="s">
        <v>537</v>
      </c>
      <c r="T670" s="4" t="s">
        <v>537</v>
      </c>
      <c r="U670" s="4" t="s">
        <v>537</v>
      </c>
      <c r="V670" s="4" t="s">
        <v>2276</v>
      </c>
      <c r="W670" s="4" t="s">
        <v>6786</v>
      </c>
    </row>
    <row r="671" spans="1:23" s="203" customFormat="1" ht="49" customHeight="1">
      <c r="A671" s="4" t="s">
        <v>6177</v>
      </c>
      <c r="B671" s="4" t="s">
        <v>6763</v>
      </c>
      <c r="C671" s="204" t="s">
        <v>24</v>
      </c>
      <c r="D671" s="204" t="s">
        <v>2659</v>
      </c>
      <c r="E671" s="4" t="s">
        <v>3855</v>
      </c>
      <c r="F671" s="204" t="s">
        <v>28</v>
      </c>
      <c r="G671" s="4"/>
      <c r="H671" s="4" t="s">
        <v>541</v>
      </c>
      <c r="I671" s="4" t="s">
        <v>2276</v>
      </c>
      <c r="J671" s="4" t="s">
        <v>2276</v>
      </c>
      <c r="K671" s="4" t="s">
        <v>2276</v>
      </c>
      <c r="L671" s="4" t="s">
        <v>2276</v>
      </c>
      <c r="M671" s="4" t="s">
        <v>2671</v>
      </c>
      <c r="N671" s="204" t="s">
        <v>2276</v>
      </c>
      <c r="O671" s="4" t="s">
        <v>534</v>
      </c>
      <c r="P671" s="204" t="s">
        <v>2276</v>
      </c>
      <c r="Q671" s="4">
        <v>2</v>
      </c>
      <c r="R671" s="4" t="s">
        <v>537</v>
      </c>
      <c r="S671" s="4" t="s">
        <v>537</v>
      </c>
      <c r="T671" s="4" t="s">
        <v>537</v>
      </c>
      <c r="U671" s="4" t="s">
        <v>537</v>
      </c>
      <c r="V671" s="4" t="s">
        <v>2276</v>
      </c>
      <c r="W671" s="4" t="s">
        <v>6786</v>
      </c>
    </row>
    <row r="672" spans="1:23" s="203" customFormat="1" ht="49" customHeight="1">
      <c r="A672" s="4" t="s">
        <v>6177</v>
      </c>
      <c r="B672" s="4" t="s">
        <v>6764</v>
      </c>
      <c r="C672" s="204" t="s">
        <v>24</v>
      </c>
      <c r="D672" s="204" t="s">
        <v>2659</v>
      </c>
      <c r="E672" s="4" t="s">
        <v>3855</v>
      </c>
      <c r="F672" s="204" t="s">
        <v>28</v>
      </c>
      <c r="G672" s="4"/>
      <c r="H672" s="4" t="s">
        <v>4077</v>
      </c>
      <c r="I672" s="4" t="s">
        <v>2690</v>
      </c>
      <c r="J672" s="4" t="s">
        <v>537</v>
      </c>
      <c r="K672" s="4" t="s">
        <v>534</v>
      </c>
      <c r="L672" s="4" t="s">
        <v>537</v>
      </c>
      <c r="M672" s="4" t="s">
        <v>537</v>
      </c>
      <c r="N672" s="4" t="s">
        <v>537</v>
      </c>
      <c r="O672" s="4" t="s">
        <v>537</v>
      </c>
      <c r="P672" s="4" t="s">
        <v>537</v>
      </c>
      <c r="Q672" s="204" t="s">
        <v>2276</v>
      </c>
      <c r="R672" s="204" t="s">
        <v>2276</v>
      </c>
      <c r="S672" s="204" t="s">
        <v>2276</v>
      </c>
      <c r="T672" s="204" t="s">
        <v>2276</v>
      </c>
      <c r="U672" s="204" t="s">
        <v>2276</v>
      </c>
      <c r="V672" s="204" t="s">
        <v>2276</v>
      </c>
      <c r="W672" s="4" t="s">
        <v>6787</v>
      </c>
    </row>
    <row r="673" spans="1:23" s="203" customFormat="1" ht="49" customHeight="1">
      <c r="A673" s="4" t="s">
        <v>6178</v>
      </c>
      <c r="B673" s="4" t="s">
        <v>6238</v>
      </c>
      <c r="C673" s="204" t="s">
        <v>24</v>
      </c>
      <c r="D673" s="204" t="s">
        <v>25</v>
      </c>
      <c r="E673" s="4" t="s">
        <v>3855</v>
      </c>
      <c r="F673" s="204" t="s">
        <v>29</v>
      </c>
      <c r="G673" s="4"/>
      <c r="H673" s="4" t="s">
        <v>541</v>
      </c>
      <c r="I673" s="4" t="s">
        <v>2276</v>
      </c>
      <c r="J673" s="4" t="s">
        <v>2276</v>
      </c>
      <c r="K673" s="4" t="s">
        <v>2276</v>
      </c>
      <c r="L673" s="4" t="s">
        <v>2276</v>
      </c>
      <c r="M673" s="4" t="s">
        <v>2671</v>
      </c>
      <c r="N673" s="204" t="s">
        <v>2276</v>
      </c>
      <c r="O673" s="4" t="s">
        <v>534</v>
      </c>
      <c r="P673" s="204" t="s">
        <v>2276</v>
      </c>
      <c r="Q673" s="4">
        <v>2</v>
      </c>
      <c r="R673" s="4" t="s">
        <v>537</v>
      </c>
      <c r="S673" s="4" t="s">
        <v>537</v>
      </c>
      <c r="T673" s="4" t="s">
        <v>537</v>
      </c>
      <c r="U673" s="4" t="s">
        <v>537</v>
      </c>
      <c r="V673" s="4" t="s">
        <v>2276</v>
      </c>
      <c r="W673" s="4" t="s">
        <v>6786</v>
      </c>
    </row>
    <row r="674" spans="1:23" s="203" customFormat="1" ht="49" customHeight="1">
      <c r="A674" s="4" t="s">
        <v>6178</v>
      </c>
      <c r="B674" s="4" t="s">
        <v>6769</v>
      </c>
      <c r="C674" s="204" t="s">
        <v>24</v>
      </c>
      <c r="D674" s="204" t="s">
        <v>2659</v>
      </c>
      <c r="E674" s="4" t="s">
        <v>3855</v>
      </c>
      <c r="F674" s="204" t="s">
        <v>28</v>
      </c>
      <c r="G674" s="4"/>
      <c r="H674" s="4" t="s">
        <v>541</v>
      </c>
      <c r="I674" s="4" t="s">
        <v>2276</v>
      </c>
      <c r="J674" s="4" t="s">
        <v>2276</v>
      </c>
      <c r="K674" s="4" t="s">
        <v>2276</v>
      </c>
      <c r="L674" s="4" t="s">
        <v>2276</v>
      </c>
      <c r="M674" s="4" t="s">
        <v>2671</v>
      </c>
      <c r="N674" s="204" t="s">
        <v>2276</v>
      </c>
      <c r="O674" s="4" t="s">
        <v>534</v>
      </c>
      <c r="P674" s="204" t="s">
        <v>2276</v>
      </c>
      <c r="Q674" s="4">
        <v>2</v>
      </c>
      <c r="R674" s="4" t="s">
        <v>537</v>
      </c>
      <c r="S674" s="4" t="s">
        <v>537</v>
      </c>
      <c r="T674" s="4" t="s">
        <v>537</v>
      </c>
      <c r="U674" s="4" t="s">
        <v>537</v>
      </c>
      <c r="V674" s="4" t="s">
        <v>2276</v>
      </c>
      <c r="W674" s="4" t="s">
        <v>6786</v>
      </c>
    </row>
    <row r="675" spans="1:23" s="203" customFormat="1" ht="49" customHeight="1">
      <c r="A675" s="4" t="s">
        <v>6178</v>
      </c>
      <c r="B675" s="4" t="s">
        <v>6770</v>
      </c>
      <c r="C675" s="204" t="s">
        <v>24</v>
      </c>
      <c r="D675" s="204" t="s">
        <v>2659</v>
      </c>
      <c r="E675" s="4" t="s">
        <v>3855</v>
      </c>
      <c r="F675" s="204" t="s">
        <v>28</v>
      </c>
      <c r="G675" s="4"/>
      <c r="H675" s="4" t="s">
        <v>4077</v>
      </c>
      <c r="I675" s="4" t="s">
        <v>2690</v>
      </c>
      <c r="J675" s="4" t="s">
        <v>537</v>
      </c>
      <c r="K675" s="4" t="s">
        <v>534</v>
      </c>
      <c r="L675" s="4" t="s">
        <v>537</v>
      </c>
      <c r="M675" s="4" t="s">
        <v>537</v>
      </c>
      <c r="N675" s="4" t="s">
        <v>537</v>
      </c>
      <c r="O675" s="4" t="s">
        <v>537</v>
      </c>
      <c r="P675" s="4" t="s">
        <v>537</v>
      </c>
      <c r="Q675" s="204" t="s">
        <v>2276</v>
      </c>
      <c r="R675" s="204" t="s">
        <v>2276</v>
      </c>
      <c r="S675" s="204" t="s">
        <v>2276</v>
      </c>
      <c r="T675" s="204" t="s">
        <v>2276</v>
      </c>
      <c r="U675" s="204" t="s">
        <v>2276</v>
      </c>
      <c r="V675" s="204" t="s">
        <v>2276</v>
      </c>
      <c r="W675" s="4" t="s">
        <v>6787</v>
      </c>
    </row>
    <row r="676" spans="1:23" s="203" customFormat="1" ht="49" customHeight="1">
      <c r="A676" s="4" t="s">
        <v>6179</v>
      </c>
      <c r="B676" s="4" t="s">
        <v>6239</v>
      </c>
      <c r="C676" s="204" t="s">
        <v>24</v>
      </c>
      <c r="D676" s="204" t="s">
        <v>25</v>
      </c>
      <c r="E676" s="4" t="s">
        <v>3855</v>
      </c>
      <c r="F676" s="204" t="s">
        <v>29</v>
      </c>
      <c r="G676" s="4"/>
      <c r="H676" s="4" t="s">
        <v>541</v>
      </c>
      <c r="I676" s="4" t="s">
        <v>2276</v>
      </c>
      <c r="J676" s="4" t="s">
        <v>2276</v>
      </c>
      <c r="K676" s="4" t="s">
        <v>2276</v>
      </c>
      <c r="L676" s="4" t="s">
        <v>2276</v>
      </c>
      <c r="M676" s="4" t="s">
        <v>2671</v>
      </c>
      <c r="N676" s="204" t="s">
        <v>2276</v>
      </c>
      <c r="O676" s="4" t="s">
        <v>534</v>
      </c>
      <c r="P676" s="204" t="s">
        <v>2276</v>
      </c>
      <c r="Q676" s="4">
        <v>2</v>
      </c>
      <c r="R676" s="4" t="s">
        <v>537</v>
      </c>
      <c r="S676" s="4" t="s">
        <v>537</v>
      </c>
      <c r="T676" s="4" t="s">
        <v>537</v>
      </c>
      <c r="U676" s="4" t="s">
        <v>537</v>
      </c>
      <c r="V676" s="4" t="s">
        <v>2276</v>
      </c>
      <c r="W676" s="4" t="s">
        <v>6786</v>
      </c>
    </row>
    <row r="677" spans="1:23" s="203" customFormat="1" ht="49" customHeight="1">
      <c r="A677" s="4" t="s">
        <v>6179</v>
      </c>
      <c r="B677" s="4" t="s">
        <v>6775</v>
      </c>
      <c r="C677" s="204" t="s">
        <v>24</v>
      </c>
      <c r="D677" s="204" t="s">
        <v>2659</v>
      </c>
      <c r="E677" s="4" t="s">
        <v>3855</v>
      </c>
      <c r="F677" s="204" t="s">
        <v>28</v>
      </c>
      <c r="G677" s="4"/>
      <c r="H677" s="4" t="s">
        <v>541</v>
      </c>
      <c r="I677" s="4" t="s">
        <v>2276</v>
      </c>
      <c r="J677" s="4" t="s">
        <v>2276</v>
      </c>
      <c r="K677" s="4" t="s">
        <v>2276</v>
      </c>
      <c r="L677" s="4" t="s">
        <v>2276</v>
      </c>
      <c r="M677" s="4" t="s">
        <v>2671</v>
      </c>
      <c r="N677" s="204" t="s">
        <v>2276</v>
      </c>
      <c r="O677" s="4" t="s">
        <v>534</v>
      </c>
      <c r="P677" s="204" t="s">
        <v>2276</v>
      </c>
      <c r="Q677" s="4">
        <v>2</v>
      </c>
      <c r="R677" s="4" t="s">
        <v>537</v>
      </c>
      <c r="S677" s="4" t="s">
        <v>537</v>
      </c>
      <c r="T677" s="4" t="s">
        <v>537</v>
      </c>
      <c r="U677" s="4" t="s">
        <v>537</v>
      </c>
      <c r="V677" s="4" t="s">
        <v>2276</v>
      </c>
      <c r="W677" s="4" t="s">
        <v>6786</v>
      </c>
    </row>
    <row r="678" spans="1:23" s="203" customFormat="1" ht="49" customHeight="1">
      <c r="A678" s="4" t="s">
        <v>6179</v>
      </c>
      <c r="B678" s="4" t="s">
        <v>6776</v>
      </c>
      <c r="C678" s="204" t="s">
        <v>24</v>
      </c>
      <c r="D678" s="204" t="s">
        <v>2659</v>
      </c>
      <c r="E678" s="4" t="s">
        <v>3855</v>
      </c>
      <c r="F678" s="204" t="s">
        <v>28</v>
      </c>
      <c r="G678" s="4"/>
      <c r="H678" s="4" t="s">
        <v>4077</v>
      </c>
      <c r="I678" s="4" t="s">
        <v>2690</v>
      </c>
      <c r="J678" s="4" t="s">
        <v>537</v>
      </c>
      <c r="K678" s="4" t="s">
        <v>534</v>
      </c>
      <c r="L678" s="4" t="s">
        <v>537</v>
      </c>
      <c r="M678" s="4" t="s">
        <v>537</v>
      </c>
      <c r="N678" s="4" t="s">
        <v>537</v>
      </c>
      <c r="O678" s="4" t="s">
        <v>537</v>
      </c>
      <c r="P678" s="4" t="s">
        <v>537</v>
      </c>
      <c r="Q678" s="204" t="s">
        <v>2276</v>
      </c>
      <c r="R678" s="204" t="s">
        <v>2276</v>
      </c>
      <c r="S678" s="204" t="s">
        <v>2276</v>
      </c>
      <c r="T678" s="204" t="s">
        <v>2276</v>
      </c>
      <c r="U678" s="204" t="s">
        <v>2276</v>
      </c>
      <c r="V678" s="204" t="s">
        <v>2276</v>
      </c>
      <c r="W678" s="4" t="s">
        <v>6787</v>
      </c>
    </row>
    <row r="679" spans="1:23" ht="29">
      <c r="A679" s="19" t="s">
        <v>6364</v>
      </c>
      <c r="B679" s="19" t="s">
        <v>6459</v>
      </c>
      <c r="C679" s="19" t="s">
        <v>24</v>
      </c>
      <c r="D679" s="19" t="s">
        <v>2659</v>
      </c>
      <c r="E679" s="19" t="s">
        <v>397</v>
      </c>
      <c r="F679" s="19" t="s">
        <v>28</v>
      </c>
      <c r="G679" s="19"/>
      <c r="H679" s="19" t="s">
        <v>2673</v>
      </c>
      <c r="I679" s="19" t="s">
        <v>2276</v>
      </c>
      <c r="J679" s="19" t="s">
        <v>2276</v>
      </c>
      <c r="K679" s="19" t="s">
        <v>2276</v>
      </c>
      <c r="L679" s="19" t="s">
        <v>2276</v>
      </c>
      <c r="M679" s="19" t="s">
        <v>2276</v>
      </c>
      <c r="N679" s="19" t="s">
        <v>2276</v>
      </c>
      <c r="O679" s="19" t="s">
        <v>2276</v>
      </c>
      <c r="P679" s="19" t="s">
        <v>2276</v>
      </c>
      <c r="Q679" s="19" t="s">
        <v>2276</v>
      </c>
      <c r="R679" s="19" t="s">
        <v>534</v>
      </c>
      <c r="S679" s="19" t="s">
        <v>2276</v>
      </c>
      <c r="T679" s="19" t="s">
        <v>2276</v>
      </c>
      <c r="U679" s="19" t="s">
        <v>2276</v>
      </c>
      <c r="V679" s="19">
        <v>2</v>
      </c>
      <c r="W679" s="26" t="s">
        <v>7048</v>
      </c>
    </row>
    <row r="680" spans="1:23" ht="29">
      <c r="A680" s="4" t="s">
        <v>6339</v>
      </c>
      <c r="B680" s="4" t="s">
        <v>6618</v>
      </c>
      <c r="C680" s="4" t="s">
        <v>24</v>
      </c>
      <c r="D680" s="4" t="s">
        <v>27</v>
      </c>
      <c r="E680" s="4" t="s">
        <v>130</v>
      </c>
      <c r="F680" s="4" t="s">
        <v>74</v>
      </c>
      <c r="G680" s="4"/>
      <c r="H680" s="4" t="s">
        <v>2673</v>
      </c>
      <c r="I680" s="4" t="s">
        <v>2690</v>
      </c>
      <c r="J680" s="4" t="s">
        <v>534</v>
      </c>
      <c r="K680" s="4" t="s">
        <v>2276</v>
      </c>
      <c r="L680" s="4" t="s">
        <v>2276</v>
      </c>
      <c r="M680" s="4" t="s">
        <v>2276</v>
      </c>
      <c r="N680" s="4" t="s">
        <v>2276</v>
      </c>
      <c r="O680" s="4" t="s">
        <v>2276</v>
      </c>
      <c r="P680" s="4" t="s">
        <v>2276</v>
      </c>
      <c r="Q680" s="4" t="s">
        <v>2276</v>
      </c>
      <c r="R680" s="4" t="s">
        <v>534</v>
      </c>
      <c r="S680" s="4" t="s">
        <v>2276</v>
      </c>
      <c r="T680" s="4" t="s">
        <v>2276</v>
      </c>
      <c r="U680" s="4" t="s">
        <v>534</v>
      </c>
      <c r="V680" s="4">
        <v>5</v>
      </c>
      <c r="W680" s="4" t="s">
        <v>6533</v>
      </c>
    </row>
    <row r="681" spans="1:23" ht="29">
      <c r="A681" s="4" t="s">
        <v>6339</v>
      </c>
      <c r="B681" s="4" t="s">
        <v>6619</v>
      </c>
      <c r="C681" s="4" t="s">
        <v>24</v>
      </c>
      <c r="D681" s="4" t="s">
        <v>27</v>
      </c>
      <c r="E681" s="4" t="s">
        <v>396</v>
      </c>
      <c r="F681" s="4" t="s">
        <v>74</v>
      </c>
      <c r="G681" s="4"/>
      <c r="H681" s="4" t="s">
        <v>2673</v>
      </c>
      <c r="I681" s="4" t="s">
        <v>2690</v>
      </c>
      <c r="J681" s="4" t="s">
        <v>534</v>
      </c>
      <c r="K681" s="4" t="s">
        <v>2276</v>
      </c>
      <c r="L681" s="4" t="s">
        <v>2276</v>
      </c>
      <c r="M681" s="4" t="s">
        <v>2276</v>
      </c>
      <c r="N681" s="4" t="s">
        <v>2276</v>
      </c>
      <c r="O681" s="4" t="s">
        <v>2276</v>
      </c>
      <c r="P681" s="4" t="s">
        <v>2276</v>
      </c>
      <c r="Q681" s="4" t="s">
        <v>2276</v>
      </c>
      <c r="R681" s="4" t="s">
        <v>534</v>
      </c>
      <c r="S681" s="4" t="s">
        <v>2276</v>
      </c>
      <c r="T681" s="4" t="s">
        <v>2276</v>
      </c>
      <c r="U681" s="4" t="s">
        <v>534</v>
      </c>
      <c r="V681" s="4">
        <v>5</v>
      </c>
      <c r="W681" s="4" t="s">
        <v>6533</v>
      </c>
    </row>
    <row r="682" spans="1:23" ht="29">
      <c r="A682" s="4" t="s">
        <v>6339</v>
      </c>
      <c r="B682" s="4" t="s">
        <v>6620</v>
      </c>
      <c r="C682" s="4" t="s">
        <v>24</v>
      </c>
      <c r="D682" s="4" t="s">
        <v>2659</v>
      </c>
      <c r="E682" s="4" t="s">
        <v>396</v>
      </c>
      <c r="F682" s="4" t="s">
        <v>28</v>
      </c>
      <c r="G682" s="4"/>
      <c r="H682" s="4" t="s">
        <v>2673</v>
      </c>
      <c r="I682" s="4" t="s">
        <v>2690</v>
      </c>
      <c r="J682" s="4" t="s">
        <v>534</v>
      </c>
      <c r="K682" s="4" t="s">
        <v>2276</v>
      </c>
      <c r="L682" s="4" t="s">
        <v>2276</v>
      </c>
      <c r="M682" s="4" t="s">
        <v>2276</v>
      </c>
      <c r="N682" s="4" t="s">
        <v>2276</v>
      </c>
      <c r="O682" s="4" t="s">
        <v>2276</v>
      </c>
      <c r="P682" s="4" t="s">
        <v>2276</v>
      </c>
      <c r="Q682" s="4" t="s">
        <v>2276</v>
      </c>
      <c r="R682" s="4" t="s">
        <v>534</v>
      </c>
      <c r="S682" s="4" t="s">
        <v>2276</v>
      </c>
      <c r="T682" s="4" t="s">
        <v>2276</v>
      </c>
      <c r="U682" s="4" t="s">
        <v>534</v>
      </c>
      <c r="V682" s="4">
        <v>5</v>
      </c>
      <c r="W682" s="4" t="s">
        <v>6533</v>
      </c>
    </row>
    <row r="683" spans="1:23" ht="29">
      <c r="A683" s="4" t="s">
        <v>6339</v>
      </c>
      <c r="B683" s="4" t="s">
        <v>6621</v>
      </c>
      <c r="C683" s="4" t="s">
        <v>24</v>
      </c>
      <c r="D683" s="4" t="s">
        <v>27</v>
      </c>
      <c r="E683" s="4" t="s">
        <v>397</v>
      </c>
      <c r="F683" s="4" t="s">
        <v>74</v>
      </c>
      <c r="G683" s="4"/>
      <c r="H683" s="4" t="s">
        <v>2673</v>
      </c>
      <c r="I683" s="4" t="s">
        <v>2690</v>
      </c>
      <c r="J683" s="4" t="s">
        <v>534</v>
      </c>
      <c r="K683" s="4" t="s">
        <v>2276</v>
      </c>
      <c r="L683" s="4" t="s">
        <v>2276</v>
      </c>
      <c r="M683" s="4" t="s">
        <v>2276</v>
      </c>
      <c r="N683" s="4" t="s">
        <v>2276</v>
      </c>
      <c r="O683" s="4" t="s">
        <v>2276</v>
      </c>
      <c r="P683" s="4" t="s">
        <v>2276</v>
      </c>
      <c r="Q683" s="4" t="s">
        <v>2276</v>
      </c>
      <c r="R683" s="4" t="s">
        <v>534</v>
      </c>
      <c r="S683" s="4" t="s">
        <v>2276</v>
      </c>
      <c r="T683" s="4" t="s">
        <v>2276</v>
      </c>
      <c r="U683" s="4" t="s">
        <v>534</v>
      </c>
      <c r="V683" s="4">
        <v>5</v>
      </c>
      <c r="W683" s="4" t="s">
        <v>6533</v>
      </c>
    </row>
    <row r="684" spans="1:23" ht="29">
      <c r="A684" s="4" t="s">
        <v>6339</v>
      </c>
      <c r="B684" s="4" t="s">
        <v>6622</v>
      </c>
      <c r="C684" s="4" t="s">
        <v>24</v>
      </c>
      <c r="D684" s="4" t="s">
        <v>2659</v>
      </c>
      <c r="E684" s="4" t="s">
        <v>397</v>
      </c>
      <c r="F684" s="4" t="s">
        <v>28</v>
      </c>
      <c r="G684" s="4"/>
      <c r="H684" s="4" t="s">
        <v>2673</v>
      </c>
      <c r="I684" s="4" t="s">
        <v>2690</v>
      </c>
      <c r="J684" s="4" t="s">
        <v>534</v>
      </c>
      <c r="K684" s="4" t="s">
        <v>2276</v>
      </c>
      <c r="L684" s="4" t="s">
        <v>2276</v>
      </c>
      <c r="M684" s="4" t="s">
        <v>2276</v>
      </c>
      <c r="N684" s="4" t="s">
        <v>2276</v>
      </c>
      <c r="O684" s="4" t="s">
        <v>2276</v>
      </c>
      <c r="P684" s="4" t="s">
        <v>2276</v>
      </c>
      <c r="Q684" s="4" t="s">
        <v>2276</v>
      </c>
      <c r="R684" s="4" t="s">
        <v>534</v>
      </c>
      <c r="S684" s="4" t="s">
        <v>2276</v>
      </c>
      <c r="T684" s="4" t="s">
        <v>2276</v>
      </c>
      <c r="U684" s="4" t="s">
        <v>534</v>
      </c>
      <c r="V684" s="4">
        <v>5</v>
      </c>
      <c r="W684" s="4" t="s">
        <v>6533</v>
      </c>
    </row>
    <row r="685" spans="1:23" ht="58">
      <c r="A685" s="4" t="s">
        <v>6340</v>
      </c>
      <c r="B685" s="4" t="s">
        <v>6501</v>
      </c>
      <c r="C685" s="4" t="s">
        <v>24</v>
      </c>
      <c r="D685" s="4" t="s">
        <v>2659</v>
      </c>
      <c r="E685" s="4" t="s">
        <v>396</v>
      </c>
      <c r="F685" s="4" t="s">
        <v>28</v>
      </c>
      <c r="G685" s="4"/>
      <c r="H685" s="4" t="s">
        <v>2673</v>
      </c>
      <c r="I685" s="4" t="s">
        <v>2690</v>
      </c>
      <c r="J685" s="4" t="s">
        <v>2276</v>
      </c>
      <c r="K685" s="4" t="s">
        <v>2276</v>
      </c>
      <c r="L685" s="4" t="s">
        <v>534</v>
      </c>
      <c r="M685" s="4" t="s">
        <v>2276</v>
      </c>
      <c r="N685" s="4" t="s">
        <v>2276</v>
      </c>
      <c r="O685" s="4" t="s">
        <v>2276</v>
      </c>
      <c r="P685" s="4" t="s">
        <v>2276</v>
      </c>
      <c r="Q685" s="4" t="s">
        <v>2276</v>
      </c>
      <c r="R685" s="4" t="s">
        <v>534</v>
      </c>
      <c r="S685" s="4" t="s">
        <v>2276</v>
      </c>
      <c r="T685" s="4" t="s">
        <v>2276</v>
      </c>
      <c r="U685" s="4" t="s">
        <v>534</v>
      </c>
      <c r="V685" s="4">
        <v>1</v>
      </c>
      <c r="W685" s="4" t="s">
        <v>8398</v>
      </c>
    </row>
    <row r="686" spans="1:23" ht="87">
      <c r="A686" s="4" t="s">
        <v>6340</v>
      </c>
      <c r="B686" s="4" t="s">
        <v>6502</v>
      </c>
      <c r="C686" s="4" t="s">
        <v>24</v>
      </c>
      <c r="D686" s="4" t="s">
        <v>2659</v>
      </c>
      <c r="E686" s="4" t="s">
        <v>396</v>
      </c>
      <c r="F686" s="4" t="s">
        <v>28</v>
      </c>
      <c r="G686" s="4"/>
      <c r="H686" s="4" t="s">
        <v>2673</v>
      </c>
      <c r="I686" s="4" t="s">
        <v>2690</v>
      </c>
      <c r="J686" s="4" t="s">
        <v>2276</v>
      </c>
      <c r="K686" s="4" t="s">
        <v>2276</v>
      </c>
      <c r="L686" s="4" t="s">
        <v>534</v>
      </c>
      <c r="M686" s="4" t="s">
        <v>2276</v>
      </c>
      <c r="N686" s="4" t="s">
        <v>2276</v>
      </c>
      <c r="O686" s="4" t="s">
        <v>2276</v>
      </c>
      <c r="P686" s="4" t="s">
        <v>2276</v>
      </c>
      <c r="Q686" s="4" t="s">
        <v>2276</v>
      </c>
      <c r="R686" s="4" t="s">
        <v>534</v>
      </c>
      <c r="S686" s="4" t="s">
        <v>2276</v>
      </c>
      <c r="T686" s="4" t="s">
        <v>2276</v>
      </c>
      <c r="U686" s="4" t="s">
        <v>534</v>
      </c>
      <c r="V686" s="4">
        <v>4</v>
      </c>
      <c r="W686" s="4" t="s">
        <v>8399</v>
      </c>
    </row>
    <row r="687" spans="1:23" ht="72.5">
      <c r="A687" s="4" t="s">
        <v>6340</v>
      </c>
      <c r="B687" s="4" t="s">
        <v>6503</v>
      </c>
      <c r="C687" s="4" t="s">
        <v>24</v>
      </c>
      <c r="D687" s="4" t="s">
        <v>2659</v>
      </c>
      <c r="E687" s="4" t="s">
        <v>396</v>
      </c>
      <c r="F687" s="4" t="s">
        <v>28</v>
      </c>
      <c r="G687" s="4"/>
      <c r="H687" s="4" t="s">
        <v>2673</v>
      </c>
      <c r="I687" s="4" t="s">
        <v>2690</v>
      </c>
      <c r="J687" s="4" t="s">
        <v>2276</v>
      </c>
      <c r="K687" s="4" t="s">
        <v>2276</v>
      </c>
      <c r="L687" s="4" t="s">
        <v>534</v>
      </c>
      <c r="M687" s="4" t="s">
        <v>2276</v>
      </c>
      <c r="N687" s="4" t="s">
        <v>2276</v>
      </c>
      <c r="O687" s="4" t="s">
        <v>2276</v>
      </c>
      <c r="P687" s="4" t="s">
        <v>2276</v>
      </c>
      <c r="Q687" s="4" t="s">
        <v>2276</v>
      </c>
      <c r="R687" s="4" t="s">
        <v>534</v>
      </c>
      <c r="S687" s="4" t="s">
        <v>2276</v>
      </c>
      <c r="T687" s="4" t="s">
        <v>2276</v>
      </c>
      <c r="U687" s="4" t="s">
        <v>534</v>
      </c>
      <c r="V687" s="4">
        <v>4</v>
      </c>
      <c r="W687" s="4" t="s">
        <v>8400</v>
      </c>
    </row>
    <row r="688" spans="1:23" ht="58">
      <c r="A688" s="4" t="s">
        <v>6504</v>
      </c>
      <c r="B688" s="4" t="s">
        <v>6505</v>
      </c>
      <c r="C688" s="4" t="s">
        <v>24</v>
      </c>
      <c r="D688" s="4" t="s">
        <v>2659</v>
      </c>
      <c r="E688" s="4" t="s">
        <v>396</v>
      </c>
      <c r="F688" s="4" t="s">
        <v>28</v>
      </c>
      <c r="G688" s="4"/>
      <c r="H688" s="4" t="s">
        <v>2673</v>
      </c>
      <c r="I688" s="4" t="s">
        <v>2690</v>
      </c>
      <c r="J688" s="4" t="s">
        <v>2276</v>
      </c>
      <c r="K688" s="4" t="s">
        <v>2276</v>
      </c>
      <c r="L688" s="4" t="s">
        <v>534</v>
      </c>
      <c r="M688" s="4" t="s">
        <v>2276</v>
      </c>
      <c r="N688" s="4" t="s">
        <v>2276</v>
      </c>
      <c r="O688" s="4" t="s">
        <v>2276</v>
      </c>
      <c r="P688" s="4" t="s">
        <v>2276</v>
      </c>
      <c r="Q688" s="4" t="s">
        <v>2276</v>
      </c>
      <c r="R688" s="4" t="s">
        <v>534</v>
      </c>
      <c r="S688" s="4" t="s">
        <v>2276</v>
      </c>
      <c r="T688" s="4" t="s">
        <v>2276</v>
      </c>
      <c r="U688" s="4" t="s">
        <v>534</v>
      </c>
      <c r="V688" s="4">
        <v>1</v>
      </c>
      <c r="W688" s="4" t="s">
        <v>8398</v>
      </c>
    </row>
    <row r="689" spans="1:23" ht="87">
      <c r="A689" s="4" t="s">
        <v>6504</v>
      </c>
      <c r="B689" s="4" t="s">
        <v>6506</v>
      </c>
      <c r="C689" s="4" t="s">
        <v>24</v>
      </c>
      <c r="D689" s="4" t="s">
        <v>2659</v>
      </c>
      <c r="E689" s="4" t="s">
        <v>396</v>
      </c>
      <c r="F689" s="4" t="s">
        <v>28</v>
      </c>
      <c r="G689" s="4"/>
      <c r="H689" s="4" t="s">
        <v>2673</v>
      </c>
      <c r="I689" s="4" t="s">
        <v>2690</v>
      </c>
      <c r="J689" s="4" t="s">
        <v>2276</v>
      </c>
      <c r="K689" s="4" t="s">
        <v>2276</v>
      </c>
      <c r="L689" s="4" t="s">
        <v>534</v>
      </c>
      <c r="M689" s="4" t="s">
        <v>2276</v>
      </c>
      <c r="N689" s="4" t="s">
        <v>2276</v>
      </c>
      <c r="O689" s="4" t="s">
        <v>2276</v>
      </c>
      <c r="P689" s="4" t="s">
        <v>2276</v>
      </c>
      <c r="Q689" s="4" t="s">
        <v>2276</v>
      </c>
      <c r="R689" s="4" t="s">
        <v>534</v>
      </c>
      <c r="S689" s="4" t="s">
        <v>2276</v>
      </c>
      <c r="T689" s="4" t="s">
        <v>2276</v>
      </c>
      <c r="U689" s="4" t="s">
        <v>534</v>
      </c>
      <c r="V689" s="4">
        <v>4</v>
      </c>
      <c r="W689" s="4" t="s">
        <v>8399</v>
      </c>
    </row>
    <row r="690" spans="1:23" ht="72.5">
      <c r="A690" s="4" t="s">
        <v>6504</v>
      </c>
      <c r="B690" s="4" t="s">
        <v>6507</v>
      </c>
      <c r="C690" s="4" t="s">
        <v>24</v>
      </c>
      <c r="D690" s="4" t="s">
        <v>2659</v>
      </c>
      <c r="E690" s="4" t="s">
        <v>396</v>
      </c>
      <c r="F690" s="4" t="s">
        <v>28</v>
      </c>
      <c r="G690" s="4"/>
      <c r="H690" s="4" t="s">
        <v>2673</v>
      </c>
      <c r="I690" s="4" t="s">
        <v>2690</v>
      </c>
      <c r="J690" s="4" t="s">
        <v>2276</v>
      </c>
      <c r="K690" s="4" t="s">
        <v>2276</v>
      </c>
      <c r="L690" s="4" t="s">
        <v>534</v>
      </c>
      <c r="M690" s="4" t="s">
        <v>2276</v>
      </c>
      <c r="N690" s="4" t="s">
        <v>2276</v>
      </c>
      <c r="O690" s="4" t="s">
        <v>2276</v>
      </c>
      <c r="P690" s="4" t="s">
        <v>2276</v>
      </c>
      <c r="Q690" s="4" t="s">
        <v>2276</v>
      </c>
      <c r="R690" s="4" t="s">
        <v>534</v>
      </c>
      <c r="S690" s="4" t="s">
        <v>2276</v>
      </c>
      <c r="T690" s="4" t="s">
        <v>2276</v>
      </c>
      <c r="U690" s="4" t="s">
        <v>534</v>
      </c>
      <c r="V690" s="4">
        <v>4</v>
      </c>
      <c r="W690" s="4" t="s">
        <v>8400</v>
      </c>
    </row>
    <row r="691" spans="1:23" ht="58">
      <c r="A691" s="4" t="s">
        <v>6341</v>
      </c>
      <c r="B691" s="4" t="s">
        <v>6508</v>
      </c>
      <c r="C691" s="4" t="s">
        <v>24</v>
      </c>
      <c r="D691" s="4" t="s">
        <v>2659</v>
      </c>
      <c r="E691" s="4" t="s">
        <v>396</v>
      </c>
      <c r="F691" s="4" t="s">
        <v>28</v>
      </c>
      <c r="G691" s="4"/>
      <c r="H691" s="4" t="s">
        <v>2673</v>
      </c>
      <c r="I691" s="4" t="s">
        <v>2690</v>
      </c>
      <c r="J691" s="4" t="s">
        <v>2276</v>
      </c>
      <c r="K691" s="4" t="s">
        <v>2276</v>
      </c>
      <c r="L691" s="4" t="s">
        <v>534</v>
      </c>
      <c r="M691" s="4" t="s">
        <v>2276</v>
      </c>
      <c r="N691" s="4" t="s">
        <v>2276</v>
      </c>
      <c r="O691" s="4" t="s">
        <v>2276</v>
      </c>
      <c r="P691" s="4" t="s">
        <v>2276</v>
      </c>
      <c r="Q691" s="4" t="s">
        <v>2276</v>
      </c>
      <c r="R691" s="4" t="s">
        <v>534</v>
      </c>
      <c r="S691" s="4" t="s">
        <v>2276</v>
      </c>
      <c r="T691" s="4" t="s">
        <v>2276</v>
      </c>
      <c r="U691" s="4" t="s">
        <v>534</v>
      </c>
      <c r="V691" s="4">
        <v>1</v>
      </c>
      <c r="W691" s="4" t="s">
        <v>8398</v>
      </c>
    </row>
    <row r="692" spans="1:23" ht="87">
      <c r="A692" s="4" t="s">
        <v>6341</v>
      </c>
      <c r="B692" s="4" t="s">
        <v>6509</v>
      </c>
      <c r="C692" s="4" t="s">
        <v>24</v>
      </c>
      <c r="D692" s="4" t="s">
        <v>2659</v>
      </c>
      <c r="E692" s="4" t="s">
        <v>396</v>
      </c>
      <c r="F692" s="4" t="s">
        <v>28</v>
      </c>
      <c r="G692" s="4"/>
      <c r="H692" s="4" t="s">
        <v>2673</v>
      </c>
      <c r="I692" s="4" t="s">
        <v>2690</v>
      </c>
      <c r="J692" s="4" t="s">
        <v>2276</v>
      </c>
      <c r="K692" s="4" t="s">
        <v>2276</v>
      </c>
      <c r="L692" s="4" t="s">
        <v>534</v>
      </c>
      <c r="M692" s="4" t="s">
        <v>2276</v>
      </c>
      <c r="N692" s="4" t="s">
        <v>2276</v>
      </c>
      <c r="O692" s="4" t="s">
        <v>2276</v>
      </c>
      <c r="P692" s="4" t="s">
        <v>2276</v>
      </c>
      <c r="Q692" s="4" t="s">
        <v>2276</v>
      </c>
      <c r="R692" s="4" t="s">
        <v>534</v>
      </c>
      <c r="S692" s="4" t="s">
        <v>2276</v>
      </c>
      <c r="T692" s="4" t="s">
        <v>2276</v>
      </c>
      <c r="U692" s="4" t="s">
        <v>534</v>
      </c>
      <c r="V692" s="4">
        <v>4</v>
      </c>
      <c r="W692" s="4" t="s">
        <v>8399</v>
      </c>
    </row>
    <row r="693" spans="1:23" ht="72.5">
      <c r="A693" s="4" t="s">
        <v>6341</v>
      </c>
      <c r="B693" s="4" t="s">
        <v>6510</v>
      </c>
      <c r="C693" s="4" t="s">
        <v>24</v>
      </c>
      <c r="D693" s="4" t="s">
        <v>2659</v>
      </c>
      <c r="E693" s="4" t="s">
        <v>396</v>
      </c>
      <c r="F693" s="4" t="s">
        <v>28</v>
      </c>
      <c r="G693" s="4"/>
      <c r="H693" s="4" t="s">
        <v>2673</v>
      </c>
      <c r="I693" s="4" t="s">
        <v>2690</v>
      </c>
      <c r="J693" s="4" t="s">
        <v>2276</v>
      </c>
      <c r="K693" s="4" t="s">
        <v>2276</v>
      </c>
      <c r="L693" s="4" t="s">
        <v>534</v>
      </c>
      <c r="M693" s="4" t="s">
        <v>2276</v>
      </c>
      <c r="N693" s="4" t="s">
        <v>2276</v>
      </c>
      <c r="O693" s="4" t="s">
        <v>2276</v>
      </c>
      <c r="P693" s="4" t="s">
        <v>2276</v>
      </c>
      <c r="Q693" s="4" t="s">
        <v>2276</v>
      </c>
      <c r="R693" s="4" t="s">
        <v>534</v>
      </c>
      <c r="S693" s="4" t="s">
        <v>2276</v>
      </c>
      <c r="T693" s="4" t="s">
        <v>2276</v>
      </c>
      <c r="U693" s="4" t="s">
        <v>534</v>
      </c>
      <c r="V693" s="4">
        <v>4</v>
      </c>
      <c r="W693" s="4" t="s">
        <v>8400</v>
      </c>
    </row>
    <row r="694" spans="1:23" ht="58">
      <c r="A694" s="4" t="s">
        <v>6623</v>
      </c>
      <c r="B694" s="4" t="s">
        <v>6624</v>
      </c>
      <c r="C694" s="4" t="s">
        <v>24</v>
      </c>
      <c r="D694" s="4" t="s">
        <v>2659</v>
      </c>
      <c r="E694" s="4" t="s">
        <v>396</v>
      </c>
      <c r="F694" s="4" t="s">
        <v>28</v>
      </c>
      <c r="G694" s="4"/>
      <c r="H694" s="4" t="s">
        <v>2673</v>
      </c>
      <c r="I694" s="4" t="s">
        <v>2690</v>
      </c>
      <c r="J694" s="4" t="s">
        <v>2276</v>
      </c>
      <c r="K694" s="4" t="s">
        <v>2276</v>
      </c>
      <c r="L694" s="4" t="s">
        <v>534</v>
      </c>
      <c r="M694" s="4" t="s">
        <v>2276</v>
      </c>
      <c r="N694" s="4" t="s">
        <v>2276</v>
      </c>
      <c r="O694" s="4" t="s">
        <v>2276</v>
      </c>
      <c r="P694" s="4" t="s">
        <v>2276</v>
      </c>
      <c r="Q694" s="4" t="s">
        <v>2276</v>
      </c>
      <c r="R694" s="4" t="s">
        <v>534</v>
      </c>
      <c r="S694" s="4" t="s">
        <v>2276</v>
      </c>
      <c r="T694" s="4" t="s">
        <v>2276</v>
      </c>
      <c r="U694" s="4" t="s">
        <v>534</v>
      </c>
      <c r="V694" s="4">
        <v>1</v>
      </c>
      <c r="W694" s="4" t="s">
        <v>8398</v>
      </c>
    </row>
    <row r="695" spans="1:23" ht="87">
      <c r="A695" s="4" t="s">
        <v>6623</v>
      </c>
      <c r="B695" s="4" t="s">
        <v>6625</v>
      </c>
      <c r="C695" s="4" t="s">
        <v>24</v>
      </c>
      <c r="D695" s="4" t="s">
        <v>2659</v>
      </c>
      <c r="E695" s="4" t="s">
        <v>396</v>
      </c>
      <c r="F695" s="4" t="s">
        <v>28</v>
      </c>
      <c r="G695" s="4"/>
      <c r="H695" s="4" t="s">
        <v>2673</v>
      </c>
      <c r="I695" s="4" t="s">
        <v>2690</v>
      </c>
      <c r="J695" s="4" t="s">
        <v>2276</v>
      </c>
      <c r="K695" s="4" t="s">
        <v>2276</v>
      </c>
      <c r="L695" s="4" t="s">
        <v>534</v>
      </c>
      <c r="M695" s="4" t="s">
        <v>2276</v>
      </c>
      <c r="N695" s="4" t="s">
        <v>2276</v>
      </c>
      <c r="O695" s="4" t="s">
        <v>2276</v>
      </c>
      <c r="P695" s="4" t="s">
        <v>2276</v>
      </c>
      <c r="Q695" s="4" t="s">
        <v>2276</v>
      </c>
      <c r="R695" s="4" t="s">
        <v>534</v>
      </c>
      <c r="S695" s="4" t="s">
        <v>2276</v>
      </c>
      <c r="T695" s="4" t="s">
        <v>2276</v>
      </c>
      <c r="U695" s="4" t="s">
        <v>534</v>
      </c>
      <c r="V695" s="4">
        <v>4</v>
      </c>
      <c r="W695" s="4" t="s">
        <v>8399</v>
      </c>
    </row>
    <row r="696" spans="1:23" ht="72.5">
      <c r="A696" s="4" t="s">
        <v>6623</v>
      </c>
      <c r="B696" s="4" t="s">
        <v>6626</v>
      </c>
      <c r="C696" s="4" t="s">
        <v>24</v>
      </c>
      <c r="D696" s="4" t="s">
        <v>2659</v>
      </c>
      <c r="E696" s="4" t="s">
        <v>396</v>
      </c>
      <c r="F696" s="4" t="s">
        <v>28</v>
      </c>
      <c r="G696" s="4"/>
      <c r="H696" s="4" t="s">
        <v>2673</v>
      </c>
      <c r="I696" s="4" t="s">
        <v>2690</v>
      </c>
      <c r="J696" s="4" t="s">
        <v>2276</v>
      </c>
      <c r="K696" s="4" t="s">
        <v>2276</v>
      </c>
      <c r="L696" s="4" t="s">
        <v>534</v>
      </c>
      <c r="M696" s="4" t="s">
        <v>2276</v>
      </c>
      <c r="N696" s="4" t="s">
        <v>2276</v>
      </c>
      <c r="O696" s="4" t="s">
        <v>2276</v>
      </c>
      <c r="P696" s="4" t="s">
        <v>2276</v>
      </c>
      <c r="Q696" s="4" t="s">
        <v>2276</v>
      </c>
      <c r="R696" s="4" t="s">
        <v>534</v>
      </c>
      <c r="S696" s="4" t="s">
        <v>2276</v>
      </c>
      <c r="T696" s="4" t="s">
        <v>2276</v>
      </c>
      <c r="U696" s="4" t="s">
        <v>534</v>
      </c>
      <c r="V696" s="4">
        <v>4</v>
      </c>
      <c r="W696" s="4" t="s">
        <v>8400</v>
      </c>
    </row>
    <row r="697" spans="1:23" ht="58">
      <c r="A697" s="4" t="s">
        <v>6343</v>
      </c>
      <c r="B697" s="4" t="s">
        <v>6514</v>
      </c>
      <c r="C697" s="4" t="s">
        <v>24</v>
      </c>
      <c r="D697" s="4" t="s">
        <v>2659</v>
      </c>
      <c r="E697" s="4" t="s">
        <v>396</v>
      </c>
      <c r="F697" s="4" t="s">
        <v>28</v>
      </c>
      <c r="G697" s="4"/>
      <c r="H697" s="4" t="s">
        <v>2673</v>
      </c>
      <c r="I697" s="4" t="s">
        <v>2690</v>
      </c>
      <c r="J697" s="4" t="s">
        <v>2276</v>
      </c>
      <c r="K697" s="4" t="s">
        <v>2276</v>
      </c>
      <c r="L697" s="4" t="s">
        <v>534</v>
      </c>
      <c r="M697" s="4" t="s">
        <v>2276</v>
      </c>
      <c r="N697" s="4" t="s">
        <v>2276</v>
      </c>
      <c r="O697" s="4" t="s">
        <v>2276</v>
      </c>
      <c r="P697" s="4" t="s">
        <v>2276</v>
      </c>
      <c r="Q697" s="4" t="s">
        <v>2276</v>
      </c>
      <c r="R697" s="4" t="s">
        <v>534</v>
      </c>
      <c r="S697" s="4" t="s">
        <v>2276</v>
      </c>
      <c r="T697" s="4" t="s">
        <v>2276</v>
      </c>
      <c r="U697" s="4" t="s">
        <v>534</v>
      </c>
      <c r="V697" s="4">
        <v>1</v>
      </c>
      <c r="W697" s="4" t="s">
        <v>8398</v>
      </c>
    </row>
    <row r="698" spans="1:23" ht="87">
      <c r="A698" s="4" t="s">
        <v>6343</v>
      </c>
      <c r="B698" s="4" t="s">
        <v>6515</v>
      </c>
      <c r="C698" s="4" t="s">
        <v>24</v>
      </c>
      <c r="D698" s="4" t="s">
        <v>2659</v>
      </c>
      <c r="E698" s="4" t="s">
        <v>396</v>
      </c>
      <c r="F698" s="4" t="s">
        <v>28</v>
      </c>
      <c r="G698" s="4"/>
      <c r="H698" s="4" t="s">
        <v>2673</v>
      </c>
      <c r="I698" s="4" t="s">
        <v>2690</v>
      </c>
      <c r="J698" s="4" t="s">
        <v>2276</v>
      </c>
      <c r="K698" s="4" t="s">
        <v>2276</v>
      </c>
      <c r="L698" s="4" t="s">
        <v>534</v>
      </c>
      <c r="M698" s="4" t="s">
        <v>2276</v>
      </c>
      <c r="N698" s="4" t="s">
        <v>2276</v>
      </c>
      <c r="O698" s="4" t="s">
        <v>2276</v>
      </c>
      <c r="P698" s="4" t="s">
        <v>2276</v>
      </c>
      <c r="Q698" s="4" t="s">
        <v>2276</v>
      </c>
      <c r="R698" s="4" t="s">
        <v>534</v>
      </c>
      <c r="S698" s="4" t="s">
        <v>2276</v>
      </c>
      <c r="T698" s="4" t="s">
        <v>2276</v>
      </c>
      <c r="U698" s="4" t="s">
        <v>534</v>
      </c>
      <c r="V698" s="4">
        <v>4</v>
      </c>
      <c r="W698" s="4" t="s">
        <v>8399</v>
      </c>
    </row>
    <row r="699" spans="1:23" ht="72.5">
      <c r="A699" s="4" t="s">
        <v>6343</v>
      </c>
      <c r="B699" s="4" t="s">
        <v>6516</v>
      </c>
      <c r="C699" s="4" t="s">
        <v>24</v>
      </c>
      <c r="D699" s="4" t="s">
        <v>2659</v>
      </c>
      <c r="E699" s="4" t="s">
        <v>396</v>
      </c>
      <c r="F699" s="4" t="s">
        <v>28</v>
      </c>
      <c r="G699" s="4"/>
      <c r="H699" s="4" t="s">
        <v>2673</v>
      </c>
      <c r="I699" s="4" t="s">
        <v>2690</v>
      </c>
      <c r="J699" s="4" t="s">
        <v>2276</v>
      </c>
      <c r="K699" s="4" t="s">
        <v>2276</v>
      </c>
      <c r="L699" s="4" t="s">
        <v>534</v>
      </c>
      <c r="M699" s="4" t="s">
        <v>2276</v>
      </c>
      <c r="N699" s="4" t="s">
        <v>2276</v>
      </c>
      <c r="O699" s="4" t="s">
        <v>2276</v>
      </c>
      <c r="P699" s="4" t="s">
        <v>2276</v>
      </c>
      <c r="Q699" s="4" t="s">
        <v>2276</v>
      </c>
      <c r="R699" s="4" t="s">
        <v>534</v>
      </c>
      <c r="S699" s="4" t="s">
        <v>2276</v>
      </c>
      <c r="T699" s="4" t="s">
        <v>2276</v>
      </c>
      <c r="U699" s="4" t="s">
        <v>534</v>
      </c>
      <c r="V699" s="4">
        <v>4</v>
      </c>
      <c r="W699" s="4" t="s">
        <v>8400</v>
      </c>
    </row>
    <row r="700" spans="1:23" ht="58">
      <c r="A700" s="4" t="s">
        <v>6344</v>
      </c>
      <c r="B700" s="4" t="s">
        <v>6517</v>
      </c>
      <c r="C700" s="4" t="s">
        <v>24</v>
      </c>
      <c r="D700" s="4" t="s">
        <v>2659</v>
      </c>
      <c r="E700" s="4" t="s">
        <v>396</v>
      </c>
      <c r="F700" s="4" t="s">
        <v>28</v>
      </c>
      <c r="G700" s="4"/>
      <c r="H700" s="4" t="s">
        <v>2673</v>
      </c>
      <c r="I700" s="4" t="s">
        <v>2690</v>
      </c>
      <c r="J700" s="4" t="s">
        <v>2276</v>
      </c>
      <c r="K700" s="4" t="s">
        <v>2276</v>
      </c>
      <c r="L700" s="4" t="s">
        <v>534</v>
      </c>
      <c r="M700" s="4" t="s">
        <v>2276</v>
      </c>
      <c r="N700" s="4" t="s">
        <v>2276</v>
      </c>
      <c r="O700" s="4" t="s">
        <v>2276</v>
      </c>
      <c r="P700" s="4" t="s">
        <v>2276</v>
      </c>
      <c r="Q700" s="4" t="s">
        <v>2276</v>
      </c>
      <c r="R700" s="4" t="s">
        <v>534</v>
      </c>
      <c r="S700" s="4" t="s">
        <v>2276</v>
      </c>
      <c r="T700" s="4" t="s">
        <v>2276</v>
      </c>
      <c r="U700" s="4" t="s">
        <v>534</v>
      </c>
      <c r="V700" s="4">
        <v>1</v>
      </c>
      <c r="W700" s="4" t="s">
        <v>8398</v>
      </c>
    </row>
    <row r="701" spans="1:23" ht="87">
      <c r="A701" s="4" t="s">
        <v>6344</v>
      </c>
      <c r="B701" s="4" t="s">
        <v>6518</v>
      </c>
      <c r="C701" s="4" t="s">
        <v>24</v>
      </c>
      <c r="D701" s="4" t="s">
        <v>2659</v>
      </c>
      <c r="E701" s="4" t="s">
        <v>396</v>
      </c>
      <c r="F701" s="4" t="s">
        <v>28</v>
      </c>
      <c r="G701" s="4"/>
      <c r="H701" s="4" t="s">
        <v>2673</v>
      </c>
      <c r="I701" s="4" t="s">
        <v>2690</v>
      </c>
      <c r="J701" s="4" t="s">
        <v>2276</v>
      </c>
      <c r="K701" s="4" t="s">
        <v>2276</v>
      </c>
      <c r="L701" s="4" t="s">
        <v>534</v>
      </c>
      <c r="M701" s="4" t="s">
        <v>2276</v>
      </c>
      <c r="N701" s="4" t="s">
        <v>2276</v>
      </c>
      <c r="O701" s="4" t="s">
        <v>2276</v>
      </c>
      <c r="P701" s="4" t="s">
        <v>2276</v>
      </c>
      <c r="Q701" s="4" t="s">
        <v>2276</v>
      </c>
      <c r="R701" s="4" t="s">
        <v>534</v>
      </c>
      <c r="S701" s="4" t="s">
        <v>2276</v>
      </c>
      <c r="T701" s="4" t="s">
        <v>2276</v>
      </c>
      <c r="U701" s="4" t="s">
        <v>534</v>
      </c>
      <c r="V701" s="4">
        <v>4</v>
      </c>
      <c r="W701" s="4" t="s">
        <v>8399</v>
      </c>
    </row>
    <row r="702" spans="1:23" ht="72.5">
      <c r="A702" s="4" t="s">
        <v>6344</v>
      </c>
      <c r="B702" s="4" t="s">
        <v>6519</v>
      </c>
      <c r="C702" s="4" t="s">
        <v>24</v>
      </c>
      <c r="D702" s="4" t="s">
        <v>2659</v>
      </c>
      <c r="E702" s="4" t="s">
        <v>396</v>
      </c>
      <c r="F702" s="4" t="s">
        <v>28</v>
      </c>
      <c r="G702" s="4"/>
      <c r="H702" s="4" t="s">
        <v>2673</v>
      </c>
      <c r="I702" s="4" t="s">
        <v>2690</v>
      </c>
      <c r="J702" s="4" t="s">
        <v>2276</v>
      </c>
      <c r="K702" s="4" t="s">
        <v>2276</v>
      </c>
      <c r="L702" s="4" t="s">
        <v>534</v>
      </c>
      <c r="M702" s="4" t="s">
        <v>2276</v>
      </c>
      <c r="N702" s="4" t="s">
        <v>2276</v>
      </c>
      <c r="O702" s="4" t="s">
        <v>2276</v>
      </c>
      <c r="P702" s="4" t="s">
        <v>2276</v>
      </c>
      <c r="Q702" s="4" t="s">
        <v>2276</v>
      </c>
      <c r="R702" s="4" t="s">
        <v>534</v>
      </c>
      <c r="S702" s="4" t="s">
        <v>2276</v>
      </c>
      <c r="T702" s="4" t="s">
        <v>2276</v>
      </c>
      <c r="U702" s="4" t="s">
        <v>534</v>
      </c>
      <c r="V702" s="4">
        <v>4</v>
      </c>
      <c r="W702" s="4" t="s">
        <v>8400</v>
      </c>
    </row>
    <row r="703" spans="1:23" ht="72.5">
      <c r="A703" s="4" t="s">
        <v>6352</v>
      </c>
      <c r="B703" s="4" t="s">
        <v>6531</v>
      </c>
      <c r="C703" s="4" t="s">
        <v>24</v>
      </c>
      <c r="D703" s="4" t="s">
        <v>1105</v>
      </c>
      <c r="E703" s="4" t="s">
        <v>1105</v>
      </c>
      <c r="F703" s="4" t="s">
        <v>28</v>
      </c>
      <c r="G703" s="4">
        <v>2014</v>
      </c>
      <c r="H703" s="4" t="s">
        <v>541</v>
      </c>
      <c r="I703" s="4" t="s">
        <v>2276</v>
      </c>
      <c r="J703" s="4" t="s">
        <v>2276</v>
      </c>
      <c r="K703" s="4" t="s">
        <v>2276</v>
      </c>
      <c r="L703" s="4" t="s">
        <v>2276</v>
      </c>
      <c r="M703" s="4" t="s">
        <v>2728</v>
      </c>
      <c r="N703" s="4" t="s">
        <v>2276</v>
      </c>
      <c r="O703" s="4" t="s">
        <v>534</v>
      </c>
      <c r="P703" s="4" t="s">
        <v>2276</v>
      </c>
      <c r="Q703" s="4">
        <v>2</v>
      </c>
      <c r="R703" s="4" t="s">
        <v>2276</v>
      </c>
      <c r="S703" s="4" t="s">
        <v>2276</v>
      </c>
      <c r="T703" s="4" t="s">
        <v>2276</v>
      </c>
      <c r="U703" s="4" t="s">
        <v>2276</v>
      </c>
      <c r="V703" s="4" t="s">
        <v>2276</v>
      </c>
      <c r="W703" s="4" t="s">
        <v>8412</v>
      </c>
    </row>
    <row r="704" spans="1:23" ht="72.5">
      <c r="A704" s="4" t="s">
        <v>6352</v>
      </c>
      <c r="B704" s="4" t="s">
        <v>6532</v>
      </c>
      <c r="C704" s="4" t="s">
        <v>24</v>
      </c>
      <c r="D704" s="4" t="s">
        <v>1105</v>
      </c>
      <c r="E704" s="4" t="s">
        <v>1105</v>
      </c>
      <c r="F704" s="4" t="s">
        <v>74</v>
      </c>
      <c r="G704" s="4">
        <v>2014</v>
      </c>
      <c r="H704" s="4" t="s">
        <v>541</v>
      </c>
      <c r="I704" s="4" t="s">
        <v>2276</v>
      </c>
      <c r="J704" s="4" t="s">
        <v>2276</v>
      </c>
      <c r="K704" s="4" t="s">
        <v>2276</v>
      </c>
      <c r="L704" s="4" t="s">
        <v>2276</v>
      </c>
      <c r="M704" s="4" t="s">
        <v>2728</v>
      </c>
      <c r="N704" s="4" t="s">
        <v>2276</v>
      </c>
      <c r="O704" s="4" t="s">
        <v>534</v>
      </c>
      <c r="P704" s="4" t="s">
        <v>2276</v>
      </c>
      <c r="Q704" s="4">
        <v>2</v>
      </c>
      <c r="R704" s="4" t="s">
        <v>2276</v>
      </c>
      <c r="S704" s="4" t="s">
        <v>2276</v>
      </c>
      <c r="T704" s="4" t="s">
        <v>2276</v>
      </c>
      <c r="U704" s="4" t="s">
        <v>2276</v>
      </c>
      <c r="V704" s="4" t="s">
        <v>2276</v>
      </c>
      <c r="W704" s="4" t="s">
        <v>8412</v>
      </c>
    </row>
    <row r="705" spans="1:23" ht="57" customHeight="1">
      <c r="A705" s="4" t="s">
        <v>6401</v>
      </c>
      <c r="B705" s="4" t="s">
        <v>6544</v>
      </c>
      <c r="C705" s="4" t="s">
        <v>24</v>
      </c>
      <c r="D705" s="4" t="s">
        <v>1242</v>
      </c>
      <c r="E705" s="4"/>
      <c r="F705" s="4" t="s">
        <v>74</v>
      </c>
      <c r="G705" s="4"/>
      <c r="H705" s="4" t="s">
        <v>2673</v>
      </c>
      <c r="I705" s="4" t="s">
        <v>2276</v>
      </c>
      <c r="J705" s="4" t="s">
        <v>2276</v>
      </c>
      <c r="K705" s="4" t="s">
        <v>2276</v>
      </c>
      <c r="L705" s="4" t="s">
        <v>2276</v>
      </c>
      <c r="M705" s="4" t="s">
        <v>537</v>
      </c>
      <c r="N705" s="4" t="s">
        <v>2276</v>
      </c>
      <c r="O705" s="4" t="s">
        <v>2276</v>
      </c>
      <c r="P705" s="4" t="s">
        <v>2276</v>
      </c>
      <c r="Q705" s="4" t="s">
        <v>2276</v>
      </c>
      <c r="R705" s="4" t="s">
        <v>537</v>
      </c>
      <c r="S705" s="4" t="s">
        <v>2276</v>
      </c>
      <c r="T705" s="4" t="s">
        <v>2276</v>
      </c>
      <c r="U705" s="4" t="s">
        <v>2276</v>
      </c>
      <c r="V705" s="4" t="s">
        <v>2276</v>
      </c>
      <c r="W705" s="4"/>
    </row>
    <row r="706" spans="1:23" ht="57" customHeight="1">
      <c r="A706" s="4" t="s">
        <v>6402</v>
      </c>
      <c r="B706" s="4" t="s">
        <v>6546</v>
      </c>
      <c r="C706" s="4" t="s">
        <v>24</v>
      </c>
      <c r="D706" s="4" t="s">
        <v>1242</v>
      </c>
      <c r="E706" s="4"/>
      <c r="F706" s="4" t="s">
        <v>74</v>
      </c>
      <c r="G706" s="4"/>
      <c r="H706" s="4" t="s">
        <v>2673</v>
      </c>
      <c r="I706" s="4" t="s">
        <v>2276</v>
      </c>
      <c r="J706" s="4" t="s">
        <v>2276</v>
      </c>
      <c r="K706" s="4" t="s">
        <v>2276</v>
      </c>
      <c r="L706" s="4" t="s">
        <v>2276</v>
      </c>
      <c r="M706" s="4" t="s">
        <v>2728</v>
      </c>
      <c r="N706" s="4" t="s">
        <v>2276</v>
      </c>
      <c r="O706" s="4" t="s">
        <v>2276</v>
      </c>
      <c r="P706" s="4" t="s">
        <v>534</v>
      </c>
      <c r="Q706" s="4" t="s">
        <v>2276</v>
      </c>
      <c r="R706" s="4" t="s">
        <v>537</v>
      </c>
      <c r="S706" s="4" t="s">
        <v>2276</v>
      </c>
      <c r="T706" s="4" t="s">
        <v>2276</v>
      </c>
      <c r="U706" s="4" t="s">
        <v>2276</v>
      </c>
      <c r="V706" s="4" t="s">
        <v>2276</v>
      </c>
      <c r="W706" s="4" t="s">
        <v>7863</v>
      </c>
    </row>
    <row r="707" spans="1:23" ht="57" customHeight="1">
      <c r="A707" s="4" t="s">
        <v>6403</v>
      </c>
      <c r="B707" s="4" t="s">
        <v>6548</v>
      </c>
      <c r="C707" s="4" t="s">
        <v>6627</v>
      </c>
      <c r="D707" s="4" t="s">
        <v>2276</v>
      </c>
      <c r="E707" s="204" t="s">
        <v>2653</v>
      </c>
      <c r="F707" s="4"/>
      <c r="G707" s="4"/>
      <c r="H707" s="58" t="s">
        <v>2276</v>
      </c>
      <c r="I707" s="4" t="s">
        <v>2276</v>
      </c>
      <c r="J707" s="4" t="s">
        <v>2276</v>
      </c>
      <c r="K707" s="4" t="s">
        <v>2276</v>
      </c>
      <c r="L707" s="4" t="s">
        <v>2276</v>
      </c>
      <c r="M707" s="4" t="s">
        <v>2671</v>
      </c>
      <c r="N707" s="4" t="s">
        <v>2276</v>
      </c>
      <c r="O707" s="4" t="s">
        <v>2276</v>
      </c>
      <c r="P707" s="4" t="s">
        <v>2276</v>
      </c>
      <c r="Q707" s="4" t="s">
        <v>2276</v>
      </c>
      <c r="R707" s="4" t="s">
        <v>534</v>
      </c>
      <c r="S707" s="4" t="s">
        <v>2276</v>
      </c>
      <c r="T707" s="4" t="s">
        <v>2276</v>
      </c>
      <c r="U707" s="4" t="s">
        <v>2276</v>
      </c>
      <c r="V707" s="4" t="s">
        <v>2276</v>
      </c>
      <c r="W707" s="4"/>
    </row>
    <row r="708" spans="1:23" ht="57" customHeight="1">
      <c r="A708" s="4" t="s">
        <v>6403</v>
      </c>
      <c r="B708" s="4" t="s">
        <v>6549</v>
      </c>
      <c r="C708" s="4" t="s">
        <v>2656</v>
      </c>
      <c r="D708" s="4" t="s">
        <v>2276</v>
      </c>
      <c r="E708" s="204" t="s">
        <v>2653</v>
      </c>
      <c r="F708" s="4"/>
      <c r="G708" s="4"/>
      <c r="H708" s="58" t="s">
        <v>2276</v>
      </c>
      <c r="I708" s="4" t="s">
        <v>2276</v>
      </c>
      <c r="J708" s="4" t="s">
        <v>2276</v>
      </c>
      <c r="K708" s="4" t="s">
        <v>2276</v>
      </c>
      <c r="L708" s="4" t="s">
        <v>2276</v>
      </c>
      <c r="M708" s="4" t="s">
        <v>2671</v>
      </c>
      <c r="N708" s="4" t="s">
        <v>2276</v>
      </c>
      <c r="O708" s="4" t="s">
        <v>2276</v>
      </c>
      <c r="P708" s="4" t="s">
        <v>2276</v>
      </c>
      <c r="Q708" s="4" t="s">
        <v>2276</v>
      </c>
      <c r="R708" s="4" t="s">
        <v>534</v>
      </c>
      <c r="S708" s="4" t="s">
        <v>2276</v>
      </c>
      <c r="T708" s="4" t="s">
        <v>2276</v>
      </c>
      <c r="U708" s="4" t="s">
        <v>2276</v>
      </c>
      <c r="V708" s="4" t="s">
        <v>2276</v>
      </c>
      <c r="W708" s="4"/>
    </row>
    <row r="709" spans="1:23" ht="57" customHeight="1">
      <c r="A709" s="4" t="s">
        <v>6403</v>
      </c>
      <c r="B709" s="4" t="s">
        <v>6634</v>
      </c>
      <c r="C709" s="4" t="s">
        <v>6627</v>
      </c>
      <c r="D709" s="4" t="s">
        <v>2658</v>
      </c>
      <c r="E709" s="4" t="s">
        <v>2649</v>
      </c>
      <c r="F709" s="4" t="s">
        <v>74</v>
      </c>
      <c r="G709" s="4"/>
      <c r="H709" s="58" t="s">
        <v>2276</v>
      </c>
      <c r="I709" s="4" t="s">
        <v>2276</v>
      </c>
      <c r="J709" s="4" t="s">
        <v>2276</v>
      </c>
      <c r="K709" s="4" t="s">
        <v>2276</v>
      </c>
      <c r="L709" s="4" t="s">
        <v>2276</v>
      </c>
      <c r="M709" s="4" t="s">
        <v>2671</v>
      </c>
      <c r="N709" s="4" t="s">
        <v>2276</v>
      </c>
      <c r="O709" s="4" t="s">
        <v>2276</v>
      </c>
      <c r="P709" s="4" t="s">
        <v>2276</v>
      </c>
      <c r="Q709" s="4" t="s">
        <v>2276</v>
      </c>
      <c r="R709" s="4" t="s">
        <v>2276</v>
      </c>
      <c r="S709" s="4" t="s">
        <v>2276</v>
      </c>
      <c r="T709" s="4" t="s">
        <v>2276</v>
      </c>
      <c r="U709" s="4" t="s">
        <v>2276</v>
      </c>
      <c r="V709" s="4" t="s">
        <v>2276</v>
      </c>
      <c r="W709" s="4" t="s">
        <v>6628</v>
      </c>
    </row>
    <row r="710" spans="1:23" ht="57" customHeight="1">
      <c r="A710" s="4" t="s">
        <v>6403</v>
      </c>
      <c r="B710" s="4" t="s">
        <v>6635</v>
      </c>
      <c r="C710" s="4" t="s">
        <v>2656</v>
      </c>
      <c r="D710" s="4" t="s">
        <v>2276</v>
      </c>
      <c r="E710" s="4" t="s">
        <v>2649</v>
      </c>
      <c r="F710" s="4" t="s">
        <v>74</v>
      </c>
      <c r="G710" s="4"/>
      <c r="H710" s="58" t="s">
        <v>2276</v>
      </c>
      <c r="I710" s="4" t="s">
        <v>2276</v>
      </c>
      <c r="J710" s="4" t="s">
        <v>2276</v>
      </c>
      <c r="K710" s="4" t="s">
        <v>2276</v>
      </c>
      <c r="L710" s="4" t="s">
        <v>2276</v>
      </c>
      <c r="M710" s="4" t="s">
        <v>2671</v>
      </c>
      <c r="N710" s="4" t="s">
        <v>2276</v>
      </c>
      <c r="O710" s="4" t="s">
        <v>2276</v>
      </c>
      <c r="P710" s="4" t="s">
        <v>2276</v>
      </c>
      <c r="Q710" s="4" t="s">
        <v>2276</v>
      </c>
      <c r="R710" s="4" t="s">
        <v>2276</v>
      </c>
      <c r="S710" s="4" t="s">
        <v>2276</v>
      </c>
      <c r="T710" s="4" t="s">
        <v>2276</v>
      </c>
      <c r="U710" s="4" t="s">
        <v>2276</v>
      </c>
      <c r="V710" s="4" t="s">
        <v>2276</v>
      </c>
      <c r="W710" s="4" t="s">
        <v>6628</v>
      </c>
    </row>
    <row r="711" spans="1:23" ht="57" customHeight="1">
      <c r="A711" s="4" t="s">
        <v>6405</v>
      </c>
      <c r="B711" s="4" t="s">
        <v>6596</v>
      </c>
      <c r="C711" s="4" t="s">
        <v>1105</v>
      </c>
      <c r="D711" s="4" t="s">
        <v>2276</v>
      </c>
      <c r="E711" s="4" t="s">
        <v>137</v>
      </c>
      <c r="F711" s="4" t="s">
        <v>74</v>
      </c>
      <c r="G711" s="4"/>
      <c r="H711" s="58" t="s">
        <v>2276</v>
      </c>
      <c r="I711" s="4" t="s">
        <v>2276</v>
      </c>
      <c r="J711" s="4" t="s">
        <v>2276</v>
      </c>
      <c r="K711" s="4" t="s">
        <v>2276</v>
      </c>
      <c r="L711" s="4" t="s">
        <v>2276</v>
      </c>
      <c r="M711" s="4" t="s">
        <v>2728</v>
      </c>
      <c r="N711" s="4" t="s">
        <v>2276</v>
      </c>
      <c r="O711" s="4" t="s">
        <v>2276</v>
      </c>
      <c r="P711" s="4" t="s">
        <v>2276</v>
      </c>
      <c r="Q711" s="4" t="s">
        <v>2276</v>
      </c>
      <c r="R711" s="4" t="s">
        <v>2276</v>
      </c>
      <c r="S711" s="4" t="s">
        <v>2276</v>
      </c>
      <c r="T711" s="4" t="s">
        <v>2276</v>
      </c>
      <c r="U711" s="4" t="s">
        <v>2276</v>
      </c>
      <c r="V711" s="4" t="s">
        <v>2276</v>
      </c>
      <c r="W711" s="4" t="s">
        <v>6629</v>
      </c>
    </row>
    <row r="712" spans="1:23" ht="57" customHeight="1">
      <c r="A712" s="4" t="s">
        <v>6406</v>
      </c>
      <c r="B712" s="4" t="s">
        <v>6636</v>
      </c>
      <c r="C712" s="4" t="s">
        <v>1105</v>
      </c>
      <c r="D712" s="4" t="s">
        <v>2276</v>
      </c>
      <c r="E712" s="4" t="s">
        <v>2649</v>
      </c>
      <c r="F712" s="4" t="s">
        <v>74</v>
      </c>
      <c r="G712" s="4"/>
      <c r="H712" s="58" t="s">
        <v>2276</v>
      </c>
      <c r="I712" s="4" t="s">
        <v>2276</v>
      </c>
      <c r="J712" s="4" t="s">
        <v>2276</v>
      </c>
      <c r="K712" s="4" t="s">
        <v>2276</v>
      </c>
      <c r="L712" s="4" t="s">
        <v>2276</v>
      </c>
      <c r="M712" s="4" t="s">
        <v>2728</v>
      </c>
      <c r="N712" s="4" t="s">
        <v>2276</v>
      </c>
      <c r="O712" s="4" t="s">
        <v>2276</v>
      </c>
      <c r="P712" s="4" t="s">
        <v>2276</v>
      </c>
      <c r="Q712" s="4" t="s">
        <v>2276</v>
      </c>
      <c r="R712" s="4" t="s">
        <v>2276</v>
      </c>
      <c r="S712" s="4" t="s">
        <v>2276</v>
      </c>
      <c r="T712" s="4" t="s">
        <v>2276</v>
      </c>
      <c r="U712" s="4" t="s">
        <v>2276</v>
      </c>
      <c r="V712" s="4" t="s">
        <v>2276</v>
      </c>
      <c r="W712" s="4" t="s">
        <v>6629</v>
      </c>
    </row>
    <row r="713" spans="1:23" ht="57" customHeight="1">
      <c r="A713" s="4" t="s">
        <v>6407</v>
      </c>
      <c r="B713" s="4" t="s">
        <v>6637</v>
      </c>
      <c r="C713" s="4" t="s">
        <v>1105</v>
      </c>
      <c r="D713" s="4" t="s">
        <v>2276</v>
      </c>
      <c r="E713" s="4" t="s">
        <v>2649</v>
      </c>
      <c r="F713" s="4" t="s">
        <v>74</v>
      </c>
      <c r="G713" s="4"/>
      <c r="H713" s="58" t="s">
        <v>2276</v>
      </c>
      <c r="I713" s="4" t="s">
        <v>2276</v>
      </c>
      <c r="J713" s="4" t="s">
        <v>2276</v>
      </c>
      <c r="K713" s="4" t="s">
        <v>2276</v>
      </c>
      <c r="L713" s="4" t="s">
        <v>2276</v>
      </c>
      <c r="M713" s="4" t="s">
        <v>2728</v>
      </c>
      <c r="N713" s="4" t="s">
        <v>2276</v>
      </c>
      <c r="O713" s="4" t="s">
        <v>2276</v>
      </c>
      <c r="P713" s="4" t="s">
        <v>2276</v>
      </c>
      <c r="Q713" s="4" t="s">
        <v>2276</v>
      </c>
      <c r="R713" s="4" t="s">
        <v>2276</v>
      </c>
      <c r="S713" s="4" t="s">
        <v>2276</v>
      </c>
      <c r="T713" s="4" t="s">
        <v>2276</v>
      </c>
      <c r="U713" s="4" t="s">
        <v>2276</v>
      </c>
      <c r="V713" s="4" t="s">
        <v>2276</v>
      </c>
      <c r="W713" s="4" t="s">
        <v>6629</v>
      </c>
    </row>
    <row r="714" spans="1:23" ht="57" customHeight="1">
      <c r="A714" s="4" t="s">
        <v>6412</v>
      </c>
      <c r="B714" s="4" t="s">
        <v>6560</v>
      </c>
      <c r="C714" s="4" t="s">
        <v>1105</v>
      </c>
      <c r="D714" s="4" t="s">
        <v>2276</v>
      </c>
      <c r="E714" s="4" t="s">
        <v>2649</v>
      </c>
      <c r="F714" s="4" t="s">
        <v>74</v>
      </c>
      <c r="G714" s="4"/>
      <c r="H714" s="4" t="s">
        <v>541</v>
      </c>
      <c r="I714" s="4" t="s">
        <v>2276</v>
      </c>
      <c r="J714" s="4" t="s">
        <v>2276</v>
      </c>
      <c r="K714" s="4" t="s">
        <v>2276</v>
      </c>
      <c r="L714" s="4" t="s">
        <v>2276</v>
      </c>
      <c r="M714" s="4" t="s">
        <v>2276</v>
      </c>
      <c r="N714" s="4" t="s">
        <v>2276</v>
      </c>
      <c r="O714" s="4" t="s">
        <v>2276</v>
      </c>
      <c r="P714" s="4" t="s">
        <v>2276</v>
      </c>
      <c r="Q714" s="4" t="s">
        <v>2276</v>
      </c>
      <c r="R714" s="4" t="s">
        <v>534</v>
      </c>
      <c r="S714" s="4" t="s">
        <v>534</v>
      </c>
      <c r="T714" s="4" t="s">
        <v>2276</v>
      </c>
      <c r="U714" s="4" t="s">
        <v>2276</v>
      </c>
      <c r="V714" s="4" t="s">
        <v>2276</v>
      </c>
      <c r="W714" s="4" t="s">
        <v>6630</v>
      </c>
    </row>
    <row r="715" spans="1:23" ht="57" customHeight="1">
      <c r="A715" s="4" t="s">
        <v>6412</v>
      </c>
      <c r="B715" s="4" t="s">
        <v>6638</v>
      </c>
      <c r="C715" s="4" t="s">
        <v>24</v>
      </c>
      <c r="D715" s="4" t="s">
        <v>2276</v>
      </c>
      <c r="E715" s="4" t="s">
        <v>2649</v>
      </c>
      <c r="F715" s="4" t="s">
        <v>74</v>
      </c>
      <c r="G715" s="4"/>
      <c r="H715" s="4" t="s">
        <v>541</v>
      </c>
      <c r="I715" s="4" t="s">
        <v>2276</v>
      </c>
      <c r="J715" s="4" t="s">
        <v>2276</v>
      </c>
      <c r="K715" s="4" t="s">
        <v>2276</v>
      </c>
      <c r="L715" s="4" t="s">
        <v>2276</v>
      </c>
      <c r="M715" s="4" t="s">
        <v>2671</v>
      </c>
      <c r="N715" s="4" t="s">
        <v>534</v>
      </c>
      <c r="O715" s="4" t="s">
        <v>2276</v>
      </c>
      <c r="P715" s="4" t="s">
        <v>2276</v>
      </c>
      <c r="Q715" s="4" t="s">
        <v>2276</v>
      </c>
      <c r="R715" s="4" t="s">
        <v>2276</v>
      </c>
      <c r="S715" s="4" t="s">
        <v>2276</v>
      </c>
      <c r="T715" s="4" t="s">
        <v>2276</v>
      </c>
      <c r="U715" s="4" t="s">
        <v>2276</v>
      </c>
      <c r="V715" s="4" t="s">
        <v>2276</v>
      </c>
      <c r="W715" s="4"/>
    </row>
    <row r="716" spans="1:23" ht="57" customHeight="1">
      <c r="A716" s="4" t="s">
        <v>6413</v>
      </c>
      <c r="B716" s="4" t="s">
        <v>6561</v>
      </c>
      <c r="C716" s="4" t="s">
        <v>1105</v>
      </c>
      <c r="D716" s="4" t="s">
        <v>2276</v>
      </c>
      <c r="E716" s="4" t="s">
        <v>2649</v>
      </c>
      <c r="F716" s="4" t="s">
        <v>74</v>
      </c>
      <c r="G716" s="4"/>
      <c r="H716" s="4" t="s">
        <v>541</v>
      </c>
      <c r="I716" s="4" t="s">
        <v>2276</v>
      </c>
      <c r="J716" s="4" t="s">
        <v>2276</v>
      </c>
      <c r="K716" s="4" t="s">
        <v>2276</v>
      </c>
      <c r="L716" s="4" t="s">
        <v>2276</v>
      </c>
      <c r="M716" s="4" t="s">
        <v>2671</v>
      </c>
      <c r="N716" s="4" t="s">
        <v>534</v>
      </c>
      <c r="O716" s="4" t="s">
        <v>2276</v>
      </c>
      <c r="P716" s="4" t="s">
        <v>2276</v>
      </c>
      <c r="Q716" s="4" t="s">
        <v>2276</v>
      </c>
      <c r="R716" s="4" t="s">
        <v>534</v>
      </c>
      <c r="S716" s="4" t="s">
        <v>534</v>
      </c>
      <c r="T716" s="4" t="s">
        <v>2276</v>
      </c>
      <c r="U716" s="4" t="s">
        <v>2276</v>
      </c>
      <c r="V716" s="4" t="s">
        <v>2276</v>
      </c>
      <c r="W716" s="4" t="s">
        <v>6631</v>
      </c>
    </row>
    <row r="717" spans="1:23" ht="57" customHeight="1">
      <c r="A717" s="4" t="s">
        <v>6413</v>
      </c>
      <c r="B717" s="4" t="s">
        <v>6599</v>
      </c>
      <c r="C717" s="4" t="s">
        <v>24</v>
      </c>
      <c r="D717" s="4" t="s">
        <v>2276</v>
      </c>
      <c r="E717" s="4" t="s">
        <v>2649</v>
      </c>
      <c r="F717" s="4" t="s">
        <v>74</v>
      </c>
      <c r="G717" s="4"/>
      <c r="H717" s="4" t="s">
        <v>541</v>
      </c>
      <c r="I717" s="4" t="s">
        <v>2276</v>
      </c>
      <c r="J717" s="4" t="s">
        <v>2276</v>
      </c>
      <c r="K717" s="4" t="s">
        <v>2276</v>
      </c>
      <c r="L717" s="4" t="s">
        <v>2276</v>
      </c>
      <c r="M717" s="4" t="s">
        <v>2671</v>
      </c>
      <c r="N717" s="4" t="s">
        <v>534</v>
      </c>
      <c r="O717" s="4" t="s">
        <v>2276</v>
      </c>
      <c r="P717" s="4" t="s">
        <v>2276</v>
      </c>
      <c r="Q717" s="4" t="s">
        <v>2276</v>
      </c>
      <c r="R717" s="4" t="s">
        <v>2276</v>
      </c>
      <c r="S717" s="4" t="s">
        <v>2276</v>
      </c>
      <c r="T717" s="4" t="s">
        <v>2276</v>
      </c>
      <c r="U717" s="4" t="s">
        <v>2276</v>
      </c>
      <c r="V717" s="4" t="s">
        <v>2276</v>
      </c>
      <c r="W717" s="4"/>
    </row>
    <row r="718" spans="1:23" ht="57" customHeight="1">
      <c r="A718" s="4" t="s">
        <v>6414</v>
      </c>
      <c r="B718" s="4" t="s">
        <v>6562</v>
      </c>
      <c r="C718" s="4" t="s">
        <v>1105</v>
      </c>
      <c r="D718" s="4" t="s">
        <v>2276</v>
      </c>
      <c r="E718" s="4" t="s">
        <v>2649</v>
      </c>
      <c r="F718" s="4" t="s">
        <v>74</v>
      </c>
      <c r="G718" s="4"/>
      <c r="H718" s="4" t="s">
        <v>541</v>
      </c>
      <c r="I718" s="4" t="s">
        <v>2276</v>
      </c>
      <c r="J718" s="4" t="s">
        <v>2276</v>
      </c>
      <c r="K718" s="4" t="s">
        <v>2276</v>
      </c>
      <c r="L718" s="4" t="s">
        <v>2276</v>
      </c>
      <c r="M718" s="4" t="s">
        <v>2276</v>
      </c>
      <c r="N718" s="4" t="s">
        <v>2276</v>
      </c>
      <c r="O718" s="4" t="s">
        <v>2276</v>
      </c>
      <c r="P718" s="4" t="s">
        <v>2276</v>
      </c>
      <c r="Q718" s="4" t="s">
        <v>2276</v>
      </c>
      <c r="R718" s="4" t="s">
        <v>534</v>
      </c>
      <c r="S718" s="4" t="s">
        <v>534</v>
      </c>
      <c r="T718" s="4" t="s">
        <v>2276</v>
      </c>
      <c r="U718" s="4" t="s">
        <v>2276</v>
      </c>
      <c r="V718" s="4" t="s">
        <v>2276</v>
      </c>
      <c r="W718" s="4" t="s">
        <v>6631</v>
      </c>
    </row>
    <row r="719" spans="1:23" ht="57" customHeight="1">
      <c r="A719" s="4" t="s">
        <v>6414</v>
      </c>
      <c r="B719" s="4" t="s">
        <v>6600</v>
      </c>
      <c r="C719" s="4" t="s">
        <v>24</v>
      </c>
      <c r="D719" s="4" t="s">
        <v>2276</v>
      </c>
      <c r="E719" s="4" t="s">
        <v>2649</v>
      </c>
      <c r="F719" s="4" t="s">
        <v>74</v>
      </c>
      <c r="G719" s="4"/>
      <c r="H719" s="4" t="s">
        <v>541</v>
      </c>
      <c r="I719" s="4" t="s">
        <v>2276</v>
      </c>
      <c r="J719" s="4" t="s">
        <v>2276</v>
      </c>
      <c r="K719" s="4" t="s">
        <v>2276</v>
      </c>
      <c r="L719" s="4" t="s">
        <v>2276</v>
      </c>
      <c r="M719" s="4" t="s">
        <v>2671</v>
      </c>
      <c r="N719" s="4" t="s">
        <v>534</v>
      </c>
      <c r="O719" s="4" t="s">
        <v>2276</v>
      </c>
      <c r="P719" s="4" t="s">
        <v>2276</v>
      </c>
      <c r="Q719" s="4" t="s">
        <v>2276</v>
      </c>
      <c r="R719" s="4" t="s">
        <v>2276</v>
      </c>
      <c r="S719" s="4" t="s">
        <v>2276</v>
      </c>
      <c r="T719" s="4" t="s">
        <v>2276</v>
      </c>
      <c r="U719" s="4" t="s">
        <v>2276</v>
      </c>
      <c r="V719" s="4" t="s">
        <v>2276</v>
      </c>
      <c r="W719" s="4"/>
    </row>
    <row r="720" spans="1:23" ht="57" customHeight="1">
      <c r="A720" s="4" t="s">
        <v>6414</v>
      </c>
      <c r="B720" s="4" t="s">
        <v>6601</v>
      </c>
      <c r="C720" s="4" t="s">
        <v>2656</v>
      </c>
      <c r="D720" s="4" t="s">
        <v>2276</v>
      </c>
      <c r="E720" s="4" t="s">
        <v>2649</v>
      </c>
      <c r="F720" s="4" t="s">
        <v>74</v>
      </c>
      <c r="G720" s="4"/>
      <c r="H720" s="4" t="s">
        <v>541</v>
      </c>
      <c r="I720" s="4" t="s">
        <v>2276</v>
      </c>
      <c r="J720" s="4" t="s">
        <v>2276</v>
      </c>
      <c r="K720" s="4" t="s">
        <v>2276</v>
      </c>
      <c r="L720" s="4" t="s">
        <v>2276</v>
      </c>
      <c r="M720" s="4" t="s">
        <v>2671</v>
      </c>
      <c r="N720" s="4" t="s">
        <v>534</v>
      </c>
      <c r="O720" s="4" t="s">
        <v>2276</v>
      </c>
      <c r="P720" s="4" t="s">
        <v>2276</v>
      </c>
      <c r="Q720" s="4" t="s">
        <v>2276</v>
      </c>
      <c r="R720" s="4" t="s">
        <v>2276</v>
      </c>
      <c r="S720" s="4" t="s">
        <v>2276</v>
      </c>
      <c r="T720" s="4" t="s">
        <v>2276</v>
      </c>
      <c r="U720" s="4" t="s">
        <v>2276</v>
      </c>
      <c r="V720" s="4" t="s">
        <v>2276</v>
      </c>
      <c r="W720" s="4"/>
    </row>
    <row r="721" spans="1:23" ht="57" customHeight="1">
      <c r="A721" s="4" t="s">
        <v>6415</v>
      </c>
      <c r="B721" s="4" t="s">
        <v>6563</v>
      </c>
      <c r="C721" s="4" t="s">
        <v>1105</v>
      </c>
      <c r="D721" s="4" t="s">
        <v>2276</v>
      </c>
      <c r="E721" s="4" t="s">
        <v>2649</v>
      </c>
      <c r="F721" s="4" t="s">
        <v>74</v>
      </c>
      <c r="G721" s="4"/>
      <c r="H721" s="4" t="s">
        <v>541</v>
      </c>
      <c r="I721" s="4" t="s">
        <v>2276</v>
      </c>
      <c r="J721" s="4" t="s">
        <v>2276</v>
      </c>
      <c r="K721" s="4" t="s">
        <v>2276</v>
      </c>
      <c r="L721" s="4" t="s">
        <v>2276</v>
      </c>
      <c r="M721" s="4" t="s">
        <v>2276</v>
      </c>
      <c r="N721" s="4" t="s">
        <v>2276</v>
      </c>
      <c r="O721" s="4" t="s">
        <v>2276</v>
      </c>
      <c r="P721" s="4" t="s">
        <v>2276</v>
      </c>
      <c r="Q721" s="4" t="s">
        <v>2276</v>
      </c>
      <c r="R721" s="4" t="s">
        <v>534</v>
      </c>
      <c r="S721" s="4" t="s">
        <v>534</v>
      </c>
      <c r="T721" s="4" t="s">
        <v>2276</v>
      </c>
      <c r="U721" s="4" t="s">
        <v>2276</v>
      </c>
      <c r="V721" s="4" t="s">
        <v>2276</v>
      </c>
      <c r="W721" s="4" t="s">
        <v>6631</v>
      </c>
    </row>
    <row r="722" spans="1:23" ht="57" customHeight="1">
      <c r="A722" s="4" t="s">
        <v>6415</v>
      </c>
      <c r="B722" s="4" t="s">
        <v>6603</v>
      </c>
      <c r="C722" s="4" t="s">
        <v>24</v>
      </c>
      <c r="D722" s="4" t="s">
        <v>2276</v>
      </c>
      <c r="E722" s="4" t="s">
        <v>2649</v>
      </c>
      <c r="F722" s="4" t="s">
        <v>74</v>
      </c>
      <c r="G722" s="4"/>
      <c r="H722" s="4" t="s">
        <v>541</v>
      </c>
      <c r="I722" s="4" t="s">
        <v>2276</v>
      </c>
      <c r="J722" s="4" t="s">
        <v>2276</v>
      </c>
      <c r="K722" s="4" t="s">
        <v>2276</v>
      </c>
      <c r="L722" s="4" t="s">
        <v>2276</v>
      </c>
      <c r="M722" s="4" t="s">
        <v>2671</v>
      </c>
      <c r="N722" s="4" t="s">
        <v>534</v>
      </c>
      <c r="O722" s="4" t="s">
        <v>2276</v>
      </c>
      <c r="P722" s="4" t="s">
        <v>2276</v>
      </c>
      <c r="Q722" s="4" t="s">
        <v>2276</v>
      </c>
      <c r="R722" s="4" t="s">
        <v>2276</v>
      </c>
      <c r="S722" s="4" t="s">
        <v>2276</v>
      </c>
      <c r="T722" s="4" t="s">
        <v>2276</v>
      </c>
      <c r="U722" s="4" t="s">
        <v>2276</v>
      </c>
      <c r="V722" s="4" t="s">
        <v>2276</v>
      </c>
      <c r="W722" s="4"/>
    </row>
    <row r="723" spans="1:23" ht="57" customHeight="1">
      <c r="A723" s="4" t="s">
        <v>6415</v>
      </c>
      <c r="B723" s="4" t="s">
        <v>6604</v>
      </c>
      <c r="C723" s="4" t="s">
        <v>2656</v>
      </c>
      <c r="D723" s="4" t="s">
        <v>2276</v>
      </c>
      <c r="E723" s="4" t="s">
        <v>2649</v>
      </c>
      <c r="F723" s="4" t="s">
        <v>74</v>
      </c>
      <c r="G723" s="4"/>
      <c r="H723" s="4" t="s">
        <v>541</v>
      </c>
      <c r="I723" s="4" t="s">
        <v>2276</v>
      </c>
      <c r="J723" s="4" t="s">
        <v>2276</v>
      </c>
      <c r="K723" s="4" t="s">
        <v>2276</v>
      </c>
      <c r="L723" s="4" t="s">
        <v>2276</v>
      </c>
      <c r="M723" s="4" t="s">
        <v>2671</v>
      </c>
      <c r="N723" s="4" t="s">
        <v>534</v>
      </c>
      <c r="O723" s="4" t="s">
        <v>2276</v>
      </c>
      <c r="P723" s="4" t="s">
        <v>2276</v>
      </c>
      <c r="Q723" s="4" t="s">
        <v>2276</v>
      </c>
      <c r="R723" s="4" t="s">
        <v>2276</v>
      </c>
      <c r="S723" s="4" t="s">
        <v>2276</v>
      </c>
      <c r="T723" s="4" t="s">
        <v>2276</v>
      </c>
      <c r="U723" s="4" t="s">
        <v>2276</v>
      </c>
      <c r="V723" s="4" t="s">
        <v>2276</v>
      </c>
      <c r="W723" s="4"/>
    </row>
    <row r="724" spans="1:23" ht="57" customHeight="1">
      <c r="A724" s="4" t="s">
        <v>6416</v>
      </c>
      <c r="B724" s="4" t="s">
        <v>6564</v>
      </c>
      <c r="C724" s="4" t="s">
        <v>1105</v>
      </c>
      <c r="D724" s="4" t="s">
        <v>2276</v>
      </c>
      <c r="E724" s="4" t="s">
        <v>2649</v>
      </c>
      <c r="F724" s="4" t="s">
        <v>74</v>
      </c>
      <c r="G724" s="4"/>
      <c r="H724" s="4" t="s">
        <v>541</v>
      </c>
      <c r="I724" s="4" t="s">
        <v>2276</v>
      </c>
      <c r="J724" s="4" t="s">
        <v>2276</v>
      </c>
      <c r="K724" s="4" t="s">
        <v>2276</v>
      </c>
      <c r="L724" s="4" t="s">
        <v>2276</v>
      </c>
      <c r="M724" s="4" t="s">
        <v>2276</v>
      </c>
      <c r="N724" s="4" t="s">
        <v>2276</v>
      </c>
      <c r="O724" s="4" t="s">
        <v>2276</v>
      </c>
      <c r="P724" s="4" t="s">
        <v>2276</v>
      </c>
      <c r="Q724" s="4" t="s">
        <v>2276</v>
      </c>
      <c r="R724" s="4" t="s">
        <v>534</v>
      </c>
      <c r="S724" s="4" t="s">
        <v>534</v>
      </c>
      <c r="T724" s="4" t="s">
        <v>2276</v>
      </c>
      <c r="U724" s="4" t="s">
        <v>2276</v>
      </c>
      <c r="V724" s="4" t="s">
        <v>2276</v>
      </c>
      <c r="W724" s="4" t="s">
        <v>6631</v>
      </c>
    </row>
    <row r="725" spans="1:23" ht="57" customHeight="1">
      <c r="A725" s="4" t="s">
        <v>6416</v>
      </c>
      <c r="B725" s="4" t="s">
        <v>6606</v>
      </c>
      <c r="C725" s="4" t="s">
        <v>24</v>
      </c>
      <c r="D725" s="4" t="s">
        <v>2276</v>
      </c>
      <c r="E725" s="4" t="s">
        <v>2649</v>
      </c>
      <c r="F725" s="4" t="s">
        <v>74</v>
      </c>
      <c r="G725" s="4"/>
      <c r="H725" s="4" t="s">
        <v>541</v>
      </c>
      <c r="I725" s="4" t="s">
        <v>2276</v>
      </c>
      <c r="J725" s="4" t="s">
        <v>2276</v>
      </c>
      <c r="K725" s="4" t="s">
        <v>2276</v>
      </c>
      <c r="L725" s="4" t="s">
        <v>2276</v>
      </c>
      <c r="M725" s="4" t="s">
        <v>2671</v>
      </c>
      <c r="N725" s="4" t="s">
        <v>534</v>
      </c>
      <c r="O725" s="4" t="s">
        <v>2276</v>
      </c>
      <c r="P725" s="4" t="s">
        <v>2276</v>
      </c>
      <c r="Q725" s="4" t="s">
        <v>2276</v>
      </c>
      <c r="R725" s="4" t="s">
        <v>2276</v>
      </c>
      <c r="S725" s="4" t="s">
        <v>2276</v>
      </c>
      <c r="T725" s="4" t="s">
        <v>2276</v>
      </c>
      <c r="U725" s="4" t="s">
        <v>2276</v>
      </c>
      <c r="V725" s="4" t="s">
        <v>2276</v>
      </c>
      <c r="W725" s="4"/>
    </row>
    <row r="726" spans="1:23" ht="57" customHeight="1">
      <c r="A726" s="4" t="s">
        <v>6417</v>
      </c>
      <c r="B726" s="4" t="s">
        <v>6565</v>
      </c>
      <c r="C726" s="4" t="s">
        <v>1105</v>
      </c>
      <c r="D726" s="4" t="s">
        <v>2276</v>
      </c>
      <c r="E726" s="4" t="s">
        <v>2649</v>
      </c>
      <c r="F726" s="4" t="s">
        <v>74</v>
      </c>
      <c r="G726" s="4"/>
      <c r="H726" s="4" t="s">
        <v>541</v>
      </c>
      <c r="I726" s="4" t="s">
        <v>2276</v>
      </c>
      <c r="J726" s="4" t="s">
        <v>2276</v>
      </c>
      <c r="K726" s="4" t="s">
        <v>2276</v>
      </c>
      <c r="L726" s="4" t="s">
        <v>2276</v>
      </c>
      <c r="M726" s="4" t="s">
        <v>2276</v>
      </c>
      <c r="N726" s="4" t="s">
        <v>2276</v>
      </c>
      <c r="O726" s="4" t="s">
        <v>2276</v>
      </c>
      <c r="P726" s="4" t="s">
        <v>2276</v>
      </c>
      <c r="Q726" s="4" t="s">
        <v>2276</v>
      </c>
      <c r="R726" s="4" t="s">
        <v>534</v>
      </c>
      <c r="S726" s="4" t="s">
        <v>534</v>
      </c>
      <c r="T726" s="4" t="s">
        <v>2276</v>
      </c>
      <c r="U726" s="4" t="s">
        <v>2276</v>
      </c>
      <c r="V726" s="4" t="s">
        <v>2276</v>
      </c>
      <c r="W726" s="4" t="s">
        <v>6631</v>
      </c>
    </row>
    <row r="727" spans="1:23" ht="57" customHeight="1">
      <c r="A727" s="4" t="s">
        <v>6417</v>
      </c>
      <c r="B727" s="4" t="s">
        <v>6607</v>
      </c>
      <c r="C727" s="4" t="s">
        <v>24</v>
      </c>
      <c r="D727" s="4" t="s">
        <v>2276</v>
      </c>
      <c r="E727" s="4" t="s">
        <v>2649</v>
      </c>
      <c r="F727" s="4" t="s">
        <v>74</v>
      </c>
      <c r="G727" s="4"/>
      <c r="H727" s="4" t="s">
        <v>541</v>
      </c>
      <c r="I727" s="4" t="s">
        <v>2276</v>
      </c>
      <c r="J727" s="4" t="s">
        <v>2276</v>
      </c>
      <c r="K727" s="4" t="s">
        <v>2276</v>
      </c>
      <c r="L727" s="4" t="s">
        <v>2276</v>
      </c>
      <c r="M727" s="4" t="s">
        <v>2671</v>
      </c>
      <c r="N727" s="4" t="s">
        <v>534</v>
      </c>
      <c r="O727" s="4" t="s">
        <v>2276</v>
      </c>
      <c r="P727" s="4" t="s">
        <v>2276</v>
      </c>
      <c r="Q727" s="4" t="s">
        <v>2276</v>
      </c>
      <c r="R727" s="4" t="s">
        <v>2276</v>
      </c>
      <c r="S727" s="4" t="s">
        <v>2276</v>
      </c>
      <c r="T727" s="4" t="s">
        <v>2276</v>
      </c>
      <c r="U727" s="4" t="s">
        <v>2276</v>
      </c>
      <c r="V727" s="4" t="s">
        <v>2276</v>
      </c>
      <c r="W727" s="4"/>
    </row>
    <row r="728" spans="1:23" ht="57" customHeight="1">
      <c r="A728" s="4" t="s">
        <v>6566</v>
      </c>
      <c r="B728" s="4" t="s">
        <v>6567</v>
      </c>
      <c r="C728" s="4" t="s">
        <v>1105</v>
      </c>
      <c r="D728" s="4" t="s">
        <v>2276</v>
      </c>
      <c r="E728" s="4" t="s">
        <v>2649</v>
      </c>
      <c r="F728" s="4" t="s">
        <v>74</v>
      </c>
      <c r="G728" s="4"/>
      <c r="H728" s="4" t="s">
        <v>541</v>
      </c>
      <c r="I728" s="4" t="s">
        <v>2276</v>
      </c>
      <c r="J728" s="4" t="s">
        <v>2276</v>
      </c>
      <c r="K728" s="4" t="s">
        <v>2276</v>
      </c>
      <c r="L728" s="4" t="s">
        <v>2276</v>
      </c>
      <c r="M728" s="4" t="s">
        <v>2276</v>
      </c>
      <c r="N728" s="4" t="s">
        <v>2276</v>
      </c>
      <c r="O728" s="4" t="s">
        <v>2276</v>
      </c>
      <c r="P728" s="4" t="s">
        <v>2276</v>
      </c>
      <c r="Q728" s="4" t="s">
        <v>2276</v>
      </c>
      <c r="R728" s="4" t="s">
        <v>534</v>
      </c>
      <c r="S728" s="4" t="s">
        <v>534</v>
      </c>
      <c r="T728" s="4" t="s">
        <v>2276</v>
      </c>
      <c r="U728" s="4" t="s">
        <v>2276</v>
      </c>
      <c r="V728" s="4" t="s">
        <v>2276</v>
      </c>
      <c r="W728" s="4" t="s">
        <v>6631</v>
      </c>
    </row>
    <row r="729" spans="1:23" ht="57" customHeight="1">
      <c r="A729" s="4" t="s">
        <v>6566</v>
      </c>
      <c r="B729" s="4" t="s">
        <v>6608</v>
      </c>
      <c r="C729" s="4" t="s">
        <v>24</v>
      </c>
      <c r="D729" s="4" t="s">
        <v>2276</v>
      </c>
      <c r="E729" s="4" t="s">
        <v>2649</v>
      </c>
      <c r="F729" s="4" t="s">
        <v>74</v>
      </c>
      <c r="G729" s="4"/>
      <c r="H729" s="4" t="s">
        <v>541</v>
      </c>
      <c r="I729" s="4" t="s">
        <v>2276</v>
      </c>
      <c r="J729" s="4" t="s">
        <v>2276</v>
      </c>
      <c r="K729" s="4" t="s">
        <v>2276</v>
      </c>
      <c r="L729" s="4" t="s">
        <v>2276</v>
      </c>
      <c r="M729" s="4" t="s">
        <v>2671</v>
      </c>
      <c r="N729" s="4" t="s">
        <v>534</v>
      </c>
      <c r="O729" s="4" t="s">
        <v>2276</v>
      </c>
      <c r="P729" s="4" t="s">
        <v>2276</v>
      </c>
      <c r="Q729" s="4" t="s">
        <v>2276</v>
      </c>
      <c r="R729" s="4" t="s">
        <v>2276</v>
      </c>
      <c r="S729" s="4" t="s">
        <v>2276</v>
      </c>
      <c r="T729" s="4" t="s">
        <v>2276</v>
      </c>
      <c r="U729" s="4" t="s">
        <v>2276</v>
      </c>
      <c r="V729" s="4" t="s">
        <v>2276</v>
      </c>
      <c r="W729" s="4"/>
    </row>
    <row r="730" spans="1:23" ht="57" customHeight="1">
      <c r="A730" s="4" t="s">
        <v>6419</v>
      </c>
      <c r="B730" s="4" t="s">
        <v>6568</v>
      </c>
      <c r="C730" s="4" t="s">
        <v>1105</v>
      </c>
      <c r="D730" s="4" t="s">
        <v>2276</v>
      </c>
      <c r="E730" s="4" t="s">
        <v>2649</v>
      </c>
      <c r="F730" s="4" t="s">
        <v>74</v>
      </c>
      <c r="G730" s="4"/>
      <c r="H730" s="4" t="s">
        <v>541</v>
      </c>
      <c r="I730" s="4" t="s">
        <v>2276</v>
      </c>
      <c r="J730" s="4" t="s">
        <v>2276</v>
      </c>
      <c r="K730" s="4" t="s">
        <v>2276</v>
      </c>
      <c r="L730" s="4" t="s">
        <v>2276</v>
      </c>
      <c r="M730" s="4" t="s">
        <v>2276</v>
      </c>
      <c r="N730" s="4" t="s">
        <v>2276</v>
      </c>
      <c r="O730" s="4" t="s">
        <v>2276</v>
      </c>
      <c r="P730" s="4" t="s">
        <v>2276</v>
      </c>
      <c r="Q730" s="4" t="s">
        <v>2276</v>
      </c>
      <c r="R730" s="4" t="s">
        <v>534</v>
      </c>
      <c r="S730" s="4" t="s">
        <v>534</v>
      </c>
      <c r="T730" s="4" t="s">
        <v>2276</v>
      </c>
      <c r="U730" s="4" t="s">
        <v>2276</v>
      </c>
      <c r="V730" s="4" t="s">
        <v>2276</v>
      </c>
      <c r="W730" s="4" t="s">
        <v>6631</v>
      </c>
    </row>
    <row r="731" spans="1:23" ht="57" customHeight="1">
      <c r="A731" s="4" t="s">
        <v>6419</v>
      </c>
      <c r="B731" s="4" t="s">
        <v>6610</v>
      </c>
      <c r="C731" s="4" t="s">
        <v>24</v>
      </c>
      <c r="D731" s="4" t="s">
        <v>2276</v>
      </c>
      <c r="E731" s="4" t="s">
        <v>2649</v>
      </c>
      <c r="F731" s="4" t="s">
        <v>74</v>
      </c>
      <c r="G731" s="4"/>
      <c r="H731" s="4" t="s">
        <v>541</v>
      </c>
      <c r="I731" s="4" t="s">
        <v>2276</v>
      </c>
      <c r="J731" s="4" t="s">
        <v>2276</v>
      </c>
      <c r="K731" s="4" t="s">
        <v>2276</v>
      </c>
      <c r="L731" s="4" t="s">
        <v>2276</v>
      </c>
      <c r="M731" s="4" t="s">
        <v>2671</v>
      </c>
      <c r="N731" s="4" t="s">
        <v>534</v>
      </c>
      <c r="O731" s="4" t="s">
        <v>2276</v>
      </c>
      <c r="P731" s="4" t="s">
        <v>2276</v>
      </c>
      <c r="Q731" s="4" t="s">
        <v>2276</v>
      </c>
      <c r="R731" s="4" t="s">
        <v>2276</v>
      </c>
      <c r="S731" s="4" t="s">
        <v>2276</v>
      </c>
      <c r="T731" s="4" t="s">
        <v>2276</v>
      </c>
      <c r="U731" s="4" t="s">
        <v>2276</v>
      </c>
      <c r="V731" s="4" t="s">
        <v>2276</v>
      </c>
      <c r="W731" s="4"/>
    </row>
    <row r="732" spans="1:23" ht="57" customHeight="1">
      <c r="A732" s="4" t="s">
        <v>6420</v>
      </c>
      <c r="B732" s="4" t="s">
        <v>6569</v>
      </c>
      <c r="C732" s="4" t="s">
        <v>1105</v>
      </c>
      <c r="D732" s="4" t="s">
        <v>2276</v>
      </c>
      <c r="E732" s="4" t="s">
        <v>2649</v>
      </c>
      <c r="F732" s="4" t="s">
        <v>74</v>
      </c>
      <c r="G732" s="4"/>
      <c r="H732" s="4" t="s">
        <v>541</v>
      </c>
      <c r="I732" s="4" t="s">
        <v>2276</v>
      </c>
      <c r="J732" s="4" t="s">
        <v>2276</v>
      </c>
      <c r="K732" s="4" t="s">
        <v>2276</v>
      </c>
      <c r="L732" s="4" t="s">
        <v>2276</v>
      </c>
      <c r="M732" s="4" t="s">
        <v>2276</v>
      </c>
      <c r="N732" s="4" t="s">
        <v>2276</v>
      </c>
      <c r="O732" s="4" t="s">
        <v>2276</v>
      </c>
      <c r="P732" s="4" t="s">
        <v>2276</v>
      </c>
      <c r="Q732" s="4" t="s">
        <v>2276</v>
      </c>
      <c r="R732" s="4" t="s">
        <v>534</v>
      </c>
      <c r="S732" s="4" t="s">
        <v>534</v>
      </c>
      <c r="T732" s="4" t="s">
        <v>2276</v>
      </c>
      <c r="U732" s="4" t="s">
        <v>2276</v>
      </c>
      <c r="V732" s="4" t="s">
        <v>2276</v>
      </c>
      <c r="W732" s="4" t="s">
        <v>6631</v>
      </c>
    </row>
    <row r="733" spans="1:23" ht="57" customHeight="1">
      <c r="A733" s="4" t="s">
        <v>6420</v>
      </c>
      <c r="B733" s="4" t="s">
        <v>6611</v>
      </c>
      <c r="C733" s="4" t="s">
        <v>24</v>
      </c>
      <c r="D733" s="4" t="s">
        <v>2276</v>
      </c>
      <c r="E733" s="4" t="s">
        <v>2649</v>
      </c>
      <c r="F733" s="4" t="s">
        <v>74</v>
      </c>
      <c r="G733" s="4"/>
      <c r="H733" s="4" t="s">
        <v>541</v>
      </c>
      <c r="I733" s="4" t="s">
        <v>2276</v>
      </c>
      <c r="J733" s="4" t="s">
        <v>2276</v>
      </c>
      <c r="K733" s="4" t="s">
        <v>2276</v>
      </c>
      <c r="L733" s="4" t="s">
        <v>2276</v>
      </c>
      <c r="M733" s="4" t="s">
        <v>2671</v>
      </c>
      <c r="N733" s="4" t="s">
        <v>534</v>
      </c>
      <c r="O733" s="4" t="s">
        <v>2276</v>
      </c>
      <c r="P733" s="4" t="s">
        <v>2276</v>
      </c>
      <c r="Q733" s="4" t="s">
        <v>2276</v>
      </c>
      <c r="R733" s="4" t="s">
        <v>2276</v>
      </c>
      <c r="S733" s="4" t="s">
        <v>2276</v>
      </c>
      <c r="T733" s="4" t="s">
        <v>2276</v>
      </c>
      <c r="U733" s="4" t="s">
        <v>2276</v>
      </c>
      <c r="V733" s="4" t="s">
        <v>2276</v>
      </c>
      <c r="W733" s="4"/>
    </row>
    <row r="734" spans="1:23" ht="57" customHeight="1">
      <c r="A734" s="4" t="s">
        <v>6421</v>
      </c>
      <c r="B734" s="4" t="s">
        <v>6570</v>
      </c>
      <c r="C734" s="4" t="s">
        <v>1105</v>
      </c>
      <c r="D734" s="4" t="s">
        <v>2276</v>
      </c>
      <c r="E734" s="4" t="s">
        <v>2649</v>
      </c>
      <c r="F734" s="4" t="s">
        <v>74</v>
      </c>
      <c r="G734" s="4"/>
      <c r="H734" s="4" t="s">
        <v>541</v>
      </c>
      <c r="I734" s="4" t="s">
        <v>2276</v>
      </c>
      <c r="J734" s="4" t="s">
        <v>2276</v>
      </c>
      <c r="K734" s="4" t="s">
        <v>2276</v>
      </c>
      <c r="L734" s="4" t="s">
        <v>2276</v>
      </c>
      <c r="M734" s="4" t="s">
        <v>2276</v>
      </c>
      <c r="N734" s="4" t="s">
        <v>2276</v>
      </c>
      <c r="O734" s="4" t="s">
        <v>2276</v>
      </c>
      <c r="P734" s="4" t="s">
        <v>2276</v>
      </c>
      <c r="Q734" s="4" t="s">
        <v>2276</v>
      </c>
      <c r="R734" s="4" t="s">
        <v>534</v>
      </c>
      <c r="S734" s="4" t="s">
        <v>534</v>
      </c>
      <c r="T734" s="4" t="s">
        <v>2276</v>
      </c>
      <c r="U734" s="4" t="s">
        <v>2276</v>
      </c>
      <c r="V734" s="4" t="s">
        <v>2276</v>
      </c>
      <c r="W734" s="4" t="s">
        <v>6631</v>
      </c>
    </row>
    <row r="735" spans="1:23" ht="57" customHeight="1">
      <c r="A735" s="4" t="s">
        <v>6421</v>
      </c>
      <c r="B735" s="4" t="s">
        <v>6612</v>
      </c>
      <c r="C735" s="4" t="s">
        <v>24</v>
      </c>
      <c r="D735" s="4" t="s">
        <v>2276</v>
      </c>
      <c r="E735" s="4" t="s">
        <v>2649</v>
      </c>
      <c r="F735" s="4" t="s">
        <v>74</v>
      </c>
      <c r="G735" s="4"/>
      <c r="H735" s="4" t="s">
        <v>541</v>
      </c>
      <c r="I735" s="4" t="s">
        <v>2276</v>
      </c>
      <c r="J735" s="4" t="s">
        <v>2276</v>
      </c>
      <c r="K735" s="4" t="s">
        <v>2276</v>
      </c>
      <c r="L735" s="4" t="s">
        <v>2276</v>
      </c>
      <c r="M735" s="4" t="s">
        <v>2671</v>
      </c>
      <c r="N735" s="4" t="s">
        <v>534</v>
      </c>
      <c r="O735" s="4" t="s">
        <v>2276</v>
      </c>
      <c r="P735" s="4" t="s">
        <v>2276</v>
      </c>
      <c r="Q735" s="4" t="s">
        <v>2276</v>
      </c>
      <c r="R735" s="4" t="s">
        <v>2276</v>
      </c>
      <c r="S735" s="4" t="s">
        <v>2276</v>
      </c>
      <c r="T735" s="4" t="s">
        <v>2276</v>
      </c>
      <c r="U735" s="4" t="s">
        <v>2276</v>
      </c>
      <c r="V735" s="4" t="s">
        <v>2276</v>
      </c>
      <c r="W735" s="4"/>
    </row>
    <row r="736" spans="1:23" ht="57" customHeight="1">
      <c r="A736" s="4" t="s">
        <v>6422</v>
      </c>
      <c r="B736" s="4" t="s">
        <v>6571</v>
      </c>
      <c r="C736" s="4" t="s">
        <v>1105</v>
      </c>
      <c r="D736" s="4" t="s">
        <v>2276</v>
      </c>
      <c r="E736" s="4" t="s">
        <v>2649</v>
      </c>
      <c r="F736" s="4" t="s">
        <v>74</v>
      </c>
      <c r="G736" s="4"/>
      <c r="H736" s="4" t="s">
        <v>541</v>
      </c>
      <c r="I736" s="4" t="s">
        <v>2276</v>
      </c>
      <c r="J736" s="4" t="s">
        <v>2276</v>
      </c>
      <c r="K736" s="4" t="s">
        <v>2276</v>
      </c>
      <c r="L736" s="4" t="s">
        <v>2276</v>
      </c>
      <c r="M736" s="4" t="s">
        <v>2276</v>
      </c>
      <c r="N736" s="4" t="s">
        <v>2276</v>
      </c>
      <c r="O736" s="4" t="s">
        <v>2276</v>
      </c>
      <c r="P736" s="4" t="s">
        <v>2276</v>
      </c>
      <c r="Q736" s="4" t="s">
        <v>2276</v>
      </c>
      <c r="R736" s="4" t="s">
        <v>534</v>
      </c>
      <c r="S736" s="4" t="s">
        <v>534</v>
      </c>
      <c r="T736" s="4" t="s">
        <v>2276</v>
      </c>
      <c r="U736" s="4" t="s">
        <v>2276</v>
      </c>
      <c r="V736" s="4" t="s">
        <v>2276</v>
      </c>
      <c r="W736" s="4" t="s">
        <v>6631</v>
      </c>
    </row>
    <row r="737" spans="1:23" ht="57" customHeight="1">
      <c r="A737" s="4" t="s">
        <v>6422</v>
      </c>
      <c r="B737" s="4" t="s">
        <v>6614</v>
      </c>
      <c r="C737" s="4" t="s">
        <v>24</v>
      </c>
      <c r="D737" s="4" t="s">
        <v>2276</v>
      </c>
      <c r="E737" s="4" t="s">
        <v>2649</v>
      </c>
      <c r="F737" s="4" t="s">
        <v>74</v>
      </c>
      <c r="G737" s="4"/>
      <c r="H737" s="4" t="s">
        <v>541</v>
      </c>
      <c r="I737" s="4" t="s">
        <v>2276</v>
      </c>
      <c r="J737" s="4" t="s">
        <v>2276</v>
      </c>
      <c r="K737" s="4" t="s">
        <v>2276</v>
      </c>
      <c r="L737" s="4" t="s">
        <v>2276</v>
      </c>
      <c r="M737" s="4" t="s">
        <v>2671</v>
      </c>
      <c r="N737" s="4" t="s">
        <v>534</v>
      </c>
      <c r="O737" s="4" t="s">
        <v>2276</v>
      </c>
      <c r="P737" s="4" t="s">
        <v>2276</v>
      </c>
      <c r="Q737" s="4" t="s">
        <v>2276</v>
      </c>
      <c r="R737" s="4" t="s">
        <v>2276</v>
      </c>
      <c r="S737" s="4" t="s">
        <v>2276</v>
      </c>
      <c r="T737" s="4" t="s">
        <v>2276</v>
      </c>
      <c r="U737" s="4" t="s">
        <v>2276</v>
      </c>
      <c r="V737" s="4" t="s">
        <v>2276</v>
      </c>
      <c r="W737" s="4"/>
    </row>
    <row r="738" spans="1:23" ht="57" customHeight="1">
      <c r="A738" s="4" t="s">
        <v>6423</v>
      </c>
      <c r="B738" s="4" t="s">
        <v>6572</v>
      </c>
      <c r="C738" s="4" t="s">
        <v>1105</v>
      </c>
      <c r="D738" s="4" t="s">
        <v>2276</v>
      </c>
      <c r="E738" s="4" t="s">
        <v>137</v>
      </c>
      <c r="F738" s="4" t="s">
        <v>74</v>
      </c>
      <c r="G738" s="4"/>
      <c r="H738" s="4" t="s">
        <v>541</v>
      </c>
      <c r="I738" s="4" t="s">
        <v>2276</v>
      </c>
      <c r="J738" s="4" t="s">
        <v>2276</v>
      </c>
      <c r="K738" s="4" t="s">
        <v>2276</v>
      </c>
      <c r="L738" s="4" t="s">
        <v>2276</v>
      </c>
      <c r="M738" s="4" t="s">
        <v>2671</v>
      </c>
      <c r="N738" s="4"/>
      <c r="O738" s="4" t="s">
        <v>534</v>
      </c>
      <c r="P738" s="4" t="s">
        <v>2276</v>
      </c>
      <c r="Q738" s="4" t="s">
        <v>2276</v>
      </c>
      <c r="R738" s="4" t="s">
        <v>2276</v>
      </c>
      <c r="S738" s="4" t="s">
        <v>2276</v>
      </c>
      <c r="T738" s="4" t="s">
        <v>2276</v>
      </c>
      <c r="U738" s="4" t="s">
        <v>2276</v>
      </c>
      <c r="V738" s="4" t="s">
        <v>2276</v>
      </c>
      <c r="W738" s="4"/>
    </row>
    <row r="739" spans="1:23" ht="57" customHeight="1">
      <c r="A739" s="4" t="s">
        <v>6424</v>
      </c>
      <c r="B739" s="4" t="s">
        <v>6616</v>
      </c>
      <c r="C739" s="4" t="s">
        <v>1105</v>
      </c>
      <c r="D739" s="4" t="s">
        <v>2276</v>
      </c>
      <c r="E739" s="4" t="s">
        <v>2649</v>
      </c>
      <c r="F739" s="4" t="s">
        <v>74</v>
      </c>
      <c r="G739" s="4"/>
      <c r="H739" s="4" t="s">
        <v>2673</v>
      </c>
      <c r="I739" s="4" t="s">
        <v>2276</v>
      </c>
      <c r="J739" s="4" t="s">
        <v>2276</v>
      </c>
      <c r="K739" s="4" t="s">
        <v>2276</v>
      </c>
      <c r="L739" s="4" t="s">
        <v>2276</v>
      </c>
      <c r="M739" s="4" t="s">
        <v>2276</v>
      </c>
      <c r="N739" s="4" t="s">
        <v>2276</v>
      </c>
      <c r="O739" s="4" t="s">
        <v>2276</v>
      </c>
      <c r="P739" s="4" t="s">
        <v>2276</v>
      </c>
      <c r="Q739" s="4" t="s">
        <v>2276</v>
      </c>
      <c r="R739" s="4" t="s">
        <v>534</v>
      </c>
      <c r="S739" s="4" t="s">
        <v>534</v>
      </c>
      <c r="T739" s="4" t="s">
        <v>2276</v>
      </c>
      <c r="U739" s="4" t="s">
        <v>2276</v>
      </c>
      <c r="V739" s="4" t="s">
        <v>2276</v>
      </c>
      <c r="W739" s="4"/>
    </row>
    <row r="740" spans="1:23" ht="57" customHeight="1">
      <c r="A740" s="4" t="s">
        <v>6425</v>
      </c>
      <c r="B740" s="4" t="s">
        <v>6574</v>
      </c>
      <c r="C740" s="4" t="s">
        <v>1105</v>
      </c>
      <c r="D740" s="4" t="s">
        <v>2276</v>
      </c>
      <c r="E740" s="4" t="s">
        <v>2649</v>
      </c>
      <c r="F740" s="4" t="s">
        <v>74</v>
      </c>
      <c r="G740" s="4"/>
      <c r="H740" s="4" t="s">
        <v>541</v>
      </c>
      <c r="I740" s="4" t="s">
        <v>2276</v>
      </c>
      <c r="J740" s="4" t="s">
        <v>2276</v>
      </c>
      <c r="K740" s="4" t="s">
        <v>2276</v>
      </c>
      <c r="L740" s="4" t="s">
        <v>2276</v>
      </c>
      <c r="M740" s="4" t="s">
        <v>2276</v>
      </c>
      <c r="N740" s="4" t="s">
        <v>2276</v>
      </c>
      <c r="O740" s="4" t="s">
        <v>2276</v>
      </c>
      <c r="P740" s="4" t="s">
        <v>2276</v>
      </c>
      <c r="Q740" s="4" t="s">
        <v>2276</v>
      </c>
      <c r="R740" s="4" t="s">
        <v>534</v>
      </c>
      <c r="S740" s="4" t="s">
        <v>534</v>
      </c>
      <c r="T740" s="4" t="s">
        <v>2276</v>
      </c>
      <c r="U740" s="4" t="s">
        <v>2276</v>
      </c>
      <c r="V740" s="4" t="s">
        <v>2276</v>
      </c>
      <c r="W740" s="4"/>
    </row>
    <row r="741" spans="1:23" ht="57" customHeight="1">
      <c r="A741" s="4" t="s">
        <v>6426</v>
      </c>
      <c r="B741" s="4" t="s">
        <v>6577</v>
      </c>
      <c r="C741" s="4" t="s">
        <v>1105</v>
      </c>
      <c r="D741" s="4" t="s">
        <v>2276</v>
      </c>
      <c r="E741" s="4" t="s">
        <v>2649</v>
      </c>
      <c r="F741" s="4" t="s">
        <v>74</v>
      </c>
      <c r="G741" s="4"/>
      <c r="H741" s="4" t="s">
        <v>541</v>
      </c>
      <c r="I741" s="4" t="s">
        <v>2276</v>
      </c>
      <c r="J741" s="4" t="s">
        <v>2276</v>
      </c>
      <c r="K741" s="4" t="s">
        <v>2276</v>
      </c>
      <c r="L741" s="4" t="s">
        <v>2276</v>
      </c>
      <c r="M741" s="4" t="s">
        <v>2671</v>
      </c>
      <c r="N741" s="4" t="s">
        <v>534</v>
      </c>
      <c r="O741" s="4" t="s">
        <v>2276</v>
      </c>
      <c r="P741" s="4" t="s">
        <v>2276</v>
      </c>
      <c r="Q741" s="4" t="s">
        <v>2276</v>
      </c>
      <c r="R741" s="4" t="s">
        <v>2276</v>
      </c>
      <c r="S741" s="4" t="s">
        <v>2276</v>
      </c>
      <c r="T741" s="4" t="s">
        <v>2276</v>
      </c>
      <c r="U741" s="4" t="s">
        <v>2276</v>
      </c>
      <c r="V741" s="4" t="s">
        <v>2276</v>
      </c>
      <c r="W741" s="4"/>
    </row>
    <row r="742" spans="1:23" ht="57" customHeight="1">
      <c r="A742" s="4" t="s">
        <v>6427</v>
      </c>
      <c r="B742" s="4" t="s">
        <v>6578</v>
      </c>
      <c r="C742" s="4" t="s">
        <v>24</v>
      </c>
      <c r="D742" s="4" t="s">
        <v>144</v>
      </c>
      <c r="E742" s="4" t="s">
        <v>2649</v>
      </c>
      <c r="F742" s="4" t="s">
        <v>74</v>
      </c>
      <c r="G742" s="4"/>
      <c r="H742" s="4" t="s">
        <v>1093</v>
      </c>
      <c r="I742" s="4" t="s">
        <v>2691</v>
      </c>
      <c r="J742" s="4" t="s">
        <v>534</v>
      </c>
      <c r="K742" s="4" t="s">
        <v>2276</v>
      </c>
      <c r="L742" s="4" t="s">
        <v>2276</v>
      </c>
      <c r="M742" s="4" t="s">
        <v>2276</v>
      </c>
      <c r="N742" s="4" t="s">
        <v>2276</v>
      </c>
      <c r="O742" s="4" t="s">
        <v>2276</v>
      </c>
      <c r="P742" s="4" t="s">
        <v>2276</v>
      </c>
      <c r="Q742" s="4" t="s">
        <v>2276</v>
      </c>
      <c r="R742" s="4" t="s">
        <v>2276</v>
      </c>
      <c r="S742" s="4" t="s">
        <v>2276</v>
      </c>
      <c r="T742" s="4" t="s">
        <v>2276</v>
      </c>
      <c r="U742" s="4" t="s">
        <v>2276</v>
      </c>
      <c r="V742" s="4" t="s">
        <v>2276</v>
      </c>
      <c r="W742" s="4" t="s">
        <v>6632</v>
      </c>
    </row>
    <row r="743" spans="1:23" ht="57" customHeight="1">
      <c r="A743" s="4" t="s">
        <v>6427</v>
      </c>
      <c r="B743" s="4" t="s">
        <v>6579</v>
      </c>
      <c r="C743" s="4" t="s">
        <v>24</v>
      </c>
      <c r="D743" s="4" t="s">
        <v>144</v>
      </c>
      <c r="E743" s="4" t="s">
        <v>2649</v>
      </c>
      <c r="F743" s="4" t="s">
        <v>74</v>
      </c>
      <c r="G743" s="4"/>
      <c r="H743" s="4" t="s">
        <v>541</v>
      </c>
      <c r="I743" s="4" t="s">
        <v>2691</v>
      </c>
      <c r="J743" s="4"/>
      <c r="K743" s="4" t="s">
        <v>534</v>
      </c>
      <c r="L743" s="4" t="s">
        <v>2276</v>
      </c>
      <c r="M743" s="4" t="s">
        <v>2276</v>
      </c>
      <c r="N743" s="4" t="s">
        <v>2276</v>
      </c>
      <c r="O743" s="4" t="s">
        <v>2276</v>
      </c>
      <c r="P743" s="4" t="s">
        <v>2276</v>
      </c>
      <c r="Q743" s="4" t="s">
        <v>2276</v>
      </c>
      <c r="R743" s="4" t="s">
        <v>2276</v>
      </c>
      <c r="S743" s="4" t="s">
        <v>2276</v>
      </c>
      <c r="T743" s="4" t="s">
        <v>2276</v>
      </c>
      <c r="U743" s="4" t="s">
        <v>2276</v>
      </c>
      <c r="V743" s="4" t="s">
        <v>2276</v>
      </c>
      <c r="W743" s="4" t="s">
        <v>6633</v>
      </c>
    </row>
    <row r="744" spans="1:23" ht="52" customHeight="1">
      <c r="A744" s="19" t="s">
        <v>7060</v>
      </c>
      <c r="B744" s="19" t="s">
        <v>7068</v>
      </c>
      <c r="C744" s="4" t="s">
        <v>24</v>
      </c>
      <c r="D744" s="204" t="s">
        <v>25</v>
      </c>
      <c r="E744" s="204" t="s">
        <v>45</v>
      </c>
      <c r="F744" s="204" t="s">
        <v>55</v>
      </c>
      <c r="G744" s="204"/>
      <c r="H744" s="4" t="s">
        <v>2673</v>
      </c>
      <c r="I744" s="204" t="s">
        <v>2276</v>
      </c>
      <c r="J744" s="204" t="s">
        <v>2276</v>
      </c>
      <c r="K744" s="204" t="s">
        <v>2276</v>
      </c>
      <c r="L744" s="204" t="s">
        <v>2276</v>
      </c>
      <c r="M744" s="204" t="s">
        <v>2728</v>
      </c>
      <c r="N744" s="204" t="s">
        <v>534</v>
      </c>
      <c r="O744" s="204" t="s">
        <v>534</v>
      </c>
      <c r="P744" s="204" t="s">
        <v>2276</v>
      </c>
      <c r="Q744" s="204">
        <v>2</v>
      </c>
      <c r="R744" s="204" t="s">
        <v>2276</v>
      </c>
      <c r="S744" s="204" t="s">
        <v>2276</v>
      </c>
      <c r="T744" s="204" t="s">
        <v>2276</v>
      </c>
      <c r="U744" s="204" t="s">
        <v>2276</v>
      </c>
      <c r="V744" s="204" t="s">
        <v>2276</v>
      </c>
      <c r="W744" s="4" t="s">
        <v>7076</v>
      </c>
    </row>
    <row r="745" spans="1:23" ht="53.5" customHeight="1">
      <c r="A745" s="19" t="s">
        <v>7060</v>
      </c>
      <c r="B745" s="19" t="s">
        <v>7069</v>
      </c>
      <c r="C745" s="4" t="s">
        <v>24</v>
      </c>
      <c r="D745" s="204" t="s">
        <v>27</v>
      </c>
      <c r="E745" s="204" t="s">
        <v>130</v>
      </c>
      <c r="F745" s="204" t="s">
        <v>29</v>
      </c>
      <c r="G745" s="204"/>
      <c r="H745" s="4" t="s">
        <v>2673</v>
      </c>
      <c r="I745" s="204" t="s">
        <v>2276</v>
      </c>
      <c r="J745" s="204" t="s">
        <v>2276</v>
      </c>
      <c r="K745" s="204" t="s">
        <v>2276</v>
      </c>
      <c r="L745" s="204" t="s">
        <v>2276</v>
      </c>
      <c r="M745" s="204" t="s">
        <v>2728</v>
      </c>
      <c r="N745" s="204" t="s">
        <v>534</v>
      </c>
      <c r="O745" s="204" t="s">
        <v>534</v>
      </c>
      <c r="P745" s="204" t="s">
        <v>2276</v>
      </c>
      <c r="Q745" s="204">
        <v>2</v>
      </c>
      <c r="R745" s="204" t="s">
        <v>2276</v>
      </c>
      <c r="S745" s="204" t="s">
        <v>2276</v>
      </c>
      <c r="T745" s="204" t="s">
        <v>2276</v>
      </c>
      <c r="U745" s="204" t="s">
        <v>2276</v>
      </c>
      <c r="V745" s="204" t="s">
        <v>2276</v>
      </c>
      <c r="W745" s="4" t="s">
        <v>7076</v>
      </c>
    </row>
    <row r="746" spans="1:23" ht="33.5" customHeight="1">
      <c r="A746" s="19" t="s">
        <v>7080</v>
      </c>
      <c r="B746" s="19" t="s">
        <v>7084</v>
      </c>
      <c r="C746" s="4" t="s">
        <v>24</v>
      </c>
      <c r="D746" s="4" t="s">
        <v>25</v>
      </c>
      <c r="E746" s="4" t="s">
        <v>45</v>
      </c>
      <c r="F746" s="4" t="s">
        <v>2662</v>
      </c>
      <c r="G746" s="204"/>
      <c r="H746" s="4" t="s">
        <v>541</v>
      </c>
      <c r="I746" s="204" t="s">
        <v>2276</v>
      </c>
      <c r="J746" s="204" t="s">
        <v>2276</v>
      </c>
      <c r="K746" s="204" t="s">
        <v>2276</v>
      </c>
      <c r="L746" s="204" t="s">
        <v>2276</v>
      </c>
      <c r="M746" s="204" t="s">
        <v>2276</v>
      </c>
      <c r="N746" s="204" t="s">
        <v>2276</v>
      </c>
      <c r="O746" s="204" t="s">
        <v>2276</v>
      </c>
      <c r="P746" s="204" t="s">
        <v>2276</v>
      </c>
      <c r="Q746" s="204" t="s">
        <v>2276</v>
      </c>
      <c r="R746" s="11" t="s">
        <v>534</v>
      </c>
      <c r="S746" s="204" t="s">
        <v>2276</v>
      </c>
      <c r="T746" s="204" t="s">
        <v>2276</v>
      </c>
      <c r="U746" s="204" t="s">
        <v>2276</v>
      </c>
      <c r="V746" s="204">
        <v>4</v>
      </c>
      <c r="W746" s="19" t="s">
        <v>7092</v>
      </c>
    </row>
    <row r="747" spans="1:23" ht="46" customHeight="1">
      <c r="A747" s="4" t="s">
        <v>7080</v>
      </c>
      <c r="B747" s="19" t="s">
        <v>7085</v>
      </c>
      <c r="C747" s="4" t="s">
        <v>24</v>
      </c>
      <c r="D747" s="4" t="s">
        <v>1242</v>
      </c>
      <c r="E747" s="4" t="s">
        <v>3209</v>
      </c>
      <c r="F747" s="4" t="s">
        <v>2662</v>
      </c>
      <c r="G747" s="204"/>
      <c r="H747" s="4" t="s">
        <v>541</v>
      </c>
      <c r="I747" s="204" t="s">
        <v>2691</v>
      </c>
      <c r="J747" s="204" t="s">
        <v>534</v>
      </c>
      <c r="K747" s="204" t="s">
        <v>534</v>
      </c>
      <c r="L747" s="204" t="s">
        <v>2276</v>
      </c>
      <c r="M747" s="204" t="s">
        <v>2728</v>
      </c>
      <c r="N747" s="204" t="s">
        <v>2276</v>
      </c>
      <c r="O747" s="204" t="s">
        <v>2276</v>
      </c>
      <c r="P747" s="204" t="s">
        <v>2276</v>
      </c>
      <c r="Q747" s="204" t="s">
        <v>2276</v>
      </c>
      <c r="R747" s="204" t="s">
        <v>537</v>
      </c>
      <c r="S747" s="204" t="s">
        <v>537</v>
      </c>
      <c r="T747" s="204" t="s">
        <v>537</v>
      </c>
      <c r="U747" s="204" t="s">
        <v>537</v>
      </c>
      <c r="V747" s="204" t="s">
        <v>2276</v>
      </c>
      <c r="W747" s="4" t="s">
        <v>7093</v>
      </c>
    </row>
    <row r="748" spans="1:23" ht="47.5" customHeight="1">
      <c r="A748" s="4" t="s">
        <v>7080</v>
      </c>
      <c r="B748" s="19" t="s">
        <v>7086</v>
      </c>
      <c r="C748" s="4" t="s">
        <v>24</v>
      </c>
      <c r="D748" s="4" t="s">
        <v>144</v>
      </c>
      <c r="E748" s="4" t="s">
        <v>3209</v>
      </c>
      <c r="F748" s="4" t="s">
        <v>2662</v>
      </c>
      <c r="G748" s="204"/>
      <c r="H748" s="4" t="s">
        <v>541</v>
      </c>
      <c r="I748" s="204" t="s">
        <v>2691</v>
      </c>
      <c r="J748" s="204" t="s">
        <v>534</v>
      </c>
      <c r="K748" s="204" t="s">
        <v>534</v>
      </c>
      <c r="L748" s="204" t="s">
        <v>2276</v>
      </c>
      <c r="M748" s="204" t="s">
        <v>2728</v>
      </c>
      <c r="N748" s="204" t="s">
        <v>2276</v>
      </c>
      <c r="O748" s="204" t="s">
        <v>2276</v>
      </c>
      <c r="P748" s="204" t="s">
        <v>2276</v>
      </c>
      <c r="Q748" s="204" t="s">
        <v>2276</v>
      </c>
      <c r="R748" s="204" t="s">
        <v>537</v>
      </c>
      <c r="S748" s="204" t="s">
        <v>537</v>
      </c>
      <c r="T748" s="204" t="s">
        <v>537</v>
      </c>
      <c r="U748" s="204" t="s">
        <v>537</v>
      </c>
      <c r="V748" s="204" t="s">
        <v>2276</v>
      </c>
      <c r="W748" s="4" t="s">
        <v>7093</v>
      </c>
    </row>
    <row r="749" spans="1:23" ht="58">
      <c r="A749" s="19" t="s">
        <v>7140</v>
      </c>
      <c r="B749" s="19" t="s">
        <v>7215</v>
      </c>
      <c r="C749" s="204" t="s">
        <v>1105</v>
      </c>
      <c r="D749" s="204" t="s">
        <v>1105</v>
      </c>
      <c r="E749" s="204" t="s">
        <v>45</v>
      </c>
      <c r="F749" s="4" t="s">
        <v>2662</v>
      </c>
      <c r="G749" s="204"/>
      <c r="H749" s="4" t="s">
        <v>4077</v>
      </c>
      <c r="I749" s="204" t="s">
        <v>2690</v>
      </c>
      <c r="J749" s="204" t="s">
        <v>534</v>
      </c>
      <c r="K749" s="204" t="s">
        <v>2276</v>
      </c>
      <c r="L749" s="204" t="s">
        <v>2276</v>
      </c>
      <c r="M749" s="204" t="s">
        <v>2276</v>
      </c>
      <c r="N749" s="204" t="s">
        <v>2276</v>
      </c>
      <c r="O749" s="204" t="s">
        <v>2276</v>
      </c>
      <c r="P749" s="204" t="s">
        <v>2276</v>
      </c>
      <c r="Q749" s="204" t="s">
        <v>2276</v>
      </c>
      <c r="R749" s="204" t="s">
        <v>2276</v>
      </c>
      <c r="S749" s="204" t="s">
        <v>2276</v>
      </c>
      <c r="T749" s="204" t="s">
        <v>2276</v>
      </c>
      <c r="U749" s="204" t="s">
        <v>2276</v>
      </c>
      <c r="V749" s="204" t="s">
        <v>2276</v>
      </c>
      <c r="W749" s="4" t="s">
        <v>7219</v>
      </c>
    </row>
    <row r="750" spans="1:23" ht="58">
      <c r="A750" s="19" t="s">
        <v>7141</v>
      </c>
      <c r="B750" s="19" t="s">
        <v>7216</v>
      </c>
      <c r="C750" s="204" t="s">
        <v>1105</v>
      </c>
      <c r="D750" s="204" t="s">
        <v>1105</v>
      </c>
      <c r="E750" s="204" t="s">
        <v>45</v>
      </c>
      <c r="F750" s="4" t="s">
        <v>2662</v>
      </c>
      <c r="G750" s="204"/>
      <c r="H750" s="4" t="s">
        <v>4077</v>
      </c>
      <c r="I750" s="204" t="s">
        <v>2690</v>
      </c>
      <c r="J750" s="204" t="s">
        <v>534</v>
      </c>
      <c r="K750" s="204" t="s">
        <v>2276</v>
      </c>
      <c r="L750" s="204" t="s">
        <v>2276</v>
      </c>
      <c r="M750" s="204" t="s">
        <v>2276</v>
      </c>
      <c r="N750" s="204" t="s">
        <v>2276</v>
      </c>
      <c r="O750" s="204" t="s">
        <v>2276</v>
      </c>
      <c r="P750" s="204" t="s">
        <v>2276</v>
      </c>
      <c r="Q750" s="204" t="s">
        <v>2276</v>
      </c>
      <c r="R750" s="204" t="s">
        <v>2276</v>
      </c>
      <c r="S750" s="204" t="s">
        <v>2276</v>
      </c>
      <c r="T750" s="204" t="s">
        <v>2276</v>
      </c>
      <c r="U750" s="204" t="s">
        <v>2276</v>
      </c>
      <c r="V750" s="204" t="s">
        <v>2276</v>
      </c>
      <c r="W750" s="4" t="s">
        <v>7219</v>
      </c>
    </row>
    <row r="751" spans="1:23" ht="58">
      <c r="A751" s="19" t="s">
        <v>7142</v>
      </c>
      <c r="B751" s="19" t="s">
        <v>7217</v>
      </c>
      <c r="C751" s="204" t="s">
        <v>1105</v>
      </c>
      <c r="D751" s="204" t="s">
        <v>1105</v>
      </c>
      <c r="E751" s="204" t="s">
        <v>45</v>
      </c>
      <c r="F751" s="4" t="s">
        <v>2662</v>
      </c>
      <c r="G751" s="204"/>
      <c r="H751" s="4" t="s">
        <v>4077</v>
      </c>
      <c r="I751" s="204" t="s">
        <v>2690</v>
      </c>
      <c r="J751" s="204" t="s">
        <v>534</v>
      </c>
      <c r="K751" s="204" t="s">
        <v>2276</v>
      </c>
      <c r="L751" s="204" t="s">
        <v>2276</v>
      </c>
      <c r="M751" s="204" t="s">
        <v>2276</v>
      </c>
      <c r="N751" s="204" t="s">
        <v>2276</v>
      </c>
      <c r="O751" s="204" t="s">
        <v>2276</v>
      </c>
      <c r="P751" s="204" t="s">
        <v>2276</v>
      </c>
      <c r="Q751" s="204" t="s">
        <v>2276</v>
      </c>
      <c r="R751" s="204" t="s">
        <v>2276</v>
      </c>
      <c r="S751" s="204" t="s">
        <v>2276</v>
      </c>
      <c r="T751" s="204" t="s">
        <v>2276</v>
      </c>
      <c r="U751" s="204" t="s">
        <v>2276</v>
      </c>
      <c r="V751" s="204" t="s">
        <v>2276</v>
      </c>
      <c r="W751" s="4" t="s">
        <v>7219</v>
      </c>
    </row>
    <row r="752" spans="1:23" ht="58">
      <c r="A752" s="19" t="s">
        <v>7143</v>
      </c>
      <c r="B752" s="19" t="s">
        <v>7218</v>
      </c>
      <c r="C752" s="204" t="s">
        <v>1105</v>
      </c>
      <c r="D752" s="204" t="s">
        <v>1105</v>
      </c>
      <c r="E752" s="204" t="s">
        <v>45</v>
      </c>
      <c r="F752" s="4" t="s">
        <v>2662</v>
      </c>
      <c r="G752" s="204"/>
      <c r="H752" s="4" t="s">
        <v>4077</v>
      </c>
      <c r="I752" s="204" t="s">
        <v>2690</v>
      </c>
      <c r="J752" s="204" t="s">
        <v>534</v>
      </c>
      <c r="K752" s="204" t="s">
        <v>2276</v>
      </c>
      <c r="L752" s="204" t="s">
        <v>2276</v>
      </c>
      <c r="M752" s="204" t="s">
        <v>2276</v>
      </c>
      <c r="N752" s="204" t="s">
        <v>2276</v>
      </c>
      <c r="O752" s="204" t="s">
        <v>2276</v>
      </c>
      <c r="P752" s="204" t="s">
        <v>2276</v>
      </c>
      <c r="Q752" s="204" t="s">
        <v>2276</v>
      </c>
      <c r="R752" s="204" t="s">
        <v>2276</v>
      </c>
      <c r="S752" s="204" t="s">
        <v>2276</v>
      </c>
      <c r="T752" s="204" t="s">
        <v>2276</v>
      </c>
      <c r="U752" s="204" t="s">
        <v>2276</v>
      </c>
      <c r="V752" s="204" t="s">
        <v>2276</v>
      </c>
      <c r="W752" s="4" t="s">
        <v>7219</v>
      </c>
    </row>
    <row r="753" spans="1:23" ht="51" customHeight="1">
      <c r="A753" s="19" t="s">
        <v>7169</v>
      </c>
      <c r="B753" s="19" t="s">
        <v>7221</v>
      </c>
      <c r="C753" s="204" t="s">
        <v>24</v>
      </c>
      <c r="D753" s="4" t="s">
        <v>2804</v>
      </c>
      <c r="E753" s="204" t="s">
        <v>45</v>
      </c>
      <c r="F753" s="4" t="s">
        <v>2662</v>
      </c>
      <c r="G753" s="204"/>
      <c r="H753" s="4" t="s">
        <v>4077</v>
      </c>
      <c r="I753" s="204" t="s">
        <v>2691</v>
      </c>
      <c r="J753" s="204" t="s">
        <v>534</v>
      </c>
      <c r="K753" s="204" t="s">
        <v>2276</v>
      </c>
      <c r="L753" s="204" t="s">
        <v>2276</v>
      </c>
      <c r="M753" s="204" t="s">
        <v>2276</v>
      </c>
      <c r="N753" s="204" t="s">
        <v>2276</v>
      </c>
      <c r="O753" s="204" t="s">
        <v>2276</v>
      </c>
      <c r="P753" s="204" t="s">
        <v>2276</v>
      </c>
      <c r="Q753" s="204" t="s">
        <v>2276</v>
      </c>
      <c r="R753" s="204" t="s">
        <v>2276</v>
      </c>
      <c r="S753" s="204" t="s">
        <v>2276</v>
      </c>
      <c r="T753" s="204" t="s">
        <v>2276</v>
      </c>
      <c r="U753" s="204" t="s">
        <v>2276</v>
      </c>
      <c r="V753" s="204" t="s">
        <v>2276</v>
      </c>
      <c r="W753" s="4" t="s">
        <v>7227</v>
      </c>
    </row>
    <row r="754" spans="1:23" ht="53.5" customHeight="1">
      <c r="A754" s="19" t="s">
        <v>7170</v>
      </c>
      <c r="B754" s="19" t="s">
        <v>7224</v>
      </c>
      <c r="C754" s="204" t="s">
        <v>24</v>
      </c>
      <c r="D754" s="4" t="s">
        <v>2804</v>
      </c>
      <c r="E754" s="204" t="s">
        <v>45</v>
      </c>
      <c r="F754" s="4" t="s">
        <v>2662</v>
      </c>
      <c r="G754" s="204"/>
      <c r="H754" s="4" t="s">
        <v>4077</v>
      </c>
      <c r="I754" s="204" t="s">
        <v>2691</v>
      </c>
      <c r="J754" s="204" t="s">
        <v>534</v>
      </c>
      <c r="K754" s="204" t="s">
        <v>2276</v>
      </c>
      <c r="L754" s="204" t="s">
        <v>2276</v>
      </c>
      <c r="M754" s="204" t="s">
        <v>2276</v>
      </c>
      <c r="N754" s="204" t="s">
        <v>2276</v>
      </c>
      <c r="O754" s="204" t="s">
        <v>2276</v>
      </c>
      <c r="P754" s="204" t="s">
        <v>2276</v>
      </c>
      <c r="Q754" s="204" t="s">
        <v>2276</v>
      </c>
      <c r="R754" s="204" t="s">
        <v>2276</v>
      </c>
      <c r="S754" s="204" t="s">
        <v>2276</v>
      </c>
      <c r="T754" s="204" t="s">
        <v>2276</v>
      </c>
      <c r="U754" s="204" t="s">
        <v>2276</v>
      </c>
      <c r="V754" s="204" t="s">
        <v>2276</v>
      </c>
      <c r="W754" s="4" t="s">
        <v>7227</v>
      </c>
    </row>
    <row r="755" spans="1:23" ht="58" customHeight="1">
      <c r="A755" s="19" t="s">
        <v>7171</v>
      </c>
      <c r="B755" s="19" t="s">
        <v>7226</v>
      </c>
      <c r="C755" s="204" t="s">
        <v>24</v>
      </c>
      <c r="D755" s="4" t="s">
        <v>2804</v>
      </c>
      <c r="E755" s="204" t="s">
        <v>45</v>
      </c>
      <c r="F755" s="4" t="s">
        <v>2662</v>
      </c>
      <c r="G755" s="204"/>
      <c r="H755" s="4" t="s">
        <v>4077</v>
      </c>
      <c r="I755" s="204" t="s">
        <v>2691</v>
      </c>
      <c r="J755" s="204" t="s">
        <v>534</v>
      </c>
      <c r="K755" s="204" t="s">
        <v>2276</v>
      </c>
      <c r="L755" s="204" t="s">
        <v>2276</v>
      </c>
      <c r="M755" s="204" t="s">
        <v>2276</v>
      </c>
      <c r="N755" s="204" t="s">
        <v>2276</v>
      </c>
      <c r="O755" s="204" t="s">
        <v>2276</v>
      </c>
      <c r="P755" s="204" t="s">
        <v>2276</v>
      </c>
      <c r="Q755" s="204" t="s">
        <v>2276</v>
      </c>
      <c r="R755" s="204" t="s">
        <v>2276</v>
      </c>
      <c r="S755" s="204" t="s">
        <v>2276</v>
      </c>
      <c r="T755" s="204" t="s">
        <v>2276</v>
      </c>
      <c r="U755" s="204" t="s">
        <v>2276</v>
      </c>
      <c r="V755" s="204" t="s">
        <v>2276</v>
      </c>
      <c r="W755" s="4" t="s">
        <v>7227</v>
      </c>
    </row>
    <row r="756" spans="1:23" ht="29.5" customHeight="1">
      <c r="A756" s="19" t="s">
        <v>7235</v>
      </c>
      <c r="B756" s="19" t="s">
        <v>7242</v>
      </c>
      <c r="C756" s="204" t="s">
        <v>24</v>
      </c>
      <c r="D756" s="204" t="s">
        <v>1242</v>
      </c>
      <c r="E756" s="204" t="s">
        <v>2649</v>
      </c>
      <c r="F756" s="4" t="s">
        <v>2662</v>
      </c>
      <c r="G756" s="204"/>
      <c r="H756" s="4" t="s">
        <v>541</v>
      </c>
      <c r="I756" s="204" t="s">
        <v>2276</v>
      </c>
      <c r="J756" s="204" t="s">
        <v>2276</v>
      </c>
      <c r="K756" s="204" t="s">
        <v>2276</v>
      </c>
      <c r="L756" s="204" t="s">
        <v>2276</v>
      </c>
      <c r="M756" s="204" t="s">
        <v>2276</v>
      </c>
      <c r="N756" s="204" t="s">
        <v>2276</v>
      </c>
      <c r="O756" s="204" t="s">
        <v>2276</v>
      </c>
      <c r="P756" s="204" t="s">
        <v>2276</v>
      </c>
      <c r="Q756" s="204" t="s">
        <v>2276</v>
      </c>
      <c r="R756" s="204" t="s">
        <v>534</v>
      </c>
      <c r="S756" s="204" t="s">
        <v>2276</v>
      </c>
      <c r="T756" s="204" t="s">
        <v>2276</v>
      </c>
      <c r="U756" s="204" t="s">
        <v>2276</v>
      </c>
      <c r="V756" s="204">
        <v>4</v>
      </c>
      <c r="W756" s="19" t="s">
        <v>7245</v>
      </c>
    </row>
    <row r="757" spans="1:23" ht="33.5" customHeight="1">
      <c r="A757" s="19" t="s">
        <v>7235</v>
      </c>
      <c r="B757" s="19" t="s">
        <v>7243</v>
      </c>
      <c r="C757" s="204" t="s">
        <v>24</v>
      </c>
      <c r="D757" s="204" t="s">
        <v>1242</v>
      </c>
      <c r="E757" s="204" t="s">
        <v>137</v>
      </c>
      <c r="F757" s="4" t="s">
        <v>2662</v>
      </c>
      <c r="G757" s="204"/>
      <c r="H757" s="4" t="s">
        <v>541</v>
      </c>
      <c r="I757" s="204" t="s">
        <v>2276</v>
      </c>
      <c r="J757" s="204" t="s">
        <v>2276</v>
      </c>
      <c r="K757" s="204" t="s">
        <v>2276</v>
      </c>
      <c r="L757" s="204" t="s">
        <v>2276</v>
      </c>
      <c r="M757" s="204" t="s">
        <v>2276</v>
      </c>
      <c r="N757" s="204" t="s">
        <v>2276</v>
      </c>
      <c r="O757" s="204" t="s">
        <v>2276</v>
      </c>
      <c r="P757" s="204" t="s">
        <v>2276</v>
      </c>
      <c r="Q757" s="204" t="s">
        <v>2276</v>
      </c>
      <c r="R757" s="204" t="s">
        <v>534</v>
      </c>
      <c r="S757" s="204" t="s">
        <v>2276</v>
      </c>
      <c r="T757" s="204" t="s">
        <v>2276</v>
      </c>
      <c r="U757" s="204" t="s">
        <v>2276</v>
      </c>
      <c r="V757" s="204">
        <v>4</v>
      </c>
      <c r="W757" s="19" t="s">
        <v>7245</v>
      </c>
    </row>
    <row r="758" spans="1:23" ht="34" customHeight="1">
      <c r="A758" s="19" t="s">
        <v>7237</v>
      </c>
      <c r="B758" s="19" t="s">
        <v>7251</v>
      </c>
      <c r="C758" s="204" t="s">
        <v>24</v>
      </c>
      <c r="D758" s="4" t="s">
        <v>2804</v>
      </c>
      <c r="E758" s="204" t="s">
        <v>45</v>
      </c>
      <c r="F758" s="4" t="s">
        <v>2662</v>
      </c>
      <c r="G758" s="204">
        <v>1990</v>
      </c>
      <c r="H758" s="4" t="s">
        <v>541</v>
      </c>
      <c r="I758" s="204" t="s">
        <v>2276</v>
      </c>
      <c r="J758" s="204" t="s">
        <v>2276</v>
      </c>
      <c r="K758" s="204" t="s">
        <v>2276</v>
      </c>
      <c r="L758" s="204" t="s">
        <v>2276</v>
      </c>
      <c r="M758" s="204" t="s">
        <v>2671</v>
      </c>
      <c r="N758" s="204" t="s">
        <v>2276</v>
      </c>
      <c r="O758" s="204" t="s">
        <v>534</v>
      </c>
      <c r="P758" s="204" t="s">
        <v>2276</v>
      </c>
      <c r="Q758" s="204">
        <v>2</v>
      </c>
      <c r="R758" s="204" t="s">
        <v>2276</v>
      </c>
      <c r="S758" s="204" t="s">
        <v>2276</v>
      </c>
      <c r="T758" s="204" t="s">
        <v>2276</v>
      </c>
      <c r="U758" s="204" t="s">
        <v>2276</v>
      </c>
      <c r="V758" s="204" t="s">
        <v>2276</v>
      </c>
      <c r="W758" s="4" t="s">
        <v>7258</v>
      </c>
    </row>
    <row r="759" spans="1:23" ht="32" customHeight="1">
      <c r="A759" s="19" t="s">
        <v>7237</v>
      </c>
      <c r="B759" s="19" t="s">
        <v>7253</v>
      </c>
      <c r="C759" s="204" t="s">
        <v>24</v>
      </c>
      <c r="D759" s="4" t="s">
        <v>2804</v>
      </c>
      <c r="E759" s="204" t="s">
        <v>45</v>
      </c>
      <c r="F759" s="4" t="s">
        <v>2662</v>
      </c>
      <c r="G759" s="204">
        <v>2000</v>
      </c>
      <c r="H759" s="4" t="s">
        <v>541</v>
      </c>
      <c r="I759" s="204" t="s">
        <v>2276</v>
      </c>
      <c r="J759" s="204" t="s">
        <v>2276</v>
      </c>
      <c r="K759" s="204" t="s">
        <v>2276</v>
      </c>
      <c r="L759" s="204" t="s">
        <v>2276</v>
      </c>
      <c r="M759" s="204" t="s">
        <v>2671</v>
      </c>
      <c r="N759" s="204" t="s">
        <v>2276</v>
      </c>
      <c r="O759" s="204" t="s">
        <v>534</v>
      </c>
      <c r="P759" s="204" t="s">
        <v>2276</v>
      </c>
      <c r="Q759" s="204">
        <v>4</v>
      </c>
      <c r="R759" s="204" t="s">
        <v>2276</v>
      </c>
      <c r="S759" s="204" t="s">
        <v>2276</v>
      </c>
      <c r="T759" s="204" t="s">
        <v>2276</v>
      </c>
      <c r="U759" s="204" t="s">
        <v>2276</v>
      </c>
      <c r="V759" s="204" t="s">
        <v>2276</v>
      </c>
      <c r="W759" s="19" t="s">
        <v>7257</v>
      </c>
    </row>
    <row r="760" spans="1:23" ht="35.5" customHeight="1">
      <c r="A760" s="19" t="s">
        <v>7238</v>
      </c>
      <c r="B760" s="19" t="s">
        <v>7252</v>
      </c>
      <c r="C760" s="204" t="s">
        <v>24</v>
      </c>
      <c r="D760" s="4" t="s">
        <v>2804</v>
      </c>
      <c r="E760" s="204" t="s">
        <v>45</v>
      </c>
      <c r="F760" s="4" t="s">
        <v>2662</v>
      </c>
      <c r="G760" s="204"/>
      <c r="H760" s="4" t="s">
        <v>541</v>
      </c>
      <c r="I760" s="204" t="s">
        <v>2276</v>
      </c>
      <c r="J760" s="204" t="s">
        <v>2276</v>
      </c>
      <c r="K760" s="204" t="s">
        <v>2276</v>
      </c>
      <c r="L760" s="204" t="s">
        <v>2276</v>
      </c>
      <c r="M760" s="204" t="s">
        <v>2276</v>
      </c>
      <c r="N760" s="204" t="s">
        <v>2276</v>
      </c>
      <c r="O760" s="204" t="s">
        <v>2276</v>
      </c>
      <c r="P760" s="204" t="s">
        <v>2276</v>
      </c>
      <c r="Q760" s="204" t="s">
        <v>2276</v>
      </c>
      <c r="R760" s="204" t="s">
        <v>534</v>
      </c>
      <c r="S760" s="204" t="s">
        <v>2276</v>
      </c>
      <c r="T760" s="204" t="s">
        <v>2276</v>
      </c>
      <c r="U760" s="204" t="s">
        <v>2276</v>
      </c>
      <c r="V760" s="204">
        <v>2</v>
      </c>
      <c r="W760" s="19" t="s">
        <v>7261</v>
      </c>
    </row>
    <row r="761" spans="1:23" ht="35.5" customHeight="1">
      <c r="A761" s="19" t="s">
        <v>7238</v>
      </c>
      <c r="B761" s="19" t="s">
        <v>7259</v>
      </c>
      <c r="C761" s="204" t="s">
        <v>24</v>
      </c>
      <c r="D761" s="4" t="s">
        <v>2804</v>
      </c>
      <c r="E761" s="204" t="s">
        <v>45</v>
      </c>
      <c r="F761" s="4" t="s">
        <v>2662</v>
      </c>
      <c r="G761" s="204"/>
      <c r="H761" s="4" t="s">
        <v>541</v>
      </c>
      <c r="I761" s="204" t="s">
        <v>2276</v>
      </c>
      <c r="J761" s="204" t="s">
        <v>2276</v>
      </c>
      <c r="K761" s="204" t="s">
        <v>2276</v>
      </c>
      <c r="L761" s="204" t="s">
        <v>2276</v>
      </c>
      <c r="M761" s="204" t="s">
        <v>2669</v>
      </c>
      <c r="N761" s="204" t="s">
        <v>2276</v>
      </c>
      <c r="O761" s="204" t="s">
        <v>2276</v>
      </c>
      <c r="P761" s="204" t="s">
        <v>2276</v>
      </c>
      <c r="Q761" s="204">
        <v>4</v>
      </c>
      <c r="R761" s="204" t="s">
        <v>2276</v>
      </c>
      <c r="S761" s="204" t="s">
        <v>2276</v>
      </c>
      <c r="T761" s="204" t="s">
        <v>2276</v>
      </c>
      <c r="U761" s="204" t="s">
        <v>2276</v>
      </c>
      <c r="V761" s="204" t="s">
        <v>2276</v>
      </c>
      <c r="W761" s="19" t="s">
        <v>7262</v>
      </c>
    </row>
    <row r="762" spans="1:23" ht="46.5" customHeight="1">
      <c r="A762" s="19" t="s">
        <v>7594</v>
      </c>
      <c r="B762" s="19" t="s">
        <v>7595</v>
      </c>
      <c r="C762" s="4" t="s">
        <v>24</v>
      </c>
      <c r="D762" s="4" t="s">
        <v>1242</v>
      </c>
      <c r="E762" s="4" t="s">
        <v>3209</v>
      </c>
      <c r="F762" s="4" t="s">
        <v>2662</v>
      </c>
      <c r="G762" s="204"/>
      <c r="H762" s="4" t="s">
        <v>2673</v>
      </c>
      <c r="I762" s="204" t="s">
        <v>2276</v>
      </c>
      <c r="J762" s="204" t="s">
        <v>2276</v>
      </c>
      <c r="K762" s="204" t="s">
        <v>2276</v>
      </c>
      <c r="L762" s="204" t="s">
        <v>2276</v>
      </c>
      <c r="M762" s="204" t="s">
        <v>2728</v>
      </c>
      <c r="N762" s="204" t="s">
        <v>2276</v>
      </c>
      <c r="O762" s="204" t="s">
        <v>2276</v>
      </c>
      <c r="P762" s="204" t="s">
        <v>2276</v>
      </c>
      <c r="Q762" s="204" t="s">
        <v>2276</v>
      </c>
      <c r="R762" s="204" t="s">
        <v>537</v>
      </c>
      <c r="S762" s="204" t="s">
        <v>537</v>
      </c>
      <c r="T762" s="204" t="s">
        <v>537</v>
      </c>
      <c r="U762" s="204" t="s">
        <v>537</v>
      </c>
      <c r="V762" s="204" t="s">
        <v>2276</v>
      </c>
      <c r="W762" s="4" t="s">
        <v>7639</v>
      </c>
    </row>
    <row r="763" spans="1:23" ht="46.5" customHeight="1">
      <c r="A763" s="19" t="s">
        <v>7616</v>
      </c>
      <c r="B763" s="19" t="s">
        <v>7617</v>
      </c>
      <c r="C763" s="4" t="s">
        <v>24</v>
      </c>
      <c r="D763" s="4" t="s">
        <v>1242</v>
      </c>
      <c r="E763" s="4" t="s">
        <v>3209</v>
      </c>
      <c r="F763" s="4" t="s">
        <v>2662</v>
      </c>
      <c r="G763" s="204"/>
      <c r="H763" s="4" t="s">
        <v>2673</v>
      </c>
      <c r="I763" s="204" t="s">
        <v>2276</v>
      </c>
      <c r="J763" s="204" t="s">
        <v>2276</v>
      </c>
      <c r="K763" s="204" t="s">
        <v>2276</v>
      </c>
      <c r="L763" s="204" t="s">
        <v>2276</v>
      </c>
      <c r="M763" s="204" t="s">
        <v>2728</v>
      </c>
      <c r="N763" s="204" t="s">
        <v>2276</v>
      </c>
      <c r="O763" s="204" t="s">
        <v>2276</v>
      </c>
      <c r="P763" s="204" t="s">
        <v>2276</v>
      </c>
      <c r="Q763" s="204" t="s">
        <v>2276</v>
      </c>
      <c r="R763" s="204" t="s">
        <v>537</v>
      </c>
      <c r="S763" s="204" t="s">
        <v>537</v>
      </c>
      <c r="T763" s="204" t="s">
        <v>537</v>
      </c>
      <c r="U763" s="204" t="s">
        <v>537</v>
      </c>
      <c r="V763" s="204" t="s">
        <v>2276</v>
      </c>
      <c r="W763" s="4" t="s">
        <v>7638</v>
      </c>
    </row>
    <row r="764" spans="1:23" ht="46.5" customHeight="1">
      <c r="A764" s="19" t="s">
        <v>7619</v>
      </c>
      <c r="B764" s="19" t="s">
        <v>7621</v>
      </c>
      <c r="C764" s="4" t="s">
        <v>24</v>
      </c>
      <c r="D764" s="4" t="s">
        <v>1242</v>
      </c>
      <c r="E764" s="4" t="s">
        <v>3209</v>
      </c>
      <c r="F764" s="4" t="s">
        <v>2662</v>
      </c>
      <c r="G764" s="204">
        <v>1994</v>
      </c>
      <c r="H764" s="4" t="s">
        <v>541</v>
      </c>
      <c r="I764" s="204" t="s">
        <v>2276</v>
      </c>
      <c r="J764" s="204" t="s">
        <v>2276</v>
      </c>
      <c r="K764" s="204" t="s">
        <v>2276</v>
      </c>
      <c r="L764" s="204" t="s">
        <v>2276</v>
      </c>
      <c r="M764" s="204" t="s">
        <v>2728</v>
      </c>
      <c r="N764" s="204" t="s">
        <v>2276</v>
      </c>
      <c r="O764" s="204" t="s">
        <v>2276</v>
      </c>
      <c r="P764" s="204" t="s">
        <v>2276</v>
      </c>
      <c r="Q764" s="204" t="s">
        <v>2276</v>
      </c>
      <c r="R764" s="204" t="s">
        <v>537</v>
      </c>
      <c r="S764" s="204" t="s">
        <v>537</v>
      </c>
      <c r="T764" s="204" t="s">
        <v>537</v>
      </c>
      <c r="U764" s="204" t="s">
        <v>537</v>
      </c>
      <c r="V764" s="204" t="s">
        <v>2276</v>
      </c>
      <c r="W764" s="4" t="s">
        <v>7640</v>
      </c>
    </row>
    <row r="765" spans="1:23" s="203" customFormat="1" ht="46.5" customHeight="1">
      <c r="A765" s="19" t="s">
        <v>7619</v>
      </c>
      <c r="B765" s="19" t="s">
        <v>7625</v>
      </c>
      <c r="C765" s="4" t="s">
        <v>24</v>
      </c>
      <c r="D765" s="4" t="s">
        <v>1242</v>
      </c>
      <c r="E765" s="4" t="s">
        <v>3209</v>
      </c>
      <c r="F765" s="4" t="s">
        <v>2662</v>
      </c>
      <c r="G765" s="204">
        <v>2005</v>
      </c>
      <c r="H765" s="4" t="s">
        <v>541</v>
      </c>
      <c r="I765" s="204" t="s">
        <v>2691</v>
      </c>
      <c r="J765" s="204" t="s">
        <v>534</v>
      </c>
      <c r="K765" s="204" t="s">
        <v>534</v>
      </c>
      <c r="L765" s="204" t="s">
        <v>534</v>
      </c>
      <c r="M765" s="204" t="s">
        <v>2728</v>
      </c>
      <c r="N765" s="204" t="s">
        <v>2276</v>
      </c>
      <c r="O765" s="204" t="s">
        <v>2276</v>
      </c>
      <c r="P765" s="204" t="s">
        <v>2276</v>
      </c>
      <c r="Q765" s="204" t="s">
        <v>2276</v>
      </c>
      <c r="R765" s="204" t="s">
        <v>537</v>
      </c>
      <c r="S765" s="204" t="s">
        <v>537</v>
      </c>
      <c r="T765" s="204" t="s">
        <v>537</v>
      </c>
      <c r="U765" s="204" t="s">
        <v>537</v>
      </c>
      <c r="V765" s="204" t="s">
        <v>2276</v>
      </c>
      <c r="W765" s="4" t="s">
        <v>7637</v>
      </c>
    </row>
    <row r="766" spans="1:23" ht="46.5" customHeight="1">
      <c r="A766" s="19" t="s">
        <v>7620</v>
      </c>
      <c r="B766" s="19" t="s">
        <v>7622</v>
      </c>
      <c r="C766" s="4" t="s">
        <v>24</v>
      </c>
      <c r="D766" s="4" t="s">
        <v>1242</v>
      </c>
      <c r="E766" s="4" t="s">
        <v>3209</v>
      </c>
      <c r="F766" s="4" t="s">
        <v>2662</v>
      </c>
      <c r="G766" s="204"/>
      <c r="H766" s="4" t="s">
        <v>541</v>
      </c>
      <c r="I766" s="204" t="s">
        <v>2276</v>
      </c>
      <c r="J766" s="204" t="s">
        <v>2276</v>
      </c>
      <c r="K766" s="204" t="s">
        <v>2276</v>
      </c>
      <c r="L766" s="204" t="s">
        <v>2276</v>
      </c>
      <c r="M766" s="204" t="s">
        <v>2728</v>
      </c>
      <c r="N766" s="204" t="s">
        <v>2276</v>
      </c>
      <c r="O766" s="204" t="s">
        <v>2276</v>
      </c>
      <c r="P766" s="204" t="s">
        <v>2276</v>
      </c>
      <c r="Q766" s="204" t="s">
        <v>2276</v>
      </c>
      <c r="R766" s="204" t="s">
        <v>537</v>
      </c>
      <c r="S766" s="204" t="s">
        <v>537</v>
      </c>
      <c r="T766" s="204" t="s">
        <v>537</v>
      </c>
      <c r="U766" s="204" t="s">
        <v>537</v>
      </c>
      <c r="V766" s="204" t="s">
        <v>2276</v>
      </c>
      <c r="W766" s="4" t="s">
        <v>7640</v>
      </c>
    </row>
    <row r="767" spans="1:23" ht="37" customHeight="1">
      <c r="A767" s="19" t="s">
        <v>7594</v>
      </c>
      <c r="B767" s="19" t="s">
        <v>7596</v>
      </c>
      <c r="C767" s="4" t="s">
        <v>24</v>
      </c>
      <c r="D767" s="4" t="s">
        <v>1242</v>
      </c>
      <c r="E767" s="4" t="s">
        <v>3209</v>
      </c>
      <c r="F767" s="4" t="s">
        <v>74</v>
      </c>
      <c r="G767" s="204"/>
      <c r="H767" s="4" t="s">
        <v>2673</v>
      </c>
      <c r="I767" s="204" t="s">
        <v>2276</v>
      </c>
      <c r="J767" s="204" t="s">
        <v>2276</v>
      </c>
      <c r="K767" s="204" t="s">
        <v>2276</v>
      </c>
      <c r="L767" s="204" t="s">
        <v>2276</v>
      </c>
      <c r="M767" s="204" t="s">
        <v>2728</v>
      </c>
      <c r="N767" s="204" t="s">
        <v>2276</v>
      </c>
      <c r="O767" s="204" t="s">
        <v>2276</v>
      </c>
      <c r="P767" s="204" t="s">
        <v>2276</v>
      </c>
      <c r="Q767" s="204" t="s">
        <v>2276</v>
      </c>
      <c r="R767" s="204" t="s">
        <v>537</v>
      </c>
      <c r="S767" s="204" t="s">
        <v>537</v>
      </c>
      <c r="T767" s="204" t="s">
        <v>537</v>
      </c>
      <c r="U767" s="204" t="s">
        <v>537</v>
      </c>
      <c r="V767" s="204" t="s">
        <v>2276</v>
      </c>
      <c r="W767" s="4" t="s">
        <v>7639</v>
      </c>
    </row>
    <row r="768" spans="1:23" ht="37" customHeight="1">
      <c r="A768" s="19" t="s">
        <v>7616</v>
      </c>
      <c r="B768" s="19" t="s">
        <v>7630</v>
      </c>
      <c r="C768" s="4" t="s">
        <v>24</v>
      </c>
      <c r="D768" s="4" t="s">
        <v>1242</v>
      </c>
      <c r="E768" s="4" t="s">
        <v>3209</v>
      </c>
      <c r="F768" s="4" t="s">
        <v>74</v>
      </c>
      <c r="G768" s="204"/>
      <c r="H768" s="4" t="s">
        <v>2673</v>
      </c>
      <c r="I768" s="204" t="s">
        <v>2276</v>
      </c>
      <c r="J768" s="204" t="s">
        <v>2276</v>
      </c>
      <c r="K768" s="204" t="s">
        <v>2276</v>
      </c>
      <c r="L768" s="204" t="s">
        <v>2276</v>
      </c>
      <c r="M768" s="204" t="s">
        <v>2728</v>
      </c>
      <c r="N768" s="204" t="s">
        <v>2276</v>
      </c>
      <c r="O768" s="204" t="s">
        <v>2276</v>
      </c>
      <c r="P768" s="204" t="s">
        <v>2276</v>
      </c>
      <c r="Q768" s="204" t="s">
        <v>2276</v>
      </c>
      <c r="R768" s="204" t="s">
        <v>537</v>
      </c>
      <c r="S768" s="204" t="s">
        <v>537</v>
      </c>
      <c r="T768" s="204" t="s">
        <v>537</v>
      </c>
      <c r="U768" s="204" t="s">
        <v>537</v>
      </c>
      <c r="V768" s="204" t="s">
        <v>2276</v>
      </c>
      <c r="W768" s="4" t="s">
        <v>7638</v>
      </c>
    </row>
    <row r="769" spans="1:23" ht="37" customHeight="1">
      <c r="A769" s="19" t="s">
        <v>7619</v>
      </c>
      <c r="B769" s="19" t="s">
        <v>7635</v>
      </c>
      <c r="C769" s="4" t="s">
        <v>24</v>
      </c>
      <c r="D769" s="4" t="s">
        <v>1242</v>
      </c>
      <c r="E769" s="4" t="s">
        <v>3209</v>
      </c>
      <c r="F769" s="4" t="s">
        <v>74</v>
      </c>
      <c r="G769" s="204">
        <v>1994</v>
      </c>
      <c r="H769" s="4" t="s">
        <v>541</v>
      </c>
      <c r="I769" s="204" t="s">
        <v>2276</v>
      </c>
      <c r="J769" s="204" t="s">
        <v>2276</v>
      </c>
      <c r="K769" s="204" t="s">
        <v>2276</v>
      </c>
      <c r="L769" s="204" t="s">
        <v>2276</v>
      </c>
      <c r="M769" s="204" t="s">
        <v>2728</v>
      </c>
      <c r="N769" s="204" t="s">
        <v>2276</v>
      </c>
      <c r="O769" s="204" t="s">
        <v>2276</v>
      </c>
      <c r="P769" s="204" t="s">
        <v>2276</v>
      </c>
      <c r="Q769" s="204" t="s">
        <v>2276</v>
      </c>
      <c r="R769" s="204" t="s">
        <v>537</v>
      </c>
      <c r="S769" s="204" t="s">
        <v>537</v>
      </c>
      <c r="T769" s="204" t="s">
        <v>537</v>
      </c>
      <c r="U769" s="204" t="s">
        <v>537</v>
      </c>
      <c r="V769" s="204" t="s">
        <v>2276</v>
      </c>
      <c r="W769" s="4" t="s">
        <v>7640</v>
      </c>
    </row>
    <row r="770" spans="1:23" s="203" customFormat="1" ht="37" customHeight="1">
      <c r="A770" s="19" t="s">
        <v>7619</v>
      </c>
      <c r="B770" s="19" t="s">
        <v>7636</v>
      </c>
      <c r="C770" s="4" t="s">
        <v>24</v>
      </c>
      <c r="D770" s="4" t="s">
        <v>1242</v>
      </c>
      <c r="E770" s="4" t="s">
        <v>3209</v>
      </c>
      <c r="F770" s="4" t="s">
        <v>74</v>
      </c>
      <c r="G770" s="204">
        <v>2005</v>
      </c>
      <c r="H770" s="4" t="s">
        <v>541</v>
      </c>
      <c r="I770" s="204" t="s">
        <v>2691</v>
      </c>
      <c r="J770" s="204" t="s">
        <v>534</v>
      </c>
      <c r="K770" s="204" t="s">
        <v>534</v>
      </c>
      <c r="L770" s="204" t="s">
        <v>534</v>
      </c>
      <c r="M770" s="204" t="s">
        <v>2728</v>
      </c>
      <c r="N770" s="204" t="s">
        <v>2276</v>
      </c>
      <c r="O770" s="204" t="s">
        <v>2276</v>
      </c>
      <c r="P770" s="204" t="s">
        <v>2276</v>
      </c>
      <c r="Q770" s="204" t="s">
        <v>2276</v>
      </c>
      <c r="R770" s="204" t="s">
        <v>537</v>
      </c>
      <c r="S770" s="204" t="s">
        <v>537</v>
      </c>
      <c r="T770" s="204" t="s">
        <v>537</v>
      </c>
      <c r="U770" s="204" t="s">
        <v>537</v>
      </c>
      <c r="V770" s="204" t="s">
        <v>2276</v>
      </c>
      <c r="W770" s="4" t="s">
        <v>7637</v>
      </c>
    </row>
    <row r="771" spans="1:23" ht="37" customHeight="1">
      <c r="A771" s="19" t="s">
        <v>7620</v>
      </c>
      <c r="B771" s="19" t="s">
        <v>7623</v>
      </c>
      <c r="C771" s="4" t="s">
        <v>24</v>
      </c>
      <c r="D771" s="4" t="s">
        <v>1242</v>
      </c>
      <c r="E771" s="4" t="s">
        <v>3209</v>
      </c>
      <c r="F771" s="4" t="s">
        <v>74</v>
      </c>
      <c r="G771" s="204"/>
      <c r="H771" s="4" t="s">
        <v>541</v>
      </c>
      <c r="I771" s="204" t="s">
        <v>2276</v>
      </c>
      <c r="J771" s="204" t="s">
        <v>2276</v>
      </c>
      <c r="K771" s="204" t="s">
        <v>2276</v>
      </c>
      <c r="L771" s="204" t="s">
        <v>2276</v>
      </c>
      <c r="M771" s="204" t="s">
        <v>2728</v>
      </c>
      <c r="N771" s="204" t="s">
        <v>2276</v>
      </c>
      <c r="O771" s="204" t="s">
        <v>2276</v>
      </c>
      <c r="P771" s="204" t="s">
        <v>2276</v>
      </c>
      <c r="Q771" s="204" t="s">
        <v>2276</v>
      </c>
      <c r="R771" s="204" t="s">
        <v>537</v>
      </c>
      <c r="S771" s="204" t="s">
        <v>537</v>
      </c>
      <c r="T771" s="204" t="s">
        <v>537</v>
      </c>
      <c r="U771" s="204" t="s">
        <v>537</v>
      </c>
      <c r="V771" s="204" t="s">
        <v>2276</v>
      </c>
      <c r="W771" s="4" t="s">
        <v>7640</v>
      </c>
    </row>
    <row r="772" spans="1:23" ht="30.5" customHeight="1">
      <c r="A772" s="19" t="s">
        <v>7594</v>
      </c>
      <c r="B772" s="19" t="s">
        <v>7597</v>
      </c>
      <c r="C772" s="4" t="s">
        <v>24</v>
      </c>
      <c r="D772" s="4" t="s">
        <v>61</v>
      </c>
      <c r="E772" s="204" t="s">
        <v>2276</v>
      </c>
      <c r="F772" s="4" t="s">
        <v>74</v>
      </c>
      <c r="G772" s="204"/>
      <c r="H772" s="4" t="s">
        <v>2673</v>
      </c>
      <c r="I772" s="204" t="s">
        <v>2276</v>
      </c>
      <c r="J772" s="204" t="s">
        <v>2276</v>
      </c>
      <c r="K772" s="204" t="s">
        <v>2276</v>
      </c>
      <c r="L772" s="204" t="s">
        <v>2276</v>
      </c>
      <c r="M772" s="204" t="s">
        <v>2728</v>
      </c>
      <c r="N772" s="204" t="s">
        <v>2276</v>
      </c>
      <c r="O772" s="204" t="s">
        <v>2276</v>
      </c>
      <c r="P772" s="204" t="s">
        <v>2276</v>
      </c>
      <c r="Q772" s="204" t="s">
        <v>2276</v>
      </c>
      <c r="R772" s="204" t="s">
        <v>537</v>
      </c>
      <c r="S772" s="204" t="s">
        <v>537</v>
      </c>
      <c r="T772" s="204" t="s">
        <v>537</v>
      </c>
      <c r="U772" s="204" t="s">
        <v>537</v>
      </c>
      <c r="V772" s="204" t="s">
        <v>2276</v>
      </c>
      <c r="W772" s="4" t="s">
        <v>7641</v>
      </c>
    </row>
    <row r="773" spans="1:23" ht="38.5" customHeight="1">
      <c r="A773" s="19" t="s">
        <v>7594</v>
      </c>
      <c r="B773" s="19" t="s">
        <v>7598</v>
      </c>
      <c r="C773" s="4" t="s">
        <v>24</v>
      </c>
      <c r="D773" s="4" t="s">
        <v>2804</v>
      </c>
      <c r="E773" s="204" t="s">
        <v>2276</v>
      </c>
      <c r="F773" s="4" t="s">
        <v>2662</v>
      </c>
      <c r="G773" s="204"/>
      <c r="H773" s="4" t="s">
        <v>2673</v>
      </c>
      <c r="I773" s="204" t="s">
        <v>2276</v>
      </c>
      <c r="J773" s="204" t="s">
        <v>2276</v>
      </c>
      <c r="K773" s="204" t="s">
        <v>2276</v>
      </c>
      <c r="L773" s="204" t="s">
        <v>2276</v>
      </c>
      <c r="M773" s="204" t="s">
        <v>2728</v>
      </c>
      <c r="N773" s="204" t="s">
        <v>2276</v>
      </c>
      <c r="O773" s="204" t="s">
        <v>2276</v>
      </c>
      <c r="P773" s="204" t="s">
        <v>2276</v>
      </c>
      <c r="Q773" s="204" t="s">
        <v>2276</v>
      </c>
      <c r="R773" s="204" t="s">
        <v>537</v>
      </c>
      <c r="S773" s="204" t="s">
        <v>537</v>
      </c>
      <c r="T773" s="204" t="s">
        <v>537</v>
      </c>
      <c r="U773" s="204" t="s">
        <v>537</v>
      </c>
      <c r="V773" s="204" t="s">
        <v>2276</v>
      </c>
      <c r="W773" s="4" t="s">
        <v>7641</v>
      </c>
    </row>
    <row r="774" spans="1:23" ht="30.5" customHeight="1">
      <c r="A774" s="19" t="s">
        <v>7594</v>
      </c>
      <c r="B774" s="19" t="s">
        <v>7599</v>
      </c>
      <c r="C774" s="4" t="s">
        <v>24</v>
      </c>
      <c r="D774" s="4" t="s">
        <v>2659</v>
      </c>
      <c r="E774" s="204" t="s">
        <v>2276</v>
      </c>
      <c r="F774" s="4" t="s">
        <v>28</v>
      </c>
      <c r="G774" s="204"/>
      <c r="H774" s="4" t="s">
        <v>2673</v>
      </c>
      <c r="I774" s="204" t="s">
        <v>2276</v>
      </c>
      <c r="J774" s="204" t="s">
        <v>2276</v>
      </c>
      <c r="K774" s="204" t="s">
        <v>2276</v>
      </c>
      <c r="L774" s="204" t="s">
        <v>2276</v>
      </c>
      <c r="M774" s="204" t="s">
        <v>2728</v>
      </c>
      <c r="N774" s="204" t="s">
        <v>2276</v>
      </c>
      <c r="O774" s="204" t="s">
        <v>2276</v>
      </c>
      <c r="P774" s="204" t="s">
        <v>2276</v>
      </c>
      <c r="Q774" s="204" t="s">
        <v>2276</v>
      </c>
      <c r="R774" s="204" t="s">
        <v>537</v>
      </c>
      <c r="S774" s="204" t="s">
        <v>537</v>
      </c>
      <c r="T774" s="204" t="s">
        <v>537</v>
      </c>
      <c r="U774" s="204" t="s">
        <v>537</v>
      </c>
      <c r="V774" s="204" t="s">
        <v>2276</v>
      </c>
      <c r="W774" s="4" t="s">
        <v>7641</v>
      </c>
    </row>
    <row r="775" spans="1:23" ht="30" customHeight="1">
      <c r="A775" s="19" t="s">
        <v>7895</v>
      </c>
      <c r="B775" s="19" t="s">
        <v>7898</v>
      </c>
      <c r="C775" s="4" t="s">
        <v>24</v>
      </c>
      <c r="D775" s="204" t="s">
        <v>1105</v>
      </c>
      <c r="E775" s="204" t="s">
        <v>1105</v>
      </c>
      <c r="F775" s="4" t="s">
        <v>2662</v>
      </c>
      <c r="G775" s="204"/>
      <c r="H775" s="4" t="s">
        <v>541</v>
      </c>
      <c r="I775" s="204" t="s">
        <v>2276</v>
      </c>
      <c r="J775" s="204" t="s">
        <v>2276</v>
      </c>
      <c r="K775" s="204" t="s">
        <v>2276</v>
      </c>
      <c r="L775" s="204" t="s">
        <v>2276</v>
      </c>
      <c r="M775" s="204" t="s">
        <v>2276</v>
      </c>
      <c r="N775" s="204" t="s">
        <v>2276</v>
      </c>
      <c r="O775" s="204" t="s">
        <v>2276</v>
      </c>
      <c r="P775" s="204" t="s">
        <v>2276</v>
      </c>
      <c r="Q775" s="204" t="s">
        <v>2276</v>
      </c>
      <c r="R775" s="204" t="s">
        <v>534</v>
      </c>
      <c r="S775" s="204" t="s">
        <v>2276</v>
      </c>
      <c r="T775" s="204" t="s">
        <v>2276</v>
      </c>
      <c r="U775" s="204" t="s">
        <v>2276</v>
      </c>
      <c r="V775" s="204" t="s">
        <v>2276</v>
      </c>
      <c r="W775" s="204" t="s">
        <v>7905</v>
      </c>
    </row>
    <row r="776" spans="1:23" ht="30" customHeight="1">
      <c r="A776" s="19" t="s">
        <v>7901</v>
      </c>
      <c r="B776" s="19" t="s">
        <v>7903</v>
      </c>
      <c r="C776" s="4" t="s">
        <v>24</v>
      </c>
      <c r="D776" s="204" t="s">
        <v>1105</v>
      </c>
      <c r="E776" s="204" t="s">
        <v>1105</v>
      </c>
      <c r="F776" s="4" t="s">
        <v>2662</v>
      </c>
      <c r="G776" s="204"/>
      <c r="H776" s="4" t="s">
        <v>541</v>
      </c>
      <c r="I776" s="204" t="s">
        <v>2276</v>
      </c>
      <c r="J776" s="204" t="s">
        <v>2276</v>
      </c>
      <c r="K776" s="204" t="s">
        <v>2276</v>
      </c>
      <c r="L776" s="204" t="s">
        <v>2276</v>
      </c>
      <c r="M776" s="204" t="s">
        <v>2276</v>
      </c>
      <c r="N776" s="204" t="s">
        <v>2276</v>
      </c>
      <c r="O776" s="204" t="s">
        <v>2276</v>
      </c>
      <c r="P776" s="204" t="s">
        <v>2276</v>
      </c>
      <c r="Q776" s="204" t="s">
        <v>2276</v>
      </c>
      <c r="R776" s="204" t="s">
        <v>534</v>
      </c>
      <c r="S776" s="204" t="s">
        <v>2276</v>
      </c>
      <c r="T776" s="204" t="s">
        <v>2276</v>
      </c>
      <c r="U776" s="204" t="s">
        <v>2276</v>
      </c>
      <c r="V776" s="204" t="s">
        <v>2276</v>
      </c>
      <c r="W776" s="204" t="s">
        <v>7905</v>
      </c>
    </row>
    <row r="777" spans="1:23" ht="50" customHeight="1">
      <c r="A777" s="204" t="s">
        <v>7930</v>
      </c>
      <c r="B777" s="19" t="s">
        <v>7934</v>
      </c>
      <c r="C777" s="4" t="s">
        <v>24</v>
      </c>
      <c r="D777" s="204" t="s">
        <v>1105</v>
      </c>
      <c r="E777" s="204" t="s">
        <v>1105</v>
      </c>
      <c r="F777" s="4" t="s">
        <v>2662</v>
      </c>
      <c r="G777" s="204"/>
      <c r="H777" s="4" t="s">
        <v>541</v>
      </c>
      <c r="I777" s="204" t="s">
        <v>2276</v>
      </c>
      <c r="J777" s="204" t="s">
        <v>2276</v>
      </c>
      <c r="K777" s="204" t="s">
        <v>2276</v>
      </c>
      <c r="L777" s="204" t="s">
        <v>2276</v>
      </c>
      <c r="M777" s="204" t="s">
        <v>2276</v>
      </c>
      <c r="N777" s="204" t="s">
        <v>2276</v>
      </c>
      <c r="O777" s="204" t="s">
        <v>2276</v>
      </c>
      <c r="P777" s="204" t="s">
        <v>2276</v>
      </c>
      <c r="Q777" s="204" t="s">
        <v>2276</v>
      </c>
      <c r="R777" s="204" t="s">
        <v>534</v>
      </c>
      <c r="S777" s="204" t="s">
        <v>2276</v>
      </c>
      <c r="T777" s="204" t="s">
        <v>2276</v>
      </c>
      <c r="U777" s="204" t="s">
        <v>2276</v>
      </c>
      <c r="V777" s="204">
        <v>2</v>
      </c>
      <c r="W777" s="4" t="s">
        <v>7938</v>
      </c>
    </row>
    <row r="778" spans="1:23" ht="36" customHeight="1">
      <c r="A778" s="19" t="s">
        <v>7976</v>
      </c>
      <c r="B778" s="19" t="s">
        <v>7983</v>
      </c>
      <c r="C778" s="204" t="s">
        <v>24</v>
      </c>
      <c r="D778" s="204" t="s">
        <v>2659</v>
      </c>
      <c r="E778" s="204" t="s">
        <v>84</v>
      </c>
      <c r="F778" s="204" t="s">
        <v>28</v>
      </c>
      <c r="G778" s="204"/>
      <c r="H778" s="4" t="s">
        <v>541</v>
      </c>
      <c r="I778" s="204" t="s">
        <v>2276</v>
      </c>
      <c r="J778" s="204" t="s">
        <v>2276</v>
      </c>
      <c r="K778" s="204" t="s">
        <v>2276</v>
      </c>
      <c r="L778" s="204" t="s">
        <v>2276</v>
      </c>
      <c r="M778" s="204" t="s">
        <v>2276</v>
      </c>
      <c r="N778" s="204" t="s">
        <v>2276</v>
      </c>
      <c r="O778" s="204" t="s">
        <v>2276</v>
      </c>
      <c r="P778" s="204" t="s">
        <v>2276</v>
      </c>
      <c r="Q778" s="204" t="s">
        <v>2276</v>
      </c>
      <c r="R778" s="204" t="s">
        <v>534</v>
      </c>
      <c r="S778" s="204" t="s">
        <v>2276</v>
      </c>
      <c r="T778" s="204" t="s">
        <v>2276</v>
      </c>
      <c r="U778" s="204" t="s">
        <v>534</v>
      </c>
      <c r="V778" s="204">
        <v>1</v>
      </c>
      <c r="W778" s="4" t="s">
        <v>7988</v>
      </c>
    </row>
    <row r="779" spans="1:23" ht="36" customHeight="1">
      <c r="A779" s="19" t="s">
        <v>7977</v>
      </c>
      <c r="B779" s="19" t="s">
        <v>7980</v>
      </c>
      <c r="C779" s="204" t="s">
        <v>24</v>
      </c>
      <c r="D779" s="204" t="s">
        <v>2659</v>
      </c>
      <c r="E779" s="204" t="s">
        <v>84</v>
      </c>
      <c r="F779" s="204" t="s">
        <v>28</v>
      </c>
      <c r="G779" s="204"/>
      <c r="H779" s="4" t="s">
        <v>541</v>
      </c>
      <c r="I779" s="204" t="s">
        <v>2276</v>
      </c>
      <c r="J779" s="204" t="s">
        <v>2276</v>
      </c>
      <c r="K779" s="204" t="s">
        <v>2276</v>
      </c>
      <c r="L779" s="204" t="s">
        <v>2276</v>
      </c>
      <c r="M779" s="204" t="s">
        <v>2276</v>
      </c>
      <c r="N779" s="204" t="s">
        <v>2276</v>
      </c>
      <c r="O779" s="204" t="s">
        <v>2276</v>
      </c>
      <c r="P779" s="204" t="s">
        <v>2276</v>
      </c>
      <c r="Q779" s="204" t="s">
        <v>2276</v>
      </c>
      <c r="R779" s="204" t="s">
        <v>534</v>
      </c>
      <c r="S779" s="204" t="s">
        <v>2276</v>
      </c>
      <c r="T779" s="204" t="s">
        <v>2276</v>
      </c>
      <c r="U779" s="204" t="s">
        <v>534</v>
      </c>
      <c r="V779" s="204">
        <v>2</v>
      </c>
      <c r="W779" s="204" t="s">
        <v>7989</v>
      </c>
    </row>
    <row r="780" spans="1:23" ht="51" customHeight="1">
      <c r="A780" s="19" t="s">
        <v>8000</v>
      </c>
      <c r="B780" s="19" t="s">
        <v>8008</v>
      </c>
      <c r="C780" s="204" t="s">
        <v>24</v>
      </c>
      <c r="D780" s="204" t="s">
        <v>144</v>
      </c>
      <c r="E780" s="204" t="s">
        <v>137</v>
      </c>
      <c r="F780" s="4" t="s">
        <v>2662</v>
      </c>
      <c r="G780" s="204"/>
      <c r="H780" s="4" t="s">
        <v>2673</v>
      </c>
      <c r="I780" s="204" t="s">
        <v>2276</v>
      </c>
      <c r="J780" s="204" t="s">
        <v>2276</v>
      </c>
      <c r="K780" s="204" t="s">
        <v>2276</v>
      </c>
      <c r="L780" s="204" t="s">
        <v>2276</v>
      </c>
      <c r="M780" s="204" t="s">
        <v>2728</v>
      </c>
      <c r="N780" s="204" t="s">
        <v>2276</v>
      </c>
      <c r="O780" s="204" t="s">
        <v>2276</v>
      </c>
      <c r="P780" s="204" t="s">
        <v>2276</v>
      </c>
      <c r="Q780" s="204">
        <v>4</v>
      </c>
      <c r="R780" s="204" t="s">
        <v>2276</v>
      </c>
      <c r="S780" s="204" t="s">
        <v>2276</v>
      </c>
      <c r="T780" s="204" t="s">
        <v>2276</v>
      </c>
      <c r="U780" s="204" t="s">
        <v>2276</v>
      </c>
      <c r="V780" s="204" t="s">
        <v>2276</v>
      </c>
      <c r="W780" s="4" t="s">
        <v>8011</v>
      </c>
    </row>
    <row r="781" spans="1:23" ht="51" customHeight="1">
      <c r="A781" s="19" t="s">
        <v>8006</v>
      </c>
      <c r="B781" s="19" t="s">
        <v>8009</v>
      </c>
      <c r="C781" s="204" t="s">
        <v>24</v>
      </c>
      <c r="D781" s="204" t="s">
        <v>144</v>
      </c>
      <c r="E781" s="204" t="s">
        <v>137</v>
      </c>
      <c r="F781" s="4" t="s">
        <v>2662</v>
      </c>
      <c r="G781" s="204"/>
      <c r="H781" s="4" t="s">
        <v>2673</v>
      </c>
      <c r="I781" s="204" t="s">
        <v>2276</v>
      </c>
      <c r="J781" s="204" t="s">
        <v>2276</v>
      </c>
      <c r="K781" s="204" t="s">
        <v>2276</v>
      </c>
      <c r="L781" s="204" t="s">
        <v>2276</v>
      </c>
      <c r="M781" s="204" t="s">
        <v>2728</v>
      </c>
      <c r="N781" s="204" t="s">
        <v>2276</v>
      </c>
      <c r="O781" s="204" t="s">
        <v>2276</v>
      </c>
      <c r="P781" s="204" t="s">
        <v>2276</v>
      </c>
      <c r="Q781" s="204">
        <v>4</v>
      </c>
      <c r="R781" s="204" t="s">
        <v>2276</v>
      </c>
      <c r="S781" s="204" t="s">
        <v>2276</v>
      </c>
      <c r="T781" s="204" t="s">
        <v>2276</v>
      </c>
      <c r="U781" s="204" t="s">
        <v>2276</v>
      </c>
      <c r="V781" s="204" t="s">
        <v>2276</v>
      </c>
      <c r="W781" s="4" t="s">
        <v>8011</v>
      </c>
    </row>
    <row r="782" spans="1:23" ht="51" customHeight="1">
      <c r="A782" s="19" t="s">
        <v>8007</v>
      </c>
      <c r="B782" s="19" t="s">
        <v>8010</v>
      </c>
      <c r="C782" s="204" t="s">
        <v>24</v>
      </c>
      <c r="D782" s="204" t="s">
        <v>144</v>
      </c>
      <c r="E782" s="204" t="s">
        <v>137</v>
      </c>
      <c r="F782" s="4" t="s">
        <v>2662</v>
      </c>
      <c r="G782" s="204"/>
      <c r="H782" s="4" t="s">
        <v>2673</v>
      </c>
      <c r="I782" s="204" t="s">
        <v>2276</v>
      </c>
      <c r="J782" s="204" t="s">
        <v>2276</v>
      </c>
      <c r="K782" s="204" t="s">
        <v>2276</v>
      </c>
      <c r="L782" s="204" t="s">
        <v>2276</v>
      </c>
      <c r="M782" s="204" t="s">
        <v>2728</v>
      </c>
      <c r="N782" s="204" t="s">
        <v>2276</v>
      </c>
      <c r="O782" s="204" t="s">
        <v>2276</v>
      </c>
      <c r="P782" s="204" t="s">
        <v>2276</v>
      </c>
      <c r="Q782" s="204">
        <v>4</v>
      </c>
      <c r="R782" s="204" t="s">
        <v>2276</v>
      </c>
      <c r="S782" s="204" t="s">
        <v>2276</v>
      </c>
      <c r="T782" s="204" t="s">
        <v>2276</v>
      </c>
      <c r="U782" s="204" t="s">
        <v>2276</v>
      </c>
      <c r="V782" s="204" t="s">
        <v>2276</v>
      </c>
      <c r="W782" s="4" t="s">
        <v>8011</v>
      </c>
    </row>
    <row r="783" spans="1:23" ht="36.5" customHeight="1">
      <c r="A783" s="19" t="s">
        <v>8013</v>
      </c>
      <c r="B783" s="19" t="s">
        <v>8015</v>
      </c>
      <c r="C783" s="204" t="s">
        <v>24</v>
      </c>
      <c r="D783" s="204" t="s">
        <v>2804</v>
      </c>
      <c r="E783" s="204" t="s">
        <v>45</v>
      </c>
      <c r="F783" s="4" t="s">
        <v>2662</v>
      </c>
      <c r="G783" s="38"/>
      <c r="H783" s="168" t="s">
        <v>541</v>
      </c>
      <c r="I783" s="38" t="s">
        <v>2276</v>
      </c>
      <c r="J783" s="38" t="s">
        <v>2276</v>
      </c>
      <c r="K783" s="38" t="s">
        <v>2276</v>
      </c>
      <c r="L783" s="38" t="s">
        <v>2276</v>
      </c>
      <c r="M783" s="38" t="s">
        <v>2276</v>
      </c>
      <c r="N783" s="38" t="s">
        <v>2276</v>
      </c>
      <c r="O783" s="38" t="s">
        <v>2276</v>
      </c>
      <c r="P783" s="38" t="s">
        <v>2276</v>
      </c>
      <c r="Q783" s="38" t="s">
        <v>2276</v>
      </c>
      <c r="R783" t="s">
        <v>534</v>
      </c>
      <c r="S783" s="38" t="s">
        <v>2276</v>
      </c>
      <c r="T783" s="38" t="s">
        <v>2276</v>
      </c>
      <c r="U783" s="38" t="s">
        <v>2276</v>
      </c>
      <c r="V783" s="38">
        <v>1</v>
      </c>
      <c r="W783" s="168" t="s">
        <v>8017</v>
      </c>
    </row>
    <row r="784" spans="1:23" ht="32.5" customHeight="1">
      <c r="A784" s="19" t="s">
        <v>8019</v>
      </c>
      <c r="B784" s="19" t="s">
        <v>8023</v>
      </c>
      <c r="C784" s="204" t="s">
        <v>1105</v>
      </c>
      <c r="D784" s="204" t="s">
        <v>1105</v>
      </c>
      <c r="E784" s="204" t="s">
        <v>1105</v>
      </c>
      <c r="F784" s="4" t="s">
        <v>2662</v>
      </c>
      <c r="G784" s="52"/>
      <c r="H784" s="4" t="s">
        <v>541</v>
      </c>
      <c r="I784" s="224" t="s">
        <v>2276</v>
      </c>
      <c r="J784" s="38" t="s">
        <v>2276</v>
      </c>
      <c r="K784" s="38" t="s">
        <v>2276</v>
      </c>
      <c r="L784" s="38" t="s">
        <v>2276</v>
      </c>
      <c r="M784" s="38" t="s">
        <v>2276</v>
      </c>
      <c r="N784" s="38" t="s">
        <v>2276</v>
      </c>
      <c r="O784" s="38" t="s">
        <v>2276</v>
      </c>
      <c r="P784" s="38" t="s">
        <v>2276</v>
      </c>
      <c r="Q784" s="38" t="s">
        <v>2276</v>
      </c>
      <c r="R784" s="204" t="s">
        <v>534</v>
      </c>
      <c r="S784" s="204" t="s">
        <v>2276</v>
      </c>
      <c r="T784" s="204" t="s">
        <v>534</v>
      </c>
      <c r="U784" s="204" t="s">
        <v>2276</v>
      </c>
      <c r="V784" s="204">
        <v>4</v>
      </c>
      <c r="W784" s="204" t="s">
        <v>8028</v>
      </c>
    </row>
    <row r="785" spans="1:23" ht="33.5" customHeight="1">
      <c r="A785" s="19" t="s">
        <v>8020</v>
      </c>
      <c r="B785" s="19" t="s">
        <v>8024</v>
      </c>
      <c r="C785" s="204" t="s">
        <v>1105</v>
      </c>
      <c r="D785" s="204" t="s">
        <v>1105</v>
      </c>
      <c r="E785" s="4" t="s">
        <v>45</v>
      </c>
      <c r="F785" s="4" t="s">
        <v>2662</v>
      </c>
      <c r="G785" s="52"/>
      <c r="H785" s="4" t="s">
        <v>541</v>
      </c>
      <c r="I785" s="178" t="s">
        <v>2276</v>
      </c>
      <c r="J785" s="204" t="s">
        <v>2276</v>
      </c>
      <c r="K785" s="204" t="s">
        <v>2276</v>
      </c>
      <c r="L785" s="204" t="s">
        <v>2276</v>
      </c>
      <c r="M785" s="204" t="s">
        <v>2276</v>
      </c>
      <c r="N785" s="204" t="s">
        <v>2276</v>
      </c>
      <c r="O785" s="204" t="s">
        <v>2276</v>
      </c>
      <c r="P785" s="204" t="s">
        <v>2276</v>
      </c>
      <c r="Q785" s="204" t="s">
        <v>2276</v>
      </c>
      <c r="R785" s="204" t="s">
        <v>537</v>
      </c>
      <c r="S785" s="204" t="s">
        <v>2276</v>
      </c>
      <c r="T785" s="204" t="s">
        <v>2276</v>
      </c>
      <c r="U785" s="204" t="s">
        <v>2276</v>
      </c>
      <c r="V785" s="204" t="s">
        <v>2276</v>
      </c>
      <c r="W785" s="204"/>
    </row>
    <row r="786" spans="1:23" ht="70" customHeight="1">
      <c r="A786" s="19" t="s">
        <v>8038</v>
      </c>
      <c r="B786" s="19" t="s">
        <v>8041</v>
      </c>
      <c r="C786" s="204" t="s">
        <v>24</v>
      </c>
      <c r="D786" s="4" t="s">
        <v>2804</v>
      </c>
      <c r="E786" s="204" t="s">
        <v>1105</v>
      </c>
      <c r="F786" s="4" t="s">
        <v>2662</v>
      </c>
      <c r="G786" s="204"/>
      <c r="H786" s="4" t="s">
        <v>2673</v>
      </c>
      <c r="I786" s="204" t="s">
        <v>2276</v>
      </c>
      <c r="J786" s="204" t="s">
        <v>2276</v>
      </c>
      <c r="K786" s="204" t="s">
        <v>2276</v>
      </c>
      <c r="L786" s="204" t="s">
        <v>2276</v>
      </c>
      <c r="M786" s="204" t="s">
        <v>2728</v>
      </c>
      <c r="N786" s="204" t="s">
        <v>2276</v>
      </c>
      <c r="O786" s="204" t="s">
        <v>534</v>
      </c>
      <c r="P786" s="204" t="s">
        <v>534</v>
      </c>
      <c r="Q786" s="204">
        <v>4</v>
      </c>
      <c r="R786" s="204" t="s">
        <v>2276</v>
      </c>
      <c r="S786" s="204" t="s">
        <v>2276</v>
      </c>
      <c r="T786" s="204" t="s">
        <v>2276</v>
      </c>
      <c r="U786" s="204" t="s">
        <v>2276</v>
      </c>
      <c r="V786" s="204" t="s">
        <v>2276</v>
      </c>
      <c r="W786" s="19" t="s">
        <v>8048</v>
      </c>
    </row>
    <row r="787" spans="1:23" ht="70" customHeight="1">
      <c r="A787" s="19" t="s">
        <v>8040</v>
      </c>
      <c r="B787" s="19" t="s">
        <v>8042</v>
      </c>
      <c r="C787" s="204" t="s">
        <v>24</v>
      </c>
      <c r="D787" s="4" t="s">
        <v>2804</v>
      </c>
      <c r="E787" s="204" t="s">
        <v>1105</v>
      </c>
      <c r="F787" s="4" t="s">
        <v>2662</v>
      </c>
      <c r="G787" s="204"/>
      <c r="H787" s="4" t="s">
        <v>2673</v>
      </c>
      <c r="I787" s="204" t="s">
        <v>2276</v>
      </c>
      <c r="J787" s="204" t="s">
        <v>2276</v>
      </c>
      <c r="K787" s="204" t="s">
        <v>2276</v>
      </c>
      <c r="L787" s="204" t="s">
        <v>2276</v>
      </c>
      <c r="M787" s="204" t="s">
        <v>2728</v>
      </c>
      <c r="N787" s="204" t="s">
        <v>2276</v>
      </c>
      <c r="O787" s="204" t="s">
        <v>534</v>
      </c>
      <c r="P787" s="204" t="s">
        <v>534</v>
      </c>
      <c r="Q787" s="204">
        <v>4</v>
      </c>
      <c r="R787" s="204" t="s">
        <v>2276</v>
      </c>
      <c r="S787" s="204" t="s">
        <v>2276</v>
      </c>
      <c r="T787" s="204" t="s">
        <v>2276</v>
      </c>
      <c r="U787" s="204" t="s">
        <v>2276</v>
      </c>
      <c r="V787" s="204" t="s">
        <v>2276</v>
      </c>
      <c r="W787" s="19" t="s">
        <v>8048</v>
      </c>
    </row>
    <row r="788" spans="1:23" ht="137" customHeight="1">
      <c r="A788" s="19" t="s">
        <v>8056</v>
      </c>
      <c r="B788" s="19" t="s">
        <v>8057</v>
      </c>
      <c r="C788" s="204" t="s">
        <v>24</v>
      </c>
      <c r="D788" s="4" t="s">
        <v>143</v>
      </c>
      <c r="E788" s="204" t="s">
        <v>1105</v>
      </c>
      <c r="F788" s="4" t="s">
        <v>74</v>
      </c>
      <c r="G788" s="204"/>
      <c r="H788" s="4" t="s">
        <v>541</v>
      </c>
      <c r="I788" s="204" t="s">
        <v>2691</v>
      </c>
      <c r="J788" s="204" t="s">
        <v>534</v>
      </c>
      <c r="K788" s="204" t="s">
        <v>2276</v>
      </c>
      <c r="L788" s="204" t="s">
        <v>2276</v>
      </c>
      <c r="M788" s="204" t="s">
        <v>2669</v>
      </c>
      <c r="N788" s="204" t="s">
        <v>2276</v>
      </c>
      <c r="O788" s="204" t="s">
        <v>534</v>
      </c>
      <c r="P788" s="204" t="s">
        <v>2276</v>
      </c>
      <c r="Q788" s="204">
        <v>1</v>
      </c>
      <c r="R788" s="204" t="s">
        <v>2276</v>
      </c>
      <c r="S788" s="204" t="s">
        <v>2276</v>
      </c>
      <c r="T788" s="204" t="s">
        <v>2276</v>
      </c>
      <c r="U788" s="204" t="s">
        <v>2276</v>
      </c>
      <c r="V788" s="204" t="s">
        <v>2276</v>
      </c>
      <c r="W788" s="19" t="s">
        <v>8061</v>
      </c>
    </row>
    <row r="789" spans="1:23" ht="39" customHeight="1">
      <c r="A789" s="19" t="s">
        <v>8063</v>
      </c>
      <c r="B789" s="19" t="s">
        <v>8065</v>
      </c>
      <c r="C789" s="4" t="s">
        <v>24</v>
      </c>
      <c r="D789" s="4" t="s">
        <v>144</v>
      </c>
      <c r="E789" s="4" t="s">
        <v>137</v>
      </c>
      <c r="F789" s="4" t="s">
        <v>2662</v>
      </c>
      <c r="G789" s="204"/>
      <c r="H789" s="4" t="s">
        <v>541</v>
      </c>
      <c r="I789" s="204" t="s">
        <v>2691</v>
      </c>
      <c r="J789" s="204" t="s">
        <v>2276</v>
      </c>
      <c r="K789" s="204" t="s">
        <v>534</v>
      </c>
      <c r="L789" s="204" t="s">
        <v>2276</v>
      </c>
      <c r="M789" s="204" t="s">
        <v>2276</v>
      </c>
      <c r="N789" s="204" t="s">
        <v>2276</v>
      </c>
      <c r="O789" s="204" t="s">
        <v>2276</v>
      </c>
      <c r="P789" s="204" t="s">
        <v>2276</v>
      </c>
      <c r="Q789" s="204" t="s">
        <v>2276</v>
      </c>
      <c r="R789" s="204" t="s">
        <v>2276</v>
      </c>
      <c r="S789" s="204" t="s">
        <v>2276</v>
      </c>
      <c r="T789" s="204" t="s">
        <v>2276</v>
      </c>
      <c r="U789" s="204" t="s">
        <v>2276</v>
      </c>
      <c r="V789" s="204" t="s">
        <v>2276</v>
      </c>
      <c r="W789" s="4" t="s">
        <v>8067</v>
      </c>
    </row>
    <row r="790" spans="1:23" ht="66.5" customHeight="1">
      <c r="A790" s="19" t="s">
        <v>8063</v>
      </c>
      <c r="B790" s="19" t="s">
        <v>8066</v>
      </c>
      <c r="C790" s="4" t="s">
        <v>24</v>
      </c>
      <c r="D790" s="4" t="s">
        <v>1105</v>
      </c>
      <c r="E790" s="4" t="s">
        <v>1105</v>
      </c>
      <c r="F790" s="4" t="s">
        <v>2662</v>
      </c>
      <c r="G790" s="204"/>
      <c r="H790" s="4" t="s">
        <v>2673</v>
      </c>
      <c r="I790" s="204" t="s">
        <v>2690</v>
      </c>
      <c r="J790" s="204" t="s">
        <v>2276</v>
      </c>
      <c r="K790" s="204" t="s">
        <v>2276</v>
      </c>
      <c r="L790" s="204" t="s">
        <v>2276</v>
      </c>
      <c r="M790" s="204" t="s">
        <v>2728</v>
      </c>
      <c r="N790" s="204" t="s">
        <v>534</v>
      </c>
      <c r="O790" s="204" t="s">
        <v>2276</v>
      </c>
      <c r="P790" s="204" t="s">
        <v>534</v>
      </c>
      <c r="Q790" s="204">
        <v>4</v>
      </c>
      <c r="R790" s="204" t="s">
        <v>2276</v>
      </c>
      <c r="S790" s="204" t="s">
        <v>2276</v>
      </c>
      <c r="T790" s="204" t="s">
        <v>2276</v>
      </c>
      <c r="U790" s="204" t="s">
        <v>2276</v>
      </c>
      <c r="V790" s="204" t="s">
        <v>2276</v>
      </c>
      <c r="W790" s="4" t="s">
        <v>8068</v>
      </c>
    </row>
    <row r="791" spans="1:23" ht="39" customHeight="1">
      <c r="A791" s="19" t="s">
        <v>8069</v>
      </c>
      <c r="B791" s="19" t="s">
        <v>8072</v>
      </c>
      <c r="C791" s="204" t="s">
        <v>24</v>
      </c>
      <c r="D791" s="4" t="s">
        <v>1105</v>
      </c>
      <c r="E791" s="4" t="s">
        <v>45</v>
      </c>
      <c r="F791" s="4" t="s">
        <v>2662</v>
      </c>
      <c r="G791" s="204"/>
      <c r="H791" s="4" t="s">
        <v>541</v>
      </c>
      <c r="I791" s="204" t="s">
        <v>2690</v>
      </c>
      <c r="J791" s="204" t="s">
        <v>2276</v>
      </c>
      <c r="K791" s="204" t="s">
        <v>534</v>
      </c>
      <c r="L791" s="204" t="s">
        <v>2276</v>
      </c>
      <c r="M791" s="204" t="s">
        <v>2276</v>
      </c>
      <c r="N791" s="204" t="s">
        <v>2276</v>
      </c>
      <c r="O791" s="204" t="s">
        <v>2276</v>
      </c>
      <c r="P791" s="204" t="s">
        <v>2276</v>
      </c>
      <c r="Q791" s="204" t="s">
        <v>2276</v>
      </c>
      <c r="R791" s="204" t="s">
        <v>2276</v>
      </c>
      <c r="S791" s="204" t="s">
        <v>2276</v>
      </c>
      <c r="T791" s="204" t="s">
        <v>2276</v>
      </c>
      <c r="U791" s="204" t="s">
        <v>2276</v>
      </c>
      <c r="V791" s="204" t="s">
        <v>2276</v>
      </c>
      <c r="W791" s="4" t="s">
        <v>8074</v>
      </c>
    </row>
    <row r="792" spans="1:23" ht="42" customHeight="1">
      <c r="A792" s="19" t="s">
        <v>8069</v>
      </c>
      <c r="B792" s="19" t="s">
        <v>8073</v>
      </c>
      <c r="C792" s="204" t="s">
        <v>24</v>
      </c>
      <c r="D792" s="4" t="s">
        <v>1105</v>
      </c>
      <c r="E792" s="4" t="s">
        <v>2647</v>
      </c>
      <c r="F792" s="4" t="s">
        <v>2662</v>
      </c>
      <c r="G792" s="204"/>
      <c r="H792" s="4" t="s">
        <v>541</v>
      </c>
      <c r="I792" s="204" t="s">
        <v>2690</v>
      </c>
      <c r="J792" s="204" t="s">
        <v>2276</v>
      </c>
      <c r="K792" s="204" t="s">
        <v>534</v>
      </c>
      <c r="L792" s="204" t="s">
        <v>2276</v>
      </c>
      <c r="M792" s="204" t="s">
        <v>2276</v>
      </c>
      <c r="N792" s="204" t="s">
        <v>2276</v>
      </c>
      <c r="O792" s="204" t="s">
        <v>2276</v>
      </c>
      <c r="P792" s="204" t="s">
        <v>2276</v>
      </c>
      <c r="Q792" s="204" t="s">
        <v>2276</v>
      </c>
      <c r="R792" s="204" t="s">
        <v>2276</v>
      </c>
      <c r="S792" s="204" t="s">
        <v>2276</v>
      </c>
      <c r="T792" s="204" t="s">
        <v>2276</v>
      </c>
      <c r="U792" s="204" t="s">
        <v>2276</v>
      </c>
      <c r="V792" s="204" t="s">
        <v>2276</v>
      </c>
      <c r="W792" s="4" t="s">
        <v>8074</v>
      </c>
    </row>
    <row r="793" spans="1:23" ht="39" customHeight="1">
      <c r="A793" s="19" t="s">
        <v>8076</v>
      </c>
      <c r="B793" s="19" t="s">
        <v>8077</v>
      </c>
      <c r="C793" s="204" t="s">
        <v>24</v>
      </c>
      <c r="D793" s="4" t="s">
        <v>25</v>
      </c>
      <c r="E793" s="204" t="s">
        <v>45</v>
      </c>
      <c r="F793" s="4" t="s">
        <v>2662</v>
      </c>
      <c r="G793" s="204"/>
      <c r="H793" s="4" t="s">
        <v>541</v>
      </c>
      <c r="I793" s="204" t="s">
        <v>2276</v>
      </c>
      <c r="J793" s="204" t="s">
        <v>2276</v>
      </c>
      <c r="K793" s="204" t="s">
        <v>2276</v>
      </c>
      <c r="L793" s="204" t="s">
        <v>2276</v>
      </c>
      <c r="M793" s="204" t="s">
        <v>2728</v>
      </c>
      <c r="N793" s="204" t="s">
        <v>2276</v>
      </c>
      <c r="O793" s="204" t="s">
        <v>2276</v>
      </c>
      <c r="P793" s="204" t="s">
        <v>2276</v>
      </c>
      <c r="Q793" s="204">
        <v>4</v>
      </c>
      <c r="R793" s="204" t="s">
        <v>2276</v>
      </c>
      <c r="S793" s="204" t="s">
        <v>2276</v>
      </c>
      <c r="T793" s="204" t="s">
        <v>2276</v>
      </c>
      <c r="U793" s="204" t="s">
        <v>2276</v>
      </c>
      <c r="V793" s="204" t="s">
        <v>2276</v>
      </c>
      <c r="W793" s="19" t="s">
        <v>8078</v>
      </c>
    </row>
    <row r="794" spans="1:23" ht="45.5" customHeight="1">
      <c r="A794" s="19" t="s">
        <v>8076</v>
      </c>
      <c r="B794" s="19" t="s">
        <v>8079</v>
      </c>
      <c r="C794" s="204" t="s">
        <v>24</v>
      </c>
      <c r="D794" s="4" t="s">
        <v>25</v>
      </c>
      <c r="E794" s="4" t="s">
        <v>3855</v>
      </c>
      <c r="F794" s="4" t="s">
        <v>2662</v>
      </c>
      <c r="G794" s="204"/>
      <c r="H794" s="4" t="s">
        <v>541</v>
      </c>
      <c r="I794" s="204" t="s">
        <v>2276</v>
      </c>
      <c r="J794" s="204" t="s">
        <v>2276</v>
      </c>
      <c r="K794" s="204" t="s">
        <v>2276</v>
      </c>
      <c r="L794" s="204" t="s">
        <v>2276</v>
      </c>
      <c r="M794" s="204" t="s">
        <v>2728</v>
      </c>
      <c r="N794" s="204" t="s">
        <v>2276</v>
      </c>
      <c r="O794" s="204" t="s">
        <v>2276</v>
      </c>
      <c r="P794" s="204" t="s">
        <v>2276</v>
      </c>
      <c r="Q794" s="204">
        <v>5</v>
      </c>
      <c r="R794" s="204" t="s">
        <v>2276</v>
      </c>
      <c r="S794" s="204" t="s">
        <v>2276</v>
      </c>
      <c r="T794" s="204" t="s">
        <v>2276</v>
      </c>
      <c r="U794" s="204" t="s">
        <v>2276</v>
      </c>
      <c r="V794" s="204" t="s">
        <v>2276</v>
      </c>
      <c r="W794" s="19" t="s">
        <v>8078</v>
      </c>
    </row>
    <row r="795" spans="1:23" ht="56.5" customHeight="1">
      <c r="A795" s="19" t="s">
        <v>8104</v>
      </c>
      <c r="B795" s="19" t="s">
        <v>8108</v>
      </c>
      <c r="C795" s="204" t="s">
        <v>24</v>
      </c>
      <c r="D795" s="4" t="s">
        <v>2804</v>
      </c>
      <c r="E795" s="4" t="s">
        <v>45</v>
      </c>
      <c r="F795" s="4" t="s">
        <v>2662</v>
      </c>
      <c r="G795" s="204"/>
      <c r="H795" s="4" t="s">
        <v>541</v>
      </c>
      <c r="I795" s="204" t="s">
        <v>2276</v>
      </c>
      <c r="J795" s="204" t="s">
        <v>2276</v>
      </c>
      <c r="K795" s="204" t="s">
        <v>2276</v>
      </c>
      <c r="L795" s="204" t="s">
        <v>2276</v>
      </c>
      <c r="M795" s="204" t="s">
        <v>2276</v>
      </c>
      <c r="N795" s="204" t="s">
        <v>2276</v>
      </c>
      <c r="O795" s="204" t="s">
        <v>2276</v>
      </c>
      <c r="P795" s="204" t="s">
        <v>2276</v>
      </c>
      <c r="Q795" s="204" t="s">
        <v>2276</v>
      </c>
      <c r="R795" s="204" t="s">
        <v>534</v>
      </c>
      <c r="S795" s="204" t="s">
        <v>2276</v>
      </c>
      <c r="T795" s="204" t="s">
        <v>534</v>
      </c>
      <c r="U795" s="204" t="s">
        <v>2276</v>
      </c>
      <c r="V795" s="204">
        <v>1</v>
      </c>
      <c r="W795" s="19" t="s">
        <v>8112</v>
      </c>
    </row>
    <row r="796" spans="1:23" ht="30" customHeight="1">
      <c r="A796" s="19" t="s">
        <v>8115</v>
      </c>
      <c r="B796" s="19" t="s">
        <v>8125</v>
      </c>
      <c r="C796" s="4" t="s">
        <v>24</v>
      </c>
      <c r="D796" s="4" t="s">
        <v>2659</v>
      </c>
      <c r="E796" s="4" t="s">
        <v>396</v>
      </c>
      <c r="F796" s="204" t="s">
        <v>28</v>
      </c>
      <c r="G796" s="204"/>
      <c r="H796" s="4" t="s">
        <v>541</v>
      </c>
      <c r="I796" s="204" t="s">
        <v>2276</v>
      </c>
      <c r="J796" s="204" t="s">
        <v>2276</v>
      </c>
      <c r="K796" s="204" t="s">
        <v>2276</v>
      </c>
      <c r="L796" s="204" t="s">
        <v>2276</v>
      </c>
      <c r="M796" s="204" t="s">
        <v>2728</v>
      </c>
      <c r="N796" s="204" t="s">
        <v>2276</v>
      </c>
      <c r="O796" s="204" t="s">
        <v>2276</v>
      </c>
      <c r="P796" s="204" t="s">
        <v>2276</v>
      </c>
      <c r="Q796" s="204" t="s">
        <v>2276</v>
      </c>
      <c r="R796" s="204" t="s">
        <v>537</v>
      </c>
      <c r="S796" s="204" t="s">
        <v>2276</v>
      </c>
      <c r="T796" s="204" t="s">
        <v>2276</v>
      </c>
      <c r="U796" s="204" t="s">
        <v>2276</v>
      </c>
      <c r="V796" s="204" t="s">
        <v>2276</v>
      </c>
      <c r="W796" s="4" t="s">
        <v>8155</v>
      </c>
    </row>
    <row r="797" spans="1:23" ht="30" customHeight="1">
      <c r="A797" s="19" t="s">
        <v>8122</v>
      </c>
      <c r="B797" s="19" t="s">
        <v>8126</v>
      </c>
      <c r="C797" s="4" t="s">
        <v>24</v>
      </c>
      <c r="D797" s="4" t="s">
        <v>2659</v>
      </c>
      <c r="E797" s="4" t="s">
        <v>396</v>
      </c>
      <c r="F797" s="204" t="s">
        <v>28</v>
      </c>
      <c r="G797" s="204"/>
      <c r="H797" s="4" t="s">
        <v>541</v>
      </c>
      <c r="I797" s="204" t="s">
        <v>2276</v>
      </c>
      <c r="J797" s="204" t="s">
        <v>2276</v>
      </c>
      <c r="K797" s="204" t="s">
        <v>2276</v>
      </c>
      <c r="L797" s="204" t="s">
        <v>2276</v>
      </c>
      <c r="M797" s="204" t="s">
        <v>2728</v>
      </c>
      <c r="N797" s="204" t="s">
        <v>2276</v>
      </c>
      <c r="O797" s="204" t="s">
        <v>2276</v>
      </c>
      <c r="P797" s="204" t="s">
        <v>2276</v>
      </c>
      <c r="Q797" s="204" t="s">
        <v>2276</v>
      </c>
      <c r="R797" s="204" t="s">
        <v>537</v>
      </c>
      <c r="S797" s="204" t="s">
        <v>2276</v>
      </c>
      <c r="T797" s="204" t="s">
        <v>2276</v>
      </c>
      <c r="U797" s="204" t="s">
        <v>2276</v>
      </c>
      <c r="V797" s="204" t="s">
        <v>2276</v>
      </c>
      <c r="W797" s="4" t="s">
        <v>8155</v>
      </c>
    </row>
    <row r="798" spans="1:23" ht="30" customHeight="1">
      <c r="A798" s="19" t="s">
        <v>8123</v>
      </c>
      <c r="B798" s="19" t="s">
        <v>8127</v>
      </c>
      <c r="C798" s="4" t="s">
        <v>24</v>
      </c>
      <c r="D798" s="4" t="s">
        <v>2659</v>
      </c>
      <c r="E798" s="4" t="s">
        <v>396</v>
      </c>
      <c r="F798" s="204" t="s">
        <v>28</v>
      </c>
      <c r="G798" s="204"/>
      <c r="H798" s="4" t="s">
        <v>541</v>
      </c>
      <c r="I798" s="204" t="s">
        <v>2276</v>
      </c>
      <c r="J798" s="204" t="s">
        <v>2276</v>
      </c>
      <c r="K798" s="204" t="s">
        <v>2276</v>
      </c>
      <c r="L798" s="204" t="s">
        <v>2276</v>
      </c>
      <c r="M798" s="204" t="s">
        <v>2728</v>
      </c>
      <c r="N798" s="204" t="s">
        <v>2276</v>
      </c>
      <c r="O798" s="204" t="s">
        <v>2276</v>
      </c>
      <c r="P798" s="204" t="s">
        <v>2276</v>
      </c>
      <c r="Q798" s="204" t="s">
        <v>2276</v>
      </c>
      <c r="R798" s="204" t="s">
        <v>537</v>
      </c>
      <c r="S798" s="204" t="s">
        <v>2276</v>
      </c>
      <c r="T798" s="204" t="s">
        <v>2276</v>
      </c>
      <c r="U798" s="204" t="s">
        <v>2276</v>
      </c>
      <c r="V798" s="204" t="s">
        <v>2276</v>
      </c>
      <c r="W798" s="4" t="s">
        <v>8155</v>
      </c>
    </row>
    <row r="799" spans="1:23" ht="30" customHeight="1">
      <c r="A799" s="19" t="s">
        <v>8124</v>
      </c>
      <c r="B799" s="19" t="s">
        <v>8128</v>
      </c>
      <c r="C799" s="4" t="s">
        <v>24</v>
      </c>
      <c r="D799" s="4" t="s">
        <v>2659</v>
      </c>
      <c r="E799" s="4" t="s">
        <v>396</v>
      </c>
      <c r="F799" s="204" t="s">
        <v>28</v>
      </c>
      <c r="G799" s="204"/>
      <c r="H799" s="4" t="s">
        <v>541</v>
      </c>
      <c r="I799" s="204" t="s">
        <v>2276</v>
      </c>
      <c r="J799" s="204" t="s">
        <v>2276</v>
      </c>
      <c r="K799" s="204" t="s">
        <v>2276</v>
      </c>
      <c r="L799" s="204" t="s">
        <v>2276</v>
      </c>
      <c r="M799" s="204" t="s">
        <v>2728</v>
      </c>
      <c r="N799" s="204" t="s">
        <v>2276</v>
      </c>
      <c r="O799" s="204" t="s">
        <v>2276</v>
      </c>
      <c r="P799" s="204" t="s">
        <v>2276</v>
      </c>
      <c r="Q799" s="204" t="s">
        <v>2276</v>
      </c>
      <c r="R799" s="204" t="s">
        <v>537</v>
      </c>
      <c r="S799" s="204" t="s">
        <v>2276</v>
      </c>
      <c r="T799" s="204" t="s">
        <v>2276</v>
      </c>
      <c r="U799" s="204" t="s">
        <v>2276</v>
      </c>
      <c r="V799" s="204" t="s">
        <v>2276</v>
      </c>
      <c r="W799" s="4" t="s">
        <v>8155</v>
      </c>
    </row>
    <row r="800" spans="1:23" ht="28" customHeight="1">
      <c r="A800" s="19" t="s">
        <v>8115</v>
      </c>
      <c r="B800" s="19" t="s">
        <v>8129</v>
      </c>
      <c r="C800" s="4" t="s">
        <v>24</v>
      </c>
      <c r="D800" s="204" t="s">
        <v>1105</v>
      </c>
      <c r="E800" s="204" t="s">
        <v>1105</v>
      </c>
      <c r="F800" s="204" t="s">
        <v>74</v>
      </c>
      <c r="G800" s="204"/>
      <c r="H800" s="4" t="s">
        <v>541</v>
      </c>
      <c r="I800" s="204" t="s">
        <v>2276</v>
      </c>
      <c r="J800" s="204" t="s">
        <v>2276</v>
      </c>
      <c r="K800" s="204" t="s">
        <v>2276</v>
      </c>
      <c r="L800" s="204" t="s">
        <v>2276</v>
      </c>
      <c r="M800" s="204" t="s">
        <v>2276</v>
      </c>
      <c r="N800" s="204" t="s">
        <v>2276</v>
      </c>
      <c r="O800" s="204" t="s">
        <v>2276</v>
      </c>
      <c r="P800" s="204" t="s">
        <v>2276</v>
      </c>
      <c r="Q800" s="204" t="s">
        <v>2276</v>
      </c>
      <c r="R800" s="204" t="s">
        <v>534</v>
      </c>
      <c r="S800" s="204" t="s">
        <v>2276</v>
      </c>
      <c r="T800" s="204" t="s">
        <v>2276</v>
      </c>
      <c r="U800" s="204" t="s">
        <v>2276</v>
      </c>
      <c r="V800" s="204">
        <v>1</v>
      </c>
      <c r="W800" s="204" t="s">
        <v>8156</v>
      </c>
    </row>
    <row r="801" spans="1:23" ht="28" customHeight="1">
      <c r="A801" s="19" t="s">
        <v>8122</v>
      </c>
      <c r="B801" s="19" t="s">
        <v>8137</v>
      </c>
      <c r="C801" s="4" t="s">
        <v>24</v>
      </c>
      <c r="D801" s="204" t="s">
        <v>1105</v>
      </c>
      <c r="E801" s="204" t="s">
        <v>1105</v>
      </c>
      <c r="F801" s="204" t="s">
        <v>74</v>
      </c>
      <c r="G801" s="204"/>
      <c r="H801" s="4" t="s">
        <v>541</v>
      </c>
      <c r="I801" s="204" t="s">
        <v>2276</v>
      </c>
      <c r="J801" s="204" t="s">
        <v>2276</v>
      </c>
      <c r="K801" s="204" t="s">
        <v>2276</v>
      </c>
      <c r="L801" s="204" t="s">
        <v>2276</v>
      </c>
      <c r="M801" s="204" t="s">
        <v>2276</v>
      </c>
      <c r="N801" s="204" t="s">
        <v>2276</v>
      </c>
      <c r="O801" s="204" t="s">
        <v>2276</v>
      </c>
      <c r="P801" s="204" t="s">
        <v>2276</v>
      </c>
      <c r="Q801" s="204" t="s">
        <v>2276</v>
      </c>
      <c r="R801" s="204" t="s">
        <v>534</v>
      </c>
      <c r="S801" s="204" t="s">
        <v>2276</v>
      </c>
      <c r="T801" s="204" t="s">
        <v>2276</v>
      </c>
      <c r="U801" s="204" t="s">
        <v>2276</v>
      </c>
      <c r="V801" s="204">
        <v>1</v>
      </c>
      <c r="W801" s="204" t="s">
        <v>8156</v>
      </c>
    </row>
    <row r="802" spans="1:23" ht="28" customHeight="1">
      <c r="A802" s="19" t="s">
        <v>8123</v>
      </c>
      <c r="B802" s="19" t="s">
        <v>8142</v>
      </c>
      <c r="C802" s="4" t="s">
        <v>24</v>
      </c>
      <c r="D802" s="204" t="s">
        <v>1105</v>
      </c>
      <c r="E802" s="204" t="s">
        <v>1105</v>
      </c>
      <c r="F802" s="204" t="s">
        <v>74</v>
      </c>
      <c r="G802" s="204"/>
      <c r="H802" s="4" t="s">
        <v>541</v>
      </c>
      <c r="I802" s="204" t="s">
        <v>2276</v>
      </c>
      <c r="J802" s="204" t="s">
        <v>2276</v>
      </c>
      <c r="K802" s="204" t="s">
        <v>2276</v>
      </c>
      <c r="L802" s="204" t="s">
        <v>2276</v>
      </c>
      <c r="M802" s="204" t="s">
        <v>2276</v>
      </c>
      <c r="N802" s="204" t="s">
        <v>2276</v>
      </c>
      <c r="O802" s="204" t="s">
        <v>2276</v>
      </c>
      <c r="P802" s="204" t="s">
        <v>2276</v>
      </c>
      <c r="Q802" s="204" t="s">
        <v>2276</v>
      </c>
      <c r="R802" s="204" t="s">
        <v>534</v>
      </c>
      <c r="S802" s="204" t="s">
        <v>2276</v>
      </c>
      <c r="T802" s="204" t="s">
        <v>2276</v>
      </c>
      <c r="U802" s="204" t="s">
        <v>2276</v>
      </c>
      <c r="V802" s="204">
        <v>1</v>
      </c>
      <c r="W802" s="204" t="s">
        <v>8156</v>
      </c>
    </row>
    <row r="803" spans="1:23" ht="28" customHeight="1">
      <c r="A803" s="19" t="s">
        <v>8124</v>
      </c>
      <c r="B803" s="19" t="s">
        <v>8148</v>
      </c>
      <c r="C803" s="4" t="s">
        <v>24</v>
      </c>
      <c r="D803" s="204" t="s">
        <v>1105</v>
      </c>
      <c r="E803" s="204" t="s">
        <v>1105</v>
      </c>
      <c r="F803" s="204" t="s">
        <v>74</v>
      </c>
      <c r="G803" s="204"/>
      <c r="H803" s="4" t="s">
        <v>541</v>
      </c>
      <c r="I803" s="204" t="s">
        <v>2276</v>
      </c>
      <c r="J803" s="204" t="s">
        <v>2276</v>
      </c>
      <c r="K803" s="204" t="s">
        <v>2276</v>
      </c>
      <c r="L803" s="204" t="s">
        <v>2276</v>
      </c>
      <c r="M803" s="204" t="s">
        <v>2276</v>
      </c>
      <c r="N803" s="204" t="s">
        <v>2276</v>
      </c>
      <c r="O803" s="204" t="s">
        <v>2276</v>
      </c>
      <c r="P803" s="204" t="s">
        <v>2276</v>
      </c>
      <c r="Q803" s="204" t="s">
        <v>2276</v>
      </c>
      <c r="R803" s="204" t="s">
        <v>534</v>
      </c>
      <c r="S803" s="204" t="s">
        <v>2276</v>
      </c>
      <c r="T803" s="204" t="s">
        <v>2276</v>
      </c>
      <c r="U803" s="204" t="s">
        <v>2276</v>
      </c>
      <c r="V803" s="204">
        <v>1</v>
      </c>
      <c r="W803" s="204" t="s">
        <v>8156</v>
      </c>
    </row>
    <row r="804" spans="1:23" ht="33.5" customHeight="1">
      <c r="A804" s="19" t="s">
        <v>8167</v>
      </c>
      <c r="B804" s="19" t="s">
        <v>8171</v>
      </c>
      <c r="C804" s="4" t="s">
        <v>24</v>
      </c>
      <c r="D804" s="4" t="s">
        <v>1105</v>
      </c>
      <c r="E804" s="4" t="s">
        <v>1105</v>
      </c>
      <c r="F804" s="4" t="s">
        <v>2662</v>
      </c>
      <c r="G804" s="204"/>
      <c r="H804" s="4" t="s">
        <v>2673</v>
      </c>
      <c r="I804" s="204" t="s">
        <v>2276</v>
      </c>
      <c r="J804" s="204" t="s">
        <v>2276</v>
      </c>
      <c r="K804" s="204" t="s">
        <v>2276</v>
      </c>
      <c r="L804" s="204" t="s">
        <v>2276</v>
      </c>
      <c r="M804" s="204" t="s">
        <v>2670</v>
      </c>
      <c r="N804" s="204" t="s">
        <v>2276</v>
      </c>
      <c r="O804" s="204" t="s">
        <v>2276</v>
      </c>
      <c r="P804" s="204" t="s">
        <v>2276</v>
      </c>
      <c r="Q804" s="204" t="s">
        <v>2276</v>
      </c>
      <c r="R804" s="204" t="s">
        <v>2276</v>
      </c>
      <c r="S804" s="204" t="s">
        <v>2276</v>
      </c>
      <c r="T804" s="204" t="s">
        <v>2276</v>
      </c>
      <c r="U804" s="204" t="s">
        <v>2276</v>
      </c>
      <c r="V804" s="204" t="s">
        <v>2276</v>
      </c>
      <c r="W804" s="4" t="s">
        <v>8189</v>
      </c>
    </row>
    <row r="805" spans="1:23" ht="33.5" customHeight="1">
      <c r="A805" s="19" t="s">
        <v>8168</v>
      </c>
      <c r="B805" s="19" t="s">
        <v>8181</v>
      </c>
      <c r="C805" s="4" t="s">
        <v>24</v>
      </c>
      <c r="D805" s="4" t="s">
        <v>1105</v>
      </c>
      <c r="E805" s="4" t="s">
        <v>1105</v>
      </c>
      <c r="F805" s="4" t="s">
        <v>2662</v>
      </c>
      <c r="G805" s="204"/>
      <c r="H805" s="4" t="s">
        <v>2673</v>
      </c>
      <c r="I805" s="204" t="s">
        <v>2276</v>
      </c>
      <c r="J805" s="204" t="s">
        <v>2276</v>
      </c>
      <c r="K805" s="204" t="s">
        <v>2276</v>
      </c>
      <c r="L805" s="204" t="s">
        <v>2276</v>
      </c>
      <c r="M805" s="204" t="s">
        <v>2670</v>
      </c>
      <c r="N805" s="204" t="s">
        <v>2276</v>
      </c>
      <c r="O805" s="204" t="s">
        <v>2276</v>
      </c>
      <c r="P805" s="204" t="s">
        <v>2276</v>
      </c>
      <c r="Q805" s="204" t="s">
        <v>2276</v>
      </c>
      <c r="R805" s="204" t="s">
        <v>2276</v>
      </c>
      <c r="S805" s="204" t="s">
        <v>2276</v>
      </c>
      <c r="T805" s="204" t="s">
        <v>2276</v>
      </c>
      <c r="U805" s="204" t="s">
        <v>2276</v>
      </c>
      <c r="V805" s="204" t="s">
        <v>2276</v>
      </c>
      <c r="W805" s="4" t="s">
        <v>8189</v>
      </c>
    </row>
    <row r="806" spans="1:23" ht="37" customHeight="1">
      <c r="A806" s="19" t="s">
        <v>8191</v>
      </c>
      <c r="B806" s="19" t="s">
        <v>8194</v>
      </c>
      <c r="C806" s="4" t="s">
        <v>24</v>
      </c>
      <c r="D806" s="4" t="s">
        <v>1242</v>
      </c>
      <c r="E806" s="4" t="s">
        <v>137</v>
      </c>
      <c r="F806" s="4" t="s">
        <v>2662</v>
      </c>
      <c r="G806" s="204"/>
      <c r="H806" s="4" t="s">
        <v>2673</v>
      </c>
      <c r="I806" s="204" t="s">
        <v>2691</v>
      </c>
      <c r="J806" s="204" t="s">
        <v>534</v>
      </c>
      <c r="K806" s="204" t="s">
        <v>534</v>
      </c>
      <c r="L806" s="204" t="s">
        <v>2276</v>
      </c>
      <c r="M806" s="204" t="s">
        <v>2276</v>
      </c>
      <c r="N806" s="204" t="s">
        <v>2276</v>
      </c>
      <c r="O806" s="204" t="s">
        <v>2276</v>
      </c>
      <c r="P806" s="204" t="s">
        <v>2276</v>
      </c>
      <c r="Q806" s="204" t="s">
        <v>2276</v>
      </c>
      <c r="R806" s="204" t="s">
        <v>537</v>
      </c>
      <c r="S806" s="204" t="s">
        <v>537</v>
      </c>
      <c r="T806" s="204" t="s">
        <v>537</v>
      </c>
      <c r="U806" s="204" t="s">
        <v>537</v>
      </c>
      <c r="V806" s="204" t="s">
        <v>2276</v>
      </c>
      <c r="W806" s="11" t="s">
        <v>8200</v>
      </c>
    </row>
    <row r="807" spans="1:23" ht="38" customHeight="1">
      <c r="A807" s="19" t="s">
        <v>8271</v>
      </c>
      <c r="B807" s="19" t="s">
        <v>8275</v>
      </c>
      <c r="C807" s="4" t="s">
        <v>24</v>
      </c>
      <c r="D807" s="204" t="s">
        <v>1245</v>
      </c>
      <c r="E807" s="204" t="s">
        <v>116</v>
      </c>
      <c r="F807" s="204" t="s">
        <v>74</v>
      </c>
      <c r="G807" s="204"/>
      <c r="H807" s="4" t="s">
        <v>2673</v>
      </c>
      <c r="I807" s="204" t="s">
        <v>2276</v>
      </c>
      <c r="J807" s="204" t="s">
        <v>2276</v>
      </c>
      <c r="K807" s="204" t="s">
        <v>2276</v>
      </c>
      <c r="L807" s="204" t="s">
        <v>2276</v>
      </c>
      <c r="M807" s="204" t="s">
        <v>2276</v>
      </c>
      <c r="N807" s="204" t="s">
        <v>2276</v>
      </c>
      <c r="O807" s="204" t="s">
        <v>2276</v>
      </c>
      <c r="P807" s="204" t="s">
        <v>2276</v>
      </c>
      <c r="Q807" s="204" t="s">
        <v>2276</v>
      </c>
      <c r="R807" s="204" t="s">
        <v>534</v>
      </c>
      <c r="S807" s="204" t="s">
        <v>2276</v>
      </c>
      <c r="T807" s="204" t="s">
        <v>2276</v>
      </c>
      <c r="U807" s="204" t="s">
        <v>2276</v>
      </c>
      <c r="V807" s="204">
        <v>4</v>
      </c>
      <c r="W807" s="19" t="s">
        <v>8281</v>
      </c>
    </row>
    <row r="808" spans="1:23" ht="64.5" customHeight="1">
      <c r="A808" s="19" t="s">
        <v>8286</v>
      </c>
      <c r="B808" s="19" t="s">
        <v>8290</v>
      </c>
      <c r="C808" s="4" t="s">
        <v>24</v>
      </c>
      <c r="D808" s="4" t="s">
        <v>1242</v>
      </c>
      <c r="E808" s="204" t="s">
        <v>116</v>
      </c>
      <c r="F808" s="4" t="s">
        <v>2662</v>
      </c>
      <c r="G808" s="204"/>
      <c r="H808" s="4" t="s">
        <v>2673</v>
      </c>
      <c r="I808" s="204" t="s">
        <v>2691</v>
      </c>
      <c r="J808" s="204" t="s">
        <v>2276</v>
      </c>
      <c r="K808" s="204" t="s">
        <v>534</v>
      </c>
      <c r="L808" s="204" t="s">
        <v>2276</v>
      </c>
      <c r="M808" s="204" t="s">
        <v>2728</v>
      </c>
      <c r="N808" s="204" t="s">
        <v>534</v>
      </c>
      <c r="O808" s="204" t="s">
        <v>2276</v>
      </c>
      <c r="P808" s="204" t="s">
        <v>534</v>
      </c>
      <c r="Q808" s="204">
        <v>4</v>
      </c>
      <c r="R808" s="204" t="s">
        <v>2276</v>
      </c>
      <c r="S808" s="204" t="s">
        <v>2276</v>
      </c>
      <c r="T808" s="204" t="s">
        <v>2276</v>
      </c>
      <c r="U808" s="204" t="s">
        <v>2276</v>
      </c>
      <c r="V808" s="204" t="s">
        <v>2276</v>
      </c>
      <c r="W808" s="19" t="s">
        <v>8297</v>
      </c>
    </row>
    <row r="809" spans="1:23" ht="58" customHeight="1">
      <c r="A809" s="19" t="s">
        <v>8299</v>
      </c>
      <c r="B809" s="19" t="s">
        <v>8301</v>
      </c>
      <c r="C809" s="4" t="s">
        <v>24</v>
      </c>
      <c r="D809" s="204" t="s">
        <v>1245</v>
      </c>
      <c r="E809" s="204" t="s">
        <v>116</v>
      </c>
      <c r="F809" s="4" t="s">
        <v>2662</v>
      </c>
      <c r="G809" s="204"/>
      <c r="H809" s="4" t="s">
        <v>2673</v>
      </c>
      <c r="I809" s="204" t="s">
        <v>2276</v>
      </c>
      <c r="J809" s="204" t="s">
        <v>2276</v>
      </c>
      <c r="K809" s="204" t="s">
        <v>2276</v>
      </c>
      <c r="L809" s="204" t="s">
        <v>2276</v>
      </c>
      <c r="M809" s="204" t="s">
        <v>2669</v>
      </c>
      <c r="N809" s="204" t="s">
        <v>534</v>
      </c>
      <c r="O809" s="204" t="s">
        <v>2276</v>
      </c>
      <c r="P809" s="204" t="s">
        <v>534</v>
      </c>
      <c r="Q809" s="204">
        <v>4</v>
      </c>
      <c r="R809" s="204" t="s">
        <v>2276</v>
      </c>
      <c r="S809" s="204" t="s">
        <v>2276</v>
      </c>
      <c r="T809" s="204" t="s">
        <v>2276</v>
      </c>
      <c r="U809" s="204" t="s">
        <v>2276</v>
      </c>
      <c r="V809" s="204" t="s">
        <v>2276</v>
      </c>
      <c r="W809" s="19" t="s">
        <v>8304</v>
      </c>
    </row>
    <row r="810" spans="1:23" ht="43.5">
      <c r="A810" s="19" t="s">
        <v>8314</v>
      </c>
      <c r="B810" s="19" t="s">
        <v>8325</v>
      </c>
      <c r="C810" s="4" t="s">
        <v>24</v>
      </c>
      <c r="D810" s="204" t="s">
        <v>1105</v>
      </c>
      <c r="E810" s="4" t="s">
        <v>3854</v>
      </c>
      <c r="F810" s="204" t="s">
        <v>2276</v>
      </c>
      <c r="G810" s="204"/>
      <c r="H810" s="4" t="s">
        <v>2673</v>
      </c>
      <c r="I810" s="204" t="s">
        <v>2276</v>
      </c>
      <c r="J810" s="204" t="s">
        <v>2276</v>
      </c>
      <c r="K810" s="204" t="s">
        <v>2276</v>
      </c>
      <c r="L810" s="204" t="s">
        <v>2276</v>
      </c>
      <c r="M810" s="204" t="s">
        <v>2276</v>
      </c>
      <c r="N810" s="204" t="s">
        <v>2276</v>
      </c>
      <c r="O810" s="204" t="s">
        <v>2276</v>
      </c>
      <c r="P810" s="204" t="s">
        <v>2276</v>
      </c>
      <c r="Q810" s="204" t="s">
        <v>2276</v>
      </c>
      <c r="R810" s="204" t="s">
        <v>534</v>
      </c>
      <c r="S810" s="204" t="s">
        <v>2276</v>
      </c>
      <c r="T810" s="204" t="s">
        <v>2276</v>
      </c>
      <c r="U810" s="204" t="s">
        <v>2276</v>
      </c>
      <c r="V810" s="204">
        <v>2</v>
      </c>
      <c r="W810" s="19" t="s">
        <v>8353</v>
      </c>
    </row>
    <row r="811" spans="1:23" ht="43.5">
      <c r="A811" s="19" t="s">
        <v>8315</v>
      </c>
      <c r="B811" s="19" t="s">
        <v>8330</v>
      </c>
      <c r="C811" s="4" t="s">
        <v>24</v>
      </c>
      <c r="D811" s="204" t="s">
        <v>1105</v>
      </c>
      <c r="E811" s="4" t="s">
        <v>3854</v>
      </c>
      <c r="F811" s="204" t="s">
        <v>2276</v>
      </c>
      <c r="G811" s="204"/>
      <c r="H811" s="4" t="s">
        <v>2673</v>
      </c>
      <c r="I811" s="204" t="s">
        <v>2276</v>
      </c>
      <c r="J811" s="204" t="s">
        <v>2276</v>
      </c>
      <c r="K811" s="204" t="s">
        <v>2276</v>
      </c>
      <c r="L811" s="204" t="s">
        <v>2276</v>
      </c>
      <c r="M811" s="204" t="s">
        <v>2276</v>
      </c>
      <c r="N811" s="204" t="s">
        <v>2276</v>
      </c>
      <c r="O811" s="204" t="s">
        <v>2276</v>
      </c>
      <c r="P811" s="204" t="s">
        <v>2276</v>
      </c>
      <c r="Q811" s="204" t="s">
        <v>2276</v>
      </c>
      <c r="R811" s="204" t="s">
        <v>534</v>
      </c>
      <c r="S811" s="204" t="s">
        <v>2276</v>
      </c>
      <c r="T811" s="204" t="s">
        <v>2276</v>
      </c>
      <c r="U811" s="204" t="s">
        <v>2276</v>
      </c>
      <c r="V811" s="204">
        <v>2</v>
      </c>
      <c r="W811" s="19" t="s">
        <v>8353</v>
      </c>
    </row>
    <row r="812" spans="1:23" ht="43.5">
      <c r="A812" s="19" t="s">
        <v>8318</v>
      </c>
      <c r="B812" s="19" t="s">
        <v>8336</v>
      </c>
      <c r="C812" s="4" t="s">
        <v>24</v>
      </c>
      <c r="D812" s="204" t="s">
        <v>1105</v>
      </c>
      <c r="E812" s="4" t="s">
        <v>3854</v>
      </c>
      <c r="F812" s="204" t="s">
        <v>2276</v>
      </c>
      <c r="G812" s="204"/>
      <c r="H812" s="4" t="s">
        <v>2673</v>
      </c>
      <c r="I812" s="204" t="s">
        <v>2276</v>
      </c>
      <c r="J812" s="204" t="s">
        <v>2276</v>
      </c>
      <c r="K812" s="204" t="s">
        <v>2276</v>
      </c>
      <c r="L812" s="204" t="s">
        <v>2276</v>
      </c>
      <c r="M812" s="204" t="s">
        <v>2276</v>
      </c>
      <c r="N812" s="204" t="s">
        <v>2276</v>
      </c>
      <c r="O812" s="204" t="s">
        <v>2276</v>
      </c>
      <c r="P812" s="204" t="s">
        <v>2276</v>
      </c>
      <c r="Q812" s="204" t="s">
        <v>2276</v>
      </c>
      <c r="R812" s="204" t="s">
        <v>534</v>
      </c>
      <c r="S812" s="204" t="s">
        <v>2276</v>
      </c>
      <c r="T812" s="204" t="s">
        <v>2276</v>
      </c>
      <c r="U812" s="204" t="s">
        <v>2276</v>
      </c>
      <c r="V812" s="204">
        <v>2</v>
      </c>
      <c r="W812" s="19" t="s">
        <v>8353</v>
      </c>
    </row>
    <row r="813" spans="1:23" ht="43.5">
      <c r="A813" s="19" t="s">
        <v>8319</v>
      </c>
      <c r="B813" s="19" t="s">
        <v>8345</v>
      </c>
      <c r="C813" s="4" t="s">
        <v>24</v>
      </c>
      <c r="D813" s="204" t="s">
        <v>1105</v>
      </c>
      <c r="E813" s="4" t="s">
        <v>3854</v>
      </c>
      <c r="F813" s="204" t="s">
        <v>2276</v>
      </c>
      <c r="G813" s="204"/>
      <c r="H813" s="4" t="s">
        <v>2673</v>
      </c>
      <c r="I813" s="204" t="s">
        <v>2276</v>
      </c>
      <c r="J813" s="204" t="s">
        <v>2276</v>
      </c>
      <c r="K813" s="204" t="s">
        <v>2276</v>
      </c>
      <c r="L813" s="204" t="s">
        <v>2276</v>
      </c>
      <c r="M813" s="204" t="s">
        <v>2276</v>
      </c>
      <c r="N813" s="204" t="s">
        <v>2276</v>
      </c>
      <c r="O813" s="204" t="s">
        <v>2276</v>
      </c>
      <c r="P813" s="204" t="s">
        <v>2276</v>
      </c>
      <c r="Q813" s="204" t="s">
        <v>2276</v>
      </c>
      <c r="R813" s="204" t="s">
        <v>534</v>
      </c>
      <c r="S813" s="204" t="s">
        <v>2276</v>
      </c>
      <c r="T813" s="204" t="s">
        <v>2276</v>
      </c>
      <c r="U813" s="204" t="s">
        <v>2276</v>
      </c>
      <c r="V813" s="204">
        <v>2</v>
      </c>
      <c r="W813" s="19" t="s">
        <v>8353</v>
      </c>
    </row>
    <row r="814" spans="1:23" ht="41" customHeight="1">
      <c r="A814" s="19" t="s">
        <v>8416</v>
      </c>
      <c r="B814" s="19" t="s">
        <v>8418</v>
      </c>
      <c r="C814" s="4" t="s">
        <v>24</v>
      </c>
      <c r="D814" s="204" t="s">
        <v>2659</v>
      </c>
      <c r="E814" s="204" t="s">
        <v>2276</v>
      </c>
      <c r="F814" s="204" t="s">
        <v>28</v>
      </c>
      <c r="G814" s="204"/>
      <c r="H814" s="4" t="s">
        <v>541</v>
      </c>
      <c r="I814" s="204" t="s">
        <v>2276</v>
      </c>
      <c r="J814" s="204" t="s">
        <v>2276</v>
      </c>
      <c r="K814" s="204" t="s">
        <v>2276</v>
      </c>
      <c r="L814" s="204" t="s">
        <v>2276</v>
      </c>
      <c r="M814" s="204" t="s">
        <v>2276</v>
      </c>
      <c r="N814" s="204" t="s">
        <v>2276</v>
      </c>
      <c r="O814" s="204" t="s">
        <v>2276</v>
      </c>
      <c r="P814" s="204" t="s">
        <v>2276</v>
      </c>
      <c r="Q814" s="204" t="s">
        <v>2276</v>
      </c>
      <c r="R814" s="204" t="s">
        <v>537</v>
      </c>
      <c r="S814" s="204" t="s">
        <v>537</v>
      </c>
      <c r="T814" s="204" t="s">
        <v>537</v>
      </c>
      <c r="U814" s="204" t="s">
        <v>537</v>
      </c>
      <c r="V814" s="204" t="s">
        <v>2276</v>
      </c>
      <c r="W814" s="204"/>
    </row>
    <row r="815" spans="1:23" ht="47.5" customHeight="1">
      <c r="A815" s="19" t="s">
        <v>8416</v>
      </c>
      <c r="B815" s="19" t="s">
        <v>8419</v>
      </c>
      <c r="C815" s="4" t="s">
        <v>24</v>
      </c>
      <c r="D815" s="204" t="s">
        <v>2659</v>
      </c>
      <c r="E815" s="204" t="s">
        <v>2276</v>
      </c>
      <c r="F815" s="204" t="s">
        <v>28</v>
      </c>
      <c r="G815" s="204"/>
      <c r="H815" s="4" t="s">
        <v>541</v>
      </c>
      <c r="I815" s="204" t="s">
        <v>2276</v>
      </c>
      <c r="J815" s="204" t="s">
        <v>2276</v>
      </c>
      <c r="K815" s="204" t="s">
        <v>2276</v>
      </c>
      <c r="L815" s="204" t="s">
        <v>2276</v>
      </c>
      <c r="M815" s="204" t="s">
        <v>2276</v>
      </c>
      <c r="N815" s="204" t="s">
        <v>2276</v>
      </c>
      <c r="O815" s="204" t="s">
        <v>2276</v>
      </c>
      <c r="P815" s="204" t="s">
        <v>2276</v>
      </c>
      <c r="Q815" s="204" t="s">
        <v>2276</v>
      </c>
      <c r="R815" s="204" t="s">
        <v>534</v>
      </c>
      <c r="S815" s="204" t="s">
        <v>2276</v>
      </c>
      <c r="T815" s="204" t="s">
        <v>2276</v>
      </c>
      <c r="U815" s="204" t="s">
        <v>2276</v>
      </c>
      <c r="V815" s="204">
        <v>4</v>
      </c>
      <c r="W815" s="4" t="s">
        <v>8420</v>
      </c>
    </row>
    <row r="816" spans="1:23" ht="37" customHeight="1">
      <c r="A816" s="19" t="s">
        <v>8425</v>
      </c>
      <c r="B816" s="19" t="s">
        <v>8428</v>
      </c>
      <c r="C816" s="204" t="s">
        <v>24</v>
      </c>
      <c r="D816" s="204" t="s">
        <v>2659</v>
      </c>
      <c r="E816" s="204" t="s">
        <v>2276</v>
      </c>
      <c r="F816" s="204" t="s">
        <v>28</v>
      </c>
      <c r="G816" s="204">
        <v>1992</v>
      </c>
      <c r="H816" s="4" t="s">
        <v>2673</v>
      </c>
      <c r="I816" s="204" t="s">
        <v>2276</v>
      </c>
      <c r="J816" s="204" t="s">
        <v>2276</v>
      </c>
      <c r="K816" s="204" t="s">
        <v>2276</v>
      </c>
      <c r="L816" s="204" t="s">
        <v>2276</v>
      </c>
      <c r="M816" s="204" t="s">
        <v>2671</v>
      </c>
      <c r="N816" s="204" t="s">
        <v>2276</v>
      </c>
      <c r="O816" s="204" t="s">
        <v>2276</v>
      </c>
      <c r="P816" s="204" t="s">
        <v>534</v>
      </c>
      <c r="Q816" s="204">
        <v>4</v>
      </c>
      <c r="R816" s="204" t="s">
        <v>537</v>
      </c>
      <c r="S816" s="204" t="s">
        <v>537</v>
      </c>
      <c r="T816" s="204" t="s">
        <v>537</v>
      </c>
      <c r="U816" s="204" t="s">
        <v>537</v>
      </c>
      <c r="V816" s="204" t="s">
        <v>2276</v>
      </c>
      <c r="W816" s="19" t="s">
        <v>8423</v>
      </c>
    </row>
    <row r="817" spans="1:23" ht="38" customHeight="1">
      <c r="A817" s="19" t="s">
        <v>8425</v>
      </c>
      <c r="B817" s="19" t="s">
        <v>8429</v>
      </c>
      <c r="C817" s="204" t="s">
        <v>24</v>
      </c>
      <c r="D817" s="204" t="s">
        <v>2659</v>
      </c>
      <c r="E817" s="204" t="s">
        <v>2276</v>
      </c>
      <c r="F817" s="204" t="s">
        <v>28</v>
      </c>
      <c r="G817" s="204">
        <v>1980</v>
      </c>
      <c r="H817" s="4" t="s">
        <v>2673</v>
      </c>
      <c r="I817" s="204" t="s">
        <v>2276</v>
      </c>
      <c r="J817" s="204" t="s">
        <v>2276</v>
      </c>
      <c r="K817" s="204" t="s">
        <v>2276</v>
      </c>
      <c r="L817" s="204" t="s">
        <v>2276</v>
      </c>
      <c r="M817" s="204" t="s">
        <v>537</v>
      </c>
      <c r="N817" s="204" t="s">
        <v>537</v>
      </c>
      <c r="O817" s="204" t="s">
        <v>537</v>
      </c>
      <c r="P817" s="204" t="s">
        <v>537</v>
      </c>
      <c r="Q817" s="204">
        <v>4</v>
      </c>
      <c r="R817" s="204" t="s">
        <v>537</v>
      </c>
      <c r="S817" s="204" t="s">
        <v>537</v>
      </c>
      <c r="T817" s="204" t="s">
        <v>537</v>
      </c>
      <c r="U817" s="204" t="s">
        <v>537</v>
      </c>
      <c r="V817" s="204" t="s">
        <v>2276</v>
      </c>
      <c r="W817" s="19"/>
    </row>
    <row r="818" spans="1:23" ht="45.5" customHeight="1">
      <c r="A818" s="204" t="s">
        <v>8421</v>
      </c>
      <c r="B818" s="204" t="s">
        <v>8422</v>
      </c>
      <c r="C818" s="204" t="s">
        <v>24</v>
      </c>
      <c r="D818" s="204" t="s">
        <v>2659</v>
      </c>
      <c r="E818" s="204" t="s">
        <v>2276</v>
      </c>
      <c r="F818" s="204" t="s">
        <v>28</v>
      </c>
      <c r="G818" s="204"/>
      <c r="H818" s="4" t="s">
        <v>2673</v>
      </c>
      <c r="I818" s="204" t="s">
        <v>2276</v>
      </c>
      <c r="J818" s="204" t="s">
        <v>2276</v>
      </c>
      <c r="K818" s="204" t="s">
        <v>2276</v>
      </c>
      <c r="L818" s="204" t="s">
        <v>2276</v>
      </c>
      <c r="M818" s="204" t="s">
        <v>2671</v>
      </c>
      <c r="N818" s="204" t="s">
        <v>2276</v>
      </c>
      <c r="O818" s="204" t="s">
        <v>2276</v>
      </c>
      <c r="P818" s="204" t="s">
        <v>534</v>
      </c>
      <c r="Q818" s="204" t="s">
        <v>2276</v>
      </c>
      <c r="R818" s="204" t="s">
        <v>2276</v>
      </c>
      <c r="S818" s="204" t="s">
        <v>2276</v>
      </c>
      <c r="T818" s="204" t="s">
        <v>2276</v>
      </c>
      <c r="U818" s="204" t="s">
        <v>2276</v>
      </c>
      <c r="V818" s="204" t="s">
        <v>2276</v>
      </c>
      <c r="W818" s="19"/>
    </row>
    <row r="819" spans="1:23" ht="75.5" customHeight="1">
      <c r="A819" s="204" t="s">
        <v>8434</v>
      </c>
      <c r="B819" s="204" t="s">
        <v>8436</v>
      </c>
      <c r="C819" s="204" t="s">
        <v>24</v>
      </c>
      <c r="D819" s="204" t="s">
        <v>2659</v>
      </c>
      <c r="E819" s="204" t="s">
        <v>2276</v>
      </c>
      <c r="F819" s="204" t="s">
        <v>28</v>
      </c>
      <c r="G819" s="204"/>
      <c r="H819" s="4" t="s">
        <v>541</v>
      </c>
      <c r="I819" s="204" t="s">
        <v>2690</v>
      </c>
      <c r="J819" s="204" t="s">
        <v>2276</v>
      </c>
      <c r="K819" s="204" t="s">
        <v>534</v>
      </c>
      <c r="L819" s="204" t="s">
        <v>2276</v>
      </c>
      <c r="M819" s="204" t="s">
        <v>2276</v>
      </c>
      <c r="N819" s="204" t="s">
        <v>2276</v>
      </c>
      <c r="O819" s="204" t="s">
        <v>2276</v>
      </c>
      <c r="P819" s="204" t="s">
        <v>2276</v>
      </c>
      <c r="Q819" s="204" t="s">
        <v>2276</v>
      </c>
      <c r="R819" s="204" t="s">
        <v>2276</v>
      </c>
      <c r="S819" s="204" t="s">
        <v>2276</v>
      </c>
      <c r="T819" s="204" t="s">
        <v>2276</v>
      </c>
      <c r="U819" s="204" t="s">
        <v>2276</v>
      </c>
      <c r="V819" s="204" t="s">
        <v>2276</v>
      </c>
      <c r="W819" s="19" t="s">
        <v>8437</v>
      </c>
    </row>
    <row r="820" spans="1:23" ht="55.5" customHeight="1">
      <c r="A820" s="204" t="s">
        <v>8451</v>
      </c>
      <c r="B820" s="204" t="s">
        <v>8454</v>
      </c>
      <c r="C820" s="204" t="s">
        <v>24</v>
      </c>
      <c r="D820" s="204" t="s">
        <v>2659</v>
      </c>
      <c r="E820" s="4" t="s">
        <v>397</v>
      </c>
      <c r="F820" s="204" t="s">
        <v>28</v>
      </c>
      <c r="G820" s="52"/>
      <c r="H820" s="4" t="s">
        <v>2673</v>
      </c>
      <c r="I820" s="204" t="s">
        <v>2276</v>
      </c>
      <c r="J820" s="204" t="s">
        <v>2276</v>
      </c>
      <c r="K820" s="204" t="s">
        <v>2276</v>
      </c>
      <c r="L820" s="204" t="s">
        <v>2276</v>
      </c>
      <c r="M820" s="204" t="s">
        <v>2276</v>
      </c>
      <c r="N820" s="204" t="s">
        <v>2276</v>
      </c>
      <c r="O820" s="204" t="s">
        <v>2276</v>
      </c>
      <c r="P820" s="204" t="s">
        <v>2276</v>
      </c>
      <c r="Q820" s="204" t="s">
        <v>2276</v>
      </c>
      <c r="R820" s="204" t="s">
        <v>534</v>
      </c>
      <c r="S820" s="204" t="s">
        <v>2276</v>
      </c>
      <c r="T820" s="204" t="s">
        <v>2276</v>
      </c>
      <c r="U820" s="204" t="s">
        <v>2276</v>
      </c>
      <c r="V820" s="204">
        <v>5</v>
      </c>
      <c r="W820" s="233" t="s">
        <v>8458</v>
      </c>
    </row>
    <row r="821" spans="1:23" ht="55.5" customHeight="1">
      <c r="A821" s="204" t="s">
        <v>8451</v>
      </c>
      <c r="B821" s="204" t="s">
        <v>8455</v>
      </c>
      <c r="C821" s="204" t="s">
        <v>24</v>
      </c>
      <c r="D821" s="204" t="s">
        <v>2659</v>
      </c>
      <c r="E821" s="4" t="s">
        <v>396</v>
      </c>
      <c r="F821" s="204" t="s">
        <v>28</v>
      </c>
      <c r="G821" s="204"/>
      <c r="H821" s="4" t="s">
        <v>2673</v>
      </c>
      <c r="I821" s="204" t="s">
        <v>2276</v>
      </c>
      <c r="J821" s="204" t="s">
        <v>2276</v>
      </c>
      <c r="K821" s="204" t="s">
        <v>2276</v>
      </c>
      <c r="L821" s="204" t="s">
        <v>2276</v>
      </c>
      <c r="M821" s="204" t="s">
        <v>2276</v>
      </c>
      <c r="N821" s="204" t="s">
        <v>2276</v>
      </c>
      <c r="O821" s="204" t="s">
        <v>2276</v>
      </c>
      <c r="P821" s="204" t="s">
        <v>2276</v>
      </c>
      <c r="Q821" s="204" t="s">
        <v>2276</v>
      </c>
      <c r="R821" s="204" t="s">
        <v>534</v>
      </c>
      <c r="S821" s="204" t="s">
        <v>2276</v>
      </c>
      <c r="T821" s="204" t="s">
        <v>2276</v>
      </c>
      <c r="U821" s="204" t="s">
        <v>2276</v>
      </c>
      <c r="V821" s="204">
        <v>5</v>
      </c>
      <c r="W821" s="233" t="s">
        <v>8458</v>
      </c>
    </row>
    <row r="822" spans="1:23" ht="55.5" customHeight="1">
      <c r="A822" s="204" t="s">
        <v>8451</v>
      </c>
      <c r="B822" s="204" t="s">
        <v>8456</v>
      </c>
      <c r="C822" s="204" t="s">
        <v>24</v>
      </c>
      <c r="D822" s="204" t="s">
        <v>2659</v>
      </c>
      <c r="E822" s="4" t="s">
        <v>397</v>
      </c>
      <c r="F822" s="204" t="s">
        <v>28</v>
      </c>
      <c r="G822" s="204"/>
      <c r="H822" s="4" t="s">
        <v>1093</v>
      </c>
      <c r="I822" s="204" t="s">
        <v>2690</v>
      </c>
      <c r="J822" s="204" t="s">
        <v>2276</v>
      </c>
      <c r="K822" s="204" t="s">
        <v>2276</v>
      </c>
      <c r="L822" s="204" t="s">
        <v>2276</v>
      </c>
      <c r="M822" s="204" t="s">
        <v>2276</v>
      </c>
      <c r="N822" s="204" t="s">
        <v>2276</v>
      </c>
      <c r="O822" s="204" t="s">
        <v>2276</v>
      </c>
      <c r="P822" s="204" t="s">
        <v>2276</v>
      </c>
      <c r="Q822" s="204" t="s">
        <v>2276</v>
      </c>
      <c r="R822" s="204" t="s">
        <v>2276</v>
      </c>
      <c r="S822" s="204" t="s">
        <v>2276</v>
      </c>
      <c r="T822" s="204" t="s">
        <v>2276</v>
      </c>
      <c r="U822" s="204" t="s">
        <v>2276</v>
      </c>
      <c r="V822" s="204" t="s">
        <v>2276</v>
      </c>
      <c r="W822" s="4" t="s">
        <v>8459</v>
      </c>
    </row>
    <row r="823" spans="1:23" ht="55.5" customHeight="1">
      <c r="A823" s="204" t="s">
        <v>8451</v>
      </c>
      <c r="B823" s="204" t="s">
        <v>8457</v>
      </c>
      <c r="C823" s="204" t="s">
        <v>24</v>
      </c>
      <c r="D823" s="204" t="s">
        <v>2659</v>
      </c>
      <c r="E823" s="4" t="s">
        <v>396</v>
      </c>
      <c r="F823" s="204" t="s">
        <v>28</v>
      </c>
      <c r="G823" s="204"/>
      <c r="H823" s="4" t="s">
        <v>1093</v>
      </c>
      <c r="I823" s="204" t="s">
        <v>2690</v>
      </c>
      <c r="J823" s="204" t="s">
        <v>2276</v>
      </c>
      <c r="K823" s="204" t="s">
        <v>2276</v>
      </c>
      <c r="L823" s="204" t="s">
        <v>2276</v>
      </c>
      <c r="M823" s="204" t="s">
        <v>2276</v>
      </c>
      <c r="N823" s="204" t="s">
        <v>2276</v>
      </c>
      <c r="O823" s="204" t="s">
        <v>2276</v>
      </c>
      <c r="P823" s="204" t="s">
        <v>2276</v>
      </c>
      <c r="Q823" s="204" t="s">
        <v>2276</v>
      </c>
      <c r="R823" s="204" t="s">
        <v>2276</v>
      </c>
      <c r="S823" s="204" t="s">
        <v>2276</v>
      </c>
      <c r="T823" s="204" t="s">
        <v>2276</v>
      </c>
      <c r="U823" s="204" t="s">
        <v>2276</v>
      </c>
      <c r="V823" s="204" t="s">
        <v>2276</v>
      </c>
      <c r="W823" s="4" t="s">
        <v>8459</v>
      </c>
    </row>
    <row r="824" spans="1:23" ht="50.5" customHeight="1">
      <c r="A824" s="11" t="s">
        <v>8465</v>
      </c>
      <c r="B824" s="11" t="s">
        <v>8467</v>
      </c>
      <c r="C824" s="204" t="s">
        <v>24</v>
      </c>
      <c r="D824" s="4" t="s">
        <v>1131</v>
      </c>
      <c r="E824" s="4" t="s">
        <v>396</v>
      </c>
      <c r="F824" s="204" t="s">
        <v>28</v>
      </c>
      <c r="G824" s="204">
        <v>2007</v>
      </c>
      <c r="H824" s="4" t="s">
        <v>2673</v>
      </c>
      <c r="I824" s="204" t="s">
        <v>2276</v>
      </c>
      <c r="J824" s="204" t="s">
        <v>2276</v>
      </c>
      <c r="K824" s="204" t="s">
        <v>2276</v>
      </c>
      <c r="L824" s="204" t="s">
        <v>2276</v>
      </c>
      <c r="M824" s="204" t="s">
        <v>2728</v>
      </c>
      <c r="N824" s="204" t="s">
        <v>2276</v>
      </c>
      <c r="O824" s="204" t="s">
        <v>534</v>
      </c>
      <c r="P824" s="204" t="s">
        <v>2276</v>
      </c>
      <c r="Q824" s="204">
        <v>4</v>
      </c>
      <c r="R824" s="204" t="s">
        <v>537</v>
      </c>
      <c r="S824" s="204" t="s">
        <v>2276</v>
      </c>
      <c r="T824" s="204" t="s">
        <v>2276</v>
      </c>
      <c r="U824" s="204" t="s">
        <v>2276</v>
      </c>
      <c r="V824" s="204" t="s">
        <v>2276</v>
      </c>
      <c r="W824" s="19" t="s">
        <v>8470</v>
      </c>
    </row>
    <row r="825" spans="1:23" ht="40" customHeight="1">
      <c r="A825" s="19" t="s">
        <v>8472</v>
      </c>
      <c r="B825" s="19" t="s">
        <v>8502</v>
      </c>
      <c r="C825" s="204" t="s">
        <v>24</v>
      </c>
      <c r="D825" s="4" t="s">
        <v>1131</v>
      </c>
      <c r="E825" s="4" t="s">
        <v>396</v>
      </c>
      <c r="F825" s="4" t="s">
        <v>28</v>
      </c>
      <c r="G825" s="204"/>
      <c r="H825" s="4" t="s">
        <v>2673</v>
      </c>
      <c r="I825" s="204" t="s">
        <v>2276</v>
      </c>
      <c r="J825" s="204" t="s">
        <v>2276</v>
      </c>
      <c r="K825" s="204" t="s">
        <v>2276</v>
      </c>
      <c r="L825" s="204" t="s">
        <v>2276</v>
      </c>
      <c r="M825" s="204" t="s">
        <v>2728</v>
      </c>
      <c r="N825" s="204" t="s">
        <v>2276</v>
      </c>
      <c r="O825" s="204" t="s">
        <v>534</v>
      </c>
      <c r="P825" s="204" t="s">
        <v>2276</v>
      </c>
      <c r="Q825" s="204">
        <v>4</v>
      </c>
      <c r="R825" s="204" t="s">
        <v>537</v>
      </c>
      <c r="S825" s="204" t="s">
        <v>2276</v>
      </c>
      <c r="T825" s="204" t="s">
        <v>2276</v>
      </c>
      <c r="U825" s="204" t="s">
        <v>2276</v>
      </c>
      <c r="V825" s="204" t="s">
        <v>2276</v>
      </c>
      <c r="W825" s="19" t="s">
        <v>8470</v>
      </c>
    </row>
    <row r="826" spans="1:23" ht="43.5">
      <c r="A826" s="19" t="s">
        <v>8475</v>
      </c>
      <c r="B826" s="19" t="s">
        <v>8503</v>
      </c>
      <c r="C826" s="204" t="s">
        <v>24</v>
      </c>
      <c r="D826" s="4" t="s">
        <v>1131</v>
      </c>
      <c r="E826" s="4" t="s">
        <v>396</v>
      </c>
      <c r="F826" s="4" t="s">
        <v>28</v>
      </c>
      <c r="G826" s="204"/>
      <c r="H826" s="4" t="s">
        <v>2673</v>
      </c>
      <c r="I826" s="204" t="s">
        <v>2276</v>
      </c>
      <c r="J826" s="204" t="s">
        <v>2276</v>
      </c>
      <c r="K826" s="204" t="s">
        <v>2276</v>
      </c>
      <c r="L826" s="204" t="s">
        <v>2276</v>
      </c>
      <c r="M826" s="204" t="s">
        <v>2728</v>
      </c>
      <c r="N826" s="204" t="s">
        <v>2276</v>
      </c>
      <c r="O826" s="204" t="s">
        <v>534</v>
      </c>
      <c r="P826" s="204" t="s">
        <v>2276</v>
      </c>
      <c r="Q826" s="204">
        <v>4</v>
      </c>
      <c r="R826" s="204" t="s">
        <v>537</v>
      </c>
      <c r="S826" s="204" t="s">
        <v>2276</v>
      </c>
      <c r="T826" s="204" t="s">
        <v>2276</v>
      </c>
      <c r="U826" s="204" t="s">
        <v>2276</v>
      </c>
      <c r="V826" s="204" t="s">
        <v>2276</v>
      </c>
      <c r="W826" s="19" t="s">
        <v>8470</v>
      </c>
    </row>
    <row r="827" spans="1:23" ht="43.5">
      <c r="A827" s="19" t="s">
        <v>8476</v>
      </c>
      <c r="B827" s="19" t="s">
        <v>8504</v>
      </c>
      <c r="C827" s="204" t="s">
        <v>24</v>
      </c>
      <c r="D827" s="4" t="s">
        <v>1131</v>
      </c>
      <c r="E827" s="4" t="s">
        <v>396</v>
      </c>
      <c r="F827" s="4" t="s">
        <v>28</v>
      </c>
      <c r="G827" s="204"/>
      <c r="H827" s="4" t="s">
        <v>2673</v>
      </c>
      <c r="I827" s="204" t="s">
        <v>2276</v>
      </c>
      <c r="J827" s="204" t="s">
        <v>2276</v>
      </c>
      <c r="K827" s="204" t="s">
        <v>2276</v>
      </c>
      <c r="L827" s="204" t="s">
        <v>2276</v>
      </c>
      <c r="M827" s="204" t="s">
        <v>2728</v>
      </c>
      <c r="N827" s="204" t="s">
        <v>2276</v>
      </c>
      <c r="O827" s="204" t="s">
        <v>534</v>
      </c>
      <c r="P827" s="204" t="s">
        <v>2276</v>
      </c>
      <c r="Q827" s="204">
        <v>4</v>
      </c>
      <c r="R827" s="204" t="s">
        <v>537</v>
      </c>
      <c r="S827" s="204" t="s">
        <v>2276</v>
      </c>
      <c r="T827" s="204" t="s">
        <v>2276</v>
      </c>
      <c r="U827" s="204" t="s">
        <v>2276</v>
      </c>
      <c r="V827" s="204" t="s">
        <v>2276</v>
      </c>
      <c r="W827" s="19" t="s">
        <v>8470</v>
      </c>
    </row>
    <row r="828" spans="1:23" ht="43.5">
      <c r="A828" s="19" t="s">
        <v>8477</v>
      </c>
      <c r="B828" s="19" t="s">
        <v>8505</v>
      </c>
      <c r="C828" s="204" t="s">
        <v>24</v>
      </c>
      <c r="D828" s="4" t="s">
        <v>1131</v>
      </c>
      <c r="E828" s="4" t="s">
        <v>396</v>
      </c>
      <c r="F828" s="4" t="s">
        <v>28</v>
      </c>
      <c r="G828" s="204"/>
      <c r="H828" s="4" t="s">
        <v>2673</v>
      </c>
      <c r="I828" s="204" t="s">
        <v>2276</v>
      </c>
      <c r="J828" s="204" t="s">
        <v>2276</v>
      </c>
      <c r="K828" s="204" t="s">
        <v>2276</v>
      </c>
      <c r="L828" s="204" t="s">
        <v>2276</v>
      </c>
      <c r="M828" s="204" t="s">
        <v>2728</v>
      </c>
      <c r="N828" s="204" t="s">
        <v>2276</v>
      </c>
      <c r="O828" s="204" t="s">
        <v>534</v>
      </c>
      <c r="P828" s="204" t="s">
        <v>2276</v>
      </c>
      <c r="Q828" s="204">
        <v>4</v>
      </c>
      <c r="R828" s="204" t="s">
        <v>537</v>
      </c>
      <c r="S828" s="204" t="s">
        <v>2276</v>
      </c>
      <c r="T828" s="204" t="s">
        <v>2276</v>
      </c>
      <c r="U828" s="204" t="s">
        <v>2276</v>
      </c>
      <c r="V828" s="204" t="s">
        <v>2276</v>
      </c>
      <c r="W828" s="19" t="s">
        <v>8470</v>
      </c>
    </row>
    <row r="829" spans="1:23" ht="43.5">
      <c r="A829" s="19" t="s">
        <v>8478</v>
      </c>
      <c r="B829" s="19" t="s">
        <v>8506</v>
      </c>
      <c r="C829" s="204" t="s">
        <v>24</v>
      </c>
      <c r="D829" s="4" t="s">
        <v>1131</v>
      </c>
      <c r="E829" s="4" t="s">
        <v>396</v>
      </c>
      <c r="F829" s="4" t="s">
        <v>28</v>
      </c>
      <c r="G829" s="204"/>
      <c r="H829" s="4" t="s">
        <v>2673</v>
      </c>
      <c r="I829" s="204" t="s">
        <v>2276</v>
      </c>
      <c r="J829" s="204" t="s">
        <v>2276</v>
      </c>
      <c r="K829" s="204" t="s">
        <v>2276</v>
      </c>
      <c r="L829" s="204" t="s">
        <v>2276</v>
      </c>
      <c r="M829" s="204" t="s">
        <v>2728</v>
      </c>
      <c r="N829" s="204" t="s">
        <v>2276</v>
      </c>
      <c r="O829" s="204" t="s">
        <v>534</v>
      </c>
      <c r="P829" s="204" t="s">
        <v>2276</v>
      </c>
      <c r="Q829" s="204">
        <v>4</v>
      </c>
      <c r="R829" s="204" t="s">
        <v>537</v>
      </c>
      <c r="S829" s="204" t="s">
        <v>2276</v>
      </c>
      <c r="T829" s="204" t="s">
        <v>2276</v>
      </c>
      <c r="U829" s="204" t="s">
        <v>2276</v>
      </c>
      <c r="V829" s="204" t="s">
        <v>2276</v>
      </c>
      <c r="W829" s="19" t="s">
        <v>8470</v>
      </c>
    </row>
    <row r="830" spans="1:23" ht="43.5">
      <c r="A830" s="19" t="s">
        <v>8479</v>
      </c>
      <c r="B830" s="19" t="s">
        <v>8507</v>
      </c>
      <c r="C830" s="204" t="s">
        <v>24</v>
      </c>
      <c r="D830" s="4" t="s">
        <v>1131</v>
      </c>
      <c r="E830" s="4" t="s">
        <v>396</v>
      </c>
      <c r="F830" s="4" t="s">
        <v>28</v>
      </c>
      <c r="G830" s="204"/>
      <c r="H830" s="4" t="s">
        <v>2673</v>
      </c>
      <c r="I830" s="204" t="s">
        <v>2276</v>
      </c>
      <c r="J830" s="204" t="s">
        <v>2276</v>
      </c>
      <c r="K830" s="204" t="s">
        <v>2276</v>
      </c>
      <c r="L830" s="204" t="s">
        <v>2276</v>
      </c>
      <c r="M830" s="204" t="s">
        <v>2728</v>
      </c>
      <c r="N830" s="204" t="s">
        <v>2276</v>
      </c>
      <c r="O830" s="204" t="s">
        <v>534</v>
      </c>
      <c r="P830" s="204" t="s">
        <v>2276</v>
      </c>
      <c r="Q830" s="204">
        <v>4</v>
      </c>
      <c r="R830" s="204" t="s">
        <v>537</v>
      </c>
      <c r="S830" s="204" t="s">
        <v>2276</v>
      </c>
      <c r="T830" s="204" t="s">
        <v>2276</v>
      </c>
      <c r="U830" s="204" t="s">
        <v>2276</v>
      </c>
      <c r="V830" s="204" t="s">
        <v>2276</v>
      </c>
      <c r="W830" s="19" t="s">
        <v>8470</v>
      </c>
    </row>
    <row r="831" spans="1:23" ht="43.5">
      <c r="A831" s="19" t="s">
        <v>8480</v>
      </c>
      <c r="B831" s="19" t="s">
        <v>8508</v>
      </c>
      <c r="C831" s="204" t="s">
        <v>24</v>
      </c>
      <c r="D831" s="4" t="s">
        <v>1131</v>
      </c>
      <c r="E831" s="4" t="s">
        <v>396</v>
      </c>
      <c r="F831" s="4" t="s">
        <v>28</v>
      </c>
      <c r="G831" s="204"/>
      <c r="H831" s="4" t="s">
        <v>2673</v>
      </c>
      <c r="I831" s="204" t="s">
        <v>2276</v>
      </c>
      <c r="J831" s="204" t="s">
        <v>2276</v>
      </c>
      <c r="K831" s="204" t="s">
        <v>2276</v>
      </c>
      <c r="L831" s="204" t="s">
        <v>2276</v>
      </c>
      <c r="M831" s="204" t="s">
        <v>2728</v>
      </c>
      <c r="N831" s="204" t="s">
        <v>2276</v>
      </c>
      <c r="O831" s="204" t="s">
        <v>534</v>
      </c>
      <c r="P831" s="204" t="s">
        <v>2276</v>
      </c>
      <c r="Q831" s="204">
        <v>4</v>
      </c>
      <c r="R831" s="204" t="s">
        <v>537</v>
      </c>
      <c r="S831" s="204" t="s">
        <v>2276</v>
      </c>
      <c r="T831" s="204" t="s">
        <v>2276</v>
      </c>
      <c r="U831" s="204" t="s">
        <v>2276</v>
      </c>
      <c r="V831" s="204" t="s">
        <v>2276</v>
      </c>
      <c r="W831" s="19" t="s">
        <v>8470</v>
      </c>
    </row>
    <row r="832" spans="1:23" ht="43.5">
      <c r="A832" s="19" t="s">
        <v>8481</v>
      </c>
      <c r="B832" s="19" t="s">
        <v>8509</v>
      </c>
      <c r="C832" s="204" t="s">
        <v>24</v>
      </c>
      <c r="D832" s="4" t="s">
        <v>1131</v>
      </c>
      <c r="E832" s="4" t="s">
        <v>396</v>
      </c>
      <c r="F832" s="4" t="s">
        <v>28</v>
      </c>
      <c r="G832" s="204"/>
      <c r="H832" s="4" t="s">
        <v>2673</v>
      </c>
      <c r="I832" s="204" t="s">
        <v>2276</v>
      </c>
      <c r="J832" s="204" t="s">
        <v>2276</v>
      </c>
      <c r="K832" s="204" t="s">
        <v>2276</v>
      </c>
      <c r="L832" s="204" t="s">
        <v>2276</v>
      </c>
      <c r="M832" s="204" t="s">
        <v>2728</v>
      </c>
      <c r="N832" s="204" t="s">
        <v>2276</v>
      </c>
      <c r="O832" s="204" t="s">
        <v>534</v>
      </c>
      <c r="P832" s="204" t="s">
        <v>2276</v>
      </c>
      <c r="Q832" s="204">
        <v>4</v>
      </c>
      <c r="R832" s="204" t="s">
        <v>537</v>
      </c>
      <c r="S832" s="204" t="s">
        <v>2276</v>
      </c>
      <c r="T832" s="204" t="s">
        <v>2276</v>
      </c>
      <c r="U832" s="204" t="s">
        <v>2276</v>
      </c>
      <c r="V832" s="204" t="s">
        <v>2276</v>
      </c>
      <c r="W832" s="19" t="s">
        <v>8470</v>
      </c>
    </row>
    <row r="833" spans="1:23" ht="43.5">
      <c r="A833" s="19" t="s">
        <v>8483</v>
      </c>
      <c r="B833" s="19" t="s">
        <v>8510</v>
      </c>
      <c r="C833" s="204" t="s">
        <v>24</v>
      </c>
      <c r="D833" s="4" t="s">
        <v>1131</v>
      </c>
      <c r="E833" s="4" t="s">
        <v>396</v>
      </c>
      <c r="F833" s="4" t="s">
        <v>28</v>
      </c>
      <c r="G833" s="204"/>
      <c r="H833" s="4" t="s">
        <v>2673</v>
      </c>
      <c r="I833" s="204" t="s">
        <v>2276</v>
      </c>
      <c r="J833" s="204" t="s">
        <v>2276</v>
      </c>
      <c r="K833" s="204" t="s">
        <v>2276</v>
      </c>
      <c r="L833" s="204" t="s">
        <v>2276</v>
      </c>
      <c r="M833" s="204" t="s">
        <v>2728</v>
      </c>
      <c r="N833" s="204" t="s">
        <v>2276</v>
      </c>
      <c r="O833" s="204" t="s">
        <v>534</v>
      </c>
      <c r="P833" s="204" t="s">
        <v>2276</v>
      </c>
      <c r="Q833" s="204">
        <v>4</v>
      </c>
      <c r="R833" s="204" t="s">
        <v>537</v>
      </c>
      <c r="S833" s="204" t="s">
        <v>2276</v>
      </c>
      <c r="T833" s="204" t="s">
        <v>2276</v>
      </c>
      <c r="U833" s="204" t="s">
        <v>2276</v>
      </c>
      <c r="V833" s="204" t="s">
        <v>2276</v>
      </c>
      <c r="W833" s="19" t="s">
        <v>8470</v>
      </c>
    </row>
    <row r="834" spans="1:23" ht="43.5">
      <c r="A834" s="19" t="s">
        <v>8484</v>
      </c>
      <c r="B834" s="19" t="s">
        <v>8511</v>
      </c>
      <c r="C834" s="204" t="s">
        <v>24</v>
      </c>
      <c r="D834" s="4" t="s">
        <v>1131</v>
      </c>
      <c r="E834" s="4" t="s">
        <v>396</v>
      </c>
      <c r="F834" s="4" t="s">
        <v>28</v>
      </c>
      <c r="G834" s="204"/>
      <c r="H834" s="4" t="s">
        <v>2673</v>
      </c>
      <c r="I834" s="204" t="s">
        <v>2276</v>
      </c>
      <c r="J834" s="204" t="s">
        <v>2276</v>
      </c>
      <c r="K834" s="204" t="s">
        <v>2276</v>
      </c>
      <c r="L834" s="204" t="s">
        <v>2276</v>
      </c>
      <c r="M834" s="204" t="s">
        <v>2728</v>
      </c>
      <c r="N834" s="204" t="s">
        <v>2276</v>
      </c>
      <c r="O834" s="204" t="s">
        <v>534</v>
      </c>
      <c r="P834" s="204" t="s">
        <v>2276</v>
      </c>
      <c r="Q834" s="204">
        <v>4</v>
      </c>
      <c r="R834" s="204" t="s">
        <v>537</v>
      </c>
      <c r="S834" s="204" t="s">
        <v>2276</v>
      </c>
      <c r="T834" s="204" t="s">
        <v>2276</v>
      </c>
      <c r="U834" s="204" t="s">
        <v>2276</v>
      </c>
      <c r="V834" s="204" t="s">
        <v>2276</v>
      </c>
      <c r="W834" s="19" t="s">
        <v>8470</v>
      </c>
    </row>
    <row r="835" spans="1:23" ht="43.5">
      <c r="A835" s="19" t="s">
        <v>8487</v>
      </c>
      <c r="B835" s="19" t="s">
        <v>8512</v>
      </c>
      <c r="C835" s="204" t="s">
        <v>24</v>
      </c>
      <c r="D835" s="4" t="s">
        <v>1131</v>
      </c>
      <c r="E835" s="4" t="s">
        <v>396</v>
      </c>
      <c r="F835" s="4" t="s">
        <v>28</v>
      </c>
      <c r="G835" s="204"/>
      <c r="H835" s="4" t="s">
        <v>2673</v>
      </c>
      <c r="I835" s="204" t="s">
        <v>2276</v>
      </c>
      <c r="J835" s="204" t="s">
        <v>2276</v>
      </c>
      <c r="K835" s="204" t="s">
        <v>2276</v>
      </c>
      <c r="L835" s="204" t="s">
        <v>2276</v>
      </c>
      <c r="M835" s="204" t="s">
        <v>2728</v>
      </c>
      <c r="N835" s="204" t="s">
        <v>2276</v>
      </c>
      <c r="O835" s="204" t="s">
        <v>534</v>
      </c>
      <c r="P835" s="204" t="s">
        <v>2276</v>
      </c>
      <c r="Q835" s="204">
        <v>4</v>
      </c>
      <c r="R835" s="204" t="s">
        <v>537</v>
      </c>
      <c r="S835" s="204" t="s">
        <v>2276</v>
      </c>
      <c r="T835" s="204" t="s">
        <v>2276</v>
      </c>
      <c r="U835" s="204" t="s">
        <v>2276</v>
      </c>
      <c r="V835" s="204" t="s">
        <v>2276</v>
      </c>
      <c r="W835" s="19" t="s">
        <v>8470</v>
      </c>
    </row>
    <row r="836" spans="1:23" ht="52" customHeight="1">
      <c r="A836" s="19" t="s">
        <v>8527</v>
      </c>
      <c r="B836" s="19" t="s">
        <v>8529</v>
      </c>
      <c r="C836" s="204" t="s">
        <v>24</v>
      </c>
      <c r="D836" s="204" t="s">
        <v>2659</v>
      </c>
      <c r="E836" s="4" t="s">
        <v>396</v>
      </c>
      <c r="F836" s="4" t="s">
        <v>28</v>
      </c>
      <c r="G836" s="204"/>
      <c r="H836" s="4" t="s">
        <v>541</v>
      </c>
      <c r="I836" s="204" t="s">
        <v>2276</v>
      </c>
      <c r="J836" s="204" t="s">
        <v>2276</v>
      </c>
      <c r="K836" s="204" t="s">
        <v>2276</v>
      </c>
      <c r="L836" s="204" t="s">
        <v>2276</v>
      </c>
      <c r="M836" s="204" t="s">
        <v>2728</v>
      </c>
      <c r="N836" s="204" t="s">
        <v>2276</v>
      </c>
      <c r="O836" s="204" t="s">
        <v>2276</v>
      </c>
      <c r="P836" s="204" t="s">
        <v>534</v>
      </c>
      <c r="Q836" s="204">
        <v>2</v>
      </c>
      <c r="R836" s="204" t="s">
        <v>2276</v>
      </c>
      <c r="S836" s="204" t="s">
        <v>2276</v>
      </c>
      <c r="T836" s="204" t="s">
        <v>2276</v>
      </c>
      <c r="U836" s="204" t="s">
        <v>2276</v>
      </c>
      <c r="V836" s="204" t="s">
        <v>2276</v>
      </c>
      <c r="W836" s="4" t="s">
        <v>8531</v>
      </c>
    </row>
    <row r="837" spans="1:23" ht="52" customHeight="1">
      <c r="A837" s="19" t="s">
        <v>8527</v>
      </c>
      <c r="B837" s="19" t="s">
        <v>8530</v>
      </c>
      <c r="C837" s="204" t="s">
        <v>24</v>
      </c>
      <c r="D837" s="204" t="s">
        <v>2659</v>
      </c>
      <c r="E837" s="4" t="s">
        <v>397</v>
      </c>
      <c r="F837" s="4" t="s">
        <v>28</v>
      </c>
      <c r="G837" s="204"/>
      <c r="H837" s="4" t="s">
        <v>541</v>
      </c>
      <c r="I837" s="204" t="s">
        <v>2276</v>
      </c>
      <c r="J837" s="204" t="s">
        <v>2276</v>
      </c>
      <c r="K837" s="204" t="s">
        <v>2276</v>
      </c>
      <c r="L837" s="204" t="s">
        <v>2276</v>
      </c>
      <c r="M837" s="204" t="s">
        <v>2728</v>
      </c>
      <c r="N837" s="204" t="s">
        <v>2276</v>
      </c>
      <c r="O837" s="204" t="s">
        <v>2276</v>
      </c>
      <c r="P837" s="204" t="s">
        <v>534</v>
      </c>
      <c r="Q837" s="204">
        <v>2</v>
      </c>
      <c r="R837" s="204" t="s">
        <v>2276</v>
      </c>
      <c r="S837" s="204" t="s">
        <v>2276</v>
      </c>
      <c r="T837" s="204" t="s">
        <v>2276</v>
      </c>
      <c r="U837" s="204" t="s">
        <v>2276</v>
      </c>
      <c r="V837" s="204" t="s">
        <v>2276</v>
      </c>
      <c r="W837" s="4" t="s">
        <v>8531</v>
      </c>
    </row>
    <row r="838" spans="1:23" ht="51" customHeight="1">
      <c r="A838" s="19" t="s">
        <v>8527</v>
      </c>
      <c r="B838" s="19" t="s">
        <v>8532</v>
      </c>
      <c r="C838" s="204" t="s">
        <v>24</v>
      </c>
      <c r="D838" s="204" t="s">
        <v>2659</v>
      </c>
      <c r="E838" s="4" t="s">
        <v>396</v>
      </c>
      <c r="F838" s="4" t="s">
        <v>28</v>
      </c>
      <c r="G838" s="204"/>
      <c r="H838" s="4" t="s">
        <v>2673</v>
      </c>
      <c r="I838" s="204" t="s">
        <v>2276</v>
      </c>
      <c r="J838" s="204" t="s">
        <v>2276</v>
      </c>
      <c r="K838" s="204" t="s">
        <v>2276</v>
      </c>
      <c r="L838" s="204" t="s">
        <v>2276</v>
      </c>
      <c r="M838" s="204" t="s">
        <v>2669</v>
      </c>
      <c r="N838" s="204" t="s">
        <v>2276</v>
      </c>
      <c r="O838" s="204" t="s">
        <v>2276</v>
      </c>
      <c r="P838" s="204" t="s">
        <v>534</v>
      </c>
      <c r="Q838" s="204">
        <v>2</v>
      </c>
      <c r="R838" s="204" t="s">
        <v>2276</v>
      </c>
      <c r="S838" s="204" t="s">
        <v>2276</v>
      </c>
      <c r="T838" s="204" t="s">
        <v>2276</v>
      </c>
      <c r="U838" s="204" t="s">
        <v>2276</v>
      </c>
      <c r="V838" s="204" t="s">
        <v>2276</v>
      </c>
      <c r="W838" s="19" t="s">
        <v>8534</v>
      </c>
    </row>
    <row r="839" spans="1:23" ht="51" customHeight="1">
      <c r="A839" s="19" t="s">
        <v>8527</v>
      </c>
      <c r="B839" s="19" t="s">
        <v>8533</v>
      </c>
      <c r="C839" s="204" t="s">
        <v>24</v>
      </c>
      <c r="D839" s="204" t="s">
        <v>2659</v>
      </c>
      <c r="E839" s="4" t="s">
        <v>397</v>
      </c>
      <c r="F839" s="4" t="s">
        <v>28</v>
      </c>
      <c r="G839" s="204"/>
      <c r="H839" s="4" t="s">
        <v>2673</v>
      </c>
      <c r="I839" s="204" t="s">
        <v>2276</v>
      </c>
      <c r="J839" s="204" t="s">
        <v>2276</v>
      </c>
      <c r="K839" s="204" t="s">
        <v>2276</v>
      </c>
      <c r="L839" s="204" t="s">
        <v>2276</v>
      </c>
      <c r="M839" s="204" t="s">
        <v>2669</v>
      </c>
      <c r="N839" s="204" t="s">
        <v>2276</v>
      </c>
      <c r="O839" s="204" t="s">
        <v>2276</v>
      </c>
      <c r="P839" s="204" t="s">
        <v>534</v>
      </c>
      <c r="Q839" s="204">
        <v>2</v>
      </c>
      <c r="R839" s="204" t="s">
        <v>2276</v>
      </c>
      <c r="S839" s="204" t="s">
        <v>2276</v>
      </c>
      <c r="T839" s="204" t="s">
        <v>2276</v>
      </c>
      <c r="U839" s="204" t="s">
        <v>2276</v>
      </c>
      <c r="V839" s="204" t="s">
        <v>2276</v>
      </c>
      <c r="W839" s="19" t="s">
        <v>8534</v>
      </c>
    </row>
    <row r="840" spans="1:23" ht="49.5" customHeight="1">
      <c r="A840" s="19" t="s">
        <v>8540</v>
      </c>
      <c r="B840" s="19" t="s">
        <v>8545</v>
      </c>
      <c r="C840" s="204" t="s">
        <v>24</v>
      </c>
      <c r="D840" s="204" t="s">
        <v>2659</v>
      </c>
      <c r="E840" s="4" t="s">
        <v>84</v>
      </c>
      <c r="F840" s="4" t="s">
        <v>28</v>
      </c>
      <c r="G840" s="204"/>
      <c r="H840" s="4" t="s">
        <v>2673</v>
      </c>
      <c r="I840" s="204" t="s">
        <v>2276</v>
      </c>
      <c r="J840" s="204" t="s">
        <v>2276</v>
      </c>
      <c r="K840" s="204" t="s">
        <v>2276</v>
      </c>
      <c r="L840" s="204" t="s">
        <v>2276</v>
      </c>
      <c r="M840" s="204" t="s">
        <v>2728</v>
      </c>
      <c r="N840" s="204" t="s">
        <v>2276</v>
      </c>
      <c r="O840" s="204" t="s">
        <v>2276</v>
      </c>
      <c r="P840" s="204" t="s">
        <v>2276</v>
      </c>
      <c r="Q840" s="204" t="s">
        <v>2276</v>
      </c>
      <c r="R840" s="204" t="s">
        <v>2276</v>
      </c>
      <c r="S840" s="204" t="s">
        <v>2276</v>
      </c>
      <c r="T840" s="204" t="s">
        <v>2276</v>
      </c>
      <c r="U840" s="204" t="s">
        <v>2276</v>
      </c>
      <c r="V840" s="204" t="s">
        <v>2276</v>
      </c>
      <c r="W840" s="4" t="s">
        <v>8546</v>
      </c>
    </row>
    <row r="841" spans="1:23" ht="41" customHeight="1">
      <c r="A841" s="19" t="s">
        <v>8540</v>
      </c>
      <c r="B841" s="19" t="s">
        <v>8547</v>
      </c>
      <c r="C841" s="204" t="s">
        <v>24</v>
      </c>
      <c r="D841" s="204" t="s">
        <v>2659</v>
      </c>
      <c r="E841" s="4" t="s">
        <v>84</v>
      </c>
      <c r="F841" s="4" t="s">
        <v>28</v>
      </c>
      <c r="G841" s="204"/>
      <c r="H841" s="4" t="s">
        <v>2674</v>
      </c>
      <c r="I841" s="204" t="s">
        <v>2690</v>
      </c>
      <c r="J841" s="204" t="s">
        <v>2276</v>
      </c>
      <c r="K841" s="204" t="s">
        <v>2276</v>
      </c>
      <c r="L841" s="204" t="s">
        <v>2276</v>
      </c>
      <c r="M841" s="204" t="s">
        <v>2728</v>
      </c>
      <c r="N841" s="204" t="s">
        <v>2276</v>
      </c>
      <c r="O841" s="204" t="s">
        <v>2276</v>
      </c>
      <c r="P841" s="204" t="s">
        <v>2276</v>
      </c>
      <c r="Q841" s="204" t="s">
        <v>2276</v>
      </c>
      <c r="R841" s="204" t="s">
        <v>2276</v>
      </c>
      <c r="S841" s="204" t="s">
        <v>2276</v>
      </c>
      <c r="T841" s="204" t="s">
        <v>2276</v>
      </c>
      <c r="U841" s="204" t="s">
        <v>2276</v>
      </c>
      <c r="V841" s="204" t="s">
        <v>2276</v>
      </c>
      <c r="W841" s="4" t="s">
        <v>8548</v>
      </c>
    </row>
    <row r="842" spans="1:23" ht="45" customHeight="1">
      <c r="A842" s="55" t="s">
        <v>8555</v>
      </c>
      <c r="B842" s="55" t="s">
        <v>8568</v>
      </c>
      <c r="C842" s="38" t="s">
        <v>24</v>
      </c>
      <c r="D842" s="38" t="s">
        <v>2659</v>
      </c>
      <c r="E842" s="168" t="s">
        <v>1105</v>
      </c>
      <c r="F842" s="168" t="s">
        <v>28</v>
      </c>
      <c r="G842" s="38"/>
      <c r="H842" s="168" t="s">
        <v>2673</v>
      </c>
      <c r="I842" s="38" t="s">
        <v>2276</v>
      </c>
      <c r="J842" s="38" t="s">
        <v>2276</v>
      </c>
      <c r="K842" s="38" t="s">
        <v>2276</v>
      </c>
      <c r="L842" s="38" t="s">
        <v>2276</v>
      </c>
      <c r="M842" s="38" t="s">
        <v>2728</v>
      </c>
      <c r="N842" s="38" t="s">
        <v>2276</v>
      </c>
      <c r="O842" s="38" t="s">
        <v>534</v>
      </c>
      <c r="P842" s="38" t="s">
        <v>534</v>
      </c>
      <c r="Q842" s="38" t="s">
        <v>2276</v>
      </c>
      <c r="R842" s="38" t="s">
        <v>2276</v>
      </c>
      <c r="S842" s="38" t="s">
        <v>2276</v>
      </c>
      <c r="T842" s="38" t="s">
        <v>2276</v>
      </c>
      <c r="U842" s="38" t="s">
        <v>2276</v>
      </c>
      <c r="V842" s="38" t="s">
        <v>2276</v>
      </c>
      <c r="W842" s="151" t="s">
        <v>8569</v>
      </c>
    </row>
    <row r="843" spans="1:23" ht="48.5" customHeight="1">
      <c r="A843" s="19" t="s">
        <v>8577</v>
      </c>
      <c r="B843" s="19" t="s">
        <v>8586</v>
      </c>
      <c r="C843" s="204" t="s">
        <v>2658</v>
      </c>
      <c r="D843" s="204" t="s">
        <v>1105</v>
      </c>
      <c r="E843" s="204" t="s">
        <v>45</v>
      </c>
      <c r="F843" s="4" t="s">
        <v>2662</v>
      </c>
      <c r="G843" s="204"/>
      <c r="H843" s="4" t="s">
        <v>541</v>
      </c>
      <c r="I843" s="204" t="s">
        <v>2276</v>
      </c>
      <c r="J843" s="204" t="s">
        <v>2276</v>
      </c>
      <c r="K843" s="204" t="s">
        <v>2276</v>
      </c>
      <c r="L843" s="204" t="s">
        <v>2276</v>
      </c>
      <c r="M843" s="204" t="s">
        <v>2728</v>
      </c>
      <c r="N843" s="204" t="s">
        <v>2276</v>
      </c>
      <c r="O843" s="204" t="s">
        <v>2276</v>
      </c>
      <c r="P843" s="204" t="s">
        <v>2276</v>
      </c>
      <c r="Q843" s="204" t="s">
        <v>2276</v>
      </c>
      <c r="R843" s="204" t="s">
        <v>2276</v>
      </c>
      <c r="S843" s="204" t="s">
        <v>2276</v>
      </c>
      <c r="T843" s="204" t="s">
        <v>2276</v>
      </c>
      <c r="U843" s="204" t="s">
        <v>2276</v>
      </c>
      <c r="V843" s="204" t="s">
        <v>2276</v>
      </c>
      <c r="W843" s="4" t="s">
        <v>8595</v>
      </c>
    </row>
    <row r="844" spans="1:23" ht="40.5" customHeight="1">
      <c r="A844" s="19" t="s">
        <v>8577</v>
      </c>
      <c r="B844" s="19" t="s">
        <v>8590</v>
      </c>
      <c r="C844" s="204" t="s">
        <v>2658</v>
      </c>
      <c r="D844" s="204" t="s">
        <v>1105</v>
      </c>
      <c r="E844" s="204" t="s">
        <v>45</v>
      </c>
      <c r="F844" s="4" t="s">
        <v>2662</v>
      </c>
      <c r="G844" s="204"/>
      <c r="H844" s="4" t="s">
        <v>2673</v>
      </c>
      <c r="I844" s="204" t="s">
        <v>2690</v>
      </c>
      <c r="J844" s="204" t="s">
        <v>2276</v>
      </c>
      <c r="K844" s="204" t="s">
        <v>2276</v>
      </c>
      <c r="L844" s="204" t="s">
        <v>2276</v>
      </c>
      <c r="M844" s="204" t="s">
        <v>2276</v>
      </c>
      <c r="N844" s="204" t="s">
        <v>2276</v>
      </c>
      <c r="O844" s="204" t="s">
        <v>2276</v>
      </c>
      <c r="P844" s="204" t="s">
        <v>2276</v>
      </c>
      <c r="Q844" s="204" t="s">
        <v>2276</v>
      </c>
      <c r="R844" s="204" t="s">
        <v>2276</v>
      </c>
      <c r="S844" s="204" t="s">
        <v>2276</v>
      </c>
      <c r="T844" s="204" t="s">
        <v>2276</v>
      </c>
      <c r="U844" s="204" t="s">
        <v>2276</v>
      </c>
      <c r="V844" s="204" t="s">
        <v>2276</v>
      </c>
      <c r="W844" s="4" t="s">
        <v>8596</v>
      </c>
    </row>
    <row r="845" spans="1:23" ht="43.5" customHeight="1">
      <c r="A845" s="19" t="s">
        <v>8598</v>
      </c>
      <c r="B845" s="19" t="s">
        <v>8603</v>
      </c>
      <c r="C845" s="204" t="s">
        <v>24</v>
      </c>
      <c r="D845" s="204" t="s">
        <v>2659</v>
      </c>
      <c r="E845" s="4" t="s">
        <v>84</v>
      </c>
      <c r="F845" s="4" t="s">
        <v>28</v>
      </c>
      <c r="G845" s="204"/>
      <c r="H845" s="4" t="s">
        <v>2673</v>
      </c>
      <c r="I845" s="204" t="s">
        <v>2276</v>
      </c>
      <c r="J845" s="204" t="s">
        <v>2276</v>
      </c>
      <c r="K845" s="204" t="s">
        <v>2276</v>
      </c>
      <c r="L845" s="204" t="s">
        <v>2276</v>
      </c>
      <c r="M845" s="204" t="s">
        <v>2728</v>
      </c>
      <c r="N845" s="204" t="s">
        <v>2276</v>
      </c>
      <c r="O845" s="204" t="s">
        <v>2276</v>
      </c>
      <c r="P845" s="204" t="s">
        <v>534</v>
      </c>
      <c r="Q845" s="204">
        <v>4</v>
      </c>
      <c r="R845" s="204" t="s">
        <v>2276</v>
      </c>
      <c r="S845" s="204" t="s">
        <v>2276</v>
      </c>
      <c r="T845" s="204" t="s">
        <v>2276</v>
      </c>
      <c r="U845" s="204" t="s">
        <v>2276</v>
      </c>
      <c r="V845" s="204" t="s">
        <v>2276</v>
      </c>
      <c r="W845" s="19" t="s">
        <v>8606</v>
      </c>
    </row>
    <row r="846" spans="1:23" ht="44.5" customHeight="1">
      <c r="A846" s="26" t="s">
        <v>8611</v>
      </c>
      <c r="B846" s="26" t="s">
        <v>8623</v>
      </c>
      <c r="C846" s="204" t="s">
        <v>24</v>
      </c>
      <c r="D846" s="204" t="s">
        <v>2659</v>
      </c>
      <c r="E846" s="204" t="s">
        <v>2276</v>
      </c>
      <c r="F846" s="4" t="s">
        <v>28</v>
      </c>
      <c r="G846" s="204"/>
      <c r="H846" s="4" t="s">
        <v>2673</v>
      </c>
      <c r="I846" s="204" t="s">
        <v>2276</v>
      </c>
      <c r="J846" s="204" t="s">
        <v>2276</v>
      </c>
      <c r="K846" s="204" t="s">
        <v>2276</v>
      </c>
      <c r="L846" s="204" t="s">
        <v>2276</v>
      </c>
      <c r="M846" s="204" t="s">
        <v>2276</v>
      </c>
      <c r="N846" s="204" t="s">
        <v>2276</v>
      </c>
      <c r="O846" s="204" t="s">
        <v>2276</v>
      </c>
      <c r="P846" s="204" t="s">
        <v>2276</v>
      </c>
      <c r="Q846" s="204" t="s">
        <v>2276</v>
      </c>
      <c r="R846" s="204" t="s">
        <v>534</v>
      </c>
      <c r="S846" s="204" t="s">
        <v>2276</v>
      </c>
      <c r="T846" s="204" t="s">
        <v>2276</v>
      </c>
      <c r="U846" s="204" t="s">
        <v>534</v>
      </c>
      <c r="V846" s="204">
        <v>3</v>
      </c>
      <c r="W846" s="4" t="s">
        <v>8631</v>
      </c>
    </row>
    <row r="847" spans="1:23" ht="44.5" customHeight="1">
      <c r="A847" s="26" t="s">
        <v>8612</v>
      </c>
      <c r="B847" s="26" t="s">
        <v>8624</v>
      </c>
      <c r="C847" s="204" t="s">
        <v>24</v>
      </c>
      <c r="D847" s="204" t="s">
        <v>2659</v>
      </c>
      <c r="E847" s="204" t="s">
        <v>2276</v>
      </c>
      <c r="F847" s="4" t="s">
        <v>28</v>
      </c>
      <c r="G847" s="204"/>
      <c r="H847" s="4" t="s">
        <v>2673</v>
      </c>
      <c r="I847" s="204" t="s">
        <v>2276</v>
      </c>
      <c r="J847" s="204" t="s">
        <v>2276</v>
      </c>
      <c r="K847" s="204" t="s">
        <v>2276</v>
      </c>
      <c r="L847" s="204" t="s">
        <v>2276</v>
      </c>
      <c r="M847" s="204" t="s">
        <v>2276</v>
      </c>
      <c r="N847" s="204" t="s">
        <v>2276</v>
      </c>
      <c r="O847" s="204" t="s">
        <v>2276</v>
      </c>
      <c r="P847" s="204" t="s">
        <v>2276</v>
      </c>
      <c r="Q847" s="204" t="s">
        <v>2276</v>
      </c>
      <c r="R847" s="204" t="s">
        <v>534</v>
      </c>
      <c r="S847" s="204" t="s">
        <v>2276</v>
      </c>
      <c r="T847" s="204" t="s">
        <v>2276</v>
      </c>
      <c r="U847" s="204" t="s">
        <v>534</v>
      </c>
      <c r="V847" s="204">
        <v>3</v>
      </c>
      <c r="W847" s="4" t="s">
        <v>8631</v>
      </c>
    </row>
    <row r="848" spans="1:23" ht="44.5" customHeight="1">
      <c r="A848" s="26" t="s">
        <v>8613</v>
      </c>
      <c r="B848" s="26" t="s">
        <v>8625</v>
      </c>
      <c r="C848" s="204" t="s">
        <v>24</v>
      </c>
      <c r="D848" s="204" t="s">
        <v>2659</v>
      </c>
      <c r="E848" s="204" t="s">
        <v>2276</v>
      </c>
      <c r="F848" s="4" t="s">
        <v>28</v>
      </c>
      <c r="G848" s="204"/>
      <c r="H848" s="4" t="s">
        <v>2673</v>
      </c>
      <c r="I848" s="204" t="s">
        <v>2276</v>
      </c>
      <c r="J848" s="204" t="s">
        <v>2276</v>
      </c>
      <c r="K848" s="204" t="s">
        <v>2276</v>
      </c>
      <c r="L848" s="204" t="s">
        <v>2276</v>
      </c>
      <c r="M848" s="204" t="s">
        <v>2276</v>
      </c>
      <c r="N848" s="204" t="s">
        <v>2276</v>
      </c>
      <c r="O848" s="204" t="s">
        <v>2276</v>
      </c>
      <c r="P848" s="204" t="s">
        <v>2276</v>
      </c>
      <c r="Q848" s="204" t="s">
        <v>2276</v>
      </c>
      <c r="R848" s="204" t="s">
        <v>534</v>
      </c>
      <c r="S848" s="204" t="s">
        <v>2276</v>
      </c>
      <c r="T848" s="204" t="s">
        <v>2276</v>
      </c>
      <c r="U848" s="204" t="s">
        <v>534</v>
      </c>
      <c r="V848" s="204">
        <v>3</v>
      </c>
      <c r="W848" s="4" t="s">
        <v>8631</v>
      </c>
    </row>
    <row r="849" spans="1:23" ht="44.5" customHeight="1">
      <c r="A849" s="26" t="s">
        <v>8614</v>
      </c>
      <c r="B849" s="26" t="s">
        <v>8626</v>
      </c>
      <c r="C849" s="204" t="s">
        <v>24</v>
      </c>
      <c r="D849" s="204" t="s">
        <v>2659</v>
      </c>
      <c r="E849" s="204" t="s">
        <v>2276</v>
      </c>
      <c r="F849" s="4" t="s">
        <v>28</v>
      </c>
      <c r="G849" s="204"/>
      <c r="H849" s="4" t="s">
        <v>2673</v>
      </c>
      <c r="I849" s="204" t="s">
        <v>2276</v>
      </c>
      <c r="J849" s="204" t="s">
        <v>2276</v>
      </c>
      <c r="K849" s="204" t="s">
        <v>2276</v>
      </c>
      <c r="L849" s="204" t="s">
        <v>2276</v>
      </c>
      <c r="M849" s="204" t="s">
        <v>2276</v>
      </c>
      <c r="N849" s="204" t="s">
        <v>2276</v>
      </c>
      <c r="O849" s="204" t="s">
        <v>2276</v>
      </c>
      <c r="P849" s="204" t="s">
        <v>2276</v>
      </c>
      <c r="Q849" s="204" t="s">
        <v>2276</v>
      </c>
      <c r="R849" s="204" t="s">
        <v>534</v>
      </c>
      <c r="S849" s="204" t="s">
        <v>2276</v>
      </c>
      <c r="T849" s="204" t="s">
        <v>2276</v>
      </c>
      <c r="U849" s="204" t="s">
        <v>534</v>
      </c>
      <c r="V849" s="204">
        <v>3</v>
      </c>
      <c r="W849" s="4" t="s">
        <v>8631</v>
      </c>
    </row>
    <row r="850" spans="1:23" ht="44.5" customHeight="1">
      <c r="A850" s="26" t="s">
        <v>8615</v>
      </c>
      <c r="B850" s="26" t="s">
        <v>8627</v>
      </c>
      <c r="C850" s="204" t="s">
        <v>24</v>
      </c>
      <c r="D850" s="204" t="s">
        <v>2659</v>
      </c>
      <c r="E850" s="204" t="s">
        <v>2276</v>
      </c>
      <c r="F850" s="4" t="s">
        <v>28</v>
      </c>
      <c r="G850" s="204"/>
      <c r="H850" s="4" t="s">
        <v>2673</v>
      </c>
      <c r="I850" s="204" t="s">
        <v>2276</v>
      </c>
      <c r="J850" s="204" t="s">
        <v>2276</v>
      </c>
      <c r="K850" s="204" t="s">
        <v>2276</v>
      </c>
      <c r="L850" s="204" t="s">
        <v>2276</v>
      </c>
      <c r="M850" s="204" t="s">
        <v>2276</v>
      </c>
      <c r="N850" s="204" t="s">
        <v>2276</v>
      </c>
      <c r="O850" s="204" t="s">
        <v>2276</v>
      </c>
      <c r="P850" s="204" t="s">
        <v>2276</v>
      </c>
      <c r="Q850" s="204" t="s">
        <v>2276</v>
      </c>
      <c r="R850" s="204" t="s">
        <v>534</v>
      </c>
      <c r="S850" s="204" t="s">
        <v>2276</v>
      </c>
      <c r="T850" s="204" t="s">
        <v>2276</v>
      </c>
      <c r="U850" s="204" t="s">
        <v>534</v>
      </c>
      <c r="V850" s="204">
        <v>3</v>
      </c>
      <c r="W850" s="4" t="s">
        <v>8631</v>
      </c>
    </row>
    <row r="851" spans="1:23" ht="44.5" customHeight="1">
      <c r="A851" s="26" t="s">
        <v>8616</v>
      </c>
      <c r="B851" s="26" t="s">
        <v>8628</v>
      </c>
      <c r="C851" s="204" t="s">
        <v>24</v>
      </c>
      <c r="D851" s="204" t="s">
        <v>2659</v>
      </c>
      <c r="E851" s="204" t="s">
        <v>2276</v>
      </c>
      <c r="F851" s="4" t="s">
        <v>28</v>
      </c>
      <c r="G851" s="204"/>
      <c r="H851" s="4" t="s">
        <v>2673</v>
      </c>
      <c r="I851" s="204" t="s">
        <v>2276</v>
      </c>
      <c r="J851" s="204" t="s">
        <v>2276</v>
      </c>
      <c r="K851" s="204" t="s">
        <v>2276</v>
      </c>
      <c r="L851" s="204" t="s">
        <v>2276</v>
      </c>
      <c r="M851" s="204" t="s">
        <v>2276</v>
      </c>
      <c r="N851" s="204" t="s">
        <v>2276</v>
      </c>
      <c r="O851" s="204" t="s">
        <v>2276</v>
      </c>
      <c r="P851" s="204" t="s">
        <v>2276</v>
      </c>
      <c r="Q851" s="204" t="s">
        <v>2276</v>
      </c>
      <c r="R851" s="204" t="s">
        <v>534</v>
      </c>
      <c r="S851" s="204" t="s">
        <v>2276</v>
      </c>
      <c r="T851" s="204" t="s">
        <v>2276</v>
      </c>
      <c r="U851" s="204" t="s">
        <v>534</v>
      </c>
      <c r="V851" s="204">
        <v>3</v>
      </c>
      <c r="W851" s="4" t="s">
        <v>8631</v>
      </c>
    </row>
    <row r="852" spans="1:23" ht="76.5" customHeight="1">
      <c r="A852" s="26" t="s">
        <v>8633</v>
      </c>
      <c r="B852" s="26" t="s">
        <v>8638</v>
      </c>
      <c r="C852" s="204" t="s">
        <v>24</v>
      </c>
      <c r="D852" s="204" t="s">
        <v>2659</v>
      </c>
      <c r="E852" s="204" t="s">
        <v>2276</v>
      </c>
      <c r="F852" s="4" t="s">
        <v>28</v>
      </c>
      <c r="G852" s="204"/>
      <c r="H852" s="4" t="s">
        <v>541</v>
      </c>
      <c r="I852" s="204" t="s">
        <v>2276</v>
      </c>
      <c r="J852" s="204" t="s">
        <v>2276</v>
      </c>
      <c r="K852" s="204" t="s">
        <v>2276</v>
      </c>
      <c r="L852" s="204" t="s">
        <v>2276</v>
      </c>
      <c r="M852" s="204" t="s">
        <v>2276</v>
      </c>
      <c r="N852" s="204" t="s">
        <v>2276</v>
      </c>
      <c r="O852" s="204" t="s">
        <v>2276</v>
      </c>
      <c r="P852" s="204" t="s">
        <v>2276</v>
      </c>
      <c r="Q852" s="204" t="s">
        <v>2276</v>
      </c>
      <c r="R852" s="204" t="s">
        <v>534</v>
      </c>
      <c r="S852" s="204" t="s">
        <v>534</v>
      </c>
      <c r="T852" s="204" t="s">
        <v>534</v>
      </c>
      <c r="U852" s="204" t="s">
        <v>534</v>
      </c>
      <c r="V852" s="204">
        <v>3</v>
      </c>
      <c r="W852" s="19" t="s">
        <v>8642</v>
      </c>
    </row>
    <row r="853" spans="1:23" ht="76.5" customHeight="1">
      <c r="A853" s="26" t="s">
        <v>8637</v>
      </c>
      <c r="B853" s="26" t="s">
        <v>8639</v>
      </c>
      <c r="C853" s="204" t="s">
        <v>24</v>
      </c>
      <c r="D853" s="204" t="s">
        <v>2659</v>
      </c>
      <c r="E853" s="204" t="s">
        <v>2276</v>
      </c>
      <c r="F853" s="4" t="s">
        <v>28</v>
      </c>
      <c r="G853" s="204"/>
      <c r="H853" s="4" t="s">
        <v>2673</v>
      </c>
      <c r="I853" s="204" t="s">
        <v>2690</v>
      </c>
      <c r="J853" s="204" t="s">
        <v>534</v>
      </c>
      <c r="K853" s="204" t="s">
        <v>2276</v>
      </c>
      <c r="L853" s="204" t="s">
        <v>534</v>
      </c>
      <c r="M853" s="204" t="s">
        <v>2276</v>
      </c>
      <c r="N853" s="204" t="s">
        <v>2276</v>
      </c>
      <c r="O853" s="204" t="s">
        <v>2276</v>
      </c>
      <c r="P853" s="204" t="s">
        <v>2276</v>
      </c>
      <c r="Q853" s="204" t="s">
        <v>2276</v>
      </c>
      <c r="R853" s="204" t="s">
        <v>534</v>
      </c>
      <c r="S853" s="204" t="s">
        <v>534</v>
      </c>
      <c r="T853" s="204" t="s">
        <v>534</v>
      </c>
      <c r="U853" s="204" t="s">
        <v>534</v>
      </c>
      <c r="V853" s="204">
        <v>3</v>
      </c>
      <c r="W853" s="19" t="s">
        <v>8643</v>
      </c>
    </row>
    <row r="854" spans="1:23" ht="76.5" customHeight="1">
      <c r="A854" s="26" t="s">
        <v>8636</v>
      </c>
      <c r="B854" s="26" t="s">
        <v>8640</v>
      </c>
      <c r="C854" s="204" t="s">
        <v>24</v>
      </c>
      <c r="D854" s="204" t="s">
        <v>2659</v>
      </c>
      <c r="E854" s="204" t="s">
        <v>2276</v>
      </c>
      <c r="F854" s="4" t="s">
        <v>28</v>
      </c>
      <c r="G854" s="204"/>
      <c r="H854" s="4" t="s">
        <v>2674</v>
      </c>
      <c r="I854" s="204" t="s">
        <v>2690</v>
      </c>
      <c r="J854" s="204" t="s">
        <v>534</v>
      </c>
      <c r="K854" s="204" t="s">
        <v>2276</v>
      </c>
      <c r="L854" s="204" t="s">
        <v>534</v>
      </c>
      <c r="M854" s="204" t="s">
        <v>2276</v>
      </c>
      <c r="N854" s="204" t="s">
        <v>2276</v>
      </c>
      <c r="O854" s="204" t="s">
        <v>2276</v>
      </c>
      <c r="P854" s="204" t="s">
        <v>2276</v>
      </c>
      <c r="Q854" s="204" t="s">
        <v>2276</v>
      </c>
      <c r="R854" s="204" t="s">
        <v>2276</v>
      </c>
      <c r="S854" s="204" t="s">
        <v>2276</v>
      </c>
      <c r="T854" s="204" t="s">
        <v>2276</v>
      </c>
      <c r="U854" s="204" t="s">
        <v>2276</v>
      </c>
      <c r="V854" s="204" t="s">
        <v>2276</v>
      </c>
      <c r="W854" s="19" t="s">
        <v>8641</v>
      </c>
    </row>
    <row r="855" spans="1:23" ht="47" customHeight="1">
      <c r="A855" s="26" t="s">
        <v>8748</v>
      </c>
      <c r="B855" s="26" t="s">
        <v>8751</v>
      </c>
      <c r="C855" s="204" t="s">
        <v>24</v>
      </c>
      <c r="D855" s="204" t="s">
        <v>2659</v>
      </c>
      <c r="E855" s="204" t="s">
        <v>84</v>
      </c>
      <c r="F855" s="4" t="s">
        <v>28</v>
      </c>
      <c r="G855" s="204"/>
      <c r="H855" s="4" t="s">
        <v>541</v>
      </c>
      <c r="I855" s="204" t="s">
        <v>2276</v>
      </c>
      <c r="J855" s="204" t="s">
        <v>2276</v>
      </c>
      <c r="K855" s="204" t="s">
        <v>2276</v>
      </c>
      <c r="L855" s="204" t="s">
        <v>2276</v>
      </c>
      <c r="M855" s="204" t="s">
        <v>2276</v>
      </c>
      <c r="N855" s="204" t="s">
        <v>2276</v>
      </c>
      <c r="O855" s="204" t="s">
        <v>2276</v>
      </c>
      <c r="P855" s="204" t="s">
        <v>2276</v>
      </c>
      <c r="Q855" s="204" t="s">
        <v>2276</v>
      </c>
      <c r="R855" s="204" t="s">
        <v>534</v>
      </c>
      <c r="S855" s="204" t="s">
        <v>2276</v>
      </c>
      <c r="T855" s="204" t="s">
        <v>2276</v>
      </c>
      <c r="U855" s="204" t="s">
        <v>2276</v>
      </c>
      <c r="V855" s="204">
        <v>1</v>
      </c>
      <c r="W855" s="19" t="s">
        <v>8769</v>
      </c>
    </row>
    <row r="856" spans="1:23" ht="39" customHeight="1">
      <c r="A856" s="26" t="s">
        <v>8748</v>
      </c>
      <c r="B856" s="26" t="s">
        <v>8752</v>
      </c>
      <c r="C856" s="204" t="s">
        <v>24</v>
      </c>
      <c r="D856" s="204" t="s">
        <v>25</v>
      </c>
      <c r="E856" s="204" t="s">
        <v>45</v>
      </c>
      <c r="F856" s="4" t="s">
        <v>2662</v>
      </c>
      <c r="G856" s="204"/>
      <c r="H856" s="4" t="s">
        <v>541</v>
      </c>
      <c r="I856" s="204" t="s">
        <v>2276</v>
      </c>
      <c r="J856" s="204" t="s">
        <v>2276</v>
      </c>
      <c r="K856" s="204" t="s">
        <v>2276</v>
      </c>
      <c r="L856" s="204" t="s">
        <v>2276</v>
      </c>
      <c r="M856" s="204" t="s">
        <v>2276</v>
      </c>
      <c r="N856" s="204" t="s">
        <v>2276</v>
      </c>
      <c r="O856" s="204" t="s">
        <v>2276</v>
      </c>
      <c r="P856" s="204" t="s">
        <v>2276</v>
      </c>
      <c r="Q856" s="204" t="s">
        <v>2276</v>
      </c>
      <c r="R856" s="204" t="s">
        <v>534</v>
      </c>
      <c r="S856" s="204" t="s">
        <v>2276</v>
      </c>
      <c r="T856" s="204" t="s">
        <v>2276</v>
      </c>
      <c r="U856" s="204" t="s">
        <v>2276</v>
      </c>
      <c r="V856" s="204">
        <v>1</v>
      </c>
      <c r="W856" s="19" t="s">
        <v>8769</v>
      </c>
    </row>
    <row r="857" spans="1:23" ht="55" customHeight="1">
      <c r="A857" s="204" t="s">
        <v>8844</v>
      </c>
      <c r="B857" s="26" t="s">
        <v>8846</v>
      </c>
      <c r="C857" s="204" t="s">
        <v>24</v>
      </c>
      <c r="D857" s="204" t="s">
        <v>1105</v>
      </c>
      <c r="E857" s="204" t="s">
        <v>1105</v>
      </c>
      <c r="F857" s="204" t="s">
        <v>1105</v>
      </c>
      <c r="G857" s="204"/>
      <c r="H857" s="4" t="s">
        <v>541</v>
      </c>
      <c r="I857" s="204" t="s">
        <v>2276</v>
      </c>
      <c r="J857" s="204" t="s">
        <v>2276</v>
      </c>
      <c r="K857" s="204" t="s">
        <v>2276</v>
      </c>
      <c r="L857" s="204" t="s">
        <v>2276</v>
      </c>
      <c r="M857" s="204" t="s">
        <v>2276</v>
      </c>
      <c r="N857" s="204" t="s">
        <v>2276</v>
      </c>
      <c r="O857" s="204" t="s">
        <v>2276</v>
      </c>
      <c r="P857" s="204" t="s">
        <v>2276</v>
      </c>
      <c r="Q857" s="204" t="s">
        <v>2276</v>
      </c>
      <c r="R857" s="204" t="s">
        <v>534</v>
      </c>
      <c r="S857" s="204" t="s">
        <v>2276</v>
      </c>
      <c r="T857" s="204" t="s">
        <v>2276</v>
      </c>
      <c r="U857" s="204" t="s">
        <v>2276</v>
      </c>
      <c r="V857" s="204">
        <v>3</v>
      </c>
      <c r="W857" s="19" t="s">
        <v>8852</v>
      </c>
    </row>
    <row r="858" spans="1:23" ht="42.5" customHeight="1">
      <c r="A858" s="26" t="s">
        <v>8922</v>
      </c>
      <c r="B858" s="26" t="s">
        <v>8924</v>
      </c>
      <c r="C858" s="204" t="s">
        <v>1105</v>
      </c>
      <c r="D858" s="204" t="s">
        <v>1105</v>
      </c>
      <c r="E858" s="204" t="s">
        <v>1105</v>
      </c>
      <c r="F858" s="4" t="s">
        <v>74</v>
      </c>
      <c r="G858" s="204"/>
      <c r="H858" s="4" t="s">
        <v>541</v>
      </c>
      <c r="I858" s="204" t="s">
        <v>2276</v>
      </c>
      <c r="J858" s="204" t="s">
        <v>2276</v>
      </c>
      <c r="K858" s="204" t="s">
        <v>2276</v>
      </c>
      <c r="L858" s="204" t="s">
        <v>2276</v>
      </c>
      <c r="M858" s="204" t="s">
        <v>2276</v>
      </c>
      <c r="N858" s="204" t="s">
        <v>2276</v>
      </c>
      <c r="O858" s="204" t="s">
        <v>2276</v>
      </c>
      <c r="P858" s="204" t="s">
        <v>2276</v>
      </c>
      <c r="Q858" s="204" t="s">
        <v>2276</v>
      </c>
      <c r="R858" s="204" t="s">
        <v>534</v>
      </c>
      <c r="S858" s="204" t="s">
        <v>2276</v>
      </c>
      <c r="T858" s="204" t="s">
        <v>2276</v>
      </c>
      <c r="U858" s="204" t="s">
        <v>2276</v>
      </c>
      <c r="V858" s="204">
        <v>1</v>
      </c>
      <c r="W858" s="19" t="s">
        <v>8939</v>
      </c>
    </row>
    <row r="859" spans="1:23" ht="45.5" customHeight="1">
      <c r="A859" s="26" t="s">
        <v>8941</v>
      </c>
      <c r="B859" s="26" t="s">
        <v>8945</v>
      </c>
      <c r="C859" s="204" t="s">
        <v>24</v>
      </c>
      <c r="D859" s="204" t="s">
        <v>1105</v>
      </c>
      <c r="E859" s="204" t="s">
        <v>1105</v>
      </c>
      <c r="F859" s="4" t="s">
        <v>2662</v>
      </c>
      <c r="G859" s="204"/>
      <c r="H859" s="4" t="s">
        <v>541</v>
      </c>
      <c r="I859" s="204" t="s">
        <v>2276</v>
      </c>
      <c r="J859" s="204" t="s">
        <v>2276</v>
      </c>
      <c r="K859" s="204" t="s">
        <v>2276</v>
      </c>
      <c r="L859" s="204" t="s">
        <v>2276</v>
      </c>
      <c r="M859" s="204" t="s">
        <v>2670</v>
      </c>
      <c r="N859" s="204" t="s">
        <v>2276</v>
      </c>
      <c r="O859" s="204" t="s">
        <v>2276</v>
      </c>
      <c r="P859" s="204" t="s">
        <v>2276</v>
      </c>
      <c r="Q859" s="204">
        <v>1</v>
      </c>
      <c r="R859" s="204" t="s">
        <v>537</v>
      </c>
      <c r="S859" s="204" t="s">
        <v>2276</v>
      </c>
      <c r="T859" s="204" t="s">
        <v>2276</v>
      </c>
      <c r="U859" s="204" t="s">
        <v>2276</v>
      </c>
      <c r="V859" s="204">
        <v>2</v>
      </c>
      <c r="W859" s="4" t="s">
        <v>8961</v>
      </c>
    </row>
    <row r="860" spans="1:23" ht="45.5" customHeight="1">
      <c r="A860" s="26" t="s">
        <v>8941</v>
      </c>
      <c r="B860" s="26" t="s">
        <v>8946</v>
      </c>
      <c r="C860" s="204" t="s">
        <v>24</v>
      </c>
      <c r="D860" s="204" t="s">
        <v>1105</v>
      </c>
      <c r="E860" s="204" t="s">
        <v>1105</v>
      </c>
      <c r="F860" s="4" t="s">
        <v>74</v>
      </c>
      <c r="G860" s="204"/>
      <c r="H860" s="4" t="s">
        <v>541</v>
      </c>
      <c r="I860" s="204" t="s">
        <v>2276</v>
      </c>
      <c r="J860" s="204" t="s">
        <v>2276</v>
      </c>
      <c r="K860" s="204" t="s">
        <v>2276</v>
      </c>
      <c r="L860" s="204" t="s">
        <v>2276</v>
      </c>
      <c r="M860" s="204" t="s">
        <v>2276</v>
      </c>
      <c r="N860" s="204" t="s">
        <v>2276</v>
      </c>
      <c r="O860" s="204" t="s">
        <v>2276</v>
      </c>
      <c r="P860" s="204" t="s">
        <v>2276</v>
      </c>
      <c r="Q860" s="204" t="s">
        <v>2276</v>
      </c>
      <c r="R860" s="204" t="s">
        <v>534</v>
      </c>
      <c r="S860" s="204" t="s">
        <v>2276</v>
      </c>
      <c r="T860" s="204" t="s">
        <v>2276</v>
      </c>
      <c r="U860" s="204" t="s">
        <v>2276</v>
      </c>
      <c r="V860" s="204">
        <v>3</v>
      </c>
      <c r="W860" s="4" t="s">
        <v>8961</v>
      </c>
    </row>
    <row r="861" spans="1:23" ht="47.5" customHeight="1">
      <c r="A861" s="26" t="s">
        <v>9276</v>
      </c>
      <c r="B861" s="26" t="s">
        <v>9277</v>
      </c>
      <c r="C861" s="204" t="s">
        <v>1105</v>
      </c>
      <c r="D861" s="204" t="s">
        <v>1105</v>
      </c>
      <c r="E861" s="204" t="s">
        <v>2649</v>
      </c>
      <c r="F861" s="204" t="s">
        <v>2663</v>
      </c>
      <c r="G861" s="204"/>
      <c r="H861" s="4" t="s">
        <v>541</v>
      </c>
      <c r="I861" s="204" t="s">
        <v>2690</v>
      </c>
      <c r="J861" s="204" t="s">
        <v>534</v>
      </c>
      <c r="K861" s="204" t="s">
        <v>2276</v>
      </c>
      <c r="L861" s="204" t="s">
        <v>2276</v>
      </c>
      <c r="M861" s="204" t="s">
        <v>2276</v>
      </c>
      <c r="N861" s="204" t="s">
        <v>2276</v>
      </c>
      <c r="O861" s="204" t="s">
        <v>2276</v>
      </c>
      <c r="P861" s="204" t="s">
        <v>2276</v>
      </c>
      <c r="Q861" s="204" t="s">
        <v>2276</v>
      </c>
      <c r="R861" s="204" t="s">
        <v>2276</v>
      </c>
      <c r="S861" s="204" t="s">
        <v>2276</v>
      </c>
      <c r="T861" s="204" t="s">
        <v>2276</v>
      </c>
      <c r="U861" s="204" t="s">
        <v>2276</v>
      </c>
      <c r="V861" s="204" t="s">
        <v>2276</v>
      </c>
      <c r="W861" s="19" t="s">
        <v>9278</v>
      </c>
    </row>
    <row r="862" spans="1:23" ht="45" customHeight="1">
      <c r="A862" s="26" t="s">
        <v>9314</v>
      </c>
      <c r="B862" s="26" t="s">
        <v>9316</v>
      </c>
      <c r="C862" s="204" t="s">
        <v>1242</v>
      </c>
      <c r="D862" s="204" t="s">
        <v>1105</v>
      </c>
      <c r="E862" s="204" t="s">
        <v>2649</v>
      </c>
      <c r="F862" s="204" t="s">
        <v>2663</v>
      </c>
      <c r="G862" s="204"/>
      <c r="H862" s="4" t="s">
        <v>541</v>
      </c>
      <c r="I862" s="204" t="s">
        <v>2690</v>
      </c>
      <c r="J862" s="204" t="s">
        <v>2276</v>
      </c>
      <c r="K862" s="204" t="s">
        <v>2276</v>
      </c>
      <c r="L862" s="204" t="s">
        <v>534</v>
      </c>
      <c r="M862" s="204" t="s">
        <v>2669</v>
      </c>
      <c r="N862" s="204" t="s">
        <v>2276</v>
      </c>
      <c r="O862" s="204" t="s">
        <v>2276</v>
      </c>
      <c r="P862" s="204" t="s">
        <v>534</v>
      </c>
      <c r="Q862" s="204">
        <v>4</v>
      </c>
      <c r="R862" s="204" t="s">
        <v>2276</v>
      </c>
      <c r="S862" s="204" t="s">
        <v>2276</v>
      </c>
      <c r="T862" s="204" t="s">
        <v>2276</v>
      </c>
      <c r="U862" s="204" t="s">
        <v>2276</v>
      </c>
      <c r="V862" s="204" t="s">
        <v>2276</v>
      </c>
      <c r="W862" s="19" t="s">
        <v>9320</v>
      </c>
    </row>
    <row r="863" spans="1:23" ht="38" customHeight="1">
      <c r="A863" s="26" t="s">
        <v>9314</v>
      </c>
      <c r="B863" s="26" t="s">
        <v>9319</v>
      </c>
      <c r="C863" s="204" t="s">
        <v>1242</v>
      </c>
      <c r="D863" s="204" t="s">
        <v>1105</v>
      </c>
      <c r="E863" s="204" t="s">
        <v>3209</v>
      </c>
      <c r="F863" s="204" t="s">
        <v>2663</v>
      </c>
      <c r="G863" s="204"/>
      <c r="H863" s="4" t="s">
        <v>541</v>
      </c>
      <c r="I863" s="204" t="s">
        <v>2690</v>
      </c>
      <c r="J863" s="204" t="s">
        <v>2276</v>
      </c>
      <c r="K863" s="204" t="s">
        <v>2276</v>
      </c>
      <c r="L863" s="204" t="s">
        <v>534</v>
      </c>
      <c r="M863" s="204" t="s">
        <v>2669</v>
      </c>
      <c r="N863" s="204" t="s">
        <v>2276</v>
      </c>
      <c r="O863" s="204" t="s">
        <v>2276</v>
      </c>
      <c r="P863" s="204" t="s">
        <v>534</v>
      </c>
      <c r="Q863" s="204">
        <v>4</v>
      </c>
      <c r="R863" s="204" t="s">
        <v>2276</v>
      </c>
      <c r="S863" s="204" t="s">
        <v>2276</v>
      </c>
      <c r="T863" s="204" t="s">
        <v>2276</v>
      </c>
      <c r="U863" s="204" t="s">
        <v>2276</v>
      </c>
      <c r="V863" s="204" t="s">
        <v>2276</v>
      </c>
      <c r="W863" s="19" t="s">
        <v>9320</v>
      </c>
    </row>
  </sheetData>
  <autoFilter ref="A1:A775" xr:uid="{EEF1D288-1AC3-41BC-A3CD-0809FB5B63F7}"/>
  <phoneticPr fontId="6" type="noConversion"/>
  <conditionalFormatting sqref="A154:A155">
    <cfRule type="duplicateValues" dxfId="140" priority="132"/>
  </conditionalFormatting>
  <conditionalFormatting sqref="B154">
    <cfRule type="duplicateValues" dxfId="139" priority="133"/>
  </conditionalFormatting>
  <conditionalFormatting sqref="B155">
    <cfRule type="duplicateValues" dxfId="138" priority="134"/>
  </conditionalFormatting>
  <conditionalFormatting sqref="A155">
    <cfRule type="duplicateValues" dxfId="137" priority="135"/>
  </conditionalFormatting>
  <conditionalFormatting sqref="A156">
    <cfRule type="duplicateValues" dxfId="136" priority="136"/>
  </conditionalFormatting>
  <conditionalFormatting sqref="B156">
    <cfRule type="duplicateValues" dxfId="135" priority="137"/>
  </conditionalFormatting>
  <conditionalFormatting sqref="A157">
    <cfRule type="duplicateValues" dxfId="134" priority="138"/>
  </conditionalFormatting>
  <conditionalFormatting sqref="B157">
    <cfRule type="duplicateValues" dxfId="133" priority="139"/>
  </conditionalFormatting>
  <conditionalFormatting sqref="A158">
    <cfRule type="duplicateValues" dxfId="132" priority="140"/>
  </conditionalFormatting>
  <conditionalFormatting sqref="B158">
    <cfRule type="duplicateValues" dxfId="131" priority="141"/>
  </conditionalFormatting>
  <conditionalFormatting sqref="A159">
    <cfRule type="duplicateValues" dxfId="130" priority="142"/>
  </conditionalFormatting>
  <conditionalFormatting sqref="B159">
    <cfRule type="duplicateValues" dxfId="129" priority="143"/>
  </conditionalFormatting>
  <conditionalFormatting sqref="A160">
    <cfRule type="duplicateValues" dxfId="128" priority="144"/>
  </conditionalFormatting>
  <conditionalFormatting sqref="B160">
    <cfRule type="duplicateValues" dxfId="127" priority="145"/>
  </conditionalFormatting>
  <conditionalFormatting sqref="A161">
    <cfRule type="duplicateValues" dxfId="126" priority="146"/>
  </conditionalFormatting>
  <conditionalFormatting sqref="B161">
    <cfRule type="duplicateValues" dxfId="125" priority="147"/>
  </conditionalFormatting>
  <conditionalFormatting sqref="A162">
    <cfRule type="duplicateValues" dxfId="124" priority="148"/>
  </conditionalFormatting>
  <conditionalFormatting sqref="B162">
    <cfRule type="duplicateValues" dxfId="123" priority="149"/>
  </conditionalFormatting>
  <conditionalFormatting sqref="A163">
    <cfRule type="duplicateValues" dxfId="122" priority="150"/>
  </conditionalFormatting>
  <conditionalFormatting sqref="B163">
    <cfRule type="duplicateValues" dxfId="121" priority="151"/>
  </conditionalFormatting>
  <conditionalFormatting sqref="A164">
    <cfRule type="duplicateValues" dxfId="120" priority="152"/>
  </conditionalFormatting>
  <conditionalFormatting sqref="B164">
    <cfRule type="duplicateValues" dxfId="119" priority="153"/>
  </conditionalFormatting>
  <conditionalFormatting sqref="A165">
    <cfRule type="duplicateValues" dxfId="118" priority="154"/>
  </conditionalFormatting>
  <conditionalFormatting sqref="B165">
    <cfRule type="duplicateValues" dxfId="117" priority="155"/>
  </conditionalFormatting>
  <conditionalFormatting sqref="A166">
    <cfRule type="duplicateValues" dxfId="116" priority="156"/>
  </conditionalFormatting>
  <conditionalFormatting sqref="B166">
    <cfRule type="duplicateValues" dxfId="115" priority="157"/>
  </conditionalFormatting>
  <conditionalFormatting sqref="A167">
    <cfRule type="duplicateValues" dxfId="114" priority="158"/>
  </conditionalFormatting>
  <conditionalFormatting sqref="B167">
    <cfRule type="duplicateValues" dxfId="113" priority="159"/>
  </conditionalFormatting>
  <conditionalFormatting sqref="A168">
    <cfRule type="duplicateValues" dxfId="112" priority="160"/>
  </conditionalFormatting>
  <conditionalFormatting sqref="B168">
    <cfRule type="duplicateValues" dxfId="111" priority="161"/>
  </conditionalFormatting>
  <conditionalFormatting sqref="A169">
    <cfRule type="duplicateValues" dxfId="110" priority="162"/>
  </conditionalFormatting>
  <conditionalFormatting sqref="B169">
    <cfRule type="duplicateValues" dxfId="109" priority="163"/>
  </conditionalFormatting>
  <conditionalFormatting sqref="A170">
    <cfRule type="duplicateValues" dxfId="108" priority="164"/>
  </conditionalFormatting>
  <conditionalFormatting sqref="B170">
    <cfRule type="duplicateValues" dxfId="107" priority="165"/>
  </conditionalFormatting>
  <conditionalFormatting sqref="A171">
    <cfRule type="duplicateValues" dxfId="106" priority="166"/>
  </conditionalFormatting>
  <conditionalFormatting sqref="B171">
    <cfRule type="duplicateValues" dxfId="105" priority="167"/>
  </conditionalFormatting>
  <conditionalFormatting sqref="A172">
    <cfRule type="duplicateValues" dxfId="104" priority="168"/>
  </conditionalFormatting>
  <conditionalFormatting sqref="B172">
    <cfRule type="duplicateValues" dxfId="103" priority="169"/>
  </conditionalFormatting>
  <conditionalFormatting sqref="A173">
    <cfRule type="duplicateValues" dxfId="102" priority="170"/>
  </conditionalFormatting>
  <conditionalFormatting sqref="B173">
    <cfRule type="duplicateValues" dxfId="101" priority="171"/>
  </conditionalFormatting>
  <conditionalFormatting sqref="A174">
    <cfRule type="duplicateValues" dxfId="100" priority="172"/>
  </conditionalFormatting>
  <conditionalFormatting sqref="B174">
    <cfRule type="duplicateValues" dxfId="99" priority="173"/>
  </conditionalFormatting>
  <conditionalFormatting sqref="A175">
    <cfRule type="duplicateValues" dxfId="98" priority="174"/>
  </conditionalFormatting>
  <conditionalFormatting sqref="B175">
    <cfRule type="duplicateValues" dxfId="97" priority="175"/>
  </conditionalFormatting>
  <conditionalFormatting sqref="A176">
    <cfRule type="duplicateValues" dxfId="96" priority="176"/>
  </conditionalFormatting>
  <conditionalFormatting sqref="B176">
    <cfRule type="duplicateValues" dxfId="95" priority="177"/>
  </conditionalFormatting>
  <conditionalFormatting sqref="A177">
    <cfRule type="duplicateValues" dxfId="94" priority="178"/>
  </conditionalFormatting>
  <conditionalFormatting sqref="B177">
    <cfRule type="duplicateValues" dxfId="93" priority="179"/>
  </conditionalFormatting>
  <conditionalFormatting sqref="A178">
    <cfRule type="duplicateValues" dxfId="92" priority="180"/>
  </conditionalFormatting>
  <conditionalFormatting sqref="B178">
    <cfRule type="duplicateValues" dxfId="91" priority="181"/>
  </conditionalFormatting>
  <conditionalFormatting sqref="A179">
    <cfRule type="duplicateValues" dxfId="90" priority="182"/>
  </conditionalFormatting>
  <conditionalFormatting sqref="B179">
    <cfRule type="duplicateValues" dxfId="89" priority="183"/>
  </conditionalFormatting>
  <conditionalFormatting sqref="B180:B181">
    <cfRule type="duplicateValues" dxfId="88" priority="80"/>
  </conditionalFormatting>
  <conditionalFormatting sqref="A180:A181">
    <cfRule type="duplicateValues" dxfId="87" priority="83"/>
  </conditionalFormatting>
  <conditionalFormatting sqref="A196">
    <cfRule type="duplicateValues" dxfId="86" priority="110"/>
  </conditionalFormatting>
  <conditionalFormatting sqref="B196">
    <cfRule type="duplicateValues" dxfId="85" priority="111"/>
  </conditionalFormatting>
  <conditionalFormatting sqref="A197">
    <cfRule type="duplicateValues" dxfId="84" priority="112"/>
  </conditionalFormatting>
  <conditionalFormatting sqref="B197">
    <cfRule type="duplicateValues" dxfId="83" priority="113"/>
  </conditionalFormatting>
  <conditionalFormatting sqref="A198">
    <cfRule type="duplicateValues" dxfId="82" priority="114"/>
  </conditionalFormatting>
  <conditionalFormatting sqref="B198">
    <cfRule type="duplicateValues" dxfId="81" priority="115"/>
  </conditionalFormatting>
  <conditionalFormatting sqref="A199">
    <cfRule type="duplicateValues" dxfId="80" priority="116"/>
  </conditionalFormatting>
  <conditionalFormatting sqref="B199">
    <cfRule type="duplicateValues" dxfId="79" priority="117"/>
  </conditionalFormatting>
  <conditionalFormatting sqref="A200">
    <cfRule type="duplicateValues" dxfId="78" priority="118"/>
  </conditionalFormatting>
  <conditionalFormatting sqref="B200">
    <cfRule type="duplicateValues" dxfId="77" priority="119"/>
  </conditionalFormatting>
  <conditionalFormatting sqref="A201">
    <cfRule type="duplicateValues" dxfId="76" priority="120"/>
  </conditionalFormatting>
  <conditionalFormatting sqref="B201">
    <cfRule type="duplicateValues" dxfId="75" priority="121"/>
  </conditionalFormatting>
  <conditionalFormatting sqref="A202">
    <cfRule type="duplicateValues" dxfId="74" priority="62"/>
  </conditionalFormatting>
  <conditionalFormatting sqref="B202">
    <cfRule type="duplicateValues" dxfId="73" priority="63"/>
  </conditionalFormatting>
  <conditionalFormatting sqref="A203">
    <cfRule type="duplicateValues" dxfId="72" priority="64"/>
  </conditionalFormatting>
  <conditionalFormatting sqref="B203">
    <cfRule type="duplicateValues" dxfId="71" priority="65"/>
  </conditionalFormatting>
  <conditionalFormatting sqref="B182:B183">
    <cfRule type="duplicateValues" dxfId="70" priority="78"/>
  </conditionalFormatting>
  <conditionalFormatting sqref="A182:A183">
    <cfRule type="duplicateValues" dxfId="69" priority="79"/>
  </conditionalFormatting>
  <conditionalFormatting sqref="B184:B185">
    <cfRule type="duplicateValues" dxfId="68" priority="76"/>
  </conditionalFormatting>
  <conditionalFormatting sqref="A184:A185">
    <cfRule type="duplicateValues" dxfId="67" priority="77"/>
  </conditionalFormatting>
  <conditionalFormatting sqref="B186:B187">
    <cfRule type="duplicateValues" dxfId="66" priority="74"/>
  </conditionalFormatting>
  <conditionalFormatting sqref="A186:A187">
    <cfRule type="duplicateValues" dxfId="65" priority="75"/>
  </conditionalFormatting>
  <conditionalFormatting sqref="B188:B189">
    <cfRule type="duplicateValues" dxfId="64" priority="72"/>
  </conditionalFormatting>
  <conditionalFormatting sqref="A188:A189">
    <cfRule type="duplicateValues" dxfId="63" priority="73"/>
  </conditionalFormatting>
  <conditionalFormatting sqref="B190:B191">
    <cfRule type="duplicateValues" dxfId="62" priority="70"/>
  </conditionalFormatting>
  <conditionalFormatting sqref="A190:A191">
    <cfRule type="duplicateValues" dxfId="61" priority="71"/>
  </conditionalFormatting>
  <conditionalFormatting sqref="B192:B193">
    <cfRule type="duplicateValues" dxfId="60" priority="68"/>
  </conditionalFormatting>
  <conditionalFormatting sqref="A192:A193">
    <cfRule type="duplicateValues" dxfId="59" priority="69"/>
  </conditionalFormatting>
  <conditionalFormatting sqref="B194:B195">
    <cfRule type="duplicateValues" dxfId="58" priority="66"/>
  </conditionalFormatting>
  <conditionalFormatting sqref="A194:A195">
    <cfRule type="duplicateValues" dxfId="57" priority="67"/>
  </conditionalFormatting>
  <conditionalFormatting sqref="A204">
    <cfRule type="duplicateValues" dxfId="56" priority="58"/>
  </conditionalFormatting>
  <conditionalFormatting sqref="B204">
    <cfRule type="duplicateValues" dxfId="55" priority="59"/>
  </conditionalFormatting>
  <conditionalFormatting sqref="A205">
    <cfRule type="duplicateValues" dxfId="54" priority="60"/>
  </conditionalFormatting>
  <conditionalFormatting sqref="B205">
    <cfRule type="duplicateValues" dxfId="53" priority="61"/>
  </conditionalFormatting>
  <conditionalFormatting sqref="A206">
    <cfRule type="duplicateValues" dxfId="52" priority="54"/>
  </conditionalFormatting>
  <conditionalFormatting sqref="B206">
    <cfRule type="duplicateValues" dxfId="51" priority="55"/>
  </conditionalFormatting>
  <conditionalFormatting sqref="A207">
    <cfRule type="duplicateValues" dxfId="50" priority="56"/>
  </conditionalFormatting>
  <conditionalFormatting sqref="B207">
    <cfRule type="duplicateValues" dxfId="49" priority="57"/>
  </conditionalFormatting>
  <conditionalFormatting sqref="A208">
    <cfRule type="duplicateValues" dxfId="48" priority="50"/>
  </conditionalFormatting>
  <conditionalFormatting sqref="B208">
    <cfRule type="duplicateValues" dxfId="47" priority="51"/>
  </conditionalFormatting>
  <conditionalFormatting sqref="A209">
    <cfRule type="duplicateValues" dxfId="46" priority="52"/>
  </conditionalFormatting>
  <conditionalFormatting sqref="B209">
    <cfRule type="duplicateValues" dxfId="45" priority="53"/>
  </conditionalFormatting>
  <conditionalFormatting sqref="A210">
    <cfRule type="duplicateValues" dxfId="44" priority="46"/>
  </conditionalFormatting>
  <conditionalFormatting sqref="B210">
    <cfRule type="duplicateValues" dxfId="43" priority="47"/>
  </conditionalFormatting>
  <conditionalFormatting sqref="A211">
    <cfRule type="duplicateValues" dxfId="42" priority="48"/>
  </conditionalFormatting>
  <conditionalFormatting sqref="B211">
    <cfRule type="duplicateValues" dxfId="41" priority="49"/>
  </conditionalFormatting>
  <conditionalFormatting sqref="A212">
    <cfRule type="duplicateValues" dxfId="40" priority="42"/>
  </conditionalFormatting>
  <conditionalFormatting sqref="B212">
    <cfRule type="duplicateValues" dxfId="39" priority="43"/>
  </conditionalFormatting>
  <conditionalFormatting sqref="A213">
    <cfRule type="duplicateValues" dxfId="38" priority="44"/>
  </conditionalFormatting>
  <conditionalFormatting sqref="B213">
    <cfRule type="duplicateValues" dxfId="37" priority="45"/>
  </conditionalFormatting>
  <conditionalFormatting sqref="A214">
    <cfRule type="duplicateValues" dxfId="36" priority="38"/>
  </conditionalFormatting>
  <conditionalFormatting sqref="B214">
    <cfRule type="duplicateValues" dxfId="35" priority="39"/>
  </conditionalFormatting>
  <conditionalFormatting sqref="A215">
    <cfRule type="duplicateValues" dxfId="34" priority="40"/>
  </conditionalFormatting>
  <conditionalFormatting sqref="B215">
    <cfRule type="duplicateValues" dxfId="33" priority="41"/>
  </conditionalFormatting>
  <conditionalFormatting sqref="A216">
    <cfRule type="duplicateValues" dxfId="32" priority="34"/>
  </conditionalFormatting>
  <conditionalFormatting sqref="B216">
    <cfRule type="duplicateValues" dxfId="31" priority="35"/>
  </conditionalFormatting>
  <conditionalFormatting sqref="A217">
    <cfRule type="duplicateValues" dxfId="30" priority="36"/>
  </conditionalFormatting>
  <conditionalFormatting sqref="B217">
    <cfRule type="duplicateValues" dxfId="29" priority="37"/>
  </conditionalFormatting>
  <conditionalFormatting sqref="A218">
    <cfRule type="duplicateValues" dxfId="28" priority="30"/>
  </conditionalFormatting>
  <conditionalFormatting sqref="B218">
    <cfRule type="duplicateValues" dxfId="27" priority="31"/>
  </conditionalFormatting>
  <conditionalFormatting sqref="A219">
    <cfRule type="duplicateValues" dxfId="26" priority="32"/>
  </conditionalFormatting>
  <conditionalFormatting sqref="B219">
    <cfRule type="duplicateValues" dxfId="25" priority="33"/>
  </conditionalFormatting>
  <conditionalFormatting sqref="A220">
    <cfRule type="duplicateValues" dxfId="24" priority="22"/>
  </conditionalFormatting>
  <conditionalFormatting sqref="B220">
    <cfRule type="duplicateValues" dxfId="23" priority="23"/>
  </conditionalFormatting>
  <conditionalFormatting sqref="A221">
    <cfRule type="duplicateValues" dxfId="22" priority="24"/>
  </conditionalFormatting>
  <conditionalFormatting sqref="B221">
    <cfRule type="duplicateValues" dxfId="21" priority="25"/>
  </conditionalFormatting>
  <conditionalFormatting sqref="A222">
    <cfRule type="duplicateValues" dxfId="20" priority="18"/>
  </conditionalFormatting>
  <conditionalFormatting sqref="B222">
    <cfRule type="duplicateValues" dxfId="19" priority="19"/>
  </conditionalFormatting>
  <conditionalFormatting sqref="A223">
    <cfRule type="duplicateValues" dxfId="18" priority="20"/>
  </conditionalFormatting>
  <conditionalFormatting sqref="B223">
    <cfRule type="duplicateValues" dxfId="17" priority="21"/>
  </conditionalFormatting>
  <conditionalFormatting sqref="A224">
    <cfRule type="duplicateValues" dxfId="16" priority="14"/>
  </conditionalFormatting>
  <conditionalFormatting sqref="B224">
    <cfRule type="duplicateValues" dxfId="15" priority="15"/>
  </conditionalFormatting>
  <conditionalFormatting sqref="A225">
    <cfRule type="duplicateValues" dxfId="14" priority="16"/>
  </conditionalFormatting>
  <conditionalFormatting sqref="B225">
    <cfRule type="duplicateValues" dxfId="13" priority="17"/>
  </conditionalFormatting>
  <conditionalFormatting sqref="A226">
    <cfRule type="duplicateValues" dxfId="12" priority="10"/>
  </conditionalFormatting>
  <conditionalFormatting sqref="B226">
    <cfRule type="duplicateValues" dxfId="11" priority="11"/>
  </conditionalFormatting>
  <conditionalFormatting sqref="A227">
    <cfRule type="duplicateValues" dxfId="10" priority="12"/>
  </conditionalFormatting>
  <conditionalFormatting sqref="B227">
    <cfRule type="duplicateValues" dxfId="9" priority="13"/>
  </conditionalFormatting>
  <conditionalFormatting sqref="A228">
    <cfRule type="duplicateValues" dxfId="8" priority="6"/>
  </conditionalFormatting>
  <conditionalFormatting sqref="B228">
    <cfRule type="duplicateValues" dxfId="7" priority="7"/>
  </conditionalFormatting>
  <conditionalFormatting sqref="A229">
    <cfRule type="duplicateValues" dxfId="6" priority="8"/>
  </conditionalFormatting>
  <conditionalFormatting sqref="B229">
    <cfRule type="duplicateValues" dxfId="5" priority="9"/>
  </conditionalFormatting>
  <conditionalFormatting sqref="A230">
    <cfRule type="duplicateValues" dxfId="4" priority="2"/>
  </conditionalFormatting>
  <conditionalFormatting sqref="B230">
    <cfRule type="duplicateValues" dxfId="3" priority="3"/>
  </conditionalFormatting>
  <conditionalFormatting sqref="A231:A235">
    <cfRule type="duplicateValues" dxfId="2" priority="4"/>
  </conditionalFormatting>
  <conditionalFormatting sqref="B231">
    <cfRule type="duplicateValues" dxfId="1" priority="5"/>
  </conditionalFormatting>
  <conditionalFormatting sqref="B232:B235">
    <cfRule type="duplicateValues" dxfId="0" priority="1"/>
  </conditionalFormatting>
  <dataValidations xWindow="914" yWindow="394" count="7">
    <dataValidation allowBlank="1" showInputMessage="1" showErrorMessage="1" prompt="The same as Case study ID in Record Info" sqref="A1:A13 B308:B309 B330 B355:B360 B365:B372 A26:A401 B407:B424 B480:B481 A405:A481 B232:B235 A504:A531 A542:A544 B556:C556 B562:B566 A547:A566 B575:B578 B589:B595 B599:B601 A575:A602 B606:B611 B614:B617 B737:B743 A680:A684 A703:B704 A606:A678 A711:B713 B636:B637 A737:A761 B780:B782 A776:A795 B804:B806 B810:B815 A804:A824 A840:A845 B859:B860 A855:A1048576" xr:uid="{789C1EFA-5E6C-442F-8216-3BDC4A89D4BA}"/>
    <dataValidation allowBlank="1" showInputMessage="1" showErrorMessage="1" prompt="Case study ID +.1, .2 etc for each relevant PCB" sqref="B1:B13 B236:B307 B310:B329 B331:B354 B361:B364 B382:B401 B405:B406 B425:B467 B472:B479 B504:B526 B26:B231 B531 B536:B544 B547:B555 B561 B585:B588 B596:B598 B612:B613 B618:B629 B631 B638:B684 A705:B706 B634:B635 B744:B761 B776:B779 B784:B795 B807:B809 B816:B824 B840:B845 B855:B858 B861:B1048576" xr:uid="{1190FADE-3D78-440A-B3B4-901F35638C37}"/>
    <dataValidation showInputMessage="1" showErrorMessage="1" sqref="W107:W111 W129" xr:uid="{6BE443F6-EE1E-444D-AA67-D1DD94ADA919}"/>
    <dataValidation allowBlank="1" showInputMessage="1" showErrorMessage="1" prompt="Study ID + letter denoting case study: 1a, 1b, 1c etc." sqref="A14:B25 A482:B503 A537:A541 A567:B574 A603:A605 A679 A707:B710 A714:B736 A762:B775 A846:B851" xr:uid="{9B49D527-4568-45EF-ACB7-88D850410F7C}"/>
    <dataValidation allowBlank="1" showInputMessage="1" showErrorMessage="1" prompt="Case study ID + .1, .2 etc for each direct fire creation PCB associated with the case study" sqref="B373:B381 B468:B471 B527:B530 B545:B546 B557:B560 B579:B580 B602:B605 B630 B632:B633 B783 B685:B702" xr:uid="{7687EF30-3597-4A79-9EE7-28C1CA362F13}"/>
    <dataValidation type="whole" allowBlank="1" showInputMessage="1" showErrorMessage="1" prompt="Blank if refers to all study years" sqref="G1:G526 G606:G617 G531:G601 G631:G704 G707:G1048576" xr:uid="{A7CD2C9D-7B72-4BC4-B631-CD1DBB9E2AB6}">
      <formula1>1900</formula1>
      <formula2>2020</formula2>
    </dataValidation>
    <dataValidation allowBlank="1" showInputMessage="1" showErrorMessage="1" prompt="The same as Case study ID in Record Info_x000a_" sqref="A532:A536 A796:B803 A685:A702 A825:B839 A852:B854" xr:uid="{65BE1B4D-7A54-404A-8842-6D44E67FC2C0}"/>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914" yWindow="394" count="24">
        <x14:dataValidation type="list" allowBlank="1" showInputMessage="1" showErrorMessage="1" xr:uid="{5784EDA0-2583-4E9A-B464-2E8E79C5C345}">
          <x14:formula1>
            <xm:f>'IGNORE Lookups'!$N$3:$N$5</xm:f>
          </x14:formula1>
          <xm:sqref>R310:S312 U322:V322 N308:P309 R308:U309 T307:U307 R306:S307 T311:U312 N313:P313 R313:U315 I321 Q319 M321:Q323 S322 N315:P320 R317:V319 Q317 I325:Q325 V523:V524 N324:Q324 N326:Q326 I327:Q327 J326:L326 N328:Q328 I329:Q329 J328:L328 N330:Q330 I331:Q331 J330:L330 N332:Q332 I333:Q333 J332:L332 U324:U333 T321:T333 I340:I351 N354:Q354 J334:Q353 N355:P355 M356:Q356 I354 M358:Q358 N357:P357 N359:P359 V371 I362:Q364 M360:Q361 T352:V361 J354:L361 V365:V366 N365:O366 I386:M391 I382:L385 I365:L372 I403:J406 Q386:Q400 V403 V405:V409 K401:Q406 K392:P400 I392:J394 I398:J401 M372:O372 N371:O371 M367:O370 I407:Q412 T410:V428 V438 J413:N428 Q413:Q428 N429:N436 O413:P436 V429:V436 S429:U440 S449:T449 J443:J448 N450:O450 R449:R450 R452:R455 T442 R442 R474:T479 U478:U479 N480:O481 I506:Q512 S505:V505 I505:L505 N505:P505 S506:U512 S513:V516 I517:I520 S517:U520 I531:Q531 I527:V530 M532:Q541 R521:V522 R505:R520 I523:U526 J513:Q521 S324:S372 S382:S428 N382:P391 T362:U372 T382:U409 R373:V381 V382:V386 P365:P381 Q367:Q381 R321:R372 R382:R440 M232:Q233 N1:P231 N236:P305 I232:I233 J1:L324 R1:U233 R236:U305 M234:V235 V532:V541 I542:Q544 R531:U544 I547:L547 R547:V547 N547:P547 M548:V548 V552:V553 M551:V551 J551:L552 I556:L556 J456:J467 J482:K503 J522 J537:L541 M549:U550 M553:Q555 M552:U552 S556:V556 S553:U555 N556:P556 I562:I566 R553:R556 I561:Q561 J557:V560 K562:Q566 M579:Q580 K567:V574 R561:U566 L575:V575 M576:V578 V580:V582 I579:I580 K575:K580 J562:J580 L576:L580 I585:L586 R579:U584 I587:Q588 R585:V585 N581:P586 M589:Q592 V589:V598 I593:Q595 J591:L592 I596:L596 R586:U595 I599:I601 J597:M601 N596:U601 O602:V605 M602:M611 I606:L613 V614:V629 V610:W611 V607:W608 R612:V613 O614:Q615 O606:U611 O612:P613 J614:L615 O616:P616 O631:V631 I617:M617 O617:Q617 F618:G623 N602:N617 M618:P618 M622:M623 G624:G630 Q622:Q624 I626:I627 I618:L625 R614:U627 N619:P627 M628:U629 J626:L629 I630:U630 I631:I633 R744:V745 O632:U633 V636:V641 R676:U677 O634:P644 J631:L635 Q678:V678 N631:N644 J642:L642 R634:U644 Q645:V645 J645:L645 R646:U647 N646:P647 J648:L648 Q648:V648 N649:P650 R649:U650 Q651:V651 J651:L651 R652:U653 N652:P653 J654:L654 Q654:V654 N655:P656 R655:U656 Q657:V657 J657:L657 R658:U659 N658:P659 J660:L660 Q660:V660 N661:P662 R661:U662 Q663:V663 J663:L663 R664:U665 N664:P665 J666:L666 Q666:V666 R667:U668 N667:P668 Q669:V669 J669:L669 R670:U671 N670:P671 J672:L672 Q672:V672 R673:U674 N673:P674 Q675:V675 J675:L675 J678:L678 N676:P677 N744:P745 V747:V755 K747:K751 R746:U748 L749:U751 K752:U755 J747:J755 V761:V774 R758:V759 R756:U757 O758:O759 J765:L765 J770:L770 N545:V546 J545:L546 S760:U774 U778:U779 R760:R779 J788 T784 R783:R785 P786:P787 K789 O786:O788 N790 P790 K791:K792 T795 R795:R803 S806:U806 J806:K806 S814:U814 R806:R807 P808:P809 N808:N809 K808 P816 R810:R817 S816:U817 K819 P818 R820:R821 R836:V839 O824:O835 P836:P839 O842:P842 P845 J864:K1048576 R846:R853 U846:U853 S852:T853 L853:L854 J853:J854 N864:O1048576 R855:R860 L862:L1048576 J861 P862:P1048576 R864:U1048576</xm:sqref>
        </x14:dataValidation>
        <x14:dataValidation type="list" allowBlank="1" showInputMessage="1" showErrorMessage="1" xr:uid="{618469B9-E411-45CA-9EDC-BE5CA85273E9}">
          <x14:formula1>
            <xm:f>'IGNORE Lookups'!$O$3:$O$8</xm:f>
          </x14:formula1>
          <xm:sqref>V525:V526 Q308:Q309 V308:V309 Q313 V313 R316:U316 V315:V316 S323 Q315:Q316 Q320:U320 V320:V321 S321 U321 U323 Q318 T334:U351 V323:V351 Q355 Q357 Q359 V362:V364 Q365:Q366 V367:V370 V372 Q382:Q385 V404 V387:V402 Q429:Q436 V437 V439:V440 V442 Q472:Q473 V474:V477 Q480:Q481 Q505 V506:V512 V517:V520 V236:V305 Q236:Q305 Q1:Q231 V1:V233 V531 V542:V544 Q547 V549:V550 V554:V555 Q556 V561:V566 V579 V583:V584 Q581:Q586 V586:V588 Q618:Q621 V599:V601 V606 V609 Q612:Q613 Q616 Q625:Q627 V630 Q676:Q677 V642:V644 V634:V635 Q634:Q644 V646:V647 Q646:Q647 V649:V650 Q649:Q650 V652:V653 Q652:Q653 V655:V656 Q655:Q656 V658:V659 Q658:Q659 V661:V662 Q661:Q662 V664:V665 Q664:Q665 V667:V668 Q667:Q668 V670:V671 Q670:Q671 V673:V674 Q673:Q674 V676:V677 Q744:Q745 V746 V756:V757 V760 Q758:Q761 V777:V779 Q780:Q782 V783:V784 Q786:Q788 Q790 Q793:Q794 V795 V800:V803 V807 Q808:Q809 V810:V813 V815 Q816:Q817 V820:V821 Q862:Q1048576 Q824:Q839 Q845 V846:V853 Q859 V855:V860 V864:V1048576</xm:sqref>
        </x14:dataValidation>
        <x14:dataValidation type="list" allowBlank="1" showInputMessage="1" showErrorMessage="1" xr:uid="{8876755B-3CA7-4440-B2BF-5CD937CE7773}">
          <x14:formula1>
            <xm:f>'IGNORE Lookups'!$P$3:$P$8</xm:f>
          </x14:formula1>
          <xm:sqref>N306:Q307 N310:Q312 V306:V307 T310:V310 T306:U306 V311:V312 V314 N314:Q314 M236:M320 M324 M326 M328 M330 M332 M354:M355 M357 M359 M365:M366 M371 M429:M436 M450 M468:M473 M480:M481 R504:U504 N504:P504 M504:M505 M373:O381 M382:M385 M1:M231 M556 M581:M586 M596 M612:M616 M619:M621 M624:M627 M631:M678 N645:P645 N648:P648 N651:P651 N654:P654 N657:P657 N660:P660 N663:P663 N666:P666 N669:P669 N678:P678 N672:P672 N675:P675 M744:M745 M747:M748 M545:M547 M758:M774 M780:M782 M786:M788 M790 M793:M794 M796:M799 M804:M805 M808:M809 N817:P817 M816:M818 M824:M843 M845 M859 M862:M1048576</xm:sqref>
        </x14:dataValidation>
        <x14:dataValidation type="list" allowBlank="1" showInputMessage="1" showErrorMessage="1" xr:uid="{B521FD45-8B2C-4A35-A6BC-7171A2CE50C7}">
          <x14:formula1>
            <xm:f>'IGNORE Lookups'!$E$3:$E$9</xm:f>
          </x14:formula1>
          <xm:sqref>C1:C372 E401:E404 F437:F440 F401:F406 E437:E438 C382:C467 D521:E521 C513:C526 D606:E611 C614:C621 C625:C631 C642:C678 C634:C635 C748:C779 E784 C784:D785 E786:E788 E790 D790:D792 C789:C824 C845:C857 C859:C860 C864:C1048576</xm:sqref>
        </x14:dataValidation>
        <x14:dataValidation type="list" allowBlank="1" showInputMessage="1" showErrorMessage="1" xr:uid="{056AA4F5-E713-40EC-B978-219F2FB4C20C}">
          <x14:formula1>
            <xm:f>'IGNORE Lookups'!$G$3:$G$11</xm:f>
          </x14:formula1>
          <xm:sqref>F382:F400 F407:F424 F441:F442 F449:F467 F236:F372 G527:G530 F522:F526 F472:F520 F1:F231 F531:F544 F548:F556 F561 F575:F578 F585:F588 F596:F598 G602:G605 F614:F617 F624 F631 F642 F634:F635 F744:F755 F758:F783 F789:F794 F796:F809 F814:F824 F843:F844 F857 F859 F861:F1048576</xm:sqref>
        </x14:dataValidation>
        <x14:dataValidation type="list" allowBlank="1" showInputMessage="1" showErrorMessage="1" xr:uid="{D139BA2A-A8CE-4FD9-A551-22565AB56751}">
          <x14:formula1>
            <xm:f>'IGNORE Lookups'!$M$11:$M$14</xm:f>
          </x14:formula1>
          <xm:sqref>I521:I522 I322:I324 I326 I328 I330 I332 I334:I339 I352:I353 I355:I361 I395:J397 I373:L381 I402:J402 J429:L436 M449:Q449 J449:L452 K443:V448 U449:V449 P450:Q452 M451:O452 R451 J453:Q455 S450:V455 U474:U477 K456:V467 J437:Q442 V441 R441 T441 S441:S442 U441:U442 N468:P473 R468:V473 Q468:Q471 V478:V504 J474:Q479 P480:P503 R480:U481 J480:L481 Q504 Q482:U503 J504:L504 I513:I516 K522:Q522 L482:O503 I234:I320 I468:L473 I413:I467 I474:I504 I1:I231 J532:L536 I532:I541 J553:L555 J548:L550 I548:I555 I557:I560 I567:I578 I581:L584 J589:L590 I589:I592 I597:I598 I602:L605 J616:L616 I614:I616 I628:I629 J636:L641 J676:L677 J643:L644 J646:L647 J649:L650 J652:L653 J655:L656 J658:L659 J661:L662 J664:L665 J667:L668 J670:L671 J673:L674 I634:I678 J745:L745 I744:L744 N747:Q748 J746:Q746 L747:L748 P758:P785 J756:Q757 N758:N789 O760:O785 Q762:Q779 J758:L764 J766:L769 J771:L774 I545:I546 S777:U777 S775:V776 S778:T779 J775:M779 R780:V782 J780:L782 Q783:Q785 S783:U783 V785:V794 S784:S805 U784:U805 T785:T794 J783:M785 J789 J786:L787 R786:R794 K788:L788 P788:P789 I790:L790 L789:M789 I745:I789 Q789 O789:O816 P791:Q792 J791:J805 L791:N792 P793:P807 K793:L794 N793:N807 Q795:Q807 K795:M795 V796:V799 K796:L799 T796:T805 K800:M803 S807:U807 K804:L805 R804:R805 V804:V806 L806:M806 R808:V809 J807:M807 J808:J821 K809:K818 V814 S810:U813 S815:U815 P810:Q815 M810:N815 Q818:V818 N816 M820:Q823 N818:O818 V816:V817 M819:V819 S820:U821 L808:L821 K820:K821 N824:N853 P824:P835 R822:V835 O836:O841 P840:V841 Q842:V842 I844:M844 R845:V845 I791:I843 J822:L843 O843:V844 O845:O853 K852:K863 I845:L851 M846:M853 S846:T851 M854:V854 J852 L852 P846:Q853 J855:J860 L855:Q858 M861:V861 I852:I1048576 M860:Q860 N859:P859 S855:U860 L859:L861 J862:J863 N862:O863 R862:V863</xm:sqref>
        </x14:dataValidation>
        <x14:dataValidation type="list" allowBlank="1" showInputMessage="1" showErrorMessage="1" xr:uid="{78583B00-A782-4DA4-8469-012CB440C913}">
          <x14:formula1>
            <xm:f>'IGNORE Lookups'!$F$3:$F$23</xm:f>
          </x14:formula1>
          <xm:sqref>F425:F436 F443:F448 E232:E235</xm:sqref>
        </x14:dataValidation>
        <x14:dataValidation type="list" allowBlank="1" showInputMessage="1" showErrorMessage="1" prompt="One of: Human Deliberate, Human Accidental, Human Escaped, Lightning, Other Natural, Unknown" xr:uid="{D6270B99-3CAA-4FDE-8C79-DC23EE1EA267}">
          <x14:formula1>
            <xm:f>'IGNORE Lookups'!$E$3:$E$9</xm:f>
          </x14:formula1>
          <xm:sqref>C468:C512 C527:C555 C373:C381 E373:E381 C557:C576 C579:C613 C622:C624 C632:C633 C780:C783 C786:C788 C825:C844</xm:sqref>
        </x14:dataValidation>
        <x14:dataValidation type="list" allowBlank="1" showInputMessage="1" showErrorMessage="1" xr:uid="{52330A1E-065F-4614-AA45-67C0321233CC}">
          <x14:formula1>
            <xm:f>'IGNORE Lookups'!$G$3:$G$10</xm:f>
          </x14:formula1>
          <xm:sqref>F373:F381 F468:F471 F521 F527:F530 F232:F235 F557:F560 F567:F574 F579:F580 F589:F595 F599:F613 F625:F630 F632:F633 F643:F678 F756:F757 F545:F546 F784:F788 F795 F810:F813 F825:F842 F845:F856 F858 F860</xm:sqref>
        </x14:dataValidation>
        <x14:dataValidation type="list" allowBlank="1" showInputMessage="1" showErrorMessage="1" xr:uid="{C62BBB27-69CC-4E4D-94A2-5E6A05E8E3FE}">
          <x14:formula1>
            <xm:f>'IGNORE Lookups'!$C$23:$C$43</xm:f>
          </x14:formula1>
          <xm:sqref>E405:E436 E382:E400 E439:E467 E474:E477 E482:E520 D531:E531 D522:E522 E1:E231 E236:E372 E522:E544 F547 F562:F566 D561:E566 E575:E578 F581:F584 E580:E596 E599:E605 E612:E615 E617:E624 E630:E631 E642 E634:E635 E744:E746 D749:D752 E749:E755 E758:E761 D545:E556 E707:E708 E711 E772:E774 E778:E779 E789 E793:E794 E796:E799 E806:E809 E814:E824 E843:E844 E846:E857 E861:E862 E864:E1048576</xm:sqref>
        </x14:dataValidation>
        <x14:dataValidation type="list" allowBlank="1" showInputMessage="1" showErrorMessage="1" xr:uid="{3AA910F3-6C3C-41E6-AF7A-06FA2D20B586}">
          <x14:formula1>
            <xm:f>'IGNORE Lookups'!$C$23:$C$44</xm:f>
          </x14:formula1>
          <xm:sqref>E468:E473 E521 D232:E235 E557:E560</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6397E824-EF40-4F03-B00A-2EA1EA617E3E}">
          <x14:formula1>
            <xm:f>'IGNORE Lookups'!$F$3:$F$27</xm:f>
          </x14:formula1>
          <xm:sqref>D373:E381</xm:sqref>
        </x14:dataValidation>
        <x14:dataValidation type="list" allowBlank="1" showInputMessage="1" showErrorMessage="1" xr:uid="{4436F0BA-E15C-410B-91C2-17366665921A}">
          <x14:formula1>
            <xm:f>'IGNORE Lookups'!$F$3:$F$27</xm:f>
          </x14:formula1>
          <xm:sqref>D382:E520 D236:E372 E373:E381 D1:E231 D523:E530 D532:E544 D557:E560 D567:E574 C577:C578 E579 F581:F584 E581:E588 E596:E598 D575:D605 D612:D613 D614:E621 D622:D623 D624:E624 E630:E631 D643:D678 D625:D635 E634:E635 D642:E642 E744:E746 E749:E755 E758:E761 E545 E707:E708 E711 D546 E772:E779 D742:D783 D786:D789 E789 D793:E794 D795 D796:E809 D810:D813 D814:E824 E843:E844 C858 C861:C863 D825:D1048576 E846:E862 E864:E1048576</xm:sqref>
        </x14:dataValidation>
        <x14:dataValidation type="list" allowBlank="1" showInputMessage="1" showErrorMessage="1" prompt="Existing categories include: National Government, State or local government, International NGOs, Private sector, Multinational corporation" xr:uid="{1887C121-C230-47BD-9D97-2DC3165AFC17}">
          <x14:formula1>
            <xm:f>'IGNORE Lookups'!$N$11:$N$18</xm:f>
          </x14:formula1>
          <xm:sqref>H744:H745 H1:H678 H749:H1048576</xm:sqref>
        </x14:dataValidation>
        <x14:dataValidation type="list" allowBlank="1" showInputMessage="1" showErrorMessage="1" xr:uid="{D1FCC99B-F560-425B-BFB0-C7277F7F06BE}">
          <x14:formula1>
            <xm:f>'IGNORE Lookups'!$C$23:$C$45</xm:f>
          </x14:formula1>
          <xm:sqref>E625:E629 E632:E633 E637 E639 E641 E643:E678 E747:E748 E756:E757 E762:E771 E780:E783 E785 E791:E792 E795 E810:E813 E825:E842 E845 E863</xm:sqref>
        </x14:dataValidation>
        <x14:dataValidation type="list" allowBlank="1" showInputMessage="1" showErrorMessage="1" xr:uid="{C66ECDAA-100E-4E45-813D-540165B02B85}">
          <x14:formula1>
            <xm:f>'C:\Users\Oli\Documents\PhD\Model development\Data\Collaborators\Current Contributor Versions\[Adam''s fire data.xlsx]IGNORE Lookups'!#REF!</xm:f>
          </x14:formula1>
          <xm:sqref>H707:L713 I714:L741 D707:D708 D710:D741 N705:Q713 R709:V713 S705:V708 R741:S743 O716:Q737 P738:V738 O739:Q743 R737:V737 O715:V715 T714:V714 T716:V736 T739:V743 R717:S717 R719:S720 R722:S723 R725:S725 R727:S727 R729:S729 R731:S731 R733:S733 R735:S735 K742:N742 L743:N743 M739:N740 M736:N736 M734:N734 M732:N732 M730:N730 M728:N728 M726:N726 M724:N724 M721:N721 M718:N718 M714:Q714 C679:F704 N679:V704 M679:M702 I679:L706</xm:sqref>
        </x14:dataValidation>
        <x14:dataValidation type="list" allowBlank="1" showInputMessage="1" showErrorMessage="1" xr:uid="{87CFD684-6937-4075-B701-E7BD22EB2C1E}">
          <x14:formula1>
            <xm:f>'C:\Users\Oli\Documents\PhD\Model development\Data\Collaborators\Current Contributor Versions\[AnthroFireDB_IndustrialForestry_2020-07-17.xlsx]IGNORE Lookups'!#REF!</xm:f>
          </x14:formula1>
          <xm:sqref>F708 C711:C747 F741 E742:F743 E712:E741 R707:R708 O738 R714:S714 R736:S736 R739:S740 R716:S716 R718:S718 R721:S721 R724:S724 R726:S726 R728:S728 R730:S730 R732:S732 R734:S734 K743 I742:J743 M741:N741 M737:N738 M735:N735 M733:N733 M731:N731 M729:N729 M727:N727 M725:N725 M722:N723 M719:N720 M706:M713 M715:N717 M703:M704</xm:sqref>
        </x14:dataValidation>
        <x14:dataValidation type="list" allowBlank="1" showInputMessage="1" showErrorMessage="1" prompt="Existing categories include: National Government, State or local government, International NGOs, Private sector, Multinational corporation" xr:uid="{1CAAAA69-0048-4DB7-9488-4FFEF3CAF822}">
          <x14:formula1>
            <xm:f>'C:\Users\Oli\Documents\PhD\Model development\Data\Collaborators\Current Contributor Versions\[AnthroFireDB_IndustrialForestry_2020-07-17.xlsx]IGNORE Lookups'!#REF!</xm:f>
          </x14:formula1>
          <xm:sqref>H746:H748 H714:H743</xm:sqref>
        </x14:dataValidation>
        <x14:dataValidation type="list" allowBlank="1" showInputMessage="1" showErrorMessage="1" xr:uid="{2C0469BF-C601-4929-9554-679BCB11DC0D}">
          <x14:formula1>
            <xm:f>'C:\home\james\OneDrive\Research\Projects\GlobalFireUseDatabase\Industrial Forestry\[AnthroFireDB_IndustrialForestry_2020-06-15.xlsx]IGNORE Lookups'!#REF!</xm:f>
          </x14:formula1>
          <xm:sqref>C705:F706 F709:F740 R705:R706 M705</xm:sqref>
        </x14:dataValidation>
        <x14:dataValidation type="list" allowBlank="1" showInputMessage="1" showErrorMessage="1" prompt="Existing categories include: National Government, State or local government, International NGOs, Private sector, Multinational corporation" xr:uid="{72DA1304-2369-4947-A061-723D8F5A26AD}">
          <x14:formula1>
            <xm:f>'C:\home\james\OneDrive\Research\Projects\GlobalFireUseDatabase\Industrial Forestry\[AnthroFireDB_IndustrialForestry_2020-06-15.xlsx]IGNORE Lookups'!#REF!</xm:f>
          </x14:formula1>
          <xm:sqref>H705:H706</xm:sqref>
        </x14:dataValidation>
        <x14:dataValidation type="list" allowBlank="1" showInputMessage="1" showErrorMessage="1" prompt="See AFT table, page 1 of database protocol" xr:uid="{BB0AA5C8-99AD-465E-AE2C-D913913EF9C6}">
          <x14:formula1>
            <xm:f>'C:\home\james\OneDrive\Research\Projects\GlobalFireUseDatabase\Industrial Forestry\[AnthroFireDB_IndustrialForestry_2020-06-15.xlsx]IGNORE Lookups'!#REF!</xm:f>
          </x14:formula1>
          <xm:sqref>E709:E710 E712:E737</xm:sqref>
        </x14:dataValidation>
        <x14:dataValidation type="list" allowBlank="1" showInputMessage="1" showErrorMessage="1" prompt="One of: Human Deliberate, Human Accidental, Human Escaped, Lightning, Other Natural, Unknown" xr:uid="{334004E6-8FA7-4DC5-85F9-EDC5D686BA2E}">
          <x14:formula1>
            <xm:f>'C:\Users\Admin\Documents\[fire db.xlsx]IGNORE Lookups'!#REF!</xm:f>
          </x14:formula1>
          <xm:sqref>C707:C710</xm:sqref>
        </x14:dataValidation>
        <x14:dataValidation type="list" allowBlank="1" showInputMessage="1" showErrorMessage="1" xr:uid="{1B4B55AA-FAF1-4165-83AA-F992EC8FFBF2}">
          <x14:formula1>
            <xm:f>'C:\Users\Oli\Documents\PhD\Model development\Data\Collaborators\Current Contributor Versions\[Fire Database Ben v2.xlsx]IGNORE Lookups'!#REF!</xm:f>
          </x14:formula1>
          <xm:sqref>E636 E638 E640 F636:F641 C636:D641</xm:sqref>
        </x14:dataValidation>
        <x14:dataValidation type="list" allowBlank="1" showInputMessage="1" showErrorMessage="1" prompt="Existing categories include: National Government, State or local government, International NGOs, Private sector, Multinational corporation" xr:uid="{A8E37764-083A-4F20-927A-5D749E776CA3}">
          <x14:formula1>
            <xm:f>'C:\Users\Oli\Documents\PhD\Model development\Data\Collaborators\Current Contributor Versions\[Adam''s fire data.xlsx]IGNORE Lookups'!#REF!</xm:f>
          </x14:formula1>
          <xm:sqref>H679:H704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76E78-DE8A-4AFB-9037-F30AB9A8F20A}">
  <dimension ref="A1:P45"/>
  <sheetViews>
    <sheetView zoomScale="55" zoomScaleNormal="55" workbookViewId="0">
      <selection activeCell="E45" sqref="E45"/>
    </sheetView>
  </sheetViews>
  <sheetFormatPr defaultRowHeight="14.5"/>
  <cols>
    <col min="1" max="1" width="19.08984375" customWidth="1"/>
    <col min="2" max="2" width="24.54296875" customWidth="1"/>
    <col min="3" max="3" width="27.81640625" customWidth="1"/>
    <col min="4" max="4" width="30.54296875" customWidth="1"/>
    <col min="5" max="5" width="22.81640625" customWidth="1"/>
    <col min="6" max="6" width="24.08984375" customWidth="1"/>
    <col min="7" max="7" width="24.36328125" customWidth="1"/>
    <col min="8" max="8" width="25.54296875" customWidth="1"/>
    <col min="9" max="9" width="25.6328125" customWidth="1"/>
    <col min="10" max="10" width="23.81640625" customWidth="1"/>
    <col min="13" max="13" width="13.1796875" customWidth="1"/>
    <col min="14" max="14" width="16" customWidth="1"/>
    <col min="16" max="16" width="18.08984375" customWidth="1"/>
  </cols>
  <sheetData>
    <row r="1" spans="1:16">
      <c r="A1" s="115" t="s">
        <v>2643</v>
      </c>
      <c r="B1" s="116"/>
      <c r="C1" s="117"/>
      <c r="E1" s="115" t="s">
        <v>2664</v>
      </c>
      <c r="F1" s="116"/>
      <c r="G1" s="116"/>
      <c r="H1" s="116"/>
      <c r="I1" s="116"/>
      <c r="J1" s="117"/>
      <c r="L1" s="115" t="s">
        <v>2665</v>
      </c>
      <c r="M1" s="116"/>
      <c r="N1" s="116" t="s">
        <v>2667</v>
      </c>
      <c r="O1" s="116"/>
      <c r="P1" s="117"/>
    </row>
    <row r="2" spans="1:16" ht="34" customHeight="1">
      <c r="A2" s="118" t="s">
        <v>97</v>
      </c>
      <c r="B2" s="119" t="s">
        <v>2635</v>
      </c>
      <c r="C2" s="120" t="s">
        <v>2640</v>
      </c>
      <c r="E2" s="136" t="s">
        <v>7</v>
      </c>
      <c r="F2" s="119" t="s">
        <v>8</v>
      </c>
      <c r="G2" s="119" t="s">
        <v>119</v>
      </c>
      <c r="H2" s="119" t="s">
        <v>523</v>
      </c>
      <c r="I2" s="119" t="s">
        <v>399</v>
      </c>
      <c r="J2" s="120" t="s">
        <v>2654</v>
      </c>
      <c r="L2" s="143" t="s">
        <v>2666</v>
      </c>
      <c r="M2" s="122"/>
      <c r="N2" s="131" t="s">
        <v>2666</v>
      </c>
      <c r="O2" s="122"/>
      <c r="P2" s="123" t="s">
        <v>2668</v>
      </c>
    </row>
    <row r="3" spans="1:16">
      <c r="A3" s="121" t="s">
        <v>2398</v>
      </c>
      <c r="B3" s="122" t="s">
        <v>2399</v>
      </c>
      <c r="C3" s="123" t="s">
        <v>67</v>
      </c>
      <c r="E3" s="121" t="s">
        <v>24</v>
      </c>
      <c r="F3" s="122" t="s">
        <v>27</v>
      </c>
      <c r="G3" s="137" t="s">
        <v>74</v>
      </c>
      <c r="H3" s="122" t="s">
        <v>524</v>
      </c>
      <c r="I3" s="122" t="s">
        <v>188</v>
      </c>
      <c r="J3" s="123" t="s">
        <v>64</v>
      </c>
      <c r="L3" s="129">
        <v>0</v>
      </c>
      <c r="M3" s="122"/>
      <c r="N3" s="122" t="s">
        <v>534</v>
      </c>
      <c r="O3" s="122">
        <v>1</v>
      </c>
      <c r="P3" s="134" t="s">
        <v>2669</v>
      </c>
    </row>
    <row r="4" spans="1:16">
      <c r="A4" s="121" t="s">
        <v>2416</v>
      </c>
      <c r="B4" s="122" t="s">
        <v>2405</v>
      </c>
      <c r="C4" s="123" t="s">
        <v>2641</v>
      </c>
      <c r="E4" s="121" t="s">
        <v>31</v>
      </c>
      <c r="F4" s="122" t="s">
        <v>2659</v>
      </c>
      <c r="G4" s="137" t="s">
        <v>55</v>
      </c>
      <c r="H4" s="122"/>
      <c r="I4" s="122" t="s">
        <v>189</v>
      </c>
      <c r="J4" s="123" t="s">
        <v>76</v>
      </c>
      <c r="L4" s="129">
        <v>1</v>
      </c>
      <c r="M4" s="122"/>
      <c r="N4" s="122" t="s">
        <v>537</v>
      </c>
      <c r="O4" s="122">
        <v>2</v>
      </c>
      <c r="P4" s="134" t="s">
        <v>2670</v>
      </c>
    </row>
    <row r="5" spans="1:16" ht="29">
      <c r="A5" s="121" t="s">
        <v>2633</v>
      </c>
      <c r="B5" s="122" t="s">
        <v>2636</v>
      </c>
      <c r="C5" s="123" t="s">
        <v>2642</v>
      </c>
      <c r="E5" s="121" t="s">
        <v>2458</v>
      </c>
      <c r="F5" s="122" t="s">
        <v>25</v>
      </c>
      <c r="G5" s="137" t="s">
        <v>2662</v>
      </c>
      <c r="H5" s="122"/>
      <c r="I5" s="122" t="s">
        <v>38</v>
      </c>
      <c r="J5" s="123" t="s">
        <v>2655</v>
      </c>
      <c r="L5" s="129">
        <v>2</v>
      </c>
      <c r="M5" s="122"/>
      <c r="N5" s="122" t="s">
        <v>2276</v>
      </c>
      <c r="O5" s="122">
        <v>3</v>
      </c>
      <c r="P5" s="134" t="s">
        <v>2671</v>
      </c>
    </row>
    <row r="6" spans="1:16">
      <c r="A6" s="121" t="s">
        <v>2634</v>
      </c>
      <c r="B6" s="130" t="s">
        <v>4847</v>
      </c>
      <c r="C6" s="123" t="s">
        <v>149</v>
      </c>
      <c r="E6" s="121" t="s">
        <v>2656</v>
      </c>
      <c r="F6" s="122" t="s">
        <v>26</v>
      </c>
      <c r="G6" s="137" t="s">
        <v>28</v>
      </c>
      <c r="H6" s="122"/>
      <c r="I6" s="122" t="s">
        <v>86</v>
      </c>
      <c r="J6" s="123" t="s">
        <v>2312</v>
      </c>
      <c r="L6" s="129">
        <v>3</v>
      </c>
      <c r="M6" s="122"/>
      <c r="N6" s="122"/>
      <c r="O6" s="122">
        <v>4</v>
      </c>
      <c r="P6" s="123" t="s">
        <v>2728</v>
      </c>
    </row>
    <row r="7" spans="1:16">
      <c r="A7" s="121"/>
      <c r="B7" s="122" t="s">
        <v>2400</v>
      </c>
      <c r="C7" s="123"/>
      <c r="E7" s="121" t="s">
        <v>2657</v>
      </c>
      <c r="F7" s="122" t="s">
        <v>1242</v>
      </c>
      <c r="G7" s="137" t="s">
        <v>29</v>
      </c>
      <c r="H7" s="122"/>
      <c r="I7" s="122" t="s">
        <v>34</v>
      </c>
      <c r="J7" s="123" t="s">
        <v>2276</v>
      </c>
      <c r="L7" s="129" t="s">
        <v>2276</v>
      </c>
      <c r="M7" s="122"/>
      <c r="N7" s="122"/>
      <c r="O7" s="122">
        <v>5</v>
      </c>
      <c r="P7" s="123" t="s">
        <v>537</v>
      </c>
    </row>
    <row r="8" spans="1:16">
      <c r="A8" s="121"/>
      <c r="B8" s="122" t="s">
        <v>2422</v>
      </c>
      <c r="C8" s="123"/>
      <c r="E8" s="121" t="s">
        <v>2658</v>
      </c>
      <c r="F8" s="122" t="s">
        <v>2346</v>
      </c>
      <c r="G8" s="137" t="s">
        <v>160</v>
      </c>
      <c r="H8" s="122"/>
      <c r="I8" s="122" t="s">
        <v>404</v>
      </c>
      <c r="J8" s="123"/>
      <c r="L8" s="121"/>
      <c r="M8" s="122"/>
      <c r="N8" s="122"/>
      <c r="O8" s="122" t="s">
        <v>2276</v>
      </c>
      <c r="P8" s="123" t="s">
        <v>2276</v>
      </c>
    </row>
    <row r="9" spans="1:16">
      <c r="A9" s="121"/>
      <c r="B9" s="122" t="s">
        <v>2637</v>
      </c>
      <c r="C9" s="123"/>
      <c r="E9" s="121" t="s">
        <v>1105</v>
      </c>
      <c r="F9" s="135" t="s">
        <v>2341</v>
      </c>
      <c r="G9" s="137" t="s">
        <v>2663</v>
      </c>
      <c r="H9" s="122"/>
      <c r="I9" s="122" t="s">
        <v>405</v>
      </c>
      <c r="J9" s="123"/>
      <c r="L9" s="121"/>
      <c r="M9" s="122"/>
      <c r="N9" s="122"/>
      <c r="O9" s="122"/>
      <c r="P9" s="123"/>
    </row>
    <row r="10" spans="1:16">
      <c r="A10" s="121"/>
      <c r="B10" s="122" t="s">
        <v>2420</v>
      </c>
      <c r="C10" s="123"/>
      <c r="E10" s="121"/>
      <c r="F10" s="135" t="s">
        <v>1245</v>
      </c>
      <c r="G10" s="137" t="s">
        <v>2276</v>
      </c>
      <c r="H10" s="122"/>
      <c r="I10" s="122" t="s">
        <v>425</v>
      </c>
      <c r="J10" s="123"/>
      <c r="L10" s="121"/>
      <c r="M10" s="140" t="s">
        <v>605</v>
      </c>
      <c r="N10" s="119" t="s">
        <v>2672</v>
      </c>
      <c r="O10" s="122"/>
      <c r="P10" s="123"/>
    </row>
    <row r="11" spans="1:16" ht="29">
      <c r="A11" s="121"/>
      <c r="B11" s="122" t="s">
        <v>2638</v>
      </c>
      <c r="C11" s="123"/>
      <c r="E11" s="121"/>
      <c r="F11" s="135" t="s">
        <v>1131</v>
      </c>
      <c r="G11" s="145" t="s">
        <v>1105</v>
      </c>
      <c r="H11" s="122"/>
      <c r="I11" s="122" t="s">
        <v>68</v>
      </c>
      <c r="J11" s="123"/>
      <c r="L11" s="121"/>
      <c r="M11" s="137" t="s">
        <v>2690</v>
      </c>
      <c r="N11" s="137" t="s">
        <v>541</v>
      </c>
      <c r="O11" s="122"/>
      <c r="P11" s="123"/>
    </row>
    <row r="12" spans="1:16" ht="29">
      <c r="A12" s="121"/>
      <c r="B12" s="122" t="s">
        <v>2639</v>
      </c>
      <c r="C12" s="123"/>
      <c r="E12" s="121"/>
      <c r="F12" s="135" t="s">
        <v>406</v>
      </c>
      <c r="G12" s="122"/>
      <c r="H12" s="122"/>
      <c r="I12" s="122" t="s">
        <v>35</v>
      </c>
      <c r="J12" s="123"/>
      <c r="L12" s="121"/>
      <c r="M12" s="137" t="s">
        <v>2691</v>
      </c>
      <c r="N12" s="122" t="s">
        <v>2673</v>
      </c>
      <c r="O12" s="122"/>
      <c r="P12" s="123"/>
    </row>
    <row r="13" spans="1:16">
      <c r="A13" s="121"/>
      <c r="B13" s="122" t="s">
        <v>3665</v>
      </c>
      <c r="C13" s="123"/>
      <c r="E13" s="121"/>
      <c r="F13" s="135" t="s">
        <v>144</v>
      </c>
      <c r="G13" s="122"/>
      <c r="H13" s="122"/>
      <c r="I13" s="122" t="s">
        <v>127</v>
      </c>
      <c r="J13" s="123"/>
      <c r="L13" s="121"/>
      <c r="M13" s="130" t="s">
        <v>537</v>
      </c>
      <c r="N13" s="122" t="s">
        <v>1093</v>
      </c>
      <c r="O13" s="122"/>
      <c r="P13" s="123"/>
    </row>
    <row r="14" spans="1:16" ht="15" thickBot="1">
      <c r="A14" s="124"/>
      <c r="B14" s="125" t="s">
        <v>2414</v>
      </c>
      <c r="C14" s="126"/>
      <c r="E14" s="121"/>
      <c r="F14" s="135" t="s">
        <v>143</v>
      </c>
      <c r="G14" s="122"/>
      <c r="H14" s="122"/>
      <c r="I14" s="122" t="s">
        <v>2276</v>
      </c>
      <c r="J14" s="123"/>
      <c r="L14" s="121"/>
      <c r="M14" s="130" t="s">
        <v>2276</v>
      </c>
      <c r="N14" s="122" t="s">
        <v>2674</v>
      </c>
      <c r="O14" s="122"/>
      <c r="P14" s="123"/>
    </row>
    <row r="15" spans="1:16">
      <c r="A15" s="122"/>
      <c r="B15" s="130" t="s">
        <v>6801</v>
      </c>
      <c r="C15" s="122"/>
      <c r="E15" s="121"/>
      <c r="F15" s="135" t="s">
        <v>2231</v>
      </c>
      <c r="G15" s="122"/>
      <c r="H15" s="122"/>
      <c r="I15" s="122"/>
      <c r="J15" s="123"/>
      <c r="L15" s="121"/>
      <c r="M15" s="122"/>
      <c r="N15" s="122" t="s">
        <v>2675</v>
      </c>
      <c r="O15" s="122"/>
      <c r="P15" s="123"/>
    </row>
    <row r="16" spans="1:16" ht="15" thickBot="1">
      <c r="A16" s="122"/>
      <c r="B16" s="122"/>
      <c r="C16" s="122"/>
      <c r="E16" s="121"/>
      <c r="F16" s="135" t="s">
        <v>32</v>
      </c>
      <c r="G16" s="122"/>
      <c r="H16" s="122"/>
      <c r="I16" s="122"/>
      <c r="J16" s="123"/>
      <c r="L16" s="124"/>
      <c r="M16" s="125"/>
      <c r="N16" s="125" t="s">
        <v>2276</v>
      </c>
      <c r="O16" s="125"/>
      <c r="P16" s="126"/>
    </row>
    <row r="17" spans="1:14">
      <c r="A17" s="122"/>
      <c r="B17" s="122"/>
      <c r="C17" s="122"/>
      <c r="E17" s="121"/>
      <c r="F17" s="135" t="s">
        <v>2284</v>
      </c>
      <c r="G17" s="122"/>
      <c r="H17" s="122"/>
      <c r="I17" s="122"/>
      <c r="J17" s="138"/>
      <c r="N17" s="130" t="s">
        <v>2723</v>
      </c>
    </row>
    <row r="18" spans="1:14">
      <c r="A18" s="122"/>
      <c r="B18" s="122"/>
      <c r="C18" s="122"/>
      <c r="E18" s="121"/>
      <c r="F18" s="135" t="s">
        <v>30</v>
      </c>
      <c r="G18" s="122"/>
      <c r="H18" s="122"/>
      <c r="I18" s="122"/>
      <c r="J18" s="123"/>
      <c r="N18" s="130" t="s">
        <v>4077</v>
      </c>
    </row>
    <row r="19" spans="1:14">
      <c r="A19" s="122"/>
      <c r="B19" s="122"/>
      <c r="C19" s="122"/>
      <c r="E19" s="121"/>
      <c r="F19" s="135" t="s">
        <v>2305</v>
      </c>
      <c r="G19" s="122"/>
      <c r="H19" s="122"/>
      <c r="I19" s="122"/>
      <c r="J19" s="123"/>
    </row>
    <row r="20" spans="1:14" ht="15" thickBot="1">
      <c r="A20" s="122"/>
      <c r="B20" s="122"/>
      <c r="C20" s="122"/>
      <c r="E20" s="121"/>
      <c r="F20" s="135" t="s">
        <v>61</v>
      </c>
      <c r="G20" s="122"/>
      <c r="H20" s="122"/>
      <c r="I20" s="122"/>
      <c r="J20" s="123"/>
    </row>
    <row r="21" spans="1:14">
      <c r="A21" s="127" t="s">
        <v>2644</v>
      </c>
      <c r="B21" s="116"/>
      <c r="C21" s="117"/>
      <c r="E21" s="121"/>
      <c r="F21" s="147" t="s">
        <v>2804</v>
      </c>
      <c r="G21" s="122"/>
      <c r="H21" s="122"/>
      <c r="I21" s="122"/>
      <c r="J21" s="123"/>
    </row>
    <row r="22" spans="1:14" ht="15.5">
      <c r="A22" s="128" t="s">
        <v>13</v>
      </c>
      <c r="B22" s="132" t="s">
        <v>2279</v>
      </c>
      <c r="C22" s="133" t="s">
        <v>2285</v>
      </c>
      <c r="E22" s="121"/>
      <c r="F22" s="135" t="s">
        <v>1105</v>
      </c>
      <c r="G22" s="122"/>
      <c r="H22" s="122"/>
      <c r="I22" s="122"/>
      <c r="J22" s="123"/>
    </row>
    <row r="23" spans="1:14">
      <c r="A23" s="129" t="s">
        <v>69</v>
      </c>
      <c r="B23" s="130" t="s">
        <v>395</v>
      </c>
      <c r="C23" s="134" t="s">
        <v>130</v>
      </c>
      <c r="E23" s="121"/>
      <c r="F23" s="135" t="s">
        <v>2276</v>
      </c>
      <c r="G23" s="122"/>
      <c r="H23" s="122"/>
      <c r="I23" s="122"/>
      <c r="J23" s="123"/>
    </row>
    <row r="24" spans="1:14" ht="29">
      <c r="A24" s="129" t="s">
        <v>1197</v>
      </c>
      <c r="B24" s="130" t="s">
        <v>12</v>
      </c>
      <c r="C24" s="134" t="s">
        <v>397</v>
      </c>
      <c r="E24" s="121"/>
      <c r="F24" s="135" t="s">
        <v>3476</v>
      </c>
      <c r="G24" s="122"/>
      <c r="H24" s="122"/>
      <c r="I24" s="122"/>
      <c r="J24" s="123"/>
    </row>
    <row r="25" spans="1:14" ht="29">
      <c r="A25" s="135" t="s">
        <v>70</v>
      </c>
      <c r="B25" s="130" t="s">
        <v>2645</v>
      </c>
      <c r="C25" s="134" t="s">
        <v>396</v>
      </c>
      <c r="E25" s="121"/>
      <c r="F25" s="135" t="s">
        <v>3480</v>
      </c>
      <c r="G25" s="122"/>
      <c r="H25" s="122"/>
      <c r="I25" s="122"/>
      <c r="J25" s="123"/>
    </row>
    <row r="26" spans="1:14">
      <c r="A26" s="135" t="s">
        <v>2258</v>
      </c>
      <c r="B26" s="130" t="s">
        <v>2646</v>
      </c>
      <c r="C26" s="134" t="s">
        <v>84</v>
      </c>
      <c r="E26" s="121"/>
      <c r="F26" s="135" t="s">
        <v>4162</v>
      </c>
      <c r="G26" s="122"/>
      <c r="H26" s="122"/>
      <c r="I26" s="122"/>
      <c r="J26" s="123"/>
    </row>
    <row r="27" spans="1:14">
      <c r="A27" s="135" t="s">
        <v>32</v>
      </c>
      <c r="B27" s="130" t="s">
        <v>2276</v>
      </c>
      <c r="C27" s="134" t="s">
        <v>5006</v>
      </c>
      <c r="E27" s="121"/>
      <c r="F27" s="135" t="s">
        <v>2994</v>
      </c>
      <c r="G27" s="122"/>
      <c r="H27" s="122"/>
      <c r="I27" s="122"/>
      <c r="J27" s="123"/>
    </row>
    <row r="28" spans="1:14" ht="29">
      <c r="A28" s="122" t="s">
        <v>2276</v>
      </c>
      <c r="B28" s="122"/>
      <c r="C28" s="134" t="s">
        <v>5005</v>
      </c>
      <c r="E28" s="139" t="s">
        <v>2387</v>
      </c>
      <c r="F28" s="140" t="s">
        <v>2388</v>
      </c>
      <c r="G28" s="140" t="s">
        <v>2397</v>
      </c>
      <c r="H28" s="119" t="s">
        <v>2433</v>
      </c>
      <c r="I28" s="122"/>
      <c r="J28" s="123"/>
    </row>
    <row r="29" spans="1:14" ht="29">
      <c r="A29" s="122"/>
      <c r="B29" s="122"/>
      <c r="C29" s="134" t="s">
        <v>3854</v>
      </c>
      <c r="E29" s="129" t="s">
        <v>2364</v>
      </c>
      <c r="F29" s="135" t="s">
        <v>2362</v>
      </c>
      <c r="G29" s="135" t="s">
        <v>2527</v>
      </c>
      <c r="H29" s="135" t="s">
        <v>2375</v>
      </c>
      <c r="I29" s="122"/>
      <c r="J29" s="123"/>
    </row>
    <row r="30" spans="1:14" ht="29">
      <c r="A30" s="135"/>
      <c r="B30" s="122"/>
      <c r="C30" s="134" t="s">
        <v>3855</v>
      </c>
      <c r="E30" s="129" t="s">
        <v>2365</v>
      </c>
      <c r="F30" s="135" t="s">
        <v>2375</v>
      </c>
      <c r="G30" s="135" t="s">
        <v>2374</v>
      </c>
      <c r="H30" s="135" t="s">
        <v>2401</v>
      </c>
      <c r="I30" s="122"/>
      <c r="J30" s="123"/>
    </row>
    <row r="31" spans="1:14">
      <c r="A31" s="135" t="s">
        <v>2354</v>
      </c>
      <c r="B31" s="122"/>
      <c r="C31" s="134" t="s">
        <v>45</v>
      </c>
      <c r="E31" s="129" t="s">
        <v>2366</v>
      </c>
      <c r="F31" s="135" t="s">
        <v>2373</v>
      </c>
      <c r="G31" s="135" t="s">
        <v>2376</v>
      </c>
      <c r="H31" s="135" t="s">
        <v>2402</v>
      </c>
      <c r="I31" s="122"/>
      <c r="J31" s="123"/>
    </row>
    <row r="32" spans="1:14">
      <c r="A32" s="135" t="s">
        <v>534</v>
      </c>
      <c r="B32" s="122"/>
      <c r="C32" s="134" t="s">
        <v>2647</v>
      </c>
      <c r="E32" s="129" t="s">
        <v>2367</v>
      </c>
      <c r="F32" s="135" t="s">
        <v>2374</v>
      </c>
      <c r="G32" s="135" t="s">
        <v>2389</v>
      </c>
      <c r="H32" s="135" t="s">
        <v>2403</v>
      </c>
      <c r="I32" s="122"/>
      <c r="J32" s="123"/>
    </row>
    <row r="33" spans="1:10">
      <c r="A33" s="135" t="s">
        <v>537</v>
      </c>
      <c r="B33" s="122"/>
      <c r="C33" s="134" t="s">
        <v>2648</v>
      </c>
      <c r="E33" s="129" t="s">
        <v>2368</v>
      </c>
      <c r="F33" s="135" t="s">
        <v>2376</v>
      </c>
      <c r="G33" s="135" t="s">
        <v>2390</v>
      </c>
      <c r="H33" s="135" t="s">
        <v>2404</v>
      </c>
      <c r="I33" s="122"/>
      <c r="J33" s="123"/>
    </row>
    <row r="34" spans="1:10">
      <c r="A34" s="135"/>
      <c r="B34" s="122"/>
      <c r="C34" s="134" t="s">
        <v>116</v>
      </c>
      <c r="E34" s="129" t="s">
        <v>2369</v>
      </c>
      <c r="F34" s="135" t="s">
        <v>2377</v>
      </c>
      <c r="G34" s="135" t="s">
        <v>2391</v>
      </c>
      <c r="H34" s="135" t="s">
        <v>2846</v>
      </c>
      <c r="I34" s="122"/>
      <c r="J34" s="123"/>
    </row>
    <row r="35" spans="1:10">
      <c r="A35" s="135"/>
      <c r="B35" s="122"/>
      <c r="C35" s="134" t="s">
        <v>863</v>
      </c>
      <c r="E35" s="129" t="s">
        <v>2370</v>
      </c>
      <c r="F35" s="135" t="s">
        <v>2378</v>
      </c>
      <c r="G35" s="135" t="s">
        <v>2392</v>
      </c>
      <c r="H35" s="135" t="s">
        <v>2276</v>
      </c>
      <c r="I35" s="122"/>
      <c r="J35" s="123"/>
    </row>
    <row r="36" spans="1:10">
      <c r="A36" s="129"/>
      <c r="B36" s="122"/>
      <c r="C36" s="134" t="s">
        <v>2650</v>
      </c>
      <c r="E36" s="129" t="s">
        <v>2371</v>
      </c>
      <c r="F36" s="135" t="s">
        <v>2379</v>
      </c>
      <c r="G36" s="135" t="s">
        <v>2393</v>
      </c>
      <c r="H36" s="135"/>
      <c r="I36" s="122"/>
      <c r="J36" s="123"/>
    </row>
    <row r="37" spans="1:10" ht="29">
      <c r="A37" s="129"/>
      <c r="B37" s="122"/>
      <c r="C37" s="134" t="s">
        <v>2651</v>
      </c>
      <c r="E37" s="129" t="s">
        <v>2372</v>
      </c>
      <c r="F37" s="135" t="s">
        <v>2380</v>
      </c>
      <c r="G37" s="135" t="s">
        <v>2394</v>
      </c>
      <c r="H37" s="135"/>
      <c r="I37" s="122"/>
      <c r="J37" s="123"/>
    </row>
    <row r="38" spans="1:10">
      <c r="A38" s="129"/>
      <c r="B38" s="122"/>
      <c r="C38" s="134" t="s">
        <v>2649</v>
      </c>
      <c r="E38" s="129" t="s">
        <v>2373</v>
      </c>
      <c r="F38" s="135" t="s">
        <v>2381</v>
      </c>
      <c r="G38" s="135" t="s">
        <v>2395</v>
      </c>
      <c r="H38" s="135"/>
      <c r="I38" s="122"/>
      <c r="J38" s="123"/>
    </row>
    <row r="39" spans="1:10">
      <c r="A39" s="121"/>
      <c r="B39" s="122"/>
      <c r="C39" s="134" t="s">
        <v>2652</v>
      </c>
      <c r="E39" s="129" t="s">
        <v>2374</v>
      </c>
      <c r="F39" s="135" t="s">
        <v>2382</v>
      </c>
      <c r="G39" s="135" t="s">
        <v>2396</v>
      </c>
      <c r="H39" s="135"/>
      <c r="I39" s="122"/>
      <c r="J39" s="123"/>
    </row>
    <row r="40" spans="1:10" ht="15" thickBot="1">
      <c r="A40" s="124"/>
      <c r="B40" s="125"/>
      <c r="C40" s="134" t="s">
        <v>2653</v>
      </c>
      <c r="E40" s="129" t="s">
        <v>2845</v>
      </c>
      <c r="F40" s="135" t="s">
        <v>2383</v>
      </c>
      <c r="G40" s="135" t="s">
        <v>2276</v>
      </c>
      <c r="H40" s="135"/>
      <c r="I40" s="125"/>
      <c r="J40" s="126"/>
    </row>
    <row r="41" spans="1:10" ht="15" thickBot="1">
      <c r="C41" s="126" t="s">
        <v>2276</v>
      </c>
      <c r="E41" s="121" t="s">
        <v>2846</v>
      </c>
      <c r="F41" s="135" t="s">
        <v>2384</v>
      </c>
      <c r="G41" s="135"/>
      <c r="H41" s="135"/>
    </row>
    <row r="42" spans="1:10">
      <c r="C42" s="142" t="s">
        <v>1105</v>
      </c>
      <c r="E42" s="121" t="s">
        <v>2378</v>
      </c>
      <c r="F42" s="135" t="s">
        <v>2385</v>
      </c>
      <c r="G42" s="135"/>
      <c r="H42" s="135"/>
    </row>
    <row r="43" spans="1:10">
      <c r="C43" s="3" t="s">
        <v>137</v>
      </c>
      <c r="E43" s="121" t="s">
        <v>8724</v>
      </c>
      <c r="F43" s="122" t="s">
        <v>2386</v>
      </c>
      <c r="G43" s="135"/>
      <c r="H43" s="135"/>
    </row>
    <row r="44" spans="1:10" ht="15" thickBot="1">
      <c r="C44" s="145" t="s">
        <v>3209</v>
      </c>
      <c r="E44" s="124" t="s">
        <v>8725</v>
      </c>
      <c r="F44" s="141" t="s">
        <v>2276</v>
      </c>
      <c r="G44" s="125"/>
      <c r="H44" s="125"/>
    </row>
    <row r="45" spans="1:10" ht="15" thickBot="1">
      <c r="C45" s="130" t="s">
        <v>5801</v>
      </c>
      <c r="E45" s="124" t="s">
        <v>2276</v>
      </c>
    </row>
  </sheetData>
  <phoneticPr fontId="6" type="noConversion"/>
  <dataValidations count="2">
    <dataValidation allowBlank="1" showInputMessage="1" showErrorMessage="1" prompt="One of: Academic, NGO, Government" sqref="A2" xr:uid="{F576C842-C2AD-4841-BC3B-E65AE6D80DCD}"/>
    <dataValidation type="list" allowBlank="1" showInputMessage="1" showErrorMessage="1" prompt="See AFT table, page 1 of database protocol" sqref="C43" xr:uid="{E15F1B84-A3A4-4C84-ADEC-15CEB80BCC37}">
      <formula1>$C$23:$C$41</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Record info</vt:lpstr>
      <vt:lpstr>Land use</vt:lpstr>
      <vt:lpstr>Reported burning</vt:lpstr>
      <vt:lpstr>Estimated burning</vt:lpstr>
      <vt:lpstr>Fire suppression</vt:lpstr>
      <vt:lpstr>Fire Policy</vt:lpstr>
      <vt:lpstr>IGNORE Lookups</vt:lpstr>
      <vt:lpstr>'Land use'!Print_Titles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dc:creator>
  <cp:lastModifiedBy>Oli</cp:lastModifiedBy>
  <dcterms:created xsi:type="dcterms:W3CDTF">2020-02-04T16:25:24Z</dcterms:created>
  <dcterms:modified xsi:type="dcterms:W3CDTF">2020-09-04T15:40:39Z</dcterms:modified>
</cp:coreProperties>
</file>